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razyapov\Desktop\РУСЛАН\Закрытие месяца ООО НЭСКО\2026\Май 2026\отчёты\Раскрытие инфы на сайте\Раскрытие на новом сайте\(пп. «б» п. 52) Полезный отпуск населению\"/>
    </mc:Choice>
  </mc:AlternateContent>
  <bookViews>
    <workbookView xWindow="240" yWindow="1920" windowWidth="18810" windowHeight="9525" tabRatio="848" firstSheet="17" activeTab="42"/>
  </bookViews>
  <sheets>
    <sheet name="Отчет" sheetId="108" r:id="rId1"/>
    <sheet name="Шаблон 46 ГП" sheetId="1" r:id="rId2"/>
    <sheet name="Шаблон 46 ЭСК" sheetId="2" r:id="rId3"/>
    <sheet name="46 сводная" sheetId="3" state="hidden" r:id="rId4"/>
    <sheet name="ККП" sheetId="4" r:id="rId5"/>
    <sheet name="Б-П" sheetId="63" r:id="rId6"/>
    <sheet name="ОРЭМ" sheetId="21" r:id="rId7"/>
    <sheet name="46ЕЕ" sheetId="5" r:id="rId8"/>
    <sheet name="Раздел 1 А" sheetId="6" r:id="rId9"/>
    <sheet name="Раздел 1Б" sheetId="7" r:id="rId10"/>
    <sheet name="Раздел 1 В" sheetId="8" r:id="rId11"/>
    <sheet name="Раздел 2А" sheetId="9" r:id="rId12"/>
    <sheet name="Раздел 2Б" sheetId="10" r:id="rId13"/>
    <sheet name="Раздел 3" sheetId="11" r:id="rId14"/>
    <sheet name="Раздел 4" sheetId="12" r:id="rId15"/>
    <sheet name="46 ЭЭ Тюмень" sheetId="13" r:id="rId16"/>
    <sheet name="Баланс ЭЭ и Мощности" sheetId="14" r:id="rId17"/>
    <sheet name="Покупка" sheetId="15" r:id="rId18"/>
    <sheet name="Продажа" sheetId="16" r:id="rId19"/>
    <sheet name="Продажа РР ХМО" sheetId="17" r:id="rId20"/>
    <sheet name="Прочие платежи" sheetId="18" r:id="rId21"/>
    <sheet name="Потери" sheetId="20" r:id="rId22"/>
    <sheet name="газ-ночь" sheetId="22" r:id="rId23"/>
    <sheet name="1" sheetId="23" state="hidden" r:id="rId24"/>
    <sheet name="2" sheetId="24" state="hidden" r:id="rId25"/>
    <sheet name="3" sheetId="25" state="hidden" r:id="rId26"/>
    <sheet name="4" sheetId="26" state="hidden" r:id="rId27"/>
    <sheet name="5" sheetId="41" state="hidden" r:id="rId28"/>
    <sheet name="6" sheetId="42" state="hidden" r:id="rId29"/>
    <sheet name="Общая до 26" sheetId="54" state="hidden" r:id="rId30"/>
    <sheet name="ГТП до 26" sheetId="55" state="hidden" r:id="rId31"/>
    <sheet name="Субъекты РФ до 26" sheetId="56" state="hidden" r:id="rId32"/>
    <sheet name="Уровень напряжения до 26" sheetId="57" state="hidden" r:id="rId33"/>
    <sheet name="101 до 26" sheetId="58" state="hidden" r:id="rId34"/>
    <sheet name="134 до 26" sheetId="59" state="hidden" r:id="rId35"/>
    <sheet name="135 до 26" sheetId="60" state="hidden" r:id="rId36"/>
    <sheet name="136 до 26" sheetId="61" state="hidden" r:id="rId37"/>
    <sheet name="Распределение услуг" sheetId="27" state="hidden" r:id="rId38"/>
    <sheet name="Отчёт в РСТ НВВ" sheetId="75" r:id="rId39"/>
    <sheet name="РСТ НВВ" sheetId="62" state="hidden" r:id="rId40"/>
    <sheet name="Отчёт в РСТ о НВВ" sheetId="28" state="hidden" r:id="rId41"/>
    <sheet name="Этапы корректировки" sheetId="29" state="hidden" r:id="rId42"/>
    <sheet name="П.52.б" sheetId="46" r:id="rId43"/>
    <sheet name="П.52 п.п. а" sheetId="30" r:id="rId44"/>
    <sheet name="П.45. г и 45. д." sheetId="31" r:id="rId45"/>
    <sheet name="Отчёт СТС" sheetId="33" state="hidden" r:id="rId46"/>
    <sheet name="Форма 1" sheetId="35" r:id="rId47"/>
    <sheet name="Форма 2" sheetId="36" state="hidden" r:id="rId48"/>
    <sheet name="В отчётность" sheetId="74" r:id="rId49"/>
    <sheet name="Прайм" sheetId="43" r:id="rId50"/>
    <sheet name="Акт показаний ГЭС" sheetId="45" state="hidden" r:id="rId51"/>
    <sheet name="часть 2" sheetId="44" state="hidden" r:id="rId52"/>
    <sheet name="Общая" sheetId="78" r:id="rId53"/>
    <sheet name="ГТП" sheetId="79" r:id="rId54"/>
    <sheet name="субъекты РФ" sheetId="80" r:id="rId55"/>
    <sheet name="уровень напряжения" sheetId="81" r:id="rId56"/>
    <sheet name="101" sheetId="82" r:id="rId57"/>
    <sheet name="134" sheetId="83" r:id="rId58"/>
    <sheet name="135" sheetId="84" r:id="rId59"/>
    <sheet name="136" sheetId="85" r:id="rId60"/>
    <sheet name="Подведение итогов" sheetId="47" r:id="rId61"/>
    <sheet name="01" sheetId="50" r:id="rId62"/>
    <sheet name="для СТС основные и нат.показ" sheetId="51" r:id="rId63"/>
    <sheet name="Отчёт в РДУ" sheetId="52" r:id="rId64"/>
    <sheet name="Лист2" sheetId="53" r:id="rId65"/>
    <sheet name="Структура в РЭК" sheetId="65" r:id="rId66"/>
    <sheet name="ЕКТ" sheetId="66" r:id="rId67"/>
    <sheet name="ЗАКРЫТИЕ111" sheetId="68" r:id="rId68"/>
    <sheet name="Приложение 1111" sheetId="71" r:id="rId69"/>
    <sheet name="Приложение 22222" sheetId="72" r:id="rId70"/>
    <sheet name="Сбор" sheetId="73" r:id="rId71"/>
    <sheet name="Отчёт АПБЭ Макет" sheetId="76" r:id="rId72"/>
    <sheet name="1-Цены производителей НЭСКО" sheetId="77" r:id="rId73"/>
    <sheet name="Инструкция" sheetId="95" r:id="rId74"/>
    <sheet name="Титульный" sheetId="96" r:id="rId75"/>
    <sheet name="Раздел I. А" sheetId="97" r:id="rId76"/>
    <sheet name="Раздел I. Б" sheetId="98" r:id="rId77"/>
    <sheet name="Раздел I. В" sheetId="99" r:id="rId78"/>
    <sheet name="Раздел II. А (ТИС)" sheetId="100" r:id="rId79"/>
    <sheet name="Раздел II. Б (ТИС)" sheetId="101" r:id="rId80"/>
    <sheet name="Раздел III" sheetId="102" r:id="rId81"/>
    <sheet name="Раздел IV" sheetId="103" r:id="rId82"/>
    <sheet name="Прил.4 Сводная ведомость" sheetId="105" r:id="rId83"/>
    <sheet name="Прил.5 Акт об оказ.услуг" sheetId="106" r:id="rId84"/>
    <sheet name="EE.POP.RANGES.VOL.EIAS_export" sheetId="107"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__123Graph" localSheetId="84" hidden="1">[1]RSOILBAL!#REF!</definedName>
    <definedName name="__123Graph" localSheetId="48" hidden="1">[1]RSOILBAL!#REF!</definedName>
    <definedName name="__123Graph" localSheetId="71" hidden="1">[1]RSOILBAL!#REF!</definedName>
    <definedName name="__123Graph" hidden="1">[1]RSOILBAL!#REF!</definedName>
    <definedName name="__123Graph_A" localSheetId="84" hidden="1">[2]RSOILBAL!#REF!</definedName>
    <definedName name="__123Graph_A" localSheetId="48" hidden="1">[2]RSOILBAL!#REF!</definedName>
    <definedName name="__123Graph_A" localSheetId="71" hidden="1">[2]RSOILBAL!#REF!</definedName>
    <definedName name="__123Graph_A" hidden="1">[2]RSOILBAL!#REF!</definedName>
    <definedName name="__123Graph_ACRPIE90" localSheetId="84" hidden="1">[2]RSOILBAL!#REF!</definedName>
    <definedName name="__123Graph_ACRPIE90" localSheetId="48" hidden="1">[2]RSOILBAL!#REF!</definedName>
    <definedName name="__123Graph_ACRPIE90" localSheetId="71" hidden="1">[2]RSOILBAL!#REF!</definedName>
    <definedName name="__123Graph_ACRPIE90" hidden="1">[2]RSOILBAL!#REF!</definedName>
    <definedName name="__123Graph_ACRPIE91" localSheetId="84" hidden="1">[2]RSOILBAL!#REF!</definedName>
    <definedName name="__123Graph_ACRPIE91" localSheetId="48" hidden="1">[2]RSOILBAL!#REF!</definedName>
    <definedName name="__123Graph_ACRPIE91" localSheetId="71" hidden="1">[2]RSOILBAL!#REF!</definedName>
    <definedName name="__123Graph_ACRPIE91" hidden="1">[2]RSOILBAL!#REF!</definedName>
    <definedName name="__123Graph_ACRPIE92" localSheetId="84" hidden="1">[2]RSOILBAL!#REF!</definedName>
    <definedName name="__123Graph_ACRPIE92" localSheetId="48" hidden="1">[2]RSOILBAL!#REF!</definedName>
    <definedName name="__123Graph_ACRPIE92" localSheetId="71" hidden="1">[2]RSOILBAL!#REF!</definedName>
    <definedName name="__123Graph_ACRPIE92" hidden="1">[2]RSOILBAL!#REF!</definedName>
    <definedName name="__123Graph_ACRPIE93" localSheetId="84" hidden="1">[2]RSOILBAL!#REF!</definedName>
    <definedName name="__123Graph_ACRPIE93" localSheetId="48" hidden="1">[2]RSOILBAL!#REF!</definedName>
    <definedName name="__123Graph_ACRPIE93" localSheetId="71" hidden="1">[2]RSOILBAL!#REF!</definedName>
    <definedName name="__123Graph_ACRPIE93" hidden="1">[2]RSOILBAL!#REF!</definedName>
    <definedName name="__123Graph_LBL_A" localSheetId="84" hidden="1">[2]RSOILBAL!#REF!</definedName>
    <definedName name="__123Graph_LBL_A" localSheetId="48" hidden="1">[2]RSOILBAL!#REF!</definedName>
    <definedName name="__123Graph_LBL_A" localSheetId="71" hidden="1">[2]RSOILBAL!#REF!</definedName>
    <definedName name="__123Graph_LBL_A" hidden="1">[2]RSOILBAL!#REF!</definedName>
    <definedName name="__123Graph_LBL_ACRPIE90" localSheetId="84" hidden="1">[2]RSOILBAL!#REF!</definedName>
    <definedName name="__123Graph_LBL_ACRPIE90" localSheetId="48" hidden="1">[2]RSOILBAL!#REF!</definedName>
    <definedName name="__123Graph_LBL_ACRPIE90" localSheetId="71" hidden="1">[2]RSOILBAL!#REF!</definedName>
    <definedName name="__123Graph_LBL_ACRPIE90" hidden="1">[2]RSOILBAL!#REF!</definedName>
    <definedName name="__123Graph_LBL_ACRPIE91" localSheetId="84" hidden="1">[2]RSOILBAL!#REF!</definedName>
    <definedName name="__123Graph_LBL_ACRPIE91" localSheetId="48" hidden="1">[2]RSOILBAL!#REF!</definedName>
    <definedName name="__123Graph_LBL_ACRPIE91" localSheetId="71" hidden="1">[2]RSOILBAL!#REF!</definedName>
    <definedName name="__123Graph_LBL_ACRPIE91" hidden="1">[2]RSOILBAL!#REF!</definedName>
    <definedName name="__123Graph_LBL_ACRPIE92" localSheetId="84" hidden="1">[2]RSOILBAL!#REF!</definedName>
    <definedName name="__123Graph_LBL_ACRPIE92" localSheetId="48" hidden="1">[2]RSOILBAL!#REF!</definedName>
    <definedName name="__123Graph_LBL_ACRPIE92" localSheetId="71" hidden="1">[2]RSOILBAL!#REF!</definedName>
    <definedName name="__123Graph_LBL_ACRPIE92" hidden="1">[2]RSOILBAL!#REF!</definedName>
    <definedName name="__123Graph_LBL_ACRPIE93" localSheetId="84" hidden="1">[2]RSOILBAL!#REF!</definedName>
    <definedName name="__123Graph_LBL_ACRPIE93" localSheetId="48" hidden="1">[2]RSOILBAL!#REF!</definedName>
    <definedName name="__123Graph_LBL_ACRPIE93" localSheetId="71" hidden="1">[2]RSOILBAL!#REF!</definedName>
    <definedName name="__123Graph_LBL_ACRPIE93" hidden="1">[2]RSOILBAL!#REF!</definedName>
    <definedName name="_Order1" hidden="1">255</definedName>
    <definedName name="_Sort" localSheetId="84" hidden="1">#REF!</definedName>
    <definedName name="_Sort" localSheetId="48" hidden="1">#REF!</definedName>
    <definedName name="_Sort" localSheetId="71" hidden="1">#REF!</definedName>
    <definedName name="_Sort" hidden="1">#REF!</definedName>
    <definedName name="_sort1" hidden="1">'[3]#ССЫЛКА'!$A$8:$C$98</definedName>
    <definedName name="hgnb" hidden="1">'[3]#ССЫЛКА'!$A$8:$C$98</definedName>
    <definedName name="HTML_CodePage" hidden="1">1251</definedName>
    <definedName name="HTML_Control" localSheetId="84" hidden="1">{"'D'!$A$1:$E$13"}</definedName>
    <definedName name="HTML_Control" localSheetId="48" hidden="1">{"'D'!$A$1:$E$13"}</definedName>
    <definedName name="HTML_Control" localSheetId="71" hidden="1">{"'D'!$A$1:$E$13"}</definedName>
    <definedName name="HTML_Control" localSheetId="38" hidden="1">{"'D'!$A$1:$E$13"}</definedName>
    <definedName name="HTML_Control" hidden="1">{"'D'!$A$1:$E$13"}</definedName>
    <definedName name="HTML_Description" hidden="1">""</definedName>
    <definedName name="HTML_Email" hidden="1">""</definedName>
    <definedName name="HTML_Header" hidden="1">"D"</definedName>
    <definedName name="HTML_LastUpdate" hidden="1">"03.01.99"</definedName>
    <definedName name="HTML_LineAfter" hidden="1">FALSE</definedName>
    <definedName name="HTML_LineBefore" hidden="1">FALSE</definedName>
    <definedName name="HTML_Name" hidden="1">"Lapshina S.A."</definedName>
    <definedName name="HTML_OBDlg2" hidden="1">TRUE</definedName>
    <definedName name="HTML_OBDlg4" hidden="1">TRUE</definedName>
    <definedName name="HTML_OS" hidden="1">0</definedName>
    <definedName name="HTML_PathFile" hidden="1">"C:\My Documents\MyHTML.htm"</definedName>
    <definedName name="HTML_Title" hidden="1">"TARIF984"</definedName>
    <definedName name="P1_ESO_PROT" localSheetId="84" hidden="1">#REF!,#REF!,#REF!,#REF!,#REF!,#REF!,#REF!,#REF!</definedName>
    <definedName name="P1_ESO_PROT" localSheetId="5" hidden="1">#REF!,#REF!,#REF!,#REF!,#REF!,#REF!,#REF!,#REF!</definedName>
    <definedName name="P1_ESO_PROT" localSheetId="48" hidden="1">#REF!,#REF!,#REF!,#REF!,#REF!,#REF!,#REF!,#REF!</definedName>
    <definedName name="P1_ESO_PROT" localSheetId="71" hidden="1">#REF!,#REF!,#REF!,#REF!,#REF!,#REF!,#REF!,#REF!</definedName>
    <definedName name="P1_ESO_PROT" localSheetId="65" hidden="1">#REF!,#REF!,#REF!,#REF!,#REF!,#REF!,#REF!,#REF!</definedName>
    <definedName name="P1_ESO_PROT" hidden="1">#REF!,#REF!,#REF!,#REF!,#REF!,#REF!,#REF!,#REF!</definedName>
    <definedName name="P1_SBT_PROT" localSheetId="84" hidden="1">#REF!,#REF!,#REF!,#REF!,#REF!,#REF!,#REF!</definedName>
    <definedName name="P1_SBT_PROT" localSheetId="5" hidden="1">#REF!,#REF!,#REF!,#REF!,#REF!,#REF!,#REF!</definedName>
    <definedName name="P1_SBT_PROT" localSheetId="48" hidden="1">#REF!,#REF!,#REF!,#REF!,#REF!,#REF!,#REF!</definedName>
    <definedName name="P1_SBT_PROT" localSheetId="71" hidden="1">#REF!,#REF!,#REF!,#REF!,#REF!,#REF!,#REF!</definedName>
    <definedName name="P1_SBT_PROT" localSheetId="65" hidden="1">#REF!,#REF!,#REF!,#REF!,#REF!,#REF!,#REF!</definedName>
    <definedName name="P1_SBT_PROT" hidden="1">#REF!,#REF!,#REF!,#REF!,#REF!,#REF!,#REF!</definedName>
    <definedName name="P1_SCOPE_16_PRT" localSheetId="48" hidden="1">'[4]16'!$E$15:$I$16,'[4]16'!$E$18:$I$20,'[4]16'!$E$23:$I$23,'[4]16'!$E$26:$I$26,'[4]16'!$E$29:$I$29,'[4]16'!$E$32:$I$32,'[4]16'!$E$35:$I$35,'[4]16'!$B$34,'[4]16'!$B$37</definedName>
    <definedName name="P1_SCOPE_16_PRT" localSheetId="65" hidden="1">'[5]16'!$E$15:$I$16,'[5]16'!$E$18:$I$20,'[5]16'!$E$23:$I$23,'[5]16'!$E$26:$I$26,'[5]16'!$E$29:$I$29,'[5]16'!$E$32:$I$32,'[5]16'!$E$35:$I$35,'[5]16'!$B$34,'[5]16'!$B$37</definedName>
    <definedName name="P1_SCOPE_16_PRT" hidden="1">'[6]16'!$E$15:$I$16,'[6]16'!$E$18:$I$20,'[6]16'!$E$23:$I$23,'[6]16'!$E$26:$I$26,'[6]16'!$E$29:$I$29,'[6]16'!$E$32:$I$32,'[6]16'!$E$35:$I$35,'[6]16'!$B$34,'[6]16'!$B$37</definedName>
    <definedName name="P1_SCOPE_17_PRT" localSheetId="48" hidden="1">'[4]17'!$E$13:$H$21,'[4]17'!$J$9:$J$11,'[4]17'!$J$13:$J$21,'[4]17'!$E$24:$H$26,'[4]17'!$E$28:$H$36,'[4]17'!$J$24:$M$26,'[4]17'!$J$28:$M$36,'[4]17'!$E$39:$H$41</definedName>
    <definedName name="P1_SCOPE_17_PRT" localSheetId="65" hidden="1">'[5]17'!$E$13:$H$21,'[5]17'!$J$9:$J$11,'[5]17'!$J$13:$J$21,'[5]17'!$E$24:$H$26,'[5]17'!$E$28:$H$36,'[5]17'!$J$24:$M$26,'[5]17'!$J$28:$M$36,'[5]17'!$E$39:$H$41</definedName>
    <definedName name="P1_SCOPE_17_PRT" hidden="1">'[6]17'!$E$13:$H$21,'[6]17'!$J$9:$J$11,'[6]17'!$J$13:$J$21,'[6]17'!$E$24:$H$26,'[6]17'!$E$28:$H$36,'[6]17'!$J$24:$M$26,'[6]17'!$J$28:$M$36,'[6]17'!$E$39:$H$41</definedName>
    <definedName name="P1_SCOPE_4_PRT" localSheetId="48" hidden="1">'[4]4'!$F$23:$I$23,'[4]4'!$F$25:$I$25,'[4]4'!$F$27:$I$31,'[4]4'!$K$14:$N$20,'[4]4'!$K$23:$N$23,'[4]4'!$K$25:$N$25,'[4]4'!$K$27:$N$31,'[4]4'!$P$14:$S$20,'[4]4'!$P$23:$S$23</definedName>
    <definedName name="P1_SCOPE_4_PRT" localSheetId="65" hidden="1">'[5]4'!$F$23:$I$23,'[5]4'!$F$25:$I$25,'[5]4'!$F$27:$I$31,'[5]4'!$K$14:$N$20,'[5]4'!$K$23:$N$23,'[5]4'!$K$25:$N$25,'[5]4'!$K$27:$N$31,'[5]4'!$P$14:$S$20,'[5]4'!$P$23:$S$23</definedName>
    <definedName name="P1_SCOPE_4_PRT" hidden="1">'[6]4'!$F$23:$I$23,'[6]4'!$F$25:$I$25,'[6]4'!$F$27:$I$31,'[6]4'!$K$14:$N$20,'[6]4'!$K$23:$N$23,'[6]4'!$K$25:$N$25,'[6]4'!$K$27:$N$31,'[6]4'!$P$14:$S$20,'[6]4'!$P$23:$S$23</definedName>
    <definedName name="P1_SCOPE_5_PRT" localSheetId="48" hidden="1">'[4]5'!$F$23:$I$23,'[4]5'!$F$25:$I$25,'[4]5'!$F$27:$I$31,'[4]5'!$K$14:$N$21,'[4]5'!$K$23:$N$23,'[4]5'!$K$25:$N$25,'[4]5'!$K$27:$N$31,'[4]5'!$P$14:$S$21,'[4]5'!$P$23:$S$23</definedName>
    <definedName name="P1_SCOPE_5_PRT" localSheetId="65" hidden="1">'[5]5'!$F$23:$I$23,'[5]5'!$F$25:$I$25,'[5]5'!$F$27:$I$31,'[5]5'!$K$14:$N$21,'[5]5'!$K$23:$N$23,'[5]5'!$K$25:$N$25,'[5]5'!$K$27:$N$31,'[5]5'!$P$14:$S$21,'[5]5'!$P$23:$S$23</definedName>
    <definedName name="P1_SCOPE_5_PRT" hidden="1">'[6]5'!$F$23:$I$23,'[6]5'!$F$25:$I$25,'[6]5'!$F$27:$I$31,'[6]5'!$K$14:$N$21,'[6]5'!$K$23:$N$23,'[6]5'!$K$25:$N$25,'[6]5'!$K$27:$N$31,'[6]5'!$P$14:$S$21,'[6]5'!$P$23:$S$23</definedName>
    <definedName name="P1_SCOPE_F1_PRT" localSheetId="48" hidden="1">'[4]Ф-1 (для АО-энерго)'!$D$74:$E$84,'[4]Ф-1 (для АО-энерго)'!$D$71:$E$72,'[4]Ф-1 (для АО-энерго)'!$D$66:$E$69,'[4]Ф-1 (для АО-энерго)'!$D$61:$E$64</definedName>
    <definedName name="P1_SCOPE_F1_PRT" localSheetId="65" hidden="1">'[5]Ф-1 (для АО-энерго)'!$D$74:$E$84,'[5]Ф-1 (для АО-энерго)'!$D$71:$E$72,'[5]Ф-1 (для АО-энерго)'!$D$66:$E$69,'[5]Ф-1 (для АО-энерго)'!$D$61:$E$64</definedName>
    <definedName name="P1_SCOPE_F1_PRT" hidden="1">'[6]Ф-1 (для АО-энерго)'!$D$74:$E$84,'[6]Ф-1 (для АО-энерго)'!$D$71:$E$72,'[6]Ф-1 (для АО-энерго)'!$D$66:$E$69,'[6]Ф-1 (для АО-энерго)'!$D$61:$E$64</definedName>
    <definedName name="P1_SCOPE_F2_PRT" localSheetId="48" hidden="1">'[4]Ф-2 (для АО-энерго)'!$G$56,'[4]Ф-2 (для АО-энерго)'!$E$55:$E$56,'[4]Ф-2 (для АО-энерго)'!$F$55:$G$55,'[4]Ф-2 (для АО-энерго)'!$D$55</definedName>
    <definedName name="P1_SCOPE_F2_PRT" localSheetId="65" hidden="1">'[5]Ф-2 (для АО-энерго)'!$G$56,'[5]Ф-2 (для АО-энерго)'!$E$55:$E$56,'[5]Ф-2 (для АО-энерго)'!$F$55:$G$55,'[5]Ф-2 (для АО-энерго)'!$D$55</definedName>
    <definedName name="P1_SCOPE_F2_PRT" hidden="1">'[6]Ф-2 (для АО-энерго)'!$G$56,'[6]Ф-2 (для АО-энерго)'!$E$55:$E$56,'[6]Ф-2 (для АО-энерго)'!$F$55:$G$55,'[6]Ф-2 (для АО-энерго)'!$D$55</definedName>
    <definedName name="P1_SCOPE_FLOAD" localSheetId="84" hidden="1">#REF!,#REF!,#REF!,#REF!,#REF!,#REF!</definedName>
    <definedName name="P1_SCOPE_FLOAD" localSheetId="48" hidden="1">#REF!,#REF!,#REF!,#REF!,#REF!,#REF!</definedName>
    <definedName name="P1_SCOPE_FLOAD" localSheetId="71" hidden="1">#REF!,#REF!,#REF!,#REF!,#REF!,#REF!</definedName>
    <definedName name="P1_SCOPE_FLOAD" localSheetId="65" hidden="1">#REF!,#REF!,#REF!,#REF!,#REF!,#REF!</definedName>
    <definedName name="P1_SCOPE_FLOAD" hidden="1">#REF!,#REF!,#REF!,#REF!,#REF!,#REF!</definedName>
    <definedName name="P1_SCOPE_FRML" localSheetId="84" hidden="1">#REF!,#REF!,#REF!,#REF!,#REF!,#REF!</definedName>
    <definedName name="P1_SCOPE_FRML" localSheetId="48" hidden="1">#REF!,#REF!,#REF!,#REF!,#REF!,#REF!</definedName>
    <definedName name="P1_SCOPE_FRML" localSheetId="71" hidden="1">#REF!,#REF!,#REF!,#REF!,#REF!,#REF!</definedName>
    <definedName name="P1_SCOPE_FRML" localSheetId="65" hidden="1">#REF!,#REF!,#REF!,#REF!,#REF!,#REF!</definedName>
    <definedName name="P1_SCOPE_FRML" hidden="1">#REF!,#REF!,#REF!,#REF!,#REF!,#REF!</definedName>
    <definedName name="P1_SCOPE_PER_PRT" localSheetId="48" hidden="1">[4]перекрестка!$H$15:$H$19,[4]перекрестка!$H$21:$H$25,[4]перекрестка!$J$14:$J$25,[4]перекрестка!$K$15:$K$19,[4]перекрестка!$K$21:$K$25</definedName>
    <definedName name="P1_SCOPE_PER_PRT" localSheetId="65" hidden="1">[5]перекрестка!$H$15:$H$19,[5]перекрестка!$H$21:$H$25,[5]перекрестка!$J$14:$J$25,[5]перекрестка!$K$15:$K$19,[5]перекрестка!$K$21:$K$25</definedName>
    <definedName name="P1_SCOPE_PER_PRT" hidden="1">[6]перекрестка!$H$15:$H$19,[6]перекрестка!$H$21:$H$25,[6]перекрестка!$J$14:$J$25,[6]перекрестка!$K$15:$K$19,[6]перекрестка!$K$21:$K$25</definedName>
    <definedName name="P1_SCOPE_SV_LD" localSheetId="84" hidden="1">#REF!,#REF!,#REF!,#REF!,#REF!,#REF!,#REF!</definedName>
    <definedName name="P1_SCOPE_SV_LD" localSheetId="48" hidden="1">#REF!,#REF!,#REF!,#REF!,#REF!,#REF!,#REF!</definedName>
    <definedName name="P1_SCOPE_SV_LD" localSheetId="71" hidden="1">#REF!,#REF!,#REF!,#REF!,#REF!,#REF!,#REF!</definedName>
    <definedName name="P1_SCOPE_SV_LD" localSheetId="65" hidden="1">#REF!,#REF!,#REF!,#REF!,#REF!,#REF!,#REF!</definedName>
    <definedName name="P1_SCOPE_SV_LD" hidden="1">#REF!,#REF!,#REF!,#REF!,#REF!,#REF!,#REF!</definedName>
    <definedName name="P1_SCOPE_SV_LD1" localSheetId="48" hidden="1">[4]свод!$E$70:$M$79,[4]свод!$E$81:$M$81,[4]свод!$E$83:$M$88,[4]свод!$E$90:$M$90,[4]свод!$E$92:$M$96,[4]свод!$E$98:$M$98,[4]свод!$E$101:$M$102</definedName>
    <definedName name="P1_SCOPE_SV_LD1" localSheetId="65" hidden="1">[5]свод!$E$70:$M$79,[5]свод!$E$81:$M$81,[5]свод!$E$83:$M$88,[5]свод!$E$90:$M$90,[5]свод!$E$92:$M$96,[5]свод!$E$98:$M$98,[5]свод!$E$101:$M$102</definedName>
    <definedName name="P1_SCOPE_SV_LD1" hidden="1">[6]свод!$E$70:$M$79,[6]свод!$E$81:$M$81,[6]свод!$E$83:$M$88,[6]свод!$E$90:$M$90,[6]свод!$E$92:$M$96,[6]свод!$E$98:$M$98,[6]свод!$E$101:$M$102</definedName>
    <definedName name="P1_SCOPE_SV_PRT" localSheetId="48" hidden="1">[4]свод!$E$23:$H$26,[4]свод!$E$28:$I$29,[4]свод!$E$32:$I$36,[4]свод!$E$38:$I$40,[4]свод!$E$42:$I$53,[4]свод!$E$55:$I$56,[4]свод!$E$58:$I$63</definedName>
    <definedName name="P1_SCOPE_SV_PRT" localSheetId="65" hidden="1">[5]свод!$E$23:$H$26,[5]свод!$E$28:$I$29,[5]свод!$E$32:$I$36,[5]свод!$E$38:$I$40,[5]свод!$E$42:$I$53,[5]свод!$E$55:$I$56,[5]свод!$E$58:$I$63</definedName>
    <definedName name="P1_SCOPE_SV_PRT" hidden="1">[6]свод!$E$23:$H$26,[6]свод!$E$28:$I$29,[6]свод!$E$32:$I$36,[6]свод!$E$38:$I$40,[6]свод!$E$42:$I$53,[6]свод!$E$55:$I$56,[6]свод!$E$58:$I$63</definedName>
    <definedName name="P1_SET_PROT" localSheetId="3" hidden="1">#REF!,#REF!,#REF!,#REF!,#REF!,#REF!,#REF!</definedName>
    <definedName name="P1_SET_PROT" localSheetId="84" hidden="1">#REF!,#REF!,#REF!,#REF!,#REF!,#REF!,#REF!</definedName>
    <definedName name="P1_SET_PROT" localSheetId="48" hidden="1">#REF!,#REF!,#REF!,#REF!,#REF!,#REF!,#REF!</definedName>
    <definedName name="P1_SET_PROT" localSheetId="71" hidden="1">#REF!,#REF!,#REF!,#REF!,#REF!,#REF!,#REF!</definedName>
    <definedName name="P1_SET_PROT" localSheetId="65" hidden="1">#REF!,#REF!,#REF!,#REF!,#REF!,#REF!,#REF!</definedName>
    <definedName name="P1_SET_PROT" hidden="1">#REF!,#REF!,#REF!,#REF!,#REF!,#REF!,#REF!</definedName>
    <definedName name="P1_SET_PRT" localSheetId="84" hidden="1">#REF!,#REF!,#REF!,#REF!,#REF!,#REF!,#REF!</definedName>
    <definedName name="P1_SET_PRT" localSheetId="48" hidden="1">#REF!,#REF!,#REF!,#REF!,#REF!,#REF!,#REF!</definedName>
    <definedName name="P1_SET_PRT" localSheetId="71" hidden="1">#REF!,#REF!,#REF!,#REF!,#REF!,#REF!,#REF!</definedName>
    <definedName name="P1_SET_PRT" localSheetId="65" hidden="1">#REF!,#REF!,#REF!,#REF!,#REF!,#REF!,#REF!</definedName>
    <definedName name="P1_SET_PRT" hidden="1">#REF!,#REF!,#REF!,#REF!,#REF!,#REF!,#REF!</definedName>
    <definedName name="P1_T1_Protect" localSheetId="84" hidden="1">#REF!,#REF!,#REF!,#REF!,#REF!,#REF!,#REF!,#REF!,#REF!</definedName>
    <definedName name="P1_T1_Protect" localSheetId="48" hidden="1">#REF!,#REF!,#REF!,#REF!,#REF!,#REF!,#REF!,#REF!,#REF!</definedName>
    <definedName name="P1_T1_Protect" localSheetId="71" hidden="1">#REF!,#REF!,#REF!,#REF!,#REF!,#REF!,#REF!,#REF!,#REF!</definedName>
    <definedName name="P1_T1_Protect" localSheetId="38" hidden="1">#REF!,#REF!,#REF!,#REF!,#REF!,#REF!,#REF!,#REF!,#REF!</definedName>
    <definedName name="P1_T1_Protect" hidden="1">#REF!,#REF!,#REF!,#REF!,#REF!,#REF!,#REF!,#REF!,#REF!</definedName>
    <definedName name="P2_SCOPE_16_PRT" localSheetId="48" hidden="1">'[4]16'!$E$38:$I$38,'[4]16'!$E$41:$I$41,'[4]16'!$E$45:$I$47,'[4]16'!$E$49:$I$49,'[4]16'!$E$53:$I$54,'[4]16'!$E$56:$I$57,'[4]16'!$E$59:$I$59,'[4]16'!$E$9:$I$13</definedName>
    <definedName name="P2_SCOPE_16_PRT" localSheetId="65" hidden="1">'[5]16'!$E$38:$I$38,'[5]16'!$E$41:$I$41,'[5]16'!$E$45:$I$47,'[5]16'!$E$49:$I$49,'[5]16'!$E$53:$I$54,'[5]16'!$E$56:$I$57,'[5]16'!$E$59:$I$59,'[5]16'!$E$9:$I$13</definedName>
    <definedName name="P2_SCOPE_16_PRT" hidden="1">'[6]16'!$E$38:$I$38,'[6]16'!$E$41:$I$41,'[6]16'!$E$45:$I$47,'[6]16'!$E$49:$I$49,'[6]16'!$E$53:$I$54,'[6]16'!$E$56:$I$57,'[6]16'!$E$59:$I$59,'[6]16'!$E$9:$I$13</definedName>
    <definedName name="P2_SCOPE_4_PRT" localSheetId="48" hidden="1">'[4]4'!$P$25:$S$25,'[4]4'!$P$27:$S$31,'[4]4'!$U$14:$X$20,'[4]4'!$U$23:$X$23,'[4]4'!$U$25:$X$25,'[4]4'!$U$27:$X$31,'[4]4'!$Z$14:$AC$20,'[4]4'!$Z$23:$AC$23,'[4]4'!$Z$25:$AC$25</definedName>
    <definedName name="P2_SCOPE_4_PRT" localSheetId="65" hidden="1">'[5]4'!$P$25:$S$25,'[5]4'!$P$27:$S$31,'[5]4'!$U$14:$X$20,'[5]4'!$U$23:$X$23,'[5]4'!$U$25:$X$25,'[5]4'!$U$27:$X$31,'[5]4'!$Z$14:$AC$20,'[5]4'!$Z$23:$AC$23,'[5]4'!$Z$25:$AC$25</definedName>
    <definedName name="P2_SCOPE_4_PRT" hidden="1">'[6]4'!$P$25:$S$25,'[6]4'!$P$27:$S$31,'[6]4'!$U$14:$X$20,'[6]4'!$U$23:$X$23,'[6]4'!$U$25:$X$25,'[6]4'!$U$27:$X$31,'[6]4'!$Z$14:$AC$20,'[6]4'!$Z$23:$AC$23,'[6]4'!$Z$25:$AC$25</definedName>
    <definedName name="P2_SCOPE_5_PRT" localSheetId="48" hidden="1">'[4]5'!$P$25:$S$25,'[4]5'!$P$27:$S$31,'[4]5'!$U$14:$X$21,'[4]5'!$U$23:$X$23,'[4]5'!$U$25:$X$25,'[4]5'!$U$27:$X$31,'[4]5'!$Z$14:$AC$21,'[4]5'!$Z$23:$AC$23,'[4]5'!$Z$25:$AC$25</definedName>
    <definedName name="P2_SCOPE_5_PRT" localSheetId="65" hidden="1">'[5]5'!$P$25:$S$25,'[5]5'!$P$27:$S$31,'[5]5'!$U$14:$X$21,'[5]5'!$U$23:$X$23,'[5]5'!$U$25:$X$25,'[5]5'!$U$27:$X$31,'[5]5'!$Z$14:$AC$21,'[5]5'!$Z$23:$AC$23,'[5]5'!$Z$25:$AC$25</definedName>
    <definedName name="P2_SCOPE_5_PRT" hidden="1">'[6]5'!$P$25:$S$25,'[6]5'!$P$27:$S$31,'[6]5'!$U$14:$X$21,'[6]5'!$U$23:$X$23,'[6]5'!$U$25:$X$25,'[6]5'!$U$27:$X$31,'[6]5'!$Z$14:$AC$21,'[6]5'!$Z$23:$AC$23,'[6]5'!$Z$25:$AC$25</definedName>
    <definedName name="P2_SCOPE_F1_PRT" localSheetId="48" hidden="1">'[4]Ф-1 (для АО-энерго)'!$D$56:$E$59,'[4]Ф-1 (для АО-энерго)'!$D$34:$E$50,'[4]Ф-1 (для АО-энерго)'!$D$32:$E$32,'[4]Ф-1 (для АО-энерго)'!$D$23:$E$30</definedName>
    <definedName name="P2_SCOPE_F1_PRT" localSheetId="65" hidden="1">'[5]Ф-1 (для АО-энерго)'!$D$56:$E$59,'[5]Ф-1 (для АО-энерго)'!$D$34:$E$50,'[5]Ф-1 (для АО-энерго)'!$D$32:$E$32,'[5]Ф-1 (для АО-энерго)'!$D$23:$E$30</definedName>
    <definedName name="P2_SCOPE_F1_PRT" hidden="1">'[6]Ф-1 (для АО-энерго)'!$D$56:$E$59,'[6]Ф-1 (для АО-энерго)'!$D$34:$E$50,'[6]Ф-1 (для АО-энерго)'!$D$32:$E$32,'[6]Ф-1 (для АО-энерго)'!$D$23:$E$30</definedName>
    <definedName name="P2_SCOPE_F2_PRT" localSheetId="48" hidden="1">'[4]Ф-2 (для АО-энерго)'!$D$52:$G$54,'[4]Ф-2 (для АО-энерго)'!$C$21:$E$42,'[4]Ф-2 (для АО-энерго)'!$A$12:$E$12,'[4]Ф-2 (для АО-энерго)'!$C$8:$E$11</definedName>
    <definedName name="P2_SCOPE_F2_PRT" localSheetId="65" hidden="1">'[5]Ф-2 (для АО-энерго)'!$D$52:$G$54,'[5]Ф-2 (для АО-энерго)'!$C$21:$E$42,'[5]Ф-2 (для АО-энерго)'!$A$12:$E$12,'[5]Ф-2 (для АО-энерго)'!$C$8:$E$11</definedName>
    <definedName name="P2_SCOPE_F2_PRT" hidden="1">'[6]Ф-2 (для АО-энерго)'!$D$52:$G$54,'[6]Ф-2 (для АО-энерго)'!$C$21:$E$42,'[6]Ф-2 (для АО-энерго)'!$A$12:$E$12,'[6]Ф-2 (для АО-энерго)'!$C$8:$E$11</definedName>
    <definedName name="P2_SCOPE_PER_PRT" localSheetId="48" hidden="1">[4]перекрестка!$N$14:$N$25,[4]перекрестка!$N$27:$N$31,[4]перекрестка!$J$27:$K$31,[4]перекрестка!$F$27:$H$31,[4]перекрестка!$F$33:$H$37</definedName>
    <definedName name="P2_SCOPE_PER_PRT" localSheetId="65" hidden="1">[5]перекрестка!$N$14:$N$25,[5]перекрестка!$N$27:$N$31,[5]перекрестка!$J$27:$K$31,[5]перекрестка!$F$27:$H$31,[5]перекрестка!$F$33:$H$37</definedName>
    <definedName name="P2_SCOPE_PER_PRT" hidden="1">[6]перекрестка!$N$14:$N$25,[6]перекрестка!$N$27:$N$31,[6]перекрестка!$J$27:$K$31,[6]перекрестка!$F$27:$H$31,[6]перекрестка!$F$33:$H$37</definedName>
    <definedName name="P2_SCOPE_SV_PRT" localSheetId="48" hidden="1">[4]свод!$E$72:$I$79,[4]свод!$E$81:$I$81,[4]свод!$E$85:$H$88,[4]свод!$E$90:$I$90,[4]свод!$E$107:$I$112,[4]свод!$E$114:$I$117,[4]свод!$E$124:$H$127</definedName>
    <definedName name="P2_SCOPE_SV_PRT" localSheetId="65" hidden="1">[5]свод!$E$72:$I$79,[5]свод!$E$81:$I$81,[5]свод!$E$85:$H$88,[5]свод!$E$90:$I$90,[5]свод!$E$107:$I$112,[5]свод!$E$114:$I$117,[5]свод!$E$124:$H$127</definedName>
    <definedName name="P2_SCOPE_SV_PRT" hidden="1">[6]свод!$E$72:$I$79,[6]свод!$E$81:$I$81,[6]свод!$E$85:$H$88,[6]свод!$E$90:$I$90,[6]свод!$E$107:$I$112,[6]свод!$E$114:$I$117,[6]свод!$E$124:$H$127</definedName>
    <definedName name="P2_T1_Protect" localSheetId="84" hidden="1">#REF!,#REF!,#REF!,#REF!,#REF!,#REF!,#REF!,#REF!,#REF!</definedName>
    <definedName name="P2_T1_Protect" localSheetId="48" hidden="1">#REF!,#REF!,#REF!,#REF!,#REF!,#REF!,#REF!,#REF!,#REF!</definedName>
    <definedName name="P2_T1_Protect" localSheetId="71" hidden="1">#REF!,#REF!,#REF!,#REF!,#REF!,#REF!,#REF!,#REF!,#REF!</definedName>
    <definedName name="P2_T1_Protect" localSheetId="38" hidden="1">#REF!,#REF!,#REF!,#REF!,#REF!,#REF!,#REF!,#REF!,#REF!</definedName>
    <definedName name="P2_T1_Protect" hidden="1">#REF!,#REF!,#REF!,#REF!,#REF!,#REF!,#REF!,#REF!,#REF!</definedName>
    <definedName name="P3_SCOPE_F1_PRT" localSheetId="48" hidden="1">'[4]Ф-1 (для АО-энерго)'!$E$16:$E$17,'[4]Ф-1 (для АО-энерго)'!$C$4:$D$4,'[4]Ф-1 (для АО-энерго)'!$C$7:$E$10,'[4]Ф-1 (для АО-энерго)'!$A$11:$E$11</definedName>
    <definedName name="P3_SCOPE_F1_PRT" localSheetId="65" hidden="1">'[5]Ф-1 (для АО-энерго)'!$E$16:$E$17,'[5]Ф-1 (для АО-энерго)'!$C$4:$D$4,'[5]Ф-1 (для АО-энерго)'!$C$7:$E$10,'[5]Ф-1 (для АО-энерго)'!$A$11:$E$11</definedName>
    <definedName name="P3_SCOPE_F1_PRT" hidden="1">'[6]Ф-1 (для АО-энерго)'!$E$16:$E$17,'[6]Ф-1 (для АО-энерго)'!$C$4:$D$4,'[6]Ф-1 (для АО-энерго)'!$C$7:$E$10,'[6]Ф-1 (для АО-энерго)'!$A$11:$E$11</definedName>
    <definedName name="P3_SCOPE_PER_PRT" localSheetId="48" hidden="1">[4]перекрестка!$J$33:$K$37,[4]перекрестка!$N$33:$N$37,[4]перекрестка!$F$39:$H$43,[4]перекрестка!$J$39:$K$43,[4]перекрестка!$N$39:$N$43</definedName>
    <definedName name="P3_SCOPE_PER_PRT" localSheetId="65" hidden="1">[5]перекрестка!$J$33:$K$37,[5]перекрестка!$N$33:$N$37,[5]перекрестка!$F$39:$H$43,[5]перекрестка!$J$39:$K$43,[5]перекрестка!$N$39:$N$43</definedName>
    <definedName name="P3_SCOPE_PER_PRT" hidden="1">[6]перекрестка!$J$33:$K$37,[6]перекрестка!$N$33:$N$37,[6]перекрестка!$F$39:$H$43,[6]перекрестка!$J$39:$K$43,[6]перекрестка!$N$39:$N$43</definedName>
    <definedName name="P3_SCOPE_SV_PRT" localSheetId="48" hidden="1">[4]свод!$D$135:$G$135,[4]свод!$I$135:$I$140,[4]свод!$H$137:$H$140,[4]свод!$D$138:$G$140,[4]свод!$E$15:$I$16,[4]свод!$E$120:$I$121,[4]свод!$E$18:$I$19</definedName>
    <definedName name="P3_SCOPE_SV_PRT" localSheetId="65" hidden="1">[5]свод!$D$135:$G$135,[5]свод!$I$135:$I$140,[5]свод!$H$137:$H$140,[5]свод!$D$138:$G$140,[5]свод!$E$15:$I$16,[5]свод!$E$120:$I$121,[5]свод!$E$18:$I$19</definedName>
    <definedName name="P3_SCOPE_SV_PRT" hidden="1">[6]свод!$D$135:$G$135,[6]свод!$I$135:$I$140,[6]свод!$H$137:$H$140,[6]свод!$D$138:$G$140,[6]свод!$E$15:$I$16,[6]свод!$E$120:$I$121,[6]свод!$E$18:$I$19</definedName>
    <definedName name="P4_SCOPE_F1_PRT" localSheetId="48" hidden="1">'[4]Ф-1 (для АО-энерго)'!$C$13:$E$13,'[4]Ф-1 (для АО-энерго)'!$A$14:$E$14,'[4]Ф-1 (для АО-энерго)'!$C$23:$C$50,'[4]Ф-1 (для АО-энерго)'!$C$54:$C$95</definedName>
    <definedName name="P4_SCOPE_F1_PRT" localSheetId="65" hidden="1">'[5]Ф-1 (для АО-энерго)'!$C$13:$E$13,'[5]Ф-1 (для АО-энерго)'!$A$14:$E$14,'[5]Ф-1 (для АО-энерго)'!$C$23:$C$50,'[5]Ф-1 (для АО-энерго)'!$C$54:$C$95</definedName>
    <definedName name="P4_SCOPE_F1_PRT" hidden="1">'[6]Ф-1 (для АО-энерго)'!$C$13:$E$13,'[6]Ф-1 (для АО-энерго)'!$A$14:$E$14,'[6]Ф-1 (для АО-энерго)'!$C$23:$C$50,'[6]Ф-1 (для АО-энерго)'!$C$54:$C$95</definedName>
    <definedName name="P4_SCOPE_PER_PRT" localSheetId="48" hidden="1">[4]перекрестка!$F$45:$H$49,[4]перекрестка!$J$45:$K$49,[4]перекрестка!$N$45:$N$49,[4]перекрестка!$F$53:$G$64,[4]перекрестка!$H$54:$H$58</definedName>
    <definedName name="P4_SCOPE_PER_PRT" localSheetId="65" hidden="1">[5]перекрестка!$F$45:$H$49,[5]перекрестка!$J$45:$K$49,[5]перекрестка!$N$45:$N$49,[5]перекрестка!$F$53:$G$64,[5]перекрестка!$H$54:$H$58</definedName>
    <definedName name="P4_SCOPE_PER_PRT" hidden="1">[6]перекрестка!$F$45:$H$49,[6]перекрестка!$J$45:$K$49,[6]перекрестка!$N$45:$N$49,[6]перекрестка!$F$53:$G$64,[6]перекрестка!$H$54:$H$58</definedName>
    <definedName name="P5_SCOPE_PER_PRT" localSheetId="48" hidden="1">[4]перекрестка!$H$60:$H$64,[4]перекрестка!$J$53:$J$64,[4]перекрестка!$K$54:$K$58,[4]перекрестка!$K$60:$K$64,[4]перекрестка!$N$53:$N$64</definedName>
    <definedName name="P5_SCOPE_PER_PRT" localSheetId="65" hidden="1">[5]перекрестка!$H$60:$H$64,[5]перекрестка!$J$53:$J$64,[5]перекрестка!$K$54:$K$58,[5]перекрестка!$K$60:$K$64,[5]перекрестка!$N$53:$N$64</definedName>
    <definedName name="P5_SCOPE_PER_PRT" hidden="1">[6]перекрестка!$H$60:$H$64,[6]перекрестка!$J$53:$J$64,[6]перекрестка!$K$54:$K$58,[6]перекрестка!$K$60:$K$64,[6]перекрестка!$N$53:$N$64</definedName>
    <definedName name="P6_SCOPE_PER_PRT" localSheetId="48" hidden="1">[4]перекрестка!$F$66:$H$70,[4]перекрестка!$J$66:$K$70,[4]перекрестка!$N$66:$N$70,[4]перекрестка!$F$72:$H$76,[4]перекрестка!$J$72:$K$76</definedName>
    <definedName name="P6_SCOPE_PER_PRT" localSheetId="65" hidden="1">[5]перекрестка!$F$66:$H$70,[5]перекрестка!$J$66:$K$70,[5]перекрестка!$N$66:$N$70,[5]перекрестка!$F$72:$H$76,[5]перекрестка!$J$72:$K$76</definedName>
    <definedName name="P6_SCOPE_PER_PRT" hidden="1">[6]перекрестка!$F$66:$H$70,[6]перекрестка!$J$66:$K$70,[6]перекрестка!$N$66:$N$70,[6]перекрестка!$F$72:$H$76,[6]перекрестка!$J$72:$K$76</definedName>
    <definedName name="P7_SCOPE_PER_PRT" localSheetId="48" hidden="1">[4]перекрестка!$N$72:$N$76,[4]перекрестка!$F$78:$H$82,[4]перекрестка!$J$78:$K$82,[4]перекрестка!$N$78:$N$82,[4]перекрестка!$F$84:$H$88</definedName>
    <definedName name="P7_SCOPE_PER_PRT" localSheetId="65" hidden="1">[5]перекрестка!$N$72:$N$76,[5]перекрестка!$F$78:$H$82,[5]перекрестка!$J$78:$K$82,[5]перекрестка!$N$78:$N$82,[5]перекрестка!$F$84:$H$88</definedName>
    <definedName name="P7_SCOPE_PER_PRT" hidden="1">[6]перекрестка!$N$72:$N$76,[6]перекрестка!$F$78:$H$82,[6]перекрестка!$J$78:$K$82,[6]перекрестка!$N$78:$N$82,[6]перекрестка!$F$84:$H$88</definedName>
    <definedName name="P8_SCOPE_PER_PRT" localSheetId="84" hidden="1">[6]перекрестка!$J$84:$K$88,[6]перекрестка!$N$84:$N$88,[6]перекрестка!$F$14:$G$25,P1_SCOPE_PER_PRT,P2_SCOPE_PER_PRT,P3_SCOPE_PER_PRT,P4_SCOPE_PER_PRT</definedName>
    <definedName name="P8_SCOPE_PER_PRT" localSheetId="5" hidden="1">[6]перекрестка!$J$84:$K$88,[6]перекрестка!$N$84:$N$88,[6]перекрестка!$F$14:$G$25,P1_SCOPE_PER_PRT,P2_SCOPE_PER_PRT,P3_SCOPE_PER_PRT,P4_SCOPE_PER_PRT</definedName>
    <definedName name="P8_SCOPE_PER_PRT" localSheetId="48" hidden="1">[4]перекрестка!$J$84:$K$88,[4]перекрестка!$N$84:$N$88,[4]перекрестка!$F$14:$G$25,'В отчётность'!P1_SCOPE_PER_PRT,'В отчётность'!P2_SCOPE_PER_PRT,'В отчётность'!P3_SCOPE_PER_PRT,'В отчётность'!P4_SCOPE_PER_PRT</definedName>
    <definedName name="P8_SCOPE_PER_PRT" localSheetId="71" hidden="1">[6]перекрестка!$J$84:$K$88,[6]перекрестка!$N$84:$N$88,[6]перекрестка!$F$14:$G$25,P1_SCOPE_PER_PRT,P2_SCOPE_PER_PRT,P3_SCOPE_PER_PRT,P4_SCOPE_PER_PRT</definedName>
    <definedName name="P8_SCOPE_PER_PRT" localSheetId="38" hidden="1">[6]перекрестка!$J$84:$K$88,[6]перекрестка!$N$84:$N$88,[6]перекрестка!$F$14:$G$25,P1_SCOPE_PER_PRT,P2_SCOPE_PER_PRT,P3_SCOPE_PER_PRT,P4_SCOPE_PER_PRT</definedName>
    <definedName name="P8_SCOPE_PER_PRT" localSheetId="65" hidden="1">[5]перекрестка!$J$84:$K$88,[5]перекрестка!$N$84:$N$88,[5]перекрестка!$F$14:$G$25,'Структура в РЭК'!P1_SCOPE_PER_PRT,'Структура в РЭК'!P2_SCOPE_PER_PRT,'Структура в РЭК'!P3_SCOPE_PER_PRT,'Структура в РЭК'!P4_SCOPE_PER_PRT</definedName>
    <definedName name="P8_SCOPE_PER_PRT" localSheetId="2" hidden="1">[6]перекрестка!$J$84:$K$88,[6]перекрестка!$N$84:$N$88,[6]перекрестка!$F$14:$G$25,P1_SCOPE_PER_PRT,P2_SCOPE_PER_PRT,P3_SCOPE_PER_PRT,P4_SCOPE_PER_PRT</definedName>
    <definedName name="P8_SCOPE_PER_PRT" hidden="1">[6]перекрестка!$J$84:$K$88,[6]перекрестка!$N$84:$N$88,[6]перекрестка!$F$14:$G$25,P1_SCOPE_PER_PRT,P2_SCOPE_PER_PRT,P3_SCOPE_PER_PRT,P4_SCOPE_PER_PRT</definedName>
    <definedName name="Print_Area" localSheetId="47">'Форма 2'!$A$1:$K$25</definedName>
    <definedName name="SAPBEXhrIndnt" hidden="1">1</definedName>
    <definedName name="SAPBEXrevision" hidden="1">1</definedName>
    <definedName name="SAPBEXsysID" hidden="1">"BW2"</definedName>
    <definedName name="SAPBEXwbID" hidden="1">"3O3ZPWEQ3C5DUIAJ3OV7CK2VI"</definedName>
    <definedName name="sencount" hidden="1">1</definedName>
    <definedName name="vitaly" localSheetId="84" hidden="1">[1]RSOILBAL!#REF!</definedName>
    <definedName name="vitaly" localSheetId="48" hidden="1">[1]RSOILBAL!#REF!</definedName>
    <definedName name="vitaly" localSheetId="71" hidden="1">[1]RSOILBAL!#REF!</definedName>
    <definedName name="vitaly" localSheetId="38" hidden="1">[1]RSOILBAL!#REF!</definedName>
    <definedName name="vitaly" hidden="1">[1]RSOILBAL!#REF!</definedName>
    <definedName name="wrn.Сравнение._.с._.отраслями." localSheetId="84" hidden="1">{#N/A,#N/A,TRUE,"Лист1";#N/A,#N/A,TRUE,"Лист2";#N/A,#N/A,TRUE,"Лист3"}</definedName>
    <definedName name="wrn.Сравнение._.с._.отраслями." localSheetId="48" hidden="1">{#N/A,#N/A,TRUE,"Лист1";#N/A,#N/A,TRUE,"Лист2";#N/A,#N/A,TRUE,"Лист3"}</definedName>
    <definedName name="wrn.Сравнение._.с._.отраслями." localSheetId="71" hidden="1">{#N/A,#N/A,TRUE,"Лист1";#N/A,#N/A,TRUE,"Лист2";#N/A,#N/A,TRUE,"Лист3"}</definedName>
    <definedName name="wrn.Сравнение._.с._.отраслями." localSheetId="38" hidden="1">{#N/A,#N/A,TRUE,"Лист1";#N/A,#N/A,TRUE,"Лист2";#N/A,#N/A,TRUE,"Лист3"}</definedName>
    <definedName name="wrn.Сравнение._.с._.отраслями." hidden="1">{#N/A,#N/A,TRUE,"Лист1";#N/A,#N/A,TRUE,"Лист2";#N/A,#N/A,TRUE,"Лист3"}</definedName>
    <definedName name="yjdjt" localSheetId="84" hidden="1">#REF!</definedName>
    <definedName name="yjdjt" localSheetId="48" hidden="1">#REF!</definedName>
    <definedName name="yjdjt" localSheetId="71" hidden="1">#REF!</definedName>
    <definedName name="yjdjt" hidden="1">#REF!</definedName>
    <definedName name="вуув" localSheetId="84" hidden="1">{#N/A,#N/A,TRUE,"Лист1";#N/A,#N/A,TRUE,"Лист2";#N/A,#N/A,TRUE,"Лист3"}</definedName>
    <definedName name="вуув" localSheetId="48" hidden="1">{#N/A,#N/A,TRUE,"Лист1";#N/A,#N/A,TRUE,"Лист2";#N/A,#N/A,TRUE,"Лист3"}</definedName>
    <definedName name="вуув" localSheetId="71" hidden="1">{#N/A,#N/A,TRUE,"Лист1";#N/A,#N/A,TRUE,"Лист2";#N/A,#N/A,TRUE,"Лист3"}</definedName>
    <definedName name="вуув" localSheetId="38" hidden="1">{#N/A,#N/A,TRUE,"Лист1";#N/A,#N/A,TRUE,"Лист2";#N/A,#N/A,TRUE,"Лист3"}</definedName>
    <definedName name="вуув" hidden="1">{#N/A,#N/A,TRUE,"Лист1";#N/A,#N/A,TRUE,"Лист2";#N/A,#N/A,TRUE,"Лист3"}</definedName>
    <definedName name="грприрцфв00ав98" localSheetId="84" hidden="1">{#N/A,#N/A,TRUE,"Лист1";#N/A,#N/A,TRUE,"Лист2";#N/A,#N/A,TRUE,"Лист3"}</definedName>
    <definedName name="грприрцфв00ав98" localSheetId="48" hidden="1">{#N/A,#N/A,TRUE,"Лист1";#N/A,#N/A,TRUE,"Лист2";#N/A,#N/A,TRUE,"Лист3"}</definedName>
    <definedName name="грприрцфв00ав98" localSheetId="71" hidden="1">{#N/A,#N/A,TRUE,"Лист1";#N/A,#N/A,TRUE,"Лист2";#N/A,#N/A,TRUE,"Лист3"}</definedName>
    <definedName name="грприрцфв00ав98" localSheetId="38" hidden="1">{#N/A,#N/A,TRUE,"Лист1";#N/A,#N/A,TRUE,"Лист2";#N/A,#N/A,TRUE,"Лист3"}</definedName>
    <definedName name="грприрцфв00ав98" hidden="1">{#N/A,#N/A,TRUE,"Лист1";#N/A,#N/A,TRUE,"Лист2";#N/A,#N/A,TRUE,"Лист3"}</definedName>
    <definedName name="грфинцкавг98Х" localSheetId="84" hidden="1">{#N/A,#N/A,TRUE,"Лист1";#N/A,#N/A,TRUE,"Лист2";#N/A,#N/A,TRUE,"Лист3"}</definedName>
    <definedName name="грфинцкавг98Х" localSheetId="48" hidden="1">{#N/A,#N/A,TRUE,"Лист1";#N/A,#N/A,TRUE,"Лист2";#N/A,#N/A,TRUE,"Лист3"}</definedName>
    <definedName name="грфинцкавг98Х" localSheetId="71" hidden="1">{#N/A,#N/A,TRUE,"Лист1";#N/A,#N/A,TRUE,"Лист2";#N/A,#N/A,TRUE,"Лист3"}</definedName>
    <definedName name="грфинцкавг98Х" localSheetId="38" hidden="1">{#N/A,#N/A,TRUE,"Лист1";#N/A,#N/A,TRUE,"Лист2";#N/A,#N/A,TRUE,"Лист3"}</definedName>
    <definedName name="грфинцкавг98Х" hidden="1">{#N/A,#N/A,TRUE,"Лист1";#N/A,#N/A,TRUE,"Лист2";#N/A,#N/A,TRUE,"Лист3"}</definedName>
    <definedName name="индцкавг98" localSheetId="84" hidden="1">{#N/A,#N/A,TRUE,"Лист1";#N/A,#N/A,TRUE,"Лист2";#N/A,#N/A,TRUE,"Лист3"}</definedName>
    <definedName name="индцкавг98" localSheetId="48" hidden="1">{#N/A,#N/A,TRUE,"Лист1";#N/A,#N/A,TRUE,"Лист2";#N/A,#N/A,TRUE,"Лист3"}</definedName>
    <definedName name="индцкавг98" localSheetId="71" hidden="1">{#N/A,#N/A,TRUE,"Лист1";#N/A,#N/A,TRUE,"Лист2";#N/A,#N/A,TRUE,"Лист3"}</definedName>
    <definedName name="индцкавг98" localSheetId="38" hidden="1">{#N/A,#N/A,TRUE,"Лист1";#N/A,#N/A,TRUE,"Лист2";#N/A,#N/A,TRUE,"Лист3"}</definedName>
    <definedName name="индцкавг98" hidden="1">{#N/A,#N/A,TRUE,"Лист1";#N/A,#N/A,TRUE,"Лист2";#N/A,#N/A,TRUE,"Лист3"}</definedName>
    <definedName name="кеппппппппппп" localSheetId="84" hidden="1">{#N/A,#N/A,TRUE,"Лист1";#N/A,#N/A,TRUE,"Лист2";#N/A,#N/A,TRUE,"Лист3"}</definedName>
    <definedName name="кеппппппппппп" localSheetId="48" hidden="1">{#N/A,#N/A,TRUE,"Лист1";#N/A,#N/A,TRUE,"Лист2";#N/A,#N/A,TRUE,"Лист3"}</definedName>
    <definedName name="кеппппппппппп" localSheetId="71" hidden="1">{#N/A,#N/A,TRUE,"Лист1";#N/A,#N/A,TRUE,"Лист2";#N/A,#N/A,TRUE,"Лист3"}</definedName>
    <definedName name="кеппппппппппп" localSheetId="38" hidden="1">{#N/A,#N/A,TRUE,"Лист1";#N/A,#N/A,TRUE,"Лист2";#N/A,#N/A,TRUE,"Лист3"}</definedName>
    <definedName name="кеппппппппппп" hidden="1">{#N/A,#N/A,TRUE,"Лист1";#N/A,#N/A,TRUE,"Лист2";#N/A,#N/A,TRUE,"Лист3"}</definedName>
    <definedName name="Кипр" localSheetId="84" hidden="1">#REF!</definedName>
    <definedName name="Кипр" localSheetId="48" hidden="1">#REF!</definedName>
    <definedName name="Кипр" localSheetId="71" hidden="1">#REF!</definedName>
    <definedName name="Кипр" hidden="1">#REF!</definedName>
    <definedName name="ккк" hidden="1">'[7]#ССЫЛКА'!$A$8:$C$98</definedName>
    <definedName name="н" localSheetId="84" hidden="1">#REF!</definedName>
    <definedName name="н" localSheetId="48" hidden="1">#REF!</definedName>
    <definedName name="н" localSheetId="71" hidden="1">#REF!</definedName>
    <definedName name="н" localSheetId="38" hidden="1">#REF!</definedName>
    <definedName name="н" hidden="1">#REF!</definedName>
    <definedName name="нг" localSheetId="84" hidden="1">{"'D'!$A$1:$E$13"}</definedName>
    <definedName name="нг" localSheetId="48" hidden="1">{"'D'!$A$1:$E$13"}</definedName>
    <definedName name="нг" localSheetId="71" hidden="1">{"'D'!$A$1:$E$13"}</definedName>
    <definedName name="нг" localSheetId="38" hidden="1">{"'D'!$A$1:$E$13"}</definedName>
    <definedName name="нг" hidden="1">{"'D'!$A$1:$E$13"}</definedName>
    <definedName name="о" localSheetId="84" hidden="1">{#N/A,#N/A,TRUE,"Лист1";#N/A,#N/A,TRUE,"Лист2";#N/A,#N/A,TRUE,"Лист3"}</definedName>
    <definedName name="о" localSheetId="48" hidden="1">{#N/A,#N/A,TRUE,"Лист1";#N/A,#N/A,TRUE,"Лист2";#N/A,#N/A,TRUE,"Лист3"}</definedName>
    <definedName name="о" localSheetId="71" hidden="1">{#N/A,#N/A,TRUE,"Лист1";#N/A,#N/A,TRUE,"Лист2";#N/A,#N/A,TRUE,"Лист3"}</definedName>
    <definedName name="о" localSheetId="38" hidden="1">{#N/A,#N/A,TRUE,"Лист1";#N/A,#N/A,TRUE,"Лист2";#N/A,#N/A,TRUE,"Лист3"}</definedName>
    <definedName name="о" hidden="1">{#N/A,#N/A,TRUE,"Лист1";#N/A,#N/A,TRUE,"Лист2";#N/A,#N/A,TRUE,"Лист3"}</definedName>
    <definedName name="прибыль3" localSheetId="84" hidden="1">{#N/A,#N/A,TRUE,"Лист1";#N/A,#N/A,TRUE,"Лист2";#N/A,#N/A,TRUE,"Лист3"}</definedName>
    <definedName name="прибыль3" localSheetId="48" hidden="1">{#N/A,#N/A,TRUE,"Лист1";#N/A,#N/A,TRUE,"Лист2";#N/A,#N/A,TRUE,"Лист3"}</definedName>
    <definedName name="прибыль3" localSheetId="71" hidden="1">{#N/A,#N/A,TRUE,"Лист1";#N/A,#N/A,TRUE,"Лист2";#N/A,#N/A,TRUE,"Лист3"}</definedName>
    <definedName name="прибыль3" localSheetId="38" hidden="1">{#N/A,#N/A,TRUE,"Лист1";#N/A,#N/A,TRUE,"Лист2";#N/A,#N/A,TRUE,"Лист3"}</definedName>
    <definedName name="прибыль3" hidden="1">{#N/A,#N/A,TRUE,"Лист1";#N/A,#N/A,TRUE,"Лист2";#N/A,#N/A,TRUE,"Лист3"}</definedName>
    <definedName name="рис1" localSheetId="84" hidden="1">{#N/A,#N/A,TRUE,"Лист1";#N/A,#N/A,TRUE,"Лист2";#N/A,#N/A,TRUE,"Лист3"}</definedName>
    <definedName name="рис1" localSheetId="48" hidden="1">{#N/A,#N/A,TRUE,"Лист1";#N/A,#N/A,TRUE,"Лист2";#N/A,#N/A,TRUE,"Лист3"}</definedName>
    <definedName name="рис1" localSheetId="71" hidden="1">{#N/A,#N/A,TRUE,"Лист1";#N/A,#N/A,TRUE,"Лист2";#N/A,#N/A,TRUE,"Лист3"}</definedName>
    <definedName name="рис1" localSheetId="38" hidden="1">{#N/A,#N/A,TRUE,"Лист1";#N/A,#N/A,TRUE,"Лист2";#N/A,#N/A,TRUE,"Лист3"}</definedName>
    <definedName name="рис1" hidden="1">{#N/A,#N/A,TRUE,"Лист1";#N/A,#N/A,TRUE,"Лист2";#N/A,#N/A,TRUE,"Лист3"}</definedName>
    <definedName name="РН" hidden="1">'[7]#ССЫЛКА'!$A$8:$C$98</definedName>
    <definedName name="РН1" hidden="1">'[7]#ССЫЛКА'!$A$8:$C$98</definedName>
    <definedName name="РНПК_оптим" hidden="1">'[8]#ССЫЛКА'!$A$8:$C$98</definedName>
    <definedName name="тп" localSheetId="84" hidden="1">{#N/A,#N/A,TRUE,"Лист1";#N/A,#N/A,TRUE,"Лист2";#N/A,#N/A,TRUE,"Лист3"}</definedName>
    <definedName name="тп" localSheetId="48" hidden="1">{#N/A,#N/A,TRUE,"Лист1";#N/A,#N/A,TRUE,"Лист2";#N/A,#N/A,TRUE,"Лист3"}</definedName>
    <definedName name="тп" localSheetId="71" hidden="1">{#N/A,#N/A,TRUE,"Лист1";#N/A,#N/A,TRUE,"Лист2";#N/A,#N/A,TRUE,"Лист3"}</definedName>
    <definedName name="тп" localSheetId="38" hidden="1">{#N/A,#N/A,TRUE,"Лист1";#N/A,#N/A,TRUE,"Лист2";#N/A,#N/A,TRUE,"Лист3"}</definedName>
    <definedName name="тп" hidden="1">{#N/A,#N/A,TRUE,"Лист1";#N/A,#N/A,TRUE,"Лист2";#N/A,#N/A,TRUE,"Лист3"}</definedName>
    <definedName name="укеееукеееееееееееееее" localSheetId="84" hidden="1">{#N/A,#N/A,TRUE,"Лист1";#N/A,#N/A,TRUE,"Лист2";#N/A,#N/A,TRUE,"Лист3"}</definedName>
    <definedName name="укеееукеееееееееееееее" localSheetId="48" hidden="1">{#N/A,#N/A,TRUE,"Лист1";#N/A,#N/A,TRUE,"Лист2";#N/A,#N/A,TRUE,"Лист3"}</definedName>
    <definedName name="укеееукеееееееееееееее" localSheetId="71" hidden="1">{#N/A,#N/A,TRUE,"Лист1";#N/A,#N/A,TRUE,"Лист2";#N/A,#N/A,TRUE,"Лист3"}</definedName>
    <definedName name="укеееукеееееееееееееее" localSheetId="38" hidden="1">{#N/A,#N/A,TRUE,"Лист1";#N/A,#N/A,TRUE,"Лист2";#N/A,#N/A,TRUE,"Лист3"}</definedName>
    <definedName name="укеееукеееееееееееееее" hidden="1">{#N/A,#N/A,TRUE,"Лист1";#N/A,#N/A,TRUE,"Лист2";#N/A,#N/A,TRUE,"Лист3"}</definedName>
    <definedName name="укеукеуеуе" localSheetId="84" hidden="1">{#N/A,#N/A,TRUE,"Лист1";#N/A,#N/A,TRUE,"Лист2";#N/A,#N/A,TRUE,"Лист3"}</definedName>
    <definedName name="укеукеуеуе" localSheetId="48" hidden="1">{#N/A,#N/A,TRUE,"Лист1";#N/A,#N/A,TRUE,"Лист2";#N/A,#N/A,TRUE,"Лист3"}</definedName>
    <definedName name="укеукеуеуе" localSheetId="71" hidden="1">{#N/A,#N/A,TRUE,"Лист1";#N/A,#N/A,TRUE,"Лист2";#N/A,#N/A,TRUE,"Лист3"}</definedName>
    <definedName name="укеукеуеуе" localSheetId="38" hidden="1">{#N/A,#N/A,TRUE,"Лист1";#N/A,#N/A,TRUE,"Лист2";#N/A,#N/A,TRUE,"Лист3"}</definedName>
    <definedName name="укеукеуеуе" hidden="1">{#N/A,#N/A,TRUE,"Лист1";#N/A,#N/A,TRUE,"Лист2";#N/A,#N/A,TRUE,"Лист3"}</definedName>
    <definedName name="фффффф" localSheetId="84" hidden="1">{#N/A,#N/A,TRUE,"Лист1";#N/A,#N/A,TRUE,"Лист2";#N/A,#N/A,TRUE,"Лист3"}</definedName>
    <definedName name="фффффф" localSheetId="48" hidden="1">{#N/A,#N/A,TRUE,"Лист1";#N/A,#N/A,TRUE,"Лист2";#N/A,#N/A,TRUE,"Лист3"}</definedName>
    <definedName name="фффффф" localSheetId="71" hidden="1">{#N/A,#N/A,TRUE,"Лист1";#N/A,#N/A,TRUE,"Лист2";#N/A,#N/A,TRUE,"Лист3"}</definedName>
    <definedName name="фффффф" localSheetId="38" hidden="1">{#N/A,#N/A,TRUE,"Лист1";#N/A,#N/A,TRUE,"Лист2";#N/A,#N/A,TRUE,"Лист3"}</definedName>
    <definedName name="фффффф" hidden="1">{#N/A,#N/A,TRUE,"Лист1";#N/A,#N/A,TRUE,"Лист2";#N/A,#N/A,TRUE,"Лист3"}</definedName>
    <definedName name="ыуаы" localSheetId="84" hidden="1">{#N/A,#N/A,TRUE,"Лист1";#N/A,#N/A,TRUE,"Лист2";#N/A,#N/A,TRUE,"Лист3"}</definedName>
    <definedName name="ыуаы" localSheetId="48" hidden="1">{#N/A,#N/A,TRUE,"Лист1";#N/A,#N/A,TRUE,"Лист2";#N/A,#N/A,TRUE,"Лист3"}</definedName>
    <definedName name="ыуаы" localSheetId="71" hidden="1">{#N/A,#N/A,TRUE,"Лист1";#N/A,#N/A,TRUE,"Лист2";#N/A,#N/A,TRUE,"Лист3"}</definedName>
    <definedName name="ыуаы" localSheetId="38" hidden="1">{#N/A,#N/A,TRUE,"Лист1";#N/A,#N/A,TRUE,"Лист2";#N/A,#N/A,TRUE,"Лист3"}</definedName>
    <definedName name="ыуаы" hidden="1">{#N/A,#N/A,TRUE,"Лист1";#N/A,#N/A,TRUE,"Лист2";#N/A,#N/A,TRUE,"Лист3"}</definedName>
  </definedNames>
  <calcPr calcId="162913"/>
</workbook>
</file>

<file path=xl/calcChain.xml><?xml version="1.0" encoding="utf-8"?>
<calcChain xmlns="http://schemas.openxmlformats.org/spreadsheetml/2006/main">
  <c r="C372" i="1" l="1"/>
  <c r="M28" i="108" l="1"/>
  <c r="V96" i="107" l="1"/>
  <c r="U96" i="107"/>
  <c r="P96" i="107"/>
  <c r="O96" i="107"/>
  <c r="V88" i="107"/>
  <c r="U88" i="107"/>
  <c r="P88" i="107"/>
  <c r="O88" i="107"/>
  <c r="V80" i="107"/>
  <c r="U80" i="107"/>
  <c r="P80" i="107"/>
  <c r="O80" i="107"/>
  <c r="V36" i="107"/>
  <c r="P36" i="107"/>
  <c r="V27" i="107"/>
  <c r="P27" i="107"/>
  <c r="V20" i="107"/>
  <c r="U20" i="107"/>
  <c r="P20" i="107"/>
  <c r="O20" i="107"/>
  <c r="S128" i="107"/>
  <c r="M128" i="107"/>
  <c r="P127" i="107" s="1"/>
  <c r="V127" i="107" s="1"/>
  <c r="V99" i="107" s="1"/>
  <c r="T125" i="107"/>
  <c r="T96" i="107" s="1"/>
  <c r="N125" i="107"/>
  <c r="N96" i="107" s="1"/>
  <c r="T123" i="107"/>
  <c r="T88" i="107" s="1"/>
  <c r="N123" i="107"/>
  <c r="N88" i="107" s="1"/>
  <c r="P99" i="107" l="1"/>
  <c r="O127" i="107"/>
  <c r="O36" i="2"/>
  <c r="O35" i="2"/>
  <c r="O99" i="107" l="1"/>
  <c r="U127" i="107"/>
  <c r="N127" i="107"/>
  <c r="N99" i="107" s="1"/>
  <c r="U99" i="107" l="1"/>
  <c r="T127" i="107"/>
  <c r="T99" i="107" s="1"/>
  <c r="D44" i="2" l="1"/>
  <c r="H44" i="2"/>
  <c r="M11" i="2"/>
  <c r="D11" i="2"/>
  <c r="D12" i="2"/>
  <c r="M21" i="2"/>
  <c r="L21" i="2" s="1"/>
  <c r="C21" i="2"/>
  <c r="M20" i="2"/>
  <c r="L20" i="2" s="1"/>
  <c r="C20" i="2"/>
  <c r="D19" i="2"/>
  <c r="C19" i="2"/>
  <c r="M19" i="2" l="1"/>
  <c r="I351" i="1"/>
  <c r="I350" i="1"/>
  <c r="I349" i="1"/>
  <c r="L19" i="2" l="1"/>
  <c r="H19" i="2"/>
  <c r="O11" i="82" l="1"/>
  <c r="O12" i="82" s="1"/>
  <c r="O13" i="82" s="1"/>
  <c r="O14" i="82" s="1"/>
  <c r="L271" i="1" l="1"/>
  <c r="C271" i="1"/>
  <c r="P147" i="1" l="1"/>
  <c r="P146" i="1"/>
  <c r="G147" i="1"/>
  <c r="G146" i="1"/>
  <c r="P103" i="1"/>
  <c r="G103" i="1"/>
  <c r="L138" i="1"/>
  <c r="C138" i="1"/>
  <c r="L250" i="1"/>
  <c r="L251" i="1"/>
  <c r="L252" i="1"/>
  <c r="C250" i="1"/>
  <c r="C251" i="1"/>
  <c r="C252" i="1"/>
  <c r="L244" i="1" l="1"/>
  <c r="L245" i="1"/>
  <c r="L246" i="1"/>
  <c r="L247" i="1"/>
  <c r="L248" i="1"/>
  <c r="L249" i="1"/>
  <c r="C249" i="1"/>
  <c r="C244" i="1"/>
  <c r="C245" i="1"/>
  <c r="C246" i="1"/>
  <c r="C247" i="1"/>
  <c r="C248" i="1"/>
  <c r="L136" i="1"/>
  <c r="L137" i="1"/>
  <c r="C136" i="1"/>
  <c r="C137" i="1"/>
  <c r="M99" i="107" l="1"/>
  <c r="L99" i="107"/>
  <c r="K99" i="107"/>
  <c r="J99" i="107"/>
  <c r="H99" i="107"/>
  <c r="F99" i="107" s="1"/>
  <c r="M98" i="107"/>
  <c r="L98" i="107"/>
  <c r="K98" i="107"/>
  <c r="V97" i="107"/>
  <c r="U97" i="107"/>
  <c r="T97" i="107"/>
  <c r="P97" i="107"/>
  <c r="M97" i="107" s="1"/>
  <c r="O97" i="107"/>
  <c r="L97" i="107" s="1"/>
  <c r="N97" i="107"/>
  <c r="K97" i="107" s="1"/>
  <c r="M96" i="107"/>
  <c r="L96" i="107"/>
  <c r="K96" i="107"/>
  <c r="J96" i="107"/>
  <c r="H96" i="107"/>
  <c r="F96" i="107" s="1"/>
  <c r="M95" i="107"/>
  <c r="L95" i="107"/>
  <c r="K95" i="107"/>
  <c r="V94" i="107"/>
  <c r="U94" i="107"/>
  <c r="T94" i="107"/>
  <c r="P94" i="107"/>
  <c r="M94" i="107" s="1"/>
  <c r="O94" i="107"/>
  <c r="L94" i="107" s="1"/>
  <c r="N94" i="107"/>
  <c r="K94" i="107" s="1"/>
  <c r="M93" i="107"/>
  <c r="L93" i="107"/>
  <c r="K93" i="107"/>
  <c r="J93" i="107"/>
  <c r="H93" i="107"/>
  <c r="F93" i="107"/>
  <c r="M92" i="107"/>
  <c r="L92" i="107"/>
  <c r="K92" i="107"/>
  <c r="J92" i="107"/>
  <c r="H92" i="107"/>
  <c r="F92" i="107" s="1"/>
  <c r="M91" i="107"/>
  <c r="L91" i="107"/>
  <c r="K91" i="107"/>
  <c r="V90" i="107"/>
  <c r="U90" i="107"/>
  <c r="T90" i="107"/>
  <c r="P90" i="107"/>
  <c r="O90" i="107"/>
  <c r="N90" i="107"/>
  <c r="K90" i="107" s="1"/>
  <c r="M90" i="107"/>
  <c r="L90" i="107"/>
  <c r="M89" i="107"/>
  <c r="L89" i="107"/>
  <c r="K89" i="107"/>
  <c r="J89" i="107"/>
  <c r="H89" i="107"/>
  <c r="F89" i="107"/>
  <c r="M88" i="107"/>
  <c r="L88" i="107"/>
  <c r="K88" i="107"/>
  <c r="J88" i="107"/>
  <c r="H88" i="107"/>
  <c r="F88" i="107" s="1"/>
  <c r="M87" i="107"/>
  <c r="L87" i="107"/>
  <c r="K87" i="107"/>
  <c r="J87" i="107"/>
  <c r="H87" i="107"/>
  <c r="F87" i="107" s="1"/>
  <c r="V86" i="107"/>
  <c r="U86" i="107"/>
  <c r="U81" i="107" s="1"/>
  <c r="T86" i="107"/>
  <c r="S86" i="107"/>
  <c r="S77" i="107" s="1"/>
  <c r="R86" i="107"/>
  <c r="R77" i="107" s="1"/>
  <c r="Q86" i="107"/>
  <c r="P86" i="107"/>
  <c r="P81" i="107" s="1"/>
  <c r="M81" i="107" s="1"/>
  <c r="O86" i="107"/>
  <c r="O81" i="107" s="1"/>
  <c r="L81" i="107" s="1"/>
  <c r="N86" i="107"/>
  <c r="K86" i="107" s="1"/>
  <c r="M85" i="107"/>
  <c r="L85" i="107"/>
  <c r="K85" i="107"/>
  <c r="J85" i="107"/>
  <c r="H85" i="107"/>
  <c r="F85" i="107" s="1"/>
  <c r="M84" i="107"/>
  <c r="L84" i="107"/>
  <c r="K84" i="107"/>
  <c r="J84" i="107"/>
  <c r="H84" i="107"/>
  <c r="F84" i="107" s="1"/>
  <c r="M83" i="107"/>
  <c r="L83" i="107"/>
  <c r="K83" i="107"/>
  <c r="J83" i="107"/>
  <c r="H83" i="107"/>
  <c r="F83" i="107"/>
  <c r="V82" i="107"/>
  <c r="V81" i="107" s="1"/>
  <c r="U82" i="107"/>
  <c r="T82" i="107"/>
  <c r="S82" i="107"/>
  <c r="R82" i="107"/>
  <c r="Q82" i="107"/>
  <c r="P82" i="107"/>
  <c r="O82" i="107"/>
  <c r="N82" i="107"/>
  <c r="M82" i="107"/>
  <c r="L82" i="107"/>
  <c r="M79" i="107"/>
  <c r="L79" i="107"/>
  <c r="K79" i="107"/>
  <c r="Q77" i="107"/>
  <c r="M76" i="107"/>
  <c r="L76" i="107"/>
  <c r="K76" i="107"/>
  <c r="J76" i="107"/>
  <c r="H76" i="107"/>
  <c r="F76" i="107"/>
  <c r="M75" i="107"/>
  <c r="L75" i="107"/>
  <c r="K75" i="107"/>
  <c r="M74" i="107"/>
  <c r="L74" i="107"/>
  <c r="K74" i="107"/>
  <c r="J74" i="107"/>
  <c r="H74" i="107"/>
  <c r="F74" i="107" s="1"/>
  <c r="M73" i="107"/>
  <c r="L73" i="107"/>
  <c r="K73" i="107"/>
  <c r="J73" i="107"/>
  <c r="H73" i="107"/>
  <c r="F73" i="107"/>
  <c r="V72" i="107"/>
  <c r="U72" i="107"/>
  <c r="T72" i="107"/>
  <c r="S72" i="107"/>
  <c r="R72" i="107"/>
  <c r="Q72" i="107"/>
  <c r="P72" i="107"/>
  <c r="O72" i="107"/>
  <c r="N72" i="107"/>
  <c r="K72" i="107" s="1"/>
  <c r="M72" i="107"/>
  <c r="L72" i="107"/>
  <c r="M71" i="107"/>
  <c r="L71" i="107"/>
  <c r="K71" i="107"/>
  <c r="J71" i="107"/>
  <c r="H71" i="107"/>
  <c r="F71" i="107" s="1"/>
  <c r="M70" i="107"/>
  <c r="L70" i="107"/>
  <c r="K70" i="107"/>
  <c r="M69" i="107"/>
  <c r="L69" i="107"/>
  <c r="K69" i="107"/>
  <c r="J69" i="107"/>
  <c r="H69" i="107"/>
  <c r="F69" i="107"/>
  <c r="M68" i="107"/>
  <c r="L68" i="107"/>
  <c r="K68" i="107"/>
  <c r="J68" i="107"/>
  <c r="H68" i="107"/>
  <c r="F68" i="107"/>
  <c r="M67" i="107"/>
  <c r="L67" i="107"/>
  <c r="K67" i="107"/>
  <c r="M66" i="107"/>
  <c r="L66" i="107"/>
  <c r="K66" i="107"/>
  <c r="J66" i="107"/>
  <c r="H66" i="107"/>
  <c r="F66" i="107" s="1"/>
  <c r="M65" i="107"/>
  <c r="L65" i="107"/>
  <c r="K65" i="107"/>
  <c r="J65" i="107"/>
  <c r="H65" i="107"/>
  <c r="F65" i="107"/>
  <c r="M64" i="107"/>
  <c r="L64" i="107"/>
  <c r="K64" i="107"/>
  <c r="J64" i="107"/>
  <c r="H64" i="107"/>
  <c r="F64" i="107"/>
  <c r="V63" i="107"/>
  <c r="U63" i="107"/>
  <c r="T63" i="107"/>
  <c r="S63" i="107"/>
  <c r="R63" i="107"/>
  <c r="Q63" i="107"/>
  <c r="P63" i="107"/>
  <c r="M63" i="107" s="1"/>
  <c r="O63" i="107"/>
  <c r="L63" i="107" s="1"/>
  <c r="N63" i="107"/>
  <c r="K63" i="107"/>
  <c r="M62" i="107"/>
  <c r="L62" i="107"/>
  <c r="K62" i="107"/>
  <c r="J62" i="107"/>
  <c r="H62" i="107"/>
  <c r="F62" i="107"/>
  <c r="M61" i="107"/>
  <c r="L61" i="107"/>
  <c r="K61" i="107"/>
  <c r="M60" i="107"/>
  <c r="L60" i="107"/>
  <c r="K60" i="107"/>
  <c r="J60" i="107"/>
  <c r="H60" i="107"/>
  <c r="F60" i="107"/>
  <c r="M59" i="107"/>
  <c r="L59" i="107"/>
  <c r="K59" i="107"/>
  <c r="J59" i="107"/>
  <c r="H59" i="107"/>
  <c r="F59" i="107" s="1"/>
  <c r="V58" i="107"/>
  <c r="U58" i="107"/>
  <c r="T58" i="107"/>
  <c r="S58" i="107"/>
  <c r="R58" i="107"/>
  <c r="Q58" i="107"/>
  <c r="P58" i="107"/>
  <c r="M58" i="107" s="1"/>
  <c r="O58" i="107"/>
  <c r="N58" i="107"/>
  <c r="L58" i="107"/>
  <c r="K58" i="107"/>
  <c r="M57" i="107"/>
  <c r="L57" i="107"/>
  <c r="K57" i="107"/>
  <c r="J57" i="107"/>
  <c r="H57" i="107"/>
  <c r="F57" i="107"/>
  <c r="M56" i="107"/>
  <c r="L56" i="107"/>
  <c r="K56" i="107"/>
  <c r="M55" i="107"/>
  <c r="L55" i="107"/>
  <c r="K55" i="107"/>
  <c r="J55" i="107"/>
  <c r="H55" i="107"/>
  <c r="F55" i="107" s="1"/>
  <c r="M54" i="107"/>
  <c r="L54" i="107"/>
  <c r="K54" i="107"/>
  <c r="J54" i="107"/>
  <c r="H54" i="107"/>
  <c r="F54" i="107"/>
  <c r="M53" i="107"/>
  <c r="L53" i="107"/>
  <c r="K53" i="107"/>
  <c r="M52" i="107"/>
  <c r="L52" i="107"/>
  <c r="K52" i="107"/>
  <c r="J52" i="107"/>
  <c r="H52" i="107"/>
  <c r="F52" i="107"/>
  <c r="M51" i="107"/>
  <c r="L51" i="107"/>
  <c r="K51" i="107"/>
  <c r="J51" i="107"/>
  <c r="H51" i="107"/>
  <c r="F51" i="107" s="1"/>
  <c r="M50" i="107"/>
  <c r="L50" i="107"/>
  <c r="K50" i="107"/>
  <c r="J50" i="107"/>
  <c r="H50" i="107"/>
  <c r="F50" i="107"/>
  <c r="V49" i="107"/>
  <c r="U49" i="107"/>
  <c r="T49" i="107"/>
  <c r="S49" i="107"/>
  <c r="R49" i="107"/>
  <c r="Q49" i="107"/>
  <c r="P49" i="107"/>
  <c r="M49" i="107" s="1"/>
  <c r="O49" i="107"/>
  <c r="L49" i="107" s="1"/>
  <c r="N49" i="107"/>
  <c r="K49" i="107" s="1"/>
  <c r="M48" i="107"/>
  <c r="L48" i="107"/>
  <c r="K48" i="107"/>
  <c r="J48" i="107"/>
  <c r="H48" i="107"/>
  <c r="F48" i="107" s="1"/>
  <c r="M47" i="107"/>
  <c r="L47" i="107"/>
  <c r="K47" i="107"/>
  <c r="M46" i="107"/>
  <c r="L46" i="107"/>
  <c r="K46" i="107"/>
  <c r="J46" i="107"/>
  <c r="H46" i="107"/>
  <c r="F46" i="107"/>
  <c r="M45" i="107"/>
  <c r="L45" i="107"/>
  <c r="K45" i="107"/>
  <c r="J45" i="107"/>
  <c r="H45" i="107"/>
  <c r="F45" i="107"/>
  <c r="M44" i="107"/>
  <c r="L44" i="107"/>
  <c r="K44" i="107"/>
  <c r="M43" i="107"/>
  <c r="L43" i="107"/>
  <c r="K43" i="107"/>
  <c r="J43" i="107"/>
  <c r="H43" i="107"/>
  <c r="F43" i="107" s="1"/>
  <c r="M42" i="107"/>
  <c r="L42" i="107"/>
  <c r="K42" i="107"/>
  <c r="J42" i="107"/>
  <c r="H42" i="107"/>
  <c r="F42" i="107"/>
  <c r="I41" i="107"/>
  <c r="I80" i="107" s="1"/>
  <c r="H41" i="107"/>
  <c r="F41" i="107" s="1"/>
  <c r="G41" i="107"/>
  <c r="G80" i="107" s="1"/>
  <c r="H80" i="107" s="1"/>
  <c r="S40" i="107"/>
  <c r="R40" i="107"/>
  <c r="Q40" i="107"/>
  <c r="M39" i="107"/>
  <c r="L39" i="107"/>
  <c r="K39" i="107"/>
  <c r="J39" i="107"/>
  <c r="H39" i="107"/>
  <c r="F39" i="107"/>
  <c r="M38" i="107"/>
  <c r="L38" i="107"/>
  <c r="K38" i="107"/>
  <c r="M37" i="107"/>
  <c r="L37" i="107"/>
  <c r="K37" i="107"/>
  <c r="J37" i="107"/>
  <c r="H37" i="107"/>
  <c r="F37" i="107"/>
  <c r="J36" i="107"/>
  <c r="H36" i="107"/>
  <c r="F36" i="107" s="1"/>
  <c r="S35" i="107"/>
  <c r="R35" i="107"/>
  <c r="Q35" i="107"/>
  <c r="M34" i="107"/>
  <c r="L34" i="107"/>
  <c r="K34" i="107"/>
  <c r="J34" i="107"/>
  <c r="H34" i="107"/>
  <c r="F34" i="107" s="1"/>
  <c r="M33" i="107"/>
  <c r="L33" i="107"/>
  <c r="K33" i="107"/>
  <c r="M32" i="107"/>
  <c r="L32" i="107"/>
  <c r="K32" i="107"/>
  <c r="J32" i="107"/>
  <c r="H32" i="107"/>
  <c r="F32" i="107"/>
  <c r="M31" i="107"/>
  <c r="L31" i="107"/>
  <c r="K31" i="107"/>
  <c r="J31" i="107"/>
  <c r="H31" i="107"/>
  <c r="F31" i="107"/>
  <c r="M30" i="107"/>
  <c r="L30" i="107"/>
  <c r="K30" i="107"/>
  <c r="M29" i="107"/>
  <c r="L29" i="107"/>
  <c r="K29" i="107"/>
  <c r="J29" i="107"/>
  <c r="H29" i="107"/>
  <c r="F29" i="107" s="1"/>
  <c r="M28" i="107"/>
  <c r="L28" i="107"/>
  <c r="K28" i="107"/>
  <c r="J28" i="107"/>
  <c r="H28" i="107"/>
  <c r="F28" i="107" s="1"/>
  <c r="M27" i="107"/>
  <c r="J27" i="107"/>
  <c r="H27" i="107"/>
  <c r="F27" i="107"/>
  <c r="V26" i="107"/>
  <c r="S26" i="107"/>
  <c r="R26" i="107"/>
  <c r="Q26" i="107"/>
  <c r="P26" i="107"/>
  <c r="M26" i="107" s="1"/>
  <c r="M25" i="107"/>
  <c r="L25" i="107"/>
  <c r="K25" i="107"/>
  <c r="J25" i="107"/>
  <c r="H25" i="107"/>
  <c r="F25" i="107" s="1"/>
  <c r="M24" i="107"/>
  <c r="L24" i="107"/>
  <c r="K24" i="107"/>
  <c r="J24" i="107"/>
  <c r="H24" i="107"/>
  <c r="F24" i="107"/>
  <c r="M23" i="107"/>
  <c r="L23" i="107"/>
  <c r="K23" i="107"/>
  <c r="M22" i="107"/>
  <c r="L22" i="107"/>
  <c r="K22" i="107"/>
  <c r="J22" i="107"/>
  <c r="H22" i="107"/>
  <c r="F22" i="107"/>
  <c r="M21" i="107"/>
  <c r="L21" i="107"/>
  <c r="K21" i="107"/>
  <c r="J21" i="107"/>
  <c r="H21" i="107"/>
  <c r="F21" i="107" s="1"/>
  <c r="M20" i="107"/>
  <c r="L20" i="107"/>
  <c r="J20" i="107"/>
  <c r="H20" i="107"/>
  <c r="F20" i="107" s="1"/>
  <c r="M19" i="107"/>
  <c r="L19" i="107"/>
  <c r="K19" i="107"/>
  <c r="J19" i="107"/>
  <c r="H19" i="107"/>
  <c r="F19" i="107"/>
  <c r="V18" i="107"/>
  <c r="U18" i="107"/>
  <c r="S18" i="107"/>
  <c r="R18" i="107"/>
  <c r="Q18" i="107"/>
  <c r="Q100" i="107" s="1"/>
  <c r="P18" i="107"/>
  <c r="M18" i="107" s="1"/>
  <c r="O18" i="107"/>
  <c r="L18" i="107"/>
  <c r="D10" i="107"/>
  <c r="R100" i="107" l="1"/>
  <c r="T81" i="107"/>
  <c r="L86" i="107"/>
  <c r="N81" i="107"/>
  <c r="K81" i="107" s="1"/>
  <c r="S100" i="107"/>
  <c r="F80" i="107"/>
  <c r="J80" i="107"/>
  <c r="J41" i="107"/>
  <c r="K82" i="107"/>
  <c r="M86" i="107"/>
  <c r="I18" i="65" l="1"/>
  <c r="G88" i="65" l="1"/>
  <c r="F88" i="65"/>
  <c r="G87" i="65"/>
  <c r="L87" i="65" s="1"/>
  <c r="F87" i="65"/>
  <c r="G86" i="65"/>
  <c r="F86" i="65"/>
  <c r="G84" i="65"/>
  <c r="L84" i="65" s="1"/>
  <c r="F84" i="65"/>
  <c r="K84" i="65" s="1"/>
  <c r="H84" i="65" s="1"/>
  <c r="G83" i="65"/>
  <c r="L83" i="65" s="1"/>
  <c r="F83" i="65"/>
  <c r="G82" i="65"/>
  <c r="L82" i="65" s="1"/>
  <c r="F82" i="65"/>
  <c r="G79" i="65"/>
  <c r="F79" i="65"/>
  <c r="C79" i="65" s="1"/>
  <c r="O79" i="65" s="1"/>
  <c r="G78" i="65"/>
  <c r="L78" i="65" s="1"/>
  <c r="F78" i="65"/>
  <c r="G77" i="65"/>
  <c r="L77" i="65" s="1"/>
  <c r="F77" i="65"/>
  <c r="K77" i="65" s="1"/>
  <c r="H77" i="65" s="1"/>
  <c r="G74" i="65"/>
  <c r="F74" i="65"/>
  <c r="C74" i="65" s="1"/>
  <c r="O74" i="65" s="1"/>
  <c r="G73" i="65"/>
  <c r="L73" i="65" s="1"/>
  <c r="F73" i="65"/>
  <c r="G72" i="65"/>
  <c r="L72" i="65" s="1"/>
  <c r="F72" i="65"/>
  <c r="K72" i="65" s="1"/>
  <c r="H72" i="65" s="1"/>
  <c r="G70" i="65"/>
  <c r="F70" i="65"/>
  <c r="K70" i="65" s="1"/>
  <c r="H70" i="65" s="1"/>
  <c r="G69" i="65"/>
  <c r="L69" i="65" s="1"/>
  <c r="F69" i="65"/>
  <c r="G68" i="65"/>
  <c r="G67" i="65" s="1"/>
  <c r="F68" i="65"/>
  <c r="G65" i="65"/>
  <c r="L65" i="65" s="1"/>
  <c r="F65" i="65"/>
  <c r="K65" i="65" s="1"/>
  <c r="H65" i="65" s="1"/>
  <c r="G64" i="65"/>
  <c r="L64" i="65" s="1"/>
  <c r="F64" i="65"/>
  <c r="K64" i="65" s="1"/>
  <c r="H64" i="65" s="1"/>
  <c r="G63" i="65"/>
  <c r="F63" i="65"/>
  <c r="G60" i="65"/>
  <c r="L60" i="65" s="1"/>
  <c r="F60" i="65"/>
  <c r="C60" i="65" s="1"/>
  <c r="O60" i="65" s="1"/>
  <c r="G59" i="65"/>
  <c r="L59" i="65" s="1"/>
  <c r="F59" i="65"/>
  <c r="G58" i="65"/>
  <c r="L58" i="65" s="1"/>
  <c r="F58" i="65"/>
  <c r="C58" i="65" s="1"/>
  <c r="O58" i="65" s="1"/>
  <c r="G56" i="65"/>
  <c r="F56" i="65"/>
  <c r="C56" i="65" s="1"/>
  <c r="O56" i="65" s="1"/>
  <c r="G55" i="65"/>
  <c r="F55" i="65"/>
  <c r="C55" i="65" s="1"/>
  <c r="O55" i="65" s="1"/>
  <c r="G54" i="65"/>
  <c r="L54" i="65" s="1"/>
  <c r="F54" i="65"/>
  <c r="C54" i="65" s="1"/>
  <c r="G51" i="65"/>
  <c r="F51" i="65"/>
  <c r="G50" i="65"/>
  <c r="L50" i="65" s="1"/>
  <c r="F50" i="65"/>
  <c r="G49" i="65"/>
  <c r="L49" i="65" s="1"/>
  <c r="F49" i="65"/>
  <c r="K49" i="65" s="1"/>
  <c r="H49" i="65" s="1"/>
  <c r="H92" i="65"/>
  <c r="C92" i="65"/>
  <c r="H91" i="65"/>
  <c r="C91" i="65"/>
  <c r="H90" i="65"/>
  <c r="C90" i="65"/>
  <c r="H89" i="65"/>
  <c r="C89" i="65"/>
  <c r="L88" i="65"/>
  <c r="K88" i="65"/>
  <c r="H88" i="65" s="1"/>
  <c r="C88" i="65"/>
  <c r="O88" i="65" s="1"/>
  <c r="K82" i="65"/>
  <c r="H82" i="65" s="1"/>
  <c r="L74" i="65"/>
  <c r="L70" i="65"/>
  <c r="C64" i="65"/>
  <c r="O64" i="65" s="1"/>
  <c r="L63" i="65"/>
  <c r="L56" i="65"/>
  <c r="L51" i="65"/>
  <c r="C51" i="65"/>
  <c r="O51" i="65" s="1"/>
  <c r="K74" i="65" l="1"/>
  <c r="H74" i="65" s="1"/>
  <c r="C70" i="65"/>
  <c r="O70" i="65" s="1"/>
  <c r="C78" i="65"/>
  <c r="O78" i="65" s="1"/>
  <c r="C68" i="65"/>
  <c r="O68" i="65" s="1"/>
  <c r="K68" i="65"/>
  <c r="H68" i="65" s="1"/>
  <c r="G85" i="65"/>
  <c r="C87" i="65"/>
  <c r="O87" i="65" s="1"/>
  <c r="C86" i="65"/>
  <c r="O86" i="65" s="1"/>
  <c r="C83" i="65"/>
  <c r="O83" i="65" s="1"/>
  <c r="C82" i="65"/>
  <c r="O82" i="65" s="1"/>
  <c r="C63" i="65"/>
  <c r="O63" i="65" s="1"/>
  <c r="L68" i="65"/>
  <c r="G62" i="65"/>
  <c r="K78" i="65"/>
  <c r="H78" i="65" s="1"/>
  <c r="Q70" i="65"/>
  <c r="K60" i="65"/>
  <c r="H60" i="65" s="1"/>
  <c r="Q79" i="65"/>
  <c r="P56" i="65"/>
  <c r="M56" i="65" s="1"/>
  <c r="P63" i="65"/>
  <c r="P82" i="65"/>
  <c r="Q56" i="65"/>
  <c r="Q82" i="65"/>
  <c r="Q55" i="65"/>
  <c r="P51" i="65"/>
  <c r="M51" i="65" s="1"/>
  <c r="P58" i="65"/>
  <c r="P64" i="65"/>
  <c r="M64" i="65" s="1"/>
  <c r="P70" i="65"/>
  <c r="P88" i="65"/>
  <c r="Q51" i="65"/>
  <c r="Q58" i="65"/>
  <c r="Q64" i="65"/>
  <c r="Q83" i="65"/>
  <c r="Q88" i="65"/>
  <c r="L55" i="65"/>
  <c r="L79" i="65"/>
  <c r="P86" i="65"/>
  <c r="C50" i="65"/>
  <c r="O50" i="65" s="1"/>
  <c r="Q74" i="65"/>
  <c r="Q87" i="65"/>
  <c r="L85" i="65"/>
  <c r="O54" i="65"/>
  <c r="Q54" i="65"/>
  <c r="Q60" i="65"/>
  <c r="Q68" i="65"/>
  <c r="P79" i="65"/>
  <c r="P87" i="65"/>
  <c r="M87" i="65" s="1"/>
  <c r="P74" i="65"/>
  <c r="M74" i="65" s="1"/>
  <c r="K56" i="65"/>
  <c r="H56" i="65" s="1"/>
  <c r="F67" i="65"/>
  <c r="C67" i="65" s="1"/>
  <c r="O67" i="65" s="1"/>
  <c r="P55" i="65"/>
  <c r="G57" i="65"/>
  <c r="Q86" i="65"/>
  <c r="M86" i="65" s="1"/>
  <c r="K86" i="65"/>
  <c r="H86" i="65" s="1"/>
  <c r="P60" i="65"/>
  <c r="P68" i="65"/>
  <c r="L86" i="65"/>
  <c r="Q78" i="65"/>
  <c r="F85" i="65"/>
  <c r="C85" i="65" s="1"/>
  <c r="O85" i="65" s="1"/>
  <c r="F53" i="65"/>
  <c r="F57" i="65"/>
  <c r="C57" i="65" s="1"/>
  <c r="O57" i="65" s="1"/>
  <c r="G53" i="65"/>
  <c r="P54" i="65"/>
  <c r="P78" i="65"/>
  <c r="C72" i="65"/>
  <c r="O72" i="65" s="1"/>
  <c r="G71" i="65"/>
  <c r="G66" i="65" s="1"/>
  <c r="F81" i="65"/>
  <c r="C84" i="65"/>
  <c r="C59" i="65"/>
  <c r="O59" i="65" s="1"/>
  <c r="G81" i="65"/>
  <c r="F71" i="65"/>
  <c r="L62" i="65"/>
  <c r="L67" i="65"/>
  <c r="F62" i="65"/>
  <c r="C49" i="65"/>
  <c r="O49" i="65" s="1"/>
  <c r="K51" i="65"/>
  <c r="H51" i="65" s="1"/>
  <c r="K55" i="65"/>
  <c r="H55" i="65" s="1"/>
  <c r="K59" i="65"/>
  <c r="H59" i="65" s="1"/>
  <c r="K63" i="65"/>
  <c r="H63" i="65" s="1"/>
  <c r="C65" i="65"/>
  <c r="C69" i="65"/>
  <c r="O69" i="65" s="1"/>
  <c r="C73" i="65"/>
  <c r="O73" i="65" s="1"/>
  <c r="C77" i="65"/>
  <c r="O77" i="65" s="1"/>
  <c r="K79" i="65"/>
  <c r="H79" i="65" s="1"/>
  <c r="K83" i="65"/>
  <c r="H83" i="65" s="1"/>
  <c r="K87" i="65"/>
  <c r="H87" i="65" s="1"/>
  <c r="K50" i="65"/>
  <c r="H50" i="65" s="1"/>
  <c r="F76" i="65"/>
  <c r="F48" i="65"/>
  <c r="G48" i="65"/>
  <c r="K69" i="65"/>
  <c r="H69" i="65" s="1"/>
  <c r="K73" i="65"/>
  <c r="H73" i="65" s="1"/>
  <c r="G76" i="65"/>
  <c r="K54" i="65"/>
  <c r="H54" i="65" s="1"/>
  <c r="K58" i="65"/>
  <c r="H58" i="65" s="1"/>
  <c r="R12" i="82"/>
  <c r="R13" i="82" s="1"/>
  <c r="R14" i="82" s="1"/>
  <c r="R8" i="82"/>
  <c r="M60" i="65" l="1"/>
  <c r="G52" i="65"/>
  <c r="F80" i="65"/>
  <c r="F75" i="65" s="1"/>
  <c r="P83" i="65"/>
  <c r="M83" i="65" s="1"/>
  <c r="M63" i="65"/>
  <c r="Q63" i="65"/>
  <c r="M70" i="65"/>
  <c r="M82" i="65"/>
  <c r="M79" i="65"/>
  <c r="M78" i="65"/>
  <c r="K67" i="65"/>
  <c r="H67" i="65" s="1"/>
  <c r="M58" i="65"/>
  <c r="M88" i="65"/>
  <c r="P50" i="65"/>
  <c r="M55" i="65"/>
  <c r="Q77" i="65"/>
  <c r="P59" i="65"/>
  <c r="Q59" i="65"/>
  <c r="Q50" i="65"/>
  <c r="C81" i="65"/>
  <c r="O81" i="65" s="1"/>
  <c r="M68" i="65"/>
  <c r="M54" i="65"/>
  <c r="Q69" i="65"/>
  <c r="G61" i="65"/>
  <c r="K53" i="65"/>
  <c r="O65" i="65"/>
  <c r="Q65" i="65"/>
  <c r="P65" i="65"/>
  <c r="K81" i="65"/>
  <c r="L71" i="65"/>
  <c r="L66" i="65" s="1"/>
  <c r="L61" i="65" s="1"/>
  <c r="K85" i="65"/>
  <c r="H85" i="65" s="1"/>
  <c r="P85" i="65"/>
  <c r="P77" i="65"/>
  <c r="K71" i="65"/>
  <c r="H71" i="65" s="1"/>
  <c r="L57" i="65"/>
  <c r="Q57" i="65"/>
  <c r="P69" i="65"/>
  <c r="P73" i="65"/>
  <c r="C53" i="65"/>
  <c r="O53" i="65" s="1"/>
  <c r="L81" i="65"/>
  <c r="L80" i="65" s="1"/>
  <c r="P49" i="65"/>
  <c r="Q85" i="65"/>
  <c r="Q67" i="65"/>
  <c r="K57" i="65"/>
  <c r="H57" i="65" s="1"/>
  <c r="P57" i="65"/>
  <c r="L53" i="65"/>
  <c r="P72" i="65"/>
  <c r="P67" i="65"/>
  <c r="Q73" i="65"/>
  <c r="Q49" i="65"/>
  <c r="F52" i="65"/>
  <c r="C52" i="65" s="1"/>
  <c r="O52" i="65" s="1"/>
  <c r="Q84" i="65"/>
  <c r="P84" i="65"/>
  <c r="O84" i="65"/>
  <c r="Q72" i="65"/>
  <c r="M72" i="65" s="1"/>
  <c r="G80" i="65"/>
  <c r="G75" i="65" s="1"/>
  <c r="F66" i="65"/>
  <c r="C71" i="65"/>
  <c r="O71" i="65" s="1"/>
  <c r="G47" i="65"/>
  <c r="L48" i="65"/>
  <c r="C62" i="65"/>
  <c r="K62" i="65"/>
  <c r="K48" i="65"/>
  <c r="C48" i="65"/>
  <c r="O48" i="65" s="1"/>
  <c r="K76" i="65"/>
  <c r="C76" i="65"/>
  <c r="O76" i="65" s="1"/>
  <c r="L76" i="65"/>
  <c r="AR76" i="17"/>
  <c r="AR75" i="17"/>
  <c r="AR73" i="17"/>
  <c r="AQ76" i="17"/>
  <c r="AQ75" i="17"/>
  <c r="AQ73" i="17"/>
  <c r="AR58" i="17"/>
  <c r="AR57" i="17"/>
  <c r="AR55" i="17"/>
  <c r="AQ58" i="17"/>
  <c r="AQ57" i="17"/>
  <c r="AQ55" i="17"/>
  <c r="AR49" i="17"/>
  <c r="AR48" i="17"/>
  <c r="AR46" i="17"/>
  <c r="AQ49" i="17"/>
  <c r="AQ48" i="17"/>
  <c r="AQ46" i="17"/>
  <c r="AF76" i="17"/>
  <c r="AF75" i="17"/>
  <c r="AF73" i="17"/>
  <c r="AE76" i="17"/>
  <c r="AE75" i="17"/>
  <c r="AE73" i="17"/>
  <c r="AF58" i="17"/>
  <c r="AF57" i="17"/>
  <c r="AF55" i="17"/>
  <c r="AE58" i="17"/>
  <c r="AE57" i="17"/>
  <c r="AE55" i="17"/>
  <c r="AF49" i="17"/>
  <c r="AF48" i="17"/>
  <c r="AE49" i="17"/>
  <c r="AE48" i="17"/>
  <c r="AF46" i="17"/>
  <c r="AE46" i="17"/>
  <c r="M49" i="65" l="1"/>
  <c r="M59" i="65"/>
  <c r="C80" i="65"/>
  <c r="O80" i="65" s="1"/>
  <c r="L52" i="65"/>
  <c r="M73" i="65"/>
  <c r="P48" i="65"/>
  <c r="M69" i="65"/>
  <c r="F47" i="65"/>
  <c r="C47" i="65" s="1"/>
  <c r="O47" i="65" s="1"/>
  <c r="Q81" i="65"/>
  <c r="M77" i="65"/>
  <c r="Q71" i="65"/>
  <c r="M50" i="65"/>
  <c r="M85" i="65"/>
  <c r="M84" i="65"/>
  <c r="L47" i="65"/>
  <c r="L46" i="65" s="1"/>
  <c r="M67" i="65"/>
  <c r="P81" i="65"/>
  <c r="M81" i="65" s="1"/>
  <c r="M57" i="65"/>
  <c r="P76" i="65"/>
  <c r="P53" i="65"/>
  <c r="O62" i="65"/>
  <c r="Q62" i="65"/>
  <c r="M65" i="65"/>
  <c r="G46" i="65"/>
  <c r="Q52" i="65"/>
  <c r="K52" i="65"/>
  <c r="H52" i="65" s="1"/>
  <c r="H53" i="65"/>
  <c r="K66" i="65"/>
  <c r="H66" i="65" s="1"/>
  <c r="Q53" i="65"/>
  <c r="M53" i="65" s="1"/>
  <c r="Q48" i="65"/>
  <c r="F61" i="65"/>
  <c r="P52" i="65"/>
  <c r="H81" i="65"/>
  <c r="K80" i="65"/>
  <c r="H80" i="65" s="1"/>
  <c r="L75" i="65"/>
  <c r="Q76" i="65"/>
  <c r="P62" i="65"/>
  <c r="P71" i="65"/>
  <c r="C66" i="65"/>
  <c r="P66" i="65" s="1"/>
  <c r="H48" i="65"/>
  <c r="H62" i="65"/>
  <c r="C75" i="65"/>
  <c r="O75" i="65" s="1"/>
  <c r="H76" i="65"/>
  <c r="L98" i="1"/>
  <c r="C98" i="1"/>
  <c r="K47" i="65" l="1"/>
  <c r="H47" i="65" s="1"/>
  <c r="F46" i="65"/>
  <c r="C46" i="65" s="1"/>
  <c r="O46" i="65" s="1"/>
  <c r="M48" i="65"/>
  <c r="M76" i="65"/>
  <c r="P80" i="65"/>
  <c r="Q80" i="65"/>
  <c r="K61" i="65"/>
  <c r="H61" i="65" s="1"/>
  <c r="M71" i="65"/>
  <c r="L45" i="65"/>
  <c r="K75" i="65"/>
  <c r="H75" i="65" s="1"/>
  <c r="Q47" i="65"/>
  <c r="M52" i="65"/>
  <c r="Q75" i="65"/>
  <c r="C61" i="65"/>
  <c r="P61" i="65" s="1"/>
  <c r="P47" i="65"/>
  <c r="P75" i="65"/>
  <c r="M62" i="65"/>
  <c r="O66" i="65"/>
  <c r="Q66" i="65"/>
  <c r="G45" i="65"/>
  <c r="P75" i="1"/>
  <c r="O75" i="1"/>
  <c r="N75" i="1"/>
  <c r="M75" i="1"/>
  <c r="G75" i="1"/>
  <c r="F75" i="1"/>
  <c r="E75" i="1"/>
  <c r="D75" i="1"/>
  <c r="F45" i="65" l="1"/>
  <c r="C45" i="65" s="1"/>
  <c r="K46" i="65"/>
  <c r="K45" i="65" s="1"/>
  <c r="H45" i="65" s="1"/>
  <c r="M80" i="65"/>
  <c r="M47" i="65"/>
  <c r="M75" i="65"/>
  <c r="M66" i="65"/>
  <c r="Q46" i="65"/>
  <c r="O61" i="65"/>
  <c r="Q61" i="65"/>
  <c r="P46" i="65"/>
  <c r="G331" i="1"/>
  <c r="G335" i="1" s="1"/>
  <c r="G330" i="1"/>
  <c r="G329" i="1"/>
  <c r="G333" i="1" s="1"/>
  <c r="G323" i="1"/>
  <c r="G327" i="1" s="1"/>
  <c r="G322" i="1"/>
  <c r="G321" i="1"/>
  <c r="H46" i="65" l="1"/>
  <c r="M46" i="65"/>
  <c r="M61" i="65"/>
  <c r="G325" i="1"/>
  <c r="G326" i="1"/>
  <c r="G334" i="1"/>
  <c r="F127" i="105"/>
  <c r="F155" i="105"/>
  <c r="F154" i="105"/>
  <c r="F148" i="105" l="1"/>
  <c r="E308" i="106"/>
  <c r="E309" i="106" s="1"/>
  <c r="E182" i="106"/>
  <c r="E183" i="106" s="1"/>
  <c r="E177" i="106"/>
  <c r="E178" i="106" s="1"/>
  <c r="E172" i="106"/>
  <c r="E173" i="106" s="1"/>
  <c r="E166" i="106"/>
  <c r="E167" i="106" s="1"/>
  <c r="E161" i="106"/>
  <c r="E162" i="106" s="1"/>
  <c r="E156" i="106"/>
  <c r="E157" i="106" s="1"/>
  <c r="E331" i="106" l="1"/>
  <c r="E326" i="106"/>
  <c r="E321" i="106"/>
  <c r="E299" i="106"/>
  <c r="E294" i="106"/>
  <c r="E289" i="106"/>
  <c r="E283" i="106"/>
  <c r="E278" i="106"/>
  <c r="E273" i="106"/>
  <c r="E261" i="106"/>
  <c r="E256" i="106"/>
  <c r="E239" i="106"/>
  <c r="E234" i="106"/>
  <c r="E229" i="106"/>
  <c r="E211" i="106"/>
  <c r="E206" i="106"/>
  <c r="E201" i="106"/>
  <c r="E195" i="106"/>
  <c r="E190" i="106"/>
  <c r="E185" i="106"/>
  <c r="G182" i="106"/>
  <c r="G177" i="106"/>
  <c r="G172" i="106"/>
  <c r="E147" i="106"/>
  <c r="E142" i="106"/>
  <c r="E137" i="106"/>
  <c r="E125" i="106"/>
  <c r="E120" i="106"/>
  <c r="E115" i="106"/>
  <c r="F333" i="1" l="1"/>
  <c r="F329" i="1"/>
  <c r="H333" i="1" l="1"/>
  <c r="F66" i="105"/>
  <c r="E97" i="106" s="1"/>
  <c r="H329" i="1"/>
  <c r="I329" i="1" s="1"/>
  <c r="J329" i="1" s="1"/>
  <c r="F65" i="105"/>
  <c r="E96" i="106" s="1"/>
  <c r="F300" i="1"/>
  <c r="F320" i="1" s="1"/>
  <c r="F321" i="1"/>
  <c r="H321" i="1" s="1"/>
  <c r="E93" i="106" l="1"/>
  <c r="H320" i="1"/>
  <c r="I321" i="1"/>
  <c r="J321" i="1" s="1"/>
  <c r="I333" i="1"/>
  <c r="J333" i="1" s="1"/>
  <c r="I320" i="1" l="1"/>
  <c r="J320" i="1" s="1"/>
  <c r="F44" i="105" l="1"/>
  <c r="E74" i="106" s="1"/>
  <c r="G300" i="1" l="1"/>
  <c r="E248" i="106" l="1"/>
  <c r="E254" i="106" l="1"/>
  <c r="E220" i="106"/>
  <c r="F335" i="1" l="1"/>
  <c r="F334" i="1"/>
  <c r="F331" i="1"/>
  <c r="F330" i="1"/>
  <c r="F326" i="1"/>
  <c r="F325" i="1"/>
  <c r="F322" i="1"/>
  <c r="H331" i="1" l="1"/>
  <c r="I331" i="1" s="1"/>
  <c r="J331" i="1" s="1"/>
  <c r="F75" i="105"/>
  <c r="E106" i="106" s="1"/>
  <c r="E103" i="106" s="1"/>
  <c r="H330" i="1"/>
  <c r="F70" i="105"/>
  <c r="E101" i="106" s="1"/>
  <c r="E98" i="106" s="1"/>
  <c r="H326" i="1"/>
  <c r="I326" i="1" s="1"/>
  <c r="J326" i="1" s="1"/>
  <c r="F50" i="105"/>
  <c r="E80" i="106" s="1"/>
  <c r="H325" i="1"/>
  <c r="I325" i="1" s="1"/>
  <c r="J325" i="1" s="1"/>
  <c r="F45" i="105"/>
  <c r="E75" i="106" s="1"/>
  <c r="E71" i="106" s="1"/>
  <c r="H322" i="1"/>
  <c r="I322" i="1" s="1"/>
  <c r="J322" i="1" s="1"/>
  <c r="F323" i="1"/>
  <c r="H323" i="1" s="1"/>
  <c r="I323" i="1" s="1"/>
  <c r="J323" i="1" s="1"/>
  <c r="F49" i="105"/>
  <c r="E79" i="106" s="1"/>
  <c r="E76" i="106" s="1"/>
  <c r="H335" i="1"/>
  <c r="F76" i="105"/>
  <c r="E107" i="106" s="1"/>
  <c r="H334" i="1"/>
  <c r="I334" i="1" s="1"/>
  <c r="J334" i="1" s="1"/>
  <c r="F71" i="105"/>
  <c r="E102" i="106" s="1"/>
  <c r="E249" i="106"/>
  <c r="I330" i="1" l="1"/>
  <c r="J330" i="1" s="1"/>
  <c r="I335" i="1"/>
  <c r="J335" i="1" s="1"/>
  <c r="E255" i="106"/>
  <c r="E251" i="106" s="1"/>
  <c r="E221" i="106"/>
  <c r="D101" i="1" l="1"/>
  <c r="E267" i="106"/>
  <c r="E245" i="106"/>
  <c r="E223" i="106"/>
  <c r="E131" i="106"/>
  <c r="E109" i="106"/>
  <c r="F202" i="105"/>
  <c r="F197" i="105"/>
  <c r="F192" i="105"/>
  <c r="F191" i="105"/>
  <c r="F190" i="105"/>
  <c r="F189" i="105"/>
  <c r="F188" i="105"/>
  <c r="F182" i="105"/>
  <c r="F177" i="105"/>
  <c r="F172" i="105"/>
  <c r="F170" i="105"/>
  <c r="F169" i="105"/>
  <c r="F168" i="105"/>
  <c r="F167" i="105"/>
  <c r="F161" i="105"/>
  <c r="F156" i="105"/>
  <c r="F151" i="105"/>
  <c r="F149" i="105"/>
  <c r="F147" i="105"/>
  <c r="F146" i="105"/>
  <c r="F140" i="105"/>
  <c r="F135" i="105"/>
  <c r="F130" i="105"/>
  <c r="F128" i="105"/>
  <c r="F122" i="105"/>
  <c r="F126" i="105"/>
  <c r="F121" i="105" s="1"/>
  <c r="F125" i="105"/>
  <c r="F114" i="105"/>
  <c r="F109" i="105"/>
  <c r="F104" i="105"/>
  <c r="F102" i="105"/>
  <c r="F101" i="105"/>
  <c r="F98" i="105" s="1"/>
  <c r="F100" i="105"/>
  <c r="F99" i="105"/>
  <c r="F93" i="105"/>
  <c r="F88" i="105"/>
  <c r="F83" i="105"/>
  <c r="F81" i="105"/>
  <c r="F80" i="105"/>
  <c r="F79" i="105"/>
  <c r="F78" i="105"/>
  <c r="F72" i="105"/>
  <c r="F62" i="105"/>
  <c r="F60" i="105"/>
  <c r="F58" i="105"/>
  <c r="F57" i="105"/>
  <c r="F46" i="105"/>
  <c r="F41" i="105"/>
  <c r="F37" i="105"/>
  <c r="F36" i="105"/>
  <c r="F77" i="105" l="1"/>
  <c r="F187" i="105"/>
  <c r="F166" i="105"/>
  <c r="F123" i="105"/>
  <c r="F31" i="105"/>
  <c r="F145" i="105"/>
  <c r="F124" i="105"/>
  <c r="E337" i="106"/>
  <c r="F32" i="105"/>
  <c r="F120" i="105"/>
  <c r="F119" i="105" l="1"/>
  <c r="O147" i="1" l="1"/>
  <c r="O146" i="1"/>
  <c r="F147" i="1"/>
  <c r="F146" i="1"/>
  <c r="O103" i="1"/>
  <c r="F103" i="1"/>
  <c r="L97" i="1"/>
  <c r="C97" i="1"/>
  <c r="L243" i="1"/>
  <c r="C243" i="1"/>
  <c r="L242" i="1"/>
  <c r="C242" i="1"/>
  <c r="L241" i="1"/>
  <c r="C241" i="1"/>
  <c r="L135" i="1"/>
  <c r="C135" i="1"/>
  <c r="L63" i="1" l="1"/>
  <c r="L62" i="1"/>
  <c r="L61" i="1"/>
  <c r="L60" i="1"/>
  <c r="L59" i="1"/>
  <c r="L58" i="1"/>
  <c r="L57" i="1"/>
  <c r="L56" i="1"/>
  <c r="L55" i="1"/>
  <c r="L54" i="1"/>
  <c r="L53" i="1"/>
  <c r="L52" i="1"/>
  <c r="L51" i="1"/>
  <c r="L50" i="1"/>
  <c r="L49" i="1"/>
  <c r="L48" i="1"/>
  <c r="L47" i="1"/>
  <c r="L46" i="1"/>
  <c r="L45" i="1"/>
  <c r="L44" i="1"/>
  <c r="L43" i="1"/>
  <c r="L42" i="1"/>
  <c r="L41" i="1"/>
  <c r="C63" i="1"/>
  <c r="C62" i="1"/>
  <c r="C61" i="1"/>
  <c r="C60" i="1"/>
  <c r="C59" i="1"/>
  <c r="C58" i="1"/>
  <c r="C57" i="1"/>
  <c r="C56" i="1"/>
  <c r="C55" i="1"/>
  <c r="C54" i="1"/>
  <c r="C53" i="1"/>
  <c r="C52" i="1"/>
  <c r="C51" i="1"/>
  <c r="C50" i="1"/>
  <c r="C49" i="1"/>
  <c r="C48" i="1"/>
  <c r="C47" i="1"/>
  <c r="C46" i="1"/>
  <c r="C45" i="1"/>
  <c r="C44" i="1"/>
  <c r="C43" i="1"/>
  <c r="C42" i="1"/>
  <c r="C41" i="1"/>
  <c r="C36" i="1"/>
  <c r="C35" i="1"/>
  <c r="C34" i="1"/>
  <c r="C33" i="1"/>
  <c r="C32" i="1"/>
  <c r="C31" i="1"/>
  <c r="C30" i="1"/>
  <c r="C29" i="1"/>
  <c r="L36" i="1"/>
  <c r="L35" i="1"/>
  <c r="L34" i="1"/>
  <c r="L33" i="1"/>
  <c r="L32" i="1"/>
  <c r="L31" i="1"/>
  <c r="L30" i="1"/>
  <c r="L29" i="1"/>
  <c r="R38" i="8" l="1"/>
  <c r="I38" i="8"/>
  <c r="P35" i="107"/>
  <c r="V35" i="107"/>
  <c r="U40" i="107"/>
  <c r="T38" i="8"/>
  <c r="N38" i="8"/>
  <c r="V40" i="107"/>
  <c r="P40" i="107"/>
  <c r="M40" i="107" s="1"/>
  <c r="M41" i="107"/>
  <c r="L38" i="8"/>
  <c r="K38" i="8"/>
  <c r="P83" i="85"/>
  <c r="O83" i="85"/>
  <c r="N83" i="85"/>
  <c r="M83" i="85"/>
  <c r="P80" i="85"/>
  <c r="O80" i="85"/>
  <c r="N80" i="85"/>
  <c r="M80" i="85"/>
  <c r="L80" i="85"/>
  <c r="K80" i="85"/>
  <c r="J80" i="85"/>
  <c r="I80" i="85"/>
  <c r="H80" i="85"/>
  <c r="G80" i="85"/>
  <c r="P62" i="85"/>
  <c r="O62" i="85"/>
  <c r="N62" i="85"/>
  <c r="M62" i="85"/>
  <c r="L62" i="85"/>
  <c r="K62" i="85"/>
  <c r="J62" i="85"/>
  <c r="I62" i="85"/>
  <c r="H62" i="85"/>
  <c r="G62" i="85"/>
  <c r="F62" i="85"/>
  <c r="E62" i="85"/>
  <c r="P44" i="85"/>
  <c r="O44" i="85"/>
  <c r="N44" i="85"/>
  <c r="M44" i="85"/>
  <c r="P26" i="85"/>
  <c r="O26" i="85"/>
  <c r="O7" i="85" s="1"/>
  <c r="N26" i="85"/>
  <c r="M26" i="85"/>
  <c r="L26" i="85"/>
  <c r="K26" i="85"/>
  <c r="J26" i="85"/>
  <c r="I26" i="85"/>
  <c r="H26" i="85"/>
  <c r="G26" i="85"/>
  <c r="F26" i="85"/>
  <c r="E26" i="85"/>
  <c r="N7" i="85"/>
  <c r="M7" i="85"/>
  <c r="F13" i="82"/>
  <c r="E13" i="82" s="1"/>
  <c r="F12" i="82"/>
  <c r="E12" i="82" s="1"/>
  <c r="F11" i="82"/>
  <c r="E11" i="82" s="1"/>
  <c r="M36" i="107" l="1"/>
  <c r="P77" i="107"/>
  <c r="M77" i="107" s="1"/>
  <c r="P78" i="107"/>
  <c r="M80" i="107"/>
  <c r="M35" i="107"/>
  <c r="V77" i="107"/>
  <c r="V100" i="107" s="1"/>
  <c r="V78" i="107"/>
  <c r="V101" i="107" s="1"/>
  <c r="O40" i="107"/>
  <c r="L40" i="107" s="1"/>
  <c r="L41" i="107"/>
  <c r="O78" i="107"/>
  <c r="L78" i="107" s="1"/>
  <c r="L80" i="107"/>
  <c r="O77" i="107"/>
  <c r="L77" i="107" s="1"/>
  <c r="U78" i="107"/>
  <c r="U77" i="107"/>
  <c r="P7" i="85"/>
  <c r="P100" i="107" l="1"/>
  <c r="M100" i="107" s="1"/>
  <c r="M78" i="107"/>
  <c r="P101" i="107"/>
  <c r="M101" i="107" s="1"/>
  <c r="C267" i="1"/>
  <c r="P255" i="1"/>
  <c r="P254" i="1"/>
  <c r="G254" i="1"/>
  <c r="G255" i="1"/>
  <c r="P139" i="1"/>
  <c r="G139" i="1"/>
  <c r="L143" i="1"/>
  <c r="C143" i="1"/>
  <c r="L267" i="1"/>
  <c r="L266" i="1"/>
  <c r="C266" i="1"/>
  <c r="L265" i="1"/>
  <c r="C265" i="1"/>
  <c r="L134" i="1" l="1"/>
  <c r="L238" i="1"/>
  <c r="L239" i="1"/>
  <c r="L240" i="1"/>
  <c r="C238" i="1"/>
  <c r="C239" i="1"/>
  <c r="C240" i="1"/>
  <c r="C134" i="1"/>
  <c r="Q9" i="82" l="1"/>
  <c r="F12" i="2" l="1"/>
  <c r="F11" i="2" s="1"/>
  <c r="F10" i="2" s="1"/>
  <c r="F9" i="2" s="1"/>
  <c r="G12" i="2"/>
  <c r="G11" i="2" s="1"/>
  <c r="G10" i="2" s="1"/>
  <c r="G9" i="2" s="1"/>
  <c r="C13" i="2"/>
  <c r="C14" i="2"/>
  <c r="C15" i="2"/>
  <c r="D16" i="2"/>
  <c r="C16" i="2" s="1"/>
  <c r="C17" i="2"/>
  <c r="C18" i="2"/>
  <c r="D22" i="2"/>
  <c r="C22" i="2" s="1"/>
  <c r="C23" i="2"/>
  <c r="C24" i="2"/>
  <c r="H24" i="2"/>
  <c r="C25" i="2"/>
  <c r="C26" i="2"/>
  <c r="F26" i="2"/>
  <c r="G26" i="2"/>
  <c r="C27" i="2"/>
  <c r="C28" i="2"/>
  <c r="C29" i="2"/>
  <c r="C30" i="2"/>
  <c r="C31" i="2"/>
  <c r="E33" i="2"/>
  <c r="F34" i="2"/>
  <c r="F33" i="2" s="1"/>
  <c r="C33" i="2" s="1"/>
  <c r="G34" i="2"/>
  <c r="G33" i="2" s="1"/>
  <c r="K34" i="2"/>
  <c r="C35" i="2"/>
  <c r="F35" i="2"/>
  <c r="G35" i="2"/>
  <c r="J35" i="2"/>
  <c r="F36" i="2"/>
  <c r="C36" i="2" s="1"/>
  <c r="G36" i="2"/>
  <c r="J36" i="2"/>
  <c r="C37" i="2"/>
  <c r="F37" i="2"/>
  <c r="G37" i="2"/>
  <c r="K37" i="2"/>
  <c r="F38" i="2"/>
  <c r="C38" i="2" s="1"/>
  <c r="G38" i="2"/>
  <c r="K38" i="2"/>
  <c r="C11" i="2" l="1"/>
  <c r="D10" i="2"/>
  <c r="C12" i="2"/>
  <c r="C34" i="2"/>
  <c r="G44" i="2"/>
  <c r="F44" i="2"/>
  <c r="K44" i="2"/>
  <c r="J44" i="2"/>
  <c r="D9" i="2" l="1"/>
  <c r="C9" i="2" s="1"/>
  <c r="C10" i="2"/>
  <c r="M44" i="2"/>
  <c r="O44" i="2"/>
  <c r="O41" i="2" s="1"/>
  <c r="P44" i="2"/>
  <c r="C10" i="30" l="1"/>
  <c r="M14" i="2" l="1"/>
  <c r="M13" i="2"/>
  <c r="M12" i="2" s="1"/>
  <c r="L237" i="1" l="1"/>
  <c r="C237" i="1"/>
  <c r="L236" i="1"/>
  <c r="C236" i="1"/>
  <c r="L235" i="1"/>
  <c r="C235" i="1"/>
  <c r="C133" i="1"/>
  <c r="L133" i="1"/>
  <c r="L229" i="1" l="1"/>
  <c r="L230" i="1"/>
  <c r="L231" i="1"/>
  <c r="L232" i="1"/>
  <c r="L233" i="1"/>
  <c r="L234" i="1"/>
  <c r="C229" i="1"/>
  <c r="C230" i="1"/>
  <c r="C231" i="1"/>
  <c r="C232" i="1"/>
  <c r="C233" i="1"/>
  <c r="C234" i="1"/>
  <c r="L131" i="1"/>
  <c r="L132" i="1"/>
  <c r="C131" i="1"/>
  <c r="C132" i="1"/>
  <c r="G145" i="1" l="1"/>
  <c r="L130" i="1"/>
  <c r="L226" i="1"/>
  <c r="L227" i="1"/>
  <c r="L228" i="1"/>
  <c r="C226" i="1"/>
  <c r="C227" i="1"/>
  <c r="C228" i="1"/>
  <c r="C130" i="1"/>
  <c r="L129" i="1" l="1"/>
  <c r="C129" i="1"/>
  <c r="L223" i="1"/>
  <c r="L224" i="1"/>
  <c r="L225" i="1"/>
  <c r="C223" i="1"/>
  <c r="C224" i="1"/>
  <c r="C225" i="1"/>
  <c r="P145" i="1" l="1"/>
  <c r="L217" i="1"/>
  <c r="L218" i="1"/>
  <c r="L219" i="1"/>
  <c r="L220" i="1"/>
  <c r="L221" i="1"/>
  <c r="L222" i="1"/>
  <c r="C217" i="1"/>
  <c r="C218" i="1"/>
  <c r="C219" i="1"/>
  <c r="C220" i="1"/>
  <c r="C221" i="1"/>
  <c r="C222" i="1"/>
  <c r="L127" i="1"/>
  <c r="L128" i="1"/>
  <c r="C127" i="1"/>
  <c r="C128" i="1"/>
  <c r="F139" i="1" l="1"/>
  <c r="O139" i="1"/>
  <c r="BS39" i="84" l="1"/>
  <c r="BT26" i="9"/>
  <c r="BT48" i="97" s="1"/>
  <c r="BL39" i="84"/>
  <c r="BL28" i="84" s="1"/>
  <c r="BM26" i="9"/>
  <c r="BM48" i="97" s="1"/>
  <c r="F102" i="1"/>
  <c r="F340" i="1" s="1"/>
  <c r="E40" i="106" s="1"/>
  <c r="O254" i="1"/>
  <c r="O255" i="1"/>
  <c r="CV26" i="9" s="1"/>
  <c r="CV48" i="97" s="1"/>
  <c r="F254" i="1"/>
  <c r="CA26" i="9" s="1"/>
  <c r="CA48" i="97" s="1"/>
  <c r="F255" i="1"/>
  <c r="CN39" i="84" l="1"/>
  <c r="CO26" i="9"/>
  <c r="CO48" i="97" s="1"/>
  <c r="CG39" i="84"/>
  <c r="CH26" i="9"/>
  <c r="CH48" i="97" s="1"/>
  <c r="F23" i="105"/>
  <c r="F20" i="105" s="1"/>
  <c r="E37" i="106"/>
  <c r="CU39" i="84"/>
  <c r="CN55" i="1"/>
  <c r="F253" i="1"/>
  <c r="BZ39" i="84"/>
  <c r="L126" i="1"/>
  <c r="C126" i="1"/>
  <c r="L216" i="1"/>
  <c r="C216" i="1"/>
  <c r="L215" i="1"/>
  <c r="C215" i="1"/>
  <c r="L214" i="1"/>
  <c r="C214" i="1"/>
  <c r="L125" i="1" l="1"/>
  <c r="C125" i="1"/>
  <c r="L213" i="1"/>
  <c r="C213" i="1"/>
  <c r="L212" i="1"/>
  <c r="C212" i="1"/>
  <c r="L211" i="1"/>
  <c r="C211" i="1"/>
  <c r="L210" i="1" l="1"/>
  <c r="L209" i="1"/>
  <c r="L124" i="1"/>
  <c r="L207" i="1"/>
  <c r="L206" i="1"/>
  <c r="L123" i="1"/>
  <c r="L204" i="1"/>
  <c r="L203" i="1"/>
  <c r="L122" i="1"/>
  <c r="L201" i="1"/>
  <c r="L200" i="1"/>
  <c r="L121" i="1"/>
  <c r="L199" i="1"/>
  <c r="L202" i="1"/>
  <c r="L205" i="1"/>
  <c r="L208" i="1"/>
  <c r="C199" i="1"/>
  <c r="C200" i="1"/>
  <c r="C201" i="1"/>
  <c r="C202" i="1"/>
  <c r="C203" i="1"/>
  <c r="C204" i="1"/>
  <c r="C205" i="1"/>
  <c r="C206" i="1"/>
  <c r="C207" i="1"/>
  <c r="C208" i="1"/>
  <c r="C209" i="1"/>
  <c r="C210" i="1"/>
  <c r="C121" i="1"/>
  <c r="C122" i="1"/>
  <c r="C123" i="1"/>
  <c r="C124" i="1"/>
  <c r="L103" i="1" l="1"/>
  <c r="I31" i="103" l="1"/>
  <c r="H31" i="103"/>
  <c r="I30" i="103"/>
  <c r="H30" i="103"/>
  <c r="I29" i="103"/>
  <c r="J29" i="103" s="1"/>
  <c r="H29" i="103"/>
  <c r="G26" i="103"/>
  <c r="F26" i="103"/>
  <c r="G25" i="103"/>
  <c r="J25" i="103" s="1"/>
  <c r="F25" i="103"/>
  <c r="G26" i="102"/>
  <c r="F26" i="102"/>
  <c r="G25" i="102"/>
  <c r="J25" i="102" s="1"/>
  <c r="F25" i="102"/>
  <c r="J26" i="103"/>
  <c r="I24" i="103"/>
  <c r="J24" i="103" s="1"/>
  <c r="H24" i="103"/>
  <c r="I23" i="103"/>
  <c r="H23" i="103"/>
  <c r="P72" i="97"/>
  <c r="P71" i="97"/>
  <c r="P70" i="97"/>
  <c r="I70" i="97"/>
  <c r="I71" i="97"/>
  <c r="I72" i="97"/>
  <c r="J41" i="103"/>
  <c r="J40" i="103"/>
  <c r="J39" i="103" s="1"/>
  <c r="I39" i="103"/>
  <c r="H39" i="103"/>
  <c r="G39" i="103"/>
  <c r="F39" i="103"/>
  <c r="J36" i="103"/>
  <c r="J35" i="103"/>
  <c r="J34" i="103"/>
  <c r="J33" i="103"/>
  <c r="J32" i="103"/>
  <c r="J31" i="103"/>
  <c r="J30" i="103"/>
  <c r="J28" i="103"/>
  <c r="J27" i="103"/>
  <c r="J23" i="103"/>
  <c r="J19" i="103"/>
  <c r="D10" i="103"/>
  <c r="J45" i="102"/>
  <c r="J44" i="102"/>
  <c r="J43" i="102"/>
  <c r="J42" i="102"/>
  <c r="J41" i="102"/>
  <c r="J39" i="102"/>
  <c r="J38" i="102"/>
  <c r="J36" i="102"/>
  <c r="J34" i="102"/>
  <c r="J33" i="102"/>
  <c r="J31" i="102"/>
  <c r="J30" i="102"/>
  <c r="J29" i="102"/>
  <c r="J28" i="102"/>
  <c r="J27" i="102"/>
  <c r="J26" i="102"/>
  <c r="J24" i="102"/>
  <c r="J23" i="102"/>
  <c r="J20" i="102"/>
  <c r="J19" i="102"/>
  <c r="D10" i="102"/>
  <c r="H39" i="101"/>
  <c r="G39" i="101"/>
  <c r="M38" i="101"/>
  <c r="L38" i="101"/>
  <c r="M37" i="101"/>
  <c r="L37" i="101"/>
  <c r="M36" i="101"/>
  <c r="L36" i="101"/>
  <c r="K36" i="101"/>
  <c r="J36" i="101"/>
  <c r="I36" i="101"/>
  <c r="H36" i="101"/>
  <c r="G36" i="101"/>
  <c r="F36" i="101"/>
  <c r="M35" i="101"/>
  <c r="L35" i="101"/>
  <c r="M34" i="101"/>
  <c r="L34" i="101"/>
  <c r="M33" i="101"/>
  <c r="L33" i="101"/>
  <c r="M32" i="101"/>
  <c r="L32" i="101"/>
  <c r="M31" i="101"/>
  <c r="L31" i="101"/>
  <c r="M30" i="101"/>
  <c r="L30" i="101"/>
  <c r="M29" i="101"/>
  <c r="L29" i="101"/>
  <c r="M28" i="101"/>
  <c r="L28" i="101"/>
  <c r="M27" i="101"/>
  <c r="L27" i="101"/>
  <c r="M26" i="101"/>
  <c r="L26" i="101"/>
  <c r="M25" i="101"/>
  <c r="L25" i="101"/>
  <c r="M24" i="101"/>
  <c r="L24" i="101"/>
  <c r="M23" i="101"/>
  <c r="L23" i="101"/>
  <c r="M22" i="101"/>
  <c r="L22" i="101"/>
  <c r="M21" i="101"/>
  <c r="L21" i="101"/>
  <c r="M20" i="101"/>
  <c r="L20" i="101"/>
  <c r="M19" i="101"/>
  <c r="L19" i="101"/>
  <c r="K19" i="101"/>
  <c r="J19" i="101"/>
  <c r="I19" i="101"/>
  <c r="H19" i="101"/>
  <c r="G19" i="101"/>
  <c r="F19" i="101"/>
  <c r="M18" i="101"/>
  <c r="M39" i="101" s="1"/>
  <c r="L18" i="101"/>
  <c r="L39" i="101" s="1"/>
  <c r="K18" i="101"/>
  <c r="K39" i="101" s="1"/>
  <c r="J18" i="101"/>
  <c r="J39" i="101" s="1"/>
  <c r="I18" i="101"/>
  <c r="I39" i="101" s="1"/>
  <c r="H18" i="101"/>
  <c r="G18" i="101"/>
  <c r="F18" i="101"/>
  <c r="F39" i="101" s="1"/>
  <c r="D10" i="101"/>
  <c r="BM35" i="100"/>
  <c r="BL35" i="100"/>
  <c r="BK35" i="100"/>
  <c r="BJ35" i="100"/>
  <c r="BI35" i="100"/>
  <c r="BH35" i="100" s="1"/>
  <c r="BG35" i="100"/>
  <c r="BF35" i="100"/>
  <c r="BE35" i="100"/>
  <c r="BD35" i="100"/>
  <c r="BC35" i="100"/>
  <c r="BB35" i="100"/>
  <c r="AV35" i="100"/>
  <c r="AP35" i="100"/>
  <c r="AJ35" i="100"/>
  <c r="AD35" i="100"/>
  <c r="X35" i="100"/>
  <c r="R35" i="100"/>
  <c r="L35" i="100"/>
  <c r="F35" i="100"/>
  <c r="BM34" i="100"/>
  <c r="BL34" i="100"/>
  <c r="BK34" i="100"/>
  <c r="BJ34" i="100"/>
  <c r="BH34" i="100" s="1"/>
  <c r="BI34" i="100"/>
  <c r="BG34" i="100"/>
  <c r="BF34" i="100"/>
  <c r="BE34" i="100"/>
  <c r="BB34" i="100" s="1"/>
  <c r="BD34" i="100"/>
  <c r="BC34" i="100"/>
  <c r="AV34" i="100"/>
  <c r="AP34" i="100"/>
  <c r="AJ34" i="100"/>
  <c r="AD34" i="100"/>
  <c r="X34" i="100"/>
  <c r="R34" i="100"/>
  <c r="L34" i="100"/>
  <c r="F34" i="100"/>
  <c r="BM33" i="100"/>
  <c r="BL33" i="100"/>
  <c r="BK33" i="100"/>
  <c r="BJ33" i="100"/>
  <c r="BI33" i="100"/>
  <c r="BH33" i="100" s="1"/>
  <c r="BG33" i="100"/>
  <c r="BF33" i="100"/>
  <c r="BE33" i="100"/>
  <c r="BD33" i="100"/>
  <c r="BC33" i="100"/>
  <c r="BB33" i="100"/>
  <c r="AV33" i="100"/>
  <c r="AP33" i="100"/>
  <c r="AJ33" i="100"/>
  <c r="AD33" i="100"/>
  <c r="X33" i="100"/>
  <c r="R33" i="100"/>
  <c r="L33" i="100"/>
  <c r="F33" i="100"/>
  <c r="BM32" i="100"/>
  <c r="BL32" i="100"/>
  <c r="BK32" i="100"/>
  <c r="BJ32" i="100"/>
  <c r="BH32" i="100" s="1"/>
  <c r="BI32" i="100"/>
  <c r="BG32" i="100"/>
  <c r="BF32" i="100"/>
  <c r="BE32" i="100"/>
  <c r="BB32" i="100" s="1"/>
  <c r="BD32" i="100"/>
  <c r="BC32" i="100"/>
  <c r="AV32" i="100"/>
  <c r="AP32" i="100"/>
  <c r="AJ32" i="100"/>
  <c r="AD32" i="100"/>
  <c r="X32" i="100"/>
  <c r="R32" i="100"/>
  <c r="L32" i="100"/>
  <c r="F32" i="100"/>
  <c r="BM31" i="100"/>
  <c r="BL31" i="100"/>
  <c r="BK31" i="100"/>
  <c r="BJ31" i="100"/>
  <c r="BI31" i="100"/>
  <c r="BH31" i="100" s="1"/>
  <c r="BG31" i="100"/>
  <c r="BF31" i="100"/>
  <c r="BE31" i="100"/>
  <c r="BD31" i="100"/>
  <c r="BC31" i="100"/>
  <c r="BB31" i="100"/>
  <c r="AV31" i="100"/>
  <c r="AP31" i="100"/>
  <c r="AJ31" i="100"/>
  <c r="AD31" i="100"/>
  <c r="X31" i="100"/>
  <c r="R31" i="100"/>
  <c r="L31" i="100"/>
  <c r="F31" i="100"/>
  <c r="BM30" i="100"/>
  <c r="BL30" i="100"/>
  <c r="BK30" i="100"/>
  <c r="BJ30" i="100"/>
  <c r="BH30" i="100" s="1"/>
  <c r="BI30" i="100"/>
  <c r="BG30" i="100"/>
  <c r="BF30" i="100"/>
  <c r="BE30" i="100"/>
  <c r="BB30" i="100" s="1"/>
  <c r="BD30" i="100"/>
  <c r="BC30" i="100"/>
  <c r="AV30" i="100"/>
  <c r="AP30" i="100"/>
  <c r="AJ30" i="100"/>
  <c r="AD30" i="100"/>
  <c r="X30" i="100"/>
  <c r="R30" i="100"/>
  <c r="L30" i="100"/>
  <c r="F30" i="100"/>
  <c r="BM29" i="100"/>
  <c r="BL29" i="100"/>
  <c r="BK29" i="100"/>
  <c r="BJ29" i="100"/>
  <c r="BI29" i="100"/>
  <c r="BH29" i="100" s="1"/>
  <c r="BG29" i="100"/>
  <c r="BF29" i="100"/>
  <c r="BE29" i="100"/>
  <c r="BD29" i="100"/>
  <c r="BC29" i="100"/>
  <c r="BB29" i="100"/>
  <c r="AV29" i="100"/>
  <c r="AP29" i="100"/>
  <c r="AJ29" i="100"/>
  <c r="AD29" i="100"/>
  <c r="X29" i="100"/>
  <c r="R29" i="100"/>
  <c r="L29" i="100"/>
  <c r="F29" i="100"/>
  <c r="BM28" i="100"/>
  <c r="BL28" i="100"/>
  <c r="BK28" i="100"/>
  <c r="BJ28" i="100"/>
  <c r="BH28" i="100" s="1"/>
  <c r="BI28" i="100"/>
  <c r="BG28" i="100"/>
  <c r="BF28" i="100"/>
  <c r="BE28" i="100"/>
  <c r="BD28" i="100"/>
  <c r="BB28" i="100" s="1"/>
  <c r="BC28" i="100"/>
  <c r="AV28" i="100"/>
  <c r="AP28" i="100"/>
  <c r="AJ28" i="100"/>
  <c r="AD28" i="100"/>
  <c r="X28" i="100"/>
  <c r="R28" i="100"/>
  <c r="L28" i="100"/>
  <c r="F28" i="100"/>
  <c r="BM27" i="100"/>
  <c r="BL27" i="100"/>
  <c r="BK27" i="100"/>
  <c r="BJ27" i="100"/>
  <c r="BI27" i="100"/>
  <c r="BH27" i="100" s="1"/>
  <c r="BG27" i="100"/>
  <c r="BF27" i="100"/>
  <c r="BE27" i="100"/>
  <c r="BD27" i="100"/>
  <c r="BC27" i="100"/>
  <c r="BB27" i="100"/>
  <c r="AV27" i="100"/>
  <c r="AP27" i="100"/>
  <c r="AJ27" i="100"/>
  <c r="AD27" i="100"/>
  <c r="X27" i="100"/>
  <c r="R27" i="100"/>
  <c r="L27" i="100"/>
  <c r="F27" i="100"/>
  <c r="BM26" i="100"/>
  <c r="BL26" i="100"/>
  <c r="BK26" i="100"/>
  <c r="BJ26" i="100"/>
  <c r="BH26" i="100" s="1"/>
  <c r="BI26" i="100"/>
  <c r="BG26" i="100"/>
  <c r="BF26" i="100"/>
  <c r="BE26" i="100"/>
  <c r="BD26" i="100"/>
  <c r="BB26" i="100" s="1"/>
  <c r="BC26" i="100"/>
  <c r="AV26" i="100"/>
  <c r="AP26" i="100"/>
  <c r="AJ26" i="100"/>
  <c r="AD26" i="100"/>
  <c r="X26" i="100"/>
  <c r="R26" i="100"/>
  <c r="L26" i="100"/>
  <c r="F26" i="100"/>
  <c r="BM25" i="100"/>
  <c r="BL25" i="100"/>
  <c r="BK25" i="100"/>
  <c r="BJ25" i="100"/>
  <c r="BI25" i="100"/>
  <c r="BH25" i="100" s="1"/>
  <c r="BG25" i="100"/>
  <c r="BF25" i="100"/>
  <c r="BE25" i="100"/>
  <c r="BD25" i="100"/>
  <c r="BC25" i="100"/>
  <c r="BB25" i="100"/>
  <c r="AV25" i="100"/>
  <c r="AP25" i="100"/>
  <c r="AJ25" i="100"/>
  <c r="AD25" i="100"/>
  <c r="X25" i="100"/>
  <c r="R25" i="100"/>
  <c r="L25" i="100"/>
  <c r="F25" i="100"/>
  <c r="BM24" i="100"/>
  <c r="BL24" i="100"/>
  <c r="BK24" i="100"/>
  <c r="BJ24" i="100"/>
  <c r="BH24" i="100" s="1"/>
  <c r="BI24" i="100"/>
  <c r="BG24" i="100"/>
  <c r="BF24" i="100"/>
  <c r="BE24" i="100"/>
  <c r="BD24" i="100"/>
  <c r="BB24" i="100" s="1"/>
  <c r="BC24" i="100"/>
  <c r="AV24" i="100"/>
  <c r="AP24" i="100"/>
  <c r="AJ24" i="100"/>
  <c r="AD24" i="100"/>
  <c r="X24" i="100"/>
  <c r="R24" i="100"/>
  <c r="L24" i="100"/>
  <c r="F24" i="100"/>
  <c r="BM23" i="100"/>
  <c r="BL23" i="100"/>
  <c r="BK23" i="100"/>
  <c r="BJ23" i="100"/>
  <c r="BI23" i="100"/>
  <c r="BH23" i="100" s="1"/>
  <c r="BG23" i="100"/>
  <c r="BF23" i="100"/>
  <c r="BE23" i="100"/>
  <c r="BD23" i="100"/>
  <c r="BC23" i="100"/>
  <c r="BB23" i="100"/>
  <c r="AV23" i="100"/>
  <c r="AP23" i="100"/>
  <c r="AJ23" i="100"/>
  <c r="AD23" i="100"/>
  <c r="X23" i="100"/>
  <c r="R23" i="100"/>
  <c r="L23" i="100"/>
  <c r="F23" i="100"/>
  <c r="BM22" i="100"/>
  <c r="BL22" i="100"/>
  <c r="BK22" i="100"/>
  <c r="BJ22" i="100"/>
  <c r="BH22" i="100" s="1"/>
  <c r="BI22" i="100"/>
  <c r="BG22" i="100"/>
  <c r="BF22" i="100"/>
  <c r="BE22" i="100"/>
  <c r="BD22" i="100"/>
  <c r="BB22" i="100" s="1"/>
  <c r="BC22" i="100"/>
  <c r="AV22" i="100"/>
  <c r="AP22" i="100"/>
  <c r="AJ22" i="100"/>
  <c r="AD22" i="100"/>
  <c r="X22" i="100"/>
  <c r="R22" i="100"/>
  <c r="L22" i="100"/>
  <c r="F22" i="100"/>
  <c r="BM21" i="100"/>
  <c r="BL21" i="100"/>
  <c r="BK21" i="100"/>
  <c r="BJ21" i="100"/>
  <c r="BI21" i="100"/>
  <c r="BH21" i="100" s="1"/>
  <c r="BG21" i="100"/>
  <c r="BF21" i="100"/>
  <c r="BE21" i="100"/>
  <c r="BD21" i="100"/>
  <c r="BC21" i="100"/>
  <c r="BB21" i="100"/>
  <c r="AV21" i="100"/>
  <c r="AP21" i="100"/>
  <c r="AJ21" i="100"/>
  <c r="AD21" i="100"/>
  <c r="X21" i="100"/>
  <c r="R21" i="100"/>
  <c r="L21" i="100"/>
  <c r="F21" i="100"/>
  <c r="BM20" i="100"/>
  <c r="BM19" i="100" s="1"/>
  <c r="BM18" i="100" s="1"/>
  <c r="BM39" i="100" s="1"/>
  <c r="BL20" i="100"/>
  <c r="BL19" i="100" s="1"/>
  <c r="BL18" i="100" s="1"/>
  <c r="BL39" i="100" s="1"/>
  <c r="BK20" i="100"/>
  <c r="BK19" i="100" s="1"/>
  <c r="BK18" i="100" s="1"/>
  <c r="BK39" i="100" s="1"/>
  <c r="BJ20" i="100"/>
  <c r="BH20" i="100" s="1"/>
  <c r="BI20" i="100"/>
  <c r="BG20" i="100"/>
  <c r="BF20" i="100"/>
  <c r="BF19" i="100" s="1"/>
  <c r="BF18" i="100" s="1"/>
  <c r="BF39" i="100" s="1"/>
  <c r="BE20" i="100"/>
  <c r="BE19" i="100" s="1"/>
  <c r="BE18" i="100" s="1"/>
  <c r="BE39" i="100" s="1"/>
  <c r="BD20" i="100"/>
  <c r="BD19" i="100" s="1"/>
  <c r="BD18" i="100" s="1"/>
  <c r="BD39" i="100" s="1"/>
  <c r="BC20" i="100"/>
  <c r="BC19" i="100" s="1"/>
  <c r="AV20" i="100"/>
  <c r="AP20" i="100"/>
  <c r="AJ20" i="100"/>
  <c r="AD20" i="100"/>
  <c r="X20" i="100"/>
  <c r="R20" i="100"/>
  <c r="L20" i="100"/>
  <c r="F20" i="100"/>
  <c r="BJ19" i="100"/>
  <c r="BJ18" i="100" s="1"/>
  <c r="BJ39" i="100" s="1"/>
  <c r="BI19" i="100"/>
  <c r="BI18" i="100" s="1"/>
  <c r="BG19" i="100"/>
  <c r="BA19" i="100"/>
  <c r="BA18" i="100" s="1"/>
  <c r="BA39" i="100" s="1"/>
  <c r="AZ19" i="100"/>
  <c r="AZ18" i="100" s="1"/>
  <c r="AZ39" i="100" s="1"/>
  <c r="AY19" i="100"/>
  <c r="AX19" i="100"/>
  <c r="AV19" i="100" s="1"/>
  <c r="AW19" i="100"/>
  <c r="AU19" i="100"/>
  <c r="AT19" i="100"/>
  <c r="AT18" i="100" s="1"/>
  <c r="AT39" i="100" s="1"/>
  <c r="AS19" i="100"/>
  <c r="AS18" i="100" s="1"/>
  <c r="AS39" i="100" s="1"/>
  <c r="AR19" i="100"/>
  <c r="AR18" i="100" s="1"/>
  <c r="AQ19" i="100"/>
  <c r="AO19" i="100"/>
  <c r="AN19" i="100"/>
  <c r="AM19" i="100"/>
  <c r="AL19" i="100"/>
  <c r="AL18" i="100" s="1"/>
  <c r="AL39" i="100" s="1"/>
  <c r="AK19" i="100"/>
  <c r="AK18" i="100" s="1"/>
  <c r="AI19" i="100"/>
  <c r="AH19" i="100"/>
  <c r="AG19" i="100"/>
  <c r="AF19" i="100"/>
  <c r="AE19" i="100"/>
  <c r="AD19" i="100"/>
  <c r="AC19" i="100"/>
  <c r="AC18" i="100" s="1"/>
  <c r="AC39" i="100" s="1"/>
  <c r="AB19" i="100"/>
  <c r="AB18" i="100" s="1"/>
  <c r="AB39" i="100" s="1"/>
  <c r="AA19" i="100"/>
  <c r="Z19" i="100"/>
  <c r="X19" i="100" s="1"/>
  <c r="Y19" i="100"/>
  <c r="W19" i="100"/>
  <c r="V19" i="100"/>
  <c r="V18" i="100" s="1"/>
  <c r="V39" i="100" s="1"/>
  <c r="U19" i="100"/>
  <c r="U18" i="100" s="1"/>
  <c r="U39" i="100" s="1"/>
  <c r="T19" i="100"/>
  <c r="T18" i="100" s="1"/>
  <c r="S19" i="100"/>
  <c r="Q19" i="100"/>
  <c r="P19" i="100"/>
  <c r="O19" i="100"/>
  <c r="N19" i="100"/>
  <c r="N18" i="100" s="1"/>
  <c r="N39" i="100" s="1"/>
  <c r="M19" i="100"/>
  <c r="M18" i="100" s="1"/>
  <c r="K19" i="100"/>
  <c r="J19" i="100"/>
  <c r="I19" i="100"/>
  <c r="H19" i="100"/>
  <c r="G19" i="100"/>
  <c r="F19" i="100"/>
  <c r="BG18" i="100"/>
  <c r="BG39" i="100" s="1"/>
  <c r="AY18" i="100"/>
  <c r="AY39" i="100" s="1"/>
  <c r="AX18" i="100"/>
  <c r="AX39" i="100" s="1"/>
  <c r="AW18" i="100"/>
  <c r="AW39" i="100" s="1"/>
  <c r="AU18" i="100"/>
  <c r="AU39" i="100" s="1"/>
  <c r="AQ18" i="100"/>
  <c r="AQ39" i="100" s="1"/>
  <c r="AO18" i="100"/>
  <c r="AO39" i="100" s="1"/>
  <c r="AN18" i="100"/>
  <c r="AN39" i="100" s="1"/>
  <c r="AM18" i="100"/>
  <c r="AM39" i="100" s="1"/>
  <c r="AI18" i="100"/>
  <c r="AI39" i="100" s="1"/>
  <c r="AH18" i="100"/>
  <c r="AH39" i="100" s="1"/>
  <c r="AG18" i="100"/>
  <c r="AG39" i="100" s="1"/>
  <c r="AF18" i="100"/>
  <c r="AF39" i="100" s="1"/>
  <c r="AE18" i="100"/>
  <c r="AE39" i="100" s="1"/>
  <c r="AA18" i="100"/>
  <c r="AA39" i="100" s="1"/>
  <c r="Z18" i="100"/>
  <c r="Z39" i="100" s="1"/>
  <c r="Y18" i="100"/>
  <c r="Y39" i="100" s="1"/>
  <c r="W18" i="100"/>
  <c r="W39" i="100" s="1"/>
  <c r="S18" i="100"/>
  <c r="S39" i="100" s="1"/>
  <c r="Q18" i="100"/>
  <c r="Q39" i="100" s="1"/>
  <c r="P18" i="100"/>
  <c r="P39" i="100" s="1"/>
  <c r="O18" i="100"/>
  <c r="O39" i="100" s="1"/>
  <c r="K18" i="100"/>
  <c r="K39" i="100" s="1"/>
  <c r="J18" i="100"/>
  <c r="J39" i="100" s="1"/>
  <c r="I18" i="100"/>
  <c r="I39" i="100" s="1"/>
  <c r="H18" i="100"/>
  <c r="H39" i="100" s="1"/>
  <c r="G18" i="100"/>
  <c r="G39" i="100" s="1"/>
  <c r="F39" i="100" s="1"/>
  <c r="D10" i="100"/>
  <c r="H60" i="99"/>
  <c r="G60" i="99"/>
  <c r="F60" i="99"/>
  <c r="H59" i="99"/>
  <c r="G59" i="99"/>
  <c r="F59" i="99"/>
  <c r="H58" i="99"/>
  <c r="H57" i="99" s="1"/>
  <c r="G58" i="99"/>
  <c r="G57" i="99" s="1"/>
  <c r="F58" i="99"/>
  <c r="Z57" i="99"/>
  <c r="Y57" i="99"/>
  <c r="X57" i="99"/>
  <c r="W57" i="99"/>
  <c r="V57" i="99"/>
  <c r="U57" i="99"/>
  <c r="T57" i="99"/>
  <c r="S57" i="99"/>
  <c r="R57" i="99"/>
  <c r="Q57" i="99"/>
  <c r="P57" i="99"/>
  <c r="O57" i="99"/>
  <c r="N57" i="99"/>
  <c r="M57" i="99"/>
  <c r="L57" i="99"/>
  <c r="K57" i="99"/>
  <c r="J57" i="99"/>
  <c r="I57" i="99"/>
  <c r="F57" i="99"/>
  <c r="H56" i="99"/>
  <c r="G56" i="99"/>
  <c r="F56" i="99"/>
  <c r="H55" i="99"/>
  <c r="G55" i="99"/>
  <c r="F55" i="99"/>
  <c r="F54" i="99" s="1"/>
  <c r="Z54" i="99"/>
  <c r="Y54" i="99"/>
  <c r="X54" i="99"/>
  <c r="W54" i="99"/>
  <c r="V54" i="99"/>
  <c r="U54" i="99"/>
  <c r="T54" i="99"/>
  <c r="S54" i="99"/>
  <c r="R54" i="99"/>
  <c r="Q54" i="99"/>
  <c r="P54" i="99"/>
  <c r="O54" i="99"/>
  <c r="N54" i="99"/>
  <c r="M54" i="99"/>
  <c r="L54" i="99"/>
  <c r="K54" i="99"/>
  <c r="J54" i="99"/>
  <c r="I54" i="99"/>
  <c r="H54" i="99"/>
  <c r="G54" i="99"/>
  <c r="H53" i="99"/>
  <c r="G53" i="99"/>
  <c r="F53" i="99"/>
  <c r="H52" i="99"/>
  <c r="G52" i="99"/>
  <c r="G51" i="99" s="1"/>
  <c r="F52" i="99"/>
  <c r="F51" i="99" s="1"/>
  <c r="Z51" i="99"/>
  <c r="Y51" i="99"/>
  <c r="X51" i="99"/>
  <c r="W51" i="99"/>
  <c r="V51" i="99"/>
  <c r="U51" i="99"/>
  <c r="T51" i="99"/>
  <c r="S51" i="99"/>
  <c r="R51" i="99"/>
  <c r="Q51" i="99"/>
  <c r="P51" i="99"/>
  <c r="O51" i="99"/>
  <c r="N51" i="99"/>
  <c r="M51" i="99"/>
  <c r="L51" i="99"/>
  <c r="K51" i="99"/>
  <c r="J51" i="99"/>
  <c r="I51" i="99"/>
  <c r="H51" i="99"/>
  <c r="H50" i="99"/>
  <c r="G50" i="99"/>
  <c r="F50" i="99"/>
  <c r="H49" i="99"/>
  <c r="H48" i="99" s="1"/>
  <c r="G49" i="99"/>
  <c r="F49" i="99"/>
  <c r="Z48" i="99"/>
  <c r="Y48" i="99"/>
  <c r="X48" i="99"/>
  <c r="W48" i="99"/>
  <c r="V48" i="99"/>
  <c r="U48" i="99"/>
  <c r="T48" i="99"/>
  <c r="S48" i="99"/>
  <c r="R48" i="99"/>
  <c r="Q48" i="99"/>
  <c r="P48" i="99"/>
  <c r="O48" i="99"/>
  <c r="N48" i="99"/>
  <c r="M48" i="99"/>
  <c r="L48" i="99"/>
  <c r="K48" i="99"/>
  <c r="J48" i="99"/>
  <c r="I48" i="99"/>
  <c r="G48" i="99"/>
  <c r="F48" i="99"/>
  <c r="H47" i="99"/>
  <c r="G47" i="99"/>
  <c r="F47" i="99"/>
  <c r="H46" i="99"/>
  <c r="G46" i="99"/>
  <c r="G45" i="99" s="1"/>
  <c r="F46" i="99"/>
  <c r="Z45" i="99"/>
  <c r="Y45" i="99"/>
  <c r="X45" i="99"/>
  <c r="W45" i="99"/>
  <c r="V45" i="99"/>
  <c r="U45" i="99"/>
  <c r="T45" i="99"/>
  <c r="S45" i="99"/>
  <c r="R45" i="99"/>
  <c r="Q45" i="99"/>
  <c r="P45" i="99"/>
  <c r="O45" i="99"/>
  <c r="N45" i="99"/>
  <c r="M45" i="99"/>
  <c r="L45" i="99"/>
  <c r="K45" i="99"/>
  <c r="J45" i="99"/>
  <c r="I45" i="99"/>
  <c r="H45" i="99"/>
  <c r="F45" i="99"/>
  <c r="H44" i="99"/>
  <c r="G44" i="99"/>
  <c r="F44" i="99"/>
  <c r="Z42" i="99"/>
  <c r="Y42" i="99"/>
  <c r="X42" i="99"/>
  <c r="W42" i="99"/>
  <c r="V42" i="99"/>
  <c r="U42" i="99"/>
  <c r="T42" i="99"/>
  <c r="S42" i="99"/>
  <c r="R42" i="99"/>
  <c r="Z41" i="99"/>
  <c r="Z20" i="99" s="1"/>
  <c r="Y41" i="99"/>
  <c r="X41" i="99"/>
  <c r="W41" i="99"/>
  <c r="V41" i="99"/>
  <c r="U41" i="99"/>
  <c r="T41" i="99"/>
  <c r="S41" i="99"/>
  <c r="R41" i="99"/>
  <c r="R20" i="99" s="1"/>
  <c r="Q41" i="99"/>
  <c r="H41" i="99" s="1"/>
  <c r="P41" i="99"/>
  <c r="O41" i="99"/>
  <c r="N41" i="99"/>
  <c r="M41" i="99"/>
  <c r="L41" i="99"/>
  <c r="K41" i="99"/>
  <c r="J41" i="99"/>
  <c r="J20" i="99" s="1"/>
  <c r="G20" i="99" s="1"/>
  <c r="I41" i="99"/>
  <c r="F41" i="99" s="1"/>
  <c r="Z40" i="99"/>
  <c r="Y40" i="99"/>
  <c r="Y39" i="99" s="1"/>
  <c r="X40" i="99"/>
  <c r="W40" i="99"/>
  <c r="W39" i="99" s="1"/>
  <c r="V40" i="99"/>
  <c r="V39" i="99" s="1"/>
  <c r="U40" i="99"/>
  <c r="U39" i="99" s="1"/>
  <c r="T40" i="99"/>
  <c r="S40" i="99"/>
  <c r="R40" i="99"/>
  <c r="X39" i="99"/>
  <c r="T39" i="99"/>
  <c r="S39" i="99"/>
  <c r="H38" i="99"/>
  <c r="G38" i="99"/>
  <c r="F38" i="99"/>
  <c r="H37" i="99"/>
  <c r="H36" i="99" s="1"/>
  <c r="G37" i="99"/>
  <c r="F37" i="99"/>
  <c r="Z36" i="99"/>
  <c r="Y36" i="99"/>
  <c r="X36" i="99"/>
  <c r="W36" i="99"/>
  <c r="V36" i="99"/>
  <c r="U36" i="99"/>
  <c r="T36" i="99"/>
  <c r="S36" i="99"/>
  <c r="R36" i="99"/>
  <c r="Q36" i="99"/>
  <c r="P36" i="99"/>
  <c r="O36" i="99"/>
  <c r="N36" i="99"/>
  <c r="M36" i="99"/>
  <c r="L36" i="99"/>
  <c r="K36" i="99"/>
  <c r="J36" i="99"/>
  <c r="I36" i="99"/>
  <c r="G36" i="99"/>
  <c r="F36" i="99"/>
  <c r="H35" i="99"/>
  <c r="G35" i="99"/>
  <c r="F35" i="99"/>
  <c r="H34" i="99"/>
  <c r="G34" i="99"/>
  <c r="G33" i="99" s="1"/>
  <c r="F34" i="99"/>
  <c r="Z33" i="99"/>
  <c r="Y33" i="99"/>
  <c r="X33" i="99"/>
  <c r="W33" i="99"/>
  <c r="V33" i="99"/>
  <c r="U33" i="99"/>
  <c r="T33" i="99"/>
  <c r="S33" i="99"/>
  <c r="R33" i="99"/>
  <c r="Q33" i="99"/>
  <c r="P33" i="99"/>
  <c r="O33" i="99"/>
  <c r="N33" i="99"/>
  <c r="M33" i="99"/>
  <c r="L33" i="99"/>
  <c r="K33" i="99"/>
  <c r="J33" i="99"/>
  <c r="I33" i="99"/>
  <c r="H33" i="99"/>
  <c r="F33" i="99"/>
  <c r="H32" i="99"/>
  <c r="G32" i="99"/>
  <c r="F32" i="99"/>
  <c r="Z30" i="99"/>
  <c r="Y30" i="99"/>
  <c r="X30" i="99"/>
  <c r="W30" i="99"/>
  <c r="V30" i="99"/>
  <c r="U30" i="99"/>
  <c r="T30" i="99"/>
  <c r="S30" i="99"/>
  <c r="R30" i="99"/>
  <c r="H29" i="99"/>
  <c r="G29" i="99"/>
  <c r="F29" i="99"/>
  <c r="Z27" i="99"/>
  <c r="Y27" i="99"/>
  <c r="X27" i="99"/>
  <c r="W27" i="99"/>
  <c r="V27" i="99"/>
  <c r="U27" i="99"/>
  <c r="T27" i="99"/>
  <c r="S27" i="99"/>
  <c r="R27" i="99"/>
  <c r="H26" i="99"/>
  <c r="G26" i="99"/>
  <c r="F26" i="99"/>
  <c r="Z24" i="99"/>
  <c r="Y24" i="99"/>
  <c r="X24" i="99"/>
  <c r="W24" i="99"/>
  <c r="V24" i="99"/>
  <c r="U24" i="99"/>
  <c r="T24" i="99"/>
  <c r="S24" i="99"/>
  <c r="R24" i="99"/>
  <c r="Z23" i="99"/>
  <c r="Y23" i="99"/>
  <c r="X23" i="99"/>
  <c r="X20" i="99" s="1"/>
  <c r="X18" i="99" s="1"/>
  <c r="X61" i="99" s="1"/>
  <c r="W23" i="99"/>
  <c r="W21" i="99" s="1"/>
  <c r="V23" i="99"/>
  <c r="U23" i="99"/>
  <c r="T23" i="99"/>
  <c r="T20" i="99" s="1"/>
  <c r="S23" i="99"/>
  <c r="R23" i="99"/>
  <c r="Q23" i="99"/>
  <c r="P23" i="99"/>
  <c r="P20" i="99" s="1"/>
  <c r="O23" i="99"/>
  <c r="N23" i="99"/>
  <c r="M23" i="99"/>
  <c r="L23" i="99"/>
  <c r="L20" i="99" s="1"/>
  <c r="F20" i="99" s="1"/>
  <c r="K23" i="99"/>
  <c r="J23" i="99"/>
  <c r="I23" i="99"/>
  <c r="H23" i="99"/>
  <c r="G23" i="99"/>
  <c r="F23" i="99"/>
  <c r="Z22" i="99"/>
  <c r="Y22" i="99"/>
  <c r="Y19" i="99" s="1"/>
  <c r="Y18" i="99" s="1"/>
  <c r="Y61" i="99" s="1"/>
  <c r="X22" i="99"/>
  <c r="W22" i="99"/>
  <c r="V22" i="99"/>
  <c r="U22" i="99"/>
  <c r="U21" i="99" s="1"/>
  <c r="T22" i="99"/>
  <c r="T21" i="99" s="1"/>
  <c r="S22" i="99"/>
  <c r="S21" i="99" s="1"/>
  <c r="R22" i="99"/>
  <c r="Z21" i="99"/>
  <c r="Y21" i="99"/>
  <c r="V21" i="99"/>
  <c r="R21" i="99"/>
  <c r="Y20" i="99"/>
  <c r="W20" i="99"/>
  <c r="V20" i="99"/>
  <c r="U20" i="99"/>
  <c r="S20" i="99"/>
  <c r="Q20" i="99"/>
  <c r="O20" i="99"/>
  <c r="N20" i="99"/>
  <c r="M20" i="99"/>
  <c r="K20" i="99"/>
  <c r="I20" i="99"/>
  <c r="Z19" i="99"/>
  <c r="X19" i="99"/>
  <c r="V19" i="99"/>
  <c r="V18" i="99" s="1"/>
  <c r="V61" i="99" s="1"/>
  <c r="T19" i="99"/>
  <c r="S19" i="99"/>
  <c r="S18" i="99" s="1"/>
  <c r="S61" i="99" s="1"/>
  <c r="R19" i="99"/>
  <c r="D10" i="99"/>
  <c r="Q91" i="98"/>
  <c r="P91" i="98"/>
  <c r="O91" i="98"/>
  <c r="N91" i="98"/>
  <c r="M91" i="98"/>
  <c r="L91" i="98"/>
  <c r="K91" i="98"/>
  <c r="J91" i="98"/>
  <c r="I91" i="98"/>
  <c r="H91" i="98"/>
  <c r="Q74" i="98"/>
  <c r="P74" i="98"/>
  <c r="O74" i="98"/>
  <c r="N74" i="98"/>
  <c r="N73" i="98" s="1"/>
  <c r="M74" i="98"/>
  <c r="M73" i="98" s="1"/>
  <c r="L74" i="98"/>
  <c r="L73" i="98" s="1"/>
  <c r="K74" i="98"/>
  <c r="J74" i="98"/>
  <c r="I74" i="98"/>
  <c r="H74" i="98"/>
  <c r="G74" i="98"/>
  <c r="F74" i="98"/>
  <c r="F73" i="98" s="1"/>
  <c r="Q73" i="98"/>
  <c r="P73" i="98"/>
  <c r="O73" i="98"/>
  <c r="K73" i="98"/>
  <c r="J73" i="98"/>
  <c r="I73" i="98"/>
  <c r="H73" i="98"/>
  <c r="G73" i="98"/>
  <c r="Q56" i="98"/>
  <c r="P56" i="98"/>
  <c r="O56" i="98"/>
  <c r="N56" i="98"/>
  <c r="N55" i="98" s="1"/>
  <c r="M56" i="98"/>
  <c r="M55" i="98" s="1"/>
  <c r="L56" i="98"/>
  <c r="L55" i="98" s="1"/>
  <c r="K56" i="98"/>
  <c r="J56" i="98"/>
  <c r="I56" i="98"/>
  <c r="H56" i="98"/>
  <c r="G56" i="98"/>
  <c r="F56" i="98"/>
  <c r="F55" i="98" s="1"/>
  <c r="Q55" i="98"/>
  <c r="P55" i="98"/>
  <c r="O55" i="98"/>
  <c r="K55" i="98"/>
  <c r="J55" i="98"/>
  <c r="I55" i="98"/>
  <c r="H55" i="98"/>
  <c r="G55" i="98"/>
  <c r="Q38" i="98"/>
  <c r="P38" i="98"/>
  <c r="O38" i="98"/>
  <c r="N38" i="98"/>
  <c r="N37" i="98" s="1"/>
  <c r="M38" i="98"/>
  <c r="M37" i="98" s="1"/>
  <c r="L38" i="98"/>
  <c r="L37" i="98" s="1"/>
  <c r="K38" i="98"/>
  <c r="J38" i="98"/>
  <c r="I38" i="98"/>
  <c r="H38" i="98"/>
  <c r="G38" i="98"/>
  <c r="F38" i="98"/>
  <c r="F37" i="98" s="1"/>
  <c r="Q37" i="98"/>
  <c r="P37" i="98"/>
  <c r="O37" i="98"/>
  <c r="K37" i="98"/>
  <c r="J37" i="98"/>
  <c r="I37" i="98"/>
  <c r="H37" i="98"/>
  <c r="G37" i="98"/>
  <c r="Q20" i="98"/>
  <c r="P20" i="98"/>
  <c r="O20" i="98"/>
  <c r="N20" i="98"/>
  <c r="N19" i="98" s="1"/>
  <c r="M20" i="98"/>
  <c r="M19" i="98" s="1"/>
  <c r="L20" i="98"/>
  <c r="L19" i="98" s="1"/>
  <c r="L18" i="98" s="1"/>
  <c r="L94" i="98" s="1"/>
  <c r="K20" i="98"/>
  <c r="J20" i="98"/>
  <c r="I20" i="98"/>
  <c r="H20" i="98"/>
  <c r="G20" i="98"/>
  <c r="F20" i="98"/>
  <c r="F19" i="98" s="1"/>
  <c r="Q19" i="98"/>
  <c r="Q18" i="98" s="1"/>
  <c r="Q94" i="98" s="1"/>
  <c r="P19" i="98"/>
  <c r="P18" i="98" s="1"/>
  <c r="P94" i="98" s="1"/>
  <c r="O19" i="98"/>
  <c r="K19" i="98"/>
  <c r="J19" i="98"/>
  <c r="J18" i="98" s="1"/>
  <c r="J94" i="98" s="1"/>
  <c r="I19" i="98"/>
  <c r="I18" i="98" s="1"/>
  <c r="I94" i="98" s="1"/>
  <c r="H19" i="98"/>
  <c r="H18" i="98" s="1"/>
  <c r="H94" i="98" s="1"/>
  <c r="G19" i="98"/>
  <c r="O18" i="98"/>
  <c r="O94" i="98" s="1"/>
  <c r="K18" i="98"/>
  <c r="K94" i="98" s="1"/>
  <c r="G18" i="98"/>
  <c r="D10" i="98"/>
  <c r="CS90" i="97"/>
  <c r="CL90" i="97"/>
  <c r="CE90" i="97"/>
  <c r="BX90" i="97"/>
  <c r="BQ90" i="97"/>
  <c r="BJ90" i="97"/>
  <c r="BC90" i="97"/>
  <c r="AV90" i="97"/>
  <c r="AO90" i="97"/>
  <c r="AH90" i="97"/>
  <c r="AA90" i="97"/>
  <c r="T90" i="97"/>
  <c r="M90" i="97"/>
  <c r="F90" i="97"/>
  <c r="CS89" i="97"/>
  <c r="CL89" i="97"/>
  <c r="CE89" i="97"/>
  <c r="BX89" i="97"/>
  <c r="BQ89" i="97"/>
  <c r="BJ89" i="97"/>
  <c r="BC89" i="97"/>
  <c r="AV89" i="97"/>
  <c r="AO89" i="97"/>
  <c r="AH89" i="97"/>
  <c r="AA89" i="97"/>
  <c r="T89" i="97"/>
  <c r="M89" i="97"/>
  <c r="F89" i="97"/>
  <c r="CS88" i="97"/>
  <c r="CL88" i="97"/>
  <c r="CE88" i="97"/>
  <c r="BX88" i="97"/>
  <c r="BQ88" i="97"/>
  <c r="BJ88" i="97"/>
  <c r="BC88" i="97"/>
  <c r="AV88" i="97"/>
  <c r="AO88" i="97"/>
  <c r="AH88" i="97"/>
  <c r="AA88" i="97"/>
  <c r="T88" i="97"/>
  <c r="M88" i="97"/>
  <c r="F88" i="97"/>
  <c r="CS87" i="97"/>
  <c r="CL87" i="97"/>
  <c r="CE87" i="97"/>
  <c r="BX87" i="97"/>
  <c r="BQ87" i="97"/>
  <c r="BJ87" i="97"/>
  <c r="BC87" i="97"/>
  <c r="AV87" i="97"/>
  <c r="AO87" i="97"/>
  <c r="AH87" i="97"/>
  <c r="AA87" i="97"/>
  <c r="T87" i="97"/>
  <c r="M87" i="97"/>
  <c r="F87" i="97"/>
  <c r="CS86" i="97"/>
  <c r="CL86" i="97"/>
  <c r="CE86" i="97"/>
  <c r="BX86" i="97"/>
  <c r="BQ86" i="97"/>
  <c r="BJ86" i="97"/>
  <c r="BC86" i="97"/>
  <c r="AV86" i="97"/>
  <c r="AO86" i="97"/>
  <c r="AH86" i="97"/>
  <c r="AA86" i="97"/>
  <c r="T86" i="97"/>
  <c r="M86" i="97"/>
  <c r="F86" i="97"/>
  <c r="CS85" i="97"/>
  <c r="CL85" i="97"/>
  <c r="CE85" i="97"/>
  <c r="BX85" i="97"/>
  <c r="BQ85" i="97"/>
  <c r="BJ85" i="97"/>
  <c r="BC85" i="97"/>
  <c r="AV85" i="97"/>
  <c r="AO85" i="97"/>
  <c r="AH85" i="97"/>
  <c r="AA85" i="97"/>
  <c r="T85" i="97"/>
  <c r="M85" i="97"/>
  <c r="F85" i="97"/>
  <c r="CS84" i="97"/>
  <c r="CL84" i="97"/>
  <c r="CE84" i="97"/>
  <c r="BX84" i="97"/>
  <c r="BQ84" i="97"/>
  <c r="BJ84" i="97"/>
  <c r="BC84" i="97"/>
  <c r="AV84" i="97"/>
  <c r="AO84" i="97"/>
  <c r="AH84" i="97"/>
  <c r="AA84" i="97"/>
  <c r="T84" i="97"/>
  <c r="M84" i="97"/>
  <c r="F84" i="97"/>
  <c r="CS83" i="97"/>
  <c r="CL83" i="97"/>
  <c r="CE83" i="97"/>
  <c r="BX83" i="97"/>
  <c r="BQ83" i="97"/>
  <c r="BJ83" i="97"/>
  <c r="BC83" i="97"/>
  <c r="AV83" i="97"/>
  <c r="AO83" i="97"/>
  <c r="AH83" i="97"/>
  <c r="AA83" i="97"/>
  <c r="T83" i="97"/>
  <c r="M83" i="97"/>
  <c r="F83" i="97"/>
  <c r="CS82" i="97"/>
  <c r="CL82" i="97"/>
  <c r="CE82" i="97"/>
  <c r="BX82" i="97"/>
  <c r="BQ82" i="97"/>
  <c r="BJ82" i="97"/>
  <c r="BC82" i="97"/>
  <c r="AV82" i="97"/>
  <c r="AO82" i="97"/>
  <c r="AH82" i="97"/>
  <c r="AA82" i="97"/>
  <c r="T82" i="97"/>
  <c r="M82" i="97"/>
  <c r="F82" i="97"/>
  <c r="CS81" i="97"/>
  <c r="CL81" i="97"/>
  <c r="CE81" i="97"/>
  <c r="BX81" i="97"/>
  <c r="BQ81" i="97"/>
  <c r="BJ81" i="97"/>
  <c r="BC81" i="97"/>
  <c r="AV81" i="97"/>
  <c r="AO81" i="97"/>
  <c r="AH81" i="97"/>
  <c r="AA81" i="97"/>
  <c r="T81" i="97"/>
  <c r="M81" i="97"/>
  <c r="F81" i="97"/>
  <c r="CS80" i="97"/>
  <c r="CL80" i="97"/>
  <c r="CE80" i="97"/>
  <c r="BX80" i="97"/>
  <c r="BQ80" i="97"/>
  <c r="BJ80" i="97"/>
  <c r="BC80" i="97"/>
  <c r="AV80" i="97"/>
  <c r="AO80" i="97"/>
  <c r="AH80" i="97"/>
  <c r="AA80" i="97"/>
  <c r="T80" i="97"/>
  <c r="M80" i="97"/>
  <c r="F80" i="97"/>
  <c r="CS79" i="97"/>
  <c r="CL79" i="97"/>
  <c r="CE79" i="97"/>
  <c r="BX79" i="97"/>
  <c r="BQ79" i="97"/>
  <c r="BJ79" i="97"/>
  <c r="BC79" i="97"/>
  <c r="AV79" i="97"/>
  <c r="AO79" i="97"/>
  <c r="AH79" i="97"/>
  <c r="AA79" i="97"/>
  <c r="T79" i="97"/>
  <c r="M79" i="97"/>
  <c r="F79" i="97"/>
  <c r="CS78" i="97"/>
  <c r="CL78" i="97"/>
  <c r="CE78" i="97"/>
  <c r="BX78" i="97"/>
  <c r="BQ78" i="97"/>
  <c r="BJ78" i="97"/>
  <c r="BC78" i="97"/>
  <c r="AV78" i="97"/>
  <c r="AO78" i="97"/>
  <c r="AH78" i="97"/>
  <c r="AA78" i="97"/>
  <c r="T78" i="97"/>
  <c r="M78" i="97"/>
  <c r="F78" i="97"/>
  <c r="CS77" i="97"/>
  <c r="CL77" i="97"/>
  <c r="CE77" i="97"/>
  <c r="BX77" i="97"/>
  <c r="BQ77" i="97"/>
  <c r="BJ77" i="97"/>
  <c r="BC77" i="97"/>
  <c r="AV77" i="97"/>
  <c r="AO77" i="97"/>
  <c r="AH77" i="97"/>
  <c r="AA77" i="97"/>
  <c r="T77" i="97"/>
  <c r="M77" i="97"/>
  <c r="F77" i="97"/>
  <c r="CS76" i="97"/>
  <c r="CL76" i="97"/>
  <c r="CE76" i="97"/>
  <c r="BX76" i="97"/>
  <c r="BQ76" i="97"/>
  <c r="BJ76" i="97"/>
  <c r="BC76" i="97"/>
  <c r="AV76" i="97"/>
  <c r="AO76" i="97"/>
  <c r="AH76" i="97"/>
  <c r="AA76" i="97"/>
  <c r="T76" i="97"/>
  <c r="M76" i="97"/>
  <c r="F76" i="97"/>
  <c r="CS75" i="97"/>
  <c r="CL75" i="97"/>
  <c r="CE75" i="97"/>
  <c r="BX75" i="97"/>
  <c r="BQ75" i="97"/>
  <c r="BJ75" i="97"/>
  <c r="BC75" i="97"/>
  <c r="AV75" i="97"/>
  <c r="AO75" i="97"/>
  <c r="AH75" i="97"/>
  <c r="AA75" i="97"/>
  <c r="T75" i="97"/>
  <c r="M75" i="97"/>
  <c r="F75" i="97"/>
  <c r="CY74" i="97"/>
  <c r="CY73" i="97" s="1"/>
  <c r="CX74" i="97"/>
  <c r="CW74" i="97"/>
  <c r="CV74" i="97"/>
  <c r="CV73" i="97" s="1"/>
  <c r="CU74" i="97"/>
  <c r="CU73" i="97" s="1"/>
  <c r="CT74" i="97"/>
  <c r="CR74" i="97"/>
  <c r="CQ74" i="97"/>
  <c r="CP74" i="97"/>
  <c r="CP73" i="97" s="1"/>
  <c r="CO74" i="97"/>
  <c r="CN74" i="97"/>
  <c r="CM74" i="97"/>
  <c r="CK74" i="97"/>
  <c r="CJ74" i="97"/>
  <c r="CI74" i="97"/>
  <c r="CH74" i="97"/>
  <c r="CG74" i="97"/>
  <c r="CG73" i="97" s="1"/>
  <c r="CF74" i="97"/>
  <c r="CD74" i="97"/>
  <c r="CD73" i="97" s="1"/>
  <c r="CC74" i="97"/>
  <c r="CB74" i="97"/>
  <c r="CA74" i="97"/>
  <c r="BZ74" i="97"/>
  <c r="BY74" i="97"/>
  <c r="BW74" i="97"/>
  <c r="BW73" i="97" s="1"/>
  <c r="BV74" i="97"/>
  <c r="BV73" i="97" s="1"/>
  <c r="BU74" i="97"/>
  <c r="BU73" i="97" s="1"/>
  <c r="BT74" i="97"/>
  <c r="BS74" i="97"/>
  <c r="BR74" i="97"/>
  <c r="BP74" i="97"/>
  <c r="BO74" i="97"/>
  <c r="BO73" i="97" s="1"/>
  <c r="BN74" i="97"/>
  <c r="BN73" i="97" s="1"/>
  <c r="BM74" i="97"/>
  <c r="BL74" i="97"/>
  <c r="BL73" i="97" s="1"/>
  <c r="BK74" i="97"/>
  <c r="BI74" i="97"/>
  <c r="BH74" i="97"/>
  <c r="BG74" i="97"/>
  <c r="BG73" i="97" s="1"/>
  <c r="BF74" i="97"/>
  <c r="BF73" i="97" s="1"/>
  <c r="BE74" i="97"/>
  <c r="BD74" i="97"/>
  <c r="BB74" i="97"/>
  <c r="BB73" i="97" s="1"/>
  <c r="BA74" i="97"/>
  <c r="AZ74" i="97"/>
  <c r="AY74" i="97"/>
  <c r="AY73" i="97" s="1"/>
  <c r="AX74" i="97"/>
  <c r="AX73" i="97" s="1"/>
  <c r="AW74" i="97"/>
  <c r="AU74" i="97"/>
  <c r="AU73" i="97" s="1"/>
  <c r="AT74" i="97"/>
  <c r="AS74" i="97"/>
  <c r="AS73" i="97" s="1"/>
  <c r="AR74" i="97"/>
  <c r="AQ74" i="97"/>
  <c r="AQ73" i="97" s="1"/>
  <c r="AP74" i="97"/>
  <c r="AN74" i="97"/>
  <c r="AM74" i="97"/>
  <c r="AL74" i="97"/>
  <c r="AL73" i="97" s="1"/>
  <c r="AK74" i="97"/>
  <c r="AJ74" i="97"/>
  <c r="AJ73" i="97" s="1"/>
  <c r="AI74" i="97"/>
  <c r="AG74" i="97"/>
  <c r="AF74" i="97"/>
  <c r="AE74" i="97"/>
  <c r="AD74" i="97"/>
  <c r="AC74" i="97"/>
  <c r="AA74" i="97" s="1"/>
  <c r="AB74" i="97"/>
  <c r="Z74" i="97"/>
  <c r="Z73" i="97" s="1"/>
  <c r="Y74" i="97"/>
  <c r="X74" i="97"/>
  <c r="W74" i="97"/>
  <c r="V74" i="97"/>
  <c r="U74" i="97"/>
  <c r="U73" i="97" s="1"/>
  <c r="S74" i="97"/>
  <c r="S73" i="97" s="1"/>
  <c r="R74" i="97"/>
  <c r="R73" i="97" s="1"/>
  <c r="Q74" i="97"/>
  <c r="P74" i="97"/>
  <c r="O74" i="97"/>
  <c r="N74" i="97"/>
  <c r="L74" i="97"/>
  <c r="K74" i="97"/>
  <c r="K73" i="97" s="1"/>
  <c r="J74" i="97"/>
  <c r="J73" i="97" s="1"/>
  <c r="I74" i="97"/>
  <c r="H74" i="97"/>
  <c r="G74" i="97"/>
  <c r="CX73" i="97"/>
  <c r="CW73" i="97"/>
  <c r="CR73" i="97"/>
  <c r="CQ73" i="97"/>
  <c r="CO73" i="97"/>
  <c r="CN73" i="97"/>
  <c r="CK73" i="97"/>
  <c r="CJ73" i="97"/>
  <c r="CI73" i="97"/>
  <c r="CH73" i="97"/>
  <c r="CF73" i="97"/>
  <c r="CC73" i="97"/>
  <c r="CB73" i="97"/>
  <c r="CA73" i="97"/>
  <c r="BZ73" i="97"/>
  <c r="BY73" i="97"/>
  <c r="BT73" i="97"/>
  <c r="BS73" i="97"/>
  <c r="BR73" i="97"/>
  <c r="BP73" i="97"/>
  <c r="BM73" i="97"/>
  <c r="BK73" i="97"/>
  <c r="BI73" i="97"/>
  <c r="BH73" i="97"/>
  <c r="BE73" i="97"/>
  <c r="BD73" i="97"/>
  <c r="BA73" i="97"/>
  <c r="AZ73" i="97"/>
  <c r="AW73" i="97"/>
  <c r="AT73" i="97"/>
  <c r="AR73" i="97"/>
  <c r="AN73" i="97"/>
  <c r="AM73" i="97"/>
  <c r="AK73" i="97"/>
  <c r="AG73" i="97"/>
  <c r="AF73" i="97"/>
  <c r="AE73" i="97"/>
  <c r="AD73" i="97"/>
  <c r="AC73" i="97"/>
  <c r="AB73" i="97"/>
  <c r="Y73" i="97"/>
  <c r="X73" i="97"/>
  <c r="W73" i="97"/>
  <c r="V73" i="97"/>
  <c r="Q73" i="97"/>
  <c r="P73" i="97"/>
  <c r="O73" i="97"/>
  <c r="N73" i="97"/>
  <c r="L73" i="97"/>
  <c r="I73" i="97"/>
  <c r="H73" i="97"/>
  <c r="G73" i="97"/>
  <c r="CS72" i="97"/>
  <c r="CL72" i="97"/>
  <c r="CE72" i="97"/>
  <c r="BX72" i="97"/>
  <c r="BQ72" i="97"/>
  <c r="BJ72" i="97"/>
  <c r="BC72" i="97"/>
  <c r="AV72" i="97"/>
  <c r="AO72" i="97"/>
  <c r="AH72" i="97"/>
  <c r="AA72" i="97"/>
  <c r="T72" i="97"/>
  <c r="CS71" i="97"/>
  <c r="CL71" i="97"/>
  <c r="CE71" i="97"/>
  <c r="BX71" i="97"/>
  <c r="BQ71" i="97"/>
  <c r="BJ71" i="97"/>
  <c r="BC71" i="97"/>
  <c r="AV71" i="97"/>
  <c r="AO71" i="97"/>
  <c r="AH71" i="97"/>
  <c r="CS70" i="97"/>
  <c r="CL70" i="97"/>
  <c r="CE70" i="97"/>
  <c r="BX70" i="97"/>
  <c r="BQ70" i="97"/>
  <c r="BJ70" i="97"/>
  <c r="BC70" i="97"/>
  <c r="AV70" i="97"/>
  <c r="AO70" i="97"/>
  <c r="AH70" i="97"/>
  <c r="AA70" i="97"/>
  <c r="T70" i="97"/>
  <c r="CS69" i="97"/>
  <c r="CL69" i="97"/>
  <c r="CE69" i="97"/>
  <c r="BX69" i="97"/>
  <c r="BQ69" i="97"/>
  <c r="BJ69" i="97"/>
  <c r="BC69" i="97"/>
  <c r="AV69" i="97"/>
  <c r="AO69" i="97"/>
  <c r="AH69" i="97"/>
  <c r="AA69" i="97"/>
  <c r="T69" i="97"/>
  <c r="CS68" i="97"/>
  <c r="CL68" i="97"/>
  <c r="CE68" i="97"/>
  <c r="BX68" i="97"/>
  <c r="BQ68" i="97"/>
  <c r="BJ68" i="97"/>
  <c r="BC68" i="97"/>
  <c r="AV68" i="97"/>
  <c r="AO68" i="97"/>
  <c r="AH68" i="97"/>
  <c r="AA68" i="97"/>
  <c r="T68" i="97"/>
  <c r="M68" i="97"/>
  <c r="F68" i="97"/>
  <c r="CS67" i="97"/>
  <c r="CL67" i="97"/>
  <c r="CE67" i="97"/>
  <c r="BX67" i="97"/>
  <c r="BQ67" i="97"/>
  <c r="BJ67" i="97"/>
  <c r="BC67" i="97"/>
  <c r="AV67" i="97"/>
  <c r="AO67" i="97"/>
  <c r="AH67" i="97"/>
  <c r="AA67" i="97"/>
  <c r="T67" i="97"/>
  <c r="M67" i="97"/>
  <c r="F67" i="97"/>
  <c r="BC66" i="97"/>
  <c r="AV66" i="97"/>
  <c r="AO66" i="97"/>
  <c r="AH66" i="97"/>
  <c r="AA66" i="97"/>
  <c r="T66" i="97"/>
  <c r="M66" i="97"/>
  <c r="F66" i="97"/>
  <c r="CS65" i="97"/>
  <c r="CL65" i="97"/>
  <c r="CE65" i="97"/>
  <c r="BX65" i="97"/>
  <c r="BQ65" i="97"/>
  <c r="BJ65" i="97"/>
  <c r="BC65" i="97"/>
  <c r="AV65" i="97"/>
  <c r="AO65" i="97"/>
  <c r="AH65" i="97"/>
  <c r="AA65" i="97"/>
  <c r="T65" i="97"/>
  <c r="M65" i="97"/>
  <c r="F65" i="97"/>
  <c r="CS64" i="97"/>
  <c r="CL64" i="97"/>
  <c r="CE64" i="97"/>
  <c r="BX64" i="97"/>
  <c r="BQ64" i="97"/>
  <c r="BJ64" i="97"/>
  <c r="BC64" i="97"/>
  <c r="AV64" i="97"/>
  <c r="AO64" i="97"/>
  <c r="AH64" i="97"/>
  <c r="AA64" i="97"/>
  <c r="T64" i="97"/>
  <c r="M64" i="97"/>
  <c r="F64" i="97"/>
  <c r="CS63" i="97"/>
  <c r="CL63" i="97"/>
  <c r="CE63" i="97"/>
  <c r="BX63" i="97"/>
  <c r="BQ63" i="97"/>
  <c r="BJ63" i="97"/>
  <c r="BC63" i="97"/>
  <c r="AV63" i="97"/>
  <c r="AO63" i="97"/>
  <c r="AH63" i="97"/>
  <c r="AA63" i="97"/>
  <c r="T63" i="97"/>
  <c r="M63" i="97"/>
  <c r="F63" i="97"/>
  <c r="CS62" i="97"/>
  <c r="CL62" i="97"/>
  <c r="CE62" i="97"/>
  <c r="BX62" i="97"/>
  <c r="BQ62" i="97"/>
  <c r="BJ62" i="97"/>
  <c r="BC62" i="97"/>
  <c r="AV62" i="97"/>
  <c r="AO62" i="97"/>
  <c r="AH62" i="97"/>
  <c r="AA62" i="97"/>
  <c r="T62" i="97"/>
  <c r="M62" i="97"/>
  <c r="F62" i="97"/>
  <c r="CS61" i="97"/>
  <c r="CL61" i="97"/>
  <c r="CE61" i="97"/>
  <c r="BX61" i="97"/>
  <c r="BQ61" i="97"/>
  <c r="BJ61" i="97"/>
  <c r="BC61" i="97"/>
  <c r="AV61" i="97"/>
  <c r="AO61" i="97"/>
  <c r="AH61" i="97"/>
  <c r="AA61" i="97"/>
  <c r="T61" i="97"/>
  <c r="M61" i="97"/>
  <c r="F61" i="97"/>
  <c r="CS60" i="97"/>
  <c r="CL60" i="97"/>
  <c r="CE60" i="97"/>
  <c r="BX60" i="97"/>
  <c r="BQ60" i="97"/>
  <c r="BJ60" i="97"/>
  <c r="BC60" i="97"/>
  <c r="AV60" i="97"/>
  <c r="AO60" i="97"/>
  <c r="AH60" i="97"/>
  <c r="AA60" i="97"/>
  <c r="T60" i="97"/>
  <c r="M60" i="97"/>
  <c r="F60" i="97"/>
  <c r="CS59" i="97"/>
  <c r="CL59" i="97"/>
  <c r="CE59" i="97"/>
  <c r="BX59" i="97"/>
  <c r="BQ59" i="97"/>
  <c r="BJ59" i="97"/>
  <c r="BC59" i="97"/>
  <c r="AV59" i="97"/>
  <c r="AO59" i="97"/>
  <c r="AH59" i="97"/>
  <c r="AA59" i="97"/>
  <c r="T59" i="97"/>
  <c r="M59" i="97"/>
  <c r="F59" i="97"/>
  <c r="CS58" i="97"/>
  <c r="CL58" i="97"/>
  <c r="CE58" i="97"/>
  <c r="BX58" i="97"/>
  <c r="BQ58" i="97"/>
  <c r="BJ58" i="97"/>
  <c r="BC58" i="97"/>
  <c r="AV58" i="97"/>
  <c r="AO58" i="97"/>
  <c r="AH58" i="97"/>
  <c r="AA58" i="97"/>
  <c r="T58" i="97"/>
  <c r="M58" i="97"/>
  <c r="F58" i="97"/>
  <c r="CS57" i="97"/>
  <c r="CL57" i="97"/>
  <c r="CE57" i="97"/>
  <c r="BX57" i="97"/>
  <c r="BQ57" i="97"/>
  <c r="BJ57" i="97"/>
  <c r="BC57" i="97"/>
  <c r="AV57" i="97"/>
  <c r="AO57" i="97"/>
  <c r="AH57" i="97"/>
  <c r="AA57" i="97"/>
  <c r="T57" i="97"/>
  <c r="M57" i="97"/>
  <c r="F57" i="97"/>
  <c r="CY56" i="97"/>
  <c r="CY55" i="97" s="1"/>
  <c r="CX56" i="97"/>
  <c r="CX55" i="97" s="1"/>
  <c r="CW56" i="97"/>
  <c r="CV56" i="97"/>
  <c r="CU56" i="97"/>
  <c r="CT56" i="97"/>
  <c r="CR56" i="97"/>
  <c r="CQ56" i="97"/>
  <c r="CQ55" i="97" s="1"/>
  <c r="CP56" i="97"/>
  <c r="CO56" i="97"/>
  <c r="CN56" i="97"/>
  <c r="CM56" i="97"/>
  <c r="CK56" i="97"/>
  <c r="CJ56" i="97"/>
  <c r="CI56" i="97"/>
  <c r="CH56" i="97"/>
  <c r="CG56" i="97"/>
  <c r="CG55" i="97" s="1"/>
  <c r="CF56" i="97"/>
  <c r="CF55" i="97" s="1"/>
  <c r="CD56" i="97"/>
  <c r="CC56" i="97"/>
  <c r="CB56" i="97"/>
  <c r="CA56" i="97"/>
  <c r="BZ56" i="97"/>
  <c r="BZ55" i="97" s="1"/>
  <c r="BY56" i="97"/>
  <c r="BX56" i="97" s="1"/>
  <c r="BW56" i="97"/>
  <c r="BW55" i="97" s="1"/>
  <c r="BV56" i="97"/>
  <c r="BV55" i="97" s="1"/>
  <c r="BU56" i="97"/>
  <c r="BT56" i="97"/>
  <c r="BS56" i="97"/>
  <c r="BS55" i="97" s="1"/>
  <c r="BR56" i="97"/>
  <c r="BP56" i="97"/>
  <c r="BO56" i="97"/>
  <c r="BN56" i="97"/>
  <c r="BM56" i="97"/>
  <c r="BL56" i="97"/>
  <c r="BK56" i="97"/>
  <c r="BI56" i="97"/>
  <c r="BH56" i="97"/>
  <c r="BG56" i="97"/>
  <c r="BF56" i="97"/>
  <c r="BE56" i="97"/>
  <c r="BE55" i="97" s="1"/>
  <c r="BD56" i="97"/>
  <c r="BC56" i="97" s="1"/>
  <c r="BB56" i="97"/>
  <c r="BB55" i="97" s="1"/>
  <c r="BA56" i="97"/>
  <c r="AZ56" i="97"/>
  <c r="AY56" i="97"/>
  <c r="AX56" i="97"/>
  <c r="AW56" i="97"/>
  <c r="AV56" i="97" s="1"/>
  <c r="AU56" i="97"/>
  <c r="AU55" i="97" s="1"/>
  <c r="AT56" i="97"/>
  <c r="AT55" i="97" s="1"/>
  <c r="AS56" i="97"/>
  <c r="AR56" i="97"/>
  <c r="AQ56" i="97"/>
  <c r="AP56" i="97"/>
  <c r="AN56" i="97"/>
  <c r="AM56" i="97"/>
  <c r="AM55" i="97" s="1"/>
  <c r="AL56" i="97"/>
  <c r="AK56" i="97"/>
  <c r="AK55" i="97" s="1"/>
  <c r="AJ56" i="97"/>
  <c r="AI56" i="97"/>
  <c r="AG56" i="97"/>
  <c r="AF56" i="97"/>
  <c r="AE56" i="97"/>
  <c r="AD56" i="97"/>
  <c r="AC56" i="97"/>
  <c r="AB56" i="97"/>
  <c r="AB55" i="97" s="1"/>
  <c r="Z56" i="97"/>
  <c r="Y56" i="97"/>
  <c r="X56" i="97"/>
  <c r="W56" i="97"/>
  <c r="V56" i="97"/>
  <c r="V55" i="97" s="1"/>
  <c r="U56" i="97"/>
  <c r="T56" i="97" s="1"/>
  <c r="S56" i="97"/>
  <c r="R56" i="97"/>
  <c r="Q56" i="97"/>
  <c r="P56" i="97"/>
  <c r="O56" i="97"/>
  <c r="O55" i="97" s="1"/>
  <c r="N56" i="97"/>
  <c r="L56" i="97"/>
  <c r="K56" i="97"/>
  <c r="J56" i="97"/>
  <c r="I56" i="97"/>
  <c r="H56" i="97"/>
  <c r="G56" i="97"/>
  <c r="CU55" i="97"/>
  <c r="CT55" i="97"/>
  <c r="CR55" i="97"/>
  <c r="CN55" i="97"/>
  <c r="CM55" i="97"/>
  <c r="CK55" i="97"/>
  <c r="CJ55" i="97"/>
  <c r="CD55" i="97"/>
  <c r="CC55" i="97"/>
  <c r="BY55" i="97"/>
  <c r="BP55" i="97"/>
  <c r="BO55" i="97"/>
  <c r="BL55" i="97"/>
  <c r="BI55" i="97"/>
  <c r="BH55" i="97"/>
  <c r="BG55" i="97"/>
  <c r="BF55" i="97"/>
  <c r="BA55" i="97"/>
  <c r="AZ55" i="97"/>
  <c r="AY55" i="97"/>
  <c r="AX55" i="97"/>
  <c r="AW55" i="97"/>
  <c r="AS55" i="97"/>
  <c r="AR55" i="97"/>
  <c r="AQ55" i="97"/>
  <c r="AP55" i="97"/>
  <c r="AN55" i="97"/>
  <c r="AJ55" i="97"/>
  <c r="AI55" i="97"/>
  <c r="AG55" i="97"/>
  <c r="AF55" i="97"/>
  <c r="AC55" i="97"/>
  <c r="Z55" i="97"/>
  <c r="Y55" i="97"/>
  <c r="U55" i="97"/>
  <c r="S55" i="97"/>
  <c r="L55" i="97"/>
  <c r="H55" i="97"/>
  <c r="CS54" i="97"/>
  <c r="CL54" i="97"/>
  <c r="CE54" i="97"/>
  <c r="BX54" i="97"/>
  <c r="BQ54" i="97"/>
  <c r="BJ54" i="97"/>
  <c r="BC54" i="97"/>
  <c r="AV54" i="97"/>
  <c r="AO54" i="97"/>
  <c r="AH54" i="97"/>
  <c r="AA54" i="97"/>
  <c r="T54" i="97"/>
  <c r="M54" i="97"/>
  <c r="F54" i="97"/>
  <c r="CS53" i="97"/>
  <c r="CL53" i="97"/>
  <c r="CE53" i="97"/>
  <c r="BX53" i="97"/>
  <c r="BQ53" i="97"/>
  <c r="BJ53" i="97"/>
  <c r="BC53" i="97"/>
  <c r="AV53" i="97"/>
  <c r="AO53" i="97"/>
  <c r="AH53" i="97"/>
  <c r="AA53" i="97"/>
  <c r="T53" i="97"/>
  <c r="M53" i="97"/>
  <c r="F53" i="97"/>
  <c r="CS52" i="97"/>
  <c r="CL52" i="97"/>
  <c r="CE52" i="97"/>
  <c r="BX52" i="97"/>
  <c r="BQ52" i="97"/>
  <c r="BJ52" i="97"/>
  <c r="BC52" i="97"/>
  <c r="AV52" i="97"/>
  <c r="AO52" i="97"/>
  <c r="AH52" i="97"/>
  <c r="AA52" i="97"/>
  <c r="T52" i="97"/>
  <c r="M52" i="97"/>
  <c r="F52" i="97"/>
  <c r="CS51" i="97"/>
  <c r="CL51" i="97"/>
  <c r="CE51" i="97"/>
  <c r="BX51" i="97"/>
  <c r="BQ51" i="97"/>
  <c r="BJ51" i="97"/>
  <c r="BC51" i="97"/>
  <c r="AV51" i="97"/>
  <c r="AO51" i="97"/>
  <c r="AH51" i="97"/>
  <c r="AA51" i="97"/>
  <c r="T51" i="97"/>
  <c r="M51" i="97"/>
  <c r="F51" i="97"/>
  <c r="CS50" i="97"/>
  <c r="CL50" i="97"/>
  <c r="CE50" i="97"/>
  <c r="BX50" i="97"/>
  <c r="BQ50" i="97"/>
  <c r="BJ50" i="97"/>
  <c r="BC50" i="97"/>
  <c r="AV50" i="97"/>
  <c r="AO50" i="97"/>
  <c r="AH50" i="97"/>
  <c r="AA50" i="97"/>
  <c r="T50" i="97"/>
  <c r="M50" i="97"/>
  <c r="F50" i="97"/>
  <c r="CS49" i="97"/>
  <c r="CL49" i="97"/>
  <c r="CE49" i="97"/>
  <c r="BX49" i="97"/>
  <c r="BQ49" i="97"/>
  <c r="BJ49" i="97"/>
  <c r="BC49" i="97"/>
  <c r="AV49" i="97"/>
  <c r="AO49" i="97"/>
  <c r="AH49" i="97"/>
  <c r="AA49" i="97"/>
  <c r="T49" i="97"/>
  <c r="M49" i="97"/>
  <c r="F49" i="97"/>
  <c r="AA48" i="97"/>
  <c r="T48" i="97"/>
  <c r="M48" i="97"/>
  <c r="F48" i="97"/>
  <c r="CS47" i="97"/>
  <c r="CL47" i="97"/>
  <c r="CE47" i="97"/>
  <c r="BX47" i="97"/>
  <c r="BQ47" i="97"/>
  <c r="BJ47" i="97"/>
  <c r="BC47" i="97"/>
  <c r="AV47" i="97"/>
  <c r="AO47" i="97"/>
  <c r="AH47" i="97"/>
  <c r="AA47" i="97"/>
  <c r="T47" i="97"/>
  <c r="M47" i="97"/>
  <c r="F47" i="97"/>
  <c r="CS46" i="97"/>
  <c r="CL46" i="97"/>
  <c r="CE46" i="97"/>
  <c r="BX46" i="97"/>
  <c r="BQ46" i="97"/>
  <c r="BJ46" i="97"/>
  <c r="BC46" i="97"/>
  <c r="AV46" i="97"/>
  <c r="AO46" i="97"/>
  <c r="AH46" i="97"/>
  <c r="AA46" i="97"/>
  <c r="T46" i="97"/>
  <c r="M46" i="97"/>
  <c r="F46" i="97"/>
  <c r="CS45" i="97"/>
  <c r="CL45" i="97"/>
  <c r="CE45" i="97"/>
  <c r="BX45" i="97"/>
  <c r="BQ45" i="97"/>
  <c r="BJ45" i="97"/>
  <c r="BC45" i="97"/>
  <c r="AV45" i="97"/>
  <c r="AO45" i="97"/>
  <c r="AH45" i="97"/>
  <c r="AA45" i="97"/>
  <c r="T45" i="97"/>
  <c r="M45" i="97"/>
  <c r="F45" i="97"/>
  <c r="CS44" i="97"/>
  <c r="CL44" i="97"/>
  <c r="CE44" i="97"/>
  <c r="BX44" i="97"/>
  <c r="BQ44" i="97"/>
  <c r="BJ44" i="97"/>
  <c r="BC44" i="97"/>
  <c r="AV44" i="97"/>
  <c r="AO44" i="97"/>
  <c r="AH44" i="97"/>
  <c r="AA44" i="97"/>
  <c r="T44" i="97"/>
  <c r="M44" i="97"/>
  <c r="F44" i="97"/>
  <c r="CS43" i="97"/>
  <c r="CL43" i="97"/>
  <c r="CE43" i="97"/>
  <c r="BX43" i="97"/>
  <c r="BQ43" i="97"/>
  <c r="BJ43" i="97"/>
  <c r="BC43" i="97"/>
  <c r="AV43" i="97"/>
  <c r="AO43" i="97"/>
  <c r="AH43" i="97"/>
  <c r="AA43" i="97"/>
  <c r="T43" i="97"/>
  <c r="M43" i="97"/>
  <c r="F43" i="97"/>
  <c r="CS42" i="97"/>
  <c r="CL42" i="97"/>
  <c r="CE42" i="97"/>
  <c r="BX42" i="97"/>
  <c r="BQ42" i="97"/>
  <c r="BJ42" i="97"/>
  <c r="BC42" i="97"/>
  <c r="AV42" i="97"/>
  <c r="AO42" i="97"/>
  <c r="AH42" i="97"/>
  <c r="AA42" i="97"/>
  <c r="T42" i="97"/>
  <c r="M42" i="97"/>
  <c r="F42" i="97"/>
  <c r="CS41" i="97"/>
  <c r="CL41" i="97"/>
  <c r="CE41" i="97"/>
  <c r="BX41" i="97"/>
  <c r="BQ41" i="97"/>
  <c r="BJ41" i="97"/>
  <c r="BC41" i="97"/>
  <c r="AV41" i="97"/>
  <c r="AO41" i="97"/>
  <c r="AH41" i="97"/>
  <c r="AA41" i="97"/>
  <c r="T41" i="97"/>
  <c r="M41" i="97"/>
  <c r="F41" i="97"/>
  <c r="CS40" i="97"/>
  <c r="CL40" i="97"/>
  <c r="CE40" i="97"/>
  <c r="BX40" i="97"/>
  <c r="BQ40" i="97"/>
  <c r="BJ40" i="97"/>
  <c r="BC40" i="97"/>
  <c r="AV40" i="97"/>
  <c r="AO40" i="97"/>
  <c r="AH40" i="97"/>
  <c r="AA40" i="97"/>
  <c r="T40" i="97"/>
  <c r="M40" i="97"/>
  <c r="F40" i="97"/>
  <c r="CS39" i="97"/>
  <c r="CL39" i="97"/>
  <c r="CE39" i="97"/>
  <c r="BX39" i="97"/>
  <c r="BQ39" i="97"/>
  <c r="BJ39" i="97"/>
  <c r="BC39" i="97"/>
  <c r="AV39" i="97"/>
  <c r="AO39" i="97"/>
  <c r="AH39" i="97"/>
  <c r="AA39" i="97"/>
  <c r="T39" i="97"/>
  <c r="M39" i="97"/>
  <c r="F39" i="97"/>
  <c r="CY38" i="97"/>
  <c r="CY37" i="97" s="1"/>
  <c r="CX38" i="97"/>
  <c r="CW38" i="97"/>
  <c r="CV38" i="97"/>
  <c r="CU38" i="97"/>
  <c r="CU37" i="97" s="1"/>
  <c r="CT38" i="97"/>
  <c r="CR38" i="97"/>
  <c r="CQ38" i="97"/>
  <c r="CP38" i="97"/>
  <c r="CO38" i="97"/>
  <c r="CN38" i="97"/>
  <c r="CM38" i="97"/>
  <c r="CM37" i="97" s="1"/>
  <c r="CK38" i="97"/>
  <c r="CK37" i="97" s="1"/>
  <c r="CJ38" i="97"/>
  <c r="CI38" i="97"/>
  <c r="CH38" i="97"/>
  <c r="CG38" i="97"/>
  <c r="CF38" i="97"/>
  <c r="CD38" i="97"/>
  <c r="CD37" i="97" s="1"/>
  <c r="CC38" i="97"/>
  <c r="CB38" i="97"/>
  <c r="CA38" i="97"/>
  <c r="BZ38" i="97"/>
  <c r="BZ37" i="97" s="1"/>
  <c r="BY38" i="97"/>
  <c r="BW38" i="97"/>
  <c r="BV38" i="97"/>
  <c r="BU38" i="97"/>
  <c r="BT38" i="97"/>
  <c r="BS38" i="97"/>
  <c r="BR38" i="97"/>
  <c r="BP38" i="97"/>
  <c r="BP37" i="97" s="1"/>
  <c r="BO38" i="97"/>
  <c r="BN38" i="97"/>
  <c r="BM38" i="97"/>
  <c r="BL38" i="97"/>
  <c r="BK38" i="97"/>
  <c r="BI38" i="97"/>
  <c r="BI37" i="97" s="1"/>
  <c r="BH38" i="97"/>
  <c r="BG38" i="97"/>
  <c r="BF38" i="97"/>
  <c r="BE38" i="97"/>
  <c r="BD38" i="97"/>
  <c r="BB38" i="97"/>
  <c r="BB37" i="97" s="1"/>
  <c r="BA38" i="97"/>
  <c r="AZ38" i="97"/>
  <c r="AY38" i="97"/>
  <c r="AX38" i="97"/>
  <c r="AW38" i="97"/>
  <c r="AU38" i="97"/>
  <c r="AT38" i="97"/>
  <c r="AS38" i="97"/>
  <c r="AR38" i="97"/>
  <c r="AQ38" i="97"/>
  <c r="AP38" i="97"/>
  <c r="AN38" i="97"/>
  <c r="AN37" i="97" s="1"/>
  <c r="AM38" i="97"/>
  <c r="AL38" i="97"/>
  <c r="AK38" i="97"/>
  <c r="AJ38" i="97"/>
  <c r="AI38" i="97"/>
  <c r="AG38" i="97"/>
  <c r="AG37" i="97" s="1"/>
  <c r="AF38" i="97"/>
  <c r="AE38" i="97"/>
  <c r="AD38" i="97"/>
  <c r="AC38" i="97"/>
  <c r="AB38" i="97"/>
  <c r="Z38" i="97"/>
  <c r="Y38" i="97"/>
  <c r="X38" i="97"/>
  <c r="X37" i="97" s="1"/>
  <c r="W38" i="97"/>
  <c r="W37" i="97" s="1"/>
  <c r="V38" i="97"/>
  <c r="U38" i="97"/>
  <c r="S38" i="97"/>
  <c r="S37" i="97" s="1"/>
  <c r="R38" i="97"/>
  <c r="Q38" i="97"/>
  <c r="P38" i="97"/>
  <c r="O38" i="97"/>
  <c r="O37" i="97" s="1"/>
  <c r="N38" i="97"/>
  <c r="N37" i="97" s="1"/>
  <c r="L38" i="97"/>
  <c r="K38" i="97"/>
  <c r="K37" i="97" s="1"/>
  <c r="J38" i="97"/>
  <c r="I38" i="97"/>
  <c r="H38" i="97"/>
  <c r="G38" i="97"/>
  <c r="CX37" i="97"/>
  <c r="CV37" i="97"/>
  <c r="CR37" i="97"/>
  <c r="CQ37" i="97"/>
  <c r="CO37" i="97"/>
  <c r="CN37" i="97"/>
  <c r="CJ37" i="97"/>
  <c r="CG37" i="97"/>
  <c r="CF37" i="97"/>
  <c r="CC37" i="97"/>
  <c r="CA37" i="97"/>
  <c r="BY37" i="97"/>
  <c r="BW37" i="97"/>
  <c r="BV37" i="97"/>
  <c r="BT37" i="97"/>
  <c r="BS37" i="97"/>
  <c r="BR37" i="97"/>
  <c r="BO37" i="97"/>
  <c r="BM37" i="97"/>
  <c r="BL37" i="97"/>
  <c r="BK37" i="97"/>
  <c r="BH37" i="97"/>
  <c r="BD37" i="97"/>
  <c r="BA37" i="97"/>
  <c r="AW37" i="97"/>
  <c r="AU37" i="97"/>
  <c r="AT37" i="97"/>
  <c r="AM37" i="97"/>
  <c r="AI37" i="97"/>
  <c r="AF37" i="97"/>
  <c r="AD37" i="97"/>
  <c r="AC37" i="97"/>
  <c r="AB37" i="97"/>
  <c r="Z37" i="97"/>
  <c r="Y37" i="97"/>
  <c r="V37" i="97"/>
  <c r="U37" i="97"/>
  <c r="R37" i="97"/>
  <c r="Q37" i="97"/>
  <c r="P37" i="97"/>
  <c r="L37" i="97"/>
  <c r="J37" i="97"/>
  <c r="I37" i="97"/>
  <c r="H37" i="97"/>
  <c r="G37" i="97"/>
  <c r="CS36" i="97"/>
  <c r="CL36" i="97"/>
  <c r="CE36" i="97"/>
  <c r="BX36" i="97"/>
  <c r="BQ36" i="97"/>
  <c r="BJ36" i="97"/>
  <c r="BC36" i="97"/>
  <c r="AV36" i="97"/>
  <c r="AO36" i="97"/>
  <c r="AH36" i="97"/>
  <c r="AA36" i="97"/>
  <c r="T36" i="97"/>
  <c r="M36" i="97"/>
  <c r="F36" i="97"/>
  <c r="CS35" i="97"/>
  <c r="CL35" i="97"/>
  <c r="CE35" i="97"/>
  <c r="BX35" i="97"/>
  <c r="BQ35" i="97"/>
  <c r="BJ35" i="97"/>
  <c r="BC35" i="97"/>
  <c r="AV35" i="97"/>
  <c r="AO35" i="97"/>
  <c r="AH35" i="97"/>
  <c r="AA35" i="97"/>
  <c r="T35" i="97"/>
  <c r="M35" i="97"/>
  <c r="F35" i="97"/>
  <c r="CS34" i="97"/>
  <c r="CL34" i="97"/>
  <c r="CE34" i="97"/>
  <c r="BX34" i="97"/>
  <c r="BQ34" i="97"/>
  <c r="BJ34" i="97"/>
  <c r="BC34" i="97"/>
  <c r="AV34" i="97"/>
  <c r="AO34" i="97"/>
  <c r="AH34" i="97"/>
  <c r="AA34" i="97"/>
  <c r="T34" i="97"/>
  <c r="M34" i="97"/>
  <c r="F34" i="97"/>
  <c r="CS33" i="97"/>
  <c r="CL33" i="97"/>
  <c r="CE33" i="97"/>
  <c r="BX33" i="97"/>
  <c r="BQ33" i="97"/>
  <c r="BJ33" i="97"/>
  <c r="BC33" i="97"/>
  <c r="AV33" i="97"/>
  <c r="AO33" i="97"/>
  <c r="AH33" i="97"/>
  <c r="AA33" i="97"/>
  <c r="T33" i="97"/>
  <c r="M33" i="97"/>
  <c r="F33" i="97"/>
  <c r="CS32" i="97"/>
  <c r="CL32" i="97"/>
  <c r="CE32" i="97"/>
  <c r="BX32" i="97"/>
  <c r="BQ32" i="97"/>
  <c r="BJ32" i="97"/>
  <c r="BC32" i="97"/>
  <c r="AV32" i="97"/>
  <c r="AO32" i="97"/>
  <c r="AH32" i="97"/>
  <c r="AA32" i="97"/>
  <c r="T32" i="97"/>
  <c r="M32" i="97"/>
  <c r="F32" i="97"/>
  <c r="CS31" i="97"/>
  <c r="CL31" i="97"/>
  <c r="CE31" i="97"/>
  <c r="BX31" i="97"/>
  <c r="BQ31" i="97"/>
  <c r="BJ31" i="97"/>
  <c r="BC31" i="97"/>
  <c r="AV31" i="97"/>
  <c r="AO31" i="97"/>
  <c r="AH31" i="97"/>
  <c r="AA31" i="97"/>
  <c r="T31" i="97"/>
  <c r="M31" i="97"/>
  <c r="F31" i="97"/>
  <c r="CS30" i="97"/>
  <c r="CL30" i="97"/>
  <c r="CE30" i="97"/>
  <c r="BX30" i="97"/>
  <c r="BQ30" i="97"/>
  <c r="BJ30" i="97"/>
  <c r="BC30" i="97"/>
  <c r="AV30" i="97"/>
  <c r="AO30" i="97"/>
  <c r="AH30" i="97"/>
  <c r="AA30" i="97"/>
  <c r="T30" i="97"/>
  <c r="M30" i="97"/>
  <c r="F30" i="97"/>
  <c r="CS29" i="97"/>
  <c r="CL29" i="97"/>
  <c r="CE29" i="97"/>
  <c r="BX29" i="97"/>
  <c r="BQ29" i="97"/>
  <c r="BJ29" i="97"/>
  <c r="BC29" i="97"/>
  <c r="AV29" i="97"/>
  <c r="AO29" i="97"/>
  <c r="AH29" i="97"/>
  <c r="AA29" i="97"/>
  <c r="T29" i="97"/>
  <c r="M29" i="97"/>
  <c r="F29" i="97"/>
  <c r="CS28" i="97"/>
  <c r="CL28" i="97"/>
  <c r="CE28" i="97"/>
  <c r="BX28" i="97"/>
  <c r="BQ28" i="97"/>
  <c r="BJ28" i="97"/>
  <c r="BC28" i="97"/>
  <c r="AV28" i="97"/>
  <c r="AO28" i="97"/>
  <c r="AH28" i="97"/>
  <c r="AA28" i="97"/>
  <c r="T28" i="97"/>
  <c r="M28" i="97"/>
  <c r="F28" i="97"/>
  <c r="CS27" i="97"/>
  <c r="CL27" i="97"/>
  <c r="CE27" i="97"/>
  <c r="BX27" i="97"/>
  <c r="BQ27" i="97"/>
  <c r="BJ27" i="97"/>
  <c r="BC27" i="97"/>
  <c r="AV27" i="97"/>
  <c r="AO27" i="97"/>
  <c r="AH27" i="97"/>
  <c r="AA27" i="97"/>
  <c r="T27" i="97"/>
  <c r="M27" i="97"/>
  <c r="F27" i="97"/>
  <c r="CS26" i="97"/>
  <c r="CL26" i="97"/>
  <c r="CE26" i="97"/>
  <c r="BX26" i="97"/>
  <c r="BQ26" i="97"/>
  <c r="BJ26" i="97"/>
  <c r="BC26" i="97"/>
  <c r="AV26" i="97"/>
  <c r="AO26" i="97"/>
  <c r="AH26" i="97"/>
  <c r="AA26" i="97"/>
  <c r="T26" i="97"/>
  <c r="M26" i="97"/>
  <c r="F26" i="97"/>
  <c r="CS25" i="97"/>
  <c r="CL25" i="97"/>
  <c r="CE25" i="97"/>
  <c r="BX25" i="97"/>
  <c r="BQ25" i="97"/>
  <c r="BJ25" i="97"/>
  <c r="BC25" i="97"/>
  <c r="AV25" i="97"/>
  <c r="AO25" i="97"/>
  <c r="AH25" i="97"/>
  <c r="AA25" i="97"/>
  <c r="T25" i="97"/>
  <c r="M25" i="97"/>
  <c r="F25" i="97"/>
  <c r="CS24" i="97"/>
  <c r="CL24" i="97"/>
  <c r="CE24" i="97"/>
  <c r="BX24" i="97"/>
  <c r="BQ24" i="97"/>
  <c r="BJ24" i="97"/>
  <c r="BC24" i="97"/>
  <c r="AV24" i="97"/>
  <c r="AO24" i="97"/>
  <c r="AH24" i="97"/>
  <c r="AA24" i="97"/>
  <c r="T24" i="97"/>
  <c r="M24" i="97"/>
  <c r="F24" i="97"/>
  <c r="CS23" i="97"/>
  <c r="CL23" i="97"/>
  <c r="CE23" i="97"/>
  <c r="BX23" i="97"/>
  <c r="BQ23" i="97"/>
  <c r="BJ23" i="97"/>
  <c r="BC23" i="97"/>
  <c r="AV23" i="97"/>
  <c r="AO23" i="97"/>
  <c r="AH23" i="97"/>
  <c r="AA23" i="97"/>
  <c r="T23" i="97"/>
  <c r="M23" i="97"/>
  <c r="F23" i="97"/>
  <c r="CS22" i="97"/>
  <c r="CL22" i="97"/>
  <c r="CE22" i="97"/>
  <c r="BX22" i="97"/>
  <c r="BQ22" i="97"/>
  <c r="BJ22" i="97"/>
  <c r="BC22" i="97"/>
  <c r="AV22" i="97"/>
  <c r="AO22" i="97"/>
  <c r="AH22" i="97"/>
  <c r="AA22" i="97"/>
  <c r="T22" i="97"/>
  <c r="M22" i="97"/>
  <c r="F22" i="97"/>
  <c r="CS21" i="97"/>
  <c r="CL21" i="97"/>
  <c r="CE21" i="97"/>
  <c r="BX21" i="97"/>
  <c r="BQ21" i="97"/>
  <c r="BJ21" i="97"/>
  <c r="BC21" i="97"/>
  <c r="AV21" i="97"/>
  <c r="AO21" i="97"/>
  <c r="AH21" i="97"/>
  <c r="AA21" i="97"/>
  <c r="T21" i="97"/>
  <c r="M21" i="97"/>
  <c r="F21" i="97"/>
  <c r="CY20" i="97"/>
  <c r="CY19" i="97" s="1"/>
  <c r="CX20" i="97"/>
  <c r="CW20" i="97"/>
  <c r="CW19" i="97" s="1"/>
  <c r="CV20" i="97"/>
  <c r="CU20" i="97"/>
  <c r="CT20" i="97"/>
  <c r="CR20" i="97"/>
  <c r="CR19" i="97" s="1"/>
  <c r="CR18" i="97" s="1"/>
  <c r="CR94" i="97" s="1"/>
  <c r="CQ20" i="97"/>
  <c r="CQ19" i="97" s="1"/>
  <c r="CQ18" i="97" s="1"/>
  <c r="CP20" i="97"/>
  <c r="CO20" i="97"/>
  <c r="CO19" i="97" s="1"/>
  <c r="CN20" i="97"/>
  <c r="CM20" i="97"/>
  <c r="CK20" i="97"/>
  <c r="CJ20" i="97"/>
  <c r="CI20" i="97"/>
  <c r="CI19" i="97" s="1"/>
  <c r="CH20" i="97"/>
  <c r="CG20" i="97"/>
  <c r="CF20" i="97"/>
  <c r="CD20" i="97"/>
  <c r="CD19" i="97" s="1"/>
  <c r="CD18" i="97" s="1"/>
  <c r="CC20" i="97"/>
  <c r="CB20" i="97"/>
  <c r="CA20" i="97"/>
  <c r="CA19" i="97" s="1"/>
  <c r="BZ20" i="97"/>
  <c r="BZ19" i="97" s="1"/>
  <c r="BY20" i="97"/>
  <c r="BW20" i="97"/>
  <c r="BV20" i="97"/>
  <c r="BV19" i="97" s="1"/>
  <c r="BU20" i="97"/>
  <c r="BT20" i="97"/>
  <c r="BS20" i="97"/>
  <c r="BR20" i="97"/>
  <c r="BR19" i="97" s="1"/>
  <c r="BP20" i="97"/>
  <c r="BP19" i="97" s="1"/>
  <c r="BO20" i="97"/>
  <c r="BN20" i="97"/>
  <c r="BN19" i="97" s="1"/>
  <c r="BM20" i="97"/>
  <c r="BL20" i="97"/>
  <c r="BK20" i="97"/>
  <c r="BK19" i="97" s="1"/>
  <c r="BI20" i="97"/>
  <c r="BI19" i="97" s="1"/>
  <c r="BH20" i="97"/>
  <c r="BH19" i="97" s="1"/>
  <c r="BG20" i="97"/>
  <c r="BG19" i="97" s="1"/>
  <c r="BF20" i="97"/>
  <c r="BF19" i="97" s="1"/>
  <c r="BE20" i="97"/>
  <c r="BD20" i="97"/>
  <c r="BB20" i="97"/>
  <c r="BA20" i="97"/>
  <c r="BA19" i="97" s="1"/>
  <c r="BA18" i="97" s="1"/>
  <c r="BA94" i="97" s="1"/>
  <c r="AZ20" i="97"/>
  <c r="AZ19" i="97" s="1"/>
  <c r="AY20" i="97"/>
  <c r="AX20" i="97"/>
  <c r="AX19" i="97" s="1"/>
  <c r="AW20" i="97"/>
  <c r="AU20" i="97"/>
  <c r="AU19" i="97" s="1"/>
  <c r="AU18" i="97" s="1"/>
  <c r="AT20" i="97"/>
  <c r="AS20" i="97"/>
  <c r="AS19" i="97" s="1"/>
  <c r="AR20" i="97"/>
  <c r="AQ20" i="97"/>
  <c r="AP20" i="97"/>
  <c r="AN20" i="97"/>
  <c r="AN19" i="97" s="1"/>
  <c r="AM20" i="97"/>
  <c r="AM19" i="97" s="1"/>
  <c r="AL20" i="97"/>
  <c r="AK20" i="97"/>
  <c r="AK19" i="97" s="1"/>
  <c r="AJ20" i="97"/>
  <c r="AI20" i="97"/>
  <c r="AG20" i="97"/>
  <c r="AG19" i="97" s="1"/>
  <c r="AF20" i="97"/>
  <c r="AE20" i="97"/>
  <c r="AE19" i="97" s="1"/>
  <c r="AD20" i="97"/>
  <c r="AC20" i="97"/>
  <c r="AB20" i="97"/>
  <c r="Z20" i="97"/>
  <c r="Z19" i="97" s="1"/>
  <c r="Y20" i="97"/>
  <c r="X20" i="97"/>
  <c r="X19" i="97" s="1"/>
  <c r="W20" i="97"/>
  <c r="W19" i="97" s="1"/>
  <c r="V20" i="97"/>
  <c r="V19" i="97" s="1"/>
  <c r="V18" i="97" s="1"/>
  <c r="V94" i="97" s="1"/>
  <c r="U20" i="97"/>
  <c r="S20" i="97"/>
  <c r="R20" i="97"/>
  <c r="R19" i="97" s="1"/>
  <c r="Q20" i="97"/>
  <c r="Q19" i="97" s="1"/>
  <c r="P20" i="97"/>
  <c r="O20" i="97"/>
  <c r="N20" i="97"/>
  <c r="L20" i="97"/>
  <c r="L19" i="97" s="1"/>
  <c r="L18" i="97" s="1"/>
  <c r="L94" i="97" s="1"/>
  <c r="K20" i="97"/>
  <c r="J20" i="97"/>
  <c r="J19" i="97" s="1"/>
  <c r="I20" i="97"/>
  <c r="H20" i="97"/>
  <c r="G20" i="97"/>
  <c r="G19" i="97" s="1"/>
  <c r="CX19" i="97"/>
  <c r="CV19" i="97"/>
  <c r="CU19" i="97"/>
  <c r="CU18" i="97" s="1"/>
  <c r="CU94" i="97" s="1"/>
  <c r="CP19" i="97"/>
  <c r="CN19" i="97"/>
  <c r="CN18" i="97" s="1"/>
  <c r="CN94" i="97" s="1"/>
  <c r="CM19" i="97"/>
  <c r="CM18" i="97" s="1"/>
  <c r="CK19" i="97"/>
  <c r="CJ19" i="97"/>
  <c r="CH19" i="97"/>
  <c r="CF19" i="97"/>
  <c r="CC19" i="97"/>
  <c r="CC18" i="97" s="1"/>
  <c r="CC94" i="97" s="1"/>
  <c r="CB19" i="97"/>
  <c r="BW19" i="97"/>
  <c r="BU19" i="97"/>
  <c r="BT19" i="97"/>
  <c r="BO19" i="97"/>
  <c r="BO18" i="97" s="1"/>
  <c r="BO94" i="97" s="1"/>
  <c r="BM19" i="97"/>
  <c r="BL19" i="97"/>
  <c r="BE19" i="97"/>
  <c r="BD19" i="97"/>
  <c r="BB19" i="97"/>
  <c r="AY19" i="97"/>
  <c r="AW19" i="97"/>
  <c r="AT19" i="97"/>
  <c r="AR19" i="97"/>
  <c r="AQ19" i="97"/>
  <c r="AL19" i="97"/>
  <c r="AJ19" i="97"/>
  <c r="AI19" i="97"/>
  <c r="AF19" i="97"/>
  <c r="AD19" i="97"/>
  <c r="AB19" i="97"/>
  <c r="Y19" i="97"/>
  <c r="Y18" i="97" s="1"/>
  <c r="Y94" i="97" s="1"/>
  <c r="S19" i="97"/>
  <c r="P19" i="97"/>
  <c r="N19" i="97"/>
  <c r="K19" i="97"/>
  <c r="I19" i="97"/>
  <c r="H19" i="97"/>
  <c r="CJ18" i="97"/>
  <c r="CJ94" i="97" s="1"/>
  <c r="D10" i="97"/>
  <c r="H85" i="96"/>
  <c r="H80" i="96"/>
  <c r="S41" i="96"/>
  <c r="P29" i="96"/>
  <c r="E8" i="96"/>
  <c r="AH19" i="97" l="1"/>
  <c r="CS20" i="97"/>
  <c r="BW18" i="97"/>
  <c r="BW94" i="97" s="1"/>
  <c r="CL56" i="97"/>
  <c r="M20" i="97"/>
  <c r="AG18" i="97"/>
  <c r="AG94" i="97" s="1"/>
  <c r="BD55" i="97"/>
  <c r="Z18" i="97"/>
  <c r="Z94" i="97" s="1"/>
  <c r="CL38" i="97"/>
  <c r="M56" i="97"/>
  <c r="AO56" i="97"/>
  <c r="BC20" i="97"/>
  <c r="CE38" i="97"/>
  <c r="AV55" i="97"/>
  <c r="CL74" i="97"/>
  <c r="AU94" i="97"/>
  <c r="AA38" i="97"/>
  <c r="AN18" i="97"/>
  <c r="AN94" i="97" s="1"/>
  <c r="BZ18" i="97"/>
  <c r="BZ94" i="97" s="1"/>
  <c r="M73" i="97"/>
  <c r="CE74" i="97"/>
  <c r="CX18" i="97"/>
  <c r="CX94" i="97" s="1"/>
  <c r="BV18" i="97"/>
  <c r="BV94" i="97" s="1"/>
  <c r="BH18" i="97"/>
  <c r="BH94" i="97" s="1"/>
  <c r="AO20" i="97"/>
  <c r="H18" i="97"/>
  <c r="H94" i="97" s="1"/>
  <c r="BJ38" i="97"/>
  <c r="AH56" i="97"/>
  <c r="CE73" i="97"/>
  <c r="AH74" i="97"/>
  <c r="BJ74" i="97"/>
  <c r="CK18" i="97"/>
  <c r="CK94" i="97" s="1"/>
  <c r="BI18" i="97"/>
  <c r="BI94" i="97" s="1"/>
  <c r="BQ20" i="97"/>
  <c r="AE37" i="97"/>
  <c r="AA37" i="97" s="1"/>
  <c r="AO38" i="97"/>
  <c r="T37" i="97"/>
  <c r="CL19" i="97"/>
  <c r="AF18" i="97"/>
  <c r="AF94" i="97" s="1"/>
  <c r="BL18" i="97"/>
  <c r="BL94" i="97" s="1"/>
  <c r="AV73" i="97"/>
  <c r="BX73" i="97"/>
  <c r="T74" i="97"/>
  <c r="AW18" i="97"/>
  <c r="AW94" i="97" s="1"/>
  <c r="CD94" i="97"/>
  <c r="BD18" i="97"/>
  <c r="BD94" i="97" s="1"/>
  <c r="AH38" i="97"/>
  <c r="BQ56" i="97"/>
  <c r="CS56" i="97"/>
  <c r="AA73" i="97"/>
  <c r="AV74" i="97"/>
  <c r="BX74" i="97"/>
  <c r="AA20" i="97"/>
  <c r="AI18" i="97"/>
  <c r="AI94" i="97" s="1"/>
  <c r="M38" i="97"/>
  <c r="BB18" i="97"/>
  <c r="BB94" i="97" s="1"/>
  <c r="F56" i="97"/>
  <c r="M74" i="97"/>
  <c r="T20" i="97"/>
  <c r="AV20" i="97"/>
  <c r="CE20" i="97"/>
  <c r="CY18" i="97"/>
  <c r="CY94" i="97" s="1"/>
  <c r="CH37" i="97"/>
  <c r="F38" i="97"/>
  <c r="BC38" i="97"/>
  <c r="BC55" i="97"/>
  <c r="BJ56" i="97"/>
  <c r="AO74" i="97"/>
  <c r="BQ74" i="97"/>
  <c r="BP18" i="97"/>
  <c r="BP94" i="97" s="1"/>
  <c r="BX20" i="97"/>
  <c r="CQ94" i="97"/>
  <c r="T38" i="97"/>
  <c r="AO55" i="97"/>
  <c r="F73" i="97"/>
  <c r="T73" i="97"/>
  <c r="F74" i="97"/>
  <c r="CS74" i="97"/>
  <c r="AM18" i="97"/>
  <c r="AM94" i="97" s="1"/>
  <c r="BC19" i="97"/>
  <c r="F19" i="97"/>
  <c r="BJ19" i="97"/>
  <c r="M37" i="97"/>
  <c r="S18" i="97"/>
  <c r="S94" i="97" s="1"/>
  <c r="AV19" i="97"/>
  <c r="F20" i="97"/>
  <c r="BJ20" i="97"/>
  <c r="AV38" i="97"/>
  <c r="BX38" i="97"/>
  <c r="BJ73" i="97"/>
  <c r="R18" i="99"/>
  <c r="R61" i="99" s="1"/>
  <c r="AV39" i="100"/>
  <c r="T39" i="100"/>
  <c r="R18" i="100"/>
  <c r="BB19" i="100"/>
  <c r="BC18" i="100"/>
  <c r="AB18" i="97"/>
  <c r="CF18" i="97"/>
  <c r="AP19" i="97"/>
  <c r="CT19" i="97"/>
  <c r="F37" i="97"/>
  <c r="BQ38" i="97"/>
  <c r="T18" i="99"/>
  <c r="T61" i="99" s="1"/>
  <c r="M39" i="100"/>
  <c r="L39" i="100" s="1"/>
  <c r="L18" i="100"/>
  <c r="X39" i="100"/>
  <c r="AT18" i="97"/>
  <c r="AT94" i="97" s="1"/>
  <c r="AH20" i="97"/>
  <c r="CL20" i="97"/>
  <c r="CS38" i="97"/>
  <c r="CT37" i="97"/>
  <c r="BC73" i="97"/>
  <c r="U19" i="97"/>
  <c r="AC19" i="97"/>
  <c r="AC18" i="97" s="1"/>
  <c r="AC94" i="97" s="1"/>
  <c r="BY19" i="97"/>
  <c r="CG19" i="97"/>
  <c r="CG18" i="97" s="1"/>
  <c r="CG94" i="97" s="1"/>
  <c r="M18" i="98"/>
  <c r="M94" i="98" s="1"/>
  <c r="Z18" i="99"/>
  <c r="Z61" i="99" s="1"/>
  <c r="AR39" i="100"/>
  <c r="AP18" i="100"/>
  <c r="AP37" i="97"/>
  <c r="F18" i="98"/>
  <c r="N18" i="98"/>
  <c r="N94" i="98" s="1"/>
  <c r="AD39" i="100"/>
  <c r="AP39" i="100"/>
  <c r="R39" i="100"/>
  <c r="O19" i="97"/>
  <c r="O18" i="97" s="1"/>
  <c r="O94" i="97" s="1"/>
  <c r="BS19" i="97"/>
  <c r="BS18" i="97" s="1"/>
  <c r="BS94" i="97" s="1"/>
  <c r="BQ73" i="97"/>
  <c r="H20" i="99"/>
  <c r="AK39" i="100"/>
  <c r="AJ39" i="100" s="1"/>
  <c r="AJ18" i="100"/>
  <c r="BI39" i="100"/>
  <c r="BH39" i="100" s="1"/>
  <c r="BH18" i="100"/>
  <c r="AA56" i="97"/>
  <c r="CE56" i="97"/>
  <c r="BC74" i="97"/>
  <c r="F18" i="100"/>
  <c r="AD18" i="100"/>
  <c r="R19" i="100"/>
  <c r="AP19" i="100"/>
  <c r="BB20" i="100"/>
  <c r="N55" i="97"/>
  <c r="AL55" i="97"/>
  <c r="BR55" i="97"/>
  <c r="AP73" i="97"/>
  <c r="AO73" i="97" s="1"/>
  <c r="CT73" i="97"/>
  <c r="CS73" i="97" s="1"/>
  <c r="G41" i="99"/>
  <c r="G55" i="97"/>
  <c r="BK55" i="97"/>
  <c r="AI73" i="97"/>
  <c r="AH73" i="97" s="1"/>
  <c r="CM73" i="97"/>
  <c r="CL73" i="97" s="1"/>
  <c r="X21" i="99"/>
  <c r="R39" i="99"/>
  <c r="Z39" i="99"/>
  <c r="X18" i="100"/>
  <c r="AV18" i="100"/>
  <c r="L19" i="100"/>
  <c r="AJ19" i="100"/>
  <c r="BH19" i="100"/>
  <c r="U19" i="99"/>
  <c r="U18" i="99" s="1"/>
  <c r="U61" i="99" s="1"/>
  <c r="W19" i="99"/>
  <c r="W18" i="99" s="1"/>
  <c r="W61" i="99" s="1"/>
  <c r="M19" i="97" l="1"/>
  <c r="CE19" i="97"/>
  <c r="G18" i="97"/>
  <c r="BR18" i="97"/>
  <c r="G94" i="97"/>
  <c r="CS19" i="97"/>
  <c r="CT18" i="97"/>
  <c r="CM94" i="97"/>
  <c r="AO19" i="97"/>
  <c r="AP18" i="97"/>
  <c r="BK18" i="97"/>
  <c r="BX19" i="97"/>
  <c r="BY18" i="97"/>
  <c r="AB94" i="97"/>
  <c r="AA19" i="97"/>
  <c r="N18" i="97"/>
  <c r="AH55" i="97"/>
  <c r="CF94" i="97"/>
  <c r="T19" i="97"/>
  <c r="U18" i="97"/>
  <c r="BC39" i="100"/>
  <c r="BB39" i="100" s="1"/>
  <c r="BB18" i="100"/>
  <c r="BQ19" i="97"/>
  <c r="U94" i="97" l="1"/>
  <c r="AP94" i="97"/>
  <c r="BK94" i="97"/>
  <c r="BY94" i="97"/>
  <c r="BR94" i="97"/>
  <c r="N94" i="97"/>
  <c r="CT94" i="97"/>
  <c r="F82" i="84"/>
  <c r="J82" i="84"/>
  <c r="K82" i="84"/>
  <c r="M82" i="84"/>
  <c r="Q82" i="84"/>
  <c r="R82" i="84"/>
  <c r="T82" i="84"/>
  <c r="U82" i="84"/>
  <c r="X82" i="84"/>
  <c r="Y82" i="84"/>
  <c r="AA82" i="84"/>
  <c r="AB82" i="84"/>
  <c r="AE82" i="84"/>
  <c r="AF82" i="84"/>
  <c r="AH82" i="84"/>
  <c r="AL82" i="84"/>
  <c r="AM82" i="84"/>
  <c r="AO82" i="84"/>
  <c r="AS82" i="84"/>
  <c r="AT82" i="84"/>
  <c r="AV82" i="84"/>
  <c r="AZ82" i="84"/>
  <c r="BA82" i="84"/>
  <c r="BC82" i="84"/>
  <c r="BG82" i="84"/>
  <c r="BH82" i="84"/>
  <c r="BJ82" i="84"/>
  <c r="BK82" i="84"/>
  <c r="BN82" i="84"/>
  <c r="BO82" i="84"/>
  <c r="BQ82" i="84"/>
  <c r="BR82" i="84"/>
  <c r="BU82" i="84"/>
  <c r="BV82" i="84"/>
  <c r="BX82" i="84"/>
  <c r="BY82" i="84"/>
  <c r="CB82" i="84"/>
  <c r="CC82" i="84"/>
  <c r="CE82" i="84"/>
  <c r="CF82" i="84"/>
  <c r="CI82" i="84"/>
  <c r="CJ82" i="84"/>
  <c r="CL82" i="84"/>
  <c r="CM82" i="84"/>
  <c r="CP82" i="84"/>
  <c r="CQ82" i="84"/>
  <c r="CS82" i="84"/>
  <c r="CT82" i="84"/>
  <c r="CW82" i="84"/>
  <c r="CX82" i="84"/>
  <c r="F28" i="84"/>
  <c r="G28" i="84"/>
  <c r="H28" i="84"/>
  <c r="I28" i="84"/>
  <c r="J28" i="84"/>
  <c r="K28" i="84"/>
  <c r="L28" i="84"/>
  <c r="M28" i="84"/>
  <c r="N28" i="84"/>
  <c r="O28" i="84"/>
  <c r="P28" i="84"/>
  <c r="Q28" i="84"/>
  <c r="Q9" i="84" s="1"/>
  <c r="R28" i="84"/>
  <c r="S28" i="84"/>
  <c r="T28" i="84"/>
  <c r="U28" i="84"/>
  <c r="V28" i="84"/>
  <c r="W28" i="84"/>
  <c r="X28" i="84"/>
  <c r="Y28" i="84"/>
  <c r="Z28" i="84"/>
  <c r="AA28" i="84"/>
  <c r="AB28" i="84"/>
  <c r="AC28" i="84"/>
  <c r="AD28" i="84"/>
  <c r="AE28" i="84"/>
  <c r="AE9" i="84" s="1"/>
  <c r="AF28" i="84"/>
  <c r="AH28" i="84"/>
  <c r="AL28" i="84"/>
  <c r="AM28" i="84"/>
  <c r="AM9" i="84" s="1"/>
  <c r="AO28" i="84"/>
  <c r="AS28" i="84"/>
  <c r="AT28" i="84"/>
  <c r="AV28" i="84"/>
  <c r="AZ28" i="84"/>
  <c r="BA28" i="84"/>
  <c r="BC28" i="84"/>
  <c r="BG28" i="84"/>
  <c r="BH28" i="84"/>
  <c r="BJ28" i="84"/>
  <c r="BK28" i="84"/>
  <c r="BK9" i="84" s="1"/>
  <c r="BN28" i="84"/>
  <c r="BN9" i="84" s="1"/>
  <c r="BO28" i="84"/>
  <c r="BQ28" i="84"/>
  <c r="BR28" i="84"/>
  <c r="BS28" i="84"/>
  <c r="BU28" i="84"/>
  <c r="BV28" i="84"/>
  <c r="BX28" i="84"/>
  <c r="BY28" i="84"/>
  <c r="BZ28" i="84"/>
  <c r="CB28" i="84"/>
  <c r="CC28" i="84"/>
  <c r="CC9" i="84" s="1"/>
  <c r="CE28" i="84"/>
  <c r="CF28" i="84"/>
  <c r="CG28" i="84"/>
  <c r="CI28" i="84"/>
  <c r="CJ28" i="84"/>
  <c r="CL28" i="84"/>
  <c r="CL9" i="84" s="1"/>
  <c r="CM28" i="84"/>
  <c r="CN28" i="84"/>
  <c r="CP28" i="84"/>
  <c r="CP9" i="84" s="1"/>
  <c r="CQ28" i="84"/>
  <c r="CQ9" i="84" s="1"/>
  <c r="CS28" i="84"/>
  <c r="CT28" i="84"/>
  <c r="CU28" i="84"/>
  <c r="CW28" i="84"/>
  <c r="CX28" i="84"/>
  <c r="E28" i="84"/>
  <c r="F46" i="84"/>
  <c r="J46" i="84"/>
  <c r="K46" i="84"/>
  <c r="M46" i="84"/>
  <c r="M9" i="84" s="1"/>
  <c r="Q46" i="84"/>
  <c r="R46" i="84"/>
  <c r="T46" i="84"/>
  <c r="U46" i="84"/>
  <c r="U9" i="84" s="1"/>
  <c r="X46" i="84"/>
  <c r="Y46" i="84"/>
  <c r="AA46" i="84"/>
  <c r="AB46" i="84"/>
  <c r="AE46" i="84"/>
  <c r="AF46" i="84"/>
  <c r="AG46" i="84"/>
  <c r="AH46" i="84"/>
  <c r="AI46" i="84"/>
  <c r="AJ46" i="84"/>
  <c r="AK46" i="84"/>
  <c r="AL46" i="84"/>
  <c r="AM46" i="84"/>
  <c r="AN46" i="84"/>
  <c r="AO46" i="84"/>
  <c r="AP46" i="84"/>
  <c r="AQ46" i="84"/>
  <c r="AR46" i="84"/>
  <c r="AS46" i="84"/>
  <c r="AS9" i="84" s="1"/>
  <c r="AT46" i="84"/>
  <c r="AU46" i="84"/>
  <c r="AV46" i="84"/>
  <c r="AW46" i="84"/>
  <c r="AX46" i="84"/>
  <c r="AY46" i="84"/>
  <c r="AZ46" i="84"/>
  <c r="BA46" i="84"/>
  <c r="BA9" i="84" s="1"/>
  <c r="BB46" i="84"/>
  <c r="BC46" i="84"/>
  <c r="BD46" i="84"/>
  <c r="BE46" i="84"/>
  <c r="BF46" i="84"/>
  <c r="BG46" i="84"/>
  <c r="BH46" i="84"/>
  <c r="BJ46" i="84"/>
  <c r="BK46" i="84"/>
  <c r="BN46" i="84"/>
  <c r="BO46" i="84"/>
  <c r="BQ46" i="84"/>
  <c r="BQ9" i="84" s="1"/>
  <c r="BR46" i="84"/>
  <c r="BU46" i="84"/>
  <c r="BV46" i="84"/>
  <c r="BX46" i="84"/>
  <c r="BY46" i="84"/>
  <c r="BY9" i="84" s="1"/>
  <c r="CB46" i="84"/>
  <c r="CC46" i="84"/>
  <c r="CE46" i="84"/>
  <c r="CF46" i="84"/>
  <c r="CI46" i="84"/>
  <c r="CJ46" i="84"/>
  <c r="CL46" i="84"/>
  <c r="CM46" i="84"/>
  <c r="CP46" i="84"/>
  <c r="CQ46" i="84"/>
  <c r="CS46" i="84"/>
  <c r="CT46" i="84"/>
  <c r="CW46" i="84"/>
  <c r="CW9" i="84" s="1"/>
  <c r="CX46" i="84"/>
  <c r="J9" i="84"/>
  <c r="K9" i="84"/>
  <c r="R9" i="84"/>
  <c r="T9" i="84"/>
  <c r="X9" i="84"/>
  <c r="Y9" i="84"/>
  <c r="AA9" i="84"/>
  <c r="AB9" i="84"/>
  <c r="AF9" i="84"/>
  <c r="AH9" i="84"/>
  <c r="AL9" i="84"/>
  <c r="AO9" i="84"/>
  <c r="AT9" i="84"/>
  <c r="AV9" i="84"/>
  <c r="AZ9" i="84"/>
  <c r="BC9" i="84"/>
  <c r="BG9" i="84"/>
  <c r="BH9" i="84"/>
  <c r="BJ9" i="84"/>
  <c r="BO9" i="84"/>
  <c r="BR9" i="84"/>
  <c r="BU9" i="84"/>
  <c r="BV9" i="84"/>
  <c r="BX9" i="84"/>
  <c r="CB9" i="84"/>
  <c r="CE9" i="84"/>
  <c r="CF9" i="84"/>
  <c r="CI9" i="84"/>
  <c r="CJ9" i="84"/>
  <c r="CM9" i="84"/>
  <c r="CS9" i="84"/>
  <c r="CT9" i="84"/>
  <c r="CX9" i="84"/>
  <c r="F9" i="84"/>
  <c r="H23" i="82"/>
  <c r="H22" i="82"/>
  <c r="H20" i="82"/>
  <c r="H19" i="82"/>
  <c r="G23" i="82"/>
  <c r="G22" i="82"/>
  <c r="G19" i="82"/>
  <c r="G20" i="82"/>
  <c r="I269" i="1"/>
  <c r="G11" i="58"/>
  <c r="G8" i="58" s="1"/>
  <c r="H13" i="82" l="1"/>
  <c r="H12" i="82"/>
  <c r="G13" i="82"/>
  <c r="G12" i="82"/>
  <c r="G13" i="58" l="1"/>
  <c r="G12" i="58"/>
  <c r="C22" i="1" l="1"/>
  <c r="E3" i="76" l="1"/>
  <c r="L732" i="76"/>
  <c r="L731" i="76"/>
  <c r="J707" i="76"/>
  <c r="I707" i="76"/>
  <c r="G708" i="76"/>
  <c r="F708" i="76"/>
  <c r="G707" i="76"/>
  <c r="F707" i="76"/>
  <c r="P732" i="76" l="1"/>
  <c r="N732" i="76"/>
  <c r="M732" i="76"/>
  <c r="K732" i="76"/>
  <c r="J732" i="76"/>
  <c r="I732" i="76"/>
  <c r="H732" i="76"/>
  <c r="G732" i="76"/>
  <c r="F732" i="76"/>
  <c r="P731" i="76"/>
  <c r="N731" i="76"/>
  <c r="M731" i="76"/>
  <c r="K731" i="76"/>
  <c r="J731" i="76"/>
  <c r="I731" i="76"/>
  <c r="H731" i="76"/>
  <c r="G731" i="76"/>
  <c r="F731" i="76"/>
  <c r="S730" i="76"/>
  <c r="R730" i="76"/>
  <c r="Q730" i="76"/>
  <c r="P730" i="76"/>
  <c r="K730" i="76"/>
  <c r="J730" i="76"/>
  <c r="I730" i="76"/>
  <c r="H730" i="76"/>
  <c r="G730" i="76"/>
  <c r="S729" i="76"/>
  <c r="R729" i="76"/>
  <c r="Q729" i="76"/>
  <c r="P729" i="76"/>
  <c r="K729" i="76"/>
  <c r="J729" i="76"/>
  <c r="I729" i="76"/>
  <c r="H729" i="76"/>
  <c r="G729" i="76"/>
  <c r="S728" i="76"/>
  <c r="R728" i="76"/>
  <c r="Q728" i="76"/>
  <c r="P728" i="76"/>
  <c r="K728" i="76"/>
  <c r="J728" i="76"/>
  <c r="I728" i="76"/>
  <c r="H728" i="76"/>
  <c r="G728" i="76"/>
  <c r="S726" i="76"/>
  <c r="R726" i="76"/>
  <c r="Q726" i="76"/>
  <c r="O726" i="76"/>
  <c r="N726" i="76"/>
  <c r="P726" i="76" s="1"/>
  <c r="K726" i="76"/>
  <c r="J726" i="76"/>
  <c r="I726" i="76"/>
  <c r="H726" i="76"/>
  <c r="G726" i="76"/>
  <c r="P725" i="76"/>
  <c r="P724" i="76"/>
  <c r="K724" i="76"/>
  <c r="J724" i="76"/>
  <c r="I724" i="76"/>
  <c r="S722" i="76"/>
  <c r="R722" i="76"/>
  <c r="R719" i="76" s="1"/>
  <c r="Q722" i="76"/>
  <c r="O722" i="76"/>
  <c r="N722" i="76"/>
  <c r="P722" i="76" s="1"/>
  <c r="P721" i="76"/>
  <c r="M721" i="76"/>
  <c r="L721" i="76"/>
  <c r="K721" i="76"/>
  <c r="H721" i="76"/>
  <c r="S719" i="76"/>
  <c r="Q719" i="76"/>
  <c r="O719" i="76"/>
  <c r="S709" i="76"/>
  <c r="R709" i="76"/>
  <c r="Q709" i="76"/>
  <c r="O709" i="76"/>
  <c r="N709" i="76"/>
  <c r="G743" i="76" s="1"/>
  <c r="P708" i="76"/>
  <c r="L708" i="76"/>
  <c r="K708" i="76"/>
  <c r="H708" i="76"/>
  <c r="P707" i="76"/>
  <c r="K707" i="76"/>
  <c r="J709" i="76"/>
  <c r="I709" i="76"/>
  <c r="K709" i="76" s="1"/>
  <c r="G709" i="76"/>
  <c r="F709" i="76"/>
  <c r="K696" i="76"/>
  <c r="H696" i="76"/>
  <c r="K695" i="76"/>
  <c r="H695" i="76"/>
  <c r="K693" i="76"/>
  <c r="H693" i="76"/>
  <c r="K692" i="76"/>
  <c r="H692" i="76"/>
  <c r="K691" i="76"/>
  <c r="H691" i="76"/>
  <c r="K690" i="76"/>
  <c r="H690" i="76"/>
  <c r="K688" i="76"/>
  <c r="H688" i="76"/>
  <c r="K687" i="76"/>
  <c r="H687" i="76"/>
  <c r="K686" i="76"/>
  <c r="H686" i="76"/>
  <c r="K685" i="76"/>
  <c r="H685" i="76"/>
  <c r="K683" i="76"/>
  <c r="H683" i="76"/>
  <c r="K682" i="76"/>
  <c r="H682" i="76"/>
  <c r="K681" i="76"/>
  <c r="H681" i="76"/>
  <c r="K680" i="76"/>
  <c r="H680" i="76"/>
  <c r="K679" i="76"/>
  <c r="H679" i="76"/>
  <c r="K678" i="76"/>
  <c r="H678" i="76"/>
  <c r="K676" i="76"/>
  <c r="J676" i="76"/>
  <c r="J674" i="76" s="1"/>
  <c r="J697" i="76" s="1"/>
  <c r="I676" i="76"/>
  <c r="G676" i="76"/>
  <c r="G674" i="76" s="1"/>
  <c r="G697" i="76" s="1"/>
  <c r="F676" i="76"/>
  <c r="H676" i="76" s="1"/>
  <c r="I674" i="76"/>
  <c r="I697" i="76" s="1"/>
  <c r="K697" i="76" s="1"/>
  <c r="K673" i="76"/>
  <c r="H673" i="76"/>
  <c r="K672" i="76"/>
  <c r="H672" i="76"/>
  <c r="K671" i="76"/>
  <c r="H671" i="76"/>
  <c r="K670" i="76"/>
  <c r="H670" i="76"/>
  <c r="K669" i="76"/>
  <c r="H669" i="76"/>
  <c r="K668" i="76"/>
  <c r="H668" i="76"/>
  <c r="K666" i="76"/>
  <c r="H666" i="76"/>
  <c r="K665" i="76"/>
  <c r="H665" i="76"/>
  <c r="K664" i="76"/>
  <c r="H664" i="76"/>
  <c r="K663" i="76"/>
  <c r="H663" i="76"/>
  <c r="K662" i="76"/>
  <c r="H662" i="76"/>
  <c r="K660" i="76"/>
  <c r="H660" i="76"/>
  <c r="K659" i="76"/>
  <c r="H659" i="76"/>
  <c r="K658" i="76"/>
  <c r="H658" i="76"/>
  <c r="K657" i="76"/>
  <c r="H657" i="76"/>
  <c r="K655" i="76"/>
  <c r="H655" i="76"/>
  <c r="K654" i="76"/>
  <c r="H654" i="76"/>
  <c r="K653" i="76"/>
  <c r="H653" i="76"/>
  <c r="K651" i="76"/>
  <c r="H651" i="76"/>
  <c r="W641" i="76"/>
  <c r="T641" i="76"/>
  <c r="N641" i="76"/>
  <c r="K641" i="76"/>
  <c r="H641" i="76"/>
  <c r="W639" i="76"/>
  <c r="T639" i="76"/>
  <c r="Q639" i="76"/>
  <c r="N639" i="76"/>
  <c r="K639" i="76"/>
  <c r="H639" i="76"/>
  <c r="W636" i="76"/>
  <c r="T636" i="76"/>
  <c r="N636" i="76"/>
  <c r="K636" i="76"/>
  <c r="H636" i="76"/>
  <c r="W635" i="76"/>
  <c r="T635" i="76"/>
  <c r="N635" i="76"/>
  <c r="K635" i="76"/>
  <c r="H635" i="76"/>
  <c r="W633" i="76"/>
  <c r="V633" i="76"/>
  <c r="U633" i="76"/>
  <c r="T633" i="76"/>
  <c r="S633" i="76"/>
  <c r="R633" i="76"/>
  <c r="Q633" i="76"/>
  <c r="P633" i="76"/>
  <c r="O633" i="76"/>
  <c r="N633" i="76"/>
  <c r="M633" i="76"/>
  <c r="L633" i="76"/>
  <c r="K633" i="76"/>
  <c r="H633" i="76"/>
  <c r="W632" i="76"/>
  <c r="T632" i="76"/>
  <c r="N632" i="76"/>
  <c r="K632" i="76"/>
  <c r="H632" i="76"/>
  <c r="W631" i="76"/>
  <c r="T631" i="76"/>
  <c r="N631" i="76"/>
  <c r="K631" i="76"/>
  <c r="H631" i="76"/>
  <c r="W629" i="76"/>
  <c r="V629" i="76"/>
  <c r="U629" i="76"/>
  <c r="T629" i="76"/>
  <c r="S629" i="76"/>
  <c r="R629" i="76"/>
  <c r="Q629" i="76"/>
  <c r="P629" i="76"/>
  <c r="O629" i="76"/>
  <c r="N629" i="76"/>
  <c r="M629" i="76"/>
  <c r="L629" i="76"/>
  <c r="K629" i="76"/>
  <c r="H629" i="76"/>
  <c r="W628" i="76"/>
  <c r="V628" i="76"/>
  <c r="U628" i="76"/>
  <c r="T628" i="76"/>
  <c r="S628" i="76"/>
  <c r="R628" i="76"/>
  <c r="Q628" i="76"/>
  <c r="P628" i="76"/>
  <c r="O628" i="76"/>
  <c r="N628" i="76"/>
  <c r="M628" i="76"/>
  <c r="L628" i="76"/>
  <c r="K628" i="76"/>
  <c r="H628" i="76"/>
  <c r="W627" i="76"/>
  <c r="V627" i="76"/>
  <c r="U627" i="76"/>
  <c r="T627" i="76"/>
  <c r="S627" i="76"/>
  <c r="R627" i="76"/>
  <c r="Q627" i="76"/>
  <c r="P627" i="76"/>
  <c r="O627" i="76"/>
  <c r="N627" i="76"/>
  <c r="M627" i="76"/>
  <c r="L627" i="76"/>
  <c r="K627" i="76"/>
  <c r="H627" i="76"/>
  <c r="W626" i="76"/>
  <c r="V626" i="76"/>
  <c r="U626" i="76"/>
  <c r="T626" i="76"/>
  <c r="S626" i="76"/>
  <c r="R626" i="76"/>
  <c r="Q626" i="76"/>
  <c r="P626" i="76"/>
  <c r="O626" i="76"/>
  <c r="N626" i="76"/>
  <c r="M626" i="76"/>
  <c r="L626" i="76"/>
  <c r="K626" i="76"/>
  <c r="H626" i="76"/>
  <c r="W625" i="76"/>
  <c r="V625" i="76"/>
  <c r="U625" i="76"/>
  <c r="T625" i="76"/>
  <c r="S625" i="76"/>
  <c r="R625" i="76"/>
  <c r="Q625" i="76"/>
  <c r="P625" i="76"/>
  <c r="O625" i="76"/>
  <c r="N625" i="76"/>
  <c r="M625" i="76"/>
  <c r="L625" i="76"/>
  <c r="K625" i="76"/>
  <c r="H625" i="76"/>
  <c r="W624" i="76"/>
  <c r="V624" i="76"/>
  <c r="U624" i="76"/>
  <c r="T624" i="76"/>
  <c r="S624" i="76"/>
  <c r="R624" i="76"/>
  <c r="Q624" i="76"/>
  <c r="P624" i="76"/>
  <c r="O624" i="76"/>
  <c r="N624" i="76"/>
  <c r="M624" i="76"/>
  <c r="L624" i="76"/>
  <c r="K624" i="76"/>
  <c r="H624" i="76"/>
  <c r="W623" i="76"/>
  <c r="V623" i="76"/>
  <c r="U623" i="76"/>
  <c r="T623" i="76"/>
  <c r="S623" i="76"/>
  <c r="R623" i="76"/>
  <c r="Q623" i="76"/>
  <c r="P623" i="76"/>
  <c r="O623" i="76"/>
  <c r="N623" i="76"/>
  <c r="M623" i="76"/>
  <c r="L623" i="76"/>
  <c r="K623" i="76"/>
  <c r="H623" i="76"/>
  <c r="W622" i="76"/>
  <c r="V622" i="76"/>
  <c r="U622" i="76"/>
  <c r="T622" i="76"/>
  <c r="S622" i="76"/>
  <c r="R622" i="76"/>
  <c r="Q622" i="76"/>
  <c r="P622" i="76"/>
  <c r="O622" i="76"/>
  <c r="N622" i="76"/>
  <c r="M622" i="76"/>
  <c r="L622" i="76"/>
  <c r="K622" i="76"/>
  <c r="H622" i="76"/>
  <c r="W621" i="76"/>
  <c r="V621" i="76"/>
  <c r="U621" i="76"/>
  <c r="T621" i="76"/>
  <c r="S621" i="76"/>
  <c r="R621" i="76"/>
  <c r="Q621" i="76"/>
  <c r="P621" i="76"/>
  <c r="O621" i="76"/>
  <c r="N621" i="76"/>
  <c r="M621" i="76"/>
  <c r="L621" i="76"/>
  <c r="K621" i="76"/>
  <c r="H621" i="76"/>
  <c r="W620" i="76"/>
  <c r="V620" i="76"/>
  <c r="U620" i="76"/>
  <c r="T620" i="76"/>
  <c r="S620" i="76"/>
  <c r="R620" i="76"/>
  <c r="Q620" i="76"/>
  <c r="P620" i="76"/>
  <c r="O620" i="76"/>
  <c r="N620" i="76"/>
  <c r="M620" i="76"/>
  <c r="L620" i="76"/>
  <c r="K620" i="76"/>
  <c r="H620" i="76"/>
  <c r="W619" i="76"/>
  <c r="V619" i="76"/>
  <c r="U619" i="76"/>
  <c r="T619" i="76"/>
  <c r="S619" i="76"/>
  <c r="R619" i="76"/>
  <c r="Q619" i="76"/>
  <c r="P619" i="76"/>
  <c r="O619" i="76"/>
  <c r="N619" i="76"/>
  <c r="M619" i="76"/>
  <c r="L619" i="76"/>
  <c r="K619" i="76"/>
  <c r="H619" i="76"/>
  <c r="W618" i="76"/>
  <c r="V618" i="76"/>
  <c r="U618" i="76"/>
  <c r="T618" i="76"/>
  <c r="S618" i="76"/>
  <c r="R618" i="76"/>
  <c r="Q618" i="76"/>
  <c r="P618" i="76"/>
  <c r="O618" i="76"/>
  <c r="N618" i="76"/>
  <c r="M618" i="76"/>
  <c r="L618" i="76"/>
  <c r="K618" i="76"/>
  <c r="H618" i="76"/>
  <c r="W617" i="76"/>
  <c r="V617" i="76"/>
  <c r="U617" i="76"/>
  <c r="T617" i="76"/>
  <c r="S617" i="76"/>
  <c r="R617" i="76"/>
  <c r="Q617" i="76"/>
  <c r="P617" i="76"/>
  <c r="O617" i="76"/>
  <c r="N617" i="76"/>
  <c r="M617" i="76"/>
  <c r="L617" i="76"/>
  <c r="K617" i="76"/>
  <c r="H617" i="76"/>
  <c r="W616" i="76"/>
  <c r="V616" i="76"/>
  <c r="U616" i="76"/>
  <c r="T616" i="76"/>
  <c r="S616" i="76"/>
  <c r="R616" i="76"/>
  <c r="Q616" i="76"/>
  <c r="P616" i="76"/>
  <c r="O616" i="76"/>
  <c r="N616" i="76"/>
  <c r="M616" i="76"/>
  <c r="L616" i="76"/>
  <c r="K616" i="76"/>
  <c r="H616" i="76"/>
  <c r="W615" i="76"/>
  <c r="V615" i="76"/>
  <c r="U615" i="76"/>
  <c r="T615" i="76"/>
  <c r="S615" i="76"/>
  <c r="R615" i="76"/>
  <c r="Q615" i="76"/>
  <c r="P615" i="76"/>
  <c r="O615" i="76"/>
  <c r="N615" i="76"/>
  <c r="M615" i="76"/>
  <c r="L615" i="76"/>
  <c r="K615" i="76"/>
  <c r="H615" i="76"/>
  <c r="W614" i="76"/>
  <c r="V614" i="76"/>
  <c r="U614" i="76"/>
  <c r="T614" i="76"/>
  <c r="S614" i="76"/>
  <c r="R614" i="76"/>
  <c r="Q614" i="76"/>
  <c r="P614" i="76"/>
  <c r="O614" i="76"/>
  <c r="N614" i="76"/>
  <c r="M614" i="76"/>
  <c r="L614" i="76"/>
  <c r="K614" i="76"/>
  <c r="H614" i="76"/>
  <c r="W613" i="76"/>
  <c r="V613" i="76"/>
  <c r="U613" i="76"/>
  <c r="T613" i="76"/>
  <c r="S613" i="76"/>
  <c r="R613" i="76"/>
  <c r="Q613" i="76"/>
  <c r="P613" i="76"/>
  <c r="O613" i="76"/>
  <c r="N613" i="76"/>
  <c r="M613" i="76"/>
  <c r="L613" i="76"/>
  <c r="K613" i="76"/>
  <c r="H613" i="76"/>
  <c r="W612" i="76"/>
  <c r="V612" i="76"/>
  <c r="U612" i="76"/>
  <c r="T612" i="76"/>
  <c r="S612" i="76"/>
  <c r="R612" i="76"/>
  <c r="Q612" i="76"/>
  <c r="P612" i="76"/>
  <c r="O612" i="76"/>
  <c r="N612" i="76"/>
  <c r="M612" i="76"/>
  <c r="L612" i="76"/>
  <c r="K612" i="76"/>
  <c r="H612" i="76"/>
  <c r="W611" i="76"/>
  <c r="V611" i="76"/>
  <c r="U611" i="76"/>
  <c r="T611" i="76"/>
  <c r="S611" i="76"/>
  <c r="R611" i="76"/>
  <c r="Q611" i="76"/>
  <c r="P611" i="76"/>
  <c r="O611" i="76"/>
  <c r="N611" i="76"/>
  <c r="M611" i="76"/>
  <c r="L611" i="76"/>
  <c r="K611" i="76"/>
  <c r="H611" i="76"/>
  <c r="W610" i="76"/>
  <c r="V610" i="76"/>
  <c r="U610" i="76"/>
  <c r="T610" i="76"/>
  <c r="S610" i="76"/>
  <c r="R610" i="76"/>
  <c r="Q610" i="76"/>
  <c r="P610" i="76"/>
  <c r="O610" i="76"/>
  <c r="N610" i="76"/>
  <c r="M610" i="76"/>
  <c r="L610" i="76"/>
  <c r="K610" i="76"/>
  <c r="H610" i="76"/>
  <c r="W609" i="76"/>
  <c r="V609" i="76"/>
  <c r="U609" i="76"/>
  <c r="T609" i="76"/>
  <c r="S609" i="76"/>
  <c r="R609" i="76"/>
  <c r="Q609" i="76"/>
  <c r="P609" i="76"/>
  <c r="O609" i="76"/>
  <c r="N609" i="76"/>
  <c r="M609" i="76"/>
  <c r="L609" i="76"/>
  <c r="K609" i="76"/>
  <c r="H609" i="76"/>
  <c r="W608" i="76"/>
  <c r="V608" i="76"/>
  <c r="U608" i="76"/>
  <c r="T608" i="76"/>
  <c r="S608" i="76"/>
  <c r="R608" i="76"/>
  <c r="Q608" i="76"/>
  <c r="P608" i="76"/>
  <c r="O608" i="76"/>
  <c r="N608" i="76"/>
  <c r="M608" i="76"/>
  <c r="L608" i="76"/>
  <c r="K608" i="76"/>
  <c r="H608" i="76"/>
  <c r="W607" i="76"/>
  <c r="V607" i="76"/>
  <c r="U607" i="76"/>
  <c r="T607" i="76"/>
  <c r="S607" i="76"/>
  <c r="R607" i="76"/>
  <c r="Q607" i="76"/>
  <c r="P607" i="76"/>
  <c r="O607" i="76"/>
  <c r="N607" i="76"/>
  <c r="M607" i="76"/>
  <c r="L607" i="76"/>
  <c r="K607" i="76"/>
  <c r="H607" i="76"/>
  <c r="W606" i="76"/>
  <c r="V606" i="76"/>
  <c r="U606" i="76"/>
  <c r="T606" i="76"/>
  <c r="S606" i="76"/>
  <c r="R606" i="76"/>
  <c r="Q606" i="76"/>
  <c r="P606" i="76"/>
  <c r="O606" i="76"/>
  <c r="N606" i="76"/>
  <c r="M606" i="76"/>
  <c r="L606" i="76"/>
  <c r="K606" i="76"/>
  <c r="H606" i="76"/>
  <c r="W605" i="76"/>
  <c r="V605" i="76"/>
  <c r="U605" i="76"/>
  <c r="T605" i="76"/>
  <c r="S605" i="76"/>
  <c r="R605" i="76"/>
  <c r="Q605" i="76"/>
  <c r="P605" i="76"/>
  <c r="O605" i="76"/>
  <c r="N605" i="76"/>
  <c r="M605" i="76"/>
  <c r="L605" i="76"/>
  <c r="K605" i="76"/>
  <c r="H605" i="76"/>
  <c r="W604" i="76"/>
  <c r="V604" i="76"/>
  <c r="U604" i="76"/>
  <c r="T604" i="76"/>
  <c r="S604" i="76"/>
  <c r="R604" i="76"/>
  <c r="Q604" i="76"/>
  <c r="P604" i="76"/>
  <c r="O604" i="76"/>
  <c r="N604" i="76"/>
  <c r="M604" i="76"/>
  <c r="L604" i="76"/>
  <c r="K604" i="76"/>
  <c r="H604" i="76"/>
  <c r="W603" i="76"/>
  <c r="V603" i="76"/>
  <c r="U603" i="76"/>
  <c r="T603" i="76"/>
  <c r="S603" i="76"/>
  <c r="R603" i="76"/>
  <c r="Q603" i="76"/>
  <c r="P603" i="76"/>
  <c r="O603" i="76"/>
  <c r="N603" i="76"/>
  <c r="M603" i="76"/>
  <c r="L603" i="76"/>
  <c r="K603" i="76"/>
  <c r="H603" i="76"/>
  <c r="W602" i="76"/>
  <c r="V602" i="76"/>
  <c r="U602" i="76"/>
  <c r="T602" i="76"/>
  <c r="S602" i="76"/>
  <c r="R602" i="76"/>
  <c r="Q602" i="76"/>
  <c r="P602" i="76"/>
  <c r="O602" i="76"/>
  <c r="N602" i="76"/>
  <c r="M602" i="76"/>
  <c r="L602" i="76"/>
  <c r="K602" i="76"/>
  <c r="H602" i="76"/>
  <c r="W601" i="76"/>
  <c r="V601" i="76"/>
  <c r="U601" i="76"/>
  <c r="T601" i="76"/>
  <c r="S601" i="76"/>
  <c r="R601" i="76"/>
  <c r="Q601" i="76"/>
  <c r="P601" i="76"/>
  <c r="O601" i="76"/>
  <c r="N601" i="76"/>
  <c r="M601" i="76"/>
  <c r="L601" i="76"/>
  <c r="K601" i="76"/>
  <c r="H601" i="76"/>
  <c r="W600" i="76"/>
  <c r="V600" i="76"/>
  <c r="U600" i="76"/>
  <c r="T600" i="76"/>
  <c r="S600" i="76"/>
  <c r="R600" i="76"/>
  <c r="Q600" i="76"/>
  <c r="P600" i="76"/>
  <c r="O600" i="76"/>
  <c r="N600" i="76"/>
  <c r="M600" i="76"/>
  <c r="L600" i="76"/>
  <c r="K600" i="76"/>
  <c r="H600" i="76"/>
  <c r="W599" i="76"/>
  <c r="V599" i="76"/>
  <c r="U599" i="76"/>
  <c r="T599" i="76"/>
  <c r="S599" i="76"/>
  <c r="R599" i="76"/>
  <c r="Q599" i="76"/>
  <c r="P599" i="76"/>
  <c r="O599" i="76"/>
  <c r="N599" i="76"/>
  <c r="M599" i="76"/>
  <c r="L599" i="76"/>
  <c r="K599" i="76"/>
  <c r="H599" i="76"/>
  <c r="W598" i="76"/>
  <c r="V598" i="76"/>
  <c r="U598" i="76"/>
  <c r="T598" i="76"/>
  <c r="S598" i="76"/>
  <c r="R598" i="76"/>
  <c r="Q598" i="76"/>
  <c r="P598" i="76"/>
  <c r="O598" i="76"/>
  <c r="N598" i="76"/>
  <c r="M598" i="76"/>
  <c r="L598" i="76"/>
  <c r="K598" i="76"/>
  <c r="H598" i="76"/>
  <c r="W597" i="76"/>
  <c r="V597" i="76"/>
  <c r="U597" i="76"/>
  <c r="T597" i="76"/>
  <c r="S597" i="76"/>
  <c r="R597" i="76"/>
  <c r="Q597" i="76"/>
  <c r="P597" i="76"/>
  <c r="O597" i="76"/>
  <c r="N597" i="76"/>
  <c r="M597" i="76"/>
  <c r="L597" i="76"/>
  <c r="K597" i="76"/>
  <c r="H597" i="76"/>
  <c r="W596" i="76"/>
  <c r="V596" i="76"/>
  <c r="U596" i="76"/>
  <c r="T596" i="76"/>
  <c r="S596" i="76"/>
  <c r="R596" i="76"/>
  <c r="Q596" i="76"/>
  <c r="P596" i="76"/>
  <c r="O596" i="76"/>
  <c r="N596" i="76"/>
  <c r="M596" i="76"/>
  <c r="L596" i="76"/>
  <c r="K596" i="76"/>
  <c r="H596" i="76"/>
  <c r="W595" i="76"/>
  <c r="V595" i="76"/>
  <c r="U595" i="76"/>
  <c r="T595" i="76"/>
  <c r="S595" i="76"/>
  <c r="R595" i="76"/>
  <c r="Q595" i="76"/>
  <c r="P595" i="76"/>
  <c r="O595" i="76"/>
  <c r="N595" i="76"/>
  <c r="M595" i="76"/>
  <c r="L595" i="76"/>
  <c r="K595" i="76"/>
  <c r="H595" i="76"/>
  <c r="W594" i="76"/>
  <c r="V594" i="76"/>
  <c r="U594" i="76"/>
  <c r="T594" i="76"/>
  <c r="S594" i="76"/>
  <c r="R594" i="76"/>
  <c r="Q594" i="76"/>
  <c r="P594" i="76"/>
  <c r="O594" i="76"/>
  <c r="N594" i="76"/>
  <c r="M594" i="76"/>
  <c r="L594" i="76"/>
  <c r="K594" i="76"/>
  <c r="H594" i="76"/>
  <c r="W593" i="76"/>
  <c r="V593" i="76"/>
  <c r="U593" i="76"/>
  <c r="T593" i="76"/>
  <c r="S593" i="76"/>
  <c r="R593" i="76"/>
  <c r="Q593" i="76"/>
  <c r="P593" i="76"/>
  <c r="O593" i="76"/>
  <c r="N593" i="76"/>
  <c r="M593" i="76"/>
  <c r="L593" i="76"/>
  <c r="K593" i="76"/>
  <c r="H593" i="76"/>
  <c r="W592" i="76"/>
  <c r="V592" i="76"/>
  <c r="U592" i="76"/>
  <c r="T592" i="76"/>
  <c r="S592" i="76"/>
  <c r="R592" i="76"/>
  <c r="Q592" i="76"/>
  <c r="P592" i="76"/>
  <c r="O592" i="76"/>
  <c r="N592" i="76"/>
  <c r="M592" i="76"/>
  <c r="L592" i="76"/>
  <c r="K592" i="76"/>
  <c r="H592" i="76"/>
  <c r="W591" i="76"/>
  <c r="V591" i="76"/>
  <c r="U591" i="76"/>
  <c r="T591" i="76"/>
  <c r="S591" i="76"/>
  <c r="R591" i="76"/>
  <c r="Q591" i="76"/>
  <c r="P591" i="76"/>
  <c r="O591" i="76"/>
  <c r="N591" i="76"/>
  <c r="M591" i="76"/>
  <c r="L591" i="76"/>
  <c r="K591" i="76"/>
  <c r="H591" i="76"/>
  <c r="W590" i="76"/>
  <c r="V590" i="76"/>
  <c r="U590" i="76"/>
  <c r="T590" i="76"/>
  <c r="S590" i="76"/>
  <c r="R590" i="76"/>
  <c r="Q590" i="76"/>
  <c r="P590" i="76"/>
  <c r="O590" i="76"/>
  <c r="N590" i="76"/>
  <c r="M590" i="76"/>
  <c r="L590" i="76"/>
  <c r="K590" i="76"/>
  <c r="H590" i="76"/>
  <c r="W589" i="76"/>
  <c r="V589" i="76"/>
  <c r="U589" i="76"/>
  <c r="T589" i="76"/>
  <c r="S589" i="76"/>
  <c r="R589" i="76"/>
  <c r="Q589" i="76"/>
  <c r="P589" i="76"/>
  <c r="O589" i="76"/>
  <c r="N589" i="76"/>
  <c r="M589" i="76"/>
  <c r="L589" i="76"/>
  <c r="K589" i="76"/>
  <c r="H589" i="76"/>
  <c r="W588" i="76"/>
  <c r="V588" i="76"/>
  <c r="U588" i="76"/>
  <c r="T588" i="76"/>
  <c r="S588" i="76"/>
  <c r="R588" i="76"/>
  <c r="Q588" i="76"/>
  <c r="P588" i="76"/>
  <c r="O588" i="76"/>
  <c r="N588" i="76"/>
  <c r="M588" i="76"/>
  <c r="L588" i="76"/>
  <c r="K588" i="76"/>
  <c r="H588" i="76"/>
  <c r="W587" i="76"/>
  <c r="V587" i="76"/>
  <c r="U587" i="76"/>
  <c r="T587" i="76"/>
  <c r="S587" i="76"/>
  <c r="R587" i="76"/>
  <c r="Q587" i="76"/>
  <c r="P587" i="76"/>
  <c r="O587" i="76"/>
  <c r="N587" i="76"/>
  <c r="M587" i="76"/>
  <c r="L587" i="76"/>
  <c r="K587" i="76"/>
  <c r="H587" i="76"/>
  <c r="W586" i="76"/>
  <c r="V586" i="76"/>
  <c r="U586" i="76"/>
  <c r="T586" i="76"/>
  <c r="S586" i="76"/>
  <c r="R586" i="76"/>
  <c r="Q586" i="76"/>
  <c r="P586" i="76"/>
  <c r="O586" i="76"/>
  <c r="N586" i="76"/>
  <c r="M586" i="76"/>
  <c r="L586" i="76"/>
  <c r="K586" i="76"/>
  <c r="H586" i="76"/>
  <c r="W585" i="76"/>
  <c r="V585" i="76"/>
  <c r="U585" i="76"/>
  <c r="T585" i="76"/>
  <c r="S585" i="76"/>
  <c r="R585" i="76"/>
  <c r="Q585" i="76"/>
  <c r="P585" i="76"/>
  <c r="O585" i="76"/>
  <c r="N585" i="76"/>
  <c r="M585" i="76"/>
  <c r="L585" i="76"/>
  <c r="K585" i="76"/>
  <c r="H585" i="76"/>
  <c r="W584" i="76"/>
  <c r="V584" i="76"/>
  <c r="U584" i="76"/>
  <c r="T584" i="76"/>
  <c r="S584" i="76"/>
  <c r="R584" i="76"/>
  <c r="Q584" i="76"/>
  <c r="P584" i="76"/>
  <c r="O584" i="76"/>
  <c r="N584" i="76"/>
  <c r="M584" i="76"/>
  <c r="L584" i="76"/>
  <c r="K584" i="76"/>
  <c r="H584" i="76"/>
  <c r="W583" i="76"/>
  <c r="V583" i="76"/>
  <c r="U583" i="76"/>
  <c r="T583" i="76"/>
  <c r="S583" i="76"/>
  <c r="R583" i="76"/>
  <c r="Q583" i="76"/>
  <c r="P583" i="76"/>
  <c r="O583" i="76"/>
  <c r="N583" i="76"/>
  <c r="M583" i="76"/>
  <c r="L583" i="76"/>
  <c r="K583" i="76"/>
  <c r="H583" i="76"/>
  <c r="W582" i="76"/>
  <c r="V582" i="76"/>
  <c r="U582" i="76"/>
  <c r="T582" i="76"/>
  <c r="S582" i="76"/>
  <c r="R582" i="76"/>
  <c r="Q582" i="76"/>
  <c r="P582" i="76"/>
  <c r="O582" i="76"/>
  <c r="N582" i="76"/>
  <c r="M582" i="76"/>
  <c r="L582" i="76"/>
  <c r="K582" i="76"/>
  <c r="H582" i="76"/>
  <c r="W581" i="76"/>
  <c r="V581" i="76"/>
  <c r="U581" i="76"/>
  <c r="T581" i="76"/>
  <c r="S581" i="76"/>
  <c r="R581" i="76"/>
  <c r="Q581" i="76"/>
  <c r="P581" i="76"/>
  <c r="O581" i="76"/>
  <c r="N581" i="76"/>
  <c r="M581" i="76"/>
  <c r="L581" i="76"/>
  <c r="K581" i="76"/>
  <c r="H581" i="76"/>
  <c r="W580" i="76"/>
  <c r="V580" i="76"/>
  <c r="U580" i="76"/>
  <c r="T580" i="76"/>
  <c r="S580" i="76"/>
  <c r="R580" i="76"/>
  <c r="Q580" i="76"/>
  <c r="P580" i="76"/>
  <c r="O580" i="76"/>
  <c r="N580" i="76"/>
  <c r="M580" i="76"/>
  <c r="L580" i="76"/>
  <c r="K580" i="76"/>
  <c r="H580" i="76"/>
  <c r="W579" i="76"/>
  <c r="V579" i="76"/>
  <c r="U579" i="76"/>
  <c r="T579" i="76"/>
  <c r="S579" i="76"/>
  <c r="R579" i="76"/>
  <c r="Q579" i="76"/>
  <c r="P579" i="76"/>
  <c r="O579" i="76"/>
  <c r="N579" i="76"/>
  <c r="M579" i="76"/>
  <c r="L579" i="76"/>
  <c r="K579" i="76"/>
  <c r="H579" i="76"/>
  <c r="W578" i="76"/>
  <c r="V578" i="76"/>
  <c r="U578" i="76"/>
  <c r="T578" i="76"/>
  <c r="S578" i="76"/>
  <c r="R578" i="76"/>
  <c r="Q578" i="76"/>
  <c r="P578" i="76"/>
  <c r="O578" i="76"/>
  <c r="N578" i="76"/>
  <c r="M578" i="76"/>
  <c r="L578" i="76"/>
  <c r="K578" i="76"/>
  <c r="H578" i="76"/>
  <c r="W577" i="76"/>
  <c r="V577" i="76"/>
  <c r="U577" i="76"/>
  <c r="T577" i="76"/>
  <c r="S577" i="76"/>
  <c r="R577" i="76"/>
  <c r="Q577" i="76"/>
  <c r="P577" i="76"/>
  <c r="O577" i="76"/>
  <c r="N577" i="76"/>
  <c r="M577" i="76"/>
  <c r="L577" i="76"/>
  <c r="K577" i="76"/>
  <c r="H577" i="76"/>
  <c r="W576" i="76"/>
  <c r="V576" i="76"/>
  <c r="U576" i="76"/>
  <c r="T576" i="76"/>
  <c r="S576" i="76"/>
  <c r="R576" i="76"/>
  <c r="Q576" i="76"/>
  <c r="P576" i="76"/>
  <c r="O576" i="76"/>
  <c r="N576" i="76"/>
  <c r="M576" i="76"/>
  <c r="L576" i="76"/>
  <c r="K576" i="76"/>
  <c r="H576" i="76"/>
  <c r="W575" i="76"/>
  <c r="V575" i="76"/>
  <c r="U575" i="76"/>
  <c r="T575" i="76"/>
  <c r="S575" i="76"/>
  <c r="R575" i="76"/>
  <c r="Q575" i="76"/>
  <c r="P575" i="76"/>
  <c r="O575" i="76"/>
  <c r="N575" i="76"/>
  <c r="M575" i="76"/>
  <c r="L575" i="76"/>
  <c r="K575" i="76"/>
  <c r="H575" i="76"/>
  <c r="W574" i="76"/>
  <c r="V574" i="76"/>
  <c r="U574" i="76"/>
  <c r="T574" i="76"/>
  <c r="S574" i="76"/>
  <c r="R574" i="76"/>
  <c r="Q574" i="76"/>
  <c r="P574" i="76"/>
  <c r="O574" i="76"/>
  <c r="N574" i="76"/>
  <c r="M574" i="76"/>
  <c r="L574" i="76"/>
  <c r="K574" i="76"/>
  <c r="H574" i="76"/>
  <c r="W573" i="76"/>
  <c r="V573" i="76"/>
  <c r="U573" i="76"/>
  <c r="T573" i="76"/>
  <c r="S573" i="76"/>
  <c r="R573" i="76"/>
  <c r="Q573" i="76"/>
  <c r="P573" i="76"/>
  <c r="O573" i="76"/>
  <c r="N573" i="76"/>
  <c r="M573" i="76"/>
  <c r="L573" i="76"/>
  <c r="K573" i="76"/>
  <c r="H573" i="76"/>
  <c r="W572" i="76"/>
  <c r="V572" i="76"/>
  <c r="U572" i="76"/>
  <c r="T572" i="76"/>
  <c r="S572" i="76"/>
  <c r="R572" i="76"/>
  <c r="Q572" i="76"/>
  <c r="P572" i="76"/>
  <c r="O572" i="76"/>
  <c r="N572" i="76"/>
  <c r="M572" i="76"/>
  <c r="L572" i="76"/>
  <c r="K572" i="76"/>
  <c r="H572" i="76"/>
  <c r="W571" i="76"/>
  <c r="V571" i="76"/>
  <c r="U571" i="76"/>
  <c r="T571" i="76"/>
  <c r="S571" i="76"/>
  <c r="R571" i="76"/>
  <c r="Q571" i="76"/>
  <c r="P571" i="76"/>
  <c r="O571" i="76"/>
  <c r="N571" i="76"/>
  <c r="M571" i="76"/>
  <c r="L571" i="76"/>
  <c r="K571" i="76"/>
  <c r="H571" i="76"/>
  <c r="W570" i="76"/>
  <c r="V570" i="76"/>
  <c r="U570" i="76"/>
  <c r="T570" i="76"/>
  <c r="S570" i="76"/>
  <c r="R570" i="76"/>
  <c r="Q570" i="76"/>
  <c r="P570" i="76"/>
  <c r="O570" i="76"/>
  <c r="N570" i="76"/>
  <c r="M570" i="76"/>
  <c r="L570" i="76"/>
  <c r="K570" i="76"/>
  <c r="H570" i="76"/>
  <c r="W569" i="76"/>
  <c r="V569" i="76"/>
  <c r="U569" i="76"/>
  <c r="T569" i="76"/>
  <c r="S569" i="76"/>
  <c r="R569" i="76"/>
  <c r="Q569" i="76"/>
  <c r="P569" i="76"/>
  <c r="O569" i="76"/>
  <c r="N569" i="76"/>
  <c r="M569" i="76"/>
  <c r="L569" i="76"/>
  <c r="K569" i="76"/>
  <c r="H569" i="76"/>
  <c r="W568" i="76"/>
  <c r="V568" i="76"/>
  <c r="U568" i="76"/>
  <c r="T568" i="76"/>
  <c r="S568" i="76"/>
  <c r="R568" i="76"/>
  <c r="Q568" i="76"/>
  <c r="P568" i="76"/>
  <c r="O568" i="76"/>
  <c r="N568" i="76"/>
  <c r="M568" i="76"/>
  <c r="L568" i="76"/>
  <c r="K568" i="76"/>
  <c r="H568" i="76"/>
  <c r="W567" i="76"/>
  <c r="V567" i="76"/>
  <c r="U567" i="76"/>
  <c r="T567" i="76"/>
  <c r="S567" i="76"/>
  <c r="R567" i="76"/>
  <c r="Q567" i="76"/>
  <c r="P567" i="76"/>
  <c r="O567" i="76"/>
  <c r="N567" i="76"/>
  <c r="M567" i="76"/>
  <c r="L567" i="76"/>
  <c r="K567" i="76"/>
  <c r="H567" i="76"/>
  <c r="W566" i="76"/>
  <c r="V566" i="76"/>
  <c r="U566" i="76"/>
  <c r="T566" i="76"/>
  <c r="S566" i="76"/>
  <c r="R566" i="76"/>
  <c r="Q566" i="76"/>
  <c r="P566" i="76"/>
  <c r="O566" i="76"/>
  <c r="N566" i="76"/>
  <c r="M566" i="76"/>
  <c r="L566" i="76"/>
  <c r="K566" i="76"/>
  <c r="H566" i="76"/>
  <c r="W565" i="76"/>
  <c r="V565" i="76"/>
  <c r="U565" i="76"/>
  <c r="T565" i="76"/>
  <c r="S565" i="76"/>
  <c r="R565" i="76"/>
  <c r="Q565" i="76"/>
  <c r="P565" i="76"/>
  <c r="O565" i="76"/>
  <c r="N565" i="76"/>
  <c r="M565" i="76"/>
  <c r="L565" i="76"/>
  <c r="K565" i="76"/>
  <c r="H565" i="76"/>
  <c r="W564" i="76"/>
  <c r="V564" i="76"/>
  <c r="U564" i="76"/>
  <c r="T564" i="76"/>
  <c r="S564" i="76"/>
  <c r="R564" i="76"/>
  <c r="Q564" i="76"/>
  <c r="P564" i="76"/>
  <c r="O564" i="76"/>
  <c r="N564" i="76"/>
  <c r="M564" i="76"/>
  <c r="L564" i="76"/>
  <c r="K564" i="76"/>
  <c r="H564" i="76"/>
  <c r="W563" i="76"/>
  <c r="V563" i="76"/>
  <c r="U563" i="76"/>
  <c r="T563" i="76"/>
  <c r="S563" i="76"/>
  <c r="R563" i="76"/>
  <c r="Q563" i="76"/>
  <c r="P563" i="76"/>
  <c r="O563" i="76"/>
  <c r="N563" i="76"/>
  <c r="M563" i="76"/>
  <c r="L563" i="76"/>
  <c r="K563" i="76"/>
  <c r="H563" i="76"/>
  <c r="W562" i="76"/>
  <c r="V562" i="76"/>
  <c r="U562" i="76"/>
  <c r="T562" i="76"/>
  <c r="S562" i="76"/>
  <c r="R562" i="76"/>
  <c r="Q562" i="76"/>
  <c r="P562" i="76"/>
  <c r="O562" i="76"/>
  <c r="N562" i="76"/>
  <c r="M562" i="76"/>
  <c r="L562" i="76"/>
  <c r="K562" i="76"/>
  <c r="H562" i="76"/>
  <c r="W561" i="76"/>
  <c r="V561" i="76"/>
  <c r="U561" i="76"/>
  <c r="T561" i="76"/>
  <c r="S561" i="76"/>
  <c r="R561" i="76"/>
  <c r="Q561" i="76"/>
  <c r="P561" i="76"/>
  <c r="O561" i="76"/>
  <c r="N561" i="76"/>
  <c r="M561" i="76"/>
  <c r="L561" i="76"/>
  <c r="K561" i="76"/>
  <c r="H561" i="76"/>
  <c r="W560" i="76"/>
  <c r="V560" i="76"/>
  <c r="U560" i="76"/>
  <c r="T560" i="76"/>
  <c r="S560" i="76"/>
  <c r="R560" i="76"/>
  <c r="Q560" i="76"/>
  <c r="P560" i="76"/>
  <c r="O560" i="76"/>
  <c r="N560" i="76"/>
  <c r="M560" i="76"/>
  <c r="L560" i="76"/>
  <c r="K560" i="76"/>
  <c r="H560" i="76"/>
  <c r="W559" i="76"/>
  <c r="V559" i="76"/>
  <c r="U559" i="76"/>
  <c r="T559" i="76"/>
  <c r="S559" i="76"/>
  <c r="R559" i="76"/>
  <c r="Q559" i="76"/>
  <c r="P559" i="76"/>
  <c r="O559" i="76"/>
  <c r="N559" i="76"/>
  <c r="M559" i="76"/>
  <c r="L559" i="76"/>
  <c r="K559" i="76"/>
  <c r="H559" i="76"/>
  <c r="W558" i="76"/>
  <c r="V558" i="76"/>
  <c r="U558" i="76"/>
  <c r="T558" i="76"/>
  <c r="S558" i="76"/>
  <c r="R558" i="76"/>
  <c r="Q558" i="76"/>
  <c r="P558" i="76"/>
  <c r="O558" i="76"/>
  <c r="N558" i="76"/>
  <c r="M558" i="76"/>
  <c r="L558" i="76"/>
  <c r="K558" i="76"/>
  <c r="H558" i="76"/>
  <c r="W557" i="76"/>
  <c r="V557" i="76"/>
  <c r="U557" i="76"/>
  <c r="T557" i="76"/>
  <c r="S557" i="76"/>
  <c r="R557" i="76"/>
  <c r="Q557" i="76"/>
  <c r="P557" i="76"/>
  <c r="O557" i="76"/>
  <c r="N557" i="76"/>
  <c r="M557" i="76"/>
  <c r="L557" i="76"/>
  <c r="K557" i="76"/>
  <c r="H557" i="76"/>
  <c r="W556" i="76"/>
  <c r="V556" i="76"/>
  <c r="U556" i="76"/>
  <c r="T556" i="76"/>
  <c r="S556" i="76"/>
  <c r="R556" i="76"/>
  <c r="Q556" i="76"/>
  <c r="P556" i="76"/>
  <c r="O556" i="76"/>
  <c r="N556" i="76"/>
  <c r="M556" i="76"/>
  <c r="L556" i="76"/>
  <c r="K556" i="76"/>
  <c r="H556" i="76"/>
  <c r="W555" i="76"/>
  <c r="V555" i="76"/>
  <c r="U555" i="76"/>
  <c r="T555" i="76"/>
  <c r="S555" i="76"/>
  <c r="R555" i="76"/>
  <c r="Q555" i="76"/>
  <c r="P555" i="76"/>
  <c r="O555" i="76"/>
  <c r="N555" i="76"/>
  <c r="M555" i="76"/>
  <c r="L555" i="76"/>
  <c r="K555" i="76"/>
  <c r="H555" i="76"/>
  <c r="W554" i="76"/>
  <c r="V554" i="76"/>
  <c r="U554" i="76"/>
  <c r="T554" i="76"/>
  <c r="S554" i="76"/>
  <c r="R554" i="76"/>
  <c r="Q554" i="76"/>
  <c r="P554" i="76"/>
  <c r="O554" i="76"/>
  <c r="N554" i="76"/>
  <c r="M554" i="76"/>
  <c r="L554" i="76"/>
  <c r="K554" i="76"/>
  <c r="H554" i="76"/>
  <c r="W553" i="76"/>
  <c r="V553" i="76"/>
  <c r="U553" i="76"/>
  <c r="T553" i="76"/>
  <c r="S553" i="76"/>
  <c r="R553" i="76"/>
  <c r="Q553" i="76"/>
  <c r="P553" i="76"/>
  <c r="O553" i="76"/>
  <c r="N553" i="76"/>
  <c r="M553" i="76"/>
  <c r="L553" i="76"/>
  <c r="K553" i="76"/>
  <c r="H553" i="76"/>
  <c r="W552" i="76"/>
  <c r="V552" i="76"/>
  <c r="U552" i="76"/>
  <c r="T552" i="76"/>
  <c r="S552" i="76"/>
  <c r="R552" i="76"/>
  <c r="Q552" i="76"/>
  <c r="P552" i="76"/>
  <c r="O552" i="76"/>
  <c r="N552" i="76"/>
  <c r="M552" i="76"/>
  <c r="L552" i="76"/>
  <c r="K552" i="76"/>
  <c r="H552" i="76"/>
  <c r="W551" i="76"/>
  <c r="V551" i="76"/>
  <c r="U551" i="76"/>
  <c r="T551" i="76"/>
  <c r="S551" i="76"/>
  <c r="R551" i="76"/>
  <c r="Q551" i="76"/>
  <c r="P551" i="76"/>
  <c r="O551" i="76"/>
  <c r="N551" i="76"/>
  <c r="M551" i="76"/>
  <c r="L551" i="76"/>
  <c r="K551" i="76"/>
  <c r="H551" i="76"/>
  <c r="W550" i="76"/>
  <c r="V550" i="76"/>
  <c r="U550" i="76"/>
  <c r="T550" i="76"/>
  <c r="S550" i="76"/>
  <c r="R550" i="76"/>
  <c r="Q550" i="76"/>
  <c r="P550" i="76"/>
  <c r="O550" i="76"/>
  <c r="N550" i="76"/>
  <c r="M550" i="76"/>
  <c r="L550" i="76"/>
  <c r="K550" i="76"/>
  <c r="H550" i="76"/>
  <c r="W549" i="76"/>
  <c r="V549" i="76"/>
  <c r="U549" i="76"/>
  <c r="T549" i="76"/>
  <c r="S549" i="76"/>
  <c r="R549" i="76"/>
  <c r="Q549" i="76"/>
  <c r="P549" i="76"/>
  <c r="O549" i="76"/>
  <c r="N549" i="76"/>
  <c r="M549" i="76"/>
  <c r="L549" i="76"/>
  <c r="K549" i="76"/>
  <c r="H549" i="76"/>
  <c r="W548" i="76"/>
  <c r="V548" i="76"/>
  <c r="U548" i="76"/>
  <c r="T548" i="76"/>
  <c r="S548" i="76"/>
  <c r="R548" i="76"/>
  <c r="Q548" i="76"/>
  <c r="P548" i="76"/>
  <c r="O548" i="76"/>
  <c r="N548" i="76"/>
  <c r="M548" i="76"/>
  <c r="L548" i="76"/>
  <c r="K548" i="76"/>
  <c r="H548" i="76"/>
  <c r="W547" i="76"/>
  <c r="V547" i="76"/>
  <c r="U547" i="76"/>
  <c r="T547" i="76"/>
  <c r="S547" i="76"/>
  <c r="R547" i="76"/>
  <c r="Q547" i="76"/>
  <c r="P547" i="76"/>
  <c r="O547" i="76"/>
  <c r="N547" i="76"/>
  <c r="M547" i="76"/>
  <c r="L547" i="76"/>
  <c r="K547" i="76"/>
  <c r="H547" i="76"/>
  <c r="W546" i="76"/>
  <c r="V546" i="76"/>
  <c r="U546" i="76"/>
  <c r="T546" i="76"/>
  <c r="S546" i="76"/>
  <c r="R546" i="76"/>
  <c r="Q546" i="76"/>
  <c r="P546" i="76"/>
  <c r="O546" i="76"/>
  <c r="N546" i="76"/>
  <c r="M546" i="76"/>
  <c r="L546" i="76"/>
  <c r="K546" i="76"/>
  <c r="H546" i="76"/>
  <c r="W545" i="76"/>
  <c r="V545" i="76"/>
  <c r="U545" i="76"/>
  <c r="T545" i="76"/>
  <c r="S545" i="76"/>
  <c r="R545" i="76"/>
  <c r="Q545" i="76"/>
  <c r="P545" i="76"/>
  <c r="O545" i="76"/>
  <c r="N545" i="76"/>
  <c r="M545" i="76"/>
  <c r="L545" i="76"/>
  <c r="K545" i="76"/>
  <c r="H545" i="76"/>
  <c r="W544" i="76"/>
  <c r="V544" i="76"/>
  <c r="U544" i="76"/>
  <c r="T544" i="76"/>
  <c r="S544" i="76"/>
  <c r="R544" i="76"/>
  <c r="Q544" i="76"/>
  <c r="P544" i="76"/>
  <c r="O544" i="76"/>
  <c r="N544" i="76"/>
  <c r="M544" i="76"/>
  <c r="L544" i="76"/>
  <c r="K544" i="76"/>
  <c r="H544" i="76"/>
  <c r="W543" i="76"/>
  <c r="V543" i="76"/>
  <c r="U543" i="76"/>
  <c r="T543" i="76"/>
  <c r="S543" i="76"/>
  <c r="R543" i="76"/>
  <c r="Q543" i="76"/>
  <c r="P543" i="76"/>
  <c r="O543" i="76"/>
  <c r="N543" i="76"/>
  <c r="M543" i="76"/>
  <c r="L543" i="76"/>
  <c r="K543" i="76"/>
  <c r="H543" i="76"/>
  <c r="W542" i="76"/>
  <c r="V542" i="76"/>
  <c r="U542" i="76"/>
  <c r="T542" i="76"/>
  <c r="S542" i="76"/>
  <c r="R542" i="76"/>
  <c r="Q542" i="76"/>
  <c r="P542" i="76"/>
  <c r="O542" i="76"/>
  <c r="N542" i="76"/>
  <c r="M542" i="76"/>
  <c r="L542" i="76"/>
  <c r="K542" i="76"/>
  <c r="H542" i="76"/>
  <c r="W541" i="76"/>
  <c r="V541" i="76"/>
  <c r="U541" i="76"/>
  <c r="T541" i="76"/>
  <c r="S541" i="76"/>
  <c r="R541" i="76"/>
  <c r="Q541" i="76"/>
  <c r="P541" i="76"/>
  <c r="O541" i="76"/>
  <c r="N541" i="76"/>
  <c r="M541" i="76"/>
  <c r="L541" i="76"/>
  <c r="K541" i="76"/>
  <c r="H541" i="76"/>
  <c r="W540" i="76"/>
  <c r="V540" i="76"/>
  <c r="U540" i="76"/>
  <c r="T540" i="76"/>
  <c r="S540" i="76"/>
  <c r="R540" i="76"/>
  <c r="Q540" i="76"/>
  <c r="P540" i="76"/>
  <c r="O540" i="76"/>
  <c r="N540" i="76"/>
  <c r="M540" i="76"/>
  <c r="L540" i="76"/>
  <c r="K540" i="76"/>
  <c r="H540" i="76"/>
  <c r="W539" i="76"/>
  <c r="V539" i="76"/>
  <c r="U539" i="76"/>
  <c r="T539" i="76"/>
  <c r="S539" i="76"/>
  <c r="R539" i="76"/>
  <c r="Q539" i="76"/>
  <c r="P539" i="76"/>
  <c r="O539" i="76"/>
  <c r="N539" i="76"/>
  <c r="M539" i="76"/>
  <c r="L539" i="76"/>
  <c r="K539" i="76"/>
  <c r="H539" i="76"/>
  <c r="W538" i="76"/>
  <c r="V538" i="76"/>
  <c r="U538" i="76"/>
  <c r="T538" i="76"/>
  <c r="S538" i="76"/>
  <c r="R538" i="76"/>
  <c r="Q538" i="76"/>
  <c r="P538" i="76"/>
  <c r="O538" i="76"/>
  <c r="N538" i="76"/>
  <c r="M538" i="76"/>
  <c r="L538" i="76"/>
  <c r="K538" i="76"/>
  <c r="H538" i="76"/>
  <c r="W537" i="76"/>
  <c r="V537" i="76"/>
  <c r="U537" i="76"/>
  <c r="T537" i="76"/>
  <c r="S537" i="76"/>
  <c r="R537" i="76"/>
  <c r="Q537" i="76"/>
  <c r="P537" i="76"/>
  <c r="O537" i="76"/>
  <c r="N537" i="76"/>
  <c r="M537" i="76"/>
  <c r="L537" i="76"/>
  <c r="K537" i="76"/>
  <c r="H537" i="76"/>
  <c r="W536" i="76"/>
  <c r="V536" i="76"/>
  <c r="U536" i="76"/>
  <c r="T536" i="76"/>
  <c r="S536" i="76"/>
  <c r="R536" i="76"/>
  <c r="Q536" i="76"/>
  <c r="P536" i="76"/>
  <c r="O536" i="76"/>
  <c r="N536" i="76"/>
  <c r="M536" i="76"/>
  <c r="L536" i="76"/>
  <c r="K536" i="76"/>
  <c r="H536" i="76"/>
  <c r="W535" i="76"/>
  <c r="V535" i="76"/>
  <c r="U535" i="76"/>
  <c r="T535" i="76"/>
  <c r="S535" i="76"/>
  <c r="R535" i="76"/>
  <c r="Q535" i="76"/>
  <c r="P535" i="76"/>
  <c r="O535" i="76"/>
  <c r="N535" i="76"/>
  <c r="M535" i="76"/>
  <c r="L535" i="76"/>
  <c r="K535" i="76"/>
  <c r="H535" i="76"/>
  <c r="W534" i="76"/>
  <c r="V534" i="76"/>
  <c r="U534" i="76"/>
  <c r="T534" i="76"/>
  <c r="S534" i="76"/>
  <c r="R534" i="76"/>
  <c r="Q534" i="76"/>
  <c r="P534" i="76"/>
  <c r="O534" i="76"/>
  <c r="N534" i="76"/>
  <c r="M534" i="76"/>
  <c r="L534" i="76"/>
  <c r="K534" i="76"/>
  <c r="H534" i="76"/>
  <c r="W533" i="76"/>
  <c r="V533" i="76"/>
  <c r="U533" i="76"/>
  <c r="T533" i="76"/>
  <c r="S533" i="76"/>
  <c r="R533" i="76"/>
  <c r="Q533" i="76"/>
  <c r="P533" i="76"/>
  <c r="O533" i="76"/>
  <c r="N533" i="76"/>
  <c r="M533" i="76"/>
  <c r="L533" i="76"/>
  <c r="K533" i="76"/>
  <c r="H533" i="76"/>
  <c r="W532" i="76"/>
  <c r="V532" i="76"/>
  <c r="U532" i="76"/>
  <c r="T532" i="76"/>
  <c r="S532" i="76"/>
  <c r="R532" i="76"/>
  <c r="Q532" i="76"/>
  <c r="P532" i="76"/>
  <c r="O532" i="76"/>
  <c r="N532" i="76"/>
  <c r="M532" i="76"/>
  <c r="L532" i="76"/>
  <c r="K532" i="76"/>
  <c r="H532" i="76"/>
  <c r="W531" i="76"/>
  <c r="V531" i="76"/>
  <c r="U531" i="76"/>
  <c r="T531" i="76"/>
  <c r="S531" i="76"/>
  <c r="R531" i="76"/>
  <c r="Q531" i="76"/>
  <c r="P531" i="76"/>
  <c r="O531" i="76"/>
  <c r="N531" i="76"/>
  <c r="M531" i="76"/>
  <c r="L531" i="76"/>
  <c r="K531" i="76"/>
  <c r="H531" i="76"/>
  <c r="W530" i="76"/>
  <c r="V530" i="76"/>
  <c r="U530" i="76"/>
  <c r="T530" i="76"/>
  <c r="S530" i="76"/>
  <c r="R530" i="76"/>
  <c r="Q530" i="76"/>
  <c r="P530" i="76"/>
  <c r="O530" i="76"/>
  <c r="N530" i="76"/>
  <c r="M530" i="76"/>
  <c r="L530" i="76"/>
  <c r="K530" i="76"/>
  <c r="H530" i="76"/>
  <c r="W529" i="76"/>
  <c r="V529" i="76"/>
  <c r="U529" i="76"/>
  <c r="T529" i="76"/>
  <c r="S529" i="76"/>
  <c r="R529" i="76"/>
  <c r="Q529" i="76"/>
  <c r="P529" i="76"/>
  <c r="O529" i="76"/>
  <c r="N529" i="76"/>
  <c r="M529" i="76"/>
  <c r="L529" i="76"/>
  <c r="K529" i="76"/>
  <c r="H529" i="76"/>
  <c r="W528" i="76"/>
  <c r="V528" i="76"/>
  <c r="U528" i="76"/>
  <c r="T528" i="76"/>
  <c r="S528" i="76"/>
  <c r="R528" i="76"/>
  <c r="Q528" i="76"/>
  <c r="P528" i="76"/>
  <c r="O528" i="76"/>
  <c r="N528" i="76"/>
  <c r="M528" i="76"/>
  <c r="L528" i="76"/>
  <c r="K528" i="76"/>
  <c r="H528" i="76"/>
  <c r="W527" i="76"/>
  <c r="V527" i="76"/>
  <c r="U527" i="76"/>
  <c r="T527" i="76"/>
  <c r="S527" i="76"/>
  <c r="R527" i="76"/>
  <c r="Q527" i="76"/>
  <c r="P527" i="76"/>
  <c r="O527" i="76"/>
  <c r="N527" i="76"/>
  <c r="M527" i="76"/>
  <c r="L527" i="76"/>
  <c r="K527" i="76"/>
  <c r="H527" i="76"/>
  <c r="W526" i="76"/>
  <c r="V526" i="76"/>
  <c r="U526" i="76"/>
  <c r="T526" i="76"/>
  <c r="S526" i="76"/>
  <c r="R526" i="76"/>
  <c r="Q526" i="76"/>
  <c r="P526" i="76"/>
  <c r="O526" i="76"/>
  <c r="N526" i="76"/>
  <c r="M526" i="76"/>
  <c r="L526" i="76"/>
  <c r="K526" i="76"/>
  <c r="H526" i="76"/>
  <c r="W525" i="76"/>
  <c r="V525" i="76"/>
  <c r="U525" i="76"/>
  <c r="T525" i="76"/>
  <c r="S525" i="76"/>
  <c r="R525" i="76"/>
  <c r="Q525" i="76"/>
  <c r="P525" i="76"/>
  <c r="O525" i="76"/>
  <c r="N525" i="76"/>
  <c r="M525" i="76"/>
  <c r="L525" i="76"/>
  <c r="K525" i="76"/>
  <c r="H525" i="76"/>
  <c r="W524" i="76"/>
  <c r="V524" i="76"/>
  <c r="U524" i="76"/>
  <c r="T524" i="76"/>
  <c r="S524" i="76"/>
  <c r="R524" i="76"/>
  <c r="Q524" i="76"/>
  <c r="P524" i="76"/>
  <c r="O524" i="76"/>
  <c r="N524" i="76"/>
  <c r="M524" i="76"/>
  <c r="L524" i="76"/>
  <c r="K524" i="76"/>
  <c r="H524" i="76"/>
  <c r="W523" i="76"/>
  <c r="V523" i="76"/>
  <c r="U523" i="76"/>
  <c r="T523" i="76"/>
  <c r="S523" i="76"/>
  <c r="R523" i="76"/>
  <c r="Q523" i="76"/>
  <c r="P523" i="76"/>
  <c r="O523" i="76"/>
  <c r="N523" i="76"/>
  <c r="M523" i="76"/>
  <c r="L523" i="76"/>
  <c r="K523" i="76"/>
  <c r="H523" i="76"/>
  <c r="W522" i="76"/>
  <c r="V522" i="76"/>
  <c r="U522" i="76"/>
  <c r="T522" i="76"/>
  <c r="S522" i="76"/>
  <c r="R522" i="76"/>
  <c r="Q522" i="76"/>
  <c r="P522" i="76"/>
  <c r="O522" i="76"/>
  <c r="N522" i="76"/>
  <c r="M522" i="76"/>
  <c r="L522" i="76"/>
  <c r="K522" i="76"/>
  <c r="H522" i="76"/>
  <c r="W521" i="76"/>
  <c r="V521" i="76"/>
  <c r="U521" i="76"/>
  <c r="T521" i="76"/>
  <c r="S521" i="76"/>
  <c r="R521" i="76"/>
  <c r="Q521" i="76"/>
  <c r="P521" i="76"/>
  <c r="O521" i="76"/>
  <c r="N521" i="76"/>
  <c r="M521" i="76"/>
  <c r="L521" i="76"/>
  <c r="K521" i="76"/>
  <c r="H521" i="76"/>
  <c r="W520" i="76"/>
  <c r="V520" i="76"/>
  <c r="U520" i="76"/>
  <c r="T520" i="76"/>
  <c r="S520" i="76"/>
  <c r="R520" i="76"/>
  <c r="Q520" i="76"/>
  <c r="P520" i="76"/>
  <c r="O520" i="76"/>
  <c r="N520" i="76"/>
  <c r="M520" i="76"/>
  <c r="L520" i="76"/>
  <c r="K520" i="76"/>
  <c r="H520" i="76"/>
  <c r="W519" i="76"/>
  <c r="V519" i="76"/>
  <c r="U519" i="76"/>
  <c r="T519" i="76"/>
  <c r="S519" i="76"/>
  <c r="R519" i="76"/>
  <c r="Q519" i="76"/>
  <c r="P519" i="76"/>
  <c r="O519" i="76"/>
  <c r="N519" i="76"/>
  <c r="M519" i="76"/>
  <c r="L519" i="76"/>
  <c r="K519" i="76"/>
  <c r="H519" i="76"/>
  <c r="W518" i="76"/>
  <c r="V518" i="76"/>
  <c r="U518" i="76"/>
  <c r="T518" i="76"/>
  <c r="S518" i="76"/>
  <c r="R518" i="76"/>
  <c r="Q518" i="76"/>
  <c r="P518" i="76"/>
  <c r="O518" i="76"/>
  <c r="N518" i="76"/>
  <c r="M518" i="76"/>
  <c r="L518" i="76"/>
  <c r="K518" i="76"/>
  <c r="H518" i="76"/>
  <c r="W517" i="76"/>
  <c r="V517" i="76"/>
  <c r="U517" i="76"/>
  <c r="T517" i="76"/>
  <c r="S517" i="76"/>
  <c r="R517" i="76"/>
  <c r="Q517" i="76"/>
  <c r="P517" i="76"/>
  <c r="O517" i="76"/>
  <c r="N517" i="76"/>
  <c r="M517" i="76"/>
  <c r="L517" i="76"/>
  <c r="K517" i="76"/>
  <c r="H517" i="76"/>
  <c r="W516" i="76"/>
  <c r="V516" i="76"/>
  <c r="U516" i="76"/>
  <c r="T516" i="76"/>
  <c r="S516" i="76"/>
  <c r="R516" i="76"/>
  <c r="Q516" i="76"/>
  <c r="P516" i="76"/>
  <c r="O516" i="76"/>
  <c r="N516" i="76"/>
  <c r="M516" i="76"/>
  <c r="L516" i="76"/>
  <c r="K516" i="76"/>
  <c r="H516" i="76"/>
  <c r="W515" i="76"/>
  <c r="V515" i="76"/>
  <c r="U515" i="76"/>
  <c r="T515" i="76"/>
  <c r="S515" i="76"/>
  <c r="R515" i="76"/>
  <c r="Q515" i="76"/>
  <c r="P515" i="76"/>
  <c r="O515" i="76"/>
  <c r="N515" i="76"/>
  <c r="M515" i="76"/>
  <c r="L515" i="76"/>
  <c r="K515" i="76"/>
  <c r="H515" i="76"/>
  <c r="W514" i="76"/>
  <c r="V514" i="76"/>
  <c r="U514" i="76"/>
  <c r="T514" i="76"/>
  <c r="S514" i="76"/>
  <c r="R514" i="76"/>
  <c r="Q514" i="76"/>
  <c r="P514" i="76"/>
  <c r="O514" i="76"/>
  <c r="N514" i="76"/>
  <c r="M514" i="76"/>
  <c r="L514" i="76"/>
  <c r="K514" i="76"/>
  <c r="H514" i="76"/>
  <c r="W513" i="76"/>
  <c r="V513" i="76"/>
  <c r="U513" i="76"/>
  <c r="T513" i="76"/>
  <c r="S513" i="76"/>
  <c r="R513" i="76"/>
  <c r="Q513" i="76"/>
  <c r="P513" i="76"/>
  <c r="O513" i="76"/>
  <c r="N513" i="76"/>
  <c r="M513" i="76"/>
  <c r="L513" i="76"/>
  <c r="K513" i="76"/>
  <c r="H513" i="76"/>
  <c r="W512" i="76"/>
  <c r="V512" i="76"/>
  <c r="U512" i="76"/>
  <c r="T512" i="76"/>
  <c r="S512" i="76"/>
  <c r="R512" i="76"/>
  <c r="Q512" i="76"/>
  <c r="P512" i="76"/>
  <c r="O512" i="76"/>
  <c r="N512" i="76"/>
  <c r="M512" i="76"/>
  <c r="L512" i="76"/>
  <c r="K512" i="76"/>
  <c r="H512" i="76"/>
  <c r="W511" i="76"/>
  <c r="V511" i="76"/>
  <c r="U511" i="76"/>
  <c r="T511" i="76"/>
  <c r="S511" i="76"/>
  <c r="R511" i="76"/>
  <c r="Q511" i="76"/>
  <c r="P511" i="76"/>
  <c r="O511" i="76"/>
  <c r="N511" i="76"/>
  <c r="M511" i="76"/>
  <c r="L511" i="76"/>
  <c r="K511" i="76"/>
  <c r="H511" i="76"/>
  <c r="W510" i="76"/>
  <c r="V510" i="76"/>
  <c r="U510" i="76"/>
  <c r="T510" i="76"/>
  <c r="S510" i="76"/>
  <c r="R510" i="76"/>
  <c r="Q510" i="76"/>
  <c r="P510" i="76"/>
  <c r="O510" i="76"/>
  <c r="N510" i="76"/>
  <c r="M510" i="76"/>
  <c r="L510" i="76"/>
  <c r="K510" i="76"/>
  <c r="H510" i="76"/>
  <c r="W509" i="76"/>
  <c r="V509" i="76"/>
  <c r="U509" i="76"/>
  <c r="T509" i="76"/>
  <c r="S509" i="76"/>
  <c r="R509" i="76"/>
  <c r="Q509" i="76"/>
  <c r="P509" i="76"/>
  <c r="O509" i="76"/>
  <c r="N509" i="76"/>
  <c r="M509" i="76"/>
  <c r="L509" i="76"/>
  <c r="K509" i="76"/>
  <c r="H509" i="76"/>
  <c r="W508" i="76"/>
  <c r="V508" i="76"/>
  <c r="U508" i="76"/>
  <c r="T508" i="76"/>
  <c r="S508" i="76"/>
  <c r="R508" i="76"/>
  <c r="Q508" i="76"/>
  <c r="P508" i="76"/>
  <c r="O508" i="76"/>
  <c r="N508" i="76"/>
  <c r="M508" i="76"/>
  <c r="L508" i="76"/>
  <c r="K508" i="76"/>
  <c r="H508" i="76"/>
  <c r="W507" i="76"/>
  <c r="V507" i="76"/>
  <c r="U507" i="76"/>
  <c r="T507" i="76"/>
  <c r="S507" i="76"/>
  <c r="R507" i="76"/>
  <c r="Q507" i="76"/>
  <c r="P507" i="76"/>
  <c r="O507" i="76"/>
  <c r="N507" i="76"/>
  <c r="M507" i="76"/>
  <c r="L507" i="76"/>
  <c r="K507" i="76"/>
  <c r="H507" i="76"/>
  <c r="W506" i="76"/>
  <c r="V506" i="76"/>
  <c r="U506" i="76"/>
  <c r="T506" i="76"/>
  <c r="S506" i="76"/>
  <c r="R506" i="76"/>
  <c r="Q506" i="76"/>
  <c r="P506" i="76"/>
  <c r="O506" i="76"/>
  <c r="N506" i="76"/>
  <c r="M506" i="76"/>
  <c r="L506" i="76"/>
  <c r="K506" i="76"/>
  <c r="H506" i="76"/>
  <c r="W505" i="76"/>
  <c r="V505" i="76"/>
  <c r="U505" i="76"/>
  <c r="T505" i="76"/>
  <c r="S505" i="76"/>
  <c r="R505" i="76"/>
  <c r="Q505" i="76"/>
  <c r="P505" i="76"/>
  <c r="O505" i="76"/>
  <c r="N505" i="76"/>
  <c r="M505" i="76"/>
  <c r="L505" i="76"/>
  <c r="K505" i="76"/>
  <c r="H505" i="76"/>
  <c r="W504" i="76"/>
  <c r="V504" i="76"/>
  <c r="U504" i="76"/>
  <c r="T504" i="76"/>
  <c r="S504" i="76"/>
  <c r="R504" i="76"/>
  <c r="Q504" i="76"/>
  <c r="P504" i="76"/>
  <c r="O504" i="76"/>
  <c r="N504" i="76"/>
  <c r="M504" i="76"/>
  <c r="L504" i="76"/>
  <c r="K504" i="76"/>
  <c r="H504" i="76"/>
  <c r="W503" i="76"/>
  <c r="V503" i="76"/>
  <c r="U503" i="76"/>
  <c r="T503" i="76"/>
  <c r="S503" i="76"/>
  <c r="R503" i="76"/>
  <c r="Q503" i="76"/>
  <c r="P503" i="76"/>
  <c r="O503" i="76"/>
  <c r="N503" i="76"/>
  <c r="M503" i="76"/>
  <c r="L503" i="76"/>
  <c r="K503" i="76"/>
  <c r="H503" i="76"/>
  <c r="W502" i="76"/>
  <c r="V502" i="76"/>
  <c r="U502" i="76"/>
  <c r="T502" i="76"/>
  <c r="S502" i="76"/>
  <c r="R502" i="76"/>
  <c r="Q502" i="76"/>
  <c r="P502" i="76"/>
  <c r="O502" i="76"/>
  <c r="N502" i="76"/>
  <c r="M502" i="76"/>
  <c r="L502" i="76"/>
  <c r="K502" i="76"/>
  <c r="H502" i="76"/>
  <c r="W501" i="76"/>
  <c r="V501" i="76"/>
  <c r="U501" i="76"/>
  <c r="T501" i="76"/>
  <c r="S501" i="76"/>
  <c r="R501" i="76"/>
  <c r="Q501" i="76"/>
  <c r="P501" i="76"/>
  <c r="O501" i="76"/>
  <c r="N501" i="76"/>
  <c r="M501" i="76"/>
  <c r="L501" i="76"/>
  <c r="K501" i="76"/>
  <c r="H501" i="76"/>
  <c r="W500" i="76"/>
  <c r="V500" i="76"/>
  <c r="U500" i="76"/>
  <c r="T500" i="76"/>
  <c r="S500" i="76"/>
  <c r="R500" i="76"/>
  <c r="Q500" i="76"/>
  <c r="P500" i="76"/>
  <c r="O500" i="76"/>
  <c r="N500" i="76"/>
  <c r="M500" i="76"/>
  <c r="L500" i="76"/>
  <c r="K500" i="76"/>
  <c r="H500" i="76"/>
  <c r="W499" i="76"/>
  <c r="V499" i="76"/>
  <c r="U499" i="76"/>
  <c r="T499" i="76"/>
  <c r="S499" i="76"/>
  <c r="R499" i="76"/>
  <c r="Q499" i="76"/>
  <c r="P499" i="76"/>
  <c r="O499" i="76"/>
  <c r="N499" i="76"/>
  <c r="M499" i="76"/>
  <c r="L499" i="76"/>
  <c r="K499" i="76"/>
  <c r="H499" i="76"/>
  <c r="W498" i="76"/>
  <c r="V498" i="76"/>
  <c r="U498" i="76"/>
  <c r="T498" i="76"/>
  <c r="S498" i="76"/>
  <c r="R498" i="76"/>
  <c r="Q498" i="76"/>
  <c r="P498" i="76"/>
  <c r="O498" i="76"/>
  <c r="N498" i="76"/>
  <c r="M498" i="76"/>
  <c r="L498" i="76"/>
  <c r="K498" i="76"/>
  <c r="H498" i="76"/>
  <c r="W497" i="76"/>
  <c r="V497" i="76"/>
  <c r="U497" i="76"/>
  <c r="T497" i="76"/>
  <c r="S497" i="76"/>
  <c r="R497" i="76"/>
  <c r="Q497" i="76"/>
  <c r="P497" i="76"/>
  <c r="O497" i="76"/>
  <c r="N497" i="76"/>
  <c r="M497" i="76"/>
  <c r="L497" i="76"/>
  <c r="K497" i="76"/>
  <c r="H497" i="76"/>
  <c r="W496" i="76"/>
  <c r="V496" i="76"/>
  <c r="U496" i="76"/>
  <c r="T496" i="76"/>
  <c r="S496" i="76"/>
  <c r="R496" i="76"/>
  <c r="Q496" i="76"/>
  <c r="P496" i="76"/>
  <c r="O496" i="76"/>
  <c r="N496" i="76"/>
  <c r="M496" i="76"/>
  <c r="L496" i="76"/>
  <c r="K496" i="76"/>
  <c r="H496" i="76"/>
  <c r="W495" i="76"/>
  <c r="V495" i="76"/>
  <c r="U495" i="76"/>
  <c r="T495" i="76"/>
  <c r="S495" i="76"/>
  <c r="R495" i="76"/>
  <c r="Q495" i="76"/>
  <c r="P495" i="76"/>
  <c r="O495" i="76"/>
  <c r="N495" i="76"/>
  <c r="M495" i="76"/>
  <c r="L495" i="76"/>
  <c r="K495" i="76"/>
  <c r="H495" i="76"/>
  <c r="W494" i="76"/>
  <c r="V494" i="76"/>
  <c r="U494" i="76"/>
  <c r="T494" i="76"/>
  <c r="S494" i="76"/>
  <c r="R494" i="76"/>
  <c r="Q494" i="76"/>
  <c r="P494" i="76"/>
  <c r="O494" i="76"/>
  <c r="N494" i="76"/>
  <c r="M494" i="76"/>
  <c r="L494" i="76"/>
  <c r="K494" i="76"/>
  <c r="H494" i="76"/>
  <c r="W493" i="76"/>
  <c r="V493" i="76"/>
  <c r="U493" i="76"/>
  <c r="T493" i="76"/>
  <c r="S493" i="76"/>
  <c r="R493" i="76"/>
  <c r="Q493" i="76"/>
  <c r="P493" i="76"/>
  <c r="O493" i="76"/>
  <c r="N493" i="76"/>
  <c r="M493" i="76"/>
  <c r="L493" i="76"/>
  <c r="K493" i="76"/>
  <c r="H493" i="76"/>
  <c r="W492" i="76"/>
  <c r="V492" i="76"/>
  <c r="U492" i="76"/>
  <c r="T492" i="76"/>
  <c r="S492" i="76"/>
  <c r="R492" i="76"/>
  <c r="Q492" i="76"/>
  <c r="P492" i="76"/>
  <c r="O492" i="76"/>
  <c r="N492" i="76"/>
  <c r="M492" i="76"/>
  <c r="L492" i="76"/>
  <c r="K492" i="76"/>
  <c r="H492" i="76"/>
  <c r="W491" i="76"/>
  <c r="V491" i="76"/>
  <c r="U491" i="76"/>
  <c r="T491" i="76"/>
  <c r="S491" i="76"/>
  <c r="R491" i="76"/>
  <c r="Q491" i="76"/>
  <c r="P491" i="76"/>
  <c r="O491" i="76"/>
  <c r="N491" i="76"/>
  <c r="M491" i="76"/>
  <c r="L491" i="76"/>
  <c r="K491" i="76"/>
  <c r="H491" i="76"/>
  <c r="W490" i="76"/>
  <c r="V490" i="76"/>
  <c r="U490" i="76"/>
  <c r="T490" i="76"/>
  <c r="S490" i="76"/>
  <c r="R490" i="76"/>
  <c r="Q490" i="76"/>
  <c r="P490" i="76"/>
  <c r="O490" i="76"/>
  <c r="N490" i="76"/>
  <c r="M490" i="76"/>
  <c r="L490" i="76"/>
  <c r="K490" i="76"/>
  <c r="H490" i="76"/>
  <c r="W489" i="76"/>
  <c r="V489" i="76"/>
  <c r="U489" i="76"/>
  <c r="T489" i="76"/>
  <c r="S489" i="76"/>
  <c r="R489" i="76"/>
  <c r="Q489" i="76"/>
  <c r="P489" i="76"/>
  <c r="O489" i="76"/>
  <c r="N489" i="76"/>
  <c r="M489" i="76"/>
  <c r="L489" i="76"/>
  <c r="K489" i="76"/>
  <c r="H489" i="76"/>
  <c r="W488" i="76"/>
  <c r="V488" i="76"/>
  <c r="U488" i="76"/>
  <c r="T488" i="76"/>
  <c r="S488" i="76"/>
  <c r="R488" i="76"/>
  <c r="Q488" i="76"/>
  <c r="P488" i="76"/>
  <c r="O488" i="76"/>
  <c r="N488" i="76"/>
  <c r="M488" i="76"/>
  <c r="L488" i="76"/>
  <c r="K488" i="76"/>
  <c r="H488" i="76"/>
  <c r="W487" i="76"/>
  <c r="V487" i="76"/>
  <c r="U487" i="76"/>
  <c r="T487" i="76"/>
  <c r="S487" i="76"/>
  <c r="R487" i="76"/>
  <c r="Q487" i="76"/>
  <c r="P487" i="76"/>
  <c r="O487" i="76"/>
  <c r="N487" i="76"/>
  <c r="M487" i="76"/>
  <c r="L487" i="76"/>
  <c r="K487" i="76"/>
  <c r="H487" i="76"/>
  <c r="W486" i="76"/>
  <c r="V486" i="76"/>
  <c r="U486" i="76"/>
  <c r="T486" i="76"/>
  <c r="S486" i="76"/>
  <c r="R486" i="76"/>
  <c r="Q486" i="76"/>
  <c r="P486" i="76"/>
  <c r="O486" i="76"/>
  <c r="N486" i="76"/>
  <c r="M486" i="76"/>
  <c r="L486" i="76"/>
  <c r="K486" i="76"/>
  <c r="H486" i="76"/>
  <c r="W485" i="76"/>
  <c r="V485" i="76"/>
  <c r="U485" i="76"/>
  <c r="T485" i="76"/>
  <c r="S485" i="76"/>
  <c r="R485" i="76"/>
  <c r="Q485" i="76"/>
  <c r="P485" i="76"/>
  <c r="O485" i="76"/>
  <c r="N485" i="76"/>
  <c r="M485" i="76"/>
  <c r="L485" i="76"/>
  <c r="K485" i="76"/>
  <c r="H485" i="76"/>
  <c r="W484" i="76"/>
  <c r="V484" i="76"/>
  <c r="U484" i="76"/>
  <c r="T484" i="76"/>
  <c r="S484" i="76"/>
  <c r="R484" i="76"/>
  <c r="Q484" i="76"/>
  <c r="P484" i="76"/>
  <c r="O484" i="76"/>
  <c r="N484" i="76"/>
  <c r="M484" i="76"/>
  <c r="L484" i="76"/>
  <c r="K484" i="76"/>
  <c r="H484" i="76"/>
  <c r="W483" i="76"/>
  <c r="V483" i="76"/>
  <c r="U483" i="76"/>
  <c r="T483" i="76"/>
  <c r="S483" i="76"/>
  <c r="R483" i="76"/>
  <c r="Q483" i="76"/>
  <c r="P483" i="76"/>
  <c r="O483" i="76"/>
  <c r="N483" i="76"/>
  <c r="M483" i="76"/>
  <c r="L483" i="76"/>
  <c r="K483" i="76"/>
  <c r="H483" i="76"/>
  <c r="W482" i="76"/>
  <c r="V482" i="76"/>
  <c r="U482" i="76"/>
  <c r="T482" i="76"/>
  <c r="S482" i="76"/>
  <c r="R482" i="76"/>
  <c r="Q482" i="76"/>
  <c r="P482" i="76"/>
  <c r="O482" i="76"/>
  <c r="N482" i="76"/>
  <c r="M482" i="76"/>
  <c r="L482" i="76"/>
  <c r="K482" i="76"/>
  <c r="H482" i="76"/>
  <c r="W481" i="76"/>
  <c r="V481" i="76"/>
  <c r="U481" i="76"/>
  <c r="T481" i="76"/>
  <c r="S481" i="76"/>
  <c r="R481" i="76"/>
  <c r="Q481" i="76"/>
  <c r="P481" i="76"/>
  <c r="O481" i="76"/>
  <c r="N481" i="76"/>
  <c r="M481" i="76"/>
  <c r="L481" i="76"/>
  <c r="K481" i="76"/>
  <c r="H481" i="76"/>
  <c r="W480" i="76"/>
  <c r="V480" i="76"/>
  <c r="U480" i="76"/>
  <c r="T480" i="76"/>
  <c r="S480" i="76"/>
  <c r="R480" i="76"/>
  <c r="Q480" i="76"/>
  <c r="P480" i="76"/>
  <c r="O480" i="76"/>
  <c r="N480" i="76"/>
  <c r="M480" i="76"/>
  <c r="L480" i="76"/>
  <c r="K480" i="76"/>
  <c r="H480" i="76"/>
  <c r="W479" i="76"/>
  <c r="V479" i="76"/>
  <c r="U479" i="76"/>
  <c r="T479" i="76"/>
  <c r="S479" i="76"/>
  <c r="R479" i="76"/>
  <c r="Q479" i="76"/>
  <c r="P479" i="76"/>
  <c r="O479" i="76"/>
  <c r="N479" i="76"/>
  <c r="M479" i="76"/>
  <c r="L479" i="76"/>
  <c r="K479" i="76"/>
  <c r="H479" i="76"/>
  <c r="W478" i="76"/>
  <c r="V478" i="76"/>
  <c r="U478" i="76"/>
  <c r="T478" i="76"/>
  <c r="S478" i="76"/>
  <c r="R478" i="76"/>
  <c r="Q478" i="76"/>
  <c r="P478" i="76"/>
  <c r="O478" i="76"/>
  <c r="N478" i="76"/>
  <c r="M478" i="76"/>
  <c r="L478" i="76"/>
  <c r="K478" i="76"/>
  <c r="H478" i="76"/>
  <c r="W477" i="76"/>
  <c r="V477" i="76"/>
  <c r="U477" i="76"/>
  <c r="T477" i="76"/>
  <c r="S477" i="76"/>
  <c r="R477" i="76"/>
  <c r="Q477" i="76"/>
  <c r="P477" i="76"/>
  <c r="O477" i="76"/>
  <c r="N477" i="76"/>
  <c r="M477" i="76"/>
  <c r="L477" i="76"/>
  <c r="K477" i="76"/>
  <c r="H477" i="76"/>
  <c r="W476" i="76"/>
  <c r="V476" i="76"/>
  <c r="U476" i="76"/>
  <c r="T476" i="76"/>
  <c r="S476" i="76"/>
  <c r="R476" i="76"/>
  <c r="Q476" i="76"/>
  <c r="P476" i="76"/>
  <c r="O476" i="76"/>
  <c r="N476" i="76"/>
  <c r="M476" i="76"/>
  <c r="L476" i="76"/>
  <c r="K476" i="76"/>
  <c r="H476" i="76"/>
  <c r="W475" i="76"/>
  <c r="V475" i="76"/>
  <c r="U475" i="76"/>
  <c r="T475" i="76"/>
  <c r="S475" i="76"/>
  <c r="R475" i="76"/>
  <c r="Q475" i="76"/>
  <c r="P475" i="76"/>
  <c r="O475" i="76"/>
  <c r="N475" i="76"/>
  <c r="M475" i="76"/>
  <c r="L475" i="76"/>
  <c r="K475" i="76"/>
  <c r="H475" i="76"/>
  <c r="W474" i="76"/>
  <c r="V474" i="76"/>
  <c r="U474" i="76"/>
  <c r="T474" i="76"/>
  <c r="S474" i="76"/>
  <c r="R474" i="76"/>
  <c r="Q474" i="76"/>
  <c r="P474" i="76"/>
  <c r="O474" i="76"/>
  <c r="N474" i="76"/>
  <c r="M474" i="76"/>
  <c r="L474" i="76"/>
  <c r="K474" i="76"/>
  <c r="H474" i="76"/>
  <c r="W473" i="76"/>
  <c r="V473" i="76"/>
  <c r="U473" i="76"/>
  <c r="T473" i="76"/>
  <c r="S473" i="76"/>
  <c r="R473" i="76"/>
  <c r="Q473" i="76"/>
  <c r="P473" i="76"/>
  <c r="O473" i="76"/>
  <c r="N473" i="76"/>
  <c r="M473" i="76"/>
  <c r="L473" i="76"/>
  <c r="K473" i="76"/>
  <c r="H473" i="76"/>
  <c r="W472" i="76"/>
  <c r="V472" i="76"/>
  <c r="U472" i="76"/>
  <c r="T472" i="76"/>
  <c r="S472" i="76"/>
  <c r="R472" i="76"/>
  <c r="Q472" i="76"/>
  <c r="P472" i="76"/>
  <c r="O472" i="76"/>
  <c r="N472" i="76"/>
  <c r="M472" i="76"/>
  <c r="L472" i="76"/>
  <c r="K472" i="76"/>
  <c r="H472" i="76"/>
  <c r="W471" i="76"/>
  <c r="V471" i="76"/>
  <c r="U471" i="76"/>
  <c r="T471" i="76"/>
  <c r="S471" i="76"/>
  <c r="R471" i="76"/>
  <c r="Q471" i="76"/>
  <c r="P471" i="76"/>
  <c r="O471" i="76"/>
  <c r="N471" i="76"/>
  <c r="M471" i="76"/>
  <c r="L471" i="76"/>
  <c r="K471" i="76"/>
  <c r="H471" i="76"/>
  <c r="W470" i="76"/>
  <c r="V470" i="76"/>
  <c r="U470" i="76"/>
  <c r="T470" i="76"/>
  <c r="S470" i="76"/>
  <c r="R470" i="76"/>
  <c r="Q470" i="76"/>
  <c r="P470" i="76"/>
  <c r="O470" i="76"/>
  <c r="N470" i="76"/>
  <c r="M470" i="76"/>
  <c r="L470" i="76"/>
  <c r="K470" i="76"/>
  <c r="H470" i="76"/>
  <c r="W469" i="76"/>
  <c r="V469" i="76"/>
  <c r="U469" i="76"/>
  <c r="T469" i="76"/>
  <c r="S469" i="76"/>
  <c r="R469" i="76"/>
  <c r="Q469" i="76"/>
  <c r="P469" i="76"/>
  <c r="O469" i="76"/>
  <c r="N469" i="76"/>
  <c r="M469" i="76"/>
  <c r="L469" i="76"/>
  <c r="K469" i="76"/>
  <c r="H469" i="76"/>
  <c r="W468" i="76"/>
  <c r="V468" i="76"/>
  <c r="U468" i="76"/>
  <c r="T468" i="76"/>
  <c r="S468" i="76"/>
  <c r="R468" i="76"/>
  <c r="Q468" i="76"/>
  <c r="P468" i="76"/>
  <c r="O468" i="76"/>
  <c r="N468" i="76"/>
  <c r="M468" i="76"/>
  <c r="L468" i="76"/>
  <c r="K468" i="76"/>
  <c r="H468" i="76"/>
  <c r="W467" i="76"/>
  <c r="V467" i="76"/>
  <c r="U467" i="76"/>
  <c r="T467" i="76"/>
  <c r="S467" i="76"/>
  <c r="R467" i="76"/>
  <c r="Q467" i="76"/>
  <c r="P467" i="76"/>
  <c r="O467" i="76"/>
  <c r="N467" i="76"/>
  <c r="M467" i="76"/>
  <c r="L467" i="76"/>
  <c r="K467" i="76"/>
  <c r="H467" i="76"/>
  <c r="W466" i="76"/>
  <c r="V466" i="76"/>
  <c r="U466" i="76"/>
  <c r="T466" i="76"/>
  <c r="S466" i="76"/>
  <c r="R466" i="76"/>
  <c r="Q466" i="76"/>
  <c r="P466" i="76"/>
  <c r="O466" i="76"/>
  <c r="N466" i="76"/>
  <c r="M466" i="76"/>
  <c r="L466" i="76"/>
  <c r="K466" i="76"/>
  <c r="H466" i="76"/>
  <c r="W465" i="76"/>
  <c r="V465" i="76"/>
  <c r="U465" i="76"/>
  <c r="T465" i="76"/>
  <c r="S465" i="76"/>
  <c r="R465" i="76"/>
  <c r="Q465" i="76"/>
  <c r="P465" i="76"/>
  <c r="O465" i="76"/>
  <c r="N465" i="76"/>
  <c r="M465" i="76"/>
  <c r="L465" i="76"/>
  <c r="K465" i="76"/>
  <c r="H465" i="76"/>
  <c r="W464" i="76"/>
  <c r="V464" i="76"/>
  <c r="U464" i="76"/>
  <c r="T464" i="76"/>
  <c r="S464" i="76"/>
  <c r="R464" i="76"/>
  <c r="Q464" i="76"/>
  <c r="P464" i="76"/>
  <c r="O464" i="76"/>
  <c r="N464" i="76"/>
  <c r="M464" i="76"/>
  <c r="L464" i="76"/>
  <c r="K464" i="76"/>
  <c r="H464" i="76"/>
  <c r="W463" i="76"/>
  <c r="V463" i="76"/>
  <c r="U463" i="76"/>
  <c r="T463" i="76"/>
  <c r="S463" i="76"/>
  <c r="R463" i="76"/>
  <c r="Q463" i="76"/>
  <c r="P463" i="76"/>
  <c r="O463" i="76"/>
  <c r="N463" i="76"/>
  <c r="M463" i="76"/>
  <c r="L463" i="76"/>
  <c r="K463" i="76"/>
  <c r="H463" i="76"/>
  <c r="W462" i="76"/>
  <c r="V462" i="76"/>
  <c r="U462" i="76"/>
  <c r="T462" i="76"/>
  <c r="S462" i="76"/>
  <c r="R462" i="76"/>
  <c r="Q462" i="76"/>
  <c r="P462" i="76"/>
  <c r="O462" i="76"/>
  <c r="N462" i="76"/>
  <c r="M462" i="76"/>
  <c r="L462" i="76"/>
  <c r="K462" i="76"/>
  <c r="H462" i="76"/>
  <c r="W461" i="76"/>
  <c r="V461" i="76"/>
  <c r="U461" i="76"/>
  <c r="T461" i="76"/>
  <c r="S461" i="76"/>
  <c r="R461" i="76"/>
  <c r="Q461" i="76"/>
  <c r="P461" i="76"/>
  <c r="O461" i="76"/>
  <c r="N461" i="76"/>
  <c r="M461" i="76"/>
  <c r="L461" i="76"/>
  <c r="K461" i="76"/>
  <c r="H461" i="76"/>
  <c r="W460" i="76"/>
  <c r="V460" i="76"/>
  <c r="U460" i="76"/>
  <c r="T460" i="76"/>
  <c r="S460" i="76"/>
  <c r="R460" i="76"/>
  <c r="Q460" i="76"/>
  <c r="P460" i="76"/>
  <c r="O460" i="76"/>
  <c r="N460" i="76"/>
  <c r="M460" i="76"/>
  <c r="L460" i="76"/>
  <c r="K460" i="76"/>
  <c r="H460" i="76"/>
  <c r="W459" i="76"/>
  <c r="V459" i="76"/>
  <c r="U459" i="76"/>
  <c r="T459" i="76"/>
  <c r="S459" i="76"/>
  <c r="R459" i="76"/>
  <c r="Q459" i="76"/>
  <c r="P459" i="76"/>
  <c r="O459" i="76"/>
  <c r="N459" i="76"/>
  <c r="M459" i="76"/>
  <c r="L459" i="76"/>
  <c r="K459" i="76"/>
  <c r="H459" i="76"/>
  <c r="W458" i="76"/>
  <c r="V458" i="76"/>
  <c r="U458" i="76"/>
  <c r="T458" i="76"/>
  <c r="S458" i="76"/>
  <c r="R458" i="76"/>
  <c r="Q458" i="76"/>
  <c r="P458" i="76"/>
  <c r="O458" i="76"/>
  <c r="N458" i="76"/>
  <c r="M458" i="76"/>
  <c r="L458" i="76"/>
  <c r="K458" i="76"/>
  <c r="H458" i="76"/>
  <c r="W457" i="76"/>
  <c r="V457" i="76"/>
  <c r="U457" i="76"/>
  <c r="T457" i="76"/>
  <c r="S457" i="76"/>
  <c r="R457" i="76"/>
  <c r="Q457" i="76"/>
  <c r="P457" i="76"/>
  <c r="O457" i="76"/>
  <c r="N457" i="76"/>
  <c r="M457" i="76"/>
  <c r="L457" i="76"/>
  <c r="K457" i="76"/>
  <c r="H457" i="76"/>
  <c r="W456" i="76"/>
  <c r="V456" i="76"/>
  <c r="U456" i="76"/>
  <c r="T456" i="76"/>
  <c r="S456" i="76"/>
  <c r="R456" i="76"/>
  <c r="Q456" i="76"/>
  <c r="P456" i="76"/>
  <c r="O456" i="76"/>
  <c r="N456" i="76"/>
  <c r="M456" i="76"/>
  <c r="L456" i="76"/>
  <c r="K456" i="76"/>
  <c r="H456" i="76"/>
  <c r="W455" i="76"/>
  <c r="V455" i="76"/>
  <c r="U455" i="76"/>
  <c r="T455" i="76"/>
  <c r="S455" i="76"/>
  <c r="R455" i="76"/>
  <c r="Q455" i="76"/>
  <c r="P455" i="76"/>
  <c r="O455" i="76"/>
  <c r="N455" i="76"/>
  <c r="M455" i="76"/>
  <c r="L455" i="76"/>
  <c r="K455" i="76"/>
  <c r="H455" i="76"/>
  <c r="W454" i="76"/>
  <c r="V454" i="76"/>
  <c r="U454" i="76"/>
  <c r="T454" i="76"/>
  <c r="S454" i="76"/>
  <c r="R454" i="76"/>
  <c r="Q454" i="76"/>
  <c r="P454" i="76"/>
  <c r="O454" i="76"/>
  <c r="N454" i="76"/>
  <c r="M454" i="76"/>
  <c r="L454" i="76"/>
  <c r="K454" i="76"/>
  <c r="H454" i="76"/>
  <c r="W453" i="76"/>
  <c r="V453" i="76"/>
  <c r="U453" i="76"/>
  <c r="T453" i="76"/>
  <c r="S453" i="76"/>
  <c r="R453" i="76"/>
  <c r="Q453" i="76"/>
  <c r="P453" i="76"/>
  <c r="O453" i="76"/>
  <c r="N453" i="76"/>
  <c r="M453" i="76"/>
  <c r="L453" i="76"/>
  <c r="K453" i="76"/>
  <c r="H453" i="76"/>
  <c r="W452" i="76"/>
  <c r="V452" i="76"/>
  <c r="U452" i="76"/>
  <c r="T452" i="76"/>
  <c r="S452" i="76"/>
  <c r="R452" i="76"/>
  <c r="Q452" i="76"/>
  <c r="P452" i="76"/>
  <c r="O452" i="76"/>
  <c r="N452" i="76"/>
  <c r="M452" i="76"/>
  <c r="L452" i="76"/>
  <c r="K452" i="76"/>
  <c r="H452" i="76"/>
  <c r="W451" i="76"/>
  <c r="V451" i="76"/>
  <c r="U451" i="76"/>
  <c r="T451" i="76"/>
  <c r="S451" i="76"/>
  <c r="R451" i="76"/>
  <c r="Q451" i="76"/>
  <c r="P451" i="76"/>
  <c r="O451" i="76"/>
  <c r="N451" i="76"/>
  <c r="M451" i="76"/>
  <c r="L451" i="76"/>
  <c r="K451" i="76"/>
  <c r="H451" i="76"/>
  <c r="W450" i="76"/>
  <c r="V450" i="76"/>
  <c r="U450" i="76"/>
  <c r="T450" i="76"/>
  <c r="S450" i="76"/>
  <c r="R450" i="76"/>
  <c r="Q450" i="76"/>
  <c r="P450" i="76"/>
  <c r="O450" i="76"/>
  <c r="N450" i="76"/>
  <c r="M450" i="76"/>
  <c r="L450" i="76"/>
  <c r="K450" i="76"/>
  <c r="H450" i="76"/>
  <c r="W449" i="76"/>
  <c r="V449" i="76"/>
  <c r="U449" i="76"/>
  <c r="T449" i="76"/>
  <c r="S449" i="76"/>
  <c r="R449" i="76"/>
  <c r="Q449" i="76"/>
  <c r="P449" i="76"/>
  <c r="O449" i="76"/>
  <c r="N449" i="76"/>
  <c r="M449" i="76"/>
  <c r="L449" i="76"/>
  <c r="K449" i="76"/>
  <c r="H449" i="76"/>
  <c r="W448" i="76"/>
  <c r="V448" i="76"/>
  <c r="U448" i="76"/>
  <c r="T448" i="76"/>
  <c r="S448" i="76"/>
  <c r="R448" i="76"/>
  <c r="Q448" i="76"/>
  <c r="P448" i="76"/>
  <c r="O448" i="76"/>
  <c r="N448" i="76"/>
  <c r="M448" i="76"/>
  <c r="L448" i="76"/>
  <c r="K448" i="76"/>
  <c r="H448" i="76"/>
  <c r="W447" i="76"/>
  <c r="V447" i="76"/>
  <c r="U447" i="76"/>
  <c r="T447" i="76"/>
  <c r="S447" i="76"/>
  <c r="R447" i="76"/>
  <c r="Q447" i="76"/>
  <c r="P447" i="76"/>
  <c r="O447" i="76"/>
  <c r="N447" i="76"/>
  <c r="M447" i="76"/>
  <c r="L447" i="76"/>
  <c r="K447" i="76"/>
  <c r="H447" i="76"/>
  <c r="W446" i="76"/>
  <c r="V446" i="76"/>
  <c r="U446" i="76"/>
  <c r="T446" i="76"/>
  <c r="S446" i="76"/>
  <c r="R446" i="76"/>
  <c r="Q446" i="76"/>
  <c r="P446" i="76"/>
  <c r="O446" i="76"/>
  <c r="N446" i="76"/>
  <c r="M446" i="76"/>
  <c r="L446" i="76"/>
  <c r="K446" i="76"/>
  <c r="H446" i="76"/>
  <c r="W445" i="76"/>
  <c r="V445" i="76"/>
  <c r="U445" i="76"/>
  <c r="T445" i="76"/>
  <c r="S445" i="76"/>
  <c r="R445" i="76"/>
  <c r="Q445" i="76"/>
  <c r="P445" i="76"/>
  <c r="O445" i="76"/>
  <c r="N445" i="76"/>
  <c r="M445" i="76"/>
  <c r="L445" i="76"/>
  <c r="K445" i="76"/>
  <c r="H445" i="76"/>
  <c r="W444" i="76"/>
  <c r="V444" i="76"/>
  <c r="U444" i="76"/>
  <c r="T444" i="76"/>
  <c r="S444" i="76"/>
  <c r="R444" i="76"/>
  <c r="Q444" i="76"/>
  <c r="P444" i="76"/>
  <c r="O444" i="76"/>
  <c r="N444" i="76"/>
  <c r="M444" i="76"/>
  <c r="L444" i="76"/>
  <c r="K444" i="76"/>
  <c r="H444" i="76"/>
  <c r="W443" i="76"/>
  <c r="V443" i="76"/>
  <c r="U443" i="76"/>
  <c r="T443" i="76"/>
  <c r="S443" i="76"/>
  <c r="R443" i="76"/>
  <c r="Q443" i="76"/>
  <c r="P443" i="76"/>
  <c r="O443" i="76"/>
  <c r="N443" i="76"/>
  <c r="M443" i="76"/>
  <c r="L443" i="76"/>
  <c r="K443" i="76"/>
  <c r="H443" i="76"/>
  <c r="W442" i="76"/>
  <c r="V442" i="76"/>
  <c r="U442" i="76"/>
  <c r="T442" i="76"/>
  <c r="S442" i="76"/>
  <c r="R442" i="76"/>
  <c r="Q442" i="76"/>
  <c r="P442" i="76"/>
  <c r="O442" i="76"/>
  <c r="N442" i="76"/>
  <c r="M442" i="76"/>
  <c r="L442" i="76"/>
  <c r="K442" i="76"/>
  <c r="H442" i="76"/>
  <c r="W441" i="76"/>
  <c r="V441" i="76"/>
  <c r="U441" i="76"/>
  <c r="T441" i="76"/>
  <c r="S441" i="76"/>
  <c r="R441" i="76"/>
  <c r="Q441" i="76"/>
  <c r="P441" i="76"/>
  <c r="O441" i="76"/>
  <c r="N441" i="76"/>
  <c r="M441" i="76"/>
  <c r="L441" i="76"/>
  <c r="K441" i="76"/>
  <c r="H441" i="76"/>
  <c r="W440" i="76"/>
  <c r="V440" i="76"/>
  <c r="U440" i="76"/>
  <c r="T440" i="76"/>
  <c r="S440" i="76"/>
  <c r="R440" i="76"/>
  <c r="Q440" i="76"/>
  <c r="P440" i="76"/>
  <c r="O440" i="76"/>
  <c r="N440" i="76"/>
  <c r="M440" i="76"/>
  <c r="L440" i="76"/>
  <c r="K440" i="76"/>
  <c r="H440" i="76"/>
  <c r="W439" i="76"/>
  <c r="V439" i="76"/>
  <c r="U439" i="76"/>
  <c r="T439" i="76"/>
  <c r="S439" i="76"/>
  <c r="R439" i="76"/>
  <c r="Q439" i="76"/>
  <c r="P439" i="76"/>
  <c r="O439" i="76"/>
  <c r="N439" i="76"/>
  <c r="M439" i="76"/>
  <c r="L439" i="76"/>
  <c r="K439" i="76"/>
  <c r="H439" i="76"/>
  <c r="W438" i="76"/>
  <c r="V438" i="76"/>
  <c r="U438" i="76"/>
  <c r="T438" i="76"/>
  <c r="S438" i="76"/>
  <c r="R438" i="76"/>
  <c r="Q438" i="76"/>
  <c r="P438" i="76"/>
  <c r="O438" i="76"/>
  <c r="N438" i="76"/>
  <c r="M438" i="76"/>
  <c r="L438" i="76"/>
  <c r="K438" i="76"/>
  <c r="H438" i="76"/>
  <c r="W437" i="76"/>
  <c r="V437" i="76"/>
  <c r="U437" i="76"/>
  <c r="T437" i="76"/>
  <c r="S437" i="76"/>
  <c r="R437" i="76"/>
  <c r="Q437" i="76"/>
  <c r="P437" i="76"/>
  <c r="O437" i="76"/>
  <c r="N437" i="76"/>
  <c r="M437" i="76"/>
  <c r="L437" i="76"/>
  <c r="K437" i="76"/>
  <c r="H437" i="76"/>
  <c r="W436" i="76"/>
  <c r="V436" i="76"/>
  <c r="U436" i="76"/>
  <c r="T436" i="76"/>
  <c r="S436" i="76"/>
  <c r="R436" i="76"/>
  <c r="Q436" i="76"/>
  <c r="P436" i="76"/>
  <c r="O436" i="76"/>
  <c r="N436" i="76"/>
  <c r="M436" i="76"/>
  <c r="L436" i="76"/>
  <c r="K436" i="76"/>
  <c r="H436" i="76"/>
  <c r="W435" i="76"/>
  <c r="V435" i="76"/>
  <c r="U435" i="76"/>
  <c r="T435" i="76"/>
  <c r="S435" i="76"/>
  <c r="R435" i="76"/>
  <c r="Q435" i="76"/>
  <c r="P435" i="76"/>
  <c r="O435" i="76"/>
  <c r="N435" i="76"/>
  <c r="M435" i="76"/>
  <c r="L435" i="76"/>
  <c r="K435" i="76"/>
  <c r="H435" i="76"/>
  <c r="W434" i="76"/>
  <c r="V434" i="76"/>
  <c r="U434" i="76"/>
  <c r="T434" i="76"/>
  <c r="S434" i="76"/>
  <c r="R434" i="76"/>
  <c r="Q434" i="76"/>
  <c r="P434" i="76"/>
  <c r="O434" i="76"/>
  <c r="N434" i="76"/>
  <c r="M434" i="76"/>
  <c r="L434" i="76"/>
  <c r="K434" i="76"/>
  <c r="H434" i="76"/>
  <c r="W433" i="76"/>
  <c r="V433" i="76"/>
  <c r="U433" i="76"/>
  <c r="T433" i="76"/>
  <c r="S433" i="76"/>
  <c r="R433" i="76"/>
  <c r="Q433" i="76"/>
  <c r="P433" i="76"/>
  <c r="O433" i="76"/>
  <c r="N433" i="76"/>
  <c r="M433" i="76"/>
  <c r="L433" i="76"/>
  <c r="K433" i="76"/>
  <c r="H433" i="76"/>
  <c r="W432" i="76"/>
  <c r="V432" i="76"/>
  <c r="U432" i="76"/>
  <c r="T432" i="76"/>
  <c r="S432" i="76"/>
  <c r="R432" i="76"/>
  <c r="Q432" i="76"/>
  <c r="P432" i="76"/>
  <c r="O432" i="76"/>
  <c r="N432" i="76"/>
  <c r="M432" i="76"/>
  <c r="L432" i="76"/>
  <c r="K432" i="76"/>
  <c r="H432" i="76"/>
  <c r="W431" i="76"/>
  <c r="V431" i="76"/>
  <c r="U431" i="76"/>
  <c r="T431" i="76"/>
  <c r="S431" i="76"/>
  <c r="R431" i="76"/>
  <c r="Q431" i="76"/>
  <c r="P431" i="76"/>
  <c r="O431" i="76"/>
  <c r="N431" i="76"/>
  <c r="M431" i="76"/>
  <c r="L431" i="76"/>
  <c r="K431" i="76"/>
  <c r="H431" i="76"/>
  <c r="W430" i="76"/>
  <c r="V430" i="76"/>
  <c r="U430" i="76"/>
  <c r="T430" i="76"/>
  <c r="S430" i="76"/>
  <c r="R430" i="76"/>
  <c r="Q430" i="76"/>
  <c r="P430" i="76"/>
  <c r="O430" i="76"/>
  <c r="N430" i="76"/>
  <c r="M430" i="76"/>
  <c r="L430" i="76"/>
  <c r="K430" i="76"/>
  <c r="H430" i="76"/>
  <c r="W429" i="76"/>
  <c r="V429" i="76"/>
  <c r="U429" i="76"/>
  <c r="T429" i="76"/>
  <c r="S429" i="76"/>
  <c r="R429" i="76"/>
  <c r="Q429" i="76"/>
  <c r="P429" i="76"/>
  <c r="O429" i="76"/>
  <c r="N429" i="76"/>
  <c r="M429" i="76"/>
  <c r="L429" i="76"/>
  <c r="K429" i="76"/>
  <c r="H429" i="76"/>
  <c r="W428" i="76"/>
  <c r="V428" i="76"/>
  <c r="U428" i="76"/>
  <c r="T428" i="76"/>
  <c r="S428" i="76"/>
  <c r="R428" i="76"/>
  <c r="Q428" i="76"/>
  <c r="P428" i="76"/>
  <c r="O428" i="76"/>
  <c r="N428" i="76"/>
  <c r="M428" i="76"/>
  <c r="L428" i="76"/>
  <c r="K428" i="76"/>
  <c r="H428" i="76"/>
  <c r="W427" i="76"/>
  <c r="V427" i="76"/>
  <c r="U427" i="76"/>
  <c r="T427" i="76"/>
  <c r="S427" i="76"/>
  <c r="R427" i="76"/>
  <c r="Q427" i="76"/>
  <c r="P427" i="76"/>
  <c r="O427" i="76"/>
  <c r="N427" i="76"/>
  <c r="M427" i="76"/>
  <c r="L427" i="76"/>
  <c r="K427" i="76"/>
  <c r="H427" i="76"/>
  <c r="W426" i="76"/>
  <c r="V426" i="76"/>
  <c r="U426" i="76"/>
  <c r="T426" i="76"/>
  <c r="S426" i="76"/>
  <c r="R426" i="76"/>
  <c r="Q426" i="76"/>
  <c r="P426" i="76"/>
  <c r="O426" i="76"/>
  <c r="N426" i="76"/>
  <c r="M426" i="76"/>
  <c r="L426" i="76"/>
  <c r="K426" i="76"/>
  <c r="H426" i="76"/>
  <c r="W425" i="76"/>
  <c r="V425" i="76"/>
  <c r="U425" i="76"/>
  <c r="T425" i="76"/>
  <c r="S425" i="76"/>
  <c r="R425" i="76"/>
  <c r="Q425" i="76"/>
  <c r="P425" i="76"/>
  <c r="O425" i="76"/>
  <c r="N425" i="76"/>
  <c r="M425" i="76"/>
  <c r="L425" i="76"/>
  <c r="K425" i="76"/>
  <c r="H425" i="76"/>
  <c r="W424" i="76"/>
  <c r="V424" i="76"/>
  <c r="U424" i="76"/>
  <c r="T424" i="76"/>
  <c r="S424" i="76"/>
  <c r="R424" i="76"/>
  <c r="Q424" i="76"/>
  <c r="P424" i="76"/>
  <c r="O424" i="76"/>
  <c r="N424" i="76"/>
  <c r="M424" i="76"/>
  <c r="L424" i="76"/>
  <c r="K424" i="76"/>
  <c r="H424" i="76"/>
  <c r="W423" i="76"/>
  <c r="V423" i="76"/>
  <c r="U423" i="76"/>
  <c r="T423" i="76"/>
  <c r="S423" i="76"/>
  <c r="R423" i="76"/>
  <c r="Q423" i="76"/>
  <c r="P423" i="76"/>
  <c r="O423" i="76"/>
  <c r="N423" i="76"/>
  <c r="M423" i="76"/>
  <c r="L423" i="76"/>
  <c r="K423" i="76"/>
  <c r="H423" i="76"/>
  <c r="W422" i="76"/>
  <c r="V422" i="76"/>
  <c r="U422" i="76"/>
  <c r="T422" i="76"/>
  <c r="S422" i="76"/>
  <c r="R422" i="76"/>
  <c r="Q422" i="76"/>
  <c r="P422" i="76"/>
  <c r="O422" i="76"/>
  <c r="N422" i="76"/>
  <c r="M422" i="76"/>
  <c r="L422" i="76"/>
  <c r="K422" i="76"/>
  <c r="H422" i="76"/>
  <c r="W421" i="76"/>
  <c r="V421" i="76"/>
  <c r="U421" i="76"/>
  <c r="T421" i="76"/>
  <c r="S421" i="76"/>
  <c r="R421" i="76"/>
  <c r="Q421" i="76"/>
  <c r="P421" i="76"/>
  <c r="O421" i="76"/>
  <c r="N421" i="76"/>
  <c r="M421" i="76"/>
  <c r="L421" i="76"/>
  <c r="K421" i="76"/>
  <c r="H421" i="76"/>
  <c r="W420" i="76"/>
  <c r="V420" i="76"/>
  <c r="U420" i="76"/>
  <c r="T420" i="76"/>
  <c r="S420" i="76"/>
  <c r="R420" i="76"/>
  <c r="Q420" i="76"/>
  <c r="P420" i="76"/>
  <c r="O420" i="76"/>
  <c r="N420" i="76"/>
  <c r="M420" i="76"/>
  <c r="L420" i="76"/>
  <c r="K420" i="76"/>
  <c r="H420" i="76"/>
  <c r="W419" i="76"/>
  <c r="V419" i="76"/>
  <c r="U419" i="76"/>
  <c r="T419" i="76"/>
  <c r="S419" i="76"/>
  <c r="R419" i="76"/>
  <c r="Q419" i="76"/>
  <c r="P419" i="76"/>
  <c r="O419" i="76"/>
  <c r="N419" i="76"/>
  <c r="M419" i="76"/>
  <c r="L419" i="76"/>
  <c r="K419" i="76"/>
  <c r="H419" i="76"/>
  <c r="W418" i="76"/>
  <c r="V418" i="76"/>
  <c r="U418" i="76"/>
  <c r="T418" i="76"/>
  <c r="S418" i="76"/>
  <c r="R418" i="76"/>
  <c r="Q418" i="76"/>
  <c r="P418" i="76"/>
  <c r="O418" i="76"/>
  <c r="N418" i="76"/>
  <c r="M418" i="76"/>
  <c r="L418" i="76"/>
  <c r="K418" i="76"/>
  <c r="H418" i="76"/>
  <c r="W417" i="76"/>
  <c r="V417" i="76"/>
  <c r="U417" i="76"/>
  <c r="T417" i="76"/>
  <c r="S417" i="76"/>
  <c r="R417" i="76"/>
  <c r="Q417" i="76"/>
  <c r="P417" i="76"/>
  <c r="O417" i="76"/>
  <c r="N417" i="76"/>
  <c r="M417" i="76"/>
  <c r="L417" i="76"/>
  <c r="K417" i="76"/>
  <c r="H417" i="76"/>
  <c r="W416" i="76"/>
  <c r="V416" i="76"/>
  <c r="U416" i="76"/>
  <c r="T416" i="76"/>
  <c r="S416" i="76"/>
  <c r="R416" i="76"/>
  <c r="Q416" i="76"/>
  <c r="P416" i="76"/>
  <c r="O416" i="76"/>
  <c r="N416" i="76"/>
  <c r="M416" i="76"/>
  <c r="L416" i="76"/>
  <c r="K416" i="76"/>
  <c r="H416" i="76"/>
  <c r="W415" i="76"/>
  <c r="V415" i="76"/>
  <c r="U415" i="76"/>
  <c r="T415" i="76"/>
  <c r="S415" i="76"/>
  <c r="R415" i="76"/>
  <c r="Q415" i="76"/>
  <c r="P415" i="76"/>
  <c r="O415" i="76"/>
  <c r="N415" i="76"/>
  <c r="M415" i="76"/>
  <c r="L415" i="76"/>
  <c r="K415" i="76"/>
  <c r="H415" i="76"/>
  <c r="W414" i="76"/>
  <c r="V414" i="76"/>
  <c r="U414" i="76"/>
  <c r="T414" i="76"/>
  <c r="S414" i="76"/>
  <c r="R414" i="76"/>
  <c r="Q414" i="76"/>
  <c r="P414" i="76"/>
  <c r="O414" i="76"/>
  <c r="N414" i="76"/>
  <c r="M414" i="76"/>
  <c r="L414" i="76"/>
  <c r="K414" i="76"/>
  <c r="H414" i="76"/>
  <c r="W413" i="76"/>
  <c r="V413" i="76"/>
  <c r="U413" i="76"/>
  <c r="T413" i="76"/>
  <c r="S413" i="76"/>
  <c r="R413" i="76"/>
  <c r="Q413" i="76"/>
  <c r="P413" i="76"/>
  <c r="O413" i="76"/>
  <c r="N413" i="76"/>
  <c r="M413" i="76"/>
  <c r="L413" i="76"/>
  <c r="K413" i="76"/>
  <c r="H413" i="76"/>
  <c r="W412" i="76"/>
  <c r="V412" i="76"/>
  <c r="U412" i="76"/>
  <c r="T412" i="76"/>
  <c r="S412" i="76"/>
  <c r="R412" i="76"/>
  <c r="Q412" i="76"/>
  <c r="P412" i="76"/>
  <c r="O412" i="76"/>
  <c r="N412" i="76"/>
  <c r="M412" i="76"/>
  <c r="L412" i="76"/>
  <c r="K412" i="76"/>
  <c r="H412" i="76"/>
  <c r="W411" i="76"/>
  <c r="V411" i="76"/>
  <c r="U411" i="76"/>
  <c r="T411" i="76"/>
  <c r="S411" i="76"/>
  <c r="R411" i="76"/>
  <c r="Q411" i="76"/>
  <c r="P411" i="76"/>
  <c r="O411" i="76"/>
  <c r="N411" i="76"/>
  <c r="M411" i="76"/>
  <c r="L411" i="76"/>
  <c r="K411" i="76"/>
  <c r="H411" i="76"/>
  <c r="W410" i="76"/>
  <c r="V410" i="76"/>
  <c r="U410" i="76"/>
  <c r="T410" i="76"/>
  <c r="S410" i="76"/>
  <c r="R410" i="76"/>
  <c r="Q410" i="76"/>
  <c r="P410" i="76"/>
  <c r="O410" i="76"/>
  <c r="N410" i="76"/>
  <c r="M410" i="76"/>
  <c r="L410" i="76"/>
  <c r="K410" i="76"/>
  <c r="H410" i="76"/>
  <c r="W409" i="76"/>
  <c r="V409" i="76"/>
  <c r="U409" i="76"/>
  <c r="T409" i="76"/>
  <c r="S409" i="76"/>
  <c r="R409" i="76"/>
  <c r="Q409" i="76"/>
  <c r="P409" i="76"/>
  <c r="O409" i="76"/>
  <c r="N409" i="76"/>
  <c r="M409" i="76"/>
  <c r="L409" i="76"/>
  <c r="K409" i="76"/>
  <c r="H409" i="76"/>
  <c r="W408" i="76"/>
  <c r="V408" i="76"/>
  <c r="U408" i="76"/>
  <c r="T408" i="76"/>
  <c r="S408" i="76"/>
  <c r="R408" i="76"/>
  <c r="Q408" i="76"/>
  <c r="P408" i="76"/>
  <c r="O408" i="76"/>
  <c r="N408" i="76"/>
  <c r="M408" i="76"/>
  <c r="L408" i="76"/>
  <c r="K408" i="76"/>
  <c r="H408" i="76"/>
  <c r="W407" i="76"/>
  <c r="V407" i="76"/>
  <c r="U407" i="76"/>
  <c r="T407" i="76"/>
  <c r="S407" i="76"/>
  <c r="R407" i="76"/>
  <c r="Q407" i="76"/>
  <c r="P407" i="76"/>
  <c r="O407" i="76"/>
  <c r="N407" i="76"/>
  <c r="M407" i="76"/>
  <c r="L407" i="76"/>
  <c r="K407" i="76"/>
  <c r="H407" i="76"/>
  <c r="W406" i="76"/>
  <c r="V406" i="76"/>
  <c r="U406" i="76"/>
  <c r="T406" i="76"/>
  <c r="S406" i="76"/>
  <c r="R406" i="76"/>
  <c r="Q406" i="76"/>
  <c r="P406" i="76"/>
  <c r="O406" i="76"/>
  <c r="N406" i="76"/>
  <c r="M406" i="76"/>
  <c r="L406" i="76"/>
  <c r="K406" i="76"/>
  <c r="H406" i="76"/>
  <c r="W405" i="76"/>
  <c r="V405" i="76"/>
  <c r="U405" i="76"/>
  <c r="T405" i="76"/>
  <c r="S405" i="76"/>
  <c r="R405" i="76"/>
  <c r="Q405" i="76"/>
  <c r="P405" i="76"/>
  <c r="O405" i="76"/>
  <c r="N405" i="76"/>
  <c r="M405" i="76"/>
  <c r="L405" i="76"/>
  <c r="K405" i="76"/>
  <c r="H405" i="76"/>
  <c r="W404" i="76"/>
  <c r="V404" i="76"/>
  <c r="U404" i="76"/>
  <c r="T404" i="76"/>
  <c r="S404" i="76"/>
  <c r="R404" i="76"/>
  <c r="Q404" i="76"/>
  <c r="P404" i="76"/>
  <c r="O404" i="76"/>
  <c r="N404" i="76"/>
  <c r="M404" i="76"/>
  <c r="L404" i="76"/>
  <c r="K404" i="76"/>
  <c r="H404" i="76"/>
  <c r="W403" i="76"/>
  <c r="V403" i="76"/>
  <c r="U403" i="76"/>
  <c r="T403" i="76"/>
  <c r="S403" i="76"/>
  <c r="R403" i="76"/>
  <c r="Q403" i="76"/>
  <c r="P403" i="76"/>
  <c r="O403" i="76"/>
  <c r="N403" i="76"/>
  <c r="M403" i="76"/>
  <c r="L403" i="76"/>
  <c r="K403" i="76"/>
  <c r="H403" i="76"/>
  <c r="W402" i="76"/>
  <c r="V402" i="76"/>
  <c r="U402" i="76"/>
  <c r="T402" i="76"/>
  <c r="S402" i="76"/>
  <c r="R402" i="76"/>
  <c r="Q402" i="76"/>
  <c r="P402" i="76"/>
  <c r="O402" i="76"/>
  <c r="N402" i="76"/>
  <c r="M402" i="76"/>
  <c r="L402" i="76"/>
  <c r="K402" i="76"/>
  <c r="H402" i="76"/>
  <c r="W401" i="76"/>
  <c r="V401" i="76"/>
  <c r="U401" i="76"/>
  <c r="T401" i="76"/>
  <c r="S401" i="76"/>
  <c r="R401" i="76"/>
  <c r="Q401" i="76"/>
  <c r="P401" i="76"/>
  <c r="O401" i="76"/>
  <c r="N401" i="76"/>
  <c r="M401" i="76"/>
  <c r="L401" i="76"/>
  <c r="K401" i="76"/>
  <c r="H401" i="76"/>
  <c r="W400" i="76"/>
  <c r="V400" i="76"/>
  <c r="U400" i="76"/>
  <c r="T400" i="76"/>
  <c r="S400" i="76"/>
  <c r="R400" i="76"/>
  <c r="Q400" i="76"/>
  <c r="P400" i="76"/>
  <c r="O400" i="76"/>
  <c r="N400" i="76"/>
  <c r="M400" i="76"/>
  <c r="L400" i="76"/>
  <c r="K400" i="76"/>
  <c r="H400" i="76"/>
  <c r="W399" i="76"/>
  <c r="V399" i="76"/>
  <c r="U399" i="76"/>
  <c r="T399" i="76"/>
  <c r="S399" i="76"/>
  <c r="R399" i="76"/>
  <c r="Q399" i="76"/>
  <c r="P399" i="76"/>
  <c r="O399" i="76"/>
  <c r="N399" i="76"/>
  <c r="M399" i="76"/>
  <c r="L399" i="76"/>
  <c r="K399" i="76"/>
  <c r="H399" i="76"/>
  <c r="W398" i="76"/>
  <c r="V398" i="76"/>
  <c r="U398" i="76"/>
  <c r="T398" i="76"/>
  <c r="S398" i="76"/>
  <c r="R398" i="76"/>
  <c r="Q398" i="76"/>
  <c r="P398" i="76"/>
  <c r="O398" i="76"/>
  <c r="N398" i="76"/>
  <c r="M398" i="76"/>
  <c r="L398" i="76"/>
  <c r="K398" i="76"/>
  <c r="H398" i="76"/>
  <c r="W397" i="76"/>
  <c r="V397" i="76"/>
  <c r="U397" i="76"/>
  <c r="T397" i="76"/>
  <c r="S397" i="76"/>
  <c r="R397" i="76"/>
  <c r="Q397" i="76"/>
  <c r="P397" i="76"/>
  <c r="O397" i="76"/>
  <c r="N397" i="76"/>
  <c r="M397" i="76"/>
  <c r="L397" i="76"/>
  <c r="K397" i="76"/>
  <c r="H397" i="76"/>
  <c r="W396" i="76"/>
  <c r="V396" i="76"/>
  <c r="U396" i="76"/>
  <c r="T396" i="76"/>
  <c r="S396" i="76"/>
  <c r="R396" i="76"/>
  <c r="Q396" i="76"/>
  <c r="P396" i="76"/>
  <c r="O396" i="76"/>
  <c r="N396" i="76"/>
  <c r="M396" i="76"/>
  <c r="L396" i="76"/>
  <c r="K396" i="76"/>
  <c r="H396" i="76"/>
  <c r="W395" i="76"/>
  <c r="V395" i="76"/>
  <c r="U395" i="76"/>
  <c r="T395" i="76"/>
  <c r="S395" i="76"/>
  <c r="R395" i="76"/>
  <c r="Q395" i="76"/>
  <c r="P395" i="76"/>
  <c r="O395" i="76"/>
  <c r="N395" i="76"/>
  <c r="M395" i="76"/>
  <c r="L395" i="76"/>
  <c r="K395" i="76"/>
  <c r="H395" i="76"/>
  <c r="W394" i="76"/>
  <c r="V394" i="76"/>
  <c r="U394" i="76"/>
  <c r="T394" i="76"/>
  <c r="S394" i="76"/>
  <c r="R394" i="76"/>
  <c r="Q394" i="76"/>
  <c r="P394" i="76"/>
  <c r="O394" i="76"/>
  <c r="N394" i="76"/>
  <c r="M394" i="76"/>
  <c r="L394" i="76"/>
  <c r="K394" i="76"/>
  <c r="H394" i="76"/>
  <c r="W393" i="76"/>
  <c r="V393" i="76"/>
  <c r="U393" i="76"/>
  <c r="T393" i="76"/>
  <c r="S393" i="76"/>
  <c r="R393" i="76"/>
  <c r="Q393" i="76"/>
  <c r="P393" i="76"/>
  <c r="O393" i="76"/>
  <c r="N393" i="76"/>
  <c r="M393" i="76"/>
  <c r="L393" i="76"/>
  <c r="K393" i="76"/>
  <c r="H393" i="76"/>
  <c r="W392" i="76"/>
  <c r="V392" i="76"/>
  <c r="U392" i="76"/>
  <c r="T392" i="76"/>
  <c r="S392" i="76"/>
  <c r="R392" i="76"/>
  <c r="Q392" i="76"/>
  <c r="P392" i="76"/>
  <c r="O392" i="76"/>
  <c r="N392" i="76"/>
  <c r="M392" i="76"/>
  <c r="L392" i="76"/>
  <c r="K392" i="76"/>
  <c r="H392" i="76"/>
  <c r="W391" i="76"/>
  <c r="V391" i="76"/>
  <c r="U391" i="76"/>
  <c r="T391" i="76"/>
  <c r="S391" i="76"/>
  <c r="R391" i="76"/>
  <c r="Q391" i="76"/>
  <c r="P391" i="76"/>
  <c r="O391" i="76"/>
  <c r="N391" i="76"/>
  <c r="M391" i="76"/>
  <c r="L391" i="76"/>
  <c r="K391" i="76"/>
  <c r="H391" i="76"/>
  <c r="W390" i="76"/>
  <c r="V390" i="76"/>
  <c r="U390" i="76"/>
  <c r="T390" i="76"/>
  <c r="S390" i="76"/>
  <c r="R390" i="76"/>
  <c r="Q390" i="76"/>
  <c r="P390" i="76"/>
  <c r="O390" i="76"/>
  <c r="N390" i="76"/>
  <c r="M390" i="76"/>
  <c r="L390" i="76"/>
  <c r="K390" i="76"/>
  <c r="H390" i="76"/>
  <c r="W389" i="76"/>
  <c r="V389" i="76"/>
  <c r="U389" i="76"/>
  <c r="T389" i="76"/>
  <c r="S389" i="76"/>
  <c r="R389" i="76"/>
  <c r="Q389" i="76"/>
  <c r="P389" i="76"/>
  <c r="O389" i="76"/>
  <c r="N389" i="76"/>
  <c r="M389" i="76"/>
  <c r="L389" i="76"/>
  <c r="K389" i="76"/>
  <c r="H389" i="76"/>
  <c r="W388" i="76"/>
  <c r="V388" i="76"/>
  <c r="U388" i="76"/>
  <c r="T388" i="76"/>
  <c r="S388" i="76"/>
  <c r="R388" i="76"/>
  <c r="Q388" i="76"/>
  <c r="P388" i="76"/>
  <c r="O388" i="76"/>
  <c r="N388" i="76"/>
  <c r="M388" i="76"/>
  <c r="L388" i="76"/>
  <c r="K388" i="76"/>
  <c r="H388" i="76"/>
  <c r="W387" i="76"/>
  <c r="V387" i="76"/>
  <c r="U387" i="76"/>
  <c r="T387" i="76"/>
  <c r="S387" i="76"/>
  <c r="R387" i="76"/>
  <c r="Q387" i="76"/>
  <c r="P387" i="76"/>
  <c r="O387" i="76"/>
  <c r="N387" i="76"/>
  <c r="M387" i="76"/>
  <c r="L387" i="76"/>
  <c r="K387" i="76"/>
  <c r="H387" i="76"/>
  <c r="W386" i="76"/>
  <c r="V386" i="76"/>
  <c r="U386" i="76"/>
  <c r="T386" i="76"/>
  <c r="S386" i="76"/>
  <c r="R386" i="76"/>
  <c r="Q386" i="76"/>
  <c r="P386" i="76"/>
  <c r="O386" i="76"/>
  <c r="N386" i="76"/>
  <c r="M386" i="76"/>
  <c r="L386" i="76"/>
  <c r="K386" i="76"/>
  <c r="H386" i="76"/>
  <c r="W385" i="76"/>
  <c r="V385" i="76"/>
  <c r="U385" i="76"/>
  <c r="T385" i="76"/>
  <c r="S385" i="76"/>
  <c r="R385" i="76"/>
  <c r="Q385" i="76"/>
  <c r="P385" i="76"/>
  <c r="O385" i="76"/>
  <c r="N385" i="76"/>
  <c r="M385" i="76"/>
  <c r="L385" i="76"/>
  <c r="K385" i="76"/>
  <c r="H385" i="76"/>
  <c r="W384" i="76"/>
  <c r="V384" i="76"/>
  <c r="U384" i="76"/>
  <c r="T384" i="76"/>
  <c r="S384" i="76"/>
  <c r="R384" i="76"/>
  <c r="Q384" i="76"/>
  <c r="P384" i="76"/>
  <c r="O384" i="76"/>
  <c r="N384" i="76"/>
  <c r="M384" i="76"/>
  <c r="L384" i="76"/>
  <c r="K384" i="76"/>
  <c r="H384" i="76"/>
  <c r="W383" i="76"/>
  <c r="V383" i="76"/>
  <c r="U383" i="76"/>
  <c r="T383" i="76"/>
  <c r="S383" i="76"/>
  <c r="R383" i="76"/>
  <c r="Q383" i="76"/>
  <c r="P383" i="76"/>
  <c r="O383" i="76"/>
  <c r="N383" i="76"/>
  <c r="M383" i="76"/>
  <c r="L383" i="76"/>
  <c r="K383" i="76"/>
  <c r="H383" i="76"/>
  <c r="W382" i="76"/>
  <c r="V382" i="76"/>
  <c r="U382" i="76"/>
  <c r="T382" i="76"/>
  <c r="S382" i="76"/>
  <c r="R382" i="76"/>
  <c r="Q382" i="76"/>
  <c r="P382" i="76"/>
  <c r="O382" i="76"/>
  <c r="N382" i="76"/>
  <c r="M382" i="76"/>
  <c r="L382" i="76"/>
  <c r="K382" i="76"/>
  <c r="H382" i="76"/>
  <c r="W381" i="76"/>
  <c r="V381" i="76"/>
  <c r="U381" i="76"/>
  <c r="T381" i="76"/>
  <c r="S381" i="76"/>
  <c r="R381" i="76"/>
  <c r="Q381" i="76"/>
  <c r="P381" i="76"/>
  <c r="O381" i="76"/>
  <c r="N381" i="76"/>
  <c r="M381" i="76"/>
  <c r="L381" i="76"/>
  <c r="K381" i="76"/>
  <c r="H381" i="76"/>
  <c r="W380" i="76"/>
  <c r="V380" i="76"/>
  <c r="U380" i="76"/>
  <c r="T380" i="76"/>
  <c r="S380" i="76"/>
  <c r="R380" i="76"/>
  <c r="Q380" i="76"/>
  <c r="P380" i="76"/>
  <c r="O380" i="76"/>
  <c r="N380" i="76"/>
  <c r="M380" i="76"/>
  <c r="L380" i="76"/>
  <c r="K380" i="76"/>
  <c r="H380" i="76"/>
  <c r="W379" i="76"/>
  <c r="V379" i="76"/>
  <c r="U379" i="76"/>
  <c r="T379" i="76"/>
  <c r="S379" i="76"/>
  <c r="R379" i="76"/>
  <c r="Q379" i="76"/>
  <c r="P379" i="76"/>
  <c r="O379" i="76"/>
  <c r="N379" i="76"/>
  <c r="M379" i="76"/>
  <c r="L379" i="76"/>
  <c r="K379" i="76"/>
  <c r="H379" i="76"/>
  <c r="W378" i="76"/>
  <c r="V378" i="76"/>
  <c r="U378" i="76"/>
  <c r="T378" i="76"/>
  <c r="S378" i="76"/>
  <c r="R378" i="76"/>
  <c r="Q378" i="76"/>
  <c r="P378" i="76"/>
  <c r="O378" i="76"/>
  <c r="N378" i="76"/>
  <c r="M378" i="76"/>
  <c r="L378" i="76"/>
  <c r="K378" i="76"/>
  <c r="H378" i="76"/>
  <c r="W377" i="76"/>
  <c r="V377" i="76"/>
  <c r="U377" i="76"/>
  <c r="T377" i="76"/>
  <c r="S377" i="76"/>
  <c r="R377" i="76"/>
  <c r="Q377" i="76"/>
  <c r="P377" i="76"/>
  <c r="O377" i="76"/>
  <c r="N377" i="76"/>
  <c r="M377" i="76"/>
  <c r="L377" i="76"/>
  <c r="K377" i="76"/>
  <c r="H377" i="76"/>
  <c r="W376" i="76"/>
  <c r="V376" i="76"/>
  <c r="U376" i="76"/>
  <c r="T376" i="76"/>
  <c r="S376" i="76"/>
  <c r="R376" i="76"/>
  <c r="Q376" i="76"/>
  <c r="P376" i="76"/>
  <c r="O376" i="76"/>
  <c r="N376" i="76"/>
  <c r="M376" i="76"/>
  <c r="L376" i="76"/>
  <c r="K376" i="76"/>
  <c r="H376" i="76"/>
  <c r="W375" i="76"/>
  <c r="V375" i="76"/>
  <c r="U375" i="76"/>
  <c r="T375" i="76"/>
  <c r="S375" i="76"/>
  <c r="R375" i="76"/>
  <c r="Q375" i="76"/>
  <c r="P375" i="76"/>
  <c r="O375" i="76"/>
  <c r="N375" i="76"/>
  <c r="M375" i="76"/>
  <c r="L375" i="76"/>
  <c r="K375" i="76"/>
  <c r="H375" i="76"/>
  <c r="W374" i="76"/>
  <c r="V374" i="76"/>
  <c r="U374" i="76"/>
  <c r="T374" i="76"/>
  <c r="S374" i="76"/>
  <c r="R374" i="76"/>
  <c r="Q374" i="76"/>
  <c r="P374" i="76"/>
  <c r="O374" i="76"/>
  <c r="N374" i="76"/>
  <c r="M374" i="76"/>
  <c r="L374" i="76"/>
  <c r="K374" i="76"/>
  <c r="H374" i="76"/>
  <c r="W373" i="76"/>
  <c r="V373" i="76"/>
  <c r="U373" i="76"/>
  <c r="T373" i="76"/>
  <c r="S373" i="76"/>
  <c r="R373" i="76"/>
  <c r="Q373" i="76"/>
  <c r="P373" i="76"/>
  <c r="O373" i="76"/>
  <c r="N373" i="76"/>
  <c r="M373" i="76"/>
  <c r="L373" i="76"/>
  <c r="K373" i="76"/>
  <c r="H373" i="76"/>
  <c r="W372" i="76"/>
  <c r="V372" i="76"/>
  <c r="U372" i="76"/>
  <c r="T372" i="76"/>
  <c r="S372" i="76"/>
  <c r="R372" i="76"/>
  <c r="Q372" i="76"/>
  <c r="P372" i="76"/>
  <c r="O372" i="76"/>
  <c r="N372" i="76"/>
  <c r="M372" i="76"/>
  <c r="L372" i="76"/>
  <c r="K372" i="76"/>
  <c r="H372" i="76"/>
  <c r="W371" i="76"/>
  <c r="V371" i="76"/>
  <c r="U371" i="76"/>
  <c r="T371" i="76"/>
  <c r="S371" i="76"/>
  <c r="R371" i="76"/>
  <c r="Q371" i="76"/>
  <c r="P371" i="76"/>
  <c r="O371" i="76"/>
  <c r="N371" i="76"/>
  <c r="M371" i="76"/>
  <c r="L371" i="76"/>
  <c r="K371" i="76"/>
  <c r="H371" i="76"/>
  <c r="W370" i="76"/>
  <c r="V370" i="76"/>
  <c r="U370" i="76"/>
  <c r="T370" i="76"/>
  <c r="S370" i="76"/>
  <c r="R370" i="76"/>
  <c r="Q370" i="76"/>
  <c r="P370" i="76"/>
  <c r="O370" i="76"/>
  <c r="N370" i="76"/>
  <c r="M370" i="76"/>
  <c r="L370" i="76"/>
  <c r="K370" i="76"/>
  <c r="H370" i="76"/>
  <c r="W369" i="76"/>
  <c r="V369" i="76"/>
  <c r="U369" i="76"/>
  <c r="T369" i="76"/>
  <c r="S369" i="76"/>
  <c r="R369" i="76"/>
  <c r="Q369" i="76"/>
  <c r="P369" i="76"/>
  <c r="O369" i="76"/>
  <c r="N369" i="76"/>
  <c r="M369" i="76"/>
  <c r="L369" i="76"/>
  <c r="K369" i="76"/>
  <c r="H369" i="76"/>
  <c r="W368" i="76"/>
  <c r="V368" i="76"/>
  <c r="U368" i="76"/>
  <c r="T368" i="76"/>
  <c r="S368" i="76"/>
  <c r="R368" i="76"/>
  <c r="Q368" i="76"/>
  <c r="P368" i="76"/>
  <c r="O368" i="76"/>
  <c r="N368" i="76"/>
  <c r="M368" i="76"/>
  <c r="L368" i="76"/>
  <c r="K368" i="76"/>
  <c r="H368" i="76"/>
  <c r="W367" i="76"/>
  <c r="V367" i="76"/>
  <c r="U367" i="76"/>
  <c r="T367" i="76"/>
  <c r="S367" i="76"/>
  <c r="R367" i="76"/>
  <c r="Q367" i="76"/>
  <c r="P367" i="76"/>
  <c r="O367" i="76"/>
  <c r="N367" i="76"/>
  <c r="M367" i="76"/>
  <c r="L367" i="76"/>
  <c r="K367" i="76"/>
  <c r="H367" i="76"/>
  <c r="W366" i="76"/>
  <c r="V366" i="76"/>
  <c r="U366" i="76"/>
  <c r="T366" i="76"/>
  <c r="S366" i="76"/>
  <c r="R366" i="76"/>
  <c r="Q366" i="76"/>
  <c r="P366" i="76"/>
  <c r="O366" i="76"/>
  <c r="N366" i="76"/>
  <c r="M366" i="76"/>
  <c r="L366" i="76"/>
  <c r="K366" i="76"/>
  <c r="H366" i="76"/>
  <c r="W365" i="76"/>
  <c r="V365" i="76"/>
  <c r="U365" i="76"/>
  <c r="T365" i="76"/>
  <c r="S365" i="76"/>
  <c r="R365" i="76"/>
  <c r="Q365" i="76"/>
  <c r="P365" i="76"/>
  <c r="O365" i="76"/>
  <c r="N365" i="76"/>
  <c r="M365" i="76"/>
  <c r="L365" i="76"/>
  <c r="K365" i="76"/>
  <c r="H365" i="76"/>
  <c r="W364" i="76"/>
  <c r="V364" i="76"/>
  <c r="U364" i="76"/>
  <c r="T364" i="76"/>
  <c r="S364" i="76"/>
  <c r="R364" i="76"/>
  <c r="Q364" i="76"/>
  <c r="P364" i="76"/>
  <c r="O364" i="76"/>
  <c r="N364" i="76"/>
  <c r="M364" i="76"/>
  <c r="L364" i="76"/>
  <c r="K364" i="76"/>
  <c r="H364" i="76"/>
  <c r="W363" i="76"/>
  <c r="V363" i="76"/>
  <c r="U363" i="76"/>
  <c r="T363" i="76"/>
  <c r="S363" i="76"/>
  <c r="R363" i="76"/>
  <c r="Q363" i="76"/>
  <c r="P363" i="76"/>
  <c r="O363" i="76"/>
  <c r="N363" i="76"/>
  <c r="M363" i="76"/>
  <c r="L363" i="76"/>
  <c r="K363" i="76"/>
  <c r="H363" i="76"/>
  <c r="W362" i="76"/>
  <c r="V362" i="76"/>
  <c r="U362" i="76"/>
  <c r="T362" i="76"/>
  <c r="S362" i="76"/>
  <c r="R362" i="76"/>
  <c r="Q362" i="76"/>
  <c r="P362" i="76"/>
  <c r="O362" i="76"/>
  <c r="N362" i="76"/>
  <c r="M362" i="76"/>
  <c r="L362" i="76"/>
  <c r="K362" i="76"/>
  <c r="H362" i="76"/>
  <c r="W361" i="76"/>
  <c r="V361" i="76"/>
  <c r="U361" i="76"/>
  <c r="T361" i="76"/>
  <c r="S361" i="76"/>
  <c r="R361" i="76"/>
  <c r="Q361" i="76"/>
  <c r="P361" i="76"/>
  <c r="O361" i="76"/>
  <c r="N361" i="76"/>
  <c r="M361" i="76"/>
  <c r="L361" i="76"/>
  <c r="K361" i="76"/>
  <c r="H361" i="76"/>
  <c r="W360" i="76"/>
  <c r="V360" i="76"/>
  <c r="U360" i="76"/>
  <c r="T360" i="76"/>
  <c r="S360" i="76"/>
  <c r="R360" i="76"/>
  <c r="Q360" i="76"/>
  <c r="P360" i="76"/>
  <c r="O360" i="76"/>
  <c r="N360" i="76"/>
  <c r="M360" i="76"/>
  <c r="L360" i="76"/>
  <c r="K360" i="76"/>
  <c r="H360" i="76"/>
  <c r="W359" i="76"/>
  <c r="V359" i="76"/>
  <c r="U359" i="76"/>
  <c r="T359" i="76"/>
  <c r="S359" i="76"/>
  <c r="R359" i="76"/>
  <c r="Q359" i="76"/>
  <c r="P359" i="76"/>
  <c r="O359" i="76"/>
  <c r="N359" i="76"/>
  <c r="M359" i="76"/>
  <c r="L359" i="76"/>
  <c r="K359" i="76"/>
  <c r="H359" i="76"/>
  <c r="W358" i="76"/>
  <c r="V358" i="76"/>
  <c r="U358" i="76"/>
  <c r="T358" i="76"/>
  <c r="S358" i="76"/>
  <c r="R358" i="76"/>
  <c r="Q358" i="76"/>
  <c r="P358" i="76"/>
  <c r="O358" i="76"/>
  <c r="N358" i="76"/>
  <c r="M358" i="76"/>
  <c r="L358" i="76"/>
  <c r="K358" i="76"/>
  <c r="H358" i="76"/>
  <c r="W357" i="76"/>
  <c r="V357" i="76"/>
  <c r="U357" i="76"/>
  <c r="T357" i="76"/>
  <c r="S357" i="76"/>
  <c r="R357" i="76"/>
  <c r="Q357" i="76"/>
  <c r="P357" i="76"/>
  <c r="O357" i="76"/>
  <c r="N357" i="76"/>
  <c r="M357" i="76"/>
  <c r="L357" i="76"/>
  <c r="K357" i="76"/>
  <c r="H357" i="76"/>
  <c r="W356" i="76"/>
  <c r="V356" i="76"/>
  <c r="U356" i="76"/>
  <c r="T356" i="76"/>
  <c r="S356" i="76"/>
  <c r="R356" i="76"/>
  <c r="Q356" i="76"/>
  <c r="P356" i="76"/>
  <c r="O356" i="76"/>
  <c r="N356" i="76"/>
  <c r="M356" i="76"/>
  <c r="L356" i="76"/>
  <c r="K356" i="76"/>
  <c r="H356" i="76"/>
  <c r="W355" i="76"/>
  <c r="V355" i="76"/>
  <c r="U355" i="76"/>
  <c r="T355" i="76"/>
  <c r="S355" i="76"/>
  <c r="R355" i="76"/>
  <c r="Q355" i="76"/>
  <c r="P355" i="76"/>
  <c r="O355" i="76"/>
  <c r="N355" i="76"/>
  <c r="M355" i="76"/>
  <c r="L355" i="76"/>
  <c r="K355" i="76"/>
  <c r="H355" i="76"/>
  <c r="W354" i="76"/>
  <c r="V354" i="76"/>
  <c r="U354" i="76"/>
  <c r="T354" i="76"/>
  <c r="S354" i="76"/>
  <c r="R354" i="76"/>
  <c r="Q354" i="76"/>
  <c r="P354" i="76"/>
  <c r="O354" i="76"/>
  <c r="N354" i="76"/>
  <c r="M354" i="76"/>
  <c r="L354" i="76"/>
  <c r="K354" i="76"/>
  <c r="H354" i="76"/>
  <c r="W353" i="76"/>
  <c r="V353" i="76"/>
  <c r="U353" i="76"/>
  <c r="T353" i="76"/>
  <c r="S353" i="76"/>
  <c r="R353" i="76"/>
  <c r="Q353" i="76"/>
  <c r="P353" i="76"/>
  <c r="O353" i="76"/>
  <c r="N353" i="76"/>
  <c r="M353" i="76"/>
  <c r="L353" i="76"/>
  <c r="K353" i="76"/>
  <c r="H353" i="76"/>
  <c r="W352" i="76"/>
  <c r="V352" i="76"/>
  <c r="U352" i="76"/>
  <c r="T352" i="76"/>
  <c r="S352" i="76"/>
  <c r="R352" i="76"/>
  <c r="Q352" i="76"/>
  <c r="P352" i="76"/>
  <c r="O352" i="76"/>
  <c r="N352" i="76"/>
  <c r="M352" i="76"/>
  <c r="L352" i="76"/>
  <c r="K352" i="76"/>
  <c r="H352" i="76"/>
  <c r="W351" i="76"/>
  <c r="V351" i="76"/>
  <c r="U351" i="76"/>
  <c r="T351" i="76"/>
  <c r="S351" i="76"/>
  <c r="R351" i="76"/>
  <c r="Q351" i="76"/>
  <c r="P351" i="76"/>
  <c r="O351" i="76"/>
  <c r="N351" i="76"/>
  <c r="M351" i="76"/>
  <c r="L351" i="76"/>
  <c r="K351" i="76"/>
  <c r="H351" i="76"/>
  <c r="W350" i="76"/>
  <c r="V350" i="76"/>
  <c r="U350" i="76"/>
  <c r="T350" i="76"/>
  <c r="S350" i="76"/>
  <c r="R350" i="76"/>
  <c r="Q350" i="76"/>
  <c r="P350" i="76"/>
  <c r="O350" i="76"/>
  <c r="N350" i="76"/>
  <c r="M350" i="76"/>
  <c r="L350" i="76"/>
  <c r="K350" i="76"/>
  <c r="H350" i="76"/>
  <c r="W349" i="76"/>
  <c r="V349" i="76"/>
  <c r="U349" i="76"/>
  <c r="T349" i="76"/>
  <c r="S349" i="76"/>
  <c r="R349" i="76"/>
  <c r="Q349" i="76"/>
  <c r="P349" i="76"/>
  <c r="O349" i="76"/>
  <c r="N349" i="76"/>
  <c r="M349" i="76"/>
  <c r="L349" i="76"/>
  <c r="K349" i="76"/>
  <c r="H349" i="76"/>
  <c r="W348" i="76"/>
  <c r="V348" i="76"/>
  <c r="U348" i="76"/>
  <c r="T348" i="76"/>
  <c r="S348" i="76"/>
  <c r="R348" i="76"/>
  <c r="Q348" i="76"/>
  <c r="P348" i="76"/>
  <c r="O348" i="76"/>
  <c r="N348" i="76"/>
  <c r="M348" i="76"/>
  <c r="L348" i="76"/>
  <c r="K348" i="76"/>
  <c r="H348" i="76"/>
  <c r="W347" i="76"/>
  <c r="V347" i="76"/>
  <c r="U347" i="76"/>
  <c r="T347" i="76"/>
  <c r="S347" i="76"/>
  <c r="R347" i="76"/>
  <c r="Q347" i="76"/>
  <c r="P347" i="76"/>
  <c r="O347" i="76"/>
  <c r="N347" i="76"/>
  <c r="M347" i="76"/>
  <c r="L347" i="76"/>
  <c r="K347" i="76"/>
  <c r="H347" i="76"/>
  <c r="W346" i="76"/>
  <c r="V346" i="76"/>
  <c r="U346" i="76"/>
  <c r="T346" i="76"/>
  <c r="S346" i="76"/>
  <c r="R346" i="76"/>
  <c r="Q346" i="76"/>
  <c r="P346" i="76"/>
  <c r="O346" i="76"/>
  <c r="N346" i="76"/>
  <c r="M346" i="76"/>
  <c r="L346" i="76"/>
  <c r="K346" i="76"/>
  <c r="H346" i="76"/>
  <c r="W345" i="76"/>
  <c r="V345" i="76"/>
  <c r="U345" i="76"/>
  <c r="T345" i="76"/>
  <c r="S345" i="76"/>
  <c r="R345" i="76"/>
  <c r="Q345" i="76"/>
  <c r="P345" i="76"/>
  <c r="O345" i="76"/>
  <c r="N345" i="76"/>
  <c r="M345" i="76"/>
  <c r="L345" i="76"/>
  <c r="K345" i="76"/>
  <c r="H345" i="76"/>
  <c r="W344" i="76"/>
  <c r="V344" i="76"/>
  <c r="U344" i="76"/>
  <c r="T344" i="76"/>
  <c r="S344" i="76"/>
  <c r="R344" i="76"/>
  <c r="Q344" i="76"/>
  <c r="P344" i="76"/>
  <c r="O344" i="76"/>
  <c r="N344" i="76"/>
  <c r="M344" i="76"/>
  <c r="L344" i="76"/>
  <c r="K344" i="76"/>
  <c r="H344" i="76"/>
  <c r="W343" i="76"/>
  <c r="V343" i="76"/>
  <c r="U343" i="76"/>
  <c r="T343" i="76"/>
  <c r="S343" i="76"/>
  <c r="R343" i="76"/>
  <c r="Q343" i="76"/>
  <c r="P343" i="76"/>
  <c r="O343" i="76"/>
  <c r="N343" i="76"/>
  <c r="M343" i="76"/>
  <c r="L343" i="76"/>
  <c r="K343" i="76"/>
  <c r="H343" i="76"/>
  <c r="W342" i="76"/>
  <c r="V342" i="76"/>
  <c r="U342" i="76"/>
  <c r="T342" i="76"/>
  <c r="S342" i="76"/>
  <c r="R342" i="76"/>
  <c r="Q342" i="76"/>
  <c r="P342" i="76"/>
  <c r="O342" i="76"/>
  <c r="N342" i="76"/>
  <c r="M342" i="76"/>
  <c r="L342" i="76"/>
  <c r="K342" i="76"/>
  <c r="H342" i="76"/>
  <c r="W341" i="76"/>
  <c r="V341" i="76"/>
  <c r="U341" i="76"/>
  <c r="T341" i="76"/>
  <c r="S341" i="76"/>
  <c r="R341" i="76"/>
  <c r="Q341" i="76"/>
  <c r="P341" i="76"/>
  <c r="O341" i="76"/>
  <c r="N341" i="76"/>
  <c r="M341" i="76"/>
  <c r="L341" i="76"/>
  <c r="K341" i="76"/>
  <c r="H341" i="76"/>
  <c r="W340" i="76"/>
  <c r="V340" i="76"/>
  <c r="U340" i="76"/>
  <c r="T340" i="76"/>
  <c r="S340" i="76"/>
  <c r="R340" i="76"/>
  <c r="Q340" i="76"/>
  <c r="P340" i="76"/>
  <c r="O340" i="76"/>
  <c r="N340" i="76"/>
  <c r="M340" i="76"/>
  <c r="L340" i="76"/>
  <c r="K340" i="76"/>
  <c r="H340" i="76"/>
  <c r="W339" i="76"/>
  <c r="V339" i="76"/>
  <c r="U339" i="76"/>
  <c r="T339" i="76"/>
  <c r="S339" i="76"/>
  <c r="R339" i="76"/>
  <c r="Q339" i="76"/>
  <c r="P339" i="76"/>
  <c r="O339" i="76"/>
  <c r="N339" i="76"/>
  <c r="M339" i="76"/>
  <c r="L339" i="76"/>
  <c r="K339" i="76"/>
  <c r="H339" i="76"/>
  <c r="W338" i="76"/>
  <c r="V338" i="76"/>
  <c r="U338" i="76"/>
  <c r="T338" i="76"/>
  <c r="S338" i="76"/>
  <c r="R338" i="76"/>
  <c r="Q338" i="76"/>
  <c r="P338" i="76"/>
  <c r="O338" i="76"/>
  <c r="N338" i="76"/>
  <c r="M338" i="76"/>
  <c r="L338" i="76"/>
  <c r="K338" i="76"/>
  <c r="H338" i="76"/>
  <c r="W337" i="76"/>
  <c r="V337" i="76"/>
  <c r="U337" i="76"/>
  <c r="T337" i="76"/>
  <c r="S337" i="76"/>
  <c r="R337" i="76"/>
  <c r="Q337" i="76"/>
  <c r="P337" i="76"/>
  <c r="O337" i="76"/>
  <c r="N337" i="76"/>
  <c r="M337" i="76"/>
  <c r="L337" i="76"/>
  <c r="K337" i="76"/>
  <c r="H337" i="76"/>
  <c r="W336" i="76"/>
  <c r="V336" i="76"/>
  <c r="U336" i="76"/>
  <c r="T336" i="76"/>
  <c r="S336" i="76"/>
  <c r="R336" i="76"/>
  <c r="Q336" i="76"/>
  <c r="P336" i="76"/>
  <c r="O336" i="76"/>
  <c r="N336" i="76"/>
  <c r="M336" i="76"/>
  <c r="L336" i="76"/>
  <c r="K336" i="76"/>
  <c r="H336" i="76"/>
  <c r="W335" i="76"/>
  <c r="V335" i="76"/>
  <c r="U335" i="76"/>
  <c r="T335" i="76"/>
  <c r="S335" i="76"/>
  <c r="R335" i="76"/>
  <c r="Q335" i="76"/>
  <c r="P335" i="76"/>
  <c r="O335" i="76"/>
  <c r="N335" i="76"/>
  <c r="M335" i="76"/>
  <c r="L335" i="76"/>
  <c r="K335" i="76"/>
  <c r="H335" i="76"/>
  <c r="W334" i="76"/>
  <c r="V334" i="76"/>
  <c r="U334" i="76"/>
  <c r="T334" i="76"/>
  <c r="S334" i="76"/>
  <c r="R334" i="76"/>
  <c r="Q334" i="76"/>
  <c r="P334" i="76"/>
  <c r="O334" i="76"/>
  <c r="N334" i="76"/>
  <c r="M334" i="76"/>
  <c r="L334" i="76"/>
  <c r="K334" i="76"/>
  <c r="H334" i="76"/>
  <c r="W333" i="76"/>
  <c r="V333" i="76"/>
  <c r="U333" i="76"/>
  <c r="T333" i="76"/>
  <c r="S333" i="76"/>
  <c r="R333" i="76"/>
  <c r="Q333" i="76"/>
  <c r="P333" i="76"/>
  <c r="O333" i="76"/>
  <c r="N333" i="76"/>
  <c r="M333" i="76"/>
  <c r="L333" i="76"/>
  <c r="K333" i="76"/>
  <c r="H333" i="76"/>
  <c r="W332" i="76"/>
  <c r="V332" i="76"/>
  <c r="U332" i="76"/>
  <c r="T332" i="76"/>
  <c r="S332" i="76"/>
  <c r="R332" i="76"/>
  <c r="Q332" i="76"/>
  <c r="P332" i="76"/>
  <c r="O332" i="76"/>
  <c r="N332" i="76"/>
  <c r="M332" i="76"/>
  <c r="L332" i="76"/>
  <c r="K332" i="76"/>
  <c r="H332" i="76"/>
  <c r="W331" i="76"/>
  <c r="V331" i="76"/>
  <c r="U331" i="76"/>
  <c r="T331" i="76"/>
  <c r="S331" i="76"/>
  <c r="R331" i="76"/>
  <c r="Q331" i="76"/>
  <c r="P331" i="76"/>
  <c r="O331" i="76"/>
  <c r="N331" i="76"/>
  <c r="M331" i="76"/>
  <c r="L331" i="76"/>
  <c r="K331" i="76"/>
  <c r="H331" i="76"/>
  <c r="W330" i="76"/>
  <c r="V330" i="76"/>
  <c r="U330" i="76"/>
  <c r="T330" i="76"/>
  <c r="S330" i="76"/>
  <c r="R330" i="76"/>
  <c r="Q330" i="76"/>
  <c r="P330" i="76"/>
  <c r="O330" i="76"/>
  <c r="N330" i="76"/>
  <c r="M330" i="76"/>
  <c r="L330" i="76"/>
  <c r="K330" i="76"/>
  <c r="H330" i="76"/>
  <c r="W329" i="76"/>
  <c r="V329" i="76"/>
  <c r="U329" i="76"/>
  <c r="T329" i="76"/>
  <c r="S329" i="76"/>
  <c r="R329" i="76"/>
  <c r="Q329" i="76"/>
  <c r="P329" i="76"/>
  <c r="O329" i="76"/>
  <c r="N329" i="76"/>
  <c r="M329" i="76"/>
  <c r="L329" i="76"/>
  <c r="K329" i="76"/>
  <c r="H329" i="76"/>
  <c r="W328" i="76"/>
  <c r="V328" i="76"/>
  <c r="U328" i="76"/>
  <c r="T328" i="76"/>
  <c r="S328" i="76"/>
  <c r="R328" i="76"/>
  <c r="Q328" i="76"/>
  <c r="P328" i="76"/>
  <c r="O328" i="76"/>
  <c r="N328" i="76"/>
  <c r="M328" i="76"/>
  <c r="L328" i="76"/>
  <c r="K328" i="76"/>
  <c r="H328" i="76"/>
  <c r="W327" i="76"/>
  <c r="V327" i="76"/>
  <c r="U327" i="76"/>
  <c r="T327" i="76"/>
  <c r="S327" i="76"/>
  <c r="R327" i="76"/>
  <c r="Q327" i="76"/>
  <c r="P327" i="76"/>
  <c r="O327" i="76"/>
  <c r="N327" i="76"/>
  <c r="M327" i="76"/>
  <c r="L327" i="76"/>
  <c r="K327" i="76"/>
  <c r="H327" i="76"/>
  <c r="W326" i="76"/>
  <c r="V326" i="76"/>
  <c r="U326" i="76"/>
  <c r="T326" i="76"/>
  <c r="S326" i="76"/>
  <c r="R326" i="76"/>
  <c r="Q326" i="76"/>
  <c r="P326" i="76"/>
  <c r="O326" i="76"/>
  <c r="N326" i="76"/>
  <c r="M326" i="76"/>
  <c r="L326" i="76"/>
  <c r="K326" i="76"/>
  <c r="H326" i="76"/>
  <c r="W325" i="76"/>
  <c r="V325" i="76"/>
  <c r="U325" i="76"/>
  <c r="T325" i="76"/>
  <c r="S325" i="76"/>
  <c r="R325" i="76"/>
  <c r="Q325" i="76"/>
  <c r="P325" i="76"/>
  <c r="O325" i="76"/>
  <c r="N325" i="76"/>
  <c r="M325" i="76"/>
  <c r="L325" i="76"/>
  <c r="K325" i="76"/>
  <c r="H325" i="76"/>
  <c r="W324" i="76"/>
  <c r="V324" i="76"/>
  <c r="U324" i="76"/>
  <c r="T324" i="76"/>
  <c r="S324" i="76"/>
  <c r="R324" i="76"/>
  <c r="Q324" i="76"/>
  <c r="P324" i="76"/>
  <c r="O324" i="76"/>
  <c r="N324" i="76"/>
  <c r="M324" i="76"/>
  <c r="L324" i="76"/>
  <c r="K324" i="76"/>
  <c r="H324" i="76"/>
  <c r="W323" i="76"/>
  <c r="V323" i="76"/>
  <c r="U323" i="76"/>
  <c r="T323" i="76"/>
  <c r="S323" i="76"/>
  <c r="R323" i="76"/>
  <c r="Q323" i="76"/>
  <c r="P323" i="76"/>
  <c r="O323" i="76"/>
  <c r="N323" i="76"/>
  <c r="M323" i="76"/>
  <c r="L323" i="76"/>
  <c r="K323" i="76"/>
  <c r="H323" i="76"/>
  <c r="W322" i="76"/>
  <c r="V322" i="76"/>
  <c r="U322" i="76"/>
  <c r="T322" i="76"/>
  <c r="S322" i="76"/>
  <c r="R322" i="76"/>
  <c r="Q322" i="76"/>
  <c r="P322" i="76"/>
  <c r="O322" i="76"/>
  <c r="N322" i="76"/>
  <c r="M322" i="76"/>
  <c r="L322" i="76"/>
  <c r="K322" i="76"/>
  <c r="H322" i="76"/>
  <c r="W321" i="76"/>
  <c r="V321" i="76"/>
  <c r="U321" i="76"/>
  <c r="T321" i="76"/>
  <c r="S321" i="76"/>
  <c r="R321" i="76"/>
  <c r="Q321" i="76"/>
  <c r="P321" i="76"/>
  <c r="O321" i="76"/>
  <c r="N321" i="76"/>
  <c r="M321" i="76"/>
  <c r="L321" i="76"/>
  <c r="K321" i="76"/>
  <c r="H321" i="76"/>
  <c r="W320" i="76"/>
  <c r="V320" i="76"/>
  <c r="U320" i="76"/>
  <c r="T320" i="76"/>
  <c r="S320" i="76"/>
  <c r="R320" i="76"/>
  <c r="Q320" i="76"/>
  <c r="P320" i="76"/>
  <c r="O320" i="76"/>
  <c r="N320" i="76"/>
  <c r="M320" i="76"/>
  <c r="L320" i="76"/>
  <c r="K320" i="76"/>
  <c r="H320" i="76"/>
  <c r="W319" i="76"/>
  <c r="V319" i="76"/>
  <c r="U319" i="76"/>
  <c r="T319" i="76"/>
  <c r="S319" i="76"/>
  <c r="R319" i="76"/>
  <c r="Q319" i="76"/>
  <c r="P319" i="76"/>
  <c r="O319" i="76"/>
  <c r="N319" i="76"/>
  <c r="M319" i="76"/>
  <c r="L319" i="76"/>
  <c r="K319" i="76"/>
  <c r="H319" i="76"/>
  <c r="W318" i="76"/>
  <c r="V318" i="76"/>
  <c r="U318" i="76"/>
  <c r="T318" i="76"/>
  <c r="S318" i="76"/>
  <c r="R318" i="76"/>
  <c r="Q318" i="76"/>
  <c r="P318" i="76"/>
  <c r="O318" i="76"/>
  <c r="N318" i="76"/>
  <c r="M318" i="76"/>
  <c r="L318" i="76"/>
  <c r="K318" i="76"/>
  <c r="H318" i="76"/>
  <c r="W317" i="76"/>
  <c r="V317" i="76"/>
  <c r="U317" i="76"/>
  <c r="T317" i="76"/>
  <c r="S317" i="76"/>
  <c r="R317" i="76"/>
  <c r="Q317" i="76"/>
  <c r="P317" i="76"/>
  <c r="O317" i="76"/>
  <c r="N317" i="76"/>
  <c r="M317" i="76"/>
  <c r="L317" i="76"/>
  <c r="K317" i="76"/>
  <c r="H317" i="76"/>
  <c r="W316" i="76"/>
  <c r="V316" i="76"/>
  <c r="U316" i="76"/>
  <c r="T316" i="76"/>
  <c r="S316" i="76"/>
  <c r="R316" i="76"/>
  <c r="Q316" i="76"/>
  <c r="P316" i="76"/>
  <c r="O316" i="76"/>
  <c r="N316" i="76"/>
  <c r="M316" i="76"/>
  <c r="L316" i="76"/>
  <c r="K316" i="76"/>
  <c r="H316" i="76"/>
  <c r="W315" i="76"/>
  <c r="V315" i="76"/>
  <c r="U315" i="76"/>
  <c r="T315" i="76"/>
  <c r="S315" i="76"/>
  <c r="R315" i="76"/>
  <c r="Q315" i="76"/>
  <c r="P315" i="76"/>
  <c r="O315" i="76"/>
  <c r="N315" i="76"/>
  <c r="M315" i="76"/>
  <c r="L315" i="76"/>
  <c r="K315" i="76"/>
  <c r="H315" i="76"/>
  <c r="W314" i="76"/>
  <c r="V314" i="76"/>
  <c r="U314" i="76"/>
  <c r="T314" i="76"/>
  <c r="S314" i="76"/>
  <c r="R314" i="76"/>
  <c r="Q314" i="76"/>
  <c r="P314" i="76"/>
  <c r="O314" i="76"/>
  <c r="N314" i="76"/>
  <c r="M314" i="76"/>
  <c r="L314" i="76"/>
  <c r="K314" i="76"/>
  <c r="H314" i="76"/>
  <c r="W313" i="76"/>
  <c r="V313" i="76"/>
  <c r="U313" i="76"/>
  <c r="T313" i="76"/>
  <c r="S313" i="76"/>
  <c r="R313" i="76"/>
  <c r="Q313" i="76"/>
  <c r="P313" i="76"/>
  <c r="O313" i="76"/>
  <c r="N313" i="76"/>
  <c r="M313" i="76"/>
  <c r="L313" i="76"/>
  <c r="K313" i="76"/>
  <c r="H313" i="76"/>
  <c r="W312" i="76"/>
  <c r="V312" i="76"/>
  <c r="U312" i="76"/>
  <c r="T312" i="76"/>
  <c r="S312" i="76"/>
  <c r="R312" i="76"/>
  <c r="Q312" i="76"/>
  <c r="P312" i="76"/>
  <c r="O312" i="76"/>
  <c r="N312" i="76"/>
  <c r="M312" i="76"/>
  <c r="L312" i="76"/>
  <c r="K312" i="76"/>
  <c r="H312" i="76"/>
  <c r="W311" i="76"/>
  <c r="V311" i="76"/>
  <c r="U311" i="76"/>
  <c r="T311" i="76"/>
  <c r="S311" i="76"/>
  <c r="R311" i="76"/>
  <c r="Q311" i="76"/>
  <c r="P311" i="76"/>
  <c r="O311" i="76"/>
  <c r="N311" i="76"/>
  <c r="M311" i="76"/>
  <c r="L311" i="76"/>
  <c r="K311" i="76"/>
  <c r="H311" i="76"/>
  <c r="W310" i="76"/>
  <c r="V310" i="76"/>
  <c r="U310" i="76"/>
  <c r="T310" i="76"/>
  <c r="S310" i="76"/>
  <c r="R310" i="76"/>
  <c r="Q310" i="76"/>
  <c r="P310" i="76"/>
  <c r="O310" i="76"/>
  <c r="N310" i="76"/>
  <c r="M310" i="76"/>
  <c r="L310" i="76"/>
  <c r="K310" i="76"/>
  <c r="H310" i="76"/>
  <c r="W309" i="76"/>
  <c r="V309" i="76"/>
  <c r="U309" i="76"/>
  <c r="T309" i="76"/>
  <c r="S309" i="76"/>
  <c r="R309" i="76"/>
  <c r="Q309" i="76"/>
  <c r="P309" i="76"/>
  <c r="O309" i="76"/>
  <c r="N309" i="76"/>
  <c r="M309" i="76"/>
  <c r="L309" i="76"/>
  <c r="K309" i="76"/>
  <c r="H309" i="76"/>
  <c r="W308" i="76"/>
  <c r="V308" i="76"/>
  <c r="U308" i="76"/>
  <c r="T308" i="76"/>
  <c r="S308" i="76"/>
  <c r="R308" i="76"/>
  <c r="Q308" i="76"/>
  <c r="P308" i="76"/>
  <c r="O308" i="76"/>
  <c r="N308" i="76"/>
  <c r="M308" i="76"/>
  <c r="L308" i="76"/>
  <c r="K308" i="76"/>
  <c r="H308" i="76"/>
  <c r="W307" i="76"/>
  <c r="V307" i="76"/>
  <c r="U307" i="76"/>
  <c r="T307" i="76"/>
  <c r="S307" i="76"/>
  <c r="R307" i="76"/>
  <c r="Q307" i="76"/>
  <c r="P307" i="76"/>
  <c r="O307" i="76"/>
  <c r="N307" i="76"/>
  <c r="M307" i="76"/>
  <c r="L307" i="76"/>
  <c r="K307" i="76"/>
  <c r="H307" i="76"/>
  <c r="W306" i="76"/>
  <c r="V306" i="76"/>
  <c r="U306" i="76"/>
  <c r="T306" i="76"/>
  <c r="S306" i="76"/>
  <c r="R306" i="76"/>
  <c r="Q306" i="76"/>
  <c r="P306" i="76"/>
  <c r="O306" i="76"/>
  <c r="N306" i="76"/>
  <c r="M306" i="76"/>
  <c r="L306" i="76"/>
  <c r="K306" i="76"/>
  <c r="H306" i="76"/>
  <c r="W305" i="76"/>
  <c r="V305" i="76"/>
  <c r="U305" i="76"/>
  <c r="T305" i="76"/>
  <c r="S305" i="76"/>
  <c r="R305" i="76"/>
  <c r="Q305" i="76"/>
  <c r="P305" i="76"/>
  <c r="O305" i="76"/>
  <c r="N305" i="76"/>
  <c r="M305" i="76"/>
  <c r="L305" i="76"/>
  <c r="K305" i="76"/>
  <c r="H305" i="76"/>
  <c r="W304" i="76"/>
  <c r="V304" i="76"/>
  <c r="U304" i="76"/>
  <c r="T304" i="76"/>
  <c r="S304" i="76"/>
  <c r="R304" i="76"/>
  <c r="Q304" i="76"/>
  <c r="P304" i="76"/>
  <c r="O304" i="76"/>
  <c r="N304" i="76"/>
  <c r="M304" i="76"/>
  <c r="L304" i="76"/>
  <c r="K304" i="76"/>
  <c r="H304" i="76"/>
  <c r="W303" i="76"/>
  <c r="V303" i="76"/>
  <c r="U303" i="76"/>
  <c r="T303" i="76"/>
  <c r="S303" i="76"/>
  <c r="R303" i="76"/>
  <c r="Q303" i="76"/>
  <c r="P303" i="76"/>
  <c r="O303" i="76"/>
  <c r="N303" i="76"/>
  <c r="M303" i="76"/>
  <c r="L303" i="76"/>
  <c r="K303" i="76"/>
  <c r="H303" i="76"/>
  <c r="W302" i="76"/>
  <c r="V302" i="76"/>
  <c r="U302" i="76"/>
  <c r="T302" i="76"/>
  <c r="S302" i="76"/>
  <c r="R302" i="76"/>
  <c r="Q302" i="76"/>
  <c r="P302" i="76"/>
  <c r="O302" i="76"/>
  <c r="N302" i="76"/>
  <c r="M302" i="76"/>
  <c r="L302" i="76"/>
  <c r="K302" i="76"/>
  <c r="H302" i="76"/>
  <c r="W301" i="76"/>
  <c r="V301" i="76"/>
  <c r="U301" i="76"/>
  <c r="T301" i="76"/>
  <c r="S301" i="76"/>
  <c r="R301" i="76"/>
  <c r="Q301" i="76"/>
  <c r="P301" i="76"/>
  <c r="O301" i="76"/>
  <c r="N301" i="76"/>
  <c r="M301" i="76"/>
  <c r="L301" i="76"/>
  <c r="K301" i="76"/>
  <c r="H301" i="76"/>
  <c r="W300" i="76"/>
  <c r="V300" i="76"/>
  <c r="U300" i="76"/>
  <c r="T300" i="76"/>
  <c r="S300" i="76"/>
  <c r="R300" i="76"/>
  <c r="Q300" i="76"/>
  <c r="P300" i="76"/>
  <c r="O300" i="76"/>
  <c r="N300" i="76"/>
  <c r="M300" i="76"/>
  <c r="L300" i="76"/>
  <c r="K300" i="76"/>
  <c r="H300" i="76"/>
  <c r="W299" i="76"/>
  <c r="V299" i="76"/>
  <c r="U299" i="76"/>
  <c r="T299" i="76"/>
  <c r="S299" i="76"/>
  <c r="R299" i="76"/>
  <c r="Q299" i="76"/>
  <c r="P299" i="76"/>
  <c r="O299" i="76"/>
  <c r="N299" i="76"/>
  <c r="M299" i="76"/>
  <c r="L299" i="76"/>
  <c r="K299" i="76"/>
  <c r="H299" i="76"/>
  <c r="W298" i="76"/>
  <c r="V298" i="76"/>
  <c r="U298" i="76"/>
  <c r="T298" i="76"/>
  <c r="S298" i="76"/>
  <c r="R298" i="76"/>
  <c r="Q298" i="76"/>
  <c r="P298" i="76"/>
  <c r="O298" i="76"/>
  <c r="N298" i="76"/>
  <c r="M298" i="76"/>
  <c r="L298" i="76"/>
  <c r="K298" i="76"/>
  <c r="H298" i="76"/>
  <c r="W297" i="76"/>
  <c r="V297" i="76"/>
  <c r="U297" i="76"/>
  <c r="T297" i="76"/>
  <c r="S297" i="76"/>
  <c r="R297" i="76"/>
  <c r="Q297" i="76"/>
  <c r="P297" i="76"/>
  <c r="O297" i="76"/>
  <c r="N297" i="76"/>
  <c r="M297" i="76"/>
  <c r="L297" i="76"/>
  <c r="K297" i="76"/>
  <c r="H297" i="76"/>
  <c r="W296" i="76"/>
  <c r="V296" i="76"/>
  <c r="U296" i="76"/>
  <c r="T296" i="76"/>
  <c r="S296" i="76"/>
  <c r="R296" i="76"/>
  <c r="Q296" i="76"/>
  <c r="P296" i="76"/>
  <c r="O296" i="76"/>
  <c r="N296" i="76"/>
  <c r="M296" i="76"/>
  <c r="L296" i="76"/>
  <c r="K296" i="76"/>
  <c r="H296" i="76"/>
  <c r="W295" i="76"/>
  <c r="V295" i="76"/>
  <c r="U295" i="76"/>
  <c r="T295" i="76"/>
  <c r="S295" i="76"/>
  <c r="R295" i="76"/>
  <c r="Q295" i="76"/>
  <c r="P295" i="76"/>
  <c r="O295" i="76"/>
  <c r="N295" i="76"/>
  <c r="M295" i="76"/>
  <c r="L295" i="76"/>
  <c r="K295" i="76"/>
  <c r="H295" i="76"/>
  <c r="W294" i="76"/>
  <c r="V294" i="76"/>
  <c r="U294" i="76"/>
  <c r="T294" i="76"/>
  <c r="S294" i="76"/>
  <c r="R294" i="76"/>
  <c r="Q294" i="76"/>
  <c r="P294" i="76"/>
  <c r="O294" i="76"/>
  <c r="N294" i="76"/>
  <c r="M294" i="76"/>
  <c r="L294" i="76"/>
  <c r="K294" i="76"/>
  <c r="H294" i="76"/>
  <c r="W293" i="76"/>
  <c r="V293" i="76"/>
  <c r="U293" i="76"/>
  <c r="T293" i="76"/>
  <c r="S293" i="76"/>
  <c r="R293" i="76"/>
  <c r="Q293" i="76"/>
  <c r="P293" i="76"/>
  <c r="O293" i="76"/>
  <c r="N293" i="76"/>
  <c r="M293" i="76"/>
  <c r="L293" i="76"/>
  <c r="K293" i="76"/>
  <c r="H293" i="76"/>
  <c r="W292" i="76"/>
  <c r="V292" i="76"/>
  <c r="U292" i="76"/>
  <c r="T292" i="76"/>
  <c r="S292" i="76"/>
  <c r="R292" i="76"/>
  <c r="Q292" i="76"/>
  <c r="P292" i="76"/>
  <c r="O292" i="76"/>
  <c r="N292" i="76"/>
  <c r="M292" i="76"/>
  <c r="L292" i="76"/>
  <c r="K292" i="76"/>
  <c r="H292" i="76"/>
  <c r="W291" i="76"/>
  <c r="V291" i="76"/>
  <c r="U291" i="76"/>
  <c r="T291" i="76"/>
  <c r="S291" i="76"/>
  <c r="R291" i="76"/>
  <c r="Q291" i="76"/>
  <c r="P291" i="76"/>
  <c r="O291" i="76"/>
  <c r="N291" i="76"/>
  <c r="M291" i="76"/>
  <c r="L291" i="76"/>
  <c r="K291" i="76"/>
  <c r="H291" i="76"/>
  <c r="W290" i="76"/>
  <c r="V290" i="76"/>
  <c r="U290" i="76"/>
  <c r="T290" i="76"/>
  <c r="S290" i="76"/>
  <c r="R290" i="76"/>
  <c r="Q290" i="76"/>
  <c r="P290" i="76"/>
  <c r="O290" i="76"/>
  <c r="N290" i="76"/>
  <c r="M290" i="76"/>
  <c r="L290" i="76"/>
  <c r="K290" i="76"/>
  <c r="H290" i="76"/>
  <c r="W289" i="76"/>
  <c r="V289" i="76"/>
  <c r="U289" i="76"/>
  <c r="T289" i="76"/>
  <c r="S289" i="76"/>
  <c r="R289" i="76"/>
  <c r="Q289" i="76"/>
  <c r="P289" i="76"/>
  <c r="O289" i="76"/>
  <c r="N289" i="76"/>
  <c r="M289" i="76"/>
  <c r="L289" i="76"/>
  <c r="K289" i="76"/>
  <c r="H289" i="76"/>
  <c r="W288" i="76"/>
  <c r="V288" i="76"/>
  <c r="U288" i="76"/>
  <c r="T288" i="76"/>
  <c r="S288" i="76"/>
  <c r="R288" i="76"/>
  <c r="Q288" i="76"/>
  <c r="P288" i="76"/>
  <c r="O288" i="76"/>
  <c r="N288" i="76"/>
  <c r="M288" i="76"/>
  <c r="L288" i="76"/>
  <c r="K288" i="76"/>
  <c r="H288" i="76"/>
  <c r="W287" i="76"/>
  <c r="V287" i="76"/>
  <c r="U287" i="76"/>
  <c r="T287" i="76"/>
  <c r="S287" i="76"/>
  <c r="R287" i="76"/>
  <c r="Q287" i="76"/>
  <c r="P287" i="76"/>
  <c r="O287" i="76"/>
  <c r="N287" i="76"/>
  <c r="M287" i="76"/>
  <c r="L287" i="76"/>
  <c r="K287" i="76"/>
  <c r="H287" i="76"/>
  <c r="W286" i="76"/>
  <c r="V286" i="76"/>
  <c r="U286" i="76"/>
  <c r="T286" i="76"/>
  <c r="S286" i="76"/>
  <c r="R286" i="76"/>
  <c r="Q286" i="76"/>
  <c r="P286" i="76"/>
  <c r="O286" i="76"/>
  <c r="N286" i="76"/>
  <c r="M286" i="76"/>
  <c r="L286" i="76"/>
  <c r="K286" i="76"/>
  <c r="H286" i="76"/>
  <c r="W285" i="76"/>
  <c r="V285" i="76"/>
  <c r="U285" i="76"/>
  <c r="T285" i="76"/>
  <c r="S285" i="76"/>
  <c r="R285" i="76"/>
  <c r="Q285" i="76"/>
  <c r="P285" i="76"/>
  <c r="O285" i="76"/>
  <c r="N285" i="76"/>
  <c r="M285" i="76"/>
  <c r="L285" i="76"/>
  <c r="K285" i="76"/>
  <c r="H285" i="76"/>
  <c r="W284" i="76"/>
  <c r="V284" i="76"/>
  <c r="U284" i="76"/>
  <c r="T284" i="76"/>
  <c r="S284" i="76"/>
  <c r="R284" i="76"/>
  <c r="Q284" i="76"/>
  <c r="P284" i="76"/>
  <c r="O284" i="76"/>
  <c r="N284" i="76"/>
  <c r="M284" i="76"/>
  <c r="L284" i="76"/>
  <c r="K284" i="76"/>
  <c r="H284" i="76"/>
  <c r="W283" i="76"/>
  <c r="V283" i="76"/>
  <c r="U283" i="76"/>
  <c r="T283" i="76"/>
  <c r="S283" i="76"/>
  <c r="R283" i="76"/>
  <c r="Q283" i="76"/>
  <c r="P283" i="76"/>
  <c r="O283" i="76"/>
  <c r="N283" i="76"/>
  <c r="M283" i="76"/>
  <c r="L283" i="76"/>
  <c r="K283" i="76"/>
  <c r="H283" i="76"/>
  <c r="W282" i="76"/>
  <c r="V282" i="76"/>
  <c r="U282" i="76"/>
  <c r="T282" i="76"/>
  <c r="S282" i="76"/>
  <c r="R282" i="76"/>
  <c r="Q282" i="76"/>
  <c r="P282" i="76"/>
  <c r="O282" i="76"/>
  <c r="N282" i="76"/>
  <c r="M282" i="76"/>
  <c r="L282" i="76"/>
  <c r="K282" i="76"/>
  <c r="H282" i="76"/>
  <c r="W281" i="76"/>
  <c r="V281" i="76"/>
  <c r="U281" i="76"/>
  <c r="T281" i="76"/>
  <c r="S281" i="76"/>
  <c r="R281" i="76"/>
  <c r="Q281" i="76"/>
  <c r="P281" i="76"/>
  <c r="O281" i="76"/>
  <c r="N281" i="76"/>
  <c r="M281" i="76"/>
  <c r="L281" i="76"/>
  <c r="K281" i="76"/>
  <c r="H281" i="76"/>
  <c r="W280" i="76"/>
  <c r="V280" i="76"/>
  <c r="U280" i="76"/>
  <c r="T280" i="76"/>
  <c r="S280" i="76"/>
  <c r="R280" i="76"/>
  <c r="Q280" i="76"/>
  <c r="P280" i="76"/>
  <c r="O280" i="76"/>
  <c r="N280" i="76"/>
  <c r="M280" i="76"/>
  <c r="L280" i="76"/>
  <c r="K280" i="76"/>
  <c r="H280" i="76"/>
  <c r="W279" i="76"/>
  <c r="V279" i="76"/>
  <c r="U279" i="76"/>
  <c r="T279" i="76"/>
  <c r="S279" i="76"/>
  <c r="R279" i="76"/>
  <c r="Q279" i="76"/>
  <c r="P279" i="76"/>
  <c r="O279" i="76"/>
  <c r="N279" i="76"/>
  <c r="M279" i="76"/>
  <c r="L279" i="76"/>
  <c r="K279" i="76"/>
  <c r="H279" i="76"/>
  <c r="W278" i="76"/>
  <c r="V278" i="76"/>
  <c r="U278" i="76"/>
  <c r="T278" i="76"/>
  <c r="S278" i="76"/>
  <c r="R278" i="76"/>
  <c r="Q278" i="76"/>
  <c r="P278" i="76"/>
  <c r="O278" i="76"/>
  <c r="N278" i="76"/>
  <c r="M278" i="76"/>
  <c r="L278" i="76"/>
  <c r="K278" i="76"/>
  <c r="H278" i="76"/>
  <c r="W277" i="76"/>
  <c r="V277" i="76"/>
  <c r="U277" i="76"/>
  <c r="T277" i="76"/>
  <c r="S277" i="76"/>
  <c r="R277" i="76"/>
  <c r="Q277" i="76"/>
  <c r="P277" i="76"/>
  <c r="O277" i="76"/>
  <c r="N277" i="76"/>
  <c r="M277" i="76"/>
  <c r="L277" i="76"/>
  <c r="K277" i="76"/>
  <c r="H277" i="76"/>
  <c r="W276" i="76"/>
  <c r="V276" i="76"/>
  <c r="U276" i="76"/>
  <c r="T276" i="76"/>
  <c r="S276" i="76"/>
  <c r="R276" i="76"/>
  <c r="Q276" i="76"/>
  <c r="P276" i="76"/>
  <c r="O276" i="76"/>
  <c r="N276" i="76"/>
  <c r="M276" i="76"/>
  <c r="L276" i="76"/>
  <c r="K276" i="76"/>
  <c r="H276" i="76"/>
  <c r="W275" i="76"/>
  <c r="V275" i="76"/>
  <c r="U275" i="76"/>
  <c r="T275" i="76"/>
  <c r="S275" i="76"/>
  <c r="R275" i="76"/>
  <c r="Q275" i="76"/>
  <c r="P275" i="76"/>
  <c r="O275" i="76"/>
  <c r="N275" i="76"/>
  <c r="M275" i="76"/>
  <c r="L275" i="76"/>
  <c r="K275" i="76"/>
  <c r="H275" i="76"/>
  <c r="W274" i="76"/>
  <c r="V274" i="76"/>
  <c r="U274" i="76"/>
  <c r="T274" i="76"/>
  <c r="S274" i="76"/>
  <c r="R274" i="76"/>
  <c r="Q274" i="76"/>
  <c r="P274" i="76"/>
  <c r="O274" i="76"/>
  <c r="N274" i="76"/>
  <c r="M274" i="76"/>
  <c r="L274" i="76"/>
  <c r="K274" i="76"/>
  <c r="H274" i="76"/>
  <c r="W273" i="76"/>
  <c r="V273" i="76"/>
  <c r="U273" i="76"/>
  <c r="T273" i="76"/>
  <c r="S273" i="76"/>
  <c r="R273" i="76"/>
  <c r="Q273" i="76"/>
  <c r="P273" i="76"/>
  <c r="O273" i="76"/>
  <c r="N273" i="76"/>
  <c r="M273" i="76"/>
  <c r="L273" i="76"/>
  <c r="K273" i="76"/>
  <c r="H273" i="76"/>
  <c r="W272" i="76"/>
  <c r="V272" i="76"/>
  <c r="U272" i="76"/>
  <c r="T272" i="76"/>
  <c r="S272" i="76"/>
  <c r="R272" i="76"/>
  <c r="Q272" i="76"/>
  <c r="P272" i="76"/>
  <c r="O272" i="76"/>
  <c r="N272" i="76"/>
  <c r="M272" i="76"/>
  <c r="L272" i="76"/>
  <c r="K272" i="76"/>
  <c r="H272" i="76"/>
  <c r="W271" i="76"/>
  <c r="V271" i="76"/>
  <c r="U271" i="76"/>
  <c r="T271" i="76"/>
  <c r="S271" i="76"/>
  <c r="R271" i="76"/>
  <c r="Q271" i="76"/>
  <c r="P271" i="76"/>
  <c r="O271" i="76"/>
  <c r="N271" i="76"/>
  <c r="M271" i="76"/>
  <c r="L271" i="76"/>
  <c r="K271" i="76"/>
  <c r="H271" i="76"/>
  <c r="W270" i="76"/>
  <c r="V270" i="76"/>
  <c r="U270" i="76"/>
  <c r="T270" i="76"/>
  <c r="S270" i="76"/>
  <c r="R270" i="76"/>
  <c r="Q270" i="76"/>
  <c r="P270" i="76"/>
  <c r="O270" i="76"/>
  <c r="N270" i="76"/>
  <c r="M270" i="76"/>
  <c r="L270" i="76"/>
  <c r="K270" i="76"/>
  <c r="H270" i="76"/>
  <c r="W269" i="76"/>
  <c r="V269" i="76"/>
  <c r="U269" i="76"/>
  <c r="T269" i="76"/>
  <c r="S269" i="76"/>
  <c r="R269" i="76"/>
  <c r="Q269" i="76"/>
  <c r="P269" i="76"/>
  <c r="O269" i="76"/>
  <c r="N269" i="76"/>
  <c r="M269" i="76"/>
  <c r="L269" i="76"/>
  <c r="K269" i="76"/>
  <c r="H269" i="76"/>
  <c r="W268" i="76"/>
  <c r="V268" i="76"/>
  <c r="U268" i="76"/>
  <c r="T268" i="76"/>
  <c r="S268" i="76"/>
  <c r="R268" i="76"/>
  <c r="Q268" i="76"/>
  <c r="P268" i="76"/>
  <c r="O268" i="76"/>
  <c r="N268" i="76"/>
  <c r="M268" i="76"/>
  <c r="L268" i="76"/>
  <c r="K268" i="76"/>
  <c r="H268" i="76"/>
  <c r="W267" i="76"/>
  <c r="V267" i="76"/>
  <c r="U267" i="76"/>
  <c r="T267" i="76"/>
  <c r="S267" i="76"/>
  <c r="R267" i="76"/>
  <c r="Q267" i="76"/>
  <c r="P267" i="76"/>
  <c r="O267" i="76"/>
  <c r="N267" i="76"/>
  <c r="M267" i="76"/>
  <c r="L267" i="76"/>
  <c r="K267" i="76"/>
  <c r="H267" i="76"/>
  <c r="W266" i="76"/>
  <c r="V266" i="76"/>
  <c r="U266" i="76"/>
  <c r="T266" i="76"/>
  <c r="S266" i="76"/>
  <c r="R266" i="76"/>
  <c r="Q266" i="76"/>
  <c r="P266" i="76"/>
  <c r="O266" i="76"/>
  <c r="N266" i="76"/>
  <c r="M266" i="76"/>
  <c r="L266" i="76"/>
  <c r="K266" i="76"/>
  <c r="H266" i="76"/>
  <c r="W265" i="76"/>
  <c r="V265" i="76"/>
  <c r="U265" i="76"/>
  <c r="T265" i="76"/>
  <c r="S265" i="76"/>
  <c r="R265" i="76"/>
  <c r="Q265" i="76"/>
  <c r="P265" i="76"/>
  <c r="O265" i="76"/>
  <c r="N265" i="76"/>
  <c r="M265" i="76"/>
  <c r="L265" i="76"/>
  <c r="K265" i="76"/>
  <c r="H265" i="76"/>
  <c r="W264" i="76"/>
  <c r="V264" i="76"/>
  <c r="U264" i="76"/>
  <c r="T264" i="76"/>
  <c r="S264" i="76"/>
  <c r="R264" i="76"/>
  <c r="Q264" i="76"/>
  <c r="P264" i="76"/>
  <c r="O264" i="76"/>
  <c r="N264" i="76"/>
  <c r="M264" i="76"/>
  <c r="L264" i="76"/>
  <c r="K264" i="76"/>
  <c r="H264" i="76"/>
  <c r="W263" i="76"/>
  <c r="V263" i="76"/>
  <c r="U263" i="76"/>
  <c r="T263" i="76"/>
  <c r="S263" i="76"/>
  <c r="R263" i="76"/>
  <c r="Q263" i="76"/>
  <c r="P263" i="76"/>
  <c r="O263" i="76"/>
  <c r="N263" i="76"/>
  <c r="M263" i="76"/>
  <c r="L263" i="76"/>
  <c r="K263" i="76"/>
  <c r="H263" i="76"/>
  <c r="W262" i="76"/>
  <c r="V262" i="76"/>
  <c r="U262" i="76"/>
  <c r="T262" i="76"/>
  <c r="S262" i="76"/>
  <c r="R262" i="76"/>
  <c r="Q262" i="76"/>
  <c r="P262" i="76"/>
  <c r="O262" i="76"/>
  <c r="N262" i="76"/>
  <c r="M262" i="76"/>
  <c r="L262" i="76"/>
  <c r="K262" i="76"/>
  <c r="H262" i="76"/>
  <c r="W261" i="76"/>
  <c r="V261" i="76"/>
  <c r="U261" i="76"/>
  <c r="T261" i="76"/>
  <c r="S261" i="76"/>
  <c r="R261" i="76"/>
  <c r="Q261" i="76"/>
  <c r="P261" i="76"/>
  <c r="O261" i="76"/>
  <c r="N261" i="76"/>
  <c r="M261" i="76"/>
  <c r="L261" i="76"/>
  <c r="K261" i="76"/>
  <c r="H261" i="76"/>
  <c r="W260" i="76"/>
  <c r="V260" i="76"/>
  <c r="U260" i="76"/>
  <c r="T260" i="76"/>
  <c r="S260" i="76"/>
  <c r="R260" i="76"/>
  <c r="Q260" i="76"/>
  <c r="P260" i="76"/>
  <c r="O260" i="76"/>
  <c r="N260" i="76"/>
  <c r="M260" i="76"/>
  <c r="L260" i="76"/>
  <c r="K260" i="76"/>
  <c r="H260" i="76"/>
  <c r="W259" i="76"/>
  <c r="V259" i="76"/>
  <c r="U259" i="76"/>
  <c r="T259" i="76"/>
  <c r="S259" i="76"/>
  <c r="R259" i="76"/>
  <c r="Q259" i="76"/>
  <c r="P259" i="76"/>
  <c r="O259" i="76"/>
  <c r="N259" i="76"/>
  <c r="M259" i="76"/>
  <c r="L259" i="76"/>
  <c r="K259" i="76"/>
  <c r="H259" i="76"/>
  <c r="W258" i="76"/>
  <c r="V258" i="76"/>
  <c r="U258" i="76"/>
  <c r="T258" i="76"/>
  <c r="S258" i="76"/>
  <c r="R258" i="76"/>
  <c r="Q258" i="76"/>
  <c r="P258" i="76"/>
  <c r="O258" i="76"/>
  <c r="N258" i="76"/>
  <c r="M258" i="76"/>
  <c r="L258" i="76"/>
  <c r="K258" i="76"/>
  <c r="H258" i="76"/>
  <c r="W257" i="76"/>
  <c r="V257" i="76"/>
  <c r="U257" i="76"/>
  <c r="T257" i="76"/>
  <c r="S257" i="76"/>
  <c r="R257" i="76"/>
  <c r="Q257" i="76"/>
  <c r="P257" i="76"/>
  <c r="O257" i="76"/>
  <c r="N257" i="76"/>
  <c r="M257" i="76"/>
  <c r="L257" i="76"/>
  <c r="K257" i="76"/>
  <c r="H257" i="76"/>
  <c r="W256" i="76"/>
  <c r="V256" i="76"/>
  <c r="U256" i="76"/>
  <c r="T256" i="76"/>
  <c r="S256" i="76"/>
  <c r="R256" i="76"/>
  <c r="Q256" i="76"/>
  <c r="P256" i="76"/>
  <c r="O256" i="76"/>
  <c r="N256" i="76"/>
  <c r="M256" i="76"/>
  <c r="L256" i="76"/>
  <c r="K256" i="76"/>
  <c r="H256" i="76"/>
  <c r="W255" i="76"/>
  <c r="V255" i="76"/>
  <c r="U255" i="76"/>
  <c r="T255" i="76"/>
  <c r="S255" i="76"/>
  <c r="R255" i="76"/>
  <c r="Q255" i="76"/>
  <c r="P255" i="76"/>
  <c r="O255" i="76"/>
  <c r="N255" i="76"/>
  <c r="M255" i="76"/>
  <c r="L255" i="76"/>
  <c r="K255" i="76"/>
  <c r="H255" i="76"/>
  <c r="W254" i="76"/>
  <c r="V254" i="76"/>
  <c r="U254" i="76"/>
  <c r="T254" i="76"/>
  <c r="S254" i="76"/>
  <c r="R254" i="76"/>
  <c r="Q254" i="76"/>
  <c r="P254" i="76"/>
  <c r="O254" i="76"/>
  <c r="N254" i="76"/>
  <c r="M254" i="76"/>
  <c r="L254" i="76"/>
  <c r="K254" i="76"/>
  <c r="H254" i="76"/>
  <c r="W253" i="76"/>
  <c r="V253" i="76"/>
  <c r="U253" i="76"/>
  <c r="T253" i="76"/>
  <c r="S253" i="76"/>
  <c r="R253" i="76"/>
  <c r="Q253" i="76"/>
  <c r="P253" i="76"/>
  <c r="O253" i="76"/>
  <c r="N253" i="76"/>
  <c r="M253" i="76"/>
  <c r="L253" i="76"/>
  <c r="K253" i="76"/>
  <c r="H253" i="76"/>
  <c r="W252" i="76"/>
  <c r="V252" i="76"/>
  <c r="U252" i="76"/>
  <c r="T252" i="76"/>
  <c r="S252" i="76"/>
  <c r="R252" i="76"/>
  <c r="Q252" i="76"/>
  <c r="P252" i="76"/>
  <c r="O252" i="76"/>
  <c r="N252" i="76"/>
  <c r="M252" i="76"/>
  <c r="L252" i="76"/>
  <c r="K252" i="76"/>
  <c r="H252" i="76"/>
  <c r="W251" i="76"/>
  <c r="V251" i="76"/>
  <c r="U251" i="76"/>
  <c r="T251" i="76"/>
  <c r="S251" i="76"/>
  <c r="R251" i="76"/>
  <c r="Q251" i="76"/>
  <c r="P251" i="76"/>
  <c r="O251" i="76"/>
  <c r="N251" i="76"/>
  <c r="M251" i="76"/>
  <c r="L251" i="76"/>
  <c r="K251" i="76"/>
  <c r="H251" i="76"/>
  <c r="W250" i="76"/>
  <c r="V250" i="76"/>
  <c r="U250" i="76"/>
  <c r="T250" i="76"/>
  <c r="S250" i="76"/>
  <c r="R250" i="76"/>
  <c r="Q250" i="76"/>
  <c r="P250" i="76"/>
  <c r="O250" i="76"/>
  <c r="N250" i="76"/>
  <c r="M250" i="76"/>
  <c r="L250" i="76"/>
  <c r="K250" i="76"/>
  <c r="H250" i="76"/>
  <c r="W249" i="76"/>
  <c r="V249" i="76"/>
  <c r="U249" i="76"/>
  <c r="T249" i="76"/>
  <c r="S249" i="76"/>
  <c r="R249" i="76"/>
  <c r="Q249" i="76"/>
  <c r="P249" i="76"/>
  <c r="O249" i="76"/>
  <c r="N249" i="76"/>
  <c r="M249" i="76"/>
  <c r="L249" i="76"/>
  <c r="K249" i="76"/>
  <c r="H249" i="76"/>
  <c r="W248" i="76"/>
  <c r="V248" i="76"/>
  <c r="U248" i="76"/>
  <c r="T248" i="76"/>
  <c r="S248" i="76"/>
  <c r="R248" i="76"/>
  <c r="Q248" i="76"/>
  <c r="P248" i="76"/>
  <c r="O248" i="76"/>
  <c r="N248" i="76"/>
  <c r="M248" i="76"/>
  <c r="L248" i="76"/>
  <c r="K248" i="76"/>
  <c r="H248" i="76"/>
  <c r="W247" i="76"/>
  <c r="V247" i="76"/>
  <c r="U247" i="76"/>
  <c r="T247" i="76"/>
  <c r="S247" i="76"/>
  <c r="R247" i="76"/>
  <c r="Q247" i="76"/>
  <c r="P247" i="76"/>
  <c r="O247" i="76"/>
  <c r="N247" i="76"/>
  <c r="M247" i="76"/>
  <c r="L247" i="76"/>
  <c r="K247" i="76"/>
  <c r="H247" i="76"/>
  <c r="W246" i="76"/>
  <c r="V246" i="76"/>
  <c r="U246" i="76"/>
  <c r="T246" i="76"/>
  <c r="S246" i="76"/>
  <c r="R246" i="76"/>
  <c r="Q246" i="76"/>
  <c r="P246" i="76"/>
  <c r="O246" i="76"/>
  <c r="N246" i="76"/>
  <c r="M246" i="76"/>
  <c r="L246" i="76"/>
  <c r="K246" i="76"/>
  <c r="H246" i="76"/>
  <c r="W245" i="76"/>
  <c r="V245" i="76"/>
  <c r="U245" i="76"/>
  <c r="T245" i="76"/>
  <c r="S245" i="76"/>
  <c r="R245" i="76"/>
  <c r="Q245" i="76"/>
  <c r="P245" i="76"/>
  <c r="O245" i="76"/>
  <c r="N245" i="76"/>
  <c r="M245" i="76"/>
  <c r="L245" i="76"/>
  <c r="K245" i="76"/>
  <c r="H245" i="76"/>
  <c r="W244" i="76"/>
  <c r="V244" i="76"/>
  <c r="U244" i="76"/>
  <c r="T244" i="76"/>
  <c r="S244" i="76"/>
  <c r="R244" i="76"/>
  <c r="Q244" i="76"/>
  <c r="P244" i="76"/>
  <c r="O244" i="76"/>
  <c r="N244" i="76"/>
  <c r="M244" i="76"/>
  <c r="L244" i="76"/>
  <c r="K244" i="76"/>
  <c r="H244" i="76"/>
  <c r="W243" i="76"/>
  <c r="V243" i="76"/>
  <c r="U243" i="76"/>
  <c r="T243" i="76"/>
  <c r="S243" i="76"/>
  <c r="R243" i="76"/>
  <c r="Q243" i="76"/>
  <c r="P243" i="76"/>
  <c r="O243" i="76"/>
  <c r="N243" i="76"/>
  <c r="M243" i="76"/>
  <c r="L243" i="76"/>
  <c r="K243" i="76"/>
  <c r="H243" i="76"/>
  <c r="W242" i="76"/>
  <c r="V242" i="76"/>
  <c r="U242" i="76"/>
  <c r="T242" i="76"/>
  <c r="S242" i="76"/>
  <c r="R242" i="76"/>
  <c r="Q242" i="76"/>
  <c r="P242" i="76"/>
  <c r="O242" i="76"/>
  <c r="N242" i="76"/>
  <c r="M242" i="76"/>
  <c r="L242" i="76"/>
  <c r="K242" i="76"/>
  <c r="H242" i="76"/>
  <c r="W241" i="76"/>
  <c r="V241" i="76"/>
  <c r="U241" i="76"/>
  <c r="T241" i="76"/>
  <c r="S241" i="76"/>
  <c r="R241" i="76"/>
  <c r="Q241" i="76"/>
  <c r="P241" i="76"/>
  <c r="O241" i="76"/>
  <c r="N241" i="76"/>
  <c r="M241" i="76"/>
  <c r="L241" i="76"/>
  <c r="K241" i="76"/>
  <c r="H241" i="76"/>
  <c r="W240" i="76"/>
  <c r="V240" i="76"/>
  <c r="U240" i="76"/>
  <c r="T240" i="76"/>
  <c r="S240" i="76"/>
  <c r="R240" i="76"/>
  <c r="Q240" i="76"/>
  <c r="P240" i="76"/>
  <c r="O240" i="76"/>
  <c r="N240" i="76"/>
  <c r="M240" i="76"/>
  <c r="L240" i="76"/>
  <c r="K240" i="76"/>
  <c r="H240" i="76"/>
  <c r="W239" i="76"/>
  <c r="V239" i="76"/>
  <c r="U239" i="76"/>
  <c r="T239" i="76"/>
  <c r="S239" i="76"/>
  <c r="R239" i="76"/>
  <c r="Q239" i="76"/>
  <c r="P239" i="76"/>
  <c r="O239" i="76"/>
  <c r="N239" i="76"/>
  <c r="M239" i="76"/>
  <c r="L239" i="76"/>
  <c r="K239" i="76"/>
  <c r="H239" i="76"/>
  <c r="W238" i="76"/>
  <c r="V238" i="76"/>
  <c r="U238" i="76"/>
  <c r="T238" i="76"/>
  <c r="S238" i="76"/>
  <c r="R238" i="76"/>
  <c r="Q238" i="76"/>
  <c r="P238" i="76"/>
  <c r="O238" i="76"/>
  <c r="N238" i="76"/>
  <c r="M238" i="76"/>
  <c r="L238" i="76"/>
  <c r="K238" i="76"/>
  <c r="H238" i="76"/>
  <c r="W237" i="76"/>
  <c r="V237" i="76"/>
  <c r="U237" i="76"/>
  <c r="T237" i="76"/>
  <c r="S237" i="76"/>
  <c r="R237" i="76"/>
  <c r="Q237" i="76"/>
  <c r="P237" i="76"/>
  <c r="O237" i="76"/>
  <c r="N237" i="76"/>
  <c r="M237" i="76"/>
  <c r="L237" i="76"/>
  <c r="K237" i="76"/>
  <c r="H237" i="76"/>
  <c r="W236" i="76"/>
  <c r="V236" i="76"/>
  <c r="U236" i="76"/>
  <c r="T236" i="76"/>
  <c r="S236" i="76"/>
  <c r="R236" i="76"/>
  <c r="Q236" i="76"/>
  <c r="P236" i="76"/>
  <c r="O236" i="76"/>
  <c r="N236" i="76"/>
  <c r="M236" i="76"/>
  <c r="L236" i="76"/>
  <c r="K236" i="76"/>
  <c r="H236" i="76"/>
  <c r="W235" i="76"/>
  <c r="V235" i="76"/>
  <c r="U235" i="76"/>
  <c r="T235" i="76"/>
  <c r="S235" i="76"/>
  <c r="R235" i="76"/>
  <c r="Q235" i="76"/>
  <c r="P235" i="76"/>
  <c r="O235" i="76"/>
  <c r="N235" i="76"/>
  <c r="M235" i="76"/>
  <c r="L235" i="76"/>
  <c r="K235" i="76"/>
  <c r="H235" i="76"/>
  <c r="W234" i="76"/>
  <c r="V234" i="76"/>
  <c r="U234" i="76"/>
  <c r="T234" i="76"/>
  <c r="S234" i="76"/>
  <c r="R234" i="76"/>
  <c r="Q234" i="76"/>
  <c r="P234" i="76"/>
  <c r="O234" i="76"/>
  <c r="N234" i="76"/>
  <c r="M234" i="76"/>
  <c r="L234" i="76"/>
  <c r="K234" i="76"/>
  <c r="H234" i="76"/>
  <c r="W233" i="76"/>
  <c r="V233" i="76"/>
  <c r="U233" i="76"/>
  <c r="T233" i="76"/>
  <c r="S233" i="76"/>
  <c r="R233" i="76"/>
  <c r="Q233" i="76"/>
  <c r="P233" i="76"/>
  <c r="O233" i="76"/>
  <c r="N233" i="76"/>
  <c r="M233" i="76"/>
  <c r="L233" i="76"/>
  <c r="K233" i="76"/>
  <c r="H233" i="76"/>
  <c r="W232" i="76"/>
  <c r="V232" i="76"/>
  <c r="U232" i="76"/>
  <c r="T232" i="76"/>
  <c r="S232" i="76"/>
  <c r="R232" i="76"/>
  <c r="Q232" i="76"/>
  <c r="P232" i="76"/>
  <c r="O232" i="76"/>
  <c r="N232" i="76"/>
  <c r="M232" i="76"/>
  <c r="L232" i="76"/>
  <c r="K232" i="76"/>
  <c r="H232" i="76"/>
  <c r="W231" i="76"/>
  <c r="V231" i="76"/>
  <c r="U231" i="76"/>
  <c r="T231" i="76"/>
  <c r="S231" i="76"/>
  <c r="R231" i="76"/>
  <c r="Q231" i="76"/>
  <c r="P231" i="76"/>
  <c r="O231" i="76"/>
  <c r="N231" i="76"/>
  <c r="M231" i="76"/>
  <c r="L231" i="76"/>
  <c r="K231" i="76"/>
  <c r="H231" i="76"/>
  <c r="W230" i="76"/>
  <c r="V230" i="76"/>
  <c r="U230" i="76"/>
  <c r="T230" i="76"/>
  <c r="S230" i="76"/>
  <c r="R230" i="76"/>
  <c r="Q230" i="76"/>
  <c r="P230" i="76"/>
  <c r="O230" i="76"/>
  <c r="N230" i="76"/>
  <c r="M230" i="76"/>
  <c r="L230" i="76"/>
  <c r="K230" i="76"/>
  <c r="H230" i="76"/>
  <c r="W229" i="76"/>
  <c r="V229" i="76"/>
  <c r="U229" i="76"/>
  <c r="T229" i="76"/>
  <c r="S229" i="76"/>
  <c r="R229" i="76"/>
  <c r="Q229" i="76"/>
  <c r="P229" i="76"/>
  <c r="O229" i="76"/>
  <c r="N229" i="76"/>
  <c r="M229" i="76"/>
  <c r="L229" i="76"/>
  <c r="K229" i="76"/>
  <c r="H229" i="76"/>
  <c r="W228" i="76"/>
  <c r="V228" i="76"/>
  <c r="U228" i="76"/>
  <c r="T228" i="76"/>
  <c r="S228" i="76"/>
  <c r="R228" i="76"/>
  <c r="Q228" i="76"/>
  <c r="P228" i="76"/>
  <c r="O228" i="76"/>
  <c r="N228" i="76"/>
  <c r="M228" i="76"/>
  <c r="L228" i="76"/>
  <c r="K228" i="76"/>
  <c r="H228" i="76"/>
  <c r="W227" i="76"/>
  <c r="V227" i="76"/>
  <c r="U227" i="76"/>
  <c r="T227" i="76"/>
  <c r="S227" i="76"/>
  <c r="R227" i="76"/>
  <c r="Q227" i="76"/>
  <c r="P227" i="76"/>
  <c r="O227" i="76"/>
  <c r="N227" i="76"/>
  <c r="M227" i="76"/>
  <c r="L227" i="76"/>
  <c r="K227" i="76"/>
  <c r="H227" i="76"/>
  <c r="W226" i="76"/>
  <c r="V226" i="76"/>
  <c r="U226" i="76"/>
  <c r="T226" i="76"/>
  <c r="S226" i="76"/>
  <c r="R226" i="76"/>
  <c r="Q226" i="76"/>
  <c r="P226" i="76"/>
  <c r="O226" i="76"/>
  <c r="N226" i="76"/>
  <c r="M226" i="76"/>
  <c r="L226" i="76"/>
  <c r="K226" i="76"/>
  <c r="H226" i="76"/>
  <c r="W225" i="76"/>
  <c r="V225" i="76"/>
  <c r="U225" i="76"/>
  <c r="T225" i="76"/>
  <c r="S225" i="76"/>
  <c r="R225" i="76"/>
  <c r="Q225" i="76"/>
  <c r="P225" i="76"/>
  <c r="O225" i="76"/>
  <c r="N225" i="76"/>
  <c r="M225" i="76"/>
  <c r="L225" i="76"/>
  <c r="K225" i="76"/>
  <c r="H225" i="76"/>
  <c r="W224" i="76"/>
  <c r="V224" i="76"/>
  <c r="U224" i="76"/>
  <c r="T224" i="76"/>
  <c r="S224" i="76"/>
  <c r="R224" i="76"/>
  <c r="Q224" i="76"/>
  <c r="P224" i="76"/>
  <c r="O224" i="76"/>
  <c r="N224" i="76"/>
  <c r="M224" i="76"/>
  <c r="L224" i="76"/>
  <c r="K224" i="76"/>
  <c r="H224" i="76"/>
  <c r="W223" i="76"/>
  <c r="V223" i="76"/>
  <c r="U223" i="76"/>
  <c r="T223" i="76"/>
  <c r="S223" i="76"/>
  <c r="R223" i="76"/>
  <c r="Q223" i="76"/>
  <c r="P223" i="76"/>
  <c r="O223" i="76"/>
  <c r="N223" i="76"/>
  <c r="M223" i="76"/>
  <c r="L223" i="76"/>
  <c r="K223" i="76"/>
  <c r="H223" i="76"/>
  <c r="W222" i="76"/>
  <c r="V222" i="76"/>
  <c r="U222" i="76"/>
  <c r="T222" i="76"/>
  <c r="S222" i="76"/>
  <c r="R222" i="76"/>
  <c r="Q222" i="76"/>
  <c r="P222" i="76"/>
  <c r="O222" i="76"/>
  <c r="N222" i="76"/>
  <c r="M222" i="76"/>
  <c r="L222" i="76"/>
  <c r="K222" i="76"/>
  <c r="H222" i="76"/>
  <c r="W221" i="76"/>
  <c r="V221" i="76"/>
  <c r="U221" i="76"/>
  <c r="T221" i="76"/>
  <c r="S221" i="76"/>
  <c r="R221" i="76"/>
  <c r="Q221" i="76"/>
  <c r="P221" i="76"/>
  <c r="O221" i="76"/>
  <c r="N221" i="76"/>
  <c r="M221" i="76"/>
  <c r="L221" i="76"/>
  <c r="K221" i="76"/>
  <c r="H221" i="76"/>
  <c r="W220" i="76"/>
  <c r="V220" i="76"/>
  <c r="U220" i="76"/>
  <c r="T220" i="76"/>
  <c r="S220" i="76"/>
  <c r="R220" i="76"/>
  <c r="Q220" i="76"/>
  <c r="P220" i="76"/>
  <c r="O220" i="76"/>
  <c r="N220" i="76"/>
  <c r="M220" i="76"/>
  <c r="L220" i="76"/>
  <c r="K220" i="76"/>
  <c r="H220" i="76"/>
  <c r="W219" i="76"/>
  <c r="V219" i="76"/>
  <c r="U219" i="76"/>
  <c r="T219" i="76"/>
  <c r="S219" i="76"/>
  <c r="R219" i="76"/>
  <c r="Q219" i="76"/>
  <c r="P219" i="76"/>
  <c r="O219" i="76"/>
  <c r="N219" i="76"/>
  <c r="M219" i="76"/>
  <c r="L219" i="76"/>
  <c r="K219" i="76"/>
  <c r="H219" i="76"/>
  <c r="W218" i="76"/>
  <c r="V218" i="76"/>
  <c r="U218" i="76"/>
  <c r="T218" i="76"/>
  <c r="S218" i="76"/>
  <c r="R218" i="76"/>
  <c r="Q218" i="76"/>
  <c r="P218" i="76"/>
  <c r="O218" i="76"/>
  <c r="N218" i="76"/>
  <c r="M218" i="76"/>
  <c r="L218" i="76"/>
  <c r="K218" i="76"/>
  <c r="H218" i="76"/>
  <c r="W217" i="76"/>
  <c r="V217" i="76"/>
  <c r="U217" i="76"/>
  <c r="T217" i="76"/>
  <c r="S217" i="76"/>
  <c r="R217" i="76"/>
  <c r="Q217" i="76"/>
  <c r="P217" i="76"/>
  <c r="O217" i="76"/>
  <c r="N217" i="76"/>
  <c r="M217" i="76"/>
  <c r="L217" i="76"/>
  <c r="K217" i="76"/>
  <c r="H217" i="76"/>
  <c r="W216" i="76"/>
  <c r="V216" i="76"/>
  <c r="U216" i="76"/>
  <c r="T216" i="76"/>
  <c r="S216" i="76"/>
  <c r="R216" i="76"/>
  <c r="Q216" i="76"/>
  <c r="P216" i="76"/>
  <c r="O216" i="76"/>
  <c r="N216" i="76"/>
  <c r="M216" i="76"/>
  <c r="L216" i="76"/>
  <c r="K216" i="76"/>
  <c r="H216" i="76"/>
  <c r="W215" i="76"/>
  <c r="V215" i="76"/>
  <c r="U215" i="76"/>
  <c r="T215" i="76"/>
  <c r="S215" i="76"/>
  <c r="R215" i="76"/>
  <c r="Q215" i="76"/>
  <c r="P215" i="76"/>
  <c r="O215" i="76"/>
  <c r="N215" i="76"/>
  <c r="M215" i="76"/>
  <c r="L215" i="76"/>
  <c r="K215" i="76"/>
  <c r="H215" i="76"/>
  <c r="W214" i="76"/>
  <c r="V214" i="76"/>
  <c r="U214" i="76"/>
  <c r="T214" i="76"/>
  <c r="S214" i="76"/>
  <c r="R214" i="76"/>
  <c r="Q214" i="76"/>
  <c r="P214" i="76"/>
  <c r="O214" i="76"/>
  <c r="N214" i="76"/>
  <c r="M214" i="76"/>
  <c r="L214" i="76"/>
  <c r="K214" i="76"/>
  <c r="H214" i="76"/>
  <c r="W213" i="76"/>
  <c r="V213" i="76"/>
  <c r="U213" i="76"/>
  <c r="T213" i="76"/>
  <c r="S213" i="76"/>
  <c r="R213" i="76"/>
  <c r="Q213" i="76"/>
  <c r="P213" i="76"/>
  <c r="O213" i="76"/>
  <c r="N213" i="76"/>
  <c r="M213" i="76"/>
  <c r="L213" i="76"/>
  <c r="K213" i="76"/>
  <c r="H213" i="76"/>
  <c r="W212" i="76"/>
  <c r="V212" i="76"/>
  <c r="U212" i="76"/>
  <c r="T212" i="76"/>
  <c r="S212" i="76"/>
  <c r="R212" i="76"/>
  <c r="Q212" i="76"/>
  <c r="P212" i="76"/>
  <c r="O212" i="76"/>
  <c r="N212" i="76"/>
  <c r="M212" i="76"/>
  <c r="L212" i="76"/>
  <c r="K212" i="76"/>
  <c r="H212" i="76"/>
  <c r="W211" i="76"/>
  <c r="V211" i="76"/>
  <c r="U211" i="76"/>
  <c r="T211" i="76"/>
  <c r="S211" i="76"/>
  <c r="R211" i="76"/>
  <c r="Q211" i="76"/>
  <c r="P211" i="76"/>
  <c r="O211" i="76"/>
  <c r="N211" i="76"/>
  <c r="M211" i="76"/>
  <c r="L211" i="76"/>
  <c r="K211" i="76"/>
  <c r="H211" i="76"/>
  <c r="W210" i="76"/>
  <c r="V210" i="76"/>
  <c r="U210" i="76"/>
  <c r="T210" i="76"/>
  <c r="S210" i="76"/>
  <c r="R210" i="76"/>
  <c r="Q210" i="76"/>
  <c r="P210" i="76"/>
  <c r="O210" i="76"/>
  <c r="N210" i="76"/>
  <c r="M210" i="76"/>
  <c r="L210" i="76"/>
  <c r="K210" i="76"/>
  <c r="H210" i="76"/>
  <c r="W209" i="76"/>
  <c r="V209" i="76"/>
  <c r="U209" i="76"/>
  <c r="T209" i="76"/>
  <c r="S209" i="76"/>
  <c r="R209" i="76"/>
  <c r="Q209" i="76"/>
  <c r="P209" i="76"/>
  <c r="O209" i="76"/>
  <c r="N209" i="76"/>
  <c r="M209" i="76"/>
  <c r="L209" i="76"/>
  <c r="K209" i="76"/>
  <c r="H209" i="76"/>
  <c r="W208" i="76"/>
  <c r="V208" i="76"/>
  <c r="U208" i="76"/>
  <c r="T208" i="76"/>
  <c r="S208" i="76"/>
  <c r="R208" i="76"/>
  <c r="Q208" i="76"/>
  <c r="P208" i="76"/>
  <c r="O208" i="76"/>
  <c r="N208" i="76"/>
  <c r="M208" i="76"/>
  <c r="L208" i="76"/>
  <c r="K208" i="76"/>
  <c r="H208" i="76"/>
  <c r="W207" i="76"/>
  <c r="V207" i="76"/>
  <c r="U207" i="76"/>
  <c r="T207" i="76"/>
  <c r="S207" i="76"/>
  <c r="R207" i="76"/>
  <c r="Q207" i="76"/>
  <c r="P207" i="76"/>
  <c r="O207" i="76"/>
  <c r="N207" i="76"/>
  <c r="M207" i="76"/>
  <c r="L207" i="76"/>
  <c r="K207" i="76"/>
  <c r="H207" i="76"/>
  <c r="W206" i="76"/>
  <c r="V206" i="76"/>
  <c r="U206" i="76"/>
  <c r="T206" i="76"/>
  <c r="S206" i="76"/>
  <c r="R206" i="76"/>
  <c r="Q206" i="76"/>
  <c r="P206" i="76"/>
  <c r="O206" i="76"/>
  <c r="N206" i="76"/>
  <c r="M206" i="76"/>
  <c r="L206" i="76"/>
  <c r="K206" i="76"/>
  <c r="H206" i="76"/>
  <c r="W205" i="76"/>
  <c r="V205" i="76"/>
  <c r="U205" i="76"/>
  <c r="T205" i="76"/>
  <c r="S205" i="76"/>
  <c r="R205" i="76"/>
  <c r="Q205" i="76"/>
  <c r="P205" i="76"/>
  <c r="O205" i="76"/>
  <c r="N205" i="76"/>
  <c r="M205" i="76"/>
  <c r="L205" i="76"/>
  <c r="K205" i="76"/>
  <c r="H205" i="76"/>
  <c r="W204" i="76"/>
  <c r="V204" i="76"/>
  <c r="U204" i="76"/>
  <c r="T204" i="76"/>
  <c r="S204" i="76"/>
  <c r="R204" i="76"/>
  <c r="Q204" i="76"/>
  <c r="P204" i="76"/>
  <c r="O204" i="76"/>
  <c r="N204" i="76"/>
  <c r="M204" i="76"/>
  <c r="L204" i="76"/>
  <c r="K204" i="76"/>
  <c r="H204" i="76"/>
  <c r="W203" i="76"/>
  <c r="V203" i="76"/>
  <c r="U203" i="76"/>
  <c r="T203" i="76"/>
  <c r="S203" i="76"/>
  <c r="R203" i="76"/>
  <c r="Q203" i="76"/>
  <c r="P203" i="76"/>
  <c r="O203" i="76"/>
  <c r="N203" i="76"/>
  <c r="M203" i="76"/>
  <c r="L203" i="76"/>
  <c r="K203" i="76"/>
  <c r="H203" i="76"/>
  <c r="W202" i="76"/>
  <c r="V202" i="76"/>
  <c r="U202" i="76"/>
  <c r="T202" i="76"/>
  <c r="S202" i="76"/>
  <c r="R202" i="76"/>
  <c r="Q202" i="76"/>
  <c r="P202" i="76"/>
  <c r="O202" i="76"/>
  <c r="N202" i="76"/>
  <c r="M202" i="76"/>
  <c r="L202" i="76"/>
  <c r="K202" i="76"/>
  <c r="H202" i="76"/>
  <c r="W201" i="76"/>
  <c r="V201" i="76"/>
  <c r="U201" i="76"/>
  <c r="T201" i="76"/>
  <c r="S201" i="76"/>
  <c r="R201" i="76"/>
  <c r="Q201" i="76"/>
  <c r="P201" i="76"/>
  <c r="O201" i="76"/>
  <c r="N201" i="76"/>
  <c r="M201" i="76"/>
  <c r="L201" i="76"/>
  <c r="K201" i="76"/>
  <c r="H201" i="76"/>
  <c r="W200" i="76"/>
  <c r="V200" i="76"/>
  <c r="U200" i="76"/>
  <c r="T200" i="76"/>
  <c r="S200" i="76"/>
  <c r="R200" i="76"/>
  <c r="Q200" i="76"/>
  <c r="P200" i="76"/>
  <c r="O200" i="76"/>
  <c r="N200" i="76"/>
  <c r="M200" i="76"/>
  <c r="L200" i="76"/>
  <c r="K200" i="76"/>
  <c r="H200" i="76"/>
  <c r="W199" i="76"/>
  <c r="V199" i="76"/>
  <c r="U199" i="76"/>
  <c r="T199" i="76"/>
  <c r="S199" i="76"/>
  <c r="R199" i="76"/>
  <c r="Q199" i="76"/>
  <c r="P199" i="76"/>
  <c r="O199" i="76"/>
  <c r="N199" i="76"/>
  <c r="M199" i="76"/>
  <c r="L199" i="76"/>
  <c r="K199" i="76"/>
  <c r="H199" i="76"/>
  <c r="W198" i="76"/>
  <c r="V198" i="76"/>
  <c r="U198" i="76"/>
  <c r="T198" i="76"/>
  <c r="S198" i="76"/>
  <c r="R198" i="76"/>
  <c r="Q198" i="76"/>
  <c r="P198" i="76"/>
  <c r="O198" i="76"/>
  <c r="N198" i="76"/>
  <c r="M198" i="76"/>
  <c r="L198" i="76"/>
  <c r="K198" i="76"/>
  <c r="H198" i="76"/>
  <c r="W197" i="76"/>
  <c r="V197" i="76"/>
  <c r="U197" i="76"/>
  <c r="T197" i="76"/>
  <c r="S197" i="76"/>
  <c r="R197" i="76"/>
  <c r="Q197" i="76"/>
  <c r="P197" i="76"/>
  <c r="O197" i="76"/>
  <c r="N197" i="76"/>
  <c r="M197" i="76"/>
  <c r="L197" i="76"/>
  <c r="K197" i="76"/>
  <c r="H197" i="76"/>
  <c r="W196" i="76"/>
  <c r="V196" i="76"/>
  <c r="U196" i="76"/>
  <c r="T196" i="76"/>
  <c r="S196" i="76"/>
  <c r="R196" i="76"/>
  <c r="Q196" i="76"/>
  <c r="P196" i="76"/>
  <c r="O196" i="76"/>
  <c r="N196" i="76"/>
  <c r="M196" i="76"/>
  <c r="L196" i="76"/>
  <c r="K196" i="76"/>
  <c r="H196" i="76"/>
  <c r="W195" i="76"/>
  <c r="V195" i="76"/>
  <c r="U195" i="76"/>
  <c r="T195" i="76"/>
  <c r="S195" i="76"/>
  <c r="R195" i="76"/>
  <c r="Q195" i="76"/>
  <c r="P195" i="76"/>
  <c r="O195" i="76"/>
  <c r="N195" i="76"/>
  <c r="M195" i="76"/>
  <c r="L195" i="76"/>
  <c r="K195" i="76"/>
  <c r="H195" i="76"/>
  <c r="W194" i="76"/>
  <c r="V194" i="76"/>
  <c r="U194" i="76"/>
  <c r="T194" i="76"/>
  <c r="S194" i="76"/>
  <c r="R194" i="76"/>
  <c r="Q194" i="76"/>
  <c r="P194" i="76"/>
  <c r="O194" i="76"/>
  <c r="N194" i="76"/>
  <c r="M194" i="76"/>
  <c r="L194" i="76"/>
  <c r="K194" i="76"/>
  <c r="H194" i="76"/>
  <c r="W193" i="76"/>
  <c r="V193" i="76"/>
  <c r="U193" i="76"/>
  <c r="T193" i="76"/>
  <c r="S193" i="76"/>
  <c r="R193" i="76"/>
  <c r="Q193" i="76"/>
  <c r="P193" i="76"/>
  <c r="O193" i="76"/>
  <c r="N193" i="76"/>
  <c r="M193" i="76"/>
  <c r="L193" i="76"/>
  <c r="K193" i="76"/>
  <c r="H193" i="76"/>
  <c r="W192" i="76"/>
  <c r="V192" i="76"/>
  <c r="U192" i="76"/>
  <c r="T192" i="76"/>
  <c r="S192" i="76"/>
  <c r="R192" i="76"/>
  <c r="Q192" i="76"/>
  <c r="P192" i="76"/>
  <c r="O192" i="76"/>
  <c r="N192" i="76"/>
  <c r="M192" i="76"/>
  <c r="L192" i="76"/>
  <c r="K192" i="76"/>
  <c r="H192" i="76"/>
  <c r="W191" i="76"/>
  <c r="V191" i="76"/>
  <c r="U191" i="76"/>
  <c r="T191" i="76"/>
  <c r="S191" i="76"/>
  <c r="R191" i="76"/>
  <c r="Q191" i="76"/>
  <c r="P191" i="76"/>
  <c r="O191" i="76"/>
  <c r="N191" i="76"/>
  <c r="M191" i="76"/>
  <c r="L191" i="76"/>
  <c r="K191" i="76"/>
  <c r="H191" i="76"/>
  <c r="W190" i="76"/>
  <c r="V190" i="76"/>
  <c r="U190" i="76"/>
  <c r="T190" i="76"/>
  <c r="S190" i="76"/>
  <c r="R190" i="76"/>
  <c r="Q190" i="76"/>
  <c r="P190" i="76"/>
  <c r="O190" i="76"/>
  <c r="N190" i="76"/>
  <c r="M190" i="76"/>
  <c r="L190" i="76"/>
  <c r="K190" i="76"/>
  <c r="H190" i="76"/>
  <c r="W189" i="76"/>
  <c r="V189" i="76"/>
  <c r="U189" i="76"/>
  <c r="T189" i="76"/>
  <c r="S189" i="76"/>
  <c r="R189" i="76"/>
  <c r="Q189" i="76"/>
  <c r="P189" i="76"/>
  <c r="O189" i="76"/>
  <c r="N189" i="76"/>
  <c r="M189" i="76"/>
  <c r="L189" i="76"/>
  <c r="K189" i="76"/>
  <c r="H189" i="76"/>
  <c r="W188" i="76"/>
  <c r="V188" i="76"/>
  <c r="U188" i="76"/>
  <c r="T188" i="76"/>
  <c r="S188" i="76"/>
  <c r="R188" i="76"/>
  <c r="Q188" i="76"/>
  <c r="P188" i="76"/>
  <c r="O188" i="76"/>
  <c r="N188" i="76"/>
  <c r="M188" i="76"/>
  <c r="L188" i="76"/>
  <c r="K188" i="76"/>
  <c r="H188" i="76"/>
  <c r="W187" i="76"/>
  <c r="V187" i="76"/>
  <c r="U187" i="76"/>
  <c r="T187" i="76"/>
  <c r="S187" i="76"/>
  <c r="R187" i="76"/>
  <c r="Q187" i="76"/>
  <c r="P187" i="76"/>
  <c r="O187" i="76"/>
  <c r="N187" i="76"/>
  <c r="M187" i="76"/>
  <c r="L187" i="76"/>
  <c r="K187" i="76"/>
  <c r="H187" i="76"/>
  <c r="W186" i="76"/>
  <c r="V186" i="76"/>
  <c r="U186" i="76"/>
  <c r="T186" i="76"/>
  <c r="S186" i="76"/>
  <c r="R186" i="76"/>
  <c r="Q186" i="76"/>
  <c r="P186" i="76"/>
  <c r="O186" i="76"/>
  <c r="N186" i="76"/>
  <c r="M186" i="76"/>
  <c r="L186" i="76"/>
  <c r="K186" i="76"/>
  <c r="H186" i="76"/>
  <c r="W185" i="76"/>
  <c r="V185" i="76"/>
  <c r="U185" i="76"/>
  <c r="T185" i="76"/>
  <c r="S185" i="76"/>
  <c r="R185" i="76"/>
  <c r="Q185" i="76"/>
  <c r="P185" i="76"/>
  <c r="O185" i="76"/>
  <c r="N185" i="76"/>
  <c r="M185" i="76"/>
  <c r="L185" i="76"/>
  <c r="K185" i="76"/>
  <c r="H185" i="76"/>
  <c r="W184" i="76"/>
  <c r="V184" i="76"/>
  <c r="U184" i="76"/>
  <c r="T184" i="76"/>
  <c r="S184" i="76"/>
  <c r="R184" i="76"/>
  <c r="Q184" i="76"/>
  <c r="P184" i="76"/>
  <c r="O184" i="76"/>
  <c r="N184" i="76"/>
  <c r="M184" i="76"/>
  <c r="L184" i="76"/>
  <c r="K184" i="76"/>
  <c r="H184" i="76"/>
  <c r="W183" i="76"/>
  <c r="V183" i="76"/>
  <c r="U183" i="76"/>
  <c r="T183" i="76"/>
  <c r="S183" i="76"/>
  <c r="R183" i="76"/>
  <c r="Q183" i="76"/>
  <c r="P183" i="76"/>
  <c r="O183" i="76"/>
  <c r="N183" i="76"/>
  <c r="M183" i="76"/>
  <c r="L183" i="76"/>
  <c r="K183" i="76"/>
  <c r="H183" i="76"/>
  <c r="W182" i="76"/>
  <c r="V182" i="76"/>
  <c r="U182" i="76"/>
  <c r="T182" i="76"/>
  <c r="S182" i="76"/>
  <c r="R182" i="76"/>
  <c r="Q182" i="76"/>
  <c r="P182" i="76"/>
  <c r="O182" i="76"/>
  <c r="N182" i="76"/>
  <c r="M182" i="76"/>
  <c r="L182" i="76"/>
  <c r="K182" i="76"/>
  <c r="H182" i="76"/>
  <c r="W181" i="76"/>
  <c r="V181" i="76"/>
  <c r="U181" i="76"/>
  <c r="T181" i="76"/>
  <c r="S181" i="76"/>
  <c r="R181" i="76"/>
  <c r="Q181" i="76"/>
  <c r="P181" i="76"/>
  <c r="O181" i="76"/>
  <c r="N181" i="76"/>
  <c r="M181" i="76"/>
  <c r="L181" i="76"/>
  <c r="K181" i="76"/>
  <c r="H181" i="76"/>
  <c r="W180" i="76"/>
  <c r="V180" i="76"/>
  <c r="U180" i="76"/>
  <c r="T180" i="76"/>
  <c r="S180" i="76"/>
  <c r="R180" i="76"/>
  <c r="Q180" i="76"/>
  <c r="P180" i="76"/>
  <c r="O180" i="76"/>
  <c r="N180" i="76"/>
  <c r="M180" i="76"/>
  <c r="L180" i="76"/>
  <c r="K180" i="76"/>
  <c r="H180" i="76"/>
  <c r="W179" i="76"/>
  <c r="V179" i="76"/>
  <c r="U179" i="76"/>
  <c r="T179" i="76"/>
  <c r="S179" i="76"/>
  <c r="R179" i="76"/>
  <c r="Q179" i="76"/>
  <c r="P179" i="76"/>
  <c r="O179" i="76"/>
  <c r="N179" i="76"/>
  <c r="M179" i="76"/>
  <c r="L179" i="76"/>
  <c r="K179" i="76"/>
  <c r="H179" i="76"/>
  <c r="W178" i="76"/>
  <c r="V178" i="76"/>
  <c r="U178" i="76"/>
  <c r="T178" i="76"/>
  <c r="S178" i="76"/>
  <c r="R178" i="76"/>
  <c r="Q178" i="76"/>
  <c r="P178" i="76"/>
  <c r="O178" i="76"/>
  <c r="N178" i="76"/>
  <c r="M178" i="76"/>
  <c r="L178" i="76"/>
  <c r="K178" i="76"/>
  <c r="H178" i="76"/>
  <c r="W177" i="76"/>
  <c r="V177" i="76"/>
  <c r="U177" i="76"/>
  <c r="T177" i="76"/>
  <c r="S177" i="76"/>
  <c r="R177" i="76"/>
  <c r="Q177" i="76"/>
  <c r="P177" i="76"/>
  <c r="O177" i="76"/>
  <c r="N177" i="76"/>
  <c r="M177" i="76"/>
  <c r="L177" i="76"/>
  <c r="K177" i="76"/>
  <c r="H177" i="76"/>
  <c r="W176" i="76"/>
  <c r="V176" i="76"/>
  <c r="U176" i="76"/>
  <c r="T176" i="76"/>
  <c r="S176" i="76"/>
  <c r="R176" i="76"/>
  <c r="Q176" i="76"/>
  <c r="P176" i="76"/>
  <c r="O176" i="76"/>
  <c r="N176" i="76"/>
  <c r="M176" i="76"/>
  <c r="L176" i="76"/>
  <c r="K176" i="76"/>
  <c r="H176" i="76"/>
  <c r="W175" i="76"/>
  <c r="V175" i="76"/>
  <c r="U175" i="76"/>
  <c r="T175" i="76"/>
  <c r="S175" i="76"/>
  <c r="R175" i="76"/>
  <c r="Q175" i="76"/>
  <c r="P175" i="76"/>
  <c r="O175" i="76"/>
  <c r="N175" i="76"/>
  <c r="M175" i="76"/>
  <c r="L175" i="76"/>
  <c r="K175" i="76"/>
  <c r="H175" i="76"/>
  <c r="W174" i="76"/>
  <c r="V174" i="76"/>
  <c r="U174" i="76"/>
  <c r="T174" i="76"/>
  <c r="S174" i="76"/>
  <c r="R174" i="76"/>
  <c r="Q174" i="76"/>
  <c r="P174" i="76"/>
  <c r="O174" i="76"/>
  <c r="N174" i="76"/>
  <c r="M174" i="76"/>
  <c r="L174" i="76"/>
  <c r="K174" i="76"/>
  <c r="H174" i="76"/>
  <c r="W173" i="76"/>
  <c r="V173" i="76"/>
  <c r="U173" i="76"/>
  <c r="T173" i="76"/>
  <c r="S173" i="76"/>
  <c r="R173" i="76"/>
  <c r="Q173" i="76"/>
  <c r="P173" i="76"/>
  <c r="O173" i="76"/>
  <c r="N173" i="76"/>
  <c r="M173" i="76"/>
  <c r="L173" i="76"/>
  <c r="K173" i="76"/>
  <c r="H173" i="76"/>
  <c r="W172" i="76"/>
  <c r="V172" i="76"/>
  <c r="U172" i="76"/>
  <c r="T172" i="76"/>
  <c r="S172" i="76"/>
  <c r="R172" i="76"/>
  <c r="Q172" i="76"/>
  <c r="P172" i="76"/>
  <c r="O172" i="76"/>
  <c r="N172" i="76"/>
  <c r="M172" i="76"/>
  <c r="L172" i="76"/>
  <c r="K172" i="76"/>
  <c r="H172" i="76"/>
  <c r="W171" i="76"/>
  <c r="V171" i="76"/>
  <c r="U171" i="76"/>
  <c r="T171" i="76"/>
  <c r="S171" i="76"/>
  <c r="R171" i="76"/>
  <c r="Q171" i="76"/>
  <c r="P171" i="76"/>
  <c r="O171" i="76"/>
  <c r="N171" i="76"/>
  <c r="M171" i="76"/>
  <c r="L171" i="76"/>
  <c r="K171" i="76"/>
  <c r="H171" i="76"/>
  <c r="W170" i="76"/>
  <c r="V170" i="76"/>
  <c r="U170" i="76"/>
  <c r="T170" i="76"/>
  <c r="S170" i="76"/>
  <c r="R170" i="76"/>
  <c r="Q170" i="76"/>
  <c r="P170" i="76"/>
  <c r="O170" i="76"/>
  <c r="N170" i="76"/>
  <c r="M170" i="76"/>
  <c r="L170" i="76"/>
  <c r="K170" i="76"/>
  <c r="H170" i="76"/>
  <c r="W169" i="76"/>
  <c r="V169" i="76"/>
  <c r="U169" i="76"/>
  <c r="T169" i="76"/>
  <c r="S169" i="76"/>
  <c r="R169" i="76"/>
  <c r="Q169" i="76"/>
  <c r="P169" i="76"/>
  <c r="O169" i="76"/>
  <c r="N169" i="76"/>
  <c r="M169" i="76"/>
  <c r="L169" i="76"/>
  <c r="K169" i="76"/>
  <c r="H169" i="76"/>
  <c r="W168" i="76"/>
  <c r="V168" i="76"/>
  <c r="U168" i="76"/>
  <c r="T168" i="76"/>
  <c r="S168" i="76"/>
  <c r="R168" i="76"/>
  <c r="Q168" i="76"/>
  <c r="P168" i="76"/>
  <c r="O168" i="76"/>
  <c r="N168" i="76"/>
  <c r="M168" i="76"/>
  <c r="L168" i="76"/>
  <c r="K168" i="76"/>
  <c r="H168" i="76"/>
  <c r="W167" i="76"/>
  <c r="V167" i="76"/>
  <c r="U167" i="76"/>
  <c r="T167" i="76"/>
  <c r="S167" i="76"/>
  <c r="R167" i="76"/>
  <c r="Q167" i="76"/>
  <c r="P167" i="76"/>
  <c r="O167" i="76"/>
  <c r="N167" i="76"/>
  <c r="M167" i="76"/>
  <c r="L167" i="76"/>
  <c r="K167" i="76"/>
  <c r="H167" i="76"/>
  <c r="W166" i="76"/>
  <c r="V166" i="76"/>
  <c r="U166" i="76"/>
  <c r="T166" i="76"/>
  <c r="S166" i="76"/>
  <c r="R166" i="76"/>
  <c r="Q166" i="76"/>
  <c r="P166" i="76"/>
  <c r="O166" i="76"/>
  <c r="N166" i="76"/>
  <c r="M166" i="76"/>
  <c r="L166" i="76"/>
  <c r="K166" i="76"/>
  <c r="H166" i="76"/>
  <c r="W165" i="76"/>
  <c r="V165" i="76"/>
  <c r="U165" i="76"/>
  <c r="T165" i="76"/>
  <c r="S165" i="76"/>
  <c r="R165" i="76"/>
  <c r="Q165" i="76"/>
  <c r="P165" i="76"/>
  <c r="O165" i="76"/>
  <c r="N165" i="76"/>
  <c r="M165" i="76"/>
  <c r="L165" i="76"/>
  <c r="K165" i="76"/>
  <c r="H165" i="76"/>
  <c r="W164" i="76"/>
  <c r="V164" i="76"/>
  <c r="U164" i="76"/>
  <c r="T164" i="76"/>
  <c r="S164" i="76"/>
  <c r="R164" i="76"/>
  <c r="Q164" i="76"/>
  <c r="P164" i="76"/>
  <c r="O164" i="76"/>
  <c r="N164" i="76"/>
  <c r="M164" i="76"/>
  <c r="L164" i="76"/>
  <c r="K164" i="76"/>
  <c r="H164" i="76"/>
  <c r="W163" i="76"/>
  <c r="V163" i="76"/>
  <c r="U163" i="76"/>
  <c r="T163" i="76"/>
  <c r="S163" i="76"/>
  <c r="R163" i="76"/>
  <c r="Q163" i="76"/>
  <c r="P163" i="76"/>
  <c r="O163" i="76"/>
  <c r="N163" i="76"/>
  <c r="M163" i="76"/>
  <c r="L163" i="76"/>
  <c r="K163" i="76"/>
  <c r="H163" i="76"/>
  <c r="W162" i="76"/>
  <c r="V162" i="76"/>
  <c r="U162" i="76"/>
  <c r="T162" i="76"/>
  <c r="S162" i="76"/>
  <c r="R162" i="76"/>
  <c r="Q162" i="76"/>
  <c r="P162" i="76"/>
  <c r="O162" i="76"/>
  <c r="N162" i="76"/>
  <c r="M162" i="76"/>
  <c r="L162" i="76"/>
  <c r="K162" i="76"/>
  <c r="H162" i="76"/>
  <c r="W161" i="76"/>
  <c r="V161" i="76"/>
  <c r="U161" i="76"/>
  <c r="T161" i="76"/>
  <c r="S161" i="76"/>
  <c r="R161" i="76"/>
  <c r="Q161" i="76"/>
  <c r="P161" i="76"/>
  <c r="O161" i="76"/>
  <c r="N161" i="76"/>
  <c r="M161" i="76"/>
  <c r="L161" i="76"/>
  <c r="K161" i="76"/>
  <c r="H161" i="76"/>
  <c r="W160" i="76"/>
  <c r="V160" i="76"/>
  <c r="U160" i="76"/>
  <c r="T160" i="76"/>
  <c r="S160" i="76"/>
  <c r="R160" i="76"/>
  <c r="Q160" i="76"/>
  <c r="P160" i="76"/>
  <c r="O160" i="76"/>
  <c r="N160" i="76"/>
  <c r="M160" i="76"/>
  <c r="L160" i="76"/>
  <c r="K160" i="76"/>
  <c r="H160" i="76"/>
  <c r="W159" i="76"/>
  <c r="V159" i="76"/>
  <c r="U159" i="76"/>
  <c r="T159" i="76"/>
  <c r="S159" i="76"/>
  <c r="R159" i="76"/>
  <c r="Q159" i="76"/>
  <c r="P159" i="76"/>
  <c r="O159" i="76"/>
  <c r="N159" i="76"/>
  <c r="M159" i="76"/>
  <c r="L159" i="76"/>
  <c r="K159" i="76"/>
  <c r="H159" i="76"/>
  <c r="W158" i="76"/>
  <c r="V158" i="76"/>
  <c r="U158" i="76"/>
  <c r="T158" i="76"/>
  <c r="S158" i="76"/>
  <c r="R158" i="76"/>
  <c r="Q158" i="76"/>
  <c r="P158" i="76"/>
  <c r="O158" i="76"/>
  <c r="N158" i="76"/>
  <c r="M158" i="76"/>
  <c r="L158" i="76"/>
  <c r="K158" i="76"/>
  <c r="H158" i="76"/>
  <c r="W157" i="76"/>
  <c r="V157" i="76"/>
  <c r="U157" i="76"/>
  <c r="T157" i="76"/>
  <c r="S157" i="76"/>
  <c r="R157" i="76"/>
  <c r="Q157" i="76"/>
  <c r="P157" i="76"/>
  <c r="O157" i="76"/>
  <c r="N157" i="76"/>
  <c r="M157" i="76"/>
  <c r="L157" i="76"/>
  <c r="K157" i="76"/>
  <c r="H157" i="76"/>
  <c r="W156" i="76"/>
  <c r="V156" i="76"/>
  <c r="U156" i="76"/>
  <c r="T156" i="76"/>
  <c r="S156" i="76"/>
  <c r="R156" i="76"/>
  <c r="Q156" i="76"/>
  <c r="P156" i="76"/>
  <c r="O156" i="76"/>
  <c r="N156" i="76"/>
  <c r="M156" i="76"/>
  <c r="L156" i="76"/>
  <c r="K156" i="76"/>
  <c r="H156" i="76"/>
  <c r="W155" i="76"/>
  <c r="V155" i="76"/>
  <c r="U155" i="76"/>
  <c r="T155" i="76"/>
  <c r="S155" i="76"/>
  <c r="R155" i="76"/>
  <c r="Q155" i="76"/>
  <c r="P155" i="76"/>
  <c r="O155" i="76"/>
  <c r="N155" i="76"/>
  <c r="M155" i="76"/>
  <c r="L155" i="76"/>
  <c r="K155" i="76"/>
  <c r="H155" i="76"/>
  <c r="W154" i="76"/>
  <c r="V154" i="76"/>
  <c r="U154" i="76"/>
  <c r="T154" i="76"/>
  <c r="S154" i="76"/>
  <c r="R154" i="76"/>
  <c r="Q154" i="76"/>
  <c r="P154" i="76"/>
  <c r="O154" i="76"/>
  <c r="N154" i="76"/>
  <c r="M154" i="76"/>
  <c r="L154" i="76"/>
  <c r="K154" i="76"/>
  <c r="H154" i="76"/>
  <c r="W153" i="76"/>
  <c r="V153" i="76"/>
  <c r="U153" i="76"/>
  <c r="T153" i="76"/>
  <c r="S153" i="76"/>
  <c r="R153" i="76"/>
  <c r="Q153" i="76"/>
  <c r="P153" i="76"/>
  <c r="O153" i="76"/>
  <c r="N153" i="76"/>
  <c r="M153" i="76"/>
  <c r="L153" i="76"/>
  <c r="K153" i="76"/>
  <c r="H153" i="76"/>
  <c r="W152" i="76"/>
  <c r="V152" i="76"/>
  <c r="U152" i="76"/>
  <c r="T152" i="76"/>
  <c r="S152" i="76"/>
  <c r="R152" i="76"/>
  <c r="Q152" i="76"/>
  <c r="P152" i="76"/>
  <c r="O152" i="76"/>
  <c r="N152" i="76"/>
  <c r="M152" i="76"/>
  <c r="L152" i="76"/>
  <c r="K152" i="76"/>
  <c r="H152" i="76"/>
  <c r="W151" i="76"/>
  <c r="V151" i="76"/>
  <c r="U151" i="76"/>
  <c r="T151" i="76"/>
  <c r="S151" i="76"/>
  <c r="R151" i="76"/>
  <c r="Q151" i="76"/>
  <c r="P151" i="76"/>
  <c r="O151" i="76"/>
  <c r="N151" i="76"/>
  <c r="M151" i="76"/>
  <c r="L151" i="76"/>
  <c r="K151" i="76"/>
  <c r="H151" i="76"/>
  <c r="W150" i="76"/>
  <c r="V150" i="76"/>
  <c r="U150" i="76"/>
  <c r="T150" i="76"/>
  <c r="S150" i="76"/>
  <c r="R150" i="76"/>
  <c r="Q150" i="76"/>
  <c r="P150" i="76"/>
  <c r="O150" i="76"/>
  <c r="N150" i="76"/>
  <c r="M150" i="76"/>
  <c r="L150" i="76"/>
  <c r="K150" i="76"/>
  <c r="H150" i="76"/>
  <c r="W149" i="76"/>
  <c r="V149" i="76"/>
  <c r="U149" i="76"/>
  <c r="T149" i="76"/>
  <c r="S149" i="76"/>
  <c r="R149" i="76"/>
  <c r="Q149" i="76"/>
  <c r="P149" i="76"/>
  <c r="O149" i="76"/>
  <c r="N149" i="76"/>
  <c r="M149" i="76"/>
  <c r="L149" i="76"/>
  <c r="K149" i="76"/>
  <c r="H149" i="76"/>
  <c r="W148" i="76"/>
  <c r="V148" i="76"/>
  <c r="U148" i="76"/>
  <c r="T148" i="76"/>
  <c r="S148" i="76"/>
  <c r="R148" i="76"/>
  <c r="Q148" i="76"/>
  <c r="P148" i="76"/>
  <c r="O148" i="76"/>
  <c r="N148" i="76"/>
  <c r="M148" i="76"/>
  <c r="L148" i="76"/>
  <c r="K148" i="76"/>
  <c r="H148" i="76"/>
  <c r="W147" i="76"/>
  <c r="V147" i="76"/>
  <c r="U147" i="76"/>
  <c r="T147" i="76"/>
  <c r="S147" i="76"/>
  <c r="R147" i="76"/>
  <c r="Q147" i="76"/>
  <c r="P147" i="76"/>
  <c r="O147" i="76"/>
  <c r="N147" i="76"/>
  <c r="M147" i="76"/>
  <c r="L147" i="76"/>
  <c r="K147" i="76"/>
  <c r="H147" i="76"/>
  <c r="W146" i="76"/>
  <c r="V146" i="76"/>
  <c r="U146" i="76"/>
  <c r="T146" i="76"/>
  <c r="S146" i="76"/>
  <c r="R146" i="76"/>
  <c r="Q146" i="76"/>
  <c r="P146" i="76"/>
  <c r="O146" i="76"/>
  <c r="N146" i="76"/>
  <c r="M146" i="76"/>
  <c r="L146" i="76"/>
  <c r="K146" i="76"/>
  <c r="H146" i="76"/>
  <c r="W145" i="76"/>
  <c r="V145" i="76"/>
  <c r="U145" i="76"/>
  <c r="T145" i="76"/>
  <c r="S145" i="76"/>
  <c r="R145" i="76"/>
  <c r="Q145" i="76"/>
  <c r="P145" i="76"/>
  <c r="O145" i="76"/>
  <c r="N145" i="76"/>
  <c r="M145" i="76"/>
  <c r="L145" i="76"/>
  <c r="K145" i="76"/>
  <c r="H145" i="76"/>
  <c r="W144" i="76"/>
  <c r="V144" i="76"/>
  <c r="U144" i="76"/>
  <c r="T144" i="76"/>
  <c r="S144" i="76"/>
  <c r="R144" i="76"/>
  <c r="Q144" i="76"/>
  <c r="P144" i="76"/>
  <c r="O144" i="76"/>
  <c r="N144" i="76"/>
  <c r="M144" i="76"/>
  <c r="L144" i="76"/>
  <c r="K144" i="76"/>
  <c r="H144" i="76"/>
  <c r="W143" i="76"/>
  <c r="V143" i="76"/>
  <c r="U143" i="76"/>
  <c r="T143" i="76"/>
  <c r="S143" i="76"/>
  <c r="R143" i="76"/>
  <c r="Q143" i="76"/>
  <c r="P143" i="76"/>
  <c r="O143" i="76"/>
  <c r="N143" i="76"/>
  <c r="M143" i="76"/>
  <c r="L143" i="76"/>
  <c r="K143" i="76"/>
  <c r="H143" i="76"/>
  <c r="W142" i="76"/>
  <c r="V142" i="76"/>
  <c r="U142" i="76"/>
  <c r="T142" i="76"/>
  <c r="S142" i="76"/>
  <c r="R142" i="76"/>
  <c r="Q142" i="76"/>
  <c r="P142" i="76"/>
  <c r="O142" i="76"/>
  <c r="N142" i="76"/>
  <c r="M142" i="76"/>
  <c r="L142" i="76"/>
  <c r="K142" i="76"/>
  <c r="H142" i="76"/>
  <c r="W141" i="76"/>
  <c r="V141" i="76"/>
  <c r="U141" i="76"/>
  <c r="T141" i="76"/>
  <c r="S141" i="76"/>
  <c r="R141" i="76"/>
  <c r="Q141" i="76"/>
  <c r="P141" i="76"/>
  <c r="O141" i="76"/>
  <c r="N141" i="76"/>
  <c r="M141" i="76"/>
  <c r="L141" i="76"/>
  <c r="K141" i="76"/>
  <c r="H141" i="76"/>
  <c r="W140" i="76"/>
  <c r="V140" i="76"/>
  <c r="U140" i="76"/>
  <c r="T140" i="76"/>
  <c r="S140" i="76"/>
  <c r="R140" i="76"/>
  <c r="Q140" i="76"/>
  <c r="P140" i="76"/>
  <c r="O140" i="76"/>
  <c r="N140" i="76"/>
  <c r="M140" i="76"/>
  <c r="L140" i="76"/>
  <c r="K140" i="76"/>
  <c r="H140" i="76"/>
  <c r="W139" i="76"/>
  <c r="V139" i="76"/>
  <c r="U139" i="76"/>
  <c r="T139" i="76"/>
  <c r="S139" i="76"/>
  <c r="R139" i="76"/>
  <c r="Q139" i="76"/>
  <c r="P139" i="76"/>
  <c r="O139" i="76"/>
  <c r="N139" i="76"/>
  <c r="M139" i="76"/>
  <c r="L139" i="76"/>
  <c r="K139" i="76"/>
  <c r="H139" i="76"/>
  <c r="W138" i="76"/>
  <c r="V138" i="76"/>
  <c r="U138" i="76"/>
  <c r="T138" i="76"/>
  <c r="S138" i="76"/>
  <c r="R138" i="76"/>
  <c r="Q138" i="76"/>
  <c r="P138" i="76"/>
  <c r="O138" i="76"/>
  <c r="N138" i="76"/>
  <c r="M138" i="76"/>
  <c r="L138" i="76"/>
  <c r="K138" i="76"/>
  <c r="H138" i="76"/>
  <c r="W137" i="76"/>
  <c r="V137" i="76"/>
  <c r="U137" i="76"/>
  <c r="T137" i="76"/>
  <c r="S137" i="76"/>
  <c r="R137" i="76"/>
  <c r="Q137" i="76"/>
  <c r="P137" i="76"/>
  <c r="O137" i="76"/>
  <c r="N137" i="76"/>
  <c r="M137" i="76"/>
  <c r="L137" i="76"/>
  <c r="K137" i="76"/>
  <c r="H137" i="76"/>
  <c r="W136" i="76"/>
  <c r="V136" i="76"/>
  <c r="U136" i="76"/>
  <c r="T136" i="76"/>
  <c r="S136" i="76"/>
  <c r="R136" i="76"/>
  <c r="Q136" i="76"/>
  <c r="P136" i="76"/>
  <c r="O136" i="76"/>
  <c r="N136" i="76"/>
  <c r="M136" i="76"/>
  <c r="L136" i="76"/>
  <c r="K136" i="76"/>
  <c r="H136" i="76"/>
  <c r="W135" i="76"/>
  <c r="V135" i="76"/>
  <c r="U135" i="76"/>
  <c r="T135" i="76"/>
  <c r="S135" i="76"/>
  <c r="R135" i="76"/>
  <c r="Q135" i="76"/>
  <c r="P135" i="76"/>
  <c r="O135" i="76"/>
  <c r="N135" i="76"/>
  <c r="M135" i="76"/>
  <c r="L135" i="76"/>
  <c r="K135" i="76"/>
  <c r="H135" i="76"/>
  <c r="W134" i="76"/>
  <c r="V134" i="76"/>
  <c r="U134" i="76"/>
  <c r="T134" i="76"/>
  <c r="S134" i="76"/>
  <c r="R134" i="76"/>
  <c r="Q134" i="76"/>
  <c r="P134" i="76"/>
  <c r="O134" i="76"/>
  <c r="N134" i="76"/>
  <c r="M134" i="76"/>
  <c r="L134" i="76"/>
  <c r="K134" i="76"/>
  <c r="H134" i="76"/>
  <c r="W133" i="76"/>
  <c r="V133" i="76"/>
  <c r="U133" i="76"/>
  <c r="T133" i="76"/>
  <c r="S133" i="76"/>
  <c r="R133" i="76"/>
  <c r="Q133" i="76"/>
  <c r="P133" i="76"/>
  <c r="O133" i="76"/>
  <c r="N133" i="76"/>
  <c r="M133" i="76"/>
  <c r="L133" i="76"/>
  <c r="K133" i="76"/>
  <c r="H133" i="76"/>
  <c r="W132" i="76"/>
  <c r="V132" i="76"/>
  <c r="U132" i="76"/>
  <c r="T132" i="76"/>
  <c r="S132" i="76"/>
  <c r="R132" i="76"/>
  <c r="Q132" i="76"/>
  <c r="P132" i="76"/>
  <c r="O132" i="76"/>
  <c r="N132" i="76"/>
  <c r="M132" i="76"/>
  <c r="L132" i="76"/>
  <c r="K132" i="76"/>
  <c r="H132" i="76"/>
  <c r="W131" i="76"/>
  <c r="V131" i="76"/>
  <c r="U131" i="76"/>
  <c r="T131" i="76"/>
  <c r="S131" i="76"/>
  <c r="R131" i="76"/>
  <c r="Q131" i="76"/>
  <c r="P131" i="76"/>
  <c r="O131" i="76"/>
  <c r="N131" i="76"/>
  <c r="M131" i="76"/>
  <c r="L131" i="76"/>
  <c r="K131" i="76"/>
  <c r="H131" i="76"/>
  <c r="W130" i="76"/>
  <c r="V130" i="76"/>
  <c r="U130" i="76"/>
  <c r="T130" i="76"/>
  <c r="S130" i="76"/>
  <c r="R130" i="76"/>
  <c r="Q130" i="76"/>
  <c r="P130" i="76"/>
  <c r="O130" i="76"/>
  <c r="N130" i="76"/>
  <c r="M130" i="76"/>
  <c r="L130" i="76"/>
  <c r="K130" i="76"/>
  <c r="H130" i="76"/>
  <c r="W129" i="76"/>
  <c r="V129" i="76"/>
  <c r="U129" i="76"/>
  <c r="T129" i="76"/>
  <c r="S129" i="76"/>
  <c r="R129" i="76"/>
  <c r="Q129" i="76"/>
  <c r="P129" i="76"/>
  <c r="O129" i="76"/>
  <c r="N129" i="76"/>
  <c r="M129" i="76"/>
  <c r="L129" i="76"/>
  <c r="K129" i="76"/>
  <c r="H129" i="76"/>
  <c r="W128" i="76"/>
  <c r="V128" i="76"/>
  <c r="U128" i="76"/>
  <c r="T128" i="76"/>
  <c r="S128" i="76"/>
  <c r="R128" i="76"/>
  <c r="Q128" i="76"/>
  <c r="P128" i="76"/>
  <c r="O128" i="76"/>
  <c r="N128" i="76"/>
  <c r="M128" i="76"/>
  <c r="L128" i="76"/>
  <c r="K128" i="76"/>
  <c r="H128" i="76"/>
  <c r="W127" i="76"/>
  <c r="V127" i="76"/>
  <c r="U127" i="76"/>
  <c r="T127" i="76"/>
  <c r="S127" i="76"/>
  <c r="R127" i="76"/>
  <c r="Q127" i="76"/>
  <c r="P127" i="76"/>
  <c r="O127" i="76"/>
  <c r="N127" i="76"/>
  <c r="M127" i="76"/>
  <c r="L127" i="76"/>
  <c r="K127" i="76"/>
  <c r="W126" i="76"/>
  <c r="V126" i="76"/>
  <c r="U126" i="76"/>
  <c r="T126" i="76"/>
  <c r="S126" i="76"/>
  <c r="R126" i="76"/>
  <c r="Q126" i="76"/>
  <c r="P126" i="76"/>
  <c r="O126" i="76"/>
  <c r="N126" i="76"/>
  <c r="M126" i="76"/>
  <c r="L126" i="76"/>
  <c r="K126" i="76"/>
  <c r="W124" i="76"/>
  <c r="V124" i="76"/>
  <c r="U124" i="76"/>
  <c r="T124" i="76"/>
  <c r="S124" i="76"/>
  <c r="R124" i="76"/>
  <c r="Q124" i="76"/>
  <c r="P124" i="76"/>
  <c r="O124" i="76"/>
  <c r="N124" i="76"/>
  <c r="M124" i="76"/>
  <c r="L124" i="76"/>
  <c r="K124" i="76"/>
  <c r="W123" i="76"/>
  <c r="V123" i="76"/>
  <c r="U123" i="76"/>
  <c r="T123" i="76"/>
  <c r="S123" i="76"/>
  <c r="R123" i="76"/>
  <c r="Q123" i="76"/>
  <c r="P123" i="76"/>
  <c r="O123" i="76"/>
  <c r="N123" i="76"/>
  <c r="M123" i="76"/>
  <c r="L123" i="76"/>
  <c r="K123" i="76"/>
  <c r="H123" i="76"/>
  <c r="AA121" i="76"/>
  <c r="Z121" i="76"/>
  <c r="Y121" i="76"/>
  <c r="X121" i="76"/>
  <c r="W121" i="76"/>
  <c r="V121" i="76"/>
  <c r="U121" i="76"/>
  <c r="T121" i="76"/>
  <c r="S121" i="76"/>
  <c r="R121" i="76"/>
  <c r="Q121" i="76"/>
  <c r="P121" i="76"/>
  <c r="O121" i="76"/>
  <c r="N121" i="76"/>
  <c r="M121" i="76"/>
  <c r="L121" i="76"/>
  <c r="K121" i="76"/>
  <c r="J121" i="76"/>
  <c r="I121" i="76"/>
  <c r="W119" i="76"/>
  <c r="V119" i="76"/>
  <c r="U119" i="76"/>
  <c r="T119" i="76"/>
  <c r="S119" i="76"/>
  <c r="R119" i="76"/>
  <c r="Q119" i="76"/>
  <c r="P119" i="76"/>
  <c r="O119" i="76"/>
  <c r="N119" i="76"/>
  <c r="M119" i="76"/>
  <c r="L119" i="76"/>
  <c r="K119" i="76"/>
  <c r="H119" i="76"/>
  <c r="W118" i="76"/>
  <c r="V118" i="76"/>
  <c r="U118" i="76"/>
  <c r="T118" i="76"/>
  <c r="S118" i="76"/>
  <c r="R118" i="76"/>
  <c r="Q118" i="76"/>
  <c r="P118" i="76"/>
  <c r="O118" i="76"/>
  <c r="N118" i="76"/>
  <c r="M118" i="76"/>
  <c r="L118" i="76"/>
  <c r="K118" i="76"/>
  <c r="Y116" i="76"/>
  <c r="Y118" i="76" s="1"/>
  <c r="U116" i="76"/>
  <c r="W116" i="76" s="1"/>
  <c r="I116" i="76"/>
  <c r="AA115" i="76"/>
  <c r="W115" i="76"/>
  <c r="V115" i="76"/>
  <c r="U115" i="76"/>
  <c r="T115" i="76"/>
  <c r="S115" i="76"/>
  <c r="R115" i="76"/>
  <c r="Q115" i="76"/>
  <c r="P115" i="76"/>
  <c r="O115" i="76"/>
  <c r="N115" i="76"/>
  <c r="M115" i="76"/>
  <c r="L115" i="76"/>
  <c r="K115" i="76"/>
  <c r="H115" i="76"/>
  <c r="AA114" i="76"/>
  <c r="W114" i="76"/>
  <c r="V114" i="76"/>
  <c r="U114" i="76"/>
  <c r="T114" i="76"/>
  <c r="S114" i="76"/>
  <c r="R114" i="76"/>
  <c r="Q114" i="76"/>
  <c r="P114" i="76"/>
  <c r="O114" i="76"/>
  <c r="N114" i="76"/>
  <c r="M114" i="76"/>
  <c r="L114" i="76"/>
  <c r="K114" i="76"/>
  <c r="AA113" i="76"/>
  <c r="W113" i="76"/>
  <c r="V113" i="76"/>
  <c r="U113" i="76"/>
  <c r="T113" i="76"/>
  <c r="S113" i="76"/>
  <c r="R113" i="76"/>
  <c r="Q113" i="76"/>
  <c r="P113" i="76"/>
  <c r="O113" i="76"/>
  <c r="N113" i="76"/>
  <c r="M113" i="76"/>
  <c r="L113" i="76"/>
  <c r="K113" i="76"/>
  <c r="W111" i="76"/>
  <c r="T111" i="76"/>
  <c r="Q111" i="76"/>
  <c r="N111" i="76"/>
  <c r="K111" i="76"/>
  <c r="W110" i="76"/>
  <c r="Q110" i="76"/>
  <c r="K110" i="76"/>
  <c r="W109" i="76"/>
  <c r="T109" i="76"/>
  <c r="Q109" i="76"/>
  <c r="N109" i="76"/>
  <c r="K109" i="76"/>
  <c r="H109" i="76"/>
  <c r="W107" i="76"/>
  <c r="T107" i="76"/>
  <c r="Q107" i="76"/>
  <c r="N107" i="76"/>
  <c r="K107" i="76"/>
  <c r="H107" i="76"/>
  <c r="W106" i="76"/>
  <c r="T106" i="76"/>
  <c r="Q106" i="76"/>
  <c r="N106" i="76"/>
  <c r="K106" i="76"/>
  <c r="H106" i="76"/>
  <c r="W105" i="76"/>
  <c r="T105" i="76"/>
  <c r="Q105" i="76"/>
  <c r="N105" i="76"/>
  <c r="K105" i="76"/>
  <c r="H105" i="76"/>
  <c r="W104" i="76"/>
  <c r="T104" i="76"/>
  <c r="Q104" i="76"/>
  <c r="N104" i="76"/>
  <c r="K104" i="76"/>
  <c r="H104" i="76"/>
  <c r="W102" i="76"/>
  <c r="T102" i="76"/>
  <c r="Q102" i="76"/>
  <c r="N102" i="76"/>
  <c r="K102" i="76"/>
  <c r="H102" i="76"/>
  <c r="W101" i="76"/>
  <c r="T101" i="76"/>
  <c r="Q101" i="76"/>
  <c r="N101" i="76"/>
  <c r="K101" i="76"/>
  <c r="H101" i="76"/>
  <c r="W100" i="76"/>
  <c r="T100" i="76"/>
  <c r="Q100" i="76"/>
  <c r="N100" i="76"/>
  <c r="K100" i="76"/>
  <c r="H100" i="76"/>
  <c r="W99" i="76"/>
  <c r="T99" i="76"/>
  <c r="Q99" i="76"/>
  <c r="N99" i="76"/>
  <c r="K99" i="76"/>
  <c r="H99" i="76"/>
  <c r="W97" i="76"/>
  <c r="T97" i="76"/>
  <c r="Q97" i="76"/>
  <c r="N97" i="76"/>
  <c r="K97" i="76"/>
  <c r="H97" i="76"/>
  <c r="W96" i="76"/>
  <c r="T96" i="76"/>
  <c r="Q96" i="76"/>
  <c r="N96" i="76"/>
  <c r="K96" i="76"/>
  <c r="H96" i="76"/>
  <c r="W95" i="76"/>
  <c r="T95" i="76"/>
  <c r="Q95" i="76"/>
  <c r="N95" i="76"/>
  <c r="K95" i="76"/>
  <c r="H95" i="76"/>
  <c r="W94" i="76"/>
  <c r="T94" i="76"/>
  <c r="Q94" i="76"/>
  <c r="N94" i="76"/>
  <c r="K94" i="76"/>
  <c r="H94" i="76"/>
  <c r="W92" i="76"/>
  <c r="T92" i="76"/>
  <c r="Q92" i="76"/>
  <c r="N92" i="76"/>
  <c r="K92" i="76"/>
  <c r="W91" i="76"/>
  <c r="T91" i="76"/>
  <c r="Q91" i="76"/>
  <c r="N91" i="76"/>
  <c r="K91" i="76"/>
  <c r="H91" i="76"/>
  <c r="W90" i="76"/>
  <c r="T90" i="76"/>
  <c r="Q90" i="76"/>
  <c r="N90" i="76"/>
  <c r="K90" i="76"/>
  <c r="H90" i="76"/>
  <c r="AA88" i="76"/>
  <c r="Z88" i="76"/>
  <c r="Z86" i="76" s="1"/>
  <c r="Z116" i="76" s="1"/>
  <c r="Y88" i="76"/>
  <c r="X88" i="76"/>
  <c r="W88" i="76"/>
  <c r="V88" i="76"/>
  <c r="V86" i="76" s="1"/>
  <c r="V116" i="76" s="1"/>
  <c r="U88" i="76"/>
  <c r="S88" i="76"/>
  <c r="R88" i="76"/>
  <c r="T88" i="76" s="1"/>
  <c r="P88" i="76"/>
  <c r="O88" i="76"/>
  <c r="Q88" i="76" s="1"/>
  <c r="N88" i="76"/>
  <c r="M88" i="76"/>
  <c r="L88" i="76"/>
  <c r="K88" i="76"/>
  <c r="J88" i="76"/>
  <c r="J86" i="76" s="1"/>
  <c r="J116" i="76" s="1"/>
  <c r="I88" i="76"/>
  <c r="AA86" i="76"/>
  <c r="AA116" i="76" s="1"/>
  <c r="Y86" i="76"/>
  <c r="X86" i="76"/>
  <c r="X116" i="76" s="1"/>
  <c r="U86" i="76"/>
  <c r="W86" i="76" s="1"/>
  <c r="S86" i="76"/>
  <c r="Q86" i="76"/>
  <c r="P86" i="76"/>
  <c r="P116" i="76" s="1"/>
  <c r="O86" i="76"/>
  <c r="O116" i="76" s="1"/>
  <c r="Q116" i="76" s="1"/>
  <c r="M86" i="76"/>
  <c r="L86" i="76"/>
  <c r="I86" i="76"/>
  <c r="K86" i="76" s="1"/>
  <c r="W85" i="76"/>
  <c r="T85" i="76"/>
  <c r="Q85" i="76"/>
  <c r="N85" i="76"/>
  <c r="K85" i="76"/>
  <c r="H85" i="76"/>
  <c r="W84" i="76"/>
  <c r="T84" i="76"/>
  <c r="Q84" i="76"/>
  <c r="N84" i="76"/>
  <c r="K84" i="76"/>
  <c r="H84" i="76"/>
  <c r="W83" i="76"/>
  <c r="T83" i="76"/>
  <c r="Q83" i="76"/>
  <c r="N83" i="76"/>
  <c r="K83" i="76"/>
  <c r="H83" i="76"/>
  <c r="W82" i="76"/>
  <c r="T82" i="76"/>
  <c r="Q82" i="76"/>
  <c r="N82" i="76"/>
  <c r="K82" i="76"/>
  <c r="H82" i="76"/>
  <c r="W81" i="76"/>
  <c r="T81" i="76"/>
  <c r="Q81" i="76"/>
  <c r="N81" i="76"/>
  <c r="K81" i="76"/>
  <c r="H81" i="76"/>
  <c r="W80" i="76"/>
  <c r="T80" i="76"/>
  <c r="Q80" i="76"/>
  <c r="N80" i="76"/>
  <c r="K80" i="76"/>
  <c r="H80" i="76"/>
  <c r="W78" i="76"/>
  <c r="T78" i="76"/>
  <c r="Q78" i="76"/>
  <c r="N78" i="76"/>
  <c r="K78" i="76"/>
  <c r="H78" i="76"/>
  <c r="W77" i="76"/>
  <c r="T77" i="76"/>
  <c r="Q77" i="76"/>
  <c r="N77" i="76"/>
  <c r="K77" i="76"/>
  <c r="H77" i="76"/>
  <c r="W76" i="76"/>
  <c r="T76" i="76"/>
  <c r="Q76" i="76"/>
  <c r="N76" i="76"/>
  <c r="K76" i="76"/>
  <c r="H76" i="76"/>
  <c r="W75" i="76"/>
  <c r="T75" i="76"/>
  <c r="Q75" i="76"/>
  <c r="N75" i="76"/>
  <c r="K75" i="76"/>
  <c r="H75" i="76"/>
  <c r="W74" i="76"/>
  <c r="T74" i="76"/>
  <c r="Q74" i="76"/>
  <c r="N74" i="76"/>
  <c r="K74" i="76"/>
  <c r="H74" i="76"/>
  <c r="W72" i="76"/>
  <c r="T72" i="76"/>
  <c r="Q72" i="76"/>
  <c r="N72" i="76"/>
  <c r="K72" i="76"/>
  <c r="H72" i="76"/>
  <c r="W71" i="76"/>
  <c r="T71" i="76"/>
  <c r="Q71" i="76"/>
  <c r="N71" i="76"/>
  <c r="K71" i="76"/>
  <c r="H71" i="76"/>
  <c r="W70" i="76"/>
  <c r="T70" i="76"/>
  <c r="Q70" i="76"/>
  <c r="N70" i="76"/>
  <c r="K70" i="76"/>
  <c r="H70" i="76"/>
  <c r="W69" i="76"/>
  <c r="T69" i="76"/>
  <c r="Q69" i="76"/>
  <c r="N69" i="76"/>
  <c r="K69" i="76"/>
  <c r="H69" i="76"/>
  <c r="W67" i="76"/>
  <c r="T67" i="76"/>
  <c r="Q67" i="76"/>
  <c r="N67" i="76"/>
  <c r="K67" i="76"/>
  <c r="H67" i="76"/>
  <c r="W66" i="76"/>
  <c r="T66" i="76"/>
  <c r="Q66" i="76"/>
  <c r="N66" i="76"/>
  <c r="K66" i="76"/>
  <c r="H66" i="76"/>
  <c r="W65" i="76"/>
  <c r="T65" i="76"/>
  <c r="Q65" i="76"/>
  <c r="N65" i="76"/>
  <c r="K65" i="76"/>
  <c r="Y63" i="76"/>
  <c r="W63" i="76"/>
  <c r="T63" i="76"/>
  <c r="Q63" i="76"/>
  <c r="N63" i="76"/>
  <c r="K63" i="76"/>
  <c r="G742" i="76" l="1"/>
  <c r="G744" i="76" s="1"/>
  <c r="F726" i="76"/>
  <c r="H709" i="76"/>
  <c r="F743" i="76"/>
  <c r="L709" i="76"/>
  <c r="M709" i="76" s="1"/>
  <c r="F674" i="76"/>
  <c r="H707" i="76"/>
  <c r="L707" i="76"/>
  <c r="M707" i="76" s="1"/>
  <c r="M708" i="76"/>
  <c r="P709" i="76"/>
  <c r="N719" i="76"/>
  <c r="P719" i="76" s="1"/>
  <c r="N86" i="76"/>
  <c r="R86" i="76"/>
  <c r="K116" i="76"/>
  <c r="K674" i="76"/>
  <c r="H674" i="76" l="1"/>
  <c r="F697" i="76"/>
  <c r="T86" i="76"/>
  <c r="L198" i="1"/>
  <c r="C198" i="1"/>
  <c r="L197" i="1"/>
  <c r="C197" i="1"/>
  <c r="L196" i="1"/>
  <c r="C196" i="1"/>
  <c r="L195" i="1"/>
  <c r="C195" i="1"/>
  <c r="L194" i="1"/>
  <c r="C194" i="1"/>
  <c r="L193" i="1"/>
  <c r="C193" i="1"/>
  <c r="L192" i="1"/>
  <c r="C192" i="1"/>
  <c r="L191" i="1"/>
  <c r="C191" i="1"/>
  <c r="L190" i="1"/>
  <c r="C190" i="1"/>
  <c r="L120" i="1"/>
  <c r="C120" i="1"/>
  <c r="L119" i="1"/>
  <c r="C119" i="1"/>
  <c r="L118" i="1"/>
  <c r="C118" i="1"/>
  <c r="H697" i="76" l="1"/>
  <c r="G37" i="50"/>
  <c r="G33" i="50"/>
  <c r="C142" i="1" l="1"/>
  <c r="L142" i="1"/>
  <c r="G253" i="1"/>
  <c r="L264" i="1"/>
  <c r="C264" i="1"/>
  <c r="L263" i="1"/>
  <c r="C263" i="1"/>
  <c r="L262" i="1"/>
  <c r="C262" i="1"/>
  <c r="AU21" i="17" l="1"/>
  <c r="C261" i="1" l="1"/>
  <c r="L260" i="1" l="1"/>
  <c r="P253" i="1"/>
  <c r="P144" i="1" s="1"/>
  <c r="L261" i="1"/>
  <c r="C260" i="1"/>
  <c r="L259" i="1"/>
  <c r="C259" i="1"/>
  <c r="L141" i="1"/>
  <c r="C141" i="1"/>
  <c r="C139" i="1" l="1"/>
  <c r="D5" i="75"/>
  <c r="P66" i="75"/>
  <c r="P53" i="75" s="1"/>
  <c r="P15" i="75" s="1"/>
  <c r="O66" i="75"/>
  <c r="N66" i="75"/>
  <c r="M66" i="75"/>
  <c r="L66" i="75"/>
  <c r="L28" i="75" s="1"/>
  <c r="K66" i="75"/>
  <c r="J66" i="75"/>
  <c r="I66" i="75"/>
  <c r="H66" i="75"/>
  <c r="H53" i="75" s="1"/>
  <c r="H15" i="75" s="1"/>
  <c r="G66" i="75"/>
  <c r="F66" i="75"/>
  <c r="E66" i="75"/>
  <c r="P60" i="75"/>
  <c r="O60" i="75"/>
  <c r="N60" i="75"/>
  <c r="M60" i="75"/>
  <c r="M22" i="75" s="1"/>
  <c r="L60" i="75"/>
  <c r="K60" i="75"/>
  <c r="J60" i="75"/>
  <c r="J22" i="75" s="1"/>
  <c r="I60" i="75"/>
  <c r="I22" i="75" s="1"/>
  <c r="H60" i="75"/>
  <c r="G60" i="75"/>
  <c r="F60" i="75"/>
  <c r="E60" i="75"/>
  <c r="E22" i="75" s="1"/>
  <c r="P54" i="75"/>
  <c r="O54" i="75"/>
  <c r="O53" i="75" s="1"/>
  <c r="N54" i="75"/>
  <c r="N16" i="75" s="1"/>
  <c r="M54" i="75"/>
  <c r="M53" i="75" s="1"/>
  <c r="L54" i="75"/>
  <c r="K54" i="75"/>
  <c r="K53" i="75" s="1"/>
  <c r="J54" i="75"/>
  <c r="I54" i="75"/>
  <c r="I53" i="75" s="1"/>
  <c r="H54" i="75"/>
  <c r="G54" i="75"/>
  <c r="G53" i="75" s="1"/>
  <c r="F54" i="75"/>
  <c r="F16" i="75" s="1"/>
  <c r="E54" i="75"/>
  <c r="E53" i="75" s="1"/>
  <c r="J53" i="75"/>
  <c r="P47" i="75"/>
  <c r="O47" i="75"/>
  <c r="N47" i="75"/>
  <c r="M47" i="75"/>
  <c r="L47" i="75"/>
  <c r="K47" i="75"/>
  <c r="J47" i="75"/>
  <c r="I47" i="75"/>
  <c r="H47" i="75"/>
  <c r="G47" i="75"/>
  <c r="F47" i="75"/>
  <c r="E47" i="75"/>
  <c r="P41" i="75"/>
  <c r="P22" i="75" s="1"/>
  <c r="O41" i="75"/>
  <c r="N41" i="75"/>
  <c r="M41" i="75"/>
  <c r="L41" i="75"/>
  <c r="K41" i="75"/>
  <c r="J41" i="75"/>
  <c r="I41" i="75"/>
  <c r="H41" i="75"/>
  <c r="H22" i="75" s="1"/>
  <c r="G41" i="75"/>
  <c r="F41" i="75"/>
  <c r="E41" i="75"/>
  <c r="P35" i="75"/>
  <c r="O35" i="75"/>
  <c r="N35" i="75"/>
  <c r="N34" i="75" s="1"/>
  <c r="M35" i="75"/>
  <c r="L35" i="75"/>
  <c r="L34" i="75" s="1"/>
  <c r="K35" i="75"/>
  <c r="J35" i="75"/>
  <c r="I35" i="75"/>
  <c r="H35" i="75"/>
  <c r="G35" i="75"/>
  <c r="F35" i="75"/>
  <c r="F34" i="75" s="1"/>
  <c r="E35" i="75"/>
  <c r="P34" i="75"/>
  <c r="J34" i="75"/>
  <c r="H34" i="75"/>
  <c r="P33" i="75"/>
  <c r="O33" i="75"/>
  <c r="N33" i="75"/>
  <c r="M33" i="75"/>
  <c r="L33" i="75"/>
  <c r="K33" i="75"/>
  <c r="J33" i="75"/>
  <c r="I33" i="75"/>
  <c r="H33" i="75"/>
  <c r="G33" i="75"/>
  <c r="F33" i="75"/>
  <c r="E33" i="75"/>
  <c r="P32" i="75"/>
  <c r="O32" i="75"/>
  <c r="N32" i="75"/>
  <c r="M32" i="75"/>
  <c r="L32" i="75"/>
  <c r="K32" i="75"/>
  <c r="J32" i="75"/>
  <c r="I32" i="75"/>
  <c r="H32" i="75"/>
  <c r="G32" i="75"/>
  <c r="F32" i="75"/>
  <c r="E32" i="75"/>
  <c r="P31" i="75"/>
  <c r="O31" i="75"/>
  <c r="N31" i="75"/>
  <c r="M31" i="75"/>
  <c r="L31" i="75"/>
  <c r="K31" i="75"/>
  <c r="J31" i="75"/>
  <c r="I31" i="75"/>
  <c r="H31" i="75"/>
  <c r="G31" i="75"/>
  <c r="F31" i="75"/>
  <c r="E31" i="75"/>
  <c r="P30" i="75"/>
  <c r="O30" i="75"/>
  <c r="N30" i="75"/>
  <c r="M30" i="75"/>
  <c r="L30" i="75"/>
  <c r="K30" i="75"/>
  <c r="J30" i="75"/>
  <c r="I30" i="75"/>
  <c r="H30" i="75"/>
  <c r="G30" i="75"/>
  <c r="F30" i="75"/>
  <c r="E30" i="75"/>
  <c r="P29" i="75"/>
  <c r="O29" i="75"/>
  <c r="N29" i="75"/>
  <c r="M29" i="75"/>
  <c r="L29" i="75"/>
  <c r="K29" i="75"/>
  <c r="J29" i="75"/>
  <c r="I29" i="75"/>
  <c r="H29" i="75"/>
  <c r="G29" i="75"/>
  <c r="F29" i="75"/>
  <c r="E29" i="75"/>
  <c r="N28" i="75"/>
  <c r="J28" i="75"/>
  <c r="F28" i="75"/>
  <c r="P27" i="75"/>
  <c r="O27" i="75"/>
  <c r="N27" i="75"/>
  <c r="M27" i="75"/>
  <c r="L27" i="75"/>
  <c r="K27" i="75"/>
  <c r="J27" i="75"/>
  <c r="I27" i="75"/>
  <c r="H27" i="75"/>
  <c r="G27" i="75"/>
  <c r="F27" i="75"/>
  <c r="E27" i="75"/>
  <c r="P26" i="75"/>
  <c r="O26" i="75"/>
  <c r="N26" i="75"/>
  <c r="M26" i="75"/>
  <c r="L26" i="75"/>
  <c r="K26" i="75"/>
  <c r="J26" i="75"/>
  <c r="I26" i="75"/>
  <c r="H26" i="75"/>
  <c r="G26" i="75"/>
  <c r="F26" i="75"/>
  <c r="E26" i="75"/>
  <c r="P25" i="75"/>
  <c r="O25" i="75"/>
  <c r="N25" i="75"/>
  <c r="M25" i="75"/>
  <c r="L25" i="75"/>
  <c r="K25" i="75"/>
  <c r="J25" i="75"/>
  <c r="I25" i="75"/>
  <c r="H25" i="75"/>
  <c r="G25" i="75"/>
  <c r="F25" i="75"/>
  <c r="E25" i="75"/>
  <c r="P24" i="75"/>
  <c r="O24" i="75"/>
  <c r="N24" i="75"/>
  <c r="M24" i="75"/>
  <c r="L24" i="75"/>
  <c r="K24" i="75"/>
  <c r="J24" i="75"/>
  <c r="I24" i="75"/>
  <c r="H24" i="75"/>
  <c r="G24" i="75"/>
  <c r="F24" i="75"/>
  <c r="E24" i="75"/>
  <c r="P23" i="75"/>
  <c r="O23" i="75"/>
  <c r="N23" i="75"/>
  <c r="M23" i="75"/>
  <c r="L23" i="75"/>
  <c r="K23" i="75"/>
  <c r="J23" i="75"/>
  <c r="I23" i="75"/>
  <c r="H23" i="75"/>
  <c r="G23" i="75"/>
  <c r="F23" i="75"/>
  <c r="E23" i="75"/>
  <c r="N22" i="75"/>
  <c r="L22" i="75"/>
  <c r="F22" i="75"/>
  <c r="P21" i="75"/>
  <c r="O21" i="75"/>
  <c r="N21" i="75"/>
  <c r="M21" i="75"/>
  <c r="L21" i="75"/>
  <c r="K21" i="75"/>
  <c r="J21" i="75"/>
  <c r="I21" i="75"/>
  <c r="H21" i="75"/>
  <c r="G21" i="75"/>
  <c r="F21" i="75"/>
  <c r="E21" i="75"/>
  <c r="P20" i="75"/>
  <c r="O20" i="75"/>
  <c r="N20" i="75"/>
  <c r="M20" i="75"/>
  <c r="L20" i="75"/>
  <c r="K20" i="75"/>
  <c r="J20" i="75"/>
  <c r="I20" i="75"/>
  <c r="H20" i="75"/>
  <c r="G20" i="75"/>
  <c r="F20" i="75"/>
  <c r="E20" i="75"/>
  <c r="P19" i="75"/>
  <c r="O19" i="75"/>
  <c r="N19" i="75"/>
  <c r="M19" i="75"/>
  <c r="L19" i="75"/>
  <c r="K19" i="75"/>
  <c r="J19" i="75"/>
  <c r="I19" i="75"/>
  <c r="H19" i="75"/>
  <c r="G19" i="75"/>
  <c r="F19" i="75"/>
  <c r="E19" i="75"/>
  <c r="P18" i="75"/>
  <c r="O18" i="75"/>
  <c r="N18" i="75"/>
  <c r="M18" i="75"/>
  <c r="L18" i="75"/>
  <c r="K18" i="75"/>
  <c r="J18" i="75"/>
  <c r="I18" i="75"/>
  <c r="H18" i="75"/>
  <c r="G18" i="75"/>
  <c r="F18" i="75"/>
  <c r="E18" i="75"/>
  <c r="P17" i="75"/>
  <c r="O17" i="75"/>
  <c r="N17" i="75"/>
  <c r="M17" i="75"/>
  <c r="L17" i="75"/>
  <c r="K17" i="75"/>
  <c r="J17" i="75"/>
  <c r="I17" i="75"/>
  <c r="H17" i="75"/>
  <c r="G17" i="75"/>
  <c r="F17" i="75"/>
  <c r="E17" i="75"/>
  <c r="P16" i="75"/>
  <c r="J16" i="75"/>
  <c r="H16" i="75"/>
  <c r="O11" i="75"/>
  <c r="N11" i="75"/>
  <c r="M11" i="75"/>
  <c r="L11" i="75"/>
  <c r="K11" i="75"/>
  <c r="J11" i="75"/>
  <c r="I11" i="75"/>
  <c r="H11" i="75"/>
  <c r="G11" i="75"/>
  <c r="F11" i="75"/>
  <c r="E11" i="75"/>
  <c r="O7" i="75"/>
  <c r="N7" i="75"/>
  <c r="M7" i="75"/>
  <c r="L7" i="75"/>
  <c r="K7" i="75"/>
  <c r="J7" i="75"/>
  <c r="I7" i="75"/>
  <c r="H7" i="75"/>
  <c r="G7" i="75"/>
  <c r="F7" i="75"/>
  <c r="E7" i="75"/>
  <c r="N15" i="75" l="1"/>
  <c r="H28" i="75"/>
  <c r="P28" i="75"/>
  <c r="J15" i="75"/>
  <c r="E16" i="75"/>
  <c r="I16" i="75"/>
  <c r="M16" i="75"/>
  <c r="L53" i="75"/>
  <c r="L15" i="75" s="1"/>
  <c r="L16" i="75"/>
  <c r="E28" i="75"/>
  <c r="I28" i="75"/>
  <c r="M28" i="75"/>
  <c r="F53" i="75"/>
  <c r="F15" i="75" s="1"/>
  <c r="N53" i="75"/>
  <c r="G34" i="75"/>
  <c r="K34" i="75"/>
  <c r="O34" i="75"/>
  <c r="O15" i="75" s="1"/>
  <c r="G22" i="75"/>
  <c r="K22" i="75"/>
  <c r="O22" i="75"/>
  <c r="G28" i="75"/>
  <c r="K28" i="75"/>
  <c r="O28" i="75"/>
  <c r="G15" i="75"/>
  <c r="K15" i="75"/>
  <c r="G16" i="75"/>
  <c r="K16" i="75"/>
  <c r="O16" i="75"/>
  <c r="E34" i="75"/>
  <c r="E15" i="75" s="1"/>
  <c r="I34" i="75"/>
  <c r="I15" i="75" s="1"/>
  <c r="M34" i="75"/>
  <c r="M15" i="75" s="1"/>
  <c r="L43" i="74"/>
  <c r="K48" i="74" s="1"/>
  <c r="L42" i="74"/>
  <c r="K47" i="74" s="1"/>
  <c r="L41" i="74"/>
  <c r="L40" i="74"/>
  <c r="K45" i="74" s="1"/>
  <c r="J9" i="74"/>
  <c r="K43" i="74"/>
  <c r="K39" i="74"/>
  <c r="K36" i="74"/>
  <c r="K34" i="74"/>
  <c r="K32" i="74"/>
  <c r="K30" i="74"/>
  <c r="K27" i="74"/>
  <c r="K25" i="74"/>
  <c r="K24" i="74"/>
  <c r="K23" i="74"/>
  <c r="K16" i="74" s="1"/>
  <c r="K22" i="74"/>
  <c r="K21" i="74"/>
  <c r="K20" i="74"/>
  <c r="K19" i="74"/>
  <c r="K18" i="74"/>
  <c r="K17" i="74"/>
  <c r="K15" i="74"/>
  <c r="K14" i="74"/>
  <c r="K13" i="74"/>
  <c r="L39" i="74" l="1"/>
  <c r="K46" i="74"/>
  <c r="K44" i="74" s="1"/>
  <c r="K12" i="74"/>
  <c r="K11" i="74" s="1"/>
  <c r="L78" i="1" l="1"/>
  <c r="C78" i="1"/>
  <c r="O27" i="1" l="1"/>
  <c r="G269" i="1" l="1"/>
  <c r="F269" i="1"/>
  <c r="F268" i="1" s="1"/>
  <c r="E269" i="1" l="1"/>
  <c r="N269" i="1" s="1"/>
  <c r="C95" i="1"/>
  <c r="L95" i="1"/>
  <c r="J58" i="68" l="1"/>
  <c r="J95" i="68"/>
  <c r="J97" i="68"/>
  <c r="J93" i="68"/>
  <c r="J90" i="68"/>
  <c r="J89" i="68"/>
  <c r="J86" i="68"/>
  <c r="J69" i="68"/>
  <c r="J71" i="68"/>
  <c r="J67" i="68"/>
  <c r="J64" i="68"/>
  <c r="J60" i="68"/>
  <c r="J63" i="68"/>
  <c r="J146" i="68" l="1"/>
  <c r="J45" i="68" l="1"/>
  <c r="J46" i="68"/>
  <c r="J47" i="68"/>
  <c r="J48" i="68"/>
  <c r="J44" i="68" l="1"/>
  <c r="K173" i="68" l="1"/>
  <c r="K172" i="68"/>
  <c r="L168" i="68"/>
  <c r="K168" i="68"/>
  <c r="L167" i="68"/>
  <c r="K167" i="68"/>
  <c r="J167" i="68"/>
  <c r="L166" i="68"/>
  <c r="K166" i="68"/>
  <c r="J166" i="68"/>
  <c r="L164" i="68"/>
  <c r="J164" i="68"/>
  <c r="L163" i="68"/>
  <c r="L161" i="68"/>
  <c r="K161" i="68"/>
  <c r="L160" i="68"/>
  <c r="J160" i="68"/>
  <c r="L159" i="68"/>
  <c r="L157" i="68"/>
  <c r="T157" i="68" s="1"/>
  <c r="K157" i="68"/>
  <c r="J157" i="68"/>
  <c r="L156" i="68"/>
  <c r="K156" i="68"/>
  <c r="J156" i="68"/>
  <c r="L154" i="68"/>
  <c r="J154" i="68"/>
  <c r="L153" i="68"/>
  <c r="L151" i="68"/>
  <c r="K151" i="68"/>
  <c r="L150" i="68"/>
  <c r="J150" i="68"/>
  <c r="L149" i="68"/>
  <c r="L147" i="68"/>
  <c r="K147" i="68"/>
  <c r="J147" i="68"/>
  <c r="L146" i="68"/>
  <c r="K146" i="68"/>
  <c r="L143" i="68"/>
  <c r="J143" i="68"/>
  <c r="L142" i="68"/>
  <c r="J142" i="68"/>
  <c r="L141" i="68"/>
  <c r="J141" i="68"/>
  <c r="J140" i="68"/>
  <c r="L139" i="68"/>
  <c r="J139" i="68"/>
  <c r="L138" i="68"/>
  <c r="L137" i="68"/>
  <c r="L136" i="68"/>
  <c r="L134" i="68"/>
  <c r="K134" i="68"/>
  <c r="T133" i="68"/>
  <c r="L131" i="68"/>
  <c r="L132" i="68" s="1"/>
  <c r="K131" i="68"/>
  <c r="K132" i="68" s="1"/>
  <c r="T128" i="68"/>
  <c r="T126" i="68"/>
  <c r="L124" i="68"/>
  <c r="L125" i="68" s="1"/>
  <c r="T125" i="68" s="1"/>
  <c r="K124" i="68"/>
  <c r="K125" i="68" s="1"/>
  <c r="L123" i="68"/>
  <c r="T123" i="68" s="1"/>
  <c r="K123" i="68"/>
  <c r="L122" i="68"/>
  <c r="T122" i="68" s="1"/>
  <c r="K122" i="68"/>
  <c r="L118" i="68"/>
  <c r="K118" i="68"/>
  <c r="L117" i="68"/>
  <c r="K117" i="68"/>
  <c r="L95" i="68"/>
  <c r="L162" i="68" s="1"/>
  <c r="K94" i="68"/>
  <c r="K93" i="68"/>
  <c r="L91" i="68"/>
  <c r="L158" i="68" s="1"/>
  <c r="K89" i="68"/>
  <c r="L87" i="68"/>
  <c r="L69" i="68"/>
  <c r="L152" i="68" s="1"/>
  <c r="J152" i="68"/>
  <c r="K68" i="68"/>
  <c r="K67" i="68"/>
  <c r="K150" i="68" s="1"/>
  <c r="L65" i="68"/>
  <c r="L148" i="68" s="1"/>
  <c r="K63" i="68"/>
  <c r="L61" i="68"/>
  <c r="J84" i="68"/>
  <c r="B55" i="68"/>
  <c r="B81" i="68" s="1"/>
  <c r="B105" i="68" s="1"/>
  <c r="K48" i="68"/>
  <c r="K143" i="68" s="1"/>
  <c r="K47" i="68"/>
  <c r="K142" i="68" s="1"/>
  <c r="T142" i="68" s="1"/>
  <c r="K46" i="68"/>
  <c r="K141" i="68" s="1"/>
  <c r="L45" i="68"/>
  <c r="L140" i="68" s="1"/>
  <c r="K171" i="68"/>
  <c r="K44" i="68"/>
  <c r="L40" i="68"/>
  <c r="L135" i="68" s="1"/>
  <c r="T124" i="68" l="1"/>
  <c r="T156" i="68"/>
  <c r="T167" i="68"/>
  <c r="T166" i="68"/>
  <c r="K119" i="68"/>
  <c r="T134" i="68"/>
  <c r="T146" i="68"/>
  <c r="T161" i="68"/>
  <c r="T168" i="68"/>
  <c r="K120" i="68"/>
  <c r="K121" i="68" s="1"/>
  <c r="T118" i="68"/>
  <c r="T147" i="68"/>
  <c r="T151" i="68"/>
  <c r="T141" i="68"/>
  <c r="L120" i="68"/>
  <c r="T150" i="68"/>
  <c r="K45" i="68"/>
  <c r="K140" i="68" s="1"/>
  <c r="T140" i="68" s="1"/>
  <c r="L121" i="68"/>
  <c r="T121" i="68" s="1"/>
  <c r="T120" i="68"/>
  <c r="T132" i="68"/>
  <c r="J115" i="68"/>
  <c r="J108" i="68"/>
  <c r="K160" i="68"/>
  <c r="T160" i="68" s="1"/>
  <c r="K139" i="68"/>
  <c r="T139" i="68" s="1"/>
  <c r="T131" i="68"/>
  <c r="L119" i="68"/>
  <c r="T117" i="68"/>
  <c r="A1" i="73" l="1"/>
  <c r="D9" i="73"/>
  <c r="D11" i="73"/>
  <c r="D12" i="73"/>
  <c r="D13" i="73"/>
  <c r="D8" i="73"/>
  <c r="G7" i="73" l="1"/>
  <c r="C7" i="73"/>
  <c r="D7" i="73" l="1"/>
  <c r="C8" i="72" l="1"/>
  <c r="B5" i="71" l="1"/>
  <c r="C31" i="72"/>
  <c r="C32" i="72" s="1"/>
  <c r="I9" i="72"/>
  <c r="I37" i="72" s="1"/>
  <c r="H9" i="72"/>
  <c r="G9" i="72"/>
  <c r="F9" i="72"/>
  <c r="J96" i="68" s="1"/>
  <c r="J163" i="68" s="1"/>
  <c r="E9" i="72"/>
  <c r="D9" i="72"/>
  <c r="C9" i="72"/>
  <c r="B9" i="72"/>
  <c r="I8" i="72"/>
  <c r="H8" i="72"/>
  <c r="H31" i="72" s="1"/>
  <c r="H32" i="72" s="1"/>
  <c r="G8" i="72"/>
  <c r="G31" i="72" s="1"/>
  <c r="G32" i="72" s="1"/>
  <c r="F8" i="72"/>
  <c r="E8" i="72"/>
  <c r="D8" i="72"/>
  <c r="D31" i="72" s="1"/>
  <c r="D32" i="72" s="1"/>
  <c r="B8" i="72"/>
  <c r="F12" i="71"/>
  <c r="J92" i="68" s="1"/>
  <c r="E12" i="71"/>
  <c r="J88" i="68" s="1"/>
  <c r="D12" i="71"/>
  <c r="J66" i="68" s="1"/>
  <c r="C12" i="71"/>
  <c r="J62" i="68" s="1"/>
  <c r="J91" i="68" l="1"/>
  <c r="J158" i="68" s="1"/>
  <c r="J159" i="68"/>
  <c r="K92" i="68"/>
  <c r="F31" i="72"/>
  <c r="F32" i="72" s="1"/>
  <c r="J70" i="68"/>
  <c r="J61" i="68"/>
  <c r="K62" i="68"/>
  <c r="K61" i="68" s="1"/>
  <c r="J65" i="68"/>
  <c r="J148" i="68" s="1"/>
  <c r="J149" i="68"/>
  <c r="K66" i="68"/>
  <c r="J87" i="68"/>
  <c r="K88" i="68"/>
  <c r="K87" i="68" s="1"/>
  <c r="I31" i="72"/>
  <c r="I32" i="72" s="1"/>
  <c r="I36" i="72"/>
  <c r="E31" i="72"/>
  <c r="E32" i="72" s="1"/>
  <c r="K65" i="68" l="1"/>
  <c r="K148" i="68" s="1"/>
  <c r="T148" i="68" s="1"/>
  <c r="K149" i="68"/>
  <c r="T149" i="68" s="1"/>
  <c r="J68" i="68"/>
  <c r="K70" i="68" s="1"/>
  <c r="J153" i="68"/>
  <c r="K159" i="68"/>
  <c r="T159" i="68" s="1"/>
  <c r="K91" i="68"/>
  <c r="K158" i="68" s="1"/>
  <c r="T158" i="68" s="1"/>
  <c r="K153" i="68" l="1"/>
  <c r="T153" i="68" s="1"/>
  <c r="J151" i="68"/>
  <c r="K71" i="68"/>
  <c r="K154" i="68" s="1"/>
  <c r="T154" i="68" s="1"/>
  <c r="L178" i="1"/>
  <c r="K69" i="68" l="1"/>
  <c r="K152" i="68" s="1"/>
  <c r="T152" i="68" s="1"/>
  <c r="G341" i="1" l="1"/>
  <c r="E46" i="106" s="1"/>
  <c r="G340" i="1"/>
  <c r="E45" i="106" s="1"/>
  <c r="G338" i="1"/>
  <c r="E57" i="106" s="1"/>
  <c r="G337" i="1"/>
  <c r="E56" i="106" s="1"/>
  <c r="G319" i="1"/>
  <c r="E31" i="106" s="1"/>
  <c r="G318" i="1"/>
  <c r="E30" i="106" s="1"/>
  <c r="G317" i="1"/>
  <c r="E29" i="106" s="1"/>
  <c r="G38" i="65" l="1"/>
  <c r="F38" i="65"/>
  <c r="C38" i="65" s="1"/>
  <c r="G37" i="65"/>
  <c r="F37" i="65"/>
  <c r="C37" i="65" s="1"/>
  <c r="F27" i="65"/>
  <c r="F25" i="65" s="1"/>
  <c r="G27" i="65"/>
  <c r="G25" i="65" s="1"/>
  <c r="E27" i="65"/>
  <c r="IX27" i="65"/>
  <c r="IX37" i="65" s="1"/>
  <c r="IY21" i="65"/>
  <c r="IZ21" i="65" s="1"/>
  <c r="A16" i="65"/>
  <c r="B908" i="65"/>
  <c r="B907" i="65"/>
  <c r="B936" i="65" s="1"/>
  <c r="B904" i="65"/>
  <c r="B933" i="65" s="1"/>
  <c r="B903" i="65"/>
  <c r="B932" i="65" s="1"/>
  <c r="B902" i="65"/>
  <c r="Y400" i="65"/>
  <c r="W400" i="65"/>
  <c r="U400" i="65"/>
  <c r="S400" i="65"/>
  <c r="R400" i="65"/>
  <c r="P400" i="65"/>
  <c r="N400" i="65"/>
  <c r="L400" i="65"/>
  <c r="J400" i="65"/>
  <c r="H400" i="65"/>
  <c r="F400" i="65"/>
  <c r="D400" i="65"/>
  <c r="Y399" i="65"/>
  <c r="W399" i="65"/>
  <c r="U399" i="65"/>
  <c r="S399" i="65"/>
  <c r="R399" i="65"/>
  <c r="P399" i="65"/>
  <c r="N399" i="65"/>
  <c r="L399" i="65"/>
  <c r="J399" i="65"/>
  <c r="H399" i="65"/>
  <c r="F399" i="65"/>
  <c r="D399" i="65"/>
  <c r="Y398" i="65"/>
  <c r="W398" i="65"/>
  <c r="U398" i="65"/>
  <c r="S398" i="65"/>
  <c r="R398" i="65"/>
  <c r="P398" i="65"/>
  <c r="N398" i="65"/>
  <c r="L398" i="65"/>
  <c r="J398" i="65"/>
  <c r="H398" i="65"/>
  <c r="F398" i="65"/>
  <c r="D398" i="65"/>
  <c r="Y397" i="65"/>
  <c r="W397" i="65"/>
  <c r="U397" i="65"/>
  <c r="S397" i="65"/>
  <c r="R397" i="65"/>
  <c r="P397" i="65"/>
  <c r="N397" i="65"/>
  <c r="L397" i="65"/>
  <c r="J397" i="65"/>
  <c r="H397" i="65"/>
  <c r="F397" i="65"/>
  <c r="D397" i="65"/>
  <c r="X396" i="65"/>
  <c r="V396" i="65"/>
  <c r="T396" i="65"/>
  <c r="Q396" i="65"/>
  <c r="O396" i="65"/>
  <c r="M396" i="65"/>
  <c r="R396" i="65" s="1"/>
  <c r="K396" i="65"/>
  <c r="I396" i="65"/>
  <c r="G396" i="65"/>
  <c r="L396" i="65" s="1"/>
  <c r="E396" i="65"/>
  <c r="C396" i="65"/>
  <c r="B396" i="65"/>
  <c r="Y395" i="65"/>
  <c r="W395" i="65"/>
  <c r="U395" i="65"/>
  <c r="S395" i="65"/>
  <c r="R395" i="65"/>
  <c r="P395" i="65"/>
  <c r="N395" i="65"/>
  <c r="L395" i="65"/>
  <c r="J395" i="65"/>
  <c r="H395" i="65"/>
  <c r="F395" i="65"/>
  <c r="D395" i="65"/>
  <c r="Y394" i="65"/>
  <c r="W394" i="65"/>
  <c r="U394" i="65"/>
  <c r="S394" i="65"/>
  <c r="R394" i="65"/>
  <c r="P394" i="65"/>
  <c r="N394" i="65"/>
  <c r="L394" i="65"/>
  <c r="J394" i="65"/>
  <c r="H394" i="65"/>
  <c r="F394" i="65"/>
  <c r="D394" i="65"/>
  <c r="Y393" i="65"/>
  <c r="W393" i="65"/>
  <c r="U393" i="65"/>
  <c r="S393" i="65"/>
  <c r="R393" i="65"/>
  <c r="P393" i="65"/>
  <c r="N393" i="65"/>
  <c r="L393" i="65"/>
  <c r="J393" i="65"/>
  <c r="H393" i="65"/>
  <c r="F393" i="65"/>
  <c r="D393" i="65"/>
  <c r="Y392" i="65"/>
  <c r="W392" i="65"/>
  <c r="U392" i="65"/>
  <c r="S392" i="65"/>
  <c r="R392" i="65"/>
  <c r="P392" i="65"/>
  <c r="N392" i="65"/>
  <c r="L392" i="65"/>
  <c r="J392" i="65"/>
  <c r="H392" i="65"/>
  <c r="F392" i="65"/>
  <c r="D392" i="65"/>
  <c r="X391" i="65"/>
  <c r="V391" i="65"/>
  <c r="T391" i="65"/>
  <c r="Q391" i="65"/>
  <c r="O391" i="65"/>
  <c r="M391" i="65"/>
  <c r="K391" i="65"/>
  <c r="I391" i="65"/>
  <c r="G391" i="65"/>
  <c r="L391" i="65" s="1"/>
  <c r="E391" i="65"/>
  <c r="C391" i="65"/>
  <c r="B391" i="65"/>
  <c r="G388" i="65"/>
  <c r="F388" i="65"/>
  <c r="E388" i="65"/>
  <c r="D388" i="65"/>
  <c r="G386" i="65"/>
  <c r="F386" i="65"/>
  <c r="E386" i="65"/>
  <c r="D386" i="65"/>
  <c r="G385" i="65"/>
  <c r="F385" i="65"/>
  <c r="E385" i="65"/>
  <c r="D385" i="65"/>
  <c r="L384" i="65"/>
  <c r="E384" i="65" s="1"/>
  <c r="K384" i="65"/>
  <c r="J384" i="65"/>
  <c r="I384" i="65"/>
  <c r="G384" i="65"/>
  <c r="F384" i="65"/>
  <c r="G383" i="65"/>
  <c r="F383" i="65"/>
  <c r="E383" i="65"/>
  <c r="D383" i="65"/>
  <c r="G381" i="65"/>
  <c r="F381" i="65"/>
  <c r="E381" i="65"/>
  <c r="D381" i="65"/>
  <c r="K380" i="65"/>
  <c r="J380" i="65"/>
  <c r="I380" i="65"/>
  <c r="K373" i="65"/>
  <c r="J373" i="65"/>
  <c r="I373" i="65"/>
  <c r="G372" i="65"/>
  <c r="F372" i="65"/>
  <c r="E372" i="65"/>
  <c r="D372" i="65"/>
  <c r="G371" i="65"/>
  <c r="F371" i="65"/>
  <c r="E371" i="65"/>
  <c r="D371" i="65"/>
  <c r="L370" i="65"/>
  <c r="F370" i="65" s="1"/>
  <c r="K370" i="65"/>
  <c r="J370" i="65"/>
  <c r="I370" i="65"/>
  <c r="G370" i="65"/>
  <c r="G369" i="65"/>
  <c r="F369" i="65"/>
  <c r="E369" i="65"/>
  <c r="D369" i="65"/>
  <c r="J368" i="65"/>
  <c r="J366" i="65" s="1"/>
  <c r="G367" i="65"/>
  <c r="F367" i="65"/>
  <c r="E367" i="65"/>
  <c r="D367" i="65"/>
  <c r="K366" i="65"/>
  <c r="I366" i="65"/>
  <c r="J365" i="65"/>
  <c r="J364" i="65" s="1"/>
  <c r="K364" i="65"/>
  <c r="I364" i="65"/>
  <c r="Q322" i="65"/>
  <c r="P322" i="65"/>
  <c r="O322" i="65"/>
  <c r="Q321" i="65"/>
  <c r="P321" i="65"/>
  <c r="O321" i="65"/>
  <c r="Q316" i="65"/>
  <c r="P316" i="65"/>
  <c r="O316" i="65"/>
  <c r="M316" i="65" s="1"/>
  <c r="Q315" i="65"/>
  <c r="P315" i="65"/>
  <c r="O315" i="65"/>
  <c r="M315" i="65" s="1"/>
  <c r="Q314" i="65"/>
  <c r="P314" i="65"/>
  <c r="O314" i="65"/>
  <c r="Q312" i="65"/>
  <c r="P312" i="65"/>
  <c r="O312" i="65"/>
  <c r="Q306" i="65"/>
  <c r="P306" i="65"/>
  <c r="O306" i="65"/>
  <c r="M306" i="65" s="1"/>
  <c r="Q305" i="65"/>
  <c r="P305" i="65"/>
  <c r="O305" i="65"/>
  <c r="M305" i="65" s="1"/>
  <c r="Q304" i="65"/>
  <c r="P304" i="65"/>
  <c r="O304" i="65"/>
  <c r="Q302" i="65"/>
  <c r="P302" i="65"/>
  <c r="O302" i="65"/>
  <c r="Q301" i="65"/>
  <c r="P301" i="65"/>
  <c r="O301" i="65"/>
  <c r="M301" i="65" s="1"/>
  <c r="M300" i="65"/>
  <c r="Q289" i="65"/>
  <c r="P289" i="65"/>
  <c r="O289" i="65"/>
  <c r="Q288" i="65"/>
  <c r="P288" i="65"/>
  <c r="O288" i="65"/>
  <c r="Q287" i="65"/>
  <c r="P287" i="65"/>
  <c r="O287" i="65"/>
  <c r="Q286" i="65"/>
  <c r="P286" i="65"/>
  <c r="M286" i="65" s="1"/>
  <c r="O286" i="65"/>
  <c r="Q285" i="65"/>
  <c r="P285" i="65"/>
  <c r="O285" i="65"/>
  <c r="Q284" i="65"/>
  <c r="P284" i="65"/>
  <c r="O284" i="65"/>
  <c r="Q283" i="65"/>
  <c r="P283" i="65"/>
  <c r="O283" i="65"/>
  <c r="Q282" i="65"/>
  <c r="P282" i="65"/>
  <c r="M282" i="65" s="1"/>
  <c r="O282" i="65"/>
  <c r="Q280" i="65"/>
  <c r="P280" i="65"/>
  <c r="O280" i="65"/>
  <c r="Q279" i="65"/>
  <c r="P279" i="65"/>
  <c r="O279" i="65"/>
  <c r="Q277" i="65"/>
  <c r="P277" i="65"/>
  <c r="O277" i="65"/>
  <c r="N277" i="65"/>
  <c r="Q276" i="65"/>
  <c r="P276" i="65"/>
  <c r="O276" i="65"/>
  <c r="N276" i="65"/>
  <c r="M276" i="65"/>
  <c r="Q275" i="65"/>
  <c r="P275" i="65"/>
  <c r="O275" i="65"/>
  <c r="N275" i="65"/>
  <c r="M275" i="65" s="1"/>
  <c r="H233" i="65"/>
  <c r="C233" i="65"/>
  <c r="H232" i="65"/>
  <c r="C232" i="65"/>
  <c r="H231" i="65"/>
  <c r="C231" i="65"/>
  <c r="H230" i="65"/>
  <c r="C230" i="65"/>
  <c r="K214" i="65"/>
  <c r="H214" i="65" s="1"/>
  <c r="F214" i="65"/>
  <c r="F213" i="65" s="1"/>
  <c r="C214" i="65"/>
  <c r="O214" i="65" s="1"/>
  <c r="K213" i="65"/>
  <c r="H213" i="65" s="1"/>
  <c r="O195" i="65"/>
  <c r="K195" i="65"/>
  <c r="H195" i="65" s="1"/>
  <c r="C195" i="65"/>
  <c r="P195" i="65" s="1"/>
  <c r="K194" i="65"/>
  <c r="H194" i="65" s="1"/>
  <c r="F194" i="65"/>
  <c r="F193" i="65" s="1"/>
  <c r="H192" i="65"/>
  <c r="H191" i="65"/>
  <c r="C191" i="65"/>
  <c r="C190" i="65"/>
  <c r="N190" i="65" s="1"/>
  <c r="P189" i="65"/>
  <c r="N189" i="65"/>
  <c r="C189" i="65"/>
  <c r="O189" i="65" s="1"/>
  <c r="F188" i="65"/>
  <c r="H151" i="65"/>
  <c r="C151" i="65"/>
  <c r="H150" i="65"/>
  <c r="C150" i="65"/>
  <c r="H149" i="65"/>
  <c r="C149" i="65"/>
  <c r="H148" i="65"/>
  <c r="C148" i="65"/>
  <c r="H147" i="65"/>
  <c r="C147" i="65"/>
  <c r="L146" i="65"/>
  <c r="K146" i="65"/>
  <c r="H146" i="65" s="1"/>
  <c r="G146" i="65"/>
  <c r="C146" i="65" s="1"/>
  <c r="F146" i="65"/>
  <c r="H145" i="65"/>
  <c r="C145" i="65"/>
  <c r="L144" i="65"/>
  <c r="F144" i="65"/>
  <c r="H143" i="65"/>
  <c r="C143" i="65"/>
  <c r="H142" i="65"/>
  <c r="G142" i="65"/>
  <c r="C142" i="65" s="1"/>
  <c r="L141" i="65"/>
  <c r="H141" i="65" s="1"/>
  <c r="H140" i="65"/>
  <c r="C140" i="65"/>
  <c r="H138" i="65"/>
  <c r="C138" i="65"/>
  <c r="H137" i="65"/>
  <c r="C137" i="65"/>
  <c r="L136" i="65"/>
  <c r="H136" i="65" s="1"/>
  <c r="G136" i="65"/>
  <c r="C136" i="65" s="1"/>
  <c r="H135" i="65"/>
  <c r="C135" i="65"/>
  <c r="L134" i="65"/>
  <c r="H134" i="65" s="1"/>
  <c r="F132" i="65"/>
  <c r="J115" i="65"/>
  <c r="E115" i="65"/>
  <c r="H113" i="65"/>
  <c r="C113" i="65"/>
  <c r="H100" i="65"/>
  <c r="C100" i="65"/>
  <c r="P100" i="65" s="1"/>
  <c r="K99" i="65"/>
  <c r="H99" i="65" s="1"/>
  <c r="F99" i="65"/>
  <c r="C44" i="65"/>
  <c r="C43" i="65"/>
  <c r="Q33" i="65"/>
  <c r="H33" i="65"/>
  <c r="C33" i="65"/>
  <c r="P33" i="65" s="1"/>
  <c r="H32" i="65"/>
  <c r="C32" i="65"/>
  <c r="Q32" i="65" s="1"/>
  <c r="H31" i="65"/>
  <c r="C31" i="65"/>
  <c r="O31" i="65" s="1"/>
  <c r="L30" i="65"/>
  <c r="K30" i="65"/>
  <c r="J30" i="65"/>
  <c r="H30" i="65" s="1"/>
  <c r="G30" i="65"/>
  <c r="F30" i="65"/>
  <c r="E30" i="65"/>
  <c r="C30" i="65" s="1"/>
  <c r="H26" i="65"/>
  <c r="C26" i="65"/>
  <c r="Q26" i="65" s="1"/>
  <c r="H23" i="65"/>
  <c r="C23" i="65"/>
  <c r="P23" i="65" s="1"/>
  <c r="H22" i="65"/>
  <c r="C22" i="65"/>
  <c r="Q22" i="65" s="1"/>
  <c r="H19" i="65"/>
  <c r="C19" i="65"/>
  <c r="E217" i="106" l="1"/>
  <c r="Q195" i="65"/>
  <c r="M280" i="65"/>
  <c r="M285" i="65"/>
  <c r="M289" i="65"/>
  <c r="R391" i="65"/>
  <c r="O32" i="65"/>
  <c r="G144" i="65"/>
  <c r="C144" i="65" s="1"/>
  <c r="O190" i="65"/>
  <c r="C194" i="65"/>
  <c r="M279" i="65"/>
  <c r="M284" i="65"/>
  <c r="M288" i="65"/>
  <c r="M304" i="65"/>
  <c r="M314" i="65"/>
  <c r="D384" i="65"/>
  <c r="N391" i="65"/>
  <c r="N396" i="65"/>
  <c r="J27" i="65"/>
  <c r="J25" i="65" s="1"/>
  <c r="M195" i="65"/>
  <c r="G141" i="65"/>
  <c r="K144" i="65"/>
  <c r="M277" i="65"/>
  <c r="M283" i="65"/>
  <c r="M287" i="65"/>
  <c r="M302" i="65"/>
  <c r="M312" i="65"/>
  <c r="S391" i="65"/>
  <c r="Y391" i="65"/>
  <c r="W396" i="65"/>
  <c r="Y396" i="65"/>
  <c r="F97" i="65"/>
  <c r="G36" i="65"/>
  <c r="G34" i="65" s="1"/>
  <c r="P213" i="65"/>
  <c r="F234" i="65"/>
  <c r="C193" i="65"/>
  <c r="P193" i="65" s="1"/>
  <c r="IY37" i="65"/>
  <c r="K37" i="65" s="1"/>
  <c r="IX38" i="65"/>
  <c r="P214" i="65"/>
  <c r="O22" i="65"/>
  <c r="O26" i="65"/>
  <c r="Q31" i="65"/>
  <c r="P32" i="65"/>
  <c r="G35" i="65"/>
  <c r="C99" i="65"/>
  <c r="Q189" i="65"/>
  <c r="P190" i="65"/>
  <c r="D370" i="65"/>
  <c r="D391" i="65"/>
  <c r="H391" i="65"/>
  <c r="P391" i="65"/>
  <c r="D396" i="65"/>
  <c r="H396" i="65"/>
  <c r="P396" i="65"/>
  <c r="P31" i="65"/>
  <c r="W391" i="65"/>
  <c r="S396" i="65"/>
  <c r="P22" i="65"/>
  <c r="O23" i="65"/>
  <c r="P26" i="65"/>
  <c r="O33" i="65"/>
  <c r="M33" i="65" s="1"/>
  <c r="O100" i="65"/>
  <c r="G134" i="65"/>
  <c r="L139" i="65"/>
  <c r="M189" i="65"/>
  <c r="Q190" i="65"/>
  <c r="K193" i="65"/>
  <c r="K234" i="65" s="1"/>
  <c r="E370" i="65"/>
  <c r="U391" i="65"/>
  <c r="U396" i="65"/>
  <c r="Q23" i="65"/>
  <c r="Q100" i="65"/>
  <c r="C188" i="65"/>
  <c r="P188" i="65" s="1"/>
  <c r="C213" i="65"/>
  <c r="O213" i="65" s="1"/>
  <c r="F391" i="65"/>
  <c r="J391" i="65"/>
  <c r="F396" i="65"/>
  <c r="J396" i="65"/>
  <c r="O38" i="65"/>
  <c r="P38" i="65"/>
  <c r="Q38" i="65"/>
  <c r="Q37" i="65"/>
  <c r="O37" i="65"/>
  <c r="P37" i="65"/>
  <c r="F35" i="65"/>
  <c r="C35" i="65" s="1"/>
  <c r="F36" i="65"/>
  <c r="C27" i="65"/>
  <c r="E25" i="65"/>
  <c r="IY27" i="65"/>
  <c r="K235" i="65"/>
  <c r="H234" i="65"/>
  <c r="H193" i="65"/>
  <c r="Q213" i="65"/>
  <c r="Q214" i="65"/>
  <c r="M214" i="65" s="1"/>
  <c r="N146" i="1"/>
  <c r="N147" i="1"/>
  <c r="P102" i="1"/>
  <c r="L117" i="1"/>
  <c r="C117" i="1"/>
  <c r="E146" i="1"/>
  <c r="L189" i="1"/>
  <c r="C189" i="1"/>
  <c r="L188" i="1"/>
  <c r="C188" i="1"/>
  <c r="L187" i="1"/>
  <c r="C187" i="1"/>
  <c r="M32" i="65" l="1"/>
  <c r="K97" i="65"/>
  <c r="IZ37" i="65"/>
  <c r="L37" i="65" s="1"/>
  <c r="H37" i="65" s="1"/>
  <c r="C141" i="65"/>
  <c r="G139" i="65"/>
  <c r="C139" i="65" s="1"/>
  <c r="M190" i="65"/>
  <c r="H144" i="65"/>
  <c r="K132" i="65"/>
  <c r="M23" i="65"/>
  <c r="M31" i="65"/>
  <c r="L97" i="65"/>
  <c r="Q35" i="65"/>
  <c r="M100" i="65"/>
  <c r="M22" i="65"/>
  <c r="M213" i="65"/>
  <c r="L133" i="65"/>
  <c r="H139" i="65"/>
  <c r="C234" i="65"/>
  <c r="O193" i="65"/>
  <c r="M193" i="65" s="1"/>
  <c r="Q193" i="65"/>
  <c r="F192" i="65"/>
  <c r="O188" i="65"/>
  <c r="Q188" i="65"/>
  <c r="N188" i="65"/>
  <c r="C134" i="65"/>
  <c r="Q99" i="65"/>
  <c r="O99" i="65"/>
  <c r="M26" i="65"/>
  <c r="IY38" i="65"/>
  <c r="IX40" i="65"/>
  <c r="P99" i="65"/>
  <c r="M38" i="65"/>
  <c r="P35" i="65"/>
  <c r="O35" i="65"/>
  <c r="C36" i="65"/>
  <c r="F34" i="65"/>
  <c r="M37" i="65"/>
  <c r="P27" i="65"/>
  <c r="Q27" i="65"/>
  <c r="O27" i="65"/>
  <c r="C25" i="65"/>
  <c r="IZ27" i="65"/>
  <c r="L27" i="65" s="1"/>
  <c r="K27" i="65"/>
  <c r="H235" i="65"/>
  <c r="K189" i="65"/>
  <c r="C184" i="1"/>
  <c r="F145" i="1"/>
  <c r="L116" i="1"/>
  <c r="L115" i="1"/>
  <c r="L186" i="1"/>
  <c r="C186" i="1"/>
  <c r="L185" i="1"/>
  <c r="C185" i="1"/>
  <c r="L184" i="1"/>
  <c r="L183" i="1"/>
  <c r="C183" i="1"/>
  <c r="L182" i="1"/>
  <c r="C182" i="1"/>
  <c r="L181" i="1"/>
  <c r="C181" i="1"/>
  <c r="L180" i="1"/>
  <c r="C180" i="1"/>
  <c r="L179" i="1"/>
  <c r="C179" i="1"/>
  <c r="C178" i="1"/>
  <c r="C116" i="1"/>
  <c r="C115" i="1"/>
  <c r="L114" i="1"/>
  <c r="C114" i="1"/>
  <c r="H97" i="65" l="1"/>
  <c r="G133" i="65"/>
  <c r="IY40" i="65"/>
  <c r="IZ40" i="65" s="1"/>
  <c r="IX42" i="65"/>
  <c r="IY42" i="65" s="1"/>
  <c r="IZ42" i="65" s="1"/>
  <c r="H133" i="65"/>
  <c r="L132" i="65"/>
  <c r="H132" i="65" s="1"/>
  <c r="K38" i="65"/>
  <c r="K36" i="65" s="1"/>
  <c r="IZ38" i="65"/>
  <c r="L38" i="65" s="1"/>
  <c r="Q234" i="65"/>
  <c r="O234" i="65"/>
  <c r="G132" i="65"/>
  <c r="C132" i="65" s="1"/>
  <c r="C156" i="65" s="1"/>
  <c r="C133" i="65"/>
  <c r="F178" i="65"/>
  <c r="C192" i="65"/>
  <c r="P192" i="65" s="1"/>
  <c r="F235" i="65"/>
  <c r="P234" i="65"/>
  <c r="M99" i="65"/>
  <c r="M188" i="65"/>
  <c r="G97" i="65"/>
  <c r="P36" i="65"/>
  <c r="Q36" i="65"/>
  <c r="O36" i="65"/>
  <c r="C34" i="65"/>
  <c r="M35" i="65"/>
  <c r="M27" i="65"/>
  <c r="L25" i="65"/>
  <c r="K25" i="65"/>
  <c r="H27" i="65"/>
  <c r="H189" i="65"/>
  <c r="K190" i="65"/>
  <c r="H190" i="65" s="1"/>
  <c r="K188" i="65"/>
  <c r="H188" i="65" s="1"/>
  <c r="H238" i="65" s="1"/>
  <c r="G98" i="65"/>
  <c r="O34" i="2"/>
  <c r="P27" i="2"/>
  <c r="O27" i="2"/>
  <c r="L27" i="2" l="1"/>
  <c r="P34" i="2"/>
  <c r="O192" i="65"/>
  <c r="Q192" i="65"/>
  <c r="C155" i="65"/>
  <c r="D153" i="65"/>
  <c r="H38" i="65"/>
  <c r="L36" i="65"/>
  <c r="H36" i="65" s="1"/>
  <c r="C235" i="65"/>
  <c r="P235" i="65"/>
  <c r="K35" i="65"/>
  <c r="K34" i="65"/>
  <c r="C97" i="65"/>
  <c r="M36" i="65"/>
  <c r="H25" i="65"/>
  <c r="G115" i="65"/>
  <c r="F98" i="65"/>
  <c r="G96" i="65"/>
  <c r="C238" i="65" l="1"/>
  <c r="O235" i="65"/>
  <c r="Q235" i="65"/>
  <c r="L35" i="65"/>
  <c r="L34" i="65"/>
  <c r="H34" i="65" s="1"/>
  <c r="M192" i="65"/>
  <c r="L34" i="2"/>
  <c r="P97" i="65"/>
  <c r="O97" i="65"/>
  <c r="Q97" i="65"/>
  <c r="Q45" i="65"/>
  <c r="F120" i="65"/>
  <c r="G120" i="65"/>
  <c r="C98" i="65"/>
  <c r="P98" i="65" s="1"/>
  <c r="F96" i="65"/>
  <c r="F115" i="65"/>
  <c r="L110" i="1"/>
  <c r="C110" i="1"/>
  <c r="C111" i="1"/>
  <c r="L168" i="1"/>
  <c r="C168" i="1"/>
  <c r="L167" i="1"/>
  <c r="C167" i="1"/>
  <c r="L166" i="1"/>
  <c r="C166" i="1"/>
  <c r="M97" i="65" l="1"/>
  <c r="L368" i="65"/>
  <c r="O45" i="65"/>
  <c r="C109" i="65"/>
  <c r="C110" i="65"/>
  <c r="O98" i="65"/>
  <c r="Q98" i="65"/>
  <c r="C96" i="65"/>
  <c r="P45" i="65"/>
  <c r="AH4" i="63"/>
  <c r="AH761" i="63"/>
  <c r="AH762" i="63" s="1"/>
  <c r="BQ1352" i="63"/>
  <c r="BN1352" i="63"/>
  <c r="BK1352" i="63"/>
  <c r="BH1352" i="63"/>
  <c r="BE1352" i="63"/>
  <c r="BB1352" i="63"/>
  <c r="AY1352" i="63"/>
  <c r="AV1352" i="63"/>
  <c r="AS1352" i="63"/>
  <c r="AP1352" i="63"/>
  <c r="AM1352" i="63"/>
  <c r="AJ1352" i="63"/>
  <c r="AE1352" i="63"/>
  <c r="Y1352" i="63"/>
  <c r="U1352" i="63"/>
  <c r="AA1352" i="63" s="1"/>
  <c r="T1352" i="63"/>
  <c r="S1352" i="63"/>
  <c r="P1352" i="63"/>
  <c r="L1352" i="63"/>
  <c r="K1352" i="63"/>
  <c r="I1352" i="63"/>
  <c r="BQ1351" i="63"/>
  <c r="BN1351" i="63"/>
  <c r="BK1351" i="63"/>
  <c r="BH1351" i="63"/>
  <c r="BE1351" i="63"/>
  <c r="BB1351" i="63"/>
  <c r="AY1351" i="63"/>
  <c r="AV1351" i="63"/>
  <c r="AS1351" i="63"/>
  <c r="AP1351" i="63"/>
  <c r="AM1351" i="63"/>
  <c r="AJ1351" i="63"/>
  <c r="AE1351" i="63"/>
  <c r="Y1351" i="63"/>
  <c r="U1351" i="63"/>
  <c r="T1351" i="63"/>
  <c r="Z1351" i="63" s="1"/>
  <c r="S1351" i="63"/>
  <c r="P1351" i="63"/>
  <c r="L1351" i="63"/>
  <c r="K1351" i="63"/>
  <c r="I1351" i="63"/>
  <c r="BP1350" i="63"/>
  <c r="BO1350" i="63"/>
  <c r="BM1350" i="63"/>
  <c r="BM1332" i="63" s="1"/>
  <c r="BL1350" i="63"/>
  <c r="BJ1350" i="63"/>
  <c r="BI1350" i="63"/>
  <c r="BK1350" i="63" s="1"/>
  <c r="BH1350" i="63"/>
  <c r="BG1350" i="63"/>
  <c r="BF1350" i="63"/>
  <c r="BD1350" i="63"/>
  <c r="BC1350" i="63"/>
  <c r="BA1350" i="63"/>
  <c r="AZ1350" i="63"/>
  <c r="AX1350" i="63"/>
  <c r="AW1350" i="63"/>
  <c r="AU1350" i="63"/>
  <c r="AT1350" i="63"/>
  <c r="AR1350" i="63"/>
  <c r="AS1350" i="63" s="1"/>
  <c r="AQ1350" i="63"/>
  <c r="AO1350" i="63"/>
  <c r="AN1350" i="63"/>
  <c r="AL1350" i="63"/>
  <c r="AK1350" i="63"/>
  <c r="AI1350" i="63"/>
  <c r="AH1350" i="63"/>
  <c r="AD1350" i="63"/>
  <c r="AC1350" i="63"/>
  <c r="X1350" i="63"/>
  <c r="W1350" i="63"/>
  <c r="R1350" i="63"/>
  <c r="Q1350" i="63"/>
  <c r="O1350" i="63"/>
  <c r="N1350" i="63"/>
  <c r="H1350" i="63"/>
  <c r="G1350" i="63"/>
  <c r="I1350" i="63" s="1"/>
  <c r="BQ1349" i="63"/>
  <c r="BN1349" i="63"/>
  <c r="BK1349" i="63"/>
  <c r="BH1349" i="63"/>
  <c r="BE1349" i="63"/>
  <c r="BB1349" i="63"/>
  <c r="AY1349" i="63"/>
  <c r="AV1349" i="63"/>
  <c r="AS1349" i="63"/>
  <c r="AP1349" i="63"/>
  <c r="AM1349" i="63"/>
  <c r="AJ1349" i="63"/>
  <c r="AE1349" i="63"/>
  <c r="Y1349" i="63"/>
  <c r="U1349" i="63"/>
  <c r="T1349" i="63"/>
  <c r="Z1349" i="63" s="1"/>
  <c r="S1349" i="63"/>
  <c r="P1349" i="63"/>
  <c r="L1349" i="63"/>
  <c r="K1349" i="63"/>
  <c r="I1349" i="63"/>
  <c r="BQ1348" i="63"/>
  <c r="BN1348" i="63"/>
  <c r="BK1348" i="63"/>
  <c r="BH1348" i="63"/>
  <c r="BE1348" i="63"/>
  <c r="BB1348" i="63"/>
  <c r="AY1348" i="63"/>
  <c r="AV1348" i="63"/>
  <c r="AS1348" i="63"/>
  <c r="AP1348" i="63"/>
  <c r="AM1348" i="63"/>
  <c r="AJ1348" i="63"/>
  <c r="AE1348" i="63"/>
  <c r="Y1348" i="63"/>
  <c r="U1348" i="63"/>
  <c r="AA1348" i="63" s="1"/>
  <c r="T1348" i="63"/>
  <c r="Z1348" i="63" s="1"/>
  <c r="S1348" i="63"/>
  <c r="P1348" i="63"/>
  <c r="L1348" i="63"/>
  <c r="M1348" i="63" s="1"/>
  <c r="K1348" i="63"/>
  <c r="I1348" i="63"/>
  <c r="BQ1347" i="63"/>
  <c r="BN1347" i="63"/>
  <c r="BK1347" i="63"/>
  <c r="BH1347" i="63"/>
  <c r="BE1347" i="63"/>
  <c r="BB1347" i="63"/>
  <c r="AY1347" i="63"/>
  <c r="AV1347" i="63"/>
  <c r="AS1347" i="63"/>
  <c r="AP1347" i="63"/>
  <c r="AM1347" i="63"/>
  <c r="AJ1347" i="63"/>
  <c r="AE1347" i="63"/>
  <c r="Y1347" i="63"/>
  <c r="U1347" i="63"/>
  <c r="AA1347" i="63" s="1"/>
  <c r="T1347" i="63"/>
  <c r="Z1347" i="63" s="1"/>
  <c r="S1347" i="63"/>
  <c r="P1347" i="63"/>
  <c r="L1347" i="63"/>
  <c r="K1347" i="63"/>
  <c r="I1347" i="63"/>
  <c r="BP1346" i="63"/>
  <c r="BP1344" i="63" s="1"/>
  <c r="BO1346" i="63"/>
  <c r="BM1346" i="63"/>
  <c r="BL1346" i="63"/>
  <c r="BL1344" i="63" s="1"/>
  <c r="BJ1346" i="63"/>
  <c r="BI1346" i="63"/>
  <c r="BI1344" i="63" s="1"/>
  <c r="BG1346" i="63"/>
  <c r="BF1346" i="63"/>
  <c r="BF1344" i="63" s="1"/>
  <c r="BD1346" i="63"/>
  <c r="BC1346" i="63"/>
  <c r="BA1346" i="63"/>
  <c r="AZ1346" i="63"/>
  <c r="AZ1344" i="63" s="1"/>
  <c r="AX1346" i="63"/>
  <c r="AX1344" i="63" s="1"/>
  <c r="AW1346" i="63"/>
  <c r="AU1346" i="63"/>
  <c r="AT1346" i="63"/>
  <c r="AT1344" i="63" s="1"/>
  <c r="AR1346" i="63"/>
  <c r="AQ1346" i="63"/>
  <c r="AO1346" i="63"/>
  <c r="AN1346" i="63"/>
  <c r="AL1346" i="63"/>
  <c r="AK1346" i="63"/>
  <c r="AI1346" i="63"/>
  <c r="AH1346" i="63"/>
  <c r="AH1344" i="63" s="1"/>
  <c r="AD1346" i="63"/>
  <c r="AC1346" i="63"/>
  <c r="X1346" i="63"/>
  <c r="W1346" i="63"/>
  <c r="W1344" i="63" s="1"/>
  <c r="R1346" i="63"/>
  <c r="Q1346" i="63"/>
  <c r="P1346" i="63"/>
  <c r="O1346" i="63"/>
  <c r="U1346" i="63" s="1"/>
  <c r="N1346" i="63"/>
  <c r="H1346" i="63"/>
  <c r="G1346" i="63"/>
  <c r="G1344" i="63" s="1"/>
  <c r="BQ1345" i="63"/>
  <c r="BN1345" i="63"/>
  <c r="BK1345" i="63"/>
  <c r="BH1345" i="63"/>
  <c r="BE1345" i="63"/>
  <c r="BB1345" i="63"/>
  <c r="AY1345" i="63"/>
  <c r="AV1345" i="63"/>
  <c r="AS1345" i="63"/>
  <c r="AP1345" i="63"/>
  <c r="AM1345" i="63"/>
  <c r="AJ1345" i="63"/>
  <c r="AE1345" i="63"/>
  <c r="Y1345" i="63"/>
  <c r="U1345" i="63"/>
  <c r="T1345" i="63"/>
  <c r="Z1345" i="63" s="1"/>
  <c r="S1345" i="63"/>
  <c r="P1345" i="63"/>
  <c r="L1345" i="63"/>
  <c r="M1345" i="63" s="1"/>
  <c r="K1345" i="63"/>
  <c r="I1345" i="63"/>
  <c r="BM1344" i="63"/>
  <c r="BD1344" i="63"/>
  <c r="BA1344" i="63"/>
  <c r="AR1344" i="63"/>
  <c r="AN1344" i="63"/>
  <c r="AK1344" i="63"/>
  <c r="AD1344" i="63"/>
  <c r="R1344" i="63"/>
  <c r="O1344" i="63"/>
  <c r="N1344" i="63"/>
  <c r="BQ1343" i="63"/>
  <c r="BN1343" i="63"/>
  <c r="BK1343" i="63"/>
  <c r="BH1343" i="63"/>
  <c r="BE1343" i="63"/>
  <c r="BB1343" i="63"/>
  <c r="AY1343" i="63"/>
  <c r="AV1343" i="63"/>
  <c r="AS1343" i="63"/>
  <c r="AP1343" i="63"/>
  <c r="AM1343" i="63"/>
  <c r="AJ1343" i="63"/>
  <c r="AE1343" i="63"/>
  <c r="Y1343" i="63"/>
  <c r="U1343" i="63"/>
  <c r="T1343" i="63"/>
  <c r="Z1343" i="63" s="1"/>
  <c r="S1343" i="63"/>
  <c r="P1343" i="63"/>
  <c r="L1343" i="63"/>
  <c r="K1343" i="63"/>
  <c r="I1343" i="63"/>
  <c r="BQ1342" i="63"/>
  <c r="BN1342" i="63"/>
  <c r="BK1342" i="63"/>
  <c r="BH1342" i="63"/>
  <c r="BE1342" i="63"/>
  <c r="BB1342" i="63"/>
  <c r="AY1342" i="63"/>
  <c r="AV1342" i="63"/>
  <c r="AS1342" i="63"/>
  <c r="AP1342" i="63"/>
  <c r="AM1342" i="63"/>
  <c r="AJ1342" i="63"/>
  <c r="AE1342" i="63"/>
  <c r="Z1342" i="63"/>
  <c r="Y1342" i="63"/>
  <c r="U1342" i="63"/>
  <c r="T1342" i="63"/>
  <c r="S1342" i="63"/>
  <c r="P1342" i="63"/>
  <c r="L1342" i="63"/>
  <c r="K1342" i="63"/>
  <c r="I1342" i="63"/>
  <c r="BQ1341" i="63"/>
  <c r="BN1341" i="63"/>
  <c r="BK1341" i="63"/>
  <c r="BH1341" i="63"/>
  <c r="BE1341" i="63"/>
  <c r="BB1341" i="63"/>
  <c r="AY1341" i="63"/>
  <c r="AV1341" i="63"/>
  <c r="AS1341" i="63"/>
  <c r="AP1341" i="63"/>
  <c r="AM1341" i="63"/>
  <c r="AJ1341" i="63"/>
  <c r="AE1341" i="63"/>
  <c r="Y1341" i="63"/>
  <c r="U1341" i="63"/>
  <c r="T1341" i="63"/>
  <c r="Z1341" i="63" s="1"/>
  <c r="S1341" i="63"/>
  <c r="P1341" i="63"/>
  <c r="L1341" i="63"/>
  <c r="K1341" i="63"/>
  <c r="I1341" i="63"/>
  <c r="BP1340" i="63"/>
  <c r="BO1340" i="63"/>
  <c r="BO1334" i="63" s="1"/>
  <c r="BM1340" i="63"/>
  <c r="BL1340" i="63"/>
  <c r="BJ1340" i="63"/>
  <c r="BI1340" i="63"/>
  <c r="BG1340" i="63"/>
  <c r="BF1340" i="63"/>
  <c r="BF1334" i="63" s="1"/>
  <c r="BD1340" i="63"/>
  <c r="BD1334" i="63" s="1"/>
  <c r="BC1340" i="63"/>
  <c r="BA1340" i="63"/>
  <c r="AZ1340" i="63"/>
  <c r="AX1340" i="63"/>
  <c r="AW1340" i="63"/>
  <c r="AW1334" i="63" s="1"/>
  <c r="AU1340" i="63"/>
  <c r="AU1334" i="63" s="1"/>
  <c r="AU1316" i="63" s="1"/>
  <c r="AT1340" i="63"/>
  <c r="AT1334" i="63" s="1"/>
  <c r="AR1340" i="63"/>
  <c r="AQ1340" i="63"/>
  <c r="AO1340" i="63"/>
  <c r="AP1340" i="63" s="1"/>
  <c r="AN1340" i="63"/>
  <c r="AL1340" i="63"/>
  <c r="AK1340" i="63"/>
  <c r="AK1334" i="63" s="1"/>
  <c r="AI1340" i="63"/>
  <c r="AH1340" i="63"/>
  <c r="AH1334" i="63" s="1"/>
  <c r="AD1340" i="63"/>
  <c r="AD1334" i="63" s="1"/>
  <c r="AC1340" i="63"/>
  <c r="X1340" i="63"/>
  <c r="W1340" i="63"/>
  <c r="R1340" i="63"/>
  <c r="Q1340" i="63"/>
  <c r="Q1334" i="63" s="1"/>
  <c r="O1340" i="63"/>
  <c r="N1340" i="63"/>
  <c r="L1340" i="63"/>
  <c r="H1340" i="63"/>
  <c r="I1340" i="63" s="1"/>
  <c r="G1340" i="63"/>
  <c r="G1334" i="63" s="1"/>
  <c r="BQ1339" i="63"/>
  <c r="BN1339" i="63"/>
  <c r="BK1339" i="63"/>
  <c r="BH1339" i="63"/>
  <c r="BE1339" i="63"/>
  <c r="BB1339" i="63"/>
  <c r="AY1339" i="63"/>
  <c r="AV1339" i="63"/>
  <c r="AS1339" i="63"/>
  <c r="AP1339" i="63"/>
  <c r="AM1339" i="63"/>
  <c r="AJ1339" i="63"/>
  <c r="AE1339" i="63"/>
  <c r="Y1339" i="63"/>
  <c r="U1339" i="63"/>
  <c r="T1339" i="63"/>
  <c r="Z1339" i="63" s="1"/>
  <c r="S1339" i="63"/>
  <c r="P1339" i="63"/>
  <c r="L1339" i="63"/>
  <c r="M1339" i="63" s="1"/>
  <c r="K1339" i="63"/>
  <c r="I1339" i="63"/>
  <c r="BQ1338" i="63"/>
  <c r="BN1338" i="63"/>
  <c r="BK1338" i="63"/>
  <c r="BH1338" i="63"/>
  <c r="BE1338" i="63"/>
  <c r="BB1338" i="63"/>
  <c r="AY1338" i="63"/>
  <c r="AV1338" i="63"/>
  <c r="AS1338" i="63"/>
  <c r="AP1338" i="63"/>
  <c r="AM1338" i="63"/>
  <c r="AJ1338" i="63"/>
  <c r="AE1338" i="63"/>
  <c r="Y1338" i="63"/>
  <c r="U1338" i="63"/>
  <c r="T1338" i="63"/>
  <c r="Z1338" i="63" s="1"/>
  <c r="S1338" i="63"/>
  <c r="P1338" i="63"/>
  <c r="L1338" i="63"/>
  <c r="K1338" i="63"/>
  <c r="I1338" i="63"/>
  <c r="BQ1337" i="63"/>
  <c r="BN1337" i="63"/>
  <c r="BK1337" i="63"/>
  <c r="BH1337" i="63"/>
  <c r="BE1337" i="63"/>
  <c r="BB1337" i="63"/>
  <c r="AY1337" i="63"/>
  <c r="AV1337" i="63"/>
  <c r="AS1337" i="63"/>
  <c r="AP1337" i="63"/>
  <c r="AM1337" i="63"/>
  <c r="AJ1337" i="63"/>
  <c r="AE1337" i="63"/>
  <c r="Y1337" i="63"/>
  <c r="U1337" i="63"/>
  <c r="AA1337" i="63" s="1"/>
  <c r="T1337" i="63"/>
  <c r="S1337" i="63"/>
  <c r="P1337" i="63"/>
  <c r="L1337" i="63"/>
  <c r="K1337" i="63"/>
  <c r="I1337" i="63"/>
  <c r="BQ1336" i="63"/>
  <c r="BN1336" i="63"/>
  <c r="BK1336" i="63"/>
  <c r="BH1336" i="63"/>
  <c r="BE1336" i="63"/>
  <c r="BB1336" i="63"/>
  <c r="AY1336" i="63"/>
  <c r="AV1336" i="63"/>
  <c r="AS1336" i="63"/>
  <c r="AP1336" i="63"/>
  <c r="AM1336" i="63"/>
  <c r="AJ1336" i="63"/>
  <c r="AE1336" i="63"/>
  <c r="Y1336" i="63"/>
  <c r="U1336" i="63"/>
  <c r="T1336" i="63"/>
  <c r="Z1336" i="63" s="1"/>
  <c r="S1336" i="63"/>
  <c r="P1336" i="63"/>
  <c r="L1336" i="63"/>
  <c r="K1336" i="63"/>
  <c r="I1336" i="63"/>
  <c r="BQ1335" i="63"/>
  <c r="BN1335" i="63"/>
  <c r="BK1335" i="63"/>
  <c r="BH1335" i="63"/>
  <c r="BE1335" i="63"/>
  <c r="BB1335" i="63"/>
  <c r="AY1335" i="63"/>
  <c r="AV1335" i="63"/>
  <c r="AS1335" i="63"/>
  <c r="AP1335" i="63"/>
  <c r="AM1335" i="63"/>
  <c r="AJ1335" i="63"/>
  <c r="AE1335" i="63"/>
  <c r="Y1335" i="63"/>
  <c r="U1335" i="63"/>
  <c r="AA1335" i="63" s="1"/>
  <c r="T1335" i="63"/>
  <c r="Z1335" i="63" s="1"/>
  <c r="S1335" i="63"/>
  <c r="P1335" i="63"/>
  <c r="L1335" i="63"/>
  <c r="K1335" i="63"/>
  <c r="I1335" i="63"/>
  <c r="BM1334" i="63"/>
  <c r="BI1334" i="63"/>
  <c r="AZ1334" i="63"/>
  <c r="AV1334" i="63"/>
  <c r="AR1334" i="63"/>
  <c r="AN1334" i="63"/>
  <c r="AC1334" i="63"/>
  <c r="W1334" i="63"/>
  <c r="O1334" i="63"/>
  <c r="H1334" i="63"/>
  <c r="I1334" i="63" s="1"/>
  <c r="R1332" i="63"/>
  <c r="BP1331" i="63"/>
  <c r="BQ1331" i="63" s="1"/>
  <c r="BO1331" i="63"/>
  <c r="BM1331" i="63"/>
  <c r="BL1331" i="63"/>
  <c r="BN1331" i="63" s="1"/>
  <c r="BK1331" i="63"/>
  <c r="BJ1331" i="63"/>
  <c r="BI1331" i="63"/>
  <c r="BG1331" i="63"/>
  <c r="BH1331" i="63" s="1"/>
  <c r="BF1331" i="63"/>
  <c r="BD1331" i="63"/>
  <c r="BC1331" i="63"/>
  <c r="BB1331" i="63"/>
  <c r="BA1331" i="63"/>
  <c r="AZ1331" i="63"/>
  <c r="AX1331" i="63"/>
  <c r="AW1331" i="63"/>
  <c r="AU1331" i="63"/>
  <c r="AV1331" i="63" s="1"/>
  <c r="AT1331" i="63"/>
  <c r="AR1331" i="63"/>
  <c r="AQ1331" i="63"/>
  <c r="AP1331" i="63"/>
  <c r="AO1331" i="63"/>
  <c r="AN1331" i="63"/>
  <c r="AL1331" i="63"/>
  <c r="AM1331" i="63" s="1"/>
  <c r="AK1331" i="63"/>
  <c r="AI1331" i="63"/>
  <c r="AJ1331" i="63" s="1"/>
  <c r="AH1331" i="63"/>
  <c r="AD1331" i="63"/>
  <c r="AE1331" i="63" s="1"/>
  <c r="AC1331" i="63"/>
  <c r="X1331" i="63"/>
  <c r="W1331" i="63"/>
  <c r="R1331" i="63"/>
  <c r="S1331" i="63" s="1"/>
  <c r="Q1331" i="63"/>
  <c r="O1331" i="63"/>
  <c r="N1331" i="63"/>
  <c r="H1331" i="63"/>
  <c r="G1331" i="63"/>
  <c r="BP1330" i="63"/>
  <c r="BO1330" i="63"/>
  <c r="BM1330" i="63"/>
  <c r="BN1330" i="63" s="1"/>
  <c r="BL1330" i="63"/>
  <c r="BJ1330" i="63"/>
  <c r="BK1330" i="63" s="1"/>
  <c r="BI1330" i="63"/>
  <c r="BG1330" i="63"/>
  <c r="BH1330" i="63" s="1"/>
  <c r="BF1330" i="63"/>
  <c r="BD1330" i="63"/>
  <c r="BC1330" i="63"/>
  <c r="BA1330" i="63"/>
  <c r="AZ1330" i="63"/>
  <c r="AX1330" i="63"/>
  <c r="AY1330" i="63" s="1"/>
  <c r="AW1330" i="63"/>
  <c r="AU1330" i="63"/>
  <c r="AV1330" i="63" s="1"/>
  <c r="AT1330" i="63"/>
  <c r="AR1330" i="63"/>
  <c r="AQ1330" i="63"/>
  <c r="AP1330" i="63"/>
  <c r="AO1330" i="63"/>
  <c r="AN1330" i="63"/>
  <c r="AL1330" i="63"/>
  <c r="AK1330" i="63"/>
  <c r="AI1330" i="63"/>
  <c r="AH1330" i="63"/>
  <c r="AD1330" i="63"/>
  <c r="AC1330" i="63"/>
  <c r="X1330" i="63"/>
  <c r="W1330" i="63"/>
  <c r="R1330" i="63"/>
  <c r="Q1330" i="63"/>
  <c r="O1330" i="63"/>
  <c r="N1330" i="63"/>
  <c r="H1330" i="63"/>
  <c r="G1330" i="63"/>
  <c r="I1330" i="63" s="1"/>
  <c r="BP1329" i="63"/>
  <c r="BO1329" i="63"/>
  <c r="BM1329" i="63"/>
  <c r="BL1329" i="63"/>
  <c r="BJ1329" i="63"/>
  <c r="BK1329" i="63" s="1"/>
  <c r="BI1329" i="63"/>
  <c r="BG1329" i="63"/>
  <c r="BF1329" i="63"/>
  <c r="BD1329" i="63"/>
  <c r="BC1329" i="63"/>
  <c r="BA1329" i="63"/>
  <c r="AZ1329" i="63"/>
  <c r="AX1329" i="63"/>
  <c r="AY1329" i="63" s="1"/>
  <c r="AW1329" i="63"/>
  <c r="AU1329" i="63"/>
  <c r="AT1329" i="63"/>
  <c r="AV1329" i="63" s="1"/>
  <c r="AR1329" i="63"/>
  <c r="AS1329" i="63" s="1"/>
  <c r="AQ1329" i="63"/>
  <c r="AO1329" i="63"/>
  <c r="AN1329" i="63"/>
  <c r="AP1329" i="63" s="1"/>
  <c r="AM1329" i="63"/>
  <c r="AL1329" i="63"/>
  <c r="AK1329" i="63"/>
  <c r="AI1329" i="63"/>
  <c r="AJ1329" i="63" s="1"/>
  <c r="AH1329" i="63"/>
  <c r="AD1329" i="63"/>
  <c r="AC1329" i="63"/>
  <c r="Y1329" i="63"/>
  <c r="X1329" i="63"/>
  <c r="W1329" i="63"/>
  <c r="R1329" i="63"/>
  <c r="Q1329" i="63"/>
  <c r="O1329" i="63"/>
  <c r="P1329" i="63" s="1"/>
  <c r="N1329" i="63"/>
  <c r="H1329" i="63"/>
  <c r="G1329" i="63"/>
  <c r="BP1327" i="63"/>
  <c r="BO1327" i="63"/>
  <c r="BM1327" i="63"/>
  <c r="BL1327" i="63"/>
  <c r="BJ1327" i="63"/>
  <c r="BK1327" i="63" s="1"/>
  <c r="BI1327" i="63"/>
  <c r="BG1327" i="63"/>
  <c r="BF1327" i="63"/>
  <c r="BD1327" i="63"/>
  <c r="BC1327" i="63"/>
  <c r="BA1327" i="63"/>
  <c r="AZ1327" i="63"/>
  <c r="AX1327" i="63"/>
  <c r="AY1327" i="63" s="1"/>
  <c r="AW1327" i="63"/>
  <c r="AU1327" i="63"/>
  <c r="AT1327" i="63"/>
  <c r="AV1327" i="63" s="1"/>
  <c r="AR1327" i="63"/>
  <c r="AQ1327" i="63"/>
  <c r="AO1327" i="63"/>
  <c r="AN1327" i="63"/>
  <c r="AM1327" i="63"/>
  <c r="AL1327" i="63"/>
  <c r="AK1327" i="63"/>
  <c r="AI1327" i="63"/>
  <c r="AH1327" i="63"/>
  <c r="AD1327" i="63"/>
  <c r="AC1327" i="63"/>
  <c r="X1327" i="63"/>
  <c r="W1327" i="63"/>
  <c r="R1327" i="63"/>
  <c r="S1327" i="63" s="1"/>
  <c r="Q1327" i="63"/>
  <c r="P1327" i="63"/>
  <c r="O1327" i="63"/>
  <c r="N1327" i="63"/>
  <c r="H1327" i="63"/>
  <c r="G1327" i="63"/>
  <c r="BP1325" i="63"/>
  <c r="BQ1325" i="63" s="1"/>
  <c r="BO1325" i="63"/>
  <c r="BM1325" i="63"/>
  <c r="BL1325" i="63"/>
  <c r="BJ1325" i="63"/>
  <c r="BK1325" i="63" s="1"/>
  <c r="BI1325" i="63"/>
  <c r="BG1325" i="63"/>
  <c r="BF1325" i="63"/>
  <c r="BH1325" i="63" s="1"/>
  <c r="BE1325" i="63"/>
  <c r="BD1325" i="63"/>
  <c r="BC1325" i="63"/>
  <c r="BB1325" i="63"/>
  <c r="BA1325" i="63"/>
  <c r="AZ1325" i="63"/>
  <c r="AX1325" i="63"/>
  <c r="AW1325" i="63"/>
  <c r="AV1325" i="63"/>
  <c r="AU1325" i="63"/>
  <c r="AT1325" i="63"/>
  <c r="AS1325" i="63"/>
  <c r="AR1325" i="63"/>
  <c r="AQ1325" i="63"/>
  <c r="AO1325" i="63"/>
  <c r="AN1325" i="63"/>
  <c r="AL1325" i="63"/>
  <c r="AM1325" i="63" s="1"/>
  <c r="AK1325" i="63"/>
  <c r="AI1325" i="63"/>
  <c r="AH1325" i="63"/>
  <c r="AD1325" i="63"/>
  <c r="AE1325" i="63" s="1"/>
  <c r="AC1325" i="63"/>
  <c r="X1325" i="63"/>
  <c r="W1325" i="63"/>
  <c r="R1325" i="63"/>
  <c r="S1325" i="63" s="1"/>
  <c r="Q1325" i="63"/>
  <c r="O1325" i="63"/>
  <c r="N1325" i="63"/>
  <c r="H1325" i="63"/>
  <c r="I1325" i="63" s="1"/>
  <c r="G1325" i="63"/>
  <c r="BP1324" i="63"/>
  <c r="BQ1324" i="63" s="1"/>
  <c r="BO1324" i="63"/>
  <c r="BM1324" i="63"/>
  <c r="BN1324" i="63" s="1"/>
  <c r="BL1324" i="63"/>
  <c r="BJ1324" i="63"/>
  <c r="BK1324" i="63" s="1"/>
  <c r="BI1324" i="63"/>
  <c r="BG1324" i="63"/>
  <c r="BF1324" i="63"/>
  <c r="BD1324" i="63"/>
  <c r="BC1324" i="63"/>
  <c r="BA1324" i="63"/>
  <c r="AZ1324" i="63"/>
  <c r="AX1324" i="63"/>
  <c r="AW1324" i="63"/>
  <c r="AU1324" i="63"/>
  <c r="AT1324" i="63"/>
  <c r="AR1324" i="63"/>
  <c r="AS1324" i="63" s="1"/>
  <c r="AQ1324" i="63"/>
  <c r="AO1324" i="63"/>
  <c r="AN1324" i="63"/>
  <c r="AP1324" i="63" s="1"/>
  <c r="AL1324" i="63"/>
  <c r="AK1324" i="63"/>
  <c r="AI1324" i="63"/>
  <c r="AH1324" i="63"/>
  <c r="AJ1324" i="63" s="1"/>
  <c r="AD1324" i="63"/>
  <c r="AE1324" i="63" s="1"/>
  <c r="AC1324" i="63"/>
  <c r="X1324" i="63"/>
  <c r="W1324" i="63"/>
  <c r="R1324" i="63"/>
  <c r="Q1324" i="63"/>
  <c r="O1324" i="63"/>
  <c r="N1324" i="63"/>
  <c r="I1324" i="63"/>
  <c r="H1324" i="63"/>
  <c r="G1324" i="63"/>
  <c r="BP1323" i="63"/>
  <c r="BO1323" i="63"/>
  <c r="BM1323" i="63"/>
  <c r="BL1323" i="63"/>
  <c r="BJ1323" i="63"/>
  <c r="BK1323" i="63" s="1"/>
  <c r="BI1323" i="63"/>
  <c r="BG1323" i="63"/>
  <c r="BF1323" i="63"/>
  <c r="BD1323" i="63"/>
  <c r="BC1323" i="63"/>
  <c r="BA1323" i="63"/>
  <c r="AZ1323" i="63"/>
  <c r="AX1323" i="63"/>
  <c r="AY1323" i="63" s="1"/>
  <c r="AW1323" i="63"/>
  <c r="AU1323" i="63"/>
  <c r="AT1323" i="63"/>
  <c r="AV1323" i="63" s="1"/>
  <c r="AR1323" i="63"/>
  <c r="AQ1323" i="63"/>
  <c r="AO1323" i="63"/>
  <c r="AN1323" i="63"/>
  <c r="AP1323" i="63" s="1"/>
  <c r="AL1323" i="63"/>
  <c r="AM1323" i="63" s="1"/>
  <c r="AK1323" i="63"/>
  <c r="AI1323" i="63"/>
  <c r="AH1323" i="63"/>
  <c r="AJ1323" i="63" s="1"/>
  <c r="AD1323" i="63"/>
  <c r="AC1323" i="63"/>
  <c r="X1323" i="63"/>
  <c r="W1323" i="63"/>
  <c r="R1323" i="63"/>
  <c r="S1323" i="63" s="1"/>
  <c r="Q1323" i="63"/>
  <c r="O1323" i="63"/>
  <c r="N1323" i="63"/>
  <c r="H1323" i="63"/>
  <c r="I1323" i="63" s="1"/>
  <c r="G1323" i="63"/>
  <c r="BP1321" i="63"/>
  <c r="BO1321" i="63"/>
  <c r="BM1321" i="63"/>
  <c r="BL1321" i="63"/>
  <c r="BN1321" i="63" s="1"/>
  <c r="BJ1321" i="63"/>
  <c r="BK1321" i="63" s="1"/>
  <c r="BI1321" i="63"/>
  <c r="BG1321" i="63"/>
  <c r="BH1321" i="63" s="1"/>
  <c r="BF1321" i="63"/>
  <c r="BD1321" i="63"/>
  <c r="BC1321" i="63"/>
  <c r="BA1321" i="63"/>
  <c r="AZ1321" i="63"/>
  <c r="AX1321" i="63"/>
  <c r="AY1321" i="63" s="1"/>
  <c r="AW1321" i="63"/>
  <c r="AU1321" i="63"/>
  <c r="AT1321" i="63"/>
  <c r="AR1321" i="63"/>
  <c r="AQ1321" i="63"/>
  <c r="AO1321" i="63"/>
  <c r="AN1321" i="63"/>
  <c r="AL1321" i="63"/>
  <c r="AM1321" i="63" s="1"/>
  <c r="AK1321" i="63"/>
  <c r="AJ1321" i="63"/>
  <c r="AI1321" i="63"/>
  <c r="AH1321" i="63"/>
  <c r="AD1321" i="63"/>
  <c r="AC1321" i="63"/>
  <c r="X1321" i="63"/>
  <c r="Y1321" i="63" s="1"/>
  <c r="W1321" i="63"/>
  <c r="R1321" i="63"/>
  <c r="Q1321" i="63"/>
  <c r="O1321" i="63"/>
  <c r="N1321" i="63"/>
  <c r="H1321" i="63"/>
  <c r="I1321" i="63" s="1"/>
  <c r="G1321" i="63"/>
  <c r="BP1320" i="63"/>
  <c r="BQ1320" i="63" s="1"/>
  <c r="BO1320" i="63"/>
  <c r="BM1320" i="63"/>
  <c r="BL1320" i="63"/>
  <c r="BJ1320" i="63"/>
  <c r="BI1320" i="63"/>
  <c r="BK1320" i="63" s="1"/>
  <c r="BG1320" i="63"/>
  <c r="BF1320" i="63"/>
  <c r="BD1320" i="63"/>
  <c r="BC1320" i="63"/>
  <c r="BA1320" i="63"/>
  <c r="AZ1320" i="63"/>
  <c r="AX1320" i="63"/>
  <c r="AW1320" i="63"/>
  <c r="AV1320" i="63"/>
  <c r="AU1320" i="63"/>
  <c r="AT1320" i="63"/>
  <c r="AR1320" i="63"/>
  <c r="AQ1320" i="63"/>
  <c r="AO1320" i="63"/>
  <c r="AN1320" i="63"/>
  <c r="AL1320" i="63"/>
  <c r="AK1320" i="63"/>
  <c r="AI1320" i="63"/>
  <c r="AJ1320" i="63" s="1"/>
  <c r="AH1320" i="63"/>
  <c r="AD1320" i="63"/>
  <c r="AC1320" i="63"/>
  <c r="X1320" i="63"/>
  <c r="W1320" i="63"/>
  <c r="R1320" i="63"/>
  <c r="Q1320" i="63"/>
  <c r="O1320" i="63"/>
  <c r="N1320" i="63"/>
  <c r="H1320" i="63"/>
  <c r="G1320" i="63"/>
  <c r="BP1319" i="63"/>
  <c r="BO1319" i="63"/>
  <c r="BM1319" i="63"/>
  <c r="BL1319" i="63"/>
  <c r="BJ1319" i="63"/>
  <c r="BI1319" i="63"/>
  <c r="BK1319" i="63" s="1"/>
  <c r="BG1319" i="63"/>
  <c r="BH1319" i="63" s="1"/>
  <c r="BF1319" i="63"/>
  <c r="BD1319" i="63"/>
  <c r="BC1319" i="63"/>
  <c r="BA1319" i="63"/>
  <c r="AZ1319" i="63"/>
  <c r="AX1319" i="63"/>
  <c r="AW1319" i="63"/>
  <c r="AY1319" i="63" s="1"/>
  <c r="AU1319" i="63"/>
  <c r="AV1319" i="63" s="1"/>
  <c r="AT1319" i="63"/>
  <c r="AR1319" i="63"/>
  <c r="AQ1319" i="63"/>
  <c r="AO1319" i="63"/>
  <c r="AN1319" i="63"/>
  <c r="AL1319" i="63"/>
  <c r="AM1319" i="63" s="1"/>
  <c r="AK1319" i="63"/>
  <c r="AI1319" i="63"/>
  <c r="AJ1319" i="63" s="1"/>
  <c r="AH1319" i="63"/>
  <c r="AD1319" i="63"/>
  <c r="AE1319" i="63" s="1"/>
  <c r="AC1319" i="63"/>
  <c r="X1319" i="63"/>
  <c r="W1319" i="63"/>
  <c r="Y1319" i="63" s="1"/>
  <c r="R1319" i="63"/>
  <c r="Q1319" i="63"/>
  <c r="O1319" i="63"/>
  <c r="N1319" i="63"/>
  <c r="P1319" i="63" s="1"/>
  <c r="H1319" i="63"/>
  <c r="I1319" i="63" s="1"/>
  <c r="G1319" i="63"/>
  <c r="BP1318" i="63"/>
  <c r="BO1318" i="63"/>
  <c r="BM1318" i="63"/>
  <c r="BL1318" i="63"/>
  <c r="BJ1318" i="63"/>
  <c r="BI1318" i="63"/>
  <c r="BK1318" i="63" s="1"/>
  <c r="BG1318" i="63"/>
  <c r="BF1318" i="63"/>
  <c r="BD1318" i="63"/>
  <c r="BC1318" i="63"/>
  <c r="BA1318" i="63"/>
  <c r="AZ1318" i="63"/>
  <c r="AX1318" i="63"/>
  <c r="AW1318" i="63"/>
  <c r="AU1318" i="63"/>
  <c r="AT1318" i="63"/>
  <c r="AR1318" i="63"/>
  <c r="AQ1318" i="63"/>
  <c r="AO1318" i="63"/>
  <c r="AN1318" i="63"/>
  <c r="AL1318" i="63"/>
  <c r="AK1318" i="63"/>
  <c r="AI1318" i="63"/>
  <c r="AJ1318" i="63" s="1"/>
  <c r="AH1318" i="63"/>
  <c r="AD1318" i="63"/>
  <c r="AC1318" i="63"/>
  <c r="X1318" i="63"/>
  <c r="Y1318" i="63" s="1"/>
  <c r="W1318" i="63"/>
  <c r="R1318" i="63"/>
  <c r="Q1318" i="63"/>
  <c r="O1318" i="63"/>
  <c r="N1318" i="63"/>
  <c r="I1318" i="63"/>
  <c r="H1318" i="63"/>
  <c r="G1318" i="63"/>
  <c r="BP1317" i="63"/>
  <c r="BO1317" i="63"/>
  <c r="BM1317" i="63"/>
  <c r="BL1317" i="63"/>
  <c r="BJ1317" i="63"/>
  <c r="BI1317" i="63"/>
  <c r="BG1317" i="63"/>
  <c r="BF1317" i="63"/>
  <c r="BD1317" i="63"/>
  <c r="BC1317" i="63"/>
  <c r="BA1317" i="63"/>
  <c r="AZ1317" i="63"/>
  <c r="AX1317" i="63"/>
  <c r="AW1317" i="63"/>
  <c r="AV1317" i="63"/>
  <c r="AU1317" i="63"/>
  <c r="AT1317" i="63"/>
  <c r="AR1317" i="63"/>
  <c r="AQ1317" i="63"/>
  <c r="AO1317" i="63"/>
  <c r="AN1317" i="63"/>
  <c r="AL1317" i="63"/>
  <c r="AK1317" i="63"/>
  <c r="AI1317" i="63"/>
  <c r="AH1317" i="63"/>
  <c r="AD1317" i="63"/>
  <c r="AC1317" i="63"/>
  <c r="X1317" i="63"/>
  <c r="Y1317" i="63" s="1"/>
  <c r="W1317" i="63"/>
  <c r="U1317" i="63"/>
  <c r="R1317" i="63"/>
  <c r="Q1317" i="63"/>
  <c r="O1317" i="63"/>
  <c r="N1317" i="63"/>
  <c r="H1317" i="63"/>
  <c r="G1317" i="63"/>
  <c r="BQ1314" i="63"/>
  <c r="BN1314" i="63"/>
  <c r="BK1314" i="63"/>
  <c r="BH1314" i="63"/>
  <c r="BE1314" i="63"/>
  <c r="BB1314" i="63"/>
  <c r="AY1314" i="63"/>
  <c r="AV1314" i="63"/>
  <c r="AS1314" i="63"/>
  <c r="AP1314" i="63"/>
  <c r="AM1314" i="63"/>
  <c r="AJ1314" i="63"/>
  <c r="AE1314" i="63"/>
  <c r="AA1314" i="63"/>
  <c r="AB1314" i="63" s="1"/>
  <c r="Y1314" i="63"/>
  <c r="U1314" i="63"/>
  <c r="T1314" i="63"/>
  <c r="Z1314" i="63" s="1"/>
  <c r="S1314" i="63"/>
  <c r="P1314" i="63"/>
  <c r="L1314" i="63"/>
  <c r="K1314" i="63"/>
  <c r="M1314" i="63" s="1"/>
  <c r="I1314" i="63"/>
  <c r="BQ1313" i="63"/>
  <c r="BN1313" i="63"/>
  <c r="BK1313" i="63"/>
  <c r="BH1313" i="63"/>
  <c r="BE1313" i="63"/>
  <c r="BB1313" i="63"/>
  <c r="AY1313" i="63"/>
  <c r="AV1313" i="63"/>
  <c r="AS1313" i="63"/>
  <c r="AP1313" i="63"/>
  <c r="AM1313" i="63"/>
  <c r="AJ1313" i="63"/>
  <c r="AE1313" i="63"/>
  <c r="Y1313" i="63"/>
  <c r="U1313" i="63"/>
  <c r="T1313" i="63"/>
  <c r="Z1313" i="63" s="1"/>
  <c r="S1313" i="63"/>
  <c r="P1313" i="63"/>
  <c r="L1313" i="63"/>
  <c r="K1313" i="63"/>
  <c r="I1313" i="63"/>
  <c r="BP1312" i="63"/>
  <c r="BO1312" i="63"/>
  <c r="BM1312" i="63"/>
  <c r="BL1312" i="63"/>
  <c r="BL1332" i="63" s="1"/>
  <c r="BJ1312" i="63"/>
  <c r="BI1312" i="63"/>
  <c r="BG1312" i="63"/>
  <c r="BG1332" i="63" s="1"/>
  <c r="BF1312" i="63"/>
  <c r="BF1332" i="63" s="1"/>
  <c r="BD1312" i="63"/>
  <c r="BC1312" i="63"/>
  <c r="BA1312" i="63"/>
  <c r="AZ1312" i="63"/>
  <c r="AZ1332" i="63" s="1"/>
  <c r="AX1312" i="63"/>
  <c r="AW1312" i="63"/>
  <c r="AU1312" i="63"/>
  <c r="AT1312" i="63"/>
  <c r="AR1312" i="63"/>
  <c r="AS1312" i="63" s="1"/>
  <c r="AQ1312" i="63"/>
  <c r="AQ1332" i="63" s="1"/>
  <c r="AO1312" i="63"/>
  <c r="AP1312" i="63" s="1"/>
  <c r="AN1312" i="63"/>
  <c r="AL1312" i="63"/>
  <c r="AK1312" i="63"/>
  <c r="AK1332" i="63" s="1"/>
  <c r="AI1312" i="63"/>
  <c r="AI1332" i="63" s="1"/>
  <c r="AH1312" i="63"/>
  <c r="AD1312" i="63"/>
  <c r="AC1312" i="63"/>
  <c r="AC1332" i="63" s="1"/>
  <c r="Y1312" i="63"/>
  <c r="X1312" i="63"/>
  <c r="X1332" i="63" s="1"/>
  <c r="W1312" i="63"/>
  <c r="R1312" i="63"/>
  <c r="Q1312" i="63"/>
  <c r="O1312" i="63"/>
  <c r="N1312" i="63"/>
  <c r="H1312" i="63"/>
  <c r="H1332" i="63" s="1"/>
  <c r="G1312" i="63"/>
  <c r="BQ1311" i="63"/>
  <c r="BN1311" i="63"/>
  <c r="BK1311" i="63"/>
  <c r="BH1311" i="63"/>
  <c r="BE1311" i="63"/>
  <c r="BB1311" i="63"/>
  <c r="AY1311" i="63"/>
  <c r="AV1311" i="63"/>
  <c r="AS1311" i="63"/>
  <c r="AP1311" i="63"/>
  <c r="AM1311" i="63"/>
  <c r="AJ1311" i="63"/>
  <c r="AE1311" i="63"/>
  <c r="Y1311" i="63"/>
  <c r="U1311" i="63"/>
  <c r="U1331" i="63" s="1"/>
  <c r="T1311" i="63"/>
  <c r="S1311" i="63"/>
  <c r="P1311" i="63"/>
  <c r="L1311" i="63"/>
  <c r="K1311" i="63"/>
  <c r="I1311" i="63"/>
  <c r="BQ1310" i="63"/>
  <c r="BN1310" i="63"/>
  <c r="BK1310" i="63"/>
  <c r="BH1310" i="63"/>
  <c r="BE1310" i="63"/>
  <c r="BB1310" i="63"/>
  <c r="AY1310" i="63"/>
  <c r="AV1310" i="63"/>
  <c r="AS1310" i="63"/>
  <c r="AP1310" i="63"/>
  <c r="AM1310" i="63"/>
  <c r="AJ1310" i="63"/>
  <c r="AE1310" i="63"/>
  <c r="Y1310" i="63"/>
  <c r="U1310" i="63"/>
  <c r="T1310" i="63"/>
  <c r="Z1310" i="63" s="1"/>
  <c r="S1310" i="63"/>
  <c r="P1310" i="63"/>
  <c r="L1310" i="63"/>
  <c r="K1310" i="63"/>
  <c r="K1330" i="63" s="1"/>
  <c r="I1310" i="63"/>
  <c r="BQ1309" i="63"/>
  <c r="BN1309" i="63"/>
  <c r="BK1309" i="63"/>
  <c r="BH1309" i="63"/>
  <c r="BE1309" i="63"/>
  <c r="BB1309" i="63"/>
  <c r="AY1309" i="63"/>
  <c r="AV1309" i="63"/>
  <c r="AS1309" i="63"/>
  <c r="AP1309" i="63"/>
  <c r="AM1309" i="63"/>
  <c r="AJ1309" i="63"/>
  <c r="AE1309" i="63"/>
  <c r="AA1309" i="63"/>
  <c r="Y1309" i="63"/>
  <c r="U1309" i="63"/>
  <c r="U1329" i="63" s="1"/>
  <c r="T1309" i="63"/>
  <c r="S1309" i="63"/>
  <c r="P1309" i="63"/>
  <c r="L1309" i="63"/>
  <c r="L1329" i="63" s="1"/>
  <c r="K1309" i="63"/>
  <c r="I1309" i="63"/>
  <c r="BP1308" i="63"/>
  <c r="BO1308" i="63"/>
  <c r="BO1328" i="63" s="1"/>
  <c r="BM1308" i="63"/>
  <c r="BN1308" i="63" s="1"/>
  <c r="BL1308" i="63"/>
  <c r="BJ1308" i="63"/>
  <c r="BJ1328" i="63" s="1"/>
  <c r="BI1308" i="63"/>
  <c r="BH1308" i="63"/>
  <c r="BG1308" i="63"/>
  <c r="BF1308" i="63"/>
  <c r="BF1306" i="63" s="1"/>
  <c r="BD1308" i="63"/>
  <c r="BD1328" i="63" s="1"/>
  <c r="BC1308" i="63"/>
  <c r="BC1306" i="63" s="1"/>
  <c r="BA1308" i="63"/>
  <c r="AZ1308" i="63"/>
  <c r="AZ1306" i="63" s="1"/>
  <c r="AX1308" i="63"/>
  <c r="AW1308" i="63"/>
  <c r="AU1308" i="63"/>
  <c r="AT1308" i="63"/>
  <c r="AT1306" i="63" s="1"/>
  <c r="AR1308" i="63"/>
  <c r="AQ1308" i="63"/>
  <c r="AO1308" i="63"/>
  <c r="AN1308" i="63"/>
  <c r="AL1308" i="63"/>
  <c r="AK1308" i="63"/>
  <c r="AI1308" i="63"/>
  <c r="AI1306" i="63" s="1"/>
  <c r="AH1308" i="63"/>
  <c r="AH1306" i="63" s="1"/>
  <c r="AH1326" i="63" s="1"/>
  <c r="AD1308" i="63"/>
  <c r="AC1308" i="63"/>
  <c r="AC1306" i="63" s="1"/>
  <c r="X1308" i="63"/>
  <c r="W1308" i="63"/>
  <c r="R1308" i="63"/>
  <c r="Q1308" i="63"/>
  <c r="Q1306" i="63" s="1"/>
  <c r="O1308" i="63"/>
  <c r="N1308" i="63"/>
  <c r="H1308" i="63"/>
  <c r="G1308" i="63"/>
  <c r="G1306" i="63" s="1"/>
  <c r="G1326" i="63" s="1"/>
  <c r="BQ1307" i="63"/>
  <c r="BN1307" i="63"/>
  <c r="BK1307" i="63"/>
  <c r="BH1307" i="63"/>
  <c r="BE1307" i="63"/>
  <c r="BB1307" i="63"/>
  <c r="AY1307" i="63"/>
  <c r="AV1307" i="63"/>
  <c r="AS1307" i="63"/>
  <c r="AP1307" i="63"/>
  <c r="AM1307" i="63"/>
  <c r="AJ1307" i="63"/>
  <c r="AE1307" i="63"/>
  <c r="Y1307" i="63"/>
  <c r="U1307" i="63"/>
  <c r="AA1307" i="63" s="1"/>
  <c r="T1307" i="63"/>
  <c r="Z1307" i="63" s="1"/>
  <c r="S1307" i="63"/>
  <c r="P1307" i="63"/>
  <c r="L1307" i="63"/>
  <c r="L1327" i="63" s="1"/>
  <c r="K1307" i="63"/>
  <c r="K1327" i="63" s="1"/>
  <c r="I1307" i="63"/>
  <c r="BO1306" i="63"/>
  <c r="BL1306" i="63"/>
  <c r="BL1326" i="63" s="1"/>
  <c r="BJ1306" i="63"/>
  <c r="BD1306" i="63"/>
  <c r="AX1306" i="63"/>
  <c r="AX1326" i="63" s="1"/>
  <c r="AN1306" i="63"/>
  <c r="H1306" i="63"/>
  <c r="I1306" i="63" s="1"/>
  <c r="BQ1305" i="63"/>
  <c r="BN1305" i="63"/>
  <c r="BK1305" i="63"/>
  <c r="BH1305" i="63"/>
  <c r="BE1305" i="63"/>
  <c r="BB1305" i="63"/>
  <c r="AY1305" i="63"/>
  <c r="AV1305" i="63"/>
  <c r="AS1305" i="63"/>
  <c r="AP1305" i="63"/>
  <c r="AM1305" i="63"/>
  <c r="AJ1305" i="63"/>
  <c r="AE1305" i="63"/>
  <c r="Y1305" i="63"/>
  <c r="U1305" i="63"/>
  <c r="T1305" i="63"/>
  <c r="Z1305" i="63" s="1"/>
  <c r="Z1325" i="63" s="1"/>
  <c r="S1305" i="63"/>
  <c r="P1305" i="63"/>
  <c r="L1305" i="63"/>
  <c r="K1305" i="63"/>
  <c r="K1325" i="63" s="1"/>
  <c r="I1305" i="63"/>
  <c r="BQ1304" i="63"/>
  <c r="BN1304" i="63"/>
  <c r="BK1304" i="63"/>
  <c r="BH1304" i="63"/>
  <c r="BE1304" i="63"/>
  <c r="BB1304" i="63"/>
  <c r="AY1304" i="63"/>
  <c r="AV1304" i="63"/>
  <c r="AS1304" i="63"/>
  <c r="AP1304" i="63"/>
  <c r="AM1304" i="63"/>
  <c r="AJ1304" i="63"/>
  <c r="AE1304" i="63"/>
  <c r="Z1304" i="63"/>
  <c r="Y1304" i="63"/>
  <c r="U1304" i="63"/>
  <c r="U1324" i="63" s="1"/>
  <c r="T1304" i="63"/>
  <c r="S1304" i="63"/>
  <c r="P1304" i="63"/>
  <c r="L1304" i="63"/>
  <c r="K1304" i="63"/>
  <c r="I1304" i="63"/>
  <c r="BQ1303" i="63"/>
  <c r="BN1303" i="63"/>
  <c r="BK1303" i="63"/>
  <c r="BH1303" i="63"/>
  <c r="BE1303" i="63"/>
  <c r="BB1303" i="63"/>
  <c r="AY1303" i="63"/>
  <c r="AV1303" i="63"/>
  <c r="AS1303" i="63"/>
  <c r="AP1303" i="63"/>
  <c r="AM1303" i="63"/>
  <c r="AJ1303" i="63"/>
  <c r="AE1303" i="63"/>
  <c r="Y1303" i="63"/>
  <c r="U1303" i="63"/>
  <c r="T1303" i="63"/>
  <c r="S1303" i="63"/>
  <c r="P1303" i="63"/>
  <c r="L1303" i="63"/>
  <c r="K1303" i="63"/>
  <c r="I1303" i="63"/>
  <c r="BP1302" i="63"/>
  <c r="BP1296" i="63" s="1"/>
  <c r="BO1302" i="63"/>
  <c r="BM1302" i="63"/>
  <c r="BL1302" i="63"/>
  <c r="BJ1302" i="63"/>
  <c r="BI1302" i="63"/>
  <c r="BG1302" i="63"/>
  <c r="BH1302" i="63" s="1"/>
  <c r="BF1302" i="63"/>
  <c r="BD1302" i="63"/>
  <c r="BC1302" i="63"/>
  <c r="BA1302" i="63"/>
  <c r="AZ1302" i="63"/>
  <c r="AX1302" i="63"/>
  <c r="AY1302" i="63" s="1"/>
  <c r="AW1302" i="63"/>
  <c r="AU1302" i="63"/>
  <c r="AU1296" i="63" s="1"/>
  <c r="AT1302" i="63"/>
  <c r="AR1302" i="63"/>
  <c r="AQ1302" i="63"/>
  <c r="AO1302" i="63"/>
  <c r="AO1296" i="63" s="1"/>
  <c r="AN1302" i="63"/>
  <c r="AL1302" i="63"/>
  <c r="AL1322" i="63" s="1"/>
  <c r="AM1322" i="63" s="1"/>
  <c r="AK1302" i="63"/>
  <c r="AK1322" i="63" s="1"/>
  <c r="AI1302" i="63"/>
  <c r="AH1302" i="63"/>
  <c r="AD1302" i="63"/>
  <c r="AC1302" i="63"/>
  <c r="X1302" i="63"/>
  <c r="W1302" i="63"/>
  <c r="R1302" i="63"/>
  <c r="U1302" i="63" s="1"/>
  <c r="AA1302" i="63" s="1"/>
  <c r="Q1302" i="63"/>
  <c r="O1302" i="63"/>
  <c r="O1322" i="63" s="1"/>
  <c r="N1302" i="63"/>
  <c r="H1302" i="63"/>
  <c r="G1302" i="63"/>
  <c r="G1322" i="63" s="1"/>
  <c r="BQ1301" i="63"/>
  <c r="BN1301" i="63"/>
  <c r="BK1301" i="63"/>
  <c r="BH1301" i="63"/>
  <c r="BE1301" i="63"/>
  <c r="BB1301" i="63"/>
  <c r="AY1301" i="63"/>
  <c r="AV1301" i="63"/>
  <c r="AS1301" i="63"/>
  <c r="AP1301" i="63"/>
  <c r="AM1301" i="63"/>
  <c r="AJ1301" i="63"/>
  <c r="AE1301" i="63"/>
  <c r="AA1301" i="63"/>
  <c r="Y1301" i="63"/>
  <c r="U1301" i="63"/>
  <c r="T1301" i="63"/>
  <c r="T1321" i="63" s="1"/>
  <c r="S1301" i="63"/>
  <c r="P1301" i="63"/>
  <c r="L1301" i="63"/>
  <c r="L1321" i="63" s="1"/>
  <c r="M1321" i="63" s="1"/>
  <c r="K1301" i="63"/>
  <c r="K1321" i="63" s="1"/>
  <c r="I1301" i="63"/>
  <c r="BQ1300" i="63"/>
  <c r="BN1300" i="63"/>
  <c r="BK1300" i="63"/>
  <c r="BH1300" i="63"/>
  <c r="BE1300" i="63"/>
  <c r="BB1300" i="63"/>
  <c r="AY1300" i="63"/>
  <c r="AV1300" i="63"/>
  <c r="AS1300" i="63"/>
  <c r="AP1300" i="63"/>
  <c r="AM1300" i="63"/>
  <c r="AJ1300" i="63"/>
  <c r="AE1300" i="63"/>
  <c r="Y1300" i="63"/>
  <c r="U1300" i="63"/>
  <c r="T1300" i="63"/>
  <c r="Z1300" i="63" s="1"/>
  <c r="S1300" i="63"/>
  <c r="P1300" i="63"/>
  <c r="L1300" i="63"/>
  <c r="K1300" i="63"/>
  <c r="I1300" i="63"/>
  <c r="BQ1299" i="63"/>
  <c r="BN1299" i="63"/>
  <c r="BK1299" i="63"/>
  <c r="BH1299" i="63"/>
  <c r="BE1299" i="63"/>
  <c r="BB1299" i="63"/>
  <c r="AY1299" i="63"/>
  <c r="AV1299" i="63"/>
  <c r="AS1299" i="63"/>
  <c r="AP1299" i="63"/>
  <c r="AM1299" i="63"/>
  <c r="AJ1299" i="63"/>
  <c r="AE1299" i="63"/>
  <c r="Y1299" i="63"/>
  <c r="U1299" i="63"/>
  <c r="T1299" i="63"/>
  <c r="Z1299" i="63" s="1"/>
  <c r="S1299" i="63"/>
  <c r="P1299" i="63"/>
  <c r="L1299" i="63"/>
  <c r="M1299" i="63" s="1"/>
  <c r="K1299" i="63"/>
  <c r="I1299" i="63"/>
  <c r="BQ1298" i="63"/>
  <c r="BN1298" i="63"/>
  <c r="BK1298" i="63"/>
  <c r="BH1298" i="63"/>
  <c r="BE1298" i="63"/>
  <c r="BB1298" i="63"/>
  <c r="AY1298" i="63"/>
  <c r="AV1298" i="63"/>
  <c r="AS1298" i="63"/>
  <c r="AP1298" i="63"/>
  <c r="AM1298" i="63"/>
  <c r="AJ1298" i="63"/>
  <c r="AE1298" i="63"/>
  <c r="Z1298" i="63"/>
  <c r="Z1318" i="63" s="1"/>
  <c r="Y1298" i="63"/>
  <c r="U1298" i="63"/>
  <c r="U1318" i="63" s="1"/>
  <c r="T1298" i="63"/>
  <c r="S1298" i="63"/>
  <c r="P1298" i="63"/>
  <c r="L1298" i="63"/>
  <c r="K1298" i="63"/>
  <c r="I1298" i="63"/>
  <c r="BQ1297" i="63"/>
  <c r="BN1297" i="63"/>
  <c r="BK1297" i="63"/>
  <c r="BH1297" i="63"/>
  <c r="BE1297" i="63"/>
  <c r="BB1297" i="63"/>
  <c r="AY1297" i="63"/>
  <c r="AV1297" i="63"/>
  <c r="AS1297" i="63"/>
  <c r="AP1297" i="63"/>
  <c r="AM1297" i="63"/>
  <c r="AJ1297" i="63"/>
  <c r="AE1297" i="63"/>
  <c r="Y1297" i="63"/>
  <c r="U1297" i="63"/>
  <c r="AA1297" i="63" s="1"/>
  <c r="AA1317" i="63" s="1"/>
  <c r="T1297" i="63"/>
  <c r="S1297" i="63"/>
  <c r="P1297" i="63"/>
  <c r="L1297" i="63"/>
  <c r="L1317" i="63" s="1"/>
  <c r="K1297" i="63"/>
  <c r="I1297" i="63"/>
  <c r="BM1296" i="63"/>
  <c r="BJ1296" i="63"/>
  <c r="BF1296" i="63"/>
  <c r="AX1296" i="63"/>
  <c r="AY1296" i="63" s="1"/>
  <c r="AW1296" i="63"/>
  <c r="AW1316" i="63" s="1"/>
  <c r="AT1296" i="63"/>
  <c r="AL1296" i="63"/>
  <c r="AK1296" i="63"/>
  <c r="X1296" i="63"/>
  <c r="O1296" i="63"/>
  <c r="G1296" i="63"/>
  <c r="G1316" i="63" s="1"/>
  <c r="BQ1292" i="63"/>
  <c r="BN1292" i="63"/>
  <c r="BK1292" i="63"/>
  <c r="BH1292" i="63"/>
  <c r="BE1292" i="63"/>
  <c r="BB1292" i="63"/>
  <c r="AY1292" i="63"/>
  <c r="AV1292" i="63"/>
  <c r="AS1292" i="63"/>
  <c r="AP1292" i="63"/>
  <c r="AM1292" i="63"/>
  <c r="AJ1292" i="63"/>
  <c r="AE1292" i="63"/>
  <c r="Y1292" i="63"/>
  <c r="U1292" i="63"/>
  <c r="AA1292" i="63" s="1"/>
  <c r="T1292" i="63"/>
  <c r="S1292" i="63"/>
  <c r="P1292" i="63"/>
  <c r="L1292" i="63"/>
  <c r="K1292" i="63"/>
  <c r="I1292" i="63"/>
  <c r="BQ1291" i="63"/>
  <c r="BN1291" i="63"/>
  <c r="BK1291" i="63"/>
  <c r="BH1291" i="63"/>
  <c r="BE1291" i="63"/>
  <c r="BB1291" i="63"/>
  <c r="AY1291" i="63"/>
  <c r="AV1291" i="63"/>
  <c r="AS1291" i="63"/>
  <c r="AP1291" i="63"/>
  <c r="AM1291" i="63"/>
  <c r="AJ1291" i="63"/>
  <c r="AE1291" i="63"/>
  <c r="Y1291" i="63"/>
  <c r="U1291" i="63"/>
  <c r="AA1291" i="63" s="1"/>
  <c r="T1291" i="63"/>
  <c r="Z1291" i="63" s="1"/>
  <c r="S1291" i="63"/>
  <c r="P1291" i="63"/>
  <c r="L1291" i="63"/>
  <c r="M1291" i="63" s="1"/>
  <c r="K1291" i="63"/>
  <c r="I1291" i="63"/>
  <c r="BQ1290" i="63"/>
  <c r="BN1290" i="63"/>
  <c r="BK1290" i="63"/>
  <c r="BH1290" i="63"/>
  <c r="BE1290" i="63"/>
  <c r="BB1290" i="63"/>
  <c r="AY1290" i="63"/>
  <c r="AV1290" i="63"/>
  <c r="AS1290" i="63"/>
  <c r="AP1290" i="63"/>
  <c r="AM1290" i="63"/>
  <c r="AJ1290" i="63"/>
  <c r="AE1290" i="63"/>
  <c r="Y1290" i="63"/>
  <c r="U1290" i="63"/>
  <c r="AA1290" i="63" s="1"/>
  <c r="T1290" i="63"/>
  <c r="Z1290" i="63" s="1"/>
  <c r="S1290" i="63"/>
  <c r="P1290" i="63"/>
  <c r="L1290" i="63"/>
  <c r="K1290" i="63"/>
  <c r="I1290" i="63"/>
  <c r="BQ1289" i="63"/>
  <c r="BN1289" i="63"/>
  <c r="BK1289" i="63"/>
  <c r="BH1289" i="63"/>
  <c r="BE1289" i="63"/>
  <c r="BB1289" i="63"/>
  <c r="AY1289" i="63"/>
  <c r="AV1289" i="63"/>
  <c r="AS1289" i="63"/>
  <c r="AP1289" i="63"/>
  <c r="AM1289" i="63"/>
  <c r="AJ1289" i="63"/>
  <c r="AE1289" i="63"/>
  <c r="Y1289" i="63"/>
  <c r="U1289" i="63"/>
  <c r="T1289" i="63"/>
  <c r="Z1289" i="63" s="1"/>
  <c r="S1289" i="63"/>
  <c r="P1289" i="63"/>
  <c r="M1289" i="63"/>
  <c r="L1289" i="63"/>
  <c r="K1289" i="63"/>
  <c r="I1289" i="63"/>
  <c r="BQ1288" i="63"/>
  <c r="BN1288" i="63"/>
  <c r="BK1288" i="63"/>
  <c r="BH1288" i="63"/>
  <c r="BE1288" i="63"/>
  <c r="BB1288" i="63"/>
  <c r="AY1288" i="63"/>
  <c r="AV1288" i="63"/>
  <c r="AS1288" i="63"/>
  <c r="AP1288" i="63"/>
  <c r="AM1288" i="63"/>
  <c r="AJ1288" i="63"/>
  <c r="AE1288" i="63"/>
  <c r="Y1288" i="63"/>
  <c r="U1288" i="63"/>
  <c r="AA1288" i="63" s="1"/>
  <c r="T1288" i="63"/>
  <c r="S1288" i="63"/>
  <c r="P1288" i="63"/>
  <c r="L1288" i="63"/>
  <c r="K1288" i="63"/>
  <c r="I1288" i="63"/>
  <c r="BQ1287" i="63"/>
  <c r="BN1287" i="63"/>
  <c r="BK1287" i="63"/>
  <c r="BH1287" i="63"/>
  <c r="BE1287" i="63"/>
  <c r="BB1287" i="63"/>
  <c r="AY1287" i="63"/>
  <c r="AV1287" i="63"/>
  <c r="AS1287" i="63"/>
  <c r="AP1287" i="63"/>
  <c r="AM1287" i="63"/>
  <c r="AJ1287" i="63"/>
  <c r="AE1287" i="63"/>
  <c r="Y1287" i="63"/>
  <c r="U1287" i="63"/>
  <c r="AA1287" i="63" s="1"/>
  <c r="T1287" i="63"/>
  <c r="Z1287" i="63" s="1"/>
  <c r="S1287" i="63"/>
  <c r="P1287" i="63"/>
  <c r="L1287" i="63"/>
  <c r="M1287" i="63" s="1"/>
  <c r="K1287" i="63"/>
  <c r="I1287" i="63"/>
  <c r="BQ1286" i="63"/>
  <c r="BN1286" i="63"/>
  <c r="BK1286" i="63"/>
  <c r="BH1286" i="63"/>
  <c r="BE1286" i="63"/>
  <c r="BB1286" i="63"/>
  <c r="AY1286" i="63"/>
  <c r="AV1286" i="63"/>
  <c r="AS1286" i="63"/>
  <c r="AP1286" i="63"/>
  <c r="AM1286" i="63"/>
  <c r="AJ1286" i="63"/>
  <c r="AE1286" i="63"/>
  <c r="Y1286" i="63"/>
  <c r="U1286" i="63"/>
  <c r="AA1286" i="63" s="1"/>
  <c r="T1286" i="63"/>
  <c r="Z1286" i="63" s="1"/>
  <c r="S1286" i="63"/>
  <c r="P1286" i="63"/>
  <c r="L1286" i="63"/>
  <c r="K1286" i="63"/>
  <c r="I1286" i="63"/>
  <c r="BQ1285" i="63"/>
  <c r="BN1285" i="63"/>
  <c r="BK1285" i="63"/>
  <c r="BH1285" i="63"/>
  <c r="BE1285" i="63"/>
  <c r="BB1285" i="63"/>
  <c r="AY1285" i="63"/>
  <c r="AV1285" i="63"/>
  <c r="AS1285" i="63"/>
  <c r="AP1285" i="63"/>
  <c r="AM1285" i="63"/>
  <c r="AJ1285" i="63"/>
  <c r="AE1285" i="63"/>
  <c r="Y1285" i="63"/>
  <c r="U1285" i="63"/>
  <c r="T1285" i="63"/>
  <c r="Z1285" i="63" s="1"/>
  <c r="S1285" i="63"/>
  <c r="P1285" i="63"/>
  <c r="L1285" i="63"/>
  <c r="K1285" i="63"/>
  <c r="M1285" i="63" s="1"/>
  <c r="I1285" i="63"/>
  <c r="BQ1284" i="63"/>
  <c r="BN1284" i="63"/>
  <c r="BK1284" i="63"/>
  <c r="BH1284" i="63"/>
  <c r="BE1284" i="63"/>
  <c r="BB1284" i="63"/>
  <c r="AY1284" i="63"/>
  <c r="AV1284" i="63"/>
  <c r="AS1284" i="63"/>
  <c r="AP1284" i="63"/>
  <c r="AM1284" i="63"/>
  <c r="AJ1284" i="63"/>
  <c r="AE1284" i="63"/>
  <c r="Y1284" i="63"/>
  <c r="U1284" i="63"/>
  <c r="AA1284" i="63" s="1"/>
  <c r="T1284" i="63"/>
  <c r="S1284" i="63"/>
  <c r="P1284" i="63"/>
  <c r="L1284" i="63"/>
  <c r="L1275" i="63" s="1"/>
  <c r="K1284" i="63"/>
  <c r="I1284" i="63"/>
  <c r="BP1283" i="63"/>
  <c r="BO1283" i="63"/>
  <c r="BO1282" i="63" s="1"/>
  <c r="BM1283" i="63"/>
  <c r="BM1282" i="63" s="1"/>
  <c r="BM1293" i="63" s="1"/>
  <c r="BL1283" i="63"/>
  <c r="BJ1283" i="63"/>
  <c r="BI1283" i="63"/>
  <c r="BI1282" i="63" s="1"/>
  <c r="BI1293" i="63" s="1"/>
  <c r="BG1283" i="63"/>
  <c r="BH1283" i="63" s="1"/>
  <c r="BF1283" i="63"/>
  <c r="BF1282" i="63" s="1"/>
  <c r="BF1293" i="63" s="1"/>
  <c r="BD1283" i="63"/>
  <c r="BC1283" i="63"/>
  <c r="BA1283" i="63"/>
  <c r="BA1282" i="63" s="1"/>
  <c r="BA1293" i="63" s="1"/>
  <c r="AZ1283" i="63"/>
  <c r="AX1283" i="63"/>
  <c r="AW1283" i="63"/>
  <c r="AW1282" i="63" s="1"/>
  <c r="AW1293" i="63" s="1"/>
  <c r="AU1283" i="63"/>
  <c r="AT1283" i="63"/>
  <c r="AT1282" i="63" s="1"/>
  <c r="AT1293" i="63" s="1"/>
  <c r="AR1283" i="63"/>
  <c r="AQ1283" i="63"/>
  <c r="AQ1282" i="63" s="1"/>
  <c r="AO1283" i="63"/>
  <c r="AO1282" i="63" s="1"/>
  <c r="AN1283" i="63"/>
  <c r="AL1283" i="63"/>
  <c r="AK1283" i="63"/>
  <c r="AK1282" i="63" s="1"/>
  <c r="AK1293" i="63" s="1"/>
  <c r="AI1283" i="63"/>
  <c r="AH1283" i="63"/>
  <c r="AD1283" i="63"/>
  <c r="AC1283" i="63"/>
  <c r="X1283" i="63"/>
  <c r="W1283" i="63"/>
  <c r="R1283" i="63"/>
  <c r="Q1283" i="63"/>
  <c r="O1283" i="63"/>
  <c r="N1283" i="63"/>
  <c r="H1283" i="63"/>
  <c r="G1283" i="63"/>
  <c r="G1282" i="63" s="1"/>
  <c r="BJ1282" i="63"/>
  <c r="BJ1293" i="63" s="1"/>
  <c r="BD1282" i="63"/>
  <c r="AZ1282" i="63"/>
  <c r="AU1282" i="63"/>
  <c r="AH1282" i="63"/>
  <c r="AD1282" i="63"/>
  <c r="W1282" i="63"/>
  <c r="W1293" i="63" s="1"/>
  <c r="R1282" i="63"/>
  <c r="N1282" i="63"/>
  <c r="BP1280" i="63"/>
  <c r="BO1280" i="63"/>
  <c r="BM1280" i="63"/>
  <c r="BL1280" i="63"/>
  <c r="BJ1280" i="63"/>
  <c r="BK1280" i="63" s="1"/>
  <c r="BI1280" i="63"/>
  <c r="BG1280" i="63"/>
  <c r="BF1280" i="63"/>
  <c r="BD1280" i="63"/>
  <c r="BC1280" i="63"/>
  <c r="BA1280" i="63"/>
  <c r="AZ1280" i="63"/>
  <c r="AX1280" i="63"/>
  <c r="AW1280" i="63"/>
  <c r="AY1280" i="63" s="1"/>
  <c r="AU1280" i="63"/>
  <c r="AT1280" i="63"/>
  <c r="AR1280" i="63"/>
  <c r="AQ1280" i="63"/>
  <c r="AO1280" i="63"/>
  <c r="AN1280" i="63"/>
  <c r="AL1280" i="63"/>
  <c r="AK1280" i="63"/>
  <c r="AM1280" i="63" s="1"/>
  <c r="AJ1280" i="63"/>
  <c r="AI1280" i="63"/>
  <c r="AH1280" i="63"/>
  <c r="AD1280" i="63"/>
  <c r="AC1280" i="63"/>
  <c r="X1280" i="63"/>
  <c r="Y1280" i="63" s="1"/>
  <c r="W1280" i="63"/>
  <c r="R1280" i="63"/>
  <c r="Q1280" i="63"/>
  <c r="O1280" i="63"/>
  <c r="N1280" i="63"/>
  <c r="H1280" i="63"/>
  <c r="I1280" i="63" s="1"/>
  <c r="G1280" i="63"/>
  <c r="BP1279" i="63"/>
  <c r="BO1279" i="63"/>
  <c r="BM1279" i="63"/>
  <c r="BL1279" i="63"/>
  <c r="BJ1279" i="63"/>
  <c r="BK1279" i="63" s="1"/>
  <c r="BI1279" i="63"/>
  <c r="BG1279" i="63"/>
  <c r="BF1279" i="63"/>
  <c r="BD1279" i="63"/>
  <c r="BE1279" i="63" s="1"/>
  <c r="BC1279" i="63"/>
  <c r="BA1279" i="63"/>
  <c r="AZ1279" i="63"/>
  <c r="AX1279" i="63"/>
  <c r="AW1279" i="63"/>
  <c r="AY1279" i="63" s="1"/>
  <c r="AU1279" i="63"/>
  <c r="AV1279" i="63" s="1"/>
  <c r="AT1279" i="63"/>
  <c r="AR1279" i="63"/>
  <c r="AQ1279" i="63"/>
  <c r="AO1279" i="63"/>
  <c r="AN1279" i="63"/>
  <c r="AL1279" i="63"/>
  <c r="AK1279" i="63"/>
  <c r="AI1279" i="63"/>
  <c r="AJ1279" i="63" s="1"/>
  <c r="AH1279" i="63"/>
  <c r="AD1279" i="63"/>
  <c r="AC1279" i="63"/>
  <c r="X1279" i="63"/>
  <c r="W1279" i="63"/>
  <c r="R1279" i="63"/>
  <c r="Q1279" i="63"/>
  <c r="O1279" i="63"/>
  <c r="N1279" i="63"/>
  <c r="H1279" i="63"/>
  <c r="G1279" i="63"/>
  <c r="BP1278" i="63"/>
  <c r="BQ1278" i="63" s="1"/>
  <c r="BO1278" i="63"/>
  <c r="BM1278" i="63"/>
  <c r="BL1278" i="63"/>
  <c r="BN1278" i="63" s="1"/>
  <c r="BK1278" i="63"/>
  <c r="BJ1278" i="63"/>
  <c r="BI1278" i="63"/>
  <c r="BG1278" i="63"/>
  <c r="BF1278" i="63"/>
  <c r="BD1278" i="63"/>
  <c r="BC1278" i="63"/>
  <c r="BA1278" i="63"/>
  <c r="AZ1278" i="63"/>
  <c r="AX1278" i="63"/>
  <c r="AY1278" i="63" s="1"/>
  <c r="AW1278" i="63"/>
  <c r="AU1278" i="63"/>
  <c r="AV1278" i="63" s="1"/>
  <c r="AT1278" i="63"/>
  <c r="AR1278" i="63"/>
  <c r="AQ1278" i="63"/>
  <c r="AO1278" i="63"/>
  <c r="AN1278" i="63"/>
  <c r="AL1278" i="63"/>
  <c r="AM1278" i="63" s="1"/>
  <c r="AK1278" i="63"/>
  <c r="AI1278" i="63"/>
  <c r="AH1278" i="63"/>
  <c r="AD1278" i="63"/>
  <c r="AC1278" i="63"/>
  <c r="X1278" i="63"/>
  <c r="Y1278" i="63" s="1"/>
  <c r="W1278" i="63"/>
  <c r="R1278" i="63"/>
  <c r="S1278" i="63" s="1"/>
  <c r="Q1278" i="63"/>
  <c r="O1278" i="63"/>
  <c r="N1278" i="63"/>
  <c r="H1278" i="63"/>
  <c r="G1278" i="63"/>
  <c r="I1278" i="63" s="1"/>
  <c r="BP1277" i="63"/>
  <c r="BO1277" i="63"/>
  <c r="BM1277" i="63"/>
  <c r="BL1277" i="63"/>
  <c r="BN1277" i="63" s="1"/>
  <c r="BJ1277" i="63"/>
  <c r="BK1277" i="63" s="1"/>
  <c r="BI1277" i="63"/>
  <c r="BG1277" i="63"/>
  <c r="BF1277" i="63"/>
  <c r="BD1277" i="63"/>
  <c r="BE1277" i="63" s="1"/>
  <c r="BC1277" i="63"/>
  <c r="BA1277" i="63"/>
  <c r="AZ1277" i="63"/>
  <c r="BB1277" i="63" s="1"/>
  <c r="AY1277" i="63"/>
  <c r="AX1277" i="63"/>
  <c r="AW1277" i="63"/>
  <c r="AU1277" i="63"/>
  <c r="AT1277" i="63"/>
  <c r="AR1277" i="63"/>
  <c r="AQ1277" i="63"/>
  <c r="AO1277" i="63"/>
  <c r="AN1277" i="63"/>
  <c r="AL1277" i="63"/>
  <c r="AM1277" i="63" s="1"/>
  <c r="AK1277" i="63"/>
  <c r="AI1277" i="63"/>
  <c r="AH1277" i="63"/>
  <c r="AD1277" i="63"/>
  <c r="AC1277" i="63"/>
  <c r="X1277" i="63"/>
  <c r="W1277" i="63"/>
  <c r="R1277" i="63"/>
  <c r="Q1277" i="63"/>
  <c r="O1277" i="63"/>
  <c r="N1277" i="63"/>
  <c r="P1277" i="63" s="1"/>
  <c r="H1277" i="63"/>
  <c r="G1277" i="63"/>
  <c r="BP1276" i="63"/>
  <c r="BO1276" i="63"/>
  <c r="BM1276" i="63"/>
  <c r="BL1276" i="63"/>
  <c r="BJ1276" i="63"/>
  <c r="BI1276" i="63"/>
  <c r="BG1276" i="63"/>
  <c r="BF1276" i="63"/>
  <c r="BD1276" i="63"/>
  <c r="BC1276" i="63"/>
  <c r="BA1276" i="63"/>
  <c r="AZ1276" i="63"/>
  <c r="AX1276" i="63"/>
  <c r="AW1276" i="63"/>
  <c r="AU1276" i="63"/>
  <c r="AT1276" i="63"/>
  <c r="AR1276" i="63"/>
  <c r="AQ1276" i="63"/>
  <c r="AO1276" i="63"/>
  <c r="AP1276" i="63" s="1"/>
  <c r="AN1276" i="63"/>
  <c r="AL1276" i="63"/>
  <c r="AK1276" i="63"/>
  <c r="AI1276" i="63"/>
  <c r="AH1276" i="63"/>
  <c r="AE1276" i="63"/>
  <c r="X1276" i="63"/>
  <c r="Y1276" i="63" s="1"/>
  <c r="W1276" i="63"/>
  <c r="R1276" i="63"/>
  <c r="Q1276" i="63"/>
  <c r="O1276" i="63"/>
  <c r="P1276" i="63" s="1"/>
  <c r="N1276" i="63"/>
  <c r="H1276" i="63"/>
  <c r="G1276" i="63"/>
  <c r="BP1275" i="63"/>
  <c r="BO1275" i="63"/>
  <c r="BM1275" i="63"/>
  <c r="BL1275" i="63"/>
  <c r="BN1275" i="63" s="1"/>
  <c r="BJ1275" i="63"/>
  <c r="BI1275" i="63"/>
  <c r="BG1275" i="63"/>
  <c r="BF1275" i="63"/>
  <c r="BD1275" i="63"/>
  <c r="BC1275" i="63"/>
  <c r="BA1275" i="63"/>
  <c r="AZ1275" i="63"/>
  <c r="AX1275" i="63"/>
  <c r="AW1275" i="63"/>
  <c r="AU1275" i="63"/>
  <c r="AT1275" i="63"/>
  <c r="AR1275" i="63"/>
  <c r="AQ1275" i="63"/>
  <c r="AO1275" i="63"/>
  <c r="AN1275" i="63"/>
  <c r="AL1275" i="63"/>
  <c r="AK1275" i="63"/>
  <c r="AI1275" i="63"/>
  <c r="AH1275" i="63"/>
  <c r="AJ1275" i="63" s="1"/>
  <c r="AD1275" i="63"/>
  <c r="AC1275" i="63"/>
  <c r="X1275" i="63"/>
  <c r="W1275" i="63"/>
  <c r="R1275" i="63"/>
  <c r="S1275" i="63" s="1"/>
  <c r="Q1275" i="63"/>
  <c r="O1275" i="63"/>
  <c r="N1275" i="63"/>
  <c r="H1275" i="63"/>
  <c r="G1275" i="63"/>
  <c r="BQ1271" i="63"/>
  <c r="BN1271" i="63"/>
  <c r="BK1271" i="63"/>
  <c r="BH1271" i="63"/>
  <c r="BE1271" i="63"/>
  <c r="BB1271" i="63"/>
  <c r="AY1271" i="63"/>
  <c r="AV1271" i="63"/>
  <c r="AS1271" i="63"/>
  <c r="AP1271" i="63"/>
  <c r="AM1271" i="63"/>
  <c r="AJ1271" i="63"/>
  <c r="AE1271" i="63"/>
  <c r="U1271" i="63"/>
  <c r="V1271" i="63" s="1"/>
  <c r="T1271" i="63"/>
  <c r="S1271" i="63"/>
  <c r="P1271" i="63"/>
  <c r="M1271" i="63"/>
  <c r="L1271" i="63"/>
  <c r="K1271" i="63"/>
  <c r="K1280" i="63" s="1"/>
  <c r="I1271" i="63"/>
  <c r="BQ1270" i="63"/>
  <c r="BN1270" i="63"/>
  <c r="BK1270" i="63"/>
  <c r="BH1270" i="63"/>
  <c r="BE1270" i="63"/>
  <c r="BB1270" i="63"/>
  <c r="AY1270" i="63"/>
  <c r="AV1270" i="63"/>
  <c r="AS1270" i="63"/>
  <c r="AP1270" i="63"/>
  <c r="AM1270" i="63"/>
  <c r="AJ1270" i="63"/>
  <c r="AE1270" i="63"/>
  <c r="Y1270" i="63"/>
  <c r="U1270" i="63"/>
  <c r="T1270" i="63"/>
  <c r="Z1270" i="63" s="1"/>
  <c r="S1270" i="63"/>
  <c r="P1270" i="63"/>
  <c r="L1270" i="63"/>
  <c r="K1270" i="63"/>
  <c r="I1270" i="63"/>
  <c r="BQ1269" i="63"/>
  <c r="BN1269" i="63"/>
  <c r="BK1269" i="63"/>
  <c r="BH1269" i="63"/>
  <c r="BE1269" i="63"/>
  <c r="BB1269" i="63"/>
  <c r="AY1269" i="63"/>
  <c r="AV1269" i="63"/>
  <c r="AS1269" i="63"/>
  <c r="AP1269" i="63"/>
  <c r="AM1269" i="63"/>
  <c r="AJ1269" i="63"/>
  <c r="AE1269" i="63"/>
  <c r="U1269" i="63"/>
  <c r="AA1269" i="63" s="1"/>
  <c r="AB1269" i="63" s="1"/>
  <c r="T1269" i="63"/>
  <c r="Z1269" i="63" s="1"/>
  <c r="S1269" i="63"/>
  <c r="P1269" i="63"/>
  <c r="M1269" i="63"/>
  <c r="L1269" i="63"/>
  <c r="K1269" i="63"/>
  <c r="I1269" i="63"/>
  <c r="BQ1268" i="63"/>
  <c r="BN1268" i="63"/>
  <c r="BK1268" i="63"/>
  <c r="BH1268" i="63"/>
  <c r="BE1268" i="63"/>
  <c r="BB1268" i="63"/>
  <c r="AY1268" i="63"/>
  <c r="AV1268" i="63"/>
  <c r="AS1268" i="63"/>
  <c r="AP1268" i="63"/>
  <c r="AM1268" i="63"/>
  <c r="AJ1268" i="63"/>
  <c r="AE1268" i="63"/>
  <c r="Y1268" i="63"/>
  <c r="U1268" i="63"/>
  <c r="T1268" i="63"/>
  <c r="Z1268" i="63" s="1"/>
  <c r="S1268" i="63"/>
  <c r="P1268" i="63"/>
  <c r="L1268" i="63"/>
  <c r="K1268" i="63"/>
  <c r="I1268" i="63"/>
  <c r="BQ1267" i="63"/>
  <c r="BN1267" i="63"/>
  <c r="BK1267" i="63"/>
  <c r="BH1267" i="63"/>
  <c r="BE1267" i="63"/>
  <c r="BB1267" i="63"/>
  <c r="AY1267" i="63"/>
  <c r="AV1267" i="63"/>
  <c r="AS1267" i="63"/>
  <c r="AP1267" i="63"/>
  <c r="AM1267" i="63"/>
  <c r="AJ1267" i="63"/>
  <c r="AE1267" i="63"/>
  <c r="U1267" i="63"/>
  <c r="T1267" i="63"/>
  <c r="S1267" i="63"/>
  <c r="P1267" i="63"/>
  <c r="L1267" i="63"/>
  <c r="K1267" i="63"/>
  <c r="K1278" i="63" s="1"/>
  <c r="I1267" i="63"/>
  <c r="BQ1266" i="63"/>
  <c r="BN1266" i="63"/>
  <c r="BK1266" i="63"/>
  <c r="BH1266" i="63"/>
  <c r="BE1266" i="63"/>
  <c r="BB1266" i="63"/>
  <c r="AY1266" i="63"/>
  <c r="AV1266" i="63"/>
  <c r="AS1266" i="63"/>
  <c r="AP1266" i="63"/>
  <c r="AM1266" i="63"/>
  <c r="AJ1266" i="63"/>
  <c r="AE1266" i="63"/>
  <c r="Y1266" i="63"/>
  <c r="U1266" i="63"/>
  <c r="AA1266" i="63" s="1"/>
  <c r="T1266" i="63"/>
  <c r="S1266" i="63"/>
  <c r="P1266" i="63"/>
  <c r="L1266" i="63"/>
  <c r="K1266" i="63"/>
  <c r="M1266" i="63" s="1"/>
  <c r="I1266" i="63"/>
  <c r="BQ1265" i="63"/>
  <c r="BN1265" i="63"/>
  <c r="BK1265" i="63"/>
  <c r="BH1265" i="63"/>
  <c r="BE1265" i="63"/>
  <c r="BB1265" i="63"/>
  <c r="AY1265" i="63"/>
  <c r="AV1265" i="63"/>
  <c r="AS1265" i="63"/>
  <c r="AP1265" i="63"/>
  <c r="AM1265" i="63"/>
  <c r="AJ1265" i="63"/>
  <c r="AE1265" i="63"/>
  <c r="Z1265" i="63"/>
  <c r="V1265" i="63"/>
  <c r="U1265" i="63"/>
  <c r="AA1265" i="63" s="1"/>
  <c r="T1265" i="63"/>
  <c r="T1276" i="63" s="1"/>
  <c r="S1265" i="63"/>
  <c r="P1265" i="63"/>
  <c r="L1265" i="63"/>
  <c r="M1265" i="63" s="1"/>
  <c r="K1265" i="63"/>
  <c r="I1265" i="63"/>
  <c r="BQ1264" i="63"/>
  <c r="BN1264" i="63"/>
  <c r="BK1264" i="63"/>
  <c r="BH1264" i="63"/>
  <c r="BE1264" i="63"/>
  <c r="BB1264" i="63"/>
  <c r="AY1264" i="63"/>
  <c r="AV1264" i="63"/>
  <c r="AS1264" i="63"/>
  <c r="AP1264" i="63"/>
  <c r="AM1264" i="63"/>
  <c r="AJ1264" i="63"/>
  <c r="AE1264" i="63"/>
  <c r="Y1264" i="63"/>
  <c r="U1264" i="63"/>
  <c r="T1264" i="63"/>
  <c r="S1264" i="63"/>
  <c r="P1264" i="63"/>
  <c r="L1264" i="63"/>
  <c r="K1264" i="63"/>
  <c r="I1264" i="63"/>
  <c r="BP1263" i="63"/>
  <c r="BP1262" i="63" s="1"/>
  <c r="BQ1262" i="63" s="1"/>
  <c r="BO1263" i="63"/>
  <c r="BM1263" i="63"/>
  <c r="BM1274" i="63" s="1"/>
  <c r="BL1263" i="63"/>
  <c r="BJ1263" i="63"/>
  <c r="BI1263" i="63"/>
  <c r="BG1263" i="63"/>
  <c r="BG1262" i="63" s="1"/>
  <c r="BF1263" i="63"/>
  <c r="BD1263" i="63"/>
  <c r="BC1263" i="63"/>
  <c r="BA1263" i="63"/>
  <c r="BA1274" i="63" s="1"/>
  <c r="AZ1263" i="63"/>
  <c r="AX1263" i="63"/>
  <c r="AW1263" i="63"/>
  <c r="AU1263" i="63"/>
  <c r="AU1262" i="63" s="1"/>
  <c r="AT1263" i="63"/>
  <c r="AR1263" i="63"/>
  <c r="AS1263" i="63" s="1"/>
  <c r="AQ1263" i="63"/>
  <c r="AO1263" i="63"/>
  <c r="AN1263" i="63"/>
  <c r="AL1263" i="63"/>
  <c r="AK1263" i="63"/>
  <c r="AI1263" i="63"/>
  <c r="AH1263" i="63"/>
  <c r="AH1262" i="63" s="1"/>
  <c r="AD1263" i="63"/>
  <c r="AD1262" i="63" s="1"/>
  <c r="AC1263" i="63"/>
  <c r="X1263" i="63"/>
  <c r="W1263" i="63"/>
  <c r="R1263" i="63"/>
  <c r="Q1263" i="63"/>
  <c r="O1263" i="63"/>
  <c r="O1262" i="63" s="1"/>
  <c r="N1263" i="63"/>
  <c r="N1262" i="63" s="1"/>
  <c r="H1263" i="63"/>
  <c r="G1263" i="63"/>
  <c r="G1262" i="63" s="1"/>
  <c r="BO1262" i="63"/>
  <c r="BM1262" i="63"/>
  <c r="BL1262" i="63"/>
  <c r="BC1262" i="63"/>
  <c r="BA1262" i="63"/>
  <c r="AQ1262" i="63"/>
  <c r="AO1262" i="63"/>
  <c r="AI1262" i="63"/>
  <c r="AJ1262" i="63" s="1"/>
  <c r="X1262" i="63"/>
  <c r="R1262" i="63"/>
  <c r="BQ1258" i="63"/>
  <c r="BN1258" i="63"/>
  <c r="BK1258" i="63"/>
  <c r="BH1258" i="63"/>
  <c r="BE1258" i="63"/>
  <c r="BB1258" i="63"/>
  <c r="AY1258" i="63"/>
  <c r="AV1258" i="63"/>
  <c r="AS1258" i="63"/>
  <c r="AP1258" i="63"/>
  <c r="AM1258" i="63"/>
  <c r="AJ1258" i="63"/>
  <c r="AE1258" i="63"/>
  <c r="Y1258" i="63"/>
  <c r="U1258" i="63"/>
  <c r="T1258" i="63"/>
  <c r="Z1258" i="63" s="1"/>
  <c r="S1258" i="63"/>
  <c r="P1258" i="63"/>
  <c r="L1258" i="63"/>
  <c r="K1258" i="63"/>
  <c r="I1258" i="63"/>
  <c r="BQ1257" i="63"/>
  <c r="BN1257" i="63"/>
  <c r="BK1257" i="63"/>
  <c r="BH1257" i="63"/>
  <c r="BE1257" i="63"/>
  <c r="BB1257" i="63"/>
  <c r="AY1257" i="63"/>
  <c r="AV1257" i="63"/>
  <c r="AS1257" i="63"/>
  <c r="AP1257" i="63"/>
  <c r="AM1257" i="63"/>
  <c r="AJ1257" i="63"/>
  <c r="AE1257" i="63"/>
  <c r="Y1257" i="63"/>
  <c r="U1257" i="63"/>
  <c r="AA1257" i="63" s="1"/>
  <c r="AB1257" i="63" s="1"/>
  <c r="T1257" i="63"/>
  <c r="Z1257" i="63" s="1"/>
  <c r="S1257" i="63"/>
  <c r="P1257" i="63"/>
  <c r="L1257" i="63"/>
  <c r="M1257" i="63" s="1"/>
  <c r="K1257" i="63"/>
  <c r="I1257" i="63"/>
  <c r="BQ1256" i="63"/>
  <c r="BN1256" i="63"/>
  <c r="BK1256" i="63"/>
  <c r="BH1256" i="63"/>
  <c r="BE1256" i="63"/>
  <c r="BB1256" i="63"/>
  <c r="AY1256" i="63"/>
  <c r="AV1256" i="63"/>
  <c r="AS1256" i="63"/>
  <c r="AP1256" i="63"/>
  <c r="AM1256" i="63"/>
  <c r="AJ1256" i="63"/>
  <c r="AE1256" i="63"/>
  <c r="Y1256" i="63"/>
  <c r="U1256" i="63"/>
  <c r="V1256" i="63" s="1"/>
  <c r="T1256" i="63"/>
  <c r="Z1256" i="63" s="1"/>
  <c r="S1256" i="63"/>
  <c r="P1256" i="63"/>
  <c r="L1256" i="63"/>
  <c r="K1256" i="63"/>
  <c r="M1256" i="63" s="1"/>
  <c r="I1256" i="63"/>
  <c r="BQ1255" i="63"/>
  <c r="BN1255" i="63"/>
  <c r="BK1255" i="63"/>
  <c r="BH1255" i="63"/>
  <c r="BE1255" i="63"/>
  <c r="BB1255" i="63"/>
  <c r="AY1255" i="63"/>
  <c r="AV1255" i="63"/>
  <c r="AS1255" i="63"/>
  <c r="AP1255" i="63"/>
  <c r="AM1255" i="63"/>
  <c r="AJ1255" i="63"/>
  <c r="AE1255" i="63"/>
  <c r="Y1255" i="63"/>
  <c r="U1255" i="63"/>
  <c r="AA1255" i="63" s="1"/>
  <c r="T1255" i="63"/>
  <c r="S1255" i="63"/>
  <c r="P1255" i="63"/>
  <c r="L1255" i="63"/>
  <c r="K1255" i="63"/>
  <c r="I1255" i="63"/>
  <c r="BQ1254" i="63"/>
  <c r="BN1254" i="63"/>
  <c r="BK1254" i="63"/>
  <c r="BH1254" i="63"/>
  <c r="BE1254" i="63"/>
  <c r="BB1254" i="63"/>
  <c r="AY1254" i="63"/>
  <c r="AV1254" i="63"/>
  <c r="AS1254" i="63"/>
  <c r="AP1254" i="63"/>
  <c r="AM1254" i="63"/>
  <c r="AJ1254" i="63"/>
  <c r="AE1254" i="63"/>
  <c r="Y1254" i="63"/>
  <c r="U1254" i="63"/>
  <c r="V1254" i="63" s="1"/>
  <c r="T1254" i="63"/>
  <c r="Z1254" i="63" s="1"/>
  <c r="S1254" i="63"/>
  <c r="P1254" i="63"/>
  <c r="M1254" i="63"/>
  <c r="L1254" i="63"/>
  <c r="K1254" i="63"/>
  <c r="I1254" i="63"/>
  <c r="BQ1253" i="63"/>
  <c r="BN1253" i="63"/>
  <c r="BK1253" i="63"/>
  <c r="BH1253" i="63"/>
  <c r="BE1253" i="63"/>
  <c r="BB1253" i="63"/>
  <c r="AY1253" i="63"/>
  <c r="AV1253" i="63"/>
  <c r="AS1253" i="63"/>
  <c r="AP1253" i="63"/>
  <c r="AM1253" i="63"/>
  <c r="AJ1253" i="63"/>
  <c r="AE1253" i="63"/>
  <c r="Y1253" i="63"/>
  <c r="U1253" i="63"/>
  <c r="AA1253" i="63" s="1"/>
  <c r="T1253" i="63"/>
  <c r="S1253" i="63"/>
  <c r="P1253" i="63"/>
  <c r="L1253" i="63"/>
  <c r="K1253" i="63"/>
  <c r="I1253" i="63"/>
  <c r="BQ1252" i="63"/>
  <c r="BN1252" i="63"/>
  <c r="BK1252" i="63"/>
  <c r="BH1252" i="63"/>
  <c r="BE1252" i="63"/>
  <c r="BB1252" i="63"/>
  <c r="AY1252" i="63"/>
  <c r="AV1252" i="63"/>
  <c r="AS1252" i="63"/>
  <c r="AP1252" i="63"/>
  <c r="AM1252" i="63"/>
  <c r="AJ1252" i="63"/>
  <c r="AE1252" i="63"/>
  <c r="Y1252" i="63"/>
  <c r="U1252" i="63"/>
  <c r="T1252" i="63"/>
  <c r="Z1252" i="63" s="1"/>
  <c r="S1252" i="63"/>
  <c r="P1252" i="63"/>
  <c r="M1252" i="63"/>
  <c r="L1252" i="63"/>
  <c r="K1252" i="63"/>
  <c r="I1252" i="63"/>
  <c r="BQ1251" i="63"/>
  <c r="BN1251" i="63"/>
  <c r="BK1251" i="63"/>
  <c r="BH1251" i="63"/>
  <c r="BE1251" i="63"/>
  <c r="BB1251" i="63"/>
  <c r="AY1251" i="63"/>
  <c r="AV1251" i="63"/>
  <c r="AS1251" i="63"/>
  <c r="AP1251" i="63"/>
  <c r="AM1251" i="63"/>
  <c r="AJ1251" i="63"/>
  <c r="AE1251" i="63"/>
  <c r="Y1251" i="63"/>
  <c r="U1251" i="63"/>
  <c r="AA1251" i="63" s="1"/>
  <c r="T1251" i="63"/>
  <c r="S1251" i="63"/>
  <c r="P1251" i="63"/>
  <c r="L1251" i="63"/>
  <c r="K1251" i="63"/>
  <c r="I1251" i="63"/>
  <c r="BQ1250" i="63"/>
  <c r="BN1250" i="63"/>
  <c r="BK1250" i="63"/>
  <c r="BH1250" i="63"/>
  <c r="BE1250" i="63"/>
  <c r="BB1250" i="63"/>
  <c r="AY1250" i="63"/>
  <c r="AV1250" i="63"/>
  <c r="AS1250" i="63"/>
  <c r="AP1250" i="63"/>
  <c r="AM1250" i="63"/>
  <c r="AJ1250" i="63"/>
  <c r="AE1250" i="63"/>
  <c r="Y1250" i="63"/>
  <c r="U1250" i="63"/>
  <c r="AA1250" i="63" s="1"/>
  <c r="T1250" i="63"/>
  <c r="Z1250" i="63" s="1"/>
  <c r="S1250" i="63"/>
  <c r="P1250" i="63"/>
  <c r="L1250" i="63"/>
  <c r="K1250" i="63"/>
  <c r="I1250" i="63"/>
  <c r="BQ1249" i="63"/>
  <c r="BN1249" i="63"/>
  <c r="BK1249" i="63"/>
  <c r="BH1249" i="63"/>
  <c r="BE1249" i="63"/>
  <c r="BB1249" i="63"/>
  <c r="AY1249" i="63"/>
  <c r="AV1249" i="63"/>
  <c r="AS1249" i="63"/>
  <c r="AP1249" i="63"/>
  <c r="AM1249" i="63"/>
  <c r="AJ1249" i="63"/>
  <c r="AE1249" i="63"/>
  <c r="Y1249" i="63"/>
  <c r="U1249" i="63"/>
  <c r="AA1249" i="63" s="1"/>
  <c r="T1249" i="63"/>
  <c r="S1249" i="63"/>
  <c r="P1249" i="63"/>
  <c r="L1249" i="63"/>
  <c r="K1249" i="63"/>
  <c r="I1249" i="63"/>
  <c r="BQ1248" i="63"/>
  <c r="BN1248" i="63"/>
  <c r="BK1248" i="63"/>
  <c r="BH1248" i="63"/>
  <c r="BE1248" i="63"/>
  <c r="BB1248" i="63"/>
  <c r="AY1248" i="63"/>
  <c r="AV1248" i="63"/>
  <c r="AS1248" i="63"/>
  <c r="AP1248" i="63"/>
  <c r="AM1248" i="63"/>
  <c r="AJ1248" i="63"/>
  <c r="AE1248" i="63"/>
  <c r="Y1248" i="63"/>
  <c r="U1248" i="63"/>
  <c r="AA1248" i="63" s="1"/>
  <c r="T1248" i="63"/>
  <c r="Z1248" i="63" s="1"/>
  <c r="S1248" i="63"/>
  <c r="P1248" i="63"/>
  <c r="L1248" i="63"/>
  <c r="M1248" i="63" s="1"/>
  <c r="K1248" i="63"/>
  <c r="I1248" i="63"/>
  <c r="BP1247" i="63"/>
  <c r="BQ1247" i="63" s="1"/>
  <c r="BO1247" i="63"/>
  <c r="BM1247" i="63"/>
  <c r="BL1247" i="63"/>
  <c r="BJ1247" i="63"/>
  <c r="BI1247" i="63"/>
  <c r="BG1247" i="63"/>
  <c r="BF1247" i="63"/>
  <c r="BD1247" i="63"/>
  <c r="BC1247" i="63"/>
  <c r="BC1233" i="63" s="1"/>
  <c r="BC1259" i="63" s="1"/>
  <c r="BA1247" i="63"/>
  <c r="AZ1247" i="63"/>
  <c r="AX1247" i="63"/>
  <c r="AW1247" i="63"/>
  <c r="AU1247" i="63"/>
  <c r="AT1247" i="63"/>
  <c r="AR1247" i="63"/>
  <c r="AQ1247" i="63"/>
  <c r="AQ1233" i="63" s="1"/>
  <c r="AQ1259" i="63" s="1"/>
  <c r="AO1247" i="63"/>
  <c r="AN1247" i="63"/>
  <c r="AL1247" i="63"/>
  <c r="AK1247" i="63"/>
  <c r="AI1247" i="63"/>
  <c r="AH1247" i="63"/>
  <c r="AE1247" i="63"/>
  <c r="AD1247" i="63"/>
  <c r="AC1247" i="63"/>
  <c r="X1247" i="63"/>
  <c r="W1247" i="63"/>
  <c r="R1247" i="63"/>
  <c r="S1247" i="63" s="1"/>
  <c r="Q1247" i="63"/>
  <c r="O1247" i="63"/>
  <c r="N1247" i="63"/>
  <c r="H1247" i="63"/>
  <c r="G1247" i="63"/>
  <c r="BQ1246" i="63"/>
  <c r="BN1246" i="63"/>
  <c r="BK1246" i="63"/>
  <c r="BH1246" i="63"/>
  <c r="BE1246" i="63"/>
  <c r="BB1246" i="63"/>
  <c r="AY1246" i="63"/>
  <c r="AV1246" i="63"/>
  <c r="AS1246" i="63"/>
  <c r="AP1246" i="63"/>
  <c r="AM1246" i="63"/>
  <c r="AJ1246" i="63"/>
  <c r="AE1246" i="63"/>
  <c r="Y1246" i="63"/>
  <c r="U1246" i="63"/>
  <c r="AA1246" i="63" s="1"/>
  <c r="T1246" i="63"/>
  <c r="S1246" i="63"/>
  <c r="P1246" i="63"/>
  <c r="L1246" i="63"/>
  <c r="K1246" i="63"/>
  <c r="I1246" i="63"/>
  <c r="BQ1245" i="63"/>
  <c r="BN1245" i="63"/>
  <c r="BK1245" i="63"/>
  <c r="BH1245" i="63"/>
  <c r="BE1245" i="63"/>
  <c r="BB1245" i="63"/>
  <c r="AY1245" i="63"/>
  <c r="AV1245" i="63"/>
  <c r="AS1245" i="63"/>
  <c r="AP1245" i="63"/>
  <c r="AM1245" i="63"/>
  <c r="AJ1245" i="63"/>
  <c r="AE1245" i="63"/>
  <c r="Y1245" i="63"/>
  <c r="U1245" i="63"/>
  <c r="AA1245" i="63" s="1"/>
  <c r="T1245" i="63"/>
  <c r="Z1245" i="63" s="1"/>
  <c r="S1245" i="63"/>
  <c r="P1245" i="63"/>
  <c r="L1245" i="63"/>
  <c r="K1245" i="63"/>
  <c r="I1245" i="63"/>
  <c r="BQ1244" i="63"/>
  <c r="BN1244" i="63"/>
  <c r="BK1244" i="63"/>
  <c r="BH1244" i="63"/>
  <c r="BE1244" i="63"/>
  <c r="BB1244" i="63"/>
  <c r="AY1244" i="63"/>
  <c r="AV1244" i="63"/>
  <c r="AS1244" i="63"/>
  <c r="AP1244" i="63"/>
  <c r="AM1244" i="63"/>
  <c r="AJ1244" i="63"/>
  <c r="AE1244" i="63"/>
  <c r="Y1244" i="63"/>
  <c r="U1244" i="63"/>
  <c r="AA1244" i="63" s="1"/>
  <c r="T1244" i="63"/>
  <c r="S1244" i="63"/>
  <c r="P1244" i="63"/>
  <c r="L1244" i="63"/>
  <c r="K1244" i="63"/>
  <c r="I1244" i="63"/>
  <c r="BQ1243" i="63"/>
  <c r="BN1243" i="63"/>
  <c r="BK1243" i="63"/>
  <c r="BH1243" i="63"/>
  <c r="BE1243" i="63"/>
  <c r="BB1243" i="63"/>
  <c r="AY1243" i="63"/>
  <c r="AV1243" i="63"/>
  <c r="AS1243" i="63"/>
  <c r="AP1243" i="63"/>
  <c r="AM1243" i="63"/>
  <c r="AJ1243" i="63"/>
  <c r="AE1243" i="63"/>
  <c r="Y1243" i="63"/>
  <c r="U1243" i="63"/>
  <c r="AA1243" i="63" s="1"/>
  <c r="T1243" i="63"/>
  <c r="Z1243" i="63" s="1"/>
  <c r="S1243" i="63"/>
  <c r="P1243" i="63"/>
  <c r="L1243" i="63"/>
  <c r="M1243" i="63" s="1"/>
  <c r="K1243" i="63"/>
  <c r="I1243" i="63"/>
  <c r="BQ1242" i="63"/>
  <c r="BN1242" i="63"/>
  <c r="BK1242" i="63"/>
  <c r="BH1242" i="63"/>
  <c r="BE1242" i="63"/>
  <c r="BB1242" i="63"/>
  <c r="AY1242" i="63"/>
  <c r="AV1242" i="63"/>
  <c r="AS1242" i="63"/>
  <c r="AP1242" i="63"/>
  <c r="AM1242" i="63"/>
  <c r="AJ1242" i="63"/>
  <c r="AE1242" i="63"/>
  <c r="Z1242" i="63"/>
  <c r="Y1242" i="63"/>
  <c r="U1242" i="63"/>
  <c r="AA1242" i="63" s="1"/>
  <c r="T1242" i="63"/>
  <c r="S1242" i="63"/>
  <c r="P1242" i="63"/>
  <c r="L1242" i="63"/>
  <c r="K1242" i="63"/>
  <c r="I1242" i="63"/>
  <c r="BQ1241" i="63"/>
  <c r="BN1241" i="63"/>
  <c r="BK1241" i="63"/>
  <c r="BH1241" i="63"/>
  <c r="BE1241" i="63"/>
  <c r="BB1241" i="63"/>
  <c r="AY1241" i="63"/>
  <c r="AV1241" i="63"/>
  <c r="AS1241" i="63"/>
  <c r="AP1241" i="63"/>
  <c r="AM1241" i="63"/>
  <c r="AJ1241" i="63"/>
  <c r="AE1241" i="63"/>
  <c r="Y1241" i="63"/>
  <c r="U1241" i="63"/>
  <c r="T1241" i="63"/>
  <c r="Z1241" i="63" s="1"/>
  <c r="S1241" i="63"/>
  <c r="P1241" i="63"/>
  <c r="L1241" i="63"/>
  <c r="M1241" i="63" s="1"/>
  <c r="K1241" i="63"/>
  <c r="I1241" i="63"/>
  <c r="BP1240" i="63"/>
  <c r="BO1240" i="63"/>
  <c r="BM1240" i="63"/>
  <c r="BL1240" i="63"/>
  <c r="BL1233" i="63" s="1"/>
  <c r="BL1259" i="63" s="1"/>
  <c r="BJ1240" i="63"/>
  <c r="BI1240" i="63"/>
  <c r="BG1240" i="63"/>
  <c r="BF1240" i="63"/>
  <c r="BF1233" i="63" s="1"/>
  <c r="BD1240" i="63"/>
  <c r="BC1240" i="63"/>
  <c r="BA1240" i="63"/>
  <c r="AZ1240" i="63"/>
  <c r="AZ1233" i="63" s="1"/>
  <c r="AZ1259" i="63" s="1"/>
  <c r="AX1240" i="63"/>
  <c r="AW1240" i="63"/>
  <c r="AU1240" i="63"/>
  <c r="AT1240" i="63"/>
  <c r="AR1240" i="63"/>
  <c r="AQ1240" i="63"/>
  <c r="AO1240" i="63"/>
  <c r="AN1240" i="63"/>
  <c r="AN1233" i="63" s="1"/>
  <c r="AN1259" i="63" s="1"/>
  <c r="AL1240" i="63"/>
  <c r="AK1240" i="63"/>
  <c r="AI1240" i="63"/>
  <c r="AH1240" i="63"/>
  <c r="AD1240" i="63"/>
  <c r="AD1233" i="63" s="1"/>
  <c r="AC1240" i="63"/>
  <c r="X1240" i="63"/>
  <c r="W1240" i="63"/>
  <c r="R1240" i="63"/>
  <c r="Q1240" i="63"/>
  <c r="Q1233" i="63" s="1"/>
  <c r="Q1259" i="63" s="1"/>
  <c r="O1240" i="63"/>
  <c r="N1240" i="63"/>
  <c r="K1240" i="63"/>
  <c r="H1240" i="63"/>
  <c r="G1240" i="63"/>
  <c r="BP1239" i="63"/>
  <c r="BO1239" i="63"/>
  <c r="BM1239" i="63"/>
  <c r="BL1239" i="63"/>
  <c r="BJ1239" i="63"/>
  <c r="BI1239" i="63"/>
  <c r="BG1239" i="63"/>
  <c r="BF1239" i="63"/>
  <c r="BD1239" i="63"/>
  <c r="BE1239" i="63" s="1"/>
  <c r="BC1239" i="63"/>
  <c r="BA1239" i="63"/>
  <c r="AZ1239" i="63"/>
  <c r="AX1239" i="63"/>
  <c r="AW1239" i="63"/>
  <c r="AU1239" i="63"/>
  <c r="AT1239" i="63"/>
  <c r="AR1239" i="63"/>
  <c r="AQ1239" i="63"/>
  <c r="AO1239" i="63"/>
  <c r="AN1239" i="63"/>
  <c r="AL1239" i="63"/>
  <c r="AK1239" i="63"/>
  <c r="AI1239" i="63"/>
  <c r="AH1239" i="63"/>
  <c r="AJ1239" i="63" s="1"/>
  <c r="AD1239" i="63"/>
  <c r="AE1239" i="63" s="1"/>
  <c r="AC1239" i="63"/>
  <c r="X1239" i="63"/>
  <c r="W1239" i="63"/>
  <c r="R1239" i="63"/>
  <c r="Q1239" i="63"/>
  <c r="T1239" i="63" s="1"/>
  <c r="P1239" i="63"/>
  <c r="O1239" i="63"/>
  <c r="N1239" i="63"/>
  <c r="H1239" i="63"/>
  <c r="G1239" i="63"/>
  <c r="BP1238" i="63"/>
  <c r="BO1238" i="63"/>
  <c r="BM1238" i="63"/>
  <c r="BN1238" i="63" s="1"/>
  <c r="BL1238" i="63"/>
  <c r="BJ1238" i="63"/>
  <c r="BK1238" i="63" s="1"/>
  <c r="BI1238" i="63"/>
  <c r="BG1238" i="63"/>
  <c r="BF1238" i="63"/>
  <c r="BD1238" i="63"/>
  <c r="BC1238" i="63"/>
  <c r="BE1238" i="63" s="1"/>
  <c r="BA1238" i="63"/>
  <c r="AZ1238" i="63"/>
  <c r="AX1238" i="63"/>
  <c r="AW1238" i="63"/>
  <c r="AU1238" i="63"/>
  <c r="AT1238" i="63"/>
  <c r="AR1238" i="63"/>
  <c r="AQ1238" i="63"/>
  <c r="AP1238" i="63"/>
  <c r="AO1238" i="63"/>
  <c r="AN1238" i="63"/>
  <c r="AL1238" i="63"/>
  <c r="AK1238" i="63"/>
  <c r="AK1216" i="63" s="1"/>
  <c r="AI1238" i="63"/>
  <c r="AH1238" i="63"/>
  <c r="AD1238" i="63"/>
  <c r="AC1238" i="63"/>
  <c r="X1238" i="63"/>
  <c r="Y1238" i="63" s="1"/>
  <c r="W1238" i="63"/>
  <c r="R1238" i="63"/>
  <c r="S1238" i="63" s="1"/>
  <c r="Q1238" i="63"/>
  <c r="O1238" i="63"/>
  <c r="N1238" i="63"/>
  <c r="K1238" i="63" s="1"/>
  <c r="H1238" i="63"/>
  <c r="G1238" i="63"/>
  <c r="BP1237" i="63"/>
  <c r="BQ1237" i="63" s="1"/>
  <c r="BO1237" i="63"/>
  <c r="BM1237" i="63"/>
  <c r="BL1237" i="63"/>
  <c r="BN1237" i="63" s="1"/>
  <c r="BJ1237" i="63"/>
  <c r="BI1237" i="63"/>
  <c r="BG1237" i="63"/>
  <c r="BF1237" i="63"/>
  <c r="BH1237" i="63" s="1"/>
  <c r="BD1237" i="63"/>
  <c r="BE1237" i="63" s="1"/>
  <c r="BC1237" i="63"/>
  <c r="BA1237" i="63"/>
  <c r="AZ1237" i="63"/>
  <c r="AX1237" i="63"/>
  <c r="AW1237" i="63"/>
  <c r="AU1237" i="63"/>
  <c r="AT1237" i="63"/>
  <c r="AS1237" i="63"/>
  <c r="AR1237" i="63"/>
  <c r="AQ1237" i="63"/>
  <c r="AO1237" i="63"/>
  <c r="AN1237" i="63"/>
  <c r="AL1237" i="63"/>
  <c r="AK1237" i="63"/>
  <c r="AI1237" i="63"/>
  <c r="AH1237" i="63"/>
  <c r="AD1237" i="63"/>
  <c r="AC1237" i="63"/>
  <c r="X1237" i="63"/>
  <c r="W1237" i="63"/>
  <c r="R1237" i="63"/>
  <c r="Q1237" i="63"/>
  <c r="S1237" i="63" s="1"/>
  <c r="O1237" i="63"/>
  <c r="N1237" i="63"/>
  <c r="H1237" i="63"/>
  <c r="G1237" i="63"/>
  <c r="BQ1236" i="63"/>
  <c r="BP1236" i="63"/>
  <c r="BO1236" i="63"/>
  <c r="BM1236" i="63"/>
  <c r="BL1236" i="63"/>
  <c r="BJ1236" i="63"/>
  <c r="BI1236" i="63"/>
  <c r="BG1236" i="63"/>
  <c r="BF1236" i="63"/>
  <c r="BD1236" i="63"/>
  <c r="BC1236" i="63"/>
  <c r="BA1236" i="63"/>
  <c r="AZ1236" i="63"/>
  <c r="AZ1216" i="63" s="1"/>
  <c r="AX1236" i="63"/>
  <c r="AW1236" i="63"/>
  <c r="AU1236" i="63"/>
  <c r="AT1236" i="63"/>
  <c r="AV1236" i="63" s="1"/>
  <c r="AR1236" i="63"/>
  <c r="AS1236" i="63" s="1"/>
  <c r="AQ1236" i="63"/>
  <c r="AO1236" i="63"/>
  <c r="AN1236" i="63"/>
  <c r="AP1236" i="63" s="1"/>
  <c r="AL1236" i="63"/>
  <c r="AK1236" i="63"/>
  <c r="AI1236" i="63"/>
  <c r="AH1236" i="63"/>
  <c r="AD1236" i="63"/>
  <c r="AE1236" i="63" s="1"/>
  <c r="AC1236" i="63"/>
  <c r="X1236" i="63"/>
  <c r="W1236" i="63"/>
  <c r="R1236" i="63"/>
  <c r="Q1236" i="63"/>
  <c r="O1236" i="63"/>
  <c r="P1236" i="63" s="1"/>
  <c r="N1236" i="63"/>
  <c r="T1236" i="63" s="1"/>
  <c r="Z1236" i="63" s="1"/>
  <c r="H1236" i="63"/>
  <c r="G1236" i="63"/>
  <c r="BP1235" i="63"/>
  <c r="BQ1235" i="63" s="1"/>
  <c r="BO1235" i="63"/>
  <c r="BM1235" i="63"/>
  <c r="BL1235" i="63"/>
  <c r="BJ1235" i="63"/>
  <c r="BI1235" i="63"/>
  <c r="BG1235" i="63"/>
  <c r="BF1235" i="63"/>
  <c r="BD1235" i="63"/>
  <c r="BE1235" i="63" s="1"/>
  <c r="BC1235" i="63"/>
  <c r="BB1235" i="63"/>
  <c r="BA1235" i="63"/>
  <c r="AZ1235" i="63"/>
  <c r="AX1235" i="63"/>
  <c r="AW1235" i="63"/>
  <c r="AU1235" i="63"/>
  <c r="AT1235" i="63"/>
  <c r="AR1235" i="63"/>
  <c r="AQ1235" i="63"/>
  <c r="AP1235" i="63"/>
  <c r="AO1235" i="63"/>
  <c r="AN1235" i="63"/>
  <c r="AL1235" i="63"/>
  <c r="AK1235" i="63"/>
  <c r="AI1235" i="63"/>
  <c r="AH1235" i="63"/>
  <c r="AD1235" i="63"/>
  <c r="AE1235" i="63" s="1"/>
  <c r="AC1235" i="63"/>
  <c r="X1235" i="63"/>
  <c r="Y1235" i="63" s="1"/>
  <c r="W1235" i="63"/>
  <c r="R1235" i="63"/>
  <c r="S1235" i="63" s="1"/>
  <c r="Q1235" i="63"/>
  <c r="O1235" i="63"/>
  <c r="N1235" i="63"/>
  <c r="K1235" i="63" s="1"/>
  <c r="H1235" i="63"/>
  <c r="G1235" i="63"/>
  <c r="BP1234" i="63"/>
  <c r="BO1234" i="63"/>
  <c r="BM1234" i="63"/>
  <c r="BN1234" i="63" s="1"/>
  <c r="BL1234" i="63"/>
  <c r="BJ1234" i="63"/>
  <c r="BI1234" i="63"/>
  <c r="BG1234" i="63"/>
  <c r="BF1234" i="63"/>
  <c r="BD1234" i="63"/>
  <c r="BE1234" i="63" s="1"/>
  <c r="BC1234" i="63"/>
  <c r="BA1234" i="63"/>
  <c r="AZ1234" i="63"/>
  <c r="AX1234" i="63"/>
  <c r="AW1234" i="63"/>
  <c r="AU1234" i="63"/>
  <c r="AT1234" i="63"/>
  <c r="AT1214" i="63" s="1"/>
  <c r="AR1234" i="63"/>
  <c r="AQ1234" i="63"/>
  <c r="AO1234" i="63"/>
  <c r="AN1234" i="63"/>
  <c r="AL1234" i="63"/>
  <c r="AK1234" i="63"/>
  <c r="AI1234" i="63"/>
  <c r="AH1234" i="63"/>
  <c r="AD1234" i="63"/>
  <c r="AC1234" i="63"/>
  <c r="X1234" i="63"/>
  <c r="W1234" i="63"/>
  <c r="S1234" i="63"/>
  <c r="R1234" i="63"/>
  <c r="Q1234" i="63"/>
  <c r="O1234" i="63"/>
  <c r="N1234" i="63"/>
  <c r="H1234" i="63"/>
  <c r="G1234" i="63"/>
  <c r="BO1233" i="63"/>
  <c r="BO1259" i="63" s="1"/>
  <c r="BA1233" i="63"/>
  <c r="AW1233" i="63"/>
  <c r="AU1233" i="63"/>
  <c r="AU1259" i="63" s="1"/>
  <c r="AI1233" i="63"/>
  <c r="AI1259" i="63" s="1"/>
  <c r="AC1233" i="63"/>
  <c r="AC1259" i="63" s="1"/>
  <c r="H1233" i="63"/>
  <c r="H1259" i="63" s="1"/>
  <c r="BP1231" i="63"/>
  <c r="BO1231" i="63"/>
  <c r="BM1231" i="63"/>
  <c r="BL1231" i="63"/>
  <c r="BJ1231" i="63"/>
  <c r="BK1231" i="63" s="1"/>
  <c r="BI1231" i="63"/>
  <c r="BG1231" i="63"/>
  <c r="BF1231" i="63"/>
  <c r="BD1231" i="63"/>
  <c r="BC1231" i="63"/>
  <c r="BE1231" i="63" s="1"/>
  <c r="BA1231" i="63"/>
  <c r="AZ1231" i="63"/>
  <c r="AX1231" i="63"/>
  <c r="AW1231" i="63"/>
  <c r="AU1231" i="63"/>
  <c r="AT1231" i="63"/>
  <c r="AR1231" i="63"/>
  <c r="AQ1231" i="63"/>
  <c r="AO1231" i="63"/>
  <c r="AN1231" i="63"/>
  <c r="AL1231" i="63"/>
  <c r="AK1231" i="63"/>
  <c r="AI1231" i="63"/>
  <c r="AH1231" i="63"/>
  <c r="AD1231" i="63"/>
  <c r="AC1231" i="63"/>
  <c r="AA1231" i="63"/>
  <c r="X1231" i="63"/>
  <c r="W1231" i="63"/>
  <c r="R1231" i="63"/>
  <c r="Q1231" i="63"/>
  <c r="O1231" i="63"/>
  <c r="N1231" i="63"/>
  <c r="H1231" i="63"/>
  <c r="G1231" i="63"/>
  <c r="BP1230" i="63"/>
  <c r="BO1230" i="63"/>
  <c r="BM1230" i="63"/>
  <c r="BN1230" i="63" s="1"/>
  <c r="BL1230" i="63"/>
  <c r="BJ1230" i="63"/>
  <c r="BK1230" i="63" s="1"/>
  <c r="BI1230" i="63"/>
  <c r="BG1230" i="63"/>
  <c r="BF1230" i="63"/>
  <c r="BD1230" i="63"/>
  <c r="BC1230" i="63"/>
  <c r="BA1230" i="63"/>
  <c r="AZ1230" i="63"/>
  <c r="AX1230" i="63"/>
  <c r="AW1230" i="63"/>
  <c r="AU1230" i="63"/>
  <c r="AT1230" i="63"/>
  <c r="AR1230" i="63"/>
  <c r="AS1230" i="63" s="1"/>
  <c r="AQ1230" i="63"/>
  <c r="AO1230" i="63"/>
  <c r="AN1230" i="63"/>
  <c r="AL1230" i="63"/>
  <c r="AK1230" i="63"/>
  <c r="AI1230" i="63"/>
  <c r="AH1230" i="63"/>
  <c r="AD1230" i="63"/>
  <c r="AE1230" i="63" s="1"/>
  <c r="AC1230" i="63"/>
  <c r="X1230" i="63"/>
  <c r="Y1230" i="63" s="1"/>
  <c r="W1230" i="63"/>
  <c r="R1230" i="63"/>
  <c r="Q1230" i="63"/>
  <c r="S1230" i="63" s="1"/>
  <c r="O1230" i="63"/>
  <c r="N1230" i="63"/>
  <c r="H1230" i="63"/>
  <c r="G1230" i="63"/>
  <c r="BQ1229" i="63"/>
  <c r="BP1229" i="63"/>
  <c r="BO1229" i="63"/>
  <c r="BM1229" i="63"/>
  <c r="BN1229" i="63" s="1"/>
  <c r="BL1229" i="63"/>
  <c r="BJ1229" i="63"/>
  <c r="BK1229" i="63" s="1"/>
  <c r="BI1229" i="63"/>
  <c r="BG1229" i="63"/>
  <c r="BF1229" i="63"/>
  <c r="BD1229" i="63"/>
  <c r="BC1229" i="63"/>
  <c r="BE1229" i="63" s="1"/>
  <c r="BA1229" i="63"/>
  <c r="BB1229" i="63" s="1"/>
  <c r="AZ1229" i="63"/>
  <c r="AX1229" i="63"/>
  <c r="AW1229" i="63"/>
  <c r="AU1229" i="63"/>
  <c r="AT1229" i="63"/>
  <c r="AR1229" i="63"/>
  <c r="AQ1229" i="63"/>
  <c r="AS1229" i="63" s="1"/>
  <c r="AO1229" i="63"/>
  <c r="AP1229" i="63" s="1"/>
  <c r="AN1229" i="63"/>
  <c r="AL1229" i="63"/>
  <c r="AK1229" i="63"/>
  <c r="AI1229" i="63"/>
  <c r="AH1229" i="63"/>
  <c r="AD1229" i="63"/>
  <c r="AC1229" i="63"/>
  <c r="AE1229" i="63" s="1"/>
  <c r="X1229" i="63"/>
  <c r="W1229" i="63"/>
  <c r="R1229" i="63"/>
  <c r="Q1229" i="63"/>
  <c r="O1229" i="63"/>
  <c r="N1229" i="63"/>
  <c r="H1229" i="63"/>
  <c r="G1229" i="63"/>
  <c r="BP1228" i="63"/>
  <c r="BO1228" i="63"/>
  <c r="BM1228" i="63"/>
  <c r="BL1228" i="63"/>
  <c r="BJ1228" i="63"/>
  <c r="BK1228" i="63" s="1"/>
  <c r="BI1228" i="63"/>
  <c r="BG1228" i="63"/>
  <c r="BF1228" i="63"/>
  <c r="BE1228" i="63"/>
  <c r="BD1228" i="63"/>
  <c r="BC1228" i="63"/>
  <c r="BA1228" i="63"/>
  <c r="AZ1228" i="63"/>
  <c r="AX1228" i="63"/>
  <c r="AW1228" i="63"/>
  <c r="AU1228" i="63"/>
  <c r="AT1228" i="63"/>
  <c r="AR1228" i="63"/>
  <c r="AQ1228" i="63"/>
  <c r="AS1228" i="63" s="1"/>
  <c r="AO1228" i="63"/>
  <c r="AP1228" i="63" s="1"/>
  <c r="AN1228" i="63"/>
  <c r="AL1228" i="63"/>
  <c r="AK1228" i="63"/>
  <c r="AI1228" i="63"/>
  <c r="AH1228" i="63"/>
  <c r="AD1228" i="63"/>
  <c r="AC1228" i="63"/>
  <c r="AE1228" i="63" s="1"/>
  <c r="X1228" i="63"/>
  <c r="W1228" i="63"/>
  <c r="R1228" i="63"/>
  <c r="Q1228" i="63"/>
  <c r="S1228" i="63" s="1"/>
  <c r="O1228" i="63"/>
  <c r="P1228" i="63" s="1"/>
  <c r="N1228" i="63"/>
  <c r="H1228" i="63"/>
  <c r="G1228" i="63"/>
  <c r="BP1227" i="63"/>
  <c r="BQ1227" i="63" s="1"/>
  <c r="BO1227" i="63"/>
  <c r="BN1227" i="63"/>
  <c r="BM1227" i="63"/>
  <c r="BL1227" i="63"/>
  <c r="BJ1227" i="63"/>
  <c r="BI1227" i="63"/>
  <c r="BG1227" i="63"/>
  <c r="BF1227" i="63"/>
  <c r="BD1227" i="63"/>
  <c r="BC1227" i="63"/>
  <c r="BA1227" i="63"/>
  <c r="BB1227" i="63" s="1"/>
  <c r="AZ1227" i="63"/>
  <c r="AX1227" i="63"/>
  <c r="AW1227" i="63"/>
  <c r="AU1227" i="63"/>
  <c r="AT1227" i="63"/>
  <c r="AR1227" i="63"/>
  <c r="AS1227" i="63" s="1"/>
  <c r="AQ1227" i="63"/>
  <c r="AO1227" i="63"/>
  <c r="AP1227" i="63" s="1"/>
  <c r="AN1227" i="63"/>
  <c r="AL1227" i="63"/>
  <c r="AM1227" i="63" s="1"/>
  <c r="AK1227" i="63"/>
  <c r="AI1227" i="63"/>
  <c r="AH1227" i="63"/>
  <c r="AD1227" i="63"/>
  <c r="AC1227" i="63"/>
  <c r="X1227" i="63"/>
  <c r="W1227" i="63"/>
  <c r="R1227" i="63"/>
  <c r="S1227" i="63" s="1"/>
  <c r="Q1227" i="63"/>
  <c r="O1227" i="63"/>
  <c r="P1227" i="63" s="1"/>
  <c r="N1227" i="63"/>
  <c r="H1227" i="63"/>
  <c r="G1227" i="63"/>
  <c r="BP1226" i="63"/>
  <c r="BO1226" i="63"/>
  <c r="BQ1226" i="63" s="1"/>
  <c r="BM1226" i="63"/>
  <c r="BN1226" i="63" s="1"/>
  <c r="BL1226" i="63"/>
  <c r="BJ1226" i="63"/>
  <c r="BI1226" i="63"/>
  <c r="BG1226" i="63"/>
  <c r="BF1226" i="63"/>
  <c r="BD1226" i="63"/>
  <c r="BC1226" i="63"/>
  <c r="BE1226" i="63" s="1"/>
  <c r="BA1226" i="63"/>
  <c r="AZ1226" i="63"/>
  <c r="AX1226" i="63"/>
  <c r="AW1226" i="63"/>
  <c r="AU1226" i="63"/>
  <c r="AT1226" i="63"/>
  <c r="AR1226" i="63"/>
  <c r="AQ1226" i="63"/>
  <c r="AP1226" i="63"/>
  <c r="AO1226" i="63"/>
  <c r="AN1226" i="63"/>
  <c r="AL1226" i="63"/>
  <c r="AK1226" i="63"/>
  <c r="AI1226" i="63"/>
  <c r="AH1226" i="63"/>
  <c r="AD1226" i="63"/>
  <c r="AC1226" i="63"/>
  <c r="X1226" i="63"/>
  <c r="Y1226" i="63" s="1"/>
  <c r="W1226" i="63"/>
  <c r="R1226" i="63"/>
  <c r="Q1226" i="63"/>
  <c r="S1226" i="63" s="1"/>
  <c r="O1226" i="63"/>
  <c r="N1226" i="63"/>
  <c r="H1226" i="63"/>
  <c r="G1226" i="63"/>
  <c r="BP1225" i="63"/>
  <c r="BO1225" i="63"/>
  <c r="BM1225" i="63"/>
  <c r="BL1225" i="63"/>
  <c r="BJ1225" i="63"/>
  <c r="BK1225" i="63" s="1"/>
  <c r="BI1225" i="63"/>
  <c r="BG1225" i="63"/>
  <c r="BF1225" i="63"/>
  <c r="BD1225" i="63"/>
  <c r="BC1225" i="63"/>
  <c r="BE1225" i="63" s="1"/>
  <c r="BA1225" i="63"/>
  <c r="BB1225" i="63" s="1"/>
  <c r="AZ1225" i="63"/>
  <c r="AX1225" i="63"/>
  <c r="AW1225" i="63"/>
  <c r="AU1225" i="63"/>
  <c r="AT1225" i="63"/>
  <c r="AR1225" i="63"/>
  <c r="AS1225" i="63" s="1"/>
  <c r="AQ1225" i="63"/>
  <c r="AO1225" i="63"/>
  <c r="AP1225" i="63" s="1"/>
  <c r="AN1225" i="63"/>
  <c r="AL1225" i="63"/>
  <c r="AM1225" i="63" s="1"/>
  <c r="AK1225" i="63"/>
  <c r="AI1225" i="63"/>
  <c r="AH1225" i="63"/>
  <c r="AD1225" i="63"/>
  <c r="AC1225" i="63"/>
  <c r="X1225" i="63"/>
  <c r="W1225" i="63"/>
  <c r="R1225" i="63"/>
  <c r="Q1225" i="63"/>
  <c r="O1225" i="63"/>
  <c r="P1225" i="63" s="1"/>
  <c r="N1225" i="63"/>
  <c r="H1225" i="63"/>
  <c r="G1225" i="63"/>
  <c r="BP1224" i="63"/>
  <c r="BQ1224" i="63" s="1"/>
  <c r="BO1224" i="63"/>
  <c r="BN1224" i="63"/>
  <c r="BM1224" i="63"/>
  <c r="BL1224" i="63"/>
  <c r="BJ1224" i="63"/>
  <c r="BI1224" i="63"/>
  <c r="BG1224" i="63"/>
  <c r="BF1224" i="63"/>
  <c r="BD1224" i="63"/>
  <c r="BC1224" i="63"/>
  <c r="BA1224" i="63"/>
  <c r="AZ1224" i="63"/>
  <c r="AX1224" i="63"/>
  <c r="AW1224" i="63"/>
  <c r="AU1224" i="63"/>
  <c r="AT1224" i="63"/>
  <c r="AR1224" i="63"/>
  <c r="AQ1224" i="63"/>
  <c r="AO1224" i="63"/>
  <c r="AN1224" i="63"/>
  <c r="AL1224" i="63"/>
  <c r="AK1224" i="63"/>
  <c r="AI1224" i="63"/>
  <c r="AH1224" i="63"/>
  <c r="AD1224" i="63"/>
  <c r="AC1224" i="63"/>
  <c r="X1224" i="63"/>
  <c r="Y1224" i="63" s="1"/>
  <c r="W1224" i="63"/>
  <c r="R1224" i="63"/>
  <c r="Q1224" i="63"/>
  <c r="P1224" i="63"/>
  <c r="O1224" i="63"/>
  <c r="N1224" i="63"/>
  <c r="H1224" i="63"/>
  <c r="G1224" i="63"/>
  <c r="BP1222" i="63"/>
  <c r="BO1222" i="63"/>
  <c r="BQ1222" i="63" s="1"/>
  <c r="BM1222" i="63"/>
  <c r="BL1222" i="63"/>
  <c r="BJ1222" i="63"/>
  <c r="BI1222" i="63"/>
  <c r="BG1222" i="63"/>
  <c r="BF1222" i="63"/>
  <c r="BD1222" i="63"/>
  <c r="BC1222" i="63"/>
  <c r="BA1222" i="63"/>
  <c r="AZ1222" i="63"/>
  <c r="AX1222" i="63"/>
  <c r="AW1222" i="63"/>
  <c r="AU1222" i="63"/>
  <c r="AT1222" i="63"/>
  <c r="AR1222" i="63"/>
  <c r="AQ1222" i="63"/>
  <c r="AO1222" i="63"/>
  <c r="AP1222" i="63" s="1"/>
  <c r="AN1222" i="63"/>
  <c r="AL1222" i="63"/>
  <c r="AK1222" i="63"/>
  <c r="AI1222" i="63"/>
  <c r="AH1222" i="63"/>
  <c r="AD1222" i="63"/>
  <c r="AC1222" i="63"/>
  <c r="AE1222" i="63" s="1"/>
  <c r="X1222" i="63"/>
  <c r="W1222" i="63"/>
  <c r="R1222" i="63"/>
  <c r="Q1222" i="63"/>
  <c r="P1222" i="63"/>
  <c r="O1222" i="63"/>
  <c r="N1222" i="63"/>
  <c r="H1222" i="63"/>
  <c r="G1222" i="63"/>
  <c r="BP1221" i="63"/>
  <c r="BQ1221" i="63" s="1"/>
  <c r="BO1221" i="63"/>
  <c r="BN1221" i="63"/>
  <c r="BM1221" i="63"/>
  <c r="BL1221" i="63"/>
  <c r="BJ1221" i="63"/>
  <c r="BI1221" i="63"/>
  <c r="BG1221" i="63"/>
  <c r="BF1221" i="63"/>
  <c r="BD1221" i="63"/>
  <c r="BC1221" i="63"/>
  <c r="BA1221" i="63"/>
  <c r="AZ1221" i="63"/>
  <c r="AX1221" i="63"/>
  <c r="AW1221" i="63"/>
  <c r="AU1221" i="63"/>
  <c r="AT1221" i="63"/>
  <c r="AR1221" i="63"/>
  <c r="AQ1221" i="63"/>
  <c r="AP1221" i="63"/>
  <c r="AO1221" i="63"/>
  <c r="AN1221" i="63"/>
  <c r="AL1221" i="63"/>
  <c r="AK1221" i="63"/>
  <c r="AI1221" i="63"/>
  <c r="AH1221" i="63"/>
  <c r="AD1221" i="63"/>
  <c r="AE1221" i="63" s="1"/>
  <c r="AC1221" i="63"/>
  <c r="X1221" i="63"/>
  <c r="W1221" i="63"/>
  <c r="R1221" i="63"/>
  <c r="S1221" i="63" s="1"/>
  <c r="Q1221" i="63"/>
  <c r="O1221" i="63"/>
  <c r="N1221" i="63"/>
  <c r="P1221" i="63" s="1"/>
  <c r="H1221" i="63"/>
  <c r="G1221" i="63"/>
  <c r="BP1220" i="63"/>
  <c r="BO1220" i="63"/>
  <c r="BQ1220" i="63" s="1"/>
  <c r="BM1220" i="63"/>
  <c r="BN1220" i="63" s="1"/>
  <c r="BL1220" i="63"/>
  <c r="BJ1220" i="63"/>
  <c r="BI1220" i="63"/>
  <c r="BG1220" i="63"/>
  <c r="BF1220" i="63"/>
  <c r="BD1220" i="63"/>
  <c r="BC1220" i="63"/>
  <c r="BA1220" i="63"/>
  <c r="BB1220" i="63" s="1"/>
  <c r="AZ1220" i="63"/>
  <c r="AX1220" i="63"/>
  <c r="AW1220" i="63"/>
  <c r="AU1220" i="63"/>
  <c r="AT1220" i="63"/>
  <c r="AR1220" i="63"/>
  <c r="AQ1220" i="63"/>
  <c r="AS1220" i="63" s="1"/>
  <c r="AO1220" i="63"/>
  <c r="AP1220" i="63" s="1"/>
  <c r="AN1220" i="63"/>
  <c r="AL1220" i="63"/>
  <c r="AK1220" i="63"/>
  <c r="AI1220" i="63"/>
  <c r="AH1220" i="63"/>
  <c r="AD1220" i="63"/>
  <c r="AC1220" i="63"/>
  <c r="X1220" i="63"/>
  <c r="W1220" i="63"/>
  <c r="R1220" i="63"/>
  <c r="S1220" i="63" s="1"/>
  <c r="Q1220" i="63"/>
  <c r="O1220" i="63"/>
  <c r="N1220" i="63"/>
  <c r="H1220" i="63"/>
  <c r="G1220" i="63"/>
  <c r="BP1219" i="63"/>
  <c r="BO1219" i="63"/>
  <c r="BQ1219" i="63" s="1"/>
  <c r="BM1219" i="63"/>
  <c r="BL1219" i="63"/>
  <c r="BJ1219" i="63"/>
  <c r="BI1219" i="63"/>
  <c r="BG1219" i="63"/>
  <c r="BH1219" i="63" s="1"/>
  <c r="BF1219" i="63"/>
  <c r="BD1219" i="63"/>
  <c r="BC1219" i="63"/>
  <c r="BA1219" i="63"/>
  <c r="AZ1219" i="63"/>
  <c r="AX1219" i="63"/>
  <c r="AW1219" i="63"/>
  <c r="AU1219" i="63"/>
  <c r="AT1219" i="63"/>
  <c r="AR1219" i="63"/>
  <c r="AQ1219" i="63"/>
  <c r="AO1219" i="63"/>
  <c r="AN1219" i="63"/>
  <c r="AL1219" i="63"/>
  <c r="AK1219" i="63"/>
  <c r="AI1219" i="63"/>
  <c r="AH1219" i="63"/>
  <c r="AD1219" i="63"/>
  <c r="AC1219" i="63"/>
  <c r="X1219" i="63"/>
  <c r="Y1219" i="63" s="1"/>
  <c r="W1219" i="63"/>
  <c r="R1219" i="63"/>
  <c r="Q1219" i="63"/>
  <c r="O1219" i="63"/>
  <c r="N1219" i="63"/>
  <c r="H1219" i="63"/>
  <c r="G1219" i="63"/>
  <c r="BI1218" i="63"/>
  <c r="AX1215" i="63"/>
  <c r="W1214" i="63"/>
  <c r="BQ1211" i="63"/>
  <c r="BN1211" i="63"/>
  <c r="BK1211" i="63"/>
  <c r="BH1211" i="63"/>
  <c r="BE1211" i="63"/>
  <c r="BB1211" i="63"/>
  <c r="AY1211" i="63"/>
  <c r="AV1211" i="63"/>
  <c r="AS1211" i="63"/>
  <c r="AP1211" i="63"/>
  <c r="AM1211" i="63"/>
  <c r="AJ1211" i="63"/>
  <c r="AE1211" i="63"/>
  <c r="Y1211" i="63"/>
  <c r="U1211" i="63"/>
  <c r="AA1211" i="63" s="1"/>
  <c r="T1211" i="63"/>
  <c r="S1211" i="63"/>
  <c r="P1211" i="63"/>
  <c r="L1211" i="63"/>
  <c r="K1211" i="63"/>
  <c r="K1231" i="63" s="1"/>
  <c r="I1211" i="63"/>
  <c r="BQ1210" i="63"/>
  <c r="BN1210" i="63"/>
  <c r="BK1210" i="63"/>
  <c r="BH1210" i="63"/>
  <c r="BE1210" i="63"/>
  <c r="BB1210" i="63"/>
  <c r="AY1210" i="63"/>
  <c r="AV1210" i="63"/>
  <c r="AS1210" i="63"/>
  <c r="AP1210" i="63"/>
  <c r="AM1210" i="63"/>
  <c r="AJ1210" i="63"/>
  <c r="AE1210" i="63"/>
  <c r="Y1210" i="63"/>
  <c r="U1210" i="63"/>
  <c r="AA1210" i="63" s="1"/>
  <c r="T1210" i="63"/>
  <c r="S1210" i="63"/>
  <c r="P1210" i="63"/>
  <c r="L1210" i="63"/>
  <c r="K1210" i="63"/>
  <c r="I1210" i="63"/>
  <c r="BQ1209" i="63"/>
  <c r="BN1209" i="63"/>
  <c r="BK1209" i="63"/>
  <c r="BH1209" i="63"/>
  <c r="BE1209" i="63"/>
  <c r="BB1209" i="63"/>
  <c r="AY1209" i="63"/>
  <c r="AV1209" i="63"/>
  <c r="AS1209" i="63"/>
  <c r="AP1209" i="63"/>
  <c r="AM1209" i="63"/>
  <c r="AJ1209" i="63"/>
  <c r="AE1209" i="63"/>
  <c r="Y1209" i="63"/>
  <c r="U1209" i="63"/>
  <c r="T1209" i="63"/>
  <c r="S1209" i="63"/>
  <c r="P1209" i="63"/>
  <c r="L1209" i="63"/>
  <c r="K1209" i="63"/>
  <c r="K1229" i="63" s="1"/>
  <c r="I1209" i="63"/>
  <c r="BQ1208" i="63"/>
  <c r="BN1208" i="63"/>
  <c r="BK1208" i="63"/>
  <c r="BH1208" i="63"/>
  <c r="BE1208" i="63"/>
  <c r="BB1208" i="63"/>
  <c r="AY1208" i="63"/>
  <c r="AV1208" i="63"/>
  <c r="AS1208" i="63"/>
  <c r="AP1208" i="63"/>
  <c r="AM1208" i="63"/>
  <c r="AJ1208" i="63"/>
  <c r="AE1208" i="63"/>
  <c r="AA1208" i="63"/>
  <c r="Y1208" i="63"/>
  <c r="U1208" i="63"/>
  <c r="T1208" i="63"/>
  <c r="S1208" i="63"/>
  <c r="P1208" i="63"/>
  <c r="L1208" i="63"/>
  <c r="L1228" i="63" s="1"/>
  <c r="K1208" i="63"/>
  <c r="K1228" i="63" s="1"/>
  <c r="I1208" i="63"/>
  <c r="BQ1207" i="63"/>
  <c r="BN1207" i="63"/>
  <c r="BK1207" i="63"/>
  <c r="BH1207" i="63"/>
  <c r="BE1207" i="63"/>
  <c r="BB1207" i="63"/>
  <c r="AY1207" i="63"/>
  <c r="AV1207" i="63"/>
  <c r="AS1207" i="63"/>
  <c r="AP1207" i="63"/>
  <c r="AM1207" i="63"/>
  <c r="AJ1207" i="63"/>
  <c r="AE1207" i="63"/>
  <c r="Y1207" i="63"/>
  <c r="U1207" i="63"/>
  <c r="AA1207" i="63" s="1"/>
  <c r="T1207" i="63"/>
  <c r="Z1207" i="63" s="1"/>
  <c r="S1207" i="63"/>
  <c r="P1207" i="63"/>
  <c r="L1207" i="63"/>
  <c r="M1207" i="63" s="1"/>
  <c r="K1207" i="63"/>
  <c r="I1207" i="63"/>
  <c r="BQ1206" i="63"/>
  <c r="BN1206" i="63"/>
  <c r="BK1206" i="63"/>
  <c r="BH1206" i="63"/>
  <c r="BE1206" i="63"/>
  <c r="BB1206" i="63"/>
  <c r="AY1206" i="63"/>
  <c r="AV1206" i="63"/>
  <c r="AS1206" i="63"/>
  <c r="AP1206" i="63"/>
  <c r="AM1206" i="63"/>
  <c r="AJ1206" i="63"/>
  <c r="AE1206" i="63"/>
  <c r="Y1206" i="63"/>
  <c r="U1206" i="63"/>
  <c r="AA1206" i="63" s="1"/>
  <c r="T1206" i="63"/>
  <c r="S1206" i="63"/>
  <c r="P1206" i="63"/>
  <c r="L1206" i="63"/>
  <c r="K1206" i="63"/>
  <c r="I1206" i="63"/>
  <c r="BQ1205" i="63"/>
  <c r="BN1205" i="63"/>
  <c r="BK1205" i="63"/>
  <c r="BH1205" i="63"/>
  <c r="BE1205" i="63"/>
  <c r="BB1205" i="63"/>
  <c r="AY1205" i="63"/>
  <c r="AV1205" i="63"/>
  <c r="AS1205" i="63"/>
  <c r="AP1205" i="63"/>
  <c r="AM1205" i="63"/>
  <c r="AJ1205" i="63"/>
  <c r="AE1205" i="63"/>
  <c r="Y1205" i="63"/>
  <c r="U1205" i="63"/>
  <c r="T1205" i="63"/>
  <c r="S1205" i="63"/>
  <c r="P1205" i="63"/>
  <c r="L1205" i="63"/>
  <c r="K1205" i="63"/>
  <c r="I1205" i="63"/>
  <c r="BQ1204" i="63"/>
  <c r="BN1204" i="63"/>
  <c r="BK1204" i="63"/>
  <c r="BH1204" i="63"/>
  <c r="BE1204" i="63"/>
  <c r="BB1204" i="63"/>
  <c r="AY1204" i="63"/>
  <c r="AV1204" i="63"/>
  <c r="AS1204" i="63"/>
  <c r="AP1204" i="63"/>
  <c r="AM1204" i="63"/>
  <c r="AJ1204" i="63"/>
  <c r="AE1204" i="63"/>
  <c r="Y1204" i="63"/>
  <c r="U1204" i="63"/>
  <c r="T1204" i="63"/>
  <c r="Z1204" i="63" s="1"/>
  <c r="S1204" i="63"/>
  <c r="P1204" i="63"/>
  <c r="L1204" i="63"/>
  <c r="K1204" i="63"/>
  <c r="K1226" i="63" s="1"/>
  <c r="I1204" i="63"/>
  <c r="BQ1203" i="63"/>
  <c r="BN1203" i="63"/>
  <c r="BK1203" i="63"/>
  <c r="BH1203" i="63"/>
  <c r="BE1203" i="63"/>
  <c r="BB1203" i="63"/>
  <c r="AY1203" i="63"/>
  <c r="AV1203" i="63"/>
  <c r="AS1203" i="63"/>
  <c r="AP1203" i="63"/>
  <c r="AM1203" i="63"/>
  <c r="AJ1203" i="63"/>
  <c r="AE1203" i="63"/>
  <c r="Y1203" i="63"/>
  <c r="V1203" i="63"/>
  <c r="U1203" i="63"/>
  <c r="T1203" i="63"/>
  <c r="S1203" i="63"/>
  <c r="P1203" i="63"/>
  <c r="L1203" i="63"/>
  <c r="K1203" i="63"/>
  <c r="I1203" i="63"/>
  <c r="BQ1202" i="63"/>
  <c r="BN1202" i="63"/>
  <c r="BK1202" i="63"/>
  <c r="BH1202" i="63"/>
  <c r="BE1202" i="63"/>
  <c r="BB1202" i="63"/>
  <c r="AY1202" i="63"/>
  <c r="AV1202" i="63"/>
  <c r="AS1202" i="63"/>
  <c r="AP1202" i="63"/>
  <c r="AM1202" i="63"/>
  <c r="AJ1202" i="63"/>
  <c r="AE1202" i="63"/>
  <c r="Y1202" i="63"/>
  <c r="U1202" i="63"/>
  <c r="AA1202" i="63" s="1"/>
  <c r="T1202" i="63"/>
  <c r="T1224" i="63" s="1"/>
  <c r="S1202" i="63"/>
  <c r="P1202" i="63"/>
  <c r="L1202" i="63"/>
  <c r="K1202" i="63"/>
  <c r="K1224" i="63" s="1"/>
  <c r="I1202" i="63"/>
  <c r="BP1201" i="63"/>
  <c r="BO1201" i="63"/>
  <c r="BM1201" i="63"/>
  <c r="BM1223" i="63" s="1"/>
  <c r="BL1201" i="63"/>
  <c r="BJ1201" i="63"/>
  <c r="BI1201" i="63"/>
  <c r="BG1201" i="63"/>
  <c r="BG1187" i="63" s="1"/>
  <c r="BF1201" i="63"/>
  <c r="BF1187" i="63" s="1"/>
  <c r="BD1201" i="63"/>
  <c r="BC1201" i="63"/>
  <c r="BA1201" i="63"/>
  <c r="AZ1201" i="63"/>
  <c r="AZ1223" i="63" s="1"/>
  <c r="AX1201" i="63"/>
  <c r="AW1201" i="63"/>
  <c r="AU1201" i="63"/>
  <c r="AT1201" i="63"/>
  <c r="AR1201" i="63"/>
  <c r="AQ1201" i="63"/>
  <c r="AO1201" i="63"/>
  <c r="AN1201" i="63"/>
  <c r="AN1223" i="63" s="1"/>
  <c r="AL1201" i="63"/>
  <c r="AM1201" i="63" s="1"/>
  <c r="AK1201" i="63"/>
  <c r="AI1201" i="63"/>
  <c r="AI1187" i="63" s="1"/>
  <c r="AH1201" i="63"/>
  <c r="AD1201" i="63"/>
  <c r="AD1223" i="63" s="1"/>
  <c r="AC1201" i="63"/>
  <c r="X1201" i="63"/>
  <c r="W1201" i="63"/>
  <c r="W1223" i="63" s="1"/>
  <c r="R1201" i="63"/>
  <c r="R1223" i="63" s="1"/>
  <c r="Q1201" i="63"/>
  <c r="O1201" i="63"/>
  <c r="L1201" i="63" s="1"/>
  <c r="N1201" i="63"/>
  <c r="N1223" i="63" s="1"/>
  <c r="H1201" i="63"/>
  <c r="G1201" i="63"/>
  <c r="BQ1200" i="63"/>
  <c r="BN1200" i="63"/>
  <c r="BK1200" i="63"/>
  <c r="BH1200" i="63"/>
  <c r="BE1200" i="63"/>
  <c r="BB1200" i="63"/>
  <c r="AY1200" i="63"/>
  <c r="AV1200" i="63"/>
  <c r="AS1200" i="63"/>
  <c r="AP1200" i="63"/>
  <c r="AM1200" i="63"/>
  <c r="AJ1200" i="63"/>
  <c r="AE1200" i="63"/>
  <c r="Y1200" i="63"/>
  <c r="U1200" i="63"/>
  <c r="V1200" i="63" s="1"/>
  <c r="T1200" i="63"/>
  <c r="Z1200" i="63" s="1"/>
  <c r="S1200" i="63"/>
  <c r="P1200" i="63"/>
  <c r="L1200" i="63"/>
  <c r="K1200" i="63"/>
  <c r="M1200" i="63" s="1"/>
  <c r="I1200" i="63"/>
  <c r="BQ1199" i="63"/>
  <c r="BN1199" i="63"/>
  <c r="BK1199" i="63"/>
  <c r="BH1199" i="63"/>
  <c r="BE1199" i="63"/>
  <c r="BB1199" i="63"/>
  <c r="AY1199" i="63"/>
  <c r="AV1199" i="63"/>
  <c r="AS1199" i="63"/>
  <c r="AP1199" i="63"/>
  <c r="AM1199" i="63"/>
  <c r="AJ1199" i="63"/>
  <c r="AE1199" i="63"/>
  <c r="Y1199" i="63"/>
  <c r="U1199" i="63"/>
  <c r="AA1199" i="63" s="1"/>
  <c r="T1199" i="63"/>
  <c r="Z1199" i="63" s="1"/>
  <c r="S1199" i="63"/>
  <c r="P1199" i="63"/>
  <c r="L1199" i="63"/>
  <c r="K1199" i="63"/>
  <c r="M1199" i="63" s="1"/>
  <c r="I1199" i="63"/>
  <c r="BQ1198" i="63"/>
  <c r="BN1198" i="63"/>
  <c r="BK1198" i="63"/>
  <c r="BH1198" i="63"/>
  <c r="BE1198" i="63"/>
  <c r="BB1198" i="63"/>
  <c r="AY1198" i="63"/>
  <c r="AV1198" i="63"/>
  <c r="AS1198" i="63"/>
  <c r="AP1198" i="63"/>
  <c r="AM1198" i="63"/>
  <c r="AJ1198" i="63"/>
  <c r="AE1198" i="63"/>
  <c r="AA1198" i="63"/>
  <c r="Y1198" i="63"/>
  <c r="U1198" i="63"/>
  <c r="T1198" i="63"/>
  <c r="Z1198" i="63" s="1"/>
  <c r="S1198" i="63"/>
  <c r="P1198" i="63"/>
  <c r="L1198" i="63"/>
  <c r="K1198" i="63"/>
  <c r="I1198" i="63"/>
  <c r="BQ1197" i="63"/>
  <c r="BN1197" i="63"/>
  <c r="BK1197" i="63"/>
  <c r="BH1197" i="63"/>
  <c r="BE1197" i="63"/>
  <c r="BB1197" i="63"/>
  <c r="AY1197" i="63"/>
  <c r="AV1197" i="63"/>
  <c r="AS1197" i="63"/>
  <c r="AP1197" i="63"/>
  <c r="AM1197" i="63"/>
  <c r="AJ1197" i="63"/>
  <c r="AE1197" i="63"/>
  <c r="Y1197" i="63"/>
  <c r="U1197" i="63"/>
  <c r="AA1197" i="63" s="1"/>
  <c r="T1197" i="63"/>
  <c r="Z1197" i="63" s="1"/>
  <c r="AB1197" i="63" s="1"/>
  <c r="S1197" i="63"/>
  <c r="P1197" i="63"/>
  <c r="L1197" i="63"/>
  <c r="K1197" i="63"/>
  <c r="I1197" i="63"/>
  <c r="BQ1196" i="63"/>
  <c r="BN1196" i="63"/>
  <c r="BK1196" i="63"/>
  <c r="BH1196" i="63"/>
  <c r="BE1196" i="63"/>
  <c r="BB1196" i="63"/>
  <c r="AY1196" i="63"/>
  <c r="AV1196" i="63"/>
  <c r="AS1196" i="63"/>
  <c r="AP1196" i="63"/>
  <c r="AM1196" i="63"/>
  <c r="AJ1196" i="63"/>
  <c r="AE1196" i="63"/>
  <c r="Y1196" i="63"/>
  <c r="U1196" i="63"/>
  <c r="AA1196" i="63" s="1"/>
  <c r="AA1220" i="63" s="1"/>
  <c r="T1196" i="63"/>
  <c r="S1196" i="63"/>
  <c r="P1196" i="63"/>
  <c r="L1196" i="63"/>
  <c r="K1196" i="63"/>
  <c r="K1220" i="63" s="1"/>
  <c r="I1196" i="63"/>
  <c r="BQ1195" i="63"/>
  <c r="BN1195" i="63"/>
  <c r="BK1195" i="63"/>
  <c r="BH1195" i="63"/>
  <c r="BE1195" i="63"/>
  <c r="BB1195" i="63"/>
  <c r="AY1195" i="63"/>
  <c r="AV1195" i="63"/>
  <c r="AS1195" i="63"/>
  <c r="AP1195" i="63"/>
  <c r="AM1195" i="63"/>
  <c r="AJ1195" i="63"/>
  <c r="AE1195" i="63"/>
  <c r="Y1195" i="63"/>
  <c r="U1195" i="63"/>
  <c r="AA1195" i="63" s="1"/>
  <c r="T1195" i="63"/>
  <c r="S1195" i="63"/>
  <c r="P1195" i="63"/>
  <c r="L1195" i="63"/>
  <c r="K1195" i="63"/>
  <c r="I1195" i="63"/>
  <c r="BP1194" i="63"/>
  <c r="BO1194" i="63"/>
  <c r="BO1187" i="63" s="1"/>
  <c r="BM1194" i="63"/>
  <c r="BM1218" i="63" s="1"/>
  <c r="BL1194" i="63"/>
  <c r="BJ1194" i="63"/>
  <c r="BI1194" i="63"/>
  <c r="BG1194" i="63"/>
  <c r="BF1194" i="63"/>
  <c r="BD1194" i="63"/>
  <c r="BD1187" i="63" s="1"/>
  <c r="BC1194" i="63"/>
  <c r="BA1194" i="63"/>
  <c r="AZ1194" i="63"/>
  <c r="AX1194" i="63"/>
  <c r="AW1194" i="63"/>
  <c r="AU1194" i="63"/>
  <c r="AT1194" i="63"/>
  <c r="AR1194" i="63"/>
  <c r="AQ1194" i="63"/>
  <c r="AO1194" i="63"/>
  <c r="AN1194" i="63"/>
  <c r="AL1194" i="63"/>
  <c r="AK1194" i="63"/>
  <c r="AK1218" i="63" s="1"/>
  <c r="AI1194" i="63"/>
  <c r="AH1194" i="63"/>
  <c r="AD1194" i="63"/>
  <c r="AC1194" i="63"/>
  <c r="X1194" i="63"/>
  <c r="X1218" i="63" s="1"/>
  <c r="W1194" i="63"/>
  <c r="R1194" i="63"/>
  <c r="R1187" i="63" s="1"/>
  <c r="Q1194" i="63"/>
  <c r="O1194" i="63"/>
  <c r="N1194" i="63"/>
  <c r="H1194" i="63"/>
  <c r="G1194" i="63"/>
  <c r="G1218" i="63" s="1"/>
  <c r="BP1193" i="63"/>
  <c r="BO1193" i="63"/>
  <c r="BM1193" i="63"/>
  <c r="BL1193" i="63"/>
  <c r="BJ1193" i="63"/>
  <c r="BK1193" i="63" s="1"/>
  <c r="BI1193" i="63"/>
  <c r="BG1193" i="63"/>
  <c r="BF1193" i="63"/>
  <c r="BD1193" i="63"/>
  <c r="BC1193" i="63"/>
  <c r="BB1193" i="63"/>
  <c r="BA1193" i="63"/>
  <c r="AZ1193" i="63"/>
  <c r="AX1193" i="63"/>
  <c r="AW1193" i="63"/>
  <c r="AU1193" i="63"/>
  <c r="AT1193" i="63"/>
  <c r="AR1193" i="63"/>
  <c r="AQ1193" i="63"/>
  <c r="AS1193" i="63" s="1"/>
  <c r="AO1193" i="63"/>
  <c r="AN1193" i="63"/>
  <c r="AL1193" i="63"/>
  <c r="AM1193" i="63" s="1"/>
  <c r="AK1193" i="63"/>
  <c r="AI1193" i="63"/>
  <c r="AH1193" i="63"/>
  <c r="AD1193" i="63"/>
  <c r="AC1193" i="63"/>
  <c r="X1193" i="63"/>
  <c r="Y1193" i="63" s="1"/>
  <c r="W1193" i="63"/>
  <c r="R1193" i="63"/>
  <c r="U1193" i="63" s="1"/>
  <c r="Q1193" i="63"/>
  <c r="O1193" i="63"/>
  <c r="N1193" i="63"/>
  <c r="H1193" i="63"/>
  <c r="I1193" i="63" s="1"/>
  <c r="G1193" i="63"/>
  <c r="BP1192" i="63"/>
  <c r="BO1192" i="63"/>
  <c r="BM1192" i="63"/>
  <c r="BL1192" i="63"/>
  <c r="BJ1192" i="63"/>
  <c r="BK1192" i="63" s="1"/>
  <c r="BI1192" i="63"/>
  <c r="BG1192" i="63"/>
  <c r="BF1192" i="63"/>
  <c r="BD1192" i="63"/>
  <c r="BC1192" i="63"/>
  <c r="BB1192" i="63"/>
  <c r="BA1192" i="63"/>
  <c r="AZ1192" i="63"/>
  <c r="AX1192" i="63"/>
  <c r="AW1192" i="63"/>
  <c r="AU1192" i="63"/>
  <c r="AT1192" i="63"/>
  <c r="AR1192" i="63"/>
  <c r="AQ1192" i="63"/>
  <c r="AS1192" i="63" s="1"/>
  <c r="AO1192" i="63"/>
  <c r="AN1192" i="63"/>
  <c r="AL1192" i="63"/>
  <c r="AM1192" i="63" s="1"/>
  <c r="AK1192" i="63"/>
  <c r="AI1192" i="63"/>
  <c r="AH1192" i="63"/>
  <c r="AD1192" i="63"/>
  <c r="AC1192" i="63"/>
  <c r="X1192" i="63"/>
  <c r="W1192" i="63"/>
  <c r="R1192" i="63"/>
  <c r="Q1192" i="63"/>
  <c r="O1192" i="63"/>
  <c r="N1192" i="63"/>
  <c r="H1192" i="63"/>
  <c r="I1192" i="63" s="1"/>
  <c r="G1192" i="63"/>
  <c r="BP1191" i="63"/>
  <c r="BO1191" i="63"/>
  <c r="BN1191" i="63"/>
  <c r="BM1191" i="63"/>
  <c r="BL1191" i="63"/>
  <c r="BJ1191" i="63"/>
  <c r="BI1191" i="63"/>
  <c r="BI1217" i="63" s="1"/>
  <c r="BG1191" i="63"/>
  <c r="BF1191" i="63"/>
  <c r="BD1191" i="63"/>
  <c r="BC1191" i="63"/>
  <c r="BA1191" i="63"/>
  <c r="AZ1191" i="63"/>
  <c r="AX1191" i="63"/>
  <c r="AY1191" i="63" s="1"/>
  <c r="AW1191" i="63"/>
  <c r="AU1191" i="63"/>
  <c r="AT1191" i="63"/>
  <c r="AR1191" i="63"/>
  <c r="AR1217" i="63" s="1"/>
  <c r="AQ1191" i="63"/>
  <c r="AO1191" i="63"/>
  <c r="AP1191" i="63" s="1"/>
  <c r="AN1191" i="63"/>
  <c r="AL1191" i="63"/>
  <c r="AM1191" i="63" s="1"/>
  <c r="AK1191" i="63"/>
  <c r="AK1217" i="63" s="1"/>
  <c r="AI1191" i="63"/>
  <c r="AH1191" i="63"/>
  <c r="AD1191" i="63"/>
  <c r="AD1217" i="63" s="1"/>
  <c r="AC1191" i="63"/>
  <c r="X1191" i="63"/>
  <c r="W1191" i="63"/>
  <c r="R1191" i="63"/>
  <c r="R1217" i="63" s="1"/>
  <c r="Q1191" i="63"/>
  <c r="O1191" i="63"/>
  <c r="N1191" i="63"/>
  <c r="N1217" i="63" s="1"/>
  <c r="H1191" i="63"/>
  <c r="G1191" i="63"/>
  <c r="BP1190" i="63"/>
  <c r="BO1190" i="63"/>
  <c r="BN1190" i="63"/>
  <c r="BM1190" i="63"/>
  <c r="BL1190" i="63"/>
  <c r="BJ1190" i="63"/>
  <c r="BI1190" i="63"/>
  <c r="BG1190" i="63"/>
  <c r="BF1190" i="63"/>
  <c r="BD1190" i="63"/>
  <c r="BC1190" i="63"/>
  <c r="BA1190" i="63"/>
  <c r="AZ1190" i="63"/>
  <c r="AX1190" i="63"/>
  <c r="AW1190" i="63"/>
  <c r="AU1190" i="63"/>
  <c r="AT1190" i="63"/>
  <c r="AR1190" i="63"/>
  <c r="AR1216" i="63" s="1"/>
  <c r="AQ1190" i="63"/>
  <c r="AO1190" i="63"/>
  <c r="AO1216" i="63" s="1"/>
  <c r="AN1190" i="63"/>
  <c r="AL1190" i="63"/>
  <c r="AM1190" i="63" s="1"/>
  <c r="AK1190" i="63"/>
  <c r="AI1190" i="63"/>
  <c r="AH1190" i="63"/>
  <c r="AD1190" i="63"/>
  <c r="AC1190" i="63"/>
  <c r="X1190" i="63"/>
  <c r="W1190" i="63"/>
  <c r="R1190" i="63"/>
  <c r="Q1190" i="63"/>
  <c r="O1190" i="63"/>
  <c r="N1190" i="63"/>
  <c r="L1190" i="63"/>
  <c r="H1190" i="63"/>
  <c r="G1190" i="63"/>
  <c r="BP1189" i="63"/>
  <c r="BP1215" i="63" s="1"/>
  <c r="BO1189" i="63"/>
  <c r="BM1189" i="63"/>
  <c r="BL1189" i="63"/>
  <c r="BJ1189" i="63"/>
  <c r="BK1189" i="63" s="1"/>
  <c r="BI1189" i="63"/>
  <c r="BI1215" i="63" s="1"/>
  <c r="BG1189" i="63"/>
  <c r="BF1189" i="63"/>
  <c r="BD1189" i="63"/>
  <c r="BD1215" i="63" s="1"/>
  <c r="BC1189" i="63"/>
  <c r="BA1189" i="63"/>
  <c r="BB1189" i="63" s="1"/>
  <c r="AZ1189" i="63"/>
  <c r="AZ1215" i="63" s="1"/>
  <c r="AX1189" i="63"/>
  <c r="AY1189" i="63" s="1"/>
  <c r="AW1189" i="63"/>
  <c r="AU1189" i="63"/>
  <c r="AT1189" i="63"/>
  <c r="AR1189" i="63"/>
  <c r="AR1215" i="63" s="1"/>
  <c r="AQ1189" i="63"/>
  <c r="AO1189" i="63"/>
  <c r="AO1215" i="63" s="1"/>
  <c r="AN1189" i="63"/>
  <c r="AL1189" i="63"/>
  <c r="AK1189" i="63"/>
  <c r="AK1215" i="63" s="1"/>
  <c r="AI1189" i="63"/>
  <c r="AH1189" i="63"/>
  <c r="AD1189" i="63"/>
  <c r="AC1189" i="63"/>
  <c r="X1189" i="63"/>
  <c r="X1215" i="63" s="1"/>
  <c r="W1189" i="63"/>
  <c r="W1215" i="63" s="1"/>
  <c r="R1189" i="63"/>
  <c r="Q1189" i="63"/>
  <c r="O1189" i="63"/>
  <c r="N1189" i="63"/>
  <c r="N1215" i="63" s="1"/>
  <c r="H1189" i="63"/>
  <c r="G1189" i="63"/>
  <c r="G1215" i="63" s="1"/>
  <c r="BP1188" i="63"/>
  <c r="BO1188" i="63"/>
  <c r="BM1188" i="63"/>
  <c r="BM1214" i="63" s="1"/>
  <c r="BN1214" i="63" s="1"/>
  <c r="BL1188" i="63"/>
  <c r="BL1214" i="63" s="1"/>
  <c r="BJ1188" i="63"/>
  <c r="BI1188" i="63"/>
  <c r="BG1188" i="63"/>
  <c r="BF1188" i="63"/>
  <c r="BD1188" i="63"/>
  <c r="BC1188" i="63"/>
  <c r="BA1188" i="63"/>
  <c r="BB1188" i="63" s="1"/>
  <c r="AZ1188" i="63"/>
  <c r="AX1188" i="63"/>
  <c r="AW1188" i="63"/>
  <c r="AU1188" i="63"/>
  <c r="AT1188" i="63"/>
  <c r="AR1188" i="63"/>
  <c r="AQ1188" i="63"/>
  <c r="AP1188" i="63"/>
  <c r="AO1188" i="63"/>
  <c r="AO1214" i="63" s="1"/>
  <c r="AN1188" i="63"/>
  <c r="AL1188" i="63"/>
  <c r="AM1188" i="63" s="1"/>
  <c r="AK1188" i="63"/>
  <c r="AI1188" i="63"/>
  <c r="AH1188" i="63"/>
  <c r="AD1188" i="63"/>
  <c r="AD1214" i="63" s="1"/>
  <c r="AC1188" i="63"/>
  <c r="X1188" i="63"/>
  <c r="W1188" i="63"/>
  <c r="U1188" i="63"/>
  <c r="R1188" i="63"/>
  <c r="R1214" i="63" s="1"/>
  <c r="Q1188" i="63"/>
  <c r="O1188" i="63"/>
  <c r="N1188" i="63"/>
  <c r="N1214" i="63" s="1"/>
  <c r="H1188" i="63"/>
  <c r="G1188" i="63"/>
  <c r="BM1187" i="63"/>
  <c r="BI1187" i="63"/>
  <c r="AR1187" i="63"/>
  <c r="AD1187" i="63"/>
  <c r="H1187" i="63"/>
  <c r="BQ1183" i="63"/>
  <c r="BN1183" i="63"/>
  <c r="BK1183" i="63"/>
  <c r="BH1183" i="63"/>
  <c r="BE1183" i="63"/>
  <c r="BB1183" i="63"/>
  <c r="AY1183" i="63"/>
  <c r="AV1183" i="63"/>
  <c r="AS1183" i="63"/>
  <c r="AP1183" i="63"/>
  <c r="AM1183" i="63"/>
  <c r="AJ1183" i="63"/>
  <c r="AE1183" i="63"/>
  <c r="Y1183" i="63"/>
  <c r="U1183" i="63"/>
  <c r="T1183" i="63"/>
  <c r="Z1183" i="63" s="1"/>
  <c r="S1183" i="63"/>
  <c r="P1183" i="63"/>
  <c r="L1183" i="63"/>
  <c r="K1183" i="63"/>
  <c r="I1183" i="63"/>
  <c r="BQ1182" i="63"/>
  <c r="BN1182" i="63"/>
  <c r="BK1182" i="63"/>
  <c r="BH1182" i="63"/>
  <c r="BE1182" i="63"/>
  <c r="BB1182" i="63"/>
  <c r="AY1182" i="63"/>
  <c r="AV1182" i="63"/>
  <c r="AS1182" i="63"/>
  <c r="AP1182" i="63"/>
  <c r="AM1182" i="63"/>
  <c r="AJ1182" i="63"/>
  <c r="AE1182" i="63"/>
  <c r="Y1182" i="63"/>
  <c r="U1182" i="63"/>
  <c r="AA1182" i="63" s="1"/>
  <c r="T1182" i="63"/>
  <c r="Z1182" i="63" s="1"/>
  <c r="S1182" i="63"/>
  <c r="P1182" i="63"/>
  <c r="L1182" i="63"/>
  <c r="K1182" i="63"/>
  <c r="I1182" i="63"/>
  <c r="BQ1181" i="63"/>
  <c r="BN1181" i="63"/>
  <c r="BK1181" i="63"/>
  <c r="BH1181" i="63"/>
  <c r="BE1181" i="63"/>
  <c r="BB1181" i="63"/>
  <c r="AY1181" i="63"/>
  <c r="AV1181" i="63"/>
  <c r="AS1181" i="63"/>
  <c r="AP1181" i="63"/>
  <c r="AM1181" i="63"/>
  <c r="AJ1181" i="63"/>
  <c r="AE1181" i="63"/>
  <c r="Y1181" i="63"/>
  <c r="U1181" i="63"/>
  <c r="AA1181" i="63" s="1"/>
  <c r="T1181" i="63"/>
  <c r="S1181" i="63"/>
  <c r="P1181" i="63"/>
  <c r="L1181" i="63"/>
  <c r="M1181" i="63" s="1"/>
  <c r="K1181" i="63"/>
  <c r="I1181" i="63"/>
  <c r="BQ1180" i="63"/>
  <c r="BN1180" i="63"/>
  <c r="BK1180" i="63"/>
  <c r="BH1180" i="63"/>
  <c r="BE1180" i="63"/>
  <c r="BB1180" i="63"/>
  <c r="AY1180" i="63"/>
  <c r="AV1180" i="63"/>
  <c r="AS1180" i="63"/>
  <c r="AP1180" i="63"/>
  <c r="AM1180" i="63"/>
  <c r="AJ1180" i="63"/>
  <c r="AE1180" i="63"/>
  <c r="Y1180" i="63"/>
  <c r="U1180" i="63"/>
  <c r="AA1180" i="63" s="1"/>
  <c r="T1180" i="63"/>
  <c r="Z1180" i="63" s="1"/>
  <c r="S1180" i="63"/>
  <c r="P1180" i="63"/>
  <c r="L1180" i="63"/>
  <c r="K1180" i="63"/>
  <c r="I1180" i="63"/>
  <c r="BQ1179" i="63"/>
  <c r="BN1179" i="63"/>
  <c r="BK1179" i="63"/>
  <c r="BH1179" i="63"/>
  <c r="BE1179" i="63"/>
  <c r="BB1179" i="63"/>
  <c r="AY1179" i="63"/>
  <c r="AV1179" i="63"/>
  <c r="AS1179" i="63"/>
  <c r="AP1179" i="63"/>
  <c r="AM1179" i="63"/>
  <c r="AJ1179" i="63"/>
  <c r="AE1179" i="63"/>
  <c r="Y1179" i="63"/>
  <c r="U1179" i="63"/>
  <c r="AA1179" i="63" s="1"/>
  <c r="T1179" i="63"/>
  <c r="Z1179" i="63" s="1"/>
  <c r="S1179" i="63"/>
  <c r="P1179" i="63"/>
  <c r="L1179" i="63"/>
  <c r="K1179" i="63"/>
  <c r="I1179" i="63"/>
  <c r="BQ1178" i="63"/>
  <c r="BN1178" i="63"/>
  <c r="BK1178" i="63"/>
  <c r="BH1178" i="63"/>
  <c r="BE1178" i="63"/>
  <c r="BB1178" i="63"/>
  <c r="AY1178" i="63"/>
  <c r="AV1178" i="63"/>
  <c r="AS1178" i="63"/>
  <c r="AP1178" i="63"/>
  <c r="AM1178" i="63"/>
  <c r="AJ1178" i="63"/>
  <c r="AE1178" i="63"/>
  <c r="Y1178" i="63"/>
  <c r="U1178" i="63"/>
  <c r="AA1178" i="63" s="1"/>
  <c r="T1178" i="63"/>
  <c r="Z1178" i="63" s="1"/>
  <c r="S1178" i="63"/>
  <c r="P1178" i="63"/>
  <c r="L1178" i="63"/>
  <c r="K1178" i="63"/>
  <c r="I1178" i="63"/>
  <c r="BQ1177" i="63"/>
  <c r="BN1177" i="63"/>
  <c r="BK1177" i="63"/>
  <c r="BH1177" i="63"/>
  <c r="BE1177" i="63"/>
  <c r="BB1177" i="63"/>
  <c r="AY1177" i="63"/>
  <c r="AV1177" i="63"/>
  <c r="AS1177" i="63"/>
  <c r="AP1177" i="63"/>
  <c r="AM1177" i="63"/>
  <c r="AJ1177" i="63"/>
  <c r="AE1177" i="63"/>
  <c r="Y1177" i="63"/>
  <c r="U1177" i="63"/>
  <c r="AA1177" i="63" s="1"/>
  <c r="T1177" i="63"/>
  <c r="Z1177" i="63" s="1"/>
  <c r="S1177" i="63"/>
  <c r="P1177" i="63"/>
  <c r="L1177" i="63"/>
  <c r="K1177" i="63"/>
  <c r="I1177" i="63"/>
  <c r="BQ1176" i="63"/>
  <c r="BN1176" i="63"/>
  <c r="BK1176" i="63"/>
  <c r="BH1176" i="63"/>
  <c r="BE1176" i="63"/>
  <c r="BB1176" i="63"/>
  <c r="AY1176" i="63"/>
  <c r="AV1176" i="63"/>
  <c r="AS1176" i="63"/>
  <c r="AP1176" i="63"/>
  <c r="AM1176" i="63"/>
  <c r="AJ1176" i="63"/>
  <c r="AE1176" i="63"/>
  <c r="Y1176" i="63"/>
  <c r="U1176" i="63"/>
  <c r="AA1176" i="63" s="1"/>
  <c r="T1176" i="63"/>
  <c r="Z1176" i="63" s="1"/>
  <c r="S1176" i="63"/>
  <c r="P1176" i="63"/>
  <c r="L1176" i="63"/>
  <c r="K1176" i="63"/>
  <c r="I1176" i="63"/>
  <c r="BQ1175" i="63"/>
  <c r="BN1175" i="63"/>
  <c r="BK1175" i="63"/>
  <c r="BH1175" i="63"/>
  <c r="BE1175" i="63"/>
  <c r="BB1175" i="63"/>
  <c r="AY1175" i="63"/>
  <c r="AV1175" i="63"/>
  <c r="AS1175" i="63"/>
  <c r="AP1175" i="63"/>
  <c r="AM1175" i="63"/>
  <c r="AJ1175" i="63"/>
  <c r="AE1175" i="63"/>
  <c r="Z1175" i="63"/>
  <c r="Y1175" i="63"/>
  <c r="U1175" i="63"/>
  <c r="T1175" i="63"/>
  <c r="S1175" i="63"/>
  <c r="P1175" i="63"/>
  <c r="L1175" i="63"/>
  <c r="K1175" i="63"/>
  <c r="I1175" i="63"/>
  <c r="BP1174" i="63"/>
  <c r="BO1174" i="63"/>
  <c r="BM1174" i="63"/>
  <c r="BL1174" i="63"/>
  <c r="BJ1174" i="63"/>
  <c r="BI1174" i="63"/>
  <c r="BG1174" i="63"/>
  <c r="BF1174" i="63"/>
  <c r="BF1166" i="63" s="1"/>
  <c r="BD1174" i="63"/>
  <c r="BE1174" i="63" s="1"/>
  <c r="BC1174" i="63"/>
  <c r="BA1174" i="63"/>
  <c r="AZ1174" i="63"/>
  <c r="AZ1148" i="63" s="1"/>
  <c r="AX1174" i="63"/>
  <c r="AW1174" i="63"/>
  <c r="AU1174" i="63"/>
  <c r="AT1174" i="63"/>
  <c r="AV1174" i="63" s="1"/>
  <c r="AR1174" i="63"/>
  <c r="AS1174" i="63" s="1"/>
  <c r="AQ1174" i="63"/>
  <c r="AO1174" i="63"/>
  <c r="AN1174" i="63"/>
  <c r="AL1174" i="63"/>
  <c r="AK1174" i="63"/>
  <c r="AI1174" i="63"/>
  <c r="AH1174" i="63"/>
  <c r="AD1174" i="63"/>
  <c r="AC1174" i="63"/>
  <c r="X1174" i="63"/>
  <c r="W1174" i="63"/>
  <c r="Y1174" i="63" s="1"/>
  <c r="R1174" i="63"/>
  <c r="Q1174" i="63"/>
  <c r="O1174" i="63"/>
  <c r="N1174" i="63"/>
  <c r="H1174" i="63"/>
  <c r="G1174" i="63"/>
  <c r="BQ1173" i="63"/>
  <c r="BN1173" i="63"/>
  <c r="BK1173" i="63"/>
  <c r="BH1173" i="63"/>
  <c r="BE1173" i="63"/>
  <c r="BB1173" i="63"/>
  <c r="AY1173" i="63"/>
  <c r="AV1173" i="63"/>
  <c r="AS1173" i="63"/>
  <c r="AP1173" i="63"/>
  <c r="AM1173" i="63"/>
  <c r="AJ1173" i="63"/>
  <c r="AE1173" i="63"/>
  <c r="Y1173" i="63"/>
  <c r="U1173" i="63"/>
  <c r="AA1173" i="63" s="1"/>
  <c r="T1173" i="63"/>
  <c r="S1173" i="63"/>
  <c r="P1173" i="63"/>
  <c r="L1173" i="63"/>
  <c r="K1173" i="63"/>
  <c r="M1173" i="63" s="1"/>
  <c r="I1173" i="63"/>
  <c r="BQ1172" i="63"/>
  <c r="BN1172" i="63"/>
  <c r="BK1172" i="63"/>
  <c r="BH1172" i="63"/>
  <c r="BE1172" i="63"/>
  <c r="BB1172" i="63"/>
  <c r="AY1172" i="63"/>
  <c r="AV1172" i="63"/>
  <c r="AS1172" i="63"/>
  <c r="AP1172" i="63"/>
  <c r="AM1172" i="63"/>
  <c r="AJ1172" i="63"/>
  <c r="AE1172" i="63"/>
  <c r="Y1172" i="63"/>
  <c r="U1172" i="63"/>
  <c r="AA1172" i="63" s="1"/>
  <c r="T1172" i="63"/>
  <c r="Z1172" i="63" s="1"/>
  <c r="S1172" i="63"/>
  <c r="P1172" i="63"/>
  <c r="L1172" i="63"/>
  <c r="K1172" i="63"/>
  <c r="I1172" i="63"/>
  <c r="BQ1171" i="63"/>
  <c r="BN1171" i="63"/>
  <c r="BK1171" i="63"/>
  <c r="BH1171" i="63"/>
  <c r="BE1171" i="63"/>
  <c r="BB1171" i="63"/>
  <c r="AY1171" i="63"/>
  <c r="AV1171" i="63"/>
  <c r="AS1171" i="63"/>
  <c r="AP1171" i="63"/>
  <c r="AM1171" i="63"/>
  <c r="AJ1171" i="63"/>
  <c r="AE1171" i="63"/>
  <c r="Y1171" i="63"/>
  <c r="V1171" i="63"/>
  <c r="U1171" i="63"/>
  <c r="AA1171" i="63" s="1"/>
  <c r="T1171" i="63"/>
  <c r="Z1171" i="63" s="1"/>
  <c r="S1171" i="63"/>
  <c r="P1171" i="63"/>
  <c r="L1171" i="63"/>
  <c r="K1171" i="63"/>
  <c r="I1171" i="63"/>
  <c r="BQ1170" i="63"/>
  <c r="BN1170" i="63"/>
  <c r="BK1170" i="63"/>
  <c r="BH1170" i="63"/>
  <c r="BE1170" i="63"/>
  <c r="BB1170" i="63"/>
  <c r="AY1170" i="63"/>
  <c r="AV1170" i="63"/>
  <c r="AS1170" i="63"/>
  <c r="AP1170" i="63"/>
  <c r="AM1170" i="63"/>
  <c r="AJ1170" i="63"/>
  <c r="AE1170" i="63"/>
  <c r="Y1170" i="63"/>
  <c r="U1170" i="63"/>
  <c r="AA1170" i="63" s="1"/>
  <c r="T1170" i="63"/>
  <c r="Z1170" i="63" s="1"/>
  <c r="S1170" i="63"/>
  <c r="P1170" i="63"/>
  <c r="L1170" i="63"/>
  <c r="M1170" i="63" s="1"/>
  <c r="K1170" i="63"/>
  <c r="I1170" i="63"/>
  <c r="BQ1169" i="63"/>
  <c r="BN1169" i="63"/>
  <c r="BK1169" i="63"/>
  <c r="BH1169" i="63"/>
  <c r="BE1169" i="63"/>
  <c r="BB1169" i="63"/>
  <c r="AY1169" i="63"/>
  <c r="AV1169" i="63"/>
  <c r="AS1169" i="63"/>
  <c r="AP1169" i="63"/>
  <c r="AM1169" i="63"/>
  <c r="AJ1169" i="63"/>
  <c r="AE1169" i="63"/>
  <c r="Y1169" i="63"/>
  <c r="U1169" i="63"/>
  <c r="AA1169" i="63" s="1"/>
  <c r="T1169" i="63"/>
  <c r="Z1169" i="63" s="1"/>
  <c r="S1169" i="63"/>
  <c r="P1169" i="63"/>
  <c r="L1169" i="63"/>
  <c r="K1169" i="63"/>
  <c r="I1169" i="63"/>
  <c r="BQ1168" i="63"/>
  <c r="BN1168" i="63"/>
  <c r="BK1168" i="63"/>
  <c r="BH1168" i="63"/>
  <c r="BE1168" i="63"/>
  <c r="BB1168" i="63"/>
  <c r="AY1168" i="63"/>
  <c r="AV1168" i="63"/>
  <c r="AS1168" i="63"/>
  <c r="AP1168" i="63"/>
  <c r="AM1168" i="63"/>
  <c r="AJ1168" i="63"/>
  <c r="AE1168" i="63"/>
  <c r="Y1168" i="63"/>
  <c r="U1168" i="63"/>
  <c r="T1168" i="63"/>
  <c r="Z1168" i="63" s="1"/>
  <c r="S1168" i="63"/>
  <c r="P1168" i="63"/>
  <c r="L1168" i="63"/>
  <c r="K1168" i="63"/>
  <c r="I1168" i="63"/>
  <c r="BP1167" i="63"/>
  <c r="BO1167" i="63"/>
  <c r="BO1166" i="63" s="1"/>
  <c r="BM1167" i="63"/>
  <c r="BL1167" i="63"/>
  <c r="BJ1167" i="63"/>
  <c r="BI1167" i="63"/>
  <c r="BG1167" i="63"/>
  <c r="BG1141" i="63" s="1"/>
  <c r="BF1167" i="63"/>
  <c r="BD1167" i="63"/>
  <c r="BC1167" i="63"/>
  <c r="BC1166" i="63" s="1"/>
  <c r="BA1167" i="63"/>
  <c r="BA1166" i="63" s="1"/>
  <c r="AZ1167" i="63"/>
  <c r="AX1167" i="63"/>
  <c r="AW1167" i="63"/>
  <c r="AU1167" i="63"/>
  <c r="AT1167" i="63"/>
  <c r="AR1167" i="63"/>
  <c r="AS1167" i="63" s="1"/>
  <c r="AQ1167" i="63"/>
  <c r="AQ1141" i="63" s="1"/>
  <c r="AO1167" i="63"/>
  <c r="AN1167" i="63"/>
  <c r="AN1166" i="63" s="1"/>
  <c r="AL1167" i="63"/>
  <c r="AL1141" i="63" s="1"/>
  <c r="AK1167" i="63"/>
  <c r="AI1167" i="63"/>
  <c r="AH1167" i="63"/>
  <c r="AJ1167" i="63" s="1"/>
  <c r="AD1167" i="63"/>
  <c r="AC1167" i="63"/>
  <c r="X1167" i="63"/>
  <c r="W1167" i="63"/>
  <c r="R1167" i="63"/>
  <c r="Q1167" i="63"/>
  <c r="Q1166" i="63" s="1"/>
  <c r="O1167" i="63"/>
  <c r="N1167" i="63"/>
  <c r="T1167" i="63" s="1"/>
  <c r="Z1167" i="63" s="1"/>
  <c r="H1167" i="63"/>
  <c r="I1167" i="63" s="1"/>
  <c r="G1167" i="63"/>
  <c r="BJ1166" i="63"/>
  <c r="BG1166" i="63"/>
  <c r="BH1166" i="63" s="1"/>
  <c r="AX1166" i="63"/>
  <c r="AU1166" i="63"/>
  <c r="AQ1166" i="63"/>
  <c r="AL1166" i="63"/>
  <c r="AI1166" i="63"/>
  <c r="AC1166" i="63"/>
  <c r="O1166" i="63"/>
  <c r="G1166" i="63"/>
  <c r="BQ1165" i="63"/>
  <c r="BN1165" i="63"/>
  <c r="BK1165" i="63"/>
  <c r="BH1165" i="63"/>
  <c r="BE1165" i="63"/>
  <c r="BB1165" i="63"/>
  <c r="AY1165" i="63"/>
  <c r="AV1165" i="63"/>
  <c r="AS1165" i="63"/>
  <c r="AP1165" i="63"/>
  <c r="AM1165" i="63"/>
  <c r="AJ1165" i="63"/>
  <c r="AE1165" i="63"/>
  <c r="Y1165" i="63"/>
  <c r="U1165" i="63"/>
  <c r="AA1165" i="63" s="1"/>
  <c r="T1165" i="63"/>
  <c r="Z1165" i="63" s="1"/>
  <c r="S1165" i="63"/>
  <c r="P1165" i="63"/>
  <c r="L1165" i="63"/>
  <c r="K1165" i="63"/>
  <c r="I1165" i="63"/>
  <c r="BQ1164" i="63"/>
  <c r="BN1164" i="63"/>
  <c r="BK1164" i="63"/>
  <c r="BH1164" i="63"/>
  <c r="BE1164" i="63"/>
  <c r="BB1164" i="63"/>
  <c r="AY1164" i="63"/>
  <c r="AV1164" i="63"/>
  <c r="AS1164" i="63"/>
  <c r="AP1164" i="63"/>
  <c r="AM1164" i="63"/>
  <c r="AJ1164" i="63"/>
  <c r="AE1164" i="63"/>
  <c r="Z1164" i="63"/>
  <c r="Y1164" i="63"/>
  <c r="U1164" i="63"/>
  <c r="AA1164" i="63" s="1"/>
  <c r="T1164" i="63"/>
  <c r="S1164" i="63"/>
  <c r="P1164" i="63"/>
  <c r="L1164" i="63"/>
  <c r="M1164" i="63" s="1"/>
  <c r="K1164" i="63"/>
  <c r="I1164" i="63"/>
  <c r="BQ1163" i="63"/>
  <c r="BN1163" i="63"/>
  <c r="BK1163" i="63"/>
  <c r="BH1163" i="63"/>
  <c r="BE1163" i="63"/>
  <c r="BB1163" i="63"/>
  <c r="AY1163" i="63"/>
  <c r="AV1163" i="63"/>
  <c r="AS1163" i="63"/>
  <c r="AP1163" i="63"/>
  <c r="AM1163" i="63"/>
  <c r="AJ1163" i="63"/>
  <c r="AE1163" i="63"/>
  <c r="Y1163" i="63"/>
  <c r="U1163" i="63"/>
  <c r="AA1163" i="63" s="1"/>
  <c r="T1163" i="63"/>
  <c r="Z1163" i="63" s="1"/>
  <c r="S1163" i="63"/>
  <c r="P1163" i="63"/>
  <c r="L1163" i="63"/>
  <c r="K1163" i="63"/>
  <c r="I1163" i="63"/>
  <c r="BQ1162" i="63"/>
  <c r="BN1162" i="63"/>
  <c r="BK1162" i="63"/>
  <c r="BH1162" i="63"/>
  <c r="BE1162" i="63"/>
  <c r="BB1162" i="63"/>
  <c r="AY1162" i="63"/>
  <c r="AV1162" i="63"/>
  <c r="AS1162" i="63"/>
  <c r="AP1162" i="63"/>
  <c r="AM1162" i="63"/>
  <c r="AJ1162" i="63"/>
  <c r="AE1162" i="63"/>
  <c r="Y1162" i="63"/>
  <c r="U1162" i="63"/>
  <c r="T1162" i="63"/>
  <c r="Z1162" i="63" s="1"/>
  <c r="S1162" i="63"/>
  <c r="P1162" i="63"/>
  <c r="L1162" i="63"/>
  <c r="K1162" i="63"/>
  <c r="I1162" i="63"/>
  <c r="BP1161" i="63"/>
  <c r="BO1161" i="63"/>
  <c r="BQ1161" i="63" s="1"/>
  <c r="BM1161" i="63"/>
  <c r="BL1161" i="63"/>
  <c r="BJ1161" i="63"/>
  <c r="BJ1148" i="63" s="1"/>
  <c r="BI1161" i="63"/>
  <c r="BK1161" i="63" s="1"/>
  <c r="BG1161" i="63"/>
  <c r="BH1161" i="63" s="1"/>
  <c r="BF1161" i="63"/>
  <c r="BD1161" i="63"/>
  <c r="BC1161" i="63"/>
  <c r="BA1161" i="63"/>
  <c r="AZ1161" i="63"/>
  <c r="AX1161" i="63"/>
  <c r="AX1148" i="63" s="1"/>
  <c r="AW1161" i="63"/>
  <c r="AW1155" i="63" s="1"/>
  <c r="AU1161" i="63"/>
  <c r="AT1161" i="63"/>
  <c r="AR1161" i="63"/>
  <c r="AQ1161" i="63"/>
  <c r="AQ1148" i="63" s="1"/>
  <c r="AO1161" i="63"/>
  <c r="AN1161" i="63"/>
  <c r="AL1161" i="63"/>
  <c r="AL1148" i="63" s="1"/>
  <c r="AK1161" i="63"/>
  <c r="AK1148" i="63" s="1"/>
  <c r="AI1161" i="63"/>
  <c r="AH1161" i="63"/>
  <c r="AD1161" i="63"/>
  <c r="AC1161" i="63"/>
  <c r="X1161" i="63"/>
  <c r="W1161" i="63"/>
  <c r="R1161" i="63"/>
  <c r="Q1161" i="63"/>
  <c r="Q1148" i="63" s="1"/>
  <c r="O1161" i="63"/>
  <c r="N1161" i="63"/>
  <c r="K1161" i="63" s="1"/>
  <c r="I1161" i="63"/>
  <c r="H1161" i="63"/>
  <c r="G1161" i="63"/>
  <c r="BQ1160" i="63"/>
  <c r="BN1160" i="63"/>
  <c r="BK1160" i="63"/>
  <c r="BH1160" i="63"/>
  <c r="BE1160" i="63"/>
  <c r="BB1160" i="63"/>
  <c r="AY1160" i="63"/>
  <c r="AV1160" i="63"/>
  <c r="AS1160" i="63"/>
  <c r="AP1160" i="63"/>
  <c r="AM1160" i="63"/>
  <c r="AJ1160" i="63"/>
  <c r="AE1160" i="63"/>
  <c r="Y1160" i="63"/>
  <c r="U1160" i="63"/>
  <c r="AA1160" i="63" s="1"/>
  <c r="AB1160" i="63" s="1"/>
  <c r="T1160" i="63"/>
  <c r="Z1160" i="63" s="1"/>
  <c r="S1160" i="63"/>
  <c r="P1160" i="63"/>
  <c r="L1160" i="63"/>
  <c r="K1160" i="63"/>
  <c r="I1160" i="63"/>
  <c r="BQ1159" i="63"/>
  <c r="BN1159" i="63"/>
  <c r="BK1159" i="63"/>
  <c r="BH1159" i="63"/>
  <c r="BE1159" i="63"/>
  <c r="BB1159" i="63"/>
  <c r="AY1159" i="63"/>
  <c r="AV1159" i="63"/>
  <c r="AS1159" i="63"/>
  <c r="AP1159" i="63"/>
  <c r="AM1159" i="63"/>
  <c r="AJ1159" i="63"/>
  <c r="AE1159" i="63"/>
  <c r="Y1159" i="63"/>
  <c r="U1159" i="63"/>
  <c r="AA1159" i="63" s="1"/>
  <c r="T1159" i="63"/>
  <c r="Z1159" i="63" s="1"/>
  <c r="S1159" i="63"/>
  <c r="P1159" i="63"/>
  <c r="L1159" i="63"/>
  <c r="K1159" i="63"/>
  <c r="I1159" i="63"/>
  <c r="BQ1158" i="63"/>
  <c r="BN1158" i="63"/>
  <c r="BK1158" i="63"/>
  <c r="BH1158" i="63"/>
  <c r="BE1158" i="63"/>
  <c r="BB1158" i="63"/>
  <c r="AY1158" i="63"/>
  <c r="AV1158" i="63"/>
  <c r="AS1158" i="63"/>
  <c r="AP1158" i="63"/>
  <c r="AM1158" i="63"/>
  <c r="AJ1158" i="63"/>
  <c r="AE1158" i="63"/>
  <c r="Y1158" i="63"/>
  <c r="U1158" i="63"/>
  <c r="AA1158" i="63" s="1"/>
  <c r="T1158" i="63"/>
  <c r="Z1158" i="63" s="1"/>
  <c r="S1158" i="63"/>
  <c r="P1158" i="63"/>
  <c r="L1158" i="63"/>
  <c r="K1158" i="63"/>
  <c r="I1158" i="63"/>
  <c r="BQ1157" i="63"/>
  <c r="BN1157" i="63"/>
  <c r="BK1157" i="63"/>
  <c r="BH1157" i="63"/>
  <c r="BE1157" i="63"/>
  <c r="BB1157" i="63"/>
  <c r="AY1157" i="63"/>
  <c r="AV1157" i="63"/>
  <c r="AS1157" i="63"/>
  <c r="AP1157" i="63"/>
  <c r="AM1157" i="63"/>
  <c r="AJ1157" i="63"/>
  <c r="AE1157" i="63"/>
  <c r="AA1157" i="63"/>
  <c r="Y1157" i="63"/>
  <c r="U1157" i="63"/>
  <c r="T1157" i="63"/>
  <c r="Z1157" i="63" s="1"/>
  <c r="S1157" i="63"/>
  <c r="P1157" i="63"/>
  <c r="L1157" i="63"/>
  <c r="K1157" i="63"/>
  <c r="I1157" i="63"/>
  <c r="BP1156" i="63"/>
  <c r="BO1156" i="63"/>
  <c r="BM1156" i="63"/>
  <c r="BL1156" i="63"/>
  <c r="BL1155" i="63" s="1"/>
  <c r="BJ1156" i="63"/>
  <c r="BJ1155" i="63" s="1"/>
  <c r="BI1156" i="63"/>
  <c r="BG1156" i="63"/>
  <c r="BF1156" i="63"/>
  <c r="BD1156" i="63"/>
  <c r="BE1156" i="63" s="1"/>
  <c r="BC1156" i="63"/>
  <c r="BC1141" i="63" s="1"/>
  <c r="BA1156" i="63"/>
  <c r="AZ1156" i="63"/>
  <c r="AX1156" i="63"/>
  <c r="AW1156" i="63"/>
  <c r="AU1156" i="63"/>
  <c r="AT1156" i="63"/>
  <c r="AR1156" i="63"/>
  <c r="AQ1156" i="63"/>
  <c r="AO1156" i="63"/>
  <c r="AN1156" i="63"/>
  <c r="AN1155" i="63" s="1"/>
  <c r="AL1156" i="63"/>
  <c r="AK1156" i="63"/>
  <c r="AI1156" i="63"/>
  <c r="AJ1156" i="63" s="1"/>
  <c r="AH1156" i="63"/>
  <c r="AH1155" i="63" s="1"/>
  <c r="AD1156" i="63"/>
  <c r="AC1156" i="63"/>
  <c r="X1156" i="63"/>
  <c r="W1156" i="63"/>
  <c r="R1156" i="63"/>
  <c r="Q1156" i="63"/>
  <c r="O1156" i="63"/>
  <c r="O1155" i="63" s="1"/>
  <c r="N1156" i="63"/>
  <c r="H1156" i="63"/>
  <c r="G1156" i="63"/>
  <c r="BM1155" i="63"/>
  <c r="BN1155" i="63" s="1"/>
  <c r="AL1155" i="63"/>
  <c r="AI1155" i="63"/>
  <c r="H1155" i="63"/>
  <c r="BP1154" i="63"/>
  <c r="BO1154" i="63"/>
  <c r="BQ1154" i="63" s="1"/>
  <c r="BM1154" i="63"/>
  <c r="BL1154" i="63"/>
  <c r="BJ1154" i="63"/>
  <c r="BI1154" i="63"/>
  <c r="BK1154" i="63" s="1"/>
  <c r="BG1154" i="63"/>
  <c r="BH1154" i="63" s="1"/>
  <c r="BF1154" i="63"/>
  <c r="BD1154" i="63"/>
  <c r="BC1154" i="63"/>
  <c r="BA1154" i="63"/>
  <c r="BB1154" i="63" s="1"/>
  <c r="AZ1154" i="63"/>
  <c r="AX1154" i="63"/>
  <c r="AW1154" i="63"/>
  <c r="AV1154" i="63"/>
  <c r="AU1154" i="63"/>
  <c r="AT1154" i="63"/>
  <c r="AR1154" i="63"/>
  <c r="AQ1154" i="63"/>
  <c r="AO1154" i="63"/>
  <c r="AN1154" i="63"/>
  <c r="AL1154" i="63"/>
  <c r="AK1154" i="63"/>
  <c r="AI1154" i="63"/>
  <c r="AJ1154" i="63" s="1"/>
  <c r="AH1154" i="63"/>
  <c r="AD1154" i="63"/>
  <c r="AE1154" i="63" s="1"/>
  <c r="AC1154" i="63"/>
  <c r="X1154" i="63"/>
  <c r="W1154" i="63"/>
  <c r="R1154" i="63"/>
  <c r="S1154" i="63" s="1"/>
  <c r="Q1154" i="63"/>
  <c r="O1154" i="63"/>
  <c r="N1154" i="63"/>
  <c r="I1154" i="63"/>
  <c r="H1154" i="63"/>
  <c r="G1154" i="63"/>
  <c r="BP1153" i="63"/>
  <c r="BO1153" i="63"/>
  <c r="BM1153" i="63"/>
  <c r="BL1153" i="63"/>
  <c r="BJ1153" i="63"/>
  <c r="BI1153" i="63"/>
  <c r="BK1153" i="63" s="1"/>
  <c r="BG1153" i="63"/>
  <c r="BH1153" i="63" s="1"/>
  <c r="BF1153" i="63"/>
  <c r="BD1153" i="63"/>
  <c r="BC1153" i="63"/>
  <c r="BA1153" i="63"/>
  <c r="AZ1153" i="63"/>
  <c r="AX1153" i="63"/>
  <c r="AW1153" i="63"/>
  <c r="AY1153" i="63" s="1"/>
  <c r="AU1153" i="63"/>
  <c r="AV1153" i="63" s="1"/>
  <c r="AT1153" i="63"/>
  <c r="AR1153" i="63"/>
  <c r="AQ1153" i="63"/>
  <c r="AO1153" i="63"/>
  <c r="AN1153" i="63"/>
  <c r="AL1153" i="63"/>
  <c r="AK1153" i="63"/>
  <c r="AM1153" i="63" s="1"/>
  <c r="AI1153" i="63"/>
  <c r="AH1153" i="63"/>
  <c r="AJ1153" i="63" s="1"/>
  <c r="AD1153" i="63"/>
  <c r="AE1153" i="63" s="1"/>
  <c r="AC1153" i="63"/>
  <c r="X1153" i="63"/>
  <c r="W1153" i="63"/>
  <c r="Y1153" i="63" s="1"/>
  <c r="S1153" i="63"/>
  <c r="R1153" i="63"/>
  <c r="Q1153" i="63"/>
  <c r="O1153" i="63"/>
  <c r="N1153" i="63"/>
  <c r="H1153" i="63"/>
  <c r="I1153" i="63" s="1"/>
  <c r="G1153" i="63"/>
  <c r="BP1152" i="63"/>
  <c r="BO1152" i="63"/>
  <c r="BM1152" i="63"/>
  <c r="BL1152" i="63"/>
  <c r="BJ1152" i="63"/>
  <c r="BI1152" i="63"/>
  <c r="BG1152" i="63"/>
  <c r="BF1152" i="63"/>
  <c r="BD1152" i="63"/>
  <c r="BC1152" i="63"/>
  <c r="BA1152" i="63"/>
  <c r="AZ1152" i="63"/>
  <c r="AX1152" i="63"/>
  <c r="AW1152" i="63"/>
  <c r="AY1152" i="63" s="1"/>
  <c r="AU1152" i="63"/>
  <c r="AV1152" i="63" s="1"/>
  <c r="AT1152" i="63"/>
  <c r="AR1152" i="63"/>
  <c r="AQ1152" i="63"/>
  <c r="AO1152" i="63"/>
  <c r="AP1152" i="63" s="1"/>
  <c r="AN1152" i="63"/>
  <c r="AL1152" i="63"/>
  <c r="AK1152" i="63"/>
  <c r="AM1152" i="63" s="1"/>
  <c r="AI1152" i="63"/>
  <c r="AH1152" i="63"/>
  <c r="AJ1152" i="63" s="1"/>
  <c r="AD1152" i="63"/>
  <c r="AE1152" i="63" s="1"/>
  <c r="AC1152" i="63"/>
  <c r="X1152" i="63"/>
  <c r="W1152" i="63"/>
  <c r="Y1152" i="63" s="1"/>
  <c r="S1152" i="63"/>
  <c r="R1152" i="63"/>
  <c r="Q1152" i="63"/>
  <c r="O1152" i="63"/>
  <c r="N1152" i="63"/>
  <c r="H1152" i="63"/>
  <c r="I1152" i="63" s="1"/>
  <c r="G1152" i="63"/>
  <c r="BQ1151" i="63"/>
  <c r="BP1151" i="63"/>
  <c r="BO1151" i="63"/>
  <c r="BM1151" i="63"/>
  <c r="BL1151" i="63"/>
  <c r="BJ1151" i="63"/>
  <c r="BI1151" i="63"/>
  <c r="BG1151" i="63"/>
  <c r="BF1151" i="63"/>
  <c r="BD1151" i="63"/>
  <c r="BC1151" i="63"/>
  <c r="BA1151" i="63"/>
  <c r="AZ1151" i="63"/>
  <c r="AX1151" i="63"/>
  <c r="AW1151" i="63"/>
  <c r="AU1151" i="63"/>
  <c r="AV1151" i="63" s="1"/>
  <c r="AT1151" i="63"/>
  <c r="AR1151" i="63"/>
  <c r="AS1151" i="63" s="1"/>
  <c r="AQ1151" i="63"/>
  <c r="AO1151" i="63"/>
  <c r="AN1151" i="63"/>
  <c r="AL1151" i="63"/>
  <c r="AK1151" i="63"/>
  <c r="AI1151" i="63"/>
  <c r="AH1151" i="63"/>
  <c r="AD1151" i="63"/>
  <c r="AC1151" i="63"/>
  <c r="X1151" i="63"/>
  <c r="W1151" i="63"/>
  <c r="R1151" i="63"/>
  <c r="Q1151" i="63"/>
  <c r="O1151" i="63"/>
  <c r="N1151" i="63"/>
  <c r="T1151" i="63" s="1"/>
  <c r="Z1151" i="63" s="1"/>
  <c r="H1151" i="63"/>
  <c r="I1151" i="63" s="1"/>
  <c r="G1151" i="63"/>
  <c r="BQ1150" i="63"/>
  <c r="BP1150" i="63"/>
  <c r="BO1150" i="63"/>
  <c r="BM1150" i="63"/>
  <c r="BL1150" i="63"/>
  <c r="BJ1150" i="63"/>
  <c r="BI1150" i="63"/>
  <c r="BG1150" i="63"/>
  <c r="BF1150" i="63"/>
  <c r="BD1150" i="63"/>
  <c r="BC1150" i="63"/>
  <c r="BA1150" i="63"/>
  <c r="AZ1150" i="63"/>
  <c r="AX1150" i="63"/>
  <c r="AW1150" i="63"/>
  <c r="AU1150" i="63"/>
  <c r="AT1150" i="63"/>
  <c r="AR1150" i="63"/>
  <c r="AS1150" i="63" s="1"/>
  <c r="AQ1150" i="63"/>
  <c r="AO1150" i="63"/>
  <c r="AN1150" i="63"/>
  <c r="AL1150" i="63"/>
  <c r="AK1150" i="63"/>
  <c r="AI1150" i="63"/>
  <c r="AH1150" i="63"/>
  <c r="AD1150" i="63"/>
  <c r="AC1150" i="63"/>
  <c r="X1150" i="63"/>
  <c r="W1150" i="63"/>
  <c r="R1150" i="63"/>
  <c r="Q1150" i="63"/>
  <c r="O1150" i="63"/>
  <c r="N1150" i="63"/>
  <c r="T1150" i="63" s="1"/>
  <c r="Z1150" i="63" s="1"/>
  <c r="H1150" i="63"/>
  <c r="I1150" i="63" s="1"/>
  <c r="G1150" i="63"/>
  <c r="BP1149" i="63"/>
  <c r="BO1149" i="63"/>
  <c r="BM1149" i="63"/>
  <c r="BL1149" i="63"/>
  <c r="BJ1149" i="63"/>
  <c r="BI1149" i="63"/>
  <c r="BG1149" i="63"/>
  <c r="BH1149" i="63" s="1"/>
  <c r="BF1149" i="63"/>
  <c r="BD1149" i="63"/>
  <c r="BC1149" i="63"/>
  <c r="BA1149" i="63"/>
  <c r="AZ1149" i="63"/>
  <c r="AX1149" i="63"/>
  <c r="AW1149" i="63"/>
  <c r="AY1149" i="63" s="1"/>
  <c r="AU1149" i="63"/>
  <c r="AT1149" i="63"/>
  <c r="AV1149" i="63" s="1"/>
  <c r="AR1149" i="63"/>
  <c r="AQ1149" i="63"/>
  <c r="AO1149" i="63"/>
  <c r="AN1149" i="63"/>
  <c r="AL1149" i="63"/>
  <c r="AK1149" i="63"/>
  <c r="AI1149" i="63"/>
  <c r="AH1149" i="63"/>
  <c r="AE1149" i="63"/>
  <c r="AD1149" i="63"/>
  <c r="AC1149" i="63"/>
  <c r="X1149" i="63"/>
  <c r="W1149" i="63"/>
  <c r="Y1149" i="63" s="1"/>
  <c r="R1149" i="63"/>
  <c r="S1149" i="63" s="1"/>
  <c r="Q1149" i="63"/>
  <c r="O1149" i="63"/>
  <c r="N1149" i="63"/>
  <c r="H1149" i="63"/>
  <c r="I1149" i="63" s="1"/>
  <c r="G1149" i="63"/>
  <c r="BP1148" i="63"/>
  <c r="BM1148" i="63"/>
  <c r="BF1148" i="63"/>
  <c r="BA1148" i="63"/>
  <c r="AU1148" i="63"/>
  <c r="AR1148" i="63"/>
  <c r="AI1148" i="63"/>
  <c r="O1148" i="63"/>
  <c r="N1148" i="63"/>
  <c r="G1148" i="63"/>
  <c r="BP1147" i="63"/>
  <c r="BO1147" i="63"/>
  <c r="BM1147" i="63"/>
  <c r="BN1147" i="63" s="1"/>
  <c r="BL1147" i="63"/>
  <c r="BJ1147" i="63"/>
  <c r="BI1147" i="63"/>
  <c r="BK1147" i="63" s="1"/>
  <c r="BH1147" i="63"/>
  <c r="BG1147" i="63"/>
  <c r="BF1147" i="63"/>
  <c r="BD1147" i="63"/>
  <c r="BC1147" i="63"/>
  <c r="BC1082" i="63" s="1"/>
  <c r="BA1147" i="63"/>
  <c r="AZ1147" i="63"/>
  <c r="AX1147" i="63"/>
  <c r="AW1147" i="63"/>
  <c r="AU1147" i="63"/>
  <c r="AT1147" i="63"/>
  <c r="AR1147" i="63"/>
  <c r="AQ1147" i="63"/>
  <c r="AO1147" i="63"/>
  <c r="AN1147" i="63"/>
  <c r="AL1147" i="63"/>
  <c r="AL1082" i="63" s="1"/>
  <c r="AK1147" i="63"/>
  <c r="AI1147" i="63"/>
  <c r="AH1147" i="63"/>
  <c r="AD1147" i="63"/>
  <c r="AC1147" i="63"/>
  <c r="X1147" i="63"/>
  <c r="W1147" i="63"/>
  <c r="R1147" i="63"/>
  <c r="Q1147" i="63"/>
  <c r="O1147" i="63"/>
  <c r="N1147" i="63"/>
  <c r="H1147" i="63"/>
  <c r="I1147" i="63" s="1"/>
  <c r="G1147" i="63"/>
  <c r="BP1146" i="63"/>
  <c r="BO1146" i="63"/>
  <c r="BM1146" i="63"/>
  <c r="BL1146" i="63"/>
  <c r="BJ1146" i="63"/>
  <c r="BI1146" i="63"/>
  <c r="BK1146" i="63" s="1"/>
  <c r="BG1146" i="63"/>
  <c r="BF1146" i="63"/>
  <c r="BD1146" i="63"/>
  <c r="BC1146" i="63"/>
  <c r="BA1146" i="63"/>
  <c r="AZ1146" i="63"/>
  <c r="AX1146" i="63"/>
  <c r="AW1146" i="63"/>
  <c r="AU1146" i="63"/>
  <c r="AT1146" i="63"/>
  <c r="AR1146" i="63"/>
  <c r="AQ1146" i="63"/>
  <c r="AO1146" i="63"/>
  <c r="AN1146" i="63"/>
  <c r="AL1146" i="63"/>
  <c r="AK1146" i="63"/>
  <c r="AI1146" i="63"/>
  <c r="AH1146" i="63"/>
  <c r="AD1146" i="63"/>
  <c r="AC1146" i="63"/>
  <c r="AC1081" i="63" s="1"/>
  <c r="AE1081" i="63" s="1"/>
  <c r="X1146" i="63"/>
  <c r="W1146" i="63"/>
  <c r="R1146" i="63"/>
  <c r="Q1146" i="63"/>
  <c r="O1146" i="63"/>
  <c r="N1146" i="63"/>
  <c r="H1146" i="63"/>
  <c r="G1146" i="63"/>
  <c r="BP1145" i="63"/>
  <c r="BQ1145" i="63" s="1"/>
  <c r="BO1145" i="63"/>
  <c r="BM1145" i="63"/>
  <c r="BL1145" i="63"/>
  <c r="BJ1145" i="63"/>
  <c r="BJ1080" i="63" s="1"/>
  <c r="BI1145" i="63"/>
  <c r="BG1145" i="63"/>
  <c r="BF1145" i="63"/>
  <c r="BD1145" i="63"/>
  <c r="BE1145" i="63" s="1"/>
  <c r="BC1145" i="63"/>
  <c r="BA1145" i="63"/>
  <c r="AZ1145" i="63"/>
  <c r="AX1145" i="63"/>
  <c r="AW1145" i="63"/>
  <c r="AU1145" i="63"/>
  <c r="AT1145" i="63"/>
  <c r="AR1145" i="63"/>
  <c r="AQ1145" i="63"/>
  <c r="AO1145" i="63"/>
  <c r="AN1145" i="63"/>
  <c r="AN1080" i="63" s="1"/>
  <c r="AL1145" i="63"/>
  <c r="AK1145" i="63"/>
  <c r="AI1145" i="63"/>
  <c r="AH1145" i="63"/>
  <c r="AE1145" i="63"/>
  <c r="AD1145" i="63"/>
  <c r="AC1145" i="63"/>
  <c r="X1145" i="63"/>
  <c r="W1145" i="63"/>
  <c r="R1145" i="63"/>
  <c r="Q1145" i="63"/>
  <c r="O1145" i="63"/>
  <c r="N1145" i="63"/>
  <c r="N1080" i="63" s="1"/>
  <c r="T1080" i="63" s="1"/>
  <c r="H1145" i="63"/>
  <c r="G1145" i="63"/>
  <c r="BP1144" i="63"/>
  <c r="BO1144" i="63"/>
  <c r="BO1079" i="63" s="1"/>
  <c r="BM1144" i="63"/>
  <c r="BL1144" i="63"/>
  <c r="BJ1144" i="63"/>
  <c r="BI1144" i="63"/>
  <c r="BG1144" i="63"/>
  <c r="BH1144" i="63" s="1"/>
  <c r="BF1144" i="63"/>
  <c r="BD1144" i="63"/>
  <c r="BC1144" i="63"/>
  <c r="BA1144" i="63"/>
  <c r="AZ1144" i="63"/>
  <c r="AX1144" i="63"/>
  <c r="AW1144" i="63"/>
  <c r="AU1144" i="63"/>
  <c r="AT1144" i="63"/>
  <c r="AV1144" i="63" s="1"/>
  <c r="AR1144" i="63"/>
  <c r="AQ1144" i="63"/>
  <c r="AO1144" i="63"/>
  <c r="AN1144" i="63"/>
  <c r="AL1144" i="63"/>
  <c r="AK1144" i="63"/>
  <c r="AI1144" i="63"/>
  <c r="AH1144" i="63"/>
  <c r="AD1144" i="63"/>
  <c r="AE1144" i="63" s="1"/>
  <c r="AC1144" i="63"/>
  <c r="X1144" i="63"/>
  <c r="W1144" i="63"/>
  <c r="R1144" i="63"/>
  <c r="Q1144" i="63"/>
  <c r="O1144" i="63"/>
  <c r="N1144" i="63"/>
  <c r="H1144" i="63"/>
  <c r="I1144" i="63" s="1"/>
  <c r="G1144" i="63"/>
  <c r="BP1143" i="63"/>
  <c r="BO1143" i="63"/>
  <c r="BM1143" i="63"/>
  <c r="BL1143" i="63"/>
  <c r="BJ1143" i="63"/>
  <c r="BI1143" i="63"/>
  <c r="BH1143" i="63"/>
  <c r="BG1143" i="63"/>
  <c r="BF1143" i="63"/>
  <c r="BD1143" i="63"/>
  <c r="BC1143" i="63"/>
  <c r="BA1143" i="63"/>
  <c r="AZ1143" i="63"/>
  <c r="AX1143" i="63"/>
  <c r="AW1143" i="63"/>
  <c r="AU1143" i="63"/>
  <c r="AV1143" i="63" s="1"/>
  <c r="AT1143" i="63"/>
  <c r="AR1143" i="63"/>
  <c r="AS1143" i="63" s="1"/>
  <c r="AQ1143" i="63"/>
  <c r="AO1143" i="63"/>
  <c r="AN1143" i="63"/>
  <c r="AL1143" i="63"/>
  <c r="AK1143" i="63"/>
  <c r="AI1143" i="63"/>
  <c r="AH1143" i="63"/>
  <c r="AJ1143" i="63" s="1"/>
  <c r="AD1143" i="63"/>
  <c r="AD1078" i="63" s="1"/>
  <c r="AC1143" i="63"/>
  <c r="X1143" i="63"/>
  <c r="W1143" i="63"/>
  <c r="R1143" i="63"/>
  <c r="R1078" i="63" s="1"/>
  <c r="S1078" i="63" s="1"/>
  <c r="Q1143" i="63"/>
  <c r="O1143" i="63"/>
  <c r="N1143" i="63"/>
  <c r="H1143" i="63"/>
  <c r="G1143" i="63"/>
  <c r="BP1142" i="63"/>
  <c r="BO1142" i="63"/>
  <c r="BM1142" i="63"/>
  <c r="BN1142" i="63" s="1"/>
  <c r="BL1142" i="63"/>
  <c r="BJ1142" i="63"/>
  <c r="BI1142" i="63"/>
  <c r="BK1142" i="63" s="1"/>
  <c r="BH1142" i="63"/>
  <c r="BG1142" i="63"/>
  <c r="BF1142" i="63"/>
  <c r="BD1142" i="63"/>
  <c r="BC1142" i="63"/>
  <c r="BA1142" i="63"/>
  <c r="AZ1142" i="63"/>
  <c r="AX1142" i="63"/>
  <c r="AY1142" i="63" s="1"/>
  <c r="AW1142" i="63"/>
  <c r="AU1142" i="63"/>
  <c r="AT1142" i="63"/>
  <c r="AR1142" i="63"/>
  <c r="AR1077" i="63" s="1"/>
  <c r="AQ1142" i="63"/>
  <c r="AO1142" i="63"/>
  <c r="AN1142" i="63"/>
  <c r="AL1142" i="63"/>
  <c r="AK1142" i="63"/>
  <c r="AI1142" i="63"/>
  <c r="AH1142" i="63"/>
  <c r="AD1142" i="63"/>
  <c r="AD1077" i="63" s="1"/>
  <c r="AC1142" i="63"/>
  <c r="X1142" i="63"/>
  <c r="W1142" i="63"/>
  <c r="R1142" i="63"/>
  <c r="Q1142" i="63"/>
  <c r="O1142" i="63"/>
  <c r="N1142" i="63"/>
  <c r="H1142" i="63"/>
  <c r="G1142" i="63"/>
  <c r="BO1141" i="63"/>
  <c r="BJ1141" i="63"/>
  <c r="BJ1140" i="63" s="1"/>
  <c r="BI1141" i="63"/>
  <c r="AX1141" i="63"/>
  <c r="AT1141" i="63"/>
  <c r="AI1141" i="63"/>
  <c r="O1141" i="63"/>
  <c r="H1141" i="63"/>
  <c r="BQ1139" i="63"/>
  <c r="BN1139" i="63"/>
  <c r="BK1139" i="63"/>
  <c r="BH1139" i="63"/>
  <c r="BE1139" i="63"/>
  <c r="BB1139" i="63"/>
  <c r="AY1139" i="63"/>
  <c r="AV1139" i="63"/>
  <c r="AS1139" i="63"/>
  <c r="AP1139" i="63"/>
  <c r="AM1139" i="63"/>
  <c r="AJ1139" i="63"/>
  <c r="AE1139" i="63"/>
  <c r="Y1139" i="63"/>
  <c r="U1139" i="63"/>
  <c r="AA1139" i="63" s="1"/>
  <c r="T1139" i="63"/>
  <c r="Z1139" i="63" s="1"/>
  <c r="S1139" i="63"/>
  <c r="P1139" i="63"/>
  <c r="L1139" i="63"/>
  <c r="M1139" i="63" s="1"/>
  <c r="K1139" i="63"/>
  <c r="I1139" i="63"/>
  <c r="BQ1138" i="63"/>
  <c r="BN1138" i="63"/>
  <c r="BK1138" i="63"/>
  <c r="BH1138" i="63"/>
  <c r="BE1138" i="63"/>
  <c r="BB1138" i="63"/>
  <c r="AY1138" i="63"/>
  <c r="AV1138" i="63"/>
  <c r="AS1138" i="63"/>
  <c r="AP1138" i="63"/>
  <c r="AM1138" i="63"/>
  <c r="AJ1138" i="63"/>
  <c r="AE1138" i="63"/>
  <c r="Z1138" i="63"/>
  <c r="Y1138" i="63"/>
  <c r="U1138" i="63"/>
  <c r="T1138" i="63"/>
  <c r="S1138" i="63"/>
  <c r="P1138" i="63"/>
  <c r="L1138" i="63"/>
  <c r="K1138" i="63"/>
  <c r="I1138" i="63"/>
  <c r="BQ1137" i="63"/>
  <c r="BN1137" i="63"/>
  <c r="BK1137" i="63"/>
  <c r="BH1137" i="63"/>
  <c r="BE1137" i="63"/>
  <c r="BB1137" i="63"/>
  <c r="AY1137" i="63"/>
  <c r="AV1137" i="63"/>
  <c r="AS1137" i="63"/>
  <c r="AP1137" i="63"/>
  <c r="AM1137" i="63"/>
  <c r="AJ1137" i="63"/>
  <c r="AE1137" i="63"/>
  <c r="AA1137" i="63"/>
  <c r="Y1137" i="63"/>
  <c r="V1137" i="63"/>
  <c r="U1137" i="63"/>
  <c r="T1137" i="63"/>
  <c r="Z1137" i="63" s="1"/>
  <c r="S1137" i="63"/>
  <c r="P1137" i="63"/>
  <c r="L1137" i="63"/>
  <c r="K1137" i="63"/>
  <c r="M1137" i="63" s="1"/>
  <c r="I1137" i="63"/>
  <c r="BQ1136" i="63"/>
  <c r="BN1136" i="63"/>
  <c r="BK1136" i="63"/>
  <c r="BH1136" i="63"/>
  <c r="BE1136" i="63"/>
  <c r="BB1136" i="63"/>
  <c r="AY1136" i="63"/>
  <c r="AV1136" i="63"/>
  <c r="AS1136" i="63"/>
  <c r="AP1136" i="63"/>
  <c r="AM1136" i="63"/>
  <c r="AJ1136" i="63"/>
  <c r="AE1136" i="63"/>
  <c r="Y1136" i="63"/>
  <c r="U1136" i="63"/>
  <c r="AA1136" i="63" s="1"/>
  <c r="T1136" i="63"/>
  <c r="Z1136" i="63" s="1"/>
  <c r="S1136" i="63"/>
  <c r="P1136" i="63"/>
  <c r="L1136" i="63"/>
  <c r="K1136" i="63"/>
  <c r="I1136" i="63"/>
  <c r="BQ1135" i="63"/>
  <c r="BN1135" i="63"/>
  <c r="BK1135" i="63"/>
  <c r="BH1135" i="63"/>
  <c r="BE1135" i="63"/>
  <c r="BB1135" i="63"/>
  <c r="AY1135" i="63"/>
  <c r="AV1135" i="63"/>
  <c r="AS1135" i="63"/>
  <c r="AP1135" i="63"/>
  <c r="AM1135" i="63"/>
  <c r="AJ1135" i="63"/>
  <c r="AE1135" i="63"/>
  <c r="AA1135" i="63"/>
  <c r="Y1135" i="63"/>
  <c r="U1135" i="63"/>
  <c r="T1135" i="63"/>
  <c r="Z1135" i="63" s="1"/>
  <c r="S1135" i="63"/>
  <c r="P1135" i="63"/>
  <c r="L1135" i="63"/>
  <c r="K1135" i="63"/>
  <c r="M1135" i="63" s="1"/>
  <c r="I1135" i="63"/>
  <c r="BQ1134" i="63"/>
  <c r="BN1134" i="63"/>
  <c r="BK1134" i="63"/>
  <c r="BH1134" i="63"/>
  <c r="BE1134" i="63"/>
  <c r="BB1134" i="63"/>
  <c r="AY1134" i="63"/>
  <c r="AV1134" i="63"/>
  <c r="AS1134" i="63"/>
  <c r="AP1134" i="63"/>
  <c r="AM1134" i="63"/>
  <c r="AJ1134" i="63"/>
  <c r="AE1134" i="63"/>
  <c r="Y1134" i="63"/>
  <c r="U1134" i="63"/>
  <c r="AA1134" i="63" s="1"/>
  <c r="T1134" i="63"/>
  <c r="Z1134" i="63" s="1"/>
  <c r="S1134" i="63"/>
  <c r="P1134" i="63"/>
  <c r="L1134" i="63"/>
  <c r="K1134" i="63"/>
  <c r="I1134" i="63"/>
  <c r="BP1133" i="63"/>
  <c r="BO1133" i="63"/>
  <c r="BM1133" i="63"/>
  <c r="BL1133" i="63"/>
  <c r="BJ1133" i="63"/>
  <c r="BI1133" i="63"/>
  <c r="BG1133" i="63"/>
  <c r="BF1133" i="63"/>
  <c r="BD1133" i="63"/>
  <c r="BE1133" i="63" s="1"/>
  <c r="BC1133" i="63"/>
  <c r="BA1133" i="63"/>
  <c r="AZ1133" i="63"/>
  <c r="AX1133" i="63"/>
  <c r="AW1133" i="63"/>
  <c r="AU1133" i="63"/>
  <c r="AT1133" i="63"/>
  <c r="AS1133" i="63"/>
  <c r="AR1133" i="63"/>
  <c r="AQ1133" i="63"/>
  <c r="AO1133" i="63"/>
  <c r="AN1133" i="63"/>
  <c r="AL1133" i="63"/>
  <c r="AK1133" i="63"/>
  <c r="AI1133" i="63"/>
  <c r="AH1133" i="63"/>
  <c r="AD1133" i="63"/>
  <c r="AC1133" i="63"/>
  <c r="X1133" i="63"/>
  <c r="W1133" i="63"/>
  <c r="R1133" i="63"/>
  <c r="Q1133" i="63"/>
  <c r="O1133" i="63"/>
  <c r="N1133" i="63"/>
  <c r="H1133" i="63"/>
  <c r="I1133" i="63" s="1"/>
  <c r="G1133" i="63"/>
  <c r="BQ1131" i="63"/>
  <c r="BN1131" i="63"/>
  <c r="BK1131" i="63"/>
  <c r="BH1131" i="63"/>
  <c r="BE1131" i="63"/>
  <c r="BB1131" i="63"/>
  <c r="AY1131" i="63"/>
  <c r="AV1131" i="63"/>
  <c r="AS1131" i="63"/>
  <c r="AP1131" i="63"/>
  <c r="AM1131" i="63"/>
  <c r="AJ1131" i="63"/>
  <c r="AE1131" i="63"/>
  <c r="Y1131" i="63"/>
  <c r="U1131" i="63"/>
  <c r="T1131" i="63"/>
  <c r="Z1131" i="63" s="1"/>
  <c r="S1131" i="63"/>
  <c r="P1131" i="63"/>
  <c r="L1131" i="63"/>
  <c r="K1131" i="63"/>
  <c r="I1131" i="63"/>
  <c r="BQ1130" i="63"/>
  <c r="BN1130" i="63"/>
  <c r="BK1130" i="63"/>
  <c r="BH1130" i="63"/>
  <c r="BE1130" i="63"/>
  <c r="BB1130" i="63"/>
  <c r="AY1130" i="63"/>
  <c r="AV1130" i="63"/>
  <c r="AS1130" i="63"/>
  <c r="AP1130" i="63"/>
  <c r="AM1130" i="63"/>
  <c r="AJ1130" i="63"/>
  <c r="AE1130" i="63"/>
  <c r="Y1130" i="63"/>
  <c r="U1130" i="63"/>
  <c r="AA1130" i="63" s="1"/>
  <c r="T1130" i="63"/>
  <c r="Z1130" i="63" s="1"/>
  <c r="S1130" i="63"/>
  <c r="P1130" i="63"/>
  <c r="L1130" i="63"/>
  <c r="K1130" i="63"/>
  <c r="I1130" i="63"/>
  <c r="BQ1129" i="63"/>
  <c r="BN1129" i="63"/>
  <c r="BK1129" i="63"/>
  <c r="BH1129" i="63"/>
  <c r="BE1129" i="63"/>
  <c r="BB1129" i="63"/>
  <c r="AY1129" i="63"/>
  <c r="AV1129" i="63"/>
  <c r="AS1129" i="63"/>
  <c r="AP1129" i="63"/>
  <c r="AM1129" i="63"/>
  <c r="AJ1129" i="63"/>
  <c r="AE1129" i="63"/>
  <c r="Y1129" i="63"/>
  <c r="U1129" i="63"/>
  <c r="T1129" i="63"/>
  <c r="Z1129" i="63" s="1"/>
  <c r="S1129" i="63"/>
  <c r="P1129" i="63"/>
  <c r="L1129" i="63"/>
  <c r="K1129" i="63"/>
  <c r="I1129" i="63"/>
  <c r="BQ1128" i="63"/>
  <c r="BN1128" i="63"/>
  <c r="BK1128" i="63"/>
  <c r="BH1128" i="63"/>
  <c r="BE1128" i="63"/>
  <c r="BB1128" i="63"/>
  <c r="AY1128" i="63"/>
  <c r="AV1128" i="63"/>
  <c r="AS1128" i="63"/>
  <c r="AP1128" i="63"/>
  <c r="AM1128" i="63"/>
  <c r="AJ1128" i="63"/>
  <c r="AE1128" i="63"/>
  <c r="Y1128" i="63"/>
  <c r="U1128" i="63"/>
  <c r="T1128" i="63"/>
  <c r="Z1128" i="63" s="1"/>
  <c r="S1128" i="63"/>
  <c r="P1128" i="63"/>
  <c r="L1128" i="63"/>
  <c r="K1128" i="63"/>
  <c r="I1128" i="63"/>
  <c r="BQ1127" i="63"/>
  <c r="BN1127" i="63"/>
  <c r="BK1127" i="63"/>
  <c r="BH1127" i="63"/>
  <c r="BE1127" i="63"/>
  <c r="BB1127" i="63"/>
  <c r="AY1127" i="63"/>
  <c r="AV1127" i="63"/>
  <c r="AS1127" i="63"/>
  <c r="AP1127" i="63"/>
  <c r="AM1127" i="63"/>
  <c r="AJ1127" i="63"/>
  <c r="AE1127" i="63"/>
  <c r="AA1127" i="63"/>
  <c r="Y1127" i="63"/>
  <c r="V1127" i="63"/>
  <c r="U1127" i="63"/>
  <c r="T1127" i="63"/>
  <c r="Z1127" i="63" s="1"/>
  <c r="S1127" i="63"/>
  <c r="P1127" i="63"/>
  <c r="L1127" i="63"/>
  <c r="K1127" i="63"/>
  <c r="I1127" i="63"/>
  <c r="BQ1126" i="63"/>
  <c r="BN1126" i="63"/>
  <c r="BK1126" i="63"/>
  <c r="BH1126" i="63"/>
  <c r="BE1126" i="63"/>
  <c r="BB1126" i="63"/>
  <c r="AY1126" i="63"/>
  <c r="AV1126" i="63"/>
  <c r="AS1126" i="63"/>
  <c r="AP1126" i="63"/>
  <c r="AM1126" i="63"/>
  <c r="AJ1126" i="63"/>
  <c r="AE1126" i="63"/>
  <c r="Y1126" i="63"/>
  <c r="U1126" i="63"/>
  <c r="V1126" i="63" s="1"/>
  <c r="T1126" i="63"/>
  <c r="Z1126" i="63" s="1"/>
  <c r="S1126" i="63"/>
  <c r="P1126" i="63"/>
  <c r="L1126" i="63"/>
  <c r="K1126" i="63"/>
  <c r="M1126" i="63" s="1"/>
  <c r="I1126" i="63"/>
  <c r="BP1125" i="63"/>
  <c r="BO1125" i="63"/>
  <c r="BQ1125" i="63" s="1"/>
  <c r="BM1125" i="63"/>
  <c r="BL1125" i="63"/>
  <c r="BJ1125" i="63"/>
  <c r="BI1125" i="63"/>
  <c r="BK1125" i="63" s="1"/>
  <c r="BG1125" i="63"/>
  <c r="BF1125" i="63"/>
  <c r="BD1125" i="63"/>
  <c r="BE1125" i="63" s="1"/>
  <c r="BC1125" i="63"/>
  <c r="BA1125" i="63"/>
  <c r="BA1099" i="63" s="1"/>
  <c r="AZ1125" i="63"/>
  <c r="AX1125" i="63"/>
  <c r="AW1125" i="63"/>
  <c r="AY1125" i="63" s="1"/>
  <c r="AU1125" i="63"/>
  <c r="AV1125" i="63" s="1"/>
  <c r="AT1125" i="63"/>
  <c r="AR1125" i="63"/>
  <c r="AQ1125" i="63"/>
  <c r="AO1125" i="63"/>
  <c r="AP1125" i="63" s="1"/>
  <c r="AN1125" i="63"/>
  <c r="AL1125" i="63"/>
  <c r="AK1125" i="63"/>
  <c r="AK1099" i="63" s="1"/>
  <c r="AI1125" i="63"/>
  <c r="AJ1125" i="63" s="1"/>
  <c r="AH1125" i="63"/>
  <c r="AD1125" i="63"/>
  <c r="AC1125" i="63"/>
  <c r="X1125" i="63"/>
  <c r="W1125" i="63"/>
  <c r="R1125" i="63"/>
  <c r="Q1125" i="63"/>
  <c r="O1125" i="63"/>
  <c r="N1125" i="63"/>
  <c r="H1125" i="63"/>
  <c r="G1125" i="63"/>
  <c r="BQ1124" i="63"/>
  <c r="BN1124" i="63"/>
  <c r="BK1124" i="63"/>
  <c r="BH1124" i="63"/>
  <c r="BE1124" i="63"/>
  <c r="BB1124" i="63"/>
  <c r="AY1124" i="63"/>
  <c r="AV1124" i="63"/>
  <c r="AS1124" i="63"/>
  <c r="AP1124" i="63"/>
  <c r="AM1124" i="63"/>
  <c r="AJ1124" i="63"/>
  <c r="AE1124" i="63"/>
  <c r="Y1124" i="63"/>
  <c r="U1124" i="63"/>
  <c r="AA1124" i="63" s="1"/>
  <c r="T1124" i="63"/>
  <c r="Z1124" i="63" s="1"/>
  <c r="S1124" i="63"/>
  <c r="P1124" i="63"/>
  <c r="L1124" i="63"/>
  <c r="K1124" i="63"/>
  <c r="I1124" i="63"/>
  <c r="BQ1123" i="63"/>
  <c r="BN1123" i="63"/>
  <c r="BK1123" i="63"/>
  <c r="BH1123" i="63"/>
  <c r="BE1123" i="63"/>
  <c r="BB1123" i="63"/>
  <c r="AY1123" i="63"/>
  <c r="AV1123" i="63"/>
  <c r="AS1123" i="63"/>
  <c r="AP1123" i="63"/>
  <c r="AM1123" i="63"/>
  <c r="AJ1123" i="63"/>
  <c r="AE1123" i="63"/>
  <c r="Y1123" i="63"/>
  <c r="U1123" i="63"/>
  <c r="AA1123" i="63" s="1"/>
  <c r="T1123" i="63"/>
  <c r="Z1123" i="63" s="1"/>
  <c r="S1123" i="63"/>
  <c r="P1123" i="63"/>
  <c r="L1123" i="63"/>
  <c r="M1123" i="63" s="1"/>
  <c r="K1123" i="63"/>
  <c r="I1123" i="63"/>
  <c r="BQ1122" i="63"/>
  <c r="BN1122" i="63"/>
  <c r="BK1122" i="63"/>
  <c r="BH1122" i="63"/>
  <c r="BE1122" i="63"/>
  <c r="BB1122" i="63"/>
  <c r="AY1122" i="63"/>
  <c r="AV1122" i="63"/>
  <c r="AS1122" i="63"/>
  <c r="AP1122" i="63"/>
  <c r="AM1122" i="63"/>
  <c r="AJ1122" i="63"/>
  <c r="AE1122" i="63"/>
  <c r="Y1122" i="63"/>
  <c r="U1122" i="63"/>
  <c r="T1122" i="63"/>
  <c r="Z1122" i="63" s="1"/>
  <c r="S1122" i="63"/>
  <c r="P1122" i="63"/>
  <c r="L1122" i="63"/>
  <c r="K1122" i="63"/>
  <c r="I1122" i="63"/>
  <c r="BQ1121" i="63"/>
  <c r="BN1121" i="63"/>
  <c r="BK1121" i="63"/>
  <c r="BH1121" i="63"/>
  <c r="BE1121" i="63"/>
  <c r="BB1121" i="63"/>
  <c r="AY1121" i="63"/>
  <c r="AV1121" i="63"/>
  <c r="AS1121" i="63"/>
  <c r="AP1121" i="63"/>
  <c r="AM1121" i="63"/>
  <c r="AJ1121" i="63"/>
  <c r="AE1121" i="63"/>
  <c r="Y1121" i="63"/>
  <c r="U1121" i="63"/>
  <c r="T1121" i="63"/>
  <c r="S1121" i="63"/>
  <c r="P1121" i="63"/>
  <c r="L1121" i="63"/>
  <c r="K1121" i="63"/>
  <c r="I1121" i="63"/>
  <c r="BQ1120" i="63"/>
  <c r="BN1120" i="63"/>
  <c r="BK1120" i="63"/>
  <c r="BH1120" i="63"/>
  <c r="BE1120" i="63"/>
  <c r="BB1120" i="63"/>
  <c r="AY1120" i="63"/>
  <c r="AV1120" i="63"/>
  <c r="AS1120" i="63"/>
  <c r="AP1120" i="63"/>
  <c r="AM1120" i="63"/>
  <c r="AJ1120" i="63"/>
  <c r="AE1120" i="63"/>
  <c r="Y1120" i="63"/>
  <c r="U1120" i="63"/>
  <c r="T1120" i="63"/>
  <c r="Z1120" i="63" s="1"/>
  <c r="S1120" i="63"/>
  <c r="P1120" i="63"/>
  <c r="L1120" i="63"/>
  <c r="K1120" i="63"/>
  <c r="I1120" i="63"/>
  <c r="BQ1119" i="63"/>
  <c r="BN1119" i="63"/>
  <c r="BK1119" i="63"/>
  <c r="BH1119" i="63"/>
  <c r="BE1119" i="63"/>
  <c r="BB1119" i="63"/>
  <c r="AY1119" i="63"/>
  <c r="AV1119" i="63"/>
  <c r="AS1119" i="63"/>
  <c r="AP1119" i="63"/>
  <c r="AM1119" i="63"/>
  <c r="AJ1119" i="63"/>
  <c r="AE1119" i="63"/>
  <c r="Y1119" i="63"/>
  <c r="U1119" i="63"/>
  <c r="T1119" i="63"/>
  <c r="Z1119" i="63" s="1"/>
  <c r="S1119" i="63"/>
  <c r="P1119" i="63"/>
  <c r="L1119" i="63"/>
  <c r="M1119" i="63" s="1"/>
  <c r="K1119" i="63"/>
  <c r="I1119" i="63"/>
  <c r="BP1118" i="63"/>
  <c r="BQ1118" i="63" s="1"/>
  <c r="BO1118" i="63"/>
  <c r="BM1118" i="63"/>
  <c r="BL1118" i="63"/>
  <c r="BK1118" i="63"/>
  <c r="BJ1118" i="63"/>
  <c r="BI1118" i="63"/>
  <c r="BG1118" i="63"/>
  <c r="BF1118" i="63"/>
  <c r="BD1118" i="63"/>
  <c r="BC1118" i="63"/>
  <c r="BA1118" i="63"/>
  <c r="AZ1118" i="63"/>
  <c r="AX1118" i="63"/>
  <c r="AY1118" i="63" s="1"/>
  <c r="AW1118" i="63"/>
  <c r="AU1118" i="63"/>
  <c r="AT1118" i="63"/>
  <c r="AR1118" i="63"/>
  <c r="AS1118" i="63" s="1"/>
  <c r="AQ1118" i="63"/>
  <c r="AO1118" i="63"/>
  <c r="AN1118" i="63"/>
  <c r="AL1118" i="63"/>
  <c r="AK1118" i="63"/>
  <c r="AI1118" i="63"/>
  <c r="AH1118" i="63"/>
  <c r="AH1092" i="63" s="1"/>
  <c r="AH1091" i="63" s="1"/>
  <c r="AD1118" i="63"/>
  <c r="AC1118" i="63"/>
  <c r="X1118" i="63"/>
  <c r="W1118" i="63"/>
  <c r="R1118" i="63"/>
  <c r="Q1118" i="63"/>
  <c r="O1118" i="63"/>
  <c r="N1118" i="63"/>
  <c r="H1118" i="63"/>
  <c r="I1118" i="63" s="1"/>
  <c r="G1118" i="63"/>
  <c r="BQ1117" i="63"/>
  <c r="BN1117" i="63"/>
  <c r="BK1117" i="63"/>
  <c r="BH1117" i="63"/>
  <c r="BE1117" i="63"/>
  <c r="BB1117" i="63"/>
  <c r="AY1117" i="63"/>
  <c r="AV1117" i="63"/>
  <c r="AS1117" i="63"/>
  <c r="AP1117" i="63"/>
  <c r="AM1117" i="63"/>
  <c r="AJ1117" i="63"/>
  <c r="AE1117" i="63"/>
  <c r="AA1117" i="63"/>
  <c r="Y1117" i="63"/>
  <c r="U1117" i="63"/>
  <c r="T1117" i="63"/>
  <c r="Z1117" i="63" s="1"/>
  <c r="S1117" i="63"/>
  <c r="P1117" i="63"/>
  <c r="L1117" i="63"/>
  <c r="K1117" i="63"/>
  <c r="M1117" i="63" s="1"/>
  <c r="I1117" i="63"/>
  <c r="BQ1116" i="63"/>
  <c r="BN1116" i="63"/>
  <c r="BK1116" i="63"/>
  <c r="BH1116" i="63"/>
  <c r="BE1116" i="63"/>
  <c r="BB1116" i="63"/>
  <c r="AY1116" i="63"/>
  <c r="AV1116" i="63"/>
  <c r="AS1116" i="63"/>
  <c r="AP1116" i="63"/>
  <c r="AM1116" i="63"/>
  <c r="AJ1116" i="63"/>
  <c r="AE1116" i="63"/>
  <c r="Y1116" i="63"/>
  <c r="U1116" i="63"/>
  <c r="AA1116" i="63" s="1"/>
  <c r="T1116" i="63"/>
  <c r="Z1116" i="63" s="1"/>
  <c r="S1116" i="63"/>
  <c r="P1116" i="63"/>
  <c r="L1116" i="63"/>
  <c r="K1116" i="63"/>
  <c r="I1116" i="63"/>
  <c r="BQ1115" i="63"/>
  <c r="BN1115" i="63"/>
  <c r="BK1115" i="63"/>
  <c r="BH1115" i="63"/>
  <c r="BE1115" i="63"/>
  <c r="BB1115" i="63"/>
  <c r="AY1115" i="63"/>
  <c r="AV1115" i="63"/>
  <c r="AS1115" i="63"/>
  <c r="AP1115" i="63"/>
  <c r="AM1115" i="63"/>
  <c r="AJ1115" i="63"/>
  <c r="AE1115" i="63"/>
  <c r="AA1115" i="63"/>
  <c r="AB1115" i="63" s="1"/>
  <c r="Y1115" i="63"/>
  <c r="U1115" i="63"/>
  <c r="T1115" i="63"/>
  <c r="Z1115" i="63" s="1"/>
  <c r="S1115" i="63"/>
  <c r="P1115" i="63"/>
  <c r="L1115" i="63"/>
  <c r="K1115" i="63"/>
  <c r="M1115" i="63" s="1"/>
  <c r="I1115" i="63"/>
  <c r="BQ1114" i="63"/>
  <c r="BN1114" i="63"/>
  <c r="BK1114" i="63"/>
  <c r="BH1114" i="63"/>
  <c r="BE1114" i="63"/>
  <c r="BB1114" i="63"/>
  <c r="AY1114" i="63"/>
  <c r="AV1114" i="63"/>
  <c r="AS1114" i="63"/>
  <c r="AP1114" i="63"/>
  <c r="AM1114" i="63"/>
  <c r="AJ1114" i="63"/>
  <c r="AE1114" i="63"/>
  <c r="Y1114" i="63"/>
  <c r="U1114" i="63"/>
  <c r="T1114" i="63"/>
  <c r="Z1114" i="63" s="1"/>
  <c r="S1114" i="63"/>
  <c r="P1114" i="63"/>
  <c r="L1114" i="63"/>
  <c r="K1114" i="63"/>
  <c r="I1114" i="63"/>
  <c r="BQ1113" i="63"/>
  <c r="BN1113" i="63"/>
  <c r="BK1113" i="63"/>
  <c r="BH1113" i="63"/>
  <c r="BE1113" i="63"/>
  <c r="BB1113" i="63"/>
  <c r="AY1113" i="63"/>
  <c r="AV1113" i="63"/>
  <c r="AS1113" i="63"/>
  <c r="AP1113" i="63"/>
  <c r="AM1113" i="63"/>
  <c r="AJ1113" i="63"/>
  <c r="AE1113" i="63"/>
  <c r="Y1113" i="63"/>
  <c r="U1113" i="63"/>
  <c r="AA1113" i="63" s="1"/>
  <c r="T1113" i="63"/>
  <c r="Z1113" i="63" s="1"/>
  <c r="S1113" i="63"/>
  <c r="P1113" i="63"/>
  <c r="L1113" i="63"/>
  <c r="K1113" i="63"/>
  <c r="I1113" i="63"/>
  <c r="BP1112" i="63"/>
  <c r="BP1099" i="63" s="1"/>
  <c r="BO1112" i="63"/>
  <c r="BM1112" i="63"/>
  <c r="BL1112" i="63"/>
  <c r="BJ1112" i="63"/>
  <c r="BI1112" i="63"/>
  <c r="BG1112" i="63"/>
  <c r="BF1112" i="63"/>
  <c r="BE1112" i="63"/>
  <c r="BD1112" i="63"/>
  <c r="BC1112" i="63"/>
  <c r="BA1112" i="63"/>
  <c r="AZ1112" i="63"/>
  <c r="AX1112" i="63"/>
  <c r="AW1112" i="63"/>
  <c r="AU1112" i="63"/>
  <c r="AT1112" i="63"/>
  <c r="AR1112" i="63"/>
  <c r="AS1112" i="63" s="1"/>
  <c r="AQ1112" i="63"/>
  <c r="AO1112" i="63"/>
  <c r="AN1112" i="63"/>
  <c r="AM1112" i="63"/>
  <c r="AL1112" i="63"/>
  <c r="AK1112" i="63"/>
  <c r="AI1112" i="63"/>
  <c r="AJ1112" i="63" s="1"/>
  <c r="AH1112" i="63"/>
  <c r="AD1112" i="63"/>
  <c r="AC1112" i="63"/>
  <c r="Y1112" i="63"/>
  <c r="X1112" i="63"/>
  <c r="X1099" i="63" s="1"/>
  <c r="W1112" i="63"/>
  <c r="R1112" i="63"/>
  <c r="Q1112" i="63"/>
  <c r="Q1099" i="63" s="1"/>
  <c r="O1112" i="63"/>
  <c r="N1112" i="63"/>
  <c r="H1112" i="63"/>
  <c r="G1112" i="63"/>
  <c r="G1099" i="63" s="1"/>
  <c r="BQ1111" i="63"/>
  <c r="BN1111" i="63"/>
  <c r="BK1111" i="63"/>
  <c r="BH1111" i="63"/>
  <c r="BE1111" i="63"/>
  <c r="BB1111" i="63"/>
  <c r="AY1111" i="63"/>
  <c r="AV1111" i="63"/>
  <c r="AS1111" i="63"/>
  <c r="AP1111" i="63"/>
  <c r="AM1111" i="63"/>
  <c r="AJ1111" i="63"/>
  <c r="AE1111" i="63"/>
  <c r="Y1111" i="63"/>
  <c r="U1111" i="63"/>
  <c r="T1111" i="63"/>
  <c r="Z1111" i="63" s="1"/>
  <c r="S1111" i="63"/>
  <c r="P1111" i="63"/>
  <c r="L1111" i="63"/>
  <c r="K1111" i="63"/>
  <c r="M1111" i="63" s="1"/>
  <c r="I1111" i="63"/>
  <c r="BQ1110" i="63"/>
  <c r="BN1110" i="63"/>
  <c r="BK1110" i="63"/>
  <c r="BH1110" i="63"/>
  <c r="BE1110" i="63"/>
  <c r="BB1110" i="63"/>
  <c r="AY1110" i="63"/>
  <c r="AV1110" i="63"/>
  <c r="AS1110" i="63"/>
  <c r="AP1110" i="63"/>
  <c r="AM1110" i="63"/>
  <c r="AJ1110" i="63"/>
  <c r="AE1110" i="63"/>
  <c r="Y1110" i="63"/>
  <c r="U1110" i="63"/>
  <c r="T1110" i="63"/>
  <c r="Z1110" i="63" s="1"/>
  <c r="S1110" i="63"/>
  <c r="P1110" i="63"/>
  <c r="L1110" i="63"/>
  <c r="M1110" i="63" s="1"/>
  <c r="K1110" i="63"/>
  <c r="I1110" i="63"/>
  <c r="BQ1109" i="63"/>
  <c r="BN1109" i="63"/>
  <c r="BK1109" i="63"/>
  <c r="BH1109" i="63"/>
  <c r="BE1109" i="63"/>
  <c r="BB1109" i="63"/>
  <c r="AY1109" i="63"/>
  <c r="AV1109" i="63"/>
  <c r="AS1109" i="63"/>
  <c r="AP1109" i="63"/>
  <c r="AM1109" i="63"/>
  <c r="AJ1109" i="63"/>
  <c r="AE1109" i="63"/>
  <c r="Y1109" i="63"/>
  <c r="U1109" i="63"/>
  <c r="T1109" i="63"/>
  <c r="Z1109" i="63" s="1"/>
  <c r="S1109" i="63"/>
  <c r="P1109" i="63"/>
  <c r="L1109" i="63"/>
  <c r="K1109" i="63"/>
  <c r="M1109" i="63" s="1"/>
  <c r="I1109" i="63"/>
  <c r="BQ1108" i="63"/>
  <c r="BN1108" i="63"/>
  <c r="BK1108" i="63"/>
  <c r="BH1108" i="63"/>
  <c r="BE1108" i="63"/>
  <c r="BB1108" i="63"/>
  <c r="AY1108" i="63"/>
  <c r="AV1108" i="63"/>
  <c r="AS1108" i="63"/>
  <c r="AP1108" i="63"/>
  <c r="AM1108" i="63"/>
  <c r="AJ1108" i="63"/>
  <c r="AE1108" i="63"/>
  <c r="Y1108" i="63"/>
  <c r="U1108" i="63"/>
  <c r="T1108" i="63"/>
  <c r="Z1108" i="63" s="1"/>
  <c r="S1108" i="63"/>
  <c r="P1108" i="63"/>
  <c r="L1108" i="63"/>
  <c r="K1108" i="63"/>
  <c r="I1108" i="63"/>
  <c r="BP1107" i="63"/>
  <c r="BO1107" i="63"/>
  <c r="BM1107" i="63"/>
  <c r="BL1107" i="63"/>
  <c r="BL1092" i="63" s="1"/>
  <c r="BJ1107" i="63"/>
  <c r="BI1107" i="63"/>
  <c r="BG1107" i="63"/>
  <c r="BG1092" i="63" s="1"/>
  <c r="BF1107" i="63"/>
  <c r="BD1107" i="63"/>
  <c r="BC1107" i="63"/>
  <c r="BC1092" i="63" s="1"/>
  <c r="BA1107" i="63"/>
  <c r="BA1092" i="63" s="1"/>
  <c r="AZ1107" i="63"/>
  <c r="AX1107" i="63"/>
  <c r="AW1107" i="63"/>
  <c r="AU1107" i="63"/>
  <c r="AT1107" i="63"/>
  <c r="AR1107" i="63"/>
  <c r="AQ1107" i="63"/>
  <c r="AO1107" i="63"/>
  <c r="AO1092" i="63" s="1"/>
  <c r="AN1107" i="63"/>
  <c r="AL1107" i="63"/>
  <c r="AM1107" i="63" s="1"/>
  <c r="AK1107" i="63"/>
  <c r="AI1107" i="63"/>
  <c r="AH1107" i="63"/>
  <c r="AD1107" i="63"/>
  <c r="AC1107" i="63"/>
  <c r="X1107" i="63"/>
  <c r="W1107" i="63"/>
  <c r="R1107" i="63"/>
  <c r="R1092" i="63" s="1"/>
  <c r="Q1107" i="63"/>
  <c r="Q1092" i="63" s="1"/>
  <c r="O1107" i="63"/>
  <c r="O1092" i="63" s="1"/>
  <c r="U1092" i="63" s="1"/>
  <c r="N1107" i="63"/>
  <c r="H1107" i="63"/>
  <c r="G1107" i="63"/>
  <c r="BQ1106" i="63"/>
  <c r="BN1106" i="63"/>
  <c r="BK1106" i="63"/>
  <c r="BH1106" i="63"/>
  <c r="BE1106" i="63"/>
  <c r="BB1106" i="63"/>
  <c r="AY1106" i="63"/>
  <c r="AV1106" i="63"/>
  <c r="AS1106" i="63"/>
  <c r="AP1106" i="63"/>
  <c r="AM1106" i="63"/>
  <c r="AJ1106" i="63"/>
  <c r="AE1106" i="63"/>
  <c r="Y1106" i="63"/>
  <c r="U1106" i="63"/>
  <c r="V1106" i="63" s="1"/>
  <c r="T1106" i="63"/>
  <c r="Z1106" i="63" s="1"/>
  <c r="S1106" i="63"/>
  <c r="P1106" i="63"/>
  <c r="L1106" i="63"/>
  <c r="K1106" i="63"/>
  <c r="I1106" i="63"/>
  <c r="BP1105" i="63"/>
  <c r="BO1105" i="63"/>
  <c r="BQ1105" i="63" s="1"/>
  <c r="BM1105" i="63"/>
  <c r="BL1105" i="63"/>
  <c r="BJ1105" i="63"/>
  <c r="BK1105" i="63" s="1"/>
  <c r="BI1105" i="63"/>
  <c r="BG1105" i="63"/>
  <c r="BF1105" i="63"/>
  <c r="BD1105" i="63"/>
  <c r="BC1105" i="63"/>
  <c r="BA1105" i="63"/>
  <c r="BB1105" i="63" s="1"/>
  <c r="AZ1105" i="63"/>
  <c r="AX1105" i="63"/>
  <c r="AW1105" i="63"/>
  <c r="AU1105" i="63"/>
  <c r="AT1105" i="63"/>
  <c r="AR1105" i="63"/>
  <c r="AS1105" i="63" s="1"/>
  <c r="AQ1105" i="63"/>
  <c r="AO1105" i="63"/>
  <c r="AN1105" i="63"/>
  <c r="AL1105" i="63"/>
  <c r="AK1105" i="63"/>
  <c r="AI1105" i="63"/>
  <c r="AH1105" i="63"/>
  <c r="AD1105" i="63"/>
  <c r="AE1105" i="63" s="1"/>
  <c r="AC1105" i="63"/>
  <c r="X1105" i="63"/>
  <c r="Y1105" i="63" s="1"/>
  <c r="W1105" i="63"/>
  <c r="R1105" i="63"/>
  <c r="Q1105" i="63"/>
  <c r="O1105" i="63"/>
  <c r="N1105" i="63"/>
  <c r="P1105" i="63" s="1"/>
  <c r="H1105" i="63"/>
  <c r="G1105" i="63"/>
  <c r="BP1104" i="63"/>
  <c r="BO1104" i="63"/>
  <c r="BM1104" i="63"/>
  <c r="BL1104" i="63"/>
  <c r="BJ1104" i="63"/>
  <c r="BI1104" i="63"/>
  <c r="BG1104" i="63"/>
  <c r="BH1104" i="63" s="1"/>
  <c r="BF1104" i="63"/>
  <c r="BD1104" i="63"/>
  <c r="BC1104" i="63"/>
  <c r="BA1104" i="63"/>
  <c r="AZ1104" i="63"/>
  <c r="AX1104" i="63"/>
  <c r="AW1104" i="63"/>
  <c r="AU1104" i="63"/>
  <c r="AT1104" i="63"/>
  <c r="AR1104" i="63"/>
  <c r="AQ1104" i="63"/>
  <c r="AO1104" i="63"/>
  <c r="AP1104" i="63" s="1"/>
  <c r="AN1104" i="63"/>
  <c r="AL1104" i="63"/>
  <c r="AK1104" i="63"/>
  <c r="AM1104" i="63" s="1"/>
  <c r="AI1104" i="63"/>
  <c r="AH1104" i="63"/>
  <c r="AD1104" i="63"/>
  <c r="AC1104" i="63"/>
  <c r="AE1104" i="63" s="1"/>
  <c r="X1104" i="63"/>
  <c r="Y1104" i="63" s="1"/>
  <c r="W1104" i="63"/>
  <c r="R1104" i="63"/>
  <c r="Q1104" i="63"/>
  <c r="T1104" i="63" s="1"/>
  <c r="Z1104" i="63" s="1"/>
  <c r="O1104" i="63"/>
  <c r="N1104" i="63"/>
  <c r="H1104" i="63"/>
  <c r="G1104" i="63"/>
  <c r="BP1103" i="63"/>
  <c r="BO1103" i="63"/>
  <c r="BM1103" i="63"/>
  <c r="BL1103" i="63"/>
  <c r="BJ1103" i="63"/>
  <c r="BK1103" i="63" s="1"/>
  <c r="BI1103" i="63"/>
  <c r="BG1103" i="63"/>
  <c r="BF1103" i="63"/>
  <c r="BD1103" i="63"/>
  <c r="BC1103" i="63"/>
  <c r="BA1103" i="63"/>
  <c r="AZ1103" i="63"/>
  <c r="BB1103" i="63" s="1"/>
  <c r="AY1103" i="63"/>
  <c r="AX1103" i="63"/>
  <c r="AW1103" i="63"/>
  <c r="AU1103" i="63"/>
  <c r="AT1103" i="63"/>
  <c r="AR1103" i="63"/>
  <c r="AQ1103" i="63"/>
  <c r="AP1103" i="63"/>
  <c r="AO1103" i="63"/>
  <c r="AN1103" i="63"/>
  <c r="AL1103" i="63"/>
  <c r="AK1103" i="63"/>
  <c r="AI1103" i="63"/>
  <c r="AJ1103" i="63" s="1"/>
  <c r="AH1103" i="63"/>
  <c r="AD1103" i="63"/>
  <c r="AC1103" i="63"/>
  <c r="X1103" i="63"/>
  <c r="Y1103" i="63" s="1"/>
  <c r="W1103" i="63"/>
  <c r="R1103" i="63"/>
  <c r="Q1103" i="63"/>
  <c r="O1103" i="63"/>
  <c r="L1103" i="63" s="1"/>
  <c r="N1103" i="63"/>
  <c r="H1103" i="63"/>
  <c r="G1103" i="63"/>
  <c r="BP1102" i="63"/>
  <c r="BQ1102" i="63" s="1"/>
  <c r="BO1102" i="63"/>
  <c r="BM1102" i="63"/>
  <c r="BN1102" i="63" s="1"/>
  <c r="BL1102" i="63"/>
  <c r="BJ1102" i="63"/>
  <c r="BI1102" i="63"/>
  <c r="BG1102" i="63"/>
  <c r="BG1079" i="63" s="1"/>
  <c r="BF1102" i="63"/>
  <c r="BD1102" i="63"/>
  <c r="BC1102" i="63"/>
  <c r="BA1102" i="63"/>
  <c r="BB1102" i="63" s="1"/>
  <c r="AZ1102" i="63"/>
  <c r="AX1102" i="63"/>
  <c r="AW1102" i="63"/>
  <c r="AU1102" i="63"/>
  <c r="AT1102" i="63"/>
  <c r="AR1102" i="63"/>
  <c r="AQ1102" i="63"/>
  <c r="AP1102" i="63"/>
  <c r="AO1102" i="63"/>
  <c r="AN1102" i="63"/>
  <c r="AL1102" i="63"/>
  <c r="AK1102" i="63"/>
  <c r="AK1079" i="63" s="1"/>
  <c r="AI1102" i="63"/>
  <c r="AH1102" i="63"/>
  <c r="AD1102" i="63"/>
  <c r="AC1102" i="63"/>
  <c r="X1102" i="63"/>
  <c r="W1102" i="63"/>
  <c r="R1102" i="63"/>
  <c r="Q1102" i="63"/>
  <c r="S1102" i="63" s="1"/>
  <c r="O1102" i="63"/>
  <c r="P1102" i="63" s="1"/>
  <c r="N1102" i="63"/>
  <c r="H1102" i="63"/>
  <c r="G1102" i="63"/>
  <c r="I1102" i="63" s="1"/>
  <c r="BP1101" i="63"/>
  <c r="BO1101" i="63"/>
  <c r="BM1101" i="63"/>
  <c r="BL1101" i="63"/>
  <c r="BJ1101" i="63"/>
  <c r="BI1101" i="63"/>
  <c r="BG1101" i="63"/>
  <c r="BF1101" i="63"/>
  <c r="BD1101" i="63"/>
  <c r="BC1101" i="63"/>
  <c r="BA1101" i="63"/>
  <c r="AZ1101" i="63"/>
  <c r="AX1101" i="63"/>
  <c r="AW1101" i="63"/>
  <c r="AU1101" i="63"/>
  <c r="AT1101" i="63"/>
  <c r="AV1101" i="63" s="1"/>
  <c r="AR1101" i="63"/>
  <c r="AQ1101" i="63"/>
  <c r="AS1101" i="63" s="1"/>
  <c r="AO1101" i="63"/>
  <c r="AP1101" i="63" s="1"/>
  <c r="AN1101" i="63"/>
  <c r="AL1101" i="63"/>
  <c r="AK1101" i="63"/>
  <c r="AI1101" i="63"/>
  <c r="AH1101" i="63"/>
  <c r="AD1101" i="63"/>
  <c r="AC1101" i="63"/>
  <c r="X1101" i="63"/>
  <c r="W1101" i="63"/>
  <c r="R1101" i="63"/>
  <c r="Q1101" i="63"/>
  <c r="O1101" i="63"/>
  <c r="P1101" i="63" s="1"/>
  <c r="N1101" i="63"/>
  <c r="T1101" i="63" s="1"/>
  <c r="Z1101" i="63" s="1"/>
  <c r="K1101" i="63"/>
  <c r="H1101" i="63"/>
  <c r="G1101" i="63"/>
  <c r="BP1100" i="63"/>
  <c r="BO1100" i="63"/>
  <c r="BM1100" i="63"/>
  <c r="BL1100" i="63"/>
  <c r="BN1100" i="63" s="1"/>
  <c r="BJ1100" i="63"/>
  <c r="BI1100" i="63"/>
  <c r="BG1100" i="63"/>
  <c r="BF1100" i="63"/>
  <c r="BH1100" i="63" s="1"/>
  <c r="BD1100" i="63"/>
  <c r="BE1100" i="63" s="1"/>
  <c r="BC1100" i="63"/>
  <c r="BA1100" i="63"/>
  <c r="AZ1100" i="63"/>
  <c r="AX1100" i="63"/>
  <c r="AW1100" i="63"/>
  <c r="AU1100" i="63"/>
  <c r="AT1100" i="63"/>
  <c r="AR1100" i="63"/>
  <c r="AS1100" i="63" s="1"/>
  <c r="AQ1100" i="63"/>
  <c r="AO1100" i="63"/>
  <c r="AN1100" i="63"/>
  <c r="AL1100" i="63"/>
  <c r="AM1100" i="63" s="1"/>
  <c r="AK1100" i="63"/>
  <c r="AI1100" i="63"/>
  <c r="AH1100" i="63"/>
  <c r="AE1100" i="63"/>
  <c r="AD1100" i="63"/>
  <c r="AC1100" i="63"/>
  <c r="X1100" i="63"/>
  <c r="W1100" i="63"/>
  <c r="R1100" i="63"/>
  <c r="Q1100" i="63"/>
  <c r="O1100" i="63"/>
  <c r="N1100" i="63"/>
  <c r="H1100" i="63"/>
  <c r="G1100" i="63"/>
  <c r="BM1099" i="63"/>
  <c r="BN1099" i="63" s="1"/>
  <c r="BL1099" i="63"/>
  <c r="BF1099" i="63"/>
  <c r="BD1099" i="63"/>
  <c r="BC1099" i="63"/>
  <c r="AX1099" i="63"/>
  <c r="AT1099" i="63"/>
  <c r="AL1099" i="63"/>
  <c r="AH1099" i="63"/>
  <c r="W1099" i="63"/>
  <c r="O1099" i="63"/>
  <c r="BP1098" i="63"/>
  <c r="BQ1098" i="63" s="1"/>
  <c r="BO1098" i="63"/>
  <c r="BM1098" i="63"/>
  <c r="BL1098" i="63"/>
  <c r="BL1082" i="63" s="1"/>
  <c r="BJ1098" i="63"/>
  <c r="BJ1082" i="63" s="1"/>
  <c r="BI1098" i="63"/>
  <c r="BG1098" i="63"/>
  <c r="BG1082" i="63" s="1"/>
  <c r="BF1098" i="63"/>
  <c r="BF1082" i="63" s="1"/>
  <c r="BD1098" i="63"/>
  <c r="BE1098" i="63" s="1"/>
  <c r="BC1098" i="63"/>
  <c r="BA1098" i="63"/>
  <c r="AZ1098" i="63"/>
  <c r="AZ1082" i="63" s="1"/>
  <c r="AX1098" i="63"/>
  <c r="AY1098" i="63" s="1"/>
  <c r="AW1098" i="63"/>
  <c r="AU1098" i="63"/>
  <c r="AU1082" i="63" s="1"/>
  <c r="AT1098" i="63"/>
  <c r="AR1098" i="63"/>
  <c r="AQ1098" i="63"/>
  <c r="AO1098" i="63"/>
  <c r="AP1098" i="63" s="1"/>
  <c r="AN1098" i="63"/>
  <c r="AL1098" i="63"/>
  <c r="AK1098" i="63"/>
  <c r="AK1082" i="63" s="1"/>
  <c r="AI1098" i="63"/>
  <c r="AI1082" i="63" s="1"/>
  <c r="AH1098" i="63"/>
  <c r="AD1098" i="63"/>
  <c r="AC1098" i="63"/>
  <c r="AC1082" i="63" s="1"/>
  <c r="X1098" i="63"/>
  <c r="W1098" i="63"/>
  <c r="R1098" i="63"/>
  <c r="S1098" i="63" s="1"/>
  <c r="Q1098" i="63"/>
  <c r="Q1082" i="63" s="1"/>
  <c r="O1098" i="63"/>
  <c r="O1082" i="63" s="1"/>
  <c r="N1098" i="63"/>
  <c r="H1098" i="63"/>
  <c r="G1098" i="63"/>
  <c r="BP1097" i="63"/>
  <c r="BO1097" i="63"/>
  <c r="BM1097" i="63"/>
  <c r="BL1097" i="63"/>
  <c r="BJ1097" i="63"/>
  <c r="BI1097" i="63"/>
  <c r="BG1097" i="63"/>
  <c r="BF1097" i="63"/>
  <c r="BD1097" i="63"/>
  <c r="BC1097" i="63"/>
  <c r="BA1097" i="63"/>
  <c r="AZ1097" i="63"/>
  <c r="BB1097" i="63" s="1"/>
  <c r="AX1097" i="63"/>
  <c r="AX1081" i="63" s="1"/>
  <c r="AW1097" i="63"/>
  <c r="AU1097" i="63"/>
  <c r="AT1097" i="63"/>
  <c r="AR1097" i="63"/>
  <c r="AS1097" i="63" s="1"/>
  <c r="AQ1097" i="63"/>
  <c r="AO1097" i="63"/>
  <c r="AN1097" i="63"/>
  <c r="AN1081" i="63" s="1"/>
  <c r="AL1097" i="63"/>
  <c r="AL1081" i="63" s="1"/>
  <c r="AK1097" i="63"/>
  <c r="AI1097" i="63"/>
  <c r="AH1097" i="63"/>
  <c r="AJ1097" i="63" s="1"/>
  <c r="AE1097" i="63"/>
  <c r="AD1097" i="63"/>
  <c r="AC1097" i="63"/>
  <c r="X1097" i="63"/>
  <c r="W1097" i="63"/>
  <c r="R1097" i="63"/>
  <c r="S1097" i="63" s="1"/>
  <c r="Q1097" i="63"/>
  <c r="O1097" i="63"/>
  <c r="N1097" i="63"/>
  <c r="N1081" i="63" s="1"/>
  <c r="H1097" i="63"/>
  <c r="G1097" i="63"/>
  <c r="BP1096" i="63"/>
  <c r="BO1096" i="63"/>
  <c r="BO1080" i="63" s="1"/>
  <c r="BM1096" i="63"/>
  <c r="BL1096" i="63"/>
  <c r="BJ1096" i="63"/>
  <c r="BI1096" i="63"/>
  <c r="BG1096" i="63"/>
  <c r="BG1080" i="63" s="1"/>
  <c r="BF1096" i="63"/>
  <c r="BF1080" i="63" s="1"/>
  <c r="BD1096" i="63"/>
  <c r="BC1096" i="63"/>
  <c r="BE1096" i="63" s="1"/>
  <c r="BA1096" i="63"/>
  <c r="AZ1096" i="63"/>
  <c r="AZ1080" i="63" s="1"/>
  <c r="AX1096" i="63"/>
  <c r="AW1096" i="63"/>
  <c r="AU1096" i="63"/>
  <c r="AU1080" i="63" s="1"/>
  <c r="AT1096" i="63"/>
  <c r="AR1096" i="63"/>
  <c r="AQ1096" i="63"/>
  <c r="AP1096" i="63"/>
  <c r="AO1096" i="63"/>
  <c r="AO1080" i="63" s="1"/>
  <c r="AN1096" i="63"/>
  <c r="AL1096" i="63"/>
  <c r="AK1096" i="63"/>
  <c r="AK1080" i="63" s="1"/>
  <c r="AI1096" i="63"/>
  <c r="AH1096" i="63"/>
  <c r="AD1096" i="63"/>
  <c r="AC1096" i="63"/>
  <c r="AC1080" i="63" s="1"/>
  <c r="X1096" i="63"/>
  <c r="W1096" i="63"/>
  <c r="R1096" i="63"/>
  <c r="R1080" i="63" s="1"/>
  <c r="S1080" i="63" s="1"/>
  <c r="Q1096" i="63"/>
  <c r="Q1080" i="63" s="1"/>
  <c r="O1096" i="63"/>
  <c r="N1096" i="63"/>
  <c r="H1096" i="63"/>
  <c r="G1096" i="63"/>
  <c r="G1080" i="63" s="1"/>
  <c r="BP1095" i="63"/>
  <c r="BO1095" i="63"/>
  <c r="BM1095" i="63"/>
  <c r="BL1095" i="63"/>
  <c r="BN1095" i="63" s="1"/>
  <c r="BJ1095" i="63"/>
  <c r="BI1095" i="63"/>
  <c r="BG1095" i="63"/>
  <c r="BF1095" i="63"/>
  <c r="BH1095" i="63" s="1"/>
  <c r="BE1095" i="63"/>
  <c r="BD1095" i="63"/>
  <c r="BC1095" i="63"/>
  <c r="BA1095" i="63"/>
  <c r="AZ1095" i="63"/>
  <c r="AX1095" i="63"/>
  <c r="AW1095" i="63"/>
  <c r="AU1095" i="63"/>
  <c r="AT1095" i="63"/>
  <c r="AR1095" i="63"/>
  <c r="AQ1095" i="63"/>
  <c r="AO1095" i="63"/>
  <c r="AO1079" i="63" s="1"/>
  <c r="AN1095" i="63"/>
  <c r="AL1095" i="63"/>
  <c r="AK1095" i="63"/>
  <c r="AI1095" i="63"/>
  <c r="AH1095" i="63"/>
  <c r="AD1095" i="63"/>
  <c r="AC1095" i="63"/>
  <c r="X1095" i="63"/>
  <c r="W1095" i="63"/>
  <c r="R1095" i="63"/>
  <c r="S1095" i="63" s="1"/>
  <c r="Q1095" i="63"/>
  <c r="O1095" i="63"/>
  <c r="N1095" i="63"/>
  <c r="H1095" i="63"/>
  <c r="G1095" i="63"/>
  <c r="G1079" i="63" s="1"/>
  <c r="BP1094" i="63"/>
  <c r="BO1094" i="63"/>
  <c r="BQ1094" i="63" s="1"/>
  <c r="BM1094" i="63"/>
  <c r="BM1078" i="63" s="1"/>
  <c r="BL1094" i="63"/>
  <c r="BJ1094" i="63"/>
  <c r="BI1094" i="63"/>
  <c r="BI1078" i="63" s="1"/>
  <c r="BG1094" i="63"/>
  <c r="BF1094" i="63"/>
  <c r="BD1094" i="63"/>
  <c r="BC1094" i="63"/>
  <c r="BA1094" i="63"/>
  <c r="AZ1094" i="63"/>
  <c r="BB1094" i="63" s="1"/>
  <c r="AX1094" i="63"/>
  <c r="AX1078" i="63" s="1"/>
  <c r="AW1094" i="63"/>
  <c r="AU1094" i="63"/>
  <c r="AT1094" i="63"/>
  <c r="AR1094" i="63"/>
  <c r="AQ1094" i="63"/>
  <c r="AO1094" i="63"/>
  <c r="AN1094" i="63"/>
  <c r="AL1094" i="63"/>
  <c r="AL1078" i="63" s="1"/>
  <c r="AK1094" i="63"/>
  <c r="AI1094" i="63"/>
  <c r="AH1094" i="63"/>
  <c r="AH1078" i="63" s="1"/>
  <c r="AE1094" i="63"/>
  <c r="AD1094" i="63"/>
  <c r="AC1094" i="63"/>
  <c r="X1094" i="63"/>
  <c r="W1094" i="63"/>
  <c r="R1094" i="63"/>
  <c r="Q1094" i="63"/>
  <c r="O1094" i="63"/>
  <c r="N1094" i="63"/>
  <c r="H1094" i="63"/>
  <c r="H1078" i="63" s="1"/>
  <c r="G1094" i="63"/>
  <c r="BP1093" i="63"/>
  <c r="BQ1093" i="63" s="1"/>
  <c r="BO1093" i="63"/>
  <c r="BM1093" i="63"/>
  <c r="BL1093" i="63"/>
  <c r="BJ1093" i="63"/>
  <c r="BI1093" i="63"/>
  <c r="BG1093" i="63"/>
  <c r="BG1077" i="63" s="1"/>
  <c r="BF1093" i="63"/>
  <c r="BD1093" i="63"/>
  <c r="BC1093" i="63"/>
  <c r="BA1093" i="63"/>
  <c r="BB1093" i="63" s="1"/>
  <c r="AZ1093" i="63"/>
  <c r="AX1093" i="63"/>
  <c r="AW1093" i="63"/>
  <c r="AU1093" i="63"/>
  <c r="AT1093" i="63"/>
  <c r="AR1093" i="63"/>
  <c r="AQ1093" i="63"/>
  <c r="AS1093" i="63" s="1"/>
  <c r="AO1093" i="63"/>
  <c r="AN1093" i="63"/>
  <c r="AL1093" i="63"/>
  <c r="AK1093" i="63"/>
  <c r="AK1077" i="63" s="1"/>
  <c r="AI1093" i="63"/>
  <c r="AI1077" i="63" s="1"/>
  <c r="AH1093" i="63"/>
  <c r="AD1093" i="63"/>
  <c r="AC1093" i="63"/>
  <c r="X1093" i="63"/>
  <c r="W1093" i="63"/>
  <c r="S1093" i="63"/>
  <c r="R1093" i="63"/>
  <c r="Q1093" i="63"/>
  <c r="O1093" i="63"/>
  <c r="N1093" i="63"/>
  <c r="T1093" i="63" s="1"/>
  <c r="H1093" i="63"/>
  <c r="G1093" i="63"/>
  <c r="BO1092" i="63"/>
  <c r="BJ1092" i="63"/>
  <c r="AX1092" i="63"/>
  <c r="AW1092" i="63"/>
  <c r="AL1092" i="63"/>
  <c r="AM1092" i="63" s="1"/>
  <c r="AK1092" i="63"/>
  <c r="AD1092" i="63"/>
  <c r="X1092" i="63"/>
  <c r="S1092" i="63"/>
  <c r="G1092" i="63"/>
  <c r="X1091" i="63"/>
  <c r="BQ1090" i="63"/>
  <c r="BN1090" i="63"/>
  <c r="BK1090" i="63"/>
  <c r="BH1090" i="63"/>
  <c r="BE1090" i="63"/>
  <c r="BB1090" i="63"/>
  <c r="AY1090" i="63"/>
  <c r="AV1090" i="63"/>
  <c r="AS1090" i="63"/>
  <c r="AP1090" i="63"/>
  <c r="AM1090" i="63"/>
  <c r="AJ1090" i="63"/>
  <c r="AE1090" i="63"/>
  <c r="Y1090" i="63"/>
  <c r="U1090" i="63"/>
  <c r="AA1090" i="63" s="1"/>
  <c r="T1090" i="63"/>
  <c r="S1090" i="63"/>
  <c r="P1090" i="63"/>
  <c r="L1090" i="63"/>
  <c r="K1090" i="63"/>
  <c r="I1090" i="63"/>
  <c r="BQ1089" i="63"/>
  <c r="BN1089" i="63"/>
  <c r="BK1089" i="63"/>
  <c r="BH1089" i="63"/>
  <c r="BE1089" i="63"/>
  <c r="BB1089" i="63"/>
  <c r="AY1089" i="63"/>
  <c r="AV1089" i="63"/>
  <c r="AS1089" i="63"/>
  <c r="AP1089" i="63"/>
  <c r="AM1089" i="63"/>
  <c r="AJ1089" i="63"/>
  <c r="AE1089" i="63"/>
  <c r="Y1089" i="63"/>
  <c r="U1089" i="63"/>
  <c r="T1089" i="63"/>
  <c r="Z1089" i="63" s="1"/>
  <c r="S1089" i="63"/>
  <c r="P1089" i="63"/>
  <c r="L1089" i="63"/>
  <c r="K1089" i="63"/>
  <c r="I1089" i="63"/>
  <c r="BQ1088" i="63"/>
  <c r="BN1088" i="63"/>
  <c r="BK1088" i="63"/>
  <c r="BH1088" i="63"/>
  <c r="BE1088" i="63"/>
  <c r="BB1088" i="63"/>
  <c r="AY1088" i="63"/>
  <c r="AV1088" i="63"/>
  <c r="AS1088" i="63"/>
  <c r="AP1088" i="63"/>
  <c r="AM1088" i="63"/>
  <c r="AJ1088" i="63"/>
  <c r="AE1088" i="63"/>
  <c r="Y1088" i="63"/>
  <c r="U1088" i="63"/>
  <c r="AA1088" i="63" s="1"/>
  <c r="T1088" i="63"/>
  <c r="S1088" i="63"/>
  <c r="P1088" i="63"/>
  <c r="L1088" i="63"/>
  <c r="K1088" i="63"/>
  <c r="I1088" i="63"/>
  <c r="BQ1087" i="63"/>
  <c r="BN1087" i="63"/>
  <c r="BK1087" i="63"/>
  <c r="BH1087" i="63"/>
  <c r="BE1087" i="63"/>
  <c r="BB1087" i="63"/>
  <c r="AY1087" i="63"/>
  <c r="AV1087" i="63"/>
  <c r="AS1087" i="63"/>
  <c r="AP1087" i="63"/>
  <c r="AM1087" i="63"/>
  <c r="AJ1087" i="63"/>
  <c r="AE1087" i="63"/>
  <c r="Y1087" i="63"/>
  <c r="U1087" i="63"/>
  <c r="T1087" i="63"/>
  <c r="Z1087" i="63" s="1"/>
  <c r="S1087" i="63"/>
  <c r="P1087" i="63"/>
  <c r="L1087" i="63"/>
  <c r="K1087" i="63"/>
  <c r="I1087" i="63"/>
  <c r="BQ1086" i="63"/>
  <c r="BN1086" i="63"/>
  <c r="BK1086" i="63"/>
  <c r="BH1086" i="63"/>
  <c r="BE1086" i="63"/>
  <c r="BB1086" i="63"/>
  <c r="AY1086" i="63"/>
  <c r="AV1086" i="63"/>
  <c r="AS1086" i="63"/>
  <c r="AP1086" i="63"/>
  <c r="AM1086" i="63"/>
  <c r="AJ1086" i="63"/>
  <c r="AE1086" i="63"/>
  <c r="Y1086" i="63"/>
  <c r="U1086" i="63"/>
  <c r="AA1086" i="63" s="1"/>
  <c r="T1086" i="63"/>
  <c r="S1086" i="63"/>
  <c r="P1086" i="63"/>
  <c r="L1086" i="63"/>
  <c r="K1086" i="63"/>
  <c r="I1086" i="63"/>
  <c r="BQ1085" i="63"/>
  <c r="BN1085" i="63"/>
  <c r="BK1085" i="63"/>
  <c r="BH1085" i="63"/>
  <c r="BE1085" i="63"/>
  <c r="BB1085" i="63"/>
  <c r="AY1085" i="63"/>
  <c r="AV1085" i="63"/>
  <c r="AS1085" i="63"/>
  <c r="AP1085" i="63"/>
  <c r="AM1085" i="63"/>
  <c r="AJ1085" i="63"/>
  <c r="AE1085" i="63"/>
  <c r="Y1085" i="63"/>
  <c r="U1085" i="63"/>
  <c r="AA1085" i="63" s="1"/>
  <c r="T1085" i="63"/>
  <c r="S1085" i="63"/>
  <c r="P1085" i="63"/>
  <c r="L1085" i="63"/>
  <c r="K1085" i="63"/>
  <c r="I1085" i="63"/>
  <c r="BP1084" i="63"/>
  <c r="BO1084" i="63"/>
  <c r="BN1084" i="63"/>
  <c r="BM1084" i="63"/>
  <c r="BL1084" i="63"/>
  <c r="BJ1084" i="63"/>
  <c r="BI1084" i="63"/>
  <c r="BG1084" i="63"/>
  <c r="BF1084" i="63"/>
  <c r="BD1084" i="63"/>
  <c r="BC1084" i="63"/>
  <c r="BA1084" i="63"/>
  <c r="AZ1084" i="63"/>
  <c r="AX1084" i="63"/>
  <c r="AW1084" i="63"/>
  <c r="AU1084" i="63"/>
  <c r="AT1084" i="63"/>
  <c r="AR1084" i="63"/>
  <c r="AS1084" i="63" s="1"/>
  <c r="AQ1084" i="63"/>
  <c r="AO1084" i="63"/>
  <c r="AN1084" i="63"/>
  <c r="AL1084" i="63"/>
  <c r="AK1084" i="63"/>
  <c r="AI1084" i="63"/>
  <c r="AH1084" i="63"/>
  <c r="AD1084" i="63"/>
  <c r="AC1084" i="63"/>
  <c r="X1084" i="63"/>
  <c r="W1084" i="63"/>
  <c r="S1084" i="63"/>
  <c r="R1084" i="63"/>
  <c r="Q1084" i="63"/>
  <c r="O1084" i="63"/>
  <c r="N1084" i="63"/>
  <c r="T1084" i="63" s="1"/>
  <c r="H1084" i="63"/>
  <c r="G1084" i="63"/>
  <c r="BP1082" i="63"/>
  <c r="BI1082" i="63"/>
  <c r="AN1082" i="63"/>
  <c r="AH1082" i="63"/>
  <c r="N1082" i="63"/>
  <c r="T1082" i="63" s="1"/>
  <c r="BJ1081" i="63"/>
  <c r="BF1081" i="63"/>
  <c r="BC1081" i="63"/>
  <c r="AZ1081" i="63"/>
  <c r="AQ1081" i="63"/>
  <c r="AH1081" i="63"/>
  <c r="AD1081" i="63"/>
  <c r="R1081" i="63"/>
  <c r="Q1081" i="63"/>
  <c r="H1081" i="63"/>
  <c r="BL1080" i="63"/>
  <c r="BC1080" i="63"/>
  <c r="AW1080" i="63"/>
  <c r="AL1080" i="63"/>
  <c r="AI1080" i="63"/>
  <c r="X1080" i="63"/>
  <c r="O1080" i="63"/>
  <c r="H1080" i="63"/>
  <c r="BC1079" i="63"/>
  <c r="AX1079" i="63"/>
  <c r="AW1079" i="63"/>
  <c r="AR1079" i="63"/>
  <c r="AL1079" i="63"/>
  <c r="AH1079" i="63"/>
  <c r="H1079" i="63"/>
  <c r="BP1078" i="63"/>
  <c r="BO1078" i="63"/>
  <c r="BJ1078" i="63"/>
  <c r="BG1078" i="63"/>
  <c r="BF1078" i="63"/>
  <c r="BA1078" i="63"/>
  <c r="AU1078" i="63"/>
  <c r="AO1078" i="63"/>
  <c r="AI1078" i="63"/>
  <c r="AC1078" i="63"/>
  <c r="Q1078" i="63"/>
  <c r="O1078" i="63"/>
  <c r="P1078" i="63" s="1"/>
  <c r="N1078" i="63"/>
  <c r="BL1077" i="63"/>
  <c r="AN1077" i="63"/>
  <c r="Q1077" i="63"/>
  <c r="BP1074" i="63"/>
  <c r="BQ1074" i="63" s="1"/>
  <c r="BO1074" i="63"/>
  <c r="BM1074" i="63"/>
  <c r="BL1074" i="63"/>
  <c r="BN1074" i="63" s="1"/>
  <c r="BJ1074" i="63"/>
  <c r="BI1074" i="63"/>
  <c r="BG1074" i="63"/>
  <c r="BF1074" i="63"/>
  <c r="BD1074" i="63"/>
  <c r="BE1074" i="63" s="1"/>
  <c r="BC1074" i="63"/>
  <c r="BA1074" i="63"/>
  <c r="AZ1074" i="63"/>
  <c r="AX1074" i="63"/>
  <c r="AY1074" i="63" s="1"/>
  <c r="AW1074" i="63"/>
  <c r="AU1074" i="63"/>
  <c r="AT1074" i="63"/>
  <c r="AS1074" i="63"/>
  <c r="AR1074" i="63"/>
  <c r="AQ1074" i="63"/>
  <c r="AO1074" i="63"/>
  <c r="AN1074" i="63"/>
  <c r="AL1074" i="63"/>
  <c r="AK1074" i="63"/>
  <c r="AI1074" i="63"/>
  <c r="AH1074" i="63"/>
  <c r="AD1074" i="63"/>
  <c r="AC1074" i="63"/>
  <c r="X1074" i="63"/>
  <c r="W1074" i="63"/>
  <c r="R1074" i="63"/>
  <c r="S1074" i="63" s="1"/>
  <c r="Q1074" i="63"/>
  <c r="O1074" i="63"/>
  <c r="N1074" i="63"/>
  <c r="H1074" i="63"/>
  <c r="G1074" i="63"/>
  <c r="BP1073" i="63"/>
  <c r="BO1073" i="63"/>
  <c r="BQ1073" i="63" s="1"/>
  <c r="BM1073" i="63"/>
  <c r="BL1073" i="63"/>
  <c r="BN1073" i="63" s="1"/>
  <c r="BJ1073" i="63"/>
  <c r="BI1073" i="63"/>
  <c r="BG1073" i="63"/>
  <c r="BF1073" i="63"/>
  <c r="BE1073" i="63"/>
  <c r="BD1073" i="63"/>
  <c r="BC1073" i="63"/>
  <c r="BA1073" i="63"/>
  <c r="AZ1073" i="63"/>
  <c r="AX1073" i="63"/>
  <c r="AY1073" i="63" s="1"/>
  <c r="AW1073" i="63"/>
  <c r="AU1073" i="63"/>
  <c r="AT1073" i="63"/>
  <c r="AR1073" i="63"/>
  <c r="AQ1073" i="63"/>
  <c r="AS1073" i="63" s="1"/>
  <c r="AO1073" i="63"/>
  <c r="AP1073" i="63" s="1"/>
  <c r="AN1073" i="63"/>
  <c r="AL1073" i="63"/>
  <c r="AK1073" i="63"/>
  <c r="AI1073" i="63"/>
  <c r="AH1073" i="63"/>
  <c r="AD1073" i="63"/>
  <c r="AC1073" i="63"/>
  <c r="X1073" i="63"/>
  <c r="Y1073" i="63" s="1"/>
  <c r="W1073" i="63"/>
  <c r="R1073" i="63"/>
  <c r="Q1073" i="63"/>
  <c r="O1073" i="63"/>
  <c r="N1073" i="63"/>
  <c r="H1073" i="63"/>
  <c r="G1073" i="63"/>
  <c r="BP1072" i="63"/>
  <c r="BQ1072" i="63" s="1"/>
  <c r="BO1072" i="63"/>
  <c r="BM1072" i="63"/>
  <c r="BL1072" i="63"/>
  <c r="BJ1072" i="63"/>
  <c r="BK1072" i="63" s="1"/>
  <c r="BI1072" i="63"/>
  <c r="BG1072" i="63"/>
  <c r="BF1072" i="63"/>
  <c r="BH1072" i="63" s="1"/>
  <c r="BD1072" i="63"/>
  <c r="BC1072" i="63"/>
  <c r="BA1072" i="63"/>
  <c r="AZ1072" i="63"/>
  <c r="AX1072" i="63"/>
  <c r="AW1072" i="63"/>
  <c r="AU1072" i="63"/>
  <c r="AT1072" i="63"/>
  <c r="AR1072" i="63"/>
  <c r="AS1072" i="63" s="1"/>
  <c r="AQ1072" i="63"/>
  <c r="AO1072" i="63"/>
  <c r="AN1072" i="63"/>
  <c r="AP1072" i="63" s="1"/>
  <c r="AL1072" i="63"/>
  <c r="AM1072" i="63" s="1"/>
  <c r="AK1072" i="63"/>
  <c r="AI1072" i="63"/>
  <c r="AH1072" i="63"/>
  <c r="AJ1072" i="63" s="1"/>
  <c r="AE1072" i="63"/>
  <c r="AD1072" i="63"/>
  <c r="AC1072" i="63"/>
  <c r="X1072" i="63"/>
  <c r="W1072" i="63"/>
  <c r="R1072" i="63"/>
  <c r="Q1072" i="63"/>
  <c r="O1072" i="63"/>
  <c r="N1072" i="63"/>
  <c r="H1072" i="63"/>
  <c r="G1072" i="63"/>
  <c r="BP1071" i="63"/>
  <c r="BQ1071" i="63" s="1"/>
  <c r="BO1071" i="63"/>
  <c r="BM1071" i="63"/>
  <c r="BL1071" i="63"/>
  <c r="BJ1071" i="63"/>
  <c r="BI1071" i="63"/>
  <c r="BG1071" i="63"/>
  <c r="BF1071" i="63"/>
  <c r="BD1071" i="63"/>
  <c r="BE1071" i="63" s="1"/>
  <c r="BC1071" i="63"/>
  <c r="BA1071" i="63"/>
  <c r="AZ1071" i="63"/>
  <c r="AX1071" i="63"/>
  <c r="AW1071" i="63"/>
  <c r="AU1071" i="63"/>
  <c r="AT1071" i="63"/>
  <c r="AR1071" i="63"/>
  <c r="AS1071" i="63" s="1"/>
  <c r="AQ1071" i="63"/>
  <c r="AO1071" i="63"/>
  <c r="AN1071" i="63"/>
  <c r="AL1071" i="63"/>
  <c r="AK1071" i="63"/>
  <c r="AI1071" i="63"/>
  <c r="AH1071" i="63"/>
  <c r="AJ1071" i="63" s="1"/>
  <c r="AD1071" i="63"/>
  <c r="AC1071" i="63"/>
  <c r="X1071" i="63"/>
  <c r="W1071" i="63"/>
  <c r="R1071" i="63"/>
  <c r="S1071" i="63" s="1"/>
  <c r="Q1071" i="63"/>
  <c r="O1071" i="63"/>
  <c r="N1071" i="63"/>
  <c r="H1071" i="63"/>
  <c r="G1071" i="63"/>
  <c r="BP1070" i="63"/>
  <c r="BO1070" i="63"/>
  <c r="BQ1070" i="63" s="1"/>
  <c r="BN1070" i="63"/>
  <c r="BM1070" i="63"/>
  <c r="BL1070" i="63"/>
  <c r="BJ1070" i="63"/>
  <c r="BI1070" i="63"/>
  <c r="BG1070" i="63"/>
  <c r="BF1070" i="63"/>
  <c r="BD1070" i="63"/>
  <c r="BC1070" i="63"/>
  <c r="BA1070" i="63"/>
  <c r="AZ1070" i="63"/>
  <c r="AX1070" i="63"/>
  <c r="AW1070" i="63"/>
  <c r="AU1070" i="63"/>
  <c r="AT1070" i="63"/>
  <c r="AR1070" i="63"/>
  <c r="AS1070" i="63" s="1"/>
  <c r="AQ1070" i="63"/>
  <c r="AO1070" i="63"/>
  <c r="AN1070" i="63"/>
  <c r="AL1070" i="63"/>
  <c r="AK1070" i="63"/>
  <c r="AI1070" i="63"/>
  <c r="AH1070" i="63"/>
  <c r="AD1070" i="63"/>
  <c r="AE1070" i="63" s="1"/>
  <c r="AC1070" i="63"/>
  <c r="X1070" i="63"/>
  <c r="W1070" i="63"/>
  <c r="R1070" i="63"/>
  <c r="S1070" i="63" s="1"/>
  <c r="Q1070" i="63"/>
  <c r="O1070" i="63"/>
  <c r="N1070" i="63"/>
  <c r="H1070" i="63"/>
  <c r="G1070" i="63"/>
  <c r="BP1069" i="63"/>
  <c r="BO1069" i="63"/>
  <c r="BM1069" i="63"/>
  <c r="BL1069" i="63"/>
  <c r="BJ1069" i="63"/>
  <c r="BI1069" i="63"/>
  <c r="BG1069" i="63"/>
  <c r="BF1069" i="63"/>
  <c r="BD1069" i="63"/>
  <c r="BE1069" i="63" s="1"/>
  <c r="BC1069" i="63"/>
  <c r="BA1069" i="63"/>
  <c r="AZ1069" i="63"/>
  <c r="AX1069" i="63"/>
  <c r="AY1069" i="63" s="1"/>
  <c r="AW1069" i="63"/>
  <c r="AU1069" i="63"/>
  <c r="AT1069" i="63"/>
  <c r="AR1069" i="63"/>
  <c r="AQ1069" i="63"/>
  <c r="AO1069" i="63"/>
  <c r="AN1069" i="63"/>
  <c r="AP1069" i="63" s="1"/>
  <c r="AL1069" i="63"/>
  <c r="AK1069" i="63"/>
  <c r="AI1069" i="63"/>
  <c r="AH1069" i="63"/>
  <c r="AD1069" i="63"/>
  <c r="AE1069" i="63" s="1"/>
  <c r="AC1069" i="63"/>
  <c r="X1069" i="63"/>
  <c r="W1069" i="63"/>
  <c r="S1069" i="63"/>
  <c r="R1069" i="63"/>
  <c r="Q1069" i="63"/>
  <c r="O1069" i="63"/>
  <c r="N1069" i="63"/>
  <c r="H1069" i="63"/>
  <c r="G1069" i="63"/>
  <c r="BP1067" i="63"/>
  <c r="BO1067" i="63"/>
  <c r="BQ1067" i="63" s="1"/>
  <c r="BM1067" i="63"/>
  <c r="BN1067" i="63" s="1"/>
  <c r="BL1067" i="63"/>
  <c r="BJ1067" i="63"/>
  <c r="BI1067" i="63"/>
  <c r="BG1067" i="63"/>
  <c r="BF1067" i="63"/>
  <c r="BD1067" i="63"/>
  <c r="BC1067" i="63"/>
  <c r="BA1067" i="63"/>
  <c r="AZ1067" i="63"/>
  <c r="AX1067" i="63"/>
  <c r="AW1067" i="63"/>
  <c r="AU1067" i="63"/>
  <c r="AT1067" i="63"/>
  <c r="AR1067" i="63"/>
  <c r="AS1067" i="63" s="1"/>
  <c r="AQ1067" i="63"/>
  <c r="AO1067" i="63"/>
  <c r="AN1067" i="63"/>
  <c r="AL1067" i="63"/>
  <c r="AM1067" i="63" s="1"/>
  <c r="AK1067" i="63"/>
  <c r="AI1067" i="63"/>
  <c r="AH1067" i="63"/>
  <c r="AJ1067" i="63" s="1"/>
  <c r="AD1067" i="63"/>
  <c r="AC1067" i="63"/>
  <c r="X1067" i="63"/>
  <c r="W1067" i="63"/>
  <c r="R1067" i="63"/>
  <c r="S1067" i="63" s="1"/>
  <c r="Q1067" i="63"/>
  <c r="O1067" i="63"/>
  <c r="N1067" i="63"/>
  <c r="P1067" i="63" s="1"/>
  <c r="H1067" i="63"/>
  <c r="G1067" i="63"/>
  <c r="BP1066" i="63"/>
  <c r="BO1066" i="63"/>
  <c r="BM1066" i="63"/>
  <c r="BL1066" i="63"/>
  <c r="BJ1066" i="63"/>
  <c r="BI1066" i="63"/>
  <c r="BG1066" i="63"/>
  <c r="BF1066" i="63"/>
  <c r="BD1066" i="63"/>
  <c r="BE1066" i="63" s="1"/>
  <c r="BC1066" i="63"/>
  <c r="BA1066" i="63"/>
  <c r="BB1066" i="63" s="1"/>
  <c r="AZ1066" i="63"/>
  <c r="AX1066" i="63"/>
  <c r="AW1066" i="63"/>
  <c r="AU1066" i="63"/>
  <c r="AT1066" i="63"/>
  <c r="AR1066" i="63"/>
  <c r="AS1066" i="63" s="1"/>
  <c r="AQ1066" i="63"/>
  <c r="AO1066" i="63"/>
  <c r="AP1066" i="63" s="1"/>
  <c r="AN1066" i="63"/>
  <c r="AL1066" i="63"/>
  <c r="AK1066" i="63"/>
  <c r="AI1066" i="63"/>
  <c r="AH1066" i="63"/>
  <c r="AD1066" i="63"/>
  <c r="AE1066" i="63" s="1"/>
  <c r="AC1066" i="63"/>
  <c r="X1066" i="63"/>
  <c r="W1066" i="63"/>
  <c r="R1066" i="63"/>
  <c r="Q1066" i="63"/>
  <c r="O1066" i="63"/>
  <c r="N1066" i="63"/>
  <c r="P1066" i="63" s="1"/>
  <c r="H1066" i="63"/>
  <c r="G1066" i="63"/>
  <c r="BP1065" i="63"/>
  <c r="BO1065" i="63"/>
  <c r="BM1065" i="63"/>
  <c r="BL1065" i="63"/>
  <c r="BJ1065" i="63"/>
  <c r="BI1065" i="63"/>
  <c r="BG1065" i="63"/>
  <c r="BF1065" i="63"/>
  <c r="BD1065" i="63"/>
  <c r="BE1065" i="63" s="1"/>
  <c r="BC1065" i="63"/>
  <c r="BA1065" i="63"/>
  <c r="BB1065" i="63" s="1"/>
  <c r="AZ1065" i="63"/>
  <c r="AX1065" i="63"/>
  <c r="AW1065" i="63"/>
  <c r="AU1065" i="63"/>
  <c r="AT1065" i="63"/>
  <c r="AR1065" i="63"/>
  <c r="AS1065" i="63" s="1"/>
  <c r="AQ1065" i="63"/>
  <c r="AO1065" i="63"/>
  <c r="AP1065" i="63" s="1"/>
  <c r="AN1065" i="63"/>
  <c r="AL1065" i="63"/>
  <c r="AK1065" i="63"/>
  <c r="AI1065" i="63"/>
  <c r="AH1065" i="63"/>
  <c r="AD1065" i="63"/>
  <c r="AE1065" i="63" s="1"/>
  <c r="AC1065" i="63"/>
  <c r="X1065" i="63"/>
  <c r="W1065" i="63"/>
  <c r="R1065" i="63"/>
  <c r="Q1065" i="63"/>
  <c r="O1065" i="63"/>
  <c r="N1065" i="63"/>
  <c r="P1065" i="63" s="1"/>
  <c r="H1065" i="63"/>
  <c r="G1065" i="63"/>
  <c r="BP1064" i="63"/>
  <c r="BO1064" i="63"/>
  <c r="BM1064" i="63"/>
  <c r="BN1064" i="63" s="1"/>
  <c r="BL1064" i="63"/>
  <c r="BJ1064" i="63"/>
  <c r="BI1064" i="63"/>
  <c r="BG1064" i="63"/>
  <c r="BF1064" i="63"/>
  <c r="BD1064" i="63"/>
  <c r="BC1064" i="63"/>
  <c r="BA1064" i="63"/>
  <c r="BB1064" i="63" s="1"/>
  <c r="AZ1064" i="63"/>
  <c r="AX1064" i="63"/>
  <c r="AW1064" i="63"/>
  <c r="AU1064" i="63"/>
  <c r="AT1064" i="63"/>
  <c r="AR1064" i="63"/>
  <c r="AQ1064" i="63"/>
  <c r="AS1064" i="63" s="1"/>
  <c r="AO1064" i="63"/>
  <c r="AP1064" i="63" s="1"/>
  <c r="AN1064" i="63"/>
  <c r="AL1064" i="63"/>
  <c r="AK1064" i="63"/>
  <c r="AI1064" i="63"/>
  <c r="AH1064" i="63"/>
  <c r="AD1064" i="63"/>
  <c r="AC1064" i="63"/>
  <c r="X1064" i="63"/>
  <c r="W1064" i="63"/>
  <c r="R1064" i="63"/>
  <c r="S1064" i="63" s="1"/>
  <c r="Q1064" i="63"/>
  <c r="O1064" i="63"/>
  <c r="P1064" i="63" s="1"/>
  <c r="N1064" i="63"/>
  <c r="H1064" i="63"/>
  <c r="G1064" i="63"/>
  <c r="BP1061" i="63"/>
  <c r="BQ1061" i="63" s="1"/>
  <c r="BO1061" i="63"/>
  <c r="BM1061" i="63"/>
  <c r="BL1061" i="63"/>
  <c r="BJ1061" i="63"/>
  <c r="BI1061" i="63"/>
  <c r="BG1061" i="63"/>
  <c r="BF1061" i="63"/>
  <c r="BD1061" i="63"/>
  <c r="BC1061" i="63"/>
  <c r="BE1061" i="63" s="1"/>
  <c r="BA1061" i="63"/>
  <c r="AZ1061" i="63"/>
  <c r="AX1061" i="63"/>
  <c r="AW1061" i="63"/>
  <c r="AU1061" i="63"/>
  <c r="AT1061" i="63"/>
  <c r="AR1061" i="63"/>
  <c r="AQ1061" i="63"/>
  <c r="AS1061" i="63" s="1"/>
  <c r="AP1061" i="63"/>
  <c r="AO1061" i="63"/>
  <c r="AN1061" i="63"/>
  <c r="AL1061" i="63"/>
  <c r="AK1061" i="63"/>
  <c r="AI1061" i="63"/>
  <c r="AH1061" i="63"/>
  <c r="AD1061" i="63"/>
  <c r="AC1061" i="63"/>
  <c r="X1061" i="63"/>
  <c r="W1061" i="63"/>
  <c r="R1061" i="63"/>
  <c r="S1061" i="63" s="1"/>
  <c r="Q1061" i="63"/>
  <c r="O1061" i="63"/>
  <c r="N1061" i="63"/>
  <c r="H1061" i="63"/>
  <c r="G1061" i="63"/>
  <c r="BP1059" i="63"/>
  <c r="BQ1059" i="63" s="1"/>
  <c r="BO1059" i="63"/>
  <c r="BM1059" i="63"/>
  <c r="BL1059" i="63"/>
  <c r="BJ1059" i="63"/>
  <c r="BK1059" i="63" s="1"/>
  <c r="BI1059" i="63"/>
  <c r="BG1059" i="63"/>
  <c r="BF1059" i="63"/>
  <c r="BD1059" i="63"/>
  <c r="BC1059" i="63"/>
  <c r="BA1059" i="63"/>
  <c r="AZ1059" i="63"/>
  <c r="BB1059" i="63" s="1"/>
  <c r="AX1059" i="63"/>
  <c r="AW1059" i="63"/>
  <c r="AU1059" i="63"/>
  <c r="AT1059" i="63"/>
  <c r="AR1059" i="63"/>
  <c r="AS1059" i="63" s="1"/>
  <c r="AQ1059" i="63"/>
  <c r="AO1059" i="63"/>
  <c r="AN1059" i="63"/>
  <c r="AL1059" i="63"/>
  <c r="AM1059" i="63" s="1"/>
  <c r="AK1059" i="63"/>
  <c r="AI1059" i="63"/>
  <c r="AH1059" i="63"/>
  <c r="AJ1059" i="63" s="1"/>
  <c r="AE1059" i="63"/>
  <c r="AD1059" i="63"/>
  <c r="AC1059" i="63"/>
  <c r="X1059" i="63"/>
  <c r="W1059" i="63"/>
  <c r="R1059" i="63"/>
  <c r="S1059" i="63" s="1"/>
  <c r="Q1059" i="63"/>
  <c r="O1059" i="63"/>
  <c r="P1059" i="63" s="1"/>
  <c r="N1059" i="63"/>
  <c r="H1059" i="63"/>
  <c r="G1059" i="63"/>
  <c r="BQ1055" i="63"/>
  <c r="BP1055" i="63"/>
  <c r="BO1055" i="63"/>
  <c r="BM1055" i="63"/>
  <c r="BL1055" i="63"/>
  <c r="BJ1055" i="63"/>
  <c r="BI1055" i="63"/>
  <c r="BG1055" i="63"/>
  <c r="BF1055" i="63"/>
  <c r="BD1055" i="63"/>
  <c r="BE1055" i="63" s="1"/>
  <c r="BC1055" i="63"/>
  <c r="BA1055" i="63"/>
  <c r="AZ1055" i="63"/>
  <c r="AX1055" i="63"/>
  <c r="AW1055" i="63"/>
  <c r="AU1055" i="63"/>
  <c r="AT1055" i="63"/>
  <c r="AR1055" i="63"/>
  <c r="AS1055" i="63" s="1"/>
  <c r="AQ1055" i="63"/>
  <c r="AO1055" i="63"/>
  <c r="AN1055" i="63"/>
  <c r="AL1055" i="63"/>
  <c r="AK1055" i="63"/>
  <c r="AI1055" i="63"/>
  <c r="AH1055" i="63"/>
  <c r="AJ1055" i="63" s="1"/>
  <c r="AD1055" i="63"/>
  <c r="AC1055" i="63"/>
  <c r="AE1055" i="63" s="1"/>
  <c r="X1055" i="63"/>
  <c r="Y1055" i="63" s="1"/>
  <c r="W1055" i="63"/>
  <c r="R1055" i="63"/>
  <c r="Q1055" i="63"/>
  <c r="O1055" i="63"/>
  <c r="P1055" i="63" s="1"/>
  <c r="N1055" i="63"/>
  <c r="H1055" i="63"/>
  <c r="G1055" i="63"/>
  <c r="I1055" i="63" s="1"/>
  <c r="BP1054" i="63"/>
  <c r="BO1054" i="63"/>
  <c r="BM1054" i="63"/>
  <c r="BL1054" i="63"/>
  <c r="BJ1054" i="63"/>
  <c r="BI1054" i="63"/>
  <c r="BG1054" i="63"/>
  <c r="BF1054" i="63"/>
  <c r="BD1054" i="63"/>
  <c r="BE1054" i="63" s="1"/>
  <c r="BC1054" i="63"/>
  <c r="BA1054" i="63"/>
  <c r="AZ1054" i="63"/>
  <c r="AX1054" i="63"/>
  <c r="AY1054" i="63" s="1"/>
  <c r="AW1054" i="63"/>
  <c r="AU1054" i="63"/>
  <c r="AT1054" i="63"/>
  <c r="AR1054" i="63"/>
  <c r="AQ1054" i="63"/>
  <c r="AS1054" i="63" s="1"/>
  <c r="AO1054" i="63"/>
  <c r="AP1054" i="63" s="1"/>
  <c r="AN1054" i="63"/>
  <c r="AL1054" i="63"/>
  <c r="AK1054" i="63"/>
  <c r="AI1054" i="63"/>
  <c r="AH1054" i="63"/>
  <c r="AD1054" i="63"/>
  <c r="AC1054" i="63"/>
  <c r="AE1054" i="63" s="1"/>
  <c r="X1054" i="63"/>
  <c r="Y1054" i="63" s="1"/>
  <c r="W1054" i="63"/>
  <c r="R1054" i="63"/>
  <c r="Q1054" i="63"/>
  <c r="O1054" i="63"/>
  <c r="P1054" i="63" s="1"/>
  <c r="N1054" i="63"/>
  <c r="H1054" i="63"/>
  <c r="G1054" i="63"/>
  <c r="BP1053" i="63"/>
  <c r="BO1053" i="63"/>
  <c r="BM1053" i="63"/>
  <c r="BL1053" i="63"/>
  <c r="BJ1053" i="63"/>
  <c r="BI1053" i="63"/>
  <c r="BG1053" i="63"/>
  <c r="BF1053" i="63"/>
  <c r="BD1053" i="63"/>
  <c r="BC1053" i="63"/>
  <c r="BE1053" i="63" s="1"/>
  <c r="BA1053" i="63"/>
  <c r="AZ1053" i="63"/>
  <c r="AX1053" i="63"/>
  <c r="AW1053" i="63"/>
  <c r="AU1053" i="63"/>
  <c r="AT1053" i="63"/>
  <c r="AR1053" i="63"/>
  <c r="AQ1053" i="63"/>
  <c r="AO1053" i="63"/>
  <c r="AN1053" i="63"/>
  <c r="AP1053" i="63" s="1"/>
  <c r="AL1053" i="63"/>
  <c r="AK1053" i="63"/>
  <c r="AI1053" i="63"/>
  <c r="AH1053" i="63"/>
  <c r="AD1053" i="63"/>
  <c r="AE1053" i="63" s="1"/>
  <c r="AC1053" i="63"/>
  <c r="X1053" i="63"/>
  <c r="W1053" i="63"/>
  <c r="S1053" i="63"/>
  <c r="R1053" i="63"/>
  <c r="Q1053" i="63"/>
  <c r="O1053" i="63"/>
  <c r="N1053" i="63"/>
  <c r="H1053" i="63"/>
  <c r="G1053" i="63"/>
  <c r="BP1052" i="63"/>
  <c r="BQ1052" i="63" s="1"/>
  <c r="BO1052" i="63"/>
  <c r="BM1052" i="63"/>
  <c r="BL1052" i="63"/>
  <c r="BJ1052" i="63"/>
  <c r="BI1052" i="63"/>
  <c r="BG1052" i="63"/>
  <c r="BF1052" i="63"/>
  <c r="BD1052" i="63"/>
  <c r="BE1052" i="63" s="1"/>
  <c r="BC1052" i="63"/>
  <c r="BA1052" i="63"/>
  <c r="BB1052" i="63" s="1"/>
  <c r="AZ1052" i="63"/>
  <c r="AX1052" i="63"/>
  <c r="AY1052" i="63" s="1"/>
  <c r="AW1052" i="63"/>
  <c r="AU1052" i="63"/>
  <c r="AT1052" i="63"/>
  <c r="AR1052" i="63"/>
  <c r="AQ1052" i="63"/>
  <c r="AO1052" i="63"/>
  <c r="AP1052" i="63" s="1"/>
  <c r="AN1052" i="63"/>
  <c r="AL1052" i="63"/>
  <c r="AM1052" i="63" s="1"/>
  <c r="AK1052" i="63"/>
  <c r="AI1052" i="63"/>
  <c r="AH1052" i="63"/>
  <c r="AE1052" i="63"/>
  <c r="AD1052" i="63"/>
  <c r="AC1052" i="63"/>
  <c r="X1052" i="63"/>
  <c r="W1052" i="63"/>
  <c r="R1052" i="63"/>
  <c r="S1052" i="63" s="1"/>
  <c r="Q1052" i="63"/>
  <c r="O1052" i="63"/>
  <c r="N1052" i="63"/>
  <c r="H1052" i="63"/>
  <c r="G1052" i="63"/>
  <c r="BP1049" i="63"/>
  <c r="BO1049" i="63"/>
  <c r="BM1049" i="63"/>
  <c r="BN1049" i="63" s="1"/>
  <c r="BL1049" i="63"/>
  <c r="BJ1049" i="63"/>
  <c r="BI1049" i="63"/>
  <c r="BG1049" i="63"/>
  <c r="BF1049" i="63"/>
  <c r="BD1049" i="63"/>
  <c r="BC1049" i="63"/>
  <c r="BE1049" i="63" s="1"/>
  <c r="BA1049" i="63"/>
  <c r="BB1049" i="63" s="1"/>
  <c r="AZ1049" i="63"/>
  <c r="AX1049" i="63"/>
  <c r="AW1049" i="63"/>
  <c r="AU1049" i="63"/>
  <c r="AT1049" i="63"/>
  <c r="AR1049" i="63"/>
  <c r="AQ1049" i="63"/>
  <c r="AO1049" i="63"/>
  <c r="AN1049" i="63"/>
  <c r="AL1049" i="63"/>
  <c r="AK1049" i="63"/>
  <c r="AI1049" i="63"/>
  <c r="AH1049" i="63"/>
  <c r="AD1049" i="63"/>
  <c r="AC1049" i="63"/>
  <c r="X1049" i="63"/>
  <c r="W1049" i="63"/>
  <c r="R1049" i="63"/>
  <c r="Q1049" i="63"/>
  <c r="S1049" i="63" s="1"/>
  <c r="O1049" i="63"/>
  <c r="P1049" i="63" s="1"/>
  <c r="N1049" i="63"/>
  <c r="H1049" i="63"/>
  <c r="G1049" i="63"/>
  <c r="I1049" i="63" s="1"/>
  <c r="BP1048" i="63"/>
  <c r="BQ1048" i="63" s="1"/>
  <c r="BO1048" i="63"/>
  <c r="BM1048" i="63"/>
  <c r="BL1048" i="63"/>
  <c r="BJ1048" i="63"/>
  <c r="BK1048" i="63" s="1"/>
  <c r="BI1048" i="63"/>
  <c r="BG1048" i="63"/>
  <c r="BF1048" i="63"/>
  <c r="BD1048" i="63"/>
  <c r="BC1048" i="63"/>
  <c r="BE1048" i="63" s="1"/>
  <c r="BA1048" i="63"/>
  <c r="BB1048" i="63" s="1"/>
  <c r="AZ1048" i="63"/>
  <c r="AX1048" i="63"/>
  <c r="AW1048" i="63"/>
  <c r="AU1048" i="63"/>
  <c r="AT1048" i="63"/>
  <c r="AR1048" i="63"/>
  <c r="AQ1048" i="63"/>
  <c r="AS1048" i="63" s="1"/>
  <c r="AO1048" i="63"/>
  <c r="AN1048" i="63"/>
  <c r="AL1048" i="63"/>
  <c r="AK1048" i="63"/>
  <c r="AI1048" i="63"/>
  <c r="AH1048" i="63"/>
  <c r="AD1048" i="63"/>
  <c r="AC1048" i="63"/>
  <c r="X1048" i="63"/>
  <c r="W1048" i="63"/>
  <c r="R1048" i="63"/>
  <c r="Q1048" i="63"/>
  <c r="P1048" i="63"/>
  <c r="O1048" i="63"/>
  <c r="N1048" i="63"/>
  <c r="H1048" i="63"/>
  <c r="G1048" i="63"/>
  <c r="BP1047" i="63"/>
  <c r="BO1047" i="63"/>
  <c r="BM1047" i="63"/>
  <c r="BL1047" i="63"/>
  <c r="BJ1047" i="63"/>
  <c r="BI1047" i="63"/>
  <c r="BG1047" i="63"/>
  <c r="BF1047" i="63"/>
  <c r="BD1047" i="63"/>
  <c r="BE1047" i="63" s="1"/>
  <c r="BC1047" i="63"/>
  <c r="BA1047" i="63"/>
  <c r="AZ1047" i="63"/>
  <c r="AX1047" i="63"/>
  <c r="AW1047" i="63"/>
  <c r="AU1047" i="63"/>
  <c r="AT1047" i="63"/>
  <c r="AR1047" i="63"/>
  <c r="AS1047" i="63" s="1"/>
  <c r="AQ1047" i="63"/>
  <c r="AO1047" i="63"/>
  <c r="AP1047" i="63" s="1"/>
  <c r="AN1047" i="63"/>
  <c r="AL1047" i="63"/>
  <c r="AM1047" i="63" s="1"/>
  <c r="AK1047" i="63"/>
  <c r="AI1047" i="63"/>
  <c r="AH1047" i="63"/>
  <c r="AD1047" i="63"/>
  <c r="AC1047" i="63"/>
  <c r="X1047" i="63"/>
  <c r="W1047" i="63"/>
  <c r="R1047" i="63"/>
  <c r="Q1047" i="63"/>
  <c r="S1047" i="63" s="1"/>
  <c r="O1047" i="63"/>
  <c r="P1047" i="63" s="1"/>
  <c r="N1047" i="63"/>
  <c r="H1047" i="63"/>
  <c r="G1047" i="63"/>
  <c r="I1047" i="63" s="1"/>
  <c r="BP1046" i="63"/>
  <c r="BQ1046" i="63" s="1"/>
  <c r="BO1046" i="63"/>
  <c r="BM1046" i="63"/>
  <c r="BL1046" i="63"/>
  <c r="BJ1046" i="63"/>
  <c r="BK1046" i="63" s="1"/>
  <c r="BI1046" i="63"/>
  <c r="BG1046" i="63"/>
  <c r="BF1046" i="63"/>
  <c r="BD1046" i="63"/>
  <c r="BC1046" i="63"/>
  <c r="BA1046" i="63"/>
  <c r="AZ1046" i="63"/>
  <c r="AX1046" i="63"/>
  <c r="AW1046" i="63"/>
  <c r="AU1046" i="63"/>
  <c r="AT1046" i="63"/>
  <c r="AS1046" i="63"/>
  <c r="AR1046" i="63"/>
  <c r="AQ1046" i="63"/>
  <c r="AO1046" i="63"/>
  <c r="AN1046" i="63"/>
  <c r="AL1046" i="63"/>
  <c r="AK1046" i="63"/>
  <c r="AI1046" i="63"/>
  <c r="AH1046" i="63"/>
  <c r="AJ1046" i="63" s="1"/>
  <c r="AD1046" i="63"/>
  <c r="AE1046" i="63" s="1"/>
  <c r="AC1046" i="63"/>
  <c r="X1046" i="63"/>
  <c r="W1046" i="63"/>
  <c r="R1046" i="63"/>
  <c r="S1046" i="63" s="1"/>
  <c r="Q1046" i="63"/>
  <c r="O1046" i="63"/>
  <c r="N1046" i="63"/>
  <c r="P1046" i="63" s="1"/>
  <c r="H1046" i="63"/>
  <c r="G1046" i="63"/>
  <c r="BP1044" i="63"/>
  <c r="BO1044" i="63"/>
  <c r="BQ1044" i="63" s="1"/>
  <c r="BM1044" i="63"/>
  <c r="BN1044" i="63" s="1"/>
  <c r="BL1044" i="63"/>
  <c r="BJ1044" i="63"/>
  <c r="BI1044" i="63"/>
  <c r="BG1044" i="63"/>
  <c r="BF1044" i="63"/>
  <c r="BD1044" i="63"/>
  <c r="BE1044" i="63" s="1"/>
  <c r="BC1044" i="63"/>
  <c r="BA1044" i="63"/>
  <c r="AZ1044" i="63"/>
  <c r="AX1044" i="63"/>
  <c r="AW1044" i="63"/>
  <c r="AU1044" i="63"/>
  <c r="AT1044" i="63"/>
  <c r="AV1044" i="63" s="1"/>
  <c r="AR1044" i="63"/>
  <c r="AS1044" i="63" s="1"/>
  <c r="AQ1044" i="63"/>
  <c r="AO1044" i="63"/>
  <c r="AP1044" i="63" s="1"/>
  <c r="AN1044" i="63"/>
  <c r="AL1044" i="63"/>
  <c r="AK1044" i="63"/>
  <c r="AI1044" i="63"/>
  <c r="AH1044" i="63"/>
  <c r="AD1044" i="63"/>
  <c r="AE1044" i="63" s="1"/>
  <c r="AC1044" i="63"/>
  <c r="X1044" i="63"/>
  <c r="Y1044" i="63" s="1"/>
  <c r="W1044" i="63"/>
  <c r="R1044" i="63"/>
  <c r="Q1044" i="63"/>
  <c r="S1044" i="63" s="1"/>
  <c r="O1044" i="63"/>
  <c r="N1044" i="63"/>
  <c r="H1044" i="63"/>
  <c r="G1044" i="63"/>
  <c r="I1044" i="63" s="1"/>
  <c r="BP1043" i="63"/>
  <c r="BQ1043" i="63" s="1"/>
  <c r="BO1043" i="63"/>
  <c r="BM1043" i="63"/>
  <c r="BL1043" i="63"/>
  <c r="BN1043" i="63" s="1"/>
  <c r="BJ1043" i="63"/>
  <c r="BI1043" i="63"/>
  <c r="BG1043" i="63"/>
  <c r="BF1043" i="63"/>
  <c r="BH1043" i="63" s="1"/>
  <c r="BD1043" i="63"/>
  <c r="BE1043" i="63" s="1"/>
  <c r="BC1043" i="63"/>
  <c r="BA1043" i="63"/>
  <c r="AZ1043" i="63"/>
  <c r="AX1043" i="63"/>
  <c r="AY1043" i="63" s="1"/>
  <c r="AW1043" i="63"/>
  <c r="AU1043" i="63"/>
  <c r="AT1043" i="63"/>
  <c r="AR1043" i="63"/>
  <c r="AQ1043" i="63"/>
  <c r="AO1043" i="63"/>
  <c r="AN1043" i="63"/>
  <c r="AL1043" i="63"/>
  <c r="AK1043" i="63"/>
  <c r="AI1043" i="63"/>
  <c r="AH1043" i="63"/>
  <c r="AE1043" i="63"/>
  <c r="AD1043" i="63"/>
  <c r="AC1043" i="63"/>
  <c r="X1043" i="63"/>
  <c r="W1043" i="63"/>
  <c r="R1043" i="63"/>
  <c r="S1043" i="63" s="1"/>
  <c r="Q1043" i="63"/>
  <c r="O1043" i="63"/>
  <c r="N1043" i="63"/>
  <c r="H1043" i="63"/>
  <c r="G1043" i="63"/>
  <c r="BP1042" i="63"/>
  <c r="BQ1042" i="63" s="1"/>
  <c r="BO1042" i="63"/>
  <c r="BM1042" i="63"/>
  <c r="BL1042" i="63"/>
  <c r="BJ1042" i="63"/>
  <c r="BI1042" i="63"/>
  <c r="BG1042" i="63"/>
  <c r="BF1042" i="63"/>
  <c r="BD1042" i="63"/>
  <c r="BC1042" i="63"/>
  <c r="BA1042" i="63"/>
  <c r="AZ1042" i="63"/>
  <c r="AX1042" i="63"/>
  <c r="AW1042" i="63"/>
  <c r="AU1042" i="63"/>
  <c r="AT1042" i="63"/>
  <c r="AV1042" i="63" s="1"/>
  <c r="AR1042" i="63"/>
  <c r="AS1042" i="63" s="1"/>
  <c r="AQ1042" i="63"/>
  <c r="AO1042" i="63"/>
  <c r="AN1042" i="63"/>
  <c r="AP1042" i="63" s="1"/>
  <c r="AL1042" i="63"/>
  <c r="AK1042" i="63"/>
  <c r="AI1042" i="63"/>
  <c r="AH1042" i="63"/>
  <c r="AJ1042" i="63" s="1"/>
  <c r="AD1042" i="63"/>
  <c r="AE1042" i="63" s="1"/>
  <c r="AC1042" i="63"/>
  <c r="X1042" i="63"/>
  <c r="W1042" i="63"/>
  <c r="R1042" i="63"/>
  <c r="Q1042" i="63"/>
  <c r="O1042" i="63"/>
  <c r="N1042" i="63"/>
  <c r="H1042" i="63"/>
  <c r="G1042" i="63"/>
  <c r="BP1041" i="63"/>
  <c r="BO1041" i="63"/>
  <c r="BN1041" i="63"/>
  <c r="BM1041" i="63"/>
  <c r="BL1041" i="63"/>
  <c r="BJ1041" i="63"/>
  <c r="BI1041" i="63"/>
  <c r="BG1041" i="63"/>
  <c r="BF1041" i="63"/>
  <c r="BD1041" i="63"/>
  <c r="BC1041" i="63"/>
  <c r="BA1041" i="63"/>
  <c r="BB1041" i="63" s="1"/>
  <c r="AZ1041" i="63"/>
  <c r="AX1041" i="63"/>
  <c r="AW1041" i="63"/>
  <c r="AU1041" i="63"/>
  <c r="AT1041" i="63"/>
  <c r="AR1041" i="63"/>
  <c r="AQ1041" i="63"/>
  <c r="AS1041" i="63" s="1"/>
  <c r="AO1041" i="63"/>
  <c r="AN1041" i="63"/>
  <c r="AL1041" i="63"/>
  <c r="AK1041" i="63"/>
  <c r="AI1041" i="63"/>
  <c r="AH1041" i="63"/>
  <c r="AD1041" i="63"/>
  <c r="AE1041" i="63" s="1"/>
  <c r="AC1041" i="63"/>
  <c r="X1041" i="63"/>
  <c r="W1041" i="63"/>
  <c r="R1041" i="63"/>
  <c r="Q1041" i="63"/>
  <c r="O1041" i="63"/>
  <c r="N1041" i="63"/>
  <c r="H1041" i="63"/>
  <c r="G1041" i="63"/>
  <c r="BP1038" i="63"/>
  <c r="BO1038" i="63"/>
  <c r="BQ1038" i="63" s="1"/>
  <c r="BM1038" i="63"/>
  <c r="BN1038" i="63" s="1"/>
  <c r="BL1038" i="63"/>
  <c r="BJ1038" i="63"/>
  <c r="BI1038" i="63"/>
  <c r="BG1038" i="63"/>
  <c r="BF1038" i="63"/>
  <c r="BD1038" i="63"/>
  <c r="BC1038" i="63"/>
  <c r="BA1038" i="63"/>
  <c r="AZ1038" i="63"/>
  <c r="AX1038" i="63"/>
  <c r="AW1038" i="63"/>
  <c r="AU1038" i="63"/>
  <c r="AT1038" i="63"/>
  <c r="AR1038" i="63"/>
  <c r="AS1038" i="63" s="1"/>
  <c r="AQ1038" i="63"/>
  <c r="AO1038" i="63"/>
  <c r="AN1038" i="63"/>
  <c r="AL1038" i="63"/>
  <c r="AM1038" i="63" s="1"/>
  <c r="AK1038" i="63"/>
  <c r="AI1038" i="63"/>
  <c r="AH1038" i="63"/>
  <c r="AD1038" i="63"/>
  <c r="AC1038" i="63"/>
  <c r="X1038" i="63"/>
  <c r="W1038" i="63"/>
  <c r="R1038" i="63"/>
  <c r="S1038" i="63" s="1"/>
  <c r="Q1038" i="63"/>
  <c r="O1038" i="63"/>
  <c r="N1038" i="63"/>
  <c r="H1038" i="63"/>
  <c r="I1038" i="63" s="1"/>
  <c r="G1038" i="63"/>
  <c r="BP1036" i="63"/>
  <c r="BO1036" i="63"/>
  <c r="BM1036" i="63"/>
  <c r="BN1036" i="63" s="1"/>
  <c r="BL1036" i="63"/>
  <c r="BJ1036" i="63"/>
  <c r="BI1036" i="63"/>
  <c r="BG1036" i="63"/>
  <c r="BF1036" i="63"/>
  <c r="BD1036" i="63"/>
  <c r="BE1036" i="63" s="1"/>
  <c r="BC1036" i="63"/>
  <c r="BA1036" i="63"/>
  <c r="AZ1036" i="63"/>
  <c r="AX1036" i="63"/>
  <c r="AY1036" i="63" s="1"/>
  <c r="AW1036" i="63"/>
  <c r="AU1036" i="63"/>
  <c r="AT1036" i="63"/>
  <c r="AR1036" i="63"/>
  <c r="AQ1036" i="63"/>
  <c r="AS1036" i="63" s="1"/>
  <c r="AO1036" i="63"/>
  <c r="AP1036" i="63" s="1"/>
  <c r="AN1036" i="63"/>
  <c r="AL1036" i="63"/>
  <c r="AK1036" i="63"/>
  <c r="AI1036" i="63"/>
  <c r="AH1036" i="63"/>
  <c r="AD1036" i="63"/>
  <c r="AC1036" i="63"/>
  <c r="X1036" i="63"/>
  <c r="W1036" i="63"/>
  <c r="R1036" i="63"/>
  <c r="Q1036" i="63"/>
  <c r="O1036" i="63"/>
  <c r="N1036" i="63"/>
  <c r="H1036" i="63"/>
  <c r="G1036" i="63"/>
  <c r="I1036" i="63" s="1"/>
  <c r="BP1032" i="63"/>
  <c r="BQ1032" i="63" s="1"/>
  <c r="BO1032" i="63"/>
  <c r="BM1032" i="63"/>
  <c r="BL1032" i="63"/>
  <c r="BN1032" i="63" s="1"/>
  <c r="BJ1032" i="63"/>
  <c r="BK1032" i="63" s="1"/>
  <c r="BI1032" i="63"/>
  <c r="BG1032" i="63"/>
  <c r="BF1032" i="63"/>
  <c r="BH1032" i="63" s="1"/>
  <c r="BE1032" i="63"/>
  <c r="BD1032" i="63"/>
  <c r="BC1032" i="63"/>
  <c r="BA1032" i="63"/>
  <c r="AZ1032" i="63"/>
  <c r="AX1032" i="63"/>
  <c r="AW1032" i="63"/>
  <c r="AU1032" i="63"/>
  <c r="AT1032" i="63"/>
  <c r="AR1032" i="63"/>
  <c r="AS1032" i="63" s="1"/>
  <c r="AQ1032" i="63"/>
  <c r="AO1032" i="63"/>
  <c r="AN1032" i="63"/>
  <c r="AL1032" i="63"/>
  <c r="AK1032" i="63"/>
  <c r="AI1032" i="63"/>
  <c r="AH1032" i="63"/>
  <c r="AJ1032" i="63" s="1"/>
  <c r="AD1032" i="63"/>
  <c r="AE1032" i="63" s="1"/>
  <c r="AC1032" i="63"/>
  <c r="X1032" i="63"/>
  <c r="W1032" i="63"/>
  <c r="R1032" i="63"/>
  <c r="Q1032" i="63"/>
  <c r="O1032" i="63"/>
  <c r="P1032" i="63" s="1"/>
  <c r="N1032" i="63"/>
  <c r="H1032" i="63"/>
  <c r="G1032" i="63"/>
  <c r="BP1031" i="63"/>
  <c r="BQ1031" i="63" s="1"/>
  <c r="BO1031" i="63"/>
  <c r="BM1031" i="63"/>
  <c r="BL1031" i="63"/>
  <c r="BJ1031" i="63"/>
  <c r="BI1031" i="63"/>
  <c r="BG1031" i="63"/>
  <c r="BF1031" i="63"/>
  <c r="BH1031" i="63" s="1"/>
  <c r="BD1031" i="63"/>
  <c r="BE1031" i="63" s="1"/>
  <c r="BC1031" i="63"/>
  <c r="BA1031" i="63"/>
  <c r="AZ1031" i="63"/>
  <c r="AX1031" i="63"/>
  <c r="AY1031" i="63" s="1"/>
  <c r="AW1031" i="63"/>
  <c r="AU1031" i="63"/>
  <c r="AT1031" i="63"/>
  <c r="AR1031" i="63"/>
  <c r="AS1031" i="63" s="1"/>
  <c r="AQ1031" i="63"/>
  <c r="AO1031" i="63"/>
  <c r="AN1031" i="63"/>
  <c r="AP1031" i="63" s="1"/>
  <c r="AL1031" i="63"/>
  <c r="AM1031" i="63" s="1"/>
  <c r="AK1031" i="63"/>
  <c r="AI1031" i="63"/>
  <c r="AH1031" i="63"/>
  <c r="AJ1031" i="63" s="1"/>
  <c r="AD1031" i="63"/>
  <c r="AC1031" i="63"/>
  <c r="X1031" i="63"/>
  <c r="W1031" i="63"/>
  <c r="R1031" i="63"/>
  <c r="Q1031" i="63"/>
  <c r="O1031" i="63"/>
  <c r="N1031" i="63"/>
  <c r="H1031" i="63"/>
  <c r="I1031" i="63" s="1"/>
  <c r="G1031" i="63"/>
  <c r="BP1030" i="63"/>
  <c r="BO1030" i="63"/>
  <c r="BM1030" i="63"/>
  <c r="BL1030" i="63"/>
  <c r="BJ1030" i="63"/>
  <c r="BI1030" i="63"/>
  <c r="BG1030" i="63"/>
  <c r="BF1030" i="63"/>
  <c r="BD1030" i="63"/>
  <c r="BE1030" i="63" s="1"/>
  <c r="BC1030" i="63"/>
  <c r="BA1030" i="63"/>
  <c r="AZ1030" i="63"/>
  <c r="BB1030" i="63" s="1"/>
  <c r="AX1030" i="63"/>
  <c r="AW1030" i="63"/>
  <c r="AU1030" i="63"/>
  <c r="AT1030" i="63"/>
  <c r="AR1030" i="63"/>
  <c r="AS1030" i="63" s="1"/>
  <c r="AQ1030" i="63"/>
  <c r="AO1030" i="63"/>
  <c r="AN1030" i="63"/>
  <c r="AL1030" i="63"/>
  <c r="AK1030" i="63"/>
  <c r="AI1030" i="63"/>
  <c r="AH1030" i="63"/>
  <c r="AD1030" i="63"/>
  <c r="AE1030" i="63" s="1"/>
  <c r="AC1030" i="63"/>
  <c r="X1030" i="63"/>
  <c r="W1030" i="63"/>
  <c r="S1030" i="63"/>
  <c r="R1030" i="63"/>
  <c r="Q1030" i="63"/>
  <c r="O1030" i="63"/>
  <c r="P1030" i="63" s="1"/>
  <c r="N1030" i="63"/>
  <c r="H1030" i="63"/>
  <c r="G1030" i="63"/>
  <c r="BP1029" i="63"/>
  <c r="BQ1029" i="63" s="1"/>
  <c r="BO1029" i="63"/>
  <c r="BM1029" i="63"/>
  <c r="BN1029" i="63" s="1"/>
  <c r="BL1029" i="63"/>
  <c r="BJ1029" i="63"/>
  <c r="BI1029" i="63"/>
  <c r="BG1029" i="63"/>
  <c r="BH1029" i="63" s="1"/>
  <c r="BF1029" i="63"/>
  <c r="BD1029" i="63"/>
  <c r="BC1029" i="63"/>
  <c r="BE1029" i="63" s="1"/>
  <c r="BA1029" i="63"/>
  <c r="BB1029" i="63" s="1"/>
  <c r="AZ1029" i="63"/>
  <c r="AX1029" i="63"/>
  <c r="AW1029" i="63"/>
  <c r="AV1029" i="63"/>
  <c r="AU1029" i="63"/>
  <c r="AT1029" i="63"/>
  <c r="AR1029" i="63"/>
  <c r="AQ1029" i="63"/>
  <c r="AO1029" i="63"/>
  <c r="AN1029" i="63"/>
  <c r="AL1029" i="63"/>
  <c r="AK1029" i="63"/>
  <c r="AI1029" i="63"/>
  <c r="AH1029" i="63"/>
  <c r="AD1029" i="63"/>
  <c r="AC1029" i="63"/>
  <c r="X1029" i="63"/>
  <c r="W1029" i="63"/>
  <c r="R1029" i="63"/>
  <c r="S1029" i="63" s="1"/>
  <c r="Q1029" i="63"/>
  <c r="O1029" i="63"/>
  <c r="N1029" i="63"/>
  <c r="H1029" i="63"/>
  <c r="G1029" i="63"/>
  <c r="BQ1024" i="63"/>
  <c r="BN1024" i="63"/>
  <c r="BK1024" i="63"/>
  <c r="BH1024" i="63"/>
  <c r="BE1024" i="63"/>
  <c r="BB1024" i="63"/>
  <c r="AY1024" i="63"/>
  <c r="AV1024" i="63"/>
  <c r="AS1024" i="63"/>
  <c r="AP1024" i="63"/>
  <c r="AM1024" i="63"/>
  <c r="AJ1024" i="63"/>
  <c r="AE1024" i="63"/>
  <c r="Y1024" i="63"/>
  <c r="U1024" i="63"/>
  <c r="U1074" i="63" s="1"/>
  <c r="T1024" i="63"/>
  <c r="T1074" i="63" s="1"/>
  <c r="S1024" i="63"/>
  <c r="P1024" i="63"/>
  <c r="L1024" i="63"/>
  <c r="M1024" i="63" s="1"/>
  <c r="K1024" i="63"/>
  <c r="K1074" i="63" s="1"/>
  <c r="I1024" i="63"/>
  <c r="BQ1023" i="63"/>
  <c r="BN1023" i="63"/>
  <c r="BK1023" i="63"/>
  <c r="BH1023" i="63"/>
  <c r="BE1023" i="63"/>
  <c r="BB1023" i="63"/>
  <c r="AY1023" i="63"/>
  <c r="AV1023" i="63"/>
  <c r="AS1023" i="63"/>
  <c r="AP1023" i="63"/>
  <c r="AM1023" i="63"/>
  <c r="AJ1023" i="63"/>
  <c r="AE1023" i="63"/>
  <c r="Y1023" i="63"/>
  <c r="U1023" i="63"/>
  <c r="U1073" i="63" s="1"/>
  <c r="T1023" i="63"/>
  <c r="S1023" i="63"/>
  <c r="P1023" i="63"/>
  <c r="L1023" i="63"/>
  <c r="K1023" i="63"/>
  <c r="K1073" i="63" s="1"/>
  <c r="I1023" i="63"/>
  <c r="BQ1022" i="63"/>
  <c r="BN1022" i="63"/>
  <c r="BK1022" i="63"/>
  <c r="BH1022" i="63"/>
  <c r="BE1022" i="63"/>
  <c r="BB1022" i="63"/>
  <c r="AY1022" i="63"/>
  <c r="AV1022" i="63"/>
  <c r="AS1022" i="63"/>
  <c r="AP1022" i="63"/>
  <c r="AM1022" i="63"/>
  <c r="AJ1022" i="63"/>
  <c r="AE1022" i="63"/>
  <c r="Y1022" i="63"/>
  <c r="U1022" i="63"/>
  <c r="T1022" i="63"/>
  <c r="Z1022" i="63" s="1"/>
  <c r="S1022" i="63"/>
  <c r="P1022" i="63"/>
  <c r="L1022" i="63"/>
  <c r="K1022" i="63"/>
  <c r="I1022" i="63"/>
  <c r="BQ1021" i="63"/>
  <c r="BN1021" i="63"/>
  <c r="BK1021" i="63"/>
  <c r="BH1021" i="63"/>
  <c r="BE1021" i="63"/>
  <c r="BB1021" i="63"/>
  <c r="AY1021" i="63"/>
  <c r="AV1021" i="63"/>
  <c r="AS1021" i="63"/>
  <c r="AP1021" i="63"/>
  <c r="AM1021" i="63"/>
  <c r="AJ1021" i="63"/>
  <c r="AE1021" i="63"/>
  <c r="Y1021" i="63"/>
  <c r="U1021" i="63"/>
  <c r="T1021" i="63"/>
  <c r="Z1021" i="63" s="1"/>
  <c r="S1021" i="63"/>
  <c r="P1021" i="63"/>
  <c r="L1021" i="63"/>
  <c r="K1021" i="63"/>
  <c r="I1021" i="63"/>
  <c r="BQ1020" i="63"/>
  <c r="BN1020" i="63"/>
  <c r="BK1020" i="63"/>
  <c r="BH1020" i="63"/>
  <c r="BE1020" i="63"/>
  <c r="BB1020" i="63"/>
  <c r="AY1020" i="63"/>
  <c r="AV1020" i="63"/>
  <c r="AS1020" i="63"/>
  <c r="AP1020" i="63"/>
  <c r="AM1020" i="63"/>
  <c r="AJ1020" i="63"/>
  <c r="AE1020" i="63"/>
  <c r="Y1020" i="63"/>
  <c r="U1020" i="63"/>
  <c r="T1020" i="63"/>
  <c r="Z1020" i="63" s="1"/>
  <c r="S1020" i="63"/>
  <c r="P1020" i="63"/>
  <c r="L1020" i="63"/>
  <c r="M1020" i="63" s="1"/>
  <c r="K1020" i="63"/>
  <c r="I1020" i="63"/>
  <c r="BQ1019" i="63"/>
  <c r="BN1019" i="63"/>
  <c r="BK1019" i="63"/>
  <c r="BH1019" i="63"/>
  <c r="BE1019" i="63"/>
  <c r="BB1019" i="63"/>
  <c r="AY1019" i="63"/>
  <c r="AV1019" i="63"/>
  <c r="AS1019" i="63"/>
  <c r="AP1019" i="63"/>
  <c r="AM1019" i="63"/>
  <c r="AJ1019" i="63"/>
  <c r="AE1019" i="63"/>
  <c r="Y1019" i="63"/>
  <c r="U1019" i="63"/>
  <c r="T1019" i="63"/>
  <c r="T1071" i="63" s="1"/>
  <c r="S1019" i="63"/>
  <c r="P1019" i="63"/>
  <c r="L1019" i="63"/>
  <c r="K1019" i="63"/>
  <c r="I1019" i="63"/>
  <c r="BQ1018" i="63"/>
  <c r="BN1018" i="63"/>
  <c r="BK1018" i="63"/>
  <c r="BH1018" i="63"/>
  <c r="BE1018" i="63"/>
  <c r="BB1018" i="63"/>
  <c r="AY1018" i="63"/>
  <c r="AV1018" i="63"/>
  <c r="AS1018" i="63"/>
  <c r="AP1018" i="63"/>
  <c r="AM1018" i="63"/>
  <c r="AJ1018" i="63"/>
  <c r="AE1018" i="63"/>
  <c r="Y1018" i="63"/>
  <c r="U1018" i="63"/>
  <c r="T1018" i="63"/>
  <c r="S1018" i="63"/>
  <c r="P1018" i="63"/>
  <c r="L1018" i="63"/>
  <c r="K1018" i="63"/>
  <c r="K1070" i="63" s="1"/>
  <c r="I1018" i="63"/>
  <c r="BQ1017" i="63"/>
  <c r="BN1017" i="63"/>
  <c r="BK1017" i="63"/>
  <c r="BH1017" i="63"/>
  <c r="BE1017" i="63"/>
  <c r="BB1017" i="63"/>
  <c r="AY1017" i="63"/>
  <c r="AV1017" i="63"/>
  <c r="AS1017" i="63"/>
  <c r="AP1017" i="63"/>
  <c r="AM1017" i="63"/>
  <c r="AJ1017" i="63"/>
  <c r="AE1017" i="63"/>
  <c r="Y1017" i="63"/>
  <c r="U1017" i="63"/>
  <c r="AA1017" i="63" s="1"/>
  <c r="T1017" i="63"/>
  <c r="S1017" i="63"/>
  <c r="P1017" i="63"/>
  <c r="L1017" i="63"/>
  <c r="L1069" i="63" s="1"/>
  <c r="K1017" i="63"/>
  <c r="I1017" i="63"/>
  <c r="BP1016" i="63"/>
  <c r="BP1068" i="63" s="1"/>
  <c r="BO1016" i="63"/>
  <c r="BM1016" i="63"/>
  <c r="BM1068" i="63" s="1"/>
  <c r="BL1016" i="63"/>
  <c r="BJ1016" i="63"/>
  <c r="BI1016" i="63"/>
  <c r="BI1068" i="63" s="1"/>
  <c r="BG1016" i="63"/>
  <c r="BF1016" i="63"/>
  <c r="BF1068" i="63" s="1"/>
  <c r="BD1016" i="63"/>
  <c r="BD1068" i="63" s="1"/>
  <c r="BC1016" i="63"/>
  <c r="BA1016" i="63"/>
  <c r="BA1068" i="63" s="1"/>
  <c r="AZ1016" i="63"/>
  <c r="AZ1068" i="63" s="1"/>
  <c r="AX1016" i="63"/>
  <c r="AX1068" i="63" s="1"/>
  <c r="AW1016" i="63"/>
  <c r="AW1068" i="63" s="1"/>
  <c r="AU1016" i="63"/>
  <c r="AT1016" i="63"/>
  <c r="AT1068" i="63" s="1"/>
  <c r="AR1016" i="63"/>
  <c r="AR1068" i="63" s="1"/>
  <c r="AQ1016" i="63"/>
  <c r="AO1016" i="63"/>
  <c r="AN1016" i="63"/>
  <c r="AN1068" i="63" s="1"/>
  <c r="AL1016" i="63"/>
  <c r="AK1016" i="63"/>
  <c r="AK1068" i="63" s="1"/>
  <c r="AI1016" i="63"/>
  <c r="AH1016" i="63"/>
  <c r="AH1068" i="63" s="1"/>
  <c r="AD1016" i="63"/>
  <c r="AC1016" i="63"/>
  <c r="X1016" i="63"/>
  <c r="Y1016" i="63" s="1"/>
  <c r="W1016" i="63"/>
  <c r="W1068" i="63" s="1"/>
  <c r="R1016" i="63"/>
  <c r="R990" i="63" s="1"/>
  <c r="Q1016" i="63"/>
  <c r="O1016" i="63"/>
  <c r="O1068" i="63" s="1"/>
  <c r="N1016" i="63"/>
  <c r="N1068" i="63" s="1"/>
  <c r="H1016" i="63"/>
  <c r="G1016" i="63"/>
  <c r="BQ1015" i="63"/>
  <c r="BN1015" i="63"/>
  <c r="BK1015" i="63"/>
  <c r="BH1015" i="63"/>
  <c r="BE1015" i="63"/>
  <c r="BB1015" i="63"/>
  <c r="AY1015" i="63"/>
  <c r="AV1015" i="63"/>
  <c r="AS1015" i="63"/>
  <c r="AP1015" i="63"/>
  <c r="AM1015" i="63"/>
  <c r="AJ1015" i="63"/>
  <c r="AE1015" i="63"/>
  <c r="Y1015" i="63"/>
  <c r="U1015" i="63"/>
  <c r="AA1015" i="63" s="1"/>
  <c r="T1015" i="63"/>
  <c r="Z1015" i="63" s="1"/>
  <c r="S1015" i="63"/>
  <c r="P1015" i="63"/>
  <c r="L1015" i="63"/>
  <c r="M1015" i="63" s="1"/>
  <c r="K1015" i="63"/>
  <c r="I1015" i="63"/>
  <c r="BQ1014" i="63"/>
  <c r="BN1014" i="63"/>
  <c r="BK1014" i="63"/>
  <c r="BH1014" i="63"/>
  <c r="BE1014" i="63"/>
  <c r="BB1014" i="63"/>
  <c r="AY1014" i="63"/>
  <c r="AV1014" i="63"/>
  <c r="AS1014" i="63"/>
  <c r="AP1014" i="63"/>
  <c r="AM1014" i="63"/>
  <c r="AJ1014" i="63"/>
  <c r="AE1014" i="63"/>
  <c r="Y1014" i="63"/>
  <c r="U1014" i="63"/>
  <c r="AA1014" i="63" s="1"/>
  <c r="T1014" i="63"/>
  <c r="Z1014" i="63" s="1"/>
  <c r="AB1014" i="63" s="1"/>
  <c r="S1014" i="63"/>
  <c r="P1014" i="63"/>
  <c r="L1014" i="63"/>
  <c r="K1014" i="63"/>
  <c r="M1014" i="63" s="1"/>
  <c r="I1014" i="63"/>
  <c r="BQ1013" i="63"/>
  <c r="BN1013" i="63"/>
  <c r="BK1013" i="63"/>
  <c r="BH1013" i="63"/>
  <c r="BE1013" i="63"/>
  <c r="BB1013" i="63"/>
  <c r="AY1013" i="63"/>
  <c r="AV1013" i="63"/>
  <c r="AS1013" i="63"/>
  <c r="AP1013" i="63"/>
  <c r="AM1013" i="63"/>
  <c r="AJ1013" i="63"/>
  <c r="AE1013" i="63"/>
  <c r="Y1013" i="63"/>
  <c r="U1013" i="63"/>
  <c r="T1013" i="63"/>
  <c r="T1067" i="63" s="1"/>
  <c r="S1013" i="63"/>
  <c r="P1013" i="63"/>
  <c r="L1013" i="63"/>
  <c r="K1013" i="63"/>
  <c r="K1067" i="63" s="1"/>
  <c r="I1013" i="63"/>
  <c r="BQ1012" i="63"/>
  <c r="BN1012" i="63"/>
  <c r="BK1012" i="63"/>
  <c r="BH1012" i="63"/>
  <c r="BE1012" i="63"/>
  <c r="BB1012" i="63"/>
  <c r="AY1012" i="63"/>
  <c r="AV1012" i="63"/>
  <c r="AS1012" i="63"/>
  <c r="AP1012" i="63"/>
  <c r="AM1012" i="63"/>
  <c r="AJ1012" i="63"/>
  <c r="AE1012" i="63"/>
  <c r="Y1012" i="63"/>
  <c r="U1012" i="63"/>
  <c r="T1012" i="63"/>
  <c r="S1012" i="63"/>
  <c r="P1012" i="63"/>
  <c r="L1012" i="63"/>
  <c r="K1012" i="63"/>
  <c r="I1012" i="63"/>
  <c r="BQ1011" i="63"/>
  <c r="BN1011" i="63"/>
  <c r="BK1011" i="63"/>
  <c r="BH1011" i="63"/>
  <c r="BE1011" i="63"/>
  <c r="BB1011" i="63"/>
  <c r="AY1011" i="63"/>
  <c r="AV1011" i="63"/>
  <c r="AS1011" i="63"/>
  <c r="AP1011" i="63"/>
  <c r="AM1011" i="63"/>
  <c r="AJ1011" i="63"/>
  <c r="AE1011" i="63"/>
  <c r="AA1011" i="63"/>
  <c r="Y1011" i="63"/>
  <c r="U1011" i="63"/>
  <c r="T1011" i="63"/>
  <c r="S1011" i="63"/>
  <c r="P1011" i="63"/>
  <c r="L1011" i="63"/>
  <c r="K1011" i="63"/>
  <c r="K1065" i="63" s="1"/>
  <c r="I1011" i="63"/>
  <c r="BQ1010" i="63"/>
  <c r="BN1010" i="63"/>
  <c r="BK1010" i="63"/>
  <c r="BH1010" i="63"/>
  <c r="BE1010" i="63"/>
  <c r="BB1010" i="63"/>
  <c r="AY1010" i="63"/>
  <c r="AV1010" i="63"/>
  <c r="AS1010" i="63"/>
  <c r="AP1010" i="63"/>
  <c r="AM1010" i="63"/>
  <c r="AJ1010" i="63"/>
  <c r="AE1010" i="63"/>
  <c r="Y1010" i="63"/>
  <c r="U1010" i="63"/>
  <c r="U1064" i="63" s="1"/>
  <c r="T1010" i="63"/>
  <c r="S1010" i="63"/>
  <c r="P1010" i="63"/>
  <c r="L1010" i="63"/>
  <c r="L1064" i="63" s="1"/>
  <c r="K1010" i="63"/>
  <c r="I1010" i="63"/>
  <c r="BP1009" i="63"/>
  <c r="BP1063" i="63" s="1"/>
  <c r="BO1009" i="63"/>
  <c r="BO983" i="63" s="1"/>
  <c r="BM1009" i="63"/>
  <c r="BN1009" i="63" s="1"/>
  <c r="BL1009" i="63"/>
  <c r="BL1063" i="63" s="1"/>
  <c r="BJ1009" i="63"/>
  <c r="BI1009" i="63"/>
  <c r="BI1063" i="63" s="1"/>
  <c r="BG1009" i="63"/>
  <c r="BF1009" i="63"/>
  <c r="BF1063" i="63" s="1"/>
  <c r="BD1009" i="63"/>
  <c r="BC1009" i="63"/>
  <c r="BA1009" i="63"/>
  <c r="BA1063" i="63" s="1"/>
  <c r="AZ1009" i="63"/>
  <c r="AZ1063" i="63" s="1"/>
  <c r="AX1009" i="63"/>
  <c r="AX1063" i="63" s="1"/>
  <c r="AW1009" i="63"/>
  <c r="AU1009" i="63"/>
  <c r="AT1009" i="63"/>
  <c r="AR1009" i="63"/>
  <c r="AR1063" i="63" s="1"/>
  <c r="AQ1009" i="63"/>
  <c r="AO1009" i="63"/>
  <c r="AP1009" i="63" s="1"/>
  <c r="AN1009" i="63"/>
  <c r="AL1009" i="63"/>
  <c r="AL1063" i="63" s="1"/>
  <c r="AK1009" i="63"/>
  <c r="AK1063" i="63" s="1"/>
  <c r="AI1009" i="63"/>
  <c r="AH1009" i="63"/>
  <c r="AD1009" i="63"/>
  <c r="AD1063" i="63" s="1"/>
  <c r="AC1009" i="63"/>
  <c r="X1009" i="63"/>
  <c r="Y1009" i="63" s="1"/>
  <c r="W1009" i="63"/>
  <c r="R1009" i="63"/>
  <c r="R1063" i="63" s="1"/>
  <c r="Q1009" i="63"/>
  <c r="O1009" i="63"/>
  <c r="O1063" i="63" s="1"/>
  <c r="N1009" i="63"/>
  <c r="N1063" i="63" s="1"/>
  <c r="H1009" i="63"/>
  <c r="G1009" i="63"/>
  <c r="BQ1008" i="63"/>
  <c r="BN1008" i="63"/>
  <c r="BK1008" i="63"/>
  <c r="BH1008" i="63"/>
  <c r="BE1008" i="63"/>
  <c r="BB1008" i="63"/>
  <c r="AY1008" i="63"/>
  <c r="AV1008" i="63"/>
  <c r="AS1008" i="63"/>
  <c r="AP1008" i="63"/>
  <c r="AM1008" i="63"/>
  <c r="AJ1008" i="63"/>
  <c r="AE1008" i="63"/>
  <c r="AB1008" i="63"/>
  <c r="Y1008" i="63"/>
  <c r="V1008" i="63"/>
  <c r="S1008" i="63"/>
  <c r="P1008" i="63"/>
  <c r="M1008" i="63"/>
  <c r="I1008" i="63"/>
  <c r="BQ1007" i="63"/>
  <c r="BN1007" i="63"/>
  <c r="BK1007" i="63"/>
  <c r="BH1007" i="63"/>
  <c r="BE1007" i="63"/>
  <c r="BB1007" i="63"/>
  <c r="AY1007" i="63"/>
  <c r="AV1007" i="63"/>
  <c r="AS1007" i="63"/>
  <c r="AP1007" i="63"/>
  <c r="AM1007" i="63"/>
  <c r="AJ1007" i="63"/>
  <c r="AE1007" i="63"/>
  <c r="AA1007" i="63"/>
  <c r="Y1007" i="63"/>
  <c r="U1007" i="63"/>
  <c r="T1007" i="63"/>
  <c r="Z1007" i="63" s="1"/>
  <c r="S1007" i="63"/>
  <c r="P1007" i="63"/>
  <c r="L1007" i="63"/>
  <c r="K1007" i="63"/>
  <c r="I1007" i="63"/>
  <c r="BQ1006" i="63"/>
  <c r="BN1006" i="63"/>
  <c r="BK1006" i="63"/>
  <c r="BH1006" i="63"/>
  <c r="BE1006" i="63"/>
  <c r="BB1006" i="63"/>
  <c r="AY1006" i="63"/>
  <c r="AV1006" i="63"/>
  <c r="AS1006" i="63"/>
  <c r="AP1006" i="63"/>
  <c r="AM1006" i="63"/>
  <c r="AJ1006" i="63"/>
  <c r="AE1006" i="63"/>
  <c r="Y1006" i="63"/>
  <c r="U1006" i="63"/>
  <c r="AA1006" i="63" s="1"/>
  <c r="T1006" i="63"/>
  <c r="Z1006" i="63" s="1"/>
  <c r="AB1006" i="63" s="1"/>
  <c r="S1006" i="63"/>
  <c r="P1006" i="63"/>
  <c r="L1006" i="63"/>
  <c r="K1006" i="63"/>
  <c r="M1006" i="63" s="1"/>
  <c r="I1006" i="63"/>
  <c r="BQ1005" i="63"/>
  <c r="BN1005" i="63"/>
  <c r="BK1005" i="63"/>
  <c r="BH1005" i="63"/>
  <c r="BE1005" i="63"/>
  <c r="BB1005" i="63"/>
  <c r="AY1005" i="63"/>
  <c r="AV1005" i="63"/>
  <c r="AS1005" i="63"/>
  <c r="AP1005" i="63"/>
  <c r="AM1005" i="63"/>
  <c r="AJ1005" i="63"/>
  <c r="AE1005" i="63"/>
  <c r="Y1005" i="63"/>
  <c r="U1005" i="63"/>
  <c r="T1005" i="63"/>
  <c r="Z1005" i="63" s="1"/>
  <c r="S1005" i="63"/>
  <c r="P1005" i="63"/>
  <c r="L1005" i="63"/>
  <c r="M1005" i="63" s="1"/>
  <c r="K1005" i="63"/>
  <c r="I1005" i="63"/>
  <c r="BQ1004" i="63"/>
  <c r="BN1004" i="63"/>
  <c r="BK1004" i="63"/>
  <c r="BH1004" i="63"/>
  <c r="BE1004" i="63"/>
  <c r="BB1004" i="63"/>
  <c r="AY1004" i="63"/>
  <c r="AV1004" i="63"/>
  <c r="AS1004" i="63"/>
  <c r="AP1004" i="63"/>
  <c r="AM1004" i="63"/>
  <c r="AJ1004" i="63"/>
  <c r="AE1004" i="63"/>
  <c r="Y1004" i="63"/>
  <c r="U1004" i="63"/>
  <c r="AA1004" i="63" s="1"/>
  <c r="AB1004" i="63" s="1"/>
  <c r="T1004" i="63"/>
  <c r="Z1004" i="63" s="1"/>
  <c r="S1004" i="63"/>
  <c r="P1004" i="63"/>
  <c r="L1004" i="63"/>
  <c r="K1004" i="63"/>
  <c r="I1004" i="63"/>
  <c r="BP1003" i="63"/>
  <c r="BP1060" i="63" s="1"/>
  <c r="BO1003" i="63"/>
  <c r="BM1003" i="63"/>
  <c r="BM1060" i="63" s="1"/>
  <c r="BL1003" i="63"/>
  <c r="BL1060" i="63" s="1"/>
  <c r="BK1003" i="63"/>
  <c r="BJ1003" i="63"/>
  <c r="BI1003" i="63"/>
  <c r="BG1003" i="63"/>
  <c r="BF1003" i="63"/>
  <c r="BD1003" i="63"/>
  <c r="BD1060" i="63" s="1"/>
  <c r="BC1003" i="63"/>
  <c r="BA1003" i="63"/>
  <c r="AZ1003" i="63"/>
  <c r="AZ990" i="63" s="1"/>
  <c r="AX1003" i="63"/>
  <c r="AW1003" i="63"/>
  <c r="AU1003" i="63"/>
  <c r="AT1003" i="63"/>
  <c r="AT1060" i="63" s="1"/>
  <c r="AR1003" i="63"/>
  <c r="AQ1003" i="63"/>
  <c r="AO1003" i="63"/>
  <c r="AN1003" i="63"/>
  <c r="AN990" i="63" s="1"/>
  <c r="AL1003" i="63"/>
  <c r="AL1060" i="63" s="1"/>
  <c r="AK1003" i="63"/>
  <c r="AK1060" i="63" s="1"/>
  <c r="AI1003" i="63"/>
  <c r="AH1003" i="63"/>
  <c r="AD1003" i="63"/>
  <c r="AC1003" i="63"/>
  <c r="X1003" i="63"/>
  <c r="X1060" i="63" s="1"/>
  <c r="W1003" i="63"/>
  <c r="W1060" i="63" s="1"/>
  <c r="R1003" i="63"/>
  <c r="R1060" i="63" s="1"/>
  <c r="Q1003" i="63"/>
  <c r="Q990" i="63" s="1"/>
  <c r="O1003" i="63"/>
  <c r="N1003" i="63"/>
  <c r="H1003" i="63"/>
  <c r="G1003" i="63"/>
  <c r="BQ1002" i="63"/>
  <c r="BN1002" i="63"/>
  <c r="BK1002" i="63"/>
  <c r="BH1002" i="63"/>
  <c r="BE1002" i="63"/>
  <c r="BB1002" i="63"/>
  <c r="AY1002" i="63"/>
  <c r="AV1002" i="63"/>
  <c r="AS1002" i="63"/>
  <c r="AP1002" i="63"/>
  <c r="AM1002" i="63"/>
  <c r="AJ1002" i="63"/>
  <c r="AE1002" i="63"/>
  <c r="Y1002" i="63"/>
  <c r="U1002" i="63"/>
  <c r="AA1002" i="63" s="1"/>
  <c r="AB1002" i="63" s="1"/>
  <c r="T1002" i="63"/>
  <c r="Z1002" i="63" s="1"/>
  <c r="S1002" i="63"/>
  <c r="P1002" i="63"/>
  <c r="L1002" i="63"/>
  <c r="K1002" i="63"/>
  <c r="I1002" i="63"/>
  <c r="BQ1001" i="63"/>
  <c r="BN1001" i="63"/>
  <c r="BK1001" i="63"/>
  <c r="BH1001" i="63"/>
  <c r="BE1001" i="63"/>
  <c r="BB1001" i="63"/>
  <c r="AY1001" i="63"/>
  <c r="AV1001" i="63"/>
  <c r="AS1001" i="63"/>
  <c r="AP1001" i="63"/>
  <c r="AM1001" i="63"/>
  <c r="AJ1001" i="63"/>
  <c r="AE1001" i="63"/>
  <c r="Y1001" i="63"/>
  <c r="U1001" i="63"/>
  <c r="AA1001" i="63" s="1"/>
  <c r="T1001" i="63"/>
  <c r="Z1001" i="63" s="1"/>
  <c r="S1001" i="63"/>
  <c r="P1001" i="63"/>
  <c r="L1001" i="63"/>
  <c r="K1001" i="63"/>
  <c r="I1001" i="63"/>
  <c r="BQ1000" i="63"/>
  <c r="BN1000" i="63"/>
  <c r="BK1000" i="63"/>
  <c r="BH1000" i="63"/>
  <c r="BE1000" i="63"/>
  <c r="BB1000" i="63"/>
  <c r="AY1000" i="63"/>
  <c r="AV1000" i="63"/>
  <c r="AS1000" i="63"/>
  <c r="AP1000" i="63"/>
  <c r="AM1000" i="63"/>
  <c r="AJ1000" i="63"/>
  <c r="AE1000" i="63"/>
  <c r="AA1000" i="63"/>
  <c r="Y1000" i="63"/>
  <c r="U1000" i="63"/>
  <c r="T1000" i="63"/>
  <c r="Z1000" i="63" s="1"/>
  <c r="S1000" i="63"/>
  <c r="P1000" i="63"/>
  <c r="L1000" i="63"/>
  <c r="K1000" i="63"/>
  <c r="K1059" i="63" s="1"/>
  <c r="I1000" i="63"/>
  <c r="BQ999" i="63"/>
  <c r="BN999" i="63"/>
  <c r="BK999" i="63"/>
  <c r="BH999" i="63"/>
  <c r="BE999" i="63"/>
  <c r="BB999" i="63"/>
  <c r="AY999" i="63"/>
  <c r="AV999" i="63"/>
  <c r="AS999" i="63"/>
  <c r="AP999" i="63"/>
  <c r="AM999" i="63"/>
  <c r="AJ999" i="63"/>
  <c r="AE999" i="63"/>
  <c r="Y999" i="63"/>
  <c r="V999" i="63"/>
  <c r="U999" i="63"/>
  <c r="AA999" i="63" s="1"/>
  <c r="T999" i="63"/>
  <c r="Z999" i="63" s="1"/>
  <c r="S999" i="63"/>
  <c r="P999" i="63"/>
  <c r="L999" i="63"/>
  <c r="K999" i="63"/>
  <c r="I999" i="63"/>
  <c r="BP998" i="63"/>
  <c r="BO998" i="63"/>
  <c r="BM998" i="63"/>
  <c r="BM1058" i="63" s="1"/>
  <c r="BL998" i="63"/>
  <c r="BL1058" i="63" s="1"/>
  <c r="BJ998" i="63"/>
  <c r="BJ1058" i="63" s="1"/>
  <c r="BI998" i="63"/>
  <c r="BI1058" i="63" s="1"/>
  <c r="BG998" i="63"/>
  <c r="BF998" i="63"/>
  <c r="BF1058" i="63" s="1"/>
  <c r="BD998" i="63"/>
  <c r="BD1058" i="63" s="1"/>
  <c r="BC998" i="63"/>
  <c r="BA998" i="63"/>
  <c r="BA1058" i="63" s="1"/>
  <c r="AZ998" i="63"/>
  <c r="AX998" i="63"/>
  <c r="AW998" i="63"/>
  <c r="AU998" i="63"/>
  <c r="AT998" i="63"/>
  <c r="AR998" i="63"/>
  <c r="AQ998" i="63"/>
  <c r="AO998" i="63"/>
  <c r="AN998" i="63"/>
  <c r="AN1058" i="63" s="1"/>
  <c r="AL998" i="63"/>
  <c r="AK998" i="63"/>
  <c r="AI998" i="63"/>
  <c r="AH998" i="63"/>
  <c r="AH1058" i="63" s="1"/>
  <c r="AD998" i="63"/>
  <c r="AD983" i="63" s="1"/>
  <c r="AD974" i="63" s="1"/>
  <c r="AC998" i="63"/>
  <c r="X998" i="63"/>
  <c r="W998" i="63"/>
  <c r="W1058" i="63" s="1"/>
  <c r="U998" i="63"/>
  <c r="R998" i="63"/>
  <c r="R1058" i="63" s="1"/>
  <c r="Q998" i="63"/>
  <c r="O998" i="63"/>
  <c r="N998" i="63"/>
  <c r="H998" i="63"/>
  <c r="H983" i="63" s="1"/>
  <c r="G998" i="63"/>
  <c r="BQ997" i="63"/>
  <c r="BN997" i="63"/>
  <c r="BK997" i="63"/>
  <c r="BH997" i="63"/>
  <c r="BE997" i="63"/>
  <c r="BB997" i="63"/>
  <c r="AY997" i="63"/>
  <c r="AV997" i="63"/>
  <c r="AS997" i="63"/>
  <c r="AP997" i="63"/>
  <c r="AM997" i="63"/>
  <c r="AJ997" i="63"/>
  <c r="AE997" i="63"/>
  <c r="AB997" i="63"/>
  <c r="Y997" i="63"/>
  <c r="V997" i="63"/>
  <c r="S997" i="63"/>
  <c r="P997" i="63"/>
  <c r="M997" i="63"/>
  <c r="I997" i="63"/>
  <c r="BP996" i="63"/>
  <c r="BO996" i="63"/>
  <c r="BQ996" i="63" s="1"/>
  <c r="BM996" i="63"/>
  <c r="BN996" i="63" s="1"/>
  <c r="BL996" i="63"/>
  <c r="BJ996" i="63"/>
  <c r="BI996" i="63"/>
  <c r="BG996" i="63"/>
  <c r="BF996" i="63"/>
  <c r="BD996" i="63"/>
  <c r="BC996" i="63"/>
  <c r="BE996" i="63" s="1"/>
  <c r="BA996" i="63"/>
  <c r="BB996" i="63" s="1"/>
  <c r="AZ996" i="63"/>
  <c r="AX996" i="63"/>
  <c r="AW996" i="63"/>
  <c r="AU996" i="63"/>
  <c r="AT996" i="63"/>
  <c r="AR996" i="63"/>
  <c r="AQ996" i="63"/>
  <c r="AO996" i="63"/>
  <c r="AN996" i="63"/>
  <c r="AL996" i="63"/>
  <c r="AK996" i="63"/>
  <c r="AI996" i="63"/>
  <c r="AJ996" i="63" s="1"/>
  <c r="AH996" i="63"/>
  <c r="AD996" i="63"/>
  <c r="AC996" i="63"/>
  <c r="AE996" i="63" s="1"/>
  <c r="Y996" i="63"/>
  <c r="X996" i="63"/>
  <c r="W996" i="63"/>
  <c r="R996" i="63"/>
  <c r="Q996" i="63"/>
  <c r="O996" i="63"/>
  <c r="N996" i="63"/>
  <c r="T996" i="63" s="1"/>
  <c r="Z996" i="63" s="1"/>
  <c r="H996" i="63"/>
  <c r="G996" i="63"/>
  <c r="BP995" i="63"/>
  <c r="BO995" i="63"/>
  <c r="BQ995" i="63" s="1"/>
  <c r="BM995" i="63"/>
  <c r="BN995" i="63" s="1"/>
  <c r="BL995" i="63"/>
  <c r="BJ995" i="63"/>
  <c r="BI995" i="63"/>
  <c r="BG995" i="63"/>
  <c r="BF995" i="63"/>
  <c r="BD995" i="63"/>
  <c r="BC995" i="63"/>
  <c r="BE995" i="63" s="1"/>
  <c r="BA995" i="63"/>
  <c r="BB995" i="63" s="1"/>
  <c r="AZ995" i="63"/>
  <c r="AX995" i="63"/>
  <c r="AW995" i="63"/>
  <c r="AU995" i="63"/>
  <c r="AT995" i="63"/>
  <c r="AR995" i="63"/>
  <c r="AQ995" i="63"/>
  <c r="AO995" i="63"/>
  <c r="AN995" i="63"/>
  <c r="AL995" i="63"/>
  <c r="AK995" i="63"/>
  <c r="AI995" i="63"/>
  <c r="AH995" i="63"/>
  <c r="AD995" i="63"/>
  <c r="AC995" i="63"/>
  <c r="AE995" i="63" s="1"/>
  <c r="X995" i="63"/>
  <c r="W995" i="63"/>
  <c r="R995" i="63"/>
  <c r="Q995" i="63"/>
  <c r="O995" i="63"/>
  <c r="N995" i="63"/>
  <c r="H995" i="63"/>
  <c r="G995" i="63"/>
  <c r="BP994" i="63"/>
  <c r="BO994" i="63"/>
  <c r="BM994" i="63"/>
  <c r="BL994" i="63"/>
  <c r="BJ994" i="63"/>
  <c r="BK994" i="63" s="1"/>
  <c r="BI994" i="63"/>
  <c r="BG994" i="63"/>
  <c r="BF994" i="63"/>
  <c r="BD994" i="63"/>
  <c r="BC994" i="63"/>
  <c r="BA994" i="63"/>
  <c r="AZ994" i="63"/>
  <c r="AX994" i="63"/>
  <c r="AY994" i="63" s="1"/>
  <c r="AW994" i="63"/>
  <c r="AU994" i="63"/>
  <c r="AT994" i="63"/>
  <c r="AR994" i="63"/>
  <c r="AQ994" i="63"/>
  <c r="AO994" i="63"/>
  <c r="AP994" i="63" s="1"/>
  <c r="AN994" i="63"/>
  <c r="AL994" i="63"/>
  <c r="AK994" i="63"/>
  <c r="AI994" i="63"/>
  <c r="AH994" i="63"/>
  <c r="AD994" i="63"/>
  <c r="AC994" i="63"/>
  <c r="AE994" i="63" s="1"/>
  <c r="X994" i="63"/>
  <c r="W994" i="63"/>
  <c r="R994" i="63"/>
  <c r="Q994" i="63"/>
  <c r="O994" i="63"/>
  <c r="N994" i="63"/>
  <c r="H994" i="63"/>
  <c r="G994" i="63"/>
  <c r="BP993" i="63"/>
  <c r="BO993" i="63"/>
  <c r="BM993" i="63"/>
  <c r="BL993" i="63"/>
  <c r="BJ993" i="63"/>
  <c r="BK993" i="63" s="1"/>
  <c r="BI993" i="63"/>
  <c r="BG993" i="63"/>
  <c r="BF993" i="63"/>
  <c r="BD993" i="63"/>
  <c r="BC993" i="63"/>
  <c r="BA993" i="63"/>
  <c r="AZ993" i="63"/>
  <c r="AX993" i="63"/>
  <c r="AY993" i="63" s="1"/>
  <c r="AW993" i="63"/>
  <c r="AU993" i="63"/>
  <c r="AT993" i="63"/>
  <c r="AR993" i="63"/>
  <c r="AQ993" i="63"/>
  <c r="AO993" i="63"/>
  <c r="AP993" i="63" s="1"/>
  <c r="AN993" i="63"/>
  <c r="AL993" i="63"/>
  <c r="AK993" i="63"/>
  <c r="AI993" i="63"/>
  <c r="AH993" i="63"/>
  <c r="AD993" i="63"/>
  <c r="AC993" i="63"/>
  <c r="X993" i="63"/>
  <c r="W993" i="63"/>
  <c r="R993" i="63"/>
  <c r="Q993" i="63"/>
  <c r="O993" i="63"/>
  <c r="P993" i="63" s="1"/>
  <c r="N993" i="63"/>
  <c r="H993" i="63"/>
  <c r="G993" i="63"/>
  <c r="BP992" i="63"/>
  <c r="BO992" i="63"/>
  <c r="BM992" i="63"/>
  <c r="BL992" i="63"/>
  <c r="BJ992" i="63"/>
  <c r="BK992" i="63" s="1"/>
  <c r="BI992" i="63"/>
  <c r="BG992" i="63"/>
  <c r="BH992" i="63" s="1"/>
  <c r="BF992" i="63"/>
  <c r="BD992" i="63"/>
  <c r="BC992" i="63"/>
  <c r="BB992" i="63"/>
  <c r="BA992" i="63"/>
  <c r="AZ992" i="63"/>
  <c r="AX992" i="63"/>
  <c r="AW992" i="63"/>
  <c r="AU992" i="63"/>
  <c r="AT992" i="63"/>
  <c r="AR992" i="63"/>
  <c r="AQ992" i="63"/>
  <c r="AS992" i="63" s="1"/>
  <c r="AO992" i="63"/>
  <c r="AN992" i="63"/>
  <c r="AL992" i="63"/>
  <c r="AM992" i="63" s="1"/>
  <c r="AK992" i="63"/>
  <c r="AI992" i="63"/>
  <c r="AH992" i="63"/>
  <c r="AD992" i="63"/>
  <c r="AC992" i="63"/>
  <c r="X992" i="63"/>
  <c r="Y992" i="63" s="1"/>
  <c r="W992" i="63"/>
  <c r="R992" i="63"/>
  <c r="Q992" i="63"/>
  <c r="O992" i="63"/>
  <c r="U992" i="63" s="1"/>
  <c r="N992" i="63"/>
  <c r="T992" i="63" s="1"/>
  <c r="Z992" i="63" s="1"/>
  <c r="H992" i="63"/>
  <c r="G992" i="63"/>
  <c r="BP991" i="63"/>
  <c r="BO991" i="63"/>
  <c r="BM991" i="63"/>
  <c r="BL991" i="63"/>
  <c r="BJ991" i="63"/>
  <c r="BK991" i="63" s="1"/>
  <c r="BI991" i="63"/>
  <c r="BG991" i="63"/>
  <c r="BF991" i="63"/>
  <c r="BD991" i="63"/>
  <c r="BC991" i="63"/>
  <c r="BA991" i="63"/>
  <c r="BB991" i="63" s="1"/>
  <c r="AZ991" i="63"/>
  <c r="AX991" i="63"/>
  <c r="AY991" i="63" s="1"/>
  <c r="AW991" i="63"/>
  <c r="AU991" i="63"/>
  <c r="AV991" i="63" s="1"/>
  <c r="AT991" i="63"/>
  <c r="AR991" i="63"/>
  <c r="AQ991" i="63"/>
  <c r="AO991" i="63"/>
  <c r="AN991" i="63"/>
  <c r="AP991" i="63" s="1"/>
  <c r="AL991" i="63"/>
  <c r="AK991" i="63"/>
  <c r="AI991" i="63"/>
  <c r="AH991" i="63"/>
  <c r="AD991" i="63"/>
  <c r="AC991" i="63"/>
  <c r="AE991" i="63" s="1"/>
  <c r="X991" i="63"/>
  <c r="W991" i="63"/>
  <c r="R991" i="63"/>
  <c r="Q991" i="63"/>
  <c r="P991" i="63"/>
  <c r="O991" i="63"/>
  <c r="U991" i="63" s="1"/>
  <c r="N991" i="63"/>
  <c r="T991" i="63" s="1"/>
  <c r="H991" i="63"/>
  <c r="G991" i="63"/>
  <c r="BM990" i="63"/>
  <c r="BL990" i="63"/>
  <c r="BN990" i="63" s="1"/>
  <c r="BI990" i="63"/>
  <c r="BD990" i="63"/>
  <c r="BC990" i="63"/>
  <c r="AW990" i="63"/>
  <c r="AT990" i="63"/>
  <c r="AR990" i="63"/>
  <c r="AO990" i="63"/>
  <c r="AC990" i="63"/>
  <c r="X990" i="63"/>
  <c r="N990" i="63"/>
  <c r="BP989" i="63"/>
  <c r="BO989" i="63"/>
  <c r="BQ989" i="63" s="1"/>
  <c r="BM989" i="63"/>
  <c r="BL989" i="63"/>
  <c r="BL924" i="63" s="1"/>
  <c r="BN924" i="63" s="1"/>
  <c r="BJ989" i="63"/>
  <c r="BI989" i="63"/>
  <c r="BG989" i="63"/>
  <c r="BF989" i="63"/>
  <c r="BF924" i="63" s="1"/>
  <c r="BD989" i="63"/>
  <c r="BC989" i="63"/>
  <c r="BA989" i="63"/>
  <c r="AZ989" i="63"/>
  <c r="AX989" i="63"/>
  <c r="AY989" i="63" s="1"/>
  <c r="AW989" i="63"/>
  <c r="AU989" i="63"/>
  <c r="AT989" i="63"/>
  <c r="AR989" i="63"/>
  <c r="AQ989" i="63"/>
  <c r="AO989" i="63"/>
  <c r="AN989" i="63"/>
  <c r="AP989" i="63" s="1"/>
  <c r="AL989" i="63"/>
  <c r="AK989" i="63"/>
  <c r="AI989" i="63"/>
  <c r="AH989" i="63"/>
  <c r="AD989" i="63"/>
  <c r="AC989" i="63"/>
  <c r="X989" i="63"/>
  <c r="W989" i="63"/>
  <c r="R989" i="63"/>
  <c r="Q989" i="63"/>
  <c r="O989" i="63"/>
  <c r="N989" i="63"/>
  <c r="H989" i="63"/>
  <c r="H924" i="63" s="1"/>
  <c r="G989" i="63"/>
  <c r="BP988" i="63"/>
  <c r="BO988" i="63"/>
  <c r="BM988" i="63"/>
  <c r="BL988" i="63"/>
  <c r="BN988" i="63" s="1"/>
  <c r="BJ988" i="63"/>
  <c r="BI988" i="63"/>
  <c r="BI923" i="63" s="1"/>
  <c r="BG988" i="63"/>
  <c r="BF988" i="63"/>
  <c r="BD988" i="63"/>
  <c r="BC988" i="63"/>
  <c r="BA988" i="63"/>
  <c r="AZ988" i="63"/>
  <c r="AX988" i="63"/>
  <c r="AW988" i="63"/>
  <c r="AU988" i="63"/>
  <c r="AT988" i="63"/>
  <c r="AT923" i="63" s="1"/>
  <c r="AR988" i="63"/>
  <c r="AQ988" i="63"/>
  <c r="AS988" i="63" s="1"/>
  <c r="AO988" i="63"/>
  <c r="AN988" i="63"/>
  <c r="AL988" i="63"/>
  <c r="AK988" i="63"/>
  <c r="AI988" i="63"/>
  <c r="AH988" i="63"/>
  <c r="AD988" i="63"/>
  <c r="AC988" i="63"/>
  <c r="AE988" i="63" s="1"/>
  <c r="X988" i="63"/>
  <c r="W988" i="63"/>
  <c r="R988" i="63"/>
  <c r="Q988" i="63"/>
  <c r="O988" i="63"/>
  <c r="U988" i="63" s="1"/>
  <c r="N988" i="63"/>
  <c r="L988" i="63"/>
  <c r="H988" i="63"/>
  <c r="I988" i="63" s="1"/>
  <c r="G988" i="63"/>
  <c r="BP987" i="63"/>
  <c r="BO987" i="63"/>
  <c r="BM987" i="63"/>
  <c r="BL987" i="63"/>
  <c r="BN987" i="63" s="1"/>
  <c r="BJ987" i="63"/>
  <c r="BI987" i="63"/>
  <c r="BG987" i="63"/>
  <c r="BF987" i="63"/>
  <c r="BD987" i="63"/>
  <c r="BC987" i="63"/>
  <c r="BA987" i="63"/>
  <c r="AZ987" i="63"/>
  <c r="AX987" i="63"/>
  <c r="AY987" i="63" s="1"/>
  <c r="AW987" i="63"/>
  <c r="AU987" i="63"/>
  <c r="AT987" i="63"/>
  <c r="AR987" i="63"/>
  <c r="AQ987" i="63"/>
  <c r="AO987" i="63"/>
  <c r="AN987" i="63"/>
  <c r="AP987" i="63" s="1"/>
  <c r="AL987" i="63"/>
  <c r="AK987" i="63"/>
  <c r="AI987" i="63"/>
  <c r="AH987" i="63"/>
  <c r="AD987" i="63"/>
  <c r="AC987" i="63"/>
  <c r="X987" i="63"/>
  <c r="W987" i="63"/>
  <c r="R987" i="63"/>
  <c r="U987" i="63" s="1"/>
  <c r="Q987" i="63"/>
  <c r="O987" i="63"/>
  <c r="N987" i="63"/>
  <c r="H987" i="63"/>
  <c r="G987" i="63"/>
  <c r="BP986" i="63"/>
  <c r="BO986" i="63"/>
  <c r="BQ986" i="63" s="1"/>
  <c r="BM986" i="63"/>
  <c r="BN986" i="63" s="1"/>
  <c r="BL986" i="63"/>
  <c r="BJ986" i="63"/>
  <c r="BI986" i="63"/>
  <c r="BG986" i="63"/>
  <c r="BF986" i="63"/>
  <c r="BD986" i="63"/>
  <c r="BC986" i="63"/>
  <c r="BA986" i="63"/>
  <c r="AZ986" i="63"/>
  <c r="AX986" i="63"/>
  <c r="AW986" i="63"/>
  <c r="AU986" i="63"/>
  <c r="AT986" i="63"/>
  <c r="AR986" i="63"/>
  <c r="AQ986" i="63"/>
  <c r="AP986" i="63"/>
  <c r="AO986" i="63"/>
  <c r="AN986" i="63"/>
  <c r="AL986" i="63"/>
  <c r="AK986" i="63"/>
  <c r="AI986" i="63"/>
  <c r="AH986" i="63"/>
  <c r="AD986" i="63"/>
  <c r="AC986" i="63"/>
  <c r="AE986" i="63" s="1"/>
  <c r="X986" i="63"/>
  <c r="W986" i="63"/>
  <c r="R986" i="63"/>
  <c r="Q986" i="63"/>
  <c r="O986" i="63"/>
  <c r="N986" i="63"/>
  <c r="H986" i="63"/>
  <c r="G986" i="63"/>
  <c r="BP985" i="63"/>
  <c r="BO985" i="63"/>
  <c r="BM985" i="63"/>
  <c r="BL985" i="63"/>
  <c r="BJ985" i="63"/>
  <c r="BI985" i="63"/>
  <c r="BG985" i="63"/>
  <c r="BF985" i="63"/>
  <c r="BD985" i="63"/>
  <c r="BC985" i="63"/>
  <c r="BA985" i="63"/>
  <c r="AZ985" i="63"/>
  <c r="BB985" i="63" s="1"/>
  <c r="AX985" i="63"/>
  <c r="AY985" i="63" s="1"/>
  <c r="AW985" i="63"/>
  <c r="AU985" i="63"/>
  <c r="AT985" i="63"/>
  <c r="AR985" i="63"/>
  <c r="AQ985" i="63"/>
  <c r="AO985" i="63"/>
  <c r="AP985" i="63" s="1"/>
  <c r="AN985" i="63"/>
  <c r="AL985" i="63"/>
  <c r="AK985" i="63"/>
  <c r="AI985" i="63"/>
  <c r="AH985" i="63"/>
  <c r="AD985" i="63"/>
  <c r="AC985" i="63"/>
  <c r="X985" i="63"/>
  <c r="W985" i="63"/>
  <c r="R985" i="63"/>
  <c r="Q985" i="63"/>
  <c r="O985" i="63"/>
  <c r="U985" i="63" s="1"/>
  <c r="N985" i="63"/>
  <c r="H985" i="63"/>
  <c r="G985" i="63"/>
  <c r="BP984" i="63"/>
  <c r="BO984" i="63"/>
  <c r="BM984" i="63"/>
  <c r="BL984" i="63"/>
  <c r="BN984" i="63" s="1"/>
  <c r="BJ984" i="63"/>
  <c r="BK984" i="63" s="1"/>
  <c r="BI984" i="63"/>
  <c r="BG984" i="63"/>
  <c r="BF984" i="63"/>
  <c r="BD984" i="63"/>
  <c r="BC984" i="63"/>
  <c r="BB984" i="63"/>
  <c r="BA984" i="63"/>
  <c r="AZ984" i="63"/>
  <c r="AX984" i="63"/>
  <c r="AW984" i="63"/>
  <c r="AU984" i="63"/>
  <c r="AT984" i="63"/>
  <c r="AR984" i="63"/>
  <c r="AQ984" i="63"/>
  <c r="AS984" i="63" s="1"/>
  <c r="AO984" i="63"/>
  <c r="AP984" i="63" s="1"/>
  <c r="AN984" i="63"/>
  <c r="AL984" i="63"/>
  <c r="AK984" i="63"/>
  <c r="AI984" i="63"/>
  <c r="AH984" i="63"/>
  <c r="AD984" i="63"/>
  <c r="AC984" i="63"/>
  <c r="X984" i="63"/>
  <c r="Y984" i="63" s="1"/>
  <c r="W984" i="63"/>
  <c r="R984" i="63"/>
  <c r="R919" i="63" s="1"/>
  <c r="Q984" i="63"/>
  <c r="Q919" i="63" s="1"/>
  <c r="O984" i="63"/>
  <c r="N984" i="63"/>
  <c r="H984" i="63"/>
  <c r="G984" i="63"/>
  <c r="BL983" i="63"/>
  <c r="BI983" i="63"/>
  <c r="AU983" i="63"/>
  <c r="AN983" i="63"/>
  <c r="AN974" i="63" s="1"/>
  <c r="AH983" i="63"/>
  <c r="W983" i="63"/>
  <c r="W974" i="63" s="1"/>
  <c r="R983" i="63"/>
  <c r="BQ982" i="63"/>
  <c r="BN982" i="63"/>
  <c r="BK982" i="63"/>
  <c r="BH982" i="63"/>
  <c r="BE982" i="63"/>
  <c r="BB982" i="63"/>
  <c r="AY982" i="63"/>
  <c r="AV982" i="63"/>
  <c r="AS982" i="63"/>
  <c r="AP982" i="63"/>
  <c r="AM982" i="63"/>
  <c r="AJ982" i="63"/>
  <c r="AE982" i="63"/>
  <c r="AB982" i="63"/>
  <c r="Y982" i="63"/>
  <c r="V982" i="63"/>
  <c r="S982" i="63"/>
  <c r="P982" i="63"/>
  <c r="M982" i="63"/>
  <c r="I982" i="63"/>
  <c r="BQ981" i="63"/>
  <c r="BN981" i="63"/>
  <c r="BK981" i="63"/>
  <c r="BH981" i="63"/>
  <c r="BE981" i="63"/>
  <c r="BB981" i="63"/>
  <c r="AY981" i="63"/>
  <c r="AV981" i="63"/>
  <c r="AS981" i="63"/>
  <c r="AP981" i="63"/>
  <c r="AM981" i="63"/>
  <c r="AJ981" i="63"/>
  <c r="AE981" i="63"/>
  <c r="AA981" i="63"/>
  <c r="Y981" i="63"/>
  <c r="U981" i="63"/>
  <c r="T981" i="63"/>
  <c r="Z981" i="63" s="1"/>
  <c r="S981" i="63"/>
  <c r="P981" i="63"/>
  <c r="L981" i="63"/>
  <c r="K981" i="63"/>
  <c r="I981" i="63"/>
  <c r="BQ980" i="63"/>
  <c r="BN980" i="63"/>
  <c r="BK980" i="63"/>
  <c r="BH980" i="63"/>
  <c r="BE980" i="63"/>
  <c r="BB980" i="63"/>
  <c r="AY980" i="63"/>
  <c r="AV980" i="63"/>
  <c r="AS980" i="63"/>
  <c r="AP980" i="63"/>
  <c r="AM980" i="63"/>
  <c r="AJ980" i="63"/>
  <c r="AE980" i="63"/>
  <c r="Y980" i="63"/>
  <c r="U980" i="63"/>
  <c r="AA980" i="63" s="1"/>
  <c r="T980" i="63"/>
  <c r="S980" i="63"/>
  <c r="P980" i="63"/>
  <c r="L980" i="63"/>
  <c r="K980" i="63"/>
  <c r="M980" i="63" s="1"/>
  <c r="I980" i="63"/>
  <c r="BQ979" i="63"/>
  <c r="BN979" i="63"/>
  <c r="BK979" i="63"/>
  <c r="BH979" i="63"/>
  <c r="BE979" i="63"/>
  <c r="BB979" i="63"/>
  <c r="AY979" i="63"/>
  <c r="AV979" i="63"/>
  <c r="AS979" i="63"/>
  <c r="AP979" i="63"/>
  <c r="AM979" i="63"/>
  <c r="AJ979" i="63"/>
  <c r="AE979" i="63"/>
  <c r="Y979" i="63"/>
  <c r="U979" i="63"/>
  <c r="T979" i="63"/>
  <c r="Z979" i="63" s="1"/>
  <c r="S979" i="63"/>
  <c r="P979" i="63"/>
  <c r="L979" i="63"/>
  <c r="M979" i="63" s="1"/>
  <c r="K979" i="63"/>
  <c r="I979" i="63"/>
  <c r="BQ978" i="63"/>
  <c r="BN978" i="63"/>
  <c r="BK978" i="63"/>
  <c r="BH978" i="63"/>
  <c r="BE978" i="63"/>
  <c r="BB978" i="63"/>
  <c r="AY978" i="63"/>
  <c r="AV978" i="63"/>
  <c r="AS978" i="63"/>
  <c r="AP978" i="63"/>
  <c r="AM978" i="63"/>
  <c r="AJ978" i="63"/>
  <c r="AE978" i="63"/>
  <c r="Y978" i="63"/>
  <c r="U978" i="63"/>
  <c r="T978" i="63"/>
  <c r="S978" i="63"/>
  <c r="P978" i="63"/>
  <c r="L978" i="63"/>
  <c r="K978" i="63"/>
  <c r="I978" i="63"/>
  <c r="BQ977" i="63"/>
  <c r="BN977" i="63"/>
  <c r="BK977" i="63"/>
  <c r="BH977" i="63"/>
  <c r="BE977" i="63"/>
  <c r="BB977" i="63"/>
  <c r="AY977" i="63"/>
  <c r="AV977" i="63"/>
  <c r="AS977" i="63"/>
  <c r="AP977" i="63"/>
  <c r="AM977" i="63"/>
  <c r="AJ977" i="63"/>
  <c r="AE977" i="63"/>
  <c r="Y977" i="63"/>
  <c r="U977" i="63"/>
  <c r="T977" i="63"/>
  <c r="S977" i="63"/>
  <c r="P977" i="63"/>
  <c r="L977" i="63"/>
  <c r="L1053" i="63" s="1"/>
  <c r="K977" i="63"/>
  <c r="K1053" i="63" s="1"/>
  <c r="I977" i="63"/>
  <c r="BQ976" i="63"/>
  <c r="BN976" i="63"/>
  <c r="BK976" i="63"/>
  <c r="BH976" i="63"/>
  <c r="BE976" i="63"/>
  <c r="BB976" i="63"/>
  <c r="AY976" i="63"/>
  <c r="AV976" i="63"/>
  <c r="AS976" i="63"/>
  <c r="AP976" i="63"/>
  <c r="AM976" i="63"/>
  <c r="AJ976" i="63"/>
  <c r="AE976" i="63"/>
  <c r="Y976" i="63"/>
  <c r="U976" i="63"/>
  <c r="T976" i="63"/>
  <c r="T1052" i="63" s="1"/>
  <c r="S976" i="63"/>
  <c r="P976" i="63"/>
  <c r="L976" i="63"/>
  <c r="K976" i="63"/>
  <c r="I976" i="63"/>
  <c r="BP975" i="63"/>
  <c r="BO975" i="63"/>
  <c r="BM975" i="63"/>
  <c r="BL975" i="63"/>
  <c r="BL1051" i="63" s="1"/>
  <c r="BJ975" i="63"/>
  <c r="BI975" i="63"/>
  <c r="BG975" i="63"/>
  <c r="BF975" i="63"/>
  <c r="BD975" i="63"/>
  <c r="BC975" i="63"/>
  <c r="BA975" i="63"/>
  <c r="AZ975" i="63"/>
  <c r="AZ1051" i="63" s="1"/>
  <c r="AX975" i="63"/>
  <c r="AW975" i="63"/>
  <c r="AW1051" i="63" s="1"/>
  <c r="AU975" i="63"/>
  <c r="AT975" i="63"/>
  <c r="AT1051" i="63" s="1"/>
  <c r="AR975" i="63"/>
  <c r="AR1051" i="63" s="1"/>
  <c r="AQ975" i="63"/>
  <c r="AP975" i="63"/>
  <c r="AO975" i="63"/>
  <c r="AN975" i="63"/>
  <c r="AL975" i="63"/>
  <c r="AK975" i="63"/>
  <c r="AI975" i="63"/>
  <c r="AH975" i="63"/>
  <c r="AD975" i="63"/>
  <c r="AC975" i="63"/>
  <c r="X975" i="63"/>
  <c r="W975" i="63"/>
  <c r="W1051" i="63" s="1"/>
  <c r="R975" i="63"/>
  <c r="R1051" i="63" s="1"/>
  <c r="Q975" i="63"/>
  <c r="O975" i="63"/>
  <c r="O1051" i="63" s="1"/>
  <c r="N975" i="63"/>
  <c r="N1051" i="63" s="1"/>
  <c r="H975" i="63"/>
  <c r="G975" i="63"/>
  <c r="BL974" i="63"/>
  <c r="BQ973" i="63"/>
  <c r="BN973" i="63"/>
  <c r="BK973" i="63"/>
  <c r="BH973" i="63"/>
  <c r="BE973" i="63"/>
  <c r="BB973" i="63"/>
  <c r="AY973" i="63"/>
  <c r="AV973" i="63"/>
  <c r="AS973" i="63"/>
  <c r="AP973" i="63"/>
  <c r="AM973" i="63"/>
  <c r="AJ973" i="63"/>
  <c r="AE973" i="63"/>
  <c r="Y973" i="63"/>
  <c r="U973" i="63"/>
  <c r="T973" i="63"/>
  <c r="Z973" i="63" s="1"/>
  <c r="S973" i="63"/>
  <c r="P973" i="63"/>
  <c r="L973" i="63"/>
  <c r="M973" i="63" s="1"/>
  <c r="K973" i="63"/>
  <c r="I973" i="63"/>
  <c r="BQ972" i="63"/>
  <c r="BN972" i="63"/>
  <c r="BK972" i="63"/>
  <c r="BH972" i="63"/>
  <c r="BE972" i="63"/>
  <c r="BB972" i="63"/>
  <c r="AY972" i="63"/>
  <c r="AV972" i="63"/>
  <c r="AS972" i="63"/>
  <c r="AP972" i="63"/>
  <c r="AM972" i="63"/>
  <c r="AJ972" i="63"/>
  <c r="AE972" i="63"/>
  <c r="Y972" i="63"/>
  <c r="U972" i="63"/>
  <c r="T972" i="63"/>
  <c r="Z972" i="63" s="1"/>
  <c r="S972" i="63"/>
  <c r="P972" i="63"/>
  <c r="L972" i="63"/>
  <c r="K972" i="63"/>
  <c r="I972" i="63"/>
  <c r="BQ971" i="63"/>
  <c r="BN971" i="63"/>
  <c r="BK971" i="63"/>
  <c r="BH971" i="63"/>
  <c r="BE971" i="63"/>
  <c r="BB971" i="63"/>
  <c r="AY971" i="63"/>
  <c r="AV971" i="63"/>
  <c r="AS971" i="63"/>
  <c r="AP971" i="63"/>
  <c r="AM971" i="63"/>
  <c r="AJ971" i="63"/>
  <c r="AE971" i="63"/>
  <c r="AA971" i="63"/>
  <c r="Y971" i="63"/>
  <c r="U971" i="63"/>
  <c r="T971" i="63"/>
  <c r="S971" i="63"/>
  <c r="P971" i="63"/>
  <c r="L971" i="63"/>
  <c r="K971" i="63"/>
  <c r="M971" i="63" s="1"/>
  <c r="I971" i="63"/>
  <c r="BQ970" i="63"/>
  <c r="BN970" i="63"/>
  <c r="BK970" i="63"/>
  <c r="BH970" i="63"/>
  <c r="BE970" i="63"/>
  <c r="BB970" i="63"/>
  <c r="AY970" i="63"/>
  <c r="AV970" i="63"/>
  <c r="AS970" i="63"/>
  <c r="AP970" i="63"/>
  <c r="AM970" i="63"/>
  <c r="AJ970" i="63"/>
  <c r="AE970" i="63"/>
  <c r="Y970" i="63"/>
  <c r="U970" i="63"/>
  <c r="T970" i="63"/>
  <c r="V970" i="63" s="1"/>
  <c r="S970" i="63"/>
  <c r="P970" i="63"/>
  <c r="L970" i="63"/>
  <c r="K970" i="63"/>
  <c r="I970" i="63"/>
  <c r="BQ969" i="63"/>
  <c r="BN969" i="63"/>
  <c r="BK969" i="63"/>
  <c r="BH969" i="63"/>
  <c r="BE969" i="63"/>
  <c r="BB969" i="63"/>
  <c r="AY969" i="63"/>
  <c r="AV969" i="63"/>
  <c r="AS969" i="63"/>
  <c r="AP969" i="63"/>
  <c r="AM969" i="63"/>
  <c r="AJ969" i="63"/>
  <c r="AE969" i="63"/>
  <c r="AA969" i="63"/>
  <c r="Y969" i="63"/>
  <c r="U969" i="63"/>
  <c r="T969" i="63"/>
  <c r="S969" i="63"/>
  <c r="P969" i="63"/>
  <c r="L969" i="63"/>
  <c r="K969" i="63"/>
  <c r="K1047" i="63" s="1"/>
  <c r="I969" i="63"/>
  <c r="BQ968" i="63"/>
  <c r="BN968" i="63"/>
  <c r="BK968" i="63"/>
  <c r="BH968" i="63"/>
  <c r="BE968" i="63"/>
  <c r="BB968" i="63"/>
  <c r="AY968" i="63"/>
  <c r="AV968" i="63"/>
  <c r="AS968" i="63"/>
  <c r="AP968" i="63"/>
  <c r="AM968" i="63"/>
  <c r="AJ968" i="63"/>
  <c r="AE968" i="63"/>
  <c r="Y968" i="63"/>
  <c r="U968" i="63"/>
  <c r="U1046" i="63" s="1"/>
  <c r="T968" i="63"/>
  <c r="V968" i="63" s="1"/>
  <c r="S968" i="63"/>
  <c r="P968" i="63"/>
  <c r="L968" i="63"/>
  <c r="L1046" i="63" s="1"/>
  <c r="K968" i="63"/>
  <c r="I968" i="63"/>
  <c r="BP967" i="63"/>
  <c r="BO967" i="63"/>
  <c r="BM967" i="63"/>
  <c r="BM1045" i="63" s="1"/>
  <c r="BL967" i="63"/>
  <c r="BJ967" i="63"/>
  <c r="BI967" i="63"/>
  <c r="BI1045" i="63" s="1"/>
  <c r="BG967" i="63"/>
  <c r="BF967" i="63"/>
  <c r="BF1045" i="63" s="1"/>
  <c r="BD967" i="63"/>
  <c r="BC967" i="63"/>
  <c r="BA967" i="63"/>
  <c r="AZ967" i="63"/>
  <c r="AX967" i="63"/>
  <c r="AX1045" i="63" s="1"/>
  <c r="AW967" i="63"/>
  <c r="AU967" i="63"/>
  <c r="AT967" i="63"/>
  <c r="AR967" i="63"/>
  <c r="AQ967" i="63"/>
  <c r="AO967" i="63"/>
  <c r="AO1045" i="63" s="1"/>
  <c r="AP1045" i="63" s="1"/>
  <c r="AN967" i="63"/>
  <c r="AN1045" i="63" s="1"/>
  <c r="AL967" i="63"/>
  <c r="AK967" i="63"/>
  <c r="AK1045" i="63" s="1"/>
  <c r="AI967" i="63"/>
  <c r="AH967" i="63"/>
  <c r="AH1045" i="63" s="1"/>
  <c r="AD967" i="63"/>
  <c r="AD1045" i="63" s="1"/>
  <c r="AC967" i="63"/>
  <c r="X967" i="63"/>
  <c r="W967" i="63"/>
  <c r="W1045" i="63" s="1"/>
  <c r="U967" i="63"/>
  <c r="R967" i="63"/>
  <c r="Q967" i="63"/>
  <c r="O967" i="63"/>
  <c r="N967" i="63"/>
  <c r="H967" i="63"/>
  <c r="G967" i="63"/>
  <c r="G1045" i="63" s="1"/>
  <c r="BQ966" i="63"/>
  <c r="BN966" i="63"/>
  <c r="BK966" i="63"/>
  <c r="BH966" i="63"/>
  <c r="BE966" i="63"/>
  <c r="BB966" i="63"/>
  <c r="AY966" i="63"/>
  <c r="AV966" i="63"/>
  <c r="AS966" i="63"/>
  <c r="AP966" i="63"/>
  <c r="AM966" i="63"/>
  <c r="AJ966" i="63"/>
  <c r="AE966" i="63"/>
  <c r="Y966" i="63"/>
  <c r="U966" i="63"/>
  <c r="T966" i="63"/>
  <c r="Z966" i="63" s="1"/>
  <c r="S966" i="63"/>
  <c r="P966" i="63"/>
  <c r="L966" i="63"/>
  <c r="K966" i="63"/>
  <c r="I966" i="63"/>
  <c r="BQ965" i="63"/>
  <c r="BN965" i="63"/>
  <c r="BK965" i="63"/>
  <c r="BH965" i="63"/>
  <c r="BE965" i="63"/>
  <c r="BB965" i="63"/>
  <c r="AY965" i="63"/>
  <c r="AV965" i="63"/>
  <c r="AS965" i="63"/>
  <c r="AP965" i="63"/>
  <c r="AM965" i="63"/>
  <c r="AJ965" i="63"/>
  <c r="AE965" i="63"/>
  <c r="Y965" i="63"/>
  <c r="U965" i="63"/>
  <c r="AA965" i="63" s="1"/>
  <c r="AB965" i="63" s="1"/>
  <c r="T965" i="63"/>
  <c r="Z965" i="63" s="1"/>
  <c r="S965" i="63"/>
  <c r="P965" i="63"/>
  <c r="L965" i="63"/>
  <c r="K965" i="63"/>
  <c r="I965" i="63"/>
  <c r="BQ964" i="63"/>
  <c r="BN964" i="63"/>
  <c r="BK964" i="63"/>
  <c r="BH964" i="63"/>
  <c r="BE964" i="63"/>
  <c r="BB964" i="63"/>
  <c r="AY964" i="63"/>
  <c r="AV964" i="63"/>
  <c r="AS964" i="63"/>
  <c r="AP964" i="63"/>
  <c r="AM964" i="63"/>
  <c r="AJ964" i="63"/>
  <c r="AE964" i="63"/>
  <c r="Y964" i="63"/>
  <c r="U964" i="63"/>
  <c r="T964" i="63"/>
  <c r="S964" i="63"/>
  <c r="P964" i="63"/>
  <c r="L964" i="63"/>
  <c r="K964" i="63"/>
  <c r="I964" i="63"/>
  <c r="BQ963" i="63"/>
  <c r="BN963" i="63"/>
  <c r="BK963" i="63"/>
  <c r="BH963" i="63"/>
  <c r="BE963" i="63"/>
  <c r="BB963" i="63"/>
  <c r="AY963" i="63"/>
  <c r="AV963" i="63"/>
  <c r="AS963" i="63"/>
  <c r="AP963" i="63"/>
  <c r="AM963" i="63"/>
  <c r="AJ963" i="63"/>
  <c r="AE963" i="63"/>
  <c r="Y963" i="63"/>
  <c r="U963" i="63"/>
  <c r="AA963" i="63" s="1"/>
  <c r="T963" i="63"/>
  <c r="Z963" i="63" s="1"/>
  <c r="AB963" i="63" s="1"/>
  <c r="S963" i="63"/>
  <c r="P963" i="63"/>
  <c r="L963" i="63"/>
  <c r="K963" i="63"/>
  <c r="I963" i="63"/>
  <c r="BQ962" i="63"/>
  <c r="BN962" i="63"/>
  <c r="BK962" i="63"/>
  <c r="BH962" i="63"/>
  <c r="BE962" i="63"/>
  <c r="BB962" i="63"/>
  <c r="AY962" i="63"/>
  <c r="AV962" i="63"/>
  <c r="AS962" i="63"/>
  <c r="AP962" i="63"/>
  <c r="AM962" i="63"/>
  <c r="AJ962" i="63"/>
  <c r="AE962" i="63"/>
  <c r="Y962" i="63"/>
  <c r="U962" i="63"/>
  <c r="AA962" i="63" s="1"/>
  <c r="T962" i="63"/>
  <c r="T1042" i="63" s="1"/>
  <c r="S962" i="63"/>
  <c r="P962" i="63"/>
  <c r="L962" i="63"/>
  <c r="K962" i="63"/>
  <c r="K1042" i="63" s="1"/>
  <c r="I962" i="63"/>
  <c r="BQ961" i="63"/>
  <c r="BN961" i="63"/>
  <c r="BK961" i="63"/>
  <c r="BH961" i="63"/>
  <c r="BE961" i="63"/>
  <c r="BB961" i="63"/>
  <c r="AY961" i="63"/>
  <c r="AV961" i="63"/>
  <c r="AS961" i="63"/>
  <c r="AP961" i="63"/>
  <c r="AM961" i="63"/>
  <c r="AJ961" i="63"/>
  <c r="AE961" i="63"/>
  <c r="Y961" i="63"/>
  <c r="U961" i="63"/>
  <c r="AA961" i="63" s="1"/>
  <c r="T961" i="63"/>
  <c r="T1041" i="63" s="1"/>
  <c r="S961" i="63"/>
  <c r="P961" i="63"/>
  <c r="L961" i="63"/>
  <c r="L1041" i="63" s="1"/>
  <c r="K961" i="63"/>
  <c r="I961" i="63"/>
  <c r="BP960" i="63"/>
  <c r="BO960" i="63"/>
  <c r="BM960" i="63"/>
  <c r="BL960" i="63"/>
  <c r="BJ960" i="63"/>
  <c r="BI960" i="63"/>
  <c r="BI1040" i="63" s="1"/>
  <c r="BG960" i="63"/>
  <c r="BF960" i="63"/>
  <c r="BF1040" i="63" s="1"/>
  <c r="BD960" i="63"/>
  <c r="BC960" i="63"/>
  <c r="BC934" i="63" s="1"/>
  <c r="BA960" i="63"/>
  <c r="BA1040" i="63" s="1"/>
  <c r="AZ960" i="63"/>
  <c r="AX960" i="63"/>
  <c r="AW960" i="63"/>
  <c r="AW1040" i="63" s="1"/>
  <c r="AU960" i="63"/>
  <c r="AV960" i="63" s="1"/>
  <c r="AT960" i="63"/>
  <c r="AR960" i="63"/>
  <c r="AR1040" i="63" s="1"/>
  <c r="AQ960" i="63"/>
  <c r="AO960" i="63"/>
  <c r="AO1040" i="63" s="1"/>
  <c r="AN960" i="63"/>
  <c r="AL960" i="63"/>
  <c r="AK960" i="63"/>
  <c r="AK1040" i="63" s="1"/>
  <c r="AI960" i="63"/>
  <c r="AH960" i="63"/>
  <c r="AD960" i="63"/>
  <c r="AD1040" i="63" s="1"/>
  <c r="AC960" i="63"/>
  <c r="X960" i="63"/>
  <c r="W960" i="63"/>
  <c r="R960" i="63"/>
  <c r="Q960" i="63"/>
  <c r="P960" i="63"/>
  <c r="O960" i="63"/>
  <c r="O1040" i="63" s="1"/>
  <c r="N960" i="63"/>
  <c r="H960" i="63"/>
  <c r="G960" i="63"/>
  <c r="BQ959" i="63"/>
  <c r="BN959" i="63"/>
  <c r="BK959" i="63"/>
  <c r="BH959" i="63"/>
  <c r="BE959" i="63"/>
  <c r="BB959" i="63"/>
  <c r="AY959" i="63"/>
  <c r="AV959" i="63"/>
  <c r="AS959" i="63"/>
  <c r="AP959" i="63"/>
  <c r="AM959" i="63"/>
  <c r="AJ959" i="63"/>
  <c r="AE959" i="63"/>
  <c r="AB959" i="63"/>
  <c r="Y959" i="63"/>
  <c r="V959" i="63"/>
  <c r="S959" i="63"/>
  <c r="P959" i="63"/>
  <c r="M959" i="63"/>
  <c r="I959" i="63"/>
  <c r="BQ958" i="63"/>
  <c r="BN958" i="63"/>
  <c r="BK958" i="63"/>
  <c r="BH958" i="63"/>
  <c r="BE958" i="63"/>
  <c r="BB958" i="63"/>
  <c r="AY958" i="63"/>
  <c r="AV958" i="63"/>
  <c r="AS958" i="63"/>
  <c r="AP958" i="63"/>
  <c r="AM958" i="63"/>
  <c r="AJ958" i="63"/>
  <c r="AE958" i="63"/>
  <c r="Z958" i="63"/>
  <c r="Y958" i="63"/>
  <c r="U958" i="63"/>
  <c r="T958" i="63"/>
  <c r="S958" i="63"/>
  <c r="P958" i="63"/>
  <c r="M958" i="63"/>
  <c r="L958" i="63"/>
  <c r="K958" i="63"/>
  <c r="I958" i="63"/>
  <c r="BQ957" i="63"/>
  <c r="BN957" i="63"/>
  <c r="BK957" i="63"/>
  <c r="BH957" i="63"/>
  <c r="BE957" i="63"/>
  <c r="BB957" i="63"/>
  <c r="AY957" i="63"/>
  <c r="AV957" i="63"/>
  <c r="AS957" i="63"/>
  <c r="AP957" i="63"/>
  <c r="AM957" i="63"/>
  <c r="AJ957" i="63"/>
  <c r="AE957" i="63"/>
  <c r="Y957" i="63"/>
  <c r="U957" i="63"/>
  <c r="AA957" i="63" s="1"/>
  <c r="T957" i="63"/>
  <c r="S957" i="63"/>
  <c r="P957" i="63"/>
  <c r="L957" i="63"/>
  <c r="K957" i="63"/>
  <c r="I957" i="63"/>
  <c r="BQ956" i="63"/>
  <c r="BN956" i="63"/>
  <c r="BK956" i="63"/>
  <c r="BH956" i="63"/>
  <c r="BE956" i="63"/>
  <c r="BB956" i="63"/>
  <c r="AY956" i="63"/>
  <c r="AV956" i="63"/>
  <c r="AS956" i="63"/>
  <c r="AP956" i="63"/>
  <c r="AM956" i="63"/>
  <c r="AJ956" i="63"/>
  <c r="AE956" i="63"/>
  <c r="Y956" i="63"/>
  <c r="U956" i="63"/>
  <c r="AA956" i="63" s="1"/>
  <c r="T956" i="63"/>
  <c r="S956" i="63"/>
  <c r="P956" i="63"/>
  <c r="L956" i="63"/>
  <c r="L1038" i="63" s="1"/>
  <c r="K956" i="63"/>
  <c r="I956" i="63"/>
  <c r="BQ955" i="63"/>
  <c r="BN955" i="63"/>
  <c r="BK955" i="63"/>
  <c r="BH955" i="63"/>
  <c r="BE955" i="63"/>
  <c r="BB955" i="63"/>
  <c r="AY955" i="63"/>
  <c r="AV955" i="63"/>
  <c r="AS955" i="63"/>
  <c r="AP955" i="63"/>
  <c r="AM955" i="63"/>
  <c r="AJ955" i="63"/>
  <c r="AE955" i="63"/>
  <c r="Y955" i="63"/>
  <c r="U955" i="63"/>
  <c r="T955" i="63"/>
  <c r="Z955" i="63" s="1"/>
  <c r="S955" i="63"/>
  <c r="P955" i="63"/>
  <c r="L955" i="63"/>
  <c r="K955" i="63"/>
  <c r="I955" i="63"/>
  <c r="BP954" i="63"/>
  <c r="BP1037" i="63" s="1"/>
  <c r="BO954" i="63"/>
  <c r="BM954" i="63"/>
  <c r="BM1037" i="63" s="1"/>
  <c r="BN1037" i="63" s="1"/>
  <c r="BL954" i="63"/>
  <c r="BL1037" i="63" s="1"/>
  <c r="BK954" i="63"/>
  <c r="BJ954" i="63"/>
  <c r="BI954" i="63"/>
  <c r="BI1037" i="63" s="1"/>
  <c r="BG954" i="63"/>
  <c r="BF954" i="63"/>
  <c r="BD954" i="63"/>
  <c r="BD1037" i="63" s="1"/>
  <c r="BC954" i="63"/>
  <c r="BA954" i="63"/>
  <c r="AZ954" i="63"/>
  <c r="AZ1037" i="63" s="1"/>
  <c r="AX954" i="63"/>
  <c r="AX1037" i="63" s="1"/>
  <c r="AW954" i="63"/>
  <c r="AU954" i="63"/>
  <c r="AT954" i="63"/>
  <c r="AT1037" i="63" s="1"/>
  <c r="AR954" i="63"/>
  <c r="AQ954" i="63"/>
  <c r="AO954" i="63"/>
  <c r="AN954" i="63"/>
  <c r="AL954" i="63"/>
  <c r="AM954" i="63" s="1"/>
  <c r="AK954" i="63"/>
  <c r="AK1037" i="63" s="1"/>
  <c r="AI954" i="63"/>
  <c r="AI941" i="63" s="1"/>
  <c r="AH954" i="63"/>
  <c r="AD954" i="63"/>
  <c r="AC954" i="63"/>
  <c r="AC941" i="63" s="1"/>
  <c r="X954" i="63"/>
  <c r="W954" i="63"/>
  <c r="W1037" i="63" s="1"/>
  <c r="R954" i="63"/>
  <c r="R1037" i="63" s="1"/>
  <c r="Q954" i="63"/>
  <c r="O954" i="63"/>
  <c r="N954" i="63"/>
  <c r="H954" i="63"/>
  <c r="G954" i="63"/>
  <c r="BQ953" i="63"/>
  <c r="BN953" i="63"/>
  <c r="BK953" i="63"/>
  <c r="BH953" i="63"/>
  <c r="BE953" i="63"/>
  <c r="BB953" i="63"/>
  <c r="AY953" i="63"/>
  <c r="AV953" i="63"/>
  <c r="AS953" i="63"/>
  <c r="AP953" i="63"/>
  <c r="AM953" i="63"/>
  <c r="AJ953" i="63"/>
  <c r="AE953" i="63"/>
  <c r="AA953" i="63"/>
  <c r="Y953" i="63"/>
  <c r="U953" i="63"/>
  <c r="T953" i="63"/>
  <c r="Z953" i="63" s="1"/>
  <c r="S953" i="63"/>
  <c r="P953" i="63"/>
  <c r="L953" i="63"/>
  <c r="K953" i="63"/>
  <c r="I953" i="63"/>
  <c r="BQ952" i="63"/>
  <c r="BN952" i="63"/>
  <c r="BK952" i="63"/>
  <c r="BH952" i="63"/>
  <c r="BE952" i="63"/>
  <c r="BB952" i="63"/>
  <c r="AY952" i="63"/>
  <c r="AV952" i="63"/>
  <c r="AS952" i="63"/>
  <c r="AP952" i="63"/>
  <c r="AM952" i="63"/>
  <c r="AJ952" i="63"/>
  <c r="AE952" i="63"/>
  <c r="Y952" i="63"/>
  <c r="U952" i="63"/>
  <c r="AA952" i="63" s="1"/>
  <c r="T952" i="63"/>
  <c r="S952" i="63"/>
  <c r="P952" i="63"/>
  <c r="L952" i="63"/>
  <c r="K952" i="63"/>
  <c r="I952" i="63"/>
  <c r="BQ951" i="63"/>
  <c r="BN951" i="63"/>
  <c r="BK951" i="63"/>
  <c r="BH951" i="63"/>
  <c r="BE951" i="63"/>
  <c r="BB951" i="63"/>
  <c r="AY951" i="63"/>
  <c r="AV951" i="63"/>
  <c r="AS951" i="63"/>
  <c r="AP951" i="63"/>
  <c r="AM951" i="63"/>
  <c r="AJ951" i="63"/>
  <c r="AE951" i="63"/>
  <c r="Y951" i="63"/>
  <c r="U951" i="63"/>
  <c r="T951" i="63"/>
  <c r="Z951" i="63" s="1"/>
  <c r="S951" i="63"/>
  <c r="P951" i="63"/>
  <c r="L951" i="63"/>
  <c r="L1036" i="63" s="1"/>
  <c r="K951" i="63"/>
  <c r="I951" i="63"/>
  <c r="BQ950" i="63"/>
  <c r="BN950" i="63"/>
  <c r="BK950" i="63"/>
  <c r="BH950" i="63"/>
  <c r="BE950" i="63"/>
  <c r="BB950" i="63"/>
  <c r="AY950" i="63"/>
  <c r="AV950" i="63"/>
  <c r="AS950" i="63"/>
  <c r="AP950" i="63"/>
  <c r="AM950" i="63"/>
  <c r="AJ950" i="63"/>
  <c r="AE950" i="63"/>
  <c r="Y950" i="63"/>
  <c r="U950" i="63"/>
  <c r="T950" i="63"/>
  <c r="Z950" i="63" s="1"/>
  <c r="S950" i="63"/>
  <c r="P950" i="63"/>
  <c r="L950" i="63"/>
  <c r="K950" i="63"/>
  <c r="I950" i="63"/>
  <c r="BP949" i="63"/>
  <c r="BP1035" i="63" s="1"/>
  <c r="BO949" i="63"/>
  <c r="BM949" i="63"/>
  <c r="BL949" i="63"/>
  <c r="BK949" i="63"/>
  <c r="BJ949" i="63"/>
  <c r="BJ1035" i="63" s="1"/>
  <c r="BI949" i="63"/>
  <c r="BG949" i="63"/>
  <c r="BF949" i="63"/>
  <c r="BD949" i="63"/>
  <c r="BD1035" i="63" s="1"/>
  <c r="BC949" i="63"/>
  <c r="BA949" i="63"/>
  <c r="BA934" i="63" s="1"/>
  <c r="AZ949" i="63"/>
  <c r="AZ934" i="63" s="1"/>
  <c r="AX949" i="63"/>
  <c r="AW949" i="63"/>
  <c r="AW1035" i="63" s="1"/>
  <c r="AU949" i="63"/>
  <c r="AU934" i="63" s="1"/>
  <c r="AT949" i="63"/>
  <c r="AT1035" i="63" s="1"/>
  <c r="AR949" i="63"/>
  <c r="AR1035" i="63" s="1"/>
  <c r="AQ949" i="63"/>
  <c r="AP949" i="63"/>
  <c r="AO949" i="63"/>
  <c r="AN949" i="63"/>
  <c r="AN1035" i="63" s="1"/>
  <c r="AL949" i="63"/>
  <c r="AK949" i="63"/>
  <c r="AK1035" i="63" s="1"/>
  <c r="AI949" i="63"/>
  <c r="AH949" i="63"/>
  <c r="AD949" i="63"/>
  <c r="AD1035" i="63" s="1"/>
  <c r="AC949" i="63"/>
  <c r="AC934" i="63" s="1"/>
  <c r="X949" i="63"/>
  <c r="X1035" i="63" s="1"/>
  <c r="W949" i="63"/>
  <c r="R949" i="63"/>
  <c r="R1035" i="63" s="1"/>
  <c r="Q949" i="63"/>
  <c r="O949" i="63"/>
  <c r="N949" i="63"/>
  <c r="H949" i="63"/>
  <c r="G949" i="63"/>
  <c r="G1035" i="63" s="1"/>
  <c r="BQ948" i="63"/>
  <c r="BN948" i="63"/>
  <c r="BK948" i="63"/>
  <c r="BH948" i="63"/>
  <c r="BE948" i="63"/>
  <c r="BB948" i="63"/>
  <c r="AY948" i="63"/>
  <c r="AV948" i="63"/>
  <c r="AS948" i="63"/>
  <c r="AP948" i="63"/>
  <c r="AM948" i="63"/>
  <c r="AJ948" i="63"/>
  <c r="AE948" i="63"/>
  <c r="AB948" i="63"/>
  <c r="Y948" i="63"/>
  <c r="V948" i="63"/>
  <c r="S948" i="63"/>
  <c r="P948" i="63"/>
  <c r="M948" i="63"/>
  <c r="I948" i="63"/>
  <c r="BP947" i="63"/>
  <c r="BO947" i="63"/>
  <c r="BM947" i="63"/>
  <c r="BL947" i="63"/>
  <c r="BJ947" i="63"/>
  <c r="BK947" i="63" s="1"/>
  <c r="BI947" i="63"/>
  <c r="BG947" i="63"/>
  <c r="BF947" i="63"/>
  <c r="BD947" i="63"/>
  <c r="BC947" i="63"/>
  <c r="BA947" i="63"/>
  <c r="AZ947" i="63"/>
  <c r="BB947" i="63" s="1"/>
  <c r="AX947" i="63"/>
  <c r="AW947" i="63"/>
  <c r="AU947" i="63"/>
  <c r="AT947" i="63"/>
  <c r="AR947" i="63"/>
  <c r="AQ947" i="63"/>
  <c r="AO947" i="63"/>
  <c r="AN947" i="63"/>
  <c r="AL947" i="63"/>
  <c r="AM947" i="63" s="1"/>
  <c r="AK947" i="63"/>
  <c r="AI947" i="63"/>
  <c r="AH947" i="63"/>
  <c r="AD947" i="63"/>
  <c r="AC947" i="63"/>
  <c r="X947" i="63"/>
  <c r="Y947" i="63" s="1"/>
  <c r="W947" i="63"/>
  <c r="R947" i="63"/>
  <c r="Q947" i="63"/>
  <c r="O947" i="63"/>
  <c r="N947" i="63"/>
  <c r="H947" i="63"/>
  <c r="G947" i="63"/>
  <c r="BP946" i="63"/>
  <c r="BO946" i="63"/>
  <c r="BM946" i="63"/>
  <c r="BL946" i="63"/>
  <c r="BN946" i="63" s="1"/>
  <c r="BJ946" i="63"/>
  <c r="BI946" i="63"/>
  <c r="BG946" i="63"/>
  <c r="BF946" i="63"/>
  <c r="BD946" i="63"/>
  <c r="BC946" i="63"/>
  <c r="BA946" i="63"/>
  <c r="AZ946" i="63"/>
  <c r="AX946" i="63"/>
  <c r="AW946" i="63"/>
  <c r="AU946" i="63"/>
  <c r="AT946" i="63"/>
  <c r="AR946" i="63"/>
  <c r="AQ946" i="63"/>
  <c r="AO946" i="63"/>
  <c r="AN946" i="63"/>
  <c r="AL946" i="63"/>
  <c r="AM946" i="63" s="1"/>
  <c r="AK946" i="63"/>
  <c r="AI946" i="63"/>
  <c r="AH946" i="63"/>
  <c r="AD946" i="63"/>
  <c r="AC946" i="63"/>
  <c r="X946" i="63"/>
  <c r="W946" i="63"/>
  <c r="U946" i="63"/>
  <c r="R946" i="63"/>
  <c r="Q946" i="63"/>
  <c r="O946" i="63"/>
  <c r="N946" i="63"/>
  <c r="H946" i="63"/>
  <c r="G946" i="63"/>
  <c r="BP945" i="63"/>
  <c r="BO945" i="63"/>
  <c r="BM945" i="63"/>
  <c r="BL945" i="63"/>
  <c r="BN945" i="63" s="1"/>
  <c r="BJ945" i="63"/>
  <c r="BI945" i="63"/>
  <c r="BG945" i="63"/>
  <c r="BF945" i="63"/>
  <c r="BD945" i="63"/>
  <c r="BC945" i="63"/>
  <c r="BE945" i="63" s="1"/>
  <c r="BA945" i="63"/>
  <c r="AZ945" i="63"/>
  <c r="AX945" i="63"/>
  <c r="AW945" i="63"/>
  <c r="AY945" i="63" s="1"/>
  <c r="AU945" i="63"/>
  <c r="AT945" i="63"/>
  <c r="AR945" i="63"/>
  <c r="AQ945" i="63"/>
  <c r="AS945" i="63" s="1"/>
  <c r="AO945" i="63"/>
  <c r="AN945" i="63"/>
  <c r="AL945" i="63"/>
  <c r="AK945" i="63"/>
  <c r="AI945" i="63"/>
  <c r="AH945" i="63"/>
  <c r="AD945" i="63"/>
  <c r="AC945" i="63"/>
  <c r="X945" i="63"/>
  <c r="W945" i="63"/>
  <c r="R945" i="63"/>
  <c r="Q945" i="63"/>
  <c r="O945" i="63"/>
  <c r="N945" i="63"/>
  <c r="H945" i="63"/>
  <c r="G945" i="63"/>
  <c r="BP944" i="63"/>
  <c r="BO944" i="63"/>
  <c r="BQ944" i="63" s="1"/>
  <c r="BM944" i="63"/>
  <c r="BL944" i="63"/>
  <c r="BJ944" i="63"/>
  <c r="BI944" i="63"/>
  <c r="BK944" i="63" s="1"/>
  <c r="BG944" i="63"/>
  <c r="BF944" i="63"/>
  <c r="BD944" i="63"/>
  <c r="BC944" i="63"/>
  <c r="BE944" i="63" s="1"/>
  <c r="BA944" i="63"/>
  <c r="AZ944" i="63"/>
  <c r="AX944" i="63"/>
  <c r="AW944" i="63"/>
  <c r="AU944" i="63"/>
  <c r="AT944" i="63"/>
  <c r="AR944" i="63"/>
  <c r="AQ944" i="63"/>
  <c r="AO944" i="63"/>
  <c r="AN944" i="63"/>
  <c r="AP944" i="63" s="1"/>
  <c r="AL944" i="63"/>
  <c r="AK944" i="63"/>
  <c r="AI944" i="63"/>
  <c r="AH944" i="63"/>
  <c r="AD944" i="63"/>
  <c r="AC944" i="63"/>
  <c r="X944" i="63"/>
  <c r="Y944" i="63" s="1"/>
  <c r="W944" i="63"/>
  <c r="R944" i="63"/>
  <c r="Q944" i="63"/>
  <c r="O944" i="63"/>
  <c r="N944" i="63"/>
  <c r="T944" i="63" s="1"/>
  <c r="Z944" i="63" s="1"/>
  <c r="H944" i="63"/>
  <c r="G944" i="63"/>
  <c r="BP943" i="63"/>
  <c r="BO943" i="63"/>
  <c r="BQ943" i="63" s="1"/>
  <c r="BM943" i="63"/>
  <c r="BL943" i="63"/>
  <c r="BJ943" i="63"/>
  <c r="BI943" i="63"/>
  <c r="BK943" i="63" s="1"/>
  <c r="BG943" i="63"/>
  <c r="BF943" i="63"/>
  <c r="BD943" i="63"/>
  <c r="BC943" i="63"/>
  <c r="BE943" i="63" s="1"/>
  <c r="BA943" i="63"/>
  <c r="AZ943" i="63"/>
  <c r="AX943" i="63"/>
  <c r="AW943" i="63"/>
  <c r="AU943" i="63"/>
  <c r="AT943" i="63"/>
  <c r="AR943" i="63"/>
  <c r="AQ943" i="63"/>
  <c r="AO943" i="63"/>
  <c r="AN943" i="63"/>
  <c r="AP943" i="63" s="1"/>
  <c r="AL943" i="63"/>
  <c r="AK943" i="63"/>
  <c r="AI943" i="63"/>
  <c r="AH943" i="63"/>
  <c r="AD943" i="63"/>
  <c r="AC943" i="63"/>
  <c r="AE943" i="63" s="1"/>
  <c r="X943" i="63"/>
  <c r="W943" i="63"/>
  <c r="R943" i="63"/>
  <c r="Q943" i="63"/>
  <c r="O943" i="63"/>
  <c r="N943" i="63"/>
  <c r="H943" i="63"/>
  <c r="G943" i="63"/>
  <c r="BP942" i="63"/>
  <c r="BO942" i="63"/>
  <c r="BQ942" i="63" s="1"/>
  <c r="BM942" i="63"/>
  <c r="BL942" i="63"/>
  <c r="BJ942" i="63"/>
  <c r="BI942" i="63"/>
  <c r="BG942" i="63"/>
  <c r="BF942" i="63"/>
  <c r="BD942" i="63"/>
  <c r="BC942" i="63"/>
  <c r="BA942" i="63"/>
  <c r="AZ942" i="63"/>
  <c r="BB942" i="63" s="1"/>
  <c r="AX942" i="63"/>
  <c r="AW942" i="63"/>
  <c r="AU942" i="63"/>
  <c r="AT942" i="63"/>
  <c r="AR942" i="63"/>
  <c r="AQ942" i="63"/>
  <c r="AO942" i="63"/>
  <c r="AP942" i="63" s="1"/>
  <c r="AN942" i="63"/>
  <c r="AL942" i="63"/>
  <c r="AK942" i="63"/>
  <c r="AI942" i="63"/>
  <c r="AH942" i="63"/>
  <c r="AD942" i="63"/>
  <c r="AC942" i="63"/>
  <c r="X942" i="63"/>
  <c r="W942" i="63"/>
  <c r="R942" i="63"/>
  <c r="Q942" i="63"/>
  <c r="O942" i="63"/>
  <c r="N942" i="63"/>
  <c r="H942" i="63"/>
  <c r="G942" i="63"/>
  <c r="BG941" i="63"/>
  <c r="AZ941" i="63"/>
  <c r="AX941" i="63"/>
  <c r="AR941" i="63"/>
  <c r="AN941" i="63"/>
  <c r="AK941" i="63"/>
  <c r="W941" i="63"/>
  <c r="R941" i="63"/>
  <c r="BP940" i="63"/>
  <c r="BO940" i="63"/>
  <c r="BN940" i="63"/>
  <c r="BM940" i="63"/>
  <c r="BL940" i="63"/>
  <c r="BJ940" i="63"/>
  <c r="BI940" i="63"/>
  <c r="BG940" i="63"/>
  <c r="BF940" i="63"/>
  <c r="BD940" i="63"/>
  <c r="BC940" i="63"/>
  <c r="BA940" i="63"/>
  <c r="AZ940" i="63"/>
  <c r="AX940" i="63"/>
  <c r="AX924" i="63" s="1"/>
  <c r="AW940" i="63"/>
  <c r="AU940" i="63"/>
  <c r="AT940" i="63"/>
  <c r="AR940" i="63"/>
  <c r="AQ940" i="63"/>
  <c r="AO940" i="63"/>
  <c r="AN940" i="63"/>
  <c r="AL940" i="63"/>
  <c r="AK940" i="63"/>
  <c r="AM940" i="63" s="1"/>
  <c r="AI940" i="63"/>
  <c r="AH940" i="63"/>
  <c r="AD940" i="63"/>
  <c r="AC940" i="63"/>
  <c r="AE940" i="63" s="1"/>
  <c r="X940" i="63"/>
  <c r="W940" i="63"/>
  <c r="R940" i="63"/>
  <c r="Q940" i="63"/>
  <c r="O940" i="63"/>
  <c r="N940" i="63"/>
  <c r="T940" i="63" s="1"/>
  <c r="Z940" i="63" s="1"/>
  <c r="H940" i="63"/>
  <c r="G940" i="63"/>
  <c r="G924" i="63" s="1"/>
  <c r="BP939" i="63"/>
  <c r="BO939" i="63"/>
  <c r="BM939" i="63"/>
  <c r="BL939" i="63"/>
  <c r="BJ939" i="63"/>
  <c r="BK939" i="63" s="1"/>
  <c r="BI939" i="63"/>
  <c r="BG939" i="63"/>
  <c r="BF939" i="63"/>
  <c r="BD939" i="63"/>
  <c r="BC939" i="63"/>
  <c r="BA939" i="63"/>
  <c r="BA923" i="63" s="1"/>
  <c r="AZ939" i="63"/>
  <c r="AX939" i="63"/>
  <c r="AW939" i="63"/>
  <c r="AU939" i="63"/>
  <c r="AU923" i="63" s="1"/>
  <c r="AT939" i="63"/>
  <c r="AR939" i="63"/>
  <c r="AR923" i="63" s="1"/>
  <c r="AQ939" i="63"/>
  <c r="AO939" i="63"/>
  <c r="AN939" i="63"/>
  <c r="AN923" i="63" s="1"/>
  <c r="AL939" i="63"/>
  <c r="AK939" i="63"/>
  <c r="AI939" i="63"/>
  <c r="AH939" i="63"/>
  <c r="AD939" i="63"/>
  <c r="AD923" i="63" s="1"/>
  <c r="AC939" i="63"/>
  <c r="X939" i="63"/>
  <c r="W939" i="63"/>
  <c r="W923" i="63" s="1"/>
  <c r="R939" i="63"/>
  <c r="Q939" i="63"/>
  <c r="Q923" i="63" s="1"/>
  <c r="T923" i="63" s="1"/>
  <c r="O939" i="63"/>
  <c r="N939" i="63"/>
  <c r="H939" i="63"/>
  <c r="G939" i="63"/>
  <c r="G923" i="63" s="1"/>
  <c r="BP938" i="63"/>
  <c r="BP922" i="63" s="1"/>
  <c r="BO938" i="63"/>
  <c r="BM938" i="63"/>
  <c r="BL938" i="63"/>
  <c r="BN938" i="63" s="1"/>
  <c r="BJ938" i="63"/>
  <c r="BI938" i="63"/>
  <c r="BG938" i="63"/>
  <c r="BF938" i="63"/>
  <c r="BD938" i="63"/>
  <c r="BC938" i="63"/>
  <c r="BA938" i="63"/>
  <c r="AZ938" i="63"/>
  <c r="AZ922" i="63" s="1"/>
  <c r="AX938" i="63"/>
  <c r="AW938" i="63"/>
  <c r="AU938" i="63"/>
  <c r="AT938" i="63"/>
  <c r="AT922" i="63" s="1"/>
  <c r="AR938" i="63"/>
  <c r="AQ938" i="63"/>
  <c r="AO938" i="63"/>
  <c r="AN938" i="63"/>
  <c r="AN922" i="63" s="1"/>
  <c r="AL938" i="63"/>
  <c r="AK938" i="63"/>
  <c r="AI938" i="63"/>
  <c r="AH938" i="63"/>
  <c r="AD938" i="63"/>
  <c r="AC938" i="63"/>
  <c r="X938" i="63"/>
  <c r="X922" i="63" s="1"/>
  <c r="W938" i="63"/>
  <c r="W922" i="63" s="1"/>
  <c r="R938" i="63"/>
  <c r="Q938" i="63"/>
  <c r="Q922" i="63" s="1"/>
  <c r="O938" i="63"/>
  <c r="U938" i="63" s="1"/>
  <c r="N938" i="63"/>
  <c r="N922" i="63" s="1"/>
  <c r="H938" i="63"/>
  <c r="G938" i="63"/>
  <c r="BP937" i="63"/>
  <c r="BP921" i="63" s="1"/>
  <c r="BO937" i="63"/>
  <c r="BM937" i="63"/>
  <c r="BN937" i="63" s="1"/>
  <c r="BL937" i="63"/>
  <c r="BJ937" i="63"/>
  <c r="BK937" i="63" s="1"/>
  <c r="BI937" i="63"/>
  <c r="BG937" i="63"/>
  <c r="BF937" i="63"/>
  <c r="BD937" i="63"/>
  <c r="BD921" i="63" s="1"/>
  <c r="BC937" i="63"/>
  <c r="BA937" i="63"/>
  <c r="AZ937" i="63"/>
  <c r="AX937" i="63"/>
  <c r="AW937" i="63"/>
  <c r="AU937" i="63"/>
  <c r="AT937" i="63"/>
  <c r="AT921" i="63" s="1"/>
  <c r="AR937" i="63"/>
  <c r="AR921" i="63" s="1"/>
  <c r="AQ937" i="63"/>
  <c r="AO937" i="63"/>
  <c r="AN937" i="63"/>
  <c r="AL937" i="63"/>
  <c r="AM937" i="63" s="1"/>
  <c r="AK937" i="63"/>
  <c r="AI937" i="63"/>
  <c r="AH937" i="63"/>
  <c r="AD937" i="63"/>
  <c r="AD921" i="63" s="1"/>
  <c r="AC937" i="63"/>
  <c r="X937" i="63"/>
  <c r="Y937" i="63" s="1"/>
  <c r="W937" i="63"/>
  <c r="R937" i="63"/>
  <c r="R921" i="63" s="1"/>
  <c r="Q937" i="63"/>
  <c r="O937" i="63"/>
  <c r="N937" i="63"/>
  <c r="H937" i="63"/>
  <c r="H921" i="63" s="1"/>
  <c r="G937" i="63"/>
  <c r="BP936" i="63"/>
  <c r="BP920" i="63" s="1"/>
  <c r="BO936" i="63"/>
  <c r="BM936" i="63"/>
  <c r="BL936" i="63"/>
  <c r="BJ936" i="63"/>
  <c r="BI936" i="63"/>
  <c r="BG936" i="63"/>
  <c r="BF936" i="63"/>
  <c r="BD936" i="63"/>
  <c r="BC936" i="63"/>
  <c r="BE936" i="63" s="1"/>
  <c r="BA936" i="63"/>
  <c r="AZ936" i="63"/>
  <c r="AX936" i="63"/>
  <c r="AW936" i="63"/>
  <c r="AW920" i="63" s="1"/>
  <c r="AU936" i="63"/>
  <c r="AU920" i="63" s="1"/>
  <c r="AT936" i="63"/>
  <c r="AR936" i="63"/>
  <c r="AQ936" i="63"/>
  <c r="AQ920" i="63" s="1"/>
  <c r="AP936" i="63"/>
  <c r="AO936" i="63"/>
  <c r="AN936" i="63"/>
  <c r="AL936" i="63"/>
  <c r="AK936" i="63"/>
  <c r="AI936" i="63"/>
  <c r="AH936" i="63"/>
  <c r="AD936" i="63"/>
  <c r="AD920" i="63" s="1"/>
  <c r="AC936" i="63"/>
  <c r="X936" i="63"/>
  <c r="W936" i="63"/>
  <c r="R936" i="63"/>
  <c r="R920" i="63" s="1"/>
  <c r="Q936" i="63"/>
  <c r="O936" i="63"/>
  <c r="N936" i="63"/>
  <c r="L936" i="63"/>
  <c r="H936" i="63"/>
  <c r="G936" i="63"/>
  <c r="BP935" i="63"/>
  <c r="BO935" i="63"/>
  <c r="BM935" i="63"/>
  <c r="BN935" i="63" s="1"/>
  <c r="BL935" i="63"/>
  <c r="BL919" i="63" s="1"/>
  <c r="BJ935" i="63"/>
  <c r="BI935" i="63"/>
  <c r="BI919" i="63" s="1"/>
  <c r="BG935" i="63"/>
  <c r="BG919" i="63" s="1"/>
  <c r="BF935" i="63"/>
  <c r="BD935" i="63"/>
  <c r="BC935" i="63"/>
  <c r="BA935" i="63"/>
  <c r="AZ935" i="63"/>
  <c r="AX935" i="63"/>
  <c r="AW935" i="63"/>
  <c r="AU935" i="63"/>
  <c r="AV935" i="63" s="1"/>
  <c r="AT935" i="63"/>
  <c r="AR935" i="63"/>
  <c r="AR919" i="63" s="1"/>
  <c r="AQ935" i="63"/>
  <c r="AO935" i="63"/>
  <c r="AN935" i="63"/>
  <c r="AP935" i="63" s="1"/>
  <c r="AL935" i="63"/>
  <c r="AK935" i="63"/>
  <c r="AI935" i="63"/>
  <c r="AH935" i="63"/>
  <c r="AD935" i="63"/>
  <c r="AD919" i="63" s="1"/>
  <c r="AC935" i="63"/>
  <c r="X935" i="63"/>
  <c r="W935" i="63"/>
  <c r="U935" i="63"/>
  <c r="R935" i="63"/>
  <c r="Q935" i="63"/>
  <c r="O935" i="63"/>
  <c r="N935" i="63"/>
  <c r="H935" i="63"/>
  <c r="G935" i="63"/>
  <c r="BP934" i="63"/>
  <c r="BP925" i="63" s="1"/>
  <c r="BM934" i="63"/>
  <c r="BJ934" i="63"/>
  <c r="BI934" i="63"/>
  <c r="BI925" i="63" s="1"/>
  <c r="BD934" i="63"/>
  <c r="AW934" i="63"/>
  <c r="AW925" i="63" s="1"/>
  <c r="AT934" i="63"/>
  <c r="AR934" i="63"/>
  <c r="AN934" i="63"/>
  <c r="AK934" i="63"/>
  <c r="AD934" i="63"/>
  <c r="R934" i="63"/>
  <c r="U934" i="63" s="1"/>
  <c r="O934" i="63"/>
  <c r="P934" i="63" s="1"/>
  <c r="N934" i="63"/>
  <c r="BQ933" i="63"/>
  <c r="BN933" i="63"/>
  <c r="BK933" i="63"/>
  <c r="BH933" i="63"/>
  <c r="BE933" i="63"/>
  <c r="BB933" i="63"/>
  <c r="AY933" i="63"/>
  <c r="AV933" i="63"/>
  <c r="AS933" i="63"/>
  <c r="AP933" i="63"/>
  <c r="AM933" i="63"/>
  <c r="AJ933" i="63"/>
  <c r="AE933" i="63"/>
  <c r="AB933" i="63"/>
  <c r="Y933" i="63"/>
  <c r="V933" i="63"/>
  <c r="S933" i="63"/>
  <c r="P933" i="63"/>
  <c r="M933" i="63"/>
  <c r="I933" i="63"/>
  <c r="BQ932" i="63"/>
  <c r="BN932" i="63"/>
  <c r="BK932" i="63"/>
  <c r="BH932" i="63"/>
  <c r="BE932" i="63"/>
  <c r="BB932" i="63"/>
  <c r="AY932" i="63"/>
  <c r="AV932" i="63"/>
  <c r="AS932" i="63"/>
  <c r="AP932" i="63"/>
  <c r="AM932" i="63"/>
  <c r="AJ932" i="63"/>
  <c r="AE932" i="63"/>
  <c r="Y932" i="63"/>
  <c r="U932" i="63"/>
  <c r="T932" i="63"/>
  <c r="Z932" i="63" s="1"/>
  <c r="S932" i="63"/>
  <c r="P932" i="63"/>
  <c r="L932" i="63"/>
  <c r="M932" i="63" s="1"/>
  <c r="K932" i="63"/>
  <c r="I932" i="63"/>
  <c r="BQ931" i="63"/>
  <c r="BN931" i="63"/>
  <c r="BK931" i="63"/>
  <c r="BH931" i="63"/>
  <c r="BE931" i="63"/>
  <c r="BB931" i="63"/>
  <c r="AY931" i="63"/>
  <c r="AV931" i="63"/>
  <c r="AS931" i="63"/>
  <c r="AP931" i="63"/>
  <c r="AM931" i="63"/>
  <c r="AJ931" i="63"/>
  <c r="AE931" i="63"/>
  <c r="Y931" i="63"/>
  <c r="U931" i="63"/>
  <c r="T931" i="63"/>
  <c r="Z931" i="63" s="1"/>
  <c r="S931" i="63"/>
  <c r="P931" i="63"/>
  <c r="L931" i="63"/>
  <c r="K931" i="63"/>
  <c r="I931" i="63"/>
  <c r="BQ930" i="63"/>
  <c r="BN930" i="63"/>
  <c r="BK930" i="63"/>
  <c r="BH930" i="63"/>
  <c r="BE930" i="63"/>
  <c r="BB930" i="63"/>
  <c r="AY930" i="63"/>
  <c r="AV930" i="63"/>
  <c r="AS930" i="63"/>
  <c r="AP930" i="63"/>
  <c r="AM930" i="63"/>
  <c r="AJ930" i="63"/>
  <c r="AE930" i="63"/>
  <c r="Y930" i="63"/>
  <c r="U930" i="63"/>
  <c r="T930" i="63"/>
  <c r="S930" i="63"/>
  <c r="P930" i="63"/>
  <c r="L930" i="63"/>
  <c r="M930" i="63" s="1"/>
  <c r="K930" i="63"/>
  <c r="I930" i="63"/>
  <c r="BQ929" i="63"/>
  <c r="BN929" i="63"/>
  <c r="BK929" i="63"/>
  <c r="BH929" i="63"/>
  <c r="BE929" i="63"/>
  <c r="BB929" i="63"/>
  <c r="AY929" i="63"/>
  <c r="AV929" i="63"/>
  <c r="AS929" i="63"/>
  <c r="AP929" i="63"/>
  <c r="AM929" i="63"/>
  <c r="AJ929" i="63"/>
  <c r="AE929" i="63"/>
  <c r="Y929" i="63"/>
  <c r="U929" i="63"/>
  <c r="T929" i="63"/>
  <c r="S929" i="63"/>
  <c r="P929" i="63"/>
  <c r="L929" i="63"/>
  <c r="K929" i="63"/>
  <c r="I929" i="63"/>
  <c r="BQ928" i="63"/>
  <c r="BN928" i="63"/>
  <c r="BK928" i="63"/>
  <c r="BH928" i="63"/>
  <c r="BE928" i="63"/>
  <c r="BB928" i="63"/>
  <c r="AY928" i="63"/>
  <c r="AV928" i="63"/>
  <c r="AS928" i="63"/>
  <c r="AP928" i="63"/>
  <c r="AM928" i="63"/>
  <c r="AJ928" i="63"/>
  <c r="AE928" i="63"/>
  <c r="Y928" i="63"/>
  <c r="U928" i="63"/>
  <c r="AA928" i="63" s="1"/>
  <c r="T928" i="63"/>
  <c r="S928" i="63"/>
  <c r="P928" i="63"/>
  <c r="L928" i="63"/>
  <c r="K928" i="63"/>
  <c r="K1030" i="63" s="1"/>
  <c r="I928" i="63"/>
  <c r="BQ927" i="63"/>
  <c r="BN927" i="63"/>
  <c r="BK927" i="63"/>
  <c r="BH927" i="63"/>
  <c r="BE927" i="63"/>
  <c r="BB927" i="63"/>
  <c r="AY927" i="63"/>
  <c r="AV927" i="63"/>
  <c r="AS927" i="63"/>
  <c r="AP927" i="63"/>
  <c r="AM927" i="63"/>
  <c r="AJ927" i="63"/>
  <c r="AE927" i="63"/>
  <c r="Y927" i="63"/>
  <c r="U927" i="63"/>
  <c r="T927" i="63"/>
  <c r="S927" i="63"/>
  <c r="P927" i="63"/>
  <c r="L927" i="63"/>
  <c r="L1029" i="63" s="1"/>
  <c r="K927" i="63"/>
  <c r="I927" i="63"/>
  <c r="BP926" i="63"/>
  <c r="BP1028" i="63" s="1"/>
  <c r="BO926" i="63"/>
  <c r="BM926" i="63"/>
  <c r="BM1028" i="63" s="1"/>
  <c r="BL926" i="63"/>
  <c r="BL1028" i="63" s="1"/>
  <c r="BJ926" i="63"/>
  <c r="BI926" i="63"/>
  <c r="BI1028" i="63" s="1"/>
  <c r="BG926" i="63"/>
  <c r="BF926" i="63"/>
  <c r="BF1028" i="63" s="1"/>
  <c r="BD926" i="63"/>
  <c r="BD1028" i="63" s="1"/>
  <c r="BC926" i="63"/>
  <c r="BA926" i="63"/>
  <c r="AZ926" i="63"/>
  <c r="AX926" i="63"/>
  <c r="AX1028" i="63" s="1"/>
  <c r="AW926" i="63"/>
  <c r="AW1028" i="63" s="1"/>
  <c r="AU926" i="63"/>
  <c r="AT926" i="63"/>
  <c r="AR926" i="63"/>
  <c r="AR1028" i="63" s="1"/>
  <c r="AQ926" i="63"/>
  <c r="AO926" i="63"/>
  <c r="AN926" i="63"/>
  <c r="AL926" i="63"/>
  <c r="AK926" i="63"/>
  <c r="AI926" i="63"/>
  <c r="AH926" i="63"/>
  <c r="AH1028" i="63" s="1"/>
  <c r="AD926" i="63"/>
  <c r="AD1028" i="63" s="1"/>
  <c r="AC926" i="63"/>
  <c r="X926" i="63"/>
  <c r="W926" i="63"/>
  <c r="W1028" i="63" s="1"/>
  <c r="R926" i="63"/>
  <c r="Q926" i="63"/>
  <c r="O926" i="63"/>
  <c r="N926" i="63"/>
  <c r="H926" i="63"/>
  <c r="G926" i="63"/>
  <c r="BM925" i="63"/>
  <c r="AR925" i="63"/>
  <c r="BP924" i="63"/>
  <c r="BO924" i="63"/>
  <c r="BM924" i="63"/>
  <c r="BJ924" i="63"/>
  <c r="BI924" i="63"/>
  <c r="BG924" i="63"/>
  <c r="BD924" i="63"/>
  <c r="BA924" i="63"/>
  <c r="AW924" i="63"/>
  <c r="AU924" i="63"/>
  <c r="AO924" i="63"/>
  <c r="AN924" i="63"/>
  <c r="AP924" i="63" s="1"/>
  <c r="AL924" i="63"/>
  <c r="AI924" i="63"/>
  <c r="AD924" i="63"/>
  <c r="X924" i="63"/>
  <c r="R924" i="63"/>
  <c r="O924" i="63"/>
  <c r="U924" i="63" s="1"/>
  <c r="BP923" i="63"/>
  <c r="BO923" i="63"/>
  <c r="BQ923" i="63" s="1"/>
  <c r="BJ923" i="63"/>
  <c r="BK923" i="63" s="1"/>
  <c r="BF923" i="63"/>
  <c r="BD923" i="63"/>
  <c r="BC923" i="63"/>
  <c r="AZ923" i="63"/>
  <c r="AW923" i="63"/>
  <c r="AL923" i="63"/>
  <c r="AK923" i="63"/>
  <c r="AC923" i="63"/>
  <c r="R923" i="63"/>
  <c r="O923" i="63"/>
  <c r="U923" i="63" s="1"/>
  <c r="N923" i="63"/>
  <c r="BM922" i="63"/>
  <c r="BG922" i="63"/>
  <c r="BC922" i="63"/>
  <c r="AX922" i="63"/>
  <c r="AU922" i="63"/>
  <c r="AR922" i="63"/>
  <c r="AO922" i="63"/>
  <c r="AK922" i="63"/>
  <c r="AI922" i="63"/>
  <c r="O922" i="63"/>
  <c r="G922" i="63"/>
  <c r="BM921" i="63"/>
  <c r="BL921" i="63"/>
  <c r="BI921" i="63"/>
  <c r="BF921" i="63"/>
  <c r="BA921" i="63"/>
  <c r="AW921" i="63"/>
  <c r="AN921" i="63"/>
  <c r="AK921" i="63"/>
  <c r="AH921" i="63"/>
  <c r="W921" i="63"/>
  <c r="O921" i="63"/>
  <c r="N921" i="63"/>
  <c r="BL920" i="63"/>
  <c r="AX920" i="63"/>
  <c r="AR920" i="63"/>
  <c r="AO920" i="63"/>
  <c r="AN920" i="63"/>
  <c r="AP920" i="63" s="1"/>
  <c r="AK920" i="63"/>
  <c r="AI920" i="63"/>
  <c r="AH920" i="63"/>
  <c r="X920" i="63"/>
  <c r="G920" i="63"/>
  <c r="BP919" i="63"/>
  <c r="BM919" i="63"/>
  <c r="BN919" i="63" s="1"/>
  <c r="BD919" i="63"/>
  <c r="AZ919" i="63"/>
  <c r="AT919" i="63"/>
  <c r="AO919" i="63"/>
  <c r="W919" i="63"/>
  <c r="BQ914" i="63"/>
  <c r="BN914" i="63"/>
  <c r="BK914" i="63"/>
  <c r="BH914" i="63"/>
  <c r="BE914" i="63"/>
  <c r="BB914" i="63"/>
  <c r="AY914" i="63"/>
  <c r="AV914" i="63"/>
  <c r="AS914" i="63"/>
  <c r="AP914" i="63"/>
  <c r="AM914" i="63"/>
  <c r="AJ914" i="63"/>
  <c r="AE914" i="63"/>
  <c r="Y914" i="63"/>
  <c r="U914" i="63"/>
  <c r="AA914" i="63" s="1"/>
  <c r="T914" i="63"/>
  <c r="Z914" i="63" s="1"/>
  <c r="S914" i="63"/>
  <c r="P914" i="63"/>
  <c r="L914" i="63"/>
  <c r="K914" i="63"/>
  <c r="I914" i="63"/>
  <c r="BQ913" i="63"/>
  <c r="BN913" i="63"/>
  <c r="BK913" i="63"/>
  <c r="BH913" i="63"/>
  <c r="BE913" i="63"/>
  <c r="BB913" i="63"/>
  <c r="AY913" i="63"/>
  <c r="AV913" i="63"/>
  <c r="AS913" i="63"/>
  <c r="AP913" i="63"/>
  <c r="AM913" i="63"/>
  <c r="AJ913" i="63"/>
  <c r="AE913" i="63"/>
  <c r="Y913" i="63"/>
  <c r="U913" i="63"/>
  <c r="AA913" i="63" s="1"/>
  <c r="T913" i="63"/>
  <c r="S913" i="63"/>
  <c r="P913" i="63"/>
  <c r="L913" i="63"/>
  <c r="K913" i="63"/>
  <c r="I913" i="63"/>
  <c r="BQ912" i="63"/>
  <c r="BN912" i="63"/>
  <c r="BK912" i="63"/>
  <c r="BH912" i="63"/>
  <c r="BE912" i="63"/>
  <c r="BB912" i="63"/>
  <c r="AY912" i="63"/>
  <c r="AV912" i="63"/>
  <c r="AS912" i="63"/>
  <c r="AP912" i="63"/>
  <c r="AM912" i="63"/>
  <c r="AJ912" i="63"/>
  <c r="AE912" i="63"/>
  <c r="Y912" i="63"/>
  <c r="U912" i="63"/>
  <c r="AA912" i="63" s="1"/>
  <c r="T912" i="63"/>
  <c r="Z912" i="63" s="1"/>
  <c r="S912" i="63"/>
  <c r="P912" i="63"/>
  <c r="L912" i="63"/>
  <c r="K912" i="63"/>
  <c r="I912" i="63"/>
  <c r="BQ911" i="63"/>
  <c r="BN911" i="63"/>
  <c r="BK911" i="63"/>
  <c r="BH911" i="63"/>
  <c r="BE911" i="63"/>
  <c r="BB911" i="63"/>
  <c r="AY911" i="63"/>
  <c r="AV911" i="63"/>
  <c r="AS911" i="63"/>
  <c r="AP911" i="63"/>
  <c r="AM911" i="63"/>
  <c r="AJ911" i="63"/>
  <c r="AE911" i="63"/>
  <c r="Y911" i="63"/>
  <c r="U911" i="63"/>
  <c r="AA911" i="63" s="1"/>
  <c r="T911" i="63"/>
  <c r="S911" i="63"/>
  <c r="P911" i="63"/>
  <c r="L911" i="63"/>
  <c r="K911" i="63"/>
  <c r="I911" i="63"/>
  <c r="BQ910" i="63"/>
  <c r="BN910" i="63"/>
  <c r="BK910" i="63"/>
  <c r="BH910" i="63"/>
  <c r="BE910" i="63"/>
  <c r="BB910" i="63"/>
  <c r="AY910" i="63"/>
  <c r="AV910" i="63"/>
  <c r="AS910" i="63"/>
  <c r="AP910" i="63"/>
  <c r="AM910" i="63"/>
  <c r="AJ910" i="63"/>
  <c r="AE910" i="63"/>
  <c r="Y910" i="63"/>
  <c r="U910" i="63"/>
  <c r="AA910" i="63" s="1"/>
  <c r="T910" i="63"/>
  <c r="Z910" i="63" s="1"/>
  <c r="S910" i="63"/>
  <c r="P910" i="63"/>
  <c r="L910" i="63"/>
  <c r="K910" i="63"/>
  <c r="K880" i="63" s="1"/>
  <c r="I910" i="63"/>
  <c r="BP909" i="63"/>
  <c r="BO909" i="63"/>
  <c r="BM909" i="63"/>
  <c r="BL909" i="63"/>
  <c r="BJ909" i="63"/>
  <c r="BI909" i="63"/>
  <c r="BG909" i="63"/>
  <c r="BF909" i="63"/>
  <c r="BD909" i="63"/>
  <c r="BC909" i="63"/>
  <c r="BA909" i="63"/>
  <c r="AZ909" i="63"/>
  <c r="AX909" i="63"/>
  <c r="AW909" i="63"/>
  <c r="AU909" i="63"/>
  <c r="AT909" i="63"/>
  <c r="AR909" i="63"/>
  <c r="AQ909" i="63"/>
  <c r="AO909" i="63"/>
  <c r="AN909" i="63"/>
  <c r="AL909" i="63"/>
  <c r="AK909" i="63"/>
  <c r="AM909" i="63" s="1"/>
  <c r="AI909" i="63"/>
  <c r="AJ909" i="63" s="1"/>
  <c r="AH909" i="63"/>
  <c r="AD909" i="63"/>
  <c r="AC909" i="63"/>
  <c r="X909" i="63"/>
  <c r="W909" i="63"/>
  <c r="R909" i="63"/>
  <c r="Q909" i="63"/>
  <c r="O909" i="63"/>
  <c r="N909" i="63"/>
  <c r="H909" i="63"/>
  <c r="G909" i="63"/>
  <c r="G879" i="63" s="1"/>
  <c r="BQ908" i="63"/>
  <c r="BN908" i="63"/>
  <c r="BK908" i="63"/>
  <c r="BH908" i="63"/>
  <c r="BE908" i="63"/>
  <c r="BB908" i="63"/>
  <c r="AY908" i="63"/>
  <c r="AV908" i="63"/>
  <c r="AS908" i="63"/>
  <c r="AP908" i="63"/>
  <c r="AM908" i="63"/>
  <c r="AJ908" i="63"/>
  <c r="AE908" i="63"/>
  <c r="Y908" i="63"/>
  <c r="U908" i="63"/>
  <c r="AA908" i="63" s="1"/>
  <c r="T908" i="63"/>
  <c r="Z908" i="63" s="1"/>
  <c r="S908" i="63"/>
  <c r="P908" i="63"/>
  <c r="L908" i="63"/>
  <c r="K908" i="63"/>
  <c r="M908" i="63" s="1"/>
  <c r="I908" i="63"/>
  <c r="BQ907" i="63"/>
  <c r="BN907" i="63"/>
  <c r="BK907" i="63"/>
  <c r="BH907" i="63"/>
  <c r="BE907" i="63"/>
  <c r="BB907" i="63"/>
  <c r="AY907" i="63"/>
  <c r="AV907" i="63"/>
  <c r="AS907" i="63"/>
  <c r="AP907" i="63"/>
  <c r="AM907" i="63"/>
  <c r="AJ907" i="63"/>
  <c r="AE907" i="63"/>
  <c r="Z907" i="63"/>
  <c r="Y907" i="63"/>
  <c r="U907" i="63"/>
  <c r="AA907" i="63" s="1"/>
  <c r="T907" i="63"/>
  <c r="S907" i="63"/>
  <c r="P907" i="63"/>
  <c r="L907" i="63"/>
  <c r="K907" i="63"/>
  <c r="I907" i="63"/>
  <c r="BQ906" i="63"/>
  <c r="BN906" i="63"/>
  <c r="BK906" i="63"/>
  <c r="BH906" i="63"/>
  <c r="BE906" i="63"/>
  <c r="BB906" i="63"/>
  <c r="AY906" i="63"/>
  <c r="AV906" i="63"/>
  <c r="AS906" i="63"/>
  <c r="AP906" i="63"/>
  <c r="AM906" i="63"/>
  <c r="AJ906" i="63"/>
  <c r="AE906" i="63"/>
  <c r="Y906" i="63"/>
  <c r="U906" i="63"/>
  <c r="T906" i="63"/>
  <c r="Z906" i="63" s="1"/>
  <c r="S906" i="63"/>
  <c r="P906" i="63"/>
  <c r="L906" i="63"/>
  <c r="K906" i="63"/>
  <c r="I906" i="63"/>
  <c r="BQ905" i="63"/>
  <c r="BN905" i="63"/>
  <c r="BK905" i="63"/>
  <c r="BH905" i="63"/>
  <c r="BE905" i="63"/>
  <c r="BB905" i="63"/>
  <c r="AY905" i="63"/>
  <c r="AV905" i="63"/>
  <c r="AS905" i="63"/>
  <c r="AP905" i="63"/>
  <c r="AM905" i="63"/>
  <c r="AJ905" i="63"/>
  <c r="AE905" i="63"/>
  <c r="AA905" i="63"/>
  <c r="Y905" i="63"/>
  <c r="U905" i="63"/>
  <c r="T905" i="63"/>
  <c r="Z905" i="63" s="1"/>
  <c r="S905" i="63"/>
  <c r="P905" i="63"/>
  <c r="L905" i="63"/>
  <c r="K905" i="63"/>
  <c r="I905" i="63"/>
  <c r="BQ904" i="63"/>
  <c r="BN904" i="63"/>
  <c r="BK904" i="63"/>
  <c r="BH904" i="63"/>
  <c r="BE904" i="63"/>
  <c r="BB904" i="63"/>
  <c r="AY904" i="63"/>
  <c r="AV904" i="63"/>
  <c r="AS904" i="63"/>
  <c r="AP904" i="63"/>
  <c r="AM904" i="63"/>
  <c r="AJ904" i="63"/>
  <c r="AE904" i="63"/>
  <c r="Y904" i="63"/>
  <c r="U904" i="63"/>
  <c r="T904" i="63"/>
  <c r="Z904" i="63" s="1"/>
  <c r="S904" i="63"/>
  <c r="P904" i="63"/>
  <c r="L904" i="63"/>
  <c r="M904" i="63" s="1"/>
  <c r="K904" i="63"/>
  <c r="I904" i="63"/>
  <c r="BQ903" i="63"/>
  <c r="BN903" i="63"/>
  <c r="BK903" i="63"/>
  <c r="BH903" i="63"/>
  <c r="BE903" i="63"/>
  <c r="BB903" i="63"/>
  <c r="AY903" i="63"/>
  <c r="AV903" i="63"/>
  <c r="AS903" i="63"/>
  <c r="AP903" i="63"/>
  <c r="AM903" i="63"/>
  <c r="AJ903" i="63"/>
  <c r="AE903" i="63"/>
  <c r="Y903" i="63"/>
  <c r="U903" i="63"/>
  <c r="T903" i="63"/>
  <c r="S903" i="63"/>
  <c r="P903" i="63"/>
  <c r="L903" i="63"/>
  <c r="M903" i="63" s="1"/>
  <c r="K903" i="63"/>
  <c r="I903" i="63"/>
  <c r="BQ902" i="63"/>
  <c r="BN902" i="63"/>
  <c r="BK902" i="63"/>
  <c r="BH902" i="63"/>
  <c r="BE902" i="63"/>
  <c r="BB902" i="63"/>
  <c r="AY902" i="63"/>
  <c r="AV902" i="63"/>
  <c r="AS902" i="63"/>
  <c r="AP902" i="63"/>
  <c r="AM902" i="63"/>
  <c r="AJ902" i="63"/>
  <c r="AE902" i="63"/>
  <c r="Y902" i="63"/>
  <c r="U902" i="63"/>
  <c r="T902" i="63"/>
  <c r="Z902" i="63" s="1"/>
  <c r="S902" i="63"/>
  <c r="P902" i="63"/>
  <c r="L902" i="63"/>
  <c r="K902" i="63"/>
  <c r="I902" i="63"/>
  <c r="BQ901" i="63"/>
  <c r="BN901" i="63"/>
  <c r="BK901" i="63"/>
  <c r="BH901" i="63"/>
  <c r="BE901" i="63"/>
  <c r="BB901" i="63"/>
  <c r="AY901" i="63"/>
  <c r="AV901" i="63"/>
  <c r="AS901" i="63"/>
  <c r="AP901" i="63"/>
  <c r="AM901" i="63"/>
  <c r="AJ901" i="63"/>
  <c r="AE901" i="63"/>
  <c r="Y901" i="63"/>
  <c r="U901" i="63"/>
  <c r="T901" i="63"/>
  <c r="Z901" i="63" s="1"/>
  <c r="S901" i="63"/>
  <c r="P901" i="63"/>
  <c r="L901" i="63"/>
  <c r="M901" i="63" s="1"/>
  <c r="K901" i="63"/>
  <c r="I901" i="63"/>
  <c r="BP900" i="63"/>
  <c r="BO900" i="63"/>
  <c r="BM900" i="63"/>
  <c r="BL900" i="63"/>
  <c r="BJ900" i="63"/>
  <c r="BI900" i="63"/>
  <c r="BG900" i="63"/>
  <c r="BH900" i="63" s="1"/>
  <c r="BF900" i="63"/>
  <c r="BD900" i="63"/>
  <c r="BE900" i="63" s="1"/>
  <c r="BC900" i="63"/>
  <c r="BA900" i="63"/>
  <c r="AZ900" i="63"/>
  <c r="AX900" i="63"/>
  <c r="AW900" i="63"/>
  <c r="AY900" i="63" s="1"/>
  <c r="AU900" i="63"/>
  <c r="AT900" i="63"/>
  <c r="AR900" i="63"/>
  <c r="AQ900" i="63"/>
  <c r="AO900" i="63"/>
  <c r="AN900" i="63"/>
  <c r="AL900" i="63"/>
  <c r="AK900" i="63"/>
  <c r="AK872" i="63" s="1"/>
  <c r="AI900" i="63"/>
  <c r="AH900" i="63"/>
  <c r="AD900" i="63"/>
  <c r="AC900" i="63"/>
  <c r="AC885" i="63" s="1"/>
  <c r="AC915" i="63" s="1"/>
  <c r="X900" i="63"/>
  <c r="W900" i="63"/>
  <c r="Y900" i="63" s="1"/>
  <c r="R900" i="63"/>
  <c r="Q900" i="63"/>
  <c r="O900" i="63"/>
  <c r="N900" i="63"/>
  <c r="H900" i="63"/>
  <c r="G900" i="63"/>
  <c r="BQ899" i="63"/>
  <c r="BN899" i="63"/>
  <c r="BK899" i="63"/>
  <c r="BH899" i="63"/>
  <c r="BE899" i="63"/>
  <c r="BB899" i="63"/>
  <c r="AY899" i="63"/>
  <c r="AV899" i="63"/>
  <c r="AS899" i="63"/>
  <c r="AP899" i="63"/>
  <c r="AM899" i="63"/>
  <c r="AJ899" i="63"/>
  <c r="AE899" i="63"/>
  <c r="Y899" i="63"/>
  <c r="U899" i="63"/>
  <c r="AA899" i="63" s="1"/>
  <c r="T899" i="63"/>
  <c r="Z899" i="63" s="1"/>
  <c r="S899" i="63"/>
  <c r="P899" i="63"/>
  <c r="L899" i="63"/>
  <c r="K899" i="63"/>
  <c r="I899" i="63"/>
  <c r="BQ898" i="63"/>
  <c r="BN898" i="63"/>
  <c r="BK898" i="63"/>
  <c r="BH898" i="63"/>
  <c r="BE898" i="63"/>
  <c r="BB898" i="63"/>
  <c r="AY898" i="63"/>
  <c r="AV898" i="63"/>
  <c r="AS898" i="63"/>
  <c r="AP898" i="63"/>
  <c r="AM898" i="63"/>
  <c r="AJ898" i="63"/>
  <c r="AE898" i="63"/>
  <c r="Y898" i="63"/>
  <c r="U898" i="63"/>
  <c r="AA898" i="63" s="1"/>
  <c r="T898" i="63"/>
  <c r="Z898" i="63" s="1"/>
  <c r="S898" i="63"/>
  <c r="P898" i="63"/>
  <c r="L898" i="63"/>
  <c r="K898" i="63"/>
  <c r="I898" i="63"/>
  <c r="BQ897" i="63"/>
  <c r="BN897" i="63"/>
  <c r="BK897" i="63"/>
  <c r="BH897" i="63"/>
  <c r="BE897" i="63"/>
  <c r="BB897" i="63"/>
  <c r="AY897" i="63"/>
  <c r="AV897" i="63"/>
  <c r="AS897" i="63"/>
  <c r="AP897" i="63"/>
  <c r="AM897" i="63"/>
  <c r="AJ897" i="63"/>
  <c r="AE897" i="63"/>
  <c r="Y897" i="63"/>
  <c r="U897" i="63"/>
  <c r="AA897" i="63" s="1"/>
  <c r="T897" i="63"/>
  <c r="Z897" i="63" s="1"/>
  <c r="S897" i="63"/>
  <c r="P897" i="63"/>
  <c r="L897" i="63"/>
  <c r="M897" i="63" s="1"/>
  <c r="K897" i="63"/>
  <c r="I897" i="63"/>
  <c r="BQ896" i="63"/>
  <c r="BN896" i="63"/>
  <c r="BK896" i="63"/>
  <c r="BH896" i="63"/>
  <c r="BE896" i="63"/>
  <c r="BB896" i="63"/>
  <c r="AY896" i="63"/>
  <c r="AV896" i="63"/>
  <c r="AS896" i="63"/>
  <c r="AP896" i="63"/>
  <c r="AM896" i="63"/>
  <c r="AJ896" i="63"/>
  <c r="AE896" i="63"/>
  <c r="Y896" i="63"/>
  <c r="U896" i="63"/>
  <c r="T896" i="63"/>
  <c r="Z896" i="63" s="1"/>
  <c r="S896" i="63"/>
  <c r="P896" i="63"/>
  <c r="L896" i="63"/>
  <c r="K896" i="63"/>
  <c r="M896" i="63" s="1"/>
  <c r="I896" i="63"/>
  <c r="BP895" i="63"/>
  <c r="BO895" i="63"/>
  <c r="BM895" i="63"/>
  <c r="BM890" i="63" s="1"/>
  <c r="BL895" i="63"/>
  <c r="BJ895" i="63"/>
  <c r="BI895" i="63"/>
  <c r="BI892" i="63" s="1"/>
  <c r="BH895" i="63"/>
  <c r="BG895" i="63"/>
  <c r="BF895" i="63"/>
  <c r="BD895" i="63"/>
  <c r="BC895" i="63"/>
  <c r="BA895" i="63"/>
  <c r="AZ895" i="63"/>
  <c r="AZ892" i="63" s="1"/>
  <c r="AX895" i="63"/>
  <c r="AW895" i="63"/>
  <c r="AW890" i="63" s="1"/>
  <c r="AU895" i="63"/>
  <c r="AT895" i="63"/>
  <c r="AR895" i="63"/>
  <c r="AS895" i="63" s="1"/>
  <c r="AQ895" i="63"/>
  <c r="AO895" i="63"/>
  <c r="AN895" i="63"/>
  <c r="AL895" i="63"/>
  <c r="AK895" i="63"/>
  <c r="AK890" i="63" s="1"/>
  <c r="AI895" i="63"/>
  <c r="AJ895" i="63" s="1"/>
  <c r="AH895" i="63"/>
  <c r="AE895" i="63"/>
  <c r="AD895" i="63"/>
  <c r="AD892" i="63" s="1"/>
  <c r="AE892" i="63" s="1"/>
  <c r="AC895" i="63"/>
  <c r="AC890" i="63" s="1"/>
  <c r="X895" i="63"/>
  <c r="W895" i="63"/>
  <c r="W892" i="63" s="1"/>
  <c r="R895" i="63"/>
  <c r="Q895" i="63"/>
  <c r="O895" i="63"/>
  <c r="N895" i="63"/>
  <c r="N892" i="63" s="1"/>
  <c r="H895" i="63"/>
  <c r="H890" i="63" s="1"/>
  <c r="G895" i="63"/>
  <c r="G890" i="63" s="1"/>
  <c r="BQ894" i="63"/>
  <c r="BN894" i="63"/>
  <c r="BK894" i="63"/>
  <c r="BH894" i="63"/>
  <c r="BE894" i="63"/>
  <c r="BB894" i="63"/>
  <c r="AY894" i="63"/>
  <c r="AV894" i="63"/>
  <c r="AS894" i="63"/>
  <c r="AP894" i="63"/>
  <c r="AM894" i="63"/>
  <c r="AJ894" i="63"/>
  <c r="AE894" i="63"/>
  <c r="Y894" i="63"/>
  <c r="U894" i="63"/>
  <c r="AA894" i="63" s="1"/>
  <c r="T894" i="63"/>
  <c r="Z894" i="63" s="1"/>
  <c r="S894" i="63"/>
  <c r="P894" i="63"/>
  <c r="L894" i="63"/>
  <c r="K894" i="63"/>
  <c r="I894" i="63"/>
  <c r="BQ893" i="63"/>
  <c r="BN893" i="63"/>
  <c r="BK893" i="63"/>
  <c r="BH893" i="63"/>
  <c r="BE893" i="63"/>
  <c r="BB893" i="63"/>
  <c r="AY893" i="63"/>
  <c r="AV893" i="63"/>
  <c r="AS893" i="63"/>
  <c r="AP893" i="63"/>
  <c r="AM893" i="63"/>
  <c r="AJ893" i="63"/>
  <c r="AE893" i="63"/>
  <c r="Y893" i="63"/>
  <c r="U893" i="63"/>
  <c r="T893" i="63"/>
  <c r="S893" i="63"/>
  <c r="P893" i="63"/>
  <c r="L893" i="63"/>
  <c r="M893" i="63" s="1"/>
  <c r="K893" i="63"/>
  <c r="I893" i="63"/>
  <c r="BJ892" i="63"/>
  <c r="BF892" i="63"/>
  <c r="AW892" i="63"/>
  <c r="AT892" i="63"/>
  <c r="AO892" i="63"/>
  <c r="AN892" i="63"/>
  <c r="AK892" i="63"/>
  <c r="AK885" i="63" s="1"/>
  <c r="AK915" i="63" s="1"/>
  <c r="AI892" i="63"/>
  <c r="AH892" i="63"/>
  <c r="AH885" i="63" s="1"/>
  <c r="AC892" i="63"/>
  <c r="X892" i="63"/>
  <c r="X885" i="63" s="1"/>
  <c r="X915" i="63" s="1"/>
  <c r="O892" i="63"/>
  <c r="O885" i="63" s="1"/>
  <c r="G892" i="63"/>
  <c r="BP891" i="63"/>
  <c r="BO891" i="63"/>
  <c r="BM891" i="63"/>
  <c r="BL891" i="63"/>
  <c r="BJ891" i="63"/>
  <c r="BI891" i="63"/>
  <c r="BG891" i="63"/>
  <c r="BF891" i="63"/>
  <c r="BD891" i="63"/>
  <c r="BE891" i="63" s="1"/>
  <c r="BC891" i="63"/>
  <c r="BA891" i="63"/>
  <c r="BB891" i="63" s="1"/>
  <c r="AZ891" i="63"/>
  <c r="AX891" i="63"/>
  <c r="AY891" i="63" s="1"/>
  <c r="AW891" i="63"/>
  <c r="AU891" i="63"/>
  <c r="AT891" i="63"/>
  <c r="AR891" i="63"/>
  <c r="AQ891" i="63"/>
  <c r="AO891" i="63"/>
  <c r="AP891" i="63" s="1"/>
  <c r="AN891" i="63"/>
  <c r="AL891" i="63"/>
  <c r="AK891" i="63"/>
  <c r="AI891" i="63"/>
  <c r="AJ891" i="63" s="1"/>
  <c r="AH891" i="63"/>
  <c r="AE891" i="63"/>
  <c r="AD891" i="63"/>
  <c r="AC891" i="63"/>
  <c r="X891" i="63"/>
  <c r="W891" i="63"/>
  <c r="R891" i="63"/>
  <c r="Q891" i="63"/>
  <c r="O891" i="63"/>
  <c r="N891" i="63"/>
  <c r="H891" i="63"/>
  <c r="G891" i="63"/>
  <c r="BJ890" i="63"/>
  <c r="BF890" i="63"/>
  <c r="AT890" i="63"/>
  <c r="AN890" i="63"/>
  <c r="AI890" i="63"/>
  <c r="AH890" i="63"/>
  <c r="AD890" i="63"/>
  <c r="AE890" i="63" s="1"/>
  <c r="X890" i="63"/>
  <c r="O890" i="63"/>
  <c r="BP889" i="63"/>
  <c r="BQ889" i="63" s="1"/>
  <c r="BO889" i="63"/>
  <c r="BM889" i="63"/>
  <c r="BL889" i="63"/>
  <c r="BJ889" i="63"/>
  <c r="BI889" i="63"/>
  <c r="BG889" i="63"/>
  <c r="BF889" i="63"/>
  <c r="BD889" i="63"/>
  <c r="BE889" i="63" s="1"/>
  <c r="BC889" i="63"/>
  <c r="BA889" i="63"/>
  <c r="AZ889" i="63"/>
  <c r="AX889" i="63"/>
  <c r="AW889" i="63"/>
  <c r="AU889" i="63"/>
  <c r="AT889" i="63"/>
  <c r="AR889" i="63"/>
  <c r="AS889" i="63" s="1"/>
  <c r="AQ889" i="63"/>
  <c r="AO889" i="63"/>
  <c r="AN889" i="63"/>
  <c r="AL889" i="63"/>
  <c r="AK889" i="63"/>
  <c r="AI889" i="63"/>
  <c r="AH889" i="63"/>
  <c r="AE889" i="63"/>
  <c r="AD889" i="63"/>
  <c r="AC889" i="63"/>
  <c r="X889" i="63"/>
  <c r="W889" i="63"/>
  <c r="R889" i="63"/>
  <c r="Q889" i="63"/>
  <c r="S889" i="63" s="1"/>
  <c r="O889" i="63"/>
  <c r="U889" i="63" s="1"/>
  <c r="N889" i="63"/>
  <c r="H889" i="63"/>
  <c r="G889" i="63"/>
  <c r="BP888" i="63"/>
  <c r="BO888" i="63"/>
  <c r="BQ888" i="63" s="1"/>
  <c r="BM888" i="63"/>
  <c r="BL888" i="63"/>
  <c r="BJ888" i="63"/>
  <c r="BI888" i="63"/>
  <c r="BG888" i="63"/>
  <c r="BF888" i="63"/>
  <c r="BD888" i="63"/>
  <c r="BC888" i="63"/>
  <c r="BA888" i="63"/>
  <c r="AZ888" i="63"/>
  <c r="BB888" i="63" s="1"/>
  <c r="AX888" i="63"/>
  <c r="AW888" i="63"/>
  <c r="AU888" i="63"/>
  <c r="AT888" i="63"/>
  <c r="AR888" i="63"/>
  <c r="AQ888" i="63"/>
  <c r="AO888" i="63"/>
  <c r="AN888" i="63"/>
  <c r="AL888" i="63"/>
  <c r="AK888" i="63"/>
  <c r="AI888" i="63"/>
  <c r="AH888" i="63"/>
  <c r="AD888" i="63"/>
  <c r="AC888" i="63"/>
  <c r="X888" i="63"/>
  <c r="W888" i="63"/>
  <c r="R888" i="63"/>
  <c r="S888" i="63" s="1"/>
  <c r="Q888" i="63"/>
  <c r="O888" i="63"/>
  <c r="N888" i="63"/>
  <c r="H888" i="63"/>
  <c r="G888" i="63"/>
  <c r="BP887" i="63"/>
  <c r="BO887" i="63"/>
  <c r="BN887" i="63"/>
  <c r="BM887" i="63"/>
  <c r="BL887" i="63"/>
  <c r="BJ887" i="63"/>
  <c r="BI887" i="63"/>
  <c r="BG887" i="63"/>
  <c r="BF887" i="63"/>
  <c r="BD887" i="63"/>
  <c r="BC887" i="63"/>
  <c r="BA887" i="63"/>
  <c r="AZ887" i="63"/>
  <c r="BB887" i="63" s="1"/>
  <c r="AX887" i="63"/>
  <c r="AW887" i="63"/>
  <c r="AU887" i="63"/>
  <c r="AT887" i="63"/>
  <c r="AR887" i="63"/>
  <c r="AQ887" i="63"/>
  <c r="AO887" i="63"/>
  <c r="AP887" i="63" s="1"/>
  <c r="AN887" i="63"/>
  <c r="AL887" i="63"/>
  <c r="AK887" i="63"/>
  <c r="AI887" i="63"/>
  <c r="AH887" i="63"/>
  <c r="AD887" i="63"/>
  <c r="AE887" i="63" s="1"/>
  <c r="AC887" i="63"/>
  <c r="X887" i="63"/>
  <c r="W887" i="63"/>
  <c r="T887" i="63"/>
  <c r="R887" i="63"/>
  <c r="Q887" i="63"/>
  <c r="O887" i="63"/>
  <c r="P887" i="63" s="1"/>
  <c r="N887" i="63"/>
  <c r="H887" i="63"/>
  <c r="G887" i="63"/>
  <c r="BP886" i="63"/>
  <c r="BO886" i="63"/>
  <c r="BM886" i="63"/>
  <c r="BL886" i="63"/>
  <c r="BJ886" i="63"/>
  <c r="BI886" i="63"/>
  <c r="BG886" i="63"/>
  <c r="BF886" i="63"/>
  <c r="BD886" i="63"/>
  <c r="BE886" i="63" s="1"/>
  <c r="BC886" i="63"/>
  <c r="BA886" i="63"/>
  <c r="AZ886" i="63"/>
  <c r="AX886" i="63"/>
  <c r="AW886" i="63"/>
  <c r="AU886" i="63"/>
  <c r="AT886" i="63"/>
  <c r="AR886" i="63"/>
  <c r="AS886" i="63" s="1"/>
  <c r="AQ886" i="63"/>
  <c r="AO886" i="63"/>
  <c r="AP886" i="63" s="1"/>
  <c r="AN886" i="63"/>
  <c r="AL886" i="63"/>
  <c r="AK886" i="63"/>
  <c r="AI886" i="63"/>
  <c r="AJ886" i="63" s="1"/>
  <c r="AH886" i="63"/>
  <c r="AD886" i="63"/>
  <c r="AC886" i="63"/>
  <c r="X886" i="63"/>
  <c r="W886" i="63"/>
  <c r="S886" i="63"/>
  <c r="R886" i="63"/>
  <c r="Q886" i="63"/>
  <c r="O886" i="63"/>
  <c r="N886" i="63"/>
  <c r="H886" i="63"/>
  <c r="G886" i="63"/>
  <c r="BF885" i="63"/>
  <c r="BF915" i="63" s="1"/>
  <c r="AW885" i="63"/>
  <c r="AW915" i="63" s="1"/>
  <c r="BP883" i="63"/>
  <c r="BO883" i="63"/>
  <c r="BM883" i="63"/>
  <c r="BN883" i="63" s="1"/>
  <c r="BL883" i="63"/>
  <c r="BJ883" i="63"/>
  <c r="BI883" i="63"/>
  <c r="BG883" i="63"/>
  <c r="BH883" i="63" s="1"/>
  <c r="BF883" i="63"/>
  <c r="BD883" i="63"/>
  <c r="BC883" i="63"/>
  <c r="BE883" i="63" s="1"/>
  <c r="BA883" i="63"/>
  <c r="BB883" i="63" s="1"/>
  <c r="AZ883" i="63"/>
  <c r="AX883" i="63"/>
  <c r="AW883" i="63"/>
  <c r="AU883" i="63"/>
  <c r="AV883" i="63" s="1"/>
  <c r="AT883" i="63"/>
  <c r="AR883" i="63"/>
  <c r="AQ883" i="63"/>
  <c r="AO883" i="63"/>
  <c r="AN883" i="63"/>
  <c r="AL883" i="63"/>
  <c r="AK883" i="63"/>
  <c r="AI883" i="63"/>
  <c r="AH883" i="63"/>
  <c r="AD883" i="63"/>
  <c r="AC883" i="63"/>
  <c r="X883" i="63"/>
  <c r="W883" i="63"/>
  <c r="R883" i="63"/>
  <c r="Q883" i="63"/>
  <c r="O883" i="63"/>
  <c r="N883" i="63"/>
  <c r="H883" i="63"/>
  <c r="G883" i="63"/>
  <c r="BP882" i="63"/>
  <c r="BO882" i="63"/>
  <c r="BQ882" i="63" s="1"/>
  <c r="BM882" i="63"/>
  <c r="BL882" i="63"/>
  <c r="BJ882" i="63"/>
  <c r="BI882" i="63"/>
  <c r="BG882" i="63"/>
  <c r="BF882" i="63"/>
  <c r="BD882" i="63"/>
  <c r="BC882" i="63"/>
  <c r="BB882" i="63"/>
  <c r="BA882" i="63"/>
  <c r="AZ882" i="63"/>
  <c r="AX882" i="63"/>
  <c r="AW882" i="63"/>
  <c r="AU882" i="63"/>
  <c r="AT882" i="63"/>
  <c r="AR882" i="63"/>
  <c r="AQ882" i="63"/>
  <c r="AO882" i="63"/>
  <c r="AP882" i="63" s="1"/>
  <c r="AN882" i="63"/>
  <c r="AL882" i="63"/>
  <c r="AK882" i="63"/>
  <c r="AI882" i="63"/>
  <c r="AH882" i="63"/>
  <c r="AD882" i="63"/>
  <c r="AE882" i="63" s="1"/>
  <c r="AC882" i="63"/>
  <c r="X882" i="63"/>
  <c r="W882" i="63"/>
  <c r="R882" i="63"/>
  <c r="S882" i="63" s="1"/>
  <c r="Q882" i="63"/>
  <c r="O882" i="63"/>
  <c r="N882" i="63"/>
  <c r="H882" i="63"/>
  <c r="I882" i="63" s="1"/>
  <c r="G882" i="63"/>
  <c r="BP881" i="63"/>
  <c r="BO881" i="63"/>
  <c r="BQ881" i="63" s="1"/>
  <c r="BM881" i="63"/>
  <c r="BL881" i="63"/>
  <c r="BJ881" i="63"/>
  <c r="BI881" i="63"/>
  <c r="BG881" i="63"/>
  <c r="BF881" i="63"/>
  <c r="BD881" i="63"/>
  <c r="BC881" i="63"/>
  <c r="BA881" i="63"/>
  <c r="AZ881" i="63"/>
  <c r="AX881" i="63"/>
  <c r="AW881" i="63"/>
  <c r="AU881" i="63"/>
  <c r="AT881" i="63"/>
  <c r="AR881" i="63"/>
  <c r="AQ881" i="63"/>
  <c r="AO881" i="63"/>
  <c r="AP881" i="63" s="1"/>
  <c r="AN881" i="63"/>
  <c r="AL881" i="63"/>
  <c r="AK881" i="63"/>
  <c r="AI881" i="63"/>
  <c r="AJ881" i="63" s="1"/>
  <c r="AH881" i="63"/>
  <c r="AD881" i="63"/>
  <c r="AC881" i="63"/>
  <c r="X881" i="63"/>
  <c r="W881" i="63"/>
  <c r="R881" i="63"/>
  <c r="Q881" i="63"/>
  <c r="O881" i="63"/>
  <c r="N881" i="63"/>
  <c r="H881" i="63"/>
  <c r="G881" i="63"/>
  <c r="BP880" i="63"/>
  <c r="BO880" i="63"/>
  <c r="BM880" i="63"/>
  <c r="BL880" i="63"/>
  <c r="BJ880" i="63"/>
  <c r="BI880" i="63"/>
  <c r="BG880" i="63"/>
  <c r="BF880" i="63"/>
  <c r="BD880" i="63"/>
  <c r="BC880" i="63"/>
  <c r="BA880" i="63"/>
  <c r="AZ880" i="63"/>
  <c r="AX880" i="63"/>
  <c r="AW880" i="63"/>
  <c r="AU880" i="63"/>
  <c r="AT880" i="63"/>
  <c r="AR880" i="63"/>
  <c r="AS880" i="63" s="1"/>
  <c r="AQ880" i="63"/>
  <c r="AO880" i="63"/>
  <c r="AN880" i="63"/>
  <c r="AL880" i="63"/>
  <c r="AK880" i="63"/>
  <c r="AI880" i="63"/>
  <c r="AH880" i="63"/>
  <c r="AD880" i="63"/>
  <c r="AE880" i="63" s="1"/>
  <c r="AC880" i="63"/>
  <c r="X880" i="63"/>
  <c r="W880" i="63"/>
  <c r="R880" i="63"/>
  <c r="S880" i="63" s="1"/>
  <c r="Q880" i="63"/>
  <c r="O880" i="63"/>
  <c r="P880" i="63" s="1"/>
  <c r="N880" i="63"/>
  <c r="H880" i="63"/>
  <c r="G880" i="63"/>
  <c r="X879" i="63"/>
  <c r="BP878" i="63"/>
  <c r="BO878" i="63"/>
  <c r="BM878" i="63"/>
  <c r="BL878" i="63"/>
  <c r="BJ878" i="63"/>
  <c r="BI878" i="63"/>
  <c r="BG878" i="63"/>
  <c r="BF878" i="63"/>
  <c r="BE878" i="63"/>
  <c r="BD878" i="63"/>
  <c r="BC878" i="63"/>
  <c r="BA878" i="63"/>
  <c r="AZ878" i="63"/>
  <c r="AX878" i="63"/>
  <c r="AW878" i="63"/>
  <c r="AU878" i="63"/>
  <c r="AT878" i="63"/>
  <c r="AR878" i="63"/>
  <c r="AS878" i="63" s="1"/>
  <c r="AQ878" i="63"/>
  <c r="AP878" i="63"/>
  <c r="AO878" i="63"/>
  <c r="AN878" i="63"/>
  <c r="AL878" i="63"/>
  <c r="AK878" i="63"/>
  <c r="AI878" i="63"/>
  <c r="AH878" i="63"/>
  <c r="AD878" i="63"/>
  <c r="AC878" i="63"/>
  <c r="X878" i="63"/>
  <c r="Y878" i="63" s="1"/>
  <c r="W878" i="63"/>
  <c r="R878" i="63"/>
  <c r="Q878" i="63"/>
  <c r="O878" i="63"/>
  <c r="N878" i="63"/>
  <c r="H878" i="63"/>
  <c r="G878" i="63"/>
  <c r="BP877" i="63"/>
  <c r="BQ877" i="63" s="1"/>
  <c r="BO877" i="63"/>
  <c r="BM877" i="63"/>
  <c r="BL877" i="63"/>
  <c r="BJ877" i="63"/>
  <c r="BI877" i="63"/>
  <c r="BG877" i="63"/>
  <c r="BF877" i="63"/>
  <c r="BD877" i="63"/>
  <c r="BE877" i="63" s="1"/>
  <c r="BC877" i="63"/>
  <c r="BA877" i="63"/>
  <c r="AZ877" i="63"/>
  <c r="AX877" i="63"/>
  <c r="AW877" i="63"/>
  <c r="AU877" i="63"/>
  <c r="AT877" i="63"/>
  <c r="AR877" i="63"/>
  <c r="AQ877" i="63"/>
  <c r="AO877" i="63"/>
  <c r="AN877" i="63"/>
  <c r="AL877" i="63"/>
  <c r="AM877" i="63" s="1"/>
  <c r="AK877" i="63"/>
  <c r="AI877" i="63"/>
  <c r="AH877" i="63"/>
  <c r="AD877" i="63"/>
  <c r="AC877" i="63"/>
  <c r="AE877" i="63" s="1"/>
  <c r="X877" i="63"/>
  <c r="W877" i="63"/>
  <c r="R877" i="63"/>
  <c r="Q877" i="63"/>
  <c r="O877" i="63"/>
  <c r="P877" i="63" s="1"/>
  <c r="N877" i="63"/>
  <c r="H877" i="63"/>
  <c r="G877" i="63"/>
  <c r="BQ876" i="63"/>
  <c r="BP876" i="63"/>
  <c r="BO876" i="63"/>
  <c r="BM876" i="63"/>
  <c r="BL876" i="63"/>
  <c r="BJ876" i="63"/>
  <c r="BI876" i="63"/>
  <c r="BG876" i="63"/>
  <c r="BF876" i="63"/>
  <c r="BD876" i="63"/>
  <c r="BC876" i="63"/>
  <c r="BA876" i="63"/>
  <c r="AZ876" i="63"/>
  <c r="AX876" i="63"/>
  <c r="AW876" i="63"/>
  <c r="AU876" i="63"/>
  <c r="AT876" i="63"/>
  <c r="AR876" i="63"/>
  <c r="AS876" i="63" s="1"/>
  <c r="AQ876" i="63"/>
  <c r="AO876" i="63"/>
  <c r="AN876" i="63"/>
  <c r="AL876" i="63"/>
  <c r="AK876" i="63"/>
  <c r="AI876" i="63"/>
  <c r="AH876" i="63"/>
  <c r="AD876" i="63"/>
  <c r="AE876" i="63" s="1"/>
  <c r="AC876" i="63"/>
  <c r="X876" i="63"/>
  <c r="W876" i="63"/>
  <c r="R876" i="63"/>
  <c r="Q876" i="63"/>
  <c r="O876" i="63"/>
  <c r="N876" i="63"/>
  <c r="H876" i="63"/>
  <c r="G876" i="63"/>
  <c r="BP875" i="63"/>
  <c r="BO875" i="63"/>
  <c r="BM875" i="63"/>
  <c r="BL875" i="63"/>
  <c r="BN875" i="63" s="1"/>
  <c r="BJ875" i="63"/>
  <c r="BI875" i="63"/>
  <c r="BG875" i="63"/>
  <c r="BF875" i="63"/>
  <c r="BD875" i="63"/>
  <c r="BE875" i="63" s="1"/>
  <c r="BC875" i="63"/>
  <c r="BA875" i="63"/>
  <c r="AZ875" i="63"/>
  <c r="AX875" i="63"/>
  <c r="AY875" i="63" s="1"/>
  <c r="AW875" i="63"/>
  <c r="AU875" i="63"/>
  <c r="AT875" i="63"/>
  <c r="AS875" i="63"/>
  <c r="AR875" i="63"/>
  <c r="AQ875" i="63"/>
  <c r="AO875" i="63"/>
  <c r="AN875" i="63"/>
  <c r="AL875" i="63"/>
  <c r="AM875" i="63" s="1"/>
  <c r="AK875" i="63"/>
  <c r="AI875" i="63"/>
  <c r="AH875" i="63"/>
  <c r="AD875" i="63"/>
  <c r="AC875" i="63"/>
  <c r="X875" i="63"/>
  <c r="W875" i="63"/>
  <c r="R875" i="63"/>
  <c r="S875" i="63" s="1"/>
  <c r="Q875" i="63"/>
  <c r="O875" i="63"/>
  <c r="N875" i="63"/>
  <c r="H875" i="63"/>
  <c r="G875" i="63"/>
  <c r="BP874" i="63"/>
  <c r="BO874" i="63"/>
  <c r="BQ874" i="63" s="1"/>
  <c r="BM874" i="63"/>
  <c r="BN874" i="63" s="1"/>
  <c r="BL874" i="63"/>
  <c r="BJ874" i="63"/>
  <c r="BI874" i="63"/>
  <c r="BG874" i="63"/>
  <c r="BH874" i="63" s="1"/>
  <c r="BF874" i="63"/>
  <c r="BD874" i="63"/>
  <c r="BE874" i="63" s="1"/>
  <c r="BC874" i="63"/>
  <c r="BA874" i="63"/>
  <c r="AZ874" i="63"/>
  <c r="AX874" i="63"/>
  <c r="AW874" i="63"/>
  <c r="AU874" i="63"/>
  <c r="AT874" i="63"/>
  <c r="AR874" i="63"/>
  <c r="AS874" i="63" s="1"/>
  <c r="AQ874" i="63"/>
  <c r="AO874" i="63"/>
  <c r="AN874" i="63"/>
  <c r="AL874" i="63"/>
  <c r="AK874" i="63"/>
  <c r="AI874" i="63"/>
  <c r="AH874" i="63"/>
  <c r="AD874" i="63"/>
  <c r="AE874" i="63" s="1"/>
  <c r="AC874" i="63"/>
  <c r="X874" i="63"/>
  <c r="W874" i="63"/>
  <c r="S874" i="63"/>
  <c r="R874" i="63"/>
  <c r="Q874" i="63"/>
  <c r="O874" i="63"/>
  <c r="N874" i="63"/>
  <c r="H874" i="63"/>
  <c r="G874" i="63"/>
  <c r="BP873" i="63"/>
  <c r="BO873" i="63"/>
  <c r="BQ873" i="63" s="1"/>
  <c r="BM873" i="63"/>
  <c r="BL873" i="63"/>
  <c r="BJ873" i="63"/>
  <c r="BI873" i="63"/>
  <c r="BG873" i="63"/>
  <c r="BF873" i="63"/>
  <c r="BD873" i="63"/>
  <c r="BE873" i="63" s="1"/>
  <c r="BC873" i="63"/>
  <c r="BA873" i="63"/>
  <c r="AZ873" i="63"/>
  <c r="AX873" i="63"/>
  <c r="AW873" i="63"/>
  <c r="AU873" i="63"/>
  <c r="AT873" i="63"/>
  <c r="AR873" i="63"/>
  <c r="AS873" i="63" s="1"/>
  <c r="AQ873" i="63"/>
  <c r="AO873" i="63"/>
  <c r="AN873" i="63"/>
  <c r="AL873" i="63"/>
  <c r="AK873" i="63"/>
  <c r="AI873" i="63"/>
  <c r="AH873" i="63"/>
  <c r="AD873" i="63"/>
  <c r="AC873" i="63"/>
  <c r="X873" i="63"/>
  <c r="W873" i="63"/>
  <c r="R873" i="63"/>
  <c r="S873" i="63" s="1"/>
  <c r="Q873" i="63"/>
  <c r="O873" i="63"/>
  <c r="N873" i="63"/>
  <c r="H873" i="63"/>
  <c r="G873" i="63"/>
  <c r="AC872" i="63"/>
  <c r="BP871" i="63"/>
  <c r="BQ871" i="63" s="1"/>
  <c r="BO871" i="63"/>
  <c r="BM871" i="63"/>
  <c r="BL871" i="63"/>
  <c r="BJ871" i="63"/>
  <c r="BI871" i="63"/>
  <c r="BG871" i="63"/>
  <c r="BF871" i="63"/>
  <c r="BD871" i="63"/>
  <c r="BC871" i="63"/>
  <c r="BA871" i="63"/>
  <c r="AZ871" i="63"/>
  <c r="AX871" i="63"/>
  <c r="AW871" i="63"/>
  <c r="AU871" i="63"/>
  <c r="AT871" i="63"/>
  <c r="AR871" i="63"/>
  <c r="AQ871" i="63"/>
  <c r="AO871" i="63"/>
  <c r="AN871" i="63"/>
  <c r="AM871" i="63"/>
  <c r="AL871" i="63"/>
  <c r="AK871" i="63"/>
  <c r="AI871" i="63"/>
  <c r="AH871" i="63"/>
  <c r="AD871" i="63"/>
  <c r="AC871" i="63"/>
  <c r="AE871" i="63" s="1"/>
  <c r="X871" i="63"/>
  <c r="W871" i="63"/>
  <c r="R871" i="63"/>
  <c r="Q871" i="63"/>
  <c r="O871" i="63"/>
  <c r="N871" i="63"/>
  <c r="H871" i="63"/>
  <c r="G871" i="63"/>
  <c r="BP870" i="63"/>
  <c r="BO870" i="63"/>
  <c r="BM870" i="63"/>
  <c r="BL870" i="63"/>
  <c r="BJ870" i="63"/>
  <c r="BI870" i="63"/>
  <c r="BG870" i="63"/>
  <c r="BF870" i="63"/>
  <c r="BD870" i="63"/>
  <c r="BC870" i="63"/>
  <c r="BE870" i="63" s="1"/>
  <c r="BA870" i="63"/>
  <c r="BB870" i="63" s="1"/>
  <c r="AZ870" i="63"/>
  <c r="AX870" i="63"/>
  <c r="AW870" i="63"/>
  <c r="AU870" i="63"/>
  <c r="AT870" i="63"/>
  <c r="AR870" i="63"/>
  <c r="AS870" i="63" s="1"/>
  <c r="AQ870" i="63"/>
  <c r="AO870" i="63"/>
  <c r="AN870" i="63"/>
  <c r="AL870" i="63"/>
  <c r="AK870" i="63"/>
  <c r="AI870" i="63"/>
  <c r="AJ870" i="63" s="1"/>
  <c r="AH870" i="63"/>
  <c r="AE870" i="63"/>
  <c r="AD870" i="63"/>
  <c r="AC870" i="63"/>
  <c r="X870" i="63"/>
  <c r="W870" i="63"/>
  <c r="R870" i="63"/>
  <c r="Q870" i="63"/>
  <c r="O870" i="63"/>
  <c r="P870" i="63" s="1"/>
  <c r="N870" i="63"/>
  <c r="H870" i="63"/>
  <c r="G870" i="63"/>
  <c r="BP869" i="63"/>
  <c r="BQ869" i="63" s="1"/>
  <c r="BO869" i="63"/>
  <c r="BM869" i="63"/>
  <c r="BN869" i="63" s="1"/>
  <c r="BL869" i="63"/>
  <c r="BJ869" i="63"/>
  <c r="BI869" i="63"/>
  <c r="BG869" i="63"/>
  <c r="BH869" i="63" s="1"/>
  <c r="BF869" i="63"/>
  <c r="BD869" i="63"/>
  <c r="BC869" i="63"/>
  <c r="BA869" i="63"/>
  <c r="AZ869" i="63"/>
  <c r="AX869" i="63"/>
  <c r="AW869" i="63"/>
  <c r="AU869" i="63"/>
  <c r="AT869" i="63"/>
  <c r="AR869" i="63"/>
  <c r="AQ869" i="63"/>
  <c r="AO869" i="63"/>
  <c r="AP869" i="63" s="1"/>
  <c r="AN869" i="63"/>
  <c r="AM869" i="63"/>
  <c r="AL869" i="63"/>
  <c r="AK869" i="63"/>
  <c r="AI869" i="63"/>
  <c r="AH869" i="63"/>
  <c r="AD869" i="63"/>
  <c r="AC869" i="63"/>
  <c r="AE869" i="63" s="1"/>
  <c r="X869" i="63"/>
  <c r="W869" i="63"/>
  <c r="R869" i="63"/>
  <c r="Q869" i="63"/>
  <c r="O869" i="63"/>
  <c r="N869" i="63"/>
  <c r="H869" i="63"/>
  <c r="G869" i="63"/>
  <c r="BP868" i="63"/>
  <c r="BO868" i="63"/>
  <c r="BQ868" i="63" s="1"/>
  <c r="BM868" i="63"/>
  <c r="BL868" i="63"/>
  <c r="BJ868" i="63"/>
  <c r="BI868" i="63"/>
  <c r="BG868" i="63"/>
  <c r="BF868" i="63"/>
  <c r="BD868" i="63"/>
  <c r="BC868" i="63"/>
  <c r="BE868" i="63" s="1"/>
  <c r="BA868" i="63"/>
  <c r="AZ868" i="63"/>
  <c r="AX868" i="63"/>
  <c r="AW868" i="63"/>
  <c r="AU868" i="63"/>
  <c r="AT868" i="63"/>
  <c r="AR868" i="63"/>
  <c r="AS868" i="63" s="1"/>
  <c r="AQ868" i="63"/>
  <c r="AO868" i="63"/>
  <c r="AN868" i="63"/>
  <c r="AL868" i="63"/>
  <c r="AK868" i="63"/>
  <c r="AI868" i="63"/>
  <c r="AH868" i="63"/>
  <c r="AD868" i="63"/>
  <c r="AE868" i="63" s="1"/>
  <c r="AC868" i="63"/>
  <c r="X868" i="63"/>
  <c r="W868" i="63"/>
  <c r="Y868" i="63" s="1"/>
  <c r="R868" i="63"/>
  <c r="Q868" i="63"/>
  <c r="O868" i="63"/>
  <c r="P868" i="63" s="1"/>
  <c r="N868" i="63"/>
  <c r="H868" i="63"/>
  <c r="G868" i="63"/>
  <c r="BP866" i="63"/>
  <c r="BO866" i="63"/>
  <c r="BQ866" i="63" s="1"/>
  <c r="BM866" i="63"/>
  <c r="BL866" i="63"/>
  <c r="BN866" i="63" s="1"/>
  <c r="BJ866" i="63"/>
  <c r="BI866" i="63"/>
  <c r="BG866" i="63"/>
  <c r="BF866" i="63"/>
  <c r="BD866" i="63"/>
  <c r="BE866" i="63" s="1"/>
  <c r="BC866" i="63"/>
  <c r="BA866" i="63"/>
  <c r="AZ866" i="63"/>
  <c r="AX866" i="63"/>
  <c r="AW866" i="63"/>
  <c r="AU866" i="63"/>
  <c r="AT866" i="63"/>
  <c r="AS866" i="63"/>
  <c r="AR866" i="63"/>
  <c r="AQ866" i="63"/>
  <c r="AO866" i="63"/>
  <c r="AN866" i="63"/>
  <c r="AL866" i="63"/>
  <c r="AK866" i="63"/>
  <c r="AI866" i="63"/>
  <c r="AH866" i="63"/>
  <c r="AD866" i="63"/>
  <c r="AC866" i="63"/>
  <c r="X866" i="63"/>
  <c r="W866" i="63"/>
  <c r="R866" i="63"/>
  <c r="S866" i="63" s="1"/>
  <c r="Q866" i="63"/>
  <c r="O866" i="63"/>
  <c r="N866" i="63"/>
  <c r="P866" i="63" s="1"/>
  <c r="H866" i="63"/>
  <c r="G866" i="63"/>
  <c r="BP865" i="63"/>
  <c r="BO865" i="63"/>
  <c r="BM865" i="63"/>
  <c r="BN865" i="63" s="1"/>
  <c r="BL865" i="63"/>
  <c r="BJ865" i="63"/>
  <c r="BI865" i="63"/>
  <c r="BK865" i="63" s="1"/>
  <c r="BG865" i="63"/>
  <c r="BH865" i="63" s="1"/>
  <c r="BF865" i="63"/>
  <c r="BD865" i="63"/>
  <c r="BC865" i="63"/>
  <c r="BE865" i="63" s="1"/>
  <c r="BA865" i="63"/>
  <c r="AZ865" i="63"/>
  <c r="BB865" i="63" s="1"/>
  <c r="AX865" i="63"/>
  <c r="AY865" i="63" s="1"/>
  <c r="AW865" i="63"/>
  <c r="AU865" i="63"/>
  <c r="AT865" i="63"/>
  <c r="AR865" i="63"/>
  <c r="AQ865" i="63"/>
  <c r="AO865" i="63"/>
  <c r="AN865" i="63"/>
  <c r="AL865" i="63"/>
  <c r="AK865" i="63"/>
  <c r="AI865" i="63"/>
  <c r="AH865" i="63"/>
  <c r="AD865" i="63"/>
  <c r="AE865" i="63" s="1"/>
  <c r="AC865" i="63"/>
  <c r="X865" i="63"/>
  <c r="W865" i="63"/>
  <c r="R865" i="63"/>
  <c r="Q865" i="63"/>
  <c r="O865" i="63"/>
  <c r="N865" i="63"/>
  <c r="H865" i="63"/>
  <c r="G865" i="63"/>
  <c r="AU861" i="63"/>
  <c r="AH860" i="63"/>
  <c r="BQ857" i="63"/>
  <c r="BN857" i="63"/>
  <c r="BK857" i="63"/>
  <c r="BH857" i="63"/>
  <c r="BE857" i="63"/>
  <c r="BB857" i="63"/>
  <c r="AY857" i="63"/>
  <c r="AV857" i="63"/>
  <c r="AS857" i="63"/>
  <c r="AP857" i="63"/>
  <c r="AM857" i="63"/>
  <c r="AJ857" i="63"/>
  <c r="AE857" i="63"/>
  <c r="Y857" i="63"/>
  <c r="U857" i="63"/>
  <c r="T857" i="63"/>
  <c r="Z857" i="63" s="1"/>
  <c r="S857" i="63"/>
  <c r="P857" i="63"/>
  <c r="L857" i="63"/>
  <c r="L883" i="63" s="1"/>
  <c r="K857" i="63"/>
  <c r="I857" i="63"/>
  <c r="BQ856" i="63"/>
  <c r="BN856" i="63"/>
  <c r="BK856" i="63"/>
  <c r="BH856" i="63"/>
  <c r="BE856" i="63"/>
  <c r="BB856" i="63"/>
  <c r="AY856" i="63"/>
  <c r="AV856" i="63"/>
  <c r="AS856" i="63"/>
  <c r="AP856" i="63"/>
  <c r="AM856" i="63"/>
  <c r="AJ856" i="63"/>
  <c r="AE856" i="63"/>
  <c r="AA856" i="63"/>
  <c r="Y856" i="63"/>
  <c r="U856" i="63"/>
  <c r="T856" i="63"/>
  <c r="S856" i="63"/>
  <c r="P856" i="63"/>
  <c r="L856" i="63"/>
  <c r="K856" i="63"/>
  <c r="K882" i="63" s="1"/>
  <c r="I856" i="63"/>
  <c r="BQ855" i="63"/>
  <c r="BN855" i="63"/>
  <c r="BK855" i="63"/>
  <c r="BH855" i="63"/>
  <c r="BE855" i="63"/>
  <c r="BB855" i="63"/>
  <c r="AY855" i="63"/>
  <c r="AV855" i="63"/>
  <c r="AS855" i="63"/>
  <c r="AP855" i="63"/>
  <c r="AM855" i="63"/>
  <c r="AJ855" i="63"/>
  <c r="AE855" i="63"/>
  <c r="Y855" i="63"/>
  <c r="U855" i="63"/>
  <c r="T855" i="63"/>
  <c r="Z855" i="63" s="1"/>
  <c r="S855" i="63"/>
  <c r="P855" i="63"/>
  <c r="L855" i="63"/>
  <c r="K855" i="63"/>
  <c r="I855" i="63"/>
  <c r="BQ854" i="63"/>
  <c r="BN854" i="63"/>
  <c r="BK854" i="63"/>
  <c r="BH854" i="63"/>
  <c r="BE854" i="63"/>
  <c r="BB854" i="63"/>
  <c r="AY854" i="63"/>
  <c r="AV854" i="63"/>
  <c r="AS854" i="63"/>
  <c r="AP854" i="63"/>
  <c r="AM854" i="63"/>
  <c r="AJ854" i="63"/>
  <c r="AE854" i="63"/>
  <c r="Y854" i="63"/>
  <c r="U854" i="63"/>
  <c r="AA854" i="63" s="1"/>
  <c r="T854" i="63"/>
  <c r="S854" i="63"/>
  <c r="P854" i="63"/>
  <c r="L854" i="63"/>
  <c r="M854" i="63" s="1"/>
  <c r="K854" i="63"/>
  <c r="I854" i="63"/>
  <c r="BP853" i="63"/>
  <c r="BO853" i="63"/>
  <c r="BO879" i="63" s="1"/>
  <c r="BM853" i="63"/>
  <c r="BL853" i="63"/>
  <c r="BJ853" i="63"/>
  <c r="BI853" i="63"/>
  <c r="BG853" i="63"/>
  <c r="BF853" i="63"/>
  <c r="BD853" i="63"/>
  <c r="BE853" i="63" s="1"/>
  <c r="BC853" i="63"/>
  <c r="BA853" i="63"/>
  <c r="AZ853" i="63"/>
  <c r="AX853" i="63"/>
  <c r="AX879" i="63" s="1"/>
  <c r="AW853" i="63"/>
  <c r="AU853" i="63"/>
  <c r="AT853" i="63"/>
  <c r="AR853" i="63"/>
  <c r="AR879" i="63" s="1"/>
  <c r="AQ853" i="63"/>
  <c r="AO853" i="63"/>
  <c r="AN853" i="63"/>
  <c r="AN879" i="63" s="1"/>
  <c r="AL853" i="63"/>
  <c r="AL879" i="63" s="1"/>
  <c r="AK853" i="63"/>
  <c r="AI853" i="63"/>
  <c r="AH853" i="63"/>
  <c r="AH879" i="63" s="1"/>
  <c r="AD853" i="63"/>
  <c r="AD879" i="63" s="1"/>
  <c r="AC853" i="63"/>
  <c r="X853" i="63"/>
  <c r="W853" i="63"/>
  <c r="R853" i="63"/>
  <c r="Q853" i="63"/>
  <c r="O853" i="63"/>
  <c r="N853" i="63"/>
  <c r="I853" i="63"/>
  <c r="H853" i="63"/>
  <c r="H879" i="63" s="1"/>
  <c r="G853" i="63"/>
  <c r="BQ852" i="63"/>
  <c r="BN852" i="63"/>
  <c r="BK852" i="63"/>
  <c r="BH852" i="63"/>
  <c r="BE852" i="63"/>
  <c r="BB852" i="63"/>
  <c r="AY852" i="63"/>
  <c r="AV852" i="63"/>
  <c r="AS852" i="63"/>
  <c r="AP852" i="63"/>
  <c r="AM852" i="63"/>
  <c r="AJ852" i="63"/>
  <c r="AE852" i="63"/>
  <c r="Y852" i="63"/>
  <c r="U852" i="63"/>
  <c r="T852" i="63"/>
  <c r="S852" i="63"/>
  <c r="P852" i="63"/>
  <c r="L852" i="63"/>
  <c r="K852" i="63"/>
  <c r="I852" i="63"/>
  <c r="BQ851" i="63"/>
  <c r="BN851" i="63"/>
  <c r="BK851" i="63"/>
  <c r="BH851" i="63"/>
  <c r="BE851" i="63"/>
  <c r="BB851" i="63"/>
  <c r="AY851" i="63"/>
  <c r="AV851" i="63"/>
  <c r="AS851" i="63"/>
  <c r="AP851" i="63"/>
  <c r="AM851" i="63"/>
  <c r="AJ851" i="63"/>
  <c r="AE851" i="63"/>
  <c r="Y851" i="63"/>
  <c r="U851" i="63"/>
  <c r="T851" i="63"/>
  <c r="S851" i="63"/>
  <c r="P851" i="63"/>
  <c r="L851" i="63"/>
  <c r="K851" i="63"/>
  <c r="K877" i="63" s="1"/>
  <c r="I851" i="63"/>
  <c r="BQ850" i="63"/>
  <c r="BN850" i="63"/>
  <c r="BK850" i="63"/>
  <c r="BH850" i="63"/>
  <c r="BE850" i="63"/>
  <c r="BB850" i="63"/>
  <c r="AY850" i="63"/>
  <c r="AV850" i="63"/>
  <c r="AS850" i="63"/>
  <c r="AP850" i="63"/>
  <c r="AM850" i="63"/>
  <c r="AJ850" i="63"/>
  <c r="AE850" i="63"/>
  <c r="Y850" i="63"/>
  <c r="V850" i="63"/>
  <c r="U850" i="63"/>
  <c r="AA850" i="63" s="1"/>
  <c r="T850" i="63"/>
  <c r="S850" i="63"/>
  <c r="P850" i="63"/>
  <c r="L850" i="63"/>
  <c r="K850" i="63"/>
  <c r="I850" i="63"/>
  <c r="BQ849" i="63"/>
  <c r="BN849" i="63"/>
  <c r="BK849" i="63"/>
  <c r="BH849" i="63"/>
  <c r="BE849" i="63"/>
  <c r="BB849" i="63"/>
  <c r="AY849" i="63"/>
  <c r="AV849" i="63"/>
  <c r="AS849" i="63"/>
  <c r="AP849" i="63"/>
  <c r="AM849" i="63"/>
  <c r="AJ849" i="63"/>
  <c r="AE849" i="63"/>
  <c r="Y849" i="63"/>
  <c r="U849" i="63"/>
  <c r="AA849" i="63" s="1"/>
  <c r="T849" i="63"/>
  <c r="Z849" i="63" s="1"/>
  <c r="S849" i="63"/>
  <c r="P849" i="63"/>
  <c r="L849" i="63"/>
  <c r="K849" i="63"/>
  <c r="I849" i="63"/>
  <c r="BQ848" i="63"/>
  <c r="BN848" i="63"/>
  <c r="BK848" i="63"/>
  <c r="BH848" i="63"/>
  <c r="BE848" i="63"/>
  <c r="BB848" i="63"/>
  <c r="AY848" i="63"/>
  <c r="AV848" i="63"/>
  <c r="AS848" i="63"/>
  <c r="AP848" i="63"/>
  <c r="AM848" i="63"/>
  <c r="AJ848" i="63"/>
  <c r="AE848" i="63"/>
  <c r="Y848" i="63"/>
  <c r="U848" i="63"/>
  <c r="AA848" i="63" s="1"/>
  <c r="T848" i="63"/>
  <c r="Z848" i="63" s="1"/>
  <c r="S848" i="63"/>
  <c r="P848" i="63"/>
  <c r="L848" i="63"/>
  <c r="K848" i="63"/>
  <c r="I848" i="63"/>
  <c r="BQ847" i="63"/>
  <c r="BN847" i="63"/>
  <c r="BK847" i="63"/>
  <c r="BH847" i="63"/>
  <c r="BE847" i="63"/>
  <c r="BB847" i="63"/>
  <c r="AY847" i="63"/>
  <c r="AV847" i="63"/>
  <c r="AS847" i="63"/>
  <c r="AP847" i="63"/>
  <c r="AM847" i="63"/>
  <c r="AJ847" i="63"/>
  <c r="AE847" i="63"/>
  <c r="Z847" i="63"/>
  <c r="Y847" i="63"/>
  <c r="U847" i="63"/>
  <c r="AA847" i="63" s="1"/>
  <c r="T847" i="63"/>
  <c r="S847" i="63"/>
  <c r="P847" i="63"/>
  <c r="L847" i="63"/>
  <c r="K847" i="63"/>
  <c r="I847" i="63"/>
  <c r="BQ846" i="63"/>
  <c r="BN846" i="63"/>
  <c r="BK846" i="63"/>
  <c r="BH846" i="63"/>
  <c r="BE846" i="63"/>
  <c r="BB846" i="63"/>
  <c r="AY846" i="63"/>
  <c r="AV846" i="63"/>
  <c r="AS846" i="63"/>
  <c r="AP846" i="63"/>
  <c r="AM846" i="63"/>
  <c r="AJ846" i="63"/>
  <c r="AE846" i="63"/>
  <c r="Y846" i="63"/>
  <c r="U846" i="63"/>
  <c r="AA846" i="63" s="1"/>
  <c r="T846" i="63"/>
  <c r="T874" i="63" s="1"/>
  <c r="S846" i="63"/>
  <c r="P846" i="63"/>
  <c r="L846" i="63"/>
  <c r="L874" i="63" s="1"/>
  <c r="K846" i="63"/>
  <c r="I846" i="63"/>
  <c r="BQ845" i="63"/>
  <c r="BN845" i="63"/>
  <c r="BK845" i="63"/>
  <c r="BH845" i="63"/>
  <c r="BE845" i="63"/>
  <c r="BB845" i="63"/>
  <c r="AY845" i="63"/>
  <c r="AV845" i="63"/>
  <c r="AS845" i="63"/>
  <c r="AP845" i="63"/>
  <c r="AM845" i="63"/>
  <c r="AJ845" i="63"/>
  <c r="AE845" i="63"/>
  <c r="Z845" i="63"/>
  <c r="Y845" i="63"/>
  <c r="U845" i="63"/>
  <c r="T845" i="63"/>
  <c r="S845" i="63"/>
  <c r="P845" i="63"/>
  <c r="L845" i="63"/>
  <c r="L873" i="63" s="1"/>
  <c r="K845" i="63"/>
  <c r="I845" i="63"/>
  <c r="BP844" i="63"/>
  <c r="BP872" i="63" s="1"/>
  <c r="BO844" i="63"/>
  <c r="BO872" i="63" s="1"/>
  <c r="BM844" i="63"/>
  <c r="BL844" i="63"/>
  <c r="BJ844" i="63"/>
  <c r="BJ872" i="63" s="1"/>
  <c r="BI844" i="63"/>
  <c r="BG844" i="63"/>
  <c r="BF844" i="63"/>
  <c r="BF872" i="63" s="1"/>
  <c r="BD844" i="63"/>
  <c r="BC844" i="63"/>
  <c r="BA844" i="63"/>
  <c r="AZ844" i="63"/>
  <c r="AX844" i="63"/>
  <c r="AX872" i="63" s="1"/>
  <c r="AW844" i="63"/>
  <c r="AU844" i="63"/>
  <c r="AU872" i="63" s="1"/>
  <c r="AT844" i="63"/>
  <c r="AT872" i="63" s="1"/>
  <c r="AS844" i="63"/>
  <c r="AR844" i="63"/>
  <c r="AQ844" i="63"/>
  <c r="AO844" i="63"/>
  <c r="AN844" i="63"/>
  <c r="AN872" i="63" s="1"/>
  <c r="AL844" i="63"/>
  <c r="AK844" i="63"/>
  <c r="AI844" i="63"/>
  <c r="AH844" i="63"/>
  <c r="AD844" i="63"/>
  <c r="AC844" i="63"/>
  <c r="X844" i="63"/>
  <c r="X872" i="63" s="1"/>
  <c r="W844" i="63"/>
  <c r="R844" i="63"/>
  <c r="Q844" i="63"/>
  <c r="O844" i="63"/>
  <c r="N844" i="63"/>
  <c r="T844" i="63" s="1"/>
  <c r="Z844" i="63" s="1"/>
  <c r="H844" i="63"/>
  <c r="G844" i="63"/>
  <c r="BQ843" i="63"/>
  <c r="BN843" i="63"/>
  <c r="BK843" i="63"/>
  <c r="BH843" i="63"/>
  <c r="BE843" i="63"/>
  <c r="BB843" i="63"/>
  <c r="AY843" i="63"/>
  <c r="AV843" i="63"/>
  <c r="AS843" i="63"/>
  <c r="AP843" i="63"/>
  <c r="AM843" i="63"/>
  <c r="AJ843" i="63"/>
  <c r="AE843" i="63"/>
  <c r="Y843" i="63"/>
  <c r="U843" i="63"/>
  <c r="T843" i="63"/>
  <c r="T871" i="63" s="1"/>
  <c r="S843" i="63"/>
  <c r="P843" i="63"/>
  <c r="L843" i="63"/>
  <c r="K843" i="63"/>
  <c r="I843" i="63"/>
  <c r="BQ842" i="63"/>
  <c r="BN842" i="63"/>
  <c r="BK842" i="63"/>
  <c r="BH842" i="63"/>
  <c r="BE842" i="63"/>
  <c r="BB842" i="63"/>
  <c r="AY842" i="63"/>
  <c r="AV842" i="63"/>
  <c r="AS842" i="63"/>
  <c r="AP842" i="63"/>
  <c r="AM842" i="63"/>
  <c r="AJ842" i="63"/>
  <c r="AE842" i="63"/>
  <c r="Y842" i="63"/>
  <c r="U842" i="63"/>
  <c r="T842" i="63"/>
  <c r="S842" i="63"/>
  <c r="P842" i="63"/>
  <c r="L842" i="63"/>
  <c r="K842" i="63"/>
  <c r="I842" i="63"/>
  <c r="BQ841" i="63"/>
  <c r="BN841" i="63"/>
  <c r="BK841" i="63"/>
  <c r="BH841" i="63"/>
  <c r="BE841" i="63"/>
  <c r="BB841" i="63"/>
  <c r="AY841" i="63"/>
  <c r="AV841" i="63"/>
  <c r="AS841" i="63"/>
  <c r="AP841" i="63"/>
  <c r="AM841" i="63"/>
  <c r="AJ841" i="63"/>
  <c r="AE841" i="63"/>
  <c r="Y841" i="63"/>
  <c r="V841" i="63"/>
  <c r="U841" i="63"/>
  <c r="T841" i="63"/>
  <c r="T869" i="63" s="1"/>
  <c r="S841" i="63"/>
  <c r="P841" i="63"/>
  <c r="L841" i="63"/>
  <c r="K841" i="63"/>
  <c r="I841" i="63"/>
  <c r="BQ840" i="63"/>
  <c r="BN840" i="63"/>
  <c r="BK840" i="63"/>
  <c r="BH840" i="63"/>
  <c r="BE840" i="63"/>
  <c r="BB840" i="63"/>
  <c r="AY840" i="63"/>
  <c r="AV840" i="63"/>
  <c r="AS840" i="63"/>
  <c r="AP840" i="63"/>
  <c r="AM840" i="63"/>
  <c r="AJ840" i="63"/>
  <c r="AE840" i="63"/>
  <c r="Y840" i="63"/>
  <c r="U840" i="63"/>
  <c r="AA840" i="63" s="1"/>
  <c r="T840" i="63"/>
  <c r="S840" i="63"/>
  <c r="P840" i="63"/>
  <c r="L840" i="63"/>
  <c r="K840" i="63"/>
  <c r="I840" i="63"/>
  <c r="BP839" i="63"/>
  <c r="BO839" i="63"/>
  <c r="BM839" i="63"/>
  <c r="BL839" i="63"/>
  <c r="BL836" i="63" s="1"/>
  <c r="BL829" i="63" s="1"/>
  <c r="BJ839" i="63"/>
  <c r="BJ867" i="63" s="1"/>
  <c r="BI839" i="63"/>
  <c r="BI834" i="63" s="1"/>
  <c r="BG839" i="63"/>
  <c r="BF839" i="63"/>
  <c r="BF867" i="63" s="1"/>
  <c r="BD839" i="63"/>
  <c r="BC839" i="63"/>
  <c r="BC836" i="63" s="1"/>
  <c r="BA839" i="63"/>
  <c r="BA867" i="63" s="1"/>
  <c r="AZ839" i="63"/>
  <c r="AX839" i="63"/>
  <c r="AX834" i="63" s="1"/>
  <c r="AW839" i="63"/>
  <c r="AU839" i="63"/>
  <c r="AT839" i="63"/>
  <c r="AR839" i="63"/>
  <c r="AR834" i="63" s="1"/>
  <c r="AQ839" i="63"/>
  <c r="AQ867" i="63" s="1"/>
  <c r="AO839" i="63"/>
  <c r="AO834" i="63" s="1"/>
  <c r="AN839" i="63"/>
  <c r="AL839" i="63"/>
  <c r="AL834" i="63" s="1"/>
  <c r="AK839" i="63"/>
  <c r="AI839" i="63"/>
  <c r="AH839" i="63"/>
  <c r="AH867" i="63" s="1"/>
  <c r="AD839" i="63"/>
  <c r="AD834" i="63" s="1"/>
  <c r="AC839" i="63"/>
  <c r="X839" i="63"/>
  <c r="W839" i="63"/>
  <c r="R839" i="63"/>
  <c r="R836" i="63" s="1"/>
  <c r="R829" i="63" s="1"/>
  <c r="Q839" i="63"/>
  <c r="O839" i="63"/>
  <c r="O867" i="63" s="1"/>
  <c r="N839" i="63"/>
  <c r="H839" i="63"/>
  <c r="G839" i="63"/>
  <c r="BQ838" i="63"/>
  <c r="BN838" i="63"/>
  <c r="BK838" i="63"/>
  <c r="BH838" i="63"/>
  <c r="BE838" i="63"/>
  <c r="BB838" i="63"/>
  <c r="AY838" i="63"/>
  <c r="AV838" i="63"/>
  <c r="AS838" i="63"/>
  <c r="AP838" i="63"/>
  <c r="AM838" i="63"/>
  <c r="AJ838" i="63"/>
  <c r="AE838" i="63"/>
  <c r="Y838" i="63"/>
  <c r="U838" i="63"/>
  <c r="AA838" i="63" s="1"/>
  <c r="T838" i="63"/>
  <c r="S838" i="63"/>
  <c r="P838" i="63"/>
  <c r="L838" i="63"/>
  <c r="L866" i="63" s="1"/>
  <c r="K838" i="63"/>
  <c r="I838" i="63"/>
  <c r="BQ837" i="63"/>
  <c r="BN837" i="63"/>
  <c r="BK837" i="63"/>
  <c r="BH837" i="63"/>
  <c r="BE837" i="63"/>
  <c r="BB837" i="63"/>
  <c r="AY837" i="63"/>
  <c r="AV837" i="63"/>
  <c r="AS837" i="63"/>
  <c r="AP837" i="63"/>
  <c r="AM837" i="63"/>
  <c r="AJ837" i="63"/>
  <c r="AE837" i="63"/>
  <c r="AA837" i="63"/>
  <c r="Y837" i="63"/>
  <c r="U837" i="63"/>
  <c r="T837" i="63"/>
  <c r="S837" i="63"/>
  <c r="P837" i="63"/>
  <c r="L837" i="63"/>
  <c r="K837" i="63"/>
  <c r="K865" i="63" s="1"/>
  <c r="I837" i="63"/>
  <c r="BP836" i="63"/>
  <c r="BJ836" i="63"/>
  <c r="BF836" i="63"/>
  <c r="BF864" i="63" s="1"/>
  <c r="BA836" i="63"/>
  <c r="AW836" i="63"/>
  <c r="AW829" i="63" s="1"/>
  <c r="AQ836" i="63"/>
  <c r="AQ829" i="63" s="1"/>
  <c r="AL836" i="63"/>
  <c r="AL829" i="63" s="1"/>
  <c r="AH836" i="63"/>
  <c r="AC836" i="63"/>
  <c r="W836" i="63"/>
  <c r="O836" i="63"/>
  <c r="BP835" i="63"/>
  <c r="BO835" i="63"/>
  <c r="BM835" i="63"/>
  <c r="BL835" i="63"/>
  <c r="BJ835" i="63"/>
  <c r="BI835" i="63"/>
  <c r="BG835" i="63"/>
  <c r="BF835" i="63"/>
  <c r="BD835" i="63"/>
  <c r="BC835" i="63"/>
  <c r="BA835" i="63"/>
  <c r="AZ835" i="63"/>
  <c r="AX835" i="63"/>
  <c r="AW835" i="63"/>
  <c r="AU835" i="63"/>
  <c r="AV835" i="63" s="1"/>
  <c r="AT835" i="63"/>
  <c r="AR835" i="63"/>
  <c r="AQ835" i="63"/>
  <c r="AO835" i="63"/>
  <c r="AN835" i="63"/>
  <c r="AL835" i="63"/>
  <c r="AK835" i="63"/>
  <c r="AJ835" i="63"/>
  <c r="AI835" i="63"/>
  <c r="AH835" i="63"/>
  <c r="AD835" i="63"/>
  <c r="AE835" i="63" s="1"/>
  <c r="AC835" i="63"/>
  <c r="X835" i="63"/>
  <c r="W835" i="63"/>
  <c r="S835" i="63"/>
  <c r="R835" i="63"/>
  <c r="Q835" i="63"/>
  <c r="O835" i="63"/>
  <c r="N835" i="63"/>
  <c r="H835" i="63"/>
  <c r="G835" i="63"/>
  <c r="BP834" i="63"/>
  <c r="BL834" i="63"/>
  <c r="BJ834" i="63"/>
  <c r="BF834" i="63"/>
  <c r="BC834" i="63"/>
  <c r="BA834" i="63"/>
  <c r="AZ834" i="63"/>
  <c r="AW834" i="63"/>
  <c r="AU834" i="63"/>
  <c r="AT834" i="63"/>
  <c r="AQ834" i="63"/>
  <c r="AN834" i="63"/>
  <c r="AK834" i="63"/>
  <c r="AH834" i="63"/>
  <c r="W834" i="63"/>
  <c r="O834" i="63"/>
  <c r="G834" i="63"/>
  <c r="BP833" i="63"/>
  <c r="BO833" i="63"/>
  <c r="BM833" i="63"/>
  <c r="BL833" i="63"/>
  <c r="BJ833" i="63"/>
  <c r="BI833" i="63"/>
  <c r="BG833" i="63"/>
  <c r="BF833" i="63"/>
  <c r="BD833" i="63"/>
  <c r="BC833" i="63"/>
  <c r="BA833" i="63"/>
  <c r="AZ833" i="63"/>
  <c r="AX833" i="63"/>
  <c r="AW833" i="63"/>
  <c r="AU833" i="63"/>
  <c r="AV833" i="63" s="1"/>
  <c r="AT833" i="63"/>
  <c r="AR833" i="63"/>
  <c r="AQ833" i="63"/>
  <c r="AO833" i="63"/>
  <c r="AP833" i="63" s="1"/>
  <c r="AN833" i="63"/>
  <c r="AL833" i="63"/>
  <c r="AK833" i="63"/>
  <c r="AM833" i="63" s="1"/>
  <c r="AJ833" i="63"/>
  <c r="AI833" i="63"/>
  <c r="AH833" i="63"/>
  <c r="AD833" i="63"/>
  <c r="AC833" i="63"/>
  <c r="X833" i="63"/>
  <c r="W833" i="63"/>
  <c r="R833" i="63"/>
  <c r="Q833" i="63"/>
  <c r="K833" i="63" s="1"/>
  <c r="O833" i="63"/>
  <c r="N833" i="63"/>
  <c r="I833" i="63"/>
  <c r="H833" i="63"/>
  <c r="G833" i="63"/>
  <c r="BP832" i="63"/>
  <c r="BO832" i="63"/>
  <c r="BM832" i="63"/>
  <c r="BL832" i="63"/>
  <c r="BJ832" i="63"/>
  <c r="BI832" i="63"/>
  <c r="BG832" i="63"/>
  <c r="BF832" i="63"/>
  <c r="BD832" i="63"/>
  <c r="BC832" i="63"/>
  <c r="BA832" i="63"/>
  <c r="AZ832" i="63"/>
  <c r="AX832" i="63"/>
  <c r="AW832" i="63"/>
  <c r="AU832" i="63"/>
  <c r="AV832" i="63" s="1"/>
  <c r="AT832" i="63"/>
  <c r="AR832" i="63"/>
  <c r="AQ832" i="63"/>
  <c r="AO832" i="63"/>
  <c r="AN832" i="63"/>
  <c r="AL832" i="63"/>
  <c r="AK832" i="63"/>
  <c r="AM832" i="63" s="1"/>
  <c r="AI832" i="63"/>
  <c r="AH832" i="63"/>
  <c r="AJ832" i="63" s="1"/>
  <c r="AD832" i="63"/>
  <c r="AC832" i="63"/>
  <c r="X832" i="63"/>
  <c r="W832" i="63"/>
  <c r="R832" i="63"/>
  <c r="Q832" i="63"/>
  <c r="O832" i="63"/>
  <c r="N832" i="63"/>
  <c r="H832" i="63"/>
  <c r="I832" i="63" s="1"/>
  <c r="G832" i="63"/>
  <c r="BP831" i="63"/>
  <c r="BO831" i="63"/>
  <c r="BO861" i="63" s="1"/>
  <c r="BM831" i="63"/>
  <c r="BM861" i="63" s="1"/>
  <c r="BN861" i="63" s="1"/>
  <c r="BL831" i="63"/>
  <c r="BL861" i="63" s="1"/>
  <c r="BJ831" i="63"/>
  <c r="BI831" i="63"/>
  <c r="BK831" i="63" s="1"/>
  <c r="BH831" i="63"/>
  <c r="BG831" i="63"/>
  <c r="BG861" i="63" s="1"/>
  <c r="BF831" i="63"/>
  <c r="BD831" i="63"/>
  <c r="BC831" i="63"/>
  <c r="BC861" i="63" s="1"/>
  <c r="BA831" i="63"/>
  <c r="BA861" i="63" s="1"/>
  <c r="AZ831" i="63"/>
  <c r="AX831" i="63"/>
  <c r="AW831" i="63"/>
  <c r="AU831" i="63"/>
  <c r="AT831" i="63"/>
  <c r="AR831" i="63"/>
  <c r="AQ831" i="63"/>
  <c r="AQ861" i="63" s="1"/>
  <c r="AO831" i="63"/>
  <c r="AN831" i="63"/>
  <c r="AL831" i="63"/>
  <c r="AL861" i="63" s="1"/>
  <c r="AK831" i="63"/>
  <c r="AI831" i="63"/>
  <c r="AH831" i="63"/>
  <c r="AD831" i="63"/>
  <c r="AC831" i="63"/>
  <c r="AC861" i="63" s="1"/>
  <c r="X831" i="63"/>
  <c r="X861" i="63" s="1"/>
  <c r="W831" i="63"/>
  <c r="R831" i="63"/>
  <c r="Q831" i="63"/>
  <c r="Q861" i="63" s="1"/>
  <c r="O831" i="63"/>
  <c r="N831" i="63"/>
  <c r="I831" i="63"/>
  <c r="H831" i="63"/>
  <c r="G831" i="63"/>
  <c r="BP830" i="63"/>
  <c r="BO830" i="63"/>
  <c r="BO860" i="63" s="1"/>
  <c r="BM830" i="63"/>
  <c r="BL830" i="63"/>
  <c r="BL860" i="63" s="1"/>
  <c r="BJ830" i="63"/>
  <c r="BI830" i="63"/>
  <c r="BK830" i="63" s="1"/>
  <c r="BH830" i="63"/>
  <c r="BG830" i="63"/>
  <c r="BG860" i="63" s="1"/>
  <c r="BF830" i="63"/>
  <c r="BD830" i="63"/>
  <c r="BC830" i="63"/>
  <c r="BC860" i="63" s="1"/>
  <c r="BA830" i="63"/>
  <c r="AZ830" i="63"/>
  <c r="AX830" i="63"/>
  <c r="AX860" i="63" s="1"/>
  <c r="AW830" i="63"/>
  <c r="AU830" i="63"/>
  <c r="AU860" i="63" s="1"/>
  <c r="AT830" i="63"/>
  <c r="AR830" i="63"/>
  <c r="AR860" i="63" s="1"/>
  <c r="AQ830" i="63"/>
  <c r="AQ860" i="63" s="1"/>
  <c r="AO830" i="63"/>
  <c r="AN830" i="63"/>
  <c r="AL830" i="63"/>
  <c r="AL860" i="63" s="1"/>
  <c r="AK830" i="63"/>
  <c r="AI830" i="63"/>
  <c r="AH830" i="63"/>
  <c r="AD830" i="63"/>
  <c r="AD860" i="63" s="1"/>
  <c r="AC830" i="63"/>
  <c r="AC860" i="63" s="1"/>
  <c r="X830" i="63"/>
  <c r="W830" i="63"/>
  <c r="R830" i="63"/>
  <c r="Q830" i="63"/>
  <c r="Q860" i="63" s="1"/>
  <c r="O830" i="63"/>
  <c r="N830" i="63"/>
  <c r="I830" i="63"/>
  <c r="H830" i="63"/>
  <c r="H860" i="63" s="1"/>
  <c r="G830" i="63"/>
  <c r="BQ826" i="63"/>
  <c r="BN826" i="63"/>
  <c r="BK826" i="63"/>
  <c r="BH826" i="63"/>
  <c r="BE826" i="63"/>
  <c r="BB826" i="63"/>
  <c r="AY826" i="63"/>
  <c r="AV826" i="63"/>
  <c r="AS826" i="63"/>
  <c r="AP826" i="63"/>
  <c r="AM826" i="63"/>
  <c r="AJ826" i="63"/>
  <c r="AE826" i="63"/>
  <c r="Y826" i="63"/>
  <c r="U826" i="63"/>
  <c r="AA826" i="63" s="1"/>
  <c r="T826" i="63"/>
  <c r="Z826" i="63" s="1"/>
  <c r="S826" i="63"/>
  <c r="P826" i="63"/>
  <c r="K826" i="63"/>
  <c r="M826" i="63" s="1"/>
  <c r="I826" i="63"/>
  <c r="BQ825" i="63"/>
  <c r="BN825" i="63"/>
  <c r="BK825" i="63"/>
  <c r="BH825" i="63"/>
  <c r="BE825" i="63"/>
  <c r="BB825" i="63"/>
  <c r="AY825" i="63"/>
  <c r="AV825" i="63"/>
  <c r="AS825" i="63"/>
  <c r="AP825" i="63"/>
  <c r="AM825" i="63"/>
  <c r="AJ825" i="63"/>
  <c r="AE825" i="63"/>
  <c r="Y825" i="63"/>
  <c r="U825" i="63"/>
  <c r="AA825" i="63" s="1"/>
  <c r="T825" i="63"/>
  <c r="Z825" i="63" s="1"/>
  <c r="S825" i="63"/>
  <c r="P825" i="63"/>
  <c r="M825" i="63"/>
  <c r="I825" i="63"/>
  <c r="BQ824" i="63"/>
  <c r="BN824" i="63"/>
  <c r="BK824" i="63"/>
  <c r="BH824" i="63"/>
  <c r="BE824" i="63"/>
  <c r="BB824" i="63"/>
  <c r="AY824" i="63"/>
  <c r="AV824" i="63"/>
  <c r="AS824" i="63"/>
  <c r="AP824" i="63"/>
  <c r="AM824" i="63"/>
  <c r="AJ824" i="63"/>
  <c r="AE824" i="63"/>
  <c r="Y824" i="63"/>
  <c r="U824" i="63"/>
  <c r="AA824" i="63" s="1"/>
  <c r="T824" i="63"/>
  <c r="S824" i="63"/>
  <c r="P824" i="63"/>
  <c r="M824" i="63"/>
  <c r="I824" i="63"/>
  <c r="BQ823" i="63"/>
  <c r="BN823" i="63"/>
  <c r="BK823" i="63"/>
  <c r="BH823" i="63"/>
  <c r="BE823" i="63"/>
  <c r="BB823" i="63"/>
  <c r="AY823" i="63"/>
  <c r="AV823" i="63"/>
  <c r="AS823" i="63"/>
  <c r="AP823" i="63"/>
  <c r="AM823" i="63"/>
  <c r="AJ823" i="63"/>
  <c r="AE823" i="63"/>
  <c r="Y823" i="63"/>
  <c r="U823" i="63"/>
  <c r="AA823" i="63" s="1"/>
  <c r="T823" i="63"/>
  <c r="S823" i="63"/>
  <c r="P823" i="63"/>
  <c r="M823" i="63"/>
  <c r="I823" i="63"/>
  <c r="BP822" i="63"/>
  <c r="BO822" i="63"/>
  <c r="BM822" i="63"/>
  <c r="BL822" i="63"/>
  <c r="BJ822" i="63"/>
  <c r="BI822" i="63"/>
  <c r="BG822" i="63"/>
  <c r="BF822" i="63"/>
  <c r="BD822" i="63"/>
  <c r="BE822" i="63" s="1"/>
  <c r="BC822" i="63"/>
  <c r="BA822" i="63"/>
  <c r="BB822" i="63" s="1"/>
  <c r="AZ822" i="63"/>
  <c r="AX822" i="63"/>
  <c r="AW822" i="63"/>
  <c r="AU822" i="63"/>
  <c r="AT822" i="63"/>
  <c r="AR822" i="63"/>
  <c r="AS822" i="63" s="1"/>
  <c r="AQ822" i="63"/>
  <c r="AO822" i="63"/>
  <c r="AN822" i="63"/>
  <c r="AP822" i="63" s="1"/>
  <c r="AL822" i="63"/>
  <c r="AK822" i="63"/>
  <c r="AI822" i="63"/>
  <c r="AH822" i="63"/>
  <c r="AJ822" i="63" s="1"/>
  <c r="AE822" i="63"/>
  <c r="AD822" i="63"/>
  <c r="AC822" i="63"/>
  <c r="X822" i="63"/>
  <c r="W822" i="63"/>
  <c r="R822" i="63"/>
  <c r="Q822" i="63"/>
  <c r="O822" i="63"/>
  <c r="N822" i="63"/>
  <c r="L822" i="63"/>
  <c r="J822" i="63"/>
  <c r="H822" i="63"/>
  <c r="G822" i="63"/>
  <c r="BQ821" i="63"/>
  <c r="BN821" i="63"/>
  <c r="BK821" i="63"/>
  <c r="BH821" i="63"/>
  <c r="BE821" i="63"/>
  <c r="BB821" i="63"/>
  <c r="AY821" i="63"/>
  <c r="AV821" i="63"/>
  <c r="AS821" i="63"/>
  <c r="AP821" i="63"/>
  <c r="AM821" i="63"/>
  <c r="AJ821" i="63"/>
  <c r="AE821" i="63"/>
  <c r="Y821" i="63"/>
  <c r="U821" i="63"/>
  <c r="AA821" i="63" s="1"/>
  <c r="T821" i="63"/>
  <c r="Z821" i="63" s="1"/>
  <c r="S821" i="63"/>
  <c r="P821" i="63"/>
  <c r="M821" i="63"/>
  <c r="I821" i="63"/>
  <c r="BQ820" i="63"/>
  <c r="BN820" i="63"/>
  <c r="BK820" i="63"/>
  <c r="BH820" i="63"/>
  <c r="BE820" i="63"/>
  <c r="BB820" i="63"/>
  <c r="AY820" i="63"/>
  <c r="AV820" i="63"/>
  <c r="AS820" i="63"/>
  <c r="AP820" i="63"/>
  <c r="AM820" i="63"/>
  <c r="AJ820" i="63"/>
  <c r="AE820" i="63"/>
  <c r="Y820" i="63"/>
  <c r="U820" i="63"/>
  <c r="T820" i="63"/>
  <c r="Z820" i="63" s="1"/>
  <c r="S820" i="63"/>
  <c r="P820" i="63"/>
  <c r="M820" i="63"/>
  <c r="I820" i="63"/>
  <c r="AJ819" i="63"/>
  <c r="AE819" i="63"/>
  <c r="Z819" i="63"/>
  <c r="Y819" i="63"/>
  <c r="U819" i="63"/>
  <c r="AA819" i="63" s="1"/>
  <c r="T819" i="63"/>
  <c r="V819" i="63" s="1"/>
  <c r="S819" i="63"/>
  <c r="P819" i="63"/>
  <c r="K819" i="63"/>
  <c r="M819" i="63" s="1"/>
  <c r="I819" i="63"/>
  <c r="AE818" i="63"/>
  <c r="Y818" i="63"/>
  <c r="U818" i="63"/>
  <c r="AA818" i="63" s="1"/>
  <c r="T818" i="63"/>
  <c r="Z818" i="63" s="1"/>
  <c r="S818" i="63"/>
  <c r="P818" i="63"/>
  <c r="K818" i="63"/>
  <c r="M818" i="63" s="1"/>
  <c r="I818" i="63"/>
  <c r="AE817" i="63"/>
  <c r="Y817" i="63"/>
  <c r="U817" i="63"/>
  <c r="T817" i="63"/>
  <c r="Z817" i="63" s="1"/>
  <c r="S817" i="63"/>
  <c r="P817" i="63"/>
  <c r="K817" i="63"/>
  <c r="M817" i="63" s="1"/>
  <c r="I817" i="63"/>
  <c r="BP816" i="63"/>
  <c r="BM816" i="63"/>
  <c r="BJ816" i="63"/>
  <c r="BG816" i="63"/>
  <c r="BD816" i="63"/>
  <c r="BA816" i="63"/>
  <c r="AX816" i="63"/>
  <c r="AU816" i="63"/>
  <c r="AR816" i="63"/>
  <c r="AO816" i="63"/>
  <c r="AL816" i="63"/>
  <c r="AI816" i="63"/>
  <c r="AD816" i="63"/>
  <c r="AE816" i="63" s="1"/>
  <c r="AC816" i="63"/>
  <c r="X816" i="63"/>
  <c r="W816" i="63"/>
  <c r="R816" i="63"/>
  <c r="S816" i="63" s="1"/>
  <c r="Q816" i="63"/>
  <c r="O816" i="63"/>
  <c r="N816" i="63"/>
  <c r="L816" i="63"/>
  <c r="J816" i="63"/>
  <c r="H816" i="63"/>
  <c r="G816" i="63"/>
  <c r="AE815" i="63"/>
  <c r="Y815" i="63"/>
  <c r="U815" i="63"/>
  <c r="AA815" i="63" s="1"/>
  <c r="T815" i="63"/>
  <c r="S815" i="63"/>
  <c r="P815" i="63"/>
  <c r="K815" i="63"/>
  <c r="M815" i="63" s="1"/>
  <c r="I815" i="63"/>
  <c r="AE814" i="63"/>
  <c r="Y814" i="63"/>
  <c r="U814" i="63"/>
  <c r="AA814" i="63" s="1"/>
  <c r="T814" i="63"/>
  <c r="S814" i="63"/>
  <c r="P814" i="63"/>
  <c r="K814" i="63"/>
  <c r="I814" i="63"/>
  <c r="H814" i="63"/>
  <c r="H813" i="63" s="1"/>
  <c r="BG813" i="63"/>
  <c r="BD813" i="63"/>
  <c r="BA813" i="63"/>
  <c r="AX813" i="63"/>
  <c r="AU813" i="63"/>
  <c r="AR813" i="63"/>
  <c r="AO813" i="63"/>
  <c r="AL813" i="63"/>
  <c r="AI813" i="63"/>
  <c r="AD813" i="63"/>
  <c r="AC813" i="63"/>
  <c r="X813" i="63"/>
  <c r="Y813" i="63" s="1"/>
  <c r="W813" i="63"/>
  <c r="R813" i="63"/>
  <c r="Q813" i="63"/>
  <c r="O813" i="63"/>
  <c r="N813" i="63"/>
  <c r="L813" i="63"/>
  <c r="J813" i="63"/>
  <c r="G813" i="63"/>
  <c r="BQ811" i="63"/>
  <c r="BN811" i="63"/>
  <c r="BK811" i="63"/>
  <c r="BH811" i="63"/>
  <c r="BE811" i="63"/>
  <c r="BB811" i="63"/>
  <c r="AY811" i="63"/>
  <c r="AV811" i="63"/>
  <c r="AS811" i="63"/>
  <c r="AP811" i="63"/>
  <c r="AM811" i="63"/>
  <c r="AJ811" i="63"/>
  <c r="AE811" i="63"/>
  <c r="Y811" i="63"/>
  <c r="U811" i="63"/>
  <c r="T811" i="63"/>
  <c r="Z811" i="63" s="1"/>
  <c r="S811" i="63"/>
  <c r="P811" i="63"/>
  <c r="L811" i="63"/>
  <c r="M811" i="63" s="1"/>
  <c r="K811" i="63"/>
  <c r="I811" i="63"/>
  <c r="BQ810" i="63"/>
  <c r="BN810" i="63"/>
  <c r="BK810" i="63"/>
  <c r="BH810" i="63"/>
  <c r="BE810" i="63"/>
  <c r="BB810" i="63"/>
  <c r="AY810" i="63"/>
  <c r="AV810" i="63"/>
  <c r="AS810" i="63"/>
  <c r="AP810" i="63"/>
  <c r="AM810" i="63"/>
  <c r="AJ810" i="63"/>
  <c r="P810" i="63"/>
  <c r="M810" i="63"/>
  <c r="L810" i="63"/>
  <c r="K810" i="63"/>
  <c r="I810" i="63"/>
  <c r="BQ809" i="63"/>
  <c r="BN809" i="63"/>
  <c r="BK809" i="63"/>
  <c r="BH809" i="63"/>
  <c r="BE809" i="63"/>
  <c r="BB809" i="63"/>
  <c r="AY809" i="63"/>
  <c r="AV809" i="63"/>
  <c r="AS809" i="63"/>
  <c r="AP809" i="63"/>
  <c r="AM809" i="63"/>
  <c r="AJ809" i="63"/>
  <c r="AE809" i="63"/>
  <c r="Y809" i="63"/>
  <c r="U809" i="63"/>
  <c r="AA809" i="63" s="1"/>
  <c r="T809" i="63"/>
  <c r="S809" i="63"/>
  <c r="P809" i="63"/>
  <c r="L809" i="63"/>
  <c r="K809" i="63"/>
  <c r="I809" i="63"/>
  <c r="BQ808" i="63"/>
  <c r="BN808" i="63"/>
  <c r="BK808" i="63"/>
  <c r="BH808" i="63"/>
  <c r="BE808" i="63"/>
  <c r="BB808" i="63"/>
  <c r="AY808" i="63"/>
  <c r="AV808" i="63"/>
  <c r="AS808" i="63"/>
  <c r="AP808" i="63"/>
  <c r="AM808" i="63"/>
  <c r="AJ808" i="63"/>
  <c r="P808" i="63"/>
  <c r="L808" i="63"/>
  <c r="K808" i="63"/>
  <c r="M808" i="63" s="1"/>
  <c r="I808" i="63"/>
  <c r="BP807" i="63"/>
  <c r="BO807" i="63"/>
  <c r="BQ807" i="63" s="1"/>
  <c r="BM807" i="63"/>
  <c r="BL807" i="63"/>
  <c r="BJ807" i="63"/>
  <c r="BI807" i="63"/>
  <c r="BG807" i="63"/>
  <c r="BH807" i="63" s="1"/>
  <c r="BF807" i="63"/>
  <c r="BD807" i="63"/>
  <c r="BC807" i="63"/>
  <c r="BA807" i="63"/>
  <c r="AZ807" i="63"/>
  <c r="AX807" i="63"/>
  <c r="AW807" i="63"/>
  <c r="AV807" i="63"/>
  <c r="AU807" i="63"/>
  <c r="AT807" i="63"/>
  <c r="AR807" i="63"/>
  <c r="AS807" i="63" s="1"/>
  <c r="AQ807" i="63"/>
  <c r="AO807" i="63"/>
  <c r="AP807" i="63" s="1"/>
  <c r="AN807" i="63"/>
  <c r="AL807" i="63"/>
  <c r="AK807" i="63"/>
  <c r="AI807" i="63"/>
  <c r="AH807" i="63"/>
  <c r="AD807" i="63"/>
  <c r="AE807" i="63" s="1"/>
  <c r="AC807" i="63"/>
  <c r="X807" i="63"/>
  <c r="W807" i="63"/>
  <c r="R807" i="63"/>
  <c r="S807" i="63" s="1"/>
  <c r="Q807" i="63"/>
  <c r="O807" i="63"/>
  <c r="N807" i="63"/>
  <c r="I807" i="63"/>
  <c r="BQ806" i="63"/>
  <c r="BN806" i="63"/>
  <c r="BK806" i="63"/>
  <c r="BH806" i="63"/>
  <c r="BE806" i="63"/>
  <c r="BB806" i="63"/>
  <c r="AY806" i="63"/>
  <c r="AV806" i="63"/>
  <c r="AS806" i="63"/>
  <c r="AP806" i="63"/>
  <c r="AM806" i="63"/>
  <c r="AJ806" i="63"/>
  <c r="P806" i="63"/>
  <c r="L806" i="63"/>
  <c r="K806" i="63"/>
  <c r="I806" i="63"/>
  <c r="BP805" i="63"/>
  <c r="BO805" i="63"/>
  <c r="BM805" i="63"/>
  <c r="BL805" i="63"/>
  <c r="BJ805" i="63"/>
  <c r="BK805" i="63" s="1"/>
  <c r="BI805" i="63"/>
  <c r="BG805" i="63"/>
  <c r="BF805" i="63"/>
  <c r="BH805" i="63" s="1"/>
  <c r="BD805" i="63"/>
  <c r="BC805" i="63"/>
  <c r="BA805" i="63"/>
  <c r="AZ805" i="63"/>
  <c r="BB805" i="63" s="1"/>
  <c r="AY805" i="63"/>
  <c r="AX805" i="63"/>
  <c r="AW805" i="63"/>
  <c r="AU805" i="63"/>
  <c r="AV805" i="63" s="1"/>
  <c r="AT805" i="63"/>
  <c r="AR805" i="63"/>
  <c r="AQ805" i="63"/>
  <c r="AO805" i="63"/>
  <c r="AN805" i="63"/>
  <c r="AL805" i="63"/>
  <c r="AK805" i="63"/>
  <c r="AJ805" i="63"/>
  <c r="AI805" i="63"/>
  <c r="AH805" i="63"/>
  <c r="AD805" i="63"/>
  <c r="AC805" i="63"/>
  <c r="X805" i="63"/>
  <c r="W805" i="63"/>
  <c r="R805" i="63"/>
  <c r="Q805" i="63"/>
  <c r="O805" i="63"/>
  <c r="N805" i="63"/>
  <c r="I805" i="63"/>
  <c r="BQ804" i="63"/>
  <c r="BN804" i="63"/>
  <c r="BK804" i="63"/>
  <c r="BH804" i="63"/>
  <c r="BE804" i="63"/>
  <c r="BB804" i="63"/>
  <c r="AY804" i="63"/>
  <c r="AV804" i="63"/>
  <c r="AS804" i="63"/>
  <c r="AP804" i="63"/>
  <c r="AM804" i="63"/>
  <c r="AJ804" i="63"/>
  <c r="P804" i="63"/>
  <c r="L804" i="63"/>
  <c r="K804" i="63"/>
  <c r="I804" i="63"/>
  <c r="BP803" i="63"/>
  <c r="BO803" i="63"/>
  <c r="BM803" i="63"/>
  <c r="BL803" i="63"/>
  <c r="BN803" i="63" s="1"/>
  <c r="BJ803" i="63"/>
  <c r="BI803" i="63"/>
  <c r="BG803" i="63"/>
  <c r="BF803" i="63"/>
  <c r="BD803" i="63"/>
  <c r="BC803" i="63"/>
  <c r="BA803" i="63"/>
  <c r="BB803" i="63" s="1"/>
  <c r="AZ803" i="63"/>
  <c r="AX803" i="63"/>
  <c r="AW803" i="63"/>
  <c r="AY803" i="63" s="1"/>
  <c r="AU803" i="63"/>
  <c r="AT803" i="63"/>
  <c r="AR803" i="63"/>
  <c r="AQ803" i="63"/>
  <c r="AO803" i="63"/>
  <c r="AP803" i="63" s="1"/>
  <c r="AN803" i="63"/>
  <c r="AL803" i="63"/>
  <c r="AK803" i="63"/>
  <c r="AI803" i="63"/>
  <c r="AH803" i="63"/>
  <c r="AD803" i="63"/>
  <c r="AC803" i="63"/>
  <c r="X803" i="63"/>
  <c r="W803" i="63"/>
  <c r="R803" i="63"/>
  <c r="Q803" i="63"/>
  <c r="P803" i="63"/>
  <c r="O803" i="63"/>
  <c r="U803" i="63" s="1"/>
  <c r="N803" i="63"/>
  <c r="I803" i="63"/>
  <c r="BQ802" i="63"/>
  <c r="BN802" i="63"/>
  <c r="BK802" i="63"/>
  <c r="BH802" i="63"/>
  <c r="BE802" i="63"/>
  <c r="BB802" i="63"/>
  <c r="AY802" i="63"/>
  <c r="AV802" i="63"/>
  <c r="AS802" i="63"/>
  <c r="AP802" i="63"/>
  <c r="AM802" i="63"/>
  <c r="AJ802" i="63"/>
  <c r="P802" i="63"/>
  <c r="L802" i="63"/>
  <c r="K802" i="63"/>
  <c r="I802" i="63"/>
  <c r="BP801" i="63"/>
  <c r="BP798" i="63" s="1"/>
  <c r="BO801" i="63"/>
  <c r="BM801" i="63"/>
  <c r="BL801" i="63"/>
  <c r="BJ801" i="63"/>
  <c r="BI801" i="63"/>
  <c r="BG801" i="63"/>
  <c r="BF801" i="63"/>
  <c r="BD801" i="63"/>
  <c r="BC801" i="63"/>
  <c r="BA801" i="63"/>
  <c r="BB801" i="63" s="1"/>
  <c r="AZ801" i="63"/>
  <c r="AX801" i="63"/>
  <c r="AY801" i="63" s="1"/>
  <c r="AW801" i="63"/>
  <c r="AU801" i="63"/>
  <c r="AT801" i="63"/>
  <c r="AR801" i="63"/>
  <c r="AQ801" i="63"/>
  <c r="AO801" i="63"/>
  <c r="AN801" i="63"/>
  <c r="AL801" i="63"/>
  <c r="AK801" i="63"/>
  <c r="AM801" i="63" s="1"/>
  <c r="AI801" i="63"/>
  <c r="AD801" i="63"/>
  <c r="X801" i="63"/>
  <c r="R801" i="63"/>
  <c r="O801" i="63"/>
  <c r="I801" i="63"/>
  <c r="BQ800" i="63"/>
  <c r="BN800" i="63"/>
  <c r="BK800" i="63"/>
  <c r="BH800" i="63"/>
  <c r="BE800" i="63"/>
  <c r="BB800" i="63"/>
  <c r="AY800" i="63"/>
  <c r="AV800" i="63"/>
  <c r="AS800" i="63"/>
  <c r="AP800" i="63"/>
  <c r="AM800" i="63"/>
  <c r="AJ800" i="63"/>
  <c r="P800" i="63"/>
  <c r="L800" i="63"/>
  <c r="K800" i="63"/>
  <c r="I800" i="63"/>
  <c r="BP799" i="63"/>
  <c r="BO799" i="63"/>
  <c r="BN799" i="63"/>
  <c r="BM799" i="63"/>
  <c r="BL799" i="63"/>
  <c r="BJ799" i="63"/>
  <c r="BI799" i="63"/>
  <c r="BG799" i="63"/>
  <c r="BF799" i="63"/>
  <c r="BE799" i="63"/>
  <c r="BD799" i="63"/>
  <c r="BC799" i="63"/>
  <c r="BA799" i="63"/>
  <c r="AZ799" i="63"/>
  <c r="AZ798" i="63" s="1"/>
  <c r="AX799" i="63"/>
  <c r="AW799" i="63"/>
  <c r="AU799" i="63"/>
  <c r="AT799" i="63"/>
  <c r="AS799" i="63"/>
  <c r="AR799" i="63"/>
  <c r="AQ799" i="63"/>
  <c r="AO799" i="63"/>
  <c r="AN799" i="63"/>
  <c r="AL799" i="63"/>
  <c r="AK799" i="63"/>
  <c r="AI799" i="63"/>
  <c r="AD799" i="63"/>
  <c r="X799" i="63"/>
  <c r="R799" i="63"/>
  <c r="O799" i="63"/>
  <c r="I799" i="63"/>
  <c r="H798" i="63"/>
  <c r="G798" i="63"/>
  <c r="F798" i="63"/>
  <c r="BQ797" i="63"/>
  <c r="BN797" i="63"/>
  <c r="BK797" i="63"/>
  <c r="BH797" i="63"/>
  <c r="BE797" i="63"/>
  <c r="BB797" i="63"/>
  <c r="AY797" i="63"/>
  <c r="AV797" i="63"/>
  <c r="AS797" i="63"/>
  <c r="AP797" i="63"/>
  <c r="AM797" i="63"/>
  <c r="AJ797" i="63"/>
  <c r="AE797" i="63"/>
  <c r="Y797" i="63"/>
  <c r="U797" i="63"/>
  <c r="AA797" i="63" s="1"/>
  <c r="T797" i="63"/>
  <c r="Z797" i="63" s="1"/>
  <c r="S797" i="63"/>
  <c r="P797" i="63"/>
  <c r="L797" i="63"/>
  <c r="M797" i="63" s="1"/>
  <c r="K797" i="63"/>
  <c r="I797" i="63"/>
  <c r="BQ796" i="63"/>
  <c r="BN796" i="63"/>
  <c r="BK796" i="63"/>
  <c r="BH796" i="63"/>
  <c r="BE796" i="63"/>
  <c r="BB796" i="63"/>
  <c r="AY796" i="63"/>
  <c r="AV796" i="63"/>
  <c r="AS796" i="63"/>
  <c r="AP796" i="63"/>
  <c r="AM796" i="63"/>
  <c r="AJ796" i="63"/>
  <c r="AE796" i="63"/>
  <c r="Y796" i="63"/>
  <c r="U796" i="63"/>
  <c r="T796" i="63"/>
  <c r="Z796" i="63" s="1"/>
  <c r="S796" i="63"/>
  <c r="P796" i="63"/>
  <c r="L796" i="63"/>
  <c r="K796" i="63"/>
  <c r="M796" i="63" s="1"/>
  <c r="I796" i="63"/>
  <c r="BQ795" i="63"/>
  <c r="BN795" i="63"/>
  <c r="BK795" i="63"/>
  <c r="BH795" i="63"/>
  <c r="BE795" i="63"/>
  <c r="BB795" i="63"/>
  <c r="AY795" i="63"/>
  <c r="AV795" i="63"/>
  <c r="AS795" i="63"/>
  <c r="AP795" i="63"/>
  <c r="AM795" i="63"/>
  <c r="AJ795" i="63"/>
  <c r="AE795" i="63"/>
  <c r="Y795" i="63"/>
  <c r="U795" i="63"/>
  <c r="AA795" i="63" s="1"/>
  <c r="T795" i="63"/>
  <c r="S795" i="63"/>
  <c r="P795" i="63"/>
  <c r="L795" i="63"/>
  <c r="M795" i="63" s="1"/>
  <c r="K795" i="63"/>
  <c r="I795" i="63"/>
  <c r="BP794" i="63"/>
  <c r="BO794" i="63"/>
  <c r="BM794" i="63"/>
  <c r="BL794" i="63"/>
  <c r="BJ794" i="63"/>
  <c r="BK794" i="63" s="1"/>
  <c r="BI794" i="63"/>
  <c r="BG794" i="63"/>
  <c r="BH794" i="63" s="1"/>
  <c r="BF794" i="63"/>
  <c r="BD794" i="63"/>
  <c r="BE794" i="63" s="1"/>
  <c r="BC794" i="63"/>
  <c r="BA794" i="63"/>
  <c r="AZ794" i="63"/>
  <c r="AX794" i="63"/>
  <c r="AW794" i="63"/>
  <c r="AU794" i="63"/>
  <c r="AV794" i="63" s="1"/>
  <c r="AT794" i="63"/>
  <c r="AR794" i="63"/>
  <c r="AQ794" i="63"/>
  <c r="AO794" i="63"/>
  <c r="AN794" i="63"/>
  <c r="AL794" i="63"/>
  <c r="AM794" i="63" s="1"/>
  <c r="AK794" i="63"/>
  <c r="AI794" i="63"/>
  <c r="AJ794" i="63" s="1"/>
  <c r="AH794" i="63"/>
  <c r="AD794" i="63"/>
  <c r="AE794" i="63" s="1"/>
  <c r="AC794" i="63"/>
  <c r="X794" i="63"/>
  <c r="W794" i="63"/>
  <c r="R794" i="63"/>
  <c r="Q794" i="63"/>
  <c r="O794" i="63"/>
  <c r="N794" i="63"/>
  <c r="H794" i="63"/>
  <c r="I794" i="63" s="1"/>
  <c r="G794" i="63"/>
  <c r="BQ793" i="63"/>
  <c r="BN793" i="63"/>
  <c r="BK793" i="63"/>
  <c r="BH793" i="63"/>
  <c r="BE793" i="63"/>
  <c r="BB793" i="63"/>
  <c r="AY793" i="63"/>
  <c r="AV793" i="63"/>
  <c r="AS793" i="63"/>
  <c r="AP793" i="63"/>
  <c r="AM793" i="63"/>
  <c r="AJ793" i="63"/>
  <c r="AE793" i="63"/>
  <c r="Y793" i="63"/>
  <c r="U793" i="63"/>
  <c r="T793" i="63"/>
  <c r="Z793" i="63" s="1"/>
  <c r="S793" i="63"/>
  <c r="P793" i="63"/>
  <c r="M793" i="63"/>
  <c r="L793" i="63"/>
  <c r="K793" i="63"/>
  <c r="I793" i="63"/>
  <c r="BQ792" i="63"/>
  <c r="BN792" i="63"/>
  <c r="BK792" i="63"/>
  <c r="BH792" i="63"/>
  <c r="BE792" i="63"/>
  <c r="BB792" i="63"/>
  <c r="AY792" i="63"/>
  <c r="AV792" i="63"/>
  <c r="AS792" i="63"/>
  <c r="AP792" i="63"/>
  <c r="AM792" i="63"/>
  <c r="AJ792" i="63"/>
  <c r="AE792" i="63"/>
  <c r="Y792" i="63"/>
  <c r="U792" i="63"/>
  <c r="AA792" i="63" s="1"/>
  <c r="T792" i="63"/>
  <c r="S792" i="63"/>
  <c r="P792" i="63"/>
  <c r="L792" i="63"/>
  <c r="K792" i="63"/>
  <c r="I792" i="63"/>
  <c r="BQ791" i="63"/>
  <c r="BN791" i="63"/>
  <c r="BK791" i="63"/>
  <c r="BH791" i="63"/>
  <c r="BE791" i="63"/>
  <c r="BB791" i="63"/>
  <c r="AY791" i="63"/>
  <c r="AV791" i="63"/>
  <c r="AS791" i="63"/>
  <c r="AP791" i="63"/>
  <c r="AM791" i="63"/>
  <c r="AJ791" i="63"/>
  <c r="AE791" i="63"/>
  <c r="Y791" i="63"/>
  <c r="U791" i="63"/>
  <c r="T791" i="63"/>
  <c r="Z791" i="63" s="1"/>
  <c r="S791" i="63"/>
  <c r="P791" i="63"/>
  <c r="L791" i="63"/>
  <c r="M791" i="63" s="1"/>
  <c r="K791" i="63"/>
  <c r="I791" i="63"/>
  <c r="BP790" i="63"/>
  <c r="BO790" i="63"/>
  <c r="BM790" i="63"/>
  <c r="BL790" i="63"/>
  <c r="BJ790" i="63"/>
  <c r="BI790" i="63"/>
  <c r="BG790" i="63"/>
  <c r="BF790" i="63"/>
  <c r="BD790" i="63"/>
  <c r="BC790" i="63"/>
  <c r="BA790" i="63"/>
  <c r="AZ790" i="63"/>
  <c r="AX790" i="63"/>
  <c r="AW790" i="63"/>
  <c r="AU790" i="63"/>
  <c r="AT790" i="63"/>
  <c r="AR790" i="63"/>
  <c r="AQ790" i="63"/>
  <c r="AS790" i="63" s="1"/>
  <c r="AO790" i="63"/>
  <c r="AN790" i="63"/>
  <c r="AP790" i="63" s="1"/>
  <c r="AL790" i="63"/>
  <c r="AK790" i="63"/>
  <c r="AI790" i="63"/>
  <c r="AH790" i="63"/>
  <c r="AD790" i="63"/>
  <c r="AE790" i="63" s="1"/>
  <c r="AC790" i="63"/>
  <c r="X790" i="63"/>
  <c r="W790" i="63"/>
  <c r="R790" i="63"/>
  <c r="S790" i="63" s="1"/>
  <c r="Q790" i="63"/>
  <c r="O790" i="63"/>
  <c r="N790" i="63"/>
  <c r="T790" i="63" s="1"/>
  <c r="H790" i="63"/>
  <c r="G790" i="63"/>
  <c r="BQ789" i="63"/>
  <c r="BN789" i="63"/>
  <c r="BK789" i="63"/>
  <c r="BH789" i="63"/>
  <c r="BE789" i="63"/>
  <c r="BB789" i="63"/>
  <c r="AY789" i="63"/>
  <c r="AV789" i="63"/>
  <c r="AS789" i="63"/>
  <c r="AP789" i="63"/>
  <c r="AM789" i="63"/>
  <c r="AE789" i="63"/>
  <c r="Y789" i="63"/>
  <c r="U789" i="63"/>
  <c r="AA789" i="63" s="1"/>
  <c r="T789" i="63"/>
  <c r="Z789" i="63" s="1"/>
  <c r="S789" i="63"/>
  <c r="P789" i="63"/>
  <c r="L789" i="63"/>
  <c r="M789" i="63" s="1"/>
  <c r="K789" i="63"/>
  <c r="I789" i="63"/>
  <c r="BQ788" i="63"/>
  <c r="BN788" i="63"/>
  <c r="BK788" i="63"/>
  <c r="BH788" i="63"/>
  <c r="BE788" i="63"/>
  <c r="BB788" i="63"/>
  <c r="AY788" i="63"/>
  <c r="AV788" i="63"/>
  <c r="AS788" i="63"/>
  <c r="AP788" i="63"/>
  <c r="AM788" i="63"/>
  <c r="AJ788" i="63"/>
  <c r="AE788" i="63"/>
  <c r="Y788" i="63"/>
  <c r="U788" i="63"/>
  <c r="AA788" i="63" s="1"/>
  <c r="T788" i="63"/>
  <c r="Z788" i="63" s="1"/>
  <c r="S788" i="63"/>
  <c r="P788" i="63"/>
  <c r="L788" i="63"/>
  <c r="K788" i="63"/>
  <c r="I788" i="63"/>
  <c r="BQ787" i="63"/>
  <c r="BN787" i="63"/>
  <c r="BK787" i="63"/>
  <c r="BH787" i="63"/>
  <c r="BE787" i="63"/>
  <c r="BB787" i="63"/>
  <c r="AY787" i="63"/>
  <c r="AV787" i="63"/>
  <c r="AS787" i="63"/>
  <c r="AP787" i="63"/>
  <c r="AM787" i="63"/>
  <c r="AJ787" i="63"/>
  <c r="AE787" i="63"/>
  <c r="Y787" i="63"/>
  <c r="U787" i="63"/>
  <c r="T787" i="63"/>
  <c r="Z787" i="63" s="1"/>
  <c r="S787" i="63"/>
  <c r="P787" i="63"/>
  <c r="M787" i="63"/>
  <c r="L787" i="63"/>
  <c r="K787" i="63"/>
  <c r="I787" i="63"/>
  <c r="BQ786" i="63"/>
  <c r="BP786" i="63"/>
  <c r="BO786" i="63"/>
  <c r="BM786" i="63"/>
  <c r="BL786" i="63"/>
  <c r="BJ786" i="63"/>
  <c r="BI786" i="63"/>
  <c r="BG786" i="63"/>
  <c r="BF786" i="63"/>
  <c r="BD786" i="63"/>
  <c r="BC786" i="63"/>
  <c r="BA786" i="63"/>
  <c r="AZ786" i="63"/>
  <c r="AX786" i="63"/>
  <c r="AW786" i="63"/>
  <c r="AU786" i="63"/>
  <c r="AV786" i="63" s="1"/>
  <c r="AT786" i="63"/>
  <c r="AR786" i="63"/>
  <c r="AS786" i="63" s="1"/>
  <c r="AQ786" i="63"/>
  <c r="AO786" i="63"/>
  <c r="AP786" i="63" s="1"/>
  <c r="AN786" i="63"/>
  <c r="AL786" i="63"/>
  <c r="AK786" i="63"/>
  <c r="AI786" i="63"/>
  <c r="AD786" i="63"/>
  <c r="AC786" i="63"/>
  <c r="X786" i="63"/>
  <c r="W786" i="63"/>
  <c r="R786" i="63"/>
  <c r="Q786" i="63"/>
  <c r="O786" i="63"/>
  <c r="N786" i="63"/>
  <c r="J786" i="63"/>
  <c r="H786" i="63"/>
  <c r="G786" i="63"/>
  <c r="BO785" i="63"/>
  <c r="BL785" i="63"/>
  <c r="BN785" i="63" s="1"/>
  <c r="BI785" i="63"/>
  <c r="BI782" i="63" s="1"/>
  <c r="BF785" i="63"/>
  <c r="BE785" i="63"/>
  <c r="BC785" i="63"/>
  <c r="BC782" i="63" s="1"/>
  <c r="AZ785" i="63"/>
  <c r="BB785" i="63" s="1"/>
  <c r="AW785" i="63"/>
  <c r="AT785" i="63"/>
  <c r="AS785" i="63"/>
  <c r="AQ785" i="63"/>
  <c r="AN785" i="63"/>
  <c r="AP785" i="63" s="1"/>
  <c r="AK785" i="63"/>
  <c r="AK782" i="63" s="1"/>
  <c r="AE785" i="63"/>
  <c r="Y785" i="63"/>
  <c r="U785" i="63"/>
  <c r="AA785" i="63" s="1"/>
  <c r="T785" i="63"/>
  <c r="S785" i="63"/>
  <c r="P785" i="63"/>
  <c r="L785" i="63"/>
  <c r="K785" i="63"/>
  <c r="I785" i="63"/>
  <c r="BQ784" i="63"/>
  <c r="BN784" i="63"/>
  <c r="BK784" i="63"/>
  <c r="BH784" i="63"/>
  <c r="BE784" i="63"/>
  <c r="BB784" i="63"/>
  <c r="AY784" i="63"/>
  <c r="AV784" i="63"/>
  <c r="AS784" i="63"/>
  <c r="AP784" i="63"/>
  <c r="AM784" i="63"/>
  <c r="AJ784" i="63"/>
  <c r="AE784" i="63"/>
  <c r="Y784" i="63"/>
  <c r="U784" i="63"/>
  <c r="AA784" i="63" s="1"/>
  <c r="AB784" i="63" s="1"/>
  <c r="T784" i="63"/>
  <c r="Z784" i="63" s="1"/>
  <c r="S784" i="63"/>
  <c r="P784" i="63"/>
  <c r="L784" i="63"/>
  <c r="M784" i="63" s="1"/>
  <c r="K784" i="63"/>
  <c r="I784" i="63"/>
  <c r="BQ783" i="63"/>
  <c r="BN783" i="63"/>
  <c r="BK783" i="63"/>
  <c r="BH783" i="63"/>
  <c r="BE783" i="63"/>
  <c r="BB783" i="63"/>
  <c r="AY783" i="63"/>
  <c r="AV783" i="63"/>
  <c r="AS783" i="63"/>
  <c r="AP783" i="63"/>
  <c r="AM783" i="63"/>
  <c r="AJ783" i="63"/>
  <c r="AE783" i="63"/>
  <c r="Z783" i="63"/>
  <c r="Y783" i="63"/>
  <c r="U783" i="63"/>
  <c r="AA783" i="63" s="1"/>
  <c r="T783" i="63"/>
  <c r="S783" i="63"/>
  <c r="P783" i="63"/>
  <c r="L783" i="63"/>
  <c r="K783" i="63"/>
  <c r="I783" i="63"/>
  <c r="BP782" i="63"/>
  <c r="BM782" i="63"/>
  <c r="BJ782" i="63"/>
  <c r="BG782" i="63"/>
  <c r="BD782" i="63"/>
  <c r="BA782" i="63"/>
  <c r="AZ782" i="63"/>
  <c r="AX782" i="63"/>
  <c r="AU782" i="63"/>
  <c r="AR782" i="63"/>
  <c r="AQ782" i="63"/>
  <c r="AO782" i="63"/>
  <c r="AL782" i="63"/>
  <c r="AI782" i="63"/>
  <c r="AD782" i="63"/>
  <c r="AC782" i="63"/>
  <c r="X782" i="63"/>
  <c r="W782" i="63"/>
  <c r="R782" i="63"/>
  <c r="Q782" i="63"/>
  <c r="O782" i="63"/>
  <c r="U782" i="63" s="1"/>
  <c r="AA782" i="63" s="1"/>
  <c r="N782" i="63"/>
  <c r="J782" i="63"/>
  <c r="H782" i="63"/>
  <c r="G782" i="63"/>
  <c r="F782" i="63"/>
  <c r="U781" i="63"/>
  <c r="L781" i="63"/>
  <c r="I781" i="63"/>
  <c r="BQ780" i="63"/>
  <c r="BN780" i="63"/>
  <c r="BK780" i="63"/>
  <c r="BH780" i="63"/>
  <c r="BE780" i="63"/>
  <c r="BB780" i="63"/>
  <c r="AY780" i="63"/>
  <c r="AV780" i="63"/>
  <c r="AS780" i="63"/>
  <c r="AP780" i="63"/>
  <c r="AM780" i="63"/>
  <c r="AJ780" i="63"/>
  <c r="AE780" i="63"/>
  <c r="Y780" i="63"/>
  <c r="U780" i="63"/>
  <c r="T780" i="63"/>
  <c r="Z780" i="63" s="1"/>
  <c r="S780" i="63"/>
  <c r="P780" i="63"/>
  <c r="M780" i="63"/>
  <c r="L780" i="63"/>
  <c r="K780" i="63"/>
  <c r="I780" i="63"/>
  <c r="BQ779" i="63"/>
  <c r="BN779" i="63"/>
  <c r="BK779" i="63"/>
  <c r="BH779" i="63"/>
  <c r="BE779" i="63"/>
  <c r="BB779" i="63"/>
  <c r="AY779" i="63"/>
  <c r="AV779" i="63"/>
  <c r="AS779" i="63"/>
  <c r="AP779" i="63"/>
  <c r="AM779" i="63"/>
  <c r="AJ779" i="63"/>
  <c r="AE779" i="63"/>
  <c r="Y779" i="63"/>
  <c r="U779" i="63"/>
  <c r="AA779" i="63" s="1"/>
  <c r="T779" i="63"/>
  <c r="S779" i="63"/>
  <c r="P779" i="63"/>
  <c r="L779" i="63"/>
  <c r="K779" i="63"/>
  <c r="I779" i="63"/>
  <c r="BP778" i="63"/>
  <c r="BM778" i="63"/>
  <c r="BJ778" i="63"/>
  <c r="BG778" i="63"/>
  <c r="BD778" i="63"/>
  <c r="BA778" i="63"/>
  <c r="AX778" i="63"/>
  <c r="AU778" i="63"/>
  <c r="AR778" i="63"/>
  <c r="AO778" i="63"/>
  <c r="AL778" i="63"/>
  <c r="AI778" i="63"/>
  <c r="AD778" i="63"/>
  <c r="X778" i="63"/>
  <c r="R778" i="63"/>
  <c r="O778" i="63"/>
  <c r="J778" i="63"/>
  <c r="H778" i="63"/>
  <c r="G778" i="63"/>
  <c r="F778" i="63"/>
  <c r="AE777" i="63"/>
  <c r="Y777" i="63"/>
  <c r="U777" i="63"/>
  <c r="AA777" i="63" s="1"/>
  <c r="T777" i="63"/>
  <c r="S777" i="63"/>
  <c r="P777" i="63"/>
  <c r="L777" i="63"/>
  <c r="M777" i="63" s="1"/>
  <c r="K777" i="63"/>
  <c r="J777" i="63"/>
  <c r="I777" i="63"/>
  <c r="AE776" i="63"/>
  <c r="Y776" i="63"/>
  <c r="U776" i="63"/>
  <c r="AA776" i="63" s="1"/>
  <c r="T776" i="63"/>
  <c r="Z776" i="63" s="1"/>
  <c r="S776" i="63"/>
  <c r="P776" i="63"/>
  <c r="L776" i="63"/>
  <c r="K776" i="63"/>
  <c r="I776" i="63"/>
  <c r="AE775" i="63"/>
  <c r="Y775" i="63"/>
  <c r="U775" i="63"/>
  <c r="AA775" i="63" s="1"/>
  <c r="T775" i="63"/>
  <c r="Z775" i="63" s="1"/>
  <c r="S775" i="63"/>
  <c r="P775" i="63"/>
  <c r="L775" i="63"/>
  <c r="M775" i="63" s="1"/>
  <c r="K775" i="63"/>
  <c r="I775" i="63"/>
  <c r="BP774" i="63"/>
  <c r="BM774" i="63"/>
  <c r="BJ774" i="63"/>
  <c r="BG774" i="63"/>
  <c r="BD774" i="63"/>
  <c r="BA774" i="63"/>
  <c r="AX774" i="63"/>
  <c r="AU774" i="63"/>
  <c r="AR774" i="63"/>
  <c r="AO774" i="63"/>
  <c r="AL774" i="63"/>
  <c r="AI774" i="63"/>
  <c r="AD774" i="63"/>
  <c r="AC774" i="63"/>
  <c r="X774" i="63"/>
  <c r="W774" i="63"/>
  <c r="R774" i="63"/>
  <c r="Q774" i="63"/>
  <c r="O774" i="63"/>
  <c r="N774" i="63"/>
  <c r="H774" i="63"/>
  <c r="G774" i="63"/>
  <c r="I774" i="63" s="1"/>
  <c r="F774" i="63"/>
  <c r="BP773" i="63"/>
  <c r="BM773" i="63"/>
  <c r="BJ773" i="63"/>
  <c r="BG773" i="63"/>
  <c r="BD773" i="63"/>
  <c r="BA773" i="63"/>
  <c r="AX773" i="63"/>
  <c r="AU773" i="63"/>
  <c r="AR773" i="63"/>
  <c r="AO773" i="63"/>
  <c r="AL773" i="63"/>
  <c r="AI773" i="63"/>
  <c r="AD773" i="63"/>
  <c r="X773" i="63"/>
  <c r="R773" i="63"/>
  <c r="O773" i="63"/>
  <c r="H773" i="63"/>
  <c r="I773" i="63" s="1"/>
  <c r="G773" i="63"/>
  <c r="F773" i="63"/>
  <c r="BP772" i="63"/>
  <c r="BM772" i="63"/>
  <c r="BJ772" i="63"/>
  <c r="BG772" i="63"/>
  <c r="BD772" i="63"/>
  <c r="BA772" i="63"/>
  <c r="AX772" i="63"/>
  <c r="AU772" i="63"/>
  <c r="AR772" i="63"/>
  <c r="AO772" i="63"/>
  <c r="AL772" i="63"/>
  <c r="AI772" i="63"/>
  <c r="AD772" i="63"/>
  <c r="AC772" i="63"/>
  <c r="X772" i="63"/>
  <c r="W772" i="63"/>
  <c r="R772" i="63"/>
  <c r="Q772" i="63"/>
  <c r="O772" i="63"/>
  <c r="N772" i="63"/>
  <c r="T772" i="63" s="1"/>
  <c r="Z772" i="63" s="1"/>
  <c r="J772" i="63"/>
  <c r="H772" i="63"/>
  <c r="G772" i="63"/>
  <c r="F772" i="63"/>
  <c r="BP771" i="63"/>
  <c r="BM771" i="63"/>
  <c r="BJ771" i="63"/>
  <c r="BG771" i="63"/>
  <c r="BG758" i="63" s="1"/>
  <c r="BD771" i="63"/>
  <c r="BA771" i="63"/>
  <c r="AX771" i="63"/>
  <c r="AU771" i="63"/>
  <c r="AR771" i="63"/>
  <c r="AO771" i="63"/>
  <c r="AL771" i="63"/>
  <c r="AI771" i="63"/>
  <c r="AD771" i="63"/>
  <c r="AC771" i="63"/>
  <c r="X771" i="63"/>
  <c r="W771" i="63"/>
  <c r="R771" i="63"/>
  <c r="Q771" i="63"/>
  <c r="O771" i="63"/>
  <c r="U771" i="63" s="1"/>
  <c r="N771" i="63"/>
  <c r="J771" i="63"/>
  <c r="H771" i="63"/>
  <c r="G771" i="63"/>
  <c r="G758" i="63" s="1"/>
  <c r="F771" i="63"/>
  <c r="BQ767" i="63"/>
  <c r="BN767" i="63"/>
  <c r="BK767" i="63"/>
  <c r="BH767" i="63"/>
  <c r="BE767" i="63"/>
  <c r="BB767" i="63"/>
  <c r="AY767" i="63"/>
  <c r="AV767" i="63"/>
  <c r="AS767" i="63"/>
  <c r="AP767" i="63"/>
  <c r="AM767" i="63"/>
  <c r="AJ767" i="63"/>
  <c r="AE767" i="63"/>
  <c r="AB767" i="63"/>
  <c r="Y767" i="63"/>
  <c r="V767" i="63"/>
  <c r="S767" i="63"/>
  <c r="P767" i="63"/>
  <c r="M767" i="63"/>
  <c r="I767" i="63"/>
  <c r="BQ766" i="63"/>
  <c r="BP766" i="63"/>
  <c r="BO766" i="63"/>
  <c r="BM766" i="63"/>
  <c r="BL766" i="63"/>
  <c r="BJ766" i="63"/>
  <c r="BK766" i="63" s="1"/>
  <c r="BI766" i="63"/>
  <c r="BG766" i="63"/>
  <c r="BF766" i="63"/>
  <c r="BD766" i="63"/>
  <c r="BC766" i="63"/>
  <c r="BA766" i="63"/>
  <c r="AZ766" i="63"/>
  <c r="AX766" i="63"/>
  <c r="AW766" i="63"/>
  <c r="AU766" i="63"/>
  <c r="AT766" i="63"/>
  <c r="AS766" i="63"/>
  <c r="AR766" i="63"/>
  <c r="AQ766" i="63"/>
  <c r="AO766" i="63"/>
  <c r="AP766" i="63" s="1"/>
  <c r="AN766" i="63"/>
  <c r="AL766" i="63"/>
  <c r="AM766" i="63" s="1"/>
  <c r="AK766" i="63"/>
  <c r="AI766" i="63"/>
  <c r="AH766" i="63"/>
  <c r="AD766" i="63"/>
  <c r="AC766" i="63"/>
  <c r="X766" i="63"/>
  <c r="Y766" i="63" s="1"/>
  <c r="W766" i="63"/>
  <c r="R766" i="63"/>
  <c r="S766" i="63" s="1"/>
  <c r="Q766" i="63"/>
  <c r="O766" i="63"/>
  <c r="N766" i="63"/>
  <c r="J766" i="63"/>
  <c r="H766" i="63"/>
  <c r="G766" i="63"/>
  <c r="BQ765" i="63"/>
  <c r="BN765" i="63"/>
  <c r="BK765" i="63"/>
  <c r="BH765" i="63"/>
  <c r="BE765" i="63"/>
  <c r="BB765" i="63"/>
  <c r="AY765" i="63"/>
  <c r="AV765" i="63"/>
  <c r="AS765" i="63"/>
  <c r="AP765" i="63"/>
  <c r="AM765" i="63"/>
  <c r="AJ765" i="63"/>
  <c r="AE765" i="63"/>
  <c r="Y765" i="63"/>
  <c r="S765" i="63"/>
  <c r="P765" i="63"/>
  <c r="J765" i="63"/>
  <c r="H765" i="63"/>
  <c r="G765" i="63"/>
  <c r="BQ764" i="63"/>
  <c r="BN764" i="63"/>
  <c r="BK764" i="63"/>
  <c r="BH764" i="63"/>
  <c r="BE764" i="63"/>
  <c r="BB764" i="63"/>
  <c r="AY764" i="63"/>
  <c r="AV764" i="63"/>
  <c r="AS764" i="63"/>
  <c r="AP764" i="63"/>
  <c r="AM764" i="63"/>
  <c r="AJ764" i="63"/>
  <c r="AE764" i="63"/>
  <c r="Y764" i="63"/>
  <c r="S764" i="63"/>
  <c r="P764" i="63"/>
  <c r="J764" i="63"/>
  <c r="H764" i="63"/>
  <c r="I764" i="63" s="1"/>
  <c r="G764" i="63"/>
  <c r="BQ763" i="63"/>
  <c r="BN763" i="63"/>
  <c r="BK763" i="63"/>
  <c r="BH763" i="63"/>
  <c r="BE763" i="63"/>
  <c r="BB763" i="63"/>
  <c r="AY763" i="63"/>
  <c r="AV763" i="63"/>
  <c r="AS763" i="63"/>
  <c r="AP763" i="63"/>
  <c r="AM763" i="63"/>
  <c r="AJ763" i="63"/>
  <c r="AE763" i="63"/>
  <c r="Y763" i="63"/>
  <c r="S763" i="63"/>
  <c r="P763" i="63"/>
  <c r="H763" i="63"/>
  <c r="G763" i="63"/>
  <c r="I763" i="63" s="1"/>
  <c r="BQ762" i="63"/>
  <c r="BN762" i="63"/>
  <c r="BK762" i="63"/>
  <c r="BH762" i="63"/>
  <c r="BE762" i="63"/>
  <c r="BB762" i="63"/>
  <c r="AY762" i="63"/>
  <c r="AV762" i="63"/>
  <c r="AS762" i="63"/>
  <c r="AP762" i="63"/>
  <c r="AM762" i="63"/>
  <c r="AE762" i="63"/>
  <c r="Y762" i="63"/>
  <c r="S762" i="63"/>
  <c r="P762" i="63"/>
  <c r="J762" i="63"/>
  <c r="H762" i="63"/>
  <c r="I762" i="63" s="1"/>
  <c r="G762" i="63"/>
  <c r="BQ761" i="63"/>
  <c r="BN761" i="63"/>
  <c r="BK761" i="63"/>
  <c r="BH761" i="63"/>
  <c r="BE761" i="63"/>
  <c r="BB761" i="63"/>
  <c r="AY761" i="63"/>
  <c r="AV761" i="63"/>
  <c r="AS761" i="63"/>
  <c r="AP761" i="63"/>
  <c r="AM761" i="63"/>
  <c r="AE761" i="63"/>
  <c r="Y761" i="63"/>
  <c r="S761" i="63"/>
  <c r="P761" i="63"/>
  <c r="J761" i="63"/>
  <c r="H761" i="63"/>
  <c r="G761" i="63"/>
  <c r="BQ756" i="63"/>
  <c r="BN756" i="63"/>
  <c r="BK756" i="63"/>
  <c r="BH756" i="63"/>
  <c r="BE756" i="63"/>
  <c r="BB756" i="63"/>
  <c r="AY756" i="63"/>
  <c r="AV756" i="63"/>
  <c r="AS756" i="63"/>
  <c r="AP756" i="63"/>
  <c r="AM756" i="63"/>
  <c r="AJ756" i="63"/>
  <c r="AE756" i="63"/>
  <c r="AB756" i="63"/>
  <c r="Y756" i="63"/>
  <c r="V756" i="63"/>
  <c r="S756" i="63"/>
  <c r="P756" i="63"/>
  <c r="M756" i="63"/>
  <c r="I756" i="63"/>
  <c r="BQ755" i="63"/>
  <c r="BN755" i="63"/>
  <c r="BK755" i="63"/>
  <c r="BH755" i="63"/>
  <c r="BE755" i="63"/>
  <c r="BB755" i="63"/>
  <c r="AY755" i="63"/>
  <c r="AV755" i="63"/>
  <c r="AS755" i="63"/>
  <c r="AP755" i="63"/>
  <c r="AM755" i="63"/>
  <c r="AJ755" i="63"/>
  <c r="AE755" i="63"/>
  <c r="AB755" i="63"/>
  <c r="Y755" i="63"/>
  <c r="V755" i="63"/>
  <c r="S755" i="63"/>
  <c r="P755" i="63"/>
  <c r="M755" i="63"/>
  <c r="I755" i="63"/>
  <c r="BQ754" i="63"/>
  <c r="BN754" i="63"/>
  <c r="BK754" i="63"/>
  <c r="BH754" i="63"/>
  <c r="BE754" i="63"/>
  <c r="BB754" i="63"/>
  <c r="AY754" i="63"/>
  <c r="AV754" i="63"/>
  <c r="AS754" i="63"/>
  <c r="AP754" i="63"/>
  <c r="AM754" i="63"/>
  <c r="AJ754" i="63"/>
  <c r="AE754" i="63"/>
  <c r="AB754" i="63"/>
  <c r="Y754" i="63"/>
  <c r="V754" i="63"/>
  <c r="S754" i="63"/>
  <c r="P754" i="63"/>
  <c r="M754" i="63"/>
  <c r="I754" i="63"/>
  <c r="BQ752" i="63"/>
  <c r="BN752" i="63"/>
  <c r="BK752" i="63"/>
  <c r="BH752" i="63"/>
  <c r="BE752" i="63"/>
  <c r="BB752" i="63"/>
  <c r="AY752" i="63"/>
  <c r="AV752" i="63"/>
  <c r="AS752" i="63"/>
  <c r="AP752" i="63"/>
  <c r="AM752" i="63"/>
  <c r="AJ752" i="63"/>
  <c r="AE752" i="63"/>
  <c r="Y752" i="63"/>
  <c r="U752" i="63"/>
  <c r="T752" i="63"/>
  <c r="Z752" i="63" s="1"/>
  <c r="S752" i="63"/>
  <c r="P752" i="63"/>
  <c r="M752" i="63"/>
  <c r="I752" i="63"/>
  <c r="BQ751" i="63"/>
  <c r="BN751" i="63"/>
  <c r="BK751" i="63"/>
  <c r="BH751" i="63"/>
  <c r="BE751" i="63"/>
  <c r="BB751" i="63"/>
  <c r="AY751" i="63"/>
  <c r="AV751" i="63"/>
  <c r="AS751" i="63"/>
  <c r="AP751" i="63"/>
  <c r="AM751" i="63"/>
  <c r="AJ751" i="63"/>
  <c r="AE751" i="63"/>
  <c r="Y751" i="63"/>
  <c r="V751" i="63"/>
  <c r="U751" i="63"/>
  <c r="AA751" i="63" s="1"/>
  <c r="T751" i="63"/>
  <c r="Z751" i="63" s="1"/>
  <c r="S751" i="63"/>
  <c r="P751" i="63"/>
  <c r="M751" i="63"/>
  <c r="I751" i="63"/>
  <c r="BQ749" i="63"/>
  <c r="BN749" i="63"/>
  <c r="BK749" i="63"/>
  <c r="BH749" i="63"/>
  <c r="BE749" i="63"/>
  <c r="BB749" i="63"/>
  <c r="AY749" i="63"/>
  <c r="AV749" i="63"/>
  <c r="AS749" i="63"/>
  <c r="AP749" i="63"/>
  <c r="AM749" i="63"/>
  <c r="AJ749" i="63"/>
  <c r="AE749" i="63"/>
  <c r="Y749" i="63"/>
  <c r="U749" i="63"/>
  <c r="AA749" i="63" s="1"/>
  <c r="T749" i="63"/>
  <c r="Z749" i="63" s="1"/>
  <c r="S749" i="63"/>
  <c r="P749" i="63"/>
  <c r="L749" i="63"/>
  <c r="M749" i="63" s="1"/>
  <c r="K749" i="63"/>
  <c r="I749" i="63"/>
  <c r="BQ748" i="63"/>
  <c r="BN748" i="63"/>
  <c r="BK748" i="63"/>
  <c r="BH748" i="63"/>
  <c r="BE748" i="63"/>
  <c r="BB748" i="63"/>
  <c r="AY748" i="63"/>
  <c r="AV748" i="63"/>
  <c r="AS748" i="63"/>
  <c r="AP748" i="63"/>
  <c r="AM748" i="63"/>
  <c r="AJ748" i="63"/>
  <c r="AE748" i="63"/>
  <c r="Y748" i="63"/>
  <c r="U748" i="63"/>
  <c r="T748" i="63"/>
  <c r="S748" i="63"/>
  <c r="P748" i="63"/>
  <c r="L748" i="63"/>
  <c r="K748" i="63"/>
  <c r="K766" i="63" s="1"/>
  <c r="I748" i="63"/>
  <c r="BQ747" i="63"/>
  <c r="BN747" i="63"/>
  <c r="BK747" i="63"/>
  <c r="BH747" i="63"/>
  <c r="BE747" i="63"/>
  <c r="BB747" i="63"/>
  <c r="AY747" i="63"/>
  <c r="AV747" i="63"/>
  <c r="AS747" i="63"/>
  <c r="AP747" i="63"/>
  <c r="AM747" i="63"/>
  <c r="AJ747" i="63"/>
  <c r="AE747" i="63"/>
  <c r="Y747" i="63"/>
  <c r="U747" i="63"/>
  <c r="T747" i="63"/>
  <c r="Z747" i="63" s="1"/>
  <c r="S747" i="63"/>
  <c r="P747" i="63"/>
  <c r="M747" i="63"/>
  <c r="L747" i="63"/>
  <c r="K747" i="63"/>
  <c r="I747" i="63"/>
  <c r="BQ746" i="63"/>
  <c r="BN746" i="63"/>
  <c r="BK746" i="63"/>
  <c r="BH746" i="63"/>
  <c r="BE746" i="63"/>
  <c r="BB746" i="63"/>
  <c r="AY746" i="63"/>
  <c r="AV746" i="63"/>
  <c r="AS746" i="63"/>
  <c r="AP746" i="63"/>
  <c r="AM746" i="63"/>
  <c r="AJ746" i="63"/>
  <c r="AE746" i="63"/>
  <c r="Y746" i="63"/>
  <c r="U746" i="63"/>
  <c r="AA746" i="63" s="1"/>
  <c r="T746" i="63"/>
  <c r="S746" i="63"/>
  <c r="P746" i="63"/>
  <c r="L746" i="63"/>
  <c r="K746" i="63"/>
  <c r="I746" i="63"/>
  <c r="BQ745" i="63"/>
  <c r="BN745" i="63"/>
  <c r="BK745" i="63"/>
  <c r="BH745" i="63"/>
  <c r="BE745" i="63"/>
  <c r="BB745" i="63"/>
  <c r="AY745" i="63"/>
  <c r="AV745" i="63"/>
  <c r="AS745" i="63"/>
  <c r="AP745" i="63"/>
  <c r="AM745" i="63"/>
  <c r="AJ745" i="63"/>
  <c r="AE745" i="63"/>
  <c r="Y745" i="63"/>
  <c r="U745" i="63"/>
  <c r="T745" i="63"/>
  <c r="Z745" i="63" s="1"/>
  <c r="S745" i="63"/>
  <c r="P745" i="63"/>
  <c r="L745" i="63"/>
  <c r="M745" i="63" s="1"/>
  <c r="K745" i="63"/>
  <c r="I745" i="63"/>
  <c r="BQ744" i="63"/>
  <c r="BN744" i="63"/>
  <c r="BK744" i="63"/>
  <c r="BH744" i="63"/>
  <c r="BE744" i="63"/>
  <c r="BB744" i="63"/>
  <c r="AY744" i="63"/>
  <c r="AV744" i="63"/>
  <c r="AS744" i="63"/>
  <c r="AP744" i="63"/>
  <c r="AM744" i="63"/>
  <c r="AJ744" i="63"/>
  <c r="AE744" i="63"/>
  <c r="Y744" i="63"/>
  <c r="U744" i="63"/>
  <c r="AA744" i="63" s="1"/>
  <c r="T744" i="63"/>
  <c r="S744" i="63"/>
  <c r="P744" i="63"/>
  <c r="L744" i="63"/>
  <c r="K744" i="63"/>
  <c r="I744" i="63"/>
  <c r="BQ743" i="63"/>
  <c r="BN743" i="63"/>
  <c r="BK743" i="63"/>
  <c r="BH743" i="63"/>
  <c r="BE743" i="63"/>
  <c r="BB743" i="63"/>
  <c r="AY743" i="63"/>
  <c r="AV743" i="63"/>
  <c r="AS743" i="63"/>
  <c r="AP743" i="63"/>
  <c r="AM743" i="63"/>
  <c r="AJ743" i="63"/>
  <c r="AE743" i="63"/>
  <c r="Y743" i="63"/>
  <c r="U743" i="63"/>
  <c r="T743" i="63"/>
  <c r="Z743" i="63" s="1"/>
  <c r="S743" i="63"/>
  <c r="P743" i="63"/>
  <c r="L743" i="63"/>
  <c r="M743" i="63" s="1"/>
  <c r="K743" i="63"/>
  <c r="I743" i="63"/>
  <c r="BQ742" i="63"/>
  <c r="BN742" i="63"/>
  <c r="BK742" i="63"/>
  <c r="BH742" i="63"/>
  <c r="BE742" i="63"/>
  <c r="BB742" i="63"/>
  <c r="AY742" i="63"/>
  <c r="AV742" i="63"/>
  <c r="AS742" i="63"/>
  <c r="AP742" i="63"/>
  <c r="AM742" i="63"/>
  <c r="AJ742" i="63"/>
  <c r="AE742" i="63"/>
  <c r="Y742" i="63"/>
  <c r="U742" i="63"/>
  <c r="AA742" i="63" s="1"/>
  <c r="T742" i="63"/>
  <c r="S742" i="63"/>
  <c r="P742" i="63"/>
  <c r="L742" i="63"/>
  <c r="K742" i="63"/>
  <c r="I742" i="63"/>
  <c r="BQ741" i="63"/>
  <c r="BN741" i="63"/>
  <c r="BK741" i="63"/>
  <c r="BH741" i="63"/>
  <c r="BE741" i="63"/>
  <c r="BB741" i="63"/>
  <c r="AY741" i="63"/>
  <c r="AV741" i="63"/>
  <c r="AS741" i="63"/>
  <c r="AP741" i="63"/>
  <c r="AM741" i="63"/>
  <c r="AJ741" i="63"/>
  <c r="AE741" i="63"/>
  <c r="Y741" i="63"/>
  <c r="U741" i="63"/>
  <c r="V741" i="63" s="1"/>
  <c r="T741" i="63"/>
  <c r="Z741" i="63" s="1"/>
  <c r="S741" i="63"/>
  <c r="P741" i="63"/>
  <c r="L741" i="63"/>
  <c r="M741" i="63" s="1"/>
  <c r="K741" i="63"/>
  <c r="J741" i="63"/>
  <c r="I741" i="63"/>
  <c r="BQ740" i="63"/>
  <c r="BN740" i="63"/>
  <c r="BK740" i="63"/>
  <c r="BH740" i="63"/>
  <c r="BE740" i="63"/>
  <c r="BB740" i="63"/>
  <c r="AY740" i="63"/>
  <c r="AV740" i="63"/>
  <c r="AS740" i="63"/>
  <c r="AP740" i="63"/>
  <c r="AM740" i="63"/>
  <c r="AC740" i="63"/>
  <c r="W740" i="63"/>
  <c r="Y740" i="63" s="1"/>
  <c r="U740" i="63"/>
  <c r="AA740" i="63" s="1"/>
  <c r="Q740" i="63"/>
  <c r="S740" i="63" s="1"/>
  <c r="L740" i="63"/>
  <c r="I740" i="63"/>
  <c r="BQ739" i="63"/>
  <c r="BN739" i="63"/>
  <c r="BK739" i="63"/>
  <c r="BH739" i="63"/>
  <c r="BE739" i="63"/>
  <c r="BB739" i="63"/>
  <c r="AY739" i="63"/>
  <c r="AV739" i="63"/>
  <c r="AS739" i="63"/>
  <c r="AP739" i="63"/>
  <c r="AM739" i="63"/>
  <c r="AJ739" i="63"/>
  <c r="AC739" i="63"/>
  <c r="AE739" i="63" s="1"/>
  <c r="AA739" i="63"/>
  <c r="W739" i="63"/>
  <c r="Y739" i="63" s="1"/>
  <c r="U739" i="63"/>
  <c r="Q739" i="63"/>
  <c r="S739" i="63" s="1"/>
  <c r="N739" i="63"/>
  <c r="P739" i="63" s="1"/>
  <c r="L739" i="63"/>
  <c r="I739" i="63"/>
  <c r="BQ738" i="63"/>
  <c r="BN738" i="63"/>
  <c r="BK738" i="63"/>
  <c r="BH738" i="63"/>
  <c r="BE738" i="63"/>
  <c r="BB738" i="63"/>
  <c r="AY738" i="63"/>
  <c r="AV738" i="63"/>
  <c r="AS738" i="63"/>
  <c r="AP738" i="63"/>
  <c r="AM738" i="63"/>
  <c r="AC738" i="63"/>
  <c r="AC799" i="63" s="1"/>
  <c r="W738" i="63"/>
  <c r="U738" i="63"/>
  <c r="Q738" i="63"/>
  <c r="L738" i="63"/>
  <c r="I738" i="63"/>
  <c r="BP737" i="63"/>
  <c r="BO737" i="63"/>
  <c r="BM737" i="63"/>
  <c r="BL737" i="63"/>
  <c r="BJ737" i="63"/>
  <c r="BK737" i="63" s="1"/>
  <c r="BI737" i="63"/>
  <c r="BG737" i="63"/>
  <c r="BF737" i="63"/>
  <c r="BH737" i="63" s="1"/>
  <c r="BD737" i="63"/>
  <c r="BC737" i="63"/>
  <c r="BA737" i="63"/>
  <c r="AZ737" i="63"/>
  <c r="BB737" i="63" s="1"/>
  <c r="AX737" i="63"/>
  <c r="AY737" i="63" s="1"/>
  <c r="AW737" i="63"/>
  <c r="AU737" i="63"/>
  <c r="AT737" i="63"/>
  <c r="AR737" i="63"/>
  <c r="AS737" i="63" s="1"/>
  <c r="AQ737" i="63"/>
  <c r="AO737" i="63"/>
  <c r="AN737" i="63"/>
  <c r="AM737" i="63"/>
  <c r="AL737" i="63"/>
  <c r="AK737" i="63"/>
  <c r="AI737" i="63"/>
  <c r="AD737" i="63"/>
  <c r="X737" i="63"/>
  <c r="R737" i="63"/>
  <c r="U737" i="63" s="1"/>
  <c r="O737" i="63"/>
  <c r="J737" i="63"/>
  <c r="H737" i="63"/>
  <c r="G737" i="63"/>
  <c r="F737" i="63"/>
  <c r="BQ736" i="63"/>
  <c r="BN736" i="63"/>
  <c r="BK736" i="63"/>
  <c r="BH736" i="63"/>
  <c r="BE736" i="63"/>
  <c r="BB736" i="63"/>
  <c r="AY736" i="63"/>
  <c r="AV736" i="63"/>
  <c r="AS736" i="63"/>
  <c r="AP736" i="63"/>
  <c r="AM736" i="63"/>
  <c r="AJ736" i="63"/>
  <c r="AE736" i="63"/>
  <c r="Y736" i="63"/>
  <c r="U736" i="63"/>
  <c r="AA736" i="63" s="1"/>
  <c r="T736" i="63"/>
  <c r="S736" i="63"/>
  <c r="P736" i="63"/>
  <c r="L736" i="63"/>
  <c r="K736" i="63"/>
  <c r="I736" i="63"/>
  <c r="BQ735" i="63"/>
  <c r="BN735" i="63"/>
  <c r="BK735" i="63"/>
  <c r="BH735" i="63"/>
  <c r="BE735" i="63"/>
  <c r="BB735" i="63"/>
  <c r="AY735" i="63"/>
  <c r="AV735" i="63"/>
  <c r="AS735" i="63"/>
  <c r="AP735" i="63"/>
  <c r="AM735" i="63"/>
  <c r="AJ735" i="63"/>
  <c r="AE735" i="63"/>
  <c r="Y735" i="63"/>
  <c r="U735" i="63"/>
  <c r="T735" i="63"/>
  <c r="Z735" i="63" s="1"/>
  <c r="S735" i="63"/>
  <c r="P735" i="63"/>
  <c r="M735" i="63"/>
  <c r="L735" i="63"/>
  <c r="K735" i="63"/>
  <c r="I735" i="63"/>
  <c r="BQ734" i="63"/>
  <c r="BN734" i="63"/>
  <c r="BK734" i="63"/>
  <c r="BH734" i="63"/>
  <c r="BE734" i="63"/>
  <c r="BB734" i="63"/>
  <c r="AY734" i="63"/>
  <c r="AV734" i="63"/>
  <c r="AS734" i="63"/>
  <c r="AP734" i="63"/>
  <c r="AM734" i="63"/>
  <c r="AJ734" i="63"/>
  <c r="AE734" i="63"/>
  <c r="Y734" i="63"/>
  <c r="U734" i="63"/>
  <c r="AA734" i="63" s="1"/>
  <c r="T734" i="63"/>
  <c r="S734" i="63"/>
  <c r="P734" i="63"/>
  <c r="L734" i="63"/>
  <c r="K734" i="63"/>
  <c r="I734" i="63"/>
  <c r="BP733" i="63"/>
  <c r="BQ733" i="63" s="1"/>
  <c r="BO733" i="63"/>
  <c r="BM733" i="63"/>
  <c r="BL733" i="63"/>
  <c r="BJ733" i="63"/>
  <c r="BI733" i="63"/>
  <c r="BG733" i="63"/>
  <c r="BH733" i="63" s="1"/>
  <c r="BF733" i="63"/>
  <c r="BD733" i="63"/>
  <c r="BC733" i="63"/>
  <c r="BA733" i="63"/>
  <c r="AZ733" i="63"/>
  <c r="AX733" i="63"/>
  <c r="AW733" i="63"/>
  <c r="AY733" i="63" s="1"/>
  <c r="AU733" i="63"/>
  <c r="AV733" i="63" s="1"/>
  <c r="AT733" i="63"/>
  <c r="AR733" i="63"/>
  <c r="AQ733" i="63"/>
  <c r="AO733" i="63"/>
  <c r="AN733" i="63"/>
  <c r="AL733" i="63"/>
  <c r="AK733" i="63"/>
  <c r="AM733" i="63" s="1"/>
  <c r="AI733" i="63"/>
  <c r="AJ733" i="63" s="1"/>
  <c r="AH733" i="63"/>
  <c r="AD733" i="63"/>
  <c r="AC733" i="63"/>
  <c r="X733" i="63"/>
  <c r="W733" i="63"/>
  <c r="R733" i="63"/>
  <c r="Q733" i="63"/>
  <c r="O733" i="63"/>
  <c r="U733" i="63" s="1"/>
  <c r="AA733" i="63" s="1"/>
  <c r="N733" i="63"/>
  <c r="H733" i="63"/>
  <c r="G733" i="63"/>
  <c r="I733" i="63" s="1"/>
  <c r="BQ732" i="63"/>
  <c r="BN732" i="63"/>
  <c r="BK732" i="63"/>
  <c r="BH732" i="63"/>
  <c r="BE732" i="63"/>
  <c r="BB732" i="63"/>
  <c r="AY732" i="63"/>
  <c r="AV732" i="63"/>
  <c r="AS732" i="63"/>
  <c r="AP732" i="63"/>
  <c r="AM732" i="63"/>
  <c r="AJ732" i="63"/>
  <c r="AE732" i="63"/>
  <c r="Y732" i="63"/>
  <c r="U732" i="63"/>
  <c r="T732" i="63"/>
  <c r="Z732" i="63" s="1"/>
  <c r="S732" i="63"/>
  <c r="P732" i="63"/>
  <c r="L732" i="63"/>
  <c r="M732" i="63" s="1"/>
  <c r="K732" i="63"/>
  <c r="I732" i="63"/>
  <c r="BQ731" i="63"/>
  <c r="BN731" i="63"/>
  <c r="BK731" i="63"/>
  <c r="BH731" i="63"/>
  <c r="BE731" i="63"/>
  <c r="BB731" i="63"/>
  <c r="AY731" i="63"/>
  <c r="AV731" i="63"/>
  <c r="AS731" i="63"/>
  <c r="AP731" i="63"/>
  <c r="AM731" i="63"/>
  <c r="AJ731" i="63"/>
  <c r="AE731" i="63"/>
  <c r="Y731" i="63"/>
  <c r="U731" i="63"/>
  <c r="AA731" i="63" s="1"/>
  <c r="T731" i="63"/>
  <c r="S731" i="63"/>
  <c r="P731" i="63"/>
  <c r="L731" i="63"/>
  <c r="K731" i="63"/>
  <c r="I731" i="63"/>
  <c r="BQ730" i="63"/>
  <c r="BN730" i="63"/>
  <c r="BK730" i="63"/>
  <c r="BH730" i="63"/>
  <c r="BE730" i="63"/>
  <c r="BB730" i="63"/>
  <c r="AY730" i="63"/>
  <c r="AV730" i="63"/>
  <c r="AS730" i="63"/>
  <c r="AP730" i="63"/>
  <c r="AM730" i="63"/>
  <c r="AJ730" i="63"/>
  <c r="AE730" i="63"/>
  <c r="Y730" i="63"/>
  <c r="U730" i="63"/>
  <c r="AA730" i="63" s="1"/>
  <c r="T730" i="63"/>
  <c r="Z730" i="63" s="1"/>
  <c r="S730" i="63"/>
  <c r="P730" i="63"/>
  <c r="L730" i="63"/>
  <c r="M730" i="63" s="1"/>
  <c r="K730" i="63"/>
  <c r="I730" i="63"/>
  <c r="BP729" i="63"/>
  <c r="BO729" i="63"/>
  <c r="BM729" i="63"/>
  <c r="BL729" i="63"/>
  <c r="BJ729" i="63"/>
  <c r="BK729" i="63" s="1"/>
  <c r="BI729" i="63"/>
  <c r="BG729" i="63"/>
  <c r="BF729" i="63"/>
  <c r="BH729" i="63" s="1"/>
  <c r="BE729" i="63"/>
  <c r="BD729" i="63"/>
  <c r="BC729" i="63"/>
  <c r="BA729" i="63"/>
  <c r="BB729" i="63" s="1"/>
  <c r="AZ729" i="63"/>
  <c r="AX729" i="63"/>
  <c r="AW729" i="63"/>
  <c r="AU729" i="63"/>
  <c r="AT729" i="63"/>
  <c r="AR729" i="63"/>
  <c r="AS729" i="63" s="1"/>
  <c r="AQ729" i="63"/>
  <c r="AO729" i="63"/>
  <c r="AP729" i="63" s="1"/>
  <c r="AN729" i="63"/>
  <c r="AL729" i="63"/>
  <c r="AM729" i="63" s="1"/>
  <c r="AK729" i="63"/>
  <c r="AI729" i="63"/>
  <c r="AH729" i="63"/>
  <c r="AD729" i="63"/>
  <c r="AC729" i="63"/>
  <c r="AE729" i="63" s="1"/>
  <c r="X729" i="63"/>
  <c r="W729" i="63"/>
  <c r="R729" i="63"/>
  <c r="Q729" i="63"/>
  <c r="O729" i="63"/>
  <c r="P729" i="63" s="1"/>
  <c r="N729" i="63"/>
  <c r="H729" i="63"/>
  <c r="G729" i="63"/>
  <c r="I729" i="63" s="1"/>
  <c r="BQ728" i="63"/>
  <c r="BN728" i="63"/>
  <c r="BK728" i="63"/>
  <c r="BH728" i="63"/>
  <c r="BE728" i="63"/>
  <c r="BB728" i="63"/>
  <c r="AY728" i="63"/>
  <c r="AV728" i="63"/>
  <c r="AS728" i="63"/>
  <c r="AP728" i="63"/>
  <c r="AM728" i="63"/>
  <c r="AJ728" i="63"/>
  <c r="AE728" i="63"/>
  <c r="Y728" i="63"/>
  <c r="U728" i="63"/>
  <c r="AA728" i="63" s="1"/>
  <c r="T728" i="63"/>
  <c r="S728" i="63"/>
  <c r="P728" i="63"/>
  <c r="L728" i="63"/>
  <c r="K728" i="63"/>
  <c r="I728" i="63"/>
  <c r="BQ727" i="63"/>
  <c r="BN727" i="63"/>
  <c r="BK727" i="63"/>
  <c r="BH727" i="63"/>
  <c r="BE727" i="63"/>
  <c r="BB727" i="63"/>
  <c r="AY727" i="63"/>
  <c r="AV727" i="63"/>
  <c r="AS727" i="63"/>
  <c r="AP727" i="63"/>
  <c r="AM727" i="63"/>
  <c r="AJ727" i="63"/>
  <c r="AE727" i="63"/>
  <c r="Y727" i="63"/>
  <c r="U727" i="63"/>
  <c r="T727" i="63"/>
  <c r="Z727" i="63" s="1"/>
  <c r="S727" i="63"/>
  <c r="P727" i="63"/>
  <c r="M727" i="63"/>
  <c r="L727" i="63"/>
  <c r="K727" i="63"/>
  <c r="I727" i="63"/>
  <c r="BQ726" i="63"/>
  <c r="BN726" i="63"/>
  <c r="BK726" i="63"/>
  <c r="BH726" i="63"/>
  <c r="BE726" i="63"/>
  <c r="BB726" i="63"/>
  <c r="AY726" i="63"/>
  <c r="AV726" i="63"/>
  <c r="AS726" i="63"/>
  <c r="AP726" i="63"/>
  <c r="AM726" i="63"/>
  <c r="AJ726" i="63"/>
  <c r="AE726" i="63"/>
  <c r="Y726" i="63"/>
  <c r="U726" i="63"/>
  <c r="AA726" i="63" s="1"/>
  <c r="T726" i="63"/>
  <c r="V726" i="63" s="1"/>
  <c r="S726" i="63"/>
  <c r="P726" i="63"/>
  <c r="L726" i="63"/>
  <c r="K726" i="63"/>
  <c r="I726" i="63"/>
  <c r="BP725" i="63"/>
  <c r="BO725" i="63"/>
  <c r="BM725" i="63"/>
  <c r="BL725" i="63"/>
  <c r="BJ725" i="63"/>
  <c r="BK725" i="63" s="1"/>
  <c r="BI725" i="63"/>
  <c r="BG725" i="63"/>
  <c r="BH725" i="63" s="1"/>
  <c r="BF725" i="63"/>
  <c r="BD725" i="63"/>
  <c r="BE725" i="63" s="1"/>
  <c r="BC725" i="63"/>
  <c r="BA725" i="63"/>
  <c r="AZ725" i="63"/>
  <c r="AX725" i="63"/>
  <c r="AY725" i="63" s="1"/>
  <c r="AW725" i="63"/>
  <c r="AU725" i="63"/>
  <c r="AV725" i="63" s="1"/>
  <c r="AT725" i="63"/>
  <c r="AR725" i="63"/>
  <c r="AS725" i="63" s="1"/>
  <c r="AQ725" i="63"/>
  <c r="AO725" i="63"/>
  <c r="AN725" i="63"/>
  <c r="AL725" i="63"/>
  <c r="AK725" i="63"/>
  <c r="AM725" i="63" s="1"/>
  <c r="AI725" i="63"/>
  <c r="AH725" i="63"/>
  <c r="AD725" i="63"/>
  <c r="AC725" i="63"/>
  <c r="X725" i="63"/>
  <c r="Y725" i="63" s="1"/>
  <c r="W725" i="63"/>
  <c r="R725" i="63"/>
  <c r="Q725" i="63"/>
  <c r="O725" i="63"/>
  <c r="N725" i="63"/>
  <c r="H725" i="63"/>
  <c r="G725" i="63"/>
  <c r="BQ724" i="63"/>
  <c r="BN724" i="63"/>
  <c r="BK724" i="63"/>
  <c r="BH724" i="63"/>
  <c r="BE724" i="63"/>
  <c r="BB724" i="63"/>
  <c r="AY724" i="63"/>
  <c r="AV724" i="63"/>
  <c r="AS724" i="63"/>
  <c r="AP724" i="63"/>
  <c r="AM724" i="63"/>
  <c r="AC724" i="63"/>
  <c r="W724" i="63"/>
  <c r="BC815" i="63" s="1"/>
  <c r="BE815" i="63" s="1"/>
  <c r="U724" i="63"/>
  <c r="Q724" i="63"/>
  <c r="L724" i="63"/>
  <c r="I724" i="63"/>
  <c r="BQ723" i="63"/>
  <c r="BN723" i="63"/>
  <c r="BK723" i="63"/>
  <c r="BH723" i="63"/>
  <c r="BE723" i="63"/>
  <c r="BB723" i="63"/>
  <c r="AY723" i="63"/>
  <c r="AV723" i="63"/>
  <c r="AS723" i="63"/>
  <c r="AP723" i="63"/>
  <c r="AM723" i="63"/>
  <c r="AJ723" i="63"/>
  <c r="AC723" i="63"/>
  <c r="W723" i="63"/>
  <c r="U723" i="63"/>
  <c r="AA723" i="63" s="1"/>
  <c r="Q723" i="63"/>
  <c r="S723" i="63" s="1"/>
  <c r="P723" i="63"/>
  <c r="L723" i="63"/>
  <c r="I723" i="63"/>
  <c r="BQ722" i="63"/>
  <c r="BN722" i="63"/>
  <c r="BK722" i="63"/>
  <c r="BH722" i="63"/>
  <c r="BE722" i="63"/>
  <c r="BB722" i="63"/>
  <c r="AY722" i="63"/>
  <c r="AV722" i="63"/>
  <c r="AS722" i="63"/>
  <c r="AP722" i="63"/>
  <c r="AM722" i="63"/>
  <c r="AJ722" i="63"/>
  <c r="AC722" i="63"/>
  <c r="AE722" i="63" s="1"/>
  <c r="Y722" i="63"/>
  <c r="W722" i="63"/>
  <c r="U722" i="63"/>
  <c r="S722" i="63"/>
  <c r="Q722" i="63"/>
  <c r="T722" i="63" s="1"/>
  <c r="Z722" i="63" s="1"/>
  <c r="P722" i="63"/>
  <c r="L722" i="63"/>
  <c r="I722" i="63"/>
  <c r="BP721" i="63"/>
  <c r="BO721" i="63"/>
  <c r="BM721" i="63"/>
  <c r="BL721" i="63"/>
  <c r="BK721" i="63"/>
  <c r="BJ721" i="63"/>
  <c r="BI721" i="63"/>
  <c r="BG721" i="63"/>
  <c r="BF721" i="63"/>
  <c r="BD721" i="63"/>
  <c r="BC721" i="63"/>
  <c r="BA721" i="63"/>
  <c r="BB721" i="63" s="1"/>
  <c r="AZ721" i="63"/>
  <c r="AX721" i="63"/>
  <c r="AY721" i="63" s="1"/>
  <c r="AW721" i="63"/>
  <c r="AU721" i="63"/>
  <c r="AV721" i="63" s="1"/>
  <c r="AT721" i="63"/>
  <c r="AR721" i="63"/>
  <c r="AQ721" i="63"/>
  <c r="AP721" i="63"/>
  <c r="AO721" i="63"/>
  <c r="AN721" i="63"/>
  <c r="AL721" i="63"/>
  <c r="AK721" i="63"/>
  <c r="AI721" i="63"/>
  <c r="AD721" i="63"/>
  <c r="X721" i="63"/>
  <c r="R721" i="63"/>
  <c r="O721" i="63"/>
  <c r="H721" i="63"/>
  <c r="G721" i="63"/>
  <c r="AA720" i="63"/>
  <c r="U720" i="63"/>
  <c r="L720" i="63"/>
  <c r="I720" i="63"/>
  <c r="BQ719" i="63"/>
  <c r="BN719" i="63"/>
  <c r="BK719" i="63"/>
  <c r="BH719" i="63"/>
  <c r="BE719" i="63"/>
  <c r="BB719" i="63"/>
  <c r="AY719" i="63"/>
  <c r="AV719" i="63"/>
  <c r="AS719" i="63"/>
  <c r="AP719" i="63"/>
  <c r="AM719" i="63"/>
  <c r="AJ719" i="63"/>
  <c r="AE719" i="63"/>
  <c r="AC719" i="63"/>
  <c r="W719" i="63"/>
  <c r="Y719" i="63" s="1"/>
  <c r="U719" i="63"/>
  <c r="AA719" i="63" s="1"/>
  <c r="Q719" i="63"/>
  <c r="K719" i="63" s="1"/>
  <c r="M719" i="63" s="1"/>
  <c r="P719" i="63"/>
  <c r="L719" i="63"/>
  <c r="I719" i="63"/>
  <c r="BQ718" i="63"/>
  <c r="BN718" i="63"/>
  <c r="BK718" i="63"/>
  <c r="BH718" i="63"/>
  <c r="BE718" i="63"/>
  <c r="BB718" i="63"/>
  <c r="AY718" i="63"/>
  <c r="AV718" i="63"/>
  <c r="AS718" i="63"/>
  <c r="AP718" i="63"/>
  <c r="AM718" i="63"/>
  <c r="AJ718" i="63"/>
  <c r="AC718" i="63"/>
  <c r="W718" i="63"/>
  <c r="U718" i="63"/>
  <c r="AA718" i="63" s="1"/>
  <c r="T718" i="63"/>
  <c r="S718" i="63"/>
  <c r="Q718" i="63"/>
  <c r="P718" i="63"/>
  <c r="L718" i="63"/>
  <c r="I718" i="63"/>
  <c r="BP717" i="63"/>
  <c r="BM717" i="63"/>
  <c r="BJ717" i="63"/>
  <c r="BG717" i="63"/>
  <c r="BD717" i="63"/>
  <c r="BA717" i="63"/>
  <c r="AX717" i="63"/>
  <c r="AU717" i="63"/>
  <c r="AR717" i="63"/>
  <c r="AO717" i="63"/>
  <c r="AL717" i="63"/>
  <c r="AI717" i="63"/>
  <c r="AD717" i="63"/>
  <c r="X717" i="63"/>
  <c r="R717" i="63"/>
  <c r="O717" i="63"/>
  <c r="H717" i="63"/>
  <c r="G717" i="63"/>
  <c r="F717" i="63"/>
  <c r="BQ716" i="63"/>
  <c r="BN716" i="63"/>
  <c r="BK716" i="63"/>
  <c r="BH716" i="63"/>
  <c r="BE716" i="63"/>
  <c r="BB716" i="63"/>
  <c r="AY716" i="63"/>
  <c r="AV716" i="63"/>
  <c r="AS716" i="63"/>
  <c r="AP716" i="63"/>
  <c r="AM716" i="63"/>
  <c r="AC716" i="63"/>
  <c r="Y716" i="63"/>
  <c r="W716" i="63"/>
  <c r="U716" i="63"/>
  <c r="Q716" i="63"/>
  <c r="S716" i="63" s="1"/>
  <c r="L716" i="63"/>
  <c r="I716" i="63"/>
  <c r="BQ715" i="63"/>
  <c r="BN715" i="63"/>
  <c r="BK715" i="63"/>
  <c r="BH715" i="63"/>
  <c r="BE715" i="63"/>
  <c r="BB715" i="63"/>
  <c r="AY715" i="63"/>
  <c r="AV715" i="63"/>
  <c r="AS715" i="63"/>
  <c r="AP715" i="63"/>
  <c r="AM715" i="63"/>
  <c r="AC715" i="63"/>
  <c r="AE715" i="63" s="1"/>
  <c r="Y715" i="63"/>
  <c r="W715" i="63"/>
  <c r="U715" i="63"/>
  <c r="AA715" i="63" s="1"/>
  <c r="Q715" i="63"/>
  <c r="L715" i="63"/>
  <c r="I715" i="63"/>
  <c r="AA714" i="63"/>
  <c r="U714" i="63"/>
  <c r="L714" i="63"/>
  <c r="I714" i="63"/>
  <c r="BP713" i="63"/>
  <c r="BM713" i="63"/>
  <c r="BJ713" i="63"/>
  <c r="BG713" i="63"/>
  <c r="BD713" i="63"/>
  <c r="BA713" i="63"/>
  <c r="AX713" i="63"/>
  <c r="AU713" i="63"/>
  <c r="AR713" i="63"/>
  <c r="AR709" i="63" s="1"/>
  <c r="AO713" i="63"/>
  <c r="AL713" i="63"/>
  <c r="AI713" i="63"/>
  <c r="AD713" i="63"/>
  <c r="X713" i="63"/>
  <c r="R713" i="63"/>
  <c r="O713" i="63"/>
  <c r="J713" i="63"/>
  <c r="H713" i="63"/>
  <c r="G713" i="63"/>
  <c r="F713" i="63"/>
  <c r="BP712" i="63"/>
  <c r="BM712" i="63"/>
  <c r="BJ712" i="63"/>
  <c r="BG712" i="63"/>
  <c r="BD712" i="63"/>
  <c r="BA712" i="63"/>
  <c r="AX712" i="63"/>
  <c r="AU712" i="63"/>
  <c r="AR712" i="63"/>
  <c r="AO712" i="63"/>
  <c r="AL712" i="63"/>
  <c r="AI712" i="63"/>
  <c r="AD712" i="63"/>
  <c r="X712" i="63"/>
  <c r="R712" i="63"/>
  <c r="O712" i="63"/>
  <c r="J712" i="63"/>
  <c r="H712" i="63"/>
  <c r="G712" i="63"/>
  <c r="BP711" i="63"/>
  <c r="BO711" i="63"/>
  <c r="BM711" i="63"/>
  <c r="BL711" i="63"/>
  <c r="BJ711" i="63"/>
  <c r="BK711" i="63" s="1"/>
  <c r="BI711" i="63"/>
  <c r="BG711" i="63"/>
  <c r="BF711" i="63"/>
  <c r="BD711" i="63"/>
  <c r="BC711" i="63"/>
  <c r="BA711" i="63"/>
  <c r="AZ711" i="63"/>
  <c r="AX711" i="63"/>
  <c r="AY711" i="63" s="1"/>
  <c r="AW711" i="63"/>
  <c r="AU711" i="63"/>
  <c r="AT711" i="63"/>
  <c r="AR711" i="63"/>
  <c r="AQ711" i="63"/>
  <c r="AO711" i="63"/>
  <c r="AN711" i="63"/>
  <c r="AL711" i="63"/>
  <c r="AM711" i="63" s="1"/>
  <c r="AK711" i="63"/>
  <c r="AI711" i="63"/>
  <c r="AD711" i="63"/>
  <c r="X711" i="63"/>
  <c r="R711" i="63"/>
  <c r="O711" i="63"/>
  <c r="H711" i="63"/>
  <c r="I711" i="63" s="1"/>
  <c r="G711" i="63"/>
  <c r="BP710" i="63"/>
  <c r="BM710" i="63"/>
  <c r="BJ710" i="63"/>
  <c r="BG710" i="63"/>
  <c r="BD710" i="63"/>
  <c r="BA710" i="63"/>
  <c r="AX710" i="63"/>
  <c r="AU710" i="63"/>
  <c r="AR710" i="63"/>
  <c r="AO710" i="63"/>
  <c r="AL710" i="63"/>
  <c r="AI710" i="63"/>
  <c r="AD710" i="63"/>
  <c r="X710" i="63"/>
  <c r="R710" i="63"/>
  <c r="R758" i="63" s="1"/>
  <c r="O710" i="63"/>
  <c r="U710" i="63" s="1"/>
  <c r="H710" i="63"/>
  <c r="I710" i="63" s="1"/>
  <c r="G710" i="63"/>
  <c r="BQ705" i="63"/>
  <c r="BN705" i="63"/>
  <c r="BK705" i="63"/>
  <c r="BH705" i="63"/>
  <c r="BE705" i="63"/>
  <c r="BB705" i="63"/>
  <c r="AY705" i="63"/>
  <c r="AV705" i="63"/>
  <c r="AS705" i="63"/>
  <c r="AP705" i="63"/>
  <c r="AM705" i="63"/>
  <c r="AJ705" i="63"/>
  <c r="AE705" i="63"/>
  <c r="Y705" i="63"/>
  <c r="U705" i="63"/>
  <c r="V705" i="63" s="1"/>
  <c r="T705" i="63"/>
  <c r="Z705" i="63" s="1"/>
  <c r="S705" i="63"/>
  <c r="P705" i="63"/>
  <c r="L705" i="63"/>
  <c r="K705" i="63"/>
  <c r="M705" i="63" s="1"/>
  <c r="I705" i="63"/>
  <c r="BQ704" i="63"/>
  <c r="BN704" i="63"/>
  <c r="BK704" i="63"/>
  <c r="BH704" i="63"/>
  <c r="BE704" i="63"/>
  <c r="BB704" i="63"/>
  <c r="AY704" i="63"/>
  <c r="AV704" i="63"/>
  <c r="AS704" i="63"/>
  <c r="AP704" i="63"/>
  <c r="AM704" i="63"/>
  <c r="AJ704" i="63"/>
  <c r="AE704" i="63"/>
  <c r="Y704" i="63"/>
  <c r="U704" i="63"/>
  <c r="T704" i="63"/>
  <c r="Z704" i="63" s="1"/>
  <c r="S704" i="63"/>
  <c r="P704" i="63"/>
  <c r="L704" i="63"/>
  <c r="K704" i="63"/>
  <c r="I704" i="63"/>
  <c r="BQ703" i="63"/>
  <c r="BN703" i="63"/>
  <c r="BK703" i="63"/>
  <c r="BH703" i="63"/>
  <c r="BE703" i="63"/>
  <c r="BB703" i="63"/>
  <c r="AY703" i="63"/>
  <c r="AV703" i="63"/>
  <c r="AS703" i="63"/>
  <c r="AP703" i="63"/>
  <c r="AM703" i="63"/>
  <c r="AJ703" i="63"/>
  <c r="AE703" i="63"/>
  <c r="Y703" i="63"/>
  <c r="U703" i="63"/>
  <c r="T703" i="63"/>
  <c r="Z703" i="63" s="1"/>
  <c r="S703" i="63"/>
  <c r="P703" i="63"/>
  <c r="M703" i="63"/>
  <c r="L703" i="63"/>
  <c r="K703" i="63"/>
  <c r="I703" i="63"/>
  <c r="BQ702" i="63"/>
  <c r="BN702" i="63"/>
  <c r="BK702" i="63"/>
  <c r="BH702" i="63"/>
  <c r="BE702" i="63"/>
  <c r="BB702" i="63"/>
  <c r="AY702" i="63"/>
  <c r="AV702" i="63"/>
  <c r="AS702" i="63"/>
  <c r="AP702" i="63"/>
  <c r="AM702" i="63"/>
  <c r="AJ702" i="63"/>
  <c r="AE702" i="63"/>
  <c r="Y702" i="63"/>
  <c r="U702" i="63"/>
  <c r="T702" i="63"/>
  <c r="Z702" i="63" s="1"/>
  <c r="S702" i="63"/>
  <c r="P702" i="63"/>
  <c r="L702" i="63"/>
  <c r="K702" i="63"/>
  <c r="I702" i="63"/>
  <c r="BQ701" i="63"/>
  <c r="BN701" i="63"/>
  <c r="BK701" i="63"/>
  <c r="BH701" i="63"/>
  <c r="BE701" i="63"/>
  <c r="BB701" i="63"/>
  <c r="AY701" i="63"/>
  <c r="AV701" i="63"/>
  <c r="AS701" i="63"/>
  <c r="AP701" i="63"/>
  <c r="AM701" i="63"/>
  <c r="AJ701" i="63"/>
  <c r="AE701" i="63"/>
  <c r="Y701" i="63"/>
  <c r="U701" i="63"/>
  <c r="T701" i="63"/>
  <c r="Z701" i="63" s="1"/>
  <c r="S701" i="63"/>
  <c r="P701" i="63"/>
  <c r="L701" i="63"/>
  <c r="M701" i="63" s="1"/>
  <c r="K701" i="63"/>
  <c r="I701" i="63"/>
  <c r="BQ700" i="63"/>
  <c r="BN700" i="63"/>
  <c r="BK700" i="63"/>
  <c r="BH700" i="63"/>
  <c r="BE700" i="63"/>
  <c r="BB700" i="63"/>
  <c r="AY700" i="63"/>
  <c r="AV700" i="63"/>
  <c r="AS700" i="63"/>
  <c r="AP700" i="63"/>
  <c r="AM700" i="63"/>
  <c r="AJ700" i="63"/>
  <c r="AE700" i="63"/>
  <c r="Y700" i="63"/>
  <c r="U700" i="63"/>
  <c r="AA700" i="63" s="1"/>
  <c r="T700" i="63"/>
  <c r="Z700" i="63" s="1"/>
  <c r="S700" i="63"/>
  <c r="P700" i="63"/>
  <c r="L700" i="63"/>
  <c r="K700" i="63"/>
  <c r="I700" i="63"/>
  <c r="BQ699" i="63"/>
  <c r="BN699" i="63"/>
  <c r="BK699" i="63"/>
  <c r="BH699" i="63"/>
  <c r="BE699" i="63"/>
  <c r="BB699" i="63"/>
  <c r="AY699" i="63"/>
  <c r="AV699" i="63"/>
  <c r="AS699" i="63"/>
  <c r="AP699" i="63"/>
  <c r="AM699" i="63"/>
  <c r="AJ699" i="63"/>
  <c r="AE699" i="63"/>
  <c r="Y699" i="63"/>
  <c r="U699" i="63"/>
  <c r="AA699" i="63" s="1"/>
  <c r="T699" i="63"/>
  <c r="Z699" i="63" s="1"/>
  <c r="S699" i="63"/>
  <c r="P699" i="63"/>
  <c r="L699" i="63"/>
  <c r="M699" i="63" s="1"/>
  <c r="K699" i="63"/>
  <c r="I699" i="63"/>
  <c r="BQ698" i="63"/>
  <c r="BN698" i="63"/>
  <c r="BK698" i="63"/>
  <c r="BH698" i="63"/>
  <c r="BE698" i="63"/>
  <c r="BB698" i="63"/>
  <c r="AY698" i="63"/>
  <c r="AV698" i="63"/>
  <c r="AS698" i="63"/>
  <c r="AP698" i="63"/>
  <c r="AM698" i="63"/>
  <c r="AJ698" i="63"/>
  <c r="AE698" i="63"/>
  <c r="Y698" i="63"/>
  <c r="U698" i="63"/>
  <c r="AA698" i="63" s="1"/>
  <c r="T698" i="63"/>
  <c r="Z698" i="63" s="1"/>
  <c r="AB698" i="63" s="1"/>
  <c r="S698" i="63"/>
  <c r="P698" i="63"/>
  <c r="L698" i="63"/>
  <c r="K698" i="63"/>
  <c r="M698" i="63" s="1"/>
  <c r="I698" i="63"/>
  <c r="BQ697" i="63"/>
  <c r="BN697" i="63"/>
  <c r="BK697" i="63"/>
  <c r="BH697" i="63"/>
  <c r="BE697" i="63"/>
  <c r="BB697" i="63"/>
  <c r="AY697" i="63"/>
  <c r="AV697" i="63"/>
  <c r="AS697" i="63"/>
  <c r="AP697" i="63"/>
  <c r="AM697" i="63"/>
  <c r="AJ697" i="63"/>
  <c r="AE697" i="63"/>
  <c r="Y697" i="63"/>
  <c r="U697" i="63"/>
  <c r="V697" i="63" s="1"/>
  <c r="T697" i="63"/>
  <c r="Z697" i="63" s="1"/>
  <c r="S697" i="63"/>
  <c r="P697" i="63"/>
  <c r="M697" i="63"/>
  <c r="L697" i="63"/>
  <c r="K697" i="63"/>
  <c r="I697" i="63"/>
  <c r="BQ696" i="63"/>
  <c r="BN696" i="63"/>
  <c r="BK696" i="63"/>
  <c r="BH696" i="63"/>
  <c r="BE696" i="63"/>
  <c r="BB696" i="63"/>
  <c r="AY696" i="63"/>
  <c r="AV696" i="63"/>
  <c r="AS696" i="63"/>
  <c r="AP696" i="63"/>
  <c r="AM696" i="63"/>
  <c r="AJ696" i="63"/>
  <c r="AE696" i="63"/>
  <c r="Y696" i="63"/>
  <c r="U696" i="63"/>
  <c r="AA696" i="63" s="1"/>
  <c r="T696" i="63"/>
  <c r="Z696" i="63" s="1"/>
  <c r="S696" i="63"/>
  <c r="P696" i="63"/>
  <c r="L696" i="63"/>
  <c r="K696" i="63"/>
  <c r="I696" i="63"/>
  <c r="BQ695" i="63"/>
  <c r="BN695" i="63"/>
  <c r="BK695" i="63"/>
  <c r="BH695" i="63"/>
  <c r="BE695" i="63"/>
  <c r="BB695" i="63"/>
  <c r="AY695" i="63"/>
  <c r="AV695" i="63"/>
  <c r="AS695" i="63"/>
  <c r="AP695" i="63"/>
  <c r="AM695" i="63"/>
  <c r="AJ695" i="63"/>
  <c r="AE695" i="63"/>
  <c r="Y695" i="63"/>
  <c r="U695" i="63"/>
  <c r="T695" i="63"/>
  <c r="Z695" i="63" s="1"/>
  <c r="S695" i="63"/>
  <c r="P695" i="63"/>
  <c r="L695" i="63"/>
  <c r="M695" i="63" s="1"/>
  <c r="K695" i="63"/>
  <c r="I695" i="63"/>
  <c r="BQ694" i="63"/>
  <c r="BN694" i="63"/>
  <c r="BK694" i="63"/>
  <c r="BH694" i="63"/>
  <c r="BE694" i="63"/>
  <c r="BB694" i="63"/>
  <c r="AY694" i="63"/>
  <c r="AV694" i="63"/>
  <c r="AS694" i="63"/>
  <c r="AP694" i="63"/>
  <c r="AM694" i="63"/>
  <c r="AJ694" i="63"/>
  <c r="AE694" i="63"/>
  <c r="Y694" i="63"/>
  <c r="U694" i="63"/>
  <c r="AA694" i="63" s="1"/>
  <c r="T694" i="63"/>
  <c r="Z694" i="63" s="1"/>
  <c r="S694" i="63"/>
  <c r="P694" i="63"/>
  <c r="L694" i="63"/>
  <c r="K694" i="63"/>
  <c r="I694" i="63"/>
  <c r="BQ693" i="63"/>
  <c r="BN693" i="63"/>
  <c r="BK693" i="63"/>
  <c r="BH693" i="63"/>
  <c r="BE693" i="63"/>
  <c r="BB693" i="63"/>
  <c r="AY693" i="63"/>
  <c r="AV693" i="63"/>
  <c r="AS693" i="63"/>
  <c r="AP693" i="63"/>
  <c r="AM693" i="63"/>
  <c r="AJ693" i="63"/>
  <c r="AE693" i="63"/>
  <c r="Y693" i="63"/>
  <c r="U693" i="63"/>
  <c r="T693" i="63"/>
  <c r="Z693" i="63" s="1"/>
  <c r="S693" i="63"/>
  <c r="P693" i="63"/>
  <c r="L693" i="63"/>
  <c r="K693" i="63"/>
  <c r="M693" i="63" s="1"/>
  <c r="I693" i="63"/>
  <c r="BQ692" i="63"/>
  <c r="BN692" i="63"/>
  <c r="BK692" i="63"/>
  <c r="BH692" i="63"/>
  <c r="BE692" i="63"/>
  <c r="BB692" i="63"/>
  <c r="AY692" i="63"/>
  <c r="AV692" i="63"/>
  <c r="AS692" i="63"/>
  <c r="AP692" i="63"/>
  <c r="AM692" i="63"/>
  <c r="AJ692" i="63"/>
  <c r="AE692" i="63"/>
  <c r="Y692" i="63"/>
  <c r="U692" i="63"/>
  <c r="AA692" i="63" s="1"/>
  <c r="T692" i="63"/>
  <c r="Z692" i="63" s="1"/>
  <c r="S692" i="63"/>
  <c r="P692" i="63"/>
  <c r="L692" i="63"/>
  <c r="K692" i="63"/>
  <c r="M692" i="63" s="1"/>
  <c r="I692" i="63"/>
  <c r="BQ691" i="63"/>
  <c r="BN691" i="63"/>
  <c r="BK691" i="63"/>
  <c r="BH691" i="63"/>
  <c r="BE691" i="63"/>
  <c r="BB691" i="63"/>
  <c r="AY691" i="63"/>
  <c r="AV691" i="63"/>
  <c r="AS691" i="63"/>
  <c r="AP691" i="63"/>
  <c r="AM691" i="63"/>
  <c r="AJ691" i="63"/>
  <c r="AE691" i="63"/>
  <c r="AA691" i="63"/>
  <c r="Y691" i="63"/>
  <c r="U691" i="63"/>
  <c r="T691" i="63"/>
  <c r="Z691" i="63" s="1"/>
  <c r="S691" i="63"/>
  <c r="P691" i="63"/>
  <c r="L691" i="63"/>
  <c r="M691" i="63" s="1"/>
  <c r="K691" i="63"/>
  <c r="I691" i="63"/>
  <c r="BP690" i="63"/>
  <c r="BQ690" i="63" s="1"/>
  <c r="BO690" i="63"/>
  <c r="BM690" i="63"/>
  <c r="BL690" i="63"/>
  <c r="BJ690" i="63"/>
  <c r="BI690" i="63"/>
  <c r="BG690" i="63"/>
  <c r="BF690" i="63"/>
  <c r="BD690" i="63"/>
  <c r="BC690" i="63"/>
  <c r="BA690" i="63"/>
  <c r="AZ690" i="63"/>
  <c r="AX690" i="63"/>
  <c r="AW690" i="63"/>
  <c r="AU690" i="63"/>
  <c r="AV690" i="63" s="1"/>
  <c r="AT690" i="63"/>
  <c r="AR690" i="63"/>
  <c r="AQ690" i="63"/>
  <c r="AO690" i="63"/>
  <c r="AP690" i="63" s="1"/>
  <c r="AN690" i="63"/>
  <c r="AL690" i="63"/>
  <c r="AK690" i="63"/>
  <c r="AI690" i="63"/>
  <c r="AH690" i="63"/>
  <c r="AD690" i="63"/>
  <c r="AC690" i="63"/>
  <c r="AE690" i="63" s="1"/>
  <c r="X690" i="63"/>
  <c r="W690" i="63"/>
  <c r="R690" i="63"/>
  <c r="Q690" i="63"/>
  <c r="S690" i="63" s="1"/>
  <c r="O690" i="63"/>
  <c r="N690" i="63"/>
  <c r="H690" i="63"/>
  <c r="G690" i="63"/>
  <c r="BQ689" i="63"/>
  <c r="BN689" i="63"/>
  <c r="BK689" i="63"/>
  <c r="BH689" i="63"/>
  <c r="BE689" i="63"/>
  <c r="BB689" i="63"/>
  <c r="AY689" i="63"/>
  <c r="AV689" i="63"/>
  <c r="AS689" i="63"/>
  <c r="AP689" i="63"/>
  <c r="AM689" i="63"/>
  <c r="AJ689" i="63"/>
  <c r="AE689" i="63"/>
  <c r="Y689" i="63"/>
  <c r="U689" i="63"/>
  <c r="AA689" i="63" s="1"/>
  <c r="T689" i="63"/>
  <c r="Z689" i="63" s="1"/>
  <c r="S689" i="63"/>
  <c r="P689" i="63"/>
  <c r="L689" i="63"/>
  <c r="K689" i="63"/>
  <c r="I689" i="63"/>
  <c r="BQ688" i="63"/>
  <c r="BN688" i="63"/>
  <c r="BK688" i="63"/>
  <c r="BH688" i="63"/>
  <c r="BE688" i="63"/>
  <c r="BB688" i="63"/>
  <c r="AY688" i="63"/>
  <c r="AV688" i="63"/>
  <c r="AS688" i="63"/>
  <c r="AP688" i="63"/>
  <c r="AM688" i="63"/>
  <c r="AJ688" i="63"/>
  <c r="AE688" i="63"/>
  <c r="Y688" i="63"/>
  <c r="U688" i="63"/>
  <c r="T688" i="63"/>
  <c r="Z688" i="63" s="1"/>
  <c r="S688" i="63"/>
  <c r="P688" i="63"/>
  <c r="L688" i="63"/>
  <c r="K688" i="63"/>
  <c r="I688" i="63"/>
  <c r="BQ687" i="63"/>
  <c r="BN687" i="63"/>
  <c r="BK687" i="63"/>
  <c r="BH687" i="63"/>
  <c r="BE687" i="63"/>
  <c r="BB687" i="63"/>
  <c r="AY687" i="63"/>
  <c r="AV687" i="63"/>
  <c r="AS687" i="63"/>
  <c r="AP687" i="63"/>
  <c r="AM687" i="63"/>
  <c r="AJ687" i="63"/>
  <c r="AE687" i="63"/>
  <c r="Y687" i="63"/>
  <c r="U687" i="63"/>
  <c r="AA687" i="63" s="1"/>
  <c r="AB687" i="63" s="1"/>
  <c r="T687" i="63"/>
  <c r="Z687" i="63" s="1"/>
  <c r="S687" i="63"/>
  <c r="P687" i="63"/>
  <c r="L687" i="63"/>
  <c r="K687" i="63"/>
  <c r="I687" i="63"/>
  <c r="BQ686" i="63"/>
  <c r="BN686" i="63"/>
  <c r="BK686" i="63"/>
  <c r="BH686" i="63"/>
  <c r="BE686" i="63"/>
  <c r="BB686" i="63"/>
  <c r="AY686" i="63"/>
  <c r="AV686" i="63"/>
  <c r="AS686" i="63"/>
  <c r="AP686" i="63"/>
  <c r="AM686" i="63"/>
  <c r="AJ686" i="63"/>
  <c r="AE686" i="63"/>
  <c r="Y686" i="63"/>
  <c r="U686" i="63"/>
  <c r="T686" i="63"/>
  <c r="Z686" i="63" s="1"/>
  <c r="S686" i="63"/>
  <c r="P686" i="63"/>
  <c r="L686" i="63"/>
  <c r="K686" i="63"/>
  <c r="I686" i="63"/>
  <c r="BQ685" i="63"/>
  <c r="BN685" i="63"/>
  <c r="BK685" i="63"/>
  <c r="BH685" i="63"/>
  <c r="BE685" i="63"/>
  <c r="BB685" i="63"/>
  <c r="AY685" i="63"/>
  <c r="AV685" i="63"/>
  <c r="AS685" i="63"/>
  <c r="AP685" i="63"/>
  <c r="AM685" i="63"/>
  <c r="AJ685" i="63"/>
  <c r="AE685" i="63"/>
  <c r="Y685" i="63"/>
  <c r="U685" i="63"/>
  <c r="AA685" i="63" s="1"/>
  <c r="T685" i="63"/>
  <c r="Z685" i="63" s="1"/>
  <c r="S685" i="63"/>
  <c r="P685" i="63"/>
  <c r="L685" i="63"/>
  <c r="K685" i="63"/>
  <c r="M685" i="63" s="1"/>
  <c r="I685" i="63"/>
  <c r="BQ684" i="63"/>
  <c r="BN684" i="63"/>
  <c r="BK684" i="63"/>
  <c r="BH684" i="63"/>
  <c r="BE684" i="63"/>
  <c r="BB684" i="63"/>
  <c r="AY684" i="63"/>
  <c r="AV684" i="63"/>
  <c r="AS684" i="63"/>
  <c r="AP684" i="63"/>
  <c r="AM684" i="63"/>
  <c r="AJ684" i="63"/>
  <c r="AE684" i="63"/>
  <c r="Z684" i="63"/>
  <c r="Y684" i="63"/>
  <c r="U684" i="63"/>
  <c r="AA684" i="63" s="1"/>
  <c r="T684" i="63"/>
  <c r="S684" i="63"/>
  <c r="P684" i="63"/>
  <c r="L684" i="63"/>
  <c r="K684" i="63"/>
  <c r="I684" i="63"/>
  <c r="BQ683" i="63"/>
  <c r="BN683" i="63"/>
  <c r="BK683" i="63"/>
  <c r="BH683" i="63"/>
  <c r="BE683" i="63"/>
  <c r="BB683" i="63"/>
  <c r="AY683" i="63"/>
  <c r="AV683" i="63"/>
  <c r="AS683" i="63"/>
  <c r="AP683" i="63"/>
  <c r="AM683" i="63"/>
  <c r="AJ683" i="63"/>
  <c r="AE683" i="63"/>
  <c r="Y683" i="63"/>
  <c r="U683" i="63"/>
  <c r="AA683" i="63" s="1"/>
  <c r="T683" i="63"/>
  <c r="Z683" i="63" s="1"/>
  <c r="S683" i="63"/>
  <c r="P683" i="63"/>
  <c r="L683" i="63"/>
  <c r="K683" i="63"/>
  <c r="I683" i="63"/>
  <c r="BP682" i="63"/>
  <c r="BO682" i="63"/>
  <c r="BM682" i="63"/>
  <c r="BL682" i="63"/>
  <c r="BJ682" i="63"/>
  <c r="BK682" i="63" s="1"/>
  <c r="BI682" i="63"/>
  <c r="BG682" i="63"/>
  <c r="BF682" i="63"/>
  <c r="BD682" i="63"/>
  <c r="BC682" i="63"/>
  <c r="BA682" i="63"/>
  <c r="AZ682" i="63"/>
  <c r="AX682" i="63"/>
  <c r="AW682" i="63"/>
  <c r="AU682" i="63"/>
  <c r="AV682" i="63" s="1"/>
  <c r="AT682" i="63"/>
  <c r="AR682" i="63"/>
  <c r="AQ682" i="63"/>
  <c r="AP682" i="63"/>
  <c r="AO682" i="63"/>
  <c r="AN682" i="63"/>
  <c r="AL682" i="63"/>
  <c r="AK682" i="63"/>
  <c r="AI682" i="63"/>
  <c r="AJ682" i="63" s="1"/>
  <c r="AH682" i="63"/>
  <c r="AD682" i="63"/>
  <c r="AC682" i="63"/>
  <c r="AE682" i="63" s="1"/>
  <c r="X682" i="63"/>
  <c r="W682" i="63"/>
  <c r="R682" i="63"/>
  <c r="Q682" i="63"/>
  <c r="O682" i="63"/>
  <c r="P682" i="63" s="1"/>
  <c r="N682" i="63"/>
  <c r="H682" i="63"/>
  <c r="G682" i="63"/>
  <c r="D682" i="63"/>
  <c r="BQ681" i="63"/>
  <c r="BN681" i="63"/>
  <c r="BK681" i="63"/>
  <c r="BH681" i="63"/>
  <c r="BE681" i="63"/>
  <c r="BB681" i="63"/>
  <c r="AY681" i="63"/>
  <c r="AV681" i="63"/>
  <c r="AS681" i="63"/>
  <c r="AP681" i="63"/>
  <c r="AM681" i="63"/>
  <c r="AJ681" i="63"/>
  <c r="AE681" i="63"/>
  <c r="Y681" i="63"/>
  <c r="U681" i="63"/>
  <c r="T681" i="63"/>
  <c r="Z681" i="63" s="1"/>
  <c r="S681" i="63"/>
  <c r="P681" i="63"/>
  <c r="M681" i="63"/>
  <c r="L681" i="63"/>
  <c r="K681" i="63"/>
  <c r="I681" i="63"/>
  <c r="BQ680" i="63"/>
  <c r="BP680" i="63"/>
  <c r="BO680" i="63"/>
  <c r="BM680" i="63"/>
  <c r="BL680" i="63"/>
  <c r="BJ680" i="63"/>
  <c r="BI680" i="63"/>
  <c r="BG680" i="63"/>
  <c r="BF680" i="63"/>
  <c r="BD680" i="63"/>
  <c r="BC680" i="63"/>
  <c r="BA680" i="63"/>
  <c r="AZ680" i="63"/>
  <c r="AX680" i="63"/>
  <c r="AX674" i="63" s="1"/>
  <c r="AW680" i="63"/>
  <c r="AU680" i="63"/>
  <c r="AT680" i="63"/>
  <c r="AR680" i="63"/>
  <c r="AQ680" i="63"/>
  <c r="AO680" i="63"/>
  <c r="AN680" i="63"/>
  <c r="AN674" i="63" s="1"/>
  <c r="AL680" i="63"/>
  <c r="AK680" i="63"/>
  <c r="AI680" i="63"/>
  <c r="AH680" i="63"/>
  <c r="AJ680" i="63" s="1"/>
  <c r="AD680" i="63"/>
  <c r="AC680" i="63"/>
  <c r="X680" i="63"/>
  <c r="W680" i="63"/>
  <c r="R680" i="63"/>
  <c r="S680" i="63" s="1"/>
  <c r="Q680" i="63"/>
  <c r="O680" i="63"/>
  <c r="N680" i="63"/>
  <c r="I680" i="63"/>
  <c r="BQ679" i="63"/>
  <c r="BN679" i="63"/>
  <c r="BK679" i="63"/>
  <c r="BH679" i="63"/>
  <c r="BE679" i="63"/>
  <c r="BB679" i="63"/>
  <c r="AY679" i="63"/>
  <c r="AV679" i="63"/>
  <c r="AS679" i="63"/>
  <c r="AP679" i="63"/>
  <c r="AM679" i="63"/>
  <c r="AJ679" i="63"/>
  <c r="AE679" i="63"/>
  <c r="AA679" i="63"/>
  <c r="Y679" i="63"/>
  <c r="U679" i="63"/>
  <c r="T679" i="63"/>
  <c r="Z679" i="63" s="1"/>
  <c r="S679" i="63"/>
  <c r="P679" i="63"/>
  <c r="L679" i="63"/>
  <c r="K679" i="63"/>
  <c r="I679" i="63"/>
  <c r="BP678" i="63"/>
  <c r="BQ678" i="63" s="1"/>
  <c r="BO678" i="63"/>
  <c r="BM678" i="63"/>
  <c r="BL678" i="63"/>
  <c r="BN678" i="63" s="1"/>
  <c r="BJ678" i="63"/>
  <c r="BK678" i="63" s="1"/>
  <c r="BI678" i="63"/>
  <c r="BG678" i="63"/>
  <c r="BF678" i="63"/>
  <c r="BH678" i="63" s="1"/>
  <c r="BE678" i="63"/>
  <c r="BD678" i="63"/>
  <c r="BC678" i="63"/>
  <c r="BA678" i="63"/>
  <c r="BB678" i="63" s="1"/>
  <c r="AZ678" i="63"/>
  <c r="AX678" i="63"/>
  <c r="AW678" i="63"/>
  <c r="AU678" i="63"/>
  <c r="AT678" i="63"/>
  <c r="AR678" i="63"/>
  <c r="AQ678" i="63"/>
  <c r="AO678" i="63"/>
  <c r="AN678" i="63"/>
  <c r="AL678" i="63"/>
  <c r="AM678" i="63" s="1"/>
  <c r="AK678" i="63"/>
  <c r="AI678" i="63"/>
  <c r="AH678" i="63"/>
  <c r="AD678" i="63"/>
  <c r="AC678" i="63"/>
  <c r="AE678" i="63" s="1"/>
  <c r="X678" i="63"/>
  <c r="X646" i="63" s="1"/>
  <c r="W678" i="63"/>
  <c r="R678" i="63"/>
  <c r="Q678" i="63"/>
  <c r="Q674" i="63" s="1"/>
  <c r="O678" i="63"/>
  <c r="N678" i="63"/>
  <c r="I678" i="63"/>
  <c r="BQ677" i="63"/>
  <c r="BN677" i="63"/>
  <c r="BK677" i="63"/>
  <c r="BH677" i="63"/>
  <c r="BE677" i="63"/>
  <c r="BB677" i="63"/>
  <c r="AY677" i="63"/>
  <c r="AV677" i="63"/>
  <c r="AS677" i="63"/>
  <c r="AP677" i="63"/>
  <c r="AM677" i="63"/>
  <c r="AJ677" i="63"/>
  <c r="AE677" i="63"/>
  <c r="AA677" i="63"/>
  <c r="Y677" i="63"/>
  <c r="U677" i="63"/>
  <c r="T677" i="63"/>
  <c r="Z677" i="63" s="1"/>
  <c r="S677" i="63"/>
  <c r="P677" i="63"/>
  <c r="L677" i="63"/>
  <c r="K677" i="63"/>
  <c r="I677" i="63"/>
  <c r="BP676" i="63"/>
  <c r="BO676" i="63"/>
  <c r="BM676" i="63"/>
  <c r="BL676" i="63"/>
  <c r="BN676" i="63" s="1"/>
  <c r="BJ676" i="63"/>
  <c r="BI676" i="63"/>
  <c r="BG676" i="63"/>
  <c r="BF676" i="63"/>
  <c r="BD676" i="63"/>
  <c r="BC676" i="63"/>
  <c r="BE676" i="63" s="1"/>
  <c r="BA676" i="63"/>
  <c r="AZ676" i="63"/>
  <c r="AX676" i="63"/>
  <c r="AW676" i="63"/>
  <c r="AU676" i="63"/>
  <c r="AT676" i="63"/>
  <c r="AR676" i="63"/>
  <c r="AQ676" i="63"/>
  <c r="AS676" i="63" s="1"/>
  <c r="AP676" i="63"/>
  <c r="AO676" i="63"/>
  <c r="AO674" i="63" s="1"/>
  <c r="AN676" i="63"/>
  <c r="AL676" i="63"/>
  <c r="AK676" i="63"/>
  <c r="AK674" i="63" s="1"/>
  <c r="AI676" i="63"/>
  <c r="AH676" i="63"/>
  <c r="AD676" i="63"/>
  <c r="AC676" i="63"/>
  <c r="X676" i="63"/>
  <c r="W676" i="63"/>
  <c r="R676" i="63"/>
  <c r="Q676" i="63"/>
  <c r="O676" i="63"/>
  <c r="N676" i="63"/>
  <c r="I676" i="63"/>
  <c r="BQ675" i="63"/>
  <c r="BN675" i="63"/>
  <c r="BK675" i="63"/>
  <c r="BH675" i="63"/>
  <c r="BE675" i="63"/>
  <c r="BB675" i="63"/>
  <c r="AY675" i="63"/>
  <c r="AV675" i="63"/>
  <c r="AS675" i="63"/>
  <c r="AP675" i="63"/>
  <c r="AM675" i="63"/>
  <c r="AJ675" i="63"/>
  <c r="AE675" i="63"/>
  <c r="Y675" i="63"/>
  <c r="U675" i="63"/>
  <c r="T675" i="63"/>
  <c r="Z675" i="63" s="1"/>
  <c r="S675" i="63"/>
  <c r="P675" i="63"/>
  <c r="M675" i="63"/>
  <c r="L675" i="63"/>
  <c r="K675" i="63"/>
  <c r="I675" i="63"/>
  <c r="BM674" i="63"/>
  <c r="AD674" i="63"/>
  <c r="H674" i="63"/>
  <c r="G674" i="63"/>
  <c r="D674" i="63"/>
  <c r="BQ673" i="63"/>
  <c r="BN673" i="63"/>
  <c r="BK673" i="63"/>
  <c r="BH673" i="63"/>
  <c r="BE673" i="63"/>
  <c r="BB673" i="63"/>
  <c r="AY673" i="63"/>
  <c r="AV673" i="63"/>
  <c r="AS673" i="63"/>
  <c r="AP673" i="63"/>
  <c r="AM673" i="63"/>
  <c r="AJ673" i="63"/>
  <c r="AE673" i="63"/>
  <c r="Y673" i="63"/>
  <c r="U673" i="63"/>
  <c r="T673" i="63"/>
  <c r="Z673" i="63" s="1"/>
  <c r="S673" i="63"/>
  <c r="P673" i="63"/>
  <c r="L673" i="63"/>
  <c r="K673" i="63"/>
  <c r="I673" i="63"/>
  <c r="BP672" i="63"/>
  <c r="BO672" i="63"/>
  <c r="BM672" i="63"/>
  <c r="BL672" i="63"/>
  <c r="BJ672" i="63"/>
  <c r="BI672" i="63"/>
  <c r="BG672" i="63"/>
  <c r="BF672" i="63"/>
  <c r="BH672" i="63" s="1"/>
  <c r="BD672" i="63"/>
  <c r="BE672" i="63" s="1"/>
  <c r="BC672" i="63"/>
  <c r="BA672" i="63"/>
  <c r="AZ672" i="63"/>
  <c r="AX672" i="63"/>
  <c r="AW672" i="63"/>
  <c r="AU672" i="63"/>
  <c r="AT672" i="63"/>
  <c r="AR672" i="63"/>
  <c r="AQ672" i="63"/>
  <c r="AO672" i="63"/>
  <c r="AN672" i="63"/>
  <c r="AL672" i="63"/>
  <c r="AK672" i="63"/>
  <c r="AI672" i="63"/>
  <c r="AH672" i="63"/>
  <c r="AD672" i="63"/>
  <c r="AC672" i="63"/>
  <c r="X672" i="63"/>
  <c r="W672" i="63"/>
  <c r="R672" i="63"/>
  <c r="Q672" i="63"/>
  <c r="O672" i="63"/>
  <c r="N672" i="63"/>
  <c r="T672" i="63" s="1"/>
  <c r="Z672" i="63" s="1"/>
  <c r="I672" i="63"/>
  <c r="BQ671" i="63"/>
  <c r="BN671" i="63"/>
  <c r="BK671" i="63"/>
  <c r="BH671" i="63"/>
  <c r="BE671" i="63"/>
  <c r="BB671" i="63"/>
  <c r="AY671" i="63"/>
  <c r="AV671" i="63"/>
  <c r="AS671" i="63"/>
  <c r="AP671" i="63"/>
  <c r="AM671" i="63"/>
  <c r="AJ671" i="63"/>
  <c r="AE671" i="63"/>
  <c r="Y671" i="63"/>
  <c r="U671" i="63"/>
  <c r="T671" i="63"/>
  <c r="Z671" i="63" s="1"/>
  <c r="S671" i="63"/>
  <c r="P671" i="63"/>
  <c r="L671" i="63"/>
  <c r="M671" i="63" s="1"/>
  <c r="K671" i="63"/>
  <c r="I671" i="63"/>
  <c r="BP670" i="63"/>
  <c r="BO670" i="63"/>
  <c r="BM670" i="63"/>
  <c r="BL670" i="63"/>
  <c r="BJ670" i="63"/>
  <c r="BI670" i="63"/>
  <c r="BG670" i="63"/>
  <c r="BF670" i="63"/>
  <c r="BD670" i="63"/>
  <c r="BC670" i="63"/>
  <c r="BA670" i="63"/>
  <c r="AZ670" i="63"/>
  <c r="AX670" i="63"/>
  <c r="AW670" i="63"/>
  <c r="AU670" i="63"/>
  <c r="AT670" i="63"/>
  <c r="AR670" i="63"/>
  <c r="AQ670" i="63"/>
  <c r="AO670" i="63"/>
  <c r="AN670" i="63"/>
  <c r="AL670" i="63"/>
  <c r="AK670" i="63"/>
  <c r="AM670" i="63" s="1"/>
  <c r="AI670" i="63"/>
  <c r="AH670" i="63"/>
  <c r="AD670" i="63"/>
  <c r="AC670" i="63"/>
  <c r="X670" i="63"/>
  <c r="W670" i="63"/>
  <c r="R670" i="63"/>
  <c r="Q670" i="63"/>
  <c r="Q666" i="63" s="1"/>
  <c r="O670" i="63"/>
  <c r="N670" i="63"/>
  <c r="I670" i="63"/>
  <c r="BQ669" i="63"/>
  <c r="BN669" i="63"/>
  <c r="BK669" i="63"/>
  <c r="BH669" i="63"/>
  <c r="BE669" i="63"/>
  <c r="BB669" i="63"/>
  <c r="AY669" i="63"/>
  <c r="AV669" i="63"/>
  <c r="AS669" i="63"/>
  <c r="AP669" i="63"/>
  <c r="AM669" i="63"/>
  <c r="AJ669" i="63"/>
  <c r="AE669" i="63"/>
  <c r="Y669" i="63"/>
  <c r="U669" i="63"/>
  <c r="V669" i="63" s="1"/>
  <c r="T669" i="63"/>
  <c r="Z669" i="63" s="1"/>
  <c r="S669" i="63"/>
  <c r="P669" i="63"/>
  <c r="L669" i="63"/>
  <c r="K669" i="63"/>
  <c r="M669" i="63" s="1"/>
  <c r="I669" i="63"/>
  <c r="BP668" i="63"/>
  <c r="BO668" i="63"/>
  <c r="BQ668" i="63" s="1"/>
  <c r="BM668" i="63"/>
  <c r="BL668" i="63"/>
  <c r="BJ668" i="63"/>
  <c r="BI668" i="63"/>
  <c r="BG668" i="63"/>
  <c r="BH668" i="63" s="1"/>
  <c r="BF668" i="63"/>
  <c r="BD668" i="63"/>
  <c r="BC668" i="63"/>
  <c r="BA668" i="63"/>
  <c r="AZ668" i="63"/>
  <c r="AX668" i="63"/>
  <c r="AW668" i="63"/>
  <c r="AY668" i="63" s="1"/>
  <c r="AU668" i="63"/>
  <c r="AT668" i="63"/>
  <c r="AR668" i="63"/>
  <c r="AS668" i="63" s="1"/>
  <c r="AQ668" i="63"/>
  <c r="AO668" i="63"/>
  <c r="AN668" i="63"/>
  <c r="AL668" i="63"/>
  <c r="AK668" i="63"/>
  <c r="AI668" i="63"/>
  <c r="AH668" i="63"/>
  <c r="AD668" i="63"/>
  <c r="AC668" i="63"/>
  <c r="X668" i="63"/>
  <c r="W668" i="63"/>
  <c r="R668" i="63"/>
  <c r="Q668" i="63"/>
  <c r="O668" i="63"/>
  <c r="N668" i="63"/>
  <c r="I668" i="63"/>
  <c r="BQ667" i="63"/>
  <c r="BN667" i="63"/>
  <c r="BK667" i="63"/>
  <c r="BH667" i="63"/>
  <c r="BE667" i="63"/>
  <c r="BB667" i="63"/>
  <c r="AY667" i="63"/>
  <c r="AV667" i="63"/>
  <c r="AS667" i="63"/>
  <c r="AP667" i="63"/>
  <c r="AM667" i="63"/>
  <c r="AJ667" i="63"/>
  <c r="AE667" i="63"/>
  <c r="Y667" i="63"/>
  <c r="U667" i="63"/>
  <c r="AA667" i="63" s="1"/>
  <c r="T667" i="63"/>
  <c r="Z667" i="63" s="1"/>
  <c r="S667" i="63"/>
  <c r="P667" i="63"/>
  <c r="L667" i="63"/>
  <c r="K667" i="63"/>
  <c r="I667" i="63"/>
  <c r="BG666" i="63"/>
  <c r="AR666" i="63"/>
  <c r="H666" i="63"/>
  <c r="G666" i="63"/>
  <c r="D666" i="63"/>
  <c r="BQ665" i="63"/>
  <c r="BN665" i="63"/>
  <c r="BK665" i="63"/>
  <c r="BH665" i="63"/>
  <c r="BE665" i="63"/>
  <c r="BB665" i="63"/>
  <c r="AY665" i="63"/>
  <c r="AV665" i="63"/>
  <c r="AS665" i="63"/>
  <c r="AP665" i="63"/>
  <c r="AM665" i="63"/>
  <c r="AJ665" i="63"/>
  <c r="AE665" i="63"/>
  <c r="Y665" i="63"/>
  <c r="U665" i="63"/>
  <c r="AA665" i="63" s="1"/>
  <c r="T665" i="63"/>
  <c r="S665" i="63"/>
  <c r="P665" i="63"/>
  <c r="L665" i="63"/>
  <c r="K665" i="63"/>
  <c r="I665" i="63"/>
  <c r="BP664" i="63"/>
  <c r="BO664" i="63"/>
  <c r="BM664" i="63"/>
  <c r="BL664" i="63"/>
  <c r="BJ664" i="63"/>
  <c r="BK664" i="63" s="1"/>
  <c r="BI664" i="63"/>
  <c r="BG664" i="63"/>
  <c r="BH664" i="63" s="1"/>
  <c r="BF664" i="63"/>
  <c r="BD664" i="63"/>
  <c r="BC664" i="63"/>
  <c r="BA664" i="63"/>
  <c r="AZ664" i="63"/>
  <c r="AX664" i="63"/>
  <c r="AW664" i="63"/>
  <c r="AV664" i="63"/>
  <c r="AU664" i="63"/>
  <c r="AT664" i="63"/>
  <c r="AR664" i="63"/>
  <c r="AQ664" i="63"/>
  <c r="AO664" i="63"/>
  <c r="AN664" i="63"/>
  <c r="AL664" i="63"/>
  <c r="AK664" i="63"/>
  <c r="AI664" i="63"/>
  <c r="AJ664" i="63" s="1"/>
  <c r="AH664" i="63"/>
  <c r="AD664" i="63"/>
  <c r="AC664" i="63"/>
  <c r="X664" i="63"/>
  <c r="Y664" i="63" s="1"/>
  <c r="W664" i="63"/>
  <c r="R664" i="63"/>
  <c r="Q664" i="63"/>
  <c r="O664" i="63"/>
  <c r="U664" i="63" s="1"/>
  <c r="AA664" i="63" s="1"/>
  <c r="N664" i="63"/>
  <c r="I664" i="63"/>
  <c r="BQ663" i="63"/>
  <c r="BN663" i="63"/>
  <c r="BK663" i="63"/>
  <c r="BH663" i="63"/>
  <c r="BE663" i="63"/>
  <c r="BB663" i="63"/>
  <c r="AY663" i="63"/>
  <c r="AV663" i="63"/>
  <c r="AS663" i="63"/>
  <c r="AP663" i="63"/>
  <c r="AM663" i="63"/>
  <c r="AJ663" i="63"/>
  <c r="AE663" i="63"/>
  <c r="Y663" i="63"/>
  <c r="U663" i="63"/>
  <c r="AA663" i="63" s="1"/>
  <c r="T663" i="63"/>
  <c r="S663" i="63"/>
  <c r="P663" i="63"/>
  <c r="L663" i="63"/>
  <c r="K663" i="63"/>
  <c r="I663" i="63"/>
  <c r="BP662" i="63"/>
  <c r="BO662" i="63"/>
  <c r="BM662" i="63"/>
  <c r="BL662" i="63"/>
  <c r="BN662" i="63" s="1"/>
  <c r="BJ662" i="63"/>
  <c r="BI662" i="63"/>
  <c r="BG662" i="63"/>
  <c r="BH662" i="63" s="1"/>
  <c r="BF662" i="63"/>
  <c r="BD662" i="63"/>
  <c r="BC662" i="63"/>
  <c r="BA662" i="63"/>
  <c r="AZ662" i="63"/>
  <c r="AX662" i="63"/>
  <c r="AW662" i="63"/>
  <c r="AU662" i="63"/>
  <c r="AT662" i="63"/>
  <c r="AT646" i="63" s="1"/>
  <c r="AR662" i="63"/>
  <c r="AQ662" i="63"/>
  <c r="AO662" i="63"/>
  <c r="AN662" i="63"/>
  <c r="AL662" i="63"/>
  <c r="AK662" i="63"/>
  <c r="AM662" i="63" s="1"/>
  <c r="AI662" i="63"/>
  <c r="AH662" i="63"/>
  <c r="AD662" i="63"/>
  <c r="AC662" i="63"/>
  <c r="Y662" i="63"/>
  <c r="X662" i="63"/>
  <c r="W662" i="63"/>
  <c r="R662" i="63"/>
  <c r="Q662" i="63"/>
  <c r="Q646" i="63" s="1"/>
  <c r="O662" i="63"/>
  <c r="N662" i="63"/>
  <c r="I662" i="63"/>
  <c r="BQ661" i="63"/>
  <c r="BN661" i="63"/>
  <c r="BK661" i="63"/>
  <c r="BH661" i="63"/>
  <c r="BE661" i="63"/>
  <c r="BB661" i="63"/>
  <c r="AY661" i="63"/>
  <c r="AV661" i="63"/>
  <c r="AS661" i="63"/>
  <c r="AP661" i="63"/>
  <c r="AM661" i="63"/>
  <c r="AJ661" i="63"/>
  <c r="AE661" i="63"/>
  <c r="Y661" i="63"/>
  <c r="U661" i="63"/>
  <c r="AA661" i="63" s="1"/>
  <c r="T661" i="63"/>
  <c r="S661" i="63"/>
  <c r="P661" i="63"/>
  <c r="L661" i="63"/>
  <c r="K661" i="63"/>
  <c r="I661" i="63"/>
  <c r="BP660" i="63"/>
  <c r="BO660" i="63"/>
  <c r="BM660" i="63"/>
  <c r="BL660" i="63"/>
  <c r="BJ660" i="63"/>
  <c r="BI660" i="63"/>
  <c r="BG660" i="63"/>
  <c r="BG658" i="63" s="1"/>
  <c r="BF660" i="63"/>
  <c r="BF658" i="63" s="1"/>
  <c r="BD660" i="63"/>
  <c r="BD658" i="63" s="1"/>
  <c r="BC660" i="63"/>
  <c r="BA660" i="63"/>
  <c r="BA658" i="63" s="1"/>
  <c r="AZ660" i="63"/>
  <c r="AX660" i="63"/>
  <c r="AW660" i="63"/>
  <c r="AW658" i="63" s="1"/>
  <c r="AV660" i="63"/>
  <c r="AU660" i="63"/>
  <c r="AU658" i="63" s="1"/>
  <c r="AT660" i="63"/>
  <c r="AR660" i="63"/>
  <c r="AQ660" i="63"/>
  <c r="AQ644" i="63" s="1"/>
  <c r="AO660" i="63"/>
  <c r="AO658" i="63" s="1"/>
  <c r="AN660" i="63"/>
  <c r="AL660" i="63"/>
  <c r="AK660" i="63"/>
  <c r="AK658" i="63" s="1"/>
  <c r="AI660" i="63"/>
  <c r="AJ660" i="63" s="1"/>
  <c r="AH660" i="63"/>
  <c r="AH658" i="63" s="1"/>
  <c r="AD660" i="63"/>
  <c r="AD658" i="63" s="1"/>
  <c r="AC660" i="63"/>
  <c r="X660" i="63"/>
  <c r="W660" i="63"/>
  <c r="R660" i="63"/>
  <c r="Q660" i="63"/>
  <c r="Q658" i="63" s="1"/>
  <c r="O660" i="63"/>
  <c r="U660" i="63" s="1"/>
  <c r="AA660" i="63" s="1"/>
  <c r="N660" i="63"/>
  <c r="I660" i="63"/>
  <c r="BQ659" i="63"/>
  <c r="BN659" i="63"/>
  <c r="BK659" i="63"/>
  <c r="BH659" i="63"/>
  <c r="BE659" i="63"/>
  <c r="BB659" i="63"/>
  <c r="AY659" i="63"/>
  <c r="AV659" i="63"/>
  <c r="AS659" i="63"/>
  <c r="AP659" i="63"/>
  <c r="AM659" i="63"/>
  <c r="AJ659" i="63"/>
  <c r="AE659" i="63"/>
  <c r="Y659" i="63"/>
  <c r="U659" i="63"/>
  <c r="AA659" i="63" s="1"/>
  <c r="T659" i="63"/>
  <c r="S659" i="63"/>
  <c r="P659" i="63"/>
  <c r="L659" i="63"/>
  <c r="K659" i="63"/>
  <c r="I659" i="63"/>
  <c r="BI658" i="63"/>
  <c r="AT658" i="63"/>
  <c r="W658" i="63"/>
  <c r="O658" i="63"/>
  <c r="H658" i="63"/>
  <c r="G658" i="63"/>
  <c r="I658" i="63" s="1"/>
  <c r="D658" i="63"/>
  <c r="BQ657" i="63"/>
  <c r="BN657" i="63"/>
  <c r="BK657" i="63"/>
  <c r="BH657" i="63"/>
  <c r="BE657" i="63"/>
  <c r="BB657" i="63"/>
  <c r="AY657" i="63"/>
  <c r="AV657" i="63"/>
  <c r="AS657" i="63"/>
  <c r="AP657" i="63"/>
  <c r="AM657" i="63"/>
  <c r="AJ657" i="63"/>
  <c r="AE657" i="63"/>
  <c r="Y657" i="63"/>
  <c r="U657" i="63"/>
  <c r="AA657" i="63" s="1"/>
  <c r="T657" i="63"/>
  <c r="Z657" i="63" s="1"/>
  <c r="S657" i="63"/>
  <c r="P657" i="63"/>
  <c r="L657" i="63"/>
  <c r="K657" i="63"/>
  <c r="M657" i="63" s="1"/>
  <c r="I657" i="63"/>
  <c r="BP656" i="63"/>
  <c r="BO656" i="63"/>
  <c r="BQ656" i="63" s="1"/>
  <c r="BN656" i="63"/>
  <c r="BM656" i="63"/>
  <c r="BL656" i="63"/>
  <c r="BJ656" i="63"/>
  <c r="BI656" i="63"/>
  <c r="BI648" i="63" s="1"/>
  <c r="BG656" i="63"/>
  <c r="BF656" i="63"/>
  <c r="BD656" i="63"/>
  <c r="BC656" i="63"/>
  <c r="BA656" i="63"/>
  <c r="AZ656" i="63"/>
  <c r="AX656" i="63"/>
  <c r="AW656" i="63"/>
  <c r="AU656" i="63"/>
  <c r="AT656" i="63"/>
  <c r="AR656" i="63"/>
  <c r="AQ656" i="63"/>
  <c r="AS656" i="63" s="1"/>
  <c r="AO656" i="63"/>
  <c r="AN656" i="63"/>
  <c r="AP656" i="63" s="1"/>
  <c r="AL656" i="63"/>
  <c r="AM656" i="63" s="1"/>
  <c r="AK656" i="63"/>
  <c r="AI656" i="63"/>
  <c r="AH656" i="63"/>
  <c r="AD656" i="63"/>
  <c r="AC656" i="63"/>
  <c r="X656" i="63"/>
  <c r="W656" i="63"/>
  <c r="R656" i="63"/>
  <c r="Q656" i="63"/>
  <c r="O656" i="63"/>
  <c r="N656" i="63"/>
  <c r="I656" i="63"/>
  <c r="BQ655" i="63"/>
  <c r="BN655" i="63"/>
  <c r="BK655" i="63"/>
  <c r="BH655" i="63"/>
  <c r="BE655" i="63"/>
  <c r="BB655" i="63"/>
  <c r="AY655" i="63"/>
  <c r="AV655" i="63"/>
  <c r="AS655" i="63"/>
  <c r="AP655" i="63"/>
  <c r="AM655" i="63"/>
  <c r="AJ655" i="63"/>
  <c r="AE655" i="63"/>
  <c r="Y655" i="63"/>
  <c r="U655" i="63"/>
  <c r="T655" i="63"/>
  <c r="Z655" i="63" s="1"/>
  <c r="S655" i="63"/>
  <c r="P655" i="63"/>
  <c r="L655" i="63"/>
  <c r="K655" i="63"/>
  <c r="I655" i="63"/>
  <c r="BP654" i="63"/>
  <c r="BO654" i="63"/>
  <c r="BM654" i="63"/>
  <c r="BL654" i="63"/>
  <c r="BJ654" i="63"/>
  <c r="BI654" i="63"/>
  <c r="BG654" i="63"/>
  <c r="BF654" i="63"/>
  <c r="BD654" i="63"/>
  <c r="BC654" i="63"/>
  <c r="BA654" i="63"/>
  <c r="AZ654" i="63"/>
  <c r="AX654" i="63"/>
  <c r="AW654" i="63"/>
  <c r="AU654" i="63"/>
  <c r="AT654" i="63"/>
  <c r="AR654" i="63"/>
  <c r="AQ654" i="63"/>
  <c r="AO654" i="63"/>
  <c r="AN654" i="63"/>
  <c r="AP654" i="63" s="1"/>
  <c r="AL654" i="63"/>
  <c r="AK654" i="63"/>
  <c r="AI654" i="63"/>
  <c r="AH654" i="63"/>
  <c r="AD654" i="63"/>
  <c r="AC654" i="63"/>
  <c r="X654" i="63"/>
  <c r="W654" i="63"/>
  <c r="Y654" i="63" s="1"/>
  <c r="T654" i="63"/>
  <c r="R654" i="63"/>
  <c r="R650" i="63" s="1"/>
  <c r="Q654" i="63"/>
  <c r="P654" i="63"/>
  <c r="O654" i="63"/>
  <c r="N654" i="63"/>
  <c r="I654" i="63"/>
  <c r="BQ653" i="63"/>
  <c r="BN653" i="63"/>
  <c r="BK653" i="63"/>
  <c r="BH653" i="63"/>
  <c r="BE653" i="63"/>
  <c r="BB653" i="63"/>
  <c r="AY653" i="63"/>
  <c r="AV653" i="63"/>
  <c r="AS653" i="63"/>
  <c r="AP653" i="63"/>
  <c r="AM653" i="63"/>
  <c r="AJ653" i="63"/>
  <c r="AE653" i="63"/>
  <c r="Y653" i="63"/>
  <c r="U653" i="63"/>
  <c r="AA653" i="63" s="1"/>
  <c r="T653" i="63"/>
  <c r="Z653" i="63" s="1"/>
  <c r="S653" i="63"/>
  <c r="P653" i="63"/>
  <c r="L653" i="63"/>
  <c r="M653" i="63" s="1"/>
  <c r="K653" i="63"/>
  <c r="I653" i="63"/>
  <c r="BP652" i="63"/>
  <c r="BO652" i="63"/>
  <c r="BO650" i="63" s="1"/>
  <c r="BM652" i="63"/>
  <c r="BL652" i="63"/>
  <c r="BJ652" i="63"/>
  <c r="BI652" i="63"/>
  <c r="BG652" i="63"/>
  <c r="BF652" i="63"/>
  <c r="BF650" i="63" s="1"/>
  <c r="BD652" i="63"/>
  <c r="BD650" i="63" s="1"/>
  <c r="BC652" i="63"/>
  <c r="BA652" i="63"/>
  <c r="AZ652" i="63"/>
  <c r="AZ650" i="63" s="1"/>
  <c r="AX652" i="63"/>
  <c r="AX644" i="63" s="1"/>
  <c r="AW652" i="63"/>
  <c r="AU652" i="63"/>
  <c r="AT652" i="63"/>
  <c r="AR652" i="63"/>
  <c r="AQ652" i="63"/>
  <c r="AO652" i="63"/>
  <c r="AN652" i="63"/>
  <c r="AN650" i="63" s="1"/>
  <c r="AL652" i="63"/>
  <c r="AK652" i="63"/>
  <c r="AI652" i="63"/>
  <c r="AH652" i="63"/>
  <c r="AH650" i="63" s="1"/>
  <c r="AD652" i="63"/>
  <c r="AC652" i="63"/>
  <c r="AE652" i="63" s="1"/>
  <c r="X652" i="63"/>
  <c r="W652" i="63"/>
  <c r="R652" i="63"/>
  <c r="Q652" i="63"/>
  <c r="P652" i="63"/>
  <c r="O652" i="63"/>
  <c r="U652" i="63" s="1"/>
  <c r="N652" i="63"/>
  <c r="L652" i="63"/>
  <c r="I652" i="63"/>
  <c r="BQ651" i="63"/>
  <c r="BN651" i="63"/>
  <c r="BK651" i="63"/>
  <c r="BH651" i="63"/>
  <c r="BE651" i="63"/>
  <c r="BB651" i="63"/>
  <c r="AY651" i="63"/>
  <c r="AV651" i="63"/>
  <c r="AS651" i="63"/>
  <c r="AP651" i="63"/>
  <c r="AM651" i="63"/>
  <c r="AJ651" i="63"/>
  <c r="AE651" i="63"/>
  <c r="Y651" i="63"/>
  <c r="U651" i="63"/>
  <c r="T651" i="63"/>
  <c r="Z651" i="63" s="1"/>
  <c r="S651" i="63"/>
  <c r="P651" i="63"/>
  <c r="L651" i="63"/>
  <c r="K651" i="63"/>
  <c r="I651" i="63"/>
  <c r="AX650" i="63"/>
  <c r="AK650" i="63"/>
  <c r="AI650" i="63"/>
  <c r="O650" i="63"/>
  <c r="N650" i="63"/>
  <c r="H650" i="63"/>
  <c r="G650" i="63"/>
  <c r="D650" i="63"/>
  <c r="BP649" i="63"/>
  <c r="BO649" i="63"/>
  <c r="BM649" i="63"/>
  <c r="BL649" i="63"/>
  <c r="BJ649" i="63"/>
  <c r="BK649" i="63" s="1"/>
  <c r="BI649" i="63"/>
  <c r="BG649" i="63"/>
  <c r="BF649" i="63"/>
  <c r="BH649" i="63" s="1"/>
  <c r="BD649" i="63"/>
  <c r="BE649" i="63" s="1"/>
  <c r="BC649" i="63"/>
  <c r="BA649" i="63"/>
  <c r="AZ649" i="63"/>
  <c r="BB649" i="63" s="1"/>
  <c r="AY649" i="63"/>
  <c r="AX649" i="63"/>
  <c r="AW649" i="63"/>
  <c r="AU649" i="63"/>
  <c r="AV649" i="63" s="1"/>
  <c r="AT649" i="63"/>
  <c r="AR649" i="63"/>
  <c r="AQ649" i="63"/>
  <c r="AP649" i="63"/>
  <c r="AO649" i="63"/>
  <c r="AN649" i="63"/>
  <c r="AL649" i="63"/>
  <c r="AK649" i="63"/>
  <c r="AI649" i="63"/>
  <c r="AH649" i="63"/>
  <c r="AD649" i="63"/>
  <c r="AC649" i="63"/>
  <c r="X649" i="63"/>
  <c r="Y649" i="63" s="1"/>
  <c r="W649" i="63"/>
  <c r="R649" i="63"/>
  <c r="Q649" i="63"/>
  <c r="O649" i="63"/>
  <c r="N649" i="63"/>
  <c r="H649" i="63"/>
  <c r="G649" i="63"/>
  <c r="BD648" i="63"/>
  <c r="H648" i="63"/>
  <c r="G648" i="63"/>
  <c r="I648" i="63" s="1"/>
  <c r="BP647" i="63"/>
  <c r="BO647" i="63"/>
  <c r="BM647" i="63"/>
  <c r="BL647" i="63"/>
  <c r="BJ647" i="63"/>
  <c r="BI647" i="63"/>
  <c r="BG647" i="63"/>
  <c r="BF647" i="63"/>
  <c r="BD647" i="63"/>
  <c r="BC647" i="63"/>
  <c r="BA647" i="63"/>
  <c r="BB647" i="63" s="1"/>
  <c r="AZ647" i="63"/>
  <c r="AX647" i="63"/>
  <c r="AW647" i="63"/>
  <c r="AU647" i="63"/>
  <c r="AT647" i="63"/>
  <c r="AR647" i="63"/>
  <c r="AQ647" i="63"/>
  <c r="AO647" i="63"/>
  <c r="AN647" i="63"/>
  <c r="AL647" i="63"/>
  <c r="AK647" i="63"/>
  <c r="AI647" i="63"/>
  <c r="AH647" i="63"/>
  <c r="AD647" i="63"/>
  <c r="AC647" i="63"/>
  <c r="X647" i="63"/>
  <c r="W647" i="63"/>
  <c r="R647" i="63"/>
  <c r="Q647" i="63"/>
  <c r="O647" i="63"/>
  <c r="N647" i="63"/>
  <c r="H647" i="63"/>
  <c r="I647" i="63" s="1"/>
  <c r="G647" i="63"/>
  <c r="AR646" i="63"/>
  <c r="H646" i="63"/>
  <c r="G646" i="63"/>
  <c r="BP645" i="63"/>
  <c r="BO645" i="63"/>
  <c r="BM645" i="63"/>
  <c r="BL645" i="63"/>
  <c r="BJ645" i="63"/>
  <c r="BK645" i="63" s="1"/>
  <c r="BI645" i="63"/>
  <c r="BG645" i="63"/>
  <c r="BF645" i="63"/>
  <c r="BD645" i="63"/>
  <c r="BE645" i="63" s="1"/>
  <c r="BC645" i="63"/>
  <c r="BA645" i="63"/>
  <c r="AZ645" i="63"/>
  <c r="BB645" i="63" s="1"/>
  <c r="AX645" i="63"/>
  <c r="AW645" i="63"/>
  <c r="AU645" i="63"/>
  <c r="AV645" i="63" s="1"/>
  <c r="AT645" i="63"/>
  <c r="AR645" i="63"/>
  <c r="AQ645" i="63"/>
  <c r="AO645" i="63"/>
  <c r="AN645" i="63"/>
  <c r="AL645" i="63"/>
  <c r="AK645" i="63"/>
  <c r="AM645" i="63" s="1"/>
  <c r="AI645" i="63"/>
  <c r="AH645" i="63"/>
  <c r="AD645" i="63"/>
  <c r="AC645" i="63"/>
  <c r="X645" i="63"/>
  <c r="Y645" i="63" s="1"/>
  <c r="W645" i="63"/>
  <c r="R645" i="63"/>
  <c r="Q645" i="63"/>
  <c r="O645" i="63"/>
  <c r="N645" i="63"/>
  <c r="H645" i="63"/>
  <c r="G645" i="63"/>
  <c r="N644" i="63"/>
  <c r="H644" i="63"/>
  <c r="G644" i="63"/>
  <c r="I644" i="63" s="1"/>
  <c r="BP643" i="63"/>
  <c r="BO643" i="63"/>
  <c r="BM643" i="63"/>
  <c r="BL643" i="63"/>
  <c r="BN643" i="63" s="1"/>
  <c r="BK643" i="63"/>
  <c r="BJ643" i="63"/>
  <c r="BI643" i="63"/>
  <c r="BG643" i="63"/>
  <c r="BF643" i="63"/>
  <c r="BD643" i="63"/>
  <c r="BE643" i="63" s="1"/>
  <c r="BC643" i="63"/>
  <c r="BA643" i="63"/>
  <c r="BB643" i="63" s="1"/>
  <c r="AZ643" i="63"/>
  <c r="AX643" i="63"/>
  <c r="AW643" i="63"/>
  <c r="AU643" i="63"/>
  <c r="AT643" i="63"/>
  <c r="AR643" i="63"/>
  <c r="AQ643" i="63"/>
  <c r="AO643" i="63"/>
  <c r="AN643" i="63"/>
  <c r="AL643" i="63"/>
  <c r="AM643" i="63" s="1"/>
  <c r="AK643" i="63"/>
  <c r="AI643" i="63"/>
  <c r="AH643" i="63"/>
  <c r="AD643" i="63"/>
  <c r="AE643" i="63" s="1"/>
  <c r="AC643" i="63"/>
  <c r="X643" i="63"/>
  <c r="W643" i="63"/>
  <c r="R643" i="63"/>
  <c r="Q643" i="63"/>
  <c r="T643" i="63" s="1"/>
  <c r="Z643" i="63" s="1"/>
  <c r="P643" i="63"/>
  <c r="O643" i="63"/>
  <c r="U643" i="63" s="1"/>
  <c r="N643" i="63"/>
  <c r="H643" i="63"/>
  <c r="I643" i="63" s="1"/>
  <c r="G643" i="63"/>
  <c r="U641" i="63"/>
  <c r="AA641" i="63" s="1"/>
  <c r="T641" i="63"/>
  <c r="L641" i="63"/>
  <c r="M641" i="63" s="1"/>
  <c r="K641" i="63"/>
  <c r="BP640" i="63"/>
  <c r="BO640" i="63"/>
  <c r="BM640" i="63"/>
  <c r="BL640" i="63"/>
  <c r="BJ640" i="63"/>
  <c r="BI640" i="63"/>
  <c r="BH640" i="63"/>
  <c r="BG640" i="63"/>
  <c r="BF640" i="63"/>
  <c r="BD640" i="63"/>
  <c r="BC640" i="63"/>
  <c r="BA640" i="63"/>
  <c r="BB640" i="63" s="1"/>
  <c r="AZ640" i="63"/>
  <c r="AX640" i="63"/>
  <c r="AW640" i="63"/>
  <c r="AY640" i="63" s="1"/>
  <c r="AU640" i="63"/>
  <c r="AT640" i="63"/>
  <c r="AR640" i="63"/>
  <c r="AS640" i="63" s="1"/>
  <c r="AQ640" i="63"/>
  <c r="AO640" i="63"/>
  <c r="AN640" i="63"/>
  <c r="AL640" i="63"/>
  <c r="AK640" i="63"/>
  <c r="AI640" i="63"/>
  <c r="AJ640" i="63" s="1"/>
  <c r="AH640" i="63"/>
  <c r="AD640" i="63"/>
  <c r="AC640" i="63"/>
  <c r="X640" i="63"/>
  <c r="W640" i="63"/>
  <c r="R640" i="63"/>
  <c r="Q640" i="63"/>
  <c r="O640" i="63"/>
  <c r="N640" i="63"/>
  <c r="I640" i="63"/>
  <c r="BP639" i="63"/>
  <c r="BO639" i="63"/>
  <c r="BM639" i="63"/>
  <c r="BL639" i="63"/>
  <c r="BJ639" i="63"/>
  <c r="BK639" i="63" s="1"/>
  <c r="BI639" i="63"/>
  <c r="BG639" i="63"/>
  <c r="BF639" i="63"/>
  <c r="BD639" i="63"/>
  <c r="BC639" i="63"/>
  <c r="BA639" i="63"/>
  <c r="AZ639" i="63"/>
  <c r="AX639" i="63"/>
  <c r="AW639" i="63"/>
  <c r="AU639" i="63"/>
  <c r="AT639" i="63"/>
  <c r="AR639" i="63"/>
  <c r="AQ639" i="63"/>
  <c r="AO639" i="63"/>
  <c r="AN639" i="63"/>
  <c r="AP639" i="63" s="1"/>
  <c r="AL639" i="63"/>
  <c r="AM639" i="63" s="1"/>
  <c r="AK639" i="63"/>
  <c r="AI639" i="63"/>
  <c r="AH639" i="63"/>
  <c r="AD639" i="63"/>
  <c r="AC639" i="63"/>
  <c r="X639" i="63"/>
  <c r="W639" i="63"/>
  <c r="R639" i="63"/>
  <c r="Q639" i="63"/>
  <c r="O639" i="63"/>
  <c r="N639" i="63"/>
  <c r="I639" i="63"/>
  <c r="BP638" i="63"/>
  <c r="BQ638" i="63" s="1"/>
  <c r="BO638" i="63"/>
  <c r="BM638" i="63"/>
  <c r="BL638" i="63"/>
  <c r="BJ638" i="63"/>
  <c r="BI638" i="63"/>
  <c r="BG638" i="63"/>
  <c r="BF638" i="63"/>
  <c r="BD638" i="63"/>
  <c r="BC638" i="63"/>
  <c r="BA638" i="63"/>
  <c r="AZ638" i="63"/>
  <c r="AX638" i="63"/>
  <c r="AW638" i="63"/>
  <c r="AV638" i="63"/>
  <c r="AU638" i="63"/>
  <c r="AT638" i="63"/>
  <c r="AR638" i="63"/>
  <c r="AQ638" i="63"/>
  <c r="AO638" i="63"/>
  <c r="AN638" i="63"/>
  <c r="AL638" i="63"/>
  <c r="AK638" i="63"/>
  <c r="AI638" i="63"/>
  <c r="AJ638" i="63" s="1"/>
  <c r="AH638" i="63"/>
  <c r="AD638" i="63"/>
  <c r="AC638" i="63"/>
  <c r="AE638" i="63" s="1"/>
  <c r="X638" i="63"/>
  <c r="W638" i="63"/>
  <c r="R638" i="63"/>
  <c r="Q638" i="63"/>
  <c r="O638" i="63"/>
  <c r="N638" i="63"/>
  <c r="I638" i="63"/>
  <c r="BP637" i="63"/>
  <c r="BP636" i="63" s="1"/>
  <c r="BO637" i="63"/>
  <c r="BM637" i="63"/>
  <c r="BL637" i="63"/>
  <c r="BJ637" i="63"/>
  <c r="BI637" i="63"/>
  <c r="BG637" i="63"/>
  <c r="BF637" i="63"/>
  <c r="BD637" i="63"/>
  <c r="BC637" i="63"/>
  <c r="BA637" i="63"/>
  <c r="AZ637" i="63"/>
  <c r="AX637" i="63"/>
  <c r="AW637" i="63"/>
  <c r="AU637" i="63"/>
  <c r="AT637" i="63"/>
  <c r="AR637" i="63"/>
  <c r="AQ637" i="63"/>
  <c r="AO637" i="63"/>
  <c r="AN637" i="63"/>
  <c r="AP637" i="63" s="1"/>
  <c r="AM637" i="63"/>
  <c r="AL637" i="63"/>
  <c r="AK637" i="63"/>
  <c r="AI637" i="63"/>
  <c r="AH637" i="63"/>
  <c r="AH636" i="63" s="1"/>
  <c r="AD637" i="63"/>
  <c r="AC637" i="63"/>
  <c r="X637" i="63"/>
  <c r="W637" i="63"/>
  <c r="R637" i="63"/>
  <c r="Q637" i="63"/>
  <c r="O637" i="63"/>
  <c r="U637" i="63" s="1"/>
  <c r="N637" i="63"/>
  <c r="I637" i="63"/>
  <c r="I636" i="63"/>
  <c r="H636" i="63"/>
  <c r="G636" i="63"/>
  <c r="U635" i="63"/>
  <c r="T635" i="63"/>
  <c r="Z635" i="63" s="1"/>
  <c r="L635" i="63"/>
  <c r="K635" i="63"/>
  <c r="BP634" i="63"/>
  <c r="BQ634" i="63" s="1"/>
  <c r="BO634" i="63"/>
  <c r="BM634" i="63"/>
  <c r="BL634" i="63"/>
  <c r="BJ634" i="63"/>
  <c r="BI634" i="63"/>
  <c r="BG634" i="63"/>
  <c r="BF634" i="63"/>
  <c r="BE634" i="63"/>
  <c r="BD634" i="63"/>
  <c r="BC634" i="63"/>
  <c r="BA634" i="63"/>
  <c r="AZ634" i="63"/>
  <c r="AX634" i="63"/>
  <c r="AW634" i="63"/>
  <c r="AU634" i="63"/>
  <c r="AT634" i="63"/>
  <c r="AR634" i="63"/>
  <c r="AS634" i="63" s="1"/>
  <c r="AQ634" i="63"/>
  <c r="AO634" i="63"/>
  <c r="AN634" i="63"/>
  <c r="AL634" i="63"/>
  <c r="AK634" i="63"/>
  <c r="AI634" i="63"/>
  <c r="AH634" i="63"/>
  <c r="AD634" i="63"/>
  <c r="AE634" i="63" s="1"/>
  <c r="AC634" i="63"/>
  <c r="X634" i="63"/>
  <c r="W634" i="63"/>
  <c r="T634" i="63"/>
  <c r="R634" i="63"/>
  <c r="Q634" i="63"/>
  <c r="P634" i="63"/>
  <c r="O634" i="63"/>
  <c r="U634" i="63" s="1"/>
  <c r="N634" i="63"/>
  <c r="I634" i="63"/>
  <c r="BP633" i="63"/>
  <c r="BO633" i="63"/>
  <c r="BM633" i="63"/>
  <c r="BL633" i="63"/>
  <c r="BK633" i="63"/>
  <c r="BJ633" i="63"/>
  <c r="BI633" i="63"/>
  <c r="BG633" i="63"/>
  <c r="BF633" i="63"/>
  <c r="BD633" i="63"/>
  <c r="BE633" i="63" s="1"/>
  <c r="BC633" i="63"/>
  <c r="BA633" i="63"/>
  <c r="AZ633" i="63"/>
  <c r="BB633" i="63" s="1"/>
  <c r="AX633" i="63"/>
  <c r="AW633" i="63"/>
  <c r="AU633" i="63"/>
  <c r="AV633" i="63" s="1"/>
  <c r="AT633" i="63"/>
  <c r="AR633" i="63"/>
  <c r="AQ633" i="63"/>
  <c r="AO633" i="63"/>
  <c r="AN633" i="63"/>
  <c r="AL633" i="63"/>
  <c r="AM633" i="63" s="1"/>
  <c r="AK633" i="63"/>
  <c r="AI633" i="63"/>
  <c r="AH633" i="63"/>
  <c r="AD633" i="63"/>
  <c r="AE633" i="63" s="1"/>
  <c r="AC633" i="63"/>
  <c r="X633" i="63"/>
  <c r="W633" i="63"/>
  <c r="R633" i="63"/>
  <c r="Q633" i="63"/>
  <c r="O633" i="63"/>
  <c r="U633" i="63" s="1"/>
  <c r="AA633" i="63" s="1"/>
  <c r="N633" i="63"/>
  <c r="I633" i="63"/>
  <c r="BP632" i="63"/>
  <c r="BO632" i="63"/>
  <c r="BM632" i="63"/>
  <c r="BL632" i="63"/>
  <c r="BJ632" i="63"/>
  <c r="BI632" i="63"/>
  <c r="BG632" i="63"/>
  <c r="BF632" i="63"/>
  <c r="BD632" i="63"/>
  <c r="BE632" i="63" s="1"/>
  <c r="BC632" i="63"/>
  <c r="BA632" i="63"/>
  <c r="AZ632" i="63"/>
  <c r="AX632" i="63"/>
  <c r="AW632" i="63"/>
  <c r="AU632" i="63"/>
  <c r="AT632" i="63"/>
  <c r="AR632" i="63"/>
  <c r="AQ632" i="63"/>
  <c r="AO632" i="63"/>
  <c r="AP632" i="63" s="1"/>
  <c r="AN632" i="63"/>
  <c r="AL632" i="63"/>
  <c r="AK632" i="63"/>
  <c r="AI632" i="63"/>
  <c r="AH632" i="63"/>
  <c r="AD632" i="63"/>
  <c r="AC632" i="63"/>
  <c r="X632" i="63"/>
  <c r="W632" i="63"/>
  <c r="R632" i="63"/>
  <c r="Q632" i="63"/>
  <c r="O632" i="63"/>
  <c r="N632" i="63"/>
  <c r="K632" i="63" s="1"/>
  <c r="I632" i="63"/>
  <c r="BP631" i="63"/>
  <c r="BO631" i="63"/>
  <c r="BM631" i="63"/>
  <c r="BL631" i="63"/>
  <c r="BJ631" i="63"/>
  <c r="BI631" i="63"/>
  <c r="BG631" i="63"/>
  <c r="BF631" i="63"/>
  <c r="BD631" i="63"/>
  <c r="BC631" i="63"/>
  <c r="BA631" i="63"/>
  <c r="AZ631" i="63"/>
  <c r="AY631" i="63"/>
  <c r="AX631" i="63"/>
  <c r="AW631" i="63"/>
  <c r="AW630" i="63" s="1"/>
  <c r="AU631" i="63"/>
  <c r="AT631" i="63"/>
  <c r="AR631" i="63"/>
  <c r="AQ631" i="63"/>
  <c r="AO631" i="63"/>
  <c r="AN631" i="63"/>
  <c r="AL631" i="63"/>
  <c r="AK631" i="63"/>
  <c r="AI631" i="63"/>
  <c r="AJ631" i="63" s="1"/>
  <c r="AH631" i="63"/>
  <c r="AD631" i="63"/>
  <c r="AC631" i="63"/>
  <c r="X631" i="63"/>
  <c r="W631" i="63"/>
  <c r="R631" i="63"/>
  <c r="Q631" i="63"/>
  <c r="O631" i="63"/>
  <c r="N631" i="63"/>
  <c r="I631" i="63"/>
  <c r="AL630" i="63"/>
  <c r="H630" i="63"/>
  <c r="G630" i="63"/>
  <c r="U629" i="63"/>
  <c r="T629" i="63"/>
  <c r="Z629" i="63" s="1"/>
  <c r="L629" i="63"/>
  <c r="K629" i="63"/>
  <c r="BP628" i="63"/>
  <c r="BO628" i="63"/>
  <c r="BM628" i="63"/>
  <c r="BN628" i="63" s="1"/>
  <c r="BL628" i="63"/>
  <c r="BJ628" i="63"/>
  <c r="BI628" i="63"/>
  <c r="BG628" i="63"/>
  <c r="BF628" i="63"/>
  <c r="BD628" i="63"/>
  <c r="BC628" i="63"/>
  <c r="BE628" i="63" s="1"/>
  <c r="BA628" i="63"/>
  <c r="AZ628" i="63"/>
  <c r="AX628" i="63"/>
  <c r="AW628" i="63"/>
  <c r="AU628" i="63"/>
  <c r="AT628" i="63"/>
  <c r="AR628" i="63"/>
  <c r="AQ628" i="63"/>
  <c r="AO628" i="63"/>
  <c r="AP628" i="63" s="1"/>
  <c r="AN628" i="63"/>
  <c r="AL628" i="63"/>
  <c r="AK628" i="63"/>
  <c r="AM628" i="63" s="1"/>
  <c r="AI628" i="63"/>
  <c r="AH628" i="63"/>
  <c r="AD628" i="63"/>
  <c r="AC628" i="63"/>
  <c r="AE628" i="63" s="1"/>
  <c r="Y628" i="63"/>
  <c r="X628" i="63"/>
  <c r="W628" i="63"/>
  <c r="R628" i="63"/>
  <c r="Q628" i="63"/>
  <c r="O628" i="63"/>
  <c r="N628" i="63"/>
  <c r="T628" i="63" s="1"/>
  <c r="Z628" i="63" s="1"/>
  <c r="I628" i="63"/>
  <c r="BP627" i="63"/>
  <c r="BO627" i="63"/>
  <c r="BQ627" i="63" s="1"/>
  <c r="BM627" i="63"/>
  <c r="BL627" i="63"/>
  <c r="BJ627" i="63"/>
  <c r="BI627" i="63"/>
  <c r="BG627" i="63"/>
  <c r="BH627" i="63" s="1"/>
  <c r="BF627" i="63"/>
  <c r="BD627" i="63"/>
  <c r="BC627" i="63"/>
  <c r="BA627" i="63"/>
  <c r="AZ627" i="63"/>
  <c r="AX627" i="63"/>
  <c r="AW627" i="63"/>
  <c r="AY627" i="63" s="1"/>
  <c r="AV627" i="63"/>
  <c r="AU627" i="63"/>
  <c r="AT627" i="63"/>
  <c r="AR627" i="63"/>
  <c r="AQ627" i="63"/>
  <c r="AO627" i="63"/>
  <c r="AN627" i="63"/>
  <c r="AL627" i="63"/>
  <c r="AK627" i="63"/>
  <c r="AI627" i="63"/>
  <c r="AH627" i="63"/>
  <c r="AD627" i="63"/>
  <c r="AC627" i="63"/>
  <c r="X627" i="63"/>
  <c r="W627" i="63"/>
  <c r="R627" i="63"/>
  <c r="Q627" i="63"/>
  <c r="S627" i="63" s="1"/>
  <c r="O627" i="63"/>
  <c r="N627" i="63"/>
  <c r="I627" i="63"/>
  <c r="BP626" i="63"/>
  <c r="BO626" i="63"/>
  <c r="BM626" i="63"/>
  <c r="BL626" i="63"/>
  <c r="BN626" i="63" s="1"/>
  <c r="BK626" i="63"/>
  <c r="BJ626" i="63"/>
  <c r="BI626" i="63"/>
  <c r="BG626" i="63"/>
  <c r="BF626" i="63"/>
  <c r="BD626" i="63"/>
  <c r="BC626" i="63"/>
  <c r="BA626" i="63"/>
  <c r="AZ626" i="63"/>
  <c r="AX626" i="63"/>
  <c r="AW626" i="63"/>
  <c r="AU626" i="63"/>
  <c r="AT626" i="63"/>
  <c r="AT624" i="63" s="1"/>
  <c r="AR626" i="63"/>
  <c r="AQ626" i="63"/>
  <c r="AO626" i="63"/>
  <c r="AN626" i="63"/>
  <c r="AP626" i="63" s="1"/>
  <c r="AL626" i="63"/>
  <c r="AK626" i="63"/>
  <c r="AM626" i="63" s="1"/>
  <c r="AI626" i="63"/>
  <c r="AH626" i="63"/>
  <c r="AD626" i="63"/>
  <c r="AC626" i="63"/>
  <c r="X626" i="63"/>
  <c r="Y626" i="63" s="1"/>
  <c r="W626" i="63"/>
  <c r="R626" i="63"/>
  <c r="Q626" i="63"/>
  <c r="O626" i="63"/>
  <c r="U626" i="63" s="1"/>
  <c r="N626" i="63"/>
  <c r="I626" i="63"/>
  <c r="BP625" i="63"/>
  <c r="BO625" i="63"/>
  <c r="BM625" i="63"/>
  <c r="BL625" i="63"/>
  <c r="BJ625" i="63"/>
  <c r="BJ624" i="63" s="1"/>
  <c r="BI625" i="63"/>
  <c r="BG625" i="63"/>
  <c r="BF625" i="63"/>
  <c r="BD625" i="63"/>
  <c r="BC625" i="63"/>
  <c r="BA625" i="63"/>
  <c r="AZ625" i="63"/>
  <c r="AX625" i="63"/>
  <c r="AW625" i="63"/>
  <c r="AU625" i="63"/>
  <c r="AT625" i="63"/>
  <c r="AR625" i="63"/>
  <c r="AQ625" i="63"/>
  <c r="AO625" i="63"/>
  <c r="AN625" i="63"/>
  <c r="AL625" i="63"/>
  <c r="AK625" i="63"/>
  <c r="AI625" i="63"/>
  <c r="AH625" i="63"/>
  <c r="AJ625" i="63" s="1"/>
  <c r="AD625" i="63"/>
  <c r="AC625" i="63"/>
  <c r="X625" i="63"/>
  <c r="W625" i="63"/>
  <c r="R625" i="63"/>
  <c r="Q625" i="63"/>
  <c r="O625" i="63"/>
  <c r="N625" i="63"/>
  <c r="I625" i="63"/>
  <c r="H624" i="63"/>
  <c r="G624" i="63"/>
  <c r="U623" i="63"/>
  <c r="T623" i="63"/>
  <c r="Z623" i="63" s="1"/>
  <c r="L623" i="63"/>
  <c r="K623" i="63"/>
  <c r="BP622" i="63"/>
  <c r="BO622" i="63"/>
  <c r="BM622" i="63"/>
  <c r="BL622" i="63"/>
  <c r="BN622" i="63" s="1"/>
  <c r="BJ622" i="63"/>
  <c r="BI622" i="63"/>
  <c r="BK622" i="63" s="1"/>
  <c r="BG622" i="63"/>
  <c r="BH622" i="63" s="1"/>
  <c r="BF622" i="63"/>
  <c r="BD622" i="63"/>
  <c r="BC622" i="63"/>
  <c r="BA622" i="63"/>
  <c r="AZ622" i="63"/>
  <c r="AX622" i="63"/>
  <c r="AW622" i="63"/>
  <c r="AU622" i="63"/>
  <c r="AV622" i="63" s="1"/>
  <c r="AT622" i="63"/>
  <c r="AR622" i="63"/>
  <c r="AQ622" i="63"/>
  <c r="AO622" i="63"/>
  <c r="AN622" i="63"/>
  <c r="AL622" i="63"/>
  <c r="AK622" i="63"/>
  <c r="AI622" i="63"/>
  <c r="AJ622" i="63" s="1"/>
  <c r="AH622" i="63"/>
  <c r="AD622" i="63"/>
  <c r="AC622" i="63"/>
  <c r="X622" i="63"/>
  <c r="Y622" i="63" s="1"/>
  <c r="W622" i="63"/>
  <c r="R622" i="63"/>
  <c r="Q622" i="63"/>
  <c r="O622" i="63"/>
  <c r="U622" i="63" s="1"/>
  <c r="N622" i="63"/>
  <c r="I622" i="63"/>
  <c r="BQ621" i="63"/>
  <c r="BP621" i="63"/>
  <c r="BO621" i="63"/>
  <c r="BM621" i="63"/>
  <c r="BL621" i="63"/>
  <c r="BJ621" i="63"/>
  <c r="BI621" i="63"/>
  <c r="BG621" i="63"/>
  <c r="BF621" i="63"/>
  <c r="BD621" i="63"/>
  <c r="BE621" i="63" s="1"/>
  <c r="BC621" i="63"/>
  <c r="BA621" i="63"/>
  <c r="AZ621" i="63"/>
  <c r="BB621" i="63" s="1"/>
  <c r="AX621" i="63"/>
  <c r="AW621" i="63"/>
  <c r="AU621" i="63"/>
  <c r="AT621" i="63"/>
  <c r="AV621" i="63" s="1"/>
  <c r="AS621" i="63"/>
  <c r="AR621" i="63"/>
  <c r="AQ621" i="63"/>
  <c r="AO621" i="63"/>
  <c r="AP621" i="63" s="1"/>
  <c r="AN621" i="63"/>
  <c r="AL621" i="63"/>
  <c r="AK621" i="63"/>
  <c r="AI621" i="63"/>
  <c r="AH621" i="63"/>
  <c r="AD621" i="63"/>
  <c r="AC621" i="63"/>
  <c r="X621" i="63"/>
  <c r="Y621" i="63" s="1"/>
  <c r="W621" i="63"/>
  <c r="R621" i="63"/>
  <c r="S621" i="63" s="1"/>
  <c r="Q621" i="63"/>
  <c r="T621" i="63" s="1"/>
  <c r="Z621" i="63" s="1"/>
  <c r="O621" i="63"/>
  <c r="P621" i="63" s="1"/>
  <c r="N621" i="63"/>
  <c r="I621" i="63"/>
  <c r="BP620" i="63"/>
  <c r="BQ620" i="63" s="1"/>
  <c r="BO620" i="63"/>
  <c r="BM620" i="63"/>
  <c r="BL620" i="63"/>
  <c r="BK620" i="63"/>
  <c r="BJ620" i="63"/>
  <c r="BI620" i="63"/>
  <c r="BG620" i="63"/>
  <c r="BH620" i="63" s="1"/>
  <c r="BF620" i="63"/>
  <c r="BD620" i="63"/>
  <c r="BC620" i="63"/>
  <c r="BA620" i="63"/>
  <c r="AZ620" i="63"/>
  <c r="AZ618" i="63" s="1"/>
  <c r="AX620" i="63"/>
  <c r="AW620" i="63"/>
  <c r="AU620" i="63"/>
  <c r="AV620" i="63" s="1"/>
  <c r="AT620" i="63"/>
  <c r="AR620" i="63"/>
  <c r="AR618" i="63" s="1"/>
  <c r="AQ620" i="63"/>
  <c r="AO620" i="63"/>
  <c r="AN620" i="63"/>
  <c r="AL620" i="63"/>
  <c r="AM620" i="63" s="1"/>
  <c r="AK620" i="63"/>
  <c r="AI620" i="63"/>
  <c r="AH620" i="63"/>
  <c r="AD620" i="63"/>
  <c r="AC620" i="63"/>
  <c r="X620" i="63"/>
  <c r="Y620" i="63" s="1"/>
  <c r="W620" i="63"/>
  <c r="R620" i="63"/>
  <c r="Q620" i="63"/>
  <c r="O620" i="63"/>
  <c r="N620" i="63"/>
  <c r="I620" i="63"/>
  <c r="BP619" i="63"/>
  <c r="BO619" i="63"/>
  <c r="BM619" i="63"/>
  <c r="BL619" i="63"/>
  <c r="BJ619" i="63"/>
  <c r="BI619" i="63"/>
  <c r="BG619" i="63"/>
  <c r="BF619" i="63"/>
  <c r="BD619" i="63"/>
  <c r="BC619" i="63"/>
  <c r="BC618" i="63" s="1"/>
  <c r="BA619" i="63"/>
  <c r="AZ619" i="63"/>
  <c r="AX619" i="63"/>
  <c r="AW619" i="63"/>
  <c r="AU619" i="63"/>
  <c r="AT619" i="63"/>
  <c r="AR619" i="63"/>
  <c r="AQ619" i="63"/>
  <c r="AO619" i="63"/>
  <c r="AN619" i="63"/>
  <c r="AL619" i="63"/>
  <c r="AK619" i="63"/>
  <c r="AI619" i="63"/>
  <c r="AH619" i="63"/>
  <c r="AD619" i="63"/>
  <c r="AC619" i="63"/>
  <c r="X619" i="63"/>
  <c r="W619" i="63"/>
  <c r="R619" i="63"/>
  <c r="Q619" i="63"/>
  <c r="T619" i="63" s="1"/>
  <c r="O619" i="63"/>
  <c r="N619" i="63"/>
  <c r="I619" i="63"/>
  <c r="BP618" i="63"/>
  <c r="H618" i="63"/>
  <c r="G618" i="63"/>
  <c r="U617" i="63"/>
  <c r="AA617" i="63" s="1"/>
  <c r="T617" i="63"/>
  <c r="L617" i="63"/>
  <c r="K617" i="63"/>
  <c r="BP616" i="63"/>
  <c r="BO616" i="63"/>
  <c r="BM616" i="63"/>
  <c r="BL616" i="63"/>
  <c r="BJ616" i="63"/>
  <c r="BI616" i="63"/>
  <c r="BG616" i="63"/>
  <c r="BF616" i="63"/>
  <c r="BD616" i="63"/>
  <c r="BC616" i="63"/>
  <c r="BA616" i="63"/>
  <c r="AZ616" i="63"/>
  <c r="AX616" i="63"/>
  <c r="AW616" i="63"/>
  <c r="AV616" i="63"/>
  <c r="AU616" i="63"/>
  <c r="AT616" i="63"/>
  <c r="AR616" i="63"/>
  <c r="AQ616" i="63"/>
  <c r="AO616" i="63"/>
  <c r="AP616" i="63" s="1"/>
  <c r="AN616" i="63"/>
  <c r="AL616" i="63"/>
  <c r="AK616" i="63"/>
  <c r="AM616" i="63" s="1"/>
  <c r="AI616" i="63"/>
  <c r="AH616" i="63"/>
  <c r="AD616" i="63"/>
  <c r="AE616" i="63" s="1"/>
  <c r="AC616" i="63"/>
  <c r="X616" i="63"/>
  <c r="W616" i="63"/>
  <c r="R616" i="63"/>
  <c r="Q616" i="63"/>
  <c r="O616" i="63"/>
  <c r="N616" i="63"/>
  <c r="I616" i="63"/>
  <c r="BP615" i="63"/>
  <c r="BO615" i="63"/>
  <c r="BM615" i="63"/>
  <c r="BL615" i="63"/>
  <c r="BN615" i="63" s="1"/>
  <c r="BK615" i="63"/>
  <c r="BJ615" i="63"/>
  <c r="BI615" i="63"/>
  <c r="BG615" i="63"/>
  <c r="BF615" i="63"/>
  <c r="BD615" i="63"/>
  <c r="BC615" i="63"/>
  <c r="BA615" i="63"/>
  <c r="AZ615" i="63"/>
  <c r="AX615" i="63"/>
  <c r="AW615" i="63"/>
  <c r="AU615" i="63"/>
  <c r="AV615" i="63" s="1"/>
  <c r="AT615" i="63"/>
  <c r="AR615" i="63"/>
  <c r="AQ615" i="63"/>
  <c r="AP615" i="63"/>
  <c r="AO615" i="63"/>
  <c r="AN615" i="63"/>
  <c r="AL615" i="63"/>
  <c r="AK615" i="63"/>
  <c r="AI615" i="63"/>
  <c r="AH615" i="63"/>
  <c r="AD615" i="63"/>
  <c r="AC615" i="63"/>
  <c r="X615" i="63"/>
  <c r="Y615" i="63" s="1"/>
  <c r="W615" i="63"/>
  <c r="R615" i="63"/>
  <c r="Q615" i="63"/>
  <c r="O615" i="63"/>
  <c r="L615" i="63" s="1"/>
  <c r="N615" i="63"/>
  <c r="I615" i="63"/>
  <c r="BP614" i="63"/>
  <c r="BQ614" i="63" s="1"/>
  <c r="BO614" i="63"/>
  <c r="BM614" i="63"/>
  <c r="BL614" i="63"/>
  <c r="BJ614" i="63"/>
  <c r="BI614" i="63"/>
  <c r="BG614" i="63"/>
  <c r="BF614" i="63"/>
  <c r="BH614" i="63" s="1"/>
  <c r="BD614" i="63"/>
  <c r="BC614" i="63"/>
  <c r="BA614" i="63"/>
  <c r="AZ614" i="63"/>
  <c r="AX614" i="63"/>
  <c r="AW614" i="63"/>
  <c r="AU614" i="63"/>
  <c r="AT614" i="63"/>
  <c r="AR614" i="63"/>
  <c r="AQ614" i="63"/>
  <c r="AO614" i="63"/>
  <c r="AN614" i="63"/>
  <c r="AL614" i="63"/>
  <c r="AK614" i="63"/>
  <c r="AI614" i="63"/>
  <c r="AJ614" i="63" s="1"/>
  <c r="AH614" i="63"/>
  <c r="AD614" i="63"/>
  <c r="AC614" i="63"/>
  <c r="X614" i="63"/>
  <c r="W614" i="63"/>
  <c r="R614" i="63"/>
  <c r="Q614" i="63"/>
  <c r="O614" i="63"/>
  <c r="N614" i="63"/>
  <c r="I614" i="63"/>
  <c r="BP613" i="63"/>
  <c r="BO613" i="63"/>
  <c r="BM613" i="63"/>
  <c r="BN613" i="63" s="1"/>
  <c r="BL613" i="63"/>
  <c r="BJ613" i="63"/>
  <c r="BI613" i="63"/>
  <c r="BI612" i="63" s="1"/>
  <c r="BG613" i="63"/>
  <c r="BF613" i="63"/>
  <c r="BD613" i="63"/>
  <c r="BC613" i="63"/>
  <c r="BB613" i="63"/>
  <c r="BA613" i="63"/>
  <c r="AZ613" i="63"/>
  <c r="AX613" i="63"/>
  <c r="AY613" i="63" s="1"/>
  <c r="AW613" i="63"/>
  <c r="AU613" i="63"/>
  <c r="AT613" i="63"/>
  <c r="AR613" i="63"/>
  <c r="AQ613" i="63"/>
  <c r="AO613" i="63"/>
  <c r="AN613" i="63"/>
  <c r="AL613" i="63"/>
  <c r="AK613" i="63"/>
  <c r="AI613" i="63"/>
  <c r="AH613" i="63"/>
  <c r="AD613" i="63"/>
  <c r="AC613" i="63"/>
  <c r="X613" i="63"/>
  <c r="W613" i="63"/>
  <c r="R613" i="63"/>
  <c r="U613" i="63" s="1"/>
  <c r="Q613" i="63"/>
  <c r="O613" i="63"/>
  <c r="N613" i="63"/>
  <c r="I613" i="63"/>
  <c r="H612" i="63"/>
  <c r="G612" i="63"/>
  <c r="I612" i="63" s="1"/>
  <c r="BQ610" i="63"/>
  <c r="BN610" i="63"/>
  <c r="BK610" i="63"/>
  <c r="BH610" i="63"/>
  <c r="BE610" i="63"/>
  <c r="BB610" i="63"/>
  <c r="AY610" i="63"/>
  <c r="AV610" i="63"/>
  <c r="AS610" i="63"/>
  <c r="AP610" i="63"/>
  <c r="AM610" i="63"/>
  <c r="AJ610" i="63"/>
  <c r="AE610" i="63"/>
  <c r="Y610" i="63"/>
  <c r="U610" i="63"/>
  <c r="T610" i="63"/>
  <c r="Z610" i="63" s="1"/>
  <c r="S610" i="63"/>
  <c r="P610" i="63"/>
  <c r="L610" i="63"/>
  <c r="K610" i="63"/>
  <c r="I610" i="63"/>
  <c r="D609" i="63"/>
  <c r="U608" i="63"/>
  <c r="AA608" i="63" s="1"/>
  <c r="T608" i="63"/>
  <c r="L608" i="63"/>
  <c r="K608" i="63"/>
  <c r="M608" i="63" s="1"/>
  <c r="BP607" i="63"/>
  <c r="BQ607" i="63" s="1"/>
  <c r="BO607" i="63"/>
  <c r="BM607" i="63"/>
  <c r="BL607" i="63"/>
  <c r="BJ607" i="63"/>
  <c r="BI607" i="63"/>
  <c r="BG607" i="63"/>
  <c r="BF607" i="63"/>
  <c r="BD607" i="63"/>
  <c r="BC607" i="63"/>
  <c r="BA607" i="63"/>
  <c r="AZ607" i="63"/>
  <c r="AX607" i="63"/>
  <c r="AW607" i="63"/>
  <c r="AU607" i="63"/>
  <c r="AV607" i="63" s="1"/>
  <c r="AT607" i="63"/>
  <c r="AR607" i="63"/>
  <c r="AS607" i="63" s="1"/>
  <c r="AQ607" i="63"/>
  <c r="AO607" i="63"/>
  <c r="AN607" i="63"/>
  <c r="AL607" i="63"/>
  <c r="AK607" i="63"/>
  <c r="AI607" i="63"/>
  <c r="AJ607" i="63" s="1"/>
  <c r="AH607" i="63"/>
  <c r="AD607" i="63"/>
  <c r="AC607" i="63"/>
  <c r="X607" i="63"/>
  <c r="W607" i="63"/>
  <c r="R607" i="63"/>
  <c r="S607" i="63" s="1"/>
  <c r="Q607" i="63"/>
  <c r="O607" i="63"/>
  <c r="N607" i="63"/>
  <c r="I607" i="63"/>
  <c r="BP606" i="63"/>
  <c r="BO606" i="63"/>
  <c r="BM606" i="63"/>
  <c r="BL606" i="63"/>
  <c r="BJ606" i="63"/>
  <c r="BI606" i="63"/>
  <c r="BK606" i="63" s="1"/>
  <c r="BG606" i="63"/>
  <c r="BH606" i="63" s="1"/>
  <c r="BF606" i="63"/>
  <c r="BD606" i="63"/>
  <c r="BC606" i="63"/>
  <c r="BE606" i="63" s="1"/>
  <c r="BB606" i="63"/>
  <c r="BA606" i="63"/>
  <c r="AZ606" i="63"/>
  <c r="AX606" i="63"/>
  <c r="AW606" i="63"/>
  <c r="AU606" i="63"/>
  <c r="AT606" i="63"/>
  <c r="AR606" i="63"/>
  <c r="AQ606" i="63"/>
  <c r="AO606" i="63"/>
  <c r="AN606" i="63"/>
  <c r="AM606" i="63"/>
  <c r="AL606" i="63"/>
  <c r="AK606" i="63"/>
  <c r="AI606" i="63"/>
  <c r="AH606" i="63"/>
  <c r="AD606" i="63"/>
  <c r="AC606" i="63"/>
  <c r="X606" i="63"/>
  <c r="W606" i="63"/>
  <c r="R606" i="63"/>
  <c r="Q606" i="63"/>
  <c r="O606" i="63"/>
  <c r="N606" i="63"/>
  <c r="P606" i="63" s="1"/>
  <c r="I606" i="63"/>
  <c r="BP605" i="63"/>
  <c r="BO605" i="63"/>
  <c r="BM605" i="63"/>
  <c r="BN605" i="63" s="1"/>
  <c r="BL605" i="63"/>
  <c r="BJ605" i="63"/>
  <c r="BI605" i="63"/>
  <c r="BH605" i="63"/>
  <c r="BG605" i="63"/>
  <c r="BF605" i="63"/>
  <c r="BD605" i="63"/>
  <c r="BC605" i="63"/>
  <c r="BA605" i="63"/>
  <c r="AZ605" i="63"/>
  <c r="AX605" i="63"/>
  <c r="AW605" i="63"/>
  <c r="AU605" i="63"/>
  <c r="AV605" i="63" s="1"/>
  <c r="AT605" i="63"/>
  <c r="AR605" i="63"/>
  <c r="AQ605" i="63"/>
  <c r="AO605" i="63"/>
  <c r="AN605" i="63"/>
  <c r="AL605" i="63"/>
  <c r="AK605" i="63"/>
  <c r="AI605" i="63"/>
  <c r="AJ605" i="63" s="1"/>
  <c r="AH605" i="63"/>
  <c r="AD605" i="63"/>
  <c r="AC605" i="63"/>
  <c r="X605" i="63"/>
  <c r="W605" i="63"/>
  <c r="R605" i="63"/>
  <c r="Q605" i="63"/>
  <c r="O605" i="63"/>
  <c r="N605" i="63"/>
  <c r="I605" i="63"/>
  <c r="BP604" i="63"/>
  <c r="BO604" i="63"/>
  <c r="BM604" i="63"/>
  <c r="BN604" i="63" s="1"/>
  <c r="BL604" i="63"/>
  <c r="BJ604" i="63"/>
  <c r="BI604" i="63"/>
  <c r="BG604" i="63"/>
  <c r="BF604" i="63"/>
  <c r="BD604" i="63"/>
  <c r="BC604" i="63"/>
  <c r="BA604" i="63"/>
  <c r="AZ604" i="63"/>
  <c r="AX604" i="63"/>
  <c r="AW604" i="63"/>
  <c r="AU604" i="63"/>
  <c r="AT604" i="63"/>
  <c r="AR604" i="63"/>
  <c r="AQ604" i="63"/>
  <c r="AO604" i="63"/>
  <c r="AN604" i="63"/>
  <c r="AL604" i="63"/>
  <c r="AK604" i="63"/>
  <c r="AI604" i="63"/>
  <c r="AH604" i="63"/>
  <c r="AD604" i="63"/>
  <c r="AC604" i="63"/>
  <c r="X604" i="63"/>
  <c r="W604" i="63"/>
  <c r="Y604" i="63" s="1"/>
  <c r="R604" i="63"/>
  <c r="Q604" i="63"/>
  <c r="O604" i="63"/>
  <c r="N604" i="63"/>
  <c r="T604" i="63" s="1"/>
  <c r="Z604" i="63" s="1"/>
  <c r="I604" i="63"/>
  <c r="AO603" i="63"/>
  <c r="AD603" i="63"/>
  <c r="H603" i="63"/>
  <c r="G603" i="63"/>
  <c r="U602" i="63"/>
  <c r="T602" i="63"/>
  <c r="Z602" i="63" s="1"/>
  <c r="L602" i="63"/>
  <c r="K602" i="63"/>
  <c r="BP601" i="63"/>
  <c r="BO601" i="63"/>
  <c r="BQ601" i="63" s="1"/>
  <c r="BM601" i="63"/>
  <c r="BN601" i="63" s="1"/>
  <c r="BL601" i="63"/>
  <c r="BJ601" i="63"/>
  <c r="BI601" i="63"/>
  <c r="BG601" i="63"/>
  <c r="BF601" i="63"/>
  <c r="BD601" i="63"/>
  <c r="BC601" i="63"/>
  <c r="BA601" i="63"/>
  <c r="AZ601" i="63"/>
  <c r="AX601" i="63"/>
  <c r="AW601" i="63"/>
  <c r="AU601" i="63"/>
  <c r="AT601" i="63"/>
  <c r="AR601" i="63"/>
  <c r="AS601" i="63" s="1"/>
  <c r="AQ601" i="63"/>
  <c r="AO601" i="63"/>
  <c r="AN601" i="63"/>
  <c r="AL601" i="63"/>
  <c r="AM601" i="63" s="1"/>
  <c r="AK601" i="63"/>
  <c r="AI601" i="63"/>
  <c r="AH601" i="63"/>
  <c r="AJ601" i="63" s="1"/>
  <c r="AD601" i="63"/>
  <c r="AC601" i="63"/>
  <c r="X601" i="63"/>
  <c r="W601" i="63"/>
  <c r="R601" i="63"/>
  <c r="S601" i="63" s="1"/>
  <c r="Q601" i="63"/>
  <c r="O601" i="63"/>
  <c r="N601" i="63"/>
  <c r="T601" i="63" s="1"/>
  <c r="I601" i="63"/>
  <c r="BP600" i="63"/>
  <c r="BO600" i="63"/>
  <c r="BM600" i="63"/>
  <c r="BL600" i="63"/>
  <c r="BJ600" i="63"/>
  <c r="BK600" i="63" s="1"/>
  <c r="BI600" i="63"/>
  <c r="BG600" i="63"/>
  <c r="BF600" i="63"/>
  <c r="BD600" i="63"/>
  <c r="BE600" i="63" s="1"/>
  <c r="BC600" i="63"/>
  <c r="BA600" i="63"/>
  <c r="AZ600" i="63"/>
  <c r="BB600" i="63" s="1"/>
  <c r="AX600" i="63"/>
  <c r="AW600" i="63"/>
  <c r="AU600" i="63"/>
  <c r="AV600" i="63" s="1"/>
  <c r="AT600" i="63"/>
  <c r="AR600" i="63"/>
  <c r="AQ600" i="63"/>
  <c r="AO600" i="63"/>
  <c r="AN600" i="63"/>
  <c r="AL600" i="63"/>
  <c r="AK600" i="63"/>
  <c r="AI600" i="63"/>
  <c r="AJ600" i="63" s="1"/>
  <c r="AH600" i="63"/>
  <c r="AD600" i="63"/>
  <c r="AC600" i="63"/>
  <c r="X600" i="63"/>
  <c r="Y600" i="63" s="1"/>
  <c r="W600" i="63"/>
  <c r="R600" i="63"/>
  <c r="Q600" i="63"/>
  <c r="O600" i="63"/>
  <c r="N600" i="63"/>
  <c r="I600" i="63"/>
  <c r="BP599" i="63"/>
  <c r="BO599" i="63"/>
  <c r="BM599" i="63"/>
  <c r="BL599" i="63"/>
  <c r="BJ599" i="63"/>
  <c r="BI599" i="63"/>
  <c r="BG599" i="63"/>
  <c r="BF599" i="63"/>
  <c r="BD599" i="63"/>
  <c r="BC599" i="63"/>
  <c r="BE599" i="63" s="1"/>
  <c r="BA599" i="63"/>
  <c r="AZ599" i="63"/>
  <c r="AX599" i="63"/>
  <c r="AW599" i="63"/>
  <c r="AU599" i="63"/>
  <c r="AT599" i="63"/>
  <c r="AR599" i="63"/>
  <c r="AQ599" i="63"/>
  <c r="AO599" i="63"/>
  <c r="AN599" i="63"/>
  <c r="AL599" i="63"/>
  <c r="AK599" i="63"/>
  <c r="AI599" i="63"/>
  <c r="AH599" i="63"/>
  <c r="AD599" i="63"/>
  <c r="AE599" i="63" s="1"/>
  <c r="AC599" i="63"/>
  <c r="X599" i="63"/>
  <c r="W599" i="63"/>
  <c r="R599" i="63"/>
  <c r="S599" i="63" s="1"/>
  <c r="Q599" i="63"/>
  <c r="O599" i="63"/>
  <c r="N599" i="63"/>
  <c r="I599" i="63"/>
  <c r="BP598" i="63"/>
  <c r="BO598" i="63"/>
  <c r="BM598" i="63"/>
  <c r="BL598" i="63"/>
  <c r="BJ598" i="63"/>
  <c r="BI598" i="63"/>
  <c r="BG598" i="63"/>
  <c r="BH598" i="63" s="1"/>
  <c r="BF598" i="63"/>
  <c r="BD598" i="63"/>
  <c r="BC598" i="63"/>
  <c r="BA598" i="63"/>
  <c r="AZ598" i="63"/>
  <c r="AX598" i="63"/>
  <c r="AW598" i="63"/>
  <c r="AU598" i="63"/>
  <c r="AT598" i="63"/>
  <c r="AT597" i="63" s="1"/>
  <c r="AR598" i="63"/>
  <c r="AQ598" i="63"/>
  <c r="AO598" i="63"/>
  <c r="AO597" i="63" s="1"/>
  <c r="AN598" i="63"/>
  <c r="AL598" i="63"/>
  <c r="AK598" i="63"/>
  <c r="AI598" i="63"/>
  <c r="AH598" i="63"/>
  <c r="AD598" i="63"/>
  <c r="AC598" i="63"/>
  <c r="AC597" i="63" s="1"/>
  <c r="X598" i="63"/>
  <c r="W598" i="63"/>
  <c r="R598" i="63"/>
  <c r="Q598" i="63"/>
  <c r="Q597" i="63" s="1"/>
  <c r="O598" i="63"/>
  <c r="N598" i="63"/>
  <c r="I598" i="63"/>
  <c r="BM597" i="63"/>
  <c r="AK597" i="63"/>
  <c r="H597" i="63"/>
  <c r="G597" i="63"/>
  <c r="U596" i="63"/>
  <c r="AA596" i="63" s="1"/>
  <c r="T596" i="63"/>
  <c r="Z596" i="63" s="1"/>
  <c r="AB596" i="63" s="1"/>
  <c r="L596" i="63"/>
  <c r="M596" i="63" s="1"/>
  <c r="K596" i="63"/>
  <c r="BP595" i="63"/>
  <c r="BO595" i="63"/>
  <c r="BQ595" i="63" s="1"/>
  <c r="BN595" i="63"/>
  <c r="BM595" i="63"/>
  <c r="BL595" i="63"/>
  <c r="BJ595" i="63"/>
  <c r="BK595" i="63" s="1"/>
  <c r="BI595" i="63"/>
  <c r="BG595" i="63"/>
  <c r="BF595" i="63"/>
  <c r="BD595" i="63"/>
  <c r="BD461" i="63" s="1"/>
  <c r="BC595" i="63"/>
  <c r="BA595" i="63"/>
  <c r="AZ595" i="63"/>
  <c r="AX595" i="63"/>
  <c r="AW595" i="63"/>
  <c r="AU595" i="63"/>
  <c r="AT595" i="63"/>
  <c r="AR595" i="63"/>
  <c r="AQ595" i="63"/>
  <c r="AO595" i="63"/>
  <c r="AP595" i="63" s="1"/>
  <c r="AN595" i="63"/>
  <c r="AL595" i="63"/>
  <c r="AM595" i="63" s="1"/>
  <c r="AK595" i="63"/>
  <c r="AI595" i="63"/>
  <c r="AH595" i="63"/>
  <c r="AD595" i="63"/>
  <c r="AC595" i="63"/>
  <c r="X595" i="63"/>
  <c r="W595" i="63"/>
  <c r="U595" i="63"/>
  <c r="R595" i="63"/>
  <c r="Q595" i="63"/>
  <c r="T595" i="63" s="1"/>
  <c r="Z595" i="63" s="1"/>
  <c r="O595" i="63"/>
  <c r="P595" i="63" s="1"/>
  <c r="N595" i="63"/>
  <c r="I595" i="63"/>
  <c r="BP594" i="63"/>
  <c r="BQ594" i="63" s="1"/>
  <c r="BO594" i="63"/>
  <c r="BM594" i="63"/>
  <c r="BL594" i="63"/>
  <c r="BJ594" i="63"/>
  <c r="BI594" i="63"/>
  <c r="BG594" i="63"/>
  <c r="BH594" i="63" s="1"/>
  <c r="BF594" i="63"/>
  <c r="BD594" i="63"/>
  <c r="BC594" i="63"/>
  <c r="BA594" i="63"/>
  <c r="BB594" i="63" s="1"/>
  <c r="AZ594" i="63"/>
  <c r="AX594" i="63"/>
  <c r="AW594" i="63"/>
  <c r="AU594" i="63"/>
  <c r="AT594" i="63"/>
  <c r="AV594" i="63" s="1"/>
  <c r="AR594" i="63"/>
  <c r="AQ594" i="63"/>
  <c r="AO594" i="63"/>
  <c r="AN594" i="63"/>
  <c r="AL594" i="63"/>
  <c r="AK594" i="63"/>
  <c r="AI594" i="63"/>
  <c r="AH594" i="63"/>
  <c r="AD594" i="63"/>
  <c r="AC594" i="63"/>
  <c r="X594" i="63"/>
  <c r="W594" i="63"/>
  <c r="Y594" i="63" s="1"/>
  <c r="R594" i="63"/>
  <c r="Q594" i="63"/>
  <c r="O594" i="63"/>
  <c r="N594" i="63"/>
  <c r="I594" i="63"/>
  <c r="BP593" i="63"/>
  <c r="BO593" i="63"/>
  <c r="BM593" i="63"/>
  <c r="BL593" i="63"/>
  <c r="BJ593" i="63"/>
  <c r="BI593" i="63"/>
  <c r="BG593" i="63"/>
  <c r="BG591" i="63" s="1"/>
  <c r="BF593" i="63"/>
  <c r="BD593" i="63"/>
  <c r="BC593" i="63"/>
  <c r="BA593" i="63"/>
  <c r="AZ593" i="63"/>
  <c r="AX593" i="63"/>
  <c r="AW593" i="63"/>
  <c r="AU593" i="63"/>
  <c r="AT593" i="63"/>
  <c r="AR593" i="63"/>
  <c r="AQ593" i="63"/>
  <c r="AP593" i="63"/>
  <c r="AO593" i="63"/>
  <c r="AN593" i="63"/>
  <c r="AL593" i="63"/>
  <c r="AK593" i="63"/>
  <c r="AK459" i="63" s="1"/>
  <c r="AI593" i="63"/>
  <c r="AH593" i="63"/>
  <c r="AD593" i="63"/>
  <c r="AC593" i="63"/>
  <c r="X593" i="63"/>
  <c r="W593" i="63"/>
  <c r="R593" i="63"/>
  <c r="Q593" i="63"/>
  <c r="O593" i="63"/>
  <c r="N593" i="63"/>
  <c r="I593" i="63"/>
  <c r="BP592" i="63"/>
  <c r="BP591" i="63" s="1"/>
  <c r="BO592" i="63"/>
  <c r="BM592" i="63"/>
  <c r="BL592" i="63"/>
  <c r="BJ592" i="63"/>
  <c r="BI592" i="63"/>
  <c r="BG592" i="63"/>
  <c r="BF592" i="63"/>
  <c r="BE592" i="63"/>
  <c r="BD592" i="63"/>
  <c r="BC592" i="63"/>
  <c r="BA592" i="63"/>
  <c r="AZ592" i="63"/>
  <c r="AX592" i="63"/>
  <c r="AW592" i="63"/>
  <c r="AU592" i="63"/>
  <c r="AT592" i="63"/>
  <c r="AT458" i="63" s="1"/>
  <c r="AR592" i="63"/>
  <c r="AQ592" i="63"/>
  <c r="AO592" i="63"/>
  <c r="AN592" i="63"/>
  <c r="AL592" i="63"/>
  <c r="AK592" i="63"/>
  <c r="AI592" i="63"/>
  <c r="AH592" i="63"/>
  <c r="AD592" i="63"/>
  <c r="AE592" i="63" s="1"/>
  <c r="AC592" i="63"/>
  <c r="X592" i="63"/>
  <c r="W592" i="63"/>
  <c r="R592" i="63"/>
  <c r="Q592" i="63"/>
  <c r="S592" i="63" s="1"/>
  <c r="O592" i="63"/>
  <c r="N592" i="63"/>
  <c r="I592" i="63"/>
  <c r="H591" i="63"/>
  <c r="I591" i="63" s="1"/>
  <c r="G591" i="63"/>
  <c r="U590" i="63"/>
  <c r="T590" i="63"/>
  <c r="Z590" i="63" s="1"/>
  <c r="L590" i="63"/>
  <c r="K590" i="63"/>
  <c r="BP589" i="63"/>
  <c r="BO589" i="63"/>
  <c r="BM589" i="63"/>
  <c r="BL589" i="63"/>
  <c r="BJ589" i="63"/>
  <c r="BK589" i="63" s="1"/>
  <c r="BI589" i="63"/>
  <c r="BG589" i="63"/>
  <c r="BH589" i="63" s="1"/>
  <c r="BF589" i="63"/>
  <c r="BD589" i="63"/>
  <c r="BC589" i="63"/>
  <c r="BA589" i="63"/>
  <c r="AZ589" i="63"/>
  <c r="AX589" i="63"/>
  <c r="AW589" i="63"/>
  <c r="AU589" i="63"/>
  <c r="AT589" i="63"/>
  <c r="AR589" i="63"/>
  <c r="AQ589" i="63"/>
  <c r="AO589" i="63"/>
  <c r="AN589" i="63"/>
  <c r="AL589" i="63"/>
  <c r="AK589" i="63"/>
  <c r="AI589" i="63"/>
  <c r="AH589" i="63"/>
  <c r="AD589" i="63"/>
  <c r="AC589" i="63"/>
  <c r="X589" i="63"/>
  <c r="Y589" i="63" s="1"/>
  <c r="W589" i="63"/>
  <c r="R589" i="63"/>
  <c r="Q589" i="63"/>
  <c r="O589" i="63"/>
  <c r="N589" i="63"/>
  <c r="I589" i="63"/>
  <c r="BP588" i="63"/>
  <c r="BO588" i="63"/>
  <c r="BM588" i="63"/>
  <c r="BL588" i="63"/>
  <c r="BJ588" i="63"/>
  <c r="BI588" i="63"/>
  <c r="BG588" i="63"/>
  <c r="BF588" i="63"/>
  <c r="BH588" i="63" s="1"/>
  <c r="BD588" i="63"/>
  <c r="BC588" i="63"/>
  <c r="BE588" i="63" s="1"/>
  <c r="BA588" i="63"/>
  <c r="AZ588" i="63"/>
  <c r="AX588" i="63"/>
  <c r="AW588" i="63"/>
  <c r="AU588" i="63"/>
  <c r="AT588" i="63"/>
  <c r="AR588" i="63"/>
  <c r="AQ588" i="63"/>
  <c r="AO588" i="63"/>
  <c r="AN588" i="63"/>
  <c r="AP588" i="63" s="1"/>
  <c r="AL588" i="63"/>
  <c r="AK588" i="63"/>
  <c r="AI588" i="63"/>
  <c r="AH588" i="63"/>
  <c r="AJ588" i="63" s="1"/>
  <c r="AD588" i="63"/>
  <c r="AE588" i="63" s="1"/>
  <c r="AC588" i="63"/>
  <c r="X588" i="63"/>
  <c r="W588" i="63"/>
  <c r="R588" i="63"/>
  <c r="Q588" i="63"/>
  <c r="O588" i="63"/>
  <c r="N588" i="63"/>
  <c r="I588" i="63"/>
  <c r="BP587" i="63"/>
  <c r="BO587" i="63"/>
  <c r="BM587" i="63"/>
  <c r="BL587" i="63"/>
  <c r="BJ587" i="63"/>
  <c r="BI587" i="63"/>
  <c r="BG587" i="63"/>
  <c r="BF587" i="63"/>
  <c r="BD587" i="63"/>
  <c r="BC587" i="63"/>
  <c r="BC585" i="63" s="1"/>
  <c r="BA587" i="63"/>
  <c r="AZ587" i="63"/>
  <c r="AX587" i="63"/>
  <c r="AW587" i="63"/>
  <c r="AU587" i="63"/>
  <c r="AT587" i="63"/>
  <c r="AR587" i="63"/>
  <c r="AQ587" i="63"/>
  <c r="AQ585" i="63" s="1"/>
  <c r="AO587" i="63"/>
  <c r="AN587" i="63"/>
  <c r="AL587" i="63"/>
  <c r="AM587" i="63" s="1"/>
  <c r="AK587" i="63"/>
  <c r="AI587" i="63"/>
  <c r="AH587" i="63"/>
  <c r="AD587" i="63"/>
  <c r="AC587" i="63"/>
  <c r="X587" i="63"/>
  <c r="Y587" i="63" s="1"/>
  <c r="W587" i="63"/>
  <c r="R587" i="63"/>
  <c r="Q587" i="63"/>
  <c r="O587" i="63"/>
  <c r="N587" i="63"/>
  <c r="I587" i="63"/>
  <c r="BP586" i="63"/>
  <c r="BO586" i="63"/>
  <c r="BQ586" i="63" s="1"/>
  <c r="BM586" i="63"/>
  <c r="BL586" i="63"/>
  <c r="BJ586" i="63"/>
  <c r="BI586" i="63"/>
  <c r="BG586" i="63"/>
  <c r="BF586" i="63"/>
  <c r="BD586" i="63"/>
  <c r="BE586" i="63" s="1"/>
  <c r="BC586" i="63"/>
  <c r="BA586" i="63"/>
  <c r="AZ586" i="63"/>
  <c r="AX586" i="63"/>
  <c r="AW586" i="63"/>
  <c r="AU586" i="63"/>
  <c r="AU452" i="63" s="1"/>
  <c r="AT586" i="63"/>
  <c r="AR586" i="63"/>
  <c r="AQ586" i="63"/>
  <c r="AP586" i="63"/>
  <c r="AO586" i="63"/>
  <c r="AN586" i="63"/>
  <c r="AL586" i="63"/>
  <c r="AK586" i="63"/>
  <c r="AK585" i="63" s="1"/>
  <c r="AI586" i="63"/>
  <c r="AH586" i="63"/>
  <c r="AD586" i="63"/>
  <c r="AC586" i="63"/>
  <c r="AC452" i="63" s="1"/>
  <c r="X586" i="63"/>
  <c r="W586" i="63"/>
  <c r="R586" i="63"/>
  <c r="Q586" i="63"/>
  <c r="O586" i="63"/>
  <c r="N586" i="63"/>
  <c r="I586" i="63"/>
  <c r="H585" i="63"/>
  <c r="H578" i="63" s="1"/>
  <c r="G585" i="63"/>
  <c r="U584" i="63"/>
  <c r="AA584" i="63" s="1"/>
  <c r="T584" i="63"/>
  <c r="Z584" i="63" s="1"/>
  <c r="L584" i="63"/>
  <c r="K584" i="63"/>
  <c r="BP583" i="63"/>
  <c r="BO583" i="63"/>
  <c r="BQ583" i="63" s="1"/>
  <c r="BM583" i="63"/>
  <c r="BL583" i="63"/>
  <c r="BJ583" i="63"/>
  <c r="BI583" i="63"/>
  <c r="BK583" i="63" s="1"/>
  <c r="BG583" i="63"/>
  <c r="BF583" i="63"/>
  <c r="BD583" i="63"/>
  <c r="BC583" i="63"/>
  <c r="BA583" i="63"/>
  <c r="AZ583" i="63"/>
  <c r="AX583" i="63"/>
  <c r="AW583" i="63"/>
  <c r="AU583" i="63"/>
  <c r="AT583" i="63"/>
  <c r="AV583" i="63" s="1"/>
  <c r="AR583" i="63"/>
  <c r="AQ583" i="63"/>
  <c r="AS583" i="63" s="1"/>
  <c r="AO583" i="63"/>
  <c r="AN583" i="63"/>
  <c r="AL583" i="63"/>
  <c r="AK583" i="63"/>
  <c r="AI583" i="63"/>
  <c r="AJ583" i="63" s="1"/>
  <c r="AH583" i="63"/>
  <c r="AD583" i="63"/>
  <c r="AC583" i="63"/>
  <c r="X583" i="63"/>
  <c r="W583" i="63"/>
  <c r="R583" i="63"/>
  <c r="Q583" i="63"/>
  <c r="O583" i="63"/>
  <c r="N583" i="63"/>
  <c r="I583" i="63"/>
  <c r="BP582" i="63"/>
  <c r="BO582" i="63"/>
  <c r="BM582" i="63"/>
  <c r="BN582" i="63" s="1"/>
  <c r="BL582" i="63"/>
  <c r="BJ582" i="63"/>
  <c r="BI582" i="63"/>
  <c r="BK582" i="63" s="1"/>
  <c r="BG582" i="63"/>
  <c r="BF582" i="63"/>
  <c r="BD582" i="63"/>
  <c r="BC582" i="63"/>
  <c r="BE582" i="63" s="1"/>
  <c r="BA582" i="63"/>
  <c r="AZ582" i="63"/>
  <c r="BB582" i="63" s="1"/>
  <c r="AX582" i="63"/>
  <c r="AY582" i="63" s="1"/>
  <c r="AW582" i="63"/>
  <c r="AU582" i="63"/>
  <c r="AT582" i="63"/>
  <c r="AR582" i="63"/>
  <c r="AQ582" i="63"/>
  <c r="AO582" i="63"/>
  <c r="AN582" i="63"/>
  <c r="AL582" i="63"/>
  <c r="AK582" i="63"/>
  <c r="AI582" i="63"/>
  <c r="AH582" i="63"/>
  <c r="AD582" i="63"/>
  <c r="AC582" i="63"/>
  <c r="X582" i="63"/>
  <c r="Y582" i="63" s="1"/>
  <c r="W582" i="63"/>
  <c r="R582" i="63"/>
  <c r="Q582" i="63"/>
  <c r="O582" i="63"/>
  <c r="N582" i="63"/>
  <c r="T582" i="63" s="1"/>
  <c r="Z582" i="63" s="1"/>
  <c r="I582" i="63"/>
  <c r="BP581" i="63"/>
  <c r="BQ581" i="63" s="1"/>
  <c r="BO581" i="63"/>
  <c r="BM581" i="63"/>
  <c r="BL581" i="63"/>
  <c r="BJ581" i="63"/>
  <c r="BI581" i="63"/>
  <c r="BG581" i="63"/>
  <c r="BH581" i="63" s="1"/>
  <c r="BF581" i="63"/>
  <c r="BD581" i="63"/>
  <c r="BC581" i="63"/>
  <c r="BA581" i="63"/>
  <c r="AZ581" i="63"/>
  <c r="AX581" i="63"/>
  <c r="AW581" i="63"/>
  <c r="AU581" i="63"/>
  <c r="AV581" i="63" s="1"/>
  <c r="AT581" i="63"/>
  <c r="AR581" i="63"/>
  <c r="AQ581" i="63"/>
  <c r="AO581" i="63"/>
  <c r="AN581" i="63"/>
  <c r="AL581" i="63"/>
  <c r="AK581" i="63"/>
  <c r="AI581" i="63"/>
  <c r="AH581" i="63"/>
  <c r="AD581" i="63"/>
  <c r="AC581" i="63"/>
  <c r="X581" i="63"/>
  <c r="W581" i="63"/>
  <c r="R581" i="63"/>
  <c r="Q581" i="63"/>
  <c r="O581" i="63"/>
  <c r="N581" i="63"/>
  <c r="I581" i="63"/>
  <c r="BP580" i="63"/>
  <c r="BP579" i="63" s="1"/>
  <c r="BO580" i="63"/>
  <c r="BM580" i="63"/>
  <c r="BL580" i="63"/>
  <c r="BJ580" i="63"/>
  <c r="BI580" i="63"/>
  <c r="BG580" i="63"/>
  <c r="BF580" i="63"/>
  <c r="BD580" i="63"/>
  <c r="BC580" i="63"/>
  <c r="BA580" i="63"/>
  <c r="AZ580" i="63"/>
  <c r="AX580" i="63"/>
  <c r="AW580" i="63"/>
  <c r="AU580" i="63"/>
  <c r="AT580" i="63"/>
  <c r="AT579" i="63" s="1"/>
  <c r="AR580" i="63"/>
  <c r="AQ580" i="63"/>
  <c r="AO580" i="63"/>
  <c r="AN580" i="63"/>
  <c r="AL580" i="63"/>
  <c r="AK580" i="63"/>
  <c r="AI580" i="63"/>
  <c r="AH580" i="63"/>
  <c r="AD580" i="63"/>
  <c r="AC580" i="63"/>
  <c r="X580" i="63"/>
  <c r="W580" i="63"/>
  <c r="R580" i="63"/>
  <c r="Q580" i="63"/>
  <c r="O580" i="63"/>
  <c r="N580" i="63"/>
  <c r="I580" i="63"/>
  <c r="BA579" i="63"/>
  <c r="H579" i="63"/>
  <c r="G579" i="63"/>
  <c r="BQ577" i="63"/>
  <c r="BN577" i="63"/>
  <c r="BK577" i="63"/>
  <c r="BH577" i="63"/>
  <c r="BE577" i="63"/>
  <c r="BB577" i="63"/>
  <c r="AY577" i="63"/>
  <c r="AV577" i="63"/>
  <c r="AS577" i="63"/>
  <c r="AP577" i="63"/>
  <c r="AM577" i="63"/>
  <c r="AJ577" i="63"/>
  <c r="AE577" i="63"/>
  <c r="Y577" i="63"/>
  <c r="U577" i="63"/>
  <c r="AA577" i="63" s="1"/>
  <c r="T577" i="63"/>
  <c r="Z577" i="63" s="1"/>
  <c r="S577" i="63"/>
  <c r="P577" i="63"/>
  <c r="L577" i="63"/>
  <c r="K577" i="63"/>
  <c r="M577" i="63" s="1"/>
  <c r="I577" i="63"/>
  <c r="D576" i="63"/>
  <c r="U575" i="63"/>
  <c r="AA575" i="63" s="1"/>
  <c r="T575" i="63"/>
  <c r="L575" i="63"/>
  <c r="K575" i="63"/>
  <c r="BP574" i="63"/>
  <c r="BO574" i="63"/>
  <c r="BO475" i="63" s="1"/>
  <c r="BM574" i="63"/>
  <c r="BL574" i="63"/>
  <c r="BJ574" i="63"/>
  <c r="BI574" i="63"/>
  <c r="BK574" i="63" s="1"/>
  <c r="BG574" i="63"/>
  <c r="BF574" i="63"/>
  <c r="BD574" i="63"/>
  <c r="BE574" i="63" s="1"/>
  <c r="BC574" i="63"/>
  <c r="BA574" i="63"/>
  <c r="AZ574" i="63"/>
  <c r="AX574" i="63"/>
  <c r="AW574" i="63"/>
  <c r="AU574" i="63"/>
  <c r="AT574" i="63"/>
  <c r="AR574" i="63"/>
  <c r="AQ574" i="63"/>
  <c r="AO574" i="63"/>
  <c r="AN574" i="63"/>
  <c r="AL574" i="63"/>
  <c r="AK574" i="63"/>
  <c r="AI574" i="63"/>
  <c r="AH574" i="63"/>
  <c r="AD574" i="63"/>
  <c r="AE574" i="63" s="1"/>
  <c r="AC574" i="63"/>
  <c r="X574" i="63"/>
  <c r="W574" i="63"/>
  <c r="Y574" i="63" s="1"/>
  <c r="R574" i="63"/>
  <c r="S574" i="63" s="1"/>
  <c r="Q574" i="63"/>
  <c r="O574" i="63"/>
  <c r="N574" i="63"/>
  <c r="I574" i="63"/>
  <c r="BP573" i="63"/>
  <c r="BO573" i="63"/>
  <c r="BQ573" i="63" s="1"/>
  <c r="BM573" i="63"/>
  <c r="BN573" i="63" s="1"/>
  <c r="BL573" i="63"/>
  <c r="BJ573" i="63"/>
  <c r="BI573" i="63"/>
  <c r="BG573" i="63"/>
  <c r="BF573" i="63"/>
  <c r="BD573" i="63"/>
  <c r="BC573" i="63"/>
  <c r="BE573" i="63" s="1"/>
  <c r="BA573" i="63"/>
  <c r="BB573" i="63" s="1"/>
  <c r="AZ573" i="63"/>
  <c r="AX573" i="63"/>
  <c r="AW573" i="63"/>
  <c r="AU573" i="63"/>
  <c r="AT573" i="63"/>
  <c r="AR573" i="63"/>
  <c r="AQ573" i="63"/>
  <c r="AO573" i="63"/>
  <c r="AN573" i="63"/>
  <c r="AL573" i="63"/>
  <c r="AK573" i="63"/>
  <c r="AI573" i="63"/>
  <c r="AJ573" i="63" s="1"/>
  <c r="AH573" i="63"/>
  <c r="AD573" i="63"/>
  <c r="AC573" i="63"/>
  <c r="AE573" i="63" s="1"/>
  <c r="Y573" i="63"/>
  <c r="X573" i="63"/>
  <c r="W573" i="63"/>
  <c r="R573" i="63"/>
  <c r="Q573" i="63"/>
  <c r="O573" i="63"/>
  <c r="N573" i="63"/>
  <c r="T573" i="63" s="1"/>
  <c r="Z573" i="63" s="1"/>
  <c r="I573" i="63"/>
  <c r="BP572" i="63"/>
  <c r="BO572" i="63"/>
  <c r="BQ572" i="63" s="1"/>
  <c r="BM572" i="63"/>
  <c r="BL572" i="63"/>
  <c r="BJ572" i="63"/>
  <c r="BI572" i="63"/>
  <c r="BK572" i="63" s="1"/>
  <c r="BG572" i="63"/>
  <c r="BH572" i="63" s="1"/>
  <c r="BF572" i="63"/>
  <c r="BD572" i="63"/>
  <c r="BC572" i="63"/>
  <c r="BA572" i="63"/>
  <c r="BA570" i="63" s="1"/>
  <c r="AZ572" i="63"/>
  <c r="AX572" i="63"/>
  <c r="AW572" i="63"/>
  <c r="AY572" i="63" s="1"/>
  <c r="AV572" i="63"/>
  <c r="AU572" i="63"/>
  <c r="AT572" i="63"/>
  <c r="AR572" i="63"/>
  <c r="AQ572" i="63"/>
  <c r="AO572" i="63"/>
  <c r="AN572" i="63"/>
  <c r="AL572" i="63"/>
  <c r="AK572" i="63"/>
  <c r="AI572" i="63"/>
  <c r="AJ572" i="63" s="1"/>
  <c r="AH572" i="63"/>
  <c r="AD572" i="63"/>
  <c r="AD570" i="63" s="1"/>
  <c r="AC572" i="63"/>
  <c r="X572" i="63"/>
  <c r="W572" i="63"/>
  <c r="R572" i="63"/>
  <c r="Q572" i="63"/>
  <c r="O572" i="63"/>
  <c r="N572" i="63"/>
  <c r="I572" i="63"/>
  <c r="BP571" i="63"/>
  <c r="BO571" i="63"/>
  <c r="BM571" i="63"/>
  <c r="BL571" i="63"/>
  <c r="BK571" i="63"/>
  <c r="BJ571" i="63"/>
  <c r="BJ570" i="63" s="1"/>
  <c r="BI571" i="63"/>
  <c r="BG571" i="63"/>
  <c r="BF571" i="63"/>
  <c r="BF570" i="63" s="1"/>
  <c r="BD571" i="63"/>
  <c r="BC571" i="63"/>
  <c r="BA571" i="63"/>
  <c r="AZ571" i="63"/>
  <c r="AX571" i="63"/>
  <c r="AY571" i="63" s="1"/>
  <c r="AW571" i="63"/>
  <c r="AU571" i="63"/>
  <c r="AT571" i="63"/>
  <c r="AR571" i="63"/>
  <c r="AQ571" i="63"/>
  <c r="AO571" i="63"/>
  <c r="AN571" i="63"/>
  <c r="AL571" i="63"/>
  <c r="AK571" i="63"/>
  <c r="AM571" i="63" s="1"/>
  <c r="AI571" i="63"/>
  <c r="AH571" i="63"/>
  <c r="AD571" i="63"/>
  <c r="AC571" i="63"/>
  <c r="X571" i="63"/>
  <c r="Y571" i="63" s="1"/>
  <c r="W571" i="63"/>
  <c r="R571" i="63"/>
  <c r="Q571" i="63"/>
  <c r="O571" i="63"/>
  <c r="N571" i="63"/>
  <c r="I571" i="63"/>
  <c r="AK570" i="63"/>
  <c r="H570" i="63"/>
  <c r="G570" i="63"/>
  <c r="AA569" i="63"/>
  <c r="U569" i="63"/>
  <c r="T569" i="63"/>
  <c r="Z569" i="63" s="1"/>
  <c r="L569" i="63"/>
  <c r="K569" i="63"/>
  <c r="M569" i="63" s="1"/>
  <c r="BP568" i="63"/>
  <c r="BQ568" i="63" s="1"/>
  <c r="BO568" i="63"/>
  <c r="BM568" i="63"/>
  <c r="BN568" i="63" s="1"/>
  <c r="BL568" i="63"/>
  <c r="BJ568" i="63"/>
  <c r="BI568" i="63"/>
  <c r="BG568" i="63"/>
  <c r="BF568" i="63"/>
  <c r="BD568" i="63"/>
  <c r="BC568" i="63"/>
  <c r="BA568" i="63"/>
  <c r="AZ568" i="63"/>
  <c r="AX568" i="63"/>
  <c r="AW568" i="63"/>
  <c r="AU568" i="63"/>
  <c r="AT568" i="63"/>
  <c r="AR568" i="63"/>
  <c r="AQ568" i="63"/>
  <c r="AP568" i="63"/>
  <c r="AO568" i="63"/>
  <c r="AN568" i="63"/>
  <c r="AL568" i="63"/>
  <c r="AK568" i="63"/>
  <c r="AI568" i="63"/>
  <c r="AH568" i="63"/>
  <c r="AD568" i="63"/>
  <c r="AC568" i="63"/>
  <c r="X568" i="63"/>
  <c r="Y568" i="63" s="1"/>
  <c r="W568" i="63"/>
  <c r="R568" i="63"/>
  <c r="S568" i="63" s="1"/>
  <c r="Q568" i="63"/>
  <c r="O568" i="63"/>
  <c r="P568" i="63" s="1"/>
  <c r="N568" i="63"/>
  <c r="I568" i="63"/>
  <c r="BP567" i="63"/>
  <c r="BO567" i="63"/>
  <c r="BO468" i="63" s="1"/>
  <c r="BM567" i="63"/>
  <c r="BL567" i="63"/>
  <c r="BN567" i="63" s="1"/>
  <c r="BJ567" i="63"/>
  <c r="BI567" i="63"/>
  <c r="BI468" i="63" s="1"/>
  <c r="BG567" i="63"/>
  <c r="BH567" i="63" s="1"/>
  <c r="BF567" i="63"/>
  <c r="BD567" i="63"/>
  <c r="BC567" i="63"/>
  <c r="BA567" i="63"/>
  <c r="AZ567" i="63"/>
  <c r="AX567" i="63"/>
  <c r="AW567" i="63"/>
  <c r="AU567" i="63"/>
  <c r="AV567" i="63" s="1"/>
  <c r="AT567" i="63"/>
  <c r="AR567" i="63"/>
  <c r="AS567" i="63" s="1"/>
  <c r="AQ567" i="63"/>
  <c r="AO567" i="63"/>
  <c r="AN567" i="63"/>
  <c r="AM567" i="63"/>
  <c r="AL567" i="63"/>
  <c r="AK567" i="63"/>
  <c r="AI567" i="63"/>
  <c r="AH567" i="63"/>
  <c r="AD567" i="63"/>
  <c r="AC567" i="63"/>
  <c r="X567" i="63"/>
  <c r="W567" i="63"/>
  <c r="R567" i="63"/>
  <c r="Q567" i="63"/>
  <c r="O567" i="63"/>
  <c r="N567" i="63"/>
  <c r="I567" i="63"/>
  <c r="BP566" i="63"/>
  <c r="BQ566" i="63" s="1"/>
  <c r="BO566" i="63"/>
  <c r="BM566" i="63"/>
  <c r="BL566" i="63"/>
  <c r="BJ566" i="63"/>
  <c r="BI566" i="63"/>
  <c r="BG566" i="63"/>
  <c r="BF566" i="63"/>
  <c r="BD566" i="63"/>
  <c r="BC566" i="63"/>
  <c r="BA566" i="63"/>
  <c r="AZ566" i="63"/>
  <c r="AX566" i="63"/>
  <c r="AW566" i="63"/>
  <c r="AU566" i="63"/>
  <c r="AT566" i="63"/>
  <c r="AR566" i="63"/>
  <c r="AS566" i="63" s="1"/>
  <c r="AQ566" i="63"/>
  <c r="AO566" i="63"/>
  <c r="AN566" i="63"/>
  <c r="AL566" i="63"/>
  <c r="AK566" i="63"/>
  <c r="AI566" i="63"/>
  <c r="AH566" i="63"/>
  <c r="AD566" i="63"/>
  <c r="AE566" i="63" s="1"/>
  <c r="AC566" i="63"/>
  <c r="X566" i="63"/>
  <c r="W566" i="63"/>
  <c r="R566" i="63"/>
  <c r="Q566" i="63"/>
  <c r="O566" i="63"/>
  <c r="N566" i="63"/>
  <c r="T566" i="63" s="1"/>
  <c r="I566" i="63"/>
  <c r="BP565" i="63"/>
  <c r="BO565" i="63"/>
  <c r="BM565" i="63"/>
  <c r="BL565" i="63"/>
  <c r="BJ565" i="63"/>
  <c r="BK565" i="63" s="1"/>
  <c r="BI565" i="63"/>
  <c r="BG565" i="63"/>
  <c r="BF565" i="63"/>
  <c r="BD565" i="63"/>
  <c r="BC565" i="63"/>
  <c r="BA565" i="63"/>
  <c r="AZ565" i="63"/>
  <c r="AX565" i="63"/>
  <c r="AW565" i="63"/>
  <c r="AU565" i="63"/>
  <c r="AV565" i="63" s="1"/>
  <c r="AT565" i="63"/>
  <c r="AR565" i="63"/>
  <c r="AQ565" i="63"/>
  <c r="AO565" i="63"/>
  <c r="AN565" i="63"/>
  <c r="AM565" i="63"/>
  <c r="AL565" i="63"/>
  <c r="AK565" i="63"/>
  <c r="AI565" i="63"/>
  <c r="AH565" i="63"/>
  <c r="AD565" i="63"/>
  <c r="AC565" i="63"/>
  <c r="AC564" i="63" s="1"/>
  <c r="X565" i="63"/>
  <c r="W565" i="63"/>
  <c r="R565" i="63"/>
  <c r="Q565" i="63"/>
  <c r="O565" i="63"/>
  <c r="N565" i="63"/>
  <c r="I565" i="63"/>
  <c r="H564" i="63"/>
  <c r="G564" i="63"/>
  <c r="U563" i="63"/>
  <c r="AA563" i="63" s="1"/>
  <c r="T563" i="63"/>
  <c r="L563" i="63"/>
  <c r="K563" i="63"/>
  <c r="BP562" i="63"/>
  <c r="BO562" i="63"/>
  <c r="BM562" i="63"/>
  <c r="BN562" i="63" s="1"/>
  <c r="BL562" i="63"/>
  <c r="BJ562" i="63"/>
  <c r="BI562" i="63"/>
  <c r="BG562" i="63"/>
  <c r="BH562" i="63" s="1"/>
  <c r="BF562" i="63"/>
  <c r="BD562" i="63"/>
  <c r="BC562" i="63"/>
  <c r="BA562" i="63"/>
  <c r="AZ562" i="63"/>
  <c r="AX562" i="63"/>
  <c r="AW562" i="63"/>
  <c r="AU562" i="63"/>
  <c r="AT562" i="63"/>
  <c r="AR562" i="63"/>
  <c r="AQ562" i="63"/>
  <c r="AO562" i="63"/>
  <c r="AN562" i="63"/>
  <c r="AP562" i="63" s="1"/>
  <c r="AL562" i="63"/>
  <c r="AK562" i="63"/>
  <c r="AI562" i="63"/>
  <c r="AH562" i="63"/>
  <c r="AD562" i="63"/>
  <c r="AC562" i="63"/>
  <c r="X562" i="63"/>
  <c r="W562" i="63"/>
  <c r="R562" i="63"/>
  <c r="Q562" i="63"/>
  <c r="O562" i="63"/>
  <c r="N562" i="63"/>
  <c r="P562" i="63" s="1"/>
  <c r="I562" i="63"/>
  <c r="BP561" i="63"/>
  <c r="BQ561" i="63" s="1"/>
  <c r="BO561" i="63"/>
  <c r="BM561" i="63"/>
  <c r="BL561" i="63"/>
  <c r="BJ561" i="63"/>
  <c r="BI561" i="63"/>
  <c r="BG561" i="63"/>
  <c r="BH561" i="63" s="1"/>
  <c r="BF561" i="63"/>
  <c r="BD561" i="63"/>
  <c r="BC561" i="63"/>
  <c r="BA561" i="63"/>
  <c r="BB561" i="63" s="1"/>
  <c r="AZ561" i="63"/>
  <c r="AX561" i="63"/>
  <c r="AW561" i="63"/>
  <c r="AU561" i="63"/>
  <c r="AT561" i="63"/>
  <c r="AR561" i="63"/>
  <c r="AQ561" i="63"/>
  <c r="AO561" i="63"/>
  <c r="AN561" i="63"/>
  <c r="AL561" i="63"/>
  <c r="AK561" i="63"/>
  <c r="AM561" i="63" s="1"/>
  <c r="AI561" i="63"/>
  <c r="AJ561" i="63" s="1"/>
  <c r="AH561" i="63"/>
  <c r="AD561" i="63"/>
  <c r="AC561" i="63"/>
  <c r="AE561" i="63" s="1"/>
  <c r="X561" i="63"/>
  <c r="W561" i="63"/>
  <c r="R561" i="63"/>
  <c r="Q561" i="63"/>
  <c r="O561" i="63"/>
  <c r="N561" i="63"/>
  <c r="I561" i="63"/>
  <c r="BP560" i="63"/>
  <c r="BO560" i="63"/>
  <c r="BQ560" i="63" s="1"/>
  <c r="BM560" i="63"/>
  <c r="BN560" i="63" s="1"/>
  <c r="BL560" i="63"/>
  <c r="BJ560" i="63"/>
  <c r="BI560" i="63"/>
  <c r="BK560" i="63" s="1"/>
  <c r="BG560" i="63"/>
  <c r="BF560" i="63"/>
  <c r="BD560" i="63"/>
  <c r="BC560" i="63"/>
  <c r="BA560" i="63"/>
  <c r="BB560" i="63" s="1"/>
  <c r="AZ560" i="63"/>
  <c r="AX560" i="63"/>
  <c r="AY560" i="63" s="1"/>
  <c r="AW560" i="63"/>
  <c r="AU560" i="63"/>
  <c r="AT560" i="63"/>
  <c r="AT558" i="63" s="1"/>
  <c r="AR560" i="63"/>
  <c r="AQ560" i="63"/>
  <c r="AO560" i="63"/>
  <c r="AN560" i="63"/>
  <c r="AL560" i="63"/>
  <c r="AK560" i="63"/>
  <c r="AI560" i="63"/>
  <c r="AH560" i="63"/>
  <c r="AH558" i="63" s="1"/>
  <c r="AD560" i="63"/>
  <c r="AC560" i="63"/>
  <c r="X560" i="63"/>
  <c r="W560" i="63"/>
  <c r="U560" i="63"/>
  <c r="R560" i="63"/>
  <c r="Q560" i="63"/>
  <c r="O560" i="63"/>
  <c r="N560" i="63"/>
  <c r="I560" i="63"/>
  <c r="BP559" i="63"/>
  <c r="BO559" i="63"/>
  <c r="BM559" i="63"/>
  <c r="BL559" i="63"/>
  <c r="BJ559" i="63"/>
  <c r="BI559" i="63"/>
  <c r="BG559" i="63"/>
  <c r="BF559" i="63"/>
  <c r="BD559" i="63"/>
  <c r="BC559" i="63"/>
  <c r="BA559" i="63"/>
  <c r="AZ559" i="63"/>
  <c r="AX559" i="63"/>
  <c r="AW559" i="63"/>
  <c r="AV559" i="63"/>
  <c r="AU559" i="63"/>
  <c r="AT559" i="63"/>
  <c r="AR559" i="63"/>
  <c r="AQ559" i="63"/>
  <c r="AQ558" i="63" s="1"/>
  <c r="AO559" i="63"/>
  <c r="AN559" i="63"/>
  <c r="AL559" i="63"/>
  <c r="AK559" i="63"/>
  <c r="AI559" i="63"/>
  <c r="AH559" i="63"/>
  <c r="AD559" i="63"/>
  <c r="AD558" i="63" s="1"/>
  <c r="AC559" i="63"/>
  <c r="X559" i="63"/>
  <c r="W559" i="63"/>
  <c r="R559" i="63"/>
  <c r="S559" i="63" s="1"/>
  <c r="Q559" i="63"/>
  <c r="O559" i="63"/>
  <c r="N559" i="63"/>
  <c r="I559" i="63"/>
  <c r="BF558" i="63"/>
  <c r="Q558" i="63"/>
  <c r="H558" i="63"/>
  <c r="G558" i="63"/>
  <c r="U557" i="63"/>
  <c r="AA557" i="63" s="1"/>
  <c r="T557" i="63"/>
  <c r="Z557" i="63" s="1"/>
  <c r="M557" i="63"/>
  <c r="L557" i="63"/>
  <c r="K557" i="63"/>
  <c r="BP556" i="63"/>
  <c r="BO556" i="63"/>
  <c r="BM556" i="63"/>
  <c r="BL556" i="63"/>
  <c r="BN556" i="63" s="1"/>
  <c r="BJ556" i="63"/>
  <c r="BK556" i="63" s="1"/>
  <c r="BI556" i="63"/>
  <c r="BG556" i="63"/>
  <c r="BF556" i="63"/>
  <c r="BD556" i="63"/>
  <c r="BC556" i="63"/>
  <c r="BA556" i="63"/>
  <c r="AZ556" i="63"/>
  <c r="AY556" i="63"/>
  <c r="AX556" i="63"/>
  <c r="AW556" i="63"/>
  <c r="AU556" i="63"/>
  <c r="AT556" i="63"/>
  <c r="AR556" i="63"/>
  <c r="AS556" i="63" s="1"/>
  <c r="AQ556" i="63"/>
  <c r="AO556" i="63"/>
  <c r="AN556" i="63"/>
  <c r="AL556" i="63"/>
  <c r="AK556" i="63"/>
  <c r="AI556" i="63"/>
  <c r="AH556" i="63"/>
  <c r="AD556" i="63"/>
  <c r="AC556" i="63"/>
  <c r="X556" i="63"/>
  <c r="W556" i="63"/>
  <c r="Y556" i="63" s="1"/>
  <c r="R556" i="63"/>
  <c r="Q556" i="63"/>
  <c r="O556" i="63"/>
  <c r="N556" i="63"/>
  <c r="I556" i="63"/>
  <c r="BP555" i="63"/>
  <c r="BO555" i="63"/>
  <c r="BM555" i="63"/>
  <c r="BL555" i="63"/>
  <c r="BJ555" i="63"/>
  <c r="BI555" i="63"/>
  <c r="BG555" i="63"/>
  <c r="BG552" i="63" s="1"/>
  <c r="BF555" i="63"/>
  <c r="BD555" i="63"/>
  <c r="BC555" i="63"/>
  <c r="BB555" i="63"/>
  <c r="BA555" i="63"/>
  <c r="AZ555" i="63"/>
  <c r="AX555" i="63"/>
  <c r="AW555" i="63"/>
  <c r="AW454" i="63" s="1"/>
  <c r="AU555" i="63"/>
  <c r="AT555" i="63"/>
  <c r="AR555" i="63"/>
  <c r="AQ555" i="63"/>
  <c r="AQ454" i="63" s="1"/>
  <c r="AO555" i="63"/>
  <c r="AN555" i="63"/>
  <c r="AL555" i="63"/>
  <c r="AK555" i="63"/>
  <c r="AI555" i="63"/>
  <c r="AH555" i="63"/>
  <c r="AD555" i="63"/>
  <c r="AC555" i="63"/>
  <c r="AC454" i="63" s="1"/>
  <c r="X555" i="63"/>
  <c r="W555" i="63"/>
  <c r="R555" i="63"/>
  <c r="Q555" i="63"/>
  <c r="O555" i="63"/>
  <c r="N555" i="63"/>
  <c r="I555" i="63"/>
  <c r="BP554" i="63"/>
  <c r="BO554" i="63"/>
  <c r="BM554" i="63"/>
  <c r="BL554" i="63"/>
  <c r="BN554" i="63" s="1"/>
  <c r="BJ554" i="63"/>
  <c r="BK554" i="63" s="1"/>
  <c r="BI554" i="63"/>
  <c r="BG554" i="63"/>
  <c r="BF554" i="63"/>
  <c r="BD554" i="63"/>
  <c r="BE554" i="63" s="1"/>
  <c r="BC554" i="63"/>
  <c r="BA554" i="63"/>
  <c r="AZ554" i="63"/>
  <c r="AY554" i="63"/>
  <c r="AX554" i="63"/>
  <c r="AW554" i="63"/>
  <c r="AU554" i="63"/>
  <c r="AT554" i="63"/>
  <c r="AT453" i="63" s="1"/>
  <c r="AR554" i="63"/>
  <c r="AQ554" i="63"/>
  <c r="AO554" i="63"/>
  <c r="AN554" i="63"/>
  <c r="AN552" i="63" s="1"/>
  <c r="AL554" i="63"/>
  <c r="AK554" i="63"/>
  <c r="AI554" i="63"/>
  <c r="AH554" i="63"/>
  <c r="AH453" i="63" s="1"/>
  <c r="AD554" i="63"/>
  <c r="AC554" i="63"/>
  <c r="X554" i="63"/>
  <c r="W554" i="63"/>
  <c r="R554" i="63"/>
  <c r="Q554" i="63"/>
  <c r="O554" i="63"/>
  <c r="U554" i="63" s="1"/>
  <c r="N554" i="63"/>
  <c r="I554" i="63"/>
  <c r="BP553" i="63"/>
  <c r="BQ553" i="63" s="1"/>
  <c r="BO553" i="63"/>
  <c r="BM553" i="63"/>
  <c r="BL553" i="63"/>
  <c r="BJ553" i="63"/>
  <c r="BJ452" i="63" s="1"/>
  <c r="BI553" i="63"/>
  <c r="BG553" i="63"/>
  <c r="BF553" i="63"/>
  <c r="BD553" i="63"/>
  <c r="BE553" i="63" s="1"/>
  <c r="BC553" i="63"/>
  <c r="BA553" i="63"/>
  <c r="BB553" i="63" s="1"/>
  <c r="AZ553" i="63"/>
  <c r="AX553" i="63"/>
  <c r="AW553" i="63"/>
  <c r="AU553" i="63"/>
  <c r="AU552" i="63" s="1"/>
  <c r="AT553" i="63"/>
  <c r="AR553" i="63"/>
  <c r="AQ553" i="63"/>
  <c r="AO553" i="63"/>
  <c r="AN553" i="63"/>
  <c r="AL553" i="63"/>
  <c r="AK553" i="63"/>
  <c r="AI553" i="63"/>
  <c r="AH553" i="63"/>
  <c r="AD553" i="63"/>
  <c r="AC553" i="63"/>
  <c r="X553" i="63"/>
  <c r="W553" i="63"/>
  <c r="T553" i="63"/>
  <c r="Z553" i="63" s="1"/>
  <c r="R553" i="63"/>
  <c r="Q553" i="63"/>
  <c r="O553" i="63"/>
  <c r="P553" i="63" s="1"/>
  <c r="N553" i="63"/>
  <c r="K553" i="63"/>
  <c r="I553" i="63"/>
  <c r="BO552" i="63"/>
  <c r="H552" i="63"/>
  <c r="G552" i="63"/>
  <c r="U551" i="63"/>
  <c r="AA551" i="63" s="1"/>
  <c r="T551" i="63"/>
  <c r="Z551" i="63" s="1"/>
  <c r="L551" i="63"/>
  <c r="K551" i="63"/>
  <c r="BQ550" i="63"/>
  <c r="BP550" i="63"/>
  <c r="BO550" i="63"/>
  <c r="BM550" i="63"/>
  <c r="BL550" i="63"/>
  <c r="BJ550" i="63"/>
  <c r="BI550" i="63"/>
  <c r="BG550" i="63"/>
  <c r="BF550" i="63"/>
  <c r="BD550" i="63"/>
  <c r="BC550" i="63"/>
  <c r="BA550" i="63"/>
  <c r="AZ550" i="63"/>
  <c r="AX550" i="63"/>
  <c r="AY550" i="63" s="1"/>
  <c r="AW550" i="63"/>
  <c r="AU550" i="63"/>
  <c r="AV550" i="63" s="1"/>
  <c r="AT550" i="63"/>
  <c r="AR550" i="63"/>
  <c r="AQ550" i="63"/>
  <c r="AO550" i="63"/>
  <c r="AP550" i="63" s="1"/>
  <c r="AN550" i="63"/>
  <c r="AL550" i="63"/>
  <c r="AK550" i="63"/>
  <c r="AI550" i="63"/>
  <c r="AH550" i="63"/>
  <c r="AD550" i="63"/>
  <c r="AC550" i="63"/>
  <c r="X550" i="63"/>
  <c r="W550" i="63"/>
  <c r="R550" i="63"/>
  <c r="Q550" i="63"/>
  <c r="O550" i="63"/>
  <c r="N550" i="63"/>
  <c r="I550" i="63"/>
  <c r="BP549" i="63"/>
  <c r="BO549" i="63"/>
  <c r="BM549" i="63"/>
  <c r="BL549" i="63"/>
  <c r="BN549" i="63" s="1"/>
  <c r="BJ549" i="63"/>
  <c r="BI549" i="63"/>
  <c r="BG549" i="63"/>
  <c r="BF549" i="63"/>
  <c r="BD549" i="63"/>
  <c r="BC549" i="63"/>
  <c r="BA549" i="63"/>
  <c r="AZ549" i="63"/>
  <c r="AY549" i="63"/>
  <c r="AX549" i="63"/>
  <c r="AW549" i="63"/>
  <c r="AU549" i="63"/>
  <c r="AT549" i="63"/>
  <c r="AR549" i="63"/>
  <c r="AQ549" i="63"/>
  <c r="AO549" i="63"/>
  <c r="AN549" i="63"/>
  <c r="AL549" i="63"/>
  <c r="AM549" i="63" s="1"/>
  <c r="AK549" i="63"/>
  <c r="AI549" i="63"/>
  <c r="AH549" i="63"/>
  <c r="AD549" i="63"/>
  <c r="AE549" i="63" s="1"/>
  <c r="AC549" i="63"/>
  <c r="X549" i="63"/>
  <c r="W549" i="63"/>
  <c r="R549" i="63"/>
  <c r="Q549" i="63"/>
  <c r="O549" i="63"/>
  <c r="U549" i="63" s="1"/>
  <c r="N549" i="63"/>
  <c r="I549" i="63"/>
  <c r="BP548" i="63"/>
  <c r="BO548" i="63"/>
  <c r="BM548" i="63"/>
  <c r="BL548" i="63"/>
  <c r="BJ548" i="63"/>
  <c r="BI548" i="63"/>
  <c r="BH548" i="63"/>
  <c r="BG548" i="63"/>
  <c r="BF548" i="63"/>
  <c r="BD548" i="63"/>
  <c r="BC548" i="63"/>
  <c r="BA548" i="63"/>
  <c r="AZ548" i="63"/>
  <c r="AX548" i="63"/>
  <c r="AW548" i="63"/>
  <c r="AU548" i="63"/>
  <c r="AT548" i="63"/>
  <c r="AR548" i="63"/>
  <c r="AQ548" i="63"/>
  <c r="AO548" i="63"/>
  <c r="AN548" i="63"/>
  <c r="AL548" i="63"/>
  <c r="AK548" i="63"/>
  <c r="AI548" i="63"/>
  <c r="AH548" i="63"/>
  <c r="AJ548" i="63" s="1"/>
  <c r="AD548" i="63"/>
  <c r="AE548" i="63" s="1"/>
  <c r="AC548" i="63"/>
  <c r="X548" i="63"/>
  <c r="W548" i="63"/>
  <c r="S548" i="63"/>
  <c r="R548" i="63"/>
  <c r="Q548" i="63"/>
  <c r="O548" i="63"/>
  <c r="N548" i="63"/>
  <c r="T548" i="63" s="1"/>
  <c r="I548" i="63"/>
  <c r="BP547" i="63"/>
  <c r="BO547" i="63"/>
  <c r="BN547" i="63"/>
  <c r="BM547" i="63"/>
  <c r="BL547" i="63"/>
  <c r="BJ547" i="63"/>
  <c r="BI547" i="63"/>
  <c r="BG547" i="63"/>
  <c r="BF547" i="63"/>
  <c r="BD547" i="63"/>
  <c r="BC547" i="63"/>
  <c r="BA547" i="63"/>
  <c r="AZ547" i="63"/>
  <c r="AX547" i="63"/>
  <c r="AW547" i="63"/>
  <c r="AU547" i="63"/>
  <c r="AT547" i="63"/>
  <c r="AR547" i="63"/>
  <c r="AR546" i="63" s="1"/>
  <c r="AS546" i="63" s="1"/>
  <c r="AQ547" i="63"/>
  <c r="AQ546" i="63" s="1"/>
  <c r="AO547" i="63"/>
  <c r="AP547" i="63" s="1"/>
  <c r="AN547" i="63"/>
  <c r="AL547" i="63"/>
  <c r="AK547" i="63"/>
  <c r="AM547" i="63" s="1"/>
  <c r="AI547" i="63"/>
  <c r="AH547" i="63"/>
  <c r="AD547" i="63"/>
  <c r="AC547" i="63"/>
  <c r="AC546" i="63" s="1"/>
  <c r="X547" i="63"/>
  <c r="Y547" i="63" s="1"/>
  <c r="W547" i="63"/>
  <c r="R547" i="63"/>
  <c r="R546" i="63" s="1"/>
  <c r="Q547" i="63"/>
  <c r="O547" i="63"/>
  <c r="N547" i="63"/>
  <c r="I547" i="63"/>
  <c r="BP546" i="63"/>
  <c r="H546" i="63"/>
  <c r="H445" i="63" s="1"/>
  <c r="G546" i="63"/>
  <c r="BQ544" i="63"/>
  <c r="BN544" i="63"/>
  <c r="BK544" i="63"/>
  <c r="BH544" i="63"/>
  <c r="BE544" i="63"/>
  <c r="BB544" i="63"/>
  <c r="AY544" i="63"/>
  <c r="AV544" i="63"/>
  <c r="AS544" i="63"/>
  <c r="AP544" i="63"/>
  <c r="AM544" i="63"/>
  <c r="AJ544" i="63"/>
  <c r="AE544" i="63"/>
  <c r="Y544" i="63"/>
  <c r="V544" i="63"/>
  <c r="U544" i="63"/>
  <c r="AA544" i="63" s="1"/>
  <c r="T544" i="63"/>
  <c r="Z544" i="63" s="1"/>
  <c r="S544" i="63"/>
  <c r="P544" i="63"/>
  <c r="L544" i="63"/>
  <c r="K544" i="63"/>
  <c r="I544" i="63"/>
  <c r="D543" i="63"/>
  <c r="U542" i="63"/>
  <c r="T542" i="63"/>
  <c r="Z542" i="63" s="1"/>
  <c r="L542" i="63"/>
  <c r="K542" i="63"/>
  <c r="M542" i="63" s="1"/>
  <c r="BP541" i="63"/>
  <c r="BO541" i="63"/>
  <c r="BM541" i="63"/>
  <c r="BL541" i="63"/>
  <c r="BN541" i="63" s="1"/>
  <c r="BJ541" i="63"/>
  <c r="BI541" i="63"/>
  <c r="BG541" i="63"/>
  <c r="BF541" i="63"/>
  <c r="BD541" i="63"/>
  <c r="BC541" i="63"/>
  <c r="BA541" i="63"/>
  <c r="AZ541" i="63"/>
  <c r="AX541" i="63"/>
  <c r="AW541" i="63"/>
  <c r="AU541" i="63"/>
  <c r="AT541" i="63"/>
  <c r="AT475" i="63" s="1"/>
  <c r="AR541" i="63"/>
  <c r="AQ541" i="63"/>
  <c r="AO541" i="63"/>
  <c r="AN541" i="63"/>
  <c r="AL541" i="63"/>
  <c r="AK541" i="63"/>
  <c r="AI541" i="63"/>
  <c r="AH541" i="63"/>
  <c r="AD541" i="63"/>
  <c r="AE541" i="63" s="1"/>
  <c r="AC541" i="63"/>
  <c r="X541" i="63"/>
  <c r="W541" i="63"/>
  <c r="T541" i="63"/>
  <c r="R541" i="63"/>
  <c r="Q541" i="63"/>
  <c r="P541" i="63"/>
  <c r="O541" i="63"/>
  <c r="N541" i="63"/>
  <c r="I541" i="63"/>
  <c r="BP540" i="63"/>
  <c r="BP537" i="63" s="1"/>
  <c r="BO540" i="63"/>
  <c r="BM540" i="63"/>
  <c r="BL540" i="63"/>
  <c r="BJ540" i="63"/>
  <c r="BK540" i="63" s="1"/>
  <c r="BI540" i="63"/>
  <c r="BG540" i="63"/>
  <c r="BF540" i="63"/>
  <c r="BD540" i="63"/>
  <c r="BC540" i="63"/>
  <c r="BA540" i="63"/>
  <c r="AZ540" i="63"/>
  <c r="AX540" i="63"/>
  <c r="AW540" i="63"/>
  <c r="AU540" i="63"/>
  <c r="AT540" i="63"/>
  <c r="AR540" i="63"/>
  <c r="AQ540" i="63"/>
  <c r="AO540" i="63"/>
  <c r="AN540" i="63"/>
  <c r="AM540" i="63"/>
  <c r="AL540" i="63"/>
  <c r="AK540" i="63"/>
  <c r="AI540" i="63"/>
  <c r="AH540" i="63"/>
  <c r="AD540" i="63"/>
  <c r="AC540" i="63"/>
  <c r="X540" i="63"/>
  <c r="W540" i="63"/>
  <c r="W537" i="63" s="1"/>
  <c r="R540" i="63"/>
  <c r="Q540" i="63"/>
  <c r="O540" i="63"/>
  <c r="N540" i="63"/>
  <c r="I540" i="63"/>
  <c r="BP539" i="63"/>
  <c r="BO539" i="63"/>
  <c r="BQ539" i="63" s="1"/>
  <c r="BM539" i="63"/>
  <c r="BN539" i="63" s="1"/>
  <c r="BL539" i="63"/>
  <c r="BJ539" i="63"/>
  <c r="BI539" i="63"/>
  <c r="BG539" i="63"/>
  <c r="BG473" i="63" s="1"/>
  <c r="BF539" i="63"/>
  <c r="BD539" i="63"/>
  <c r="BC539" i="63"/>
  <c r="BA539" i="63"/>
  <c r="AZ539" i="63"/>
  <c r="AX539" i="63"/>
  <c r="AW539" i="63"/>
  <c r="AV539" i="63"/>
  <c r="AU539" i="63"/>
  <c r="AT539" i="63"/>
  <c r="AR539" i="63"/>
  <c r="AQ539" i="63"/>
  <c r="AO539" i="63"/>
  <c r="AN539" i="63"/>
  <c r="AL539" i="63"/>
  <c r="AK539" i="63"/>
  <c r="AI539" i="63"/>
  <c r="AJ539" i="63" s="1"/>
  <c r="AH539" i="63"/>
  <c r="AD539" i="63"/>
  <c r="AE539" i="63" s="1"/>
  <c r="AC539" i="63"/>
  <c r="X539" i="63"/>
  <c r="W539" i="63"/>
  <c r="Y539" i="63" s="1"/>
  <c r="R539" i="63"/>
  <c r="S539" i="63" s="1"/>
  <c r="Q539" i="63"/>
  <c r="O539" i="63"/>
  <c r="N539" i="63"/>
  <c r="I539" i="63"/>
  <c r="BP538" i="63"/>
  <c r="BO538" i="63"/>
  <c r="BM538" i="63"/>
  <c r="BL538" i="63"/>
  <c r="BK538" i="63"/>
  <c r="BJ538" i="63"/>
  <c r="BI538" i="63"/>
  <c r="BG538" i="63"/>
  <c r="BF538" i="63"/>
  <c r="BD538" i="63"/>
  <c r="BC538" i="63"/>
  <c r="BA538" i="63"/>
  <c r="BB538" i="63" s="1"/>
  <c r="AZ538" i="63"/>
  <c r="AX538" i="63"/>
  <c r="AW538" i="63"/>
  <c r="AU538" i="63"/>
  <c r="AT538" i="63"/>
  <c r="AR538" i="63"/>
  <c r="AQ538" i="63"/>
  <c r="AP538" i="63"/>
  <c r="AO538" i="63"/>
  <c r="AN538" i="63"/>
  <c r="AL538" i="63"/>
  <c r="AK538" i="63"/>
  <c r="AI538" i="63"/>
  <c r="AH538" i="63"/>
  <c r="AD538" i="63"/>
  <c r="AC538" i="63"/>
  <c r="X538" i="63"/>
  <c r="W538" i="63"/>
  <c r="R538" i="63"/>
  <c r="Q538" i="63"/>
  <c r="T538" i="63" s="1"/>
  <c r="Z538" i="63" s="1"/>
  <c r="O538" i="63"/>
  <c r="U538" i="63" s="1"/>
  <c r="N538" i="63"/>
  <c r="I538" i="63"/>
  <c r="AW537" i="63"/>
  <c r="N537" i="63"/>
  <c r="H537" i="63"/>
  <c r="G537" i="63"/>
  <c r="U536" i="63"/>
  <c r="T536" i="63"/>
  <c r="Z536" i="63" s="1"/>
  <c r="L536" i="63"/>
  <c r="K536" i="63"/>
  <c r="BP535" i="63"/>
  <c r="BO535" i="63"/>
  <c r="BM535" i="63"/>
  <c r="BL535" i="63"/>
  <c r="BJ535" i="63"/>
  <c r="BI535" i="63"/>
  <c r="BG535" i="63"/>
  <c r="BF535" i="63"/>
  <c r="BH535" i="63" s="1"/>
  <c r="BD535" i="63"/>
  <c r="BC535" i="63"/>
  <c r="BA535" i="63"/>
  <c r="AZ535" i="63"/>
  <c r="BB535" i="63" s="1"/>
  <c r="AX535" i="63"/>
  <c r="AW535" i="63"/>
  <c r="AW531" i="63" s="1"/>
  <c r="AU535" i="63"/>
  <c r="AT535" i="63"/>
  <c r="AV535" i="63" s="1"/>
  <c r="AR535" i="63"/>
  <c r="AQ535" i="63"/>
  <c r="AO535" i="63"/>
  <c r="AN535" i="63"/>
  <c r="AL535" i="63"/>
  <c r="AK535" i="63"/>
  <c r="AI535" i="63"/>
  <c r="AH535" i="63"/>
  <c r="AD535" i="63"/>
  <c r="AC535" i="63"/>
  <c r="AE535" i="63" s="1"/>
  <c r="X535" i="63"/>
  <c r="W535" i="63"/>
  <c r="R535" i="63"/>
  <c r="Q535" i="63"/>
  <c r="O535" i="63"/>
  <c r="N535" i="63"/>
  <c r="I535" i="63"/>
  <c r="BP534" i="63"/>
  <c r="BO534" i="63"/>
  <c r="BM534" i="63"/>
  <c r="BL534" i="63"/>
  <c r="BJ534" i="63"/>
  <c r="BK534" i="63" s="1"/>
  <c r="BI534" i="63"/>
  <c r="BG534" i="63"/>
  <c r="BH534" i="63" s="1"/>
  <c r="BF534" i="63"/>
  <c r="BD534" i="63"/>
  <c r="BE534" i="63" s="1"/>
  <c r="BC534" i="63"/>
  <c r="BA534" i="63"/>
  <c r="AZ534" i="63"/>
  <c r="AX534" i="63"/>
  <c r="AW534" i="63"/>
  <c r="AU534" i="63"/>
  <c r="AV534" i="63" s="1"/>
  <c r="AT534" i="63"/>
  <c r="AR534" i="63"/>
  <c r="AQ534" i="63"/>
  <c r="AO534" i="63"/>
  <c r="AO468" i="63" s="1"/>
  <c r="AN534" i="63"/>
  <c r="AL534" i="63"/>
  <c r="AK534" i="63"/>
  <c r="AM534" i="63" s="1"/>
  <c r="AI534" i="63"/>
  <c r="AH534" i="63"/>
  <c r="AD534" i="63"/>
  <c r="AC534" i="63"/>
  <c r="X534" i="63"/>
  <c r="Y534" i="63" s="1"/>
  <c r="W534" i="63"/>
  <c r="R534" i="63"/>
  <c r="Q534" i="63"/>
  <c r="O534" i="63"/>
  <c r="N534" i="63"/>
  <c r="I534" i="63"/>
  <c r="BP533" i="63"/>
  <c r="BQ533" i="63" s="1"/>
  <c r="BO533" i="63"/>
  <c r="BM533" i="63"/>
  <c r="BN533" i="63" s="1"/>
  <c r="BL533" i="63"/>
  <c r="BJ533" i="63"/>
  <c r="BK533" i="63" s="1"/>
  <c r="BI533" i="63"/>
  <c r="BG533" i="63"/>
  <c r="BF533" i="63"/>
  <c r="BD533" i="63"/>
  <c r="BC533" i="63"/>
  <c r="BA533" i="63"/>
  <c r="AZ533" i="63"/>
  <c r="AX533" i="63"/>
  <c r="AW533" i="63"/>
  <c r="AU533" i="63"/>
  <c r="AT533" i="63"/>
  <c r="AR533" i="63"/>
  <c r="AS533" i="63" s="1"/>
  <c r="AQ533" i="63"/>
  <c r="AO533" i="63"/>
  <c r="AN533" i="63"/>
  <c r="AL533" i="63"/>
  <c r="AK533" i="63"/>
  <c r="AI533" i="63"/>
  <c r="AH533" i="63"/>
  <c r="AD533" i="63"/>
  <c r="AE533" i="63" s="1"/>
  <c r="AC533" i="63"/>
  <c r="X533" i="63"/>
  <c r="Y533" i="63" s="1"/>
  <c r="W533" i="63"/>
  <c r="R533" i="63"/>
  <c r="Q533" i="63"/>
  <c r="O533" i="63"/>
  <c r="N533" i="63"/>
  <c r="I533" i="63"/>
  <c r="BP532" i="63"/>
  <c r="BO532" i="63"/>
  <c r="BM532" i="63"/>
  <c r="BL532" i="63"/>
  <c r="BJ532" i="63"/>
  <c r="BI532" i="63"/>
  <c r="BK532" i="63" s="1"/>
  <c r="BG532" i="63"/>
  <c r="BF532" i="63"/>
  <c r="BF466" i="63" s="1"/>
  <c r="BD532" i="63"/>
  <c r="BC532" i="63"/>
  <c r="BC466" i="63" s="1"/>
  <c r="BA532" i="63"/>
  <c r="AZ532" i="63"/>
  <c r="AX532" i="63"/>
  <c r="AY532" i="63" s="1"/>
  <c r="AW532" i="63"/>
  <c r="AU532" i="63"/>
  <c r="AT532" i="63"/>
  <c r="AR532" i="63"/>
  <c r="AQ532" i="63"/>
  <c r="AO532" i="63"/>
  <c r="AN532" i="63"/>
  <c r="AL532" i="63"/>
  <c r="AM532" i="63" s="1"/>
  <c r="AK532" i="63"/>
  <c r="AJ532" i="63"/>
  <c r="AI532" i="63"/>
  <c r="AH532" i="63"/>
  <c r="AD532" i="63"/>
  <c r="AC532" i="63"/>
  <c r="X532" i="63"/>
  <c r="X531" i="63" s="1"/>
  <c r="W532" i="63"/>
  <c r="R532" i="63"/>
  <c r="Q532" i="63"/>
  <c r="O532" i="63"/>
  <c r="N532" i="63"/>
  <c r="I532" i="63"/>
  <c r="BJ531" i="63"/>
  <c r="AL531" i="63"/>
  <c r="H531" i="63"/>
  <c r="G531" i="63"/>
  <c r="U530" i="63"/>
  <c r="AA530" i="63" s="1"/>
  <c r="T530" i="63"/>
  <c r="L530" i="63"/>
  <c r="K530" i="63"/>
  <c r="BP529" i="63"/>
  <c r="BO529" i="63"/>
  <c r="BQ529" i="63" s="1"/>
  <c r="BM529" i="63"/>
  <c r="BL529" i="63"/>
  <c r="BJ529" i="63"/>
  <c r="BI529" i="63"/>
  <c r="BK529" i="63" s="1"/>
  <c r="BG529" i="63"/>
  <c r="BF529" i="63"/>
  <c r="BD529" i="63"/>
  <c r="BC529" i="63"/>
  <c r="BE529" i="63" s="1"/>
  <c r="BA529" i="63"/>
  <c r="AZ529" i="63"/>
  <c r="AX529" i="63"/>
  <c r="AY529" i="63" s="1"/>
  <c r="AW529" i="63"/>
  <c r="AU529" i="63"/>
  <c r="AT529" i="63"/>
  <c r="AR529" i="63"/>
  <c r="AQ529" i="63"/>
  <c r="AO529" i="63"/>
  <c r="AP529" i="63" s="1"/>
  <c r="AN529" i="63"/>
  <c r="AL529" i="63"/>
  <c r="AK529" i="63"/>
  <c r="AI529" i="63"/>
  <c r="AH529" i="63"/>
  <c r="AD529" i="63"/>
  <c r="X529" i="63"/>
  <c r="R529" i="63"/>
  <c r="O529" i="63"/>
  <c r="N529" i="63"/>
  <c r="I529" i="63"/>
  <c r="BP528" i="63"/>
  <c r="BQ528" i="63" s="1"/>
  <c r="BO528" i="63"/>
  <c r="BM528" i="63"/>
  <c r="BL528" i="63"/>
  <c r="BJ528" i="63"/>
  <c r="BI528" i="63"/>
  <c r="BG528" i="63"/>
  <c r="BH528" i="63" s="1"/>
  <c r="BF528" i="63"/>
  <c r="BD528" i="63"/>
  <c r="BC528" i="63"/>
  <c r="BA528" i="63"/>
  <c r="AZ528" i="63"/>
  <c r="AX528" i="63"/>
  <c r="AX460" i="63" s="1"/>
  <c r="AW528" i="63"/>
  <c r="AU528" i="63"/>
  <c r="AV528" i="63" s="1"/>
  <c r="AT528" i="63"/>
  <c r="AS528" i="63"/>
  <c r="AR528" i="63"/>
  <c r="AQ528" i="63"/>
  <c r="AO528" i="63"/>
  <c r="AN528" i="63"/>
  <c r="AL528" i="63"/>
  <c r="AK528" i="63"/>
  <c r="AM528" i="63" s="1"/>
  <c r="AI528" i="63"/>
  <c r="AD528" i="63"/>
  <c r="X528" i="63"/>
  <c r="R528" i="63"/>
  <c r="O528" i="63"/>
  <c r="I528" i="63"/>
  <c r="BP527" i="63"/>
  <c r="BO527" i="63"/>
  <c r="BQ527" i="63" s="1"/>
  <c r="BM527" i="63"/>
  <c r="BL527" i="63"/>
  <c r="BJ527" i="63"/>
  <c r="BI527" i="63"/>
  <c r="BG527" i="63"/>
  <c r="BF527" i="63"/>
  <c r="BD527" i="63"/>
  <c r="BC527" i="63"/>
  <c r="BA527" i="63"/>
  <c r="AZ527" i="63"/>
  <c r="BB527" i="63" s="1"/>
  <c r="AX527" i="63"/>
  <c r="AW527" i="63"/>
  <c r="AU527" i="63"/>
  <c r="AT527" i="63"/>
  <c r="AR527" i="63"/>
  <c r="AQ527" i="63"/>
  <c r="AO527" i="63"/>
  <c r="AP527" i="63" s="1"/>
  <c r="AN527" i="63"/>
  <c r="AL527" i="63"/>
  <c r="AK527" i="63"/>
  <c r="AI527" i="63"/>
  <c r="AH527" i="63"/>
  <c r="AD527" i="63"/>
  <c r="AD459" i="63" s="1"/>
  <c r="X527" i="63"/>
  <c r="R527" i="63"/>
  <c r="R459" i="63" s="1"/>
  <c r="O527" i="63"/>
  <c r="N527" i="63"/>
  <c r="I527" i="63"/>
  <c r="BP526" i="63"/>
  <c r="BO526" i="63"/>
  <c r="BM526" i="63"/>
  <c r="BL526" i="63"/>
  <c r="BJ526" i="63"/>
  <c r="BI526" i="63"/>
  <c r="BG526" i="63"/>
  <c r="BF526" i="63"/>
  <c r="BD526" i="63"/>
  <c r="BC526" i="63"/>
  <c r="BA526" i="63"/>
  <c r="AZ526" i="63"/>
  <c r="AX526" i="63"/>
  <c r="AW526" i="63"/>
  <c r="AU526" i="63"/>
  <c r="AT526" i="63"/>
  <c r="AR526" i="63"/>
  <c r="AQ526" i="63"/>
  <c r="AO526" i="63"/>
  <c r="AN526" i="63"/>
  <c r="AL526" i="63"/>
  <c r="AK526" i="63"/>
  <c r="AI526" i="63"/>
  <c r="AH526" i="63"/>
  <c r="AD526" i="63"/>
  <c r="AC526" i="63"/>
  <c r="X526" i="63"/>
  <c r="W526" i="63"/>
  <c r="R526" i="63"/>
  <c r="S526" i="63" s="1"/>
  <c r="Q526" i="63"/>
  <c r="O526" i="63"/>
  <c r="N526" i="63"/>
  <c r="I526" i="63"/>
  <c r="AX525" i="63"/>
  <c r="H525" i="63"/>
  <c r="G525" i="63"/>
  <c r="U524" i="63"/>
  <c r="AA524" i="63" s="1"/>
  <c r="AB524" i="63" s="1"/>
  <c r="T524" i="63"/>
  <c r="Z524" i="63" s="1"/>
  <c r="L524" i="63"/>
  <c r="K524" i="63"/>
  <c r="BP523" i="63"/>
  <c r="BO523" i="63"/>
  <c r="BM523" i="63"/>
  <c r="BL523" i="63"/>
  <c r="BJ523" i="63"/>
  <c r="BI523" i="63"/>
  <c r="BG523" i="63"/>
  <c r="BF523" i="63"/>
  <c r="BD523" i="63"/>
  <c r="BC523" i="63"/>
  <c r="BA523" i="63"/>
  <c r="AZ523" i="63"/>
  <c r="AX523" i="63"/>
  <c r="AX455" i="63" s="1"/>
  <c r="AW523" i="63"/>
  <c r="AU523" i="63"/>
  <c r="AV523" i="63" s="1"/>
  <c r="AT523" i="63"/>
  <c r="AR523" i="63"/>
  <c r="AS523" i="63" s="1"/>
  <c r="AQ523" i="63"/>
  <c r="AO523" i="63"/>
  <c r="AN523" i="63"/>
  <c r="AM523" i="63"/>
  <c r="AL523" i="63"/>
  <c r="AK523" i="63"/>
  <c r="AI523" i="63"/>
  <c r="AH523" i="63"/>
  <c r="AD523" i="63"/>
  <c r="AC523" i="63"/>
  <c r="X523" i="63"/>
  <c r="W523" i="63"/>
  <c r="W455" i="63" s="1"/>
  <c r="R523" i="63"/>
  <c r="Q523" i="63"/>
  <c r="O523" i="63"/>
  <c r="U523" i="63" s="1"/>
  <c r="N523" i="63"/>
  <c r="I523" i="63"/>
  <c r="BP522" i="63"/>
  <c r="BO522" i="63"/>
  <c r="BM522" i="63"/>
  <c r="BL522" i="63"/>
  <c r="BJ522" i="63"/>
  <c r="BI522" i="63"/>
  <c r="BG522" i="63"/>
  <c r="BF522" i="63"/>
  <c r="BD522" i="63"/>
  <c r="BE522" i="63" s="1"/>
  <c r="BC522" i="63"/>
  <c r="BA522" i="63"/>
  <c r="AZ522" i="63"/>
  <c r="AX522" i="63"/>
  <c r="AW522" i="63"/>
  <c r="AU522" i="63"/>
  <c r="AT522" i="63"/>
  <c r="AR522" i="63"/>
  <c r="AQ522" i="63"/>
  <c r="AO522" i="63"/>
  <c r="AN522" i="63"/>
  <c r="AN519" i="63" s="1"/>
  <c r="AL522" i="63"/>
  <c r="AK522" i="63"/>
  <c r="AI522" i="63"/>
  <c r="AH522" i="63"/>
  <c r="AD522" i="63"/>
  <c r="AE522" i="63" s="1"/>
  <c r="AC522" i="63"/>
  <c r="X522" i="63"/>
  <c r="W522" i="63"/>
  <c r="R522" i="63"/>
  <c r="Q522" i="63"/>
  <c r="O522" i="63"/>
  <c r="U522" i="63" s="1"/>
  <c r="N522" i="63"/>
  <c r="T522" i="63" s="1"/>
  <c r="I522" i="63"/>
  <c r="BP521" i="63"/>
  <c r="BO521" i="63"/>
  <c r="BM521" i="63"/>
  <c r="BL521" i="63"/>
  <c r="BN521" i="63" s="1"/>
  <c r="BJ521" i="63"/>
  <c r="BI521" i="63"/>
  <c r="BI453" i="63" s="1"/>
  <c r="BG521" i="63"/>
  <c r="BF521" i="63"/>
  <c r="BD521" i="63"/>
  <c r="BC521" i="63"/>
  <c r="BA521" i="63"/>
  <c r="AZ521" i="63"/>
  <c r="AX521" i="63"/>
  <c r="AW521" i="63"/>
  <c r="AU521" i="63"/>
  <c r="AT521" i="63"/>
  <c r="AR521" i="63"/>
  <c r="AQ521" i="63"/>
  <c r="AQ519" i="63" s="1"/>
  <c r="AO521" i="63"/>
  <c r="AN521" i="63"/>
  <c r="AL521" i="63"/>
  <c r="AM521" i="63" s="1"/>
  <c r="AK521" i="63"/>
  <c r="AI521" i="63"/>
  <c r="AH521" i="63"/>
  <c r="AD521" i="63"/>
  <c r="AC521" i="63"/>
  <c r="X521" i="63"/>
  <c r="Y521" i="63" s="1"/>
  <c r="W521" i="63"/>
  <c r="U521" i="63"/>
  <c r="R521" i="63"/>
  <c r="Q521" i="63"/>
  <c r="O521" i="63"/>
  <c r="N521" i="63"/>
  <c r="I521" i="63"/>
  <c r="BP520" i="63"/>
  <c r="BO520" i="63"/>
  <c r="BM520" i="63"/>
  <c r="BL520" i="63"/>
  <c r="BJ520" i="63"/>
  <c r="BI520" i="63"/>
  <c r="BG520" i="63"/>
  <c r="BF520" i="63"/>
  <c r="BD520" i="63"/>
  <c r="BC520" i="63"/>
  <c r="BA520" i="63"/>
  <c r="BB520" i="63" s="1"/>
  <c r="AZ520" i="63"/>
  <c r="AX520" i="63"/>
  <c r="AW520" i="63"/>
  <c r="AU520" i="63"/>
  <c r="AT520" i="63"/>
  <c r="AR520" i="63"/>
  <c r="AS520" i="63" s="1"/>
  <c r="AQ520" i="63"/>
  <c r="AO520" i="63"/>
  <c r="AN520" i="63"/>
  <c r="AL520" i="63"/>
  <c r="AL452" i="63" s="1"/>
  <c r="AK520" i="63"/>
  <c r="AI520" i="63"/>
  <c r="AI452" i="63" s="1"/>
  <c r="AH520" i="63"/>
  <c r="AE520" i="63"/>
  <c r="AD520" i="63"/>
  <c r="AD519" i="63" s="1"/>
  <c r="AC520" i="63"/>
  <c r="X520" i="63"/>
  <c r="W520" i="63"/>
  <c r="R520" i="63"/>
  <c r="Q520" i="63"/>
  <c r="S520" i="63" s="1"/>
  <c r="O520" i="63"/>
  <c r="N520" i="63"/>
  <c r="L520" i="63"/>
  <c r="I520" i="63"/>
  <c r="AU519" i="63"/>
  <c r="R519" i="63"/>
  <c r="H519" i="63"/>
  <c r="G519" i="63"/>
  <c r="U518" i="63"/>
  <c r="AA518" i="63" s="1"/>
  <c r="T518" i="63"/>
  <c r="L518" i="63"/>
  <c r="M518" i="63" s="1"/>
  <c r="K518" i="63"/>
  <c r="BP517" i="63"/>
  <c r="BO517" i="63"/>
  <c r="BM517" i="63"/>
  <c r="BL517" i="63"/>
  <c r="BJ517" i="63"/>
  <c r="BJ449" i="63" s="1"/>
  <c r="BI517" i="63"/>
  <c r="BG517" i="63"/>
  <c r="BH517" i="63" s="1"/>
  <c r="BF517" i="63"/>
  <c r="BD517" i="63"/>
  <c r="BC517" i="63"/>
  <c r="BA517" i="63"/>
  <c r="BB517" i="63" s="1"/>
  <c r="AZ517" i="63"/>
  <c r="AX517" i="63"/>
  <c r="AW517" i="63"/>
  <c r="AU517" i="63"/>
  <c r="AT517" i="63"/>
  <c r="AR517" i="63"/>
  <c r="AS517" i="63" s="1"/>
  <c r="AQ517" i="63"/>
  <c r="AO517" i="63"/>
  <c r="AN517" i="63"/>
  <c r="AL517" i="63"/>
  <c r="AL449" i="63" s="1"/>
  <c r="AK517" i="63"/>
  <c r="AI517" i="63"/>
  <c r="AH517" i="63"/>
  <c r="AJ517" i="63" s="1"/>
  <c r="AD517" i="63"/>
  <c r="AC517" i="63"/>
  <c r="X517" i="63"/>
  <c r="W517" i="63"/>
  <c r="Y517" i="63" s="1"/>
  <c r="R517" i="63"/>
  <c r="Q517" i="63"/>
  <c r="Q449" i="63" s="1"/>
  <c r="O517" i="63"/>
  <c r="N517" i="63"/>
  <c r="N513" i="63" s="1"/>
  <c r="I517" i="63"/>
  <c r="BP516" i="63"/>
  <c r="BO516" i="63"/>
  <c r="BM516" i="63"/>
  <c r="BL516" i="63"/>
  <c r="BJ516" i="63"/>
  <c r="BI516" i="63"/>
  <c r="BG516" i="63"/>
  <c r="BF516" i="63"/>
  <c r="BD516" i="63"/>
  <c r="BC516" i="63"/>
  <c r="BA516" i="63"/>
  <c r="BB516" i="63" s="1"/>
  <c r="AZ516" i="63"/>
  <c r="AX516" i="63"/>
  <c r="AW516" i="63"/>
  <c r="AU516" i="63"/>
  <c r="AT516" i="63"/>
  <c r="AR516" i="63"/>
  <c r="AQ516" i="63"/>
  <c r="AO516" i="63"/>
  <c r="AP516" i="63" s="1"/>
  <c r="AN516" i="63"/>
  <c r="AL516" i="63"/>
  <c r="AK516" i="63"/>
  <c r="AI516" i="63"/>
  <c r="AJ516" i="63" s="1"/>
  <c r="AH516" i="63"/>
  <c r="AD516" i="63"/>
  <c r="AC516" i="63"/>
  <c r="X516" i="63"/>
  <c r="W516" i="63"/>
  <c r="R516" i="63"/>
  <c r="Q516" i="63"/>
  <c r="O516" i="63"/>
  <c r="P516" i="63" s="1"/>
  <c r="N516" i="63"/>
  <c r="I516" i="63"/>
  <c r="BP515" i="63"/>
  <c r="BO515" i="63"/>
  <c r="BM515" i="63"/>
  <c r="BL515" i="63"/>
  <c r="BJ515" i="63"/>
  <c r="BI515" i="63"/>
  <c r="BK515" i="63" s="1"/>
  <c r="BG515" i="63"/>
  <c r="BF515" i="63"/>
  <c r="BD515" i="63"/>
  <c r="BE515" i="63" s="1"/>
  <c r="BC515" i="63"/>
  <c r="BA515" i="63"/>
  <c r="AZ515" i="63"/>
  <c r="AX515" i="63"/>
  <c r="AW515" i="63"/>
  <c r="AU515" i="63"/>
  <c r="AV515" i="63" s="1"/>
  <c r="AT515" i="63"/>
  <c r="AR515" i="63"/>
  <c r="AQ515" i="63"/>
  <c r="AO515" i="63"/>
  <c r="AN515" i="63"/>
  <c r="AL515" i="63"/>
  <c r="AK515" i="63"/>
  <c r="AI515" i="63"/>
  <c r="AH515" i="63"/>
  <c r="AJ515" i="63" s="1"/>
  <c r="AD515" i="63"/>
  <c r="AC515" i="63"/>
  <c r="X515" i="63"/>
  <c r="W515" i="63"/>
  <c r="R515" i="63"/>
  <c r="S515" i="63" s="1"/>
  <c r="Q515" i="63"/>
  <c r="O515" i="63"/>
  <c r="N515" i="63"/>
  <c r="I515" i="63"/>
  <c r="BP514" i="63"/>
  <c r="BO514" i="63"/>
  <c r="BM514" i="63"/>
  <c r="BN514" i="63" s="1"/>
  <c r="BL514" i="63"/>
  <c r="BJ514" i="63"/>
  <c r="BK514" i="63" s="1"/>
  <c r="BI514" i="63"/>
  <c r="BG514" i="63"/>
  <c r="BF514" i="63"/>
  <c r="BD514" i="63"/>
  <c r="BC514" i="63"/>
  <c r="BA514" i="63"/>
  <c r="AZ514" i="63"/>
  <c r="AX514" i="63"/>
  <c r="AY514" i="63" s="1"/>
  <c r="AW514" i="63"/>
  <c r="AU514" i="63"/>
  <c r="AT514" i="63"/>
  <c r="AR514" i="63"/>
  <c r="AQ514" i="63"/>
  <c r="AO514" i="63"/>
  <c r="AN514" i="63"/>
  <c r="AP514" i="63" s="1"/>
  <c r="AL514" i="63"/>
  <c r="AK514" i="63"/>
  <c r="AK513" i="63" s="1"/>
  <c r="AI514" i="63"/>
  <c r="AH514" i="63"/>
  <c r="AD514" i="63"/>
  <c r="AC514" i="63"/>
  <c r="X514" i="63"/>
  <c r="W514" i="63"/>
  <c r="Y514" i="63" s="1"/>
  <c r="R514" i="63"/>
  <c r="Q514" i="63"/>
  <c r="O514" i="63"/>
  <c r="N514" i="63"/>
  <c r="I514" i="63"/>
  <c r="AO513" i="63"/>
  <c r="H513" i="63"/>
  <c r="G513" i="63"/>
  <c r="G512" i="63" s="1"/>
  <c r="BQ511" i="63"/>
  <c r="BN511" i="63"/>
  <c r="BK511" i="63"/>
  <c r="BH511" i="63"/>
  <c r="BE511" i="63"/>
  <c r="BB511" i="63"/>
  <c r="AY511" i="63"/>
  <c r="AV511" i="63"/>
  <c r="AS511" i="63"/>
  <c r="AP511" i="63"/>
  <c r="AM511" i="63"/>
  <c r="AJ511" i="63"/>
  <c r="AE511" i="63"/>
  <c r="Y511" i="63"/>
  <c r="U511" i="63"/>
  <c r="T511" i="63"/>
  <c r="Z511" i="63" s="1"/>
  <c r="S511" i="63"/>
  <c r="P511" i="63"/>
  <c r="L511" i="63"/>
  <c r="K511" i="63"/>
  <c r="I511" i="63"/>
  <c r="D510" i="63"/>
  <c r="AA509" i="63"/>
  <c r="U509" i="63"/>
  <c r="T509" i="63"/>
  <c r="V509" i="63" s="1"/>
  <c r="L509" i="63"/>
  <c r="K509" i="63"/>
  <c r="BP508" i="63"/>
  <c r="BO508" i="63"/>
  <c r="BM508" i="63"/>
  <c r="BL508" i="63"/>
  <c r="BL475" i="63" s="1"/>
  <c r="BJ508" i="63"/>
  <c r="BI508" i="63"/>
  <c r="BG508" i="63"/>
  <c r="BF508" i="63"/>
  <c r="BH508" i="63" s="1"/>
  <c r="BD508" i="63"/>
  <c r="BC508" i="63"/>
  <c r="BA508" i="63"/>
  <c r="AZ508" i="63"/>
  <c r="AX508" i="63"/>
  <c r="AX475" i="63" s="1"/>
  <c r="AW508" i="63"/>
  <c r="AU508" i="63"/>
  <c r="AV508" i="63" s="1"/>
  <c r="AT508" i="63"/>
  <c r="AR508" i="63"/>
  <c r="AQ508" i="63"/>
  <c r="AO508" i="63"/>
  <c r="AN508" i="63"/>
  <c r="AL508" i="63"/>
  <c r="AL475" i="63" s="1"/>
  <c r="AK508" i="63"/>
  <c r="AI508" i="63"/>
  <c r="AI475" i="63" s="1"/>
  <c r="AD508" i="63"/>
  <c r="X508" i="63"/>
  <c r="R508" i="63"/>
  <c r="O508" i="63"/>
  <c r="I508" i="63"/>
  <c r="BP507" i="63"/>
  <c r="BO507" i="63"/>
  <c r="BM507" i="63"/>
  <c r="BL507" i="63"/>
  <c r="BL474" i="63" s="1"/>
  <c r="BJ507" i="63"/>
  <c r="BI507" i="63"/>
  <c r="BG507" i="63"/>
  <c r="BF507" i="63"/>
  <c r="BF474" i="63" s="1"/>
  <c r="BD507" i="63"/>
  <c r="BC507" i="63"/>
  <c r="BE507" i="63" s="1"/>
  <c r="BA507" i="63"/>
  <c r="BA474" i="63" s="1"/>
  <c r="AZ507" i="63"/>
  <c r="AX507" i="63"/>
  <c r="AW507" i="63"/>
  <c r="AU507" i="63"/>
  <c r="AT507" i="63"/>
  <c r="AT474" i="63" s="1"/>
  <c r="AR507" i="63"/>
  <c r="AQ507" i="63"/>
  <c r="AS507" i="63" s="1"/>
  <c r="AO507" i="63"/>
  <c r="AN507" i="63"/>
  <c r="AL507" i="63"/>
  <c r="AM507" i="63" s="1"/>
  <c r="AK507" i="63"/>
  <c r="AI507" i="63"/>
  <c r="AD507" i="63"/>
  <c r="X507" i="63"/>
  <c r="X474" i="63" s="1"/>
  <c r="R507" i="63"/>
  <c r="O507" i="63"/>
  <c r="U507" i="63" s="1"/>
  <c r="I507" i="63"/>
  <c r="BQ506" i="63"/>
  <c r="BP506" i="63"/>
  <c r="BO506" i="63"/>
  <c r="BO473" i="63" s="1"/>
  <c r="BM506" i="63"/>
  <c r="BL506" i="63"/>
  <c r="BJ506" i="63"/>
  <c r="BI506" i="63"/>
  <c r="BG506" i="63"/>
  <c r="BF506" i="63"/>
  <c r="BF473" i="63" s="1"/>
  <c r="BD506" i="63"/>
  <c r="BC506" i="63"/>
  <c r="BC473" i="63" s="1"/>
  <c r="BA506" i="63"/>
  <c r="AZ506" i="63"/>
  <c r="AX506" i="63"/>
  <c r="AW506" i="63"/>
  <c r="AU506" i="63"/>
  <c r="AT506" i="63"/>
  <c r="AT473" i="63" s="1"/>
  <c r="AR506" i="63"/>
  <c r="AS506" i="63" s="1"/>
  <c r="AQ506" i="63"/>
  <c r="AO506" i="63"/>
  <c r="AN506" i="63"/>
  <c r="AL506" i="63"/>
  <c r="AL473" i="63" s="1"/>
  <c r="AK506" i="63"/>
  <c r="AI506" i="63"/>
  <c r="AI473" i="63" s="1"/>
  <c r="AD506" i="63"/>
  <c r="X506" i="63"/>
  <c r="X473" i="63" s="1"/>
  <c r="R506" i="63"/>
  <c r="O506" i="63"/>
  <c r="N506" i="63"/>
  <c r="I506" i="63"/>
  <c r="BP505" i="63"/>
  <c r="BO505" i="63"/>
  <c r="BM505" i="63"/>
  <c r="BN505" i="63" s="1"/>
  <c r="BL505" i="63"/>
  <c r="BJ505" i="63"/>
  <c r="BK505" i="63" s="1"/>
  <c r="BI505" i="63"/>
  <c r="BG505" i="63"/>
  <c r="BF505" i="63"/>
  <c r="BD505" i="63"/>
  <c r="BD472" i="63" s="1"/>
  <c r="BC505" i="63"/>
  <c r="BA505" i="63"/>
  <c r="BA472" i="63" s="1"/>
  <c r="AZ505" i="63"/>
  <c r="AX505" i="63"/>
  <c r="AW505" i="63"/>
  <c r="AW472" i="63" s="1"/>
  <c r="AU505" i="63"/>
  <c r="AT505" i="63"/>
  <c r="AR505" i="63"/>
  <c r="AR472" i="63" s="1"/>
  <c r="AQ505" i="63"/>
  <c r="AQ472" i="63" s="1"/>
  <c r="AO505" i="63"/>
  <c r="AP505" i="63" s="1"/>
  <c r="AN505" i="63"/>
  <c r="AL505" i="63"/>
  <c r="AK505" i="63"/>
  <c r="AI505" i="63"/>
  <c r="AD505" i="63"/>
  <c r="AC505" i="63"/>
  <c r="AC472" i="63" s="1"/>
  <c r="X505" i="63"/>
  <c r="Y505" i="63" s="1"/>
  <c r="W505" i="63"/>
  <c r="R505" i="63"/>
  <c r="Q505" i="63"/>
  <c r="Q472" i="63" s="1"/>
  <c r="O505" i="63"/>
  <c r="N505" i="63"/>
  <c r="N472" i="63" s="1"/>
  <c r="I505" i="63"/>
  <c r="H504" i="63"/>
  <c r="G504" i="63"/>
  <c r="U503" i="63"/>
  <c r="T503" i="63"/>
  <c r="Z503" i="63" s="1"/>
  <c r="L503" i="63"/>
  <c r="K503" i="63"/>
  <c r="M503" i="63" s="1"/>
  <c r="BP502" i="63"/>
  <c r="BO502" i="63"/>
  <c r="BM502" i="63"/>
  <c r="BL502" i="63"/>
  <c r="BL469" i="63" s="1"/>
  <c r="BJ502" i="63"/>
  <c r="BI502" i="63"/>
  <c r="BG502" i="63"/>
  <c r="BF502" i="63"/>
  <c r="BD502" i="63"/>
  <c r="BC502" i="63"/>
  <c r="BE502" i="63" s="1"/>
  <c r="BA502" i="63"/>
  <c r="AZ502" i="63"/>
  <c r="AX502" i="63"/>
  <c r="AW502" i="63"/>
  <c r="AU502" i="63"/>
  <c r="AT502" i="63"/>
  <c r="AT469" i="63" s="1"/>
  <c r="AR502" i="63"/>
  <c r="AS502" i="63" s="1"/>
  <c r="AQ502" i="63"/>
  <c r="AO502" i="63"/>
  <c r="AN502" i="63"/>
  <c r="AL502" i="63"/>
  <c r="AK502" i="63"/>
  <c r="AI502" i="63"/>
  <c r="AI469" i="63" s="1"/>
  <c r="AD502" i="63"/>
  <c r="X502" i="63"/>
  <c r="R502" i="63"/>
  <c r="O502" i="63"/>
  <c r="I502" i="63"/>
  <c r="BP501" i="63"/>
  <c r="BO501" i="63"/>
  <c r="BM501" i="63"/>
  <c r="BM468" i="63" s="1"/>
  <c r="BL501" i="63"/>
  <c r="BJ501" i="63"/>
  <c r="BK501" i="63" s="1"/>
  <c r="BI501" i="63"/>
  <c r="BG501" i="63"/>
  <c r="BF501" i="63"/>
  <c r="BD501" i="63"/>
  <c r="BC501" i="63"/>
  <c r="BA501" i="63"/>
  <c r="BA468" i="63" s="1"/>
  <c r="AZ501" i="63"/>
  <c r="AX501" i="63"/>
  <c r="AW501" i="63"/>
  <c r="AU501" i="63"/>
  <c r="AT501" i="63"/>
  <c r="AR501" i="63"/>
  <c r="AQ501" i="63"/>
  <c r="AQ468" i="63" s="1"/>
  <c r="AO501" i="63"/>
  <c r="AN501" i="63"/>
  <c r="AL501" i="63"/>
  <c r="AK501" i="63"/>
  <c r="AM501" i="63" s="1"/>
  <c r="AI501" i="63"/>
  <c r="AD501" i="63"/>
  <c r="X501" i="63"/>
  <c r="R501" i="63"/>
  <c r="O501" i="63"/>
  <c r="I501" i="63"/>
  <c r="BP500" i="63"/>
  <c r="BO500" i="63"/>
  <c r="BM500" i="63"/>
  <c r="BN500" i="63" s="1"/>
  <c r="BL500" i="63"/>
  <c r="BJ500" i="63"/>
  <c r="BI500" i="63"/>
  <c r="BG500" i="63"/>
  <c r="BF500" i="63"/>
  <c r="BD500" i="63"/>
  <c r="BD467" i="63" s="1"/>
  <c r="BC500" i="63"/>
  <c r="BC467" i="63" s="1"/>
  <c r="BE467" i="63" s="1"/>
  <c r="BA500" i="63"/>
  <c r="AZ500" i="63"/>
  <c r="AX500" i="63"/>
  <c r="AW500" i="63"/>
  <c r="AU500" i="63"/>
  <c r="AU467" i="63" s="1"/>
  <c r="AT500" i="63"/>
  <c r="AR500" i="63"/>
  <c r="AQ500" i="63"/>
  <c r="AO500" i="63"/>
  <c r="AN500" i="63"/>
  <c r="AL500" i="63"/>
  <c r="AK500" i="63"/>
  <c r="AI500" i="63"/>
  <c r="AI467" i="63" s="1"/>
  <c r="AD500" i="63"/>
  <c r="X500" i="63"/>
  <c r="R500" i="63"/>
  <c r="O500" i="63"/>
  <c r="P500" i="63" s="1"/>
  <c r="N500" i="63"/>
  <c r="L500" i="63"/>
  <c r="I500" i="63"/>
  <c r="BP499" i="63"/>
  <c r="BO499" i="63"/>
  <c r="BM499" i="63"/>
  <c r="BM466" i="63" s="1"/>
  <c r="BL499" i="63"/>
  <c r="BJ499" i="63"/>
  <c r="BJ466" i="63" s="1"/>
  <c r="BI499" i="63"/>
  <c r="BG499" i="63"/>
  <c r="BF499" i="63"/>
  <c r="BD499" i="63"/>
  <c r="BC499" i="63"/>
  <c r="BA499" i="63"/>
  <c r="AZ499" i="63"/>
  <c r="AX499" i="63"/>
  <c r="AW499" i="63"/>
  <c r="AU499" i="63"/>
  <c r="AT499" i="63"/>
  <c r="AT466" i="63" s="1"/>
  <c r="AR499" i="63"/>
  <c r="AQ499" i="63"/>
  <c r="AO499" i="63"/>
  <c r="AN499" i="63"/>
  <c r="AL499" i="63"/>
  <c r="AK499" i="63"/>
  <c r="AK466" i="63" s="1"/>
  <c r="AI499" i="63"/>
  <c r="AI466" i="63" s="1"/>
  <c r="AD499" i="63"/>
  <c r="AC499" i="63"/>
  <c r="X499" i="63"/>
  <c r="W499" i="63"/>
  <c r="U499" i="63"/>
  <c r="R499" i="63"/>
  <c r="Q499" i="63"/>
  <c r="Q466" i="63" s="1"/>
  <c r="O499" i="63"/>
  <c r="N499" i="63"/>
  <c r="I499" i="63"/>
  <c r="AX498" i="63"/>
  <c r="H498" i="63"/>
  <c r="G498" i="63"/>
  <c r="U497" i="63"/>
  <c r="T497" i="63"/>
  <c r="Z497" i="63" s="1"/>
  <c r="L497" i="63"/>
  <c r="K497" i="63"/>
  <c r="BP496" i="63"/>
  <c r="BO496" i="63"/>
  <c r="BM496" i="63"/>
  <c r="BL496" i="63"/>
  <c r="BN496" i="63" s="1"/>
  <c r="BJ496" i="63"/>
  <c r="BI496" i="63"/>
  <c r="BG496" i="63"/>
  <c r="BF496" i="63"/>
  <c r="BD496" i="63"/>
  <c r="BC496" i="63"/>
  <c r="BA496" i="63"/>
  <c r="BB496" i="63" s="1"/>
  <c r="AZ496" i="63"/>
  <c r="AX496" i="63"/>
  <c r="AW496" i="63"/>
  <c r="AU496" i="63"/>
  <c r="AT496" i="63"/>
  <c r="AR496" i="63"/>
  <c r="AQ496" i="63"/>
  <c r="AO496" i="63"/>
  <c r="AP496" i="63" s="1"/>
  <c r="AN496" i="63"/>
  <c r="AM496" i="63"/>
  <c r="AL496" i="63"/>
  <c r="AK496" i="63"/>
  <c r="AI496" i="63"/>
  <c r="AD496" i="63"/>
  <c r="X496" i="63"/>
  <c r="R496" i="63"/>
  <c r="O496" i="63"/>
  <c r="I496" i="63"/>
  <c r="BP495" i="63"/>
  <c r="BO495" i="63"/>
  <c r="BM495" i="63"/>
  <c r="BL495" i="63"/>
  <c r="BL460" i="63" s="1"/>
  <c r="BJ495" i="63"/>
  <c r="BJ460" i="63" s="1"/>
  <c r="BI495" i="63"/>
  <c r="BH495" i="63"/>
  <c r="BG495" i="63"/>
  <c r="BG460" i="63" s="1"/>
  <c r="BF495" i="63"/>
  <c r="BD495" i="63"/>
  <c r="BC495" i="63"/>
  <c r="BC460" i="63" s="1"/>
  <c r="BA495" i="63"/>
  <c r="AZ495" i="63"/>
  <c r="AZ460" i="63" s="1"/>
  <c r="AX495" i="63"/>
  <c r="AW495" i="63"/>
  <c r="AW460" i="63" s="1"/>
  <c r="AU495" i="63"/>
  <c r="AT495" i="63"/>
  <c r="AV495" i="63" s="1"/>
  <c r="AR495" i="63"/>
  <c r="AQ495" i="63"/>
  <c r="AQ460" i="63" s="1"/>
  <c r="AO495" i="63"/>
  <c r="AN495" i="63"/>
  <c r="AL495" i="63"/>
  <c r="AK495" i="63"/>
  <c r="AK460" i="63" s="1"/>
  <c r="AI495" i="63"/>
  <c r="AD495" i="63"/>
  <c r="X495" i="63"/>
  <c r="R495" i="63"/>
  <c r="R460" i="63" s="1"/>
  <c r="O495" i="63"/>
  <c r="O460" i="63" s="1"/>
  <c r="I495" i="63"/>
  <c r="BP494" i="63"/>
  <c r="BO494" i="63"/>
  <c r="BM494" i="63"/>
  <c r="BM459" i="63" s="1"/>
  <c r="BN459" i="63" s="1"/>
  <c r="BL494" i="63"/>
  <c r="BJ494" i="63"/>
  <c r="BI494" i="63"/>
  <c r="BI459" i="63" s="1"/>
  <c r="BG494" i="63"/>
  <c r="BF494" i="63"/>
  <c r="BD494" i="63"/>
  <c r="BC494" i="63"/>
  <c r="BC492" i="63" s="1"/>
  <c r="BA494" i="63"/>
  <c r="BA459" i="63" s="1"/>
  <c r="AZ494" i="63"/>
  <c r="BB494" i="63" s="1"/>
  <c r="AX494" i="63"/>
  <c r="AW494" i="63"/>
  <c r="AW459" i="63" s="1"/>
  <c r="AU494" i="63"/>
  <c r="AT494" i="63"/>
  <c r="AR494" i="63"/>
  <c r="AQ494" i="63"/>
  <c r="AO494" i="63"/>
  <c r="AP494" i="63" s="1"/>
  <c r="AN494" i="63"/>
  <c r="AL494" i="63"/>
  <c r="AL459" i="63" s="1"/>
  <c r="AK494" i="63"/>
  <c r="AI494" i="63"/>
  <c r="AD494" i="63"/>
  <c r="X494" i="63"/>
  <c r="X492" i="63" s="1"/>
  <c r="R494" i="63"/>
  <c r="O494" i="63"/>
  <c r="U494" i="63" s="1"/>
  <c r="I494" i="63"/>
  <c r="BP493" i="63"/>
  <c r="BQ493" i="63" s="1"/>
  <c r="BO493" i="63"/>
  <c r="BM493" i="63"/>
  <c r="BL493" i="63"/>
  <c r="BJ493" i="63"/>
  <c r="BJ458" i="63" s="1"/>
  <c r="BI493" i="63"/>
  <c r="BG493" i="63"/>
  <c r="BG458" i="63" s="1"/>
  <c r="BF493" i="63"/>
  <c r="BD493" i="63"/>
  <c r="BC493" i="63"/>
  <c r="BA493" i="63"/>
  <c r="AZ493" i="63"/>
  <c r="AX493" i="63"/>
  <c r="AX458" i="63" s="1"/>
  <c r="AW493" i="63"/>
  <c r="AW458" i="63" s="1"/>
  <c r="AU493" i="63"/>
  <c r="AV493" i="63" s="1"/>
  <c r="AT493" i="63"/>
  <c r="AR493" i="63"/>
  <c r="AQ493" i="63"/>
  <c r="AO493" i="63"/>
  <c r="AN493" i="63"/>
  <c r="AL493" i="63"/>
  <c r="AL458" i="63" s="1"/>
  <c r="AK493" i="63"/>
  <c r="AI493" i="63"/>
  <c r="AJ493" i="63" s="1"/>
  <c r="AH493" i="63"/>
  <c r="AD493" i="63"/>
  <c r="AC493" i="63"/>
  <c r="X493" i="63"/>
  <c r="W493" i="63"/>
  <c r="S493" i="63"/>
  <c r="R493" i="63"/>
  <c r="Q493" i="63"/>
  <c r="Q458" i="63" s="1"/>
  <c r="O493" i="63"/>
  <c r="N493" i="63"/>
  <c r="K493" i="63" s="1"/>
  <c r="I493" i="63"/>
  <c r="H492" i="63"/>
  <c r="G492" i="63"/>
  <c r="Z491" i="63"/>
  <c r="U491" i="63"/>
  <c r="AA491" i="63" s="1"/>
  <c r="T491" i="63"/>
  <c r="L491" i="63"/>
  <c r="K491" i="63"/>
  <c r="BP490" i="63"/>
  <c r="BO490" i="63"/>
  <c r="BM490" i="63"/>
  <c r="BM455" i="63" s="1"/>
  <c r="BL490" i="63"/>
  <c r="BJ490" i="63"/>
  <c r="BK490" i="63" s="1"/>
  <c r="BI490" i="63"/>
  <c r="BG490" i="63"/>
  <c r="BF490" i="63"/>
  <c r="BD490" i="63"/>
  <c r="BC490" i="63"/>
  <c r="BA490" i="63"/>
  <c r="BA455" i="63" s="1"/>
  <c r="AZ490" i="63"/>
  <c r="AX490" i="63"/>
  <c r="AW490" i="63"/>
  <c r="AU490" i="63"/>
  <c r="AV490" i="63" s="1"/>
  <c r="AT490" i="63"/>
  <c r="AR490" i="63"/>
  <c r="AQ490" i="63"/>
  <c r="AO490" i="63"/>
  <c r="AO455" i="63" s="1"/>
  <c r="AN490" i="63"/>
  <c r="AL490" i="63"/>
  <c r="AK490" i="63"/>
  <c r="AI490" i="63"/>
  <c r="AD490" i="63"/>
  <c r="AC490" i="63"/>
  <c r="X490" i="63"/>
  <c r="W490" i="63"/>
  <c r="R490" i="63"/>
  <c r="Q490" i="63"/>
  <c r="O490" i="63"/>
  <c r="O455" i="63" s="1"/>
  <c r="N490" i="63"/>
  <c r="I490" i="63"/>
  <c r="BP489" i="63"/>
  <c r="BO489" i="63"/>
  <c r="BM489" i="63"/>
  <c r="BL489" i="63"/>
  <c r="BL454" i="63" s="1"/>
  <c r="BJ489" i="63"/>
  <c r="BI489" i="63"/>
  <c r="BG489" i="63"/>
  <c r="BF489" i="63"/>
  <c r="BF454" i="63" s="1"/>
  <c r="BD489" i="63"/>
  <c r="BC489" i="63"/>
  <c r="BA489" i="63"/>
  <c r="BA454" i="63" s="1"/>
  <c r="AZ489" i="63"/>
  <c r="AX489" i="63"/>
  <c r="AW489" i="63"/>
  <c r="AU489" i="63"/>
  <c r="AU454" i="63" s="1"/>
  <c r="AT489" i="63"/>
  <c r="AR489" i="63"/>
  <c r="AS489" i="63" s="1"/>
  <c r="AQ489" i="63"/>
  <c r="AO489" i="63"/>
  <c r="AN489" i="63"/>
  <c r="AL489" i="63"/>
  <c r="AK489" i="63"/>
  <c r="AI489" i="63"/>
  <c r="AD489" i="63"/>
  <c r="AC489" i="63"/>
  <c r="X489" i="63"/>
  <c r="W489" i="63"/>
  <c r="S489" i="63"/>
  <c r="R489" i="63"/>
  <c r="Q489" i="63"/>
  <c r="Q454" i="63" s="1"/>
  <c r="O489" i="63"/>
  <c r="N489" i="63"/>
  <c r="T489" i="63" s="1"/>
  <c r="Z489" i="63" s="1"/>
  <c r="I489" i="63"/>
  <c r="BP488" i="63"/>
  <c r="BO488" i="63"/>
  <c r="BM488" i="63"/>
  <c r="BM453" i="63" s="1"/>
  <c r="BL488" i="63"/>
  <c r="BJ488" i="63"/>
  <c r="BK488" i="63" s="1"/>
  <c r="BI488" i="63"/>
  <c r="BG488" i="63"/>
  <c r="BF488" i="63"/>
  <c r="BD488" i="63"/>
  <c r="BC488" i="63"/>
  <c r="BA488" i="63"/>
  <c r="BA453" i="63" s="1"/>
  <c r="AZ488" i="63"/>
  <c r="AX488" i="63"/>
  <c r="AY488" i="63" s="1"/>
  <c r="AW488" i="63"/>
  <c r="AU488" i="63"/>
  <c r="AT488" i="63"/>
  <c r="AR488" i="63"/>
  <c r="AQ488" i="63"/>
  <c r="AO488" i="63"/>
  <c r="AO453" i="63" s="1"/>
  <c r="AN488" i="63"/>
  <c r="AL488" i="63"/>
  <c r="AK488" i="63"/>
  <c r="AI488" i="63"/>
  <c r="AJ488" i="63" s="1"/>
  <c r="AH488" i="63"/>
  <c r="AD488" i="63"/>
  <c r="AC488" i="63"/>
  <c r="X488" i="63"/>
  <c r="X453" i="63" s="1"/>
  <c r="W488" i="63"/>
  <c r="R488" i="63"/>
  <c r="Q488" i="63"/>
  <c r="O488" i="63"/>
  <c r="N488" i="63"/>
  <c r="I488" i="63"/>
  <c r="BP487" i="63"/>
  <c r="BO487" i="63"/>
  <c r="BM487" i="63"/>
  <c r="BL487" i="63"/>
  <c r="BJ487" i="63"/>
  <c r="BI487" i="63"/>
  <c r="BG487" i="63"/>
  <c r="BF487" i="63"/>
  <c r="BD487" i="63"/>
  <c r="BC487" i="63"/>
  <c r="BA487" i="63"/>
  <c r="AZ487" i="63"/>
  <c r="AX487" i="63"/>
  <c r="AW487" i="63"/>
  <c r="AU487" i="63"/>
  <c r="AT487" i="63"/>
  <c r="AR487" i="63"/>
  <c r="AQ487" i="63"/>
  <c r="AO487" i="63"/>
  <c r="AN487" i="63"/>
  <c r="AL487" i="63"/>
  <c r="AK487" i="63"/>
  <c r="AI487" i="63"/>
  <c r="AH487" i="63"/>
  <c r="AD487" i="63"/>
  <c r="AC487" i="63"/>
  <c r="X487" i="63"/>
  <c r="W487" i="63"/>
  <c r="R487" i="63"/>
  <c r="S487" i="63" s="1"/>
  <c r="Q487" i="63"/>
  <c r="O487" i="63"/>
  <c r="N487" i="63"/>
  <c r="T487" i="63" s="1"/>
  <c r="I487" i="63"/>
  <c r="H486" i="63"/>
  <c r="G486" i="63"/>
  <c r="BQ485" i="63"/>
  <c r="BN485" i="63"/>
  <c r="BK485" i="63"/>
  <c r="BH485" i="63"/>
  <c r="BE485" i="63"/>
  <c r="BB485" i="63"/>
  <c r="AY485" i="63"/>
  <c r="AV485" i="63"/>
  <c r="AS485" i="63"/>
  <c r="AP485" i="63"/>
  <c r="AM485" i="63"/>
  <c r="AJ485" i="63"/>
  <c r="AE485" i="63"/>
  <c r="Y485" i="63"/>
  <c r="U485" i="63"/>
  <c r="AA485" i="63" s="1"/>
  <c r="AB485" i="63" s="1"/>
  <c r="T485" i="63"/>
  <c r="Z485" i="63" s="1"/>
  <c r="S485" i="63"/>
  <c r="P485" i="63"/>
  <c r="M485" i="63"/>
  <c r="L485" i="63"/>
  <c r="K485" i="63"/>
  <c r="I485" i="63"/>
  <c r="BQ484" i="63"/>
  <c r="BP484" i="63"/>
  <c r="BO484" i="63"/>
  <c r="BM484" i="63"/>
  <c r="BL484" i="63"/>
  <c r="BJ484" i="63"/>
  <c r="BI484" i="63"/>
  <c r="BG484" i="63"/>
  <c r="BF484" i="63"/>
  <c r="BH484" i="63" s="1"/>
  <c r="BD484" i="63"/>
  <c r="BC484" i="63"/>
  <c r="BC449" i="63" s="1"/>
  <c r="BA484" i="63"/>
  <c r="BB484" i="63" s="1"/>
  <c r="AZ484" i="63"/>
  <c r="AX484" i="63"/>
  <c r="AW484" i="63"/>
  <c r="AU484" i="63"/>
  <c r="AU449" i="63" s="1"/>
  <c r="AT484" i="63"/>
  <c r="AR484" i="63"/>
  <c r="AS484" i="63" s="1"/>
  <c r="AQ484" i="63"/>
  <c r="AO484" i="63"/>
  <c r="AP484" i="63" s="1"/>
  <c r="AN484" i="63"/>
  <c r="AL484" i="63"/>
  <c r="AK484" i="63"/>
  <c r="AI484" i="63"/>
  <c r="AI449" i="63" s="1"/>
  <c r="AD484" i="63"/>
  <c r="AC484" i="63"/>
  <c r="AC449" i="63" s="1"/>
  <c r="X484" i="63"/>
  <c r="W484" i="63"/>
  <c r="R484" i="63"/>
  <c r="L484" i="63" s="1"/>
  <c r="Q484" i="63"/>
  <c r="P484" i="63"/>
  <c r="O484" i="63"/>
  <c r="N484" i="63"/>
  <c r="T484" i="63" s="1"/>
  <c r="I484" i="63"/>
  <c r="BP483" i="63"/>
  <c r="BO483" i="63"/>
  <c r="BO448" i="63" s="1"/>
  <c r="BM483" i="63"/>
  <c r="BL483" i="63"/>
  <c r="BJ483" i="63"/>
  <c r="BK483" i="63" s="1"/>
  <c r="BI483" i="63"/>
  <c r="BI448" i="63" s="1"/>
  <c r="BG483" i="63"/>
  <c r="BF483" i="63"/>
  <c r="BD483" i="63"/>
  <c r="BC483" i="63"/>
  <c r="BA483" i="63"/>
  <c r="AZ483" i="63"/>
  <c r="AX483" i="63"/>
  <c r="AX448" i="63" s="1"/>
  <c r="AW483" i="63"/>
  <c r="AU483" i="63"/>
  <c r="AV483" i="63" s="1"/>
  <c r="AT483" i="63"/>
  <c r="AR483" i="63"/>
  <c r="AQ483" i="63"/>
  <c r="AQ448" i="63" s="1"/>
  <c r="AO483" i="63"/>
  <c r="AO448" i="63" s="1"/>
  <c r="AN483" i="63"/>
  <c r="AM483" i="63"/>
  <c r="AL483" i="63"/>
  <c r="AK483" i="63"/>
  <c r="AI483" i="63"/>
  <c r="AD483" i="63"/>
  <c r="AC483" i="63"/>
  <c r="X483" i="63"/>
  <c r="W483" i="63"/>
  <c r="R483" i="63"/>
  <c r="Q483" i="63"/>
  <c r="O483" i="63"/>
  <c r="O448" i="63" s="1"/>
  <c r="N483" i="63"/>
  <c r="I483" i="63"/>
  <c r="BP482" i="63"/>
  <c r="BO482" i="63"/>
  <c r="BQ482" i="63" s="1"/>
  <c r="BM482" i="63"/>
  <c r="BL482" i="63"/>
  <c r="BJ482" i="63"/>
  <c r="BI482" i="63"/>
  <c r="BG482" i="63"/>
  <c r="BF482" i="63"/>
  <c r="BD482" i="63"/>
  <c r="BE482" i="63" s="1"/>
  <c r="BC482" i="63"/>
  <c r="BA482" i="63"/>
  <c r="AZ482" i="63"/>
  <c r="AX482" i="63"/>
  <c r="AW482" i="63"/>
  <c r="AU482" i="63"/>
  <c r="AU447" i="63" s="1"/>
  <c r="AT482" i="63"/>
  <c r="AR482" i="63"/>
  <c r="AS482" i="63" s="1"/>
  <c r="AQ482" i="63"/>
  <c r="AP482" i="63"/>
  <c r="AO482" i="63"/>
  <c r="AN482" i="63"/>
  <c r="AL482" i="63"/>
  <c r="AK482" i="63"/>
  <c r="AK447" i="63" s="1"/>
  <c r="AI482" i="63"/>
  <c r="AH482" i="63"/>
  <c r="AH447" i="63" s="1"/>
  <c r="AD482" i="63"/>
  <c r="AC482" i="63"/>
  <c r="AC447" i="63" s="1"/>
  <c r="X482" i="63"/>
  <c r="W482" i="63"/>
  <c r="R482" i="63"/>
  <c r="S482" i="63" s="1"/>
  <c r="Q482" i="63"/>
  <c r="O482" i="63"/>
  <c r="N482" i="63"/>
  <c r="T482" i="63" s="1"/>
  <c r="Z482" i="63" s="1"/>
  <c r="I482" i="63"/>
  <c r="BP481" i="63"/>
  <c r="BO481" i="63"/>
  <c r="BM481" i="63"/>
  <c r="BM480" i="63" s="1"/>
  <c r="BL481" i="63"/>
  <c r="BJ481" i="63"/>
  <c r="BI481" i="63"/>
  <c r="BG481" i="63"/>
  <c r="BF481" i="63"/>
  <c r="BD481" i="63"/>
  <c r="BC481" i="63"/>
  <c r="BA481" i="63"/>
  <c r="AZ481" i="63"/>
  <c r="AX481" i="63"/>
  <c r="AW481" i="63"/>
  <c r="AU481" i="63"/>
  <c r="AT481" i="63"/>
  <c r="AR481" i="63"/>
  <c r="AQ481" i="63"/>
  <c r="AO481" i="63"/>
  <c r="AO446" i="63" s="1"/>
  <c r="AN481" i="63"/>
  <c r="AL481" i="63"/>
  <c r="AK481" i="63"/>
  <c r="AI481" i="63"/>
  <c r="AH481" i="63"/>
  <c r="AJ481" i="63" s="1"/>
  <c r="AD481" i="63"/>
  <c r="AC481" i="63"/>
  <c r="X481" i="63"/>
  <c r="W481" i="63"/>
  <c r="W446" i="63" s="1"/>
  <c r="R481" i="63"/>
  <c r="Q481" i="63"/>
  <c r="O481" i="63"/>
  <c r="N481" i="63"/>
  <c r="I481" i="63"/>
  <c r="H480" i="63"/>
  <c r="G480" i="63"/>
  <c r="BQ478" i="63"/>
  <c r="BN478" i="63"/>
  <c r="BK478" i="63"/>
  <c r="BH478" i="63"/>
  <c r="BE478" i="63"/>
  <c r="BB478" i="63"/>
  <c r="AY478" i="63"/>
  <c r="AV478" i="63"/>
  <c r="AS478" i="63"/>
  <c r="AP478" i="63"/>
  <c r="AM478" i="63"/>
  <c r="AJ478" i="63"/>
  <c r="AE478" i="63"/>
  <c r="Z478" i="63"/>
  <c r="Y478" i="63"/>
  <c r="U478" i="63"/>
  <c r="AA478" i="63" s="1"/>
  <c r="T478" i="63"/>
  <c r="S478" i="63"/>
  <c r="P478" i="63"/>
  <c r="L478" i="63"/>
  <c r="M478" i="63" s="1"/>
  <c r="K478" i="63"/>
  <c r="I478" i="63"/>
  <c r="D477" i="63"/>
  <c r="BP476" i="63"/>
  <c r="BO476" i="63"/>
  <c r="BM476" i="63"/>
  <c r="BL476" i="63"/>
  <c r="BJ476" i="63"/>
  <c r="BI476" i="63"/>
  <c r="BG476" i="63"/>
  <c r="BF476" i="63"/>
  <c r="BD476" i="63"/>
  <c r="BC476" i="63"/>
  <c r="BE476" i="63" s="1"/>
  <c r="BA476" i="63"/>
  <c r="AZ476" i="63"/>
  <c r="AX476" i="63"/>
  <c r="AW476" i="63"/>
  <c r="AU476" i="63"/>
  <c r="AT476" i="63"/>
  <c r="AR476" i="63"/>
  <c r="AQ476" i="63"/>
  <c r="AO476" i="63"/>
  <c r="AN476" i="63"/>
  <c r="AL476" i="63"/>
  <c r="AK476" i="63"/>
  <c r="AI476" i="63"/>
  <c r="AH476" i="63"/>
  <c r="AD476" i="63"/>
  <c r="AE476" i="63" s="1"/>
  <c r="AC476" i="63"/>
  <c r="X476" i="63"/>
  <c r="X464" i="63" s="1"/>
  <c r="W476" i="63"/>
  <c r="R476" i="63"/>
  <c r="S476" i="63" s="1"/>
  <c r="Q476" i="63"/>
  <c r="O476" i="63"/>
  <c r="N476" i="63"/>
  <c r="H476" i="63"/>
  <c r="G476" i="63"/>
  <c r="BG475" i="63"/>
  <c r="BD475" i="63"/>
  <c r="BC475" i="63"/>
  <c r="AQ475" i="63"/>
  <c r="R475" i="63"/>
  <c r="H475" i="63"/>
  <c r="I475" i="63" s="1"/>
  <c r="G475" i="63"/>
  <c r="BP474" i="63"/>
  <c r="BO474" i="63"/>
  <c r="AZ474" i="63"/>
  <c r="AU474" i="63"/>
  <c r="AQ474" i="63"/>
  <c r="AO474" i="63"/>
  <c r="AK474" i="63"/>
  <c r="AD474" i="63"/>
  <c r="O474" i="63"/>
  <c r="H474" i="63"/>
  <c r="G474" i="63"/>
  <c r="BJ473" i="63"/>
  <c r="AZ473" i="63"/>
  <c r="AX473" i="63"/>
  <c r="AQ473" i="63"/>
  <c r="R473" i="63"/>
  <c r="H473" i="63"/>
  <c r="G473" i="63"/>
  <c r="BP472" i="63"/>
  <c r="BM472" i="63"/>
  <c r="BI472" i="63"/>
  <c r="BC472" i="63"/>
  <c r="AZ472" i="63"/>
  <c r="AU472" i="63"/>
  <c r="AO472" i="63"/>
  <c r="AN472" i="63"/>
  <c r="AK472" i="63"/>
  <c r="AD472" i="63"/>
  <c r="W472" i="63"/>
  <c r="R472" i="63"/>
  <c r="O472" i="63"/>
  <c r="H472" i="63"/>
  <c r="G472" i="63"/>
  <c r="H471" i="63"/>
  <c r="BP470" i="63"/>
  <c r="BO470" i="63"/>
  <c r="BM470" i="63"/>
  <c r="BL470" i="63"/>
  <c r="BJ470" i="63"/>
  <c r="BI470" i="63"/>
  <c r="BG470" i="63"/>
  <c r="BF470" i="63"/>
  <c r="BH470" i="63" s="1"/>
  <c r="BD470" i="63"/>
  <c r="BC470" i="63"/>
  <c r="BA470" i="63"/>
  <c r="AZ470" i="63"/>
  <c r="AX470" i="63"/>
  <c r="AW470" i="63"/>
  <c r="AU470" i="63"/>
  <c r="AT470" i="63"/>
  <c r="AT464" i="63" s="1"/>
  <c r="AR470" i="63"/>
  <c r="AQ470" i="63"/>
  <c r="AO470" i="63"/>
  <c r="AN470" i="63"/>
  <c r="AL470" i="63"/>
  <c r="AM470" i="63" s="1"/>
  <c r="AK470" i="63"/>
  <c r="AI470" i="63"/>
  <c r="AJ470" i="63" s="1"/>
  <c r="AH470" i="63"/>
  <c r="AD470" i="63"/>
  <c r="AC470" i="63"/>
  <c r="Y470" i="63"/>
  <c r="X470" i="63"/>
  <c r="W470" i="63"/>
  <c r="R470" i="63"/>
  <c r="Q470" i="63"/>
  <c r="Q464" i="63" s="1"/>
  <c r="O470" i="63"/>
  <c r="N470" i="63"/>
  <c r="H470" i="63"/>
  <c r="G470" i="63"/>
  <c r="G464" i="63" s="1"/>
  <c r="BP469" i="63"/>
  <c r="BJ469" i="63"/>
  <c r="BG469" i="63"/>
  <c r="BD469" i="63"/>
  <c r="AZ469" i="63"/>
  <c r="AU469" i="63"/>
  <c r="AQ469" i="63"/>
  <c r="AN469" i="63"/>
  <c r="AL469" i="63"/>
  <c r="AD469" i="63"/>
  <c r="H469" i="63"/>
  <c r="G469" i="63"/>
  <c r="BJ468" i="63"/>
  <c r="BF468" i="63"/>
  <c r="AT468" i="63"/>
  <c r="AL468" i="63"/>
  <c r="X468" i="63"/>
  <c r="O468" i="63"/>
  <c r="H468" i="63"/>
  <c r="G468" i="63"/>
  <c r="BO467" i="63"/>
  <c r="BL467" i="63"/>
  <c r="BG467" i="63"/>
  <c r="BF467" i="63"/>
  <c r="AZ467" i="63"/>
  <c r="AT467" i="63"/>
  <c r="AQ467" i="63"/>
  <c r="AN467" i="63"/>
  <c r="AD467" i="63"/>
  <c r="R467" i="63"/>
  <c r="N467" i="63"/>
  <c r="H467" i="63"/>
  <c r="G467" i="63"/>
  <c r="BO466" i="63"/>
  <c r="BI466" i="63"/>
  <c r="BA466" i="63"/>
  <c r="AO466" i="63"/>
  <c r="AC466" i="63"/>
  <c r="O466" i="63"/>
  <c r="H466" i="63"/>
  <c r="G466" i="63"/>
  <c r="G465" i="63"/>
  <c r="BO464" i="63"/>
  <c r="AH464" i="63"/>
  <c r="BP462" i="63"/>
  <c r="BQ462" i="63" s="1"/>
  <c r="BO462" i="63"/>
  <c r="BM462" i="63"/>
  <c r="BL462" i="63"/>
  <c r="BJ462" i="63"/>
  <c r="BI462" i="63"/>
  <c r="BG462" i="63"/>
  <c r="BF462" i="63"/>
  <c r="BD462" i="63"/>
  <c r="BE462" i="63" s="1"/>
  <c r="BC462" i="63"/>
  <c r="BA462" i="63"/>
  <c r="AZ462" i="63"/>
  <c r="BB462" i="63" s="1"/>
  <c r="AX462" i="63"/>
  <c r="AW462" i="63"/>
  <c r="AU462" i="63"/>
  <c r="AT462" i="63"/>
  <c r="AV462" i="63" s="1"/>
  <c r="AR462" i="63"/>
  <c r="AQ462" i="63"/>
  <c r="AO462" i="63"/>
  <c r="AN462" i="63"/>
  <c r="AL462" i="63"/>
  <c r="AK462" i="63"/>
  <c r="AI462" i="63"/>
  <c r="AH462" i="63"/>
  <c r="AD462" i="63"/>
  <c r="AE462" i="63" s="1"/>
  <c r="AC462" i="63"/>
  <c r="X462" i="63"/>
  <c r="X443" i="63" s="1"/>
  <c r="W462" i="63"/>
  <c r="R462" i="63"/>
  <c r="Q462" i="63"/>
  <c r="O462" i="63"/>
  <c r="N462" i="63"/>
  <c r="T462" i="63" s="1"/>
  <c r="Z462" i="63" s="1"/>
  <c r="H462" i="63"/>
  <c r="G462" i="63"/>
  <c r="BP461" i="63"/>
  <c r="BM461" i="63"/>
  <c r="BJ461" i="63"/>
  <c r="AZ461" i="63"/>
  <c r="AW461" i="63"/>
  <c r="AN461" i="63"/>
  <c r="AK461" i="63"/>
  <c r="R461" i="63"/>
  <c r="H461" i="63"/>
  <c r="G461" i="63"/>
  <c r="BO460" i="63"/>
  <c r="BI460" i="63"/>
  <c r="BF460" i="63"/>
  <c r="AU460" i="63"/>
  <c r="AL460" i="63"/>
  <c r="AI460" i="63"/>
  <c r="X460" i="63"/>
  <c r="H460" i="63"/>
  <c r="G460" i="63"/>
  <c r="BP459" i="63"/>
  <c r="BL459" i="63"/>
  <c r="BD459" i="63"/>
  <c r="AZ459" i="63"/>
  <c r="AX459" i="63"/>
  <c r="AR459" i="63"/>
  <c r="AO459" i="63"/>
  <c r="AN459" i="63"/>
  <c r="X459" i="63"/>
  <c r="O459" i="63"/>
  <c r="H459" i="63"/>
  <c r="G459" i="63"/>
  <c r="BO458" i="63"/>
  <c r="BF458" i="63"/>
  <c r="BC458" i="63"/>
  <c r="AU458" i="63"/>
  <c r="AQ458" i="63"/>
  <c r="AH458" i="63"/>
  <c r="AC458" i="63"/>
  <c r="W458" i="63"/>
  <c r="H458" i="63"/>
  <c r="G458" i="63"/>
  <c r="BP456" i="63"/>
  <c r="BO456" i="63"/>
  <c r="BM456" i="63"/>
  <c r="BL456" i="63"/>
  <c r="BJ456" i="63"/>
  <c r="BI456" i="63"/>
  <c r="BG456" i="63"/>
  <c r="BF456" i="63"/>
  <c r="BE456" i="63"/>
  <c r="BD456" i="63"/>
  <c r="BC456" i="63"/>
  <c r="BA456" i="63"/>
  <c r="AZ456" i="63"/>
  <c r="AX456" i="63"/>
  <c r="AW456" i="63"/>
  <c r="AU456" i="63"/>
  <c r="AT456" i="63"/>
  <c r="AR456" i="63"/>
  <c r="AQ456" i="63"/>
  <c r="AS456" i="63" s="1"/>
  <c r="AO456" i="63"/>
  <c r="AN456" i="63"/>
  <c r="AN443" i="63" s="1"/>
  <c r="AL456" i="63"/>
  <c r="AK456" i="63"/>
  <c r="AI456" i="63"/>
  <c r="AH456" i="63"/>
  <c r="AD456" i="63"/>
  <c r="AC456" i="63"/>
  <c r="X456" i="63"/>
  <c r="W456" i="63"/>
  <c r="R456" i="63"/>
  <c r="S456" i="63" s="1"/>
  <c r="Q456" i="63"/>
  <c r="P456" i="63"/>
  <c r="O456" i="63"/>
  <c r="N456" i="63"/>
  <c r="T456" i="63" s="1"/>
  <c r="H456" i="63"/>
  <c r="G456" i="63"/>
  <c r="BI455" i="63"/>
  <c r="BF455" i="63"/>
  <c r="AW455" i="63"/>
  <c r="AT455" i="63"/>
  <c r="X455" i="63"/>
  <c r="H455" i="63"/>
  <c r="G455" i="63"/>
  <c r="BG454" i="63"/>
  <c r="BC454" i="63"/>
  <c r="AI454" i="63"/>
  <c r="AD454" i="63"/>
  <c r="AE454" i="63" s="1"/>
  <c r="R454" i="63"/>
  <c r="N454" i="63"/>
  <c r="T454" i="63" s="1"/>
  <c r="H454" i="63"/>
  <c r="G454" i="63"/>
  <c r="BJ453" i="63"/>
  <c r="BF453" i="63"/>
  <c r="AX453" i="63"/>
  <c r="AL453" i="63"/>
  <c r="AK453" i="63"/>
  <c r="W453" i="63"/>
  <c r="H453" i="63"/>
  <c r="G453" i="63"/>
  <c r="BP452" i="63"/>
  <c r="BL452" i="63"/>
  <c r="BG452" i="63"/>
  <c r="BA452" i="63"/>
  <c r="AZ452" i="63"/>
  <c r="AQ452" i="63"/>
  <c r="X452" i="63"/>
  <c r="R452" i="63"/>
  <c r="S452" i="63" s="1"/>
  <c r="Q452" i="63"/>
  <c r="H452" i="63"/>
  <c r="G452" i="63"/>
  <c r="G451" i="63"/>
  <c r="BP450" i="63"/>
  <c r="BO450" i="63"/>
  <c r="BQ450" i="63" s="1"/>
  <c r="BM450" i="63"/>
  <c r="BL450" i="63"/>
  <c r="BL443" i="63" s="1"/>
  <c r="BJ450" i="63"/>
  <c r="BI450" i="63"/>
  <c r="BI443" i="63" s="1"/>
  <c r="BG450" i="63"/>
  <c r="BF450" i="63"/>
  <c r="BD450" i="63"/>
  <c r="BC450" i="63"/>
  <c r="BA450" i="63"/>
  <c r="BB450" i="63" s="1"/>
  <c r="AZ450" i="63"/>
  <c r="AX450" i="63"/>
  <c r="AW450" i="63"/>
  <c r="AU450" i="63"/>
  <c r="AU443" i="63" s="1"/>
  <c r="AT450" i="63"/>
  <c r="AR450" i="63"/>
  <c r="AQ450" i="63"/>
  <c r="AO450" i="63"/>
  <c r="AP450" i="63" s="1"/>
  <c r="AN450" i="63"/>
  <c r="AL450" i="63"/>
  <c r="AL443" i="63" s="1"/>
  <c r="AK450" i="63"/>
  <c r="AI450" i="63"/>
  <c r="AI443" i="63" s="1"/>
  <c r="AH450" i="63"/>
  <c r="AE450" i="63"/>
  <c r="AD450" i="63"/>
  <c r="AC450" i="63"/>
  <c r="X450" i="63"/>
  <c r="W450" i="63"/>
  <c r="R450" i="63"/>
  <c r="Q450" i="63"/>
  <c r="S450" i="63" s="1"/>
  <c r="O450" i="63"/>
  <c r="N450" i="63"/>
  <c r="T450" i="63" s="1"/>
  <c r="L450" i="63"/>
  <c r="H450" i="63"/>
  <c r="H443" i="63" s="1"/>
  <c r="G450" i="63"/>
  <c r="BO449" i="63"/>
  <c r="BI449" i="63"/>
  <c r="BF449" i="63"/>
  <c r="BA449" i="63"/>
  <c r="AW449" i="63"/>
  <c r="AQ449" i="63"/>
  <c r="AK449" i="63"/>
  <c r="X449" i="63"/>
  <c r="H449" i="63"/>
  <c r="G449" i="63"/>
  <c r="BM448" i="63"/>
  <c r="BA448" i="63"/>
  <c r="AW448" i="63"/>
  <c r="AK448" i="63"/>
  <c r="W448" i="63"/>
  <c r="H448" i="63"/>
  <c r="G448" i="63"/>
  <c r="BO447" i="63"/>
  <c r="BM447" i="63"/>
  <c r="BI447" i="63"/>
  <c r="BG447" i="63"/>
  <c r="BF447" i="63"/>
  <c r="BH447" i="63" s="1"/>
  <c r="BC447" i="63"/>
  <c r="AX447" i="63"/>
  <c r="AT447" i="63"/>
  <c r="AQ447" i="63"/>
  <c r="AO447" i="63"/>
  <c r="AI447" i="63"/>
  <c r="X447" i="63"/>
  <c r="Q447" i="63"/>
  <c r="H447" i="63"/>
  <c r="G447" i="63"/>
  <c r="BM446" i="63"/>
  <c r="BA446" i="63"/>
  <c r="AT446" i="63"/>
  <c r="AK446" i="63"/>
  <c r="O446" i="63"/>
  <c r="H446" i="63"/>
  <c r="G446" i="63"/>
  <c r="BO443" i="63"/>
  <c r="BG443" i="63"/>
  <c r="BC443" i="63"/>
  <c r="AX443" i="63"/>
  <c r="AT443" i="63"/>
  <c r="AQ443" i="63"/>
  <c r="AK443" i="63"/>
  <c r="AC443" i="63"/>
  <c r="W443" i="63"/>
  <c r="R443" i="63"/>
  <c r="N443" i="63"/>
  <c r="BQ441" i="63"/>
  <c r="BP441" i="63"/>
  <c r="BO441" i="63"/>
  <c r="BM441" i="63"/>
  <c r="BL441" i="63"/>
  <c r="BJ441" i="63"/>
  <c r="BI441" i="63"/>
  <c r="BG441" i="63"/>
  <c r="BF441" i="63"/>
  <c r="BH441" i="63" s="1"/>
  <c r="BD441" i="63"/>
  <c r="BC441" i="63"/>
  <c r="BA441" i="63"/>
  <c r="BB441" i="63" s="1"/>
  <c r="AZ441" i="63"/>
  <c r="AX441" i="63"/>
  <c r="AW441" i="63"/>
  <c r="AU441" i="63"/>
  <c r="AT441" i="63"/>
  <c r="AR441" i="63"/>
  <c r="AS441" i="63" s="1"/>
  <c r="AQ441" i="63"/>
  <c r="AO441" i="63"/>
  <c r="AP441" i="63" s="1"/>
  <c r="AN441" i="63"/>
  <c r="AL441" i="63"/>
  <c r="AM441" i="63" s="1"/>
  <c r="AK441" i="63"/>
  <c r="AI441" i="63"/>
  <c r="AH441" i="63"/>
  <c r="AD441" i="63"/>
  <c r="AC441" i="63"/>
  <c r="AE441" i="63" s="1"/>
  <c r="X441" i="63"/>
  <c r="W441" i="63"/>
  <c r="R441" i="63"/>
  <c r="Q441" i="63"/>
  <c r="S441" i="63" s="1"/>
  <c r="O441" i="63"/>
  <c r="N441" i="63"/>
  <c r="H441" i="63"/>
  <c r="G441" i="63"/>
  <c r="BQ437" i="63"/>
  <c r="BN437" i="63"/>
  <c r="BK437" i="63"/>
  <c r="BH437" i="63"/>
  <c r="BE437" i="63"/>
  <c r="BB437" i="63"/>
  <c r="AY437" i="63"/>
  <c r="AV437" i="63"/>
  <c r="AS437" i="63"/>
  <c r="AP437" i="63"/>
  <c r="AM437" i="63"/>
  <c r="AJ437" i="63"/>
  <c r="AE437" i="63"/>
  <c r="AB437" i="63"/>
  <c r="Y437" i="63"/>
  <c r="V437" i="63"/>
  <c r="S437" i="63"/>
  <c r="P437" i="63"/>
  <c r="M437" i="63"/>
  <c r="I437" i="63"/>
  <c r="BQ436" i="63"/>
  <c r="BN436" i="63"/>
  <c r="BK436" i="63"/>
  <c r="BH436" i="63"/>
  <c r="BE436" i="63"/>
  <c r="BB436" i="63"/>
  <c r="AY436" i="63"/>
  <c r="AV436" i="63"/>
  <c r="AS436" i="63"/>
  <c r="AP436" i="63"/>
  <c r="AM436" i="63"/>
  <c r="AJ436" i="63"/>
  <c r="AE436" i="63"/>
  <c r="AB436" i="63"/>
  <c r="Y436" i="63"/>
  <c r="V436" i="63"/>
  <c r="S436" i="63"/>
  <c r="P436" i="63"/>
  <c r="M436" i="63"/>
  <c r="I436" i="63"/>
  <c r="BQ435" i="63"/>
  <c r="BN435" i="63"/>
  <c r="BK435" i="63"/>
  <c r="BH435" i="63"/>
  <c r="BE435" i="63"/>
  <c r="BB435" i="63"/>
  <c r="AY435" i="63"/>
  <c r="AV435" i="63"/>
  <c r="AS435" i="63"/>
  <c r="AP435" i="63"/>
  <c r="AM435" i="63"/>
  <c r="AJ435" i="63"/>
  <c r="AE435" i="63"/>
  <c r="AB435" i="63"/>
  <c r="Y435" i="63"/>
  <c r="V435" i="63"/>
  <c r="S435" i="63"/>
  <c r="P435" i="63"/>
  <c r="M435" i="63"/>
  <c r="I435" i="63"/>
  <c r="BQ434" i="63"/>
  <c r="BN434" i="63"/>
  <c r="BK434" i="63"/>
  <c r="BH434" i="63"/>
  <c r="BE434" i="63"/>
  <c r="BB434" i="63"/>
  <c r="AY434" i="63"/>
  <c r="AV434" i="63"/>
  <c r="AS434" i="63"/>
  <c r="AP434" i="63"/>
  <c r="AM434" i="63"/>
  <c r="AJ434" i="63"/>
  <c r="AE434" i="63"/>
  <c r="AB434" i="63"/>
  <c r="Y434" i="63"/>
  <c r="V434" i="63"/>
  <c r="S434" i="63"/>
  <c r="P434" i="63"/>
  <c r="M434" i="63"/>
  <c r="I434" i="63"/>
  <c r="BQ433" i="63"/>
  <c r="BN433" i="63"/>
  <c r="BK433" i="63"/>
  <c r="BH433" i="63"/>
  <c r="BE433" i="63"/>
  <c r="BB433" i="63"/>
  <c r="AY433" i="63"/>
  <c r="AV433" i="63"/>
  <c r="AS433" i="63"/>
  <c r="AP433" i="63"/>
  <c r="AM433" i="63"/>
  <c r="AJ433" i="63"/>
  <c r="AE433" i="63"/>
  <c r="AB433" i="63"/>
  <c r="Y433" i="63"/>
  <c r="V433" i="63"/>
  <c r="S433" i="63"/>
  <c r="P433" i="63"/>
  <c r="M433" i="63"/>
  <c r="I433" i="63"/>
  <c r="BQ432" i="63"/>
  <c r="BN432" i="63"/>
  <c r="BK432" i="63"/>
  <c r="BH432" i="63"/>
  <c r="BE432" i="63"/>
  <c r="BB432" i="63"/>
  <c r="AY432" i="63"/>
  <c r="AV432" i="63"/>
  <c r="AS432" i="63"/>
  <c r="AP432" i="63"/>
  <c r="AM432" i="63"/>
  <c r="AJ432" i="63"/>
  <c r="AE432" i="63"/>
  <c r="AB432" i="63"/>
  <c r="Y432" i="63"/>
  <c r="V432" i="63"/>
  <c r="S432" i="63"/>
  <c r="P432" i="63"/>
  <c r="M432" i="63"/>
  <c r="I432" i="63"/>
  <c r="BQ431" i="63"/>
  <c r="BN431" i="63"/>
  <c r="BK431" i="63"/>
  <c r="BH431" i="63"/>
  <c r="BE431" i="63"/>
  <c r="BB431" i="63"/>
  <c r="AY431" i="63"/>
  <c r="AV431" i="63"/>
  <c r="AS431" i="63"/>
  <c r="AP431" i="63"/>
  <c r="AM431" i="63"/>
  <c r="AJ431" i="63"/>
  <c r="AE431" i="63"/>
  <c r="AB431" i="63"/>
  <c r="Y431" i="63"/>
  <c r="V431" i="63"/>
  <c r="S431" i="63"/>
  <c r="P431" i="63"/>
  <c r="M431" i="63"/>
  <c r="I431" i="63"/>
  <c r="BQ430" i="63"/>
  <c r="BN430" i="63"/>
  <c r="BK430" i="63"/>
  <c r="BH430" i="63"/>
  <c r="BE430" i="63"/>
  <c r="BB430" i="63"/>
  <c r="AY430" i="63"/>
  <c r="AV430" i="63"/>
  <c r="AS430" i="63"/>
  <c r="AP430" i="63"/>
  <c r="AM430" i="63"/>
  <c r="AJ430" i="63"/>
  <c r="AE430" i="63"/>
  <c r="AB430" i="63"/>
  <c r="Y430" i="63"/>
  <c r="V430" i="63"/>
  <c r="S430" i="63"/>
  <c r="P430" i="63"/>
  <c r="M430" i="63"/>
  <c r="I430" i="63"/>
  <c r="BQ429" i="63"/>
  <c r="BN429" i="63"/>
  <c r="BK429" i="63"/>
  <c r="BH429" i="63"/>
  <c r="BE429" i="63"/>
  <c r="BB429" i="63"/>
  <c r="AY429" i="63"/>
  <c r="AV429" i="63"/>
  <c r="AS429" i="63"/>
  <c r="AP429" i="63"/>
  <c r="AM429" i="63"/>
  <c r="AJ429" i="63"/>
  <c r="AE429" i="63"/>
  <c r="AB429" i="63"/>
  <c r="Y429" i="63"/>
  <c r="V429" i="63"/>
  <c r="S429" i="63"/>
  <c r="P429" i="63"/>
  <c r="M429" i="63"/>
  <c r="I429" i="63"/>
  <c r="BQ428" i="63"/>
  <c r="BN428" i="63"/>
  <c r="BK428" i="63"/>
  <c r="BH428" i="63"/>
  <c r="BE428" i="63"/>
  <c r="BB428" i="63"/>
  <c r="AY428" i="63"/>
  <c r="AV428" i="63"/>
  <c r="AS428" i="63"/>
  <c r="AP428" i="63"/>
  <c r="AM428" i="63"/>
  <c r="AJ428" i="63"/>
  <c r="AE428" i="63"/>
  <c r="AB428" i="63"/>
  <c r="Y428" i="63"/>
  <c r="V428" i="63"/>
  <c r="S428" i="63"/>
  <c r="P428" i="63"/>
  <c r="M428" i="63"/>
  <c r="I428" i="63"/>
  <c r="BQ427" i="63"/>
  <c r="BN427" i="63"/>
  <c r="BK427" i="63"/>
  <c r="BH427" i="63"/>
  <c r="BE427" i="63"/>
  <c r="BB427" i="63"/>
  <c r="AY427" i="63"/>
  <c r="AV427" i="63"/>
  <c r="AS427" i="63"/>
  <c r="AP427" i="63"/>
  <c r="AM427" i="63"/>
  <c r="AJ427" i="63"/>
  <c r="AE427" i="63"/>
  <c r="AB427" i="63"/>
  <c r="Y427" i="63"/>
  <c r="V427" i="63"/>
  <c r="S427" i="63"/>
  <c r="P427" i="63"/>
  <c r="M427" i="63"/>
  <c r="I427" i="63"/>
  <c r="BP426" i="63"/>
  <c r="BO426" i="63"/>
  <c r="BQ426" i="63" s="1"/>
  <c r="BM426" i="63"/>
  <c r="BL426" i="63"/>
  <c r="BJ426" i="63"/>
  <c r="BI426" i="63"/>
  <c r="BG426" i="63"/>
  <c r="BF426" i="63"/>
  <c r="BH426" i="63" s="1"/>
  <c r="BD426" i="63"/>
  <c r="BC426" i="63"/>
  <c r="BA426" i="63"/>
  <c r="AZ426" i="63"/>
  <c r="AX426" i="63"/>
  <c r="AW426" i="63"/>
  <c r="AU426" i="63"/>
  <c r="AT426" i="63"/>
  <c r="AR426" i="63"/>
  <c r="AS426" i="63" s="1"/>
  <c r="AQ426" i="63"/>
  <c r="AO426" i="63"/>
  <c r="AN426" i="63"/>
  <c r="AL426" i="63"/>
  <c r="AK426" i="63"/>
  <c r="AI426" i="63"/>
  <c r="AH426" i="63"/>
  <c r="AD426" i="63"/>
  <c r="AE426" i="63" s="1"/>
  <c r="AC426" i="63"/>
  <c r="X426" i="63"/>
  <c r="Y426" i="63" s="1"/>
  <c r="W426" i="63"/>
  <c r="T426" i="63"/>
  <c r="R426" i="63"/>
  <c r="U426" i="63" s="1"/>
  <c r="Q426" i="63"/>
  <c r="O426" i="63"/>
  <c r="N426" i="63"/>
  <c r="H426" i="63"/>
  <c r="G426" i="63"/>
  <c r="I426" i="63" s="1"/>
  <c r="BP425" i="63"/>
  <c r="BO425" i="63"/>
  <c r="BM425" i="63"/>
  <c r="BL425" i="63"/>
  <c r="BN425" i="63" s="1"/>
  <c r="BJ425" i="63"/>
  <c r="BI425" i="63"/>
  <c r="BG425" i="63"/>
  <c r="BF425" i="63"/>
  <c r="BH425" i="63" s="1"/>
  <c r="BD425" i="63"/>
  <c r="BC425" i="63"/>
  <c r="BA425" i="63"/>
  <c r="BB425" i="63" s="1"/>
  <c r="AZ425" i="63"/>
  <c r="AX425" i="63"/>
  <c r="AW425" i="63"/>
  <c r="AU425" i="63"/>
  <c r="AT425" i="63"/>
  <c r="AR425" i="63"/>
  <c r="AS425" i="63" s="1"/>
  <c r="AQ425" i="63"/>
  <c r="AO425" i="63"/>
  <c r="AN425" i="63"/>
  <c r="AL425" i="63"/>
  <c r="AK425" i="63"/>
  <c r="AI425" i="63"/>
  <c r="AH425" i="63"/>
  <c r="AD425" i="63"/>
  <c r="AE425" i="63" s="1"/>
  <c r="AC425" i="63"/>
  <c r="X425" i="63"/>
  <c r="Y425" i="63" s="1"/>
  <c r="W425" i="63"/>
  <c r="T425" i="63"/>
  <c r="R425" i="63"/>
  <c r="U425" i="63" s="1"/>
  <c r="Q425" i="63"/>
  <c r="O425" i="63"/>
  <c r="N425" i="63"/>
  <c r="P425" i="63" s="1"/>
  <c r="H425" i="63"/>
  <c r="G425" i="63"/>
  <c r="BP424" i="63"/>
  <c r="BQ424" i="63" s="1"/>
  <c r="BO424" i="63"/>
  <c r="BM424" i="63"/>
  <c r="BN424" i="63" s="1"/>
  <c r="BL424" i="63"/>
  <c r="BJ424" i="63"/>
  <c r="BK424" i="63" s="1"/>
  <c r="BI424" i="63"/>
  <c r="BG424" i="63"/>
  <c r="BF424" i="63"/>
  <c r="BD424" i="63"/>
  <c r="BC424" i="63"/>
  <c r="BA424" i="63"/>
  <c r="BB424" i="63" s="1"/>
  <c r="AZ424" i="63"/>
  <c r="AX424" i="63"/>
  <c r="AW424" i="63"/>
  <c r="AU424" i="63"/>
  <c r="AT424" i="63"/>
  <c r="AR424" i="63"/>
  <c r="AQ424" i="63"/>
  <c r="AS424" i="63" s="1"/>
  <c r="AO424" i="63"/>
  <c r="AN424" i="63"/>
  <c r="AL424" i="63"/>
  <c r="AK424" i="63"/>
  <c r="AI424" i="63"/>
  <c r="AH424" i="63"/>
  <c r="AD424" i="63"/>
  <c r="AC424" i="63"/>
  <c r="AE424" i="63" s="1"/>
  <c r="X424" i="63"/>
  <c r="W424" i="63"/>
  <c r="T424" i="63"/>
  <c r="R424" i="63"/>
  <c r="U424" i="63" s="1"/>
  <c r="Q424" i="63"/>
  <c r="O424" i="63"/>
  <c r="N424" i="63"/>
  <c r="P424" i="63" s="1"/>
  <c r="H424" i="63"/>
  <c r="G424" i="63"/>
  <c r="BP423" i="63"/>
  <c r="BO423" i="63"/>
  <c r="BQ423" i="63" s="1"/>
  <c r="BM423" i="63"/>
  <c r="BL423" i="63"/>
  <c r="BJ423" i="63"/>
  <c r="BI423" i="63"/>
  <c r="BG423" i="63"/>
  <c r="BF423" i="63"/>
  <c r="BD423" i="63"/>
  <c r="BE423" i="63" s="1"/>
  <c r="BC423" i="63"/>
  <c r="BA423" i="63"/>
  <c r="BB423" i="63" s="1"/>
  <c r="AZ423" i="63"/>
  <c r="AX423" i="63"/>
  <c r="AW423" i="63"/>
  <c r="AU423" i="63"/>
  <c r="AT423" i="63"/>
  <c r="AR423" i="63"/>
  <c r="AQ423" i="63"/>
  <c r="AO423" i="63"/>
  <c r="AP423" i="63" s="1"/>
  <c r="AN423" i="63"/>
  <c r="AL423" i="63"/>
  <c r="AM423" i="63" s="1"/>
  <c r="AK423" i="63"/>
  <c r="AI423" i="63"/>
  <c r="AH423" i="63"/>
  <c r="AE423" i="63"/>
  <c r="AD423" i="63"/>
  <c r="AC423" i="63"/>
  <c r="X423" i="63"/>
  <c r="W423" i="63"/>
  <c r="R423" i="63"/>
  <c r="U423" i="63" s="1"/>
  <c r="Q423" i="63"/>
  <c r="S423" i="63" s="1"/>
  <c r="O423" i="63"/>
  <c r="N423" i="63"/>
  <c r="H423" i="63"/>
  <c r="G423" i="63"/>
  <c r="I423" i="63" s="1"/>
  <c r="BP422" i="63"/>
  <c r="BO422" i="63"/>
  <c r="BM422" i="63"/>
  <c r="BL422" i="63"/>
  <c r="BN422" i="63" s="1"/>
  <c r="BJ422" i="63"/>
  <c r="BI422" i="63"/>
  <c r="BG422" i="63"/>
  <c r="BF422" i="63"/>
  <c r="BH422" i="63" s="1"/>
  <c r="BD422" i="63"/>
  <c r="BC422" i="63"/>
  <c r="BA422" i="63"/>
  <c r="AZ422" i="63"/>
  <c r="AX422" i="63"/>
  <c r="AW422" i="63"/>
  <c r="AU422" i="63"/>
  <c r="AT422" i="63"/>
  <c r="AR422" i="63"/>
  <c r="AQ422" i="63"/>
  <c r="AS422" i="63" s="1"/>
  <c r="AO422" i="63"/>
  <c r="AN422" i="63"/>
  <c r="AL422" i="63"/>
  <c r="AK422" i="63"/>
  <c r="AI422" i="63"/>
  <c r="AH422" i="63"/>
  <c r="AD422" i="63"/>
  <c r="AE422" i="63" s="1"/>
  <c r="AC422" i="63"/>
  <c r="X422" i="63"/>
  <c r="W422" i="63"/>
  <c r="R422" i="63"/>
  <c r="U422" i="63" s="1"/>
  <c r="Q422" i="63"/>
  <c r="O422" i="63"/>
  <c r="N422" i="63"/>
  <c r="H422" i="63"/>
  <c r="G422" i="63"/>
  <c r="BP421" i="63"/>
  <c r="BO421" i="63"/>
  <c r="BM421" i="63"/>
  <c r="BN421" i="63" s="1"/>
  <c r="BL421" i="63"/>
  <c r="BJ421" i="63"/>
  <c r="BK421" i="63" s="1"/>
  <c r="BI421" i="63"/>
  <c r="BG421" i="63"/>
  <c r="BF421" i="63"/>
  <c r="BE421" i="63"/>
  <c r="BD421" i="63"/>
  <c r="BC421" i="63"/>
  <c r="BA421" i="63"/>
  <c r="AZ421" i="63"/>
  <c r="AX421" i="63"/>
  <c r="AW421" i="63"/>
  <c r="AU421" i="63"/>
  <c r="AT421" i="63"/>
  <c r="AV421" i="63" s="1"/>
  <c r="AR421" i="63"/>
  <c r="AQ421" i="63"/>
  <c r="AO421" i="63"/>
  <c r="AP421" i="63" s="1"/>
  <c r="AN421" i="63"/>
  <c r="AL421" i="63"/>
  <c r="AK421" i="63"/>
  <c r="AI421" i="63"/>
  <c r="AH421" i="63"/>
  <c r="AD421" i="63"/>
  <c r="AE421" i="63" s="1"/>
  <c r="AC421" i="63"/>
  <c r="X421" i="63"/>
  <c r="W421" i="63"/>
  <c r="R421" i="63"/>
  <c r="U421" i="63" s="1"/>
  <c r="Q421" i="63"/>
  <c r="O421" i="63"/>
  <c r="N421" i="63"/>
  <c r="H421" i="63"/>
  <c r="G421" i="63"/>
  <c r="BP419" i="63"/>
  <c r="BO419" i="63"/>
  <c r="BM419" i="63"/>
  <c r="BN419" i="63" s="1"/>
  <c r="BL419" i="63"/>
  <c r="BJ419" i="63"/>
  <c r="BK419" i="63" s="1"/>
  <c r="BI419" i="63"/>
  <c r="BG419" i="63"/>
  <c r="BF419" i="63"/>
  <c r="BE419" i="63"/>
  <c r="BD419" i="63"/>
  <c r="BC419" i="63"/>
  <c r="BA419" i="63"/>
  <c r="AZ419" i="63"/>
  <c r="AX419" i="63"/>
  <c r="AW419" i="63"/>
  <c r="AU419" i="63"/>
  <c r="AT419" i="63"/>
  <c r="AV419" i="63" s="1"/>
  <c r="AR419" i="63"/>
  <c r="AQ419" i="63"/>
  <c r="AO419" i="63"/>
  <c r="AP419" i="63" s="1"/>
  <c r="AN419" i="63"/>
  <c r="AL419" i="63"/>
  <c r="AK419" i="63"/>
  <c r="AI419" i="63"/>
  <c r="AH419" i="63"/>
  <c r="AD419" i="63"/>
  <c r="AE419" i="63" s="1"/>
  <c r="AC419" i="63"/>
  <c r="X419" i="63"/>
  <c r="Y419" i="63" s="1"/>
  <c r="W419" i="63"/>
  <c r="T419" i="63"/>
  <c r="R419" i="63"/>
  <c r="U419" i="63" s="1"/>
  <c r="Q419" i="63"/>
  <c r="O419" i="63"/>
  <c r="N419" i="63"/>
  <c r="H419" i="63"/>
  <c r="G419" i="63"/>
  <c r="I419" i="63" s="1"/>
  <c r="BQ418" i="63"/>
  <c r="BN418" i="63"/>
  <c r="BK418" i="63"/>
  <c r="BH418" i="63"/>
  <c r="BE418" i="63"/>
  <c r="BB418" i="63"/>
  <c r="AY418" i="63"/>
  <c r="AV418" i="63"/>
  <c r="AS418" i="63"/>
  <c r="AP418" i="63"/>
  <c r="AM418" i="63"/>
  <c r="AJ418" i="63"/>
  <c r="AE418" i="63"/>
  <c r="Y418" i="63"/>
  <c r="U418" i="63"/>
  <c r="T418" i="63"/>
  <c r="S418" i="63"/>
  <c r="P418" i="63"/>
  <c r="H418" i="63"/>
  <c r="G418" i="63"/>
  <c r="BP417" i="63"/>
  <c r="BO417" i="63"/>
  <c r="BQ417" i="63" s="1"/>
  <c r="BM417" i="63"/>
  <c r="BL417" i="63"/>
  <c r="BJ417" i="63"/>
  <c r="BI417" i="63"/>
  <c r="BG417" i="63"/>
  <c r="BF417" i="63"/>
  <c r="BD417" i="63"/>
  <c r="BE417" i="63" s="1"/>
  <c r="BC417" i="63"/>
  <c r="BA417" i="63"/>
  <c r="AZ417" i="63"/>
  <c r="AX417" i="63"/>
  <c r="AW417" i="63"/>
  <c r="AU417" i="63"/>
  <c r="AT417" i="63"/>
  <c r="AR417" i="63"/>
  <c r="AS417" i="63" s="1"/>
  <c r="AQ417" i="63"/>
  <c r="AO417" i="63"/>
  <c r="AN417" i="63"/>
  <c r="AP417" i="63" s="1"/>
  <c r="AL417" i="63"/>
  <c r="AK417" i="63"/>
  <c r="AI417" i="63"/>
  <c r="AH417" i="63"/>
  <c r="AJ417" i="63" s="1"/>
  <c r="AD417" i="63"/>
  <c r="AC417" i="63"/>
  <c r="X417" i="63"/>
  <c r="W417" i="63"/>
  <c r="R417" i="63"/>
  <c r="U417" i="63" s="1"/>
  <c r="Q417" i="63"/>
  <c r="T417" i="63" s="1"/>
  <c r="O417" i="63"/>
  <c r="P417" i="63" s="1"/>
  <c r="N417" i="63"/>
  <c r="H417" i="63"/>
  <c r="G417" i="63"/>
  <c r="BQ416" i="63"/>
  <c r="BN416" i="63"/>
  <c r="BK416" i="63"/>
  <c r="BH416" i="63"/>
  <c r="BE416" i="63"/>
  <c r="BB416" i="63"/>
  <c r="AY416" i="63"/>
  <c r="AV416" i="63"/>
  <c r="AS416" i="63"/>
  <c r="AP416" i="63"/>
  <c r="AM416" i="63"/>
  <c r="AJ416" i="63"/>
  <c r="AE416" i="63"/>
  <c r="Y416" i="63"/>
  <c r="U416" i="63"/>
  <c r="T416" i="63"/>
  <c r="S416" i="63"/>
  <c r="P416" i="63"/>
  <c r="H416" i="63"/>
  <c r="G416" i="63"/>
  <c r="BP415" i="63"/>
  <c r="BQ415" i="63" s="1"/>
  <c r="BO415" i="63"/>
  <c r="BN415" i="63"/>
  <c r="BM415" i="63"/>
  <c r="BL415" i="63"/>
  <c r="BJ415" i="63"/>
  <c r="BI415" i="63"/>
  <c r="BG415" i="63"/>
  <c r="BF415" i="63"/>
  <c r="BH415" i="63" s="1"/>
  <c r="BD415" i="63"/>
  <c r="BC415" i="63"/>
  <c r="BA415" i="63"/>
  <c r="AZ415" i="63"/>
  <c r="BB415" i="63" s="1"/>
  <c r="AX415" i="63"/>
  <c r="AW415" i="63"/>
  <c r="AU415" i="63"/>
  <c r="AT415" i="63"/>
  <c r="AV415" i="63" s="1"/>
  <c r="AR415" i="63"/>
  <c r="AQ415" i="63"/>
  <c r="AO415" i="63"/>
  <c r="AP415" i="63" s="1"/>
  <c r="AN415" i="63"/>
  <c r="AL415" i="63"/>
  <c r="AK415" i="63"/>
  <c r="AI415" i="63"/>
  <c r="AH415" i="63"/>
  <c r="AD415" i="63"/>
  <c r="AE415" i="63" s="1"/>
  <c r="AC415" i="63"/>
  <c r="X415" i="63"/>
  <c r="W415" i="63"/>
  <c r="T415" i="63"/>
  <c r="R415" i="63"/>
  <c r="U415" i="63" s="1"/>
  <c r="Q415" i="63"/>
  <c r="O415" i="63"/>
  <c r="P415" i="63" s="1"/>
  <c r="N415" i="63"/>
  <c r="H415" i="63"/>
  <c r="G415" i="63"/>
  <c r="BQ414" i="63"/>
  <c r="BN414" i="63"/>
  <c r="BK414" i="63"/>
  <c r="BH414" i="63"/>
  <c r="BE414" i="63"/>
  <c r="BB414" i="63"/>
  <c r="AY414" i="63"/>
  <c r="AV414" i="63"/>
  <c r="AS414" i="63"/>
  <c r="AP414" i="63"/>
  <c r="AM414" i="63"/>
  <c r="AJ414" i="63"/>
  <c r="AE414" i="63"/>
  <c r="Y414" i="63"/>
  <c r="U414" i="63"/>
  <c r="T414" i="63"/>
  <c r="S414" i="63"/>
  <c r="P414" i="63"/>
  <c r="H414" i="63"/>
  <c r="G414" i="63"/>
  <c r="U413" i="63"/>
  <c r="V413" i="63" s="1"/>
  <c r="T413" i="63"/>
  <c r="D413" i="63"/>
  <c r="BP412" i="63"/>
  <c r="BO412" i="63"/>
  <c r="BM412" i="63"/>
  <c r="BL412" i="63"/>
  <c r="BJ412" i="63"/>
  <c r="BI412" i="63"/>
  <c r="BG412" i="63"/>
  <c r="BF412" i="63"/>
  <c r="BD412" i="63"/>
  <c r="BE412" i="63" s="1"/>
  <c r="BC412" i="63"/>
  <c r="BA412" i="63"/>
  <c r="BB412" i="63" s="1"/>
  <c r="AZ412" i="63"/>
  <c r="AX412" i="63"/>
  <c r="AY412" i="63" s="1"/>
  <c r="AW412" i="63"/>
  <c r="AU412" i="63"/>
  <c r="AT412" i="63"/>
  <c r="AR412" i="63"/>
  <c r="AQ412" i="63"/>
  <c r="AO412" i="63"/>
  <c r="AN412" i="63"/>
  <c r="AL412" i="63"/>
  <c r="AK412" i="63"/>
  <c r="AI412" i="63"/>
  <c r="AH412" i="63"/>
  <c r="AD412" i="63"/>
  <c r="AE412" i="63" s="1"/>
  <c r="AC412" i="63"/>
  <c r="X412" i="63"/>
  <c r="W412" i="63"/>
  <c r="R412" i="63"/>
  <c r="U412" i="63" s="1"/>
  <c r="Q412" i="63"/>
  <c r="T412" i="63" s="1"/>
  <c r="O412" i="63"/>
  <c r="P412" i="63" s="1"/>
  <c r="N412" i="63"/>
  <c r="H412" i="63"/>
  <c r="G412" i="63"/>
  <c r="BQ411" i="63"/>
  <c r="BN411" i="63"/>
  <c r="BK411" i="63"/>
  <c r="BH411" i="63"/>
  <c r="BE411" i="63"/>
  <c r="BB411" i="63"/>
  <c r="AY411" i="63"/>
  <c r="AV411" i="63"/>
  <c r="AS411" i="63"/>
  <c r="AP411" i="63"/>
  <c r="AM411" i="63"/>
  <c r="AJ411" i="63"/>
  <c r="AE411" i="63"/>
  <c r="Y411" i="63"/>
  <c r="U411" i="63"/>
  <c r="T411" i="63"/>
  <c r="S411" i="63"/>
  <c r="P411" i="63"/>
  <c r="H411" i="63"/>
  <c r="G411" i="63"/>
  <c r="BQ410" i="63"/>
  <c r="BP410" i="63"/>
  <c r="BO410" i="63"/>
  <c r="BM410" i="63"/>
  <c r="BL410" i="63"/>
  <c r="BJ410" i="63"/>
  <c r="BI410" i="63"/>
  <c r="BG410" i="63"/>
  <c r="BF410" i="63"/>
  <c r="BH410" i="63" s="1"/>
  <c r="BD410" i="63"/>
  <c r="BC410" i="63"/>
  <c r="BA410" i="63"/>
  <c r="BB410" i="63" s="1"/>
  <c r="AZ410" i="63"/>
  <c r="AX410" i="63"/>
  <c r="AW410" i="63"/>
  <c r="AU410" i="63"/>
  <c r="AT410" i="63"/>
  <c r="AR410" i="63"/>
  <c r="AS410" i="63" s="1"/>
  <c r="AQ410" i="63"/>
  <c r="AO410" i="63"/>
  <c r="AP410" i="63" s="1"/>
  <c r="AN410" i="63"/>
  <c r="AL410" i="63"/>
  <c r="AM410" i="63" s="1"/>
  <c r="AK410" i="63"/>
  <c r="AI410" i="63"/>
  <c r="AH410" i="63"/>
  <c r="AD410" i="63"/>
  <c r="AC410" i="63"/>
  <c r="AE410" i="63" s="1"/>
  <c r="X410" i="63"/>
  <c r="W410" i="63"/>
  <c r="R410" i="63"/>
  <c r="U410" i="63" s="1"/>
  <c r="Q410" i="63"/>
  <c r="S410" i="63" s="1"/>
  <c r="O410" i="63"/>
  <c r="N410" i="63"/>
  <c r="H410" i="63"/>
  <c r="G410" i="63"/>
  <c r="BQ409" i="63"/>
  <c r="BN409" i="63"/>
  <c r="BK409" i="63"/>
  <c r="BH409" i="63"/>
  <c r="BE409" i="63"/>
  <c r="BB409" i="63"/>
  <c r="AY409" i="63"/>
  <c r="AV409" i="63"/>
  <c r="AS409" i="63"/>
  <c r="AP409" i="63"/>
  <c r="AM409" i="63"/>
  <c r="AJ409" i="63"/>
  <c r="AE409" i="63"/>
  <c r="Y409" i="63"/>
  <c r="U409" i="63"/>
  <c r="T409" i="63"/>
  <c r="V409" i="63" s="1"/>
  <c r="S409" i="63"/>
  <c r="P409" i="63"/>
  <c r="H409" i="63"/>
  <c r="G409" i="63"/>
  <c r="I409" i="63" s="1"/>
  <c r="BP408" i="63"/>
  <c r="BO408" i="63"/>
  <c r="BM408" i="63"/>
  <c r="BL408" i="63"/>
  <c r="BJ408" i="63"/>
  <c r="BI408" i="63"/>
  <c r="BG408" i="63"/>
  <c r="BF408" i="63"/>
  <c r="BH408" i="63" s="1"/>
  <c r="BD408" i="63"/>
  <c r="BE408" i="63" s="1"/>
  <c r="BC408" i="63"/>
  <c r="BA408" i="63"/>
  <c r="AZ408" i="63"/>
  <c r="AX408" i="63"/>
  <c r="AW408" i="63"/>
  <c r="AU408" i="63"/>
  <c r="AT408" i="63"/>
  <c r="AS408" i="63"/>
  <c r="AR408" i="63"/>
  <c r="AQ408" i="63"/>
  <c r="AO408" i="63"/>
  <c r="AP408" i="63" s="1"/>
  <c r="AN408" i="63"/>
  <c r="AL408" i="63"/>
  <c r="AK408" i="63"/>
  <c r="AI408" i="63"/>
  <c r="AH408" i="63"/>
  <c r="AD408" i="63"/>
  <c r="AC408" i="63"/>
  <c r="AE408" i="63" s="1"/>
  <c r="X408" i="63"/>
  <c r="W408" i="63"/>
  <c r="R408" i="63"/>
  <c r="Q408" i="63"/>
  <c r="T408" i="63" s="1"/>
  <c r="O408" i="63"/>
  <c r="N408" i="63"/>
  <c r="H408" i="63"/>
  <c r="G408" i="63"/>
  <c r="BQ407" i="63"/>
  <c r="BN407" i="63"/>
  <c r="BK407" i="63"/>
  <c r="BH407" i="63"/>
  <c r="BE407" i="63"/>
  <c r="BB407" i="63"/>
  <c r="AY407" i="63"/>
  <c r="AV407" i="63"/>
  <c r="AS407" i="63"/>
  <c r="AP407" i="63"/>
  <c r="AM407" i="63"/>
  <c r="AJ407" i="63"/>
  <c r="AE407" i="63"/>
  <c r="Y407" i="63"/>
  <c r="U407" i="63"/>
  <c r="T407" i="63"/>
  <c r="S407" i="63"/>
  <c r="P407" i="63"/>
  <c r="H407" i="63"/>
  <c r="G407" i="63"/>
  <c r="U406" i="63"/>
  <c r="V406" i="63" s="1"/>
  <c r="T406" i="63"/>
  <c r="D406" i="63"/>
  <c r="BP405" i="63"/>
  <c r="BO405" i="63"/>
  <c r="BM405" i="63"/>
  <c r="BL405" i="63"/>
  <c r="BJ405" i="63"/>
  <c r="BI405" i="63"/>
  <c r="BG405" i="63"/>
  <c r="BF405" i="63"/>
  <c r="BD405" i="63"/>
  <c r="BE405" i="63" s="1"/>
  <c r="BC405" i="63"/>
  <c r="BA405" i="63"/>
  <c r="AZ405" i="63"/>
  <c r="AX405" i="63"/>
  <c r="AY405" i="63" s="1"/>
  <c r="AW405" i="63"/>
  <c r="AU405" i="63"/>
  <c r="AT405" i="63"/>
  <c r="AR405" i="63"/>
  <c r="AQ405" i="63"/>
  <c r="AS405" i="63" s="1"/>
  <c r="AO405" i="63"/>
  <c r="AP405" i="63" s="1"/>
  <c r="AN405" i="63"/>
  <c r="AL405" i="63"/>
  <c r="AK405" i="63"/>
  <c r="AI405" i="63"/>
  <c r="AJ405" i="63" s="1"/>
  <c r="AH405" i="63"/>
  <c r="AD405" i="63"/>
  <c r="AC405" i="63"/>
  <c r="AE405" i="63" s="1"/>
  <c r="X405" i="63"/>
  <c r="W405" i="63"/>
  <c r="R405" i="63"/>
  <c r="Q405" i="63"/>
  <c r="T405" i="63" s="1"/>
  <c r="O405" i="63"/>
  <c r="N405" i="63"/>
  <c r="H405" i="63"/>
  <c r="G405" i="63"/>
  <c r="BQ404" i="63"/>
  <c r="BN404" i="63"/>
  <c r="BK404" i="63"/>
  <c r="BH404" i="63"/>
  <c r="BE404" i="63"/>
  <c r="BB404" i="63"/>
  <c r="AY404" i="63"/>
  <c r="AV404" i="63"/>
  <c r="AS404" i="63"/>
  <c r="AP404" i="63"/>
  <c r="AM404" i="63"/>
  <c r="AJ404" i="63"/>
  <c r="AE404" i="63"/>
  <c r="Y404" i="63"/>
  <c r="U404" i="63"/>
  <c r="V404" i="63" s="1"/>
  <c r="T404" i="63"/>
  <c r="S404" i="63"/>
  <c r="P404" i="63"/>
  <c r="H404" i="63"/>
  <c r="G404" i="63"/>
  <c r="BP403" i="63"/>
  <c r="BO403" i="63"/>
  <c r="BQ403" i="63" s="1"/>
  <c r="BM403" i="63"/>
  <c r="BL403" i="63"/>
  <c r="BJ403" i="63"/>
  <c r="BI403" i="63"/>
  <c r="BG403" i="63"/>
  <c r="BF403" i="63"/>
  <c r="BD403" i="63"/>
  <c r="BC403" i="63"/>
  <c r="BA403" i="63"/>
  <c r="BB403" i="63" s="1"/>
  <c r="AZ403" i="63"/>
  <c r="AX403" i="63"/>
  <c r="AW403" i="63"/>
  <c r="AU403" i="63"/>
  <c r="AT403" i="63"/>
  <c r="AR403" i="63"/>
  <c r="AS403" i="63" s="1"/>
  <c r="AQ403" i="63"/>
  <c r="AO403" i="63"/>
  <c r="AP403" i="63" s="1"/>
  <c r="AN403" i="63"/>
  <c r="AL403" i="63"/>
  <c r="AK403" i="63"/>
  <c r="AI403" i="63"/>
  <c r="AH403" i="63"/>
  <c r="AE403" i="63"/>
  <c r="AD403" i="63"/>
  <c r="AC403" i="63"/>
  <c r="X403" i="63"/>
  <c r="W403" i="63"/>
  <c r="R403" i="63"/>
  <c r="U403" i="63" s="1"/>
  <c r="Q403" i="63"/>
  <c r="S403" i="63" s="1"/>
  <c r="O403" i="63"/>
  <c r="N403" i="63"/>
  <c r="H403" i="63"/>
  <c r="G403" i="63"/>
  <c r="BQ402" i="63"/>
  <c r="BN402" i="63"/>
  <c r="BK402" i="63"/>
  <c r="BH402" i="63"/>
  <c r="BE402" i="63"/>
  <c r="BB402" i="63"/>
  <c r="AY402" i="63"/>
  <c r="AV402" i="63"/>
  <c r="AS402" i="63"/>
  <c r="AP402" i="63"/>
  <c r="AM402" i="63"/>
  <c r="AJ402" i="63"/>
  <c r="AE402" i="63"/>
  <c r="Y402" i="63"/>
  <c r="U402" i="63"/>
  <c r="T402" i="63"/>
  <c r="S402" i="63"/>
  <c r="P402" i="63"/>
  <c r="H402" i="63"/>
  <c r="G402" i="63"/>
  <c r="BP401" i="63"/>
  <c r="BO401" i="63"/>
  <c r="BM401" i="63"/>
  <c r="BL401" i="63"/>
  <c r="BJ401" i="63"/>
  <c r="BI401" i="63"/>
  <c r="BG401" i="63"/>
  <c r="BF401" i="63"/>
  <c r="BD401" i="63"/>
  <c r="BC401" i="63"/>
  <c r="BA401" i="63"/>
  <c r="AZ401" i="63"/>
  <c r="AX401" i="63"/>
  <c r="AW401" i="63"/>
  <c r="AU401" i="63"/>
  <c r="AT401" i="63"/>
  <c r="AR401" i="63"/>
  <c r="AQ401" i="63"/>
  <c r="AO401" i="63"/>
  <c r="AP401" i="63" s="1"/>
  <c r="AN401" i="63"/>
  <c r="AL401" i="63"/>
  <c r="AK401" i="63"/>
  <c r="AI401" i="63"/>
  <c r="AH401" i="63"/>
  <c r="AD401" i="63"/>
  <c r="AC401" i="63"/>
  <c r="AE401" i="63" s="1"/>
  <c r="X401" i="63"/>
  <c r="W401" i="63"/>
  <c r="R401" i="63"/>
  <c r="U401" i="63" s="1"/>
  <c r="Q401" i="63"/>
  <c r="T401" i="63" s="1"/>
  <c r="O401" i="63"/>
  <c r="N401" i="63"/>
  <c r="H401" i="63"/>
  <c r="G401" i="63"/>
  <c r="BQ400" i="63"/>
  <c r="BN400" i="63"/>
  <c r="BK400" i="63"/>
  <c r="BH400" i="63"/>
  <c r="BE400" i="63"/>
  <c r="BB400" i="63"/>
  <c r="AY400" i="63"/>
  <c r="AV400" i="63"/>
  <c r="AS400" i="63"/>
  <c r="AP400" i="63"/>
  <c r="AM400" i="63"/>
  <c r="AJ400" i="63"/>
  <c r="AE400" i="63"/>
  <c r="Y400" i="63"/>
  <c r="U400" i="63"/>
  <c r="T400" i="63"/>
  <c r="S400" i="63"/>
  <c r="P400" i="63"/>
  <c r="H400" i="63"/>
  <c r="G400" i="63"/>
  <c r="D399" i="63"/>
  <c r="BP398" i="63"/>
  <c r="BO398" i="63"/>
  <c r="BN398" i="63"/>
  <c r="BM398" i="63"/>
  <c r="BL398" i="63"/>
  <c r="BJ398" i="63"/>
  <c r="BI398" i="63"/>
  <c r="BG398" i="63"/>
  <c r="BF398" i="63"/>
  <c r="BD398" i="63"/>
  <c r="BC398" i="63"/>
  <c r="BA398" i="63"/>
  <c r="AZ398" i="63"/>
  <c r="AY398" i="63"/>
  <c r="AX398" i="63"/>
  <c r="AW398" i="63"/>
  <c r="AU398" i="63"/>
  <c r="AT398" i="63"/>
  <c r="AR398" i="63"/>
  <c r="AQ398" i="63"/>
  <c r="AO398" i="63"/>
  <c r="AN398" i="63"/>
  <c r="AL398" i="63"/>
  <c r="AM398" i="63" s="1"/>
  <c r="AK398" i="63"/>
  <c r="AI398" i="63"/>
  <c r="AH398" i="63"/>
  <c r="AD398" i="63"/>
  <c r="AE398" i="63" s="1"/>
  <c r="AC398" i="63"/>
  <c r="X398" i="63"/>
  <c r="W398" i="63"/>
  <c r="R398" i="63"/>
  <c r="Q398" i="63"/>
  <c r="T398" i="63" s="1"/>
  <c r="O398" i="63"/>
  <c r="N398" i="63"/>
  <c r="P398" i="63" s="1"/>
  <c r="H398" i="63"/>
  <c r="I398" i="63" s="1"/>
  <c r="G398" i="63"/>
  <c r="BQ397" i="63"/>
  <c r="BN397" i="63"/>
  <c r="BK397" i="63"/>
  <c r="BH397" i="63"/>
  <c r="BE397" i="63"/>
  <c r="BB397" i="63"/>
  <c r="AY397" i="63"/>
  <c r="AV397" i="63"/>
  <c r="AS397" i="63"/>
  <c r="AP397" i="63"/>
  <c r="AM397" i="63"/>
  <c r="AJ397" i="63"/>
  <c r="AE397" i="63"/>
  <c r="Y397" i="63"/>
  <c r="U397" i="63"/>
  <c r="T397" i="63"/>
  <c r="S397" i="63"/>
  <c r="P397" i="63"/>
  <c r="H397" i="63"/>
  <c r="G397" i="63"/>
  <c r="BP396" i="63"/>
  <c r="BO396" i="63"/>
  <c r="BM396" i="63"/>
  <c r="BL396" i="63"/>
  <c r="BJ396" i="63"/>
  <c r="BI396" i="63"/>
  <c r="BG396" i="63"/>
  <c r="BF396" i="63"/>
  <c r="BD396" i="63"/>
  <c r="BC396" i="63"/>
  <c r="BA396" i="63"/>
  <c r="BB396" i="63" s="1"/>
  <c r="AZ396" i="63"/>
  <c r="AX396" i="63"/>
  <c r="AW396" i="63"/>
  <c r="AY396" i="63" s="1"/>
  <c r="AU396" i="63"/>
  <c r="AT396" i="63"/>
  <c r="AR396" i="63"/>
  <c r="AQ396" i="63"/>
  <c r="AO396" i="63"/>
  <c r="AP396" i="63" s="1"/>
  <c r="AN396" i="63"/>
  <c r="AL396" i="63"/>
  <c r="AK396" i="63"/>
  <c r="AI396" i="63"/>
  <c r="AH396" i="63"/>
  <c r="AD396" i="63"/>
  <c r="AC396" i="63"/>
  <c r="X396" i="63"/>
  <c r="Y396" i="63" s="1"/>
  <c r="W396" i="63"/>
  <c r="R396" i="63"/>
  <c r="U396" i="63" s="1"/>
  <c r="Q396" i="63"/>
  <c r="T396" i="63" s="1"/>
  <c r="O396" i="63"/>
  <c r="N396" i="63"/>
  <c r="H396" i="63"/>
  <c r="G396" i="63"/>
  <c r="BQ395" i="63"/>
  <c r="BN395" i="63"/>
  <c r="BK395" i="63"/>
  <c r="BH395" i="63"/>
  <c r="BE395" i="63"/>
  <c r="BB395" i="63"/>
  <c r="AY395" i="63"/>
  <c r="AV395" i="63"/>
  <c r="AS395" i="63"/>
  <c r="AP395" i="63"/>
  <c r="AM395" i="63"/>
  <c r="AJ395" i="63"/>
  <c r="AE395" i="63"/>
  <c r="Y395" i="63"/>
  <c r="U395" i="63"/>
  <c r="T395" i="63"/>
  <c r="S395" i="63"/>
  <c r="P395" i="63"/>
  <c r="H395" i="63"/>
  <c r="G395" i="63"/>
  <c r="BP394" i="63"/>
  <c r="BO394" i="63"/>
  <c r="BM394" i="63"/>
  <c r="BN394" i="63" s="1"/>
  <c r="BL394" i="63"/>
  <c r="BJ394" i="63"/>
  <c r="BI394" i="63"/>
  <c r="BG394" i="63"/>
  <c r="BH394" i="63" s="1"/>
  <c r="BF394" i="63"/>
  <c r="BD394" i="63"/>
  <c r="BC394" i="63"/>
  <c r="BA394" i="63"/>
  <c r="AZ394" i="63"/>
  <c r="AX394" i="63"/>
  <c r="AW394" i="63"/>
  <c r="AU394" i="63"/>
  <c r="AT394" i="63"/>
  <c r="AR394" i="63"/>
  <c r="AQ394" i="63"/>
  <c r="AP394" i="63"/>
  <c r="AO394" i="63"/>
  <c r="AN394" i="63"/>
  <c r="AL394" i="63"/>
  <c r="AK394" i="63"/>
  <c r="AI394" i="63"/>
  <c r="AH394" i="63"/>
  <c r="AD394" i="63"/>
  <c r="AC394" i="63"/>
  <c r="X394" i="63"/>
  <c r="W394" i="63"/>
  <c r="R394" i="63"/>
  <c r="U394" i="63" s="1"/>
  <c r="Q394" i="63"/>
  <c r="T394" i="63" s="1"/>
  <c r="O394" i="63"/>
  <c r="N394" i="63"/>
  <c r="H394" i="63"/>
  <c r="G394" i="63"/>
  <c r="BQ393" i="63"/>
  <c r="BN393" i="63"/>
  <c r="BK393" i="63"/>
  <c r="BH393" i="63"/>
  <c r="BE393" i="63"/>
  <c r="BB393" i="63"/>
  <c r="AY393" i="63"/>
  <c r="AV393" i="63"/>
  <c r="AS393" i="63"/>
  <c r="AP393" i="63"/>
  <c r="AM393" i="63"/>
  <c r="AJ393" i="63"/>
  <c r="AE393" i="63"/>
  <c r="Y393" i="63"/>
  <c r="U393" i="63"/>
  <c r="T393" i="63"/>
  <c r="S393" i="63"/>
  <c r="P393" i="63"/>
  <c r="H393" i="63"/>
  <c r="G393" i="63"/>
  <c r="U392" i="63"/>
  <c r="T392" i="63"/>
  <c r="D392" i="63"/>
  <c r="BQ389" i="63"/>
  <c r="BN389" i="63"/>
  <c r="BK389" i="63"/>
  <c r="BH389" i="63"/>
  <c r="BE389" i="63"/>
  <c r="BB389" i="63"/>
  <c r="AY389" i="63"/>
  <c r="AV389" i="63"/>
  <c r="AS389" i="63"/>
  <c r="AP389" i="63"/>
  <c r="AM389" i="63"/>
  <c r="AE389" i="63"/>
  <c r="Y389" i="63"/>
  <c r="U389" i="63"/>
  <c r="T389" i="63"/>
  <c r="S389" i="63"/>
  <c r="P389" i="63"/>
  <c r="BQ387" i="63"/>
  <c r="BN387" i="63"/>
  <c r="BK387" i="63"/>
  <c r="BH387" i="63"/>
  <c r="BE387" i="63"/>
  <c r="BB387" i="63"/>
  <c r="AY387" i="63"/>
  <c r="AV387" i="63"/>
  <c r="AS387" i="63"/>
  <c r="AP387" i="63"/>
  <c r="AM387" i="63"/>
  <c r="AE387" i="63"/>
  <c r="Y387" i="63"/>
  <c r="U387" i="63"/>
  <c r="T387" i="63"/>
  <c r="S387" i="63"/>
  <c r="P387" i="63"/>
  <c r="BQ385" i="63"/>
  <c r="BN385" i="63"/>
  <c r="BK385" i="63"/>
  <c r="BH385" i="63"/>
  <c r="BE385" i="63"/>
  <c r="BB385" i="63"/>
  <c r="AY385" i="63"/>
  <c r="AV385" i="63"/>
  <c r="AS385" i="63"/>
  <c r="AP385" i="63"/>
  <c r="AM385" i="63"/>
  <c r="AE385" i="63"/>
  <c r="Y385" i="63"/>
  <c r="U385" i="63"/>
  <c r="T385" i="63"/>
  <c r="S385" i="63"/>
  <c r="P385" i="63"/>
  <c r="BQ384" i="63"/>
  <c r="BN384" i="63"/>
  <c r="BK384" i="63"/>
  <c r="BH384" i="63"/>
  <c r="BE384" i="63"/>
  <c r="BB384" i="63"/>
  <c r="AY384" i="63"/>
  <c r="AV384" i="63"/>
  <c r="AS384" i="63"/>
  <c r="AP384" i="63"/>
  <c r="AM384" i="63"/>
  <c r="AE384" i="63"/>
  <c r="Y384" i="63"/>
  <c r="U384" i="63"/>
  <c r="T384" i="63"/>
  <c r="S384" i="63"/>
  <c r="P384" i="63"/>
  <c r="BQ383" i="63"/>
  <c r="BN383" i="63"/>
  <c r="BK383" i="63"/>
  <c r="BH383" i="63"/>
  <c r="BE383" i="63"/>
  <c r="BB383" i="63"/>
  <c r="AY383" i="63"/>
  <c r="AV383" i="63"/>
  <c r="AS383" i="63"/>
  <c r="AP383" i="63"/>
  <c r="AM383" i="63"/>
  <c r="AE383" i="63"/>
  <c r="Y383" i="63"/>
  <c r="U383" i="63"/>
  <c r="T383" i="63"/>
  <c r="S383" i="63"/>
  <c r="P383" i="63"/>
  <c r="BQ382" i="63"/>
  <c r="BN382" i="63"/>
  <c r="BK382" i="63"/>
  <c r="BH382" i="63"/>
  <c r="BE382" i="63"/>
  <c r="BB382" i="63"/>
  <c r="AY382" i="63"/>
  <c r="AV382" i="63"/>
  <c r="AS382" i="63"/>
  <c r="AP382" i="63"/>
  <c r="AM382" i="63"/>
  <c r="AJ382" i="63"/>
  <c r="AE382" i="63"/>
  <c r="Y382" i="63"/>
  <c r="U382" i="63"/>
  <c r="V382" i="63" s="1"/>
  <c r="T382" i="63"/>
  <c r="S382" i="63"/>
  <c r="P382" i="63"/>
  <c r="BQ379" i="63"/>
  <c r="BN379" i="63"/>
  <c r="BK379" i="63"/>
  <c r="BH379" i="63"/>
  <c r="BE379" i="63"/>
  <c r="BB379" i="63"/>
  <c r="AY379" i="63"/>
  <c r="AV379" i="63"/>
  <c r="AS379" i="63"/>
  <c r="AP379" i="63"/>
  <c r="AM379" i="63"/>
  <c r="AE379" i="63"/>
  <c r="Y379" i="63"/>
  <c r="U379" i="63"/>
  <c r="V379" i="63" s="1"/>
  <c r="T379" i="63"/>
  <c r="S379" i="63"/>
  <c r="P379" i="63"/>
  <c r="BQ378" i="63"/>
  <c r="BN378" i="63"/>
  <c r="BK378" i="63"/>
  <c r="BH378" i="63"/>
  <c r="BE378" i="63"/>
  <c r="BB378" i="63"/>
  <c r="AY378" i="63"/>
  <c r="AV378" i="63"/>
  <c r="AS378" i="63"/>
  <c r="AP378" i="63"/>
  <c r="AM378" i="63"/>
  <c r="AE378" i="63"/>
  <c r="Y378" i="63"/>
  <c r="U378" i="63"/>
  <c r="T378" i="63"/>
  <c r="S378" i="63"/>
  <c r="P378" i="63"/>
  <c r="BQ377" i="63"/>
  <c r="BN377" i="63"/>
  <c r="BK377" i="63"/>
  <c r="BH377" i="63"/>
  <c r="BE377" i="63"/>
  <c r="BB377" i="63"/>
  <c r="AY377" i="63"/>
  <c r="AV377" i="63"/>
  <c r="AS377" i="63"/>
  <c r="AP377" i="63"/>
  <c r="AM377" i="63"/>
  <c r="AJ377" i="63"/>
  <c r="AE377" i="63"/>
  <c r="Y377" i="63"/>
  <c r="U377" i="63"/>
  <c r="T377" i="63"/>
  <c r="S377" i="63"/>
  <c r="P377" i="63"/>
  <c r="BQ376" i="63"/>
  <c r="BN376" i="63"/>
  <c r="BK376" i="63"/>
  <c r="BH376" i="63"/>
  <c r="BE376" i="63"/>
  <c r="BB376" i="63"/>
  <c r="AY376" i="63"/>
  <c r="AV376" i="63"/>
  <c r="AS376" i="63"/>
  <c r="AP376" i="63"/>
  <c r="AM376" i="63"/>
  <c r="AJ376" i="63"/>
  <c r="AE376" i="63"/>
  <c r="Y376" i="63"/>
  <c r="U376" i="63"/>
  <c r="T376" i="63"/>
  <c r="S376" i="63"/>
  <c r="P376" i="63"/>
  <c r="BQ373" i="63"/>
  <c r="BN373" i="63"/>
  <c r="BK373" i="63"/>
  <c r="BH373" i="63"/>
  <c r="BE373" i="63"/>
  <c r="BB373" i="63"/>
  <c r="AY373" i="63"/>
  <c r="AV373" i="63"/>
  <c r="AS373" i="63"/>
  <c r="AP373" i="63"/>
  <c r="AM373" i="63"/>
  <c r="AE373" i="63"/>
  <c r="Y373" i="63"/>
  <c r="U373" i="63"/>
  <c r="T373" i="63"/>
  <c r="V373" i="63" s="1"/>
  <c r="S373" i="63"/>
  <c r="P373" i="63"/>
  <c r="BQ372" i="63"/>
  <c r="BN372" i="63"/>
  <c r="BK372" i="63"/>
  <c r="BH372" i="63"/>
  <c r="BE372" i="63"/>
  <c r="BB372" i="63"/>
  <c r="AY372" i="63"/>
  <c r="AV372" i="63"/>
  <c r="AS372" i="63"/>
  <c r="AP372" i="63"/>
  <c r="AM372" i="63"/>
  <c r="AE372" i="63"/>
  <c r="Y372" i="63"/>
  <c r="U372" i="63"/>
  <c r="T372" i="63"/>
  <c r="S372" i="63"/>
  <c r="P372" i="63"/>
  <c r="BQ371" i="63"/>
  <c r="BN371" i="63"/>
  <c r="BK371" i="63"/>
  <c r="BH371" i="63"/>
  <c r="BE371" i="63"/>
  <c r="BB371" i="63"/>
  <c r="AY371" i="63"/>
  <c r="AV371" i="63"/>
  <c r="AS371" i="63"/>
  <c r="AP371" i="63"/>
  <c r="AM371" i="63"/>
  <c r="AJ371" i="63"/>
  <c r="AE371" i="63"/>
  <c r="Y371" i="63"/>
  <c r="U371" i="63"/>
  <c r="T371" i="63"/>
  <c r="S371" i="63"/>
  <c r="P371" i="63"/>
  <c r="BQ370" i="63"/>
  <c r="BN370" i="63"/>
  <c r="BK370" i="63"/>
  <c r="BH370" i="63"/>
  <c r="BE370" i="63"/>
  <c r="BB370" i="63"/>
  <c r="AY370" i="63"/>
  <c r="AV370" i="63"/>
  <c r="AS370" i="63"/>
  <c r="AP370" i="63"/>
  <c r="AM370" i="63"/>
  <c r="AJ370" i="63"/>
  <c r="AE370" i="63"/>
  <c r="Y370" i="63"/>
  <c r="U370" i="63"/>
  <c r="T370" i="63"/>
  <c r="S370" i="63"/>
  <c r="P370" i="63"/>
  <c r="BQ365" i="63"/>
  <c r="BN365" i="63"/>
  <c r="BK365" i="63"/>
  <c r="BH365" i="63"/>
  <c r="BE365" i="63"/>
  <c r="BB365" i="63"/>
  <c r="AY365" i="63"/>
  <c r="AV365" i="63"/>
  <c r="AS365" i="63"/>
  <c r="AP365" i="63"/>
  <c r="AM365" i="63"/>
  <c r="AJ365" i="63"/>
  <c r="AE365" i="63"/>
  <c r="Y365" i="63"/>
  <c r="U365" i="63"/>
  <c r="T365" i="63"/>
  <c r="Z365" i="63" s="1"/>
  <c r="S365" i="63"/>
  <c r="P365" i="63"/>
  <c r="L365" i="63"/>
  <c r="K365" i="63"/>
  <c r="I365" i="63"/>
  <c r="BQ364" i="63"/>
  <c r="BN364" i="63"/>
  <c r="BK364" i="63"/>
  <c r="BH364" i="63"/>
  <c r="BE364" i="63"/>
  <c r="BB364" i="63"/>
  <c r="AY364" i="63"/>
  <c r="AV364" i="63"/>
  <c r="AS364" i="63"/>
  <c r="AP364" i="63"/>
  <c r="AM364" i="63"/>
  <c r="AJ364" i="63"/>
  <c r="AE364" i="63"/>
  <c r="Y364" i="63"/>
  <c r="U364" i="63"/>
  <c r="AA364" i="63" s="1"/>
  <c r="T364" i="63"/>
  <c r="Z364" i="63" s="1"/>
  <c r="S364" i="63"/>
  <c r="P364" i="63"/>
  <c r="L364" i="63"/>
  <c r="K364" i="63"/>
  <c r="I364" i="63"/>
  <c r="BQ363" i="63"/>
  <c r="BN363" i="63"/>
  <c r="BK363" i="63"/>
  <c r="BH363" i="63"/>
  <c r="BE363" i="63"/>
  <c r="BB363" i="63"/>
  <c r="AY363" i="63"/>
  <c r="AV363" i="63"/>
  <c r="AS363" i="63"/>
  <c r="AP363" i="63"/>
  <c r="AM363" i="63"/>
  <c r="AJ363" i="63"/>
  <c r="AE363" i="63"/>
  <c r="Y363" i="63"/>
  <c r="U363" i="63"/>
  <c r="AA363" i="63" s="1"/>
  <c r="T363" i="63"/>
  <c r="Z363" i="63" s="1"/>
  <c r="S363" i="63"/>
  <c r="P363" i="63"/>
  <c r="L363" i="63"/>
  <c r="M363" i="63" s="1"/>
  <c r="K363" i="63"/>
  <c r="I363" i="63"/>
  <c r="BQ362" i="63"/>
  <c r="BN362" i="63"/>
  <c r="BK362" i="63"/>
  <c r="BH362" i="63"/>
  <c r="BE362" i="63"/>
  <c r="BB362" i="63"/>
  <c r="AY362" i="63"/>
  <c r="AV362" i="63"/>
  <c r="AS362" i="63"/>
  <c r="AP362" i="63"/>
  <c r="AM362" i="63"/>
  <c r="AJ362" i="63"/>
  <c r="AE362" i="63"/>
  <c r="Y362" i="63"/>
  <c r="U362" i="63"/>
  <c r="AA362" i="63" s="1"/>
  <c r="T362" i="63"/>
  <c r="Z362" i="63" s="1"/>
  <c r="S362" i="63"/>
  <c r="P362" i="63"/>
  <c r="L362" i="63"/>
  <c r="K362" i="63"/>
  <c r="I362" i="63"/>
  <c r="BQ361" i="63"/>
  <c r="BN361" i="63"/>
  <c r="BK361" i="63"/>
  <c r="BH361" i="63"/>
  <c r="BE361" i="63"/>
  <c r="BB361" i="63"/>
  <c r="AY361" i="63"/>
  <c r="AV361" i="63"/>
  <c r="AS361" i="63"/>
  <c r="AP361" i="63"/>
  <c r="AM361" i="63"/>
  <c r="AJ361" i="63"/>
  <c r="AE361" i="63"/>
  <c r="AA361" i="63"/>
  <c r="Y361" i="63"/>
  <c r="U361" i="63"/>
  <c r="T361" i="63"/>
  <c r="Z361" i="63" s="1"/>
  <c r="S361" i="63"/>
  <c r="P361" i="63"/>
  <c r="L361" i="63"/>
  <c r="K361" i="63"/>
  <c r="I361" i="63"/>
  <c r="BQ360" i="63"/>
  <c r="BN360" i="63"/>
  <c r="BK360" i="63"/>
  <c r="BH360" i="63"/>
  <c r="BE360" i="63"/>
  <c r="BB360" i="63"/>
  <c r="AY360" i="63"/>
  <c r="AV360" i="63"/>
  <c r="AS360" i="63"/>
  <c r="AP360" i="63"/>
  <c r="AM360" i="63"/>
  <c r="AJ360" i="63"/>
  <c r="AE360" i="63"/>
  <c r="Y360" i="63"/>
  <c r="U360" i="63"/>
  <c r="AA360" i="63" s="1"/>
  <c r="T360" i="63"/>
  <c r="S360" i="63"/>
  <c r="P360" i="63"/>
  <c r="L360" i="63"/>
  <c r="K360" i="63"/>
  <c r="I360" i="63"/>
  <c r="BQ359" i="63"/>
  <c r="BN359" i="63"/>
  <c r="BK359" i="63"/>
  <c r="BH359" i="63"/>
  <c r="BE359" i="63"/>
  <c r="BB359" i="63"/>
  <c r="AY359" i="63"/>
  <c r="AV359" i="63"/>
  <c r="AS359" i="63"/>
  <c r="AP359" i="63"/>
  <c r="AM359" i="63"/>
  <c r="AJ359" i="63"/>
  <c r="AE359" i="63"/>
  <c r="Y359" i="63"/>
  <c r="U359" i="63"/>
  <c r="T359" i="63"/>
  <c r="Z359" i="63" s="1"/>
  <c r="S359" i="63"/>
  <c r="P359" i="63"/>
  <c r="L359" i="63"/>
  <c r="M359" i="63" s="1"/>
  <c r="K359" i="63"/>
  <c r="I359" i="63"/>
  <c r="BQ358" i="63"/>
  <c r="BN358" i="63"/>
  <c r="BK358" i="63"/>
  <c r="BH358" i="63"/>
  <c r="BE358" i="63"/>
  <c r="BB358" i="63"/>
  <c r="AY358" i="63"/>
  <c r="AV358" i="63"/>
  <c r="AS358" i="63"/>
  <c r="AP358" i="63"/>
  <c r="AM358" i="63"/>
  <c r="AJ358" i="63"/>
  <c r="AE358" i="63"/>
  <c r="Y358" i="63"/>
  <c r="U358" i="63"/>
  <c r="T358" i="63"/>
  <c r="Z358" i="63" s="1"/>
  <c r="S358" i="63"/>
  <c r="P358" i="63"/>
  <c r="L358" i="63"/>
  <c r="K358" i="63"/>
  <c r="I358" i="63"/>
  <c r="BQ357" i="63"/>
  <c r="BN357" i="63"/>
  <c r="BK357" i="63"/>
  <c r="BH357" i="63"/>
  <c r="BE357" i="63"/>
  <c r="BB357" i="63"/>
  <c r="AY357" i="63"/>
  <c r="AV357" i="63"/>
  <c r="AS357" i="63"/>
  <c r="AP357" i="63"/>
  <c r="AM357" i="63"/>
  <c r="AJ357" i="63"/>
  <c r="AE357" i="63"/>
  <c r="Y357" i="63"/>
  <c r="U357" i="63"/>
  <c r="T357" i="63"/>
  <c r="Z357" i="63" s="1"/>
  <c r="S357" i="63"/>
  <c r="P357" i="63"/>
  <c r="L357" i="63"/>
  <c r="K357" i="63"/>
  <c r="I357" i="63"/>
  <c r="BQ356" i="63"/>
  <c r="BN356" i="63"/>
  <c r="BK356" i="63"/>
  <c r="BH356" i="63"/>
  <c r="BE356" i="63"/>
  <c r="BB356" i="63"/>
  <c r="AY356" i="63"/>
  <c r="AV356" i="63"/>
  <c r="AS356" i="63"/>
  <c r="AP356" i="63"/>
  <c r="AM356" i="63"/>
  <c r="AJ356" i="63"/>
  <c r="AE356" i="63"/>
  <c r="Y356" i="63"/>
  <c r="U356" i="63"/>
  <c r="AA356" i="63" s="1"/>
  <c r="T356" i="63"/>
  <c r="S356" i="63"/>
  <c r="P356" i="63"/>
  <c r="L356" i="63"/>
  <c r="K356" i="63"/>
  <c r="I356" i="63"/>
  <c r="BQ355" i="63"/>
  <c r="BN355" i="63"/>
  <c r="BK355" i="63"/>
  <c r="BH355" i="63"/>
  <c r="BE355" i="63"/>
  <c r="BB355" i="63"/>
  <c r="AY355" i="63"/>
  <c r="AV355" i="63"/>
  <c r="AS355" i="63"/>
  <c r="AP355" i="63"/>
  <c r="AM355" i="63"/>
  <c r="AJ355" i="63"/>
  <c r="AE355" i="63"/>
  <c r="Z355" i="63"/>
  <c r="Y355" i="63"/>
  <c r="U355" i="63"/>
  <c r="AA355" i="63" s="1"/>
  <c r="T355" i="63"/>
  <c r="S355" i="63"/>
  <c r="P355" i="63"/>
  <c r="L355" i="63"/>
  <c r="K355" i="63"/>
  <c r="I355" i="63"/>
  <c r="BQ354" i="63"/>
  <c r="BN354" i="63"/>
  <c r="BK354" i="63"/>
  <c r="BH354" i="63"/>
  <c r="BE354" i="63"/>
  <c r="BB354" i="63"/>
  <c r="AY354" i="63"/>
  <c r="AV354" i="63"/>
  <c r="AS354" i="63"/>
  <c r="AP354" i="63"/>
  <c r="AM354" i="63"/>
  <c r="AJ354" i="63"/>
  <c r="AE354" i="63"/>
  <c r="Y354" i="63"/>
  <c r="U354" i="63"/>
  <c r="T354" i="63"/>
  <c r="Z354" i="63" s="1"/>
  <c r="S354" i="63"/>
  <c r="P354" i="63"/>
  <c r="L354" i="63"/>
  <c r="K354" i="63"/>
  <c r="I354" i="63"/>
  <c r="BQ353" i="63"/>
  <c r="BN353" i="63"/>
  <c r="BK353" i="63"/>
  <c r="BH353" i="63"/>
  <c r="BE353" i="63"/>
  <c r="BB353" i="63"/>
  <c r="AY353" i="63"/>
  <c r="AV353" i="63"/>
  <c r="AS353" i="63"/>
  <c r="AP353" i="63"/>
  <c r="AM353" i="63"/>
  <c r="AJ353" i="63"/>
  <c r="AE353" i="63"/>
  <c r="Y353" i="63"/>
  <c r="U353" i="63"/>
  <c r="AA353" i="63" s="1"/>
  <c r="T353" i="63"/>
  <c r="Z353" i="63" s="1"/>
  <c r="S353" i="63"/>
  <c r="P353" i="63"/>
  <c r="L353" i="63"/>
  <c r="K353" i="63"/>
  <c r="I353" i="63"/>
  <c r="BQ352" i="63"/>
  <c r="BN352" i="63"/>
  <c r="BK352" i="63"/>
  <c r="BH352" i="63"/>
  <c r="BE352" i="63"/>
  <c r="BB352" i="63"/>
  <c r="AY352" i="63"/>
  <c r="AV352" i="63"/>
  <c r="AS352" i="63"/>
  <c r="AP352" i="63"/>
  <c r="AM352" i="63"/>
  <c r="AJ352" i="63"/>
  <c r="AE352" i="63"/>
  <c r="Y352" i="63"/>
  <c r="U352" i="63"/>
  <c r="T352" i="63"/>
  <c r="Z352" i="63" s="1"/>
  <c r="S352" i="63"/>
  <c r="P352" i="63"/>
  <c r="L352" i="63"/>
  <c r="K352" i="63"/>
  <c r="I352" i="63"/>
  <c r="BQ351" i="63"/>
  <c r="BN351" i="63"/>
  <c r="BK351" i="63"/>
  <c r="BH351" i="63"/>
  <c r="BE351" i="63"/>
  <c r="BB351" i="63"/>
  <c r="AY351" i="63"/>
  <c r="AV351" i="63"/>
  <c r="AS351" i="63"/>
  <c r="AP351" i="63"/>
  <c r="AM351" i="63"/>
  <c r="AJ351" i="63"/>
  <c r="AE351" i="63"/>
  <c r="Y351" i="63"/>
  <c r="U351" i="63"/>
  <c r="T351" i="63"/>
  <c r="Z351" i="63" s="1"/>
  <c r="S351" i="63"/>
  <c r="P351" i="63"/>
  <c r="L351" i="63"/>
  <c r="K351" i="63"/>
  <c r="K350" i="63" s="1"/>
  <c r="I351" i="63"/>
  <c r="BP350" i="63"/>
  <c r="BQ350" i="63" s="1"/>
  <c r="BO350" i="63"/>
  <c r="BM350" i="63"/>
  <c r="BL350" i="63"/>
  <c r="BJ350" i="63"/>
  <c r="BI350" i="63"/>
  <c r="BG350" i="63"/>
  <c r="BF350" i="63"/>
  <c r="BD350" i="63"/>
  <c r="BC350" i="63"/>
  <c r="BA350" i="63"/>
  <c r="AZ350" i="63"/>
  <c r="AX350" i="63"/>
  <c r="AW350" i="63"/>
  <c r="AU350" i="63"/>
  <c r="AV350" i="63" s="1"/>
  <c r="AT350" i="63"/>
  <c r="AR350" i="63"/>
  <c r="AQ350" i="63"/>
  <c r="AO350" i="63"/>
  <c r="AN350" i="63"/>
  <c r="AL350" i="63"/>
  <c r="AK350" i="63"/>
  <c r="AI350" i="63"/>
  <c r="AJ350" i="63" s="1"/>
  <c r="AH350" i="63"/>
  <c r="AD350" i="63"/>
  <c r="AE350" i="63" s="1"/>
  <c r="AC350" i="63"/>
  <c r="X350" i="63"/>
  <c r="W350" i="63"/>
  <c r="R350" i="63"/>
  <c r="S350" i="63" s="1"/>
  <c r="Q350" i="63"/>
  <c r="O350" i="63"/>
  <c r="N350" i="63"/>
  <c r="H350" i="63"/>
  <c r="G350" i="63"/>
  <c r="BQ349" i="63"/>
  <c r="BN349" i="63"/>
  <c r="BK349" i="63"/>
  <c r="BH349" i="63"/>
  <c r="BE349" i="63"/>
  <c r="BB349" i="63"/>
  <c r="AY349" i="63"/>
  <c r="AV349" i="63"/>
  <c r="AS349" i="63"/>
  <c r="AP349" i="63"/>
  <c r="AM349" i="63"/>
  <c r="AJ349" i="63"/>
  <c r="AE349" i="63"/>
  <c r="Y349" i="63"/>
  <c r="U349" i="63"/>
  <c r="AA349" i="63" s="1"/>
  <c r="T349" i="63"/>
  <c r="S349" i="63"/>
  <c r="P349" i="63"/>
  <c r="L349" i="63"/>
  <c r="K349" i="63"/>
  <c r="M349" i="63" s="1"/>
  <c r="I349" i="63"/>
  <c r="BQ348" i="63"/>
  <c r="BN348" i="63"/>
  <c r="BK348" i="63"/>
  <c r="BH348" i="63"/>
  <c r="BE348" i="63"/>
  <c r="BB348" i="63"/>
  <c r="AY348" i="63"/>
  <c r="AV348" i="63"/>
  <c r="AS348" i="63"/>
  <c r="AP348" i="63"/>
  <c r="AM348" i="63"/>
  <c r="AJ348" i="63"/>
  <c r="AE348" i="63"/>
  <c r="AA348" i="63"/>
  <c r="Y348" i="63"/>
  <c r="U348" i="63"/>
  <c r="T348" i="63"/>
  <c r="Z348" i="63" s="1"/>
  <c r="S348" i="63"/>
  <c r="P348" i="63"/>
  <c r="L348" i="63"/>
  <c r="K348" i="63"/>
  <c r="K425" i="63" s="1"/>
  <c r="I348" i="63"/>
  <c r="BQ347" i="63"/>
  <c r="BN347" i="63"/>
  <c r="BK347" i="63"/>
  <c r="BH347" i="63"/>
  <c r="BE347" i="63"/>
  <c r="BB347" i="63"/>
  <c r="AY347" i="63"/>
  <c r="AV347" i="63"/>
  <c r="AS347" i="63"/>
  <c r="AP347" i="63"/>
  <c r="AM347" i="63"/>
  <c r="AJ347" i="63"/>
  <c r="AE347" i="63"/>
  <c r="Y347" i="63"/>
  <c r="U347" i="63"/>
  <c r="AA347" i="63" s="1"/>
  <c r="AA424" i="63" s="1"/>
  <c r="T347" i="63"/>
  <c r="S347" i="63"/>
  <c r="P347" i="63"/>
  <c r="L347" i="63"/>
  <c r="L424" i="63" s="1"/>
  <c r="K347" i="63"/>
  <c r="I347" i="63"/>
  <c r="BQ346" i="63"/>
  <c r="BN346" i="63"/>
  <c r="BK346" i="63"/>
  <c r="BH346" i="63"/>
  <c r="BE346" i="63"/>
  <c r="BB346" i="63"/>
  <c r="AY346" i="63"/>
  <c r="AV346" i="63"/>
  <c r="AS346" i="63"/>
  <c r="AP346" i="63"/>
  <c r="AM346" i="63"/>
  <c r="AJ346" i="63"/>
  <c r="AE346" i="63"/>
  <c r="AA346" i="63"/>
  <c r="Y346" i="63"/>
  <c r="U346" i="63"/>
  <c r="T346" i="63"/>
  <c r="Z346" i="63" s="1"/>
  <c r="S346" i="63"/>
  <c r="P346" i="63"/>
  <c r="L346" i="63"/>
  <c r="K346" i="63"/>
  <c r="K423" i="63" s="1"/>
  <c r="I346" i="63"/>
  <c r="BQ345" i="63"/>
  <c r="BN345" i="63"/>
  <c r="BK345" i="63"/>
  <c r="BH345" i="63"/>
  <c r="BE345" i="63"/>
  <c r="BB345" i="63"/>
  <c r="AY345" i="63"/>
  <c r="AV345" i="63"/>
  <c r="AS345" i="63"/>
  <c r="AP345" i="63"/>
  <c r="AM345" i="63"/>
  <c r="AJ345" i="63"/>
  <c r="AE345" i="63"/>
  <c r="AA345" i="63"/>
  <c r="Z345" i="63"/>
  <c r="Y345" i="63"/>
  <c r="U345" i="63"/>
  <c r="T345" i="63"/>
  <c r="S345" i="63"/>
  <c r="P345" i="63"/>
  <c r="L345" i="63"/>
  <c r="L422" i="63" s="1"/>
  <c r="K345" i="63"/>
  <c r="I345" i="63"/>
  <c r="BQ344" i="63"/>
  <c r="BN344" i="63"/>
  <c r="BK344" i="63"/>
  <c r="BH344" i="63"/>
  <c r="BE344" i="63"/>
  <c r="BB344" i="63"/>
  <c r="AY344" i="63"/>
  <c r="AV344" i="63"/>
  <c r="AS344" i="63"/>
  <c r="AP344" i="63"/>
  <c r="AM344" i="63"/>
  <c r="AJ344" i="63"/>
  <c r="AE344" i="63"/>
  <c r="AA344" i="63"/>
  <c r="AA421" i="63" s="1"/>
  <c r="Z344" i="63"/>
  <c r="Y344" i="63"/>
  <c r="U344" i="63"/>
  <c r="T344" i="63"/>
  <c r="S344" i="63"/>
  <c r="P344" i="63"/>
  <c r="L344" i="63"/>
  <c r="K344" i="63"/>
  <c r="K421" i="63" s="1"/>
  <c r="I344" i="63"/>
  <c r="BQ343" i="63"/>
  <c r="BN343" i="63"/>
  <c r="BK343" i="63"/>
  <c r="BH343" i="63"/>
  <c r="BE343" i="63"/>
  <c r="BB343" i="63"/>
  <c r="AY343" i="63"/>
  <c r="AV343" i="63"/>
  <c r="AS343" i="63"/>
  <c r="AP343" i="63"/>
  <c r="AM343" i="63"/>
  <c r="AJ343" i="63"/>
  <c r="AE343" i="63"/>
  <c r="Y343" i="63"/>
  <c r="U343" i="63"/>
  <c r="T343" i="63"/>
  <c r="Z343" i="63" s="1"/>
  <c r="S343" i="63"/>
  <c r="P343" i="63"/>
  <c r="L343" i="63"/>
  <c r="K343" i="63"/>
  <c r="I343" i="63"/>
  <c r="BP342" i="63"/>
  <c r="BO342" i="63"/>
  <c r="BQ342" i="63" s="1"/>
  <c r="BM342" i="63"/>
  <c r="BL342" i="63"/>
  <c r="BJ342" i="63"/>
  <c r="BI342" i="63"/>
  <c r="BG342" i="63"/>
  <c r="BF342" i="63"/>
  <c r="BD342" i="63"/>
  <c r="BC342" i="63"/>
  <c r="BA342" i="63"/>
  <c r="AZ342" i="63"/>
  <c r="AX342" i="63"/>
  <c r="AW342" i="63"/>
  <c r="AU342" i="63"/>
  <c r="AT342" i="63"/>
  <c r="AR342" i="63"/>
  <c r="AQ342" i="63"/>
  <c r="AS342" i="63" s="1"/>
  <c r="AO342" i="63"/>
  <c r="AP342" i="63" s="1"/>
  <c r="AN342" i="63"/>
  <c r="AL342" i="63"/>
  <c r="AK342" i="63"/>
  <c r="AI342" i="63"/>
  <c r="AH342" i="63"/>
  <c r="AD342" i="63"/>
  <c r="AC342" i="63"/>
  <c r="X342" i="63"/>
  <c r="W342" i="63"/>
  <c r="R342" i="63"/>
  <c r="Q342" i="63"/>
  <c r="O342" i="63"/>
  <c r="P342" i="63" s="1"/>
  <c r="N342" i="63"/>
  <c r="H342" i="63"/>
  <c r="G342" i="63"/>
  <c r="BQ341" i="63"/>
  <c r="BN341" i="63"/>
  <c r="BK341" i="63"/>
  <c r="BH341" i="63"/>
  <c r="BE341" i="63"/>
  <c r="BB341" i="63"/>
  <c r="AY341" i="63"/>
  <c r="AV341" i="63"/>
  <c r="AS341" i="63"/>
  <c r="AP341" i="63"/>
  <c r="AM341" i="63"/>
  <c r="AJ341" i="63"/>
  <c r="AE341" i="63"/>
  <c r="Y341" i="63"/>
  <c r="U341" i="63"/>
  <c r="T341" i="63"/>
  <c r="Z341" i="63" s="1"/>
  <c r="S341" i="63"/>
  <c r="P341" i="63"/>
  <c r="L341" i="63"/>
  <c r="L419" i="63" s="1"/>
  <c r="K341" i="63"/>
  <c r="K419" i="63" s="1"/>
  <c r="I341" i="63"/>
  <c r="BQ340" i="63"/>
  <c r="BN340" i="63"/>
  <c r="BK340" i="63"/>
  <c r="BH340" i="63"/>
  <c r="BE340" i="63"/>
  <c r="BB340" i="63"/>
  <c r="AY340" i="63"/>
  <c r="AV340" i="63"/>
  <c r="AS340" i="63"/>
  <c r="AP340" i="63"/>
  <c r="AM340" i="63"/>
  <c r="AJ340" i="63"/>
  <c r="AE340" i="63"/>
  <c r="Y340" i="63"/>
  <c r="V340" i="63"/>
  <c r="U340" i="63"/>
  <c r="AA340" i="63" s="1"/>
  <c r="AB340" i="63" s="1"/>
  <c r="T340" i="63"/>
  <c r="Z340" i="63" s="1"/>
  <c r="S340" i="63"/>
  <c r="P340" i="63"/>
  <c r="L340" i="63"/>
  <c r="K340" i="63"/>
  <c r="I340" i="63"/>
  <c r="BQ339" i="63"/>
  <c r="BN339" i="63"/>
  <c r="BK339" i="63"/>
  <c r="BH339" i="63"/>
  <c r="BE339" i="63"/>
  <c r="BB339" i="63"/>
  <c r="AY339" i="63"/>
  <c r="AV339" i="63"/>
  <c r="AS339" i="63"/>
  <c r="AP339" i="63"/>
  <c r="AM339" i="63"/>
  <c r="AJ339" i="63"/>
  <c r="AE339" i="63"/>
  <c r="Y339" i="63"/>
  <c r="U339" i="63"/>
  <c r="AA339" i="63" s="1"/>
  <c r="T339" i="63"/>
  <c r="Z339" i="63" s="1"/>
  <c r="S339" i="63"/>
  <c r="P339" i="63"/>
  <c r="L339" i="63"/>
  <c r="K339" i="63"/>
  <c r="I339" i="63"/>
  <c r="BQ338" i="63"/>
  <c r="BN338" i="63"/>
  <c r="BK338" i="63"/>
  <c r="BH338" i="63"/>
  <c r="BE338" i="63"/>
  <c r="BB338" i="63"/>
  <c r="AY338" i="63"/>
  <c r="AV338" i="63"/>
  <c r="AS338" i="63"/>
  <c r="AP338" i="63"/>
  <c r="AM338" i="63"/>
  <c r="AJ338" i="63"/>
  <c r="AE338" i="63"/>
  <c r="Y338" i="63"/>
  <c r="U338" i="63"/>
  <c r="T338" i="63"/>
  <c r="Z338" i="63" s="1"/>
  <c r="S338" i="63"/>
  <c r="P338" i="63"/>
  <c r="L338" i="63"/>
  <c r="K338" i="63"/>
  <c r="I338" i="63"/>
  <c r="BQ337" i="63"/>
  <c r="BN337" i="63"/>
  <c r="BK337" i="63"/>
  <c r="BH337" i="63"/>
  <c r="BE337" i="63"/>
  <c r="BB337" i="63"/>
  <c r="AY337" i="63"/>
  <c r="AV337" i="63"/>
  <c r="AS337" i="63"/>
  <c r="AP337" i="63"/>
  <c r="AM337" i="63"/>
  <c r="AJ337" i="63"/>
  <c r="AE337" i="63"/>
  <c r="AA337" i="63"/>
  <c r="Z337" i="63"/>
  <c r="Y337" i="63"/>
  <c r="U337" i="63"/>
  <c r="T337" i="63"/>
  <c r="S337" i="63"/>
  <c r="P337" i="63"/>
  <c r="L337" i="63"/>
  <c r="K337" i="63"/>
  <c r="K415" i="63" s="1"/>
  <c r="I337" i="63"/>
  <c r="BQ336" i="63"/>
  <c r="BN336" i="63"/>
  <c r="BK336" i="63"/>
  <c r="BH336" i="63"/>
  <c r="BE336" i="63"/>
  <c r="BB336" i="63"/>
  <c r="AY336" i="63"/>
  <c r="AV336" i="63"/>
  <c r="AS336" i="63"/>
  <c r="AP336" i="63"/>
  <c r="AM336" i="63"/>
  <c r="AJ336" i="63"/>
  <c r="AE336" i="63"/>
  <c r="AA336" i="63"/>
  <c r="Z336" i="63"/>
  <c r="Y336" i="63"/>
  <c r="U336" i="63"/>
  <c r="V336" i="63" s="1"/>
  <c r="T336" i="63"/>
  <c r="S336" i="63"/>
  <c r="P336" i="63"/>
  <c r="L336" i="63"/>
  <c r="K336" i="63"/>
  <c r="I336" i="63"/>
  <c r="BQ335" i="63"/>
  <c r="BN335" i="63"/>
  <c r="BK335" i="63"/>
  <c r="BH335" i="63"/>
  <c r="BE335" i="63"/>
  <c r="BB335" i="63"/>
  <c r="AY335" i="63"/>
  <c r="AV335" i="63"/>
  <c r="AS335" i="63"/>
  <c r="AP335" i="63"/>
  <c r="AM335" i="63"/>
  <c r="AJ335" i="63"/>
  <c r="AE335" i="63"/>
  <c r="Y335" i="63"/>
  <c r="U335" i="63"/>
  <c r="T335" i="63"/>
  <c r="Z335" i="63" s="1"/>
  <c r="S335" i="63"/>
  <c r="P335" i="63"/>
  <c r="L335" i="63"/>
  <c r="K335" i="63"/>
  <c r="I335" i="63"/>
  <c r="BP334" i="63"/>
  <c r="BO334" i="63"/>
  <c r="BM334" i="63"/>
  <c r="BL334" i="63"/>
  <c r="BJ334" i="63"/>
  <c r="BI334" i="63"/>
  <c r="BG334" i="63"/>
  <c r="BH334" i="63" s="1"/>
  <c r="BF334" i="63"/>
  <c r="BD334" i="63"/>
  <c r="BC334" i="63"/>
  <c r="BA334" i="63"/>
  <c r="BB334" i="63" s="1"/>
  <c r="AZ334" i="63"/>
  <c r="AX334" i="63"/>
  <c r="AW334" i="63"/>
  <c r="AV334" i="63"/>
  <c r="AU334" i="63"/>
  <c r="AT334" i="63"/>
  <c r="AR334" i="63"/>
  <c r="AQ334" i="63"/>
  <c r="AO334" i="63"/>
  <c r="AN334" i="63"/>
  <c r="AL334" i="63"/>
  <c r="AK334" i="63"/>
  <c r="AM334" i="63" s="1"/>
  <c r="AI334" i="63"/>
  <c r="AH334" i="63"/>
  <c r="AD334" i="63"/>
  <c r="AC334" i="63"/>
  <c r="X334" i="63"/>
  <c r="W334" i="63"/>
  <c r="R334" i="63"/>
  <c r="Q334" i="63"/>
  <c r="Q302" i="63" s="1"/>
  <c r="O334" i="63"/>
  <c r="N334" i="63"/>
  <c r="H334" i="63"/>
  <c r="I334" i="63" s="1"/>
  <c r="G334" i="63"/>
  <c r="BQ333" i="63"/>
  <c r="BN333" i="63"/>
  <c r="BK333" i="63"/>
  <c r="BH333" i="63"/>
  <c r="BE333" i="63"/>
  <c r="BB333" i="63"/>
  <c r="AY333" i="63"/>
  <c r="AV333" i="63"/>
  <c r="AS333" i="63"/>
  <c r="AP333" i="63"/>
  <c r="AM333" i="63"/>
  <c r="AJ333" i="63"/>
  <c r="AE333" i="63"/>
  <c r="Y333" i="63"/>
  <c r="U333" i="63"/>
  <c r="AA333" i="63" s="1"/>
  <c r="T333" i="63"/>
  <c r="Z333" i="63" s="1"/>
  <c r="S333" i="63"/>
  <c r="P333" i="63"/>
  <c r="L333" i="63"/>
  <c r="L412" i="63" s="1"/>
  <c r="K333" i="63"/>
  <c r="I333" i="63"/>
  <c r="BQ332" i="63"/>
  <c r="BN332" i="63"/>
  <c r="BK332" i="63"/>
  <c r="BH332" i="63"/>
  <c r="BE332" i="63"/>
  <c r="BB332" i="63"/>
  <c r="AY332" i="63"/>
  <c r="AV332" i="63"/>
  <c r="AS332" i="63"/>
  <c r="AP332" i="63"/>
  <c r="AM332" i="63"/>
  <c r="AJ332" i="63"/>
  <c r="AE332" i="63"/>
  <c r="AA332" i="63"/>
  <c r="Y332" i="63"/>
  <c r="U332" i="63"/>
  <c r="T332" i="63"/>
  <c r="Z332" i="63" s="1"/>
  <c r="Z411" i="63" s="1"/>
  <c r="S332" i="63"/>
  <c r="P332" i="63"/>
  <c r="L332" i="63"/>
  <c r="K332" i="63"/>
  <c r="I332" i="63"/>
  <c r="BQ331" i="63"/>
  <c r="BN331" i="63"/>
  <c r="BK331" i="63"/>
  <c r="BH331" i="63"/>
  <c r="BE331" i="63"/>
  <c r="BB331" i="63"/>
  <c r="AY331" i="63"/>
  <c r="AV331" i="63"/>
  <c r="AS331" i="63"/>
  <c r="AP331" i="63"/>
  <c r="AM331" i="63"/>
  <c r="AJ331" i="63"/>
  <c r="AE331" i="63"/>
  <c r="Y331" i="63"/>
  <c r="U331" i="63"/>
  <c r="AA331" i="63" s="1"/>
  <c r="T331" i="63"/>
  <c r="Z331" i="63" s="1"/>
  <c r="Z410" i="63" s="1"/>
  <c r="S331" i="63"/>
  <c r="P331" i="63"/>
  <c r="L331" i="63"/>
  <c r="L410" i="63" s="1"/>
  <c r="K331" i="63"/>
  <c r="I331" i="63"/>
  <c r="BQ330" i="63"/>
  <c r="BN330" i="63"/>
  <c r="BK330" i="63"/>
  <c r="BH330" i="63"/>
  <c r="BE330" i="63"/>
  <c r="BB330" i="63"/>
  <c r="AY330" i="63"/>
  <c r="AV330" i="63"/>
  <c r="AS330" i="63"/>
  <c r="AP330" i="63"/>
  <c r="AM330" i="63"/>
  <c r="AJ330" i="63"/>
  <c r="AE330" i="63"/>
  <c r="Y330" i="63"/>
  <c r="U330" i="63"/>
  <c r="T330" i="63"/>
  <c r="Z330" i="63" s="1"/>
  <c r="S330" i="63"/>
  <c r="P330" i="63"/>
  <c r="L330" i="63"/>
  <c r="M330" i="63" s="1"/>
  <c r="K330" i="63"/>
  <c r="I330" i="63"/>
  <c r="BQ329" i="63"/>
  <c r="BN329" i="63"/>
  <c r="BK329" i="63"/>
  <c r="BH329" i="63"/>
  <c r="BE329" i="63"/>
  <c r="BB329" i="63"/>
  <c r="AY329" i="63"/>
  <c r="AV329" i="63"/>
  <c r="AS329" i="63"/>
  <c r="AP329" i="63"/>
  <c r="AM329" i="63"/>
  <c r="AJ329" i="63"/>
  <c r="AE329" i="63"/>
  <c r="AA329" i="63"/>
  <c r="AB329" i="63" s="1"/>
  <c r="Z329" i="63"/>
  <c r="Y329" i="63"/>
  <c r="U329" i="63"/>
  <c r="T329" i="63"/>
  <c r="S329" i="63"/>
  <c r="P329" i="63"/>
  <c r="L329" i="63"/>
  <c r="L408" i="63" s="1"/>
  <c r="K329" i="63"/>
  <c r="I329" i="63"/>
  <c r="BQ328" i="63"/>
  <c r="BN328" i="63"/>
  <c r="BK328" i="63"/>
  <c r="BH328" i="63"/>
  <c r="BE328" i="63"/>
  <c r="BB328" i="63"/>
  <c r="AY328" i="63"/>
  <c r="AV328" i="63"/>
  <c r="AS328" i="63"/>
  <c r="AP328" i="63"/>
  <c r="AM328" i="63"/>
  <c r="AJ328" i="63"/>
  <c r="AE328" i="63"/>
  <c r="AA328" i="63"/>
  <c r="Z328" i="63"/>
  <c r="Y328" i="63"/>
  <c r="U328" i="63"/>
  <c r="T328" i="63"/>
  <c r="S328" i="63"/>
  <c r="P328" i="63"/>
  <c r="L328" i="63"/>
  <c r="K328" i="63"/>
  <c r="I328" i="63"/>
  <c r="BQ327" i="63"/>
  <c r="BN327" i="63"/>
  <c r="BK327" i="63"/>
  <c r="BH327" i="63"/>
  <c r="BE327" i="63"/>
  <c r="BB327" i="63"/>
  <c r="AY327" i="63"/>
  <c r="AV327" i="63"/>
  <c r="AS327" i="63"/>
  <c r="AP327" i="63"/>
  <c r="AM327" i="63"/>
  <c r="AJ327" i="63"/>
  <c r="AE327" i="63"/>
  <c r="Y327" i="63"/>
  <c r="U327" i="63"/>
  <c r="T327" i="63"/>
  <c r="Z327" i="63" s="1"/>
  <c r="S327" i="63"/>
  <c r="P327" i="63"/>
  <c r="L327" i="63"/>
  <c r="K327" i="63"/>
  <c r="I327" i="63"/>
  <c r="BP326" i="63"/>
  <c r="BO326" i="63"/>
  <c r="BM326" i="63"/>
  <c r="BN326" i="63" s="1"/>
  <c r="BL326" i="63"/>
  <c r="BJ326" i="63"/>
  <c r="BK326" i="63" s="1"/>
  <c r="BI326" i="63"/>
  <c r="BG326" i="63"/>
  <c r="BF326" i="63"/>
  <c r="BD326" i="63"/>
  <c r="BC326" i="63"/>
  <c r="BA326" i="63"/>
  <c r="BB326" i="63" s="1"/>
  <c r="AZ326" i="63"/>
  <c r="AX326" i="63"/>
  <c r="AY326" i="63" s="1"/>
  <c r="AW326" i="63"/>
  <c r="AU326" i="63"/>
  <c r="AT326" i="63"/>
  <c r="AR326" i="63"/>
  <c r="AQ326" i="63"/>
  <c r="AP326" i="63"/>
  <c r="AO326" i="63"/>
  <c r="AN326" i="63"/>
  <c r="AL326" i="63"/>
  <c r="AK326" i="63"/>
  <c r="AI326" i="63"/>
  <c r="AH326" i="63"/>
  <c r="AD326" i="63"/>
  <c r="AC326" i="63"/>
  <c r="X326" i="63"/>
  <c r="Y326" i="63" s="1"/>
  <c r="W326" i="63"/>
  <c r="R326" i="63"/>
  <c r="Q326" i="63"/>
  <c r="O326" i="63"/>
  <c r="N326" i="63"/>
  <c r="H326" i="63"/>
  <c r="G326" i="63"/>
  <c r="BQ325" i="63"/>
  <c r="BN325" i="63"/>
  <c r="BK325" i="63"/>
  <c r="BH325" i="63"/>
  <c r="BE325" i="63"/>
  <c r="BB325" i="63"/>
  <c r="AY325" i="63"/>
  <c r="AV325" i="63"/>
  <c r="AS325" i="63"/>
  <c r="AP325" i="63"/>
  <c r="AM325" i="63"/>
  <c r="AJ325" i="63"/>
  <c r="AE325" i="63"/>
  <c r="Y325" i="63"/>
  <c r="U325" i="63"/>
  <c r="T325" i="63"/>
  <c r="Z325" i="63" s="1"/>
  <c r="S325" i="63"/>
  <c r="P325" i="63"/>
  <c r="L325" i="63"/>
  <c r="L405" i="63" s="1"/>
  <c r="K325" i="63"/>
  <c r="K405" i="63" s="1"/>
  <c r="I325" i="63"/>
  <c r="BQ324" i="63"/>
  <c r="BN324" i="63"/>
  <c r="BK324" i="63"/>
  <c r="BH324" i="63"/>
  <c r="BE324" i="63"/>
  <c r="BB324" i="63"/>
  <c r="AY324" i="63"/>
  <c r="AV324" i="63"/>
  <c r="AS324" i="63"/>
  <c r="AP324" i="63"/>
  <c r="AM324" i="63"/>
  <c r="AJ324" i="63"/>
  <c r="AE324" i="63"/>
  <c r="Y324" i="63"/>
  <c r="V324" i="63"/>
  <c r="U324" i="63"/>
  <c r="AA324" i="63" s="1"/>
  <c r="AA404" i="63" s="1"/>
  <c r="T324" i="63"/>
  <c r="Z324" i="63" s="1"/>
  <c r="S324" i="63"/>
  <c r="P324" i="63"/>
  <c r="L324" i="63"/>
  <c r="K324" i="63"/>
  <c r="I324" i="63"/>
  <c r="BQ323" i="63"/>
  <c r="BN323" i="63"/>
  <c r="BK323" i="63"/>
  <c r="BH323" i="63"/>
  <c r="BE323" i="63"/>
  <c r="BB323" i="63"/>
  <c r="AY323" i="63"/>
  <c r="AV323" i="63"/>
  <c r="AS323" i="63"/>
  <c r="AP323" i="63"/>
  <c r="AM323" i="63"/>
  <c r="AJ323" i="63"/>
  <c r="AE323" i="63"/>
  <c r="Y323" i="63"/>
  <c r="U323" i="63"/>
  <c r="AA323" i="63" s="1"/>
  <c r="T323" i="63"/>
  <c r="Z323" i="63" s="1"/>
  <c r="S323" i="63"/>
  <c r="P323" i="63"/>
  <c r="L323" i="63"/>
  <c r="K323" i="63"/>
  <c r="K403" i="63" s="1"/>
  <c r="I323" i="63"/>
  <c r="BQ322" i="63"/>
  <c r="BN322" i="63"/>
  <c r="BK322" i="63"/>
  <c r="BH322" i="63"/>
  <c r="BE322" i="63"/>
  <c r="BB322" i="63"/>
  <c r="AY322" i="63"/>
  <c r="AV322" i="63"/>
  <c r="AS322" i="63"/>
  <c r="AP322" i="63"/>
  <c r="AM322" i="63"/>
  <c r="AJ322" i="63"/>
  <c r="AE322" i="63"/>
  <c r="Y322" i="63"/>
  <c r="U322" i="63"/>
  <c r="T322" i="63"/>
  <c r="Z322" i="63" s="1"/>
  <c r="S322" i="63"/>
  <c r="P322" i="63"/>
  <c r="L322" i="63"/>
  <c r="K322" i="63"/>
  <c r="I322" i="63"/>
  <c r="BQ321" i="63"/>
  <c r="BN321" i="63"/>
  <c r="BK321" i="63"/>
  <c r="BH321" i="63"/>
  <c r="BE321" i="63"/>
  <c r="BB321" i="63"/>
  <c r="AY321" i="63"/>
  <c r="AV321" i="63"/>
  <c r="AS321" i="63"/>
  <c r="AP321" i="63"/>
  <c r="AM321" i="63"/>
  <c r="AJ321" i="63"/>
  <c r="AE321" i="63"/>
  <c r="AA321" i="63"/>
  <c r="Z321" i="63"/>
  <c r="Y321" i="63"/>
  <c r="U321" i="63"/>
  <c r="T321" i="63"/>
  <c r="S321" i="63"/>
  <c r="P321" i="63"/>
  <c r="L321" i="63"/>
  <c r="L401" i="63" s="1"/>
  <c r="K321" i="63"/>
  <c r="K401" i="63" s="1"/>
  <c r="I321" i="63"/>
  <c r="BQ320" i="63"/>
  <c r="BN320" i="63"/>
  <c r="BK320" i="63"/>
  <c r="BH320" i="63"/>
  <c r="BE320" i="63"/>
  <c r="BB320" i="63"/>
  <c r="AY320" i="63"/>
  <c r="AV320" i="63"/>
  <c r="AS320" i="63"/>
  <c r="AP320" i="63"/>
  <c r="AM320" i="63"/>
  <c r="AJ320" i="63"/>
  <c r="AE320" i="63"/>
  <c r="AA320" i="63"/>
  <c r="Z320" i="63"/>
  <c r="Y320" i="63"/>
  <c r="U320" i="63"/>
  <c r="V320" i="63" s="1"/>
  <c r="T320" i="63"/>
  <c r="S320" i="63"/>
  <c r="P320" i="63"/>
  <c r="L320" i="63"/>
  <c r="K320" i="63"/>
  <c r="I320" i="63"/>
  <c r="BQ319" i="63"/>
  <c r="BN319" i="63"/>
  <c r="BK319" i="63"/>
  <c r="BH319" i="63"/>
  <c r="BE319" i="63"/>
  <c r="BB319" i="63"/>
  <c r="AY319" i="63"/>
  <c r="AV319" i="63"/>
  <c r="AS319" i="63"/>
  <c r="AP319" i="63"/>
  <c r="AM319" i="63"/>
  <c r="AJ319" i="63"/>
  <c r="AE319" i="63"/>
  <c r="Y319" i="63"/>
  <c r="U319" i="63"/>
  <c r="AA319" i="63" s="1"/>
  <c r="T319" i="63"/>
  <c r="Z319" i="63" s="1"/>
  <c r="S319" i="63"/>
  <c r="P319" i="63"/>
  <c r="L319" i="63"/>
  <c r="K319" i="63"/>
  <c r="I319" i="63"/>
  <c r="BP318" i="63"/>
  <c r="BO318" i="63"/>
  <c r="BM318" i="63"/>
  <c r="BL318" i="63"/>
  <c r="BJ318" i="63"/>
  <c r="BI318" i="63"/>
  <c r="BG318" i="63"/>
  <c r="BF318" i="63"/>
  <c r="BD318" i="63"/>
  <c r="BC318" i="63"/>
  <c r="BE318" i="63" s="1"/>
  <c r="BA318" i="63"/>
  <c r="AZ318" i="63"/>
  <c r="AX318" i="63"/>
  <c r="AW318" i="63"/>
  <c r="AU318" i="63"/>
  <c r="AT318" i="63"/>
  <c r="AR318" i="63"/>
  <c r="AQ318" i="63"/>
  <c r="AO318" i="63"/>
  <c r="AN318" i="63"/>
  <c r="AL318" i="63"/>
  <c r="AK318" i="63"/>
  <c r="AI318" i="63"/>
  <c r="AJ318" i="63" s="1"/>
  <c r="AH318" i="63"/>
  <c r="AD318" i="63"/>
  <c r="AC318" i="63"/>
  <c r="X318" i="63"/>
  <c r="W318" i="63"/>
  <c r="R318" i="63"/>
  <c r="Q318" i="63"/>
  <c r="S318" i="63" s="1"/>
  <c r="O318" i="63"/>
  <c r="N318" i="63"/>
  <c r="H318" i="63"/>
  <c r="G318" i="63"/>
  <c r="I318" i="63" s="1"/>
  <c r="BQ317" i="63"/>
  <c r="BN317" i="63"/>
  <c r="BK317" i="63"/>
  <c r="BH317" i="63"/>
  <c r="BE317" i="63"/>
  <c r="BB317" i="63"/>
  <c r="AY317" i="63"/>
  <c r="AV317" i="63"/>
  <c r="AS317" i="63"/>
  <c r="AP317" i="63"/>
  <c r="AM317" i="63"/>
  <c r="AJ317" i="63"/>
  <c r="AE317" i="63"/>
  <c r="Y317" i="63"/>
  <c r="U317" i="63"/>
  <c r="AA317" i="63" s="1"/>
  <c r="AA398" i="63" s="1"/>
  <c r="T317" i="63"/>
  <c r="Z317" i="63" s="1"/>
  <c r="Z398" i="63" s="1"/>
  <c r="S317" i="63"/>
  <c r="P317" i="63"/>
  <c r="L317" i="63"/>
  <c r="L398" i="63" s="1"/>
  <c r="K317" i="63"/>
  <c r="I317" i="63"/>
  <c r="BQ316" i="63"/>
  <c r="BN316" i="63"/>
  <c r="BK316" i="63"/>
  <c r="BH316" i="63"/>
  <c r="BE316" i="63"/>
  <c r="BB316" i="63"/>
  <c r="AY316" i="63"/>
  <c r="AV316" i="63"/>
  <c r="AS316" i="63"/>
  <c r="AP316" i="63"/>
  <c r="AM316" i="63"/>
  <c r="AJ316" i="63"/>
  <c r="AE316" i="63"/>
  <c r="Y316" i="63"/>
  <c r="U316" i="63"/>
  <c r="T316" i="63"/>
  <c r="Z316" i="63" s="1"/>
  <c r="S316" i="63"/>
  <c r="P316" i="63"/>
  <c r="L316" i="63"/>
  <c r="K316" i="63"/>
  <c r="I316" i="63"/>
  <c r="BQ315" i="63"/>
  <c r="BN315" i="63"/>
  <c r="BK315" i="63"/>
  <c r="BH315" i="63"/>
  <c r="BE315" i="63"/>
  <c r="BB315" i="63"/>
  <c r="AY315" i="63"/>
  <c r="AV315" i="63"/>
  <c r="AS315" i="63"/>
  <c r="AP315" i="63"/>
  <c r="AM315" i="63"/>
  <c r="AJ315" i="63"/>
  <c r="AE315" i="63"/>
  <c r="Y315" i="63"/>
  <c r="U315" i="63"/>
  <c r="T315" i="63"/>
  <c r="Z315" i="63" s="1"/>
  <c r="S315" i="63"/>
  <c r="P315" i="63"/>
  <c r="L315" i="63"/>
  <c r="L396" i="63" s="1"/>
  <c r="K315" i="63"/>
  <c r="I315" i="63"/>
  <c r="BQ314" i="63"/>
  <c r="BN314" i="63"/>
  <c r="BK314" i="63"/>
  <c r="BH314" i="63"/>
  <c r="BE314" i="63"/>
  <c r="BB314" i="63"/>
  <c r="AY314" i="63"/>
  <c r="AV314" i="63"/>
  <c r="AS314" i="63"/>
  <c r="AP314" i="63"/>
  <c r="AM314" i="63"/>
  <c r="AJ314" i="63"/>
  <c r="AE314" i="63"/>
  <c r="Y314" i="63"/>
  <c r="U314" i="63"/>
  <c r="AA314" i="63" s="1"/>
  <c r="AB314" i="63" s="1"/>
  <c r="T314" i="63"/>
  <c r="Z314" i="63" s="1"/>
  <c r="S314" i="63"/>
  <c r="P314" i="63"/>
  <c r="L314" i="63"/>
  <c r="K314" i="63"/>
  <c r="I314" i="63"/>
  <c r="BQ313" i="63"/>
  <c r="BN313" i="63"/>
  <c r="BK313" i="63"/>
  <c r="BH313" i="63"/>
  <c r="BE313" i="63"/>
  <c r="BB313" i="63"/>
  <c r="AY313" i="63"/>
  <c r="AV313" i="63"/>
  <c r="AS313" i="63"/>
  <c r="AP313" i="63"/>
  <c r="AM313" i="63"/>
  <c r="AJ313" i="63"/>
  <c r="AE313" i="63"/>
  <c r="AA313" i="63"/>
  <c r="AB313" i="63" s="1"/>
  <c r="Z313" i="63"/>
  <c r="Z394" i="63" s="1"/>
  <c r="Y313" i="63"/>
  <c r="U313" i="63"/>
  <c r="T313" i="63"/>
  <c r="S313" i="63"/>
  <c r="P313" i="63"/>
  <c r="L313" i="63"/>
  <c r="L394" i="63" s="1"/>
  <c r="K313" i="63"/>
  <c r="I313" i="63"/>
  <c r="BQ312" i="63"/>
  <c r="BN312" i="63"/>
  <c r="BK312" i="63"/>
  <c r="BH312" i="63"/>
  <c r="BE312" i="63"/>
  <c r="BB312" i="63"/>
  <c r="AY312" i="63"/>
  <c r="AV312" i="63"/>
  <c r="AS312" i="63"/>
  <c r="AP312" i="63"/>
  <c r="AM312" i="63"/>
  <c r="AJ312" i="63"/>
  <c r="AE312" i="63"/>
  <c r="AA312" i="63"/>
  <c r="Z312" i="63"/>
  <c r="Y312" i="63"/>
  <c r="U312" i="63"/>
  <c r="T312" i="63"/>
  <c r="S312" i="63"/>
  <c r="P312" i="63"/>
  <c r="L312" i="63"/>
  <c r="L393" i="63" s="1"/>
  <c r="K312" i="63"/>
  <c r="I312" i="63"/>
  <c r="BQ311" i="63"/>
  <c r="BN311" i="63"/>
  <c r="BK311" i="63"/>
  <c r="BH311" i="63"/>
  <c r="BE311" i="63"/>
  <c r="BB311" i="63"/>
  <c r="AY311" i="63"/>
  <c r="AV311" i="63"/>
  <c r="AS311" i="63"/>
  <c r="AP311" i="63"/>
  <c r="AM311" i="63"/>
  <c r="AJ311" i="63"/>
  <c r="AE311" i="63"/>
  <c r="Y311" i="63"/>
  <c r="U311" i="63"/>
  <c r="T311" i="63"/>
  <c r="Z311" i="63" s="1"/>
  <c r="S311" i="63"/>
  <c r="P311" i="63"/>
  <c r="L311" i="63"/>
  <c r="K311" i="63"/>
  <c r="I311" i="63"/>
  <c r="BP310" i="63"/>
  <c r="BO310" i="63"/>
  <c r="BM310" i="63"/>
  <c r="BN310" i="63" s="1"/>
  <c r="BL310" i="63"/>
  <c r="BJ310" i="63"/>
  <c r="BI310" i="63"/>
  <c r="BG310" i="63"/>
  <c r="BF310" i="63"/>
  <c r="BD310" i="63"/>
  <c r="BC310" i="63"/>
  <c r="BB310" i="63"/>
  <c r="BA310" i="63"/>
  <c r="AZ310" i="63"/>
  <c r="AX310" i="63"/>
  <c r="AW310" i="63"/>
  <c r="AU310" i="63"/>
  <c r="AT310" i="63"/>
  <c r="AR310" i="63"/>
  <c r="AQ310" i="63"/>
  <c r="AO310" i="63"/>
  <c r="AN310" i="63"/>
  <c r="AL310" i="63"/>
  <c r="AM310" i="63" s="1"/>
  <c r="AK310" i="63"/>
  <c r="AI310" i="63"/>
  <c r="AH310" i="63"/>
  <c r="AD310" i="63"/>
  <c r="AC310" i="63"/>
  <c r="X310" i="63"/>
  <c r="W310" i="63"/>
  <c r="R310" i="63"/>
  <c r="Q310" i="63"/>
  <c r="O310" i="63"/>
  <c r="N310" i="63"/>
  <c r="H310" i="63"/>
  <c r="G310" i="63"/>
  <c r="BP309" i="63"/>
  <c r="BO309" i="63"/>
  <c r="BM309" i="63"/>
  <c r="BN309" i="63" s="1"/>
  <c r="BL309" i="63"/>
  <c r="BJ309" i="63"/>
  <c r="BK309" i="63" s="1"/>
  <c r="BI309" i="63"/>
  <c r="BG309" i="63"/>
  <c r="BF309" i="63"/>
  <c r="BD309" i="63"/>
  <c r="BC309" i="63"/>
  <c r="BA309" i="63"/>
  <c r="BB309" i="63" s="1"/>
  <c r="AZ309" i="63"/>
  <c r="AX309" i="63"/>
  <c r="AW309" i="63"/>
  <c r="AU309" i="63"/>
  <c r="AV309" i="63" s="1"/>
  <c r="AT309" i="63"/>
  <c r="AR309" i="63"/>
  <c r="AQ309" i="63"/>
  <c r="AP309" i="63"/>
  <c r="AO309" i="63"/>
  <c r="AN309" i="63"/>
  <c r="AL309" i="63"/>
  <c r="AK309" i="63"/>
  <c r="AI309" i="63"/>
  <c r="AH309" i="63"/>
  <c r="AD309" i="63"/>
  <c r="AC309" i="63"/>
  <c r="AE309" i="63" s="1"/>
  <c r="X309" i="63"/>
  <c r="W309" i="63"/>
  <c r="R309" i="63"/>
  <c r="Q309" i="63"/>
  <c r="O309" i="63"/>
  <c r="U309" i="63" s="1"/>
  <c r="N309" i="63"/>
  <c r="T309" i="63" s="1"/>
  <c r="Z309" i="63" s="1"/>
  <c r="H309" i="63"/>
  <c r="G309" i="63"/>
  <c r="BP308" i="63"/>
  <c r="BO308" i="63"/>
  <c r="BM308" i="63"/>
  <c r="BN308" i="63" s="1"/>
  <c r="BL308" i="63"/>
  <c r="BJ308" i="63"/>
  <c r="BI308" i="63"/>
  <c r="BG308" i="63"/>
  <c r="BF308" i="63"/>
  <c r="BD308" i="63"/>
  <c r="BC308" i="63"/>
  <c r="BE308" i="63" s="1"/>
  <c r="BB308" i="63"/>
  <c r="BA308" i="63"/>
  <c r="AZ308" i="63"/>
  <c r="AX308" i="63"/>
  <c r="AY308" i="63" s="1"/>
  <c r="AW308" i="63"/>
  <c r="AU308" i="63"/>
  <c r="AT308" i="63"/>
  <c r="AR308" i="63"/>
  <c r="AQ308" i="63"/>
  <c r="AO308" i="63"/>
  <c r="AN308" i="63"/>
  <c r="AL308" i="63"/>
  <c r="AM308" i="63" s="1"/>
  <c r="AK308" i="63"/>
  <c r="AI308" i="63"/>
  <c r="AH308" i="63"/>
  <c r="AD308" i="63"/>
  <c r="AC308" i="63"/>
  <c r="X308" i="63"/>
  <c r="W308" i="63"/>
  <c r="R308" i="63"/>
  <c r="Q308" i="63"/>
  <c r="O308" i="63"/>
  <c r="N308" i="63"/>
  <c r="P308" i="63" s="1"/>
  <c r="H308" i="63"/>
  <c r="G308" i="63"/>
  <c r="BP307" i="63"/>
  <c r="BO307" i="63"/>
  <c r="BM307" i="63"/>
  <c r="BN307" i="63" s="1"/>
  <c r="BL307" i="63"/>
  <c r="BJ307" i="63"/>
  <c r="BI307" i="63"/>
  <c r="BG307" i="63"/>
  <c r="BH307" i="63" s="1"/>
  <c r="BF307" i="63"/>
  <c r="BD307" i="63"/>
  <c r="BC307" i="63"/>
  <c r="BE307" i="63" s="1"/>
  <c r="BB307" i="63"/>
  <c r="BA307" i="63"/>
  <c r="AZ307" i="63"/>
  <c r="AX307" i="63"/>
  <c r="AY307" i="63" s="1"/>
  <c r="AW307" i="63"/>
  <c r="AU307" i="63"/>
  <c r="AT307" i="63"/>
  <c r="AR307" i="63"/>
  <c r="AQ307" i="63"/>
  <c r="AO307" i="63"/>
  <c r="AN307" i="63"/>
  <c r="AL307" i="63"/>
  <c r="AM307" i="63" s="1"/>
  <c r="AK307" i="63"/>
  <c r="AI307" i="63"/>
  <c r="AH307" i="63"/>
  <c r="AD307" i="63"/>
  <c r="AC307" i="63"/>
  <c r="X307" i="63"/>
  <c r="W307" i="63"/>
  <c r="R307" i="63"/>
  <c r="L307" i="63" s="1"/>
  <c r="Q307" i="63"/>
  <c r="O307" i="63"/>
  <c r="N307" i="63"/>
  <c r="P307" i="63" s="1"/>
  <c r="H307" i="63"/>
  <c r="G307" i="63"/>
  <c r="BP306" i="63"/>
  <c r="BO306" i="63"/>
  <c r="BM306" i="63"/>
  <c r="BL306" i="63"/>
  <c r="BN306" i="63" s="1"/>
  <c r="BJ306" i="63"/>
  <c r="BK306" i="63" s="1"/>
  <c r="BI306" i="63"/>
  <c r="BG306" i="63"/>
  <c r="BF306" i="63"/>
  <c r="BD306" i="63"/>
  <c r="BC306" i="63"/>
  <c r="BA306" i="63"/>
  <c r="AZ306" i="63"/>
  <c r="AX306" i="63"/>
  <c r="AY306" i="63" s="1"/>
  <c r="AW306" i="63"/>
  <c r="AU306" i="63"/>
  <c r="AT306" i="63"/>
  <c r="AR306" i="63"/>
  <c r="AQ306" i="63"/>
  <c r="AO306" i="63"/>
  <c r="AN306" i="63"/>
  <c r="AL306" i="63"/>
  <c r="AK306" i="63"/>
  <c r="AI306" i="63"/>
  <c r="AH306" i="63"/>
  <c r="AD306" i="63"/>
  <c r="AC306" i="63"/>
  <c r="X306" i="63"/>
  <c r="W306" i="63"/>
  <c r="Y306" i="63" s="1"/>
  <c r="R306" i="63"/>
  <c r="Q306" i="63"/>
  <c r="P306" i="63"/>
  <c r="O306" i="63"/>
  <c r="U306" i="63" s="1"/>
  <c r="N306" i="63"/>
  <c r="T306" i="63" s="1"/>
  <c r="H306" i="63"/>
  <c r="I306" i="63" s="1"/>
  <c r="G306" i="63"/>
  <c r="BP305" i="63"/>
  <c r="BO305" i="63"/>
  <c r="BN305" i="63"/>
  <c r="BM305" i="63"/>
  <c r="BL305" i="63"/>
  <c r="BJ305" i="63"/>
  <c r="BI305" i="63"/>
  <c r="BG305" i="63"/>
  <c r="BF305" i="63"/>
  <c r="BD305" i="63"/>
  <c r="BC305" i="63"/>
  <c r="BA305" i="63"/>
  <c r="BB305" i="63" s="1"/>
  <c r="AZ305" i="63"/>
  <c r="AX305" i="63"/>
  <c r="AW305" i="63"/>
  <c r="AU305" i="63"/>
  <c r="AT305" i="63"/>
  <c r="AR305" i="63"/>
  <c r="AQ305" i="63"/>
  <c r="AO305" i="63"/>
  <c r="AN305" i="63"/>
  <c r="AL305" i="63"/>
  <c r="AK305" i="63"/>
  <c r="AI305" i="63"/>
  <c r="AH305" i="63"/>
  <c r="AD305" i="63"/>
  <c r="AC305" i="63"/>
  <c r="X305" i="63"/>
  <c r="W305" i="63"/>
  <c r="R305" i="63"/>
  <c r="Q305" i="63"/>
  <c r="O305" i="63"/>
  <c r="N305" i="63"/>
  <c r="H305" i="63"/>
  <c r="G305" i="63"/>
  <c r="BP304" i="63"/>
  <c r="BO304" i="63"/>
  <c r="BM304" i="63"/>
  <c r="BL304" i="63"/>
  <c r="BN304" i="63" s="1"/>
  <c r="BJ304" i="63"/>
  <c r="BK304" i="63" s="1"/>
  <c r="BI304" i="63"/>
  <c r="BG304" i="63"/>
  <c r="BF304" i="63"/>
  <c r="BD304" i="63"/>
  <c r="BC304" i="63"/>
  <c r="BA304" i="63"/>
  <c r="AZ304" i="63"/>
  <c r="AX304" i="63"/>
  <c r="AW304" i="63"/>
  <c r="AU304" i="63"/>
  <c r="AT304" i="63"/>
  <c r="AR304" i="63"/>
  <c r="AQ304" i="63"/>
  <c r="AO304" i="63"/>
  <c r="AP304" i="63" s="1"/>
  <c r="AN304" i="63"/>
  <c r="AL304" i="63"/>
  <c r="AK304" i="63"/>
  <c r="AI304" i="63"/>
  <c r="AH304" i="63"/>
  <c r="AD304" i="63"/>
  <c r="AC304" i="63"/>
  <c r="X304" i="63"/>
  <c r="W304" i="63"/>
  <c r="R304" i="63"/>
  <c r="Q304" i="63"/>
  <c r="O304" i="63"/>
  <c r="P304" i="63" s="1"/>
  <c r="N304" i="63"/>
  <c r="H304" i="63"/>
  <c r="G304" i="63"/>
  <c r="BP303" i="63"/>
  <c r="BO303" i="63"/>
  <c r="BM303" i="63"/>
  <c r="BL303" i="63"/>
  <c r="BJ303" i="63"/>
  <c r="BK303" i="63" s="1"/>
  <c r="BI303" i="63"/>
  <c r="BG303" i="63"/>
  <c r="BF303" i="63"/>
  <c r="BD303" i="63"/>
  <c r="BC303" i="63"/>
  <c r="BA303" i="63"/>
  <c r="AZ303" i="63"/>
  <c r="AX303" i="63"/>
  <c r="AW303" i="63"/>
  <c r="AU303" i="63"/>
  <c r="AT303" i="63"/>
  <c r="AR303" i="63"/>
  <c r="AQ303" i="63"/>
  <c r="AO303" i="63"/>
  <c r="AN303" i="63"/>
  <c r="AP303" i="63" s="1"/>
  <c r="AL303" i="63"/>
  <c r="AK303" i="63"/>
  <c r="AI303" i="63"/>
  <c r="AH303" i="63"/>
  <c r="AD303" i="63"/>
  <c r="AC303" i="63"/>
  <c r="X303" i="63"/>
  <c r="W303" i="63"/>
  <c r="R303" i="63"/>
  <c r="Q303" i="63"/>
  <c r="O303" i="63"/>
  <c r="N303" i="63"/>
  <c r="H303" i="63"/>
  <c r="G303" i="63"/>
  <c r="BF302" i="63"/>
  <c r="G302" i="63"/>
  <c r="BQ301" i="63"/>
  <c r="BN301" i="63"/>
  <c r="BK301" i="63"/>
  <c r="BH301" i="63"/>
  <c r="BE301" i="63"/>
  <c r="BB301" i="63"/>
  <c r="AY301" i="63"/>
  <c r="AV301" i="63"/>
  <c r="AS301" i="63"/>
  <c r="AP301" i="63"/>
  <c r="AM301" i="63"/>
  <c r="AJ301" i="63"/>
  <c r="AE301" i="63"/>
  <c r="U301" i="63"/>
  <c r="T301" i="63"/>
  <c r="Z301" i="63" s="1"/>
  <c r="P301" i="63"/>
  <c r="L301" i="63"/>
  <c r="K301" i="63"/>
  <c r="I301" i="63"/>
  <c r="BQ300" i="63"/>
  <c r="BN300" i="63"/>
  <c r="BK300" i="63"/>
  <c r="BH300" i="63"/>
  <c r="BE300" i="63"/>
  <c r="BB300" i="63"/>
  <c r="AY300" i="63"/>
  <c r="AV300" i="63"/>
  <c r="AS300" i="63"/>
  <c r="AP300" i="63"/>
  <c r="AM300" i="63"/>
  <c r="AJ300" i="63"/>
  <c r="AE300" i="63"/>
  <c r="Y300" i="63"/>
  <c r="U300" i="63"/>
  <c r="AA300" i="63" s="1"/>
  <c r="T300" i="63"/>
  <c r="Z300" i="63" s="1"/>
  <c r="S300" i="63"/>
  <c r="P300" i="63"/>
  <c r="L300" i="63"/>
  <c r="M300" i="63" s="1"/>
  <c r="K300" i="63"/>
  <c r="I300" i="63"/>
  <c r="BQ299" i="63"/>
  <c r="BN299" i="63"/>
  <c r="BK299" i="63"/>
  <c r="BH299" i="63"/>
  <c r="BE299" i="63"/>
  <c r="BB299" i="63"/>
  <c r="AY299" i="63"/>
  <c r="AV299" i="63"/>
  <c r="AS299" i="63"/>
  <c r="AP299" i="63"/>
  <c r="AM299" i="63"/>
  <c r="AJ299" i="63"/>
  <c r="AE299" i="63"/>
  <c r="Y299" i="63"/>
  <c r="U299" i="63"/>
  <c r="AA299" i="63" s="1"/>
  <c r="T299" i="63"/>
  <c r="Z299" i="63" s="1"/>
  <c r="S299" i="63"/>
  <c r="P299" i="63"/>
  <c r="L299" i="63"/>
  <c r="K299" i="63"/>
  <c r="I299" i="63"/>
  <c r="BQ298" i="63"/>
  <c r="BN298" i="63"/>
  <c r="BK298" i="63"/>
  <c r="BH298" i="63"/>
  <c r="BE298" i="63"/>
  <c r="BB298" i="63"/>
  <c r="AY298" i="63"/>
  <c r="AV298" i="63"/>
  <c r="AS298" i="63"/>
  <c r="AP298" i="63"/>
  <c r="AM298" i="63"/>
  <c r="AJ298" i="63"/>
  <c r="AE298" i="63"/>
  <c r="Y298" i="63"/>
  <c r="U298" i="63"/>
  <c r="AA298" i="63" s="1"/>
  <c r="T298" i="63"/>
  <c r="Z298" i="63" s="1"/>
  <c r="S298" i="63"/>
  <c r="P298" i="63"/>
  <c r="L298" i="63"/>
  <c r="K298" i="63"/>
  <c r="I298" i="63"/>
  <c r="BQ297" i="63"/>
  <c r="BN297" i="63"/>
  <c r="BK297" i="63"/>
  <c r="BH297" i="63"/>
  <c r="BE297" i="63"/>
  <c r="BB297" i="63"/>
  <c r="AY297" i="63"/>
  <c r="AV297" i="63"/>
  <c r="AS297" i="63"/>
  <c r="AP297" i="63"/>
  <c r="AM297" i="63"/>
  <c r="AJ297" i="63"/>
  <c r="AE297" i="63"/>
  <c r="Y297" i="63"/>
  <c r="U297" i="63"/>
  <c r="T297" i="63"/>
  <c r="Z297" i="63" s="1"/>
  <c r="S297" i="63"/>
  <c r="P297" i="63"/>
  <c r="L297" i="63"/>
  <c r="K297" i="63"/>
  <c r="I297" i="63"/>
  <c r="BP296" i="63"/>
  <c r="BO296" i="63"/>
  <c r="BM296" i="63"/>
  <c r="BL296" i="63"/>
  <c r="BN296" i="63" s="1"/>
  <c r="BJ296" i="63"/>
  <c r="BK296" i="63" s="1"/>
  <c r="BI296" i="63"/>
  <c r="BG296" i="63"/>
  <c r="BF296" i="63"/>
  <c r="BD296" i="63"/>
  <c r="BC296" i="63"/>
  <c r="BA296" i="63"/>
  <c r="AZ296" i="63"/>
  <c r="AX296" i="63"/>
  <c r="AW296" i="63"/>
  <c r="AU296" i="63"/>
  <c r="AT296" i="63"/>
  <c r="AR296" i="63"/>
  <c r="AS296" i="63" s="1"/>
  <c r="AQ296" i="63"/>
  <c r="AO296" i="63"/>
  <c r="AN296" i="63"/>
  <c r="AL296" i="63"/>
  <c r="AK296" i="63"/>
  <c r="AI296" i="63"/>
  <c r="AH296" i="63"/>
  <c r="AD296" i="63"/>
  <c r="AC296" i="63"/>
  <c r="X296" i="63"/>
  <c r="W296" i="63"/>
  <c r="R296" i="63"/>
  <c r="Q296" i="63"/>
  <c r="O296" i="63"/>
  <c r="N296" i="63"/>
  <c r="P296" i="63" s="1"/>
  <c r="L296" i="63"/>
  <c r="H296" i="63"/>
  <c r="G296" i="63"/>
  <c r="BQ295" i="63"/>
  <c r="BN295" i="63"/>
  <c r="BK295" i="63"/>
  <c r="BH295" i="63"/>
  <c r="BE295" i="63"/>
  <c r="BB295" i="63"/>
  <c r="AY295" i="63"/>
  <c r="AV295" i="63"/>
  <c r="AS295" i="63"/>
  <c r="AP295" i="63"/>
  <c r="AM295" i="63"/>
  <c r="AJ295" i="63"/>
  <c r="AE295" i="63"/>
  <c r="AA295" i="63"/>
  <c r="U295" i="63"/>
  <c r="T295" i="63"/>
  <c r="Z295" i="63" s="1"/>
  <c r="P295" i="63"/>
  <c r="L295" i="63"/>
  <c r="K295" i="63"/>
  <c r="I295" i="63"/>
  <c r="BQ294" i="63"/>
  <c r="BN294" i="63"/>
  <c r="BK294" i="63"/>
  <c r="BH294" i="63"/>
  <c r="BE294" i="63"/>
  <c r="BB294" i="63"/>
  <c r="AY294" i="63"/>
  <c r="AV294" i="63"/>
  <c r="AS294" i="63"/>
  <c r="AP294" i="63"/>
  <c r="AM294" i="63"/>
  <c r="AJ294" i="63"/>
  <c r="AE294" i="63"/>
  <c r="Y294" i="63"/>
  <c r="U294" i="63"/>
  <c r="T294" i="63"/>
  <c r="Z294" i="63" s="1"/>
  <c r="S294" i="63"/>
  <c r="P294" i="63"/>
  <c r="L294" i="63"/>
  <c r="K294" i="63"/>
  <c r="I294" i="63"/>
  <c r="BQ293" i="63"/>
  <c r="BN293" i="63"/>
  <c r="BK293" i="63"/>
  <c r="BH293" i="63"/>
  <c r="BE293" i="63"/>
  <c r="BB293" i="63"/>
  <c r="AY293" i="63"/>
  <c r="AV293" i="63"/>
  <c r="AS293" i="63"/>
  <c r="AP293" i="63"/>
  <c r="AM293" i="63"/>
  <c r="AJ293" i="63"/>
  <c r="AE293" i="63"/>
  <c r="Y293" i="63"/>
  <c r="V293" i="63"/>
  <c r="U293" i="63"/>
  <c r="AA293" i="63" s="1"/>
  <c r="AB293" i="63" s="1"/>
  <c r="T293" i="63"/>
  <c r="Z293" i="63" s="1"/>
  <c r="S293" i="63"/>
  <c r="P293" i="63"/>
  <c r="L293" i="63"/>
  <c r="M293" i="63" s="1"/>
  <c r="K293" i="63"/>
  <c r="I293" i="63"/>
  <c r="BQ292" i="63"/>
  <c r="BN292" i="63"/>
  <c r="BK292" i="63"/>
  <c r="BH292" i="63"/>
  <c r="BE292" i="63"/>
  <c r="BB292" i="63"/>
  <c r="AY292" i="63"/>
  <c r="AV292" i="63"/>
  <c r="AS292" i="63"/>
  <c r="AP292" i="63"/>
  <c r="AM292" i="63"/>
  <c r="AJ292" i="63"/>
  <c r="AE292" i="63"/>
  <c r="Y292" i="63"/>
  <c r="U292" i="63"/>
  <c r="T292" i="63"/>
  <c r="Z292" i="63" s="1"/>
  <c r="S292" i="63"/>
  <c r="P292" i="63"/>
  <c r="L292" i="63"/>
  <c r="M292" i="63" s="1"/>
  <c r="K292" i="63"/>
  <c r="I292" i="63"/>
  <c r="BQ291" i="63"/>
  <c r="BN291" i="63"/>
  <c r="BK291" i="63"/>
  <c r="BH291" i="63"/>
  <c r="BE291" i="63"/>
  <c r="BB291" i="63"/>
  <c r="AY291" i="63"/>
  <c r="AV291" i="63"/>
  <c r="AS291" i="63"/>
  <c r="AP291" i="63"/>
  <c r="AM291" i="63"/>
  <c r="AJ291" i="63"/>
  <c r="AE291" i="63"/>
  <c r="Y291" i="63"/>
  <c r="U291" i="63"/>
  <c r="AA291" i="63" s="1"/>
  <c r="AB291" i="63" s="1"/>
  <c r="T291" i="63"/>
  <c r="Z291" i="63" s="1"/>
  <c r="S291" i="63"/>
  <c r="P291" i="63"/>
  <c r="L291" i="63"/>
  <c r="K291" i="63"/>
  <c r="I291" i="63"/>
  <c r="BP290" i="63"/>
  <c r="BO290" i="63"/>
  <c r="BM290" i="63"/>
  <c r="BL290" i="63"/>
  <c r="BJ290" i="63"/>
  <c r="BI290" i="63"/>
  <c r="BK290" i="63" s="1"/>
  <c r="BG290" i="63"/>
  <c r="BF290" i="63"/>
  <c r="BD290" i="63"/>
  <c r="BC290" i="63"/>
  <c r="BB290" i="63"/>
  <c r="BA290" i="63"/>
  <c r="AZ290" i="63"/>
  <c r="AX290" i="63"/>
  <c r="AW290" i="63"/>
  <c r="AU290" i="63"/>
  <c r="AV290" i="63" s="1"/>
  <c r="AT290" i="63"/>
  <c r="AR290" i="63"/>
  <c r="AQ290" i="63"/>
  <c r="AO290" i="63"/>
  <c r="AN290" i="63"/>
  <c r="AL290" i="63"/>
  <c r="AK290" i="63"/>
  <c r="AI290" i="63"/>
  <c r="AH290" i="63"/>
  <c r="AD290" i="63"/>
  <c r="AE290" i="63" s="1"/>
  <c r="AC290" i="63"/>
  <c r="X290" i="63"/>
  <c r="W290" i="63"/>
  <c r="R290" i="63"/>
  <c r="Q290" i="63"/>
  <c r="O290" i="63"/>
  <c r="P290" i="63" s="1"/>
  <c r="N290" i="63"/>
  <c r="H290" i="63"/>
  <c r="G290" i="63"/>
  <c r="BQ289" i="63"/>
  <c r="BN289" i="63"/>
  <c r="BK289" i="63"/>
  <c r="BH289" i="63"/>
  <c r="BE289" i="63"/>
  <c r="BB289" i="63"/>
  <c r="AY289" i="63"/>
  <c r="AV289" i="63"/>
  <c r="AS289" i="63"/>
  <c r="AP289" i="63"/>
  <c r="AM289" i="63"/>
  <c r="AJ289" i="63"/>
  <c r="AE289" i="63"/>
  <c r="Z289" i="63"/>
  <c r="U289" i="63"/>
  <c r="T289" i="63"/>
  <c r="P289" i="63"/>
  <c r="L289" i="63"/>
  <c r="K289" i="63"/>
  <c r="I289" i="63"/>
  <c r="BQ288" i="63"/>
  <c r="BN288" i="63"/>
  <c r="BK288" i="63"/>
  <c r="BH288" i="63"/>
  <c r="BE288" i="63"/>
  <c r="BB288" i="63"/>
  <c r="AY288" i="63"/>
  <c r="AV288" i="63"/>
  <c r="AS288" i="63"/>
  <c r="AP288" i="63"/>
  <c r="AM288" i="63"/>
  <c r="AJ288" i="63"/>
  <c r="AE288" i="63"/>
  <c r="AA288" i="63"/>
  <c r="Y288" i="63"/>
  <c r="U288" i="63"/>
  <c r="T288" i="63"/>
  <c r="Z288" i="63" s="1"/>
  <c r="S288" i="63"/>
  <c r="P288" i="63"/>
  <c r="L288" i="63"/>
  <c r="K288" i="63"/>
  <c r="I288" i="63"/>
  <c r="BQ287" i="63"/>
  <c r="BN287" i="63"/>
  <c r="BK287" i="63"/>
  <c r="BH287" i="63"/>
  <c r="BE287" i="63"/>
  <c r="BB287" i="63"/>
  <c r="AY287" i="63"/>
  <c r="AV287" i="63"/>
  <c r="AS287" i="63"/>
  <c r="AP287" i="63"/>
  <c r="AM287" i="63"/>
  <c r="AJ287" i="63"/>
  <c r="AE287" i="63"/>
  <c r="Y287" i="63"/>
  <c r="U287" i="63"/>
  <c r="AA287" i="63" s="1"/>
  <c r="T287" i="63"/>
  <c r="Z287" i="63" s="1"/>
  <c r="S287" i="63"/>
  <c r="P287" i="63"/>
  <c r="L287" i="63"/>
  <c r="K287" i="63"/>
  <c r="I287" i="63"/>
  <c r="BQ286" i="63"/>
  <c r="BN286" i="63"/>
  <c r="BK286" i="63"/>
  <c r="BH286" i="63"/>
  <c r="BE286" i="63"/>
  <c r="BB286" i="63"/>
  <c r="AY286" i="63"/>
  <c r="AV286" i="63"/>
  <c r="AS286" i="63"/>
  <c r="AP286" i="63"/>
  <c r="AM286" i="63"/>
  <c r="AJ286" i="63"/>
  <c r="AE286" i="63"/>
  <c r="AA286" i="63"/>
  <c r="Y286" i="63"/>
  <c r="U286" i="63"/>
  <c r="T286" i="63"/>
  <c r="Z286" i="63" s="1"/>
  <c r="S286" i="63"/>
  <c r="P286" i="63"/>
  <c r="L286" i="63"/>
  <c r="K286" i="63"/>
  <c r="I286" i="63"/>
  <c r="BQ285" i="63"/>
  <c r="BN285" i="63"/>
  <c r="BK285" i="63"/>
  <c r="BH285" i="63"/>
  <c r="BE285" i="63"/>
  <c r="BB285" i="63"/>
  <c r="AY285" i="63"/>
  <c r="AV285" i="63"/>
  <c r="AS285" i="63"/>
  <c r="AP285" i="63"/>
  <c r="AM285" i="63"/>
  <c r="AJ285" i="63"/>
  <c r="AE285" i="63"/>
  <c r="Y285" i="63"/>
  <c r="U285" i="63"/>
  <c r="T285" i="63"/>
  <c r="Z285" i="63" s="1"/>
  <c r="S285" i="63"/>
  <c r="P285" i="63"/>
  <c r="L285" i="63"/>
  <c r="K285" i="63"/>
  <c r="I285" i="63"/>
  <c r="BP284" i="63"/>
  <c r="BO284" i="63"/>
  <c r="BM284" i="63"/>
  <c r="BL284" i="63"/>
  <c r="BJ284" i="63"/>
  <c r="BI284" i="63"/>
  <c r="BI269" i="63" s="1"/>
  <c r="BG284" i="63"/>
  <c r="BF284" i="63"/>
  <c r="BD284" i="63"/>
  <c r="BC284" i="63"/>
  <c r="BA284" i="63"/>
  <c r="AZ284" i="63"/>
  <c r="AX284" i="63"/>
  <c r="AW284" i="63"/>
  <c r="AY284" i="63" s="1"/>
  <c r="AU284" i="63"/>
  <c r="AT284" i="63"/>
  <c r="AR284" i="63"/>
  <c r="AQ284" i="63"/>
  <c r="AP284" i="63"/>
  <c r="AO284" i="63"/>
  <c r="AN284" i="63"/>
  <c r="AL284" i="63"/>
  <c r="AK284" i="63"/>
  <c r="AI284" i="63"/>
  <c r="AH284" i="63"/>
  <c r="AD284" i="63"/>
  <c r="AD117" i="63" s="1"/>
  <c r="AC284" i="63"/>
  <c r="X284" i="63"/>
  <c r="Y284" i="63" s="1"/>
  <c r="W284" i="63"/>
  <c r="R284" i="63"/>
  <c r="R269" i="63" s="1"/>
  <c r="Q284" i="63"/>
  <c r="O284" i="63"/>
  <c r="N284" i="63"/>
  <c r="H284" i="63"/>
  <c r="G284" i="63"/>
  <c r="BQ283" i="63"/>
  <c r="BN283" i="63"/>
  <c r="BK283" i="63"/>
  <c r="BH283" i="63"/>
  <c r="BE283" i="63"/>
  <c r="BB283" i="63"/>
  <c r="AY283" i="63"/>
  <c r="AV283" i="63"/>
  <c r="AS283" i="63"/>
  <c r="AP283" i="63"/>
  <c r="AM283" i="63"/>
  <c r="AJ283" i="63"/>
  <c r="AE283" i="63"/>
  <c r="U283" i="63"/>
  <c r="AA283" i="63" s="1"/>
  <c r="T283" i="63"/>
  <c r="Z283" i="63" s="1"/>
  <c r="P283" i="63"/>
  <c r="L283" i="63"/>
  <c r="K283" i="63"/>
  <c r="I283" i="63"/>
  <c r="BQ282" i="63"/>
  <c r="BN282" i="63"/>
  <c r="BK282" i="63"/>
  <c r="BH282" i="63"/>
  <c r="BE282" i="63"/>
  <c r="BB282" i="63"/>
  <c r="AY282" i="63"/>
  <c r="AV282" i="63"/>
  <c r="AS282" i="63"/>
  <c r="AP282" i="63"/>
  <c r="AM282" i="63"/>
  <c r="AJ282" i="63"/>
  <c r="AE282" i="63"/>
  <c r="Y282" i="63"/>
  <c r="U282" i="63"/>
  <c r="T282" i="63"/>
  <c r="Z282" i="63" s="1"/>
  <c r="S282" i="63"/>
  <c r="P282" i="63"/>
  <c r="L282" i="63"/>
  <c r="M282" i="63" s="1"/>
  <c r="K282" i="63"/>
  <c r="I282" i="63"/>
  <c r="BQ281" i="63"/>
  <c r="BN281" i="63"/>
  <c r="BK281" i="63"/>
  <c r="BH281" i="63"/>
  <c r="BE281" i="63"/>
  <c r="BB281" i="63"/>
  <c r="AY281" i="63"/>
  <c r="AV281" i="63"/>
  <c r="AS281" i="63"/>
  <c r="AP281" i="63"/>
  <c r="AM281" i="63"/>
  <c r="AJ281" i="63"/>
  <c r="AE281" i="63"/>
  <c r="Y281" i="63"/>
  <c r="U281" i="63"/>
  <c r="AA281" i="63" s="1"/>
  <c r="T281" i="63"/>
  <c r="Z281" i="63" s="1"/>
  <c r="S281" i="63"/>
  <c r="P281" i="63"/>
  <c r="L281" i="63"/>
  <c r="K281" i="63"/>
  <c r="I281" i="63"/>
  <c r="BQ280" i="63"/>
  <c r="BN280" i="63"/>
  <c r="BK280" i="63"/>
  <c r="BH280" i="63"/>
  <c r="BE280" i="63"/>
  <c r="BB280" i="63"/>
  <c r="AY280" i="63"/>
  <c r="AV280" i="63"/>
  <c r="AS280" i="63"/>
  <c r="AP280" i="63"/>
  <c r="AM280" i="63"/>
  <c r="AJ280" i="63"/>
  <c r="AE280" i="63"/>
  <c r="Y280" i="63"/>
  <c r="U280" i="63"/>
  <c r="T280" i="63"/>
  <c r="Z280" i="63" s="1"/>
  <c r="S280" i="63"/>
  <c r="P280" i="63"/>
  <c r="L280" i="63"/>
  <c r="K280" i="63"/>
  <c r="M280" i="63" s="1"/>
  <c r="I280" i="63"/>
  <c r="BQ279" i="63"/>
  <c r="BN279" i="63"/>
  <c r="BK279" i="63"/>
  <c r="BH279" i="63"/>
  <c r="BE279" i="63"/>
  <c r="BB279" i="63"/>
  <c r="AY279" i="63"/>
  <c r="AV279" i="63"/>
  <c r="AS279" i="63"/>
  <c r="AP279" i="63"/>
  <c r="AM279" i="63"/>
  <c r="AJ279" i="63"/>
  <c r="AE279" i="63"/>
  <c r="Y279" i="63"/>
  <c r="U279" i="63"/>
  <c r="AA279" i="63" s="1"/>
  <c r="T279" i="63"/>
  <c r="Z279" i="63" s="1"/>
  <c r="S279" i="63"/>
  <c r="P279" i="63"/>
  <c r="L279" i="63"/>
  <c r="K279" i="63"/>
  <c r="I279" i="63"/>
  <c r="BP278" i="63"/>
  <c r="BO278" i="63"/>
  <c r="BO111" i="63" s="1"/>
  <c r="BN278" i="63"/>
  <c r="BM278" i="63"/>
  <c r="BM269" i="63" s="1"/>
  <c r="BL278" i="63"/>
  <c r="BJ278" i="63"/>
  <c r="BK278" i="63" s="1"/>
  <c r="BI278" i="63"/>
  <c r="BG278" i="63"/>
  <c r="BF278" i="63"/>
  <c r="BD278" i="63"/>
  <c r="BE278" i="63" s="1"/>
  <c r="BC278" i="63"/>
  <c r="BA278" i="63"/>
  <c r="AZ278" i="63"/>
  <c r="AX278" i="63"/>
  <c r="AY278" i="63" s="1"/>
  <c r="AW278" i="63"/>
  <c r="AW269" i="63" s="1"/>
  <c r="AU278" i="63"/>
  <c r="AV278" i="63" s="1"/>
  <c r="AT278" i="63"/>
  <c r="AR278" i="63"/>
  <c r="AQ278" i="63"/>
  <c r="AO278" i="63"/>
  <c r="AN278" i="63"/>
  <c r="AP278" i="63" s="1"/>
  <c r="AL278" i="63"/>
  <c r="AK278" i="63"/>
  <c r="AK269" i="63" s="1"/>
  <c r="AI278" i="63"/>
  <c r="AH278" i="63"/>
  <c r="AH269" i="63" s="1"/>
  <c r="AD278" i="63"/>
  <c r="AD269" i="63" s="1"/>
  <c r="AC278" i="63"/>
  <c r="X278" i="63"/>
  <c r="W278" i="63"/>
  <c r="R278" i="63"/>
  <c r="S278" i="63" s="1"/>
  <c r="Q278" i="63"/>
  <c r="O278" i="63"/>
  <c r="O269" i="63" s="1"/>
  <c r="N278" i="63"/>
  <c r="T278" i="63" s="1"/>
  <c r="Z278" i="63" s="1"/>
  <c r="H278" i="63"/>
  <c r="G278" i="63"/>
  <c r="BQ277" i="63"/>
  <c r="BN277" i="63"/>
  <c r="BK277" i="63"/>
  <c r="BH277" i="63"/>
  <c r="BE277" i="63"/>
  <c r="BB277" i="63"/>
  <c r="AY277" i="63"/>
  <c r="AV277" i="63"/>
  <c r="AS277" i="63"/>
  <c r="AP277" i="63"/>
  <c r="AM277" i="63"/>
  <c r="AJ277" i="63"/>
  <c r="AE277" i="63"/>
  <c r="AA277" i="63"/>
  <c r="Z277" i="63"/>
  <c r="Y277" i="63"/>
  <c r="U277" i="63"/>
  <c r="T277" i="63"/>
  <c r="S277" i="63"/>
  <c r="P277" i="63"/>
  <c r="L277" i="63"/>
  <c r="M277" i="63" s="1"/>
  <c r="K277" i="63"/>
  <c r="I277" i="63"/>
  <c r="BQ276" i="63"/>
  <c r="BN276" i="63"/>
  <c r="BK276" i="63"/>
  <c r="BH276" i="63"/>
  <c r="BE276" i="63"/>
  <c r="BB276" i="63"/>
  <c r="AY276" i="63"/>
  <c r="AV276" i="63"/>
  <c r="AS276" i="63"/>
  <c r="AP276" i="63"/>
  <c r="AM276" i="63"/>
  <c r="AJ276" i="63"/>
  <c r="AE276" i="63"/>
  <c r="AB276" i="63"/>
  <c r="AA276" i="63"/>
  <c r="Z276" i="63"/>
  <c r="Y276" i="63"/>
  <c r="V276" i="63"/>
  <c r="U276" i="63"/>
  <c r="T276" i="63"/>
  <c r="S276" i="63"/>
  <c r="P276" i="63"/>
  <c r="L276" i="63"/>
  <c r="M276" i="63" s="1"/>
  <c r="K276" i="63"/>
  <c r="I276" i="63"/>
  <c r="BQ275" i="63"/>
  <c r="BN275" i="63"/>
  <c r="BK275" i="63"/>
  <c r="BH275" i="63"/>
  <c r="BE275" i="63"/>
  <c r="BB275" i="63"/>
  <c r="AY275" i="63"/>
  <c r="AV275" i="63"/>
  <c r="AS275" i="63"/>
  <c r="AP275" i="63"/>
  <c r="AM275" i="63"/>
  <c r="AJ275" i="63"/>
  <c r="AE275" i="63"/>
  <c r="AA275" i="63"/>
  <c r="AB275" i="63" s="1"/>
  <c r="Z275" i="63"/>
  <c r="Y275" i="63"/>
  <c r="U275" i="63"/>
  <c r="T275" i="63"/>
  <c r="S275" i="63"/>
  <c r="P275" i="63"/>
  <c r="L275" i="63"/>
  <c r="M275" i="63" s="1"/>
  <c r="K275" i="63"/>
  <c r="I275" i="63"/>
  <c r="BQ274" i="63"/>
  <c r="BN274" i="63"/>
  <c r="BK274" i="63"/>
  <c r="BH274" i="63"/>
  <c r="BE274" i="63"/>
  <c r="BB274" i="63"/>
  <c r="AY274" i="63"/>
  <c r="AV274" i="63"/>
  <c r="AS274" i="63"/>
  <c r="AP274" i="63"/>
  <c r="AM274" i="63"/>
  <c r="AJ274" i="63"/>
  <c r="AE274" i="63"/>
  <c r="AB274" i="63"/>
  <c r="AA274" i="63"/>
  <c r="Z274" i="63"/>
  <c r="Y274" i="63"/>
  <c r="V274" i="63"/>
  <c r="U274" i="63"/>
  <c r="T274" i="63"/>
  <c r="S274" i="63"/>
  <c r="P274" i="63"/>
  <c r="L274" i="63"/>
  <c r="K274" i="63"/>
  <c r="I274" i="63"/>
  <c r="BQ273" i="63"/>
  <c r="BN273" i="63"/>
  <c r="BK273" i="63"/>
  <c r="BH273" i="63"/>
  <c r="BE273" i="63"/>
  <c r="BB273" i="63"/>
  <c r="AY273" i="63"/>
  <c r="AV273" i="63"/>
  <c r="AS273" i="63"/>
  <c r="AP273" i="63"/>
  <c r="AM273" i="63"/>
  <c r="AJ273" i="63"/>
  <c r="AE273" i="63"/>
  <c r="AA273" i="63"/>
  <c r="AB273" i="63" s="1"/>
  <c r="Z273" i="63"/>
  <c r="Y273" i="63"/>
  <c r="U273" i="63"/>
  <c r="T273" i="63"/>
  <c r="S273" i="63"/>
  <c r="P273" i="63"/>
  <c r="L273" i="63"/>
  <c r="M273" i="63" s="1"/>
  <c r="K273" i="63"/>
  <c r="I273" i="63"/>
  <c r="BP272" i="63"/>
  <c r="BO272" i="63"/>
  <c r="BM272" i="63"/>
  <c r="BL272" i="63"/>
  <c r="BJ272" i="63"/>
  <c r="BI272" i="63"/>
  <c r="BK272" i="63" s="1"/>
  <c r="BG272" i="63"/>
  <c r="BF272" i="63"/>
  <c r="BD272" i="63"/>
  <c r="BC272" i="63"/>
  <c r="BA272" i="63"/>
  <c r="AZ272" i="63"/>
  <c r="AX272" i="63"/>
  <c r="AW272" i="63"/>
  <c r="AU272" i="63"/>
  <c r="AT272" i="63"/>
  <c r="AR272" i="63"/>
  <c r="AQ272" i="63"/>
  <c r="AQ105" i="63" s="1"/>
  <c r="AO272" i="63"/>
  <c r="AN272" i="63"/>
  <c r="AL272" i="63"/>
  <c r="AK272" i="63"/>
  <c r="AI272" i="63"/>
  <c r="AJ272" i="63" s="1"/>
  <c r="AH272" i="63"/>
  <c r="AD272" i="63"/>
  <c r="AC272" i="63"/>
  <c r="X272" i="63"/>
  <c r="W272" i="63"/>
  <c r="R272" i="63"/>
  <c r="Q272" i="63"/>
  <c r="O272" i="63"/>
  <c r="AA272" i="63" s="1"/>
  <c r="N272" i="63"/>
  <c r="H272" i="63"/>
  <c r="G272" i="63"/>
  <c r="BQ270" i="63"/>
  <c r="BN270" i="63"/>
  <c r="BK270" i="63"/>
  <c r="BH270" i="63"/>
  <c r="BE270" i="63"/>
  <c r="BB270" i="63"/>
  <c r="AY270" i="63"/>
  <c r="AV270" i="63"/>
  <c r="AS270" i="63"/>
  <c r="AP270" i="63"/>
  <c r="AM270" i="63"/>
  <c r="AJ270" i="63"/>
  <c r="AE270" i="63"/>
  <c r="Y270" i="63"/>
  <c r="U270" i="63"/>
  <c r="T270" i="63"/>
  <c r="Z270" i="63" s="1"/>
  <c r="S270" i="63"/>
  <c r="P270" i="63"/>
  <c r="L270" i="63"/>
  <c r="K270" i="63"/>
  <c r="I270" i="63"/>
  <c r="BP269" i="63"/>
  <c r="BJ269" i="63"/>
  <c r="AR269" i="63"/>
  <c r="AO269" i="63"/>
  <c r="W269" i="63"/>
  <c r="G269" i="63"/>
  <c r="BQ268" i="63"/>
  <c r="BN268" i="63"/>
  <c r="BK268" i="63"/>
  <c r="BH268" i="63"/>
  <c r="BE268" i="63"/>
  <c r="BB268" i="63"/>
  <c r="AY268" i="63"/>
  <c r="AV268" i="63"/>
  <c r="AS268" i="63"/>
  <c r="AP268" i="63"/>
  <c r="AM268" i="63"/>
  <c r="AJ268" i="63"/>
  <c r="AE268" i="63"/>
  <c r="AA268" i="63"/>
  <c r="U268" i="63"/>
  <c r="T268" i="63"/>
  <c r="P268" i="63"/>
  <c r="L268" i="63"/>
  <c r="K268" i="63"/>
  <c r="I268" i="63"/>
  <c r="BQ267" i="63"/>
  <c r="BN267" i="63"/>
  <c r="BK267" i="63"/>
  <c r="BH267" i="63"/>
  <c r="BE267" i="63"/>
  <c r="BB267" i="63"/>
  <c r="AY267" i="63"/>
  <c r="AV267" i="63"/>
  <c r="AS267" i="63"/>
  <c r="AP267" i="63"/>
  <c r="AM267" i="63"/>
  <c r="AJ267" i="63"/>
  <c r="AE267" i="63"/>
  <c r="Y267" i="63"/>
  <c r="U267" i="63"/>
  <c r="AA267" i="63" s="1"/>
  <c r="T267" i="63"/>
  <c r="Z267" i="63" s="1"/>
  <c r="S267" i="63"/>
  <c r="P267" i="63"/>
  <c r="L267" i="63"/>
  <c r="K267" i="63"/>
  <c r="I267" i="63"/>
  <c r="BQ266" i="63"/>
  <c r="BN266" i="63"/>
  <c r="BK266" i="63"/>
  <c r="BH266" i="63"/>
  <c r="BE266" i="63"/>
  <c r="BB266" i="63"/>
  <c r="AY266" i="63"/>
  <c r="AV266" i="63"/>
  <c r="AS266" i="63"/>
  <c r="AP266" i="63"/>
  <c r="AM266" i="63"/>
  <c r="AJ266" i="63"/>
  <c r="AE266" i="63"/>
  <c r="Y266" i="63"/>
  <c r="V266" i="63"/>
  <c r="U266" i="63"/>
  <c r="AA266" i="63" s="1"/>
  <c r="T266" i="63"/>
  <c r="Z266" i="63" s="1"/>
  <c r="S266" i="63"/>
  <c r="P266" i="63"/>
  <c r="L266" i="63"/>
  <c r="K266" i="63"/>
  <c r="I266" i="63"/>
  <c r="BQ265" i="63"/>
  <c r="BN265" i="63"/>
  <c r="BK265" i="63"/>
  <c r="BH265" i="63"/>
  <c r="BE265" i="63"/>
  <c r="BB265" i="63"/>
  <c r="AY265" i="63"/>
  <c r="AV265" i="63"/>
  <c r="AS265" i="63"/>
  <c r="AP265" i="63"/>
  <c r="AM265" i="63"/>
  <c r="AJ265" i="63"/>
  <c r="AE265" i="63"/>
  <c r="Y265" i="63"/>
  <c r="U265" i="63"/>
  <c r="T265" i="63"/>
  <c r="Z265" i="63" s="1"/>
  <c r="S265" i="63"/>
  <c r="P265" i="63"/>
  <c r="L265" i="63"/>
  <c r="K265" i="63"/>
  <c r="I265" i="63"/>
  <c r="BQ264" i="63"/>
  <c r="BN264" i="63"/>
  <c r="BK264" i="63"/>
  <c r="BH264" i="63"/>
  <c r="BE264" i="63"/>
  <c r="BB264" i="63"/>
  <c r="AY264" i="63"/>
  <c r="AV264" i="63"/>
  <c r="AS264" i="63"/>
  <c r="AP264" i="63"/>
  <c r="AM264" i="63"/>
  <c r="AJ264" i="63"/>
  <c r="AE264" i="63"/>
  <c r="Y264" i="63"/>
  <c r="U264" i="63"/>
  <c r="AA264" i="63" s="1"/>
  <c r="T264" i="63"/>
  <c r="Z264" i="63" s="1"/>
  <c r="S264" i="63"/>
  <c r="P264" i="63"/>
  <c r="L264" i="63"/>
  <c r="K264" i="63"/>
  <c r="I264" i="63"/>
  <c r="BP263" i="63"/>
  <c r="BO263" i="63"/>
  <c r="BM263" i="63"/>
  <c r="BL263" i="63"/>
  <c r="BJ263" i="63"/>
  <c r="BI263" i="63"/>
  <c r="BG263" i="63"/>
  <c r="BF263" i="63"/>
  <c r="BD263" i="63"/>
  <c r="BC263" i="63"/>
  <c r="BE263" i="63" s="1"/>
  <c r="BA263" i="63"/>
  <c r="AZ263" i="63"/>
  <c r="AX263" i="63"/>
  <c r="AW263" i="63"/>
  <c r="AW131" i="63" s="1"/>
  <c r="AU263" i="63"/>
  <c r="AT263" i="63"/>
  <c r="AR263" i="63"/>
  <c r="AQ263" i="63"/>
  <c r="AO263" i="63"/>
  <c r="AP263" i="63" s="1"/>
  <c r="AN263" i="63"/>
  <c r="AL263" i="63"/>
  <c r="AK263" i="63"/>
  <c r="AM263" i="63" s="1"/>
  <c r="AI263" i="63"/>
  <c r="AH263" i="63"/>
  <c r="AD263" i="63"/>
  <c r="AC263" i="63"/>
  <c r="AE263" i="63" s="1"/>
  <c r="Y263" i="63"/>
  <c r="X263" i="63"/>
  <c r="W263" i="63"/>
  <c r="R263" i="63"/>
  <c r="Q263" i="63"/>
  <c r="O263" i="63"/>
  <c r="N263" i="63"/>
  <c r="T263" i="63" s="1"/>
  <c r="Z263" i="63" s="1"/>
  <c r="H263" i="63"/>
  <c r="G263" i="63"/>
  <c r="BQ262" i="63"/>
  <c r="BN262" i="63"/>
  <c r="BK262" i="63"/>
  <c r="BH262" i="63"/>
  <c r="BE262" i="63"/>
  <c r="BB262" i="63"/>
  <c r="AY262" i="63"/>
  <c r="AV262" i="63"/>
  <c r="AS262" i="63"/>
  <c r="AP262" i="63"/>
  <c r="AM262" i="63"/>
  <c r="AJ262" i="63"/>
  <c r="AE262" i="63"/>
  <c r="Z262" i="63"/>
  <c r="U262" i="63"/>
  <c r="AA262" i="63" s="1"/>
  <c r="T262" i="63"/>
  <c r="P262" i="63"/>
  <c r="L262" i="63"/>
  <c r="K262" i="63"/>
  <c r="I262" i="63"/>
  <c r="BQ261" i="63"/>
  <c r="BN261" i="63"/>
  <c r="BK261" i="63"/>
  <c r="BH261" i="63"/>
  <c r="BE261" i="63"/>
  <c r="BB261" i="63"/>
  <c r="AY261" i="63"/>
  <c r="AV261" i="63"/>
  <c r="AS261" i="63"/>
  <c r="AP261" i="63"/>
  <c r="AM261" i="63"/>
  <c r="AJ261" i="63"/>
  <c r="AE261" i="63"/>
  <c r="Y261" i="63"/>
  <c r="U261" i="63"/>
  <c r="V261" i="63" s="1"/>
  <c r="T261" i="63"/>
  <c r="Z261" i="63" s="1"/>
  <c r="S261" i="63"/>
  <c r="P261" i="63"/>
  <c r="M261" i="63"/>
  <c r="L261" i="63"/>
  <c r="K261" i="63"/>
  <c r="I261" i="63"/>
  <c r="BQ260" i="63"/>
  <c r="BN260" i="63"/>
  <c r="BK260" i="63"/>
  <c r="BH260" i="63"/>
  <c r="BE260" i="63"/>
  <c r="BB260" i="63"/>
  <c r="AY260" i="63"/>
  <c r="AV260" i="63"/>
  <c r="AS260" i="63"/>
  <c r="AP260" i="63"/>
  <c r="AM260" i="63"/>
  <c r="AJ260" i="63"/>
  <c r="AE260" i="63"/>
  <c r="Y260" i="63"/>
  <c r="U260" i="63"/>
  <c r="AA260" i="63" s="1"/>
  <c r="T260" i="63"/>
  <c r="Z260" i="63" s="1"/>
  <c r="S260" i="63"/>
  <c r="P260" i="63"/>
  <c r="L260" i="63"/>
  <c r="K260" i="63"/>
  <c r="M260" i="63" s="1"/>
  <c r="I260" i="63"/>
  <c r="BQ259" i="63"/>
  <c r="BN259" i="63"/>
  <c r="BK259" i="63"/>
  <c r="BH259" i="63"/>
  <c r="BE259" i="63"/>
  <c r="BB259" i="63"/>
  <c r="AY259" i="63"/>
  <c r="AV259" i="63"/>
  <c r="AS259" i="63"/>
  <c r="AP259" i="63"/>
  <c r="AM259" i="63"/>
  <c r="AJ259" i="63"/>
  <c r="AE259" i="63"/>
  <c r="Y259" i="63"/>
  <c r="U259" i="63"/>
  <c r="AA259" i="63" s="1"/>
  <c r="T259" i="63"/>
  <c r="Z259" i="63" s="1"/>
  <c r="S259" i="63"/>
  <c r="P259" i="63"/>
  <c r="L259" i="63"/>
  <c r="M259" i="63" s="1"/>
  <c r="K259" i="63"/>
  <c r="I259" i="63"/>
  <c r="BQ258" i="63"/>
  <c r="BN258" i="63"/>
  <c r="BK258" i="63"/>
  <c r="BH258" i="63"/>
  <c r="BE258" i="63"/>
  <c r="BB258" i="63"/>
  <c r="AY258" i="63"/>
  <c r="AV258" i="63"/>
  <c r="AS258" i="63"/>
  <c r="AP258" i="63"/>
  <c r="AM258" i="63"/>
  <c r="AJ258" i="63"/>
  <c r="AE258" i="63"/>
  <c r="Y258" i="63"/>
  <c r="U258" i="63"/>
  <c r="AA258" i="63" s="1"/>
  <c r="T258" i="63"/>
  <c r="Z258" i="63" s="1"/>
  <c r="S258" i="63"/>
  <c r="P258" i="63"/>
  <c r="L258" i="63"/>
  <c r="K258" i="63"/>
  <c r="I258" i="63"/>
  <c r="BP257" i="63"/>
  <c r="BO257" i="63"/>
  <c r="BM257" i="63"/>
  <c r="BN257" i="63" s="1"/>
  <c r="BL257" i="63"/>
  <c r="BJ257" i="63"/>
  <c r="BI257" i="63"/>
  <c r="BG257" i="63"/>
  <c r="BF257" i="63"/>
  <c r="BD257" i="63"/>
  <c r="BC257" i="63"/>
  <c r="BA257" i="63"/>
  <c r="AZ257" i="63"/>
  <c r="AX257" i="63"/>
  <c r="AW257" i="63"/>
  <c r="AY257" i="63" s="1"/>
  <c r="AU257" i="63"/>
  <c r="AT257" i="63"/>
  <c r="AR257" i="63"/>
  <c r="AQ257" i="63"/>
  <c r="AO257" i="63"/>
  <c r="AP257" i="63" s="1"/>
  <c r="AN257" i="63"/>
  <c r="AL257" i="63"/>
  <c r="AK257" i="63"/>
  <c r="AI257" i="63"/>
  <c r="AH257" i="63"/>
  <c r="AD257" i="63"/>
  <c r="AC257" i="63"/>
  <c r="AE257" i="63" s="1"/>
  <c r="X257" i="63"/>
  <c r="W257" i="63"/>
  <c r="R257" i="63"/>
  <c r="Q257" i="63"/>
  <c r="O257" i="63"/>
  <c r="U257" i="63" s="1"/>
  <c r="N257" i="63"/>
  <c r="H257" i="63"/>
  <c r="G257" i="63"/>
  <c r="BQ256" i="63"/>
  <c r="BN256" i="63"/>
  <c r="BK256" i="63"/>
  <c r="BH256" i="63"/>
  <c r="BE256" i="63"/>
  <c r="BB256" i="63"/>
  <c r="AY256" i="63"/>
  <c r="AV256" i="63"/>
  <c r="AS256" i="63"/>
  <c r="AP256" i="63"/>
  <c r="AM256" i="63"/>
  <c r="AJ256" i="63"/>
  <c r="AE256" i="63"/>
  <c r="U256" i="63"/>
  <c r="AA256" i="63" s="1"/>
  <c r="T256" i="63"/>
  <c r="P256" i="63"/>
  <c r="L256" i="63"/>
  <c r="K256" i="63"/>
  <c r="I256" i="63"/>
  <c r="BQ255" i="63"/>
  <c r="BN255" i="63"/>
  <c r="BK255" i="63"/>
  <c r="BH255" i="63"/>
  <c r="BE255" i="63"/>
  <c r="BB255" i="63"/>
  <c r="AY255" i="63"/>
  <c r="AV255" i="63"/>
  <c r="AS255" i="63"/>
  <c r="AP255" i="63"/>
  <c r="AM255" i="63"/>
  <c r="AJ255" i="63"/>
  <c r="AE255" i="63"/>
  <c r="Y255" i="63"/>
  <c r="U255" i="63"/>
  <c r="AA255" i="63" s="1"/>
  <c r="T255" i="63"/>
  <c r="Z255" i="63" s="1"/>
  <c r="S255" i="63"/>
  <c r="P255" i="63"/>
  <c r="L255" i="63"/>
  <c r="K255" i="63"/>
  <c r="I255" i="63"/>
  <c r="BQ254" i="63"/>
  <c r="BN254" i="63"/>
  <c r="BK254" i="63"/>
  <c r="BH254" i="63"/>
  <c r="BE254" i="63"/>
  <c r="BB254" i="63"/>
  <c r="AY254" i="63"/>
  <c r="AV254" i="63"/>
  <c r="AS254" i="63"/>
  <c r="AP254" i="63"/>
  <c r="AM254" i="63"/>
  <c r="AJ254" i="63"/>
  <c r="AE254" i="63"/>
  <c r="Y254" i="63"/>
  <c r="U254" i="63"/>
  <c r="T254" i="63"/>
  <c r="Z254" i="63" s="1"/>
  <c r="S254" i="63"/>
  <c r="P254" i="63"/>
  <c r="L254" i="63"/>
  <c r="K254" i="63"/>
  <c r="I254" i="63"/>
  <c r="BQ253" i="63"/>
  <c r="BN253" i="63"/>
  <c r="BK253" i="63"/>
  <c r="BH253" i="63"/>
  <c r="BE253" i="63"/>
  <c r="BB253" i="63"/>
  <c r="AY253" i="63"/>
  <c r="AV253" i="63"/>
  <c r="AS253" i="63"/>
  <c r="AP253" i="63"/>
  <c r="AM253" i="63"/>
  <c r="AJ253" i="63"/>
  <c r="AE253" i="63"/>
  <c r="Y253" i="63"/>
  <c r="U253" i="63"/>
  <c r="T253" i="63"/>
  <c r="Z253" i="63" s="1"/>
  <c r="S253" i="63"/>
  <c r="P253" i="63"/>
  <c r="L253" i="63"/>
  <c r="K253" i="63"/>
  <c r="I253" i="63"/>
  <c r="BQ252" i="63"/>
  <c r="BN252" i="63"/>
  <c r="BK252" i="63"/>
  <c r="BH252" i="63"/>
  <c r="BE252" i="63"/>
  <c r="BB252" i="63"/>
  <c r="AY252" i="63"/>
  <c r="AV252" i="63"/>
  <c r="AS252" i="63"/>
  <c r="AP252" i="63"/>
  <c r="AM252" i="63"/>
  <c r="AJ252" i="63"/>
  <c r="AE252" i="63"/>
  <c r="Y252" i="63"/>
  <c r="V252" i="63"/>
  <c r="U252" i="63"/>
  <c r="AA252" i="63" s="1"/>
  <c r="AB252" i="63" s="1"/>
  <c r="T252" i="63"/>
  <c r="Z252" i="63" s="1"/>
  <c r="S252" i="63"/>
  <c r="P252" i="63"/>
  <c r="L252" i="63"/>
  <c r="K252" i="63"/>
  <c r="I252" i="63"/>
  <c r="BP251" i="63"/>
  <c r="BO251" i="63"/>
  <c r="BM251" i="63"/>
  <c r="BN251" i="63" s="1"/>
  <c r="BL251" i="63"/>
  <c r="BJ251" i="63"/>
  <c r="BI251" i="63"/>
  <c r="BG251" i="63"/>
  <c r="BH251" i="63" s="1"/>
  <c r="BF251" i="63"/>
  <c r="BD251" i="63"/>
  <c r="BD236" i="63" s="1"/>
  <c r="BC251" i="63"/>
  <c r="BA251" i="63"/>
  <c r="AZ251" i="63"/>
  <c r="AZ236" i="63" s="1"/>
  <c r="AX251" i="63"/>
  <c r="AW251" i="63"/>
  <c r="AU251" i="63"/>
  <c r="AT251" i="63"/>
  <c r="AR251" i="63"/>
  <c r="AQ251" i="63"/>
  <c r="AO251" i="63"/>
  <c r="AN251" i="63"/>
  <c r="AP251" i="63" s="1"/>
  <c r="AM251" i="63"/>
  <c r="AL251" i="63"/>
  <c r="AK251" i="63"/>
  <c r="AI251" i="63"/>
  <c r="AH251" i="63"/>
  <c r="AD251" i="63"/>
  <c r="AC251" i="63"/>
  <c r="X251" i="63"/>
  <c r="Y251" i="63" s="1"/>
  <c r="W251" i="63"/>
  <c r="R251" i="63"/>
  <c r="R236" i="63" s="1"/>
  <c r="Q251" i="63"/>
  <c r="O251" i="63"/>
  <c r="N251" i="63"/>
  <c r="H251" i="63"/>
  <c r="G251" i="63"/>
  <c r="BQ250" i="63"/>
  <c r="BN250" i="63"/>
  <c r="BK250" i="63"/>
  <c r="BH250" i="63"/>
  <c r="BE250" i="63"/>
  <c r="BB250" i="63"/>
  <c r="AY250" i="63"/>
  <c r="AV250" i="63"/>
  <c r="AS250" i="63"/>
  <c r="AP250" i="63"/>
  <c r="AM250" i="63"/>
  <c r="AJ250" i="63"/>
  <c r="AE250" i="63"/>
  <c r="U250" i="63"/>
  <c r="AA250" i="63" s="1"/>
  <c r="T250" i="63"/>
  <c r="P250" i="63"/>
  <c r="L250" i="63"/>
  <c r="K250" i="63"/>
  <c r="I250" i="63"/>
  <c r="BQ249" i="63"/>
  <c r="BN249" i="63"/>
  <c r="BK249" i="63"/>
  <c r="BH249" i="63"/>
  <c r="BE249" i="63"/>
  <c r="BB249" i="63"/>
  <c r="AY249" i="63"/>
  <c r="AV249" i="63"/>
  <c r="AS249" i="63"/>
  <c r="AP249" i="63"/>
  <c r="AM249" i="63"/>
  <c r="AJ249" i="63"/>
  <c r="AE249" i="63"/>
  <c r="Y249" i="63"/>
  <c r="U249" i="63"/>
  <c r="T249" i="63"/>
  <c r="Z249" i="63" s="1"/>
  <c r="S249" i="63"/>
  <c r="P249" i="63"/>
  <c r="M249" i="63"/>
  <c r="L249" i="63"/>
  <c r="K249" i="63"/>
  <c r="I249" i="63"/>
  <c r="BQ248" i="63"/>
  <c r="BN248" i="63"/>
  <c r="BK248" i="63"/>
  <c r="BH248" i="63"/>
  <c r="BE248" i="63"/>
  <c r="BB248" i="63"/>
  <c r="AY248" i="63"/>
  <c r="AV248" i="63"/>
  <c r="AS248" i="63"/>
  <c r="AP248" i="63"/>
  <c r="AM248" i="63"/>
  <c r="AJ248" i="63"/>
  <c r="AE248" i="63"/>
  <c r="Y248" i="63"/>
  <c r="U248" i="63"/>
  <c r="AA248" i="63" s="1"/>
  <c r="T248" i="63"/>
  <c r="Z248" i="63" s="1"/>
  <c r="S248" i="63"/>
  <c r="P248" i="63"/>
  <c r="L248" i="63"/>
  <c r="K248" i="63"/>
  <c r="I248" i="63"/>
  <c r="BQ247" i="63"/>
  <c r="BN247" i="63"/>
  <c r="BK247" i="63"/>
  <c r="BH247" i="63"/>
  <c r="BE247" i="63"/>
  <c r="BB247" i="63"/>
  <c r="AY247" i="63"/>
  <c r="AV247" i="63"/>
  <c r="AS247" i="63"/>
  <c r="AP247" i="63"/>
  <c r="AM247" i="63"/>
  <c r="AJ247" i="63"/>
  <c r="AE247" i="63"/>
  <c r="Y247" i="63"/>
  <c r="U247" i="63"/>
  <c r="AA247" i="63" s="1"/>
  <c r="T247" i="63"/>
  <c r="Z247" i="63" s="1"/>
  <c r="S247" i="63"/>
  <c r="P247" i="63"/>
  <c r="L247" i="63"/>
  <c r="M247" i="63" s="1"/>
  <c r="K247" i="63"/>
  <c r="I247" i="63"/>
  <c r="BQ246" i="63"/>
  <c r="BN246" i="63"/>
  <c r="BK246" i="63"/>
  <c r="BH246" i="63"/>
  <c r="BE246" i="63"/>
  <c r="BB246" i="63"/>
  <c r="AY246" i="63"/>
  <c r="AV246" i="63"/>
  <c r="AS246" i="63"/>
  <c r="AP246" i="63"/>
  <c r="AM246" i="63"/>
  <c r="AJ246" i="63"/>
  <c r="AE246" i="63"/>
  <c r="Y246" i="63"/>
  <c r="U246" i="63"/>
  <c r="AA246" i="63" s="1"/>
  <c r="T246" i="63"/>
  <c r="Z246" i="63" s="1"/>
  <c r="S246" i="63"/>
  <c r="P246" i="63"/>
  <c r="L246" i="63"/>
  <c r="K246" i="63"/>
  <c r="I246" i="63"/>
  <c r="BP245" i="63"/>
  <c r="BO245" i="63"/>
  <c r="BM245" i="63"/>
  <c r="BN245" i="63" s="1"/>
  <c r="BL245" i="63"/>
  <c r="BJ245" i="63"/>
  <c r="BI245" i="63"/>
  <c r="BG245" i="63"/>
  <c r="BF245" i="63"/>
  <c r="BD245" i="63"/>
  <c r="BC245" i="63"/>
  <c r="BA245" i="63"/>
  <c r="AZ245" i="63"/>
  <c r="AX245" i="63"/>
  <c r="AW245" i="63"/>
  <c r="AY245" i="63" s="1"/>
  <c r="AU245" i="63"/>
  <c r="AT245" i="63"/>
  <c r="AR245" i="63"/>
  <c r="AQ245" i="63"/>
  <c r="AO245" i="63"/>
  <c r="AN245" i="63"/>
  <c r="AL245" i="63"/>
  <c r="AK245" i="63"/>
  <c r="AK236" i="63" s="1"/>
  <c r="AI245" i="63"/>
  <c r="AH245" i="63"/>
  <c r="AD245" i="63"/>
  <c r="AC245" i="63"/>
  <c r="AE245" i="63" s="1"/>
  <c r="X245" i="63"/>
  <c r="W245" i="63"/>
  <c r="R245" i="63"/>
  <c r="Q245" i="63"/>
  <c r="Q236" i="63" s="1"/>
  <c r="O245" i="63"/>
  <c r="U245" i="63" s="1"/>
  <c r="N245" i="63"/>
  <c r="H245" i="63"/>
  <c r="G245" i="63"/>
  <c r="BQ244" i="63"/>
  <c r="BN244" i="63"/>
  <c r="BK244" i="63"/>
  <c r="BH244" i="63"/>
  <c r="BE244" i="63"/>
  <c r="BB244" i="63"/>
  <c r="AY244" i="63"/>
  <c r="AV244" i="63"/>
  <c r="AS244" i="63"/>
  <c r="AP244" i="63"/>
  <c r="AM244" i="63"/>
  <c r="AJ244" i="63"/>
  <c r="AE244" i="63"/>
  <c r="AA244" i="63"/>
  <c r="Z244" i="63"/>
  <c r="Y244" i="63"/>
  <c r="U244" i="63"/>
  <c r="T244" i="63"/>
  <c r="S244" i="63"/>
  <c r="P244" i="63"/>
  <c r="L244" i="63"/>
  <c r="M244" i="63" s="1"/>
  <c r="K244" i="63"/>
  <c r="I244" i="63"/>
  <c r="BQ243" i="63"/>
  <c r="BN243" i="63"/>
  <c r="BK243" i="63"/>
  <c r="BH243" i="63"/>
  <c r="BE243" i="63"/>
  <c r="BB243" i="63"/>
  <c r="AY243" i="63"/>
  <c r="AV243" i="63"/>
  <c r="AS243" i="63"/>
  <c r="AP243" i="63"/>
  <c r="AM243" i="63"/>
  <c r="AJ243" i="63"/>
  <c r="AE243" i="63"/>
  <c r="AA243" i="63"/>
  <c r="AB243" i="63" s="1"/>
  <c r="Z243" i="63"/>
  <c r="Y243" i="63"/>
  <c r="U243" i="63"/>
  <c r="V243" i="63" s="1"/>
  <c r="T243" i="63"/>
  <c r="S243" i="63"/>
  <c r="P243" i="63"/>
  <c r="L243" i="63"/>
  <c r="K243" i="63"/>
  <c r="I243" i="63"/>
  <c r="BQ242" i="63"/>
  <c r="BN242" i="63"/>
  <c r="BK242" i="63"/>
  <c r="BH242" i="63"/>
  <c r="BE242" i="63"/>
  <c r="BB242" i="63"/>
  <c r="AY242" i="63"/>
  <c r="AV242" i="63"/>
  <c r="AS242" i="63"/>
  <c r="AP242" i="63"/>
  <c r="AM242" i="63"/>
  <c r="AJ242" i="63"/>
  <c r="AE242" i="63"/>
  <c r="AA242" i="63"/>
  <c r="Z242" i="63"/>
  <c r="Y242" i="63"/>
  <c r="U242" i="63"/>
  <c r="T242" i="63"/>
  <c r="S242" i="63"/>
  <c r="P242" i="63"/>
  <c r="L242" i="63"/>
  <c r="K242" i="63"/>
  <c r="I242" i="63"/>
  <c r="BQ241" i="63"/>
  <c r="BN241" i="63"/>
  <c r="BK241" i="63"/>
  <c r="BH241" i="63"/>
  <c r="BE241" i="63"/>
  <c r="BB241" i="63"/>
  <c r="AY241" i="63"/>
  <c r="AV241" i="63"/>
  <c r="AS241" i="63"/>
  <c r="AP241" i="63"/>
  <c r="AM241" i="63"/>
  <c r="AJ241" i="63"/>
  <c r="AE241" i="63"/>
  <c r="AA241" i="63"/>
  <c r="Z241" i="63"/>
  <c r="Y241" i="63"/>
  <c r="U241" i="63"/>
  <c r="V241" i="63" s="1"/>
  <c r="T241" i="63"/>
  <c r="S241" i="63"/>
  <c r="P241" i="63"/>
  <c r="L241" i="63"/>
  <c r="K241" i="63"/>
  <c r="I241" i="63"/>
  <c r="BQ240" i="63"/>
  <c r="BN240" i="63"/>
  <c r="BK240" i="63"/>
  <c r="BH240" i="63"/>
  <c r="BE240" i="63"/>
  <c r="BB240" i="63"/>
  <c r="AY240" i="63"/>
  <c r="AV240" i="63"/>
  <c r="AS240" i="63"/>
  <c r="AP240" i="63"/>
  <c r="AM240" i="63"/>
  <c r="AJ240" i="63"/>
  <c r="AE240" i="63"/>
  <c r="AA240" i="63"/>
  <c r="AB240" i="63" s="1"/>
  <c r="Z240" i="63"/>
  <c r="Y240" i="63"/>
  <c r="U240" i="63"/>
  <c r="T240" i="63"/>
  <c r="S240" i="63"/>
  <c r="P240" i="63"/>
  <c r="L240" i="63"/>
  <c r="K240" i="63"/>
  <c r="I240" i="63"/>
  <c r="BP239" i="63"/>
  <c r="BO239" i="63"/>
  <c r="BM239" i="63"/>
  <c r="BL239" i="63"/>
  <c r="BJ239" i="63"/>
  <c r="BI239" i="63"/>
  <c r="BG239" i="63"/>
  <c r="BF239" i="63"/>
  <c r="BH239" i="63" s="1"/>
  <c r="BD239" i="63"/>
  <c r="BE239" i="63" s="1"/>
  <c r="BC239" i="63"/>
  <c r="BA239" i="63"/>
  <c r="AZ239" i="63"/>
  <c r="AX239" i="63"/>
  <c r="AW239" i="63"/>
  <c r="AU239" i="63"/>
  <c r="AT239" i="63"/>
  <c r="AR239" i="63"/>
  <c r="AS239" i="63" s="1"/>
  <c r="AQ239" i="63"/>
  <c r="AO239" i="63"/>
  <c r="AN239" i="63"/>
  <c r="AL239" i="63"/>
  <c r="AK239" i="63"/>
  <c r="AI239" i="63"/>
  <c r="AH239" i="63"/>
  <c r="AD239" i="63"/>
  <c r="AE239" i="63" s="1"/>
  <c r="AC239" i="63"/>
  <c r="X239" i="63"/>
  <c r="W239" i="63"/>
  <c r="R239" i="63"/>
  <c r="S239" i="63" s="1"/>
  <c r="Q239" i="63"/>
  <c r="O239" i="63"/>
  <c r="N239" i="63"/>
  <c r="I239" i="63"/>
  <c r="H239" i="63"/>
  <c r="G239" i="63"/>
  <c r="BQ237" i="63"/>
  <c r="BN237" i="63"/>
  <c r="BK237" i="63"/>
  <c r="BH237" i="63"/>
  <c r="BE237" i="63"/>
  <c r="BB237" i="63"/>
  <c r="AY237" i="63"/>
  <c r="AV237" i="63"/>
  <c r="AS237" i="63"/>
  <c r="AP237" i="63"/>
  <c r="AM237" i="63"/>
  <c r="AJ237" i="63"/>
  <c r="AE237" i="63"/>
  <c r="Y237" i="63"/>
  <c r="U237" i="63"/>
  <c r="AA237" i="63" s="1"/>
  <c r="T237" i="63"/>
  <c r="Z237" i="63" s="1"/>
  <c r="S237" i="63"/>
  <c r="P237" i="63"/>
  <c r="L237" i="63"/>
  <c r="K237" i="63"/>
  <c r="I237" i="63"/>
  <c r="BL236" i="63"/>
  <c r="BA236" i="63"/>
  <c r="AR236" i="63"/>
  <c r="AD236" i="63"/>
  <c r="W236" i="63"/>
  <c r="BQ235" i="63"/>
  <c r="BN235" i="63"/>
  <c r="BK235" i="63"/>
  <c r="BH235" i="63"/>
  <c r="BE235" i="63"/>
  <c r="BB235" i="63"/>
  <c r="AY235" i="63"/>
  <c r="AV235" i="63"/>
  <c r="AS235" i="63"/>
  <c r="AP235" i="63"/>
  <c r="AM235" i="63"/>
  <c r="AJ235" i="63"/>
  <c r="AE235" i="63"/>
  <c r="U235" i="63"/>
  <c r="AA235" i="63" s="1"/>
  <c r="T235" i="63"/>
  <c r="P235" i="63"/>
  <c r="L235" i="63"/>
  <c r="K235" i="63"/>
  <c r="I235" i="63"/>
  <c r="BQ234" i="63"/>
  <c r="BN234" i="63"/>
  <c r="BK234" i="63"/>
  <c r="BH234" i="63"/>
  <c r="BE234" i="63"/>
  <c r="BB234" i="63"/>
  <c r="AY234" i="63"/>
  <c r="AV234" i="63"/>
  <c r="AS234" i="63"/>
  <c r="AP234" i="63"/>
  <c r="AM234" i="63"/>
  <c r="AJ234" i="63"/>
  <c r="AE234" i="63"/>
  <c r="Z234" i="63"/>
  <c r="Y234" i="63"/>
  <c r="U234" i="63"/>
  <c r="T234" i="63"/>
  <c r="S234" i="63"/>
  <c r="P234" i="63"/>
  <c r="L234" i="63"/>
  <c r="K234" i="63"/>
  <c r="I234" i="63"/>
  <c r="BQ233" i="63"/>
  <c r="BN233" i="63"/>
  <c r="BK233" i="63"/>
  <c r="BH233" i="63"/>
  <c r="BE233" i="63"/>
  <c r="BB233" i="63"/>
  <c r="AY233" i="63"/>
  <c r="AV233" i="63"/>
  <c r="AS233" i="63"/>
  <c r="AP233" i="63"/>
  <c r="AM233" i="63"/>
  <c r="AJ233" i="63"/>
  <c r="AE233" i="63"/>
  <c r="Y233" i="63"/>
  <c r="U233" i="63"/>
  <c r="T233" i="63"/>
  <c r="Z233" i="63" s="1"/>
  <c r="S233" i="63"/>
  <c r="P233" i="63"/>
  <c r="L233" i="63"/>
  <c r="K233" i="63"/>
  <c r="I233" i="63"/>
  <c r="BQ232" i="63"/>
  <c r="BN232" i="63"/>
  <c r="BK232" i="63"/>
  <c r="BH232" i="63"/>
  <c r="BE232" i="63"/>
  <c r="BB232" i="63"/>
  <c r="AY232" i="63"/>
  <c r="AV232" i="63"/>
  <c r="AS232" i="63"/>
  <c r="AP232" i="63"/>
  <c r="AM232" i="63"/>
  <c r="AJ232" i="63"/>
  <c r="AE232" i="63"/>
  <c r="Y232" i="63"/>
  <c r="U232" i="63"/>
  <c r="AA232" i="63" s="1"/>
  <c r="AB232" i="63" s="1"/>
  <c r="T232" i="63"/>
  <c r="Z232" i="63" s="1"/>
  <c r="S232" i="63"/>
  <c r="P232" i="63"/>
  <c r="L232" i="63"/>
  <c r="K232" i="63"/>
  <c r="I232" i="63"/>
  <c r="BQ231" i="63"/>
  <c r="BN231" i="63"/>
  <c r="BK231" i="63"/>
  <c r="BH231" i="63"/>
  <c r="BE231" i="63"/>
  <c r="BB231" i="63"/>
  <c r="AY231" i="63"/>
  <c r="AV231" i="63"/>
  <c r="AS231" i="63"/>
  <c r="AP231" i="63"/>
  <c r="AM231" i="63"/>
  <c r="AJ231" i="63"/>
  <c r="AE231" i="63"/>
  <c r="Y231" i="63"/>
  <c r="U231" i="63"/>
  <c r="T231" i="63"/>
  <c r="Z231" i="63" s="1"/>
  <c r="S231" i="63"/>
  <c r="P231" i="63"/>
  <c r="L231" i="63"/>
  <c r="K231" i="63"/>
  <c r="I231" i="63"/>
  <c r="BP230" i="63"/>
  <c r="BO230" i="63"/>
  <c r="BM230" i="63"/>
  <c r="BL230" i="63"/>
  <c r="BN230" i="63" s="1"/>
  <c r="BJ230" i="63"/>
  <c r="BK230" i="63" s="1"/>
  <c r="BI230" i="63"/>
  <c r="BG230" i="63"/>
  <c r="BF230" i="63"/>
  <c r="BD230" i="63"/>
  <c r="BC230" i="63"/>
  <c r="BA230" i="63"/>
  <c r="AZ230" i="63"/>
  <c r="AX230" i="63"/>
  <c r="AY230" i="63" s="1"/>
  <c r="AW230" i="63"/>
  <c r="AU230" i="63"/>
  <c r="AT230" i="63"/>
  <c r="AR230" i="63"/>
  <c r="AQ230" i="63"/>
  <c r="AO230" i="63"/>
  <c r="AN230" i="63"/>
  <c r="AN203" i="63" s="1"/>
  <c r="AL230" i="63"/>
  <c r="AM230" i="63" s="1"/>
  <c r="AK230" i="63"/>
  <c r="AI230" i="63"/>
  <c r="AH230" i="63"/>
  <c r="AD230" i="63"/>
  <c r="AC230" i="63"/>
  <c r="X230" i="63"/>
  <c r="W230" i="63"/>
  <c r="Y230" i="63" s="1"/>
  <c r="R230" i="63"/>
  <c r="Q230" i="63"/>
  <c r="P230" i="63"/>
  <c r="O230" i="63"/>
  <c r="U230" i="63" s="1"/>
  <c r="N230" i="63"/>
  <c r="H230" i="63"/>
  <c r="G230" i="63"/>
  <c r="BQ229" i="63"/>
  <c r="BN229" i="63"/>
  <c r="BK229" i="63"/>
  <c r="BH229" i="63"/>
  <c r="BE229" i="63"/>
  <c r="BB229" i="63"/>
  <c r="AY229" i="63"/>
  <c r="AV229" i="63"/>
  <c r="AS229" i="63"/>
  <c r="AP229" i="63"/>
  <c r="AM229" i="63"/>
  <c r="AJ229" i="63"/>
  <c r="AE229" i="63"/>
  <c r="U229" i="63"/>
  <c r="AA229" i="63" s="1"/>
  <c r="T229" i="63"/>
  <c r="Z229" i="63" s="1"/>
  <c r="P229" i="63"/>
  <c r="L229" i="63"/>
  <c r="K229" i="63"/>
  <c r="I229" i="63"/>
  <c r="BQ228" i="63"/>
  <c r="BN228" i="63"/>
  <c r="BK228" i="63"/>
  <c r="BH228" i="63"/>
  <c r="BE228" i="63"/>
  <c r="BB228" i="63"/>
  <c r="AY228" i="63"/>
  <c r="AV228" i="63"/>
  <c r="AS228" i="63"/>
  <c r="AP228" i="63"/>
  <c r="AM228" i="63"/>
  <c r="AJ228" i="63"/>
  <c r="AE228" i="63"/>
  <c r="Y228" i="63"/>
  <c r="U228" i="63"/>
  <c r="AA228" i="63" s="1"/>
  <c r="T228" i="63"/>
  <c r="Z228" i="63" s="1"/>
  <c r="S228" i="63"/>
  <c r="P228" i="63"/>
  <c r="L228" i="63"/>
  <c r="K228" i="63"/>
  <c r="I228" i="63"/>
  <c r="BQ227" i="63"/>
  <c r="BN227" i="63"/>
  <c r="BK227" i="63"/>
  <c r="BH227" i="63"/>
  <c r="BE227" i="63"/>
  <c r="BB227" i="63"/>
  <c r="AY227" i="63"/>
  <c r="AV227" i="63"/>
  <c r="AS227" i="63"/>
  <c r="AP227" i="63"/>
  <c r="AM227" i="63"/>
  <c r="AJ227" i="63"/>
  <c r="AE227" i="63"/>
  <c r="Y227" i="63"/>
  <c r="U227" i="63"/>
  <c r="T227" i="63"/>
  <c r="Z227" i="63" s="1"/>
  <c r="S227" i="63"/>
  <c r="P227" i="63"/>
  <c r="L227" i="63"/>
  <c r="K227" i="63"/>
  <c r="I227" i="63"/>
  <c r="BQ226" i="63"/>
  <c r="BN226" i="63"/>
  <c r="BK226" i="63"/>
  <c r="BH226" i="63"/>
  <c r="BE226" i="63"/>
  <c r="BB226" i="63"/>
  <c r="AY226" i="63"/>
  <c r="AV226" i="63"/>
  <c r="AS226" i="63"/>
  <c r="AP226" i="63"/>
  <c r="AM226" i="63"/>
  <c r="AJ226" i="63"/>
  <c r="AE226" i="63"/>
  <c r="Y226" i="63"/>
  <c r="U226" i="63"/>
  <c r="AA226" i="63" s="1"/>
  <c r="T226" i="63"/>
  <c r="Z226" i="63" s="1"/>
  <c r="S226" i="63"/>
  <c r="P226" i="63"/>
  <c r="L226" i="63"/>
  <c r="K226" i="63"/>
  <c r="I226" i="63"/>
  <c r="BQ225" i="63"/>
  <c r="BN225" i="63"/>
  <c r="BK225" i="63"/>
  <c r="BH225" i="63"/>
  <c r="BE225" i="63"/>
  <c r="BB225" i="63"/>
  <c r="AY225" i="63"/>
  <c r="AV225" i="63"/>
  <c r="AS225" i="63"/>
  <c r="AP225" i="63"/>
  <c r="AM225" i="63"/>
  <c r="AJ225" i="63"/>
  <c r="AE225" i="63"/>
  <c r="Y225" i="63"/>
  <c r="V225" i="63"/>
  <c r="U225" i="63"/>
  <c r="AA225" i="63" s="1"/>
  <c r="T225" i="63"/>
  <c r="Z225" i="63" s="1"/>
  <c r="S225" i="63"/>
  <c r="P225" i="63"/>
  <c r="L225" i="63"/>
  <c r="K225" i="63"/>
  <c r="I225" i="63"/>
  <c r="BP224" i="63"/>
  <c r="BO224" i="63"/>
  <c r="BM224" i="63"/>
  <c r="BL224" i="63"/>
  <c r="BJ224" i="63"/>
  <c r="BK224" i="63" s="1"/>
  <c r="BI224" i="63"/>
  <c r="BG224" i="63"/>
  <c r="BF224" i="63"/>
  <c r="BD224" i="63"/>
  <c r="BC224" i="63"/>
  <c r="BA224" i="63"/>
  <c r="AZ224" i="63"/>
  <c r="AX224" i="63"/>
  <c r="AW224" i="63"/>
  <c r="AU224" i="63"/>
  <c r="AT224" i="63"/>
  <c r="AR224" i="63"/>
  <c r="AQ224" i="63"/>
  <c r="AO224" i="63"/>
  <c r="AP224" i="63" s="1"/>
  <c r="AN224" i="63"/>
  <c r="AL224" i="63"/>
  <c r="AK224" i="63"/>
  <c r="AI224" i="63"/>
  <c r="AH224" i="63"/>
  <c r="AD224" i="63"/>
  <c r="AC224" i="63"/>
  <c r="X224" i="63"/>
  <c r="Y224" i="63" s="1"/>
  <c r="W224" i="63"/>
  <c r="R224" i="63"/>
  <c r="R203" i="63" s="1"/>
  <c r="Q224" i="63"/>
  <c r="O224" i="63"/>
  <c r="L224" i="63" s="1"/>
  <c r="N224" i="63"/>
  <c r="H224" i="63"/>
  <c r="G224" i="63"/>
  <c r="BQ223" i="63"/>
  <c r="BN223" i="63"/>
  <c r="BK223" i="63"/>
  <c r="BH223" i="63"/>
  <c r="BE223" i="63"/>
  <c r="BB223" i="63"/>
  <c r="AY223" i="63"/>
  <c r="AV223" i="63"/>
  <c r="AS223" i="63"/>
  <c r="AP223" i="63"/>
  <c r="AM223" i="63"/>
  <c r="AJ223" i="63"/>
  <c r="AE223" i="63"/>
  <c r="AA223" i="63"/>
  <c r="U223" i="63"/>
  <c r="T223" i="63"/>
  <c r="P223" i="63"/>
  <c r="L223" i="63"/>
  <c r="K223" i="63"/>
  <c r="I223" i="63"/>
  <c r="BQ222" i="63"/>
  <c r="BN222" i="63"/>
  <c r="BK222" i="63"/>
  <c r="BH222" i="63"/>
  <c r="BE222" i="63"/>
  <c r="BB222" i="63"/>
  <c r="AY222" i="63"/>
  <c r="AV222" i="63"/>
  <c r="AS222" i="63"/>
  <c r="AP222" i="63"/>
  <c r="AM222" i="63"/>
  <c r="AJ222" i="63"/>
  <c r="AE222" i="63"/>
  <c r="Y222" i="63"/>
  <c r="U222" i="63"/>
  <c r="T222" i="63"/>
  <c r="Z222" i="63" s="1"/>
  <c r="S222" i="63"/>
  <c r="P222" i="63"/>
  <c r="L222" i="63"/>
  <c r="M222" i="63" s="1"/>
  <c r="K222" i="63"/>
  <c r="I222" i="63"/>
  <c r="BQ221" i="63"/>
  <c r="BN221" i="63"/>
  <c r="BK221" i="63"/>
  <c r="BH221" i="63"/>
  <c r="BE221" i="63"/>
  <c r="BB221" i="63"/>
  <c r="AY221" i="63"/>
  <c r="AV221" i="63"/>
  <c r="AS221" i="63"/>
  <c r="AP221" i="63"/>
  <c r="AM221" i="63"/>
  <c r="AJ221" i="63"/>
  <c r="AE221" i="63"/>
  <c r="Y221" i="63"/>
  <c r="U221" i="63"/>
  <c r="AA221" i="63" s="1"/>
  <c r="T221" i="63"/>
  <c r="Z221" i="63" s="1"/>
  <c r="S221" i="63"/>
  <c r="P221" i="63"/>
  <c r="L221" i="63"/>
  <c r="K221" i="63"/>
  <c r="M221" i="63" s="1"/>
  <c r="I221" i="63"/>
  <c r="BQ220" i="63"/>
  <c r="BN220" i="63"/>
  <c r="BK220" i="63"/>
  <c r="BH220" i="63"/>
  <c r="BE220" i="63"/>
  <c r="BB220" i="63"/>
  <c r="AY220" i="63"/>
  <c r="AV220" i="63"/>
  <c r="AS220" i="63"/>
  <c r="AP220" i="63"/>
  <c r="AM220" i="63"/>
  <c r="AJ220" i="63"/>
  <c r="AE220" i="63"/>
  <c r="Y220" i="63"/>
  <c r="U220" i="63"/>
  <c r="T220" i="63"/>
  <c r="Z220" i="63" s="1"/>
  <c r="S220" i="63"/>
  <c r="P220" i="63"/>
  <c r="L220" i="63"/>
  <c r="K220" i="63"/>
  <c r="I220" i="63"/>
  <c r="BQ219" i="63"/>
  <c r="BN219" i="63"/>
  <c r="BK219" i="63"/>
  <c r="BH219" i="63"/>
  <c r="BE219" i="63"/>
  <c r="BB219" i="63"/>
  <c r="AY219" i="63"/>
  <c r="AV219" i="63"/>
  <c r="AS219" i="63"/>
  <c r="AP219" i="63"/>
  <c r="AM219" i="63"/>
  <c r="AJ219" i="63"/>
  <c r="AE219" i="63"/>
  <c r="Y219" i="63"/>
  <c r="V219" i="63"/>
  <c r="U219" i="63"/>
  <c r="AA219" i="63" s="1"/>
  <c r="T219" i="63"/>
  <c r="Z219" i="63" s="1"/>
  <c r="S219" i="63"/>
  <c r="P219" i="63"/>
  <c r="L219" i="63"/>
  <c r="K219" i="63"/>
  <c r="I219" i="63"/>
  <c r="BP218" i="63"/>
  <c r="BP203" i="63" s="1"/>
  <c r="BO218" i="63"/>
  <c r="BM218" i="63"/>
  <c r="BL218" i="63"/>
  <c r="BJ218" i="63"/>
  <c r="BK218" i="63" s="1"/>
  <c r="BI218" i="63"/>
  <c r="BG218" i="63"/>
  <c r="BF218" i="63"/>
  <c r="BD218" i="63"/>
  <c r="BC218" i="63"/>
  <c r="BA218" i="63"/>
  <c r="AZ218" i="63"/>
  <c r="AX218" i="63"/>
  <c r="AW218" i="63"/>
  <c r="AU218" i="63"/>
  <c r="AT218" i="63"/>
  <c r="AR218" i="63"/>
  <c r="AQ218" i="63"/>
  <c r="AO218" i="63"/>
  <c r="AP218" i="63" s="1"/>
  <c r="AN218" i="63"/>
  <c r="AL218" i="63"/>
  <c r="AK218" i="63"/>
  <c r="AI218" i="63"/>
  <c r="AH218" i="63"/>
  <c r="AD218" i="63"/>
  <c r="AD203" i="63" s="1"/>
  <c r="AC218" i="63"/>
  <c r="X218" i="63"/>
  <c r="W218" i="63"/>
  <c r="R218" i="63"/>
  <c r="Q218" i="63"/>
  <c r="O218" i="63"/>
  <c r="N218" i="63"/>
  <c r="T218" i="63" s="1"/>
  <c r="Z218" i="63" s="1"/>
  <c r="H218" i="63"/>
  <c r="G218" i="63"/>
  <c r="BQ217" i="63"/>
  <c r="BN217" i="63"/>
  <c r="BK217" i="63"/>
  <c r="BH217" i="63"/>
  <c r="BE217" i="63"/>
  <c r="BB217" i="63"/>
  <c r="AY217" i="63"/>
  <c r="AV217" i="63"/>
  <c r="AS217" i="63"/>
  <c r="AP217" i="63"/>
  <c r="AM217" i="63"/>
  <c r="AJ217" i="63"/>
  <c r="AE217" i="63"/>
  <c r="U217" i="63"/>
  <c r="AA217" i="63" s="1"/>
  <c r="T217" i="63"/>
  <c r="P217" i="63"/>
  <c r="L217" i="63"/>
  <c r="K217" i="63"/>
  <c r="I217" i="63"/>
  <c r="BQ216" i="63"/>
  <c r="BN216" i="63"/>
  <c r="BK216" i="63"/>
  <c r="BH216" i="63"/>
  <c r="BE216" i="63"/>
  <c r="BB216" i="63"/>
  <c r="AY216" i="63"/>
  <c r="AV216" i="63"/>
  <c r="AS216" i="63"/>
  <c r="AP216" i="63"/>
  <c r="AM216" i="63"/>
  <c r="AJ216" i="63"/>
  <c r="AE216" i="63"/>
  <c r="Y216" i="63"/>
  <c r="U216" i="63"/>
  <c r="AA216" i="63" s="1"/>
  <c r="T216" i="63"/>
  <c r="Z216" i="63" s="1"/>
  <c r="S216" i="63"/>
  <c r="P216" i="63"/>
  <c r="L216" i="63"/>
  <c r="K216" i="63"/>
  <c r="I216" i="63"/>
  <c r="BQ215" i="63"/>
  <c r="BN215" i="63"/>
  <c r="BK215" i="63"/>
  <c r="BH215" i="63"/>
  <c r="BE215" i="63"/>
  <c r="BB215" i="63"/>
  <c r="AY215" i="63"/>
  <c r="AV215" i="63"/>
  <c r="AS215" i="63"/>
  <c r="AP215" i="63"/>
  <c r="AM215" i="63"/>
  <c r="AJ215" i="63"/>
  <c r="AE215" i="63"/>
  <c r="Y215" i="63"/>
  <c r="U215" i="63"/>
  <c r="AA215" i="63" s="1"/>
  <c r="T215" i="63"/>
  <c r="Z215" i="63" s="1"/>
  <c r="S215" i="63"/>
  <c r="P215" i="63"/>
  <c r="L215" i="63"/>
  <c r="K215" i="63"/>
  <c r="I215" i="63"/>
  <c r="BQ214" i="63"/>
  <c r="BN214" i="63"/>
  <c r="BK214" i="63"/>
  <c r="BH214" i="63"/>
  <c r="BE214" i="63"/>
  <c r="BB214" i="63"/>
  <c r="AY214" i="63"/>
  <c r="AV214" i="63"/>
  <c r="AS214" i="63"/>
  <c r="AP214" i="63"/>
  <c r="AM214" i="63"/>
  <c r="AJ214" i="63"/>
  <c r="AE214" i="63"/>
  <c r="AA214" i="63"/>
  <c r="Y214" i="63"/>
  <c r="U214" i="63"/>
  <c r="T214" i="63"/>
  <c r="Z214" i="63" s="1"/>
  <c r="S214" i="63"/>
  <c r="P214" i="63"/>
  <c r="L214" i="63"/>
  <c r="K214" i="63"/>
  <c r="I214" i="63"/>
  <c r="BQ213" i="63"/>
  <c r="BN213" i="63"/>
  <c r="BK213" i="63"/>
  <c r="BH213" i="63"/>
  <c r="BE213" i="63"/>
  <c r="BB213" i="63"/>
  <c r="AY213" i="63"/>
  <c r="AV213" i="63"/>
  <c r="AS213" i="63"/>
  <c r="AP213" i="63"/>
  <c r="AM213" i="63"/>
  <c r="AJ213" i="63"/>
  <c r="AE213" i="63"/>
  <c r="Y213" i="63"/>
  <c r="U213" i="63"/>
  <c r="T213" i="63"/>
  <c r="Z213" i="63" s="1"/>
  <c r="S213" i="63"/>
  <c r="P213" i="63"/>
  <c r="L213" i="63"/>
  <c r="K213" i="63"/>
  <c r="I213" i="63"/>
  <c r="BP212" i="63"/>
  <c r="BO212" i="63"/>
  <c r="BQ212" i="63" s="1"/>
  <c r="BM212" i="63"/>
  <c r="BL212" i="63"/>
  <c r="BJ212" i="63"/>
  <c r="BI212" i="63"/>
  <c r="BI203" i="63" s="1"/>
  <c r="BG212" i="63"/>
  <c r="BF212" i="63"/>
  <c r="BD212" i="63"/>
  <c r="BC212" i="63"/>
  <c r="BA212" i="63"/>
  <c r="BB212" i="63" s="1"/>
  <c r="AZ212" i="63"/>
  <c r="AX212" i="63"/>
  <c r="AW212" i="63"/>
  <c r="AW203" i="63" s="1"/>
  <c r="AU212" i="63"/>
  <c r="AT212" i="63"/>
  <c r="AR212" i="63"/>
  <c r="AQ212" i="63"/>
  <c r="AQ203" i="63" s="1"/>
  <c r="AO212" i="63"/>
  <c r="AN212" i="63"/>
  <c r="AL212" i="63"/>
  <c r="AK212" i="63"/>
  <c r="AI212" i="63"/>
  <c r="AH212" i="63"/>
  <c r="AD212" i="63"/>
  <c r="AC212" i="63"/>
  <c r="X212" i="63"/>
  <c r="Y212" i="63" s="1"/>
  <c r="W212" i="63"/>
  <c r="R212" i="63"/>
  <c r="Q212" i="63"/>
  <c r="O212" i="63"/>
  <c r="U212" i="63" s="1"/>
  <c r="N212" i="63"/>
  <c r="H212" i="63"/>
  <c r="G212" i="63"/>
  <c r="BQ211" i="63"/>
  <c r="BN211" i="63"/>
  <c r="BK211" i="63"/>
  <c r="BH211" i="63"/>
  <c r="BE211" i="63"/>
  <c r="BB211" i="63"/>
  <c r="AY211" i="63"/>
  <c r="AV211" i="63"/>
  <c r="AS211" i="63"/>
  <c r="AP211" i="63"/>
  <c r="AM211" i="63"/>
  <c r="AJ211" i="63"/>
  <c r="AE211" i="63"/>
  <c r="AA211" i="63"/>
  <c r="Z211" i="63"/>
  <c r="Y211" i="63"/>
  <c r="U211" i="63"/>
  <c r="T211" i="63"/>
  <c r="S211" i="63"/>
  <c r="P211" i="63"/>
  <c r="L211" i="63"/>
  <c r="M211" i="63" s="1"/>
  <c r="K211" i="63"/>
  <c r="I211" i="63"/>
  <c r="BQ210" i="63"/>
  <c r="BN210" i="63"/>
  <c r="BK210" i="63"/>
  <c r="BH210" i="63"/>
  <c r="BE210" i="63"/>
  <c r="BB210" i="63"/>
  <c r="AY210" i="63"/>
  <c r="AV210" i="63"/>
  <c r="AS210" i="63"/>
  <c r="AP210" i="63"/>
  <c r="AM210" i="63"/>
  <c r="AJ210" i="63"/>
  <c r="AE210" i="63"/>
  <c r="AA210" i="63"/>
  <c r="Z210" i="63"/>
  <c r="AB210" i="63" s="1"/>
  <c r="Y210" i="63"/>
  <c r="U210" i="63"/>
  <c r="T210" i="63"/>
  <c r="V210" i="63" s="1"/>
  <c r="S210" i="63"/>
  <c r="P210" i="63"/>
  <c r="L210" i="63"/>
  <c r="K210" i="63"/>
  <c r="I210" i="63"/>
  <c r="BQ209" i="63"/>
  <c r="BN209" i="63"/>
  <c r="BK209" i="63"/>
  <c r="BH209" i="63"/>
  <c r="BE209" i="63"/>
  <c r="BB209" i="63"/>
  <c r="AY209" i="63"/>
  <c r="AV209" i="63"/>
  <c r="AS209" i="63"/>
  <c r="AP209" i="63"/>
  <c r="AM209" i="63"/>
  <c r="AJ209" i="63"/>
  <c r="AE209" i="63"/>
  <c r="AA209" i="63"/>
  <c r="Z209" i="63"/>
  <c r="Y209" i="63"/>
  <c r="U209" i="63"/>
  <c r="V209" i="63" s="1"/>
  <c r="T209" i="63"/>
  <c r="S209" i="63"/>
  <c r="P209" i="63"/>
  <c r="L209" i="63"/>
  <c r="K209" i="63"/>
  <c r="M209" i="63" s="1"/>
  <c r="I209" i="63"/>
  <c r="BQ208" i="63"/>
  <c r="BN208" i="63"/>
  <c r="BK208" i="63"/>
  <c r="BH208" i="63"/>
  <c r="BE208" i="63"/>
  <c r="BB208" i="63"/>
  <c r="AY208" i="63"/>
  <c r="AV208" i="63"/>
  <c r="AS208" i="63"/>
  <c r="AP208" i="63"/>
  <c r="AM208" i="63"/>
  <c r="AJ208" i="63"/>
  <c r="AE208" i="63"/>
  <c r="AA208" i="63"/>
  <c r="Z208" i="63"/>
  <c r="AB208" i="63" s="1"/>
  <c r="Y208" i="63"/>
  <c r="U208" i="63"/>
  <c r="T208" i="63"/>
  <c r="S208" i="63"/>
  <c r="P208" i="63"/>
  <c r="L208" i="63"/>
  <c r="K208" i="63"/>
  <c r="I208" i="63"/>
  <c r="BQ207" i="63"/>
  <c r="BN207" i="63"/>
  <c r="BK207" i="63"/>
  <c r="BH207" i="63"/>
  <c r="BE207" i="63"/>
  <c r="BB207" i="63"/>
  <c r="AY207" i="63"/>
  <c r="AV207" i="63"/>
  <c r="AS207" i="63"/>
  <c r="AP207" i="63"/>
  <c r="AM207" i="63"/>
  <c r="AJ207" i="63"/>
  <c r="AE207" i="63"/>
  <c r="AA207" i="63"/>
  <c r="Z207" i="63"/>
  <c r="Y207" i="63"/>
  <c r="U207" i="63"/>
  <c r="T207" i="63"/>
  <c r="S207" i="63"/>
  <c r="P207" i="63"/>
  <c r="L207" i="63"/>
  <c r="M207" i="63" s="1"/>
  <c r="K207" i="63"/>
  <c r="I207" i="63"/>
  <c r="BP206" i="63"/>
  <c r="BQ206" i="63" s="1"/>
  <c r="BO206" i="63"/>
  <c r="BM206" i="63"/>
  <c r="BL206" i="63"/>
  <c r="BJ206" i="63"/>
  <c r="BI206" i="63"/>
  <c r="BG206" i="63"/>
  <c r="BF206" i="63"/>
  <c r="BD206" i="63"/>
  <c r="BC206" i="63"/>
  <c r="BA206" i="63"/>
  <c r="AZ206" i="63"/>
  <c r="AX206" i="63"/>
  <c r="AW206" i="63"/>
  <c r="AU206" i="63"/>
  <c r="AV206" i="63" s="1"/>
  <c r="AT206" i="63"/>
  <c r="AR206" i="63"/>
  <c r="AQ206" i="63"/>
  <c r="AO206" i="63"/>
  <c r="AP206" i="63" s="1"/>
  <c r="AN206" i="63"/>
  <c r="AL206" i="63"/>
  <c r="AK206" i="63"/>
  <c r="AI206" i="63"/>
  <c r="AH206" i="63"/>
  <c r="AJ206" i="63" s="1"/>
  <c r="AD206" i="63"/>
  <c r="AC206" i="63"/>
  <c r="X206" i="63"/>
  <c r="W206" i="63"/>
  <c r="Y206" i="63" s="1"/>
  <c r="R206" i="63"/>
  <c r="Q206" i="63"/>
  <c r="O206" i="63"/>
  <c r="N206" i="63"/>
  <c r="H206" i="63"/>
  <c r="I206" i="63" s="1"/>
  <c r="G206" i="63"/>
  <c r="AE205" i="63"/>
  <c r="BQ204" i="63"/>
  <c r="BN204" i="63"/>
  <c r="BK204" i="63"/>
  <c r="BH204" i="63"/>
  <c r="BE204" i="63"/>
  <c r="BB204" i="63"/>
  <c r="AY204" i="63"/>
  <c r="AV204" i="63"/>
  <c r="AS204" i="63"/>
  <c r="AP204" i="63"/>
  <c r="AM204" i="63"/>
  <c r="AJ204" i="63"/>
  <c r="AE204" i="63"/>
  <c r="Y204" i="63"/>
  <c r="U204" i="63"/>
  <c r="AA204" i="63" s="1"/>
  <c r="T204" i="63"/>
  <c r="S204" i="63"/>
  <c r="P204" i="63"/>
  <c r="L204" i="63"/>
  <c r="M204" i="63" s="1"/>
  <c r="K204" i="63"/>
  <c r="I204" i="63"/>
  <c r="BM203" i="63"/>
  <c r="AR203" i="63"/>
  <c r="W203" i="63"/>
  <c r="BQ202" i="63"/>
  <c r="BN202" i="63"/>
  <c r="BK202" i="63"/>
  <c r="BH202" i="63"/>
  <c r="BE202" i="63"/>
  <c r="BB202" i="63"/>
  <c r="AY202" i="63"/>
  <c r="AV202" i="63"/>
  <c r="AS202" i="63"/>
  <c r="AP202" i="63"/>
  <c r="AM202" i="63"/>
  <c r="AJ202" i="63"/>
  <c r="AE202" i="63"/>
  <c r="U202" i="63"/>
  <c r="V202" i="63" s="1"/>
  <c r="T202" i="63"/>
  <c r="Z202" i="63" s="1"/>
  <c r="P202" i="63"/>
  <c r="L202" i="63"/>
  <c r="K202" i="63"/>
  <c r="I202" i="63"/>
  <c r="BQ201" i="63"/>
  <c r="BN201" i="63"/>
  <c r="BK201" i="63"/>
  <c r="BH201" i="63"/>
  <c r="BE201" i="63"/>
  <c r="BB201" i="63"/>
  <c r="AY201" i="63"/>
  <c r="AV201" i="63"/>
  <c r="AS201" i="63"/>
  <c r="AP201" i="63"/>
  <c r="AM201" i="63"/>
  <c r="AJ201" i="63"/>
  <c r="AE201" i="63"/>
  <c r="AA201" i="63"/>
  <c r="Y201" i="63"/>
  <c r="U201" i="63"/>
  <c r="T201" i="63"/>
  <c r="Z201" i="63" s="1"/>
  <c r="S201" i="63"/>
  <c r="P201" i="63"/>
  <c r="L201" i="63"/>
  <c r="K201" i="63"/>
  <c r="I201" i="63"/>
  <c r="BQ200" i="63"/>
  <c r="BN200" i="63"/>
  <c r="BK200" i="63"/>
  <c r="BH200" i="63"/>
  <c r="BE200" i="63"/>
  <c r="BB200" i="63"/>
  <c r="AY200" i="63"/>
  <c r="AV200" i="63"/>
  <c r="AS200" i="63"/>
  <c r="AP200" i="63"/>
  <c r="AM200" i="63"/>
  <c r="AJ200" i="63"/>
  <c r="AE200" i="63"/>
  <c r="Y200" i="63"/>
  <c r="U200" i="63"/>
  <c r="T200" i="63"/>
  <c r="Z200" i="63" s="1"/>
  <c r="S200" i="63"/>
  <c r="P200" i="63"/>
  <c r="L200" i="63"/>
  <c r="K200" i="63"/>
  <c r="I200" i="63"/>
  <c r="BQ199" i="63"/>
  <c r="BN199" i="63"/>
  <c r="BK199" i="63"/>
  <c r="BH199" i="63"/>
  <c r="BE199" i="63"/>
  <c r="BB199" i="63"/>
  <c r="AY199" i="63"/>
  <c r="AV199" i="63"/>
  <c r="AS199" i="63"/>
  <c r="AP199" i="63"/>
  <c r="AM199" i="63"/>
  <c r="AJ199" i="63"/>
  <c r="AE199" i="63"/>
  <c r="Y199" i="63"/>
  <c r="U199" i="63"/>
  <c r="T199" i="63"/>
  <c r="Z199" i="63" s="1"/>
  <c r="S199" i="63"/>
  <c r="P199" i="63"/>
  <c r="L199" i="63"/>
  <c r="M199" i="63" s="1"/>
  <c r="K199" i="63"/>
  <c r="I199" i="63"/>
  <c r="BQ198" i="63"/>
  <c r="BN198" i="63"/>
  <c r="BK198" i="63"/>
  <c r="BH198" i="63"/>
  <c r="BE198" i="63"/>
  <c r="BB198" i="63"/>
  <c r="AY198" i="63"/>
  <c r="AV198" i="63"/>
  <c r="AS198" i="63"/>
  <c r="AP198" i="63"/>
  <c r="AM198" i="63"/>
  <c r="AJ198" i="63"/>
  <c r="AE198" i="63"/>
  <c r="Y198" i="63"/>
  <c r="U198" i="63"/>
  <c r="AA198" i="63" s="1"/>
  <c r="T198" i="63"/>
  <c r="Z198" i="63" s="1"/>
  <c r="S198" i="63"/>
  <c r="P198" i="63"/>
  <c r="L198" i="63"/>
  <c r="K198" i="63"/>
  <c r="I198" i="63"/>
  <c r="BP197" i="63"/>
  <c r="BO197" i="63"/>
  <c r="BM197" i="63"/>
  <c r="BL197" i="63"/>
  <c r="BJ197" i="63"/>
  <c r="BI197" i="63"/>
  <c r="BK197" i="63" s="1"/>
  <c r="BH197" i="63"/>
  <c r="BG197" i="63"/>
  <c r="BF197" i="63"/>
  <c r="BD197" i="63"/>
  <c r="BC197" i="63"/>
  <c r="BA197" i="63"/>
  <c r="AZ197" i="63"/>
  <c r="AX197" i="63"/>
  <c r="AW197" i="63"/>
  <c r="AU197" i="63"/>
  <c r="AT197" i="63"/>
  <c r="AR197" i="63"/>
  <c r="AS197" i="63" s="1"/>
  <c r="AQ197" i="63"/>
  <c r="AO197" i="63"/>
  <c r="AN197" i="63"/>
  <c r="AM197" i="63"/>
  <c r="AL197" i="63"/>
  <c r="AK197" i="63"/>
  <c r="AI197" i="63"/>
  <c r="AH197" i="63"/>
  <c r="AD197" i="63"/>
  <c r="AC197" i="63"/>
  <c r="X197" i="63"/>
  <c r="W197" i="63"/>
  <c r="R197" i="63"/>
  <c r="Q197" i="63"/>
  <c r="O197" i="63"/>
  <c r="N197" i="63"/>
  <c r="H197" i="63"/>
  <c r="G197" i="63"/>
  <c r="BQ196" i="63"/>
  <c r="BN196" i="63"/>
  <c r="BK196" i="63"/>
  <c r="BH196" i="63"/>
  <c r="BE196" i="63"/>
  <c r="BB196" i="63"/>
  <c r="AY196" i="63"/>
  <c r="AV196" i="63"/>
  <c r="AS196" i="63"/>
  <c r="AP196" i="63"/>
  <c r="AM196" i="63"/>
  <c r="AJ196" i="63"/>
  <c r="AE196" i="63"/>
  <c r="AA196" i="63"/>
  <c r="U196" i="63"/>
  <c r="T196" i="63"/>
  <c r="Z196" i="63" s="1"/>
  <c r="P196" i="63"/>
  <c r="L196" i="63"/>
  <c r="M196" i="63" s="1"/>
  <c r="K196" i="63"/>
  <c r="I196" i="63"/>
  <c r="BQ195" i="63"/>
  <c r="BN195" i="63"/>
  <c r="BK195" i="63"/>
  <c r="BH195" i="63"/>
  <c r="BE195" i="63"/>
  <c r="BB195" i="63"/>
  <c r="AY195" i="63"/>
  <c r="AV195" i="63"/>
  <c r="AS195" i="63"/>
  <c r="AP195" i="63"/>
  <c r="AM195" i="63"/>
  <c r="AJ195" i="63"/>
  <c r="AE195" i="63"/>
  <c r="Y195" i="63"/>
  <c r="U195" i="63"/>
  <c r="T195" i="63"/>
  <c r="Z195" i="63" s="1"/>
  <c r="S195" i="63"/>
  <c r="P195" i="63"/>
  <c r="M195" i="63"/>
  <c r="L195" i="63"/>
  <c r="K195" i="63"/>
  <c r="I195" i="63"/>
  <c r="BQ194" i="63"/>
  <c r="BN194" i="63"/>
  <c r="BK194" i="63"/>
  <c r="BH194" i="63"/>
  <c r="BE194" i="63"/>
  <c r="BB194" i="63"/>
  <c r="AY194" i="63"/>
  <c r="AV194" i="63"/>
  <c r="AS194" i="63"/>
  <c r="AP194" i="63"/>
  <c r="AM194" i="63"/>
  <c r="AJ194" i="63"/>
  <c r="AE194" i="63"/>
  <c r="Y194" i="63"/>
  <c r="U194" i="63"/>
  <c r="T194" i="63"/>
  <c r="Z194" i="63" s="1"/>
  <c r="S194" i="63"/>
  <c r="P194" i="63"/>
  <c r="L194" i="63"/>
  <c r="K194" i="63"/>
  <c r="I194" i="63"/>
  <c r="BQ193" i="63"/>
  <c r="BN193" i="63"/>
  <c r="BK193" i="63"/>
  <c r="BH193" i="63"/>
  <c r="BE193" i="63"/>
  <c r="BB193" i="63"/>
  <c r="AY193" i="63"/>
  <c r="AV193" i="63"/>
  <c r="AS193" i="63"/>
  <c r="AP193" i="63"/>
  <c r="AM193" i="63"/>
  <c r="AJ193" i="63"/>
  <c r="AE193" i="63"/>
  <c r="Y193" i="63"/>
  <c r="U193" i="63"/>
  <c r="T193" i="63"/>
  <c r="Z193" i="63" s="1"/>
  <c r="S193" i="63"/>
  <c r="P193" i="63"/>
  <c r="M193" i="63"/>
  <c r="L193" i="63"/>
  <c r="K193" i="63"/>
  <c r="I193" i="63"/>
  <c r="BQ192" i="63"/>
  <c r="BN192" i="63"/>
  <c r="BK192" i="63"/>
  <c r="BH192" i="63"/>
  <c r="BE192" i="63"/>
  <c r="BB192" i="63"/>
  <c r="AY192" i="63"/>
  <c r="AV192" i="63"/>
  <c r="AS192" i="63"/>
  <c r="AP192" i="63"/>
  <c r="AM192" i="63"/>
  <c r="AJ192" i="63"/>
  <c r="AE192" i="63"/>
  <c r="Y192" i="63"/>
  <c r="U192" i="63"/>
  <c r="T192" i="63"/>
  <c r="Z192" i="63" s="1"/>
  <c r="S192" i="63"/>
  <c r="P192" i="63"/>
  <c r="L192" i="63"/>
  <c r="K192" i="63"/>
  <c r="I192" i="63"/>
  <c r="BP191" i="63"/>
  <c r="BO191" i="63"/>
  <c r="BM191" i="63"/>
  <c r="BL191" i="63"/>
  <c r="BJ191" i="63"/>
  <c r="BK191" i="63" s="1"/>
  <c r="BI191" i="63"/>
  <c r="BG191" i="63"/>
  <c r="BF191" i="63"/>
  <c r="BH191" i="63" s="1"/>
  <c r="BD191" i="63"/>
  <c r="BC191" i="63"/>
  <c r="BA191" i="63"/>
  <c r="AZ191" i="63"/>
  <c r="AZ125" i="63" s="1"/>
  <c r="AY191" i="63"/>
  <c r="AX191" i="63"/>
  <c r="AW191" i="63"/>
  <c r="AU191" i="63"/>
  <c r="AT191" i="63"/>
  <c r="AR191" i="63"/>
  <c r="AQ191" i="63"/>
  <c r="AO191" i="63"/>
  <c r="AN191" i="63"/>
  <c r="AL191" i="63"/>
  <c r="AK191" i="63"/>
  <c r="AJ191" i="63"/>
  <c r="AI191" i="63"/>
  <c r="AH191" i="63"/>
  <c r="AD191" i="63"/>
  <c r="AC191" i="63"/>
  <c r="X191" i="63"/>
  <c r="W191" i="63"/>
  <c r="R191" i="63"/>
  <c r="Q191" i="63"/>
  <c r="O191" i="63"/>
  <c r="N191" i="63"/>
  <c r="H191" i="63"/>
  <c r="I191" i="63" s="1"/>
  <c r="G191" i="63"/>
  <c r="BQ190" i="63"/>
  <c r="BN190" i="63"/>
  <c r="BK190" i="63"/>
  <c r="BH190" i="63"/>
  <c r="BE190" i="63"/>
  <c r="BB190" i="63"/>
  <c r="AY190" i="63"/>
  <c r="AV190" i="63"/>
  <c r="AS190" i="63"/>
  <c r="AP190" i="63"/>
  <c r="AM190" i="63"/>
  <c r="AJ190" i="63"/>
  <c r="AE190" i="63"/>
  <c r="U190" i="63"/>
  <c r="AA190" i="63" s="1"/>
  <c r="T190" i="63"/>
  <c r="Z190" i="63" s="1"/>
  <c r="P190" i="63"/>
  <c r="L190" i="63"/>
  <c r="K190" i="63"/>
  <c r="I190" i="63"/>
  <c r="BQ189" i="63"/>
  <c r="BN189" i="63"/>
  <c r="BK189" i="63"/>
  <c r="BH189" i="63"/>
  <c r="BE189" i="63"/>
  <c r="BB189" i="63"/>
  <c r="AY189" i="63"/>
  <c r="AV189" i="63"/>
  <c r="AS189" i="63"/>
  <c r="AP189" i="63"/>
  <c r="AM189" i="63"/>
  <c r="AJ189" i="63"/>
  <c r="AC189" i="63"/>
  <c r="W189" i="63"/>
  <c r="U189" i="63"/>
  <c r="AA189" i="63" s="1"/>
  <c r="Q189" i="63"/>
  <c r="Q529" i="63" s="1"/>
  <c r="P189" i="63"/>
  <c r="L189" i="63"/>
  <c r="I189" i="63"/>
  <c r="BQ188" i="63"/>
  <c r="BN188" i="63"/>
  <c r="BK188" i="63"/>
  <c r="BH188" i="63"/>
  <c r="BE188" i="63"/>
  <c r="BB188" i="63"/>
  <c r="AY188" i="63"/>
  <c r="AV188" i="63"/>
  <c r="AS188" i="63"/>
  <c r="AP188" i="63"/>
  <c r="AM188" i="63"/>
  <c r="AC188" i="63"/>
  <c r="AC528" i="63" s="1"/>
  <c r="AE528" i="63" s="1"/>
  <c r="Y188" i="63"/>
  <c r="W188" i="63"/>
  <c r="W528" i="63" s="1"/>
  <c r="Y528" i="63" s="1"/>
  <c r="U188" i="63"/>
  <c r="Q188" i="63"/>
  <c r="L188" i="63"/>
  <c r="I188" i="63"/>
  <c r="BQ187" i="63"/>
  <c r="BN187" i="63"/>
  <c r="BK187" i="63"/>
  <c r="BH187" i="63"/>
  <c r="BE187" i="63"/>
  <c r="BB187" i="63"/>
  <c r="AY187" i="63"/>
  <c r="AV187" i="63"/>
  <c r="AS187" i="63"/>
  <c r="AP187" i="63"/>
  <c r="AM187" i="63"/>
  <c r="AJ187" i="63"/>
  <c r="AC187" i="63"/>
  <c r="AC185" i="63" s="1"/>
  <c r="Y187" i="63"/>
  <c r="W187" i="63"/>
  <c r="U187" i="63"/>
  <c r="AA187" i="63" s="1"/>
  <c r="S187" i="63"/>
  <c r="Q187" i="63"/>
  <c r="Q527" i="63" s="1"/>
  <c r="P187" i="63"/>
  <c r="L187" i="63"/>
  <c r="I187" i="63"/>
  <c r="BQ186" i="63"/>
  <c r="BN186" i="63"/>
  <c r="BK186" i="63"/>
  <c r="BH186" i="63"/>
  <c r="BE186" i="63"/>
  <c r="BB186" i="63"/>
  <c r="AY186" i="63"/>
  <c r="AV186" i="63"/>
  <c r="AS186" i="63"/>
  <c r="AP186" i="63"/>
  <c r="AM186" i="63"/>
  <c r="AJ186" i="63"/>
  <c r="AE186" i="63"/>
  <c r="Y186" i="63"/>
  <c r="U186" i="63"/>
  <c r="T186" i="63"/>
  <c r="Z186" i="63" s="1"/>
  <c r="S186" i="63"/>
  <c r="P186" i="63"/>
  <c r="L186" i="63"/>
  <c r="K186" i="63"/>
  <c r="I186" i="63"/>
  <c r="BP185" i="63"/>
  <c r="BO185" i="63"/>
  <c r="BM185" i="63"/>
  <c r="BL185" i="63"/>
  <c r="BL720" i="63" s="1"/>
  <c r="BJ185" i="63"/>
  <c r="BI185" i="63"/>
  <c r="BI720" i="63" s="1"/>
  <c r="BG185" i="63"/>
  <c r="BF185" i="63"/>
  <c r="BD185" i="63"/>
  <c r="BC185" i="63"/>
  <c r="BA185" i="63"/>
  <c r="AZ185" i="63"/>
  <c r="AZ720" i="63" s="1"/>
  <c r="AX185" i="63"/>
  <c r="AW185" i="63"/>
  <c r="AW720" i="63" s="1"/>
  <c r="AU185" i="63"/>
  <c r="AT185" i="63"/>
  <c r="AR185" i="63"/>
  <c r="AQ185" i="63"/>
  <c r="AP185" i="63"/>
  <c r="AO185" i="63"/>
  <c r="AN185" i="63"/>
  <c r="AN720" i="63" s="1"/>
  <c r="AL185" i="63"/>
  <c r="AK185" i="63"/>
  <c r="AI185" i="63"/>
  <c r="AD185" i="63"/>
  <c r="X185" i="63"/>
  <c r="R185" i="63"/>
  <c r="O185" i="63"/>
  <c r="H185" i="63"/>
  <c r="G185" i="63"/>
  <c r="BQ184" i="63"/>
  <c r="BN184" i="63"/>
  <c r="BK184" i="63"/>
  <c r="BH184" i="63"/>
  <c r="BE184" i="63"/>
  <c r="BB184" i="63"/>
  <c r="AY184" i="63"/>
  <c r="AV184" i="63"/>
  <c r="AS184" i="63"/>
  <c r="AP184" i="63"/>
  <c r="AM184" i="63"/>
  <c r="AJ184" i="63"/>
  <c r="AE184" i="63"/>
  <c r="U184" i="63"/>
  <c r="T184" i="63"/>
  <c r="Z184" i="63" s="1"/>
  <c r="P184" i="63"/>
  <c r="L184" i="63"/>
  <c r="K184" i="63"/>
  <c r="I184" i="63"/>
  <c r="BQ183" i="63"/>
  <c r="BN183" i="63"/>
  <c r="BK183" i="63"/>
  <c r="BH183" i="63"/>
  <c r="BE183" i="63"/>
  <c r="BB183" i="63"/>
  <c r="AY183" i="63"/>
  <c r="AV183" i="63"/>
  <c r="AS183" i="63"/>
  <c r="AP183" i="63"/>
  <c r="AM183" i="63"/>
  <c r="AJ183" i="63"/>
  <c r="AE183" i="63"/>
  <c r="Y183" i="63"/>
  <c r="U183" i="63"/>
  <c r="AA183" i="63" s="1"/>
  <c r="T183" i="63"/>
  <c r="Z183" i="63" s="1"/>
  <c r="S183" i="63"/>
  <c r="P183" i="63"/>
  <c r="L183" i="63"/>
  <c r="K183" i="63"/>
  <c r="I183" i="63"/>
  <c r="BQ182" i="63"/>
  <c r="BN182" i="63"/>
  <c r="BK182" i="63"/>
  <c r="BH182" i="63"/>
  <c r="BE182" i="63"/>
  <c r="BB182" i="63"/>
  <c r="AY182" i="63"/>
  <c r="AV182" i="63"/>
  <c r="AS182" i="63"/>
  <c r="AP182" i="63"/>
  <c r="AM182" i="63"/>
  <c r="AJ182" i="63"/>
  <c r="AE182" i="63"/>
  <c r="Y182" i="63"/>
  <c r="U182" i="63"/>
  <c r="AA182" i="63" s="1"/>
  <c r="T182" i="63"/>
  <c r="Z182" i="63" s="1"/>
  <c r="S182" i="63"/>
  <c r="P182" i="63"/>
  <c r="L182" i="63"/>
  <c r="K182" i="63"/>
  <c r="I182" i="63"/>
  <c r="BQ181" i="63"/>
  <c r="BN181" i="63"/>
  <c r="BK181" i="63"/>
  <c r="BH181" i="63"/>
  <c r="BE181" i="63"/>
  <c r="BB181" i="63"/>
  <c r="AY181" i="63"/>
  <c r="AV181" i="63"/>
  <c r="AS181" i="63"/>
  <c r="AP181" i="63"/>
  <c r="AM181" i="63"/>
  <c r="AJ181" i="63"/>
  <c r="AE181" i="63"/>
  <c r="Z181" i="63"/>
  <c r="Y181" i="63"/>
  <c r="U181" i="63"/>
  <c r="AA181" i="63" s="1"/>
  <c r="T181" i="63"/>
  <c r="S181" i="63"/>
  <c r="P181" i="63"/>
  <c r="L181" i="63"/>
  <c r="M181" i="63" s="1"/>
  <c r="K181" i="63"/>
  <c r="I181" i="63"/>
  <c r="BQ180" i="63"/>
  <c r="BN180" i="63"/>
  <c r="BK180" i="63"/>
  <c r="BH180" i="63"/>
  <c r="BE180" i="63"/>
  <c r="BB180" i="63"/>
  <c r="AY180" i="63"/>
  <c r="AV180" i="63"/>
  <c r="AS180" i="63"/>
  <c r="AP180" i="63"/>
  <c r="AM180" i="63"/>
  <c r="AJ180" i="63"/>
  <c r="AE180" i="63"/>
  <c r="Y180" i="63"/>
  <c r="U180" i="63"/>
  <c r="AA180" i="63" s="1"/>
  <c r="T180" i="63"/>
  <c r="Z180" i="63" s="1"/>
  <c r="AB180" i="63" s="1"/>
  <c r="S180" i="63"/>
  <c r="P180" i="63"/>
  <c r="L180" i="63"/>
  <c r="K180" i="63"/>
  <c r="M180" i="63" s="1"/>
  <c r="I180" i="63"/>
  <c r="BP179" i="63"/>
  <c r="BO179" i="63"/>
  <c r="BN179" i="63"/>
  <c r="BM179" i="63"/>
  <c r="BL179" i="63"/>
  <c r="BJ179" i="63"/>
  <c r="BI179" i="63"/>
  <c r="BI170" i="63" s="1"/>
  <c r="BG179" i="63"/>
  <c r="BH179" i="63" s="1"/>
  <c r="BF179" i="63"/>
  <c r="BD179" i="63"/>
  <c r="BC179" i="63"/>
  <c r="BA179" i="63"/>
  <c r="BA170" i="63" s="1"/>
  <c r="AZ179" i="63"/>
  <c r="AX179" i="63"/>
  <c r="AY179" i="63" s="1"/>
  <c r="AW179" i="63"/>
  <c r="AU179" i="63"/>
  <c r="AT179" i="63"/>
  <c r="AR179" i="63"/>
  <c r="AS179" i="63" s="1"/>
  <c r="AQ179" i="63"/>
  <c r="AO179" i="63"/>
  <c r="AN179" i="63"/>
  <c r="AL179" i="63"/>
  <c r="AK179" i="63"/>
  <c r="AI179" i="63"/>
  <c r="AJ179" i="63" s="1"/>
  <c r="AH179" i="63"/>
  <c r="AD179" i="63"/>
  <c r="AD111" i="63" s="1"/>
  <c r="AC179" i="63"/>
  <c r="X179" i="63"/>
  <c r="W179" i="63"/>
  <c r="R179" i="63"/>
  <c r="R111" i="63" s="1"/>
  <c r="Q179" i="63"/>
  <c r="O179" i="63"/>
  <c r="N179" i="63"/>
  <c r="H179" i="63"/>
  <c r="H111" i="63" s="1"/>
  <c r="G179" i="63"/>
  <c r="G170" i="63" s="1"/>
  <c r="BQ178" i="63"/>
  <c r="BN178" i="63"/>
  <c r="BK178" i="63"/>
  <c r="BH178" i="63"/>
  <c r="BE178" i="63"/>
  <c r="BB178" i="63"/>
  <c r="AY178" i="63"/>
  <c r="AV178" i="63"/>
  <c r="AS178" i="63"/>
  <c r="AP178" i="63"/>
  <c r="AM178" i="63"/>
  <c r="AJ178" i="63"/>
  <c r="AE178" i="63"/>
  <c r="AA178" i="63"/>
  <c r="Z178" i="63"/>
  <c r="Y178" i="63"/>
  <c r="U178" i="63"/>
  <c r="T178" i="63"/>
  <c r="S178" i="63"/>
  <c r="P178" i="63"/>
  <c r="L178" i="63"/>
  <c r="M178" i="63" s="1"/>
  <c r="K178" i="63"/>
  <c r="I178" i="63"/>
  <c r="BQ177" i="63"/>
  <c r="BN177" i="63"/>
  <c r="BK177" i="63"/>
  <c r="BH177" i="63"/>
  <c r="BE177" i="63"/>
  <c r="BB177" i="63"/>
  <c r="AY177" i="63"/>
  <c r="AV177" i="63"/>
  <c r="AS177" i="63"/>
  <c r="AP177" i="63"/>
  <c r="AM177" i="63"/>
  <c r="AJ177" i="63"/>
  <c r="AE177" i="63"/>
  <c r="AA177" i="63"/>
  <c r="AB177" i="63" s="1"/>
  <c r="Z177" i="63"/>
  <c r="Y177" i="63"/>
  <c r="U177" i="63"/>
  <c r="V177" i="63" s="1"/>
  <c r="T177" i="63"/>
  <c r="S177" i="63"/>
  <c r="P177" i="63"/>
  <c r="L177" i="63"/>
  <c r="K177" i="63"/>
  <c r="I177" i="63"/>
  <c r="BQ176" i="63"/>
  <c r="BN176" i="63"/>
  <c r="BK176" i="63"/>
  <c r="BH176" i="63"/>
  <c r="BE176" i="63"/>
  <c r="BB176" i="63"/>
  <c r="AY176" i="63"/>
  <c r="AV176" i="63"/>
  <c r="AS176" i="63"/>
  <c r="AP176" i="63"/>
  <c r="AM176" i="63"/>
  <c r="AJ176" i="63"/>
  <c r="AE176" i="63"/>
  <c r="AA176" i="63"/>
  <c r="Z176" i="63"/>
  <c r="Y176" i="63"/>
  <c r="U176" i="63"/>
  <c r="T176" i="63"/>
  <c r="S176" i="63"/>
  <c r="P176" i="63"/>
  <c r="L176" i="63"/>
  <c r="M176" i="63" s="1"/>
  <c r="K176" i="63"/>
  <c r="I176" i="63"/>
  <c r="BQ175" i="63"/>
  <c r="BN175" i="63"/>
  <c r="BK175" i="63"/>
  <c r="BH175" i="63"/>
  <c r="BE175" i="63"/>
  <c r="BB175" i="63"/>
  <c r="AY175" i="63"/>
  <c r="AV175" i="63"/>
  <c r="AS175" i="63"/>
  <c r="AP175" i="63"/>
  <c r="AM175" i="63"/>
  <c r="AJ175" i="63"/>
  <c r="AE175" i="63"/>
  <c r="AB175" i="63"/>
  <c r="AA175" i="63"/>
  <c r="Z175" i="63"/>
  <c r="Y175" i="63"/>
  <c r="V175" i="63"/>
  <c r="U175" i="63"/>
  <c r="T175" i="63"/>
  <c r="S175" i="63"/>
  <c r="P175" i="63"/>
  <c r="L175" i="63"/>
  <c r="K175" i="63"/>
  <c r="I175" i="63"/>
  <c r="BQ174" i="63"/>
  <c r="BN174" i="63"/>
  <c r="BK174" i="63"/>
  <c r="BH174" i="63"/>
  <c r="BE174" i="63"/>
  <c r="BB174" i="63"/>
  <c r="AY174" i="63"/>
  <c r="AV174" i="63"/>
  <c r="AS174" i="63"/>
  <c r="AP174" i="63"/>
  <c r="AM174" i="63"/>
  <c r="AJ174" i="63"/>
  <c r="AE174" i="63"/>
  <c r="AA174" i="63"/>
  <c r="Z174" i="63"/>
  <c r="Y174" i="63"/>
  <c r="U174" i="63"/>
  <c r="T174" i="63"/>
  <c r="S174" i="63"/>
  <c r="P174" i="63"/>
  <c r="L174" i="63"/>
  <c r="M174" i="63" s="1"/>
  <c r="K174" i="63"/>
  <c r="I174" i="63"/>
  <c r="BP173" i="63"/>
  <c r="BO173" i="63"/>
  <c r="BO105" i="63" s="1"/>
  <c r="BM173" i="63"/>
  <c r="BN173" i="63" s="1"/>
  <c r="BL173" i="63"/>
  <c r="BJ173" i="63"/>
  <c r="BI173" i="63"/>
  <c r="BK173" i="63" s="1"/>
  <c r="BG173" i="63"/>
  <c r="BF173" i="63"/>
  <c r="BD173" i="63"/>
  <c r="BE173" i="63" s="1"/>
  <c r="BC173" i="63"/>
  <c r="BA173" i="63"/>
  <c r="AZ173" i="63"/>
  <c r="AX173" i="63"/>
  <c r="AW173" i="63"/>
  <c r="AU173" i="63"/>
  <c r="AV173" i="63" s="1"/>
  <c r="AT173" i="63"/>
  <c r="AR173" i="63"/>
  <c r="AQ173" i="63"/>
  <c r="AO173" i="63"/>
  <c r="AP173" i="63" s="1"/>
  <c r="AN173" i="63"/>
  <c r="AL173" i="63"/>
  <c r="AK173" i="63"/>
  <c r="AI173" i="63"/>
  <c r="AH173" i="63"/>
  <c r="AJ173" i="63" s="1"/>
  <c r="AD173" i="63"/>
  <c r="AE173" i="63" s="1"/>
  <c r="AC173" i="63"/>
  <c r="X173" i="63"/>
  <c r="W173" i="63"/>
  <c r="Y173" i="63" s="1"/>
  <c r="S173" i="63"/>
  <c r="R173" i="63"/>
  <c r="Q173" i="63"/>
  <c r="O173" i="63"/>
  <c r="AA173" i="63" s="1"/>
  <c r="N173" i="63"/>
  <c r="H173" i="63"/>
  <c r="G173" i="63"/>
  <c r="BQ171" i="63"/>
  <c r="BN171" i="63"/>
  <c r="BK171" i="63"/>
  <c r="BH171" i="63"/>
  <c r="BE171" i="63"/>
  <c r="BB171" i="63"/>
  <c r="AY171" i="63"/>
  <c r="AV171" i="63"/>
  <c r="AS171" i="63"/>
  <c r="AP171" i="63"/>
  <c r="AM171" i="63"/>
  <c r="AJ171" i="63"/>
  <c r="AE171" i="63"/>
  <c r="Y171" i="63"/>
  <c r="U171" i="63"/>
  <c r="AA171" i="63" s="1"/>
  <c r="T171" i="63"/>
  <c r="Z171" i="63" s="1"/>
  <c r="S171" i="63"/>
  <c r="P171" i="63"/>
  <c r="L171" i="63"/>
  <c r="K171" i="63"/>
  <c r="I171" i="63"/>
  <c r="AW170" i="63"/>
  <c r="AQ170" i="63"/>
  <c r="O170" i="63"/>
  <c r="BQ169" i="63"/>
  <c r="BN169" i="63"/>
  <c r="BK169" i="63"/>
  <c r="BH169" i="63"/>
  <c r="BE169" i="63"/>
  <c r="BB169" i="63"/>
  <c r="AY169" i="63"/>
  <c r="AV169" i="63"/>
  <c r="AS169" i="63"/>
  <c r="AP169" i="63"/>
  <c r="AM169" i="63"/>
  <c r="AJ169" i="63"/>
  <c r="AE169" i="63"/>
  <c r="AA169" i="63"/>
  <c r="U169" i="63"/>
  <c r="T169" i="63"/>
  <c r="Z169" i="63" s="1"/>
  <c r="P169" i="63"/>
  <c r="L169" i="63"/>
  <c r="K169" i="63"/>
  <c r="I169" i="63"/>
  <c r="BQ168" i="63"/>
  <c r="BN168" i="63"/>
  <c r="BK168" i="63"/>
  <c r="BH168" i="63"/>
  <c r="BE168" i="63"/>
  <c r="BB168" i="63"/>
  <c r="AY168" i="63"/>
  <c r="AV168" i="63"/>
  <c r="AS168" i="63"/>
  <c r="AP168" i="63"/>
  <c r="AM168" i="63"/>
  <c r="AC168" i="63"/>
  <c r="AC135" i="63" s="1"/>
  <c r="AA168" i="63"/>
  <c r="W168" i="63"/>
  <c r="U168" i="63"/>
  <c r="Q168" i="63"/>
  <c r="Q508" i="63" s="1"/>
  <c r="Q475" i="63" s="1"/>
  <c r="L168" i="63"/>
  <c r="I168" i="63"/>
  <c r="BQ167" i="63"/>
  <c r="BN167" i="63"/>
  <c r="BK167" i="63"/>
  <c r="BH167" i="63"/>
  <c r="BE167" i="63"/>
  <c r="BB167" i="63"/>
  <c r="AY167" i="63"/>
  <c r="AV167" i="63"/>
  <c r="AS167" i="63"/>
  <c r="AP167" i="63"/>
  <c r="AM167" i="63"/>
  <c r="AE167" i="63"/>
  <c r="AC167" i="63"/>
  <c r="AC507" i="63" s="1"/>
  <c r="AE507" i="63" s="1"/>
  <c r="AA167" i="63"/>
  <c r="W167" i="63"/>
  <c r="U167" i="63"/>
  <c r="Q167" i="63"/>
  <c r="Q507" i="63" s="1"/>
  <c r="L167" i="63"/>
  <c r="I167" i="63"/>
  <c r="BQ166" i="63"/>
  <c r="BN166" i="63"/>
  <c r="BK166" i="63"/>
  <c r="BH166" i="63"/>
  <c r="BE166" i="63"/>
  <c r="BB166" i="63"/>
  <c r="AY166" i="63"/>
  <c r="AV166" i="63"/>
  <c r="AS166" i="63"/>
  <c r="AP166" i="63"/>
  <c r="AM166" i="63"/>
  <c r="AJ166" i="63"/>
  <c r="AC166" i="63"/>
  <c r="AC506" i="63" s="1"/>
  <c r="AC473" i="63" s="1"/>
  <c r="W166" i="63"/>
  <c r="U166" i="63"/>
  <c r="Q166" i="63"/>
  <c r="P166" i="63"/>
  <c r="L166" i="63"/>
  <c r="I166" i="63"/>
  <c r="BQ165" i="63"/>
  <c r="BN165" i="63"/>
  <c r="BK165" i="63"/>
  <c r="BH165" i="63"/>
  <c r="BE165" i="63"/>
  <c r="BB165" i="63"/>
  <c r="AY165" i="63"/>
  <c r="AV165" i="63"/>
  <c r="AS165" i="63"/>
  <c r="AP165" i="63"/>
  <c r="AM165" i="63"/>
  <c r="AJ165" i="63"/>
  <c r="AE165" i="63"/>
  <c r="Y165" i="63"/>
  <c r="U165" i="63"/>
  <c r="AA165" i="63" s="1"/>
  <c r="T165" i="63"/>
  <c r="Z165" i="63" s="1"/>
  <c r="S165" i="63"/>
  <c r="P165" i="63"/>
  <c r="L165" i="63"/>
  <c r="K165" i="63"/>
  <c r="I165" i="63"/>
  <c r="BP164" i="63"/>
  <c r="BO164" i="63"/>
  <c r="BM164" i="63"/>
  <c r="BL164" i="63"/>
  <c r="BJ164" i="63"/>
  <c r="BK164" i="63" s="1"/>
  <c r="BI164" i="63"/>
  <c r="BG164" i="63"/>
  <c r="BH164" i="63" s="1"/>
  <c r="BF164" i="63"/>
  <c r="BD164" i="63"/>
  <c r="BC164" i="63"/>
  <c r="BA164" i="63"/>
  <c r="AZ164" i="63"/>
  <c r="AX164" i="63"/>
  <c r="AW164" i="63"/>
  <c r="AV164" i="63"/>
  <c r="AU164" i="63"/>
  <c r="AT164" i="63"/>
  <c r="AR164" i="63"/>
  <c r="AQ164" i="63"/>
  <c r="AQ131" i="63" s="1"/>
  <c r="AO164" i="63"/>
  <c r="AN164" i="63"/>
  <c r="AL164" i="63"/>
  <c r="AK164" i="63"/>
  <c r="AI164" i="63"/>
  <c r="AD164" i="63"/>
  <c r="X164" i="63"/>
  <c r="R164" i="63"/>
  <c r="R131" i="63" s="1"/>
  <c r="O164" i="63"/>
  <c r="H164" i="63"/>
  <c r="G164" i="63"/>
  <c r="I164" i="63" s="1"/>
  <c r="BQ163" i="63"/>
  <c r="BN163" i="63"/>
  <c r="BK163" i="63"/>
  <c r="BH163" i="63"/>
  <c r="BE163" i="63"/>
  <c r="BB163" i="63"/>
  <c r="AY163" i="63"/>
  <c r="AV163" i="63"/>
  <c r="AS163" i="63"/>
  <c r="AP163" i="63"/>
  <c r="AM163" i="63"/>
  <c r="AE163" i="63"/>
  <c r="U163" i="63"/>
  <c r="T163" i="63"/>
  <c r="Z163" i="63" s="1"/>
  <c r="P163" i="63"/>
  <c r="L163" i="63"/>
  <c r="K163" i="63"/>
  <c r="I163" i="63"/>
  <c r="BQ162" i="63"/>
  <c r="BN162" i="63"/>
  <c r="BK162" i="63"/>
  <c r="BH162" i="63"/>
  <c r="BE162" i="63"/>
  <c r="BB162" i="63"/>
  <c r="AY162" i="63"/>
  <c r="AV162" i="63"/>
  <c r="AS162" i="63"/>
  <c r="AP162" i="63"/>
  <c r="AM162" i="63"/>
  <c r="AC162" i="63"/>
  <c r="W162" i="63"/>
  <c r="W502" i="63" s="1"/>
  <c r="U162" i="63"/>
  <c r="S162" i="63"/>
  <c r="Q162" i="63"/>
  <c r="Q502" i="63" s="1"/>
  <c r="Q469" i="63" s="1"/>
  <c r="L162" i="63"/>
  <c r="I162" i="63"/>
  <c r="BQ161" i="63"/>
  <c r="BN161" i="63"/>
  <c r="BK161" i="63"/>
  <c r="BH161" i="63"/>
  <c r="BE161" i="63"/>
  <c r="BB161" i="63"/>
  <c r="AY161" i="63"/>
  <c r="AV161" i="63"/>
  <c r="AS161" i="63"/>
  <c r="AP161" i="63"/>
  <c r="AM161" i="63"/>
  <c r="AC161" i="63"/>
  <c r="W161" i="63"/>
  <c r="Y161" i="63" s="1"/>
  <c r="U161" i="63"/>
  <c r="AA161" i="63" s="1"/>
  <c r="S161" i="63"/>
  <c r="Q161" i="63"/>
  <c r="Q501" i="63" s="1"/>
  <c r="L161" i="63"/>
  <c r="I161" i="63"/>
  <c r="BQ160" i="63"/>
  <c r="BN160" i="63"/>
  <c r="BK160" i="63"/>
  <c r="BH160" i="63"/>
  <c r="BE160" i="63"/>
  <c r="BB160" i="63"/>
  <c r="AY160" i="63"/>
  <c r="AV160" i="63"/>
  <c r="AS160" i="63"/>
  <c r="AP160" i="63"/>
  <c r="AM160" i="63"/>
  <c r="AJ160" i="63"/>
  <c r="AE160" i="63"/>
  <c r="AC160" i="63"/>
  <c r="AC500" i="63" s="1"/>
  <c r="W160" i="63"/>
  <c r="U160" i="63"/>
  <c r="AA160" i="63" s="1"/>
  <c r="Q160" i="63"/>
  <c r="P160" i="63"/>
  <c r="L160" i="63"/>
  <c r="I160" i="63"/>
  <c r="BQ159" i="63"/>
  <c r="BN159" i="63"/>
  <c r="BK159" i="63"/>
  <c r="BH159" i="63"/>
  <c r="BE159" i="63"/>
  <c r="BB159" i="63"/>
  <c r="AY159" i="63"/>
  <c r="AV159" i="63"/>
  <c r="AS159" i="63"/>
  <c r="AP159" i="63"/>
  <c r="AM159" i="63"/>
  <c r="AJ159" i="63"/>
  <c r="AE159" i="63"/>
  <c r="Y159" i="63"/>
  <c r="U159" i="63"/>
  <c r="T159" i="63"/>
  <c r="Z159" i="63" s="1"/>
  <c r="S159" i="63"/>
  <c r="P159" i="63"/>
  <c r="L159" i="63"/>
  <c r="M159" i="63" s="1"/>
  <c r="K159" i="63"/>
  <c r="I159" i="63"/>
  <c r="BP158" i="63"/>
  <c r="BO158" i="63"/>
  <c r="BO137" i="63" s="1"/>
  <c r="BM158" i="63"/>
  <c r="BL158" i="63"/>
  <c r="BJ158" i="63"/>
  <c r="BI158" i="63"/>
  <c r="BG158" i="63"/>
  <c r="BF158" i="63"/>
  <c r="BD158" i="63"/>
  <c r="BC158" i="63"/>
  <c r="BA158" i="63"/>
  <c r="AZ158" i="63"/>
  <c r="AX158" i="63"/>
  <c r="AW158" i="63"/>
  <c r="AU158" i="63"/>
  <c r="AV158" i="63" s="1"/>
  <c r="AT158" i="63"/>
  <c r="AT714" i="63" s="1"/>
  <c r="AR158" i="63"/>
  <c r="AQ158" i="63"/>
  <c r="AO158" i="63"/>
  <c r="AN158" i="63"/>
  <c r="AL158" i="63"/>
  <c r="AK158" i="63"/>
  <c r="AI158" i="63"/>
  <c r="AD158" i="63"/>
  <c r="X158" i="63"/>
  <c r="R158" i="63"/>
  <c r="O158" i="63"/>
  <c r="H158" i="63"/>
  <c r="G158" i="63"/>
  <c r="BQ157" i="63"/>
  <c r="BN157" i="63"/>
  <c r="BK157" i="63"/>
  <c r="BH157" i="63"/>
  <c r="BE157" i="63"/>
  <c r="BB157" i="63"/>
  <c r="AY157" i="63"/>
  <c r="AV157" i="63"/>
  <c r="AS157" i="63"/>
  <c r="AP157" i="63"/>
  <c r="AM157" i="63"/>
  <c r="AJ157" i="63"/>
  <c r="AE157" i="63"/>
  <c r="U157" i="63"/>
  <c r="T157" i="63"/>
  <c r="Z157" i="63" s="1"/>
  <c r="P157" i="63"/>
  <c r="L157" i="63"/>
  <c r="M157" i="63" s="1"/>
  <c r="K157" i="63"/>
  <c r="I157" i="63"/>
  <c r="BQ156" i="63"/>
  <c r="BN156" i="63"/>
  <c r="BK156" i="63"/>
  <c r="BH156" i="63"/>
  <c r="BE156" i="63"/>
  <c r="BB156" i="63"/>
  <c r="AY156" i="63"/>
  <c r="AV156" i="63"/>
  <c r="AS156" i="63"/>
  <c r="AP156" i="63"/>
  <c r="AM156" i="63"/>
  <c r="AC156" i="63"/>
  <c r="AC496" i="63" s="1"/>
  <c r="Y156" i="63"/>
  <c r="W156" i="63"/>
  <c r="W496" i="63" s="1"/>
  <c r="Y496" i="63" s="1"/>
  <c r="U156" i="63"/>
  <c r="AA156" i="63" s="1"/>
  <c r="Q156" i="63"/>
  <c r="S156" i="63" s="1"/>
  <c r="L156" i="63"/>
  <c r="I156" i="63"/>
  <c r="BQ155" i="63"/>
  <c r="BN155" i="63"/>
  <c r="BK155" i="63"/>
  <c r="BH155" i="63"/>
  <c r="BE155" i="63"/>
  <c r="BB155" i="63"/>
  <c r="AY155" i="63"/>
  <c r="AV155" i="63"/>
  <c r="AS155" i="63"/>
  <c r="AP155" i="63"/>
  <c r="AM155" i="63"/>
  <c r="AC155" i="63"/>
  <c r="W155" i="63"/>
  <c r="U155" i="63"/>
  <c r="Q155" i="63"/>
  <c r="Q495" i="63" s="1"/>
  <c r="L155" i="63"/>
  <c r="I155" i="63"/>
  <c r="BQ154" i="63"/>
  <c r="BN154" i="63"/>
  <c r="BK154" i="63"/>
  <c r="BH154" i="63"/>
  <c r="BE154" i="63"/>
  <c r="BB154" i="63"/>
  <c r="AY154" i="63"/>
  <c r="AV154" i="63"/>
  <c r="AS154" i="63"/>
  <c r="AP154" i="63"/>
  <c r="AM154" i="63"/>
  <c r="AC154" i="63"/>
  <c r="W154" i="63"/>
  <c r="Y154" i="63" s="1"/>
  <c r="U154" i="63"/>
  <c r="AA154" i="63" s="1"/>
  <c r="Q154" i="63"/>
  <c r="Q494" i="63" s="1"/>
  <c r="L154" i="63"/>
  <c r="I154" i="63"/>
  <c r="BQ153" i="63"/>
  <c r="BN153" i="63"/>
  <c r="BK153" i="63"/>
  <c r="BH153" i="63"/>
  <c r="BE153" i="63"/>
  <c r="BB153" i="63"/>
  <c r="AY153" i="63"/>
  <c r="AV153" i="63"/>
  <c r="AS153" i="63"/>
  <c r="AP153" i="63"/>
  <c r="AM153" i="63"/>
  <c r="AJ153" i="63"/>
  <c r="AE153" i="63"/>
  <c r="Y153" i="63"/>
  <c r="U153" i="63"/>
  <c r="AA153" i="63" s="1"/>
  <c r="T153" i="63"/>
  <c r="Z153" i="63" s="1"/>
  <c r="S153" i="63"/>
  <c r="P153" i="63"/>
  <c r="L153" i="63"/>
  <c r="K153" i="63"/>
  <c r="I153" i="63"/>
  <c r="BP152" i="63"/>
  <c r="BO152" i="63"/>
  <c r="BM152" i="63"/>
  <c r="BM117" i="63" s="1"/>
  <c r="BL152" i="63"/>
  <c r="BJ152" i="63"/>
  <c r="BI152" i="63"/>
  <c r="BK152" i="63" s="1"/>
  <c r="BG152" i="63"/>
  <c r="BF152" i="63"/>
  <c r="BD152" i="63"/>
  <c r="BC152" i="63"/>
  <c r="BC137" i="63" s="1"/>
  <c r="BA152" i="63"/>
  <c r="AZ152" i="63"/>
  <c r="AX152" i="63"/>
  <c r="AW152" i="63"/>
  <c r="AY152" i="63" s="1"/>
  <c r="AV152" i="63"/>
  <c r="AU152" i="63"/>
  <c r="AT152" i="63"/>
  <c r="AR152" i="63"/>
  <c r="AR117" i="63" s="1"/>
  <c r="AQ152" i="63"/>
  <c r="AO152" i="63"/>
  <c r="AO117" i="63" s="1"/>
  <c r="AN152" i="63"/>
  <c r="AL152" i="63"/>
  <c r="AM152" i="63" s="1"/>
  <c r="AK152" i="63"/>
  <c r="AI152" i="63"/>
  <c r="AD152" i="63"/>
  <c r="X152" i="63"/>
  <c r="R152" i="63"/>
  <c r="O152" i="63"/>
  <c r="H152" i="63"/>
  <c r="H117" i="63" s="1"/>
  <c r="G152" i="63"/>
  <c r="BQ151" i="63"/>
  <c r="BN151" i="63"/>
  <c r="BK151" i="63"/>
  <c r="BH151" i="63"/>
  <c r="BE151" i="63"/>
  <c r="BB151" i="63"/>
  <c r="AY151" i="63"/>
  <c r="AV151" i="63"/>
  <c r="AS151" i="63"/>
  <c r="AP151" i="63"/>
  <c r="AM151" i="63"/>
  <c r="AJ151" i="63"/>
  <c r="AE151" i="63"/>
  <c r="U151" i="63"/>
  <c r="T151" i="63"/>
  <c r="Z151" i="63" s="1"/>
  <c r="P151" i="63"/>
  <c r="L151" i="63"/>
  <c r="K151" i="63"/>
  <c r="I151" i="63"/>
  <c r="BQ150" i="63"/>
  <c r="BN150" i="63"/>
  <c r="BK150" i="63"/>
  <c r="BH150" i="63"/>
  <c r="BE150" i="63"/>
  <c r="BB150" i="63"/>
  <c r="AY150" i="63"/>
  <c r="AV150" i="63"/>
  <c r="AS150" i="63"/>
  <c r="AP150" i="63"/>
  <c r="AM150" i="63"/>
  <c r="AE150" i="63"/>
  <c r="Y150" i="63"/>
  <c r="U150" i="63"/>
  <c r="T150" i="63"/>
  <c r="Z150" i="63" s="1"/>
  <c r="S150" i="63"/>
  <c r="P150" i="63"/>
  <c r="L150" i="63"/>
  <c r="K150" i="63"/>
  <c r="I150" i="63"/>
  <c r="BQ149" i="63"/>
  <c r="BN149" i="63"/>
  <c r="BK149" i="63"/>
  <c r="BH149" i="63"/>
  <c r="BE149" i="63"/>
  <c r="BB149" i="63"/>
  <c r="AY149" i="63"/>
  <c r="AV149" i="63"/>
  <c r="AS149" i="63"/>
  <c r="AP149" i="63"/>
  <c r="AM149" i="63"/>
  <c r="AE149" i="63"/>
  <c r="Y149" i="63"/>
  <c r="U149" i="63"/>
  <c r="V149" i="63" s="1"/>
  <c r="T149" i="63"/>
  <c r="Z149" i="63" s="1"/>
  <c r="S149" i="63"/>
  <c r="P149" i="63"/>
  <c r="L149" i="63"/>
  <c r="K149" i="63"/>
  <c r="M149" i="63" s="1"/>
  <c r="I149" i="63"/>
  <c r="BQ148" i="63"/>
  <c r="BN148" i="63"/>
  <c r="BK148" i="63"/>
  <c r="BH148" i="63"/>
  <c r="BE148" i="63"/>
  <c r="BB148" i="63"/>
  <c r="AY148" i="63"/>
  <c r="AV148" i="63"/>
  <c r="AS148" i="63"/>
  <c r="AP148" i="63"/>
  <c r="AM148" i="63"/>
  <c r="AJ148" i="63"/>
  <c r="AE148" i="63"/>
  <c r="Y148" i="63"/>
  <c r="U148" i="63"/>
  <c r="AA148" i="63" s="1"/>
  <c r="T148" i="63"/>
  <c r="S148" i="63"/>
  <c r="P148" i="63"/>
  <c r="L148" i="63"/>
  <c r="K148" i="63"/>
  <c r="I148" i="63"/>
  <c r="BQ147" i="63"/>
  <c r="BN147" i="63"/>
  <c r="BK147" i="63"/>
  <c r="BH147" i="63"/>
  <c r="BE147" i="63"/>
  <c r="BB147" i="63"/>
  <c r="AY147" i="63"/>
  <c r="AV147" i="63"/>
  <c r="AS147" i="63"/>
  <c r="AP147" i="63"/>
  <c r="AM147" i="63"/>
  <c r="AJ147" i="63"/>
  <c r="AE147" i="63"/>
  <c r="Y147" i="63"/>
  <c r="U147" i="63"/>
  <c r="T147" i="63"/>
  <c r="Z147" i="63" s="1"/>
  <c r="S147" i="63"/>
  <c r="P147" i="63"/>
  <c r="M147" i="63"/>
  <c r="L147" i="63"/>
  <c r="K147" i="63"/>
  <c r="I147" i="63"/>
  <c r="BQ146" i="63"/>
  <c r="BP146" i="63"/>
  <c r="BO146" i="63"/>
  <c r="BM146" i="63"/>
  <c r="BL146" i="63"/>
  <c r="BL137" i="63" s="1"/>
  <c r="BJ146" i="63"/>
  <c r="BI146" i="63"/>
  <c r="BG146" i="63"/>
  <c r="BF146" i="63"/>
  <c r="BD146" i="63"/>
  <c r="BD111" i="63" s="1"/>
  <c r="BC146" i="63"/>
  <c r="BA146" i="63"/>
  <c r="AZ146" i="63"/>
  <c r="AX146" i="63"/>
  <c r="AW146" i="63"/>
  <c r="AU146" i="63"/>
  <c r="AU137" i="63" s="1"/>
  <c r="AT146" i="63"/>
  <c r="AR146" i="63"/>
  <c r="AS146" i="63" s="1"/>
  <c r="AQ146" i="63"/>
  <c r="AO146" i="63"/>
  <c r="AP146" i="63" s="1"/>
  <c r="AN146" i="63"/>
  <c r="AN137" i="63" s="1"/>
  <c r="AL146" i="63"/>
  <c r="AK146" i="63"/>
  <c r="AI146" i="63"/>
  <c r="AD146" i="63"/>
  <c r="AE146" i="63" s="1"/>
  <c r="AC146" i="63"/>
  <c r="X146" i="63"/>
  <c r="W146" i="63"/>
  <c r="R146" i="63"/>
  <c r="Q146" i="63"/>
  <c r="T146" i="63" s="1"/>
  <c r="Z146" i="63" s="1"/>
  <c r="O146" i="63"/>
  <c r="P146" i="63" s="1"/>
  <c r="N146" i="63"/>
  <c r="H146" i="63"/>
  <c r="G146" i="63"/>
  <c r="BQ145" i="63"/>
  <c r="BN145" i="63"/>
  <c r="BK145" i="63"/>
  <c r="BH145" i="63"/>
  <c r="BE145" i="63"/>
  <c r="BB145" i="63"/>
  <c r="AY145" i="63"/>
  <c r="AV145" i="63"/>
  <c r="AS145" i="63"/>
  <c r="AP145" i="63"/>
  <c r="AM145" i="63"/>
  <c r="AJ145" i="63"/>
  <c r="AE145" i="63"/>
  <c r="AA145" i="63"/>
  <c r="Z145" i="63"/>
  <c r="Y145" i="63"/>
  <c r="U145" i="63"/>
  <c r="T145" i="63"/>
  <c r="S145" i="63"/>
  <c r="P145" i="63"/>
  <c r="L145" i="63"/>
  <c r="K145" i="63"/>
  <c r="I145" i="63"/>
  <c r="BQ144" i="63"/>
  <c r="BN144" i="63"/>
  <c r="BK144" i="63"/>
  <c r="BH144" i="63"/>
  <c r="BE144" i="63"/>
  <c r="BB144" i="63"/>
  <c r="AY144" i="63"/>
  <c r="AV144" i="63"/>
  <c r="AS144" i="63"/>
  <c r="AP144" i="63"/>
  <c r="AM144" i="63"/>
  <c r="AE144" i="63"/>
  <c r="AB144" i="63"/>
  <c r="AA144" i="63"/>
  <c r="Z144" i="63"/>
  <c r="Y144" i="63"/>
  <c r="V144" i="63"/>
  <c r="U144" i="63"/>
  <c r="T144" i="63"/>
  <c r="S144" i="63"/>
  <c r="P144" i="63"/>
  <c r="L144" i="63"/>
  <c r="K144" i="63"/>
  <c r="I144" i="63"/>
  <c r="BQ143" i="63"/>
  <c r="BN143" i="63"/>
  <c r="BK143" i="63"/>
  <c r="BH143" i="63"/>
  <c r="BE143" i="63"/>
  <c r="BB143" i="63"/>
  <c r="AY143" i="63"/>
  <c r="AV143" i="63"/>
  <c r="AS143" i="63"/>
  <c r="AP143" i="63"/>
  <c r="AM143" i="63"/>
  <c r="AE143" i="63"/>
  <c r="AA143" i="63"/>
  <c r="AB143" i="63" s="1"/>
  <c r="Z143" i="63"/>
  <c r="Y143" i="63"/>
  <c r="U143" i="63"/>
  <c r="T143" i="63"/>
  <c r="S143" i="63"/>
  <c r="P143" i="63"/>
  <c r="L143" i="63"/>
  <c r="K143" i="63"/>
  <c r="I143" i="63"/>
  <c r="BQ142" i="63"/>
  <c r="BN142" i="63"/>
  <c r="BK142" i="63"/>
  <c r="BH142" i="63"/>
  <c r="BE142" i="63"/>
  <c r="BB142" i="63"/>
  <c r="AY142" i="63"/>
  <c r="AV142" i="63"/>
  <c r="AS142" i="63"/>
  <c r="AP142" i="63"/>
  <c r="AM142" i="63"/>
  <c r="AJ142" i="63"/>
  <c r="AE142" i="63"/>
  <c r="AA142" i="63"/>
  <c r="Z142" i="63"/>
  <c r="Y142" i="63"/>
  <c r="U142" i="63"/>
  <c r="T142" i="63"/>
  <c r="S142" i="63"/>
  <c r="P142" i="63"/>
  <c r="L142" i="63"/>
  <c r="K142" i="63"/>
  <c r="I142" i="63"/>
  <c r="BQ141" i="63"/>
  <c r="BN141" i="63"/>
  <c r="BK141" i="63"/>
  <c r="BH141" i="63"/>
  <c r="BE141" i="63"/>
  <c r="BB141" i="63"/>
  <c r="AY141" i="63"/>
  <c r="AV141" i="63"/>
  <c r="AS141" i="63"/>
  <c r="AP141" i="63"/>
  <c r="AM141" i="63"/>
  <c r="AJ141" i="63"/>
  <c r="AE141" i="63"/>
  <c r="AA141" i="63"/>
  <c r="Z141" i="63"/>
  <c r="Y141" i="63"/>
  <c r="U141" i="63"/>
  <c r="T141" i="63"/>
  <c r="S141" i="63"/>
  <c r="P141" i="63"/>
  <c r="L141" i="63"/>
  <c r="M141" i="63" s="1"/>
  <c r="K141" i="63"/>
  <c r="I141" i="63"/>
  <c r="BP140" i="63"/>
  <c r="BQ140" i="63" s="1"/>
  <c r="BO140" i="63"/>
  <c r="BM140" i="63"/>
  <c r="BL140" i="63"/>
  <c r="BJ140" i="63"/>
  <c r="BI140" i="63"/>
  <c r="BG140" i="63"/>
  <c r="BF140" i="63"/>
  <c r="BD140" i="63"/>
  <c r="BE140" i="63" s="1"/>
  <c r="BC140" i="63"/>
  <c r="BC105" i="63" s="1"/>
  <c r="BA140" i="63"/>
  <c r="BB140" i="63" s="1"/>
  <c r="AZ140" i="63"/>
  <c r="AX140" i="63"/>
  <c r="AW140" i="63"/>
  <c r="AU140" i="63"/>
  <c r="AT140" i="63"/>
  <c r="AR140" i="63"/>
  <c r="AQ140" i="63"/>
  <c r="AO140" i="63"/>
  <c r="AN140" i="63"/>
  <c r="AL140" i="63"/>
  <c r="AK140" i="63"/>
  <c r="AI140" i="63"/>
  <c r="AD140" i="63"/>
  <c r="AC140" i="63"/>
  <c r="AE140" i="63" s="1"/>
  <c r="X140" i="63"/>
  <c r="W140" i="63"/>
  <c r="R140" i="63"/>
  <c r="Q140" i="63"/>
  <c r="O140" i="63"/>
  <c r="L140" i="63" s="1"/>
  <c r="N140" i="63"/>
  <c r="H140" i="63"/>
  <c r="G140" i="63"/>
  <c r="BQ138" i="63"/>
  <c r="BN138" i="63"/>
  <c r="BK138" i="63"/>
  <c r="BH138" i="63"/>
  <c r="BE138" i="63"/>
  <c r="BB138" i="63"/>
  <c r="AY138" i="63"/>
  <c r="AV138" i="63"/>
  <c r="AS138" i="63"/>
  <c r="AP138" i="63"/>
  <c r="AM138" i="63"/>
  <c r="AJ138" i="63"/>
  <c r="AE138" i="63"/>
  <c r="Y138" i="63"/>
  <c r="U138" i="63"/>
  <c r="AA138" i="63" s="1"/>
  <c r="T138" i="63"/>
  <c r="V138" i="63" s="1"/>
  <c r="S138" i="63"/>
  <c r="P138" i="63"/>
  <c r="L138" i="63"/>
  <c r="K138" i="63"/>
  <c r="I138" i="63"/>
  <c r="H137" i="63"/>
  <c r="BP136" i="63"/>
  <c r="BO136" i="63"/>
  <c r="BO390" i="63" s="1"/>
  <c r="BM136" i="63"/>
  <c r="BL136" i="63"/>
  <c r="BJ136" i="63"/>
  <c r="BI136" i="63"/>
  <c r="BG136" i="63"/>
  <c r="BF136" i="63"/>
  <c r="BF390" i="63" s="1"/>
  <c r="BD136" i="63"/>
  <c r="BC136" i="63"/>
  <c r="BC390" i="63" s="1"/>
  <c r="BA136" i="63"/>
  <c r="AZ136" i="63"/>
  <c r="AY136" i="63"/>
  <c r="AX136" i="63"/>
  <c r="AX390" i="63" s="1"/>
  <c r="AW136" i="63"/>
  <c r="AU136" i="63"/>
  <c r="AT136" i="63"/>
  <c r="AT390" i="63" s="1"/>
  <c r="AR136" i="63"/>
  <c r="AQ136" i="63"/>
  <c r="AQ390" i="63" s="1"/>
  <c r="AO136" i="63"/>
  <c r="AO124" i="63" s="1"/>
  <c r="AN136" i="63"/>
  <c r="AL136" i="63"/>
  <c r="AL390" i="63" s="1"/>
  <c r="AK136" i="63"/>
  <c r="AI136" i="63"/>
  <c r="AH136" i="63"/>
  <c r="AH390" i="63" s="1"/>
  <c r="AD136" i="63"/>
  <c r="AC136" i="63"/>
  <c r="X136" i="63"/>
  <c r="X390" i="63" s="1"/>
  <c r="W136" i="63"/>
  <c r="R136" i="63"/>
  <c r="Q136" i="63"/>
  <c r="Q390" i="63" s="1"/>
  <c r="T390" i="63" s="1"/>
  <c r="O136" i="63"/>
  <c r="U136" i="63" s="1"/>
  <c r="AA136" i="63" s="1"/>
  <c r="N136" i="63"/>
  <c r="H136" i="63"/>
  <c r="G136" i="63"/>
  <c r="G390" i="63" s="1"/>
  <c r="BP135" i="63"/>
  <c r="BO135" i="63"/>
  <c r="BM135" i="63"/>
  <c r="BL135" i="63"/>
  <c r="BJ135" i="63"/>
  <c r="BK135" i="63" s="1"/>
  <c r="BI135" i="63"/>
  <c r="BG135" i="63"/>
  <c r="BF135" i="63"/>
  <c r="BD135" i="63"/>
  <c r="BE135" i="63" s="1"/>
  <c r="BC135" i="63"/>
  <c r="BA135" i="63"/>
  <c r="AZ135" i="63"/>
  <c r="AX135" i="63"/>
  <c r="AW135" i="63"/>
  <c r="AU135" i="63"/>
  <c r="AT135" i="63"/>
  <c r="AR135" i="63"/>
  <c r="AQ135" i="63"/>
  <c r="AO135" i="63"/>
  <c r="AN135" i="63"/>
  <c r="AL135" i="63"/>
  <c r="AM135" i="63" s="1"/>
  <c r="AK135" i="63"/>
  <c r="AI135" i="63"/>
  <c r="AD135" i="63"/>
  <c r="X135" i="63"/>
  <c r="R135" i="63"/>
  <c r="Q135" i="63"/>
  <c r="O135" i="63"/>
  <c r="H135" i="63"/>
  <c r="I135" i="63" s="1"/>
  <c r="G135" i="63"/>
  <c r="BP134" i="63"/>
  <c r="BO134" i="63"/>
  <c r="BM134" i="63"/>
  <c r="BL134" i="63"/>
  <c r="BJ134" i="63"/>
  <c r="BK134" i="63" s="1"/>
  <c r="BI134" i="63"/>
  <c r="BG134" i="63"/>
  <c r="BH134" i="63" s="1"/>
  <c r="BF134" i="63"/>
  <c r="BD134" i="63"/>
  <c r="BC134" i="63"/>
  <c r="BA134" i="63"/>
  <c r="AZ134" i="63"/>
  <c r="AX134" i="63"/>
  <c r="AY134" i="63" s="1"/>
  <c r="AW134" i="63"/>
  <c r="AU134" i="63"/>
  <c r="AV134" i="63" s="1"/>
  <c r="AT134" i="63"/>
  <c r="AR134" i="63"/>
  <c r="AQ134" i="63"/>
  <c r="AO134" i="63"/>
  <c r="AN134" i="63"/>
  <c r="AL134" i="63"/>
  <c r="AK134" i="63"/>
  <c r="AI134" i="63"/>
  <c r="AD134" i="63"/>
  <c r="AC134" i="63"/>
  <c r="X134" i="63"/>
  <c r="R134" i="63"/>
  <c r="Q134" i="63"/>
  <c r="O134" i="63"/>
  <c r="H134" i="63"/>
  <c r="G134" i="63"/>
  <c r="BP133" i="63"/>
  <c r="BO133" i="63"/>
  <c r="BM133" i="63"/>
  <c r="BL133" i="63"/>
  <c r="BJ133" i="63"/>
  <c r="BI133" i="63"/>
  <c r="BK133" i="63" s="1"/>
  <c r="BG133" i="63"/>
  <c r="BH133" i="63" s="1"/>
  <c r="BF133" i="63"/>
  <c r="BD133" i="63"/>
  <c r="BC133" i="63"/>
  <c r="BA133" i="63"/>
  <c r="AZ133" i="63"/>
  <c r="AX133" i="63"/>
  <c r="AW133" i="63"/>
  <c r="AU133" i="63"/>
  <c r="AV133" i="63" s="1"/>
  <c r="AT133" i="63"/>
  <c r="AR133" i="63"/>
  <c r="AQ133" i="63"/>
  <c r="AO133" i="63"/>
  <c r="AN133" i="63"/>
  <c r="AL133" i="63"/>
  <c r="AK133" i="63"/>
  <c r="AI133" i="63"/>
  <c r="AH133" i="63"/>
  <c r="AD133" i="63"/>
  <c r="AC133" i="63"/>
  <c r="X133" i="63"/>
  <c r="Y133" i="63" s="1"/>
  <c r="W133" i="63"/>
  <c r="R133" i="63"/>
  <c r="O133" i="63"/>
  <c r="N133" i="63"/>
  <c r="H133" i="63"/>
  <c r="I133" i="63" s="1"/>
  <c r="G133" i="63"/>
  <c r="BP132" i="63"/>
  <c r="BO132" i="63"/>
  <c r="BM132" i="63"/>
  <c r="BL132" i="63"/>
  <c r="BJ132" i="63"/>
  <c r="BK132" i="63" s="1"/>
  <c r="BI132" i="63"/>
  <c r="BG132" i="63"/>
  <c r="BF132" i="63"/>
  <c r="BD132" i="63"/>
  <c r="BC132" i="63"/>
  <c r="BA132" i="63"/>
  <c r="AZ132" i="63"/>
  <c r="AY132" i="63"/>
  <c r="AX132" i="63"/>
  <c r="AW132" i="63"/>
  <c r="AU132" i="63"/>
  <c r="AT132" i="63"/>
  <c r="AR132" i="63"/>
  <c r="AS132" i="63" s="1"/>
  <c r="AQ132" i="63"/>
  <c r="AO132" i="63"/>
  <c r="AN132" i="63"/>
  <c r="AL132" i="63"/>
  <c r="AK132" i="63"/>
  <c r="AI132" i="63"/>
  <c r="AH132" i="63"/>
  <c r="AD132" i="63"/>
  <c r="AC132" i="63"/>
  <c r="X132" i="63"/>
  <c r="Y132" i="63" s="1"/>
  <c r="W132" i="63"/>
  <c r="R132" i="63"/>
  <c r="Q132" i="63"/>
  <c r="O132" i="63"/>
  <c r="P132" i="63" s="1"/>
  <c r="N132" i="63"/>
  <c r="H132" i="63"/>
  <c r="G132" i="63"/>
  <c r="BA131" i="63"/>
  <c r="AD131" i="63"/>
  <c r="O131" i="63"/>
  <c r="BP130" i="63"/>
  <c r="BO130" i="63"/>
  <c r="BO388" i="63" s="1"/>
  <c r="BM130" i="63"/>
  <c r="BM388" i="63" s="1"/>
  <c r="BL130" i="63"/>
  <c r="BL124" i="63" s="1"/>
  <c r="BN124" i="63" s="1"/>
  <c r="BJ130" i="63"/>
  <c r="BJ388" i="63" s="1"/>
  <c r="BI130" i="63"/>
  <c r="BI388" i="63" s="1"/>
  <c r="BG130" i="63"/>
  <c r="BG388" i="63" s="1"/>
  <c r="BF130" i="63"/>
  <c r="BF388" i="63" s="1"/>
  <c r="BD130" i="63"/>
  <c r="BC130" i="63"/>
  <c r="BC124" i="63" s="1"/>
  <c r="BA130" i="63"/>
  <c r="AZ130" i="63"/>
  <c r="AZ124" i="63" s="1"/>
  <c r="AX130" i="63"/>
  <c r="AY130" i="63" s="1"/>
  <c r="AW130" i="63"/>
  <c r="AW388" i="63" s="1"/>
  <c r="AU130" i="63"/>
  <c r="AT130" i="63"/>
  <c r="AT388" i="63" s="1"/>
  <c r="AR130" i="63"/>
  <c r="AQ130" i="63"/>
  <c r="AQ388" i="63" s="1"/>
  <c r="AO130" i="63"/>
  <c r="AO388" i="63" s="1"/>
  <c r="AN130" i="63"/>
  <c r="AL130" i="63"/>
  <c r="AL388" i="63" s="1"/>
  <c r="AM388" i="63" s="1"/>
  <c r="AK130" i="63"/>
  <c r="AK388" i="63" s="1"/>
  <c r="AI130" i="63"/>
  <c r="AI388" i="63" s="1"/>
  <c r="AD130" i="63"/>
  <c r="AD124" i="63" s="1"/>
  <c r="AC130" i="63"/>
  <c r="X130" i="63"/>
  <c r="X388" i="63" s="1"/>
  <c r="W130" i="63"/>
  <c r="R130" i="63"/>
  <c r="R124" i="63" s="1"/>
  <c r="Q130" i="63"/>
  <c r="O130" i="63"/>
  <c r="N130" i="63"/>
  <c r="H130" i="63"/>
  <c r="G130" i="63"/>
  <c r="BP129" i="63"/>
  <c r="BO129" i="63"/>
  <c r="BM129" i="63"/>
  <c r="BL129" i="63"/>
  <c r="BJ129" i="63"/>
  <c r="BK129" i="63" s="1"/>
  <c r="BI129" i="63"/>
  <c r="BG129" i="63"/>
  <c r="BH129" i="63" s="1"/>
  <c r="BF129" i="63"/>
  <c r="BD129" i="63"/>
  <c r="BC129" i="63"/>
  <c r="BA129" i="63"/>
  <c r="AZ129" i="63"/>
  <c r="AX129" i="63"/>
  <c r="AY129" i="63" s="1"/>
  <c r="AW129" i="63"/>
  <c r="AU129" i="63"/>
  <c r="AV129" i="63" s="1"/>
  <c r="AT129" i="63"/>
  <c r="AR129" i="63"/>
  <c r="AQ129" i="63"/>
  <c r="AO129" i="63"/>
  <c r="AN129" i="63"/>
  <c r="AL129" i="63"/>
  <c r="AM129" i="63" s="1"/>
  <c r="AK129" i="63"/>
  <c r="AI129" i="63"/>
  <c r="AD129" i="63"/>
  <c r="AC129" i="63"/>
  <c r="X129" i="63"/>
  <c r="R129" i="63"/>
  <c r="Q129" i="63"/>
  <c r="O129" i="63"/>
  <c r="H129" i="63"/>
  <c r="I129" i="63" s="1"/>
  <c r="G129" i="63"/>
  <c r="BP128" i="63"/>
  <c r="BO128" i="63"/>
  <c r="BM128" i="63"/>
  <c r="BL128" i="63"/>
  <c r="BJ128" i="63"/>
  <c r="BK128" i="63" s="1"/>
  <c r="BI128" i="63"/>
  <c r="BG128" i="63"/>
  <c r="BH128" i="63" s="1"/>
  <c r="BF128" i="63"/>
  <c r="BD128" i="63"/>
  <c r="BC128" i="63"/>
  <c r="BA128" i="63"/>
  <c r="AZ128" i="63"/>
  <c r="AX128" i="63"/>
  <c r="AY128" i="63" s="1"/>
  <c r="AW128" i="63"/>
  <c r="AU128" i="63"/>
  <c r="AT128" i="63"/>
  <c r="AR128" i="63"/>
  <c r="AQ128" i="63"/>
  <c r="AO128" i="63"/>
  <c r="AN128" i="63"/>
  <c r="AL128" i="63"/>
  <c r="AK128" i="63"/>
  <c r="AI128" i="63"/>
  <c r="AD128" i="63"/>
  <c r="AC128" i="63"/>
  <c r="X128" i="63"/>
  <c r="U128" i="63"/>
  <c r="R128" i="63"/>
  <c r="Q128" i="63"/>
  <c r="O128" i="63"/>
  <c r="H128" i="63"/>
  <c r="I128" i="63" s="1"/>
  <c r="G128" i="63"/>
  <c r="BP127" i="63"/>
  <c r="BO127" i="63"/>
  <c r="BM127" i="63"/>
  <c r="BL127" i="63"/>
  <c r="BJ127" i="63"/>
  <c r="BK127" i="63" s="1"/>
  <c r="BI127" i="63"/>
  <c r="BG127" i="63"/>
  <c r="BH127" i="63" s="1"/>
  <c r="BF127" i="63"/>
  <c r="BD127" i="63"/>
  <c r="BC127" i="63"/>
  <c r="BA127" i="63"/>
  <c r="BB127" i="63" s="1"/>
  <c r="AZ127" i="63"/>
  <c r="AX127" i="63"/>
  <c r="AY127" i="63" s="1"/>
  <c r="AW127" i="63"/>
  <c r="AU127" i="63"/>
  <c r="AT127" i="63"/>
  <c r="AR127" i="63"/>
  <c r="AS127" i="63" s="1"/>
  <c r="AQ127" i="63"/>
  <c r="AO127" i="63"/>
  <c r="AN127" i="63"/>
  <c r="AM127" i="63"/>
  <c r="AL127" i="63"/>
  <c r="AK127" i="63"/>
  <c r="AI127" i="63"/>
  <c r="AH127" i="63"/>
  <c r="AD127" i="63"/>
  <c r="AC127" i="63"/>
  <c r="X127" i="63"/>
  <c r="R127" i="63"/>
  <c r="Q127" i="63"/>
  <c r="O127" i="63"/>
  <c r="P127" i="63" s="1"/>
  <c r="N127" i="63"/>
  <c r="H127" i="63"/>
  <c r="I127" i="63" s="1"/>
  <c r="G127" i="63"/>
  <c r="BP126" i="63"/>
  <c r="BO126" i="63"/>
  <c r="BM126" i="63"/>
  <c r="BL126" i="63"/>
  <c r="BJ126" i="63"/>
  <c r="BI126" i="63"/>
  <c r="BG126" i="63"/>
  <c r="BH126" i="63" s="1"/>
  <c r="BF126" i="63"/>
  <c r="BD126" i="63"/>
  <c r="BC126" i="63"/>
  <c r="BA126" i="63"/>
  <c r="AZ126" i="63"/>
  <c r="AX126" i="63"/>
  <c r="AW126" i="63"/>
  <c r="AU126" i="63"/>
  <c r="AV126" i="63" s="1"/>
  <c r="AT126" i="63"/>
  <c r="AR126" i="63"/>
  <c r="AQ126" i="63"/>
  <c r="AO126" i="63"/>
  <c r="AP126" i="63" s="1"/>
  <c r="AN126" i="63"/>
  <c r="AL126" i="63"/>
  <c r="AM126" i="63" s="1"/>
  <c r="AK126" i="63"/>
  <c r="AI126" i="63"/>
  <c r="AH126" i="63"/>
  <c r="AD126" i="63"/>
  <c r="AE126" i="63" s="1"/>
  <c r="AC126" i="63"/>
  <c r="X126" i="63"/>
  <c r="Y126" i="63" s="1"/>
  <c r="W126" i="63"/>
  <c r="R126" i="63"/>
  <c r="Q126" i="63"/>
  <c r="O126" i="63"/>
  <c r="U126" i="63" s="1"/>
  <c r="N126" i="63"/>
  <c r="H126" i="63"/>
  <c r="G126" i="63"/>
  <c r="BP125" i="63"/>
  <c r="BO124" i="63"/>
  <c r="BM124" i="63"/>
  <c r="BJ124" i="63"/>
  <c r="BK124" i="63" s="1"/>
  <c r="BI124" i="63"/>
  <c r="AX124" i="63"/>
  <c r="AY124" i="63" s="1"/>
  <c r="AW124" i="63"/>
  <c r="AN124" i="63"/>
  <c r="AL124" i="63"/>
  <c r="Q124" i="63"/>
  <c r="BP122" i="63"/>
  <c r="BP103" i="63" s="1"/>
  <c r="BO122" i="63"/>
  <c r="BO386" i="63" s="1"/>
  <c r="BM122" i="63"/>
  <c r="BM103" i="63" s="1"/>
  <c r="BL122" i="63"/>
  <c r="BL386" i="63" s="1"/>
  <c r="BJ122" i="63"/>
  <c r="BI122" i="63"/>
  <c r="BG122" i="63"/>
  <c r="BG386" i="63" s="1"/>
  <c r="BF122" i="63"/>
  <c r="BF386" i="63" s="1"/>
  <c r="BD122" i="63"/>
  <c r="BC122" i="63"/>
  <c r="BC386" i="63" s="1"/>
  <c r="BA122" i="63"/>
  <c r="BA103" i="63" s="1"/>
  <c r="AZ122" i="63"/>
  <c r="AX122" i="63"/>
  <c r="AY122" i="63" s="1"/>
  <c r="AW122" i="63"/>
  <c r="AU122" i="63"/>
  <c r="AU386" i="63" s="1"/>
  <c r="AV386" i="63" s="1"/>
  <c r="AT122" i="63"/>
  <c r="AT386" i="63" s="1"/>
  <c r="AR122" i="63"/>
  <c r="AQ122" i="63"/>
  <c r="AQ386" i="63" s="1"/>
  <c r="AO122" i="63"/>
  <c r="AO103" i="63" s="1"/>
  <c r="AN122" i="63"/>
  <c r="AL122" i="63"/>
  <c r="AK122" i="63"/>
  <c r="AI122" i="63"/>
  <c r="AI386" i="63" s="1"/>
  <c r="AH122" i="63"/>
  <c r="AH386" i="63" s="1"/>
  <c r="AD122" i="63"/>
  <c r="AC122" i="63"/>
  <c r="AC386" i="63" s="1"/>
  <c r="X122" i="63"/>
  <c r="X386" i="63" s="1"/>
  <c r="W122" i="63"/>
  <c r="R122" i="63"/>
  <c r="Q122" i="63"/>
  <c r="Q386" i="63" s="1"/>
  <c r="T386" i="63" s="1"/>
  <c r="O122" i="63"/>
  <c r="N122" i="63"/>
  <c r="H122" i="63"/>
  <c r="H386" i="63" s="1"/>
  <c r="I386" i="63" s="1"/>
  <c r="G122" i="63"/>
  <c r="G386" i="63" s="1"/>
  <c r="BP121" i="63"/>
  <c r="BO121" i="63"/>
  <c r="BM121" i="63"/>
  <c r="BL121" i="63"/>
  <c r="BJ121" i="63"/>
  <c r="BK121" i="63" s="1"/>
  <c r="BI121" i="63"/>
  <c r="BG121" i="63"/>
  <c r="BF121" i="63"/>
  <c r="BD121" i="63"/>
  <c r="BC121" i="63"/>
  <c r="BA121" i="63"/>
  <c r="AZ121" i="63"/>
  <c r="AY121" i="63"/>
  <c r="AX121" i="63"/>
  <c r="AW121" i="63"/>
  <c r="AU121" i="63"/>
  <c r="AT121" i="63"/>
  <c r="AR121" i="63"/>
  <c r="AQ121" i="63"/>
  <c r="AO121" i="63"/>
  <c r="AN121" i="63"/>
  <c r="AP121" i="63" s="1"/>
  <c r="AL121" i="63"/>
  <c r="AK121" i="63"/>
  <c r="AM121" i="63" s="1"/>
  <c r="AI121" i="63"/>
  <c r="AD121" i="63"/>
  <c r="X121" i="63"/>
  <c r="R121" i="63"/>
  <c r="O121" i="63"/>
  <c r="H121" i="63"/>
  <c r="H385" i="63" s="1"/>
  <c r="G121" i="63"/>
  <c r="G385" i="63" s="1"/>
  <c r="BP120" i="63"/>
  <c r="BO120" i="63"/>
  <c r="BM120" i="63"/>
  <c r="BL120" i="63"/>
  <c r="BN120" i="63" s="1"/>
  <c r="BJ120" i="63"/>
  <c r="BK120" i="63" s="1"/>
  <c r="BI120" i="63"/>
  <c r="BG120" i="63"/>
  <c r="BF120" i="63"/>
  <c r="BD120" i="63"/>
  <c r="BC120" i="63"/>
  <c r="BA120" i="63"/>
  <c r="AZ120" i="63"/>
  <c r="AX120" i="63"/>
  <c r="AY120" i="63" s="1"/>
  <c r="AW120" i="63"/>
  <c r="AU120" i="63"/>
  <c r="AV120" i="63" s="1"/>
  <c r="AT120" i="63"/>
  <c r="AR120" i="63"/>
  <c r="AQ120" i="63"/>
  <c r="AO120" i="63"/>
  <c r="AN120" i="63"/>
  <c r="AL120" i="63"/>
  <c r="AM120" i="63" s="1"/>
  <c r="AK120" i="63"/>
  <c r="AI120" i="63"/>
  <c r="AD120" i="63"/>
  <c r="X120" i="63"/>
  <c r="R120" i="63"/>
  <c r="O120" i="63"/>
  <c r="U120" i="63" s="1"/>
  <c r="H120" i="63"/>
  <c r="G120" i="63"/>
  <c r="G384" i="63" s="1"/>
  <c r="BP119" i="63"/>
  <c r="BO119" i="63"/>
  <c r="BM119" i="63"/>
  <c r="BL119" i="63"/>
  <c r="BJ119" i="63"/>
  <c r="BI119" i="63"/>
  <c r="BG119" i="63"/>
  <c r="BF119" i="63"/>
  <c r="BD119" i="63"/>
  <c r="BC119" i="63"/>
  <c r="BA119" i="63"/>
  <c r="AZ119" i="63"/>
  <c r="AX119" i="63"/>
  <c r="AW119" i="63"/>
  <c r="AU119" i="63"/>
  <c r="AT119" i="63"/>
  <c r="AR119" i="63"/>
  <c r="AQ119" i="63"/>
  <c r="AO119" i="63"/>
  <c r="AN119" i="63"/>
  <c r="AL119" i="63"/>
  <c r="AK119" i="63"/>
  <c r="AI119" i="63"/>
  <c r="AD119" i="63"/>
  <c r="AC119" i="63"/>
  <c r="X119" i="63"/>
  <c r="R119" i="63"/>
  <c r="Q119" i="63"/>
  <c r="O119" i="63"/>
  <c r="U119" i="63" s="1"/>
  <c r="H119" i="63"/>
  <c r="H383" i="63" s="1"/>
  <c r="G119" i="63"/>
  <c r="G383" i="63" s="1"/>
  <c r="BP118" i="63"/>
  <c r="BO118" i="63"/>
  <c r="BM118" i="63"/>
  <c r="BN118" i="63" s="1"/>
  <c r="BL118" i="63"/>
  <c r="BJ118" i="63"/>
  <c r="BK118" i="63" s="1"/>
  <c r="BI118" i="63"/>
  <c r="BG118" i="63"/>
  <c r="BH118" i="63" s="1"/>
  <c r="BF118" i="63"/>
  <c r="BD118" i="63"/>
  <c r="BE118" i="63" s="1"/>
  <c r="BC118" i="63"/>
  <c r="BA118" i="63"/>
  <c r="AZ118" i="63"/>
  <c r="AX118" i="63"/>
  <c r="AW118" i="63"/>
  <c r="AU118" i="63"/>
  <c r="AV118" i="63" s="1"/>
  <c r="AT118" i="63"/>
  <c r="AR118" i="63"/>
  <c r="AQ118" i="63"/>
  <c r="AO118" i="63"/>
  <c r="AP118" i="63" s="1"/>
  <c r="AN118" i="63"/>
  <c r="AL118" i="63"/>
  <c r="AM118" i="63" s="1"/>
  <c r="AK118" i="63"/>
  <c r="AI118" i="63"/>
  <c r="AH118" i="63"/>
  <c r="AD118" i="63"/>
  <c r="AE118" i="63" s="1"/>
  <c r="AC118" i="63"/>
  <c r="X118" i="63"/>
  <c r="Y118" i="63" s="1"/>
  <c r="W118" i="63"/>
  <c r="R118" i="63"/>
  <c r="Q118" i="63"/>
  <c r="O118" i="63"/>
  <c r="N118" i="63"/>
  <c r="H118" i="63"/>
  <c r="H382" i="63" s="1"/>
  <c r="G118" i="63"/>
  <c r="BD117" i="63"/>
  <c r="AN117" i="63"/>
  <c r="BP116" i="63"/>
  <c r="BO116" i="63"/>
  <c r="BO380" i="63" s="1"/>
  <c r="BM116" i="63"/>
  <c r="BL116" i="63"/>
  <c r="BJ116" i="63"/>
  <c r="BJ380" i="63" s="1"/>
  <c r="BI116" i="63"/>
  <c r="BI103" i="63" s="1"/>
  <c r="BG116" i="63"/>
  <c r="BF116" i="63"/>
  <c r="BH116" i="63" s="1"/>
  <c r="BD116" i="63"/>
  <c r="BC116" i="63"/>
  <c r="BA116" i="63"/>
  <c r="AZ116" i="63"/>
  <c r="AX116" i="63"/>
  <c r="AW116" i="63"/>
  <c r="AW103" i="63" s="1"/>
  <c r="AU116" i="63"/>
  <c r="AT116" i="63"/>
  <c r="AT380" i="63" s="1"/>
  <c r="AR116" i="63"/>
  <c r="AR103" i="63" s="1"/>
  <c r="AQ116" i="63"/>
  <c r="AQ380" i="63" s="1"/>
  <c r="AO116" i="63"/>
  <c r="AN116" i="63"/>
  <c r="AL116" i="63"/>
  <c r="AL380" i="63" s="1"/>
  <c r="AK116" i="63"/>
  <c r="AI116" i="63"/>
  <c r="AJ116" i="63" s="1"/>
  <c r="AH116" i="63"/>
  <c r="AD116" i="63"/>
  <c r="AC116" i="63"/>
  <c r="Y116" i="63"/>
  <c r="X116" i="63"/>
  <c r="X380" i="63" s="1"/>
  <c r="W116" i="63"/>
  <c r="R116" i="63"/>
  <c r="Q116" i="63"/>
  <c r="Q380" i="63" s="1"/>
  <c r="T380" i="63" s="1"/>
  <c r="O116" i="63"/>
  <c r="O103" i="63" s="1"/>
  <c r="N116" i="63"/>
  <c r="H116" i="63"/>
  <c r="H380" i="63" s="1"/>
  <c r="G116" i="63"/>
  <c r="G380" i="63" s="1"/>
  <c r="BP115" i="63"/>
  <c r="BO115" i="63"/>
  <c r="BM115" i="63"/>
  <c r="BL115" i="63"/>
  <c r="BJ115" i="63"/>
  <c r="BI115" i="63"/>
  <c r="BK115" i="63" s="1"/>
  <c r="BG115" i="63"/>
  <c r="BF115" i="63"/>
  <c r="BD115" i="63"/>
  <c r="BC115" i="63"/>
  <c r="BA115" i="63"/>
  <c r="AZ115" i="63"/>
  <c r="AX115" i="63"/>
  <c r="AW115" i="63"/>
  <c r="AU115" i="63"/>
  <c r="AT115" i="63"/>
  <c r="AV115" i="63" s="1"/>
  <c r="AR115" i="63"/>
  <c r="AQ115" i="63"/>
  <c r="AO115" i="63"/>
  <c r="AN115" i="63"/>
  <c r="AL115" i="63"/>
  <c r="AM115" i="63" s="1"/>
  <c r="AK115" i="63"/>
  <c r="AI115" i="63"/>
  <c r="AD115" i="63"/>
  <c r="AC115" i="63"/>
  <c r="X115" i="63"/>
  <c r="W115" i="63"/>
  <c r="R115" i="63"/>
  <c r="Q115" i="63"/>
  <c r="O115" i="63"/>
  <c r="N115" i="63"/>
  <c r="H115" i="63"/>
  <c r="G115" i="63"/>
  <c r="BP114" i="63"/>
  <c r="BO114" i="63"/>
  <c r="BM114" i="63"/>
  <c r="BL114" i="63"/>
  <c r="BJ114" i="63"/>
  <c r="BK114" i="63" s="1"/>
  <c r="BI114" i="63"/>
  <c r="BG114" i="63"/>
  <c r="BF114" i="63"/>
  <c r="BH114" i="63" s="1"/>
  <c r="BD114" i="63"/>
  <c r="BC114" i="63"/>
  <c r="BA114" i="63"/>
  <c r="AZ114" i="63"/>
  <c r="AX114" i="63"/>
  <c r="AW114" i="63"/>
  <c r="AU114" i="63"/>
  <c r="AT114" i="63"/>
  <c r="AR114" i="63"/>
  <c r="AQ114" i="63"/>
  <c r="AO114" i="63"/>
  <c r="AN114" i="63"/>
  <c r="AL114" i="63"/>
  <c r="AM114" i="63" s="1"/>
  <c r="AK114" i="63"/>
  <c r="AI114" i="63"/>
  <c r="AD114" i="63"/>
  <c r="AC114" i="63"/>
  <c r="X114" i="63"/>
  <c r="W114" i="63"/>
  <c r="Y114" i="63" s="1"/>
  <c r="R114" i="63"/>
  <c r="Q114" i="63"/>
  <c r="O114" i="63"/>
  <c r="N114" i="63"/>
  <c r="H114" i="63"/>
  <c r="H378" i="63" s="1"/>
  <c r="G114" i="63"/>
  <c r="BP113" i="63"/>
  <c r="BO113" i="63"/>
  <c r="BM113" i="63"/>
  <c r="BN113" i="63" s="1"/>
  <c r="BL113" i="63"/>
  <c r="BK113" i="63"/>
  <c r="BJ113" i="63"/>
  <c r="BI113" i="63"/>
  <c r="BG113" i="63"/>
  <c r="BF113" i="63"/>
  <c r="BD113" i="63"/>
  <c r="BC113" i="63"/>
  <c r="BA113" i="63"/>
  <c r="AZ113" i="63"/>
  <c r="AX113" i="63"/>
  <c r="AY113" i="63" s="1"/>
  <c r="AW113" i="63"/>
  <c r="AV113" i="63"/>
  <c r="AU113" i="63"/>
  <c r="AT113" i="63"/>
  <c r="AR113" i="63"/>
  <c r="AQ113" i="63"/>
  <c r="AO113" i="63"/>
  <c r="AN113" i="63"/>
  <c r="AL113" i="63"/>
  <c r="AK113" i="63"/>
  <c r="AI113" i="63"/>
  <c r="AH113" i="63"/>
  <c r="AD113" i="63"/>
  <c r="AC113" i="63"/>
  <c r="X113" i="63"/>
  <c r="W113" i="63"/>
  <c r="Y113" i="63" s="1"/>
  <c r="R113" i="63"/>
  <c r="Q113" i="63"/>
  <c r="O113" i="63"/>
  <c r="U113" i="63" s="1"/>
  <c r="AA113" i="63" s="1"/>
  <c r="N113" i="63"/>
  <c r="H113" i="63"/>
  <c r="G113" i="63"/>
  <c r="BP112" i="63"/>
  <c r="BO112" i="63"/>
  <c r="BM112" i="63"/>
  <c r="BL112" i="63"/>
  <c r="BJ112" i="63"/>
  <c r="BK112" i="63" s="1"/>
  <c r="BI112" i="63"/>
  <c r="BG112" i="63"/>
  <c r="BH112" i="63" s="1"/>
  <c r="BF112" i="63"/>
  <c r="BD112" i="63"/>
  <c r="BC112" i="63"/>
  <c r="BA112" i="63"/>
  <c r="BB112" i="63" s="1"/>
  <c r="AZ112" i="63"/>
  <c r="AX112" i="63"/>
  <c r="AW112" i="63"/>
  <c r="AU112" i="63"/>
  <c r="AV112" i="63" s="1"/>
  <c r="AT112" i="63"/>
  <c r="AR112" i="63"/>
  <c r="AQ112" i="63"/>
  <c r="AO112" i="63"/>
  <c r="AN112" i="63"/>
  <c r="AL112" i="63"/>
  <c r="AM112" i="63" s="1"/>
  <c r="AK112" i="63"/>
  <c r="AI112" i="63"/>
  <c r="AJ112" i="63" s="1"/>
  <c r="AH112" i="63"/>
  <c r="AD112" i="63"/>
  <c r="AC112" i="63"/>
  <c r="X112" i="63"/>
  <c r="Y112" i="63" s="1"/>
  <c r="W112" i="63"/>
  <c r="R112" i="63"/>
  <c r="Q112" i="63"/>
  <c r="O112" i="63"/>
  <c r="P112" i="63" s="1"/>
  <c r="N112" i="63"/>
  <c r="H112" i="63"/>
  <c r="H376" i="63" s="1"/>
  <c r="G112" i="63"/>
  <c r="BP111" i="63"/>
  <c r="BL111" i="63"/>
  <c r="AZ111" i="63"/>
  <c r="AI111" i="63"/>
  <c r="N111" i="63"/>
  <c r="BP110" i="63"/>
  <c r="BO110" i="63"/>
  <c r="BO374" i="63" s="1"/>
  <c r="BM110" i="63"/>
  <c r="BM374" i="63" s="1"/>
  <c r="BN374" i="63" s="1"/>
  <c r="BL110" i="63"/>
  <c r="BL374" i="63" s="1"/>
  <c r="BJ110" i="63"/>
  <c r="BK110" i="63" s="1"/>
  <c r="BI110" i="63"/>
  <c r="BI374" i="63" s="1"/>
  <c r="BG110" i="63"/>
  <c r="BG374" i="63" s="1"/>
  <c r="BF110" i="63"/>
  <c r="BD110" i="63"/>
  <c r="BC110" i="63"/>
  <c r="BC374" i="63" s="1"/>
  <c r="BA110" i="63"/>
  <c r="AZ110" i="63"/>
  <c r="AZ374" i="63" s="1"/>
  <c r="AX110" i="63"/>
  <c r="AW110" i="63"/>
  <c r="AY110" i="63" s="1"/>
  <c r="AU110" i="63"/>
  <c r="AT110" i="63"/>
  <c r="AR110" i="63"/>
  <c r="AQ110" i="63"/>
  <c r="AQ374" i="63" s="1"/>
  <c r="AO110" i="63"/>
  <c r="AO374" i="63" s="1"/>
  <c r="AN110" i="63"/>
  <c r="AN374" i="63" s="1"/>
  <c r="AL110" i="63"/>
  <c r="AK110" i="63"/>
  <c r="AK374" i="63" s="1"/>
  <c r="AI110" i="63"/>
  <c r="AI374" i="63" s="1"/>
  <c r="AH110" i="63"/>
  <c r="AD110" i="63"/>
  <c r="AC110" i="63"/>
  <c r="AC374" i="63" s="1"/>
  <c r="X110" i="63"/>
  <c r="Y110" i="63" s="1"/>
  <c r="W110" i="63"/>
  <c r="W374" i="63" s="1"/>
  <c r="R110" i="63"/>
  <c r="Q110" i="63"/>
  <c r="O110" i="63"/>
  <c r="N110" i="63"/>
  <c r="N374" i="63" s="1"/>
  <c r="I110" i="63"/>
  <c r="H110" i="63"/>
  <c r="G110" i="63"/>
  <c r="BP109" i="63"/>
  <c r="BO109" i="63"/>
  <c r="BM109" i="63"/>
  <c r="BL109" i="63"/>
  <c r="BJ109" i="63"/>
  <c r="BK109" i="63" s="1"/>
  <c r="BI109" i="63"/>
  <c r="BG109" i="63"/>
  <c r="BF109" i="63"/>
  <c r="BD109" i="63"/>
  <c r="BE109" i="63" s="1"/>
  <c r="BC109" i="63"/>
  <c r="BA109" i="63"/>
  <c r="AZ109" i="63"/>
  <c r="AY109" i="63"/>
  <c r="AX109" i="63"/>
  <c r="AW109" i="63"/>
  <c r="AU109" i="63"/>
  <c r="AV109" i="63" s="1"/>
  <c r="AT109" i="63"/>
  <c r="AR109" i="63"/>
  <c r="AQ109" i="63"/>
  <c r="AO109" i="63"/>
  <c r="AP109" i="63" s="1"/>
  <c r="AN109" i="63"/>
  <c r="AL109" i="63"/>
  <c r="AM109" i="63" s="1"/>
  <c r="AK109" i="63"/>
  <c r="AI109" i="63"/>
  <c r="AD109" i="63"/>
  <c r="AC109" i="63"/>
  <c r="X109" i="63"/>
  <c r="W109" i="63"/>
  <c r="R109" i="63"/>
  <c r="Q109" i="63"/>
  <c r="O109" i="63"/>
  <c r="N109" i="63"/>
  <c r="Z109" i="63" s="1"/>
  <c r="H109" i="63"/>
  <c r="G109" i="63"/>
  <c r="G373" i="63" s="1"/>
  <c r="BP108" i="63"/>
  <c r="BO108" i="63"/>
  <c r="BM108" i="63"/>
  <c r="BL108" i="63"/>
  <c r="BN108" i="63" s="1"/>
  <c r="BJ108" i="63"/>
  <c r="BK108" i="63" s="1"/>
  <c r="BI108" i="63"/>
  <c r="BG108" i="63"/>
  <c r="BH108" i="63" s="1"/>
  <c r="BF108" i="63"/>
  <c r="BD108" i="63"/>
  <c r="BC108" i="63"/>
  <c r="BA108" i="63"/>
  <c r="AZ108" i="63"/>
  <c r="AX108" i="63"/>
  <c r="AY108" i="63" s="1"/>
  <c r="AW108" i="63"/>
  <c r="AU108" i="63"/>
  <c r="AV108" i="63" s="1"/>
  <c r="AT108" i="63"/>
  <c r="AR108" i="63"/>
  <c r="AQ108" i="63"/>
  <c r="AO108" i="63"/>
  <c r="AN108" i="63"/>
  <c r="AL108" i="63"/>
  <c r="AM108" i="63" s="1"/>
  <c r="AK108" i="63"/>
  <c r="AI108" i="63"/>
  <c r="AD108" i="63"/>
  <c r="AC108" i="63"/>
  <c r="X108" i="63"/>
  <c r="Y108" i="63" s="1"/>
  <c r="W108" i="63"/>
  <c r="R108" i="63"/>
  <c r="Q108" i="63"/>
  <c r="Z108" i="63" s="1"/>
  <c r="O108" i="63"/>
  <c r="N108" i="63"/>
  <c r="I108" i="63"/>
  <c r="H108" i="63"/>
  <c r="G108" i="63"/>
  <c r="BP107" i="63"/>
  <c r="BO107" i="63"/>
  <c r="BM107" i="63"/>
  <c r="BL107" i="63"/>
  <c r="BJ107" i="63"/>
  <c r="BI107" i="63"/>
  <c r="BG107" i="63"/>
  <c r="BF107" i="63"/>
  <c r="BD107" i="63"/>
  <c r="BC107" i="63"/>
  <c r="BA107" i="63"/>
  <c r="AZ107" i="63"/>
  <c r="BB107" i="63" s="1"/>
  <c r="AX107" i="63"/>
  <c r="AY107" i="63" s="1"/>
  <c r="AW107" i="63"/>
  <c r="AU107" i="63"/>
  <c r="AV107" i="63" s="1"/>
  <c r="AT107" i="63"/>
  <c r="AR107" i="63"/>
  <c r="AQ107" i="63"/>
  <c r="AO107" i="63"/>
  <c r="AN107" i="63"/>
  <c r="AL107" i="63"/>
  <c r="AM107" i="63" s="1"/>
  <c r="AK107" i="63"/>
  <c r="AI107" i="63"/>
  <c r="AJ107" i="63" s="1"/>
  <c r="AH107" i="63"/>
  <c r="AD107" i="63"/>
  <c r="AC107" i="63"/>
  <c r="X107" i="63"/>
  <c r="Y107" i="63" s="1"/>
  <c r="W107" i="63"/>
  <c r="R107" i="63"/>
  <c r="Q107" i="63"/>
  <c r="O107" i="63"/>
  <c r="N107" i="63"/>
  <c r="H107" i="63"/>
  <c r="G107" i="63"/>
  <c r="BP106" i="63"/>
  <c r="BQ106" i="63" s="1"/>
  <c r="BO106" i="63"/>
  <c r="BM106" i="63"/>
  <c r="BL106" i="63"/>
  <c r="BJ106" i="63"/>
  <c r="BI106" i="63"/>
  <c r="BK106" i="63" s="1"/>
  <c r="BG106" i="63"/>
  <c r="BF106" i="63"/>
  <c r="BD106" i="63"/>
  <c r="BC106" i="63"/>
  <c r="BA106" i="63"/>
  <c r="AZ106" i="63"/>
  <c r="AX106" i="63"/>
  <c r="AW106" i="63"/>
  <c r="AU106" i="63"/>
  <c r="AT106" i="63"/>
  <c r="AR106" i="63"/>
  <c r="AQ106" i="63"/>
  <c r="AO106" i="63"/>
  <c r="AN106" i="63"/>
  <c r="AL106" i="63"/>
  <c r="AK106" i="63"/>
  <c r="AI106" i="63"/>
  <c r="AH106" i="63"/>
  <c r="AD106" i="63"/>
  <c r="AC106" i="63"/>
  <c r="X106" i="63"/>
  <c r="W106" i="63"/>
  <c r="R106" i="63"/>
  <c r="Q106" i="63"/>
  <c r="O106" i="63"/>
  <c r="N106" i="63"/>
  <c r="H106" i="63"/>
  <c r="H370" i="63" s="1"/>
  <c r="G106" i="63"/>
  <c r="G370" i="63" s="1"/>
  <c r="BG105" i="63"/>
  <c r="AU105" i="63"/>
  <c r="AI105" i="63"/>
  <c r="Q105" i="63"/>
  <c r="H105" i="63"/>
  <c r="I104" i="63"/>
  <c r="BO103" i="63"/>
  <c r="BF103" i="63"/>
  <c r="BD103" i="63"/>
  <c r="AT103" i="63"/>
  <c r="AQ103" i="63"/>
  <c r="AK103" i="63"/>
  <c r="AH103" i="63"/>
  <c r="W103" i="63"/>
  <c r="H103" i="63"/>
  <c r="BP101" i="63"/>
  <c r="BO101" i="63"/>
  <c r="BN101" i="63"/>
  <c r="BM101" i="63"/>
  <c r="BL101" i="63"/>
  <c r="BJ101" i="63"/>
  <c r="BI101" i="63"/>
  <c r="BG101" i="63"/>
  <c r="BF101" i="63"/>
  <c r="BD101" i="63"/>
  <c r="BC101" i="63"/>
  <c r="BA101" i="63"/>
  <c r="AZ101" i="63"/>
  <c r="AX101" i="63"/>
  <c r="AW101" i="63"/>
  <c r="AU101" i="63"/>
  <c r="AT101" i="63"/>
  <c r="AR101" i="63"/>
  <c r="AQ101" i="63"/>
  <c r="AO101" i="63"/>
  <c r="AN101" i="63"/>
  <c r="AL101" i="63"/>
  <c r="AK101" i="63"/>
  <c r="AI101" i="63"/>
  <c r="AH101" i="63"/>
  <c r="AD101" i="63"/>
  <c r="AC101" i="63"/>
  <c r="AE101" i="63" s="1"/>
  <c r="X101" i="63"/>
  <c r="Y101" i="63" s="1"/>
  <c r="W101" i="63"/>
  <c r="R101" i="63"/>
  <c r="Q101" i="63"/>
  <c r="O101" i="63"/>
  <c r="N101" i="63"/>
  <c r="H101" i="63"/>
  <c r="G101" i="63"/>
  <c r="BQ97" i="63"/>
  <c r="BN97" i="63"/>
  <c r="BK97" i="63"/>
  <c r="BH97" i="63"/>
  <c r="BE97" i="63"/>
  <c r="BB97" i="63"/>
  <c r="AY97" i="63"/>
  <c r="AV97" i="63"/>
  <c r="AS97" i="63"/>
  <c r="AP97" i="63"/>
  <c r="AM97" i="63"/>
  <c r="AJ97" i="63"/>
  <c r="AE97" i="63"/>
  <c r="Y97" i="63"/>
  <c r="U97" i="63"/>
  <c r="T97" i="63"/>
  <c r="Z97" i="63" s="1"/>
  <c r="S97" i="63"/>
  <c r="P97" i="63"/>
  <c r="L97" i="63"/>
  <c r="M97" i="63" s="1"/>
  <c r="K97" i="63"/>
  <c r="I97" i="63"/>
  <c r="BQ96" i="63"/>
  <c r="BN96" i="63"/>
  <c r="BK96" i="63"/>
  <c r="BH96" i="63"/>
  <c r="BE96" i="63"/>
  <c r="BB96" i="63"/>
  <c r="AY96" i="63"/>
  <c r="AV96" i="63"/>
  <c r="AS96" i="63"/>
  <c r="AP96" i="63"/>
  <c r="AM96" i="63"/>
  <c r="AJ96" i="63"/>
  <c r="AE96" i="63"/>
  <c r="Y96" i="63"/>
  <c r="U96" i="63"/>
  <c r="AA96" i="63" s="1"/>
  <c r="T96" i="63"/>
  <c r="Z96" i="63" s="1"/>
  <c r="S96" i="63"/>
  <c r="P96" i="63"/>
  <c r="L96" i="63"/>
  <c r="K96" i="63"/>
  <c r="I96" i="63"/>
  <c r="BQ95" i="63"/>
  <c r="BN95" i="63"/>
  <c r="BK95" i="63"/>
  <c r="BH95" i="63"/>
  <c r="BE95" i="63"/>
  <c r="BB95" i="63"/>
  <c r="AY95" i="63"/>
  <c r="AV95" i="63"/>
  <c r="AS95" i="63"/>
  <c r="AP95" i="63"/>
  <c r="AM95" i="63"/>
  <c r="AJ95" i="63"/>
  <c r="AE95" i="63"/>
  <c r="Y95" i="63"/>
  <c r="U95" i="63"/>
  <c r="T95" i="63"/>
  <c r="Z95" i="63" s="1"/>
  <c r="S95" i="63"/>
  <c r="P95" i="63"/>
  <c r="M95" i="63"/>
  <c r="L95" i="63"/>
  <c r="K95" i="63"/>
  <c r="I95" i="63"/>
  <c r="BQ94" i="63"/>
  <c r="BN94" i="63"/>
  <c r="BK94" i="63"/>
  <c r="BH94" i="63"/>
  <c r="BE94" i="63"/>
  <c r="BB94" i="63"/>
  <c r="AY94" i="63"/>
  <c r="AV94" i="63"/>
  <c r="AS94" i="63"/>
  <c r="AP94" i="63"/>
  <c r="AM94" i="63"/>
  <c r="AJ94" i="63"/>
  <c r="AE94" i="63"/>
  <c r="Y94" i="63"/>
  <c r="U94" i="63"/>
  <c r="AA94" i="63" s="1"/>
  <c r="T94" i="63"/>
  <c r="Z94" i="63" s="1"/>
  <c r="S94" i="63"/>
  <c r="P94" i="63"/>
  <c r="L94" i="63"/>
  <c r="K94" i="63"/>
  <c r="I94" i="63"/>
  <c r="BQ93" i="63"/>
  <c r="BN93" i="63"/>
  <c r="BK93" i="63"/>
  <c r="BH93" i="63"/>
  <c r="BE93" i="63"/>
  <c r="BB93" i="63"/>
  <c r="AY93" i="63"/>
  <c r="AV93" i="63"/>
  <c r="AS93" i="63"/>
  <c r="AP93" i="63"/>
  <c r="AM93" i="63"/>
  <c r="AJ93" i="63"/>
  <c r="AE93" i="63"/>
  <c r="Y93" i="63"/>
  <c r="U93" i="63"/>
  <c r="AA93" i="63" s="1"/>
  <c r="T93" i="63"/>
  <c r="S93" i="63"/>
  <c r="P93" i="63"/>
  <c r="L93" i="63"/>
  <c r="K93" i="63"/>
  <c r="I93" i="63"/>
  <c r="BP92" i="63"/>
  <c r="BP90" i="63" s="1"/>
  <c r="BO92" i="63"/>
  <c r="BO90" i="63" s="1"/>
  <c r="BM92" i="63"/>
  <c r="BL92" i="63"/>
  <c r="BL90" i="63" s="1"/>
  <c r="BJ92" i="63"/>
  <c r="BI92" i="63"/>
  <c r="BG92" i="63"/>
  <c r="BG90" i="63" s="1"/>
  <c r="BF92" i="63"/>
  <c r="BF90" i="63" s="1"/>
  <c r="BD92" i="63"/>
  <c r="BD90" i="63" s="1"/>
  <c r="BC92" i="63"/>
  <c r="BC90" i="63" s="1"/>
  <c r="BC58" i="63" s="1"/>
  <c r="BA92" i="63"/>
  <c r="AZ92" i="63"/>
  <c r="AZ90" i="63" s="1"/>
  <c r="AX92" i="63"/>
  <c r="AW92" i="63"/>
  <c r="AU92" i="63"/>
  <c r="AV92" i="63" s="1"/>
  <c r="AT92" i="63"/>
  <c r="AR92" i="63"/>
  <c r="AR90" i="63" s="1"/>
  <c r="AR70" i="63" s="1"/>
  <c r="AQ92" i="63"/>
  <c r="AQ90" i="63" s="1"/>
  <c r="AO92" i="63"/>
  <c r="AN92" i="63"/>
  <c r="AN90" i="63" s="1"/>
  <c r="AL92" i="63"/>
  <c r="AL90" i="63" s="1"/>
  <c r="AK92" i="63"/>
  <c r="AI92" i="63"/>
  <c r="AJ92" i="63" s="1"/>
  <c r="AH92" i="63"/>
  <c r="AH90" i="63" s="1"/>
  <c r="AE92" i="63"/>
  <c r="AD92" i="63"/>
  <c r="AD90" i="63" s="1"/>
  <c r="AC92" i="63"/>
  <c r="X92" i="63"/>
  <c r="X90" i="63" s="1"/>
  <c r="W92" i="63"/>
  <c r="R92" i="63"/>
  <c r="R90" i="63" s="1"/>
  <c r="Q92" i="63"/>
  <c r="Q90" i="63" s="1"/>
  <c r="O92" i="63"/>
  <c r="N92" i="63"/>
  <c r="H92" i="63"/>
  <c r="G92" i="63"/>
  <c r="BQ91" i="63"/>
  <c r="BN91" i="63"/>
  <c r="BK91" i="63"/>
  <c r="BH91" i="63"/>
  <c r="BE91" i="63"/>
  <c r="BB91" i="63"/>
  <c r="AY91" i="63"/>
  <c r="AV91" i="63"/>
  <c r="AS91" i="63"/>
  <c r="AP91" i="63"/>
  <c r="AM91" i="63"/>
  <c r="AJ91" i="63"/>
  <c r="AE91" i="63"/>
  <c r="Y91" i="63"/>
  <c r="U91" i="63"/>
  <c r="AA91" i="63" s="1"/>
  <c r="T91" i="63"/>
  <c r="Z91" i="63" s="1"/>
  <c r="S91" i="63"/>
  <c r="P91" i="63"/>
  <c r="L91" i="63"/>
  <c r="K91" i="63"/>
  <c r="I91" i="63"/>
  <c r="BJ90" i="63"/>
  <c r="AX90" i="63"/>
  <c r="AU90" i="63"/>
  <c r="AT90" i="63"/>
  <c r="AI90" i="63"/>
  <c r="AC90" i="63"/>
  <c r="G90" i="63"/>
  <c r="BQ89" i="63"/>
  <c r="BN89" i="63"/>
  <c r="BK89" i="63"/>
  <c r="BH89" i="63"/>
  <c r="BE89" i="63"/>
  <c r="BB89" i="63"/>
  <c r="AY89" i="63"/>
  <c r="AV89" i="63"/>
  <c r="AS89" i="63"/>
  <c r="AP89" i="63"/>
  <c r="AM89" i="63"/>
  <c r="AJ89" i="63"/>
  <c r="AE89" i="63"/>
  <c r="Y89" i="63"/>
  <c r="U89" i="63"/>
  <c r="AA89" i="63" s="1"/>
  <c r="T89" i="63"/>
  <c r="Z89" i="63" s="1"/>
  <c r="S89" i="63"/>
  <c r="P89" i="63"/>
  <c r="L89" i="63"/>
  <c r="K89" i="63"/>
  <c r="I89" i="63"/>
  <c r="BQ88" i="63"/>
  <c r="BN88" i="63"/>
  <c r="BK88" i="63"/>
  <c r="BH88" i="63"/>
  <c r="BE88" i="63"/>
  <c r="BB88" i="63"/>
  <c r="AY88" i="63"/>
  <c r="AV88" i="63"/>
  <c r="AS88" i="63"/>
  <c r="AP88" i="63"/>
  <c r="AM88" i="63"/>
  <c r="AJ88" i="63"/>
  <c r="AE88" i="63"/>
  <c r="Y88" i="63"/>
  <c r="U88" i="63"/>
  <c r="AA88" i="63" s="1"/>
  <c r="T88" i="63"/>
  <c r="Z88" i="63" s="1"/>
  <c r="S88" i="63"/>
  <c r="P88" i="63"/>
  <c r="L88" i="63"/>
  <c r="K88" i="63"/>
  <c r="I88" i="63"/>
  <c r="BQ87" i="63"/>
  <c r="BN87" i="63"/>
  <c r="BK87" i="63"/>
  <c r="BH87" i="63"/>
  <c r="BE87" i="63"/>
  <c r="BB87" i="63"/>
  <c r="AY87" i="63"/>
  <c r="AV87" i="63"/>
  <c r="AS87" i="63"/>
  <c r="AP87" i="63"/>
  <c r="AM87" i="63"/>
  <c r="AJ87" i="63"/>
  <c r="AE87" i="63"/>
  <c r="Y87" i="63"/>
  <c r="U87" i="63"/>
  <c r="AA87" i="63" s="1"/>
  <c r="T87" i="63"/>
  <c r="Z87" i="63" s="1"/>
  <c r="S87" i="63"/>
  <c r="P87" i="63"/>
  <c r="L87" i="63"/>
  <c r="K87" i="63"/>
  <c r="I87" i="63"/>
  <c r="BQ86" i="63"/>
  <c r="BN86" i="63"/>
  <c r="BK86" i="63"/>
  <c r="BH86" i="63"/>
  <c r="BE86" i="63"/>
  <c r="BB86" i="63"/>
  <c r="AY86" i="63"/>
  <c r="AV86" i="63"/>
  <c r="AS86" i="63"/>
  <c r="AP86" i="63"/>
  <c r="AM86" i="63"/>
  <c r="AJ86" i="63"/>
  <c r="AE86" i="63"/>
  <c r="Y86" i="63"/>
  <c r="U86" i="63"/>
  <c r="AA86" i="63" s="1"/>
  <c r="T86" i="63"/>
  <c r="Z86" i="63" s="1"/>
  <c r="S86" i="63"/>
  <c r="P86" i="63"/>
  <c r="L86" i="63"/>
  <c r="K86" i="63"/>
  <c r="I86" i="63"/>
  <c r="BQ85" i="63"/>
  <c r="BN85" i="63"/>
  <c r="BK85" i="63"/>
  <c r="BH85" i="63"/>
  <c r="BE85" i="63"/>
  <c r="BB85" i="63"/>
  <c r="AY85" i="63"/>
  <c r="AV85" i="63"/>
  <c r="AS85" i="63"/>
  <c r="AP85" i="63"/>
  <c r="AM85" i="63"/>
  <c r="AJ85" i="63"/>
  <c r="AE85" i="63"/>
  <c r="Z85" i="63"/>
  <c r="Y85" i="63"/>
  <c r="U85" i="63"/>
  <c r="V85" i="63" s="1"/>
  <c r="T85" i="63"/>
  <c r="S85" i="63"/>
  <c r="P85" i="63"/>
  <c r="M85" i="63"/>
  <c r="L85" i="63"/>
  <c r="K85" i="63"/>
  <c r="I85" i="63"/>
  <c r="BQ84" i="63"/>
  <c r="BN84" i="63"/>
  <c r="BK84" i="63"/>
  <c r="BH84" i="63"/>
  <c r="BE84" i="63"/>
  <c r="BB84" i="63"/>
  <c r="AY84" i="63"/>
  <c r="AV84" i="63"/>
  <c r="AS84" i="63"/>
  <c r="AP84" i="63"/>
  <c r="AM84" i="63"/>
  <c r="AJ84" i="63"/>
  <c r="AE84" i="63"/>
  <c r="Y84" i="63"/>
  <c r="U84" i="63"/>
  <c r="AA84" i="63" s="1"/>
  <c r="AB84" i="63" s="1"/>
  <c r="T84" i="63"/>
  <c r="Z84" i="63" s="1"/>
  <c r="S84" i="63"/>
  <c r="P84" i="63"/>
  <c r="L84" i="63"/>
  <c r="L52" i="63" s="1"/>
  <c r="K84" i="63"/>
  <c r="I84" i="63"/>
  <c r="BQ83" i="63"/>
  <c r="BN83" i="63"/>
  <c r="BK83" i="63"/>
  <c r="BH83" i="63"/>
  <c r="BE83" i="63"/>
  <c r="BB83" i="63"/>
  <c r="AY83" i="63"/>
  <c r="AV83" i="63"/>
  <c r="AS83" i="63"/>
  <c r="AP83" i="63"/>
  <c r="AM83" i="63"/>
  <c r="AJ83" i="63"/>
  <c r="AE83" i="63"/>
  <c r="Y83" i="63"/>
  <c r="U83" i="63"/>
  <c r="T83" i="63"/>
  <c r="Z83" i="63" s="1"/>
  <c r="S83" i="63"/>
  <c r="P83" i="63"/>
  <c r="L83" i="63"/>
  <c r="M83" i="63" s="1"/>
  <c r="K83" i="63"/>
  <c r="I83" i="63"/>
  <c r="BQ82" i="63"/>
  <c r="BN82" i="63"/>
  <c r="BK82" i="63"/>
  <c r="BH82" i="63"/>
  <c r="BE82" i="63"/>
  <c r="BB82" i="63"/>
  <c r="AY82" i="63"/>
  <c r="AV82" i="63"/>
  <c r="AS82" i="63"/>
  <c r="AP82" i="63"/>
  <c r="AM82" i="63"/>
  <c r="AJ82" i="63"/>
  <c r="AE82" i="63"/>
  <c r="Y82" i="63"/>
  <c r="U82" i="63"/>
  <c r="AA82" i="63" s="1"/>
  <c r="T82" i="63"/>
  <c r="Z82" i="63" s="1"/>
  <c r="S82" i="63"/>
  <c r="P82" i="63"/>
  <c r="L82" i="63"/>
  <c r="K82" i="63"/>
  <c r="I82" i="63"/>
  <c r="BQ81" i="63"/>
  <c r="BN81" i="63"/>
  <c r="BK81" i="63"/>
  <c r="BH81" i="63"/>
  <c r="BE81" i="63"/>
  <c r="BB81" i="63"/>
  <c r="AY81" i="63"/>
  <c r="AV81" i="63"/>
  <c r="AS81" i="63"/>
  <c r="AP81" i="63"/>
  <c r="AM81" i="63"/>
  <c r="AJ81" i="63"/>
  <c r="AE81" i="63"/>
  <c r="Y81" i="63"/>
  <c r="U81" i="63"/>
  <c r="T81" i="63"/>
  <c r="Z81" i="63" s="1"/>
  <c r="S81" i="63"/>
  <c r="P81" i="63"/>
  <c r="L81" i="63"/>
  <c r="M81" i="63" s="1"/>
  <c r="K81" i="63"/>
  <c r="I81" i="63"/>
  <c r="BQ80" i="63"/>
  <c r="BN80" i="63"/>
  <c r="BK80" i="63"/>
  <c r="BH80" i="63"/>
  <c r="BE80" i="63"/>
  <c r="BB80" i="63"/>
  <c r="AY80" i="63"/>
  <c r="AV80" i="63"/>
  <c r="AS80" i="63"/>
  <c r="AP80" i="63"/>
  <c r="AM80" i="63"/>
  <c r="AJ80" i="63"/>
  <c r="AE80" i="63"/>
  <c r="Y80" i="63"/>
  <c r="U80" i="63"/>
  <c r="AA80" i="63" s="1"/>
  <c r="T80" i="63"/>
  <c r="Z80" i="63" s="1"/>
  <c r="AB80" i="63" s="1"/>
  <c r="S80" i="63"/>
  <c r="P80" i="63"/>
  <c r="L80" i="63"/>
  <c r="K80" i="63"/>
  <c r="I80" i="63"/>
  <c r="BQ79" i="63"/>
  <c r="BN79" i="63"/>
  <c r="BK79" i="63"/>
  <c r="BH79" i="63"/>
  <c r="BE79" i="63"/>
  <c r="BB79" i="63"/>
  <c r="AY79" i="63"/>
  <c r="AV79" i="63"/>
  <c r="AS79" i="63"/>
  <c r="AP79" i="63"/>
  <c r="AM79" i="63"/>
  <c r="AJ79" i="63"/>
  <c r="AE79" i="63"/>
  <c r="Y79" i="63"/>
  <c r="U79" i="63"/>
  <c r="AA79" i="63" s="1"/>
  <c r="T79" i="63"/>
  <c r="V79" i="63" s="1"/>
  <c r="S79" i="63"/>
  <c r="P79" i="63"/>
  <c r="L79" i="63"/>
  <c r="K79" i="63"/>
  <c r="I79" i="63"/>
  <c r="BQ78" i="63"/>
  <c r="BN78" i="63"/>
  <c r="BK78" i="63"/>
  <c r="BH78" i="63"/>
  <c r="BE78" i="63"/>
  <c r="BB78" i="63"/>
  <c r="AY78" i="63"/>
  <c r="AV78" i="63"/>
  <c r="AS78" i="63"/>
  <c r="AP78" i="63"/>
  <c r="AM78" i="63"/>
  <c r="AJ78" i="63"/>
  <c r="AE78" i="63"/>
  <c r="Y78" i="63"/>
  <c r="U78" i="63"/>
  <c r="V78" i="63" s="1"/>
  <c r="T78" i="63"/>
  <c r="Z78" i="63" s="1"/>
  <c r="S78" i="63"/>
  <c r="P78" i="63"/>
  <c r="L78" i="63"/>
  <c r="K78" i="63"/>
  <c r="M78" i="63" s="1"/>
  <c r="I78" i="63"/>
  <c r="BQ77" i="63"/>
  <c r="BN77" i="63"/>
  <c r="BK77" i="63"/>
  <c r="BH77" i="63"/>
  <c r="BE77" i="63"/>
  <c r="BB77" i="63"/>
  <c r="AY77" i="63"/>
  <c r="AV77" i="63"/>
  <c r="AS77" i="63"/>
  <c r="AP77" i="63"/>
  <c r="AM77" i="63"/>
  <c r="AJ77" i="63"/>
  <c r="AE77" i="63"/>
  <c r="Y77" i="63"/>
  <c r="U77" i="63"/>
  <c r="AA77" i="63" s="1"/>
  <c r="T77" i="63"/>
  <c r="S77" i="63"/>
  <c r="P77" i="63"/>
  <c r="L77" i="63"/>
  <c r="K77" i="63"/>
  <c r="I77" i="63"/>
  <c r="BQ76" i="63"/>
  <c r="BN76" i="63"/>
  <c r="BK76" i="63"/>
  <c r="BH76" i="63"/>
  <c r="BE76" i="63"/>
  <c r="BB76" i="63"/>
  <c r="AY76" i="63"/>
  <c r="AV76" i="63"/>
  <c r="AS76" i="63"/>
  <c r="AP76" i="63"/>
  <c r="AM76" i="63"/>
  <c r="AJ76" i="63"/>
  <c r="AE76" i="63"/>
  <c r="AA76" i="63"/>
  <c r="Y76" i="63"/>
  <c r="U76" i="63"/>
  <c r="T76" i="63"/>
  <c r="Z76" i="63" s="1"/>
  <c r="S76" i="63"/>
  <c r="P76" i="63"/>
  <c r="L76" i="63"/>
  <c r="K76" i="63"/>
  <c r="I76" i="63"/>
  <c r="BP75" i="63"/>
  <c r="BQ75" i="63" s="1"/>
  <c r="BO75" i="63"/>
  <c r="BO71" i="63" s="1"/>
  <c r="BN75" i="63"/>
  <c r="BM75" i="63"/>
  <c r="BM71" i="63" s="1"/>
  <c r="BL75" i="63"/>
  <c r="BL71" i="63" s="1"/>
  <c r="BL70" i="63" s="1"/>
  <c r="BL38" i="63" s="1"/>
  <c r="BJ75" i="63"/>
  <c r="BI75" i="63"/>
  <c r="BI71" i="63" s="1"/>
  <c r="BG75" i="63"/>
  <c r="BF75" i="63"/>
  <c r="BD75" i="63"/>
  <c r="BD71" i="63" s="1"/>
  <c r="BC75" i="63"/>
  <c r="BA75" i="63"/>
  <c r="BA71" i="63" s="1"/>
  <c r="AZ75" i="63"/>
  <c r="AX75" i="63"/>
  <c r="AW75" i="63"/>
  <c r="AW71" i="63" s="1"/>
  <c r="AU75" i="63"/>
  <c r="AT75" i="63"/>
  <c r="AS75" i="63"/>
  <c r="AR75" i="63"/>
  <c r="AQ75" i="63"/>
  <c r="AO75" i="63"/>
  <c r="AO71" i="63" s="1"/>
  <c r="AN75" i="63"/>
  <c r="AN71" i="63" s="1"/>
  <c r="AN70" i="63" s="1"/>
  <c r="AN38" i="63" s="1"/>
  <c r="AL75" i="63"/>
  <c r="AK75" i="63"/>
  <c r="AK71" i="63" s="1"/>
  <c r="AI75" i="63"/>
  <c r="AH75" i="63"/>
  <c r="AD75" i="63"/>
  <c r="AD71" i="63" s="1"/>
  <c r="AC75" i="63"/>
  <c r="X75" i="63"/>
  <c r="W75" i="63"/>
  <c r="W71" i="63" s="1"/>
  <c r="T75" i="63"/>
  <c r="Z75" i="63" s="1"/>
  <c r="R75" i="63"/>
  <c r="R71" i="63" s="1"/>
  <c r="R70" i="63" s="1"/>
  <c r="Q75" i="63"/>
  <c r="Q71" i="63" s="1"/>
  <c r="O75" i="63"/>
  <c r="P75" i="63" s="1"/>
  <c r="N75" i="63"/>
  <c r="H75" i="63"/>
  <c r="G75" i="63"/>
  <c r="BQ74" i="63"/>
  <c r="BN74" i="63"/>
  <c r="BK74" i="63"/>
  <c r="BH74" i="63"/>
  <c r="BE74" i="63"/>
  <c r="BB74" i="63"/>
  <c r="AY74" i="63"/>
  <c r="AV74" i="63"/>
  <c r="AS74" i="63"/>
  <c r="AP74" i="63"/>
  <c r="AM74" i="63"/>
  <c r="AJ74" i="63"/>
  <c r="AE74" i="63"/>
  <c r="Y74" i="63"/>
  <c r="U74" i="63"/>
  <c r="AA74" i="63" s="1"/>
  <c r="T74" i="63"/>
  <c r="Z74" i="63" s="1"/>
  <c r="S74" i="63"/>
  <c r="P74" i="63"/>
  <c r="L74" i="63"/>
  <c r="M74" i="63" s="1"/>
  <c r="K74" i="63"/>
  <c r="I74" i="63"/>
  <c r="BQ73" i="63"/>
  <c r="BN73" i="63"/>
  <c r="BK73" i="63"/>
  <c r="BH73" i="63"/>
  <c r="BE73" i="63"/>
  <c r="BB73" i="63"/>
  <c r="AY73" i="63"/>
  <c r="AV73" i="63"/>
  <c r="AS73" i="63"/>
  <c r="AP73" i="63"/>
  <c r="AM73" i="63"/>
  <c r="AJ73" i="63"/>
  <c r="AE73" i="63"/>
  <c r="Y73" i="63"/>
  <c r="U73" i="63"/>
  <c r="AA73" i="63" s="1"/>
  <c r="T73" i="63"/>
  <c r="Z73" i="63" s="1"/>
  <c r="S73" i="63"/>
  <c r="P73" i="63"/>
  <c r="L73" i="63"/>
  <c r="M73" i="63" s="1"/>
  <c r="K73" i="63"/>
  <c r="I73" i="63"/>
  <c r="BQ72" i="63"/>
  <c r="BN72" i="63"/>
  <c r="BK72" i="63"/>
  <c r="BH72" i="63"/>
  <c r="BE72" i="63"/>
  <c r="BB72" i="63"/>
  <c r="AY72" i="63"/>
  <c r="AV72" i="63"/>
  <c r="AS72" i="63"/>
  <c r="AP72" i="63"/>
  <c r="AM72" i="63"/>
  <c r="AJ72" i="63"/>
  <c r="AE72" i="63"/>
  <c r="Y72" i="63"/>
  <c r="U72" i="63"/>
  <c r="AA72" i="63" s="1"/>
  <c r="T72" i="63"/>
  <c r="V72" i="63" s="1"/>
  <c r="S72" i="63"/>
  <c r="P72" i="63"/>
  <c r="L72" i="63"/>
  <c r="K72" i="63"/>
  <c r="K40" i="63" s="1"/>
  <c r="I72" i="63"/>
  <c r="BP71" i="63"/>
  <c r="BP70" i="63" s="1"/>
  <c r="BP38" i="63" s="1"/>
  <c r="BG71" i="63"/>
  <c r="BC71" i="63"/>
  <c r="AZ71" i="63"/>
  <c r="AU71" i="63"/>
  <c r="AU70" i="63" s="1"/>
  <c r="AR71" i="63"/>
  <c r="AQ71" i="63"/>
  <c r="AI71" i="63"/>
  <c r="AI70" i="63" s="1"/>
  <c r="AC71" i="63"/>
  <c r="H71" i="63"/>
  <c r="BQ68" i="63"/>
  <c r="BN68" i="63"/>
  <c r="BK68" i="63"/>
  <c r="BH68" i="63"/>
  <c r="BE68" i="63"/>
  <c r="BB68" i="63"/>
  <c r="AY68" i="63"/>
  <c r="AV68" i="63"/>
  <c r="AS68" i="63"/>
  <c r="AP68" i="63"/>
  <c r="AM68" i="63"/>
  <c r="AJ68" i="63"/>
  <c r="AE68" i="63"/>
  <c r="AB68" i="63"/>
  <c r="Y68" i="63"/>
  <c r="V68" i="63"/>
  <c r="S68" i="63"/>
  <c r="P68" i="63"/>
  <c r="M68" i="63"/>
  <c r="I68" i="63"/>
  <c r="BQ67" i="63"/>
  <c r="BN67" i="63"/>
  <c r="BK67" i="63"/>
  <c r="BH67" i="63"/>
  <c r="BE67" i="63"/>
  <c r="BB67" i="63"/>
  <c r="AY67" i="63"/>
  <c r="AV67" i="63"/>
  <c r="AS67" i="63"/>
  <c r="AP67" i="63"/>
  <c r="AM67" i="63"/>
  <c r="AJ67" i="63"/>
  <c r="AE67" i="63"/>
  <c r="AB67" i="63"/>
  <c r="Y67" i="63"/>
  <c r="V67" i="63"/>
  <c r="S67" i="63"/>
  <c r="P67" i="63"/>
  <c r="M67" i="63"/>
  <c r="I67" i="63"/>
  <c r="BQ66" i="63"/>
  <c r="BN66" i="63"/>
  <c r="BK66" i="63"/>
  <c r="BH66" i="63"/>
  <c r="BE66" i="63"/>
  <c r="BB66" i="63"/>
  <c r="AY66" i="63"/>
  <c r="AV66" i="63"/>
  <c r="AS66" i="63"/>
  <c r="AP66" i="63"/>
  <c r="AM66" i="63"/>
  <c r="AJ66" i="63"/>
  <c r="AE66" i="63"/>
  <c r="AB66" i="63"/>
  <c r="Y66" i="63"/>
  <c r="V66" i="63"/>
  <c r="S66" i="63"/>
  <c r="P66" i="63"/>
  <c r="M66" i="63"/>
  <c r="I66" i="63"/>
  <c r="BQ65" i="63"/>
  <c r="BN65" i="63"/>
  <c r="BK65" i="63"/>
  <c r="BH65" i="63"/>
  <c r="BE65" i="63"/>
  <c r="BB65" i="63"/>
  <c r="AY65" i="63"/>
  <c r="AV65" i="63"/>
  <c r="AS65" i="63"/>
  <c r="AP65" i="63"/>
  <c r="AM65" i="63"/>
  <c r="AJ65" i="63"/>
  <c r="AE65" i="63"/>
  <c r="AB65" i="63"/>
  <c r="Y65" i="63"/>
  <c r="V65" i="63"/>
  <c r="S65" i="63"/>
  <c r="P65" i="63"/>
  <c r="M65" i="63"/>
  <c r="I65" i="63"/>
  <c r="BP64" i="63"/>
  <c r="BO64" i="63"/>
  <c r="BM64" i="63"/>
  <c r="BL64" i="63"/>
  <c r="BJ64" i="63"/>
  <c r="BI64" i="63"/>
  <c r="BG64" i="63"/>
  <c r="BF64" i="63"/>
  <c r="BD64" i="63"/>
  <c r="BC64" i="63"/>
  <c r="BA64" i="63"/>
  <c r="AZ64" i="63"/>
  <c r="BB64" i="63" s="1"/>
  <c r="AX64" i="63"/>
  <c r="AY64" i="63" s="1"/>
  <c r="AW64" i="63"/>
  <c r="AU64" i="63"/>
  <c r="AT64" i="63"/>
  <c r="AR64" i="63"/>
  <c r="AQ64" i="63"/>
  <c r="AO64" i="63"/>
  <c r="AN64" i="63"/>
  <c r="AM64" i="63"/>
  <c r="AL64" i="63"/>
  <c r="AK64" i="63"/>
  <c r="AI64" i="63"/>
  <c r="AH64" i="63"/>
  <c r="AD64" i="63"/>
  <c r="AC64" i="63"/>
  <c r="X64" i="63"/>
  <c r="Y64" i="63" s="1"/>
  <c r="W64" i="63"/>
  <c r="R64" i="63"/>
  <c r="S64" i="63" s="1"/>
  <c r="Q64" i="63"/>
  <c r="O64" i="63"/>
  <c r="N64" i="63"/>
  <c r="H64" i="63"/>
  <c r="I64" i="63" s="1"/>
  <c r="G64" i="63"/>
  <c r="BP63" i="63"/>
  <c r="BO63" i="63"/>
  <c r="BM63" i="63"/>
  <c r="BL63" i="63"/>
  <c r="BJ63" i="63"/>
  <c r="BK63" i="63" s="1"/>
  <c r="BI63" i="63"/>
  <c r="BG63" i="63"/>
  <c r="BF63" i="63"/>
  <c r="BD63" i="63"/>
  <c r="BC63" i="63"/>
  <c r="BA63" i="63"/>
  <c r="AZ63" i="63"/>
  <c r="AY63" i="63"/>
  <c r="AX63" i="63"/>
  <c r="AW63" i="63"/>
  <c r="AU63" i="63"/>
  <c r="AT63" i="63"/>
  <c r="AR63" i="63"/>
  <c r="AQ63" i="63"/>
  <c r="AO63" i="63"/>
  <c r="AN63" i="63"/>
  <c r="AP63" i="63" s="1"/>
  <c r="AL63" i="63"/>
  <c r="AK63" i="63"/>
  <c r="AM63" i="63" s="1"/>
  <c r="AI63" i="63"/>
  <c r="AH63" i="63"/>
  <c r="AD63" i="63"/>
  <c r="AC63" i="63"/>
  <c r="X63" i="63"/>
  <c r="Y63" i="63" s="1"/>
  <c r="W63" i="63"/>
  <c r="R63" i="63"/>
  <c r="Q63" i="63"/>
  <c r="O63" i="63"/>
  <c r="N63" i="63"/>
  <c r="H63" i="63"/>
  <c r="G63" i="63"/>
  <c r="BP62" i="63"/>
  <c r="BO62" i="63"/>
  <c r="BM62" i="63"/>
  <c r="BL62" i="63"/>
  <c r="BJ62" i="63"/>
  <c r="BI62" i="63"/>
  <c r="BG62" i="63"/>
  <c r="BH62" i="63" s="1"/>
  <c r="BF62" i="63"/>
  <c r="BD62" i="63"/>
  <c r="BC62" i="63"/>
  <c r="BA62" i="63"/>
  <c r="AZ62" i="63"/>
  <c r="AX62" i="63"/>
  <c r="AY62" i="63" s="1"/>
  <c r="AW62" i="63"/>
  <c r="AU62" i="63"/>
  <c r="AV62" i="63" s="1"/>
  <c r="AT62" i="63"/>
  <c r="AR62" i="63"/>
  <c r="AQ62" i="63"/>
  <c r="AO62" i="63"/>
  <c r="AN62" i="63"/>
  <c r="AL62" i="63"/>
  <c r="AM62" i="63" s="1"/>
  <c r="AK62" i="63"/>
  <c r="AI62" i="63"/>
  <c r="AH62" i="63"/>
  <c r="AD62" i="63"/>
  <c r="AE62" i="63" s="1"/>
  <c r="AC62" i="63"/>
  <c r="X62" i="63"/>
  <c r="Y62" i="63" s="1"/>
  <c r="W62" i="63"/>
  <c r="R62" i="63"/>
  <c r="Q62" i="63"/>
  <c r="O62" i="63"/>
  <c r="N62" i="63"/>
  <c r="H62" i="63"/>
  <c r="G62" i="63"/>
  <c r="BP61" i="63"/>
  <c r="BQ61" i="63" s="1"/>
  <c r="BO61" i="63"/>
  <c r="BM61" i="63"/>
  <c r="BL61" i="63"/>
  <c r="BJ61" i="63"/>
  <c r="BI61" i="63"/>
  <c r="BG61" i="63"/>
  <c r="BH61" i="63" s="1"/>
  <c r="BF61" i="63"/>
  <c r="BD61" i="63"/>
  <c r="BC61" i="63"/>
  <c r="BA61" i="63"/>
  <c r="AZ61" i="63"/>
  <c r="AX61" i="63"/>
  <c r="AY61" i="63" s="1"/>
  <c r="AW61" i="63"/>
  <c r="AU61" i="63"/>
  <c r="AV61" i="63" s="1"/>
  <c r="AT61" i="63"/>
  <c r="AR61" i="63"/>
  <c r="AQ61" i="63"/>
  <c r="AO61" i="63"/>
  <c r="AN61" i="63"/>
  <c r="AL61" i="63"/>
  <c r="AM61" i="63" s="1"/>
  <c r="AK61" i="63"/>
  <c r="AI61" i="63"/>
  <c r="AH61" i="63"/>
  <c r="AD61" i="63"/>
  <c r="AC61" i="63"/>
  <c r="X61" i="63"/>
  <c r="Y61" i="63" s="1"/>
  <c r="W61" i="63"/>
  <c r="R61" i="63"/>
  <c r="Q61" i="63"/>
  <c r="O61" i="63"/>
  <c r="N61" i="63"/>
  <c r="H61" i="63"/>
  <c r="I61" i="63" s="1"/>
  <c r="G61" i="63"/>
  <c r="BG60" i="63"/>
  <c r="BP59" i="63"/>
  <c r="BQ59" i="63" s="1"/>
  <c r="BO59" i="63"/>
  <c r="BM59" i="63"/>
  <c r="BL59" i="63"/>
  <c r="BJ59" i="63"/>
  <c r="BI59" i="63"/>
  <c r="BK59" i="63" s="1"/>
  <c r="BG59" i="63"/>
  <c r="BF59" i="63"/>
  <c r="BD59" i="63"/>
  <c r="BC59" i="63"/>
  <c r="BA59" i="63"/>
  <c r="AZ59" i="63"/>
  <c r="AX59" i="63"/>
  <c r="AW59" i="63"/>
  <c r="AU59" i="63"/>
  <c r="AT59" i="63"/>
  <c r="AR59" i="63"/>
  <c r="AQ59" i="63"/>
  <c r="AO59" i="63"/>
  <c r="AN59" i="63"/>
  <c r="AL59" i="63"/>
  <c r="AK59" i="63"/>
  <c r="AI59" i="63"/>
  <c r="AH59" i="63"/>
  <c r="AD59" i="63"/>
  <c r="AC59" i="63"/>
  <c r="X59" i="63"/>
  <c r="W59" i="63"/>
  <c r="R59" i="63"/>
  <c r="Q59" i="63"/>
  <c r="O59" i="63"/>
  <c r="N59" i="63"/>
  <c r="P59" i="63" s="1"/>
  <c r="H59" i="63"/>
  <c r="G59" i="63"/>
  <c r="BP57" i="63"/>
  <c r="BO57" i="63"/>
  <c r="BM57" i="63"/>
  <c r="BN57" i="63" s="1"/>
  <c r="BL57" i="63"/>
  <c r="BJ57" i="63"/>
  <c r="BK57" i="63" s="1"/>
  <c r="BI57" i="63"/>
  <c r="BG57" i="63"/>
  <c r="BF57" i="63"/>
  <c r="BD57" i="63"/>
  <c r="BE57" i="63" s="1"/>
  <c r="BC57" i="63"/>
  <c r="BA57" i="63"/>
  <c r="AZ57" i="63"/>
  <c r="AX57" i="63"/>
  <c r="AY57" i="63" s="1"/>
  <c r="AW57" i="63"/>
  <c r="AU57" i="63"/>
  <c r="AV57" i="63" s="1"/>
  <c r="AT57" i="63"/>
  <c r="AR57" i="63"/>
  <c r="AQ57" i="63"/>
  <c r="AO57" i="63"/>
  <c r="AN57" i="63"/>
  <c r="AL57" i="63"/>
  <c r="AK57" i="63"/>
  <c r="AM57" i="63" s="1"/>
  <c r="AI57" i="63"/>
  <c r="AH57" i="63"/>
  <c r="AD57" i="63"/>
  <c r="AC57" i="63"/>
  <c r="X57" i="63"/>
  <c r="W57" i="63"/>
  <c r="R57" i="63"/>
  <c r="Q57" i="63"/>
  <c r="O57" i="63"/>
  <c r="N57" i="63"/>
  <c r="H57" i="63"/>
  <c r="G57" i="63"/>
  <c r="BP56" i="63"/>
  <c r="BO56" i="63"/>
  <c r="BM56" i="63"/>
  <c r="BL56" i="63"/>
  <c r="BJ56" i="63"/>
  <c r="BI56" i="63"/>
  <c r="BG56" i="63"/>
  <c r="BF56" i="63"/>
  <c r="BD56" i="63"/>
  <c r="BC56" i="63"/>
  <c r="BA56" i="63"/>
  <c r="AZ56" i="63"/>
  <c r="AX56" i="63"/>
  <c r="AW56" i="63"/>
  <c r="AU56" i="63"/>
  <c r="AT56" i="63"/>
  <c r="AR56" i="63"/>
  <c r="AQ56" i="63"/>
  <c r="AO56" i="63"/>
  <c r="AN56" i="63"/>
  <c r="AL56" i="63"/>
  <c r="AK56" i="63"/>
  <c r="AI56" i="63"/>
  <c r="AJ56" i="63" s="1"/>
  <c r="AH56" i="63"/>
  <c r="AD56" i="63"/>
  <c r="AC56" i="63"/>
  <c r="X56" i="63"/>
  <c r="Y56" i="63" s="1"/>
  <c r="W56" i="63"/>
  <c r="R56" i="63"/>
  <c r="Q56" i="63"/>
  <c r="O56" i="63"/>
  <c r="N56" i="63"/>
  <c r="H56" i="63"/>
  <c r="G56" i="63"/>
  <c r="BP55" i="63"/>
  <c r="BO55" i="63"/>
  <c r="BM55" i="63"/>
  <c r="BL55" i="63"/>
  <c r="BJ55" i="63"/>
  <c r="BI55" i="63"/>
  <c r="BG55" i="63"/>
  <c r="BF55" i="63"/>
  <c r="BD55" i="63"/>
  <c r="BC55" i="63"/>
  <c r="BA55" i="63"/>
  <c r="BB55" i="63" s="1"/>
  <c r="AZ55" i="63"/>
  <c r="AX55" i="63"/>
  <c r="AY55" i="63" s="1"/>
  <c r="AW55" i="63"/>
  <c r="AU55" i="63"/>
  <c r="AT55" i="63"/>
  <c r="AR55" i="63"/>
  <c r="AS55" i="63" s="1"/>
  <c r="AQ55" i="63"/>
  <c r="AO55" i="63"/>
  <c r="AP55" i="63" s="1"/>
  <c r="AN55" i="63"/>
  <c r="AL55" i="63"/>
  <c r="AM55" i="63" s="1"/>
  <c r="AK55" i="63"/>
  <c r="AI55" i="63"/>
  <c r="AH55" i="63"/>
  <c r="AD55" i="63"/>
  <c r="AE55" i="63" s="1"/>
  <c r="AC55" i="63"/>
  <c r="X55" i="63"/>
  <c r="W55" i="63"/>
  <c r="R55" i="63"/>
  <c r="S55" i="63" s="1"/>
  <c r="Q55" i="63"/>
  <c r="O55" i="63"/>
  <c r="P55" i="63" s="1"/>
  <c r="N55" i="63"/>
  <c r="H55" i="63"/>
  <c r="G55" i="63"/>
  <c r="BP54" i="63"/>
  <c r="BQ54" i="63" s="1"/>
  <c r="BO54" i="63"/>
  <c r="BM54" i="63"/>
  <c r="BN54" i="63" s="1"/>
  <c r="BL54" i="63"/>
  <c r="BJ54" i="63"/>
  <c r="BK54" i="63" s="1"/>
  <c r="BI54" i="63"/>
  <c r="BG54" i="63"/>
  <c r="BF54" i="63"/>
  <c r="BD54" i="63"/>
  <c r="BE54" i="63" s="1"/>
  <c r="BC54" i="63"/>
  <c r="BA54" i="63"/>
  <c r="BB54" i="63" s="1"/>
  <c r="AZ54" i="63"/>
  <c r="AX54" i="63"/>
  <c r="AW54" i="63"/>
  <c r="AU54" i="63"/>
  <c r="AV54" i="63" s="1"/>
  <c r="AT54" i="63"/>
  <c r="AR54" i="63"/>
  <c r="AQ54" i="63"/>
  <c r="AO54" i="63"/>
  <c r="AN54" i="63"/>
  <c r="AP54" i="63" s="1"/>
  <c r="AL54" i="63"/>
  <c r="AK54" i="63"/>
  <c r="AI54" i="63"/>
  <c r="AH54" i="63"/>
  <c r="AD54" i="63"/>
  <c r="AC54" i="63"/>
  <c r="X54" i="63"/>
  <c r="W54" i="63"/>
  <c r="R54" i="63"/>
  <c r="Q54" i="63"/>
  <c r="O54" i="63"/>
  <c r="N54" i="63"/>
  <c r="H54" i="63"/>
  <c r="G54" i="63"/>
  <c r="BP53" i="63"/>
  <c r="BO53" i="63"/>
  <c r="BM53" i="63"/>
  <c r="BL53" i="63"/>
  <c r="BJ53" i="63"/>
  <c r="BI53" i="63"/>
  <c r="BG53" i="63"/>
  <c r="BF53" i="63"/>
  <c r="BD53" i="63"/>
  <c r="BC53" i="63"/>
  <c r="BA53" i="63"/>
  <c r="BB53" i="63" s="1"/>
  <c r="AZ53" i="63"/>
  <c r="AX53" i="63"/>
  <c r="AW53" i="63"/>
  <c r="AU53" i="63"/>
  <c r="AV53" i="63" s="1"/>
  <c r="AT53" i="63"/>
  <c r="AR53" i="63"/>
  <c r="AQ53" i="63"/>
  <c r="AO53" i="63"/>
  <c r="AN53" i="63"/>
  <c r="AP53" i="63" s="1"/>
  <c r="AL53" i="63"/>
  <c r="AK53" i="63"/>
  <c r="AI53" i="63"/>
  <c r="AH53" i="63"/>
  <c r="AD53" i="63"/>
  <c r="AC53" i="63"/>
  <c r="X53" i="63"/>
  <c r="W53" i="63"/>
  <c r="R53" i="63"/>
  <c r="Q53" i="63"/>
  <c r="O53" i="63"/>
  <c r="N53" i="63"/>
  <c r="H53" i="63"/>
  <c r="G53" i="63"/>
  <c r="BP52" i="63"/>
  <c r="BO52" i="63"/>
  <c r="BM52" i="63"/>
  <c r="BN52" i="63" s="1"/>
  <c r="BL52" i="63"/>
  <c r="BJ52" i="63"/>
  <c r="BK52" i="63" s="1"/>
  <c r="BI52" i="63"/>
  <c r="BG52" i="63"/>
  <c r="BF52" i="63"/>
  <c r="BD52" i="63"/>
  <c r="BE52" i="63" s="1"/>
  <c r="BC52" i="63"/>
  <c r="BA52" i="63"/>
  <c r="BB52" i="63" s="1"/>
  <c r="AZ52" i="63"/>
  <c r="AX52" i="63"/>
  <c r="AY52" i="63" s="1"/>
  <c r="AW52" i="63"/>
  <c r="AU52" i="63"/>
  <c r="AT52" i="63"/>
  <c r="AR52" i="63"/>
  <c r="AS52" i="63" s="1"/>
  <c r="AQ52" i="63"/>
  <c r="AO52" i="63"/>
  <c r="AP52" i="63" s="1"/>
  <c r="AN52" i="63"/>
  <c r="AL52" i="63"/>
  <c r="AK52" i="63"/>
  <c r="AI52" i="63"/>
  <c r="AJ52" i="63" s="1"/>
  <c r="AH52" i="63"/>
  <c r="AD52" i="63"/>
  <c r="AC52" i="63"/>
  <c r="X52" i="63"/>
  <c r="Y52" i="63" s="1"/>
  <c r="W52" i="63"/>
  <c r="R52" i="63"/>
  <c r="S52" i="63" s="1"/>
  <c r="Q52" i="63"/>
  <c r="O52" i="63"/>
  <c r="P52" i="63" s="1"/>
  <c r="N52" i="63"/>
  <c r="H52" i="63"/>
  <c r="G52" i="63"/>
  <c r="BP51" i="63"/>
  <c r="BQ51" i="63" s="1"/>
  <c r="BO51" i="63"/>
  <c r="BM51" i="63"/>
  <c r="BN51" i="63" s="1"/>
  <c r="BL51" i="63"/>
  <c r="BJ51" i="63"/>
  <c r="BK51" i="63" s="1"/>
  <c r="BI51" i="63"/>
  <c r="BG51" i="63"/>
  <c r="BF51" i="63"/>
  <c r="BD51" i="63"/>
  <c r="BE51" i="63" s="1"/>
  <c r="BC51" i="63"/>
  <c r="BA51" i="63"/>
  <c r="BB51" i="63" s="1"/>
  <c r="AZ51" i="63"/>
  <c r="AX51" i="63"/>
  <c r="AW51" i="63"/>
  <c r="AU51" i="63"/>
  <c r="AV51" i="63" s="1"/>
  <c r="AT51" i="63"/>
  <c r="AR51" i="63"/>
  <c r="AQ51" i="63"/>
  <c r="AP51" i="63"/>
  <c r="AO51" i="63"/>
  <c r="AN51" i="63"/>
  <c r="AL51" i="63"/>
  <c r="AK51" i="63"/>
  <c r="AI51" i="63"/>
  <c r="AH51" i="63"/>
  <c r="AD51" i="63"/>
  <c r="AC51" i="63"/>
  <c r="X51" i="63"/>
  <c r="W51" i="63"/>
  <c r="R51" i="63"/>
  <c r="Q51" i="63"/>
  <c r="O51" i="63"/>
  <c r="P51" i="63" s="1"/>
  <c r="N51" i="63"/>
  <c r="H51" i="63"/>
  <c r="I51" i="63" s="1"/>
  <c r="G51" i="63"/>
  <c r="BP50" i="63"/>
  <c r="BO50" i="63"/>
  <c r="BN50" i="63"/>
  <c r="BM50" i="63"/>
  <c r="BL50" i="63"/>
  <c r="BJ50" i="63"/>
  <c r="BI50" i="63"/>
  <c r="BG50" i="63"/>
  <c r="BF50" i="63"/>
  <c r="BD50" i="63"/>
  <c r="BC50" i="63"/>
  <c r="BA50" i="63"/>
  <c r="BB50" i="63" s="1"/>
  <c r="AZ50" i="63"/>
  <c r="AX50" i="63"/>
  <c r="AY50" i="63" s="1"/>
  <c r="AW50" i="63"/>
  <c r="AU50" i="63"/>
  <c r="AT50" i="63"/>
  <c r="AR50" i="63"/>
  <c r="AS50" i="63" s="1"/>
  <c r="AQ50" i="63"/>
  <c r="AO50" i="63"/>
  <c r="AP50" i="63" s="1"/>
  <c r="AN50" i="63"/>
  <c r="AL50" i="63"/>
  <c r="AM50" i="63" s="1"/>
  <c r="AK50" i="63"/>
  <c r="AI50" i="63"/>
  <c r="AH50" i="63"/>
  <c r="AD50" i="63"/>
  <c r="AE50" i="63" s="1"/>
  <c r="AC50" i="63"/>
  <c r="X50" i="63"/>
  <c r="W50" i="63"/>
  <c r="R50" i="63"/>
  <c r="Q50" i="63"/>
  <c r="O50" i="63"/>
  <c r="N50" i="63"/>
  <c r="P50" i="63" s="1"/>
  <c r="H50" i="63"/>
  <c r="I50" i="63" s="1"/>
  <c r="G50" i="63"/>
  <c r="BP49" i="63"/>
  <c r="BO49" i="63"/>
  <c r="BM49" i="63"/>
  <c r="BL49" i="63"/>
  <c r="BN49" i="63" s="1"/>
  <c r="BJ49" i="63"/>
  <c r="BI49" i="63"/>
  <c r="BG49" i="63"/>
  <c r="BF49" i="63"/>
  <c r="BD49" i="63"/>
  <c r="BC49" i="63"/>
  <c r="BA49" i="63"/>
  <c r="AZ49" i="63"/>
  <c r="AX49" i="63"/>
  <c r="AW49" i="63"/>
  <c r="AU49" i="63"/>
  <c r="AT49" i="63"/>
  <c r="AR49" i="63"/>
  <c r="AQ49" i="63"/>
  <c r="AO49" i="63"/>
  <c r="AN49" i="63"/>
  <c r="AL49" i="63"/>
  <c r="AK49" i="63"/>
  <c r="AI49" i="63"/>
  <c r="AH49" i="63"/>
  <c r="AD49" i="63"/>
  <c r="AC49" i="63"/>
  <c r="X49" i="63"/>
  <c r="W49" i="63"/>
  <c r="R49" i="63"/>
  <c r="Q49" i="63"/>
  <c r="O49" i="63"/>
  <c r="P49" i="63" s="1"/>
  <c r="N49" i="63"/>
  <c r="H49" i="63"/>
  <c r="G49" i="63"/>
  <c r="BP48" i="63"/>
  <c r="BQ48" i="63" s="1"/>
  <c r="BO48" i="63"/>
  <c r="BM48" i="63"/>
  <c r="BN48" i="63" s="1"/>
  <c r="BL48" i="63"/>
  <c r="BJ48" i="63"/>
  <c r="BI48" i="63"/>
  <c r="BG48" i="63"/>
  <c r="BH48" i="63" s="1"/>
  <c r="BF48" i="63"/>
  <c r="BD48" i="63"/>
  <c r="BC48" i="63"/>
  <c r="BA48" i="63"/>
  <c r="AZ48" i="63"/>
  <c r="BB48" i="63" s="1"/>
  <c r="AX48" i="63"/>
  <c r="AW48" i="63"/>
  <c r="AU48" i="63"/>
  <c r="AT48" i="63"/>
  <c r="AR48" i="63"/>
  <c r="AQ48" i="63"/>
  <c r="AO48" i="63"/>
  <c r="AP48" i="63" s="1"/>
  <c r="AN48" i="63"/>
  <c r="AL48" i="63"/>
  <c r="AM48" i="63" s="1"/>
  <c r="AK48" i="63"/>
  <c r="AI48" i="63"/>
  <c r="AH48" i="63"/>
  <c r="AD48" i="63"/>
  <c r="AE48" i="63" s="1"/>
  <c r="AC48" i="63"/>
  <c r="X48" i="63"/>
  <c r="W48" i="63"/>
  <c r="R48" i="63"/>
  <c r="Q48" i="63"/>
  <c r="P48" i="63"/>
  <c r="O48" i="63"/>
  <c r="N48" i="63"/>
  <c r="H48" i="63"/>
  <c r="G48" i="63"/>
  <c r="BP47" i="63"/>
  <c r="BO47" i="63"/>
  <c r="BM47" i="63"/>
  <c r="BN47" i="63" s="1"/>
  <c r="BL47" i="63"/>
  <c r="BJ47" i="63"/>
  <c r="BI47" i="63"/>
  <c r="BG47" i="63"/>
  <c r="BH47" i="63" s="1"/>
  <c r="BF47" i="63"/>
  <c r="BD47" i="63"/>
  <c r="BC47" i="63"/>
  <c r="BB47" i="63"/>
  <c r="BA47" i="63"/>
  <c r="AZ47" i="63"/>
  <c r="AX47" i="63"/>
  <c r="AW47" i="63"/>
  <c r="AU47" i="63"/>
  <c r="AT47" i="63"/>
  <c r="AR47" i="63"/>
  <c r="AQ47" i="63"/>
  <c r="AO47" i="63"/>
  <c r="AN47" i="63"/>
  <c r="AL47" i="63"/>
  <c r="AK47" i="63"/>
  <c r="AI47" i="63"/>
  <c r="AH47" i="63"/>
  <c r="AD47" i="63"/>
  <c r="AC47" i="63"/>
  <c r="X47" i="63"/>
  <c r="W47" i="63"/>
  <c r="R47" i="63"/>
  <c r="Q47" i="63"/>
  <c r="O47" i="63"/>
  <c r="N47" i="63"/>
  <c r="H47" i="63"/>
  <c r="G47" i="63"/>
  <c r="BP46" i="63"/>
  <c r="BO46" i="63"/>
  <c r="BM46" i="63"/>
  <c r="BL46" i="63"/>
  <c r="BJ46" i="63"/>
  <c r="BI46" i="63"/>
  <c r="BG46" i="63"/>
  <c r="BF46" i="63"/>
  <c r="BD46" i="63"/>
  <c r="BC46" i="63"/>
  <c r="BA46" i="63"/>
  <c r="AZ46" i="63"/>
  <c r="AX46" i="63"/>
  <c r="AW46" i="63"/>
  <c r="AU46" i="63"/>
  <c r="AT46" i="63"/>
  <c r="AR46" i="63"/>
  <c r="AQ46" i="63"/>
  <c r="AO46" i="63"/>
  <c r="AP46" i="63" s="1"/>
  <c r="AN46" i="63"/>
  <c r="AL46" i="63"/>
  <c r="AK46" i="63"/>
  <c r="AI46" i="63"/>
  <c r="AJ46" i="63" s="1"/>
  <c r="AH46" i="63"/>
  <c r="AD46" i="63"/>
  <c r="AC46" i="63"/>
  <c r="X46" i="63"/>
  <c r="Y46" i="63" s="1"/>
  <c r="W46" i="63"/>
  <c r="R46" i="63"/>
  <c r="S46" i="63" s="1"/>
  <c r="Q46" i="63"/>
  <c r="O46" i="63"/>
  <c r="P46" i="63" s="1"/>
  <c r="N46" i="63"/>
  <c r="H46" i="63"/>
  <c r="G46" i="63"/>
  <c r="BP45" i="63"/>
  <c r="BQ45" i="63" s="1"/>
  <c r="BO45" i="63"/>
  <c r="BM45" i="63"/>
  <c r="BN45" i="63" s="1"/>
  <c r="BL45" i="63"/>
  <c r="BJ45" i="63"/>
  <c r="BI45" i="63"/>
  <c r="BG45" i="63"/>
  <c r="BH45" i="63" s="1"/>
  <c r="BF45" i="63"/>
  <c r="BD45" i="63"/>
  <c r="BC45" i="63"/>
  <c r="BA45" i="63"/>
  <c r="AZ45" i="63"/>
  <c r="BB45" i="63" s="1"/>
  <c r="AX45" i="63"/>
  <c r="AW45" i="63"/>
  <c r="AU45" i="63"/>
  <c r="AT45" i="63"/>
  <c r="AR45" i="63"/>
  <c r="AQ45" i="63"/>
  <c r="AO45" i="63"/>
  <c r="AP45" i="63" s="1"/>
  <c r="AN45" i="63"/>
  <c r="AL45" i="63"/>
  <c r="AM45" i="63" s="1"/>
  <c r="AK45" i="63"/>
  <c r="AI45" i="63"/>
  <c r="AH45" i="63"/>
  <c r="AD45" i="63"/>
  <c r="AE45" i="63" s="1"/>
  <c r="AC45" i="63"/>
  <c r="X45" i="63"/>
  <c r="W45" i="63"/>
  <c r="R45" i="63"/>
  <c r="S45" i="63" s="1"/>
  <c r="Q45" i="63"/>
  <c r="O45" i="63"/>
  <c r="P45" i="63" s="1"/>
  <c r="N45" i="63"/>
  <c r="H45" i="63"/>
  <c r="I45" i="63" s="1"/>
  <c r="G45" i="63"/>
  <c r="BP44" i="63"/>
  <c r="BO44" i="63"/>
  <c r="BM44" i="63"/>
  <c r="BL44" i="63"/>
  <c r="BN44" i="63" s="1"/>
  <c r="BJ44" i="63"/>
  <c r="BI44" i="63"/>
  <c r="BG44" i="63"/>
  <c r="BF44" i="63"/>
  <c r="BD44" i="63"/>
  <c r="BC44" i="63"/>
  <c r="BA44" i="63"/>
  <c r="AZ44" i="63"/>
  <c r="AX44" i="63"/>
  <c r="AW44" i="63"/>
  <c r="AU44" i="63"/>
  <c r="AT44" i="63"/>
  <c r="AR44" i="63"/>
  <c r="AQ44" i="63"/>
  <c r="AO44" i="63"/>
  <c r="AN44" i="63"/>
  <c r="AL44" i="63"/>
  <c r="AK44" i="63"/>
  <c r="AI44" i="63"/>
  <c r="AH44" i="63"/>
  <c r="AD44" i="63"/>
  <c r="AC44" i="63"/>
  <c r="X44" i="63"/>
  <c r="W44" i="63"/>
  <c r="R44" i="63"/>
  <c r="Q44" i="63"/>
  <c r="O44" i="63"/>
  <c r="N44" i="63"/>
  <c r="H44" i="63"/>
  <c r="G44" i="63"/>
  <c r="BP42" i="63"/>
  <c r="BO42" i="63"/>
  <c r="BM42" i="63"/>
  <c r="BL42" i="63"/>
  <c r="BJ42" i="63"/>
  <c r="BI42" i="63"/>
  <c r="BG42" i="63"/>
  <c r="BF42" i="63"/>
  <c r="BD42" i="63"/>
  <c r="BC42" i="63"/>
  <c r="BA42" i="63"/>
  <c r="AZ42" i="63"/>
  <c r="AX42" i="63"/>
  <c r="AW42" i="63"/>
  <c r="AU42" i="63"/>
  <c r="AT42" i="63"/>
  <c r="AR42" i="63"/>
  <c r="AQ42" i="63"/>
  <c r="AO42" i="63"/>
  <c r="AP42" i="63" s="1"/>
  <c r="AN42" i="63"/>
  <c r="AL42" i="63"/>
  <c r="AK42" i="63"/>
  <c r="AI42" i="63"/>
  <c r="AJ42" i="63" s="1"/>
  <c r="AH42" i="63"/>
  <c r="AD42" i="63"/>
  <c r="AC42" i="63"/>
  <c r="X42" i="63"/>
  <c r="Y42" i="63" s="1"/>
  <c r="W42" i="63"/>
  <c r="R42" i="63"/>
  <c r="Q42" i="63"/>
  <c r="O42" i="63"/>
  <c r="N42" i="63"/>
  <c r="P42" i="63" s="1"/>
  <c r="H42" i="63"/>
  <c r="G42" i="63"/>
  <c r="BP41" i="63"/>
  <c r="BO41" i="63"/>
  <c r="BM41" i="63"/>
  <c r="BN41" i="63" s="1"/>
  <c r="BL41" i="63"/>
  <c r="BJ41" i="63"/>
  <c r="BI41" i="63"/>
  <c r="BG41" i="63"/>
  <c r="BH41" i="63" s="1"/>
  <c r="BF41" i="63"/>
  <c r="BD41" i="63"/>
  <c r="BC41" i="63"/>
  <c r="BA41" i="63"/>
  <c r="AZ41" i="63"/>
  <c r="BB41" i="63" s="1"/>
  <c r="AX41" i="63"/>
  <c r="AW41" i="63"/>
  <c r="AU41" i="63"/>
  <c r="AT41" i="63"/>
  <c r="AR41" i="63"/>
  <c r="AQ41" i="63"/>
  <c r="AO41" i="63"/>
  <c r="AN41" i="63"/>
  <c r="AL41" i="63"/>
  <c r="AK41" i="63"/>
  <c r="AI41" i="63"/>
  <c r="AH41" i="63"/>
  <c r="AD41" i="63"/>
  <c r="AC41" i="63"/>
  <c r="X41" i="63"/>
  <c r="W41" i="63"/>
  <c r="R41" i="63"/>
  <c r="Q41" i="63"/>
  <c r="O41" i="63"/>
  <c r="P41" i="63" s="1"/>
  <c r="N41" i="63"/>
  <c r="H41" i="63"/>
  <c r="I41" i="63" s="1"/>
  <c r="G41" i="63"/>
  <c r="BP40" i="63"/>
  <c r="BO40" i="63"/>
  <c r="BM40" i="63"/>
  <c r="BL40" i="63"/>
  <c r="BN40" i="63" s="1"/>
  <c r="BJ40" i="63"/>
  <c r="BI40" i="63"/>
  <c r="BG40" i="63"/>
  <c r="BF40" i="63"/>
  <c r="BD40" i="63"/>
  <c r="BC40" i="63"/>
  <c r="BA40" i="63"/>
  <c r="AZ40" i="63"/>
  <c r="BB40" i="63" s="1"/>
  <c r="AX40" i="63"/>
  <c r="AW40" i="63"/>
  <c r="AU40" i="63"/>
  <c r="AT40" i="63"/>
  <c r="AR40" i="63"/>
  <c r="AQ40" i="63"/>
  <c r="AO40" i="63"/>
  <c r="AN40" i="63"/>
  <c r="AL40" i="63"/>
  <c r="AK40" i="63"/>
  <c r="AI40" i="63"/>
  <c r="AH40" i="63"/>
  <c r="AD40" i="63"/>
  <c r="AC40" i="63"/>
  <c r="X40" i="63"/>
  <c r="W40" i="63"/>
  <c r="R40" i="63"/>
  <c r="Q40" i="63"/>
  <c r="O40" i="63"/>
  <c r="N40" i="63"/>
  <c r="H40" i="63"/>
  <c r="G40" i="63"/>
  <c r="BQ36" i="63"/>
  <c r="BN36" i="63"/>
  <c r="BK36" i="63"/>
  <c r="BH36" i="63"/>
  <c r="BE36" i="63"/>
  <c r="BB36" i="63"/>
  <c r="AY36" i="63"/>
  <c r="AV36" i="63"/>
  <c r="AS36" i="63"/>
  <c r="AP36" i="63"/>
  <c r="AM36" i="63"/>
  <c r="AJ36" i="63"/>
  <c r="AE36" i="63"/>
  <c r="Y36" i="63"/>
  <c r="U36" i="63"/>
  <c r="AA36" i="63" s="1"/>
  <c r="T36" i="63"/>
  <c r="Z36" i="63" s="1"/>
  <c r="S36" i="63"/>
  <c r="P36" i="63"/>
  <c r="L36" i="63"/>
  <c r="K36" i="63"/>
  <c r="I36" i="63"/>
  <c r="BQ35" i="63"/>
  <c r="BN35" i="63"/>
  <c r="BK35" i="63"/>
  <c r="BH35" i="63"/>
  <c r="BE35" i="63"/>
  <c r="BB35" i="63"/>
  <c r="AY35" i="63"/>
  <c r="AV35" i="63"/>
  <c r="AS35" i="63"/>
  <c r="AP35" i="63"/>
  <c r="AM35" i="63"/>
  <c r="AJ35" i="63"/>
  <c r="AE35" i="63"/>
  <c r="Y35" i="63"/>
  <c r="U35" i="63"/>
  <c r="AA35" i="63" s="1"/>
  <c r="T35" i="63"/>
  <c r="S35" i="63"/>
  <c r="P35" i="63"/>
  <c r="L35" i="63"/>
  <c r="L64" i="63" s="1"/>
  <c r="K35" i="63"/>
  <c r="I35" i="63"/>
  <c r="BQ34" i="63"/>
  <c r="BN34" i="63"/>
  <c r="BK34" i="63"/>
  <c r="BH34" i="63"/>
  <c r="BE34" i="63"/>
  <c r="BB34" i="63"/>
  <c r="AY34" i="63"/>
  <c r="AV34" i="63"/>
  <c r="AS34" i="63"/>
  <c r="AP34" i="63"/>
  <c r="AM34" i="63"/>
  <c r="AJ34" i="63"/>
  <c r="AE34" i="63"/>
  <c r="Y34" i="63"/>
  <c r="U34" i="63"/>
  <c r="T34" i="63"/>
  <c r="T63" i="63" s="1"/>
  <c r="S34" i="63"/>
  <c r="P34" i="63"/>
  <c r="L34" i="63"/>
  <c r="K34" i="63"/>
  <c r="K63" i="63" s="1"/>
  <c r="I34" i="63"/>
  <c r="BQ33" i="63"/>
  <c r="BN33" i="63"/>
  <c r="BK33" i="63"/>
  <c r="BH33" i="63"/>
  <c r="BE33" i="63"/>
  <c r="BB33" i="63"/>
  <c r="AY33" i="63"/>
  <c r="AV33" i="63"/>
  <c r="AS33" i="63"/>
  <c r="AP33" i="63"/>
  <c r="AM33" i="63"/>
  <c r="AJ33" i="63"/>
  <c r="AE33" i="63"/>
  <c r="Y33" i="63"/>
  <c r="U33" i="63"/>
  <c r="AA33" i="63" s="1"/>
  <c r="T33" i="63"/>
  <c r="T62" i="63" s="1"/>
  <c r="S33" i="63"/>
  <c r="P33" i="63"/>
  <c r="L33" i="63"/>
  <c r="K33" i="63"/>
  <c r="K62" i="63" s="1"/>
  <c r="I33" i="63"/>
  <c r="BQ32" i="63"/>
  <c r="BN32" i="63"/>
  <c r="BK32" i="63"/>
  <c r="BH32" i="63"/>
  <c r="BE32" i="63"/>
  <c r="BB32" i="63"/>
  <c r="AY32" i="63"/>
  <c r="AV32" i="63"/>
  <c r="AS32" i="63"/>
  <c r="AP32" i="63"/>
  <c r="AM32" i="63"/>
  <c r="AJ32" i="63"/>
  <c r="AE32" i="63"/>
  <c r="Y32" i="63"/>
  <c r="U32" i="63"/>
  <c r="T32" i="63"/>
  <c r="Z32" i="63" s="1"/>
  <c r="S32" i="63"/>
  <c r="P32" i="63"/>
  <c r="L32" i="63"/>
  <c r="K32" i="63"/>
  <c r="K61" i="63" s="1"/>
  <c r="I32" i="63"/>
  <c r="BP31" i="63"/>
  <c r="BO31" i="63"/>
  <c r="BM31" i="63"/>
  <c r="BM60" i="63" s="1"/>
  <c r="BL31" i="63"/>
  <c r="BL29" i="63" s="1"/>
  <c r="BJ31" i="63"/>
  <c r="BJ60" i="63" s="1"/>
  <c r="BI31" i="63"/>
  <c r="BG31" i="63"/>
  <c r="BF31" i="63"/>
  <c r="BF60" i="63" s="1"/>
  <c r="BD31" i="63"/>
  <c r="BD29" i="63" s="1"/>
  <c r="BC31" i="63"/>
  <c r="BC29" i="63" s="1"/>
  <c r="BA31" i="63"/>
  <c r="BA29" i="63" s="1"/>
  <c r="AZ31" i="63"/>
  <c r="AZ60" i="63" s="1"/>
  <c r="AX31" i="63"/>
  <c r="AX60" i="63" s="1"/>
  <c r="AW31" i="63"/>
  <c r="AW29" i="63" s="1"/>
  <c r="AU31" i="63"/>
  <c r="AT31" i="63"/>
  <c r="AT60" i="63" s="1"/>
  <c r="AR31" i="63"/>
  <c r="AQ31" i="63"/>
  <c r="AQ60" i="63" s="1"/>
  <c r="AO31" i="63"/>
  <c r="AN31" i="63"/>
  <c r="AN29" i="63" s="1"/>
  <c r="AN58" i="63" s="1"/>
  <c r="AL31" i="63"/>
  <c r="AL29" i="63" s="1"/>
  <c r="AK31" i="63"/>
  <c r="AK60" i="63" s="1"/>
  <c r="AI31" i="63"/>
  <c r="AI29" i="63" s="1"/>
  <c r="AH31" i="63"/>
  <c r="AH29" i="63" s="1"/>
  <c r="AH58" i="63" s="1"/>
  <c r="AD31" i="63"/>
  <c r="AC31" i="63"/>
  <c r="AC60" i="63" s="1"/>
  <c r="X31" i="63"/>
  <c r="X60" i="63" s="1"/>
  <c r="W31" i="63"/>
  <c r="W29" i="63" s="1"/>
  <c r="R31" i="63"/>
  <c r="R60" i="63" s="1"/>
  <c r="Q31" i="63"/>
  <c r="O31" i="63"/>
  <c r="N31" i="63"/>
  <c r="N60" i="63" s="1"/>
  <c r="H31" i="63"/>
  <c r="G31" i="63"/>
  <c r="G60" i="63" s="1"/>
  <c r="BQ30" i="63"/>
  <c r="BN30" i="63"/>
  <c r="BK30" i="63"/>
  <c r="BH30" i="63"/>
  <c r="BE30" i="63"/>
  <c r="BB30" i="63"/>
  <c r="AY30" i="63"/>
  <c r="AV30" i="63"/>
  <c r="AS30" i="63"/>
  <c r="AP30" i="63"/>
  <c r="AM30" i="63"/>
  <c r="AJ30" i="63"/>
  <c r="AE30" i="63"/>
  <c r="Y30" i="63"/>
  <c r="U30" i="63"/>
  <c r="U59" i="63" s="1"/>
  <c r="T30" i="63"/>
  <c r="T59" i="63" s="1"/>
  <c r="S30" i="63"/>
  <c r="P30" i="63"/>
  <c r="L30" i="63"/>
  <c r="L59" i="63" s="1"/>
  <c r="K30" i="63"/>
  <c r="I30" i="63"/>
  <c r="BJ29" i="63"/>
  <c r="BG29" i="63"/>
  <c r="AX29" i="63"/>
  <c r="AX58" i="63" s="1"/>
  <c r="AU29" i="63"/>
  <c r="AU58" i="63" s="1"/>
  <c r="AQ29" i="63"/>
  <c r="AC29" i="63"/>
  <c r="X29" i="63"/>
  <c r="Q29" i="63"/>
  <c r="BQ28" i="63"/>
  <c r="BN28" i="63"/>
  <c r="BK28" i="63"/>
  <c r="BH28" i="63"/>
  <c r="BE28" i="63"/>
  <c r="BB28" i="63"/>
  <c r="AY28" i="63"/>
  <c r="AV28" i="63"/>
  <c r="AS28" i="63"/>
  <c r="AP28" i="63"/>
  <c r="AM28" i="63"/>
  <c r="AJ28" i="63"/>
  <c r="AE28" i="63"/>
  <c r="Y28" i="63"/>
  <c r="U28" i="63"/>
  <c r="AA28" i="63" s="1"/>
  <c r="T28" i="63"/>
  <c r="Z28" i="63" s="1"/>
  <c r="S28" i="63"/>
  <c r="P28" i="63"/>
  <c r="L28" i="63"/>
  <c r="K28" i="63"/>
  <c r="K57" i="63" s="1"/>
  <c r="I28" i="63"/>
  <c r="BQ27" i="63"/>
  <c r="BN27" i="63"/>
  <c r="BK27" i="63"/>
  <c r="BH27" i="63"/>
  <c r="BE27" i="63"/>
  <c r="BB27" i="63"/>
  <c r="AY27" i="63"/>
  <c r="AV27" i="63"/>
  <c r="AS27" i="63"/>
  <c r="AP27" i="63"/>
  <c r="AM27" i="63"/>
  <c r="AJ27" i="63"/>
  <c r="AE27" i="63"/>
  <c r="Y27" i="63"/>
  <c r="U27" i="63"/>
  <c r="AA27" i="63" s="1"/>
  <c r="T27" i="63"/>
  <c r="Z27" i="63" s="1"/>
  <c r="S27" i="63"/>
  <c r="P27" i="63"/>
  <c r="L27" i="63"/>
  <c r="M27" i="63" s="1"/>
  <c r="K27" i="63"/>
  <c r="I27" i="63"/>
  <c r="BQ26" i="63"/>
  <c r="BN26" i="63"/>
  <c r="BK26" i="63"/>
  <c r="BH26" i="63"/>
  <c r="BE26" i="63"/>
  <c r="BB26" i="63"/>
  <c r="AY26" i="63"/>
  <c r="AV26" i="63"/>
  <c r="AS26" i="63"/>
  <c r="AP26" i="63"/>
  <c r="AM26" i="63"/>
  <c r="AJ26" i="63"/>
  <c r="AE26" i="63"/>
  <c r="Y26" i="63"/>
  <c r="U26" i="63"/>
  <c r="T26" i="63"/>
  <c r="T55" i="63" s="1"/>
  <c r="S26" i="63"/>
  <c r="P26" i="63"/>
  <c r="L26" i="63"/>
  <c r="K26" i="63"/>
  <c r="K55" i="63" s="1"/>
  <c r="I26" i="63"/>
  <c r="BQ25" i="63"/>
  <c r="BN25" i="63"/>
  <c r="BK25" i="63"/>
  <c r="BH25" i="63"/>
  <c r="BE25" i="63"/>
  <c r="BB25" i="63"/>
  <c r="AY25" i="63"/>
  <c r="AV25" i="63"/>
  <c r="AS25" i="63"/>
  <c r="AP25" i="63"/>
  <c r="AM25" i="63"/>
  <c r="AJ25" i="63"/>
  <c r="AE25" i="63"/>
  <c r="Y25" i="63"/>
  <c r="U25" i="63"/>
  <c r="AA25" i="63" s="1"/>
  <c r="T25" i="63"/>
  <c r="Z25" i="63" s="1"/>
  <c r="Z54" i="63" s="1"/>
  <c r="S25" i="63"/>
  <c r="P25" i="63"/>
  <c r="L25" i="63"/>
  <c r="K25" i="63"/>
  <c r="K54" i="63" s="1"/>
  <c r="I25" i="63"/>
  <c r="BQ24" i="63"/>
  <c r="BN24" i="63"/>
  <c r="BK24" i="63"/>
  <c r="BH24" i="63"/>
  <c r="BE24" i="63"/>
  <c r="BB24" i="63"/>
  <c r="AY24" i="63"/>
  <c r="AV24" i="63"/>
  <c r="AS24" i="63"/>
  <c r="AP24" i="63"/>
  <c r="AM24" i="63"/>
  <c r="AJ24" i="63"/>
  <c r="AE24" i="63"/>
  <c r="Y24" i="63"/>
  <c r="U24" i="63"/>
  <c r="T24" i="63"/>
  <c r="T53" i="63" s="1"/>
  <c r="S24" i="63"/>
  <c r="P24" i="63"/>
  <c r="L24" i="63"/>
  <c r="L53" i="63" s="1"/>
  <c r="K24" i="63"/>
  <c r="K53" i="63" s="1"/>
  <c r="I24" i="63"/>
  <c r="BQ23" i="63"/>
  <c r="BN23" i="63"/>
  <c r="BK23" i="63"/>
  <c r="BH23" i="63"/>
  <c r="BE23" i="63"/>
  <c r="BB23" i="63"/>
  <c r="AY23" i="63"/>
  <c r="AV23" i="63"/>
  <c r="AS23" i="63"/>
  <c r="AP23" i="63"/>
  <c r="AM23" i="63"/>
  <c r="AJ23" i="63"/>
  <c r="AE23" i="63"/>
  <c r="Y23" i="63"/>
  <c r="U23" i="63"/>
  <c r="AA23" i="63" s="1"/>
  <c r="T23" i="63"/>
  <c r="Z23" i="63" s="1"/>
  <c r="Z52" i="63" s="1"/>
  <c r="S23" i="63"/>
  <c r="P23" i="63"/>
  <c r="L23" i="63"/>
  <c r="K23" i="63"/>
  <c r="K52" i="63" s="1"/>
  <c r="I23" i="63"/>
  <c r="BQ22" i="63"/>
  <c r="BN22" i="63"/>
  <c r="BK22" i="63"/>
  <c r="BH22" i="63"/>
  <c r="BE22" i="63"/>
  <c r="BB22" i="63"/>
  <c r="AY22" i="63"/>
  <c r="AV22" i="63"/>
  <c r="AS22" i="63"/>
  <c r="AP22" i="63"/>
  <c r="AM22" i="63"/>
  <c r="AJ22" i="63"/>
  <c r="AE22" i="63"/>
  <c r="Y22" i="63"/>
  <c r="U22" i="63"/>
  <c r="U51" i="63" s="1"/>
  <c r="T22" i="63"/>
  <c r="S22" i="63"/>
  <c r="P22" i="63"/>
  <c r="L22" i="63"/>
  <c r="K22" i="63"/>
  <c r="K51" i="63" s="1"/>
  <c r="I22" i="63"/>
  <c r="BQ21" i="63"/>
  <c r="BN21" i="63"/>
  <c r="BK21" i="63"/>
  <c r="BH21" i="63"/>
  <c r="BE21" i="63"/>
  <c r="BB21" i="63"/>
  <c r="AY21" i="63"/>
  <c r="AV21" i="63"/>
  <c r="AS21" i="63"/>
  <c r="AP21" i="63"/>
  <c r="AM21" i="63"/>
  <c r="AJ21" i="63"/>
  <c r="AE21" i="63"/>
  <c r="Y21" i="63"/>
  <c r="U21" i="63"/>
  <c r="AA21" i="63" s="1"/>
  <c r="T21" i="63"/>
  <c r="Z21" i="63" s="1"/>
  <c r="S21" i="63"/>
  <c r="P21" i="63"/>
  <c r="L21" i="63"/>
  <c r="M21" i="63" s="1"/>
  <c r="K21" i="63"/>
  <c r="I21" i="63"/>
  <c r="BQ20" i="63"/>
  <c r="BN20" i="63"/>
  <c r="BK20" i="63"/>
  <c r="BH20" i="63"/>
  <c r="BE20" i="63"/>
  <c r="BB20" i="63"/>
  <c r="AY20" i="63"/>
  <c r="AV20" i="63"/>
  <c r="AS20" i="63"/>
  <c r="AP20" i="63"/>
  <c r="AM20" i="63"/>
  <c r="AJ20" i="63"/>
  <c r="AE20" i="63"/>
  <c r="Y20" i="63"/>
  <c r="U20" i="63"/>
  <c r="T20" i="63"/>
  <c r="T49" i="63" s="1"/>
  <c r="S20" i="63"/>
  <c r="P20" i="63"/>
  <c r="L20" i="63"/>
  <c r="K20" i="63"/>
  <c r="K49" i="63" s="1"/>
  <c r="I20" i="63"/>
  <c r="BQ19" i="63"/>
  <c r="BN19" i="63"/>
  <c r="BK19" i="63"/>
  <c r="BH19" i="63"/>
  <c r="BE19" i="63"/>
  <c r="BB19" i="63"/>
  <c r="AY19" i="63"/>
  <c r="AV19" i="63"/>
  <c r="AS19" i="63"/>
  <c r="AP19" i="63"/>
  <c r="AM19" i="63"/>
  <c r="AJ19" i="63"/>
  <c r="AE19" i="63"/>
  <c r="Y19" i="63"/>
  <c r="U19" i="63"/>
  <c r="AA19" i="63" s="1"/>
  <c r="T19" i="63"/>
  <c r="Z19" i="63" s="1"/>
  <c r="S19" i="63"/>
  <c r="P19" i="63"/>
  <c r="L19" i="63"/>
  <c r="M19" i="63" s="1"/>
  <c r="K19" i="63"/>
  <c r="I19" i="63"/>
  <c r="BQ18" i="63"/>
  <c r="BN18" i="63"/>
  <c r="BK18" i="63"/>
  <c r="BH18" i="63"/>
  <c r="BE18" i="63"/>
  <c r="BB18" i="63"/>
  <c r="AY18" i="63"/>
  <c r="AV18" i="63"/>
  <c r="AS18" i="63"/>
  <c r="AP18" i="63"/>
  <c r="AM18" i="63"/>
  <c r="AJ18" i="63"/>
  <c r="AE18" i="63"/>
  <c r="Y18" i="63"/>
  <c r="U18" i="63"/>
  <c r="T18" i="63"/>
  <c r="T47" i="63" s="1"/>
  <c r="S18" i="63"/>
  <c r="P18" i="63"/>
  <c r="L18" i="63"/>
  <c r="K18" i="63"/>
  <c r="I18" i="63"/>
  <c r="BQ17" i="63"/>
  <c r="BN17" i="63"/>
  <c r="BK17" i="63"/>
  <c r="BH17" i="63"/>
  <c r="BE17" i="63"/>
  <c r="BB17" i="63"/>
  <c r="AY17" i="63"/>
  <c r="AV17" i="63"/>
  <c r="AS17" i="63"/>
  <c r="AP17" i="63"/>
  <c r="AM17" i="63"/>
  <c r="AJ17" i="63"/>
  <c r="AE17" i="63"/>
  <c r="Y17" i="63"/>
  <c r="U17" i="63"/>
  <c r="AA17" i="63" s="1"/>
  <c r="T17" i="63"/>
  <c r="Z17" i="63" s="1"/>
  <c r="S17" i="63"/>
  <c r="P17" i="63"/>
  <c r="L17" i="63"/>
  <c r="K17" i="63"/>
  <c r="I17" i="63"/>
  <c r="BQ16" i="63"/>
  <c r="BN16" i="63"/>
  <c r="BK16" i="63"/>
  <c r="BH16" i="63"/>
  <c r="BE16" i="63"/>
  <c r="BB16" i="63"/>
  <c r="AY16" i="63"/>
  <c r="AV16" i="63"/>
  <c r="AS16" i="63"/>
  <c r="AP16" i="63"/>
  <c r="AM16" i="63"/>
  <c r="AJ16" i="63"/>
  <c r="AE16" i="63"/>
  <c r="Y16" i="63"/>
  <c r="U16" i="63"/>
  <c r="T16" i="63"/>
  <c r="S16" i="63"/>
  <c r="P16" i="63"/>
  <c r="L16" i="63"/>
  <c r="K16" i="63"/>
  <c r="I16" i="63"/>
  <c r="BQ15" i="63"/>
  <c r="BN15" i="63"/>
  <c r="BK15" i="63"/>
  <c r="BH15" i="63"/>
  <c r="BE15" i="63"/>
  <c r="BB15" i="63"/>
  <c r="AY15" i="63"/>
  <c r="AV15" i="63"/>
  <c r="AS15" i="63"/>
  <c r="AP15" i="63"/>
  <c r="AM15" i="63"/>
  <c r="AJ15" i="63"/>
  <c r="AE15" i="63"/>
  <c r="Y15" i="63"/>
  <c r="U15" i="63"/>
  <c r="AA15" i="63" s="1"/>
  <c r="T15" i="63"/>
  <c r="Z15" i="63" s="1"/>
  <c r="S15" i="63"/>
  <c r="P15" i="63"/>
  <c r="L15" i="63"/>
  <c r="K15" i="63"/>
  <c r="I15" i="63"/>
  <c r="BP14" i="63"/>
  <c r="BO14" i="63"/>
  <c r="BO10" i="63" s="1"/>
  <c r="BM14" i="63"/>
  <c r="BM43" i="63" s="1"/>
  <c r="BL14" i="63"/>
  <c r="BL43" i="63" s="1"/>
  <c r="BJ14" i="63"/>
  <c r="BJ10" i="63" s="1"/>
  <c r="BI14" i="63"/>
  <c r="BI10" i="63" s="1"/>
  <c r="BG14" i="63"/>
  <c r="BG10" i="63" s="1"/>
  <c r="BF14" i="63"/>
  <c r="BF43" i="63" s="1"/>
  <c r="BD14" i="63"/>
  <c r="BC14" i="63"/>
  <c r="BC10" i="63" s="1"/>
  <c r="BA14" i="63"/>
  <c r="BB14" i="63" s="1"/>
  <c r="AZ14" i="63"/>
  <c r="AX14" i="63"/>
  <c r="AX10" i="63" s="1"/>
  <c r="AW14" i="63"/>
  <c r="AW43" i="63" s="1"/>
  <c r="AU14" i="63"/>
  <c r="AU10" i="63" s="1"/>
  <c r="AT14" i="63"/>
  <c r="AR14" i="63"/>
  <c r="AR10" i="63" s="1"/>
  <c r="AQ14" i="63"/>
  <c r="AQ10" i="63" s="1"/>
  <c r="AQ39" i="63" s="1"/>
  <c r="AO14" i="63"/>
  <c r="AN14" i="63"/>
  <c r="AL14" i="63"/>
  <c r="AL43" i="63" s="1"/>
  <c r="AK14" i="63"/>
  <c r="AI14" i="63"/>
  <c r="AI10" i="63" s="1"/>
  <c r="AH14" i="63"/>
  <c r="AH10" i="63" s="1"/>
  <c r="AD14" i="63"/>
  <c r="AE14" i="63" s="1"/>
  <c r="AC14" i="63"/>
  <c r="AC10" i="63" s="1"/>
  <c r="X14" i="63"/>
  <c r="X10" i="63" s="1"/>
  <c r="W14" i="63"/>
  <c r="R14" i="63"/>
  <c r="Q14" i="63"/>
  <c r="Q10" i="63" s="1"/>
  <c r="O14" i="63"/>
  <c r="O10" i="63" s="1"/>
  <c r="U10" i="63" s="1"/>
  <c r="N14" i="63"/>
  <c r="H14" i="63"/>
  <c r="H10" i="63" s="1"/>
  <c r="G14" i="63"/>
  <c r="G10" i="63" s="1"/>
  <c r="BQ13" i="63"/>
  <c r="BN13" i="63"/>
  <c r="BK13" i="63"/>
  <c r="BH13" i="63"/>
  <c r="BE13" i="63"/>
  <c r="BB13" i="63"/>
  <c r="AY13" i="63"/>
  <c r="AV13" i="63"/>
  <c r="AS13" i="63"/>
  <c r="AP13" i="63"/>
  <c r="AM13" i="63"/>
  <c r="AJ13" i="63"/>
  <c r="AE13" i="63"/>
  <c r="Y13" i="63"/>
  <c r="U13" i="63"/>
  <c r="T13" i="63"/>
  <c r="Z13" i="63" s="1"/>
  <c r="S13" i="63"/>
  <c r="P13" i="63"/>
  <c r="L13" i="63"/>
  <c r="K13" i="63"/>
  <c r="I13" i="63"/>
  <c r="BQ12" i="63"/>
  <c r="BN12" i="63"/>
  <c r="BK12" i="63"/>
  <c r="BH12" i="63"/>
  <c r="BE12" i="63"/>
  <c r="BB12" i="63"/>
  <c r="AY12" i="63"/>
  <c r="AV12" i="63"/>
  <c r="AS12" i="63"/>
  <c r="AP12" i="63"/>
  <c r="AM12" i="63"/>
  <c r="AJ12" i="63"/>
  <c r="AE12" i="63"/>
  <c r="Y12" i="63"/>
  <c r="U12" i="63"/>
  <c r="AA12" i="63" s="1"/>
  <c r="T12" i="63"/>
  <c r="Z12" i="63" s="1"/>
  <c r="Z41" i="63" s="1"/>
  <c r="S12" i="63"/>
  <c r="P12" i="63"/>
  <c r="L12" i="63"/>
  <c r="M12" i="63" s="1"/>
  <c r="K12" i="63"/>
  <c r="K41" i="63" s="1"/>
  <c r="I12" i="63"/>
  <c r="BQ11" i="63"/>
  <c r="BN11" i="63"/>
  <c r="BK11" i="63"/>
  <c r="BH11" i="63"/>
  <c r="BE11" i="63"/>
  <c r="BB11" i="63"/>
  <c r="AY11" i="63"/>
  <c r="AV11" i="63"/>
  <c r="AS11" i="63"/>
  <c r="AP11" i="63"/>
  <c r="AM11" i="63"/>
  <c r="AJ11" i="63"/>
  <c r="AE11" i="63"/>
  <c r="Y11" i="63"/>
  <c r="U11" i="63"/>
  <c r="AA11" i="63" s="1"/>
  <c r="T11" i="63"/>
  <c r="S11" i="63"/>
  <c r="P11" i="63"/>
  <c r="L11" i="63"/>
  <c r="K11" i="63"/>
  <c r="I11" i="63"/>
  <c r="BP10" i="63"/>
  <c r="BL10" i="63"/>
  <c r="BD10" i="63"/>
  <c r="BA10" i="63"/>
  <c r="AZ10" i="63"/>
  <c r="AW10" i="63"/>
  <c r="AW39" i="63" s="1"/>
  <c r="AO10" i="63"/>
  <c r="AO39" i="63" s="1"/>
  <c r="AN10" i="63"/>
  <c r="AK10" i="63"/>
  <c r="W10" i="63"/>
  <c r="R10" i="63"/>
  <c r="S10" i="63" s="1"/>
  <c r="N10" i="63"/>
  <c r="T10" i="63" s="1"/>
  <c r="Z10" i="63" s="1"/>
  <c r="L6" i="63"/>
  <c r="AD2" i="63"/>
  <c r="AC2" i="63"/>
  <c r="Y2" i="63"/>
  <c r="X2" i="63"/>
  <c r="W2" i="63"/>
  <c r="S2" i="63"/>
  <c r="R2" i="63"/>
  <c r="Q2" i="63"/>
  <c r="P2" i="63"/>
  <c r="AR38" i="63" l="1"/>
  <c r="BB236" i="63"/>
  <c r="Z409" i="63"/>
  <c r="BI131" i="63"/>
  <c r="U290" i="63"/>
  <c r="U405" i="63"/>
  <c r="V405" i="63" s="1"/>
  <c r="S405" i="63"/>
  <c r="BE489" i="63"/>
  <c r="BD454" i="63"/>
  <c r="BE454" i="63" s="1"/>
  <c r="L496" i="63"/>
  <c r="O461" i="63"/>
  <c r="U461" i="63" s="1"/>
  <c r="U496" i="63"/>
  <c r="AA496" i="63" s="1"/>
  <c r="AY501" i="63"/>
  <c r="AW468" i="63"/>
  <c r="BN507" i="63"/>
  <c r="BM474" i="63"/>
  <c r="AY521" i="63"/>
  <c r="AW453" i="63"/>
  <c r="BK523" i="63"/>
  <c r="BJ455" i="63"/>
  <c r="BK455" i="63" s="1"/>
  <c r="Z530" i="63"/>
  <c r="AB530" i="63" s="1"/>
  <c r="V530" i="63"/>
  <c r="AI591" i="63"/>
  <c r="AJ592" i="63"/>
  <c r="BN939" i="63"/>
  <c r="BM923" i="63"/>
  <c r="AS1094" i="63"/>
  <c r="AR1078" i="63"/>
  <c r="BD1078" i="63"/>
  <c r="BE1094" i="63"/>
  <c r="BA1079" i="63"/>
  <c r="BB1095" i="63"/>
  <c r="BB1096" i="63"/>
  <c r="BA1080" i="63"/>
  <c r="BM1080" i="63"/>
  <c r="BN1096" i="63"/>
  <c r="BK1133" i="63"/>
  <c r="BJ1132" i="63"/>
  <c r="I1142" i="63"/>
  <c r="H1077" i="63"/>
  <c r="S1142" i="63"/>
  <c r="R1077" i="63"/>
  <c r="S1077" i="63" s="1"/>
  <c r="AY1147" i="63"/>
  <c r="AW1082" i="63"/>
  <c r="Q1141" i="63"/>
  <c r="S1141" i="63" s="1"/>
  <c r="Q1155" i="63"/>
  <c r="AE1156" i="63"/>
  <c r="AC1141" i="63"/>
  <c r="BC1140" i="63"/>
  <c r="BC1132" i="63" s="1"/>
  <c r="BC1076" i="63" s="1"/>
  <c r="BC1155" i="63"/>
  <c r="BC1148" i="63"/>
  <c r="T1238" i="63"/>
  <c r="AE1238" i="63"/>
  <c r="AD1216" i="63"/>
  <c r="W39" i="63"/>
  <c r="BE10" i="63"/>
  <c r="V12" i="63"/>
  <c r="K42" i="63"/>
  <c r="P14" i="63"/>
  <c r="W43" i="63"/>
  <c r="AN43" i="63"/>
  <c r="AP43" i="63" s="1"/>
  <c r="BQ14" i="63"/>
  <c r="L45" i="63"/>
  <c r="V16" i="63"/>
  <c r="K46" i="63"/>
  <c r="U49" i="63"/>
  <c r="K50" i="63"/>
  <c r="Z50" i="63"/>
  <c r="M26" i="63"/>
  <c r="U55" i="63"/>
  <c r="U31" i="63"/>
  <c r="AO60" i="63"/>
  <c r="AU60" i="63"/>
  <c r="L63" i="63"/>
  <c r="M63" i="63" s="1"/>
  <c r="U63" i="63"/>
  <c r="V63" i="63" s="1"/>
  <c r="K64" i="63"/>
  <c r="T64" i="63"/>
  <c r="P40" i="63"/>
  <c r="AP40" i="63"/>
  <c r="BH40" i="63"/>
  <c r="AP41" i="63"/>
  <c r="BE42" i="63"/>
  <c r="BK42" i="63"/>
  <c r="BQ42" i="63"/>
  <c r="P44" i="63"/>
  <c r="Y44" i="63"/>
  <c r="AJ44" i="63"/>
  <c r="AP44" i="63"/>
  <c r="BB44" i="63"/>
  <c r="AV45" i="63"/>
  <c r="AV46" i="63"/>
  <c r="BB46" i="63"/>
  <c r="BN46" i="63"/>
  <c r="S47" i="63"/>
  <c r="AE47" i="63"/>
  <c r="AM47" i="63"/>
  <c r="AS47" i="63"/>
  <c r="AY47" i="63"/>
  <c r="I48" i="63"/>
  <c r="AV48" i="63"/>
  <c r="Y49" i="63"/>
  <c r="AJ49" i="63"/>
  <c r="AP49" i="63"/>
  <c r="BB49" i="63"/>
  <c r="P53" i="63"/>
  <c r="BQ53" i="63"/>
  <c r="P54" i="63"/>
  <c r="Y54" i="63"/>
  <c r="AJ54" i="63"/>
  <c r="BH55" i="63"/>
  <c r="I56" i="63"/>
  <c r="AV56" i="63"/>
  <c r="BB56" i="63"/>
  <c r="BN56" i="63"/>
  <c r="I59" i="63"/>
  <c r="AM59" i="63"/>
  <c r="AY59" i="63"/>
  <c r="BK61" i="63"/>
  <c r="BN62" i="63"/>
  <c r="AJ63" i="63"/>
  <c r="BB63" i="63"/>
  <c r="AJ64" i="63"/>
  <c r="AP64" i="63"/>
  <c r="BE64" i="63"/>
  <c r="BK64" i="63"/>
  <c r="AZ70" i="63"/>
  <c r="AZ38" i="63" s="1"/>
  <c r="K75" i="63"/>
  <c r="S75" i="63"/>
  <c r="AP75" i="63"/>
  <c r="BE75" i="63"/>
  <c r="BO70" i="63"/>
  <c r="M76" i="63"/>
  <c r="Z79" i="63"/>
  <c r="M80" i="63"/>
  <c r="M86" i="63"/>
  <c r="AB86" i="63"/>
  <c r="AB96" i="63"/>
  <c r="AM101" i="63"/>
  <c r="AY101" i="63"/>
  <c r="BK101" i="63"/>
  <c r="BQ101" i="63"/>
  <c r="AC105" i="63"/>
  <c r="AM106" i="63"/>
  <c r="AY106" i="63"/>
  <c r="Z107" i="63"/>
  <c r="BE107" i="63"/>
  <c r="BK107" i="63"/>
  <c r="BQ108" i="63"/>
  <c r="P109" i="63"/>
  <c r="Y109" i="63"/>
  <c r="AM110" i="63"/>
  <c r="Q111" i="63"/>
  <c r="AN111" i="63"/>
  <c r="AN102" i="63" s="1"/>
  <c r="AY112" i="63"/>
  <c r="S113" i="63"/>
  <c r="AE113" i="63"/>
  <c r="AM113" i="63"/>
  <c r="AV114" i="63"/>
  <c r="BB114" i="63"/>
  <c r="BQ114" i="63"/>
  <c r="U115" i="63"/>
  <c r="AA115" i="63" s="1"/>
  <c r="Y115" i="63"/>
  <c r="BH115" i="63"/>
  <c r="BN115" i="63"/>
  <c r="I380" i="63"/>
  <c r="BB116" i="63"/>
  <c r="BK116" i="63"/>
  <c r="BI117" i="63"/>
  <c r="AJ118" i="63"/>
  <c r="AP119" i="63"/>
  <c r="AV119" i="63"/>
  <c r="BB119" i="63"/>
  <c r="BH119" i="63"/>
  <c r="BB120" i="63"/>
  <c r="BQ120" i="63"/>
  <c r="Q121" i="63"/>
  <c r="BB121" i="63"/>
  <c r="BK122" i="63"/>
  <c r="AQ124" i="63"/>
  <c r="BK126" i="63"/>
  <c r="S128" i="63"/>
  <c r="BH388" i="63"/>
  <c r="AJ132" i="63"/>
  <c r="AE133" i="63"/>
  <c r="AM133" i="63"/>
  <c r="AE134" i="63"/>
  <c r="AP134" i="63"/>
  <c r="AV135" i="63"/>
  <c r="BN135" i="63"/>
  <c r="I136" i="63"/>
  <c r="AK124" i="63"/>
  <c r="S140" i="63"/>
  <c r="V142" i="63"/>
  <c r="M143" i="63"/>
  <c r="AB145" i="63"/>
  <c r="BE146" i="63"/>
  <c r="I152" i="63"/>
  <c r="M153" i="63"/>
  <c r="I158" i="63"/>
  <c r="AS158" i="63"/>
  <c r="S469" i="63"/>
  <c r="Y162" i="63"/>
  <c r="AM164" i="63"/>
  <c r="AY164" i="63"/>
  <c r="M165" i="63"/>
  <c r="M171" i="63"/>
  <c r="I173" i="63"/>
  <c r="P179" i="63"/>
  <c r="M183" i="63"/>
  <c r="AB183" i="63"/>
  <c r="BO170" i="63"/>
  <c r="T187" i="63"/>
  <c r="AB190" i="63"/>
  <c r="R125" i="63"/>
  <c r="AM191" i="63"/>
  <c r="BM170" i="63"/>
  <c r="P197" i="63"/>
  <c r="Y197" i="63"/>
  <c r="BQ197" i="63"/>
  <c r="M201" i="63"/>
  <c r="M208" i="63"/>
  <c r="V208" i="63"/>
  <c r="AB211" i="63"/>
  <c r="L212" i="63"/>
  <c r="AX203" i="63"/>
  <c r="AY203" i="63" s="1"/>
  <c r="BD203" i="63"/>
  <c r="BK212" i="63"/>
  <c r="M216" i="63"/>
  <c r="AK203" i="63"/>
  <c r="AU117" i="63"/>
  <c r="BN218" i="63"/>
  <c r="AE224" i="63"/>
  <c r="BB224" i="63"/>
  <c r="BN224" i="63"/>
  <c r="M229" i="63"/>
  <c r="T230" i="63"/>
  <c r="Z230" i="63" s="1"/>
  <c r="AP230" i="63"/>
  <c r="BB230" i="63"/>
  <c r="M234" i="63"/>
  <c r="O236" i="63"/>
  <c r="M237" i="63"/>
  <c r="AJ239" i="63"/>
  <c r="AB241" i="63"/>
  <c r="M246" i="63"/>
  <c r="AB246" i="63"/>
  <c r="M258" i="63"/>
  <c r="AB258" i="63"/>
  <c r="AY263" i="63"/>
  <c r="M265" i="63"/>
  <c r="N269" i="63"/>
  <c r="I272" i="63"/>
  <c r="AS272" i="63"/>
  <c r="BE272" i="63"/>
  <c r="BK284" i="63"/>
  <c r="M288" i="63"/>
  <c r="AP290" i="63"/>
  <c r="V291" i="63"/>
  <c r="M294" i="63"/>
  <c r="U296" i="63"/>
  <c r="Y296" i="63"/>
  <c r="AJ296" i="63"/>
  <c r="AP296" i="63"/>
  <c r="BB296" i="63"/>
  <c r="AB299" i="63"/>
  <c r="BO302" i="63"/>
  <c r="L303" i="63"/>
  <c r="Y303" i="63"/>
  <c r="AJ303" i="63"/>
  <c r="BN303" i="63"/>
  <c r="BB304" i="63"/>
  <c r="AM305" i="63"/>
  <c r="AY305" i="63"/>
  <c r="L306" i="63"/>
  <c r="AJ306" i="63"/>
  <c r="AP306" i="63"/>
  <c r="BB306" i="63"/>
  <c r="U307" i="63"/>
  <c r="AA307" i="63" s="1"/>
  <c r="U308" i="63"/>
  <c r="AS309" i="63"/>
  <c r="T310" i="63"/>
  <c r="Z310" i="63" s="1"/>
  <c r="AH302" i="63"/>
  <c r="BE310" i="63"/>
  <c r="BK310" i="63"/>
  <c r="AA311" i="63"/>
  <c r="AB311" i="63" s="1"/>
  <c r="V311" i="63"/>
  <c r="M319" i="63"/>
  <c r="AB320" i="63"/>
  <c r="S334" i="63"/>
  <c r="AE334" i="63"/>
  <c r="AY334" i="63"/>
  <c r="BK334" i="63"/>
  <c r="AB336" i="63"/>
  <c r="M340" i="63"/>
  <c r="AY342" i="63"/>
  <c r="M347" i="63"/>
  <c r="I350" i="63"/>
  <c r="AM350" i="63"/>
  <c r="AS350" i="63"/>
  <c r="AY350" i="63"/>
  <c r="M351" i="63"/>
  <c r="M352" i="63"/>
  <c r="AB364" i="63"/>
  <c r="V394" i="63"/>
  <c r="AE396" i="63"/>
  <c r="AM396" i="63"/>
  <c r="Y398" i="63"/>
  <c r="AP398" i="63"/>
  <c r="AM401" i="63"/>
  <c r="AS401" i="63"/>
  <c r="BE401" i="63"/>
  <c r="BQ405" i="63"/>
  <c r="BB408" i="63"/>
  <c r="BN408" i="63"/>
  <c r="AI458" i="63"/>
  <c r="AJ458" i="63" s="1"/>
  <c r="K482" i="63"/>
  <c r="X448" i="63"/>
  <c r="BC452" i="63"/>
  <c r="BI486" i="63"/>
  <c r="BQ487" i="63"/>
  <c r="BO452" i="63"/>
  <c r="BQ452" i="63" s="1"/>
  <c r="O453" i="63"/>
  <c r="AU486" i="63"/>
  <c r="AP489" i="63"/>
  <c r="AN454" i="63"/>
  <c r="H465" i="63"/>
  <c r="I465" i="63" s="1"/>
  <c r="BH499" i="63"/>
  <c r="BG466" i="63"/>
  <c r="AS500" i="63"/>
  <c r="AR467" i="63"/>
  <c r="AS467" i="63" s="1"/>
  <c r="BP467" i="63"/>
  <c r="BQ500" i="63"/>
  <c r="T505" i="63"/>
  <c r="Z505" i="63" s="1"/>
  <c r="AY507" i="63"/>
  <c r="AW474" i="63"/>
  <c r="BI474" i="63"/>
  <c r="BK507" i="63"/>
  <c r="N519" i="63"/>
  <c r="T519" i="63" s="1"/>
  <c r="AL461" i="63"/>
  <c r="AM461" i="63" s="1"/>
  <c r="AC531" i="63"/>
  <c r="T533" i="63"/>
  <c r="Z533" i="63" s="1"/>
  <c r="BQ535" i="63"/>
  <c r="BO469" i="63"/>
  <c r="BQ469" i="63" s="1"/>
  <c r="AS540" i="63"/>
  <c r="AR474" i="63"/>
  <c r="BE540" i="63"/>
  <c r="BD474" i="63"/>
  <c r="AE553" i="63"/>
  <c r="AD452" i="63"/>
  <c r="AE452" i="63" s="1"/>
  <c r="AY567" i="63"/>
  <c r="AX468" i="63"/>
  <c r="V575" i="63"/>
  <c r="Z575" i="63"/>
  <c r="AS581" i="63"/>
  <c r="AR579" i="63"/>
  <c r="BM585" i="63"/>
  <c r="BN586" i="63"/>
  <c r="Q39" i="63"/>
  <c r="AO43" i="63"/>
  <c r="V23" i="63"/>
  <c r="BF29" i="63"/>
  <c r="BF58" i="63" s="1"/>
  <c r="BH31" i="63"/>
  <c r="M64" i="63"/>
  <c r="T56" i="63"/>
  <c r="AE71" i="63"/>
  <c r="V76" i="63"/>
  <c r="M52" i="63"/>
  <c r="V88" i="63"/>
  <c r="L101" i="63"/>
  <c r="BJ103" i="63"/>
  <c r="AA107" i="63"/>
  <c r="AQ111" i="63"/>
  <c r="AA120" i="63"/>
  <c r="BJ386" i="63"/>
  <c r="X124" i="63"/>
  <c r="AT124" i="63"/>
  <c r="BF124" i="63"/>
  <c r="W129" i="63"/>
  <c r="Y129" i="63" s="1"/>
  <c r="G388" i="63"/>
  <c r="Q388" i="63"/>
  <c r="T388" i="63" s="1"/>
  <c r="AY388" i="63"/>
  <c r="U132" i="63"/>
  <c r="AA132" i="63" s="1"/>
  <c r="AM132" i="63"/>
  <c r="BN133" i="63"/>
  <c r="U134" i="63"/>
  <c r="AA134" i="63" s="1"/>
  <c r="AY135" i="63"/>
  <c r="N124" i="63"/>
  <c r="T140" i="63"/>
  <c r="K146" i="63"/>
  <c r="S146" i="63"/>
  <c r="AD137" i="63"/>
  <c r="BF170" i="63"/>
  <c r="BH173" i="63"/>
  <c r="U179" i="63"/>
  <c r="X170" i="63"/>
  <c r="BB179" i="63"/>
  <c r="Q185" i="63"/>
  <c r="S185" i="63" s="1"/>
  <c r="Y191" i="63"/>
  <c r="P212" i="63"/>
  <c r="BN212" i="63"/>
  <c r="AS224" i="63"/>
  <c r="AE230" i="63"/>
  <c r="AK131" i="63"/>
  <c r="BQ230" i="63"/>
  <c r="P245" i="63"/>
  <c r="AT236" i="63"/>
  <c r="AQ236" i="63"/>
  <c r="AW236" i="63"/>
  <c r="BB251" i="63"/>
  <c r="P257" i="63"/>
  <c r="BQ257" i="63"/>
  <c r="AN236" i="63"/>
  <c r="BB263" i="63"/>
  <c r="AN269" i="63"/>
  <c r="BD269" i="63"/>
  <c r="BH272" i="63"/>
  <c r="L284" i="63"/>
  <c r="AZ269" i="63"/>
  <c r="BN284" i="63"/>
  <c r="K290" i="63"/>
  <c r="BL269" i="63"/>
  <c r="BN269" i="63" s="1"/>
  <c r="T296" i="63"/>
  <c r="Z296" i="63" s="1"/>
  <c r="AY304" i="63"/>
  <c r="Z306" i="63"/>
  <c r="AE306" i="63"/>
  <c r="P309" i="63"/>
  <c r="Y309" i="63"/>
  <c r="L310" i="63"/>
  <c r="AP310" i="63"/>
  <c r="M316" i="63"/>
  <c r="AZ302" i="63"/>
  <c r="T334" i="63"/>
  <c r="AA352" i="63"/>
  <c r="AB352" i="63" s="1"/>
  <c r="V352" i="63"/>
  <c r="U408" i="63"/>
  <c r="S408" i="63"/>
  <c r="K441" i="63"/>
  <c r="AV443" i="63"/>
  <c r="AS450" i="63"/>
  <c r="AR443" i="63"/>
  <c r="AS443" i="63" s="1"/>
  <c r="AS452" i="63"/>
  <c r="AR454" i="63"/>
  <c r="BD443" i="63"/>
  <c r="BE443" i="63" s="1"/>
  <c r="P462" i="63"/>
  <c r="L462" i="63"/>
  <c r="M462" i="63" s="1"/>
  <c r="BF464" i="63"/>
  <c r="AK468" i="63"/>
  <c r="BK470" i="63"/>
  <c r="BJ464" i="63"/>
  <c r="BB474" i="63"/>
  <c r="BH476" i="63"/>
  <c r="BG464" i="63"/>
  <c r="BJ480" i="63"/>
  <c r="AY481" i="63"/>
  <c r="AW446" i="63"/>
  <c r="BK481" i="63"/>
  <c r="BI446" i="63"/>
  <c r="AJ447" i="63"/>
  <c r="AS487" i="63"/>
  <c r="AR486" i="63"/>
  <c r="AR452" i="63"/>
  <c r="BD452" i="63"/>
  <c r="BE487" i="63"/>
  <c r="BI461" i="63"/>
  <c r="BK461" i="63" s="1"/>
  <c r="Y499" i="63"/>
  <c r="X466" i="63"/>
  <c r="AQ498" i="63"/>
  <c r="AY499" i="63"/>
  <c r="AW466" i="63"/>
  <c r="I504" i="63"/>
  <c r="G471" i="63"/>
  <c r="BL504" i="63"/>
  <c r="BQ520" i="63"/>
  <c r="BO519" i="63"/>
  <c r="BP454" i="63"/>
  <c r="BQ522" i="63"/>
  <c r="AI525" i="63"/>
  <c r="BH526" i="63"/>
  <c r="BG525" i="63"/>
  <c r="U529" i="63"/>
  <c r="AA529" i="63" s="1"/>
  <c r="AB529" i="63" s="1"/>
  <c r="P529" i="63"/>
  <c r="R469" i="63"/>
  <c r="S535" i="63"/>
  <c r="BL537" i="63"/>
  <c r="BN537" i="63" s="1"/>
  <c r="BL472" i="63"/>
  <c r="BN472" i="63" s="1"/>
  <c r="AX466" i="63"/>
  <c r="AX564" i="63"/>
  <c r="U580" i="63"/>
  <c r="AA580" i="63" s="1"/>
  <c r="P580" i="63"/>
  <c r="AM589" i="63"/>
  <c r="AL455" i="63"/>
  <c r="AM598" i="63"/>
  <c r="AL466" i="63"/>
  <c r="U14" i="63"/>
  <c r="AA14" i="63" s="1"/>
  <c r="BH60" i="63"/>
  <c r="AA322" i="63"/>
  <c r="AB322" i="63" s="1"/>
  <c r="V322" i="63"/>
  <c r="AA338" i="63"/>
  <c r="V338" i="63"/>
  <c r="Z44" i="63"/>
  <c r="M18" i="63"/>
  <c r="V18" i="63"/>
  <c r="K48" i="63"/>
  <c r="V21" i="63"/>
  <c r="T51" i="63"/>
  <c r="V24" i="63"/>
  <c r="V59" i="63"/>
  <c r="I31" i="63"/>
  <c r="AS31" i="63"/>
  <c r="BI60" i="63"/>
  <c r="BO60" i="63"/>
  <c r="M32" i="63"/>
  <c r="U61" i="63"/>
  <c r="S40" i="63"/>
  <c r="AE40" i="63"/>
  <c r="AM40" i="63"/>
  <c r="AS40" i="63"/>
  <c r="AY40" i="63"/>
  <c r="AE41" i="63"/>
  <c r="AM41" i="63"/>
  <c r="AS41" i="63"/>
  <c r="AY41" i="63"/>
  <c r="I42" i="63"/>
  <c r="AV42" i="63"/>
  <c r="BB42" i="63"/>
  <c r="BN42" i="63"/>
  <c r="S44" i="63"/>
  <c r="AS44" i="63"/>
  <c r="AY44" i="63"/>
  <c r="BE44" i="63"/>
  <c r="BK44" i="63"/>
  <c r="BE46" i="63"/>
  <c r="BK46" i="63"/>
  <c r="BQ46" i="63"/>
  <c r="P47" i="63"/>
  <c r="AP47" i="63"/>
  <c r="AS49" i="63"/>
  <c r="AY49" i="63"/>
  <c r="BE49" i="63"/>
  <c r="BK49" i="63"/>
  <c r="L50" i="63"/>
  <c r="BH50" i="63"/>
  <c r="Y51" i="63"/>
  <c r="AJ51" i="63"/>
  <c r="I53" i="63"/>
  <c r="S53" i="63"/>
  <c r="AE53" i="63"/>
  <c r="AM53" i="63"/>
  <c r="BH53" i="63"/>
  <c r="BN53" i="63"/>
  <c r="S54" i="63"/>
  <c r="BK55" i="63"/>
  <c r="P56" i="63"/>
  <c r="BK56" i="63"/>
  <c r="Y57" i="63"/>
  <c r="AJ57" i="63"/>
  <c r="AP57" i="63"/>
  <c r="BB57" i="63"/>
  <c r="Y59" i="63"/>
  <c r="AV59" i="63"/>
  <c r="BH59" i="63"/>
  <c r="BN59" i="63"/>
  <c r="H60" i="63"/>
  <c r="P61" i="63"/>
  <c r="BN61" i="63"/>
  <c r="BK62" i="63"/>
  <c r="AS63" i="63"/>
  <c r="P64" i="63"/>
  <c r="V77" i="63"/>
  <c r="AB82" i="63"/>
  <c r="M87" i="63"/>
  <c r="M89" i="63"/>
  <c r="AC70" i="63"/>
  <c r="V91" i="63"/>
  <c r="I92" i="63"/>
  <c r="V97" i="63"/>
  <c r="AJ101" i="63"/>
  <c r="AP101" i="63"/>
  <c r="BB101" i="63"/>
  <c r="G103" i="63"/>
  <c r="I103" i="63" s="1"/>
  <c r="X103" i="63"/>
  <c r="Y106" i="63"/>
  <c r="AJ106" i="63"/>
  <c r="AV106" i="63"/>
  <c r="BH106" i="63"/>
  <c r="BN106" i="63"/>
  <c r="H372" i="63"/>
  <c r="BN109" i="63"/>
  <c r="H374" i="63"/>
  <c r="AJ110" i="63"/>
  <c r="AP374" i="63"/>
  <c r="BH110" i="63"/>
  <c r="AR111" i="63"/>
  <c r="BQ112" i="63"/>
  <c r="AJ113" i="63"/>
  <c r="AP113" i="63"/>
  <c r="BE113" i="63"/>
  <c r="I114" i="63"/>
  <c r="AS114" i="63"/>
  <c r="AY114" i="63"/>
  <c r="AE115" i="63"/>
  <c r="AY115" i="63"/>
  <c r="P116" i="63"/>
  <c r="AM116" i="63"/>
  <c r="AY116" i="63"/>
  <c r="AW117" i="63"/>
  <c r="AY118" i="63"/>
  <c r="AA119" i="63"/>
  <c r="AM119" i="63"/>
  <c r="AY119" i="63"/>
  <c r="BK119" i="63"/>
  <c r="AS121" i="63"/>
  <c r="G124" i="63"/>
  <c r="AM124" i="63"/>
  <c r="AM128" i="63"/>
  <c r="AM130" i="63"/>
  <c r="AM134" i="63"/>
  <c r="Y136" i="63"/>
  <c r="BD124" i="63"/>
  <c r="AS140" i="63"/>
  <c r="AW105" i="63"/>
  <c r="V148" i="63"/>
  <c r="BN152" i="63"/>
  <c r="AM173" i="63"/>
  <c r="AB182" i="63"/>
  <c r="BC131" i="63"/>
  <c r="V198" i="63"/>
  <c r="AB201" i="63"/>
  <c r="AM206" i="63"/>
  <c r="M215" i="63"/>
  <c r="AB215" i="63"/>
  <c r="N203" i="63"/>
  <c r="K203" i="63" s="1"/>
  <c r="BD131" i="63"/>
  <c r="M235" i="63"/>
  <c r="AC236" i="63"/>
  <c r="BK239" i="63"/>
  <c r="BB245" i="63"/>
  <c r="AH236" i="63"/>
  <c r="BK251" i="63"/>
  <c r="BB257" i="63"/>
  <c r="M262" i="63"/>
  <c r="AB262" i="63"/>
  <c r="M264" i="63"/>
  <c r="AP269" i="63"/>
  <c r="M287" i="63"/>
  <c r="AB287" i="63"/>
  <c r="AY303" i="63"/>
  <c r="L397" i="63"/>
  <c r="M338" i="63"/>
  <c r="M356" i="63"/>
  <c r="M360" i="63"/>
  <c r="V377" i="63"/>
  <c r="AX388" i="63"/>
  <c r="BB394" i="63"/>
  <c r="BN401" i="63"/>
  <c r="BB405" i="63"/>
  <c r="BN405" i="63"/>
  <c r="BQ408" i="63"/>
  <c r="AE443" i="63"/>
  <c r="BJ443" i="63"/>
  <c r="BQ456" i="63"/>
  <c r="BP443" i="63"/>
  <c r="BQ443" i="63" s="1"/>
  <c r="AU475" i="63"/>
  <c r="AV475" i="63" s="1"/>
  <c r="AS476" i="63"/>
  <c r="AQ464" i="63"/>
  <c r="O447" i="63"/>
  <c r="AN452" i="63"/>
  <c r="AP487" i="63"/>
  <c r="BQ489" i="63"/>
  <c r="BO454" i="63"/>
  <c r="BQ454" i="63" s="1"/>
  <c r="AM490" i="63"/>
  <c r="AK455" i="63"/>
  <c r="X458" i="63"/>
  <c r="BB459" i="63"/>
  <c r="AD461" i="63"/>
  <c r="AR461" i="63"/>
  <c r="BK466" i="63"/>
  <c r="AU473" i="63"/>
  <c r="AV473" i="63" s="1"/>
  <c r="AV506" i="63"/>
  <c r="AA511" i="63"/>
  <c r="V511" i="63"/>
  <c r="U514" i="63"/>
  <c r="P514" i="63"/>
  <c r="T520" i="63"/>
  <c r="N452" i="63"/>
  <c r="T452" i="63" s="1"/>
  <c r="AZ454" i="63"/>
  <c r="BB522" i="63"/>
  <c r="L527" i="63"/>
  <c r="AS454" i="63"/>
  <c r="P586" i="63"/>
  <c r="T586" i="63"/>
  <c r="Z586" i="63" s="1"/>
  <c r="N585" i="63"/>
  <c r="AV458" i="63"/>
  <c r="Y598" i="63"/>
  <c r="W466" i="63"/>
  <c r="Y466" i="63" s="1"/>
  <c r="BL650" i="63"/>
  <c r="BL644" i="63"/>
  <c r="AY656" i="63"/>
  <c r="AW650" i="63"/>
  <c r="AY650" i="63" s="1"/>
  <c r="AV318" i="63"/>
  <c r="BH318" i="63"/>
  <c r="M401" i="63"/>
  <c r="AS326" i="63"/>
  <c r="BQ326" i="63"/>
  <c r="AB333" i="63"/>
  <c r="AJ334" i="63"/>
  <c r="M337" i="63"/>
  <c r="AE342" i="63"/>
  <c r="BN342" i="63"/>
  <c r="M345" i="63"/>
  <c r="T350" i="63"/>
  <c r="BH350" i="63"/>
  <c r="M355" i="63"/>
  <c r="M365" i="63"/>
  <c r="V376" i="63"/>
  <c r="V378" i="63"/>
  <c r="P394" i="63"/>
  <c r="AS394" i="63"/>
  <c r="AY394" i="63"/>
  <c r="BK394" i="63"/>
  <c r="P396" i="63"/>
  <c r="BN396" i="63"/>
  <c r="BB398" i="63"/>
  <c r="P401" i="63"/>
  <c r="BK401" i="63"/>
  <c r="BQ401" i="63"/>
  <c r="P403" i="63"/>
  <c r="BE403" i="63"/>
  <c r="AM408" i="63"/>
  <c r="I412" i="63"/>
  <c r="AJ412" i="63"/>
  <c r="BQ412" i="63"/>
  <c r="I414" i="63"/>
  <c r="AJ415" i="63"/>
  <c r="AS415" i="63"/>
  <c r="BE415" i="63"/>
  <c r="AE417" i="63"/>
  <c r="BN417" i="63"/>
  <c r="S421" i="63"/>
  <c r="S422" i="63"/>
  <c r="AP422" i="63"/>
  <c r="BB422" i="63"/>
  <c r="AS423" i="63"/>
  <c r="BN423" i="63"/>
  <c r="Y424" i="63"/>
  <c r="AP424" i="63"/>
  <c r="AJ425" i="63"/>
  <c r="AP425" i="63"/>
  <c r="AV425" i="63"/>
  <c r="BE425" i="63"/>
  <c r="BQ425" i="63"/>
  <c r="P426" i="63"/>
  <c r="AJ426" i="63"/>
  <c r="BE426" i="63"/>
  <c r="AV441" i="63"/>
  <c r="BE441" i="63"/>
  <c r="Q443" i="63"/>
  <c r="T443" i="63" s="1"/>
  <c r="Z443" i="63" s="1"/>
  <c r="BG449" i="63"/>
  <c r="BH449" i="63" s="1"/>
  <c r="G443" i="63"/>
  <c r="I443" i="63" s="1"/>
  <c r="U450" i="63"/>
  <c r="AZ443" i="63"/>
  <c r="BE450" i="63"/>
  <c r="I458" i="63"/>
  <c r="I461" i="63"/>
  <c r="AO461" i="63"/>
  <c r="AP461" i="63" s="1"/>
  <c r="BA461" i="63"/>
  <c r="BB461" i="63" s="1"/>
  <c r="BL461" i="63"/>
  <c r="S462" i="63"/>
  <c r="BH462" i="63"/>
  <c r="AL464" i="63"/>
  <c r="AM468" i="63"/>
  <c r="AR469" i="63"/>
  <c r="AS469" i="63" s="1"/>
  <c r="BC469" i="63"/>
  <c r="H464" i="63"/>
  <c r="AP472" i="63"/>
  <c r="BQ476" i="63"/>
  <c r="AM481" i="63"/>
  <c r="AE482" i="63"/>
  <c r="BN482" i="63"/>
  <c r="Y483" i="63"/>
  <c r="BM449" i="63"/>
  <c r="AM488" i="63"/>
  <c r="BC453" i="63"/>
  <c r="AV489" i="63"/>
  <c r="BK489" i="63"/>
  <c r="AY490" i="63"/>
  <c r="BH493" i="63"/>
  <c r="AX492" i="63"/>
  <c r="AR460" i="63"/>
  <c r="BE495" i="63"/>
  <c r="BK496" i="63"/>
  <c r="AM499" i="63"/>
  <c r="BK499" i="63"/>
  <c r="AP500" i="63"/>
  <c r="S502" i="63"/>
  <c r="AK469" i="63"/>
  <c r="AM469" i="63" s="1"/>
  <c r="BB502" i="63"/>
  <c r="L505" i="63"/>
  <c r="AD504" i="63"/>
  <c r="BB505" i="63"/>
  <c r="BH506" i="63"/>
  <c r="BJ474" i="63"/>
  <c r="BK474" i="63" s="1"/>
  <c r="BQ507" i="63"/>
  <c r="M509" i="63"/>
  <c r="I513" i="63"/>
  <c r="BM513" i="63"/>
  <c r="BN513" i="63" s="1"/>
  <c r="BB514" i="63"/>
  <c r="AS516" i="63"/>
  <c r="AY516" i="63"/>
  <c r="BE516" i="63"/>
  <c r="AV517" i="63"/>
  <c r="P520" i="63"/>
  <c r="BD519" i="63"/>
  <c r="BE521" i="63"/>
  <c r="BK521" i="63"/>
  <c r="S522" i="63"/>
  <c r="BH522" i="63"/>
  <c r="Y523" i="63"/>
  <c r="BN523" i="63"/>
  <c r="M524" i="63"/>
  <c r="AE526" i="63"/>
  <c r="AQ525" i="63"/>
  <c r="BH527" i="63"/>
  <c r="BN527" i="63"/>
  <c r="BH532" i="63"/>
  <c r="BM531" i="63"/>
  <c r="K533" i="63"/>
  <c r="S533" i="63"/>
  <c r="AK531" i="63"/>
  <c r="BE533" i="63"/>
  <c r="W531" i="63"/>
  <c r="AE534" i="63"/>
  <c r="AY534" i="63"/>
  <c r="T535" i="63"/>
  <c r="Z535" i="63" s="1"/>
  <c r="AM535" i="63"/>
  <c r="AS535" i="63"/>
  <c r="BE535" i="63"/>
  <c r="L538" i="63"/>
  <c r="AL537" i="63"/>
  <c r="BM537" i="63"/>
  <c r="AJ541" i="63"/>
  <c r="AV541" i="63"/>
  <c r="L547" i="63"/>
  <c r="T550" i="63"/>
  <c r="Z550" i="63" s="1"/>
  <c r="AJ550" i="63"/>
  <c r="BL552" i="63"/>
  <c r="Q552" i="63"/>
  <c r="Y554" i="63"/>
  <c r="AV554" i="63"/>
  <c r="AE555" i="63"/>
  <c r="AS555" i="63"/>
  <c r="U556" i="63"/>
  <c r="AA556" i="63" s="1"/>
  <c r="AJ556" i="63"/>
  <c r="AV556" i="63"/>
  <c r="BH559" i="63"/>
  <c r="AM560" i="63"/>
  <c r="AS560" i="63"/>
  <c r="T561" i="63"/>
  <c r="AV561" i="63"/>
  <c r="AE562" i="63"/>
  <c r="U565" i="63"/>
  <c r="Y565" i="63"/>
  <c r="S566" i="63"/>
  <c r="BE566" i="63"/>
  <c r="Y567" i="63"/>
  <c r="BB568" i="63"/>
  <c r="N570" i="63"/>
  <c r="AH570" i="63"/>
  <c r="BL570" i="63"/>
  <c r="AP580" i="63"/>
  <c r="BB580" i="63"/>
  <c r="AE582" i="63"/>
  <c r="AM582" i="63"/>
  <c r="AE586" i="63"/>
  <c r="AS586" i="63"/>
  <c r="BI585" i="63"/>
  <c r="AS587" i="63"/>
  <c r="BK587" i="63"/>
  <c r="BN589" i="63"/>
  <c r="AV592" i="63"/>
  <c r="BH592" i="63"/>
  <c r="AS593" i="63"/>
  <c r="AY593" i="63"/>
  <c r="BQ593" i="63"/>
  <c r="AJ594" i="63"/>
  <c r="AE601" i="63"/>
  <c r="P637" i="63"/>
  <c r="N636" i="63"/>
  <c r="W636" i="63"/>
  <c r="BH666" i="63"/>
  <c r="AA791" i="63"/>
  <c r="AB791" i="63" s="1"/>
  <c r="V791" i="63"/>
  <c r="G760" i="63"/>
  <c r="BF815" i="63"/>
  <c r="BH815" i="63" s="1"/>
  <c r="AM1080" i="63"/>
  <c r="S454" i="63"/>
  <c r="BK468" i="63"/>
  <c r="AX449" i="63"/>
  <c r="AK486" i="63"/>
  <c r="AN460" i="63"/>
  <c r="BP460" i="63"/>
  <c r="AO467" i="63"/>
  <c r="AP467" i="63" s="1"/>
  <c r="AW469" i="63"/>
  <c r="BI469" i="63"/>
  <c r="BK469" i="63" s="1"/>
  <c r="AD525" i="63"/>
  <c r="BD525" i="63"/>
  <c r="U535" i="63"/>
  <c r="BG564" i="63"/>
  <c r="AK564" i="63"/>
  <c r="BI579" i="63"/>
  <c r="BI578" i="63" s="1"/>
  <c r="AX591" i="63"/>
  <c r="BB615" i="63"/>
  <c r="BA612" i="63"/>
  <c r="T632" i="63"/>
  <c r="Z632" i="63" s="1"/>
  <c r="T680" i="63"/>
  <c r="Z680" i="63" s="1"/>
  <c r="Z418" i="63" s="1"/>
  <c r="K680" i="63"/>
  <c r="K418" i="63" s="1"/>
  <c r="BQ785" i="63"/>
  <c r="BO782" i="63"/>
  <c r="AA855" i="63"/>
  <c r="V855" i="63"/>
  <c r="P410" i="63"/>
  <c r="AV410" i="63"/>
  <c r="BE410" i="63"/>
  <c r="AS412" i="63"/>
  <c r="BN412" i="63"/>
  <c r="I416" i="63"/>
  <c r="V416" i="63"/>
  <c r="I417" i="63"/>
  <c r="Y417" i="63"/>
  <c r="AV417" i="63"/>
  <c r="P419" i="63"/>
  <c r="AJ419" i="63"/>
  <c r="AS419" i="63"/>
  <c r="BQ419" i="63"/>
  <c r="AJ421" i="63"/>
  <c r="AS421" i="63"/>
  <c r="BQ421" i="63"/>
  <c r="AM422" i="63"/>
  <c r="BE422" i="63"/>
  <c r="BQ422" i="63"/>
  <c r="P423" i="63"/>
  <c r="BK423" i="63"/>
  <c r="AM424" i="63"/>
  <c r="BE424" i="63"/>
  <c r="BB426" i="63"/>
  <c r="AD443" i="63"/>
  <c r="BA443" i="63"/>
  <c r="AW443" i="63"/>
  <c r="AY443" i="63" s="1"/>
  <c r="L456" i="63"/>
  <c r="AE456" i="63"/>
  <c r="AY459" i="63"/>
  <c r="I460" i="63"/>
  <c r="AT460" i="63"/>
  <c r="AV460" i="63" s="1"/>
  <c r="AS462" i="63"/>
  <c r="AY470" i="63"/>
  <c r="I473" i="63"/>
  <c r="AJ476" i="63"/>
  <c r="AV476" i="63"/>
  <c r="O480" i="63"/>
  <c r="Y481" i="63"/>
  <c r="BH481" i="63"/>
  <c r="Y482" i="63"/>
  <c r="AV482" i="63"/>
  <c r="AY483" i="63"/>
  <c r="AE484" i="63"/>
  <c r="BE484" i="63"/>
  <c r="I486" i="63"/>
  <c r="AE487" i="63"/>
  <c r="BM486" i="63"/>
  <c r="Y488" i="63"/>
  <c r="BH488" i="63"/>
  <c r="AE489" i="63"/>
  <c r="BN489" i="63"/>
  <c r="Y490" i="63"/>
  <c r="M491" i="63"/>
  <c r="AS493" i="63"/>
  <c r="BN494" i="63"/>
  <c r="M497" i="63"/>
  <c r="BE500" i="63"/>
  <c r="AO498" i="63"/>
  <c r="AV501" i="63"/>
  <c r="BQ502" i="63"/>
  <c r="AM505" i="63"/>
  <c r="L507" i="63"/>
  <c r="AP507" i="63"/>
  <c r="BB507" i="63"/>
  <c r="BE508" i="63"/>
  <c r="M511" i="63"/>
  <c r="L514" i="63"/>
  <c r="AM514" i="63"/>
  <c r="AE515" i="63"/>
  <c r="AY515" i="63"/>
  <c r="BH515" i="63"/>
  <c r="BN516" i="63"/>
  <c r="BK517" i="63"/>
  <c r="BQ517" i="63"/>
  <c r="AV521" i="63"/>
  <c r="BH521" i="63"/>
  <c r="AS522" i="63"/>
  <c r="AY523" i="63"/>
  <c r="AV526" i="63"/>
  <c r="BF525" i="63"/>
  <c r="U527" i="63"/>
  <c r="AY527" i="63"/>
  <c r="X525" i="63"/>
  <c r="AY528" i="63"/>
  <c r="BE528" i="63"/>
  <c r="BK528" i="63"/>
  <c r="L529" i="63"/>
  <c r="AM529" i="63"/>
  <c r="AS529" i="63"/>
  <c r="BB529" i="63"/>
  <c r="BN529" i="63"/>
  <c r="Y532" i="63"/>
  <c r="AT531" i="63"/>
  <c r="P533" i="63"/>
  <c r="AP533" i="63"/>
  <c r="AV533" i="63"/>
  <c r="AJ534" i="63"/>
  <c r="AP535" i="63"/>
  <c r="BF537" i="63"/>
  <c r="BH539" i="63"/>
  <c r="AY540" i="63"/>
  <c r="Z541" i="63"/>
  <c r="BE541" i="63"/>
  <c r="BQ541" i="63"/>
  <c r="I546" i="63"/>
  <c r="BK547" i="63"/>
  <c r="BO546" i="63"/>
  <c r="AM548" i="63"/>
  <c r="AS548" i="63"/>
  <c r="BE548" i="63"/>
  <c r="AJ549" i="63"/>
  <c r="AP549" i="63"/>
  <c r="BQ549" i="63"/>
  <c r="BB550" i="63"/>
  <c r="BH550" i="63"/>
  <c r="BH555" i="63"/>
  <c r="BN555" i="63"/>
  <c r="AE559" i="63"/>
  <c r="AY562" i="63"/>
  <c r="K568" i="63"/>
  <c r="T568" i="63"/>
  <c r="Z568" i="63" s="1"/>
  <c r="AE568" i="63"/>
  <c r="AP571" i="63"/>
  <c r="BB571" i="63"/>
  <c r="S572" i="63"/>
  <c r="AS572" i="63"/>
  <c r="BI570" i="63"/>
  <c r="AJ574" i="63"/>
  <c r="AV574" i="63"/>
  <c r="BH574" i="63"/>
  <c r="AM581" i="63"/>
  <c r="BH583" i="63"/>
  <c r="AC585" i="63"/>
  <c r="AM588" i="63"/>
  <c r="AS588" i="63"/>
  <c r="BK588" i="63"/>
  <c r="BQ588" i="63"/>
  <c r="AS595" i="63"/>
  <c r="AY595" i="63"/>
  <c r="AW597" i="63"/>
  <c r="BK599" i="63"/>
  <c r="BQ599" i="63"/>
  <c r="BC863" i="63"/>
  <c r="BE835" i="63"/>
  <c r="Z838" i="63"/>
  <c r="AB838" i="63" s="1"/>
  <c r="V838" i="63"/>
  <c r="T949" i="63"/>
  <c r="Q934" i="63"/>
  <c r="Q925" i="63" s="1"/>
  <c r="BB934" i="63"/>
  <c r="BA925" i="63"/>
  <c r="BL1035" i="63"/>
  <c r="BL934" i="63"/>
  <c r="BN934" i="63" s="1"/>
  <c r="P954" i="63"/>
  <c r="U954" i="63"/>
  <c r="O941" i="63"/>
  <c r="AE984" i="63"/>
  <c r="AC919" i="63"/>
  <c r="I537" i="63"/>
  <c r="Y538" i="63"/>
  <c r="BE539" i="63"/>
  <c r="AO537" i="63"/>
  <c r="AV540" i="63"/>
  <c r="BN540" i="63"/>
  <c r="K541" i="63"/>
  <c r="S541" i="63"/>
  <c r="BB541" i="63"/>
  <c r="AH546" i="63"/>
  <c r="AT546" i="63"/>
  <c r="BB547" i="63"/>
  <c r="BQ547" i="63"/>
  <c r="AV548" i="63"/>
  <c r="BK548" i="63"/>
  <c r="BQ548" i="63"/>
  <c r="T549" i="63"/>
  <c r="Z549" i="63" s="1"/>
  <c r="BB549" i="63"/>
  <c r="AM550" i="63"/>
  <c r="AS550" i="63"/>
  <c r="M551" i="63"/>
  <c r="N552" i="63"/>
  <c r="L553" i="63"/>
  <c r="M553" i="63" s="1"/>
  <c r="AS553" i="63"/>
  <c r="AM554" i="63"/>
  <c r="BH554" i="63"/>
  <c r="AJ555" i="63"/>
  <c r="AP555" i="63"/>
  <c r="AV555" i="63"/>
  <c r="BE555" i="63"/>
  <c r="BQ555" i="63"/>
  <c r="AM556" i="63"/>
  <c r="BH556" i="63"/>
  <c r="AX558" i="63"/>
  <c r="BE559" i="63"/>
  <c r="Y560" i="63"/>
  <c r="AP560" i="63"/>
  <c r="S561" i="63"/>
  <c r="BE561" i="63"/>
  <c r="BB562" i="63"/>
  <c r="I564" i="63"/>
  <c r="AQ564" i="63"/>
  <c r="AY565" i="63"/>
  <c r="BO564" i="63"/>
  <c r="AJ566" i="63"/>
  <c r="AP566" i="63"/>
  <c r="AV566" i="63"/>
  <c r="AJ567" i="63"/>
  <c r="BB567" i="63"/>
  <c r="BK567" i="63"/>
  <c r="AS568" i="63"/>
  <c r="BE568" i="63"/>
  <c r="I570" i="63"/>
  <c r="U571" i="63"/>
  <c r="BN571" i="63"/>
  <c r="Y572" i="63"/>
  <c r="AM573" i="63"/>
  <c r="AY573" i="63"/>
  <c r="AM574" i="63"/>
  <c r="BN574" i="63"/>
  <c r="M575" i="63"/>
  <c r="I579" i="63"/>
  <c r="BN580" i="63"/>
  <c r="T581" i="63"/>
  <c r="Z581" i="63" s="1"/>
  <c r="AJ581" i="63"/>
  <c r="AZ579" i="63"/>
  <c r="AY583" i="63"/>
  <c r="BN583" i="63"/>
  <c r="S586" i="63"/>
  <c r="AO585" i="63"/>
  <c r="AZ585" i="63"/>
  <c r="AV587" i="63"/>
  <c r="BQ587" i="63"/>
  <c r="T588" i="63"/>
  <c r="BB588" i="63"/>
  <c r="BN588" i="63"/>
  <c r="BQ589" i="63"/>
  <c r="BO591" i="63"/>
  <c r="P593" i="63"/>
  <c r="AJ593" i="63"/>
  <c r="BN593" i="63"/>
  <c r="S594" i="63"/>
  <c r="AE594" i="63"/>
  <c r="AS594" i="63"/>
  <c r="AY594" i="63"/>
  <c r="AV595" i="63"/>
  <c r="BB595" i="63"/>
  <c r="AY598" i="63"/>
  <c r="AM604" i="63"/>
  <c r="AS606" i="63"/>
  <c r="AE619" i="63"/>
  <c r="I624" i="63"/>
  <c r="AS625" i="63"/>
  <c r="BC624" i="63"/>
  <c r="AV626" i="63"/>
  <c r="AU624" i="63"/>
  <c r="BB626" i="63"/>
  <c r="AE627" i="63"/>
  <c r="AL624" i="63"/>
  <c r="AS627" i="63"/>
  <c r="AX630" i="63"/>
  <c r="AY630" i="63" s="1"/>
  <c r="BC630" i="63"/>
  <c r="U632" i="63"/>
  <c r="AA632" i="63" s="1"/>
  <c r="AB632" i="63" s="1"/>
  <c r="P632" i="63"/>
  <c r="Y637" i="63"/>
  <c r="BB637" i="63"/>
  <c r="AZ636" i="63"/>
  <c r="AJ643" i="63"/>
  <c r="AP645" i="63"/>
  <c r="BH647" i="63"/>
  <c r="BN647" i="63"/>
  <c r="X644" i="63"/>
  <c r="X650" i="63"/>
  <c r="AO650" i="63"/>
  <c r="AP652" i="63"/>
  <c r="L656" i="63"/>
  <c r="AD648" i="63"/>
  <c r="BK656" i="63"/>
  <c r="BB664" i="63"/>
  <c r="N666" i="63"/>
  <c r="AC666" i="63"/>
  <c r="AQ666" i="63"/>
  <c r="AH666" i="63"/>
  <c r="BK672" i="63"/>
  <c r="BO666" i="63"/>
  <c r="I674" i="63"/>
  <c r="AU674" i="63"/>
  <c r="AJ690" i="63"/>
  <c r="AA710" i="63"/>
  <c r="AJ729" i="63"/>
  <c r="AE740" i="63"/>
  <c r="AC737" i="63"/>
  <c r="AA745" i="63"/>
  <c r="AB745" i="63" s="1"/>
  <c r="V745" i="63"/>
  <c r="P766" i="63"/>
  <c r="BP770" i="63"/>
  <c r="BP769" i="63" s="1"/>
  <c r="I782" i="63"/>
  <c r="Y782" i="63"/>
  <c r="BL782" i="63"/>
  <c r="BN782" i="63" s="1"/>
  <c r="AY790" i="63"/>
  <c r="BE790" i="63"/>
  <c r="I798" i="63"/>
  <c r="BQ803" i="63"/>
  <c r="AH872" i="63"/>
  <c r="AH829" i="63"/>
  <c r="BF879" i="63"/>
  <c r="BH853" i="63"/>
  <c r="AK862" i="63"/>
  <c r="BO892" i="63"/>
  <c r="BO885" i="63" s="1"/>
  <c r="BO915" i="63" s="1"/>
  <c r="BQ895" i="63"/>
  <c r="BO890" i="63"/>
  <c r="P935" i="63"/>
  <c r="O919" i="63"/>
  <c r="S919" i="63"/>
  <c r="N1058" i="63"/>
  <c r="N983" i="63"/>
  <c r="AR1058" i="63"/>
  <c r="AR983" i="63"/>
  <c r="AR974" i="63" s="1"/>
  <c r="AR918" i="63" s="1"/>
  <c r="BP1058" i="63"/>
  <c r="BP983" i="63"/>
  <c r="BP974" i="63" s="1"/>
  <c r="BP918" i="63" s="1"/>
  <c r="AA1021" i="63"/>
  <c r="V1021" i="63"/>
  <c r="M617" i="63"/>
  <c r="G611" i="63"/>
  <c r="BP624" i="63"/>
  <c r="Y631" i="63"/>
  <c r="AS654" i="63"/>
  <c r="AY654" i="63"/>
  <c r="BQ654" i="63"/>
  <c r="N648" i="63"/>
  <c r="W648" i="63"/>
  <c r="AP662" i="63"/>
  <c r="BF646" i="63"/>
  <c r="K676" i="63"/>
  <c r="N674" i="63"/>
  <c r="T674" i="63" s="1"/>
  <c r="Z674" i="63" s="1"/>
  <c r="T676" i="63"/>
  <c r="Z676" i="63" s="1"/>
  <c r="M688" i="63"/>
  <c r="R709" i="63"/>
  <c r="AW815" i="63"/>
  <c r="AY815" i="63" s="1"/>
  <c r="S724" i="63"/>
  <c r="AA743" i="63"/>
  <c r="AB743" i="63" s="1"/>
  <c r="V743" i="63"/>
  <c r="V777" i="63"/>
  <c r="Z777" i="63"/>
  <c r="AY794" i="63"/>
  <c r="U801" i="63"/>
  <c r="U762" i="63" s="1"/>
  <c r="V848" i="63"/>
  <c r="T878" i="63"/>
  <c r="V852" i="63"/>
  <c r="S881" i="63"/>
  <c r="BI890" i="63"/>
  <c r="BI862" i="63" s="1"/>
  <c r="BK862" i="63" s="1"/>
  <c r="P921" i="63"/>
  <c r="U921" i="63"/>
  <c r="AN1028" i="63"/>
  <c r="AN925" i="63"/>
  <c r="AN918" i="63" s="1"/>
  <c r="BN936" i="63"/>
  <c r="BM920" i="63"/>
  <c r="BN920" i="63" s="1"/>
  <c r="S616" i="63"/>
  <c r="BG618" i="63"/>
  <c r="BK637" i="63"/>
  <c r="AR650" i="63"/>
  <c r="AR644" i="63"/>
  <c r="Z654" i="63"/>
  <c r="U656" i="63"/>
  <c r="P656" i="63"/>
  <c r="Y660" i="63"/>
  <c r="X658" i="63"/>
  <c r="Y658" i="63" s="1"/>
  <c r="BB660" i="63"/>
  <c r="AP678" i="63"/>
  <c r="AS680" i="63"/>
  <c r="AR674" i="63"/>
  <c r="BN682" i="63"/>
  <c r="U711" i="63"/>
  <c r="AA711" i="63" s="1"/>
  <c r="AP711" i="63"/>
  <c r="U721" i="63"/>
  <c r="L721" i="63"/>
  <c r="AC711" i="63"/>
  <c r="AE711" i="63" s="1"/>
  <c r="AE723" i="63"/>
  <c r="AP725" i="63"/>
  <c r="BN725" i="63"/>
  <c r="V728" i="63"/>
  <c r="Z728" i="63"/>
  <c r="V736" i="63"/>
  <c r="F770" i="63"/>
  <c r="AR758" i="63"/>
  <c r="U773" i="63"/>
  <c r="AZ760" i="63"/>
  <c r="BE832" i="63"/>
  <c r="BQ832" i="63"/>
  <c r="S833" i="63"/>
  <c r="AE833" i="63"/>
  <c r="BJ862" i="63"/>
  <c r="BJ829" i="63"/>
  <c r="AV839" i="63"/>
  <c r="AU836" i="63"/>
  <c r="AU829" i="63" s="1"/>
  <c r="BG867" i="63"/>
  <c r="BH867" i="63" s="1"/>
  <c r="BG836" i="63"/>
  <c r="BG829" i="63" s="1"/>
  <c r="BG834" i="63"/>
  <c r="BH834" i="63" s="1"/>
  <c r="BH839" i="63"/>
  <c r="U883" i="63"/>
  <c r="V883" i="63" s="1"/>
  <c r="V857" i="63"/>
  <c r="L880" i="63"/>
  <c r="M880" i="63" s="1"/>
  <c r="BL922" i="63"/>
  <c r="BN922" i="63" s="1"/>
  <c r="AQ919" i="63"/>
  <c r="AW919" i="63"/>
  <c r="BE935" i="63"/>
  <c r="BC919" i="63"/>
  <c r="BE919" i="63" s="1"/>
  <c r="AM936" i="63"/>
  <c r="AL920" i="63"/>
  <c r="AM920" i="63" s="1"/>
  <c r="BI920" i="63"/>
  <c r="BK936" i="63"/>
  <c r="T939" i="63"/>
  <c r="Z939" i="63" s="1"/>
  <c r="BM1051" i="63"/>
  <c r="BN1051" i="63" s="1"/>
  <c r="BQ865" i="63"/>
  <c r="Y866" i="63"/>
  <c r="BK870" i="63"/>
  <c r="P871" i="63"/>
  <c r="BK873" i="63"/>
  <c r="P875" i="63"/>
  <c r="AJ875" i="63"/>
  <c r="AP875" i="63"/>
  <c r="BQ875" i="63"/>
  <c r="Y876" i="63"/>
  <c r="AP876" i="63"/>
  <c r="BH876" i="63"/>
  <c r="BN876" i="63"/>
  <c r="AP877" i="63"/>
  <c r="AV877" i="63"/>
  <c r="BB877" i="63"/>
  <c r="BN877" i="63"/>
  <c r="S878" i="63"/>
  <c r="AV880" i="63"/>
  <c r="BB880" i="63"/>
  <c r="BN880" i="63"/>
  <c r="AM882" i="63"/>
  <c r="AS882" i="63"/>
  <c r="I883" i="63"/>
  <c r="S883" i="63"/>
  <c r="AE883" i="63"/>
  <c r="AS883" i="63"/>
  <c r="AS887" i="63"/>
  <c r="BE887" i="63"/>
  <c r="AS888" i="63"/>
  <c r="BE888" i="63"/>
  <c r="AB908" i="63"/>
  <c r="BN921" i="63"/>
  <c r="AM923" i="63"/>
  <c r="BB923" i="63"/>
  <c r="L924" i="63"/>
  <c r="AO1028" i="63"/>
  <c r="AP926" i="63"/>
  <c r="G919" i="63"/>
  <c r="AY935" i="63"/>
  <c r="BK935" i="63"/>
  <c r="AY942" i="63"/>
  <c r="BK942" i="63"/>
  <c r="AV943" i="63"/>
  <c r="BB943" i="63"/>
  <c r="BN943" i="63"/>
  <c r="AJ944" i="63"/>
  <c r="BB944" i="63"/>
  <c r="BN944" i="63"/>
  <c r="AM945" i="63"/>
  <c r="P946" i="63"/>
  <c r="AP947" i="63"/>
  <c r="BN947" i="63"/>
  <c r="AO1037" i="63"/>
  <c r="AO941" i="63"/>
  <c r="AP941" i="63" s="1"/>
  <c r="U975" i="63"/>
  <c r="BI1051" i="63"/>
  <c r="BI974" i="63"/>
  <c r="BI918" i="63" s="1"/>
  <c r="AM984" i="63"/>
  <c r="U989" i="63"/>
  <c r="L989" i="63"/>
  <c r="P989" i="63"/>
  <c r="U1094" i="63"/>
  <c r="L1094" i="63"/>
  <c r="P1094" i="63"/>
  <c r="AD1080" i="63"/>
  <c r="AE1080" i="63" s="1"/>
  <c r="AE1096" i="63"/>
  <c r="BE1097" i="63"/>
  <c r="BD1081" i="63"/>
  <c r="BB1098" i="63"/>
  <c r="BA1082" i="63"/>
  <c r="BB1082" i="63" s="1"/>
  <c r="BN1098" i="63"/>
  <c r="BM1082" i="63"/>
  <c r="BN1082" i="63" s="1"/>
  <c r="S1125" i="63"/>
  <c r="R1099" i="63"/>
  <c r="Y1133" i="63"/>
  <c r="BK1144" i="63"/>
  <c r="BI1079" i="63"/>
  <c r="AJ1146" i="63"/>
  <c r="AI1081" i="63"/>
  <c r="AV1146" i="63"/>
  <c r="AU1081" i="63"/>
  <c r="AR1082" i="63"/>
  <c r="AS1147" i="63"/>
  <c r="BI1214" i="63"/>
  <c r="BK1188" i="63"/>
  <c r="AN1215" i="63"/>
  <c r="AP1189" i="63"/>
  <c r="AH1223" i="63"/>
  <c r="AH1187" i="63"/>
  <c r="BK598" i="63"/>
  <c r="AP599" i="63"/>
  <c r="AE600" i="63"/>
  <c r="AM600" i="63"/>
  <c r="AY600" i="63"/>
  <c r="L601" i="63"/>
  <c r="AV601" i="63"/>
  <c r="BB601" i="63"/>
  <c r="M602" i="63"/>
  <c r="BM603" i="63"/>
  <c r="BN603" i="63" s="1"/>
  <c r="BB604" i="63"/>
  <c r="AE605" i="63"/>
  <c r="BE605" i="63"/>
  <c r="U606" i="63"/>
  <c r="AA606" i="63" s="1"/>
  <c r="Y606" i="63"/>
  <c r="AP606" i="63"/>
  <c r="AE607" i="63"/>
  <c r="BB607" i="63"/>
  <c r="AN612" i="63"/>
  <c r="K614" i="63"/>
  <c r="AV614" i="63"/>
  <c r="U615" i="63"/>
  <c r="V615" i="63" s="1"/>
  <c r="AD612" i="63"/>
  <c r="AM615" i="63"/>
  <c r="AS615" i="63"/>
  <c r="Y616" i="63"/>
  <c r="AY616" i="63"/>
  <c r="BE616" i="63"/>
  <c r="W618" i="63"/>
  <c r="AS619" i="63"/>
  <c r="BQ619" i="63"/>
  <c r="K621" i="63"/>
  <c r="BN621" i="63"/>
  <c r="AE622" i="63"/>
  <c r="AM622" i="63"/>
  <c r="AY622" i="63"/>
  <c r="BH625" i="63"/>
  <c r="Y627" i="63"/>
  <c r="BK628" i="63"/>
  <c r="AC630" i="63"/>
  <c r="BH631" i="63"/>
  <c r="BK632" i="63"/>
  <c r="BQ632" i="63"/>
  <c r="BN633" i="63"/>
  <c r="S634" i="63"/>
  <c r="BB634" i="63"/>
  <c r="BH634" i="63"/>
  <c r="S638" i="63"/>
  <c r="AS638" i="63"/>
  <c r="BE638" i="63"/>
  <c r="P639" i="63"/>
  <c r="BB639" i="63"/>
  <c r="BK640" i="63"/>
  <c r="BQ640" i="63"/>
  <c r="AE645" i="63"/>
  <c r="U647" i="63"/>
  <c r="AE647" i="63"/>
  <c r="AM647" i="63"/>
  <c r="BK647" i="63"/>
  <c r="AE649" i="63"/>
  <c r="AM649" i="63"/>
  <c r="AD650" i="63"/>
  <c r="L650" i="63" s="1"/>
  <c r="BB652" i="63"/>
  <c r="S654" i="63"/>
  <c r="AJ654" i="63"/>
  <c r="AO646" i="63"/>
  <c r="AZ646" i="63"/>
  <c r="BN654" i="63"/>
  <c r="Y656" i="63"/>
  <c r="AO648" i="63"/>
  <c r="AZ648" i="63"/>
  <c r="R658" i="63"/>
  <c r="M661" i="63"/>
  <c r="N658" i="63"/>
  <c r="T658" i="63" s="1"/>
  <c r="Z658" i="63" s="1"/>
  <c r="BM658" i="63"/>
  <c r="AM664" i="63"/>
  <c r="AY664" i="63"/>
  <c r="M665" i="63"/>
  <c r="I666" i="63"/>
  <c r="T668" i="63"/>
  <c r="Z668" i="63" s="1"/>
  <c r="Z407" i="63" s="1"/>
  <c r="Y668" i="63"/>
  <c r="BE668" i="63"/>
  <c r="BJ666" i="63"/>
  <c r="S670" i="63"/>
  <c r="AE670" i="63"/>
  <c r="AL666" i="63"/>
  <c r="BE670" i="63"/>
  <c r="X666" i="63"/>
  <c r="AJ672" i="63"/>
  <c r="BI674" i="63"/>
  <c r="BO674" i="63"/>
  <c r="M677" i="63"/>
  <c r="Y680" i="63"/>
  <c r="AP680" i="63"/>
  <c r="BB680" i="63"/>
  <c r="BN680" i="63"/>
  <c r="AS682" i="63"/>
  <c r="AY682" i="63"/>
  <c r="BQ682" i="63"/>
  <c r="AB689" i="63"/>
  <c r="I690" i="63"/>
  <c r="AM690" i="63"/>
  <c r="BH690" i="63"/>
  <c r="M696" i="63"/>
  <c r="AI758" i="63"/>
  <c r="AU758" i="63"/>
  <c r="BB711" i="63"/>
  <c r="I713" i="63"/>
  <c r="AM721" i="63"/>
  <c r="BE721" i="63"/>
  <c r="BN721" i="63"/>
  <c r="U725" i="63"/>
  <c r="S729" i="63"/>
  <c r="BN729" i="63"/>
  <c r="AS733" i="63"/>
  <c r="BK733" i="63"/>
  <c r="I737" i="63"/>
  <c r="AV737" i="63"/>
  <c r="BN737" i="63"/>
  <c r="V744" i="63"/>
  <c r="AE766" i="63"/>
  <c r="BB766" i="63"/>
  <c r="BN766" i="63"/>
  <c r="BJ759" i="63"/>
  <c r="R770" i="63"/>
  <c r="BA770" i="63"/>
  <c r="BA769" i="63" s="1"/>
  <c r="BH786" i="63"/>
  <c r="M788" i="63"/>
  <c r="AB788" i="63"/>
  <c r="AV790" i="63"/>
  <c r="BQ790" i="63"/>
  <c r="Y794" i="63"/>
  <c r="BQ799" i="63"/>
  <c r="BN801" i="63"/>
  <c r="M802" i="63"/>
  <c r="AM803" i="63"/>
  <c r="Y807" i="63"/>
  <c r="AJ807" i="63"/>
  <c r="BE807" i="63"/>
  <c r="U813" i="63"/>
  <c r="I816" i="63"/>
  <c r="BH822" i="63"/>
  <c r="AH863" i="63"/>
  <c r="AR836" i="63"/>
  <c r="G867" i="63"/>
  <c r="I867" i="63" s="1"/>
  <c r="G836" i="63"/>
  <c r="AC867" i="63"/>
  <c r="AC834" i="63"/>
  <c r="K868" i="63"/>
  <c r="M868" i="63" s="1"/>
  <c r="Z840" i="63"/>
  <c r="T868" i="63"/>
  <c r="U870" i="63"/>
  <c r="AA842" i="63"/>
  <c r="AB842" i="63" s="1"/>
  <c r="G829" i="63"/>
  <c r="Q872" i="63"/>
  <c r="BG872" i="63"/>
  <c r="BH844" i="63"/>
  <c r="AX863" i="63"/>
  <c r="P865" i="63"/>
  <c r="AY868" i="63"/>
  <c r="P869" i="63"/>
  <c r="Y870" i="63"/>
  <c r="AP871" i="63"/>
  <c r="AV871" i="63"/>
  <c r="BH871" i="63"/>
  <c r="BN871" i="63"/>
  <c r="P873" i="63"/>
  <c r="Y873" i="63"/>
  <c r="AJ873" i="63"/>
  <c r="AP873" i="63"/>
  <c r="Y874" i="63"/>
  <c r="AP874" i="63"/>
  <c r="AE881" i="63"/>
  <c r="AS881" i="63"/>
  <c r="BE881" i="63"/>
  <c r="P882" i="63"/>
  <c r="BB886" i="63"/>
  <c r="G861" i="63"/>
  <c r="BQ887" i="63"/>
  <c r="AJ889" i="63"/>
  <c r="AP889" i="63"/>
  <c r="BB889" i="63"/>
  <c r="AH862" i="63"/>
  <c r="U891" i="63"/>
  <c r="L891" i="63"/>
  <c r="BM892" i="63"/>
  <c r="BM885" i="63" s="1"/>
  <c r="BA892" i="63"/>
  <c r="BA890" i="63"/>
  <c r="S900" i="63"/>
  <c r="BN900" i="63"/>
  <c r="V906" i="63"/>
  <c r="AA906" i="63"/>
  <c r="AB906" i="63" s="1"/>
  <c r="V908" i="63"/>
  <c r="AE909" i="63"/>
  <c r="AY909" i="63"/>
  <c r="BK909" i="63"/>
  <c r="BQ909" i="63"/>
  <c r="AK924" i="63"/>
  <c r="AM924" i="63" s="1"/>
  <c r="BK924" i="63"/>
  <c r="X934" i="63"/>
  <c r="X925" i="63" s="1"/>
  <c r="U936" i="63"/>
  <c r="O920" i="63"/>
  <c r="U920" i="63" s="1"/>
  <c r="AZ920" i="63"/>
  <c r="BF920" i="63"/>
  <c r="U937" i="63"/>
  <c r="R922" i="63"/>
  <c r="AS938" i="63"/>
  <c r="BE938" i="63"/>
  <c r="L940" i="63"/>
  <c r="U940" i="63"/>
  <c r="AY924" i="63"/>
  <c r="BK940" i="63"/>
  <c r="BI941" i="63"/>
  <c r="P942" i="63"/>
  <c r="AP946" i="63"/>
  <c r="BB946" i="63"/>
  <c r="K1036" i="63"/>
  <c r="AP954" i="63"/>
  <c r="M957" i="63"/>
  <c r="AE960" i="63"/>
  <c r="BB960" i="63"/>
  <c r="Z962" i="63"/>
  <c r="Z1042" i="63" s="1"/>
  <c r="M966" i="63"/>
  <c r="R1045" i="63"/>
  <c r="AS967" i="63"/>
  <c r="P975" i="63"/>
  <c r="AX1051" i="63"/>
  <c r="AY1051" i="63" s="1"/>
  <c r="BD1051" i="63"/>
  <c r="BK975" i="63"/>
  <c r="U1003" i="63"/>
  <c r="L1003" i="63"/>
  <c r="O990" i="63"/>
  <c r="P990" i="63" s="1"/>
  <c r="AO1060" i="63"/>
  <c r="AP1003" i="63"/>
  <c r="L1071" i="63"/>
  <c r="U1071" i="63"/>
  <c r="V1019" i="63"/>
  <c r="AO1082" i="63"/>
  <c r="Z1085" i="63"/>
  <c r="AB1085" i="63" s="1"/>
  <c r="V1085" i="63"/>
  <c r="AD1079" i="63"/>
  <c r="AE1095" i="63"/>
  <c r="BQ1096" i="63"/>
  <c r="BP1080" i="63"/>
  <c r="BQ1080" i="63" s="1"/>
  <c r="O1081" i="63"/>
  <c r="P1081" i="63" s="1"/>
  <c r="P1097" i="63"/>
  <c r="N603" i="63"/>
  <c r="BL603" i="63"/>
  <c r="BE607" i="63"/>
  <c r="AM614" i="63"/>
  <c r="AS614" i="63"/>
  <c r="BK614" i="63"/>
  <c r="BQ615" i="63"/>
  <c r="AJ616" i="63"/>
  <c r="AP619" i="63"/>
  <c r="AC624" i="63"/>
  <c r="T626" i="63"/>
  <c r="Z626" i="63" s="1"/>
  <c r="BB628" i="63"/>
  <c r="AM631" i="63"/>
  <c r="S632" i="63"/>
  <c r="AY633" i="63"/>
  <c r="R636" i="63"/>
  <c r="AS639" i="63"/>
  <c r="AV640" i="63"/>
  <c r="AY645" i="63"/>
  <c r="AA652" i="63"/>
  <c r="AA393" i="63" s="1"/>
  <c r="AY652" i="63"/>
  <c r="AK646" i="63"/>
  <c r="AK648" i="63"/>
  <c r="AU648" i="63"/>
  <c r="BK662" i="63"/>
  <c r="AH648" i="63"/>
  <c r="AT666" i="63"/>
  <c r="T670" i="63"/>
  <c r="Z670" i="63" s="1"/>
  <c r="AJ670" i="63"/>
  <c r="BF666" i="63"/>
  <c r="S676" i="63"/>
  <c r="AI674" i="63"/>
  <c r="AZ674" i="63"/>
  <c r="W674" i="63"/>
  <c r="AE680" i="63"/>
  <c r="Y690" i="63"/>
  <c r="AY690" i="63"/>
  <c r="BE690" i="63"/>
  <c r="M694" i="63"/>
  <c r="AS711" i="63"/>
  <c r="BP709" i="63"/>
  <c r="BP708" i="63" s="1"/>
  <c r="BP750" i="63" s="1"/>
  <c r="BQ721" i="63"/>
  <c r="T729" i="63"/>
  <c r="Z729" i="63" s="1"/>
  <c r="K729" i="63"/>
  <c r="Y733" i="63"/>
  <c r="AE799" i="63"/>
  <c r="BE766" i="63"/>
  <c r="T774" i="63"/>
  <c r="Z774" i="63" s="1"/>
  <c r="BB782" i="63"/>
  <c r="AY786" i="63"/>
  <c r="BK786" i="63"/>
  <c r="BH790" i="63"/>
  <c r="BN790" i="63"/>
  <c r="U794" i="63"/>
  <c r="BN794" i="63"/>
  <c r="AR798" i="63"/>
  <c r="BE801" i="63"/>
  <c r="M804" i="63"/>
  <c r="AI863" i="63"/>
  <c r="AS834" i="63"/>
  <c r="BK844" i="63"/>
  <c r="BQ872" i="63"/>
  <c r="M848" i="63"/>
  <c r="AB848" i="63"/>
  <c r="T880" i="63"/>
  <c r="S865" i="63"/>
  <c r="S868" i="63"/>
  <c r="T886" i="63"/>
  <c r="V886" i="63" s="1"/>
  <c r="H861" i="63"/>
  <c r="H892" i="63"/>
  <c r="H867" i="63"/>
  <c r="M913" i="63"/>
  <c r="AN919" i="63"/>
  <c r="AP919" i="63" s="1"/>
  <c r="BJ919" i="63"/>
  <c r="BK919" i="63" s="1"/>
  <c r="BL923" i="63"/>
  <c r="N924" i="63"/>
  <c r="T1031" i="63"/>
  <c r="AD925" i="63"/>
  <c r="AD918" i="63" s="1"/>
  <c r="T935" i="63"/>
  <c r="Z935" i="63" s="1"/>
  <c r="N919" i="63"/>
  <c r="T919" i="63" s="1"/>
  <c r="AK919" i="63"/>
  <c r="AS937" i="63"/>
  <c r="AQ921" i="63"/>
  <c r="BQ937" i="63"/>
  <c r="BO921" i="63"/>
  <c r="BQ921" i="63" s="1"/>
  <c r="AD922" i="63"/>
  <c r="BD922" i="63"/>
  <c r="BE922" i="63" s="1"/>
  <c r="AH923" i="63"/>
  <c r="BB939" i="63"/>
  <c r="P940" i="63"/>
  <c r="W924" i="63"/>
  <c r="Y924" i="63" s="1"/>
  <c r="BM941" i="63"/>
  <c r="T947" i="63"/>
  <c r="Z947" i="63" s="1"/>
  <c r="O1035" i="63"/>
  <c r="L949" i="63"/>
  <c r="AO1035" i="63"/>
  <c r="AO934" i="63"/>
  <c r="M1036" i="63"/>
  <c r="M952" i="63"/>
  <c r="T954" i="63"/>
  <c r="Z954" i="63" s="1"/>
  <c r="N941" i="63"/>
  <c r="N1040" i="63"/>
  <c r="BE934" i="63"/>
  <c r="V963" i="63"/>
  <c r="K1044" i="63"/>
  <c r="BD1045" i="63"/>
  <c r="BD941" i="63"/>
  <c r="L1054" i="63"/>
  <c r="K1055" i="63"/>
  <c r="R974" i="63"/>
  <c r="Z991" i="63"/>
  <c r="L1067" i="63"/>
  <c r="M1067" i="63" s="1"/>
  <c r="M1013" i="63"/>
  <c r="AO1068" i="63"/>
  <c r="AP1068" i="63" s="1"/>
  <c r="AP1016" i="63"/>
  <c r="BD1080" i="63"/>
  <c r="BE1080" i="63" s="1"/>
  <c r="BQ1095" i="63"/>
  <c r="BP1079" i="63"/>
  <c r="BQ1079" i="63" s="1"/>
  <c r="U1096" i="63"/>
  <c r="V1096" i="63" s="1"/>
  <c r="L1096" i="63"/>
  <c r="P1096" i="63"/>
  <c r="BG1081" i="63"/>
  <c r="H1082" i="63"/>
  <c r="AN1092" i="63"/>
  <c r="AV1107" i="63"/>
  <c r="AT1092" i="63"/>
  <c r="AT1091" i="63" s="1"/>
  <c r="BF1092" i="63"/>
  <c r="BF1091" i="63" s="1"/>
  <c r="BF1083" i="63" s="1"/>
  <c r="S1099" i="63"/>
  <c r="BK1112" i="63"/>
  <c r="BJ1099" i="63"/>
  <c r="BH1125" i="63"/>
  <c r="BG1099" i="63"/>
  <c r="BH1099" i="63" s="1"/>
  <c r="AE1078" i="63"/>
  <c r="S1240" i="63"/>
  <c r="R1233" i="63"/>
  <c r="AD1213" i="63"/>
  <c r="AL1233" i="63"/>
  <c r="AS1240" i="63"/>
  <c r="AR1218" i="63"/>
  <c r="BE1240" i="63"/>
  <c r="BD1233" i="63"/>
  <c r="BP1233" i="63"/>
  <c r="BP1259" i="63" s="1"/>
  <c r="BQ1259" i="63" s="1"/>
  <c r="BQ1240" i="63"/>
  <c r="BH985" i="63"/>
  <c r="BN985" i="63"/>
  <c r="AH922" i="63"/>
  <c r="AJ922" i="63" s="1"/>
  <c r="T988" i="63"/>
  <c r="Z988" i="63" s="1"/>
  <c r="AR924" i="63"/>
  <c r="BK989" i="63"/>
  <c r="AS993" i="63"/>
  <c r="BQ993" i="63"/>
  <c r="G1060" i="63"/>
  <c r="BB1003" i="63"/>
  <c r="L1066" i="63"/>
  <c r="M1066" i="63" s="1"/>
  <c r="U1066" i="63"/>
  <c r="AE1029" i="63"/>
  <c r="AP1032" i="63"/>
  <c r="BB1032" i="63"/>
  <c r="AJ1044" i="63"/>
  <c r="AS1052" i="63"/>
  <c r="AS1053" i="63"/>
  <c r="BB1054" i="63"/>
  <c r="BN1054" i="63"/>
  <c r="BE1059" i="63"/>
  <c r="AE1061" i="63"/>
  <c r="S1065" i="63"/>
  <c r="AS1069" i="63"/>
  <c r="AY1070" i="63"/>
  <c r="BE1070" i="63"/>
  <c r="P1072" i="63"/>
  <c r="BQ1078" i="63"/>
  <c r="S1081" i="63"/>
  <c r="BE1081" i="63"/>
  <c r="AY1084" i="63"/>
  <c r="BE1084" i="63"/>
  <c r="M1085" i="63"/>
  <c r="V1089" i="63"/>
  <c r="AA1089" i="63"/>
  <c r="AB1089" i="63" s="1"/>
  <c r="U1093" i="63"/>
  <c r="P1093" i="63"/>
  <c r="Q1079" i="63"/>
  <c r="BB1080" i="63"/>
  <c r="I1098" i="63"/>
  <c r="G1082" i="63"/>
  <c r="AS1098" i="63"/>
  <c r="AQ1082" i="63"/>
  <c r="AS1082" i="63" s="1"/>
  <c r="T1100" i="63"/>
  <c r="Z1100" i="63" s="1"/>
  <c r="K1100" i="63"/>
  <c r="I1112" i="63"/>
  <c r="M1124" i="63"/>
  <c r="AM1143" i="63"/>
  <c r="BQ1147" i="63"/>
  <c r="BO1082" i="63"/>
  <c r="P1340" i="63"/>
  <c r="N1334" i="63"/>
  <c r="I813" i="63"/>
  <c r="V817" i="63"/>
  <c r="T822" i="63"/>
  <c r="Z822" i="63" s="1"/>
  <c r="BK822" i="63"/>
  <c r="BQ822" i="63"/>
  <c r="AN860" i="63"/>
  <c r="BF860" i="63"/>
  <c r="BH860" i="63" s="1"/>
  <c r="BJ860" i="63"/>
  <c r="BP860" i="63"/>
  <c r="AH861" i="63"/>
  <c r="AN861" i="63"/>
  <c r="BF861" i="63"/>
  <c r="BJ861" i="63"/>
  <c r="Y833" i="63"/>
  <c r="AS833" i="63"/>
  <c r="BE833" i="63"/>
  <c r="BQ833" i="63"/>
  <c r="Y835" i="63"/>
  <c r="AM835" i="63"/>
  <c r="AH864" i="63"/>
  <c r="L869" i="63"/>
  <c r="U869" i="63"/>
  <c r="L871" i="63"/>
  <c r="M871" i="63" s="1"/>
  <c r="AL872" i="63"/>
  <c r="K873" i="63"/>
  <c r="T873" i="63"/>
  <c r="M847" i="63"/>
  <c r="M849" i="63"/>
  <c r="M850" i="63"/>
  <c r="L878" i="63"/>
  <c r="U878" i="63"/>
  <c r="V878" i="63" s="1"/>
  <c r="BA879" i="63"/>
  <c r="AP865" i="63"/>
  <c r="AE866" i="63"/>
  <c r="AM866" i="63"/>
  <c r="BB868" i="63"/>
  <c r="BN868" i="63"/>
  <c r="S869" i="63"/>
  <c r="AS869" i="63"/>
  <c r="AY869" i="63"/>
  <c r="BH870" i="63"/>
  <c r="BN870" i="63"/>
  <c r="I871" i="63"/>
  <c r="S871" i="63"/>
  <c r="AS871" i="63"/>
  <c r="AY871" i="63"/>
  <c r="AE873" i="63"/>
  <c r="AM873" i="63"/>
  <c r="BN873" i="63"/>
  <c r="AE875" i="63"/>
  <c r="AV875" i="63"/>
  <c r="BE876" i="63"/>
  <c r="S877" i="63"/>
  <c r="AE878" i="63"/>
  <c r="BN878" i="63"/>
  <c r="BK880" i="63"/>
  <c r="BQ880" i="63"/>
  <c r="P881" i="63"/>
  <c r="BE882" i="63"/>
  <c r="AY883" i="63"/>
  <c r="BK883" i="63"/>
  <c r="BQ883" i="63"/>
  <c r="AE886" i="63"/>
  <c r="BQ886" i="63"/>
  <c r="L887" i="63"/>
  <c r="G862" i="63"/>
  <c r="T888" i="63"/>
  <c r="V888" i="63" s="1"/>
  <c r="AP888" i="63"/>
  <c r="AS891" i="63"/>
  <c r="BH891" i="63"/>
  <c r="BN891" i="63"/>
  <c r="BK895" i="63"/>
  <c r="M899" i="63"/>
  <c r="AV900" i="63"/>
  <c r="BQ900" i="63"/>
  <c r="M907" i="63"/>
  <c r="BH924" i="63"/>
  <c r="AC925" i="63"/>
  <c r="AK925" i="63"/>
  <c r="T1029" i="63"/>
  <c r="K1032" i="63"/>
  <c r="Y935" i="63"/>
  <c r="BF919" i="63"/>
  <c r="BH919" i="63" s="1"/>
  <c r="AY936" i="63"/>
  <c r="AP938" i="63"/>
  <c r="I939" i="63"/>
  <c r="AE939" i="63"/>
  <c r="AM939" i="63"/>
  <c r="I940" i="63"/>
  <c r="Y940" i="63"/>
  <c r="AP940" i="63"/>
  <c r="AE942" i="63"/>
  <c r="BN942" i="63"/>
  <c r="U943" i="63"/>
  <c r="AY943" i="63"/>
  <c r="AM944" i="63"/>
  <c r="AY944" i="63"/>
  <c r="U945" i="63"/>
  <c r="Y945" i="63"/>
  <c r="AJ945" i="63"/>
  <c r="AP945" i="63"/>
  <c r="BB945" i="63"/>
  <c r="AS946" i="63"/>
  <c r="AY946" i="63"/>
  <c r="BE946" i="63"/>
  <c r="AS947" i="63"/>
  <c r="BQ947" i="63"/>
  <c r="BN949" i="63"/>
  <c r="K1038" i="63"/>
  <c r="M1038" i="63" s="1"/>
  <c r="P1040" i="63"/>
  <c r="AH1040" i="63"/>
  <c r="AT1040" i="63"/>
  <c r="AZ1040" i="63"/>
  <c r="BK960" i="63"/>
  <c r="L1049" i="63"/>
  <c r="Y975" i="63"/>
  <c r="M1053" i="63"/>
  <c r="X983" i="63"/>
  <c r="BM983" i="63"/>
  <c r="BN983" i="63" s="1"/>
  <c r="BD920" i="63"/>
  <c r="U986" i="63"/>
  <c r="BB986" i="63"/>
  <c r="AE987" i="63"/>
  <c r="BE987" i="63"/>
  <c r="BI922" i="63"/>
  <c r="P988" i="63"/>
  <c r="Y988" i="63"/>
  <c r="AP988" i="63"/>
  <c r="BB989" i="63"/>
  <c r="BE992" i="63"/>
  <c r="BB994" i="63"/>
  <c r="BN994" i="63"/>
  <c r="AY995" i="63"/>
  <c r="BK995" i="63"/>
  <c r="AM996" i="63"/>
  <c r="AY996" i="63"/>
  <c r="BK996" i="63"/>
  <c r="T1003" i="63"/>
  <c r="Z1003" i="63" s="1"/>
  <c r="AP990" i="63"/>
  <c r="BJ1060" i="63"/>
  <c r="K1061" i="63"/>
  <c r="BB1068" i="63"/>
  <c r="T1069" i="63"/>
  <c r="V1017" i="63"/>
  <c r="AV1036" i="63"/>
  <c r="BB1036" i="63"/>
  <c r="BH1036" i="63"/>
  <c r="AE1038" i="63"/>
  <c r="AY1041" i="63"/>
  <c r="BE1041" i="63"/>
  <c r="P1043" i="63"/>
  <c r="AV1047" i="63"/>
  <c r="BB1047" i="63"/>
  <c r="BH1047" i="63"/>
  <c r="BN1048" i="63"/>
  <c r="AE1049" i="63"/>
  <c r="AS1049" i="63"/>
  <c r="BN1053" i="63"/>
  <c r="AP1055" i="63"/>
  <c r="BB1055" i="63"/>
  <c r="BN1055" i="63"/>
  <c r="BH1061" i="63"/>
  <c r="BN1061" i="63"/>
  <c r="I1064" i="63"/>
  <c r="S1066" i="63"/>
  <c r="BE1067" i="63"/>
  <c r="AV1073" i="63"/>
  <c r="P1074" i="63"/>
  <c r="Y1074" i="63"/>
  <c r="AP1074" i="63"/>
  <c r="AZ1078" i="63"/>
  <c r="BB1078" i="63" s="1"/>
  <c r="O1079" i="63"/>
  <c r="BF1079" i="63"/>
  <c r="BH1079" i="63" s="1"/>
  <c r="M1087" i="63"/>
  <c r="G1091" i="63"/>
  <c r="G1083" i="63" s="1"/>
  <c r="AX1091" i="63"/>
  <c r="BE1093" i="63"/>
  <c r="BC1077" i="63"/>
  <c r="AQ1078" i="63"/>
  <c r="AW1078" i="63"/>
  <c r="BC1078" i="63"/>
  <c r="AZ1079" i="63"/>
  <c r="AS1096" i="63"/>
  <c r="AQ1080" i="63"/>
  <c r="T1081" i="63"/>
  <c r="AW1081" i="63"/>
  <c r="BI1081" i="63"/>
  <c r="BK1081" i="63" s="1"/>
  <c r="BQ1097" i="63"/>
  <c r="BO1081" i="63"/>
  <c r="BH1082" i="63"/>
  <c r="S1101" i="63"/>
  <c r="BB1101" i="63"/>
  <c r="BN1101" i="63"/>
  <c r="BI1099" i="63"/>
  <c r="BO1099" i="63"/>
  <c r="BO1091" i="63" s="1"/>
  <c r="BO1083" i="63" s="1"/>
  <c r="BH1118" i="63"/>
  <c r="M1121" i="63"/>
  <c r="AJ1133" i="63"/>
  <c r="BO1077" i="63"/>
  <c r="BE1149" i="63"/>
  <c r="AV1150" i="63"/>
  <c r="BE1153" i="63"/>
  <c r="X1155" i="63"/>
  <c r="X1141" i="63"/>
  <c r="AU1155" i="63"/>
  <c r="AV1156" i="63"/>
  <c r="AU1141" i="63"/>
  <c r="AV1141" i="63" s="1"/>
  <c r="M1165" i="63"/>
  <c r="AB1165" i="63"/>
  <c r="AT1166" i="63"/>
  <c r="AV1167" i="63"/>
  <c r="Z1173" i="63"/>
  <c r="V1173" i="63"/>
  <c r="P1188" i="63"/>
  <c r="BO1213" i="63"/>
  <c r="L1219" i="63"/>
  <c r="T1220" i="63"/>
  <c r="Z1196" i="63"/>
  <c r="Y1201" i="63"/>
  <c r="AO1223" i="63"/>
  <c r="AP1223" i="63" s="1"/>
  <c r="AO1187" i="63"/>
  <c r="BB1201" i="63"/>
  <c r="BA1187" i="63"/>
  <c r="BA1213" i="63" s="1"/>
  <c r="BB1213" i="63" s="1"/>
  <c r="V1204" i="63"/>
  <c r="AA1204" i="63"/>
  <c r="AB1204" i="63" s="1"/>
  <c r="T1235" i="63"/>
  <c r="BK1239" i="63"/>
  <c r="BQ1239" i="63"/>
  <c r="T1240" i="63"/>
  <c r="N1233" i="63"/>
  <c r="AJ1240" i="63"/>
  <c r="AH1233" i="63"/>
  <c r="U1009" i="63"/>
  <c r="BD983" i="63"/>
  <c r="BD974" i="63" s="1"/>
  <c r="P1068" i="63"/>
  <c r="U1016" i="63"/>
  <c r="AJ1030" i="63"/>
  <c r="BK1030" i="63"/>
  <c r="BQ1030" i="63"/>
  <c r="P1031" i="63"/>
  <c r="Y1031" i="63"/>
  <c r="AV1031" i="63"/>
  <c r="BN1031" i="63"/>
  <c r="S1032" i="63"/>
  <c r="AE1036" i="63"/>
  <c r="AJ1038" i="63"/>
  <c r="AY1038" i="63"/>
  <c r="BE1038" i="63"/>
  <c r="P1041" i="63"/>
  <c r="AJ1041" i="63"/>
  <c r="AP1041" i="63"/>
  <c r="BH1041" i="63"/>
  <c r="BQ1041" i="63"/>
  <c r="Y1042" i="63"/>
  <c r="BN1042" i="63"/>
  <c r="AP1043" i="63"/>
  <c r="BB1043" i="63"/>
  <c r="BB1046" i="63"/>
  <c r="BN1046" i="63"/>
  <c r="AE1047" i="63"/>
  <c r="BQ1047" i="63"/>
  <c r="S1048" i="63"/>
  <c r="AE1048" i="63"/>
  <c r="AY1048" i="63"/>
  <c r="AJ1049" i="63"/>
  <c r="BK1049" i="63"/>
  <c r="BQ1049" i="63"/>
  <c r="P1052" i="63"/>
  <c r="BH1052" i="63"/>
  <c r="BN1052" i="63"/>
  <c r="I1053" i="63"/>
  <c r="Y1053" i="63"/>
  <c r="AY1053" i="63"/>
  <c r="S1054" i="63"/>
  <c r="AM1054" i="63"/>
  <c r="S1055" i="63"/>
  <c r="BH1059" i="63"/>
  <c r="AY1061" i="63"/>
  <c r="AE1064" i="63"/>
  <c r="BE1064" i="63"/>
  <c r="BQ1064" i="63"/>
  <c r="BK1065" i="63"/>
  <c r="BQ1065" i="63"/>
  <c r="BK1066" i="63"/>
  <c r="BQ1066" i="63"/>
  <c r="AV1067" i="63"/>
  <c r="BB1067" i="63"/>
  <c r="AV1069" i="63"/>
  <c r="BQ1069" i="63"/>
  <c r="Y1070" i="63"/>
  <c r="AP1070" i="63"/>
  <c r="AV1070" i="63"/>
  <c r="P1071" i="63"/>
  <c r="Y1071" i="63"/>
  <c r="AP1071" i="63"/>
  <c r="BB1071" i="63"/>
  <c r="BN1071" i="63"/>
  <c r="I1072" i="63"/>
  <c r="S1072" i="63"/>
  <c r="BB1072" i="63"/>
  <c r="BN1072" i="63"/>
  <c r="S1073" i="63"/>
  <c r="AE1073" i="63"/>
  <c r="AE1074" i="63"/>
  <c r="BB1074" i="63"/>
  <c r="T1078" i="63"/>
  <c r="AX1082" i="63"/>
  <c r="AY1082" i="63" s="1"/>
  <c r="AP1084" i="63"/>
  <c r="BH1084" i="63"/>
  <c r="BQ1084" i="63"/>
  <c r="V1087" i="63"/>
  <c r="AE1093" i="63"/>
  <c r="T1094" i="63"/>
  <c r="AP1094" i="63"/>
  <c r="T1095" i="63"/>
  <c r="Z1095" i="63" s="1"/>
  <c r="AS1095" i="63"/>
  <c r="BI1080" i="63"/>
  <c r="T1097" i="63"/>
  <c r="T1098" i="63"/>
  <c r="AE1098" i="63"/>
  <c r="AJ1100" i="63"/>
  <c r="AP1100" i="63"/>
  <c r="BQ1100" i="63"/>
  <c r="AE1101" i="63"/>
  <c r="P1103" i="63"/>
  <c r="BE1103" i="63"/>
  <c r="BN1105" i="63"/>
  <c r="M1108" i="63"/>
  <c r="S1112" i="63"/>
  <c r="AO1099" i="63"/>
  <c r="AU1099" i="63"/>
  <c r="AV1099" i="63" s="1"/>
  <c r="V1114" i="63"/>
  <c r="V1117" i="63"/>
  <c r="Y1125" i="63"/>
  <c r="M1128" i="63"/>
  <c r="AM1133" i="63"/>
  <c r="M1136" i="63"/>
  <c r="M1138" i="63"/>
  <c r="AJ1142" i="63"/>
  <c r="BQ1142" i="63"/>
  <c r="AJ1144" i="63"/>
  <c r="AV1145" i="63"/>
  <c r="AS1152" i="63"/>
  <c r="BQ1152" i="63"/>
  <c r="M1158" i="63"/>
  <c r="AB1158" i="63"/>
  <c r="AS1161" i="63"/>
  <c r="AX1140" i="63"/>
  <c r="AX1132" i="63" s="1"/>
  <c r="AX1076" i="63" s="1"/>
  <c r="BE1161" i="63"/>
  <c r="AQ1140" i="63"/>
  <c r="AQ1132" i="63" s="1"/>
  <c r="BK1167" i="63"/>
  <c r="M1168" i="63"/>
  <c r="R1216" i="63"/>
  <c r="AX1216" i="63"/>
  <c r="AY1216" i="63" s="1"/>
  <c r="AY1190" i="63"/>
  <c r="R1213" i="63"/>
  <c r="AD1218" i="63"/>
  <c r="AX1218" i="63"/>
  <c r="AX1187" i="63"/>
  <c r="BK1194" i="63"/>
  <c r="BP1218" i="63"/>
  <c r="M1196" i="63"/>
  <c r="P1234" i="63"/>
  <c r="BK1234" i="63"/>
  <c r="BJ1214" i="63"/>
  <c r="BQ1234" i="63"/>
  <c r="AP1237" i="63"/>
  <c r="AZ1217" i="63"/>
  <c r="H1262" i="63"/>
  <c r="I1262" i="63" s="1"/>
  <c r="I1263" i="63"/>
  <c r="AL1274" i="63"/>
  <c r="AL1262" i="63"/>
  <c r="G1293" i="63"/>
  <c r="G1273" i="63"/>
  <c r="U1319" i="63"/>
  <c r="AA1299" i="63"/>
  <c r="K1320" i="63"/>
  <c r="Z1320" i="63"/>
  <c r="W1322" i="63"/>
  <c r="W1296" i="63"/>
  <c r="W1316" i="63" s="1"/>
  <c r="AJ1302" i="63"/>
  <c r="AH1296" i="63"/>
  <c r="AH1316" i="63" s="1"/>
  <c r="AQ1328" i="63"/>
  <c r="AQ1306" i="63"/>
  <c r="AA1313" i="63"/>
  <c r="V1313" i="63"/>
  <c r="BH984" i="63"/>
  <c r="BQ985" i="63"/>
  <c r="P986" i="63"/>
  <c r="AY986" i="63"/>
  <c r="AV987" i="63"/>
  <c r="BB987" i="63"/>
  <c r="AM988" i="63"/>
  <c r="BK988" i="63"/>
  <c r="BQ988" i="63"/>
  <c r="BH989" i="63"/>
  <c r="BN989" i="63"/>
  <c r="Y991" i="63"/>
  <c r="AP992" i="63"/>
  <c r="AE993" i="63"/>
  <c r="BB993" i="63"/>
  <c r="BN993" i="63"/>
  <c r="AS994" i="63"/>
  <c r="BQ994" i="63"/>
  <c r="T995" i="63"/>
  <c r="Z995" i="63" s="1"/>
  <c r="G1058" i="63"/>
  <c r="AO1058" i="63"/>
  <c r="M999" i="63"/>
  <c r="AB999" i="63"/>
  <c r="AD990" i="63"/>
  <c r="AM1060" i="63"/>
  <c r="BI1060" i="63"/>
  <c r="P1009" i="63"/>
  <c r="W1063" i="63"/>
  <c r="AH1063" i="63"/>
  <c r="AT1063" i="63"/>
  <c r="P1016" i="63"/>
  <c r="AY1068" i="63"/>
  <c r="I1029" i="63"/>
  <c r="BH1030" i="63"/>
  <c r="BN1030" i="63"/>
  <c r="AE1031" i="63"/>
  <c r="AV1038" i="63"/>
  <c r="BB1038" i="63"/>
  <c r="I1041" i="63"/>
  <c r="S1041" i="63"/>
  <c r="I1042" i="63"/>
  <c r="S1042" i="63"/>
  <c r="BE1042" i="63"/>
  <c r="AS1043" i="63"/>
  <c r="BE1046" i="63"/>
  <c r="AJ1048" i="63"/>
  <c r="AV1053" i="63"/>
  <c r="BQ1053" i="63"/>
  <c r="BQ1054" i="63"/>
  <c r="AV1061" i="63"/>
  <c r="AV1064" i="63"/>
  <c r="BH1065" i="63"/>
  <c r="BH1066" i="63"/>
  <c r="AE1067" i="63"/>
  <c r="BH1069" i="63"/>
  <c r="BN1069" i="63"/>
  <c r="I1071" i="63"/>
  <c r="AE1071" i="63"/>
  <c r="BE1072" i="63"/>
  <c r="BQ1082" i="63"/>
  <c r="AE1084" i="63"/>
  <c r="V1086" i="63"/>
  <c r="M1089" i="63"/>
  <c r="AK1078" i="63"/>
  <c r="AM1078" i="63" s="1"/>
  <c r="BH1094" i="63"/>
  <c r="AJ1095" i="63"/>
  <c r="AP1095" i="63"/>
  <c r="T1096" i="63"/>
  <c r="AK1081" i="63"/>
  <c r="BH1097" i="63"/>
  <c r="U1098" i="63"/>
  <c r="V1098" i="63" s="1"/>
  <c r="BE1105" i="63"/>
  <c r="K1133" i="63"/>
  <c r="AY1145" i="63"/>
  <c r="T1146" i="63"/>
  <c r="Z1146" i="63" s="1"/>
  <c r="AM1154" i="63"/>
  <c r="AJ1155" i="63"/>
  <c r="AJ1161" i="63"/>
  <c r="AH1148" i="63"/>
  <c r="AJ1148" i="63" s="1"/>
  <c r="BQ1167" i="63"/>
  <c r="BP1166" i="63"/>
  <c r="X1166" i="63"/>
  <c r="X1148" i="63"/>
  <c r="AJ1174" i="63"/>
  <c r="U1229" i="63"/>
  <c r="K1230" i="63"/>
  <c r="BN1225" i="63"/>
  <c r="AE1226" i="63"/>
  <c r="BB1228" i="63"/>
  <c r="AR1262" i="63"/>
  <c r="AN1274" i="63"/>
  <c r="AP1263" i="63"/>
  <c r="AN1262" i="63"/>
  <c r="P1278" i="63"/>
  <c r="BB1278" i="63"/>
  <c r="BE1099" i="63"/>
  <c r="S1100" i="63"/>
  <c r="BE1101" i="63"/>
  <c r="BQ1101" i="63"/>
  <c r="K1102" i="63"/>
  <c r="T1102" i="63"/>
  <c r="Z1102" i="63" s="1"/>
  <c r="AM1102" i="63"/>
  <c r="AY1102" i="63"/>
  <c r="BE1102" i="63"/>
  <c r="U1103" i="63"/>
  <c r="AE1103" i="63"/>
  <c r="AS1103" i="63"/>
  <c r="BH1103" i="63"/>
  <c r="BN1103" i="63"/>
  <c r="S1104" i="63"/>
  <c r="BE1104" i="63"/>
  <c r="BQ1104" i="63"/>
  <c r="U1105" i="63"/>
  <c r="AY1107" i="63"/>
  <c r="BD1092" i="63"/>
  <c r="BD1091" i="63" s="1"/>
  <c r="BQ1107" i="63"/>
  <c r="AQ1099" i="63"/>
  <c r="BN1112" i="63"/>
  <c r="M1122" i="63"/>
  <c r="AE1125" i="63"/>
  <c r="AM1125" i="63"/>
  <c r="BN1125" i="63"/>
  <c r="M1127" i="63"/>
  <c r="V1129" i="63"/>
  <c r="S1133" i="63"/>
  <c r="BE1143" i="63"/>
  <c r="BK1143" i="63"/>
  <c r="K1144" i="63"/>
  <c r="AS1144" i="63"/>
  <c r="AY1144" i="63"/>
  <c r="BN1144" i="63"/>
  <c r="I1145" i="63"/>
  <c r="BB1145" i="63"/>
  <c r="BH1145" i="63"/>
  <c r="BE1146" i="63"/>
  <c r="AJ1147" i="63"/>
  <c r="AV1147" i="63"/>
  <c r="BG1148" i="63"/>
  <c r="AJ1149" i="63"/>
  <c r="BB1150" i="63"/>
  <c r="BH1150" i="63"/>
  <c r="BH1151" i="63"/>
  <c r="T1154" i="63"/>
  <c r="Z1154" i="63" s="1"/>
  <c r="BE1154" i="63"/>
  <c r="BG1155" i="63"/>
  <c r="R1141" i="63"/>
  <c r="AQ1155" i="63"/>
  <c r="BN1156" i="63"/>
  <c r="M1159" i="63"/>
  <c r="AN1148" i="63"/>
  <c r="AV1161" i="63"/>
  <c r="AZ1166" i="63"/>
  <c r="BL1141" i="63"/>
  <c r="M1171" i="63"/>
  <c r="BK1174" i="63"/>
  <c r="BQ1174" i="63"/>
  <c r="M1178" i="63"/>
  <c r="AB1178" i="63"/>
  <c r="AZ1214" i="63"/>
  <c r="BP1214" i="63"/>
  <c r="U1189" i="63"/>
  <c r="L1189" i="63"/>
  <c r="N1216" i="63"/>
  <c r="AN1216" i="63"/>
  <c r="AT1216" i="63"/>
  <c r="W1217" i="63"/>
  <c r="AN1217" i="63"/>
  <c r="AT1217" i="63"/>
  <c r="P1193" i="63"/>
  <c r="N1218" i="63"/>
  <c r="W1218" i="63"/>
  <c r="W1187" i="63"/>
  <c r="AH1218" i="63"/>
  <c r="AN1218" i="63"/>
  <c r="AN1187" i="63"/>
  <c r="AP1187" i="63" s="1"/>
  <c r="AT1187" i="63"/>
  <c r="AZ1218" i="63"/>
  <c r="BL1218" i="63"/>
  <c r="AE1220" i="63"/>
  <c r="AY1220" i="63"/>
  <c r="BE1220" i="63"/>
  <c r="I1225" i="63"/>
  <c r="S1225" i="63"/>
  <c r="AE1225" i="63"/>
  <c r="I1228" i="63"/>
  <c r="AJ1230" i="63"/>
  <c r="AP1230" i="63"/>
  <c r="AV1230" i="63"/>
  <c r="S1231" i="63"/>
  <c r="BN1231" i="63"/>
  <c r="Y1236" i="63"/>
  <c r="BN1236" i="63"/>
  <c r="Y1239" i="63"/>
  <c r="BB1239" i="63"/>
  <c r="AJ1263" i="63"/>
  <c r="BE1276" i="63"/>
  <c r="BK1276" i="63"/>
  <c r="Y1277" i="63"/>
  <c r="AV1277" i="63"/>
  <c r="BB1280" i="63"/>
  <c r="BH1280" i="63"/>
  <c r="AH1273" i="63"/>
  <c r="M1327" i="63"/>
  <c r="I1308" i="63"/>
  <c r="AD1328" i="63"/>
  <c r="AE1308" i="63"/>
  <c r="AD1306" i="63"/>
  <c r="AE1306" i="63" s="1"/>
  <c r="BJ1332" i="63"/>
  <c r="BK1312" i="63"/>
  <c r="I1329" i="63"/>
  <c r="AA1341" i="63"/>
  <c r="AB1341" i="63" s="1"/>
  <c r="V1341" i="63"/>
  <c r="AA1349" i="63"/>
  <c r="V1349" i="63"/>
  <c r="BH1146" i="63"/>
  <c r="AM1149" i="63"/>
  <c r="AY1150" i="63"/>
  <c r="BK1150" i="63"/>
  <c r="AY1151" i="63"/>
  <c r="BK1151" i="63"/>
  <c r="AC1155" i="63"/>
  <c r="AO1155" i="63"/>
  <c r="M1162" i="63"/>
  <c r="BB1166" i="63"/>
  <c r="H1166" i="63"/>
  <c r="I1166" i="63" s="1"/>
  <c r="T1189" i="63"/>
  <c r="Z1189" i="63" s="1"/>
  <c r="U1190" i="63"/>
  <c r="AP1216" i="63"/>
  <c r="BF1216" i="63"/>
  <c r="BL1216" i="63"/>
  <c r="U1191" i="63"/>
  <c r="AA1191" i="63" s="1"/>
  <c r="X1217" i="63"/>
  <c r="BL1217" i="63"/>
  <c r="BP1217" i="63"/>
  <c r="U1192" i="63"/>
  <c r="AA1192" i="63" s="1"/>
  <c r="AB1192" i="63" s="1"/>
  <c r="BP1216" i="63"/>
  <c r="L1193" i="63"/>
  <c r="U1194" i="63"/>
  <c r="AO1218" i="63"/>
  <c r="AP1218" i="63" s="1"/>
  <c r="AP1194" i="63"/>
  <c r="AR1223" i="63"/>
  <c r="AX1223" i="63"/>
  <c r="BD1223" i="63"/>
  <c r="U1225" i="63"/>
  <c r="U1227" i="63"/>
  <c r="V1209" i="63"/>
  <c r="O1215" i="63"/>
  <c r="P1215" i="63" s="1"/>
  <c r="AE1227" i="63"/>
  <c r="BN1235" i="63"/>
  <c r="BL1215" i="63"/>
  <c r="I1236" i="63"/>
  <c r="Z1239" i="63"/>
  <c r="BE1247" i="63"/>
  <c r="V1249" i="63"/>
  <c r="V1255" i="63"/>
  <c r="V1258" i="63"/>
  <c r="AA1258" i="63"/>
  <c r="AB1258" i="63" s="1"/>
  <c r="AE1263" i="63"/>
  <c r="AC1262" i="63"/>
  <c r="AE1262" i="63" s="1"/>
  <c r="AW1274" i="63"/>
  <c r="AW1262" i="63"/>
  <c r="BN1263" i="63"/>
  <c r="V1269" i="63"/>
  <c r="M1270" i="63"/>
  <c r="U1279" i="63"/>
  <c r="AA1270" i="63"/>
  <c r="P1275" i="63"/>
  <c r="AP1275" i="63"/>
  <c r="BB1279" i="63"/>
  <c r="BK1293" i="63"/>
  <c r="R1334" i="63"/>
  <c r="L1334" i="63" s="1"/>
  <c r="R1322" i="63"/>
  <c r="AL1334" i="63"/>
  <c r="AL1316" i="63" s="1"/>
  <c r="AM1340" i="63"/>
  <c r="BJ1334" i="63"/>
  <c r="BJ1316" i="63" s="1"/>
  <c r="BK1316" i="63" s="1"/>
  <c r="BK1340" i="63"/>
  <c r="BB1344" i="63"/>
  <c r="AP1174" i="63"/>
  <c r="BH1174" i="63"/>
  <c r="M1175" i="63"/>
  <c r="M1177" i="63"/>
  <c r="M1183" i="63"/>
  <c r="AN1214" i="63"/>
  <c r="AP1214" i="63" s="1"/>
  <c r="AR1214" i="63"/>
  <c r="AX1214" i="63"/>
  <c r="BD1214" i="63"/>
  <c r="R1215" i="63"/>
  <c r="AL1215" i="63"/>
  <c r="AM1215" i="63" s="1"/>
  <c r="BM1215" i="63"/>
  <c r="BN1215" i="63" s="1"/>
  <c r="BB1190" i="63"/>
  <c r="BM1216" i="63"/>
  <c r="G1217" i="63"/>
  <c r="BB1191" i="63"/>
  <c r="BM1217" i="63"/>
  <c r="T1192" i="63"/>
  <c r="Z1192" i="63" s="1"/>
  <c r="AE1192" i="63"/>
  <c r="AP1192" i="63"/>
  <c r="BN1192" i="63"/>
  <c r="AE1193" i="63"/>
  <c r="AP1193" i="63"/>
  <c r="BN1193" i="63"/>
  <c r="AU1187" i="63"/>
  <c r="BN1218" i="63"/>
  <c r="T1219" i="63"/>
  <c r="L1221" i="63"/>
  <c r="AQ1187" i="63"/>
  <c r="AW1223" i="63"/>
  <c r="AY1223" i="63" s="1"/>
  <c r="BO1223" i="63"/>
  <c r="K1225" i="63"/>
  <c r="M1228" i="63"/>
  <c r="I1219" i="63"/>
  <c r="S1219" i="63"/>
  <c r="AE1219" i="63"/>
  <c r="AY1219" i="63"/>
  <c r="BE1219" i="63"/>
  <c r="P1220" i="63"/>
  <c r="AJ1220" i="63"/>
  <c r="AJ1221" i="63"/>
  <c r="AS1221" i="63"/>
  <c r="BE1221" i="63"/>
  <c r="AS1222" i="63"/>
  <c r="BE1222" i="63"/>
  <c r="S1224" i="63"/>
  <c r="AE1224" i="63"/>
  <c r="AS1224" i="63"/>
  <c r="BE1224" i="63"/>
  <c r="BQ1225" i="63"/>
  <c r="AJ1226" i="63"/>
  <c r="AS1226" i="63"/>
  <c r="BK1226" i="63"/>
  <c r="BE1227" i="63"/>
  <c r="AM1228" i="63"/>
  <c r="BN1228" i="63"/>
  <c r="S1229" i="63"/>
  <c r="AM1229" i="63"/>
  <c r="BE1230" i="63"/>
  <c r="BQ1230" i="63"/>
  <c r="AE1231" i="63"/>
  <c r="AS1231" i="63"/>
  <c r="BQ1231" i="63"/>
  <c r="I1234" i="63"/>
  <c r="T1234" i="63"/>
  <c r="AP1234" i="63"/>
  <c r="AS1235" i="63"/>
  <c r="K1236" i="63"/>
  <c r="S1236" i="63"/>
  <c r="BE1236" i="63"/>
  <c r="AE1237" i="63"/>
  <c r="I1238" i="63"/>
  <c r="AJ1238" i="63"/>
  <c r="AS1238" i="63"/>
  <c r="BQ1238" i="63"/>
  <c r="K1239" i="63"/>
  <c r="S1239" i="63"/>
  <c r="Y1240" i="63"/>
  <c r="AP1240" i="63"/>
  <c r="BG1233" i="63"/>
  <c r="BG1259" i="63" s="1"/>
  <c r="BN1240" i="63"/>
  <c r="AB1245" i="63"/>
  <c r="AJ1247" i="63"/>
  <c r="AP1247" i="63"/>
  <c r="M1250" i="63"/>
  <c r="AO1274" i="63"/>
  <c r="AP1274" i="63" s="1"/>
  <c r="U1275" i="63"/>
  <c r="K1276" i="63"/>
  <c r="M1268" i="63"/>
  <c r="I1275" i="63"/>
  <c r="S1276" i="63"/>
  <c r="I1283" i="63"/>
  <c r="AM1283" i="63"/>
  <c r="AL1282" i="63"/>
  <c r="AL1293" i="63" s="1"/>
  <c r="AM1293" i="63" s="1"/>
  <c r="BA1322" i="63"/>
  <c r="BA1296" i="63"/>
  <c r="T1323" i="63"/>
  <c r="Z1303" i="63"/>
  <c r="Z1323" i="63" s="1"/>
  <c r="M1305" i="63"/>
  <c r="V1305" i="63"/>
  <c r="BF1326" i="63"/>
  <c r="U1312" i="63"/>
  <c r="AA1312" i="63" s="1"/>
  <c r="I1320" i="63"/>
  <c r="AM1320" i="63"/>
  <c r="BB1346" i="63"/>
  <c r="BN1346" i="63"/>
  <c r="M1351" i="63"/>
  <c r="Z1352" i="63"/>
  <c r="AB1352" i="63" s="1"/>
  <c r="V1352" i="63"/>
  <c r="AJ1219" i="63"/>
  <c r="AP1219" i="63"/>
  <c r="AV1219" i="63"/>
  <c r="AV1221" i="63"/>
  <c r="BB1221" i="63"/>
  <c r="BH1221" i="63"/>
  <c r="AV1222" i="63"/>
  <c r="BB1222" i="63"/>
  <c r="BH1222" i="63"/>
  <c r="AJ1224" i="63"/>
  <c r="AP1224" i="63"/>
  <c r="AV1224" i="63"/>
  <c r="BB1224" i="63"/>
  <c r="BH1224" i="63"/>
  <c r="AV1226" i="63"/>
  <c r="BH1227" i="63"/>
  <c r="BQ1228" i="63"/>
  <c r="P1229" i="63"/>
  <c r="AJ1231" i="63"/>
  <c r="AP1231" i="63"/>
  <c r="AV1231" i="63"/>
  <c r="AE1234" i="63"/>
  <c r="AS1234" i="63"/>
  <c r="AV1235" i="63"/>
  <c r="AV1238" i="63"/>
  <c r="AE1240" i="63"/>
  <c r="V1246" i="63"/>
  <c r="AP1280" i="63"/>
  <c r="BC1296" i="63"/>
  <c r="BC1322" i="63"/>
  <c r="L1323" i="63"/>
  <c r="BE1306" i="63"/>
  <c r="AU1328" i="63"/>
  <c r="AU1306" i="63"/>
  <c r="BG1328" i="63"/>
  <c r="BG1306" i="63"/>
  <c r="BH1306" i="63" s="1"/>
  <c r="BL1328" i="63"/>
  <c r="U1330" i="63"/>
  <c r="AP1321" i="63"/>
  <c r="AV1321" i="63"/>
  <c r="BB1321" i="63"/>
  <c r="BB1330" i="63"/>
  <c r="AO1334" i="63"/>
  <c r="BB1340" i="63"/>
  <c r="BA1334" i="63"/>
  <c r="Q1328" i="63"/>
  <c r="AC1328" i="63"/>
  <c r="AY1346" i="63"/>
  <c r="AW1344" i="63"/>
  <c r="AJ1350" i="63"/>
  <c r="AE1275" i="63"/>
  <c r="BE1275" i="63"/>
  <c r="AV1276" i="63"/>
  <c r="BN1276" i="63"/>
  <c r="P1280" i="63"/>
  <c r="AS1280" i="63"/>
  <c r="AH1274" i="63"/>
  <c r="Y1302" i="63"/>
  <c r="AT1322" i="63"/>
  <c r="V1314" i="63"/>
  <c r="P1317" i="63"/>
  <c r="AJ1317" i="63"/>
  <c r="AP1317" i="63"/>
  <c r="AY1317" i="63"/>
  <c r="BK1317" i="63"/>
  <c r="AM1318" i="63"/>
  <c r="AY1318" i="63"/>
  <c r="BQ1318" i="63"/>
  <c r="BE1319" i="63"/>
  <c r="P1320" i="63"/>
  <c r="Y1320" i="63"/>
  <c r="AP1320" i="63"/>
  <c r="AY1320" i="63"/>
  <c r="S1321" i="63"/>
  <c r="Y1323" i="63"/>
  <c r="BB1323" i="63"/>
  <c r="BH1323" i="63"/>
  <c r="BN1323" i="63"/>
  <c r="AV1324" i="63"/>
  <c r="BB1324" i="63"/>
  <c r="BH1324" i="63"/>
  <c r="P1325" i="63"/>
  <c r="Y1325" i="63"/>
  <c r="AJ1325" i="63"/>
  <c r="AP1327" i="63"/>
  <c r="BB1327" i="63"/>
  <c r="BN1327" i="63"/>
  <c r="BB1329" i="63"/>
  <c r="BN1329" i="63"/>
  <c r="P1331" i="63"/>
  <c r="U1340" i="63"/>
  <c r="V1342" i="63"/>
  <c r="AB1347" i="63"/>
  <c r="K1350" i="63"/>
  <c r="AT1316" i="63"/>
  <c r="BF1316" i="63"/>
  <c r="T1317" i="63"/>
  <c r="V1317" i="63" s="1"/>
  <c r="AO1322" i="63"/>
  <c r="AZ1322" i="63"/>
  <c r="BB1322" i="63" s="1"/>
  <c r="BF1322" i="63"/>
  <c r="AZ1326" i="63"/>
  <c r="BF1328" i="63"/>
  <c r="BP1328" i="63"/>
  <c r="BQ1328" i="63" s="1"/>
  <c r="AW1332" i="63"/>
  <c r="BC1332" i="63"/>
  <c r="BB1317" i="63"/>
  <c r="BH1317" i="63"/>
  <c r="BN1317" i="63"/>
  <c r="AP1318" i="63"/>
  <c r="AV1318" i="63"/>
  <c r="BB1318" i="63"/>
  <c r="BB1320" i="63"/>
  <c r="P1330" i="63"/>
  <c r="AJ1330" i="63"/>
  <c r="AM1350" i="63"/>
  <c r="AJ29" i="63"/>
  <c r="BH90" i="63"/>
  <c r="T46" i="63"/>
  <c r="U101" i="63"/>
  <c r="AL386" i="63"/>
  <c r="AM122" i="63"/>
  <c r="BA388" i="63"/>
  <c r="BA124" i="63"/>
  <c r="V217" i="63"/>
  <c r="Z217" i="63"/>
  <c r="Z42" i="63"/>
  <c r="U48" i="63"/>
  <c r="T54" i="63"/>
  <c r="AB74" i="63"/>
  <c r="AB107" i="63"/>
  <c r="BA203" i="63"/>
  <c r="BA117" i="63"/>
  <c r="BB218" i="63"/>
  <c r="AA233" i="63"/>
  <c r="AB233" i="63" s="1"/>
  <c r="V233" i="63"/>
  <c r="L251" i="63"/>
  <c r="AZ39" i="63"/>
  <c r="T40" i="63"/>
  <c r="M13" i="63"/>
  <c r="U42" i="63"/>
  <c r="AS14" i="63"/>
  <c r="AY10" i="63"/>
  <c r="BN14" i="63"/>
  <c r="K44" i="63"/>
  <c r="M17" i="63"/>
  <c r="AB17" i="63"/>
  <c r="V19" i="63"/>
  <c r="M22" i="63"/>
  <c r="V51" i="63"/>
  <c r="M25" i="63"/>
  <c r="V27" i="63"/>
  <c r="G29" i="63"/>
  <c r="G58" i="63" s="1"/>
  <c r="AC58" i="63"/>
  <c r="AQ58" i="63"/>
  <c r="BO29" i="63"/>
  <c r="BO58" i="63" s="1"/>
  <c r="V30" i="63"/>
  <c r="AJ31" i="63"/>
  <c r="AV60" i="63"/>
  <c r="BK60" i="63"/>
  <c r="BQ31" i="63"/>
  <c r="L62" i="63"/>
  <c r="M62" i="63" s="1"/>
  <c r="V35" i="63"/>
  <c r="Y40" i="63"/>
  <c r="AJ40" i="63"/>
  <c r="BE40" i="63"/>
  <c r="BK40" i="63"/>
  <c r="L41" i="63"/>
  <c r="Y41" i="63"/>
  <c r="AJ41" i="63"/>
  <c r="BE41" i="63"/>
  <c r="BK41" i="63"/>
  <c r="S42" i="63"/>
  <c r="AE42" i="63"/>
  <c r="AM42" i="63"/>
  <c r="BH42" i="63"/>
  <c r="T44" i="63"/>
  <c r="AV44" i="63"/>
  <c r="BQ44" i="63"/>
  <c r="AS45" i="63"/>
  <c r="AY45" i="63"/>
  <c r="I46" i="63"/>
  <c r="U46" i="63"/>
  <c r="V46" i="63" s="1"/>
  <c r="AE46" i="63"/>
  <c r="AM46" i="63"/>
  <c r="BH46" i="63"/>
  <c r="Y47" i="63"/>
  <c r="AJ47" i="63"/>
  <c r="BE47" i="63"/>
  <c r="BK47" i="63"/>
  <c r="L48" i="63"/>
  <c r="M48" i="63" s="1"/>
  <c r="AS48" i="63"/>
  <c r="AY48" i="63"/>
  <c r="I49" i="63"/>
  <c r="AV49" i="63"/>
  <c r="BQ49" i="63"/>
  <c r="S50" i="63"/>
  <c r="Y50" i="63"/>
  <c r="AJ50" i="63"/>
  <c r="BE50" i="63"/>
  <c r="BK50" i="63"/>
  <c r="S51" i="63"/>
  <c r="AE51" i="63"/>
  <c r="AM51" i="63"/>
  <c r="BH51" i="63"/>
  <c r="T52" i="63"/>
  <c r="AV52" i="63"/>
  <c r="BQ52" i="63"/>
  <c r="AS53" i="63"/>
  <c r="AY53" i="63"/>
  <c r="I54" i="63"/>
  <c r="U54" i="63"/>
  <c r="AE54" i="63"/>
  <c r="AM54" i="63"/>
  <c r="BH54" i="63"/>
  <c r="Y55" i="63"/>
  <c r="AJ55" i="63"/>
  <c r="U56" i="63"/>
  <c r="V56" i="63" s="1"/>
  <c r="BH56" i="63"/>
  <c r="AS59" i="63"/>
  <c r="Q60" i="63"/>
  <c r="AS61" i="63"/>
  <c r="I62" i="63"/>
  <c r="I63" i="63"/>
  <c r="AV63" i="63"/>
  <c r="BQ63" i="63"/>
  <c r="U64" i="63"/>
  <c r="V64" i="63" s="1"/>
  <c r="AV64" i="63"/>
  <c r="H70" i="63"/>
  <c r="AQ70" i="63"/>
  <c r="AE75" i="63"/>
  <c r="AB76" i="63"/>
  <c r="K47" i="63"/>
  <c r="V82" i="63"/>
  <c r="V84" i="63"/>
  <c r="H90" i="63"/>
  <c r="I90" i="63" s="1"/>
  <c r="BH92" i="63"/>
  <c r="V94" i="63"/>
  <c r="V96" i="63"/>
  <c r="I101" i="63"/>
  <c r="P101" i="63"/>
  <c r="AX103" i="63"/>
  <c r="I370" i="63"/>
  <c r="Z106" i="63"/>
  <c r="AS106" i="63"/>
  <c r="AE107" i="63"/>
  <c r="AS108" i="63"/>
  <c r="AE109" i="63"/>
  <c r="BH109" i="63"/>
  <c r="P110" i="63"/>
  <c r="O374" i="63"/>
  <c r="P374" i="63" s="1"/>
  <c r="BB110" i="63"/>
  <c r="BA374" i="63"/>
  <c r="BQ110" i="63"/>
  <c r="BP374" i="63"/>
  <c r="BQ374" i="63" s="1"/>
  <c r="AS112" i="63"/>
  <c r="BH113" i="63"/>
  <c r="P114" i="63"/>
  <c r="S115" i="63"/>
  <c r="AP115" i="63"/>
  <c r="BE115" i="63"/>
  <c r="I116" i="63"/>
  <c r="AK117" i="63"/>
  <c r="AY126" i="63"/>
  <c r="AV128" i="63"/>
  <c r="AY133" i="63"/>
  <c r="BH135" i="63"/>
  <c r="AC390" i="63"/>
  <c r="AC124" i="63"/>
  <c r="AQ137" i="63"/>
  <c r="BE158" i="63"/>
  <c r="BD137" i="63"/>
  <c r="K166" i="63"/>
  <c r="M166" i="63" s="1"/>
  <c r="W506" i="63"/>
  <c r="Y166" i="63"/>
  <c r="AK720" i="63"/>
  <c r="AK170" i="63"/>
  <c r="BB185" i="63"/>
  <c r="V193" i="63"/>
  <c r="AA193" i="63"/>
  <c r="AB193" i="63" s="1"/>
  <c r="AX170" i="63"/>
  <c r="AY170" i="63" s="1"/>
  <c r="AY197" i="63"/>
  <c r="BH206" i="63"/>
  <c r="AT203" i="63"/>
  <c r="AZ203" i="63"/>
  <c r="AA227" i="63"/>
  <c r="V227" i="63"/>
  <c r="AA231" i="63"/>
  <c r="V231" i="63"/>
  <c r="U236" i="63"/>
  <c r="AV239" i="63"/>
  <c r="BE245" i="63"/>
  <c r="BC236" i="63"/>
  <c r="BE236" i="63" s="1"/>
  <c r="BI236" i="63"/>
  <c r="M253" i="63"/>
  <c r="BE257" i="63"/>
  <c r="BC125" i="63"/>
  <c r="BC123" i="63" s="1"/>
  <c r="L263" i="63"/>
  <c r="U263" i="63"/>
  <c r="AA263" i="63" s="1"/>
  <c r="AB263" i="63" s="1"/>
  <c r="P263" i="63"/>
  <c r="BK263" i="63"/>
  <c r="AV272" i="63"/>
  <c r="O388" i="63"/>
  <c r="U130" i="63"/>
  <c r="AA130" i="63" s="1"/>
  <c r="O124" i="63"/>
  <c r="U124" i="63" s="1"/>
  <c r="W500" i="63"/>
  <c r="W467" i="63" s="1"/>
  <c r="W127" i="63"/>
  <c r="Y127" i="63" s="1"/>
  <c r="W158" i="63"/>
  <c r="Y160" i="63"/>
  <c r="AA195" i="63"/>
  <c r="AB195" i="63" s="1"/>
  <c r="V195" i="63"/>
  <c r="AE218" i="63"/>
  <c r="AC203" i="63"/>
  <c r="AE203" i="63" s="1"/>
  <c r="BQ251" i="63"/>
  <c r="BP236" i="63"/>
  <c r="BB278" i="63"/>
  <c r="BA269" i="63"/>
  <c r="BB269" i="63" s="1"/>
  <c r="V289" i="63"/>
  <c r="AA289" i="63"/>
  <c r="AB289" i="63" s="1"/>
  <c r="AA297" i="63"/>
  <c r="V297" i="63"/>
  <c r="BB10" i="63"/>
  <c r="BM10" i="63"/>
  <c r="BM39" i="63" s="1"/>
  <c r="M11" i="63"/>
  <c r="K14" i="63"/>
  <c r="K43" i="63" s="1"/>
  <c r="S14" i="63"/>
  <c r="Y10" i="63"/>
  <c r="AT43" i="63"/>
  <c r="AZ43" i="63"/>
  <c r="BE14" i="63"/>
  <c r="BK10" i="63"/>
  <c r="BO39" i="63"/>
  <c r="M15" i="63"/>
  <c r="V17" i="63"/>
  <c r="M20" i="63"/>
  <c r="V49" i="63"/>
  <c r="M23" i="63"/>
  <c r="V25" i="63"/>
  <c r="M28" i="63"/>
  <c r="AB28" i="63"/>
  <c r="H29" i="63"/>
  <c r="H58" i="63" s="1"/>
  <c r="AT29" i="63"/>
  <c r="AV29" i="63" s="1"/>
  <c r="S60" i="63"/>
  <c r="AE31" i="63"/>
  <c r="AV31" i="63"/>
  <c r="BL58" i="63"/>
  <c r="V33" i="63"/>
  <c r="M36" i="63"/>
  <c r="AB36" i="63"/>
  <c r="I40" i="63"/>
  <c r="AV40" i="63"/>
  <c r="BQ40" i="63"/>
  <c r="S41" i="63"/>
  <c r="AV41" i="63"/>
  <c r="BQ41" i="63"/>
  <c r="AS42" i="63"/>
  <c r="AY42" i="63"/>
  <c r="I44" i="63"/>
  <c r="U44" i="63"/>
  <c r="V44" i="63" s="1"/>
  <c r="AE44" i="63"/>
  <c r="AM44" i="63"/>
  <c r="BH44" i="63"/>
  <c r="Y45" i="63"/>
  <c r="AJ45" i="63"/>
  <c r="BE45" i="63"/>
  <c r="BK45" i="63"/>
  <c r="L46" i="63"/>
  <c r="AS46" i="63"/>
  <c r="AY46" i="63"/>
  <c r="I47" i="63"/>
  <c r="AV47" i="63"/>
  <c r="BQ47" i="63"/>
  <c r="S48" i="63"/>
  <c r="Y48" i="63"/>
  <c r="AJ48" i="63"/>
  <c r="BE48" i="63"/>
  <c r="BK48" i="63"/>
  <c r="S49" i="63"/>
  <c r="AE49" i="63"/>
  <c r="AM49" i="63"/>
  <c r="BH49" i="63"/>
  <c r="T50" i="63"/>
  <c r="AV50" i="63"/>
  <c r="BQ50" i="63"/>
  <c r="AS51" i="63"/>
  <c r="AY51" i="63"/>
  <c r="I52" i="63"/>
  <c r="U52" i="63"/>
  <c r="V52" i="63" s="1"/>
  <c r="AE52" i="63"/>
  <c r="AM52" i="63"/>
  <c r="BH52" i="63"/>
  <c r="Y53" i="63"/>
  <c r="AJ53" i="63"/>
  <c r="BE53" i="63"/>
  <c r="BK53" i="63"/>
  <c r="L54" i="63"/>
  <c r="M54" i="63" s="1"/>
  <c r="AS54" i="63"/>
  <c r="AY54" i="63"/>
  <c r="I55" i="63"/>
  <c r="AV55" i="63"/>
  <c r="L56" i="63"/>
  <c r="AM56" i="63"/>
  <c r="AS56" i="63"/>
  <c r="AY56" i="63"/>
  <c r="I57" i="63"/>
  <c r="S57" i="63"/>
  <c r="BH57" i="63"/>
  <c r="AJ59" i="63"/>
  <c r="AP59" i="63"/>
  <c r="AI60" i="63"/>
  <c r="AJ61" i="63"/>
  <c r="AP61" i="63"/>
  <c r="S62" i="63"/>
  <c r="AJ62" i="63"/>
  <c r="AP62" i="63"/>
  <c r="BE62" i="63"/>
  <c r="P63" i="63"/>
  <c r="BH63" i="63"/>
  <c r="BN63" i="63"/>
  <c r="AE64" i="63"/>
  <c r="BH64" i="63"/>
  <c r="BN64" i="63"/>
  <c r="N71" i="63"/>
  <c r="BE71" i="63"/>
  <c r="AA78" i="63"/>
  <c r="AA46" i="63" s="1"/>
  <c r="V86" i="63"/>
  <c r="AJ90" i="63"/>
  <c r="AB91" i="63"/>
  <c r="S92" i="63"/>
  <c r="BE92" i="63"/>
  <c r="AS101" i="63"/>
  <c r="BH101" i="63"/>
  <c r="Q103" i="63"/>
  <c r="I106" i="63"/>
  <c r="AP106" i="63"/>
  <c r="BH107" i="63"/>
  <c r="BN107" i="63"/>
  <c r="AP108" i="63"/>
  <c r="AS110" i="63"/>
  <c r="AR374" i="63"/>
  <c r="AS374" i="63" s="1"/>
  <c r="I112" i="63"/>
  <c r="BG103" i="63"/>
  <c r="BG380" i="63"/>
  <c r="BP117" i="63"/>
  <c r="AE124" i="63"/>
  <c r="AO131" i="63"/>
  <c r="AA150" i="63"/>
  <c r="AB150" i="63" s="1"/>
  <c r="V150" i="63"/>
  <c r="BB152" i="63"/>
  <c r="AZ137" i="63"/>
  <c r="AZ117" i="63"/>
  <c r="W495" i="63"/>
  <c r="Y495" i="63" s="1"/>
  <c r="W120" i="63"/>
  <c r="Y120" i="63" s="1"/>
  <c r="Y155" i="63"/>
  <c r="AN125" i="63"/>
  <c r="AN714" i="63"/>
  <c r="AT170" i="63"/>
  <c r="U185" i="63"/>
  <c r="L185" i="63"/>
  <c r="O117" i="63"/>
  <c r="AA186" i="63"/>
  <c r="V186" i="63"/>
  <c r="BO203" i="63"/>
  <c r="AD105" i="63"/>
  <c r="AE105" i="63" s="1"/>
  <c r="AE206" i="63"/>
  <c r="AP212" i="63"/>
  <c r="AO203" i="63"/>
  <c r="O203" i="63"/>
  <c r="U218" i="63"/>
  <c r="V218" i="63" s="1"/>
  <c r="P218" i="63"/>
  <c r="V250" i="63"/>
  <c r="Z250" i="63"/>
  <c r="AS236" i="63"/>
  <c r="U269" i="63"/>
  <c r="P269" i="63"/>
  <c r="U278" i="63"/>
  <c r="P278" i="63"/>
  <c r="X58" i="63"/>
  <c r="I60" i="63"/>
  <c r="AS90" i="63"/>
  <c r="AI103" i="63"/>
  <c r="AI380" i="63"/>
  <c r="AU390" i="63"/>
  <c r="AV390" i="63" s="1"/>
  <c r="AU124" i="63"/>
  <c r="AV124" i="63" s="1"/>
  <c r="AV136" i="63"/>
  <c r="AN105" i="63"/>
  <c r="V280" i="63"/>
  <c r="AA280" i="63"/>
  <c r="AB280" i="63" s="1"/>
  <c r="AD10" i="63"/>
  <c r="AE10" i="63" s="1"/>
  <c r="AS10" i="63"/>
  <c r="T14" i="63"/>
  <c r="T43" i="63" s="1"/>
  <c r="AP14" i="63"/>
  <c r="V15" i="63"/>
  <c r="K45" i="63"/>
  <c r="T45" i="63"/>
  <c r="Z48" i="63"/>
  <c r="Q58" i="63"/>
  <c r="BG58" i="63"/>
  <c r="AH60" i="63"/>
  <c r="AL60" i="63"/>
  <c r="AM60" i="63" s="1"/>
  <c r="BC60" i="63"/>
  <c r="T41" i="63"/>
  <c r="L44" i="63"/>
  <c r="M44" i="63" s="1"/>
  <c r="T48" i="63"/>
  <c r="U50" i="63"/>
  <c r="V50" i="63" s="1"/>
  <c r="BN55" i="63"/>
  <c r="AP56" i="63"/>
  <c r="P57" i="63"/>
  <c r="BB59" i="63"/>
  <c r="BB61" i="63"/>
  <c r="P62" i="63"/>
  <c r="U62" i="63"/>
  <c r="V62" i="63" s="1"/>
  <c r="BB62" i="63"/>
  <c r="BC70" i="63"/>
  <c r="Q70" i="63"/>
  <c r="Q38" i="63" s="1"/>
  <c r="BG70" i="63"/>
  <c r="V74" i="63"/>
  <c r="Z77" i="63"/>
  <c r="Z46" i="63"/>
  <c r="M82" i="63"/>
  <c r="M84" i="63"/>
  <c r="Z57" i="63"/>
  <c r="BQ90" i="63"/>
  <c r="M94" i="63"/>
  <c r="M96" i="63"/>
  <c r="BE101" i="63"/>
  <c r="Y103" i="63"/>
  <c r="AL103" i="63"/>
  <c r="BB106" i="63"/>
  <c r="U107" i="63"/>
  <c r="AP107" i="63"/>
  <c r="BB108" i="63"/>
  <c r="U109" i="63"/>
  <c r="G382" i="63"/>
  <c r="I118" i="63"/>
  <c r="W388" i="63"/>
  <c r="W124" i="63"/>
  <c r="Y124" i="63" s="1"/>
  <c r="BE124" i="63"/>
  <c r="BJ390" i="63"/>
  <c r="BK136" i="63"/>
  <c r="V147" i="63"/>
  <c r="AA147" i="63"/>
  <c r="AB147" i="63" s="1"/>
  <c r="BB164" i="63"/>
  <c r="AZ131" i="63"/>
  <c r="BB131" i="63" s="1"/>
  <c r="Q506" i="63"/>
  <c r="Q473" i="63" s="1"/>
  <c r="S473" i="63" s="1"/>
  <c r="T166" i="63"/>
  <c r="Z166" i="63" s="1"/>
  <c r="Q164" i="63"/>
  <c r="Q133" i="63"/>
  <c r="S166" i="63"/>
  <c r="AO170" i="63"/>
  <c r="AP179" i="63"/>
  <c r="T206" i="63"/>
  <c r="K206" i="63"/>
  <c r="Z206" i="63"/>
  <c r="AA213" i="63"/>
  <c r="V213" i="63"/>
  <c r="BL203" i="63"/>
  <c r="BN203" i="63" s="1"/>
  <c r="BL117" i="63"/>
  <c r="AO236" i="63"/>
  <c r="AP236" i="63" s="1"/>
  <c r="AP245" i="63"/>
  <c r="V249" i="63"/>
  <c r="AA249" i="63"/>
  <c r="AB249" i="63" s="1"/>
  <c r="N236" i="63"/>
  <c r="P236" i="63" s="1"/>
  <c r="T251" i="63"/>
  <c r="Z251" i="63" s="1"/>
  <c r="AA254" i="63"/>
  <c r="AB254" i="63" s="1"/>
  <c r="V254" i="63"/>
  <c r="BM131" i="63"/>
  <c r="BN263" i="63"/>
  <c r="BM236" i="63"/>
  <c r="BN236" i="63" s="1"/>
  <c r="AA270" i="63"/>
  <c r="V270" i="63"/>
  <c r="AA354" i="63"/>
  <c r="V354" i="63"/>
  <c r="BQ119" i="63"/>
  <c r="BH120" i="63"/>
  <c r="AV121" i="63"/>
  <c r="BQ121" i="63"/>
  <c r="BN122" i="63"/>
  <c r="BN126" i="63"/>
  <c r="AJ127" i="63"/>
  <c r="Y388" i="63"/>
  <c r="I132" i="63"/>
  <c r="AV132" i="63"/>
  <c r="BQ132" i="63"/>
  <c r="I134" i="63"/>
  <c r="BE134" i="63"/>
  <c r="BQ136" i="63"/>
  <c r="AB141" i="63"/>
  <c r="V143" i="63"/>
  <c r="BN146" i="63"/>
  <c r="BG137" i="63"/>
  <c r="AZ714" i="63"/>
  <c r="BF714" i="63"/>
  <c r="BF775" i="63" s="1"/>
  <c r="BF771" i="63" s="1"/>
  <c r="BH771" i="63" s="1"/>
  <c r="BQ158" i="63"/>
  <c r="AB171" i="63"/>
  <c r="BQ173" i="63"/>
  <c r="V176" i="63"/>
  <c r="AB178" i="63"/>
  <c r="AC111" i="63"/>
  <c r="BK179" i="63"/>
  <c r="V184" i="63"/>
  <c r="AV191" i="63"/>
  <c r="AZ170" i="63"/>
  <c r="BB170" i="63" s="1"/>
  <c r="AI170" i="63"/>
  <c r="V199" i="63"/>
  <c r="V211" i="63"/>
  <c r="AM218" i="63"/>
  <c r="M220" i="63"/>
  <c r="U224" i="63"/>
  <c r="AM224" i="63"/>
  <c r="M226" i="63"/>
  <c r="AZ105" i="63"/>
  <c r="M240" i="63"/>
  <c r="M242" i="63"/>
  <c r="M248" i="63"/>
  <c r="AB248" i="63"/>
  <c r="AY251" i="63"/>
  <c r="BK257" i="63"/>
  <c r="AB260" i="63"/>
  <c r="I263" i="63"/>
  <c r="M267" i="63"/>
  <c r="BK269" i="63"/>
  <c r="BP105" i="63"/>
  <c r="BQ105" i="63" s="1"/>
  <c r="AE278" i="63"/>
  <c r="AM278" i="63"/>
  <c r="AC269" i="63"/>
  <c r="AE269" i="63" s="1"/>
  <c r="BB284" i="63"/>
  <c r="AQ125" i="63"/>
  <c r="BN290" i="63"/>
  <c r="BB303" i="63"/>
  <c r="Z305" i="63"/>
  <c r="T305" i="63"/>
  <c r="AP307" i="63"/>
  <c r="AP308" i="63"/>
  <c r="X302" i="63"/>
  <c r="Y310" i="63"/>
  <c r="V313" i="63"/>
  <c r="AA327" i="63"/>
  <c r="V327" i="63"/>
  <c r="V329" i="63"/>
  <c r="M331" i="63"/>
  <c r="K410" i="63"/>
  <c r="K417" i="63"/>
  <c r="K426" i="63"/>
  <c r="BB342" i="63"/>
  <c r="AB345" i="63"/>
  <c r="AA358" i="63"/>
  <c r="AB358" i="63" s="1"/>
  <c r="V358" i="63"/>
  <c r="AX386" i="63"/>
  <c r="I382" i="63"/>
  <c r="AE119" i="63"/>
  <c r="AS119" i="63"/>
  <c r="AS120" i="63"/>
  <c r="I385" i="63"/>
  <c r="BH121" i="63"/>
  <c r="BN121" i="63"/>
  <c r="Y122" i="63"/>
  <c r="AJ386" i="63"/>
  <c r="AP124" i="63"/>
  <c r="AZ123" i="63"/>
  <c r="I126" i="63"/>
  <c r="S126" i="63"/>
  <c r="AJ126" i="63"/>
  <c r="BE126" i="63"/>
  <c r="U127" i="63"/>
  <c r="AA127" i="63" s="1"/>
  <c r="AV127" i="63"/>
  <c r="BQ127" i="63"/>
  <c r="BE129" i="63"/>
  <c r="BN129" i="63"/>
  <c r="Y130" i="63"/>
  <c r="BK388" i="63"/>
  <c r="BB132" i="63"/>
  <c r="BH132" i="63"/>
  <c r="AJ133" i="63"/>
  <c r="AP133" i="63"/>
  <c r="BE133" i="63"/>
  <c r="BB134" i="63"/>
  <c r="AM136" i="63"/>
  <c r="P140" i="63"/>
  <c r="V141" i="63"/>
  <c r="M144" i="63"/>
  <c r="V145" i="63"/>
  <c r="Q152" i="63"/>
  <c r="AI137" i="63"/>
  <c r="AP152" i="63"/>
  <c r="V153" i="63"/>
  <c r="S154" i="63"/>
  <c r="S155" i="63"/>
  <c r="AE156" i="63"/>
  <c r="K160" i="63"/>
  <c r="M160" i="63" s="1"/>
  <c r="S167" i="63"/>
  <c r="S168" i="63"/>
  <c r="V169" i="63"/>
  <c r="V171" i="63"/>
  <c r="AS173" i="63"/>
  <c r="AY173" i="63"/>
  <c r="M175" i="63"/>
  <c r="V178" i="63"/>
  <c r="AM179" i="63"/>
  <c r="V180" i="63"/>
  <c r="M184" i="63"/>
  <c r="I185" i="63"/>
  <c r="AE187" i="63"/>
  <c r="AC527" i="63"/>
  <c r="AE188" i="63"/>
  <c r="S189" i="63"/>
  <c r="H131" i="63"/>
  <c r="U197" i="63"/>
  <c r="AA197" i="63" s="1"/>
  <c r="AV197" i="63"/>
  <c r="BB197" i="63"/>
  <c r="V201" i="63"/>
  <c r="AS206" i="63"/>
  <c r="AY206" i="63"/>
  <c r="BN206" i="63"/>
  <c r="M210" i="63"/>
  <c r="AM212" i="63"/>
  <c r="AS212" i="63"/>
  <c r="M214" i="63"/>
  <c r="V215" i="63"/>
  <c r="AY218" i="63"/>
  <c r="BE218" i="63"/>
  <c r="M219" i="63"/>
  <c r="AB219" i="63"/>
  <c r="AB221" i="63"/>
  <c r="M223" i="63"/>
  <c r="P224" i="63"/>
  <c r="AY224" i="63"/>
  <c r="BE224" i="63"/>
  <c r="M225" i="63"/>
  <c r="AB225" i="63"/>
  <c r="M228" i="63"/>
  <c r="L230" i="63"/>
  <c r="AS230" i="63"/>
  <c r="M232" i="63"/>
  <c r="AE236" i="63"/>
  <c r="AB237" i="63"/>
  <c r="Y239" i="63"/>
  <c r="AM239" i="63"/>
  <c r="BQ239" i="63"/>
  <c r="V244" i="63"/>
  <c r="AS245" i="63"/>
  <c r="V246" i="63"/>
  <c r="V248" i="63"/>
  <c r="M250" i="63"/>
  <c r="P251" i="63"/>
  <c r="U251" i="63"/>
  <c r="AE251" i="63"/>
  <c r="M252" i="63"/>
  <c r="M255" i="63"/>
  <c r="AM257" i="63"/>
  <c r="AS257" i="63"/>
  <c r="V258" i="63"/>
  <c r="V260" i="63"/>
  <c r="BQ263" i="63"/>
  <c r="AB264" i="63"/>
  <c r="M266" i="63"/>
  <c r="AB266" i="63"/>
  <c r="S272" i="63"/>
  <c r="AE272" i="63"/>
  <c r="AM272" i="63"/>
  <c r="BB272" i="63"/>
  <c r="BL105" i="63"/>
  <c r="M274" i="63"/>
  <c r="AA285" i="63"/>
  <c r="AB285" i="63" s="1"/>
  <c r="V285" i="63"/>
  <c r="AL125" i="63"/>
  <c r="AT131" i="63"/>
  <c r="L305" i="63"/>
  <c r="Y305" i="63"/>
  <c r="AP305" i="63"/>
  <c r="AM306" i="63"/>
  <c r="AA315" i="63"/>
  <c r="AA396" i="63" s="1"/>
  <c r="V315" i="63"/>
  <c r="AD302" i="63"/>
  <c r="AE318" i="63"/>
  <c r="AB339" i="63"/>
  <c r="AA343" i="63"/>
  <c r="V343" i="63"/>
  <c r="V345" i="63"/>
  <c r="Z349" i="63"/>
  <c r="AB349" i="63" s="1"/>
  <c r="V349" i="63"/>
  <c r="Z356" i="63"/>
  <c r="AB356" i="63" s="1"/>
  <c r="V356" i="63"/>
  <c r="Z360" i="63"/>
  <c r="AB360" i="63" s="1"/>
  <c r="V360" i="63"/>
  <c r="U118" i="63"/>
  <c r="I383" i="63"/>
  <c r="AP120" i="63"/>
  <c r="AV130" i="63"/>
  <c r="BB124" i="63"/>
  <c r="BK130" i="63"/>
  <c r="S133" i="63"/>
  <c r="BB133" i="63"/>
  <c r="BN134" i="63"/>
  <c r="U135" i="63"/>
  <c r="AA135" i="63" s="1"/>
  <c r="W105" i="63"/>
  <c r="AB142" i="63"/>
  <c r="M150" i="63"/>
  <c r="AE154" i="63"/>
  <c r="AC494" i="63"/>
  <c r="BH158" i="63"/>
  <c r="AC467" i="63"/>
  <c r="AE467" i="63" s="1"/>
  <c r="AE500" i="63"/>
  <c r="V165" i="63"/>
  <c r="M169" i="63"/>
  <c r="V182" i="63"/>
  <c r="AA184" i="63"/>
  <c r="AB184" i="63" s="1"/>
  <c r="AY185" i="63"/>
  <c r="BN185" i="63"/>
  <c r="M186" i="63"/>
  <c r="AB186" i="63"/>
  <c r="T189" i="63"/>
  <c r="BC170" i="63"/>
  <c r="AB196" i="63"/>
  <c r="BG170" i="63"/>
  <c r="BH170" i="63" s="1"/>
  <c r="AA199" i="63"/>
  <c r="V204" i="63"/>
  <c r="R105" i="63"/>
  <c r="S105" i="63" s="1"/>
  <c r="BD105" i="63"/>
  <c r="BE105" i="63" s="1"/>
  <c r="BK206" i="63"/>
  <c r="BE212" i="63"/>
  <c r="M213" i="63"/>
  <c r="AB213" i="63"/>
  <c r="L218" i="63"/>
  <c r="V221" i="63"/>
  <c r="BQ224" i="63"/>
  <c r="M227" i="63"/>
  <c r="AB227" i="63"/>
  <c r="V229" i="63"/>
  <c r="BE230" i="63"/>
  <c r="M231" i="63"/>
  <c r="AB231" i="63"/>
  <c r="M233" i="63"/>
  <c r="V237" i="63"/>
  <c r="AY239" i="63"/>
  <c r="M241" i="63"/>
  <c r="M243" i="63"/>
  <c r="G236" i="63"/>
  <c r="M254" i="63"/>
  <c r="V262" i="63"/>
  <c r="AS263" i="63"/>
  <c r="V264" i="63"/>
  <c r="M268" i="63"/>
  <c r="M270" i="63"/>
  <c r="AB270" i="63"/>
  <c r="T272" i="63"/>
  <c r="AY272" i="63"/>
  <c r="L278" i="63"/>
  <c r="AS310" i="63"/>
  <c r="AQ302" i="63"/>
  <c r="BH310" i="63"/>
  <c r="BG302" i="63"/>
  <c r="L326" i="63"/>
  <c r="Z347" i="63"/>
  <c r="Z424" i="63" s="1"/>
  <c r="AB424" i="63" s="1"/>
  <c r="V347" i="63"/>
  <c r="M279" i="63"/>
  <c r="AB279" i="63"/>
  <c r="U284" i="63"/>
  <c r="AA284" i="63" s="1"/>
  <c r="AB284" i="63" s="1"/>
  <c r="AM284" i="63"/>
  <c r="BQ284" i="63"/>
  <c r="M289" i="63"/>
  <c r="AY290" i="63"/>
  <c r="BQ296" i="63"/>
  <c r="V301" i="63"/>
  <c r="U303" i="63"/>
  <c r="AM303" i="63"/>
  <c r="BQ303" i="63"/>
  <c r="U304" i="63"/>
  <c r="AM304" i="63"/>
  <c r="AA305" i="63"/>
  <c r="AB305" i="63" s="1"/>
  <c r="BE305" i="63"/>
  <c r="BK305" i="63"/>
  <c r="Y307" i="63"/>
  <c r="AJ307" i="63"/>
  <c r="AM309" i="63"/>
  <c r="AJ310" i="63"/>
  <c r="AY310" i="63"/>
  <c r="AB398" i="63"/>
  <c r="M323" i="63"/>
  <c r="M405" i="63"/>
  <c r="U326" i="63"/>
  <c r="AM326" i="63"/>
  <c r="M333" i="63"/>
  <c r="K412" i="63"/>
  <c r="AS334" i="63"/>
  <c r="M419" i="63"/>
  <c r="U342" i="63"/>
  <c r="Y350" i="63"/>
  <c r="M353" i="63"/>
  <c r="M362" i="63"/>
  <c r="AB362" i="63"/>
  <c r="M364" i="63"/>
  <c r="V365" i="63"/>
  <c r="V372" i="63"/>
  <c r="S398" i="63"/>
  <c r="U398" i="63"/>
  <c r="K278" i="63"/>
  <c r="AQ269" i="63"/>
  <c r="AS269" i="63" s="1"/>
  <c r="V279" i="63"/>
  <c r="M281" i="63"/>
  <c r="AB281" i="63"/>
  <c r="P284" i="63"/>
  <c r="AS284" i="63"/>
  <c r="M286" i="63"/>
  <c r="V287" i="63"/>
  <c r="S290" i="63"/>
  <c r="BE290" i="63"/>
  <c r="M291" i="63"/>
  <c r="V292" i="63"/>
  <c r="AM296" i="63"/>
  <c r="BH296" i="63"/>
  <c r="M298" i="63"/>
  <c r="V299" i="63"/>
  <c r="P303" i="63"/>
  <c r="AS303" i="63"/>
  <c r="BH303" i="63"/>
  <c r="P305" i="63"/>
  <c r="U305" i="63"/>
  <c r="AE305" i="63"/>
  <c r="AV305" i="63"/>
  <c r="AS306" i="63"/>
  <c r="BH306" i="63"/>
  <c r="BQ306" i="63"/>
  <c r="AE307" i="63"/>
  <c r="BK307" i="63"/>
  <c r="BQ307" i="63"/>
  <c r="AE308" i="63"/>
  <c r="BK308" i="63"/>
  <c r="BQ308" i="63"/>
  <c r="L309" i="63"/>
  <c r="AY309" i="63"/>
  <c r="BE309" i="63"/>
  <c r="I310" i="63"/>
  <c r="P310" i="63"/>
  <c r="U310" i="63"/>
  <c r="AE310" i="63"/>
  <c r="M311" i="63"/>
  <c r="M312" i="63"/>
  <c r="V312" i="63"/>
  <c r="M314" i="63"/>
  <c r="V317" i="63"/>
  <c r="M320" i="63"/>
  <c r="M322" i="63"/>
  <c r="M324" i="63"/>
  <c r="M325" i="63"/>
  <c r="V325" i="63"/>
  <c r="P326" i="63"/>
  <c r="BH326" i="63"/>
  <c r="M328" i="63"/>
  <c r="V331" i="63"/>
  <c r="BE334" i="63"/>
  <c r="M335" i="63"/>
  <c r="M336" i="63"/>
  <c r="K414" i="63"/>
  <c r="M341" i="63"/>
  <c r="M346" i="63"/>
  <c r="V281" i="63"/>
  <c r="T284" i="63"/>
  <c r="Z284" i="63" s="1"/>
  <c r="AT269" i="63"/>
  <c r="BC269" i="63"/>
  <c r="BE269" i="63" s="1"/>
  <c r="T290" i="63"/>
  <c r="Z290" i="63" s="1"/>
  <c r="BF125" i="63"/>
  <c r="BO125" i="63"/>
  <c r="BQ125" i="63" s="1"/>
  <c r="AX131" i="63"/>
  <c r="AY131" i="63" s="1"/>
  <c r="AB297" i="63"/>
  <c r="AA301" i="63"/>
  <c r="T303" i="63"/>
  <c r="Z303" i="63" s="1"/>
  <c r="T304" i="63"/>
  <c r="AS305" i="63"/>
  <c r="BE306" i="63"/>
  <c r="AS307" i="63"/>
  <c r="AS308" i="63"/>
  <c r="BQ309" i="63"/>
  <c r="BQ310" i="63"/>
  <c r="M315" i="63"/>
  <c r="R302" i="63"/>
  <c r="BD302" i="63"/>
  <c r="AA400" i="63"/>
  <c r="AA401" i="63"/>
  <c r="AJ326" i="63"/>
  <c r="AT302" i="63"/>
  <c r="M327" i="63"/>
  <c r="AB327" i="63"/>
  <c r="M332" i="63"/>
  <c r="V333" i="63"/>
  <c r="BQ334" i="63"/>
  <c r="BE342" i="63"/>
  <c r="M343" i="63"/>
  <c r="AB343" i="63"/>
  <c r="BE350" i="63"/>
  <c r="BK350" i="63"/>
  <c r="M354" i="63"/>
  <c r="AB354" i="63"/>
  <c r="M357" i="63"/>
  <c r="M358" i="63"/>
  <c r="M361" i="63"/>
  <c r="V362" i="63"/>
  <c r="V364" i="63"/>
  <c r="AA365" i="63"/>
  <c r="AB365" i="63" s="1"/>
  <c r="V383" i="63"/>
  <c r="V385" i="63"/>
  <c r="V392" i="63"/>
  <c r="V393" i="63"/>
  <c r="AM394" i="63"/>
  <c r="BQ394" i="63"/>
  <c r="S396" i="63"/>
  <c r="AV396" i="63"/>
  <c r="BE396" i="63"/>
  <c r="BK396" i="63"/>
  <c r="S401" i="63"/>
  <c r="I402" i="63"/>
  <c r="T403" i="63"/>
  <c r="BH405" i="63"/>
  <c r="V408" i="63"/>
  <c r="Y408" i="63"/>
  <c r="AJ408" i="63"/>
  <c r="T410" i="63"/>
  <c r="BK410" i="63"/>
  <c r="S412" i="63"/>
  <c r="AP412" i="63"/>
  <c r="AV412" i="63"/>
  <c r="V414" i="63"/>
  <c r="I415" i="63"/>
  <c r="S415" i="63"/>
  <c r="AY415" i="63"/>
  <c r="S417" i="63"/>
  <c r="AY417" i="63"/>
  <c r="I418" i="63"/>
  <c r="V418" i="63"/>
  <c r="S419" i="63"/>
  <c r="I421" i="63"/>
  <c r="P421" i="63"/>
  <c r="T421" i="63"/>
  <c r="I422" i="63"/>
  <c r="P422" i="63"/>
  <c r="T422" i="63"/>
  <c r="AV422" i="63"/>
  <c r="BK422" i="63"/>
  <c r="T423" i="63"/>
  <c r="AV423" i="63"/>
  <c r="I424" i="63"/>
  <c r="S424" i="63"/>
  <c r="AJ424" i="63"/>
  <c r="BH424" i="63"/>
  <c r="AM425" i="63"/>
  <c r="BK425" i="63"/>
  <c r="AM426" i="63"/>
  <c r="BN426" i="63"/>
  <c r="I441" i="63"/>
  <c r="T441" i="63"/>
  <c r="Z441" i="63" s="1"/>
  <c r="BK441" i="63"/>
  <c r="I446" i="63"/>
  <c r="Y448" i="63"/>
  <c r="AY448" i="63"/>
  <c r="I449" i="63"/>
  <c r="P450" i="63"/>
  <c r="Y455" i="63"/>
  <c r="I456" i="63"/>
  <c r="AV456" i="63"/>
  <c r="BI380" i="63"/>
  <c r="BK380" i="63" s="1"/>
  <c r="U459" i="63"/>
  <c r="BN461" i="63"/>
  <c r="K462" i="63"/>
  <c r="AK386" i="63"/>
  <c r="BA386" i="63"/>
  <c r="BH464" i="63"/>
  <c r="BH467" i="63"/>
  <c r="AV469" i="63"/>
  <c r="I472" i="63"/>
  <c r="U472" i="63"/>
  <c r="BH473" i="63"/>
  <c r="I474" i="63"/>
  <c r="AW480" i="63"/>
  <c r="U484" i="63"/>
  <c r="S484" i="63"/>
  <c r="AK480" i="63"/>
  <c r="AK479" i="63" s="1"/>
  <c r="AC486" i="63"/>
  <c r="AO486" i="63"/>
  <c r="BN487" i="63"/>
  <c r="K489" i="63"/>
  <c r="Y489" i="63"/>
  <c r="L494" i="63"/>
  <c r="AY494" i="63"/>
  <c r="AS495" i="63"/>
  <c r="AY495" i="63"/>
  <c r="BQ495" i="63"/>
  <c r="BF492" i="63"/>
  <c r="BC498" i="63"/>
  <c r="BH500" i="63"/>
  <c r="AB511" i="63"/>
  <c r="AT513" i="63"/>
  <c r="BD447" i="63"/>
  <c r="BE447" i="63" s="1"/>
  <c r="AE516" i="63"/>
  <c r="AV516" i="63"/>
  <c r="BQ516" i="63"/>
  <c r="AN449" i="63"/>
  <c r="AY517" i="63"/>
  <c r="BA519" i="63"/>
  <c r="BE520" i="63"/>
  <c r="AE521" i="63"/>
  <c r="P522" i="63"/>
  <c r="AK454" i="63"/>
  <c r="BB523" i="63"/>
  <c r="BQ523" i="63"/>
  <c r="G510" i="63"/>
  <c r="BO525" i="63"/>
  <c r="P527" i="63"/>
  <c r="AJ527" i="63"/>
  <c r="AT525" i="63"/>
  <c r="BB528" i="63"/>
  <c r="Q531" i="63"/>
  <c r="AI531" i="63"/>
  <c r="BC531" i="63"/>
  <c r="AM533" i="63"/>
  <c r="BA531" i="63"/>
  <c r="BB534" i="63"/>
  <c r="AJ535" i="63"/>
  <c r="BN535" i="63"/>
  <c r="M536" i="63"/>
  <c r="O537" i="63"/>
  <c r="BD537" i="63"/>
  <c r="P538" i="63"/>
  <c r="AT537" i="63"/>
  <c r="BJ537" i="63"/>
  <c r="BN538" i="63"/>
  <c r="AP539" i="63"/>
  <c r="AZ537" i="63"/>
  <c r="BI537" i="63"/>
  <c r="BB540" i="63"/>
  <c r="BH540" i="63"/>
  <c r="BQ540" i="63"/>
  <c r="AP541" i="63"/>
  <c r="M544" i="63"/>
  <c r="AB544" i="63"/>
  <c r="G545" i="63"/>
  <c r="G543" i="63" s="1"/>
  <c r="N546" i="63"/>
  <c r="AZ546" i="63"/>
  <c r="AS547" i="63"/>
  <c r="BC546" i="63"/>
  <c r="AN546" i="63"/>
  <c r="AN545" i="63" s="1"/>
  <c r="AW546" i="63"/>
  <c r="BL546" i="63"/>
  <c r="P549" i="63"/>
  <c r="AS549" i="63"/>
  <c r="BH549" i="63"/>
  <c r="S550" i="63"/>
  <c r="BK550" i="63"/>
  <c r="AD552" i="63"/>
  <c r="BD552" i="63"/>
  <c r="S553" i="63"/>
  <c r="AI558" i="63"/>
  <c r="AJ558" i="63" s="1"/>
  <c r="BM564" i="63"/>
  <c r="BN566" i="63"/>
  <c r="AV568" i="63"/>
  <c r="AT564" i="63"/>
  <c r="L573" i="63"/>
  <c r="U573" i="63"/>
  <c r="AA573" i="63" s="1"/>
  <c r="AB573" i="63" s="1"/>
  <c r="P573" i="63"/>
  <c r="BK573" i="63"/>
  <c r="AP582" i="63"/>
  <c r="S583" i="63"/>
  <c r="M584" i="63"/>
  <c r="BP585" i="63"/>
  <c r="AY587" i="63"/>
  <c r="AY589" i="63"/>
  <c r="BK593" i="63"/>
  <c r="BJ591" i="63"/>
  <c r="BC597" i="63"/>
  <c r="AM599" i="63"/>
  <c r="AL597" i="63"/>
  <c r="AM597" i="63" s="1"/>
  <c r="AS599" i="63"/>
  <c r="BH600" i="63"/>
  <c r="BE601" i="63"/>
  <c r="L604" i="63"/>
  <c r="U604" i="63"/>
  <c r="P604" i="63"/>
  <c r="BD603" i="63"/>
  <c r="L606" i="63"/>
  <c r="BN606" i="63"/>
  <c r="AP613" i="63"/>
  <c r="T615" i="63"/>
  <c r="Z615" i="63" s="1"/>
  <c r="AY620" i="63"/>
  <c r="AE621" i="63"/>
  <c r="AA623" i="63"/>
  <c r="V623" i="63"/>
  <c r="K625" i="63"/>
  <c r="Q624" i="63"/>
  <c r="AV625" i="63"/>
  <c r="AY626" i="63"/>
  <c r="AJ627" i="63"/>
  <c r="BA630" i="63"/>
  <c r="BB632" i="63"/>
  <c r="AK630" i="63"/>
  <c r="AM630" i="63" s="1"/>
  <c r="BH638" i="63"/>
  <c r="U639" i="63"/>
  <c r="AY639" i="63"/>
  <c r="AJ647" i="63"/>
  <c r="U662" i="63"/>
  <c r="R646" i="63"/>
  <c r="S646" i="63" s="1"/>
  <c r="AJ668" i="63"/>
  <c r="AI666" i="63"/>
  <c r="AJ666" i="63" s="1"/>
  <c r="V675" i="63"/>
  <c r="AA675" i="63"/>
  <c r="Z414" i="63"/>
  <c r="AE676" i="63"/>
  <c r="AD644" i="63"/>
  <c r="BE680" i="63"/>
  <c r="K450" i="63"/>
  <c r="AK380" i="63"/>
  <c r="AM380" i="63" s="1"/>
  <c r="BA380" i="63"/>
  <c r="W386" i="63"/>
  <c r="AW386" i="63"/>
  <c r="AZ447" i="63"/>
  <c r="U516" i="63"/>
  <c r="K520" i="63"/>
  <c r="Q519" i="63"/>
  <c r="BG519" i="63"/>
  <c r="U547" i="63"/>
  <c r="K550" i="63"/>
  <c r="BQ562" i="63"/>
  <c r="BO558" i="63"/>
  <c r="Z563" i="63"/>
  <c r="V563" i="63"/>
  <c r="BC468" i="63"/>
  <c r="P571" i="63"/>
  <c r="T571" i="63"/>
  <c r="Z571" i="63" s="1"/>
  <c r="AX579" i="63"/>
  <c r="AY580" i="63"/>
  <c r="H576" i="63"/>
  <c r="AT452" i="63"/>
  <c r="AV452" i="63" s="1"/>
  <c r="AJ587" i="63"/>
  <c r="AI585" i="63"/>
  <c r="AA590" i="63"/>
  <c r="AB590" i="63" s="1"/>
  <c r="V590" i="63"/>
  <c r="R603" i="63"/>
  <c r="S605" i="63"/>
  <c r="BE614" i="63"/>
  <c r="BD612" i="63"/>
  <c r="BF448" i="63"/>
  <c r="AL650" i="63"/>
  <c r="AM652" i="63"/>
  <c r="BB654" i="63"/>
  <c r="BB656" i="63"/>
  <c r="AM660" i="63"/>
  <c r="AL658" i="63"/>
  <c r="AM658" i="63" s="1"/>
  <c r="AV670" i="63"/>
  <c r="AU666" i="63"/>
  <c r="AV666" i="63" s="1"/>
  <c r="BH670" i="63"/>
  <c r="S672" i="63"/>
  <c r="R648" i="63"/>
  <c r="AE672" i="63"/>
  <c r="AX666" i="63"/>
  <c r="AX648" i="63"/>
  <c r="V681" i="63"/>
  <c r="AA681" i="63"/>
  <c r="BB682" i="63"/>
  <c r="V384" i="63"/>
  <c r="V389" i="63"/>
  <c r="Y394" i="63"/>
  <c r="AJ394" i="63"/>
  <c r="V395" i="63"/>
  <c r="AV398" i="63"/>
  <c r="BE398" i="63"/>
  <c r="BK398" i="63"/>
  <c r="I401" i="63"/>
  <c r="AV401" i="63"/>
  <c r="BB401" i="63"/>
  <c r="BN403" i="63"/>
  <c r="P405" i="63"/>
  <c r="V407" i="63"/>
  <c r="I408" i="63"/>
  <c r="P408" i="63"/>
  <c r="AV408" i="63"/>
  <c r="I410" i="63"/>
  <c r="AJ410" i="63"/>
  <c r="BN410" i="63"/>
  <c r="I411" i="63"/>
  <c r="V411" i="63"/>
  <c r="BH412" i="63"/>
  <c r="BB417" i="63"/>
  <c r="BH417" i="63"/>
  <c r="AM419" i="63"/>
  <c r="BB419" i="63"/>
  <c r="BH419" i="63"/>
  <c r="Y421" i="63"/>
  <c r="AM421" i="63"/>
  <c r="BB421" i="63"/>
  <c r="BH421" i="63"/>
  <c r="Y422" i="63"/>
  <c r="AJ422" i="63"/>
  <c r="Y423" i="63"/>
  <c r="AJ423" i="63"/>
  <c r="BH423" i="63"/>
  <c r="AV424" i="63"/>
  <c r="I425" i="63"/>
  <c r="S425" i="63"/>
  <c r="S426" i="63"/>
  <c r="AP426" i="63"/>
  <c r="AV426" i="63"/>
  <c r="BK426" i="63"/>
  <c r="AJ441" i="63"/>
  <c r="BN441" i="63"/>
  <c r="O443" i="63"/>
  <c r="AV447" i="63"/>
  <c r="BN450" i="63"/>
  <c r="BB452" i="63"/>
  <c r="BH454" i="63"/>
  <c r="AY455" i="63"/>
  <c r="W380" i="63"/>
  <c r="Y380" i="63" s="1"/>
  <c r="AW380" i="63"/>
  <c r="BB456" i="63"/>
  <c r="BH458" i="63"/>
  <c r="I459" i="63"/>
  <c r="AP459" i="63"/>
  <c r="BH460" i="63"/>
  <c r="I462" i="63"/>
  <c r="AJ462" i="63"/>
  <c r="AY462" i="63"/>
  <c r="AI464" i="63"/>
  <c r="AJ464" i="63" s="1"/>
  <c r="AX464" i="63"/>
  <c r="I466" i="63"/>
  <c r="AM466" i="63"/>
  <c r="BQ467" i="63"/>
  <c r="BE469" i="63"/>
  <c r="BB472" i="63"/>
  <c r="AS474" i="63"/>
  <c r="BN474" i="63"/>
  <c r="BE475" i="63"/>
  <c r="V478" i="63"/>
  <c r="AL480" i="63"/>
  <c r="BA480" i="63"/>
  <c r="K484" i="63"/>
  <c r="AY449" i="63"/>
  <c r="W486" i="63"/>
  <c r="AM489" i="63"/>
  <c r="BB454" i="63"/>
  <c r="BH489" i="63"/>
  <c r="V491" i="63"/>
  <c r="AM459" i="63"/>
  <c r="AM495" i="63"/>
  <c r="BK495" i="63"/>
  <c r="AY496" i="63"/>
  <c r="I498" i="63"/>
  <c r="AV499" i="63"/>
  <c r="AV502" i="63"/>
  <c r="P505" i="63"/>
  <c r="U505" i="63"/>
  <c r="AA505" i="63" s="1"/>
  <c r="AB505" i="63" s="1"/>
  <c r="AN504" i="63"/>
  <c r="R513" i="63"/>
  <c r="R512" i="63" s="1"/>
  <c r="AZ513" i="63"/>
  <c r="AH513" i="63"/>
  <c r="BF513" i="63"/>
  <c r="O513" i="63"/>
  <c r="AM515" i="63"/>
  <c r="BP447" i="63"/>
  <c r="BQ447" i="63" s="1"/>
  <c r="BH516" i="63"/>
  <c r="AM517" i="63"/>
  <c r="BP449" i="63"/>
  <c r="BQ449" i="63" s="1"/>
  <c r="AJ521" i="63"/>
  <c r="AP521" i="63"/>
  <c r="AJ522" i="63"/>
  <c r="BM454" i="63"/>
  <c r="BN454" i="63" s="1"/>
  <c r="AI519" i="63"/>
  <c r="AP523" i="63"/>
  <c r="BC519" i="63"/>
  <c r="BE519" i="63" s="1"/>
  <c r="V524" i="63"/>
  <c r="AJ526" i="63"/>
  <c r="AZ525" i="63"/>
  <c r="BE526" i="63"/>
  <c r="AS527" i="63"/>
  <c r="AV529" i="63"/>
  <c r="M530" i="63"/>
  <c r="I531" i="63"/>
  <c r="BI531" i="63"/>
  <c r="AP534" i="63"/>
  <c r="BN534" i="63"/>
  <c r="P535" i="63"/>
  <c r="BK535" i="63"/>
  <c r="X537" i="63"/>
  <c r="AH537" i="63"/>
  <c r="AM538" i="63"/>
  <c r="AY539" i="63"/>
  <c r="Y540" i="63"/>
  <c r="AJ540" i="63"/>
  <c r="AM541" i="63"/>
  <c r="AS541" i="63"/>
  <c r="AO546" i="63"/>
  <c r="AP546" i="63" s="1"/>
  <c r="P547" i="63"/>
  <c r="BF546" i="63"/>
  <c r="W546" i="63"/>
  <c r="AK546" i="63"/>
  <c r="BI546" i="63"/>
  <c r="K549" i="63"/>
  <c r="S549" i="63"/>
  <c r="AV549" i="63"/>
  <c r="BE549" i="63"/>
  <c r="BK549" i="63"/>
  <c r="Y550" i="63"/>
  <c r="V551" i="63"/>
  <c r="AQ552" i="63"/>
  <c r="AW552" i="63"/>
  <c r="S555" i="63"/>
  <c r="L555" i="63"/>
  <c r="M555" i="63" s="1"/>
  <c r="L560" i="63"/>
  <c r="P560" i="63"/>
  <c r="AB563" i="63"/>
  <c r="AN570" i="63"/>
  <c r="AP573" i="63"/>
  <c r="O579" i="63"/>
  <c r="U582" i="63"/>
  <c r="P582" i="63"/>
  <c r="BB586" i="63"/>
  <c r="R585" i="63"/>
  <c r="U587" i="63"/>
  <c r="AA587" i="63" s="1"/>
  <c r="BG585" i="63"/>
  <c r="BH587" i="63"/>
  <c r="S588" i="63"/>
  <c r="AJ589" i="63"/>
  <c r="AZ591" i="63"/>
  <c r="BB593" i="63"/>
  <c r="T594" i="63"/>
  <c r="Z594" i="63" s="1"/>
  <c r="K594" i="63"/>
  <c r="AI597" i="63"/>
  <c r="AJ598" i="63"/>
  <c r="K599" i="63"/>
  <c r="T599" i="63"/>
  <c r="Z599" i="63" s="1"/>
  <c r="BN599" i="63"/>
  <c r="I603" i="63"/>
  <c r="AP604" i="63"/>
  <c r="BH607" i="63"/>
  <c r="AA610" i="63"/>
  <c r="V610" i="63"/>
  <c r="BH616" i="63"/>
  <c r="S619" i="63"/>
  <c r="AJ620" i="63"/>
  <c r="AQ618" i="63"/>
  <c r="BK631" i="63"/>
  <c r="AE632" i="63"/>
  <c r="L632" i="63"/>
  <c r="M632" i="63" s="1"/>
  <c r="AS632" i="63"/>
  <c r="Y633" i="63"/>
  <c r="L637" i="63"/>
  <c r="BN637" i="63"/>
  <c r="BN639" i="63"/>
  <c r="BH645" i="63"/>
  <c r="BQ652" i="63"/>
  <c r="BP650" i="63"/>
  <c r="BQ650" i="63" s="1"/>
  <c r="Z395" i="63"/>
  <c r="AA655" i="63"/>
  <c r="V655" i="63"/>
  <c r="BK660" i="63"/>
  <c r="BJ658" i="63"/>
  <c r="BK658" i="63" s="1"/>
  <c r="AX646" i="63"/>
  <c r="AY662" i="63"/>
  <c r="AX658" i="63"/>
  <c r="AY658" i="63" s="1"/>
  <c r="K668" i="63"/>
  <c r="K407" i="63" s="1"/>
  <c r="BC666" i="63"/>
  <c r="BC644" i="63"/>
  <c r="AV676" i="63"/>
  <c r="AT674" i="63"/>
  <c r="BQ676" i="63"/>
  <c r="K678" i="63"/>
  <c r="S678" i="63"/>
  <c r="BG674" i="63"/>
  <c r="BG648" i="63"/>
  <c r="V415" i="63"/>
  <c r="V417" i="63"/>
  <c r="K443" i="63"/>
  <c r="BB443" i="63"/>
  <c r="AO443" i="63"/>
  <c r="AP443" i="63" s="1"/>
  <c r="BI386" i="63"/>
  <c r="BK386" i="63" s="1"/>
  <c r="AN390" i="63"/>
  <c r="BL390" i="63"/>
  <c r="AT480" i="63"/>
  <c r="BI480" i="63"/>
  <c r="BK480" i="63" s="1"/>
  <c r="AS460" i="63"/>
  <c r="BQ460" i="63"/>
  <c r="X498" i="63"/>
  <c r="S506" i="63"/>
  <c r="AV474" i="63"/>
  <c r="Z509" i="63"/>
  <c r="AB509" i="63" s="1"/>
  <c r="W513" i="63"/>
  <c r="BI513" i="63"/>
  <c r="AR447" i="63"/>
  <c r="AS447" i="63" s="1"/>
  <c r="AT448" i="63"/>
  <c r="BL449" i="63"/>
  <c r="AA521" i="63"/>
  <c r="AO454" i="63"/>
  <c r="AP454" i="63" s="1"/>
  <c r="BI454" i="63"/>
  <c r="AA523" i="63"/>
  <c r="AC519" i="63"/>
  <c r="AM531" i="63"/>
  <c r="BK531" i="63"/>
  <c r="BG531" i="63"/>
  <c r="AU468" i="63"/>
  <c r="AV468" i="63" s="1"/>
  <c r="L535" i="63"/>
  <c r="K535" i="63"/>
  <c r="AA554" i="63"/>
  <c r="T555" i="63"/>
  <c r="Z555" i="63" s="1"/>
  <c r="P555" i="63"/>
  <c r="U562" i="63"/>
  <c r="S581" i="63"/>
  <c r="R579" i="63"/>
  <c r="U579" i="63" s="1"/>
  <c r="K588" i="63"/>
  <c r="T613" i="63"/>
  <c r="Z613" i="63" s="1"/>
  <c r="V617" i="63"/>
  <c r="Z617" i="63"/>
  <c r="AS618" i="63"/>
  <c r="L628" i="63"/>
  <c r="U628" i="63"/>
  <c r="P628" i="63"/>
  <c r="AR636" i="63"/>
  <c r="T647" i="63"/>
  <c r="Z647" i="63" s="1"/>
  <c r="AA651" i="63"/>
  <c r="AB651" i="63" s="1"/>
  <c r="V651" i="63"/>
  <c r="AJ662" i="63"/>
  <c r="AI646" i="63"/>
  <c r="Z408" i="63"/>
  <c r="AS670" i="63"/>
  <c r="BQ670" i="63"/>
  <c r="BP646" i="63"/>
  <c r="AV672" i="63"/>
  <c r="AP674" i="63"/>
  <c r="T678" i="63"/>
  <c r="Z678" i="63" s="1"/>
  <c r="Z416" i="63" s="1"/>
  <c r="AS678" i="63"/>
  <c r="M679" i="63"/>
  <c r="BC674" i="63"/>
  <c r="BC648" i="63"/>
  <c r="R552" i="63"/>
  <c r="AJ554" i="63"/>
  <c r="AP554" i="63"/>
  <c r="K555" i="63"/>
  <c r="AC552" i="63"/>
  <c r="AC545" i="63" s="1"/>
  <c r="AP556" i="63"/>
  <c r="BC552" i="63"/>
  <c r="V557" i="63"/>
  <c r="AJ559" i="63"/>
  <c r="AZ558" i="63"/>
  <c r="AJ560" i="63"/>
  <c r="AS561" i="63"/>
  <c r="AY561" i="63"/>
  <c r="AJ562" i="63"/>
  <c r="AT461" i="63"/>
  <c r="BE562" i="63"/>
  <c r="M563" i="63"/>
  <c r="K566" i="63"/>
  <c r="BB566" i="63"/>
  <c r="BH566" i="63"/>
  <c r="BQ567" i="63"/>
  <c r="AL570" i="63"/>
  <c r="AM570" i="63" s="1"/>
  <c r="AE572" i="63"/>
  <c r="AM572" i="63"/>
  <c r="AS573" i="63"/>
  <c r="BH573" i="63"/>
  <c r="AY574" i="63"/>
  <c r="BK581" i="63"/>
  <c r="L582" i="63"/>
  <c r="AS582" i="63"/>
  <c r="BQ582" i="63"/>
  <c r="Y583" i="63"/>
  <c r="V584" i="63"/>
  <c r="G578" i="63"/>
  <c r="I578" i="63" s="1"/>
  <c r="BO585" i="63"/>
  <c r="Q585" i="63"/>
  <c r="BB587" i="63"/>
  <c r="AV588" i="63"/>
  <c r="BB589" i="63"/>
  <c r="AN591" i="63"/>
  <c r="AT591" i="63"/>
  <c r="AM594" i="63"/>
  <c r="AE595" i="63"/>
  <c r="BE595" i="63"/>
  <c r="V596" i="63"/>
  <c r="BI597" i="63"/>
  <c r="BG597" i="63"/>
  <c r="AV599" i="63"/>
  <c r="K601" i="63"/>
  <c r="BH601" i="63"/>
  <c r="X603" i="63"/>
  <c r="AH603" i="63"/>
  <c r="AY605" i="63"/>
  <c r="BQ606" i="63"/>
  <c r="Y607" i="63"/>
  <c r="AM607" i="63"/>
  <c r="BK607" i="63"/>
  <c r="M610" i="63"/>
  <c r="AB610" i="63"/>
  <c r="BL612" i="63"/>
  <c r="P613" i="63"/>
  <c r="AL612" i="63"/>
  <c r="AY614" i="63"/>
  <c r="P615" i="63"/>
  <c r="AE615" i="63"/>
  <c r="BK616" i="63"/>
  <c r="AI618" i="63"/>
  <c r="AK618" i="63"/>
  <c r="BE619" i="63"/>
  <c r="BB620" i="63"/>
  <c r="AJ621" i="63"/>
  <c r="BH621" i="63"/>
  <c r="BB622" i="63"/>
  <c r="BO618" i="63"/>
  <c r="BQ618" i="63" s="1"/>
  <c r="AN624" i="63"/>
  <c r="AM627" i="63"/>
  <c r="AS628" i="63"/>
  <c r="W630" i="63"/>
  <c r="BJ630" i="63"/>
  <c r="BK630" i="63" s="1"/>
  <c r="Q630" i="63"/>
  <c r="AV632" i="63"/>
  <c r="BI630" i="63"/>
  <c r="BF636" i="63"/>
  <c r="Y638" i="63"/>
  <c r="AM638" i="63"/>
  <c r="BK638" i="63"/>
  <c r="AE639" i="63"/>
  <c r="BQ639" i="63"/>
  <c r="T640" i="63"/>
  <c r="Z640" i="63" s="1"/>
  <c r="Y640" i="63"/>
  <c r="AP643" i="63"/>
  <c r="AV643" i="63"/>
  <c r="P647" i="63"/>
  <c r="BN649" i="63"/>
  <c r="BA650" i="63"/>
  <c r="BB650" i="63" s="1"/>
  <c r="M651" i="63"/>
  <c r="BO644" i="63"/>
  <c r="BI646" i="63"/>
  <c r="AT648" i="63"/>
  <c r="AV648" i="63" s="1"/>
  <c r="BE656" i="63"/>
  <c r="BM648" i="63"/>
  <c r="AY660" i="63"/>
  <c r="V661" i="63"/>
  <c r="V665" i="63"/>
  <c r="AV668" i="63"/>
  <c r="BK670" i="63"/>
  <c r="AR648" i="63"/>
  <c r="AY672" i="63"/>
  <c r="BL648" i="63"/>
  <c r="BN648" i="63" s="1"/>
  <c r="AC674" i="63"/>
  <c r="AE674" i="63" s="1"/>
  <c r="AQ674" i="63"/>
  <c r="AS674" i="63" s="1"/>
  <c r="BD674" i="63"/>
  <c r="BL674" i="63"/>
  <c r="BN674" i="63" s="1"/>
  <c r="BP674" i="63"/>
  <c r="BQ674" i="63" s="1"/>
  <c r="V677" i="63"/>
  <c r="P678" i="63"/>
  <c r="AV678" i="63"/>
  <c r="V679" i="63"/>
  <c r="BE682" i="63"/>
  <c r="M683" i="63"/>
  <c r="AB683" i="63"/>
  <c r="L423" i="63"/>
  <c r="M687" i="63"/>
  <c r="M689" i="63"/>
  <c r="BK690" i="63"/>
  <c r="V698" i="63"/>
  <c r="V732" i="63"/>
  <c r="AA732" i="63"/>
  <c r="W799" i="63"/>
  <c r="Y738" i="63"/>
  <c r="V747" i="63"/>
  <c r="AA747" i="63"/>
  <c r="H760" i="63"/>
  <c r="I760" i="63" s="1"/>
  <c r="AR770" i="63"/>
  <c r="AL770" i="63"/>
  <c r="BJ770" i="63"/>
  <c r="V779" i="63"/>
  <c r="Z779" i="63"/>
  <c r="AN782" i="63"/>
  <c r="AP782" i="63" s="1"/>
  <c r="U790" i="63"/>
  <c r="V790" i="63" s="1"/>
  <c r="L790" i="63"/>
  <c r="V793" i="63"/>
  <c r="AA793" i="63"/>
  <c r="AB793" i="63" s="1"/>
  <c r="M800" i="63"/>
  <c r="AP801" i="63"/>
  <c r="BN822" i="63"/>
  <c r="R860" i="63"/>
  <c r="S860" i="63" s="1"/>
  <c r="S830" i="63"/>
  <c r="R861" i="63"/>
  <c r="S861" i="63" s="1"/>
  <c r="S831" i="63"/>
  <c r="BD861" i="63"/>
  <c r="BE861" i="63" s="1"/>
  <c r="BE831" i="63"/>
  <c r="BF862" i="63"/>
  <c r="AQ863" i="63"/>
  <c r="BF863" i="63"/>
  <c r="AN867" i="63"/>
  <c r="AN836" i="63"/>
  <c r="AT867" i="63"/>
  <c r="AT836" i="63"/>
  <c r="AT864" i="63" s="1"/>
  <c r="U871" i="63"/>
  <c r="V843" i="63"/>
  <c r="I844" i="63"/>
  <c r="BC872" i="63"/>
  <c r="BC829" i="63"/>
  <c r="AI879" i="63"/>
  <c r="AJ853" i="63"/>
  <c r="BQ878" i="63"/>
  <c r="U886" i="63"/>
  <c r="P886" i="63"/>
  <c r="AT860" i="63"/>
  <c r="BJ863" i="63"/>
  <c r="AM900" i="63"/>
  <c r="M910" i="63"/>
  <c r="AU919" i="63"/>
  <c r="AV919" i="63" s="1"/>
  <c r="O925" i="63"/>
  <c r="BB926" i="63"/>
  <c r="L1031" i="63"/>
  <c r="AA929" i="63"/>
  <c r="V929" i="63"/>
  <c r="Y936" i="63"/>
  <c r="W920" i="63"/>
  <c r="Y920" i="63" s="1"/>
  <c r="L937" i="63"/>
  <c r="AP939" i="63"/>
  <c r="AO923" i="63"/>
  <c r="AP923" i="63" s="1"/>
  <c r="BB940" i="63"/>
  <c r="AZ924" i="63"/>
  <c r="Z422" i="63"/>
  <c r="AA704" i="63"/>
  <c r="AB704" i="63" s="1"/>
  <c r="V704" i="63"/>
  <c r="AA727" i="63"/>
  <c r="AB727" i="63" s="1"/>
  <c r="V727" i="63"/>
  <c r="V731" i="63"/>
  <c r="Z731" i="63"/>
  <c r="AB731" i="63" s="1"/>
  <c r="V746" i="63"/>
  <c r="Z746" i="63"/>
  <c r="J773" i="63"/>
  <c r="J774" i="63"/>
  <c r="J770" i="63" s="1"/>
  <c r="H770" i="63"/>
  <c r="I778" i="63"/>
  <c r="AW782" i="63"/>
  <c r="AY782" i="63" s="1"/>
  <c r="AY785" i="63"/>
  <c r="V792" i="63"/>
  <c r="Z792" i="63"/>
  <c r="T807" i="63"/>
  <c r="K807" i="63"/>
  <c r="K765" i="63" s="1"/>
  <c r="X867" i="63"/>
  <c r="X836" i="63"/>
  <c r="AI867" i="63"/>
  <c r="AI836" i="63"/>
  <c r="AJ839" i="63"/>
  <c r="T870" i="63"/>
  <c r="Z842" i="63"/>
  <c r="AC879" i="63"/>
  <c r="AE853" i="63"/>
  <c r="AT861" i="63"/>
  <c r="U888" i="63"/>
  <c r="L888" i="63"/>
  <c r="P888" i="63"/>
  <c r="AT862" i="63"/>
  <c r="S891" i="63"/>
  <c r="Q863" i="63"/>
  <c r="AL892" i="63"/>
  <c r="AL890" i="63"/>
  <c r="AM890" i="63" s="1"/>
  <c r="AL867" i="63"/>
  <c r="AX892" i="63"/>
  <c r="AY892" i="63" s="1"/>
  <c r="AY895" i="63"/>
  <c r="AX890" i="63"/>
  <c r="K870" i="63"/>
  <c r="Z911" i="63"/>
  <c r="Z881" i="63" s="1"/>
  <c r="T881" i="63"/>
  <c r="P922" i="63"/>
  <c r="U922" i="63"/>
  <c r="BB924" i="63"/>
  <c r="R1028" i="63"/>
  <c r="R925" i="63"/>
  <c r="R918" i="63" s="1"/>
  <c r="AA927" i="63"/>
  <c r="V927" i="63"/>
  <c r="BB935" i="63"/>
  <c r="BA919" i="63"/>
  <c r="BB919" i="63" s="1"/>
  <c r="BB937" i="63"/>
  <c r="AZ921" i="63"/>
  <c r="BB921" i="63" s="1"/>
  <c r="BB938" i="63"/>
  <c r="BA922" i="63"/>
  <c r="BB922" i="63" s="1"/>
  <c r="BA552" i="63"/>
  <c r="AE554" i="63"/>
  <c r="U555" i="63"/>
  <c r="AY555" i="63"/>
  <c r="BB556" i="63"/>
  <c r="BQ556" i="63"/>
  <c r="BK561" i="63"/>
  <c r="AS562" i="63"/>
  <c r="AI564" i="63"/>
  <c r="AO564" i="63"/>
  <c r="AY566" i="63"/>
  <c r="BI564" i="63"/>
  <c r="AP567" i="63"/>
  <c r="BA564" i="63"/>
  <c r="AP574" i="63"/>
  <c r="AB577" i="63"/>
  <c r="BB581" i="63"/>
  <c r="BL579" i="63"/>
  <c r="AP583" i="63"/>
  <c r="BE583" i="63"/>
  <c r="Y588" i="63"/>
  <c r="AS589" i="63"/>
  <c r="U593" i="63"/>
  <c r="AM593" i="63"/>
  <c r="BN594" i="63"/>
  <c r="AH591" i="63"/>
  <c r="BF591" i="63"/>
  <c r="Y599" i="63"/>
  <c r="U601" i="63"/>
  <c r="AP601" i="63"/>
  <c r="BJ603" i="63"/>
  <c r="AP605" i="63"/>
  <c r="AZ603" i="63"/>
  <c r="AJ606" i="63"/>
  <c r="AY606" i="63"/>
  <c r="AT612" i="63"/>
  <c r="R612" i="63"/>
  <c r="AE614" i="63"/>
  <c r="H611" i="63"/>
  <c r="BM618" i="63"/>
  <c r="Q618" i="63"/>
  <c r="AS620" i="63"/>
  <c r="M629" i="63"/>
  <c r="AU630" i="63"/>
  <c r="AM632" i="63"/>
  <c r="BH633" i="63"/>
  <c r="K634" i="63"/>
  <c r="AN636" i="63"/>
  <c r="BL636" i="63"/>
  <c r="BH639" i="63"/>
  <c r="AP640" i="63"/>
  <c r="BH643" i="63"/>
  <c r="AS644" i="63"/>
  <c r="BQ645" i="63"/>
  <c r="S647" i="63"/>
  <c r="L647" i="63"/>
  <c r="AS647" i="63"/>
  <c r="AY647" i="63"/>
  <c r="I650" i="63"/>
  <c r="V653" i="63"/>
  <c r="AB657" i="63"/>
  <c r="AV658" i="63"/>
  <c r="BH658" i="63"/>
  <c r="AS664" i="63"/>
  <c r="AS666" i="63"/>
  <c r="AD666" i="63"/>
  <c r="AE666" i="63" s="1"/>
  <c r="BB670" i="63"/>
  <c r="M673" i="63"/>
  <c r="BA674" i="63"/>
  <c r="Y678" i="63"/>
  <c r="U682" i="63"/>
  <c r="AM682" i="63"/>
  <c r="V683" i="63"/>
  <c r="V687" i="63"/>
  <c r="V689" i="63"/>
  <c r="AS690" i="63"/>
  <c r="AB692" i="63"/>
  <c r="AB694" i="63"/>
  <c r="AB696" i="63"/>
  <c r="AA702" i="63"/>
  <c r="AB702" i="63" s="1"/>
  <c r="V702" i="63"/>
  <c r="BQ729" i="63"/>
  <c r="V735" i="63"/>
  <c r="AA735" i="63"/>
  <c r="K739" i="63"/>
  <c r="J739" i="63" s="1"/>
  <c r="AB749" i="63"/>
  <c r="R759" i="63"/>
  <c r="AD759" i="63"/>
  <c r="AU759" i="63"/>
  <c r="AA796" i="63"/>
  <c r="AB796" i="63" s="1"/>
  <c r="V796" i="63"/>
  <c r="AM805" i="63"/>
  <c r="V814" i="63"/>
  <c r="Z814" i="63"/>
  <c r="K822" i="63"/>
  <c r="BF829" i="63"/>
  <c r="BF859" i="63" s="1"/>
  <c r="AI860" i="63"/>
  <c r="AJ860" i="63" s="1"/>
  <c r="AJ830" i="63"/>
  <c r="AI861" i="63"/>
  <c r="AJ831" i="63"/>
  <c r="AV831" i="63"/>
  <c r="BH832" i="63"/>
  <c r="X834" i="63"/>
  <c r="X862" i="63" s="1"/>
  <c r="AI834" i="63"/>
  <c r="AJ834" i="63" s="1"/>
  <c r="AV834" i="63"/>
  <c r="BH836" i="63"/>
  <c r="Q867" i="63"/>
  <c r="Q834" i="63"/>
  <c r="Q836" i="63"/>
  <c r="Q829" i="63" s="1"/>
  <c r="S829" i="63" s="1"/>
  <c r="AI872" i="63"/>
  <c r="AJ872" i="63" s="1"/>
  <c r="AJ844" i="63"/>
  <c r="BE869" i="63"/>
  <c r="BE871" i="63"/>
  <c r="BE880" i="63"/>
  <c r="BI860" i="63"/>
  <c r="AJ888" i="63"/>
  <c r="Z893" i="63"/>
  <c r="V893" i="63"/>
  <c r="AB898" i="63"/>
  <c r="M902" i="63"/>
  <c r="L881" i="63"/>
  <c r="M911" i="63"/>
  <c r="N1028" i="63"/>
  <c r="P926" i="63"/>
  <c r="N925" i="63"/>
  <c r="AA931" i="63"/>
  <c r="AB931" i="63" s="1"/>
  <c r="V931" i="63"/>
  <c r="AL919" i="63"/>
  <c r="AM919" i="63" s="1"/>
  <c r="AM935" i="63"/>
  <c r="T936" i="63"/>
  <c r="Z936" i="63" s="1"/>
  <c r="Q920" i="63"/>
  <c r="BB936" i="63"/>
  <c r="BA920" i="63"/>
  <c r="BB920" i="63" s="1"/>
  <c r="AJ937" i="63"/>
  <c r="AI921" i="63"/>
  <c r="AJ921" i="63" s="1"/>
  <c r="AP937" i="63"/>
  <c r="AO921" i="63"/>
  <c r="AP921" i="63" s="1"/>
  <c r="AY938" i="63"/>
  <c r="AW922" i="63"/>
  <c r="AY922" i="63" s="1"/>
  <c r="U947" i="63"/>
  <c r="AA947" i="63" s="1"/>
  <c r="AB947" i="63" s="1"/>
  <c r="P947" i="63"/>
  <c r="Y949" i="63"/>
  <c r="W934" i="63"/>
  <c r="W925" i="63" s="1"/>
  <c r="W918" i="63" s="1"/>
  <c r="AA950" i="63"/>
  <c r="AB950" i="63" s="1"/>
  <c r="V950" i="63"/>
  <c r="BA1045" i="63"/>
  <c r="BB967" i="63"/>
  <c r="P984" i="63"/>
  <c r="T984" i="63"/>
  <c r="Z984" i="63" s="1"/>
  <c r="P985" i="63"/>
  <c r="N920" i="63"/>
  <c r="BK985" i="63"/>
  <c r="BJ920" i="63"/>
  <c r="AB557" i="63"/>
  <c r="R558" i="63"/>
  <c r="BD558" i="63"/>
  <c r="AA565" i="63"/>
  <c r="AW564" i="63"/>
  <c r="AB569" i="63"/>
  <c r="AT570" i="63"/>
  <c r="R570" i="63"/>
  <c r="AV573" i="63"/>
  <c r="V577" i="63"/>
  <c r="BJ446" i="63"/>
  <c r="BK446" i="63" s="1"/>
  <c r="AN579" i="63"/>
  <c r="AV582" i="63"/>
  <c r="AE583" i="63"/>
  <c r="AW585" i="63"/>
  <c r="AY588" i="63"/>
  <c r="AP589" i="63"/>
  <c r="M590" i="63"/>
  <c r="AL591" i="63"/>
  <c r="AR591" i="63"/>
  <c r="BL591" i="63"/>
  <c r="BQ592" i="63"/>
  <c r="BH593" i="63"/>
  <c r="BE594" i="63"/>
  <c r="BK594" i="63"/>
  <c r="L595" i="63"/>
  <c r="AP600" i="63"/>
  <c r="BN600" i="63"/>
  <c r="P601" i="63"/>
  <c r="BK601" i="63"/>
  <c r="AL603" i="63"/>
  <c r="BF603" i="63"/>
  <c r="BK604" i="63"/>
  <c r="Y605" i="63"/>
  <c r="AE606" i="63"/>
  <c r="T607" i="63"/>
  <c r="AK612" i="63"/>
  <c r="AK611" i="63" s="1"/>
  <c r="BJ612" i="63"/>
  <c r="Y614" i="63"/>
  <c r="AY615" i="63"/>
  <c r="BE615" i="63"/>
  <c r="BN616" i="63"/>
  <c r="I618" i="63"/>
  <c r="AO618" i="63"/>
  <c r="BI618" i="63"/>
  <c r="BI611" i="63" s="1"/>
  <c r="BN619" i="63"/>
  <c r="AC618" i="63"/>
  <c r="AM621" i="63"/>
  <c r="BK621" i="63"/>
  <c r="AP622" i="63"/>
  <c r="BE622" i="63"/>
  <c r="M623" i="63"/>
  <c r="AR624" i="63"/>
  <c r="BL624" i="63"/>
  <c r="BQ625" i="63"/>
  <c r="P626" i="63"/>
  <c r="AE626" i="63"/>
  <c r="BE626" i="63"/>
  <c r="AP627" i="63"/>
  <c r="BE627" i="63"/>
  <c r="BK627" i="63"/>
  <c r="AV628" i="63"/>
  <c r="BQ628" i="63"/>
  <c r="O630" i="63"/>
  <c r="AJ632" i="63"/>
  <c r="BN632" i="63"/>
  <c r="AJ633" i="63"/>
  <c r="AP633" i="63"/>
  <c r="AJ634" i="63"/>
  <c r="AY634" i="63"/>
  <c r="BN634" i="63"/>
  <c r="M635" i="63"/>
  <c r="AT636" i="63"/>
  <c r="T638" i="63"/>
  <c r="AJ639" i="63"/>
  <c r="BE639" i="63"/>
  <c r="K640" i="63"/>
  <c r="S640" i="63"/>
  <c r="AM640" i="63"/>
  <c r="H642" i="63"/>
  <c r="S643" i="63"/>
  <c r="AS643" i="63"/>
  <c r="AY643" i="63"/>
  <c r="BN645" i="63"/>
  <c r="I646" i="63"/>
  <c r="AP647" i="63"/>
  <c r="AV647" i="63"/>
  <c r="BE647" i="63"/>
  <c r="X648" i="63"/>
  <c r="AQ648" i="63"/>
  <c r="BQ649" i="63"/>
  <c r="BH654" i="63"/>
  <c r="BH656" i="63"/>
  <c r="V657" i="63"/>
  <c r="BC658" i="63"/>
  <c r="BE658" i="63" s="1"/>
  <c r="BH660" i="63"/>
  <c r="Z661" i="63"/>
  <c r="Z401" i="63" s="1"/>
  <c r="AV662" i="63"/>
  <c r="BN664" i="63"/>
  <c r="Z665" i="63"/>
  <c r="Z405" i="63" s="1"/>
  <c r="M667" i="63"/>
  <c r="AE668" i="63"/>
  <c r="AN646" i="63"/>
  <c r="AY670" i="63"/>
  <c r="Y672" i="63"/>
  <c r="AM672" i="63"/>
  <c r="BP666" i="63"/>
  <c r="BQ666" i="63" s="1"/>
  <c r="R674" i="63"/>
  <c r="S674" i="63" s="1"/>
  <c r="X674" i="63"/>
  <c r="Y674" i="63" s="1"/>
  <c r="Y676" i="63"/>
  <c r="AW674" i="63"/>
  <c r="AY674" i="63" s="1"/>
  <c r="P680" i="63"/>
  <c r="AV680" i="63"/>
  <c r="G642" i="63"/>
  <c r="BH682" i="63"/>
  <c r="M684" i="63"/>
  <c r="V685" i="63"/>
  <c r="BN690" i="63"/>
  <c r="V692" i="63"/>
  <c r="V694" i="63"/>
  <c r="V696" i="63"/>
  <c r="M700" i="63"/>
  <c r="BN711" i="63"/>
  <c r="S715" i="63"/>
  <c r="Q711" i="63"/>
  <c r="S711" i="63" s="1"/>
  <c r="AA725" i="63"/>
  <c r="V734" i="63"/>
  <c r="Z734" i="63"/>
  <c r="V752" i="63"/>
  <c r="AA752" i="63"/>
  <c r="AB752" i="63" s="1"/>
  <c r="O758" i="63"/>
  <c r="P771" i="63"/>
  <c r="V780" i="63"/>
  <c r="AA780" i="63"/>
  <c r="BK801" i="63"/>
  <c r="Y805" i="63"/>
  <c r="S822" i="63"/>
  <c r="BH833" i="63"/>
  <c r="AC864" i="63"/>
  <c r="AC829" i="63"/>
  <c r="AC859" i="63" s="1"/>
  <c r="H836" i="63"/>
  <c r="I839" i="63"/>
  <c r="H834" i="63"/>
  <c r="AX867" i="63"/>
  <c r="AX836" i="63"/>
  <c r="AX829" i="63" s="1"/>
  <c r="BK834" i="63"/>
  <c r="BO867" i="63"/>
  <c r="BO834" i="63"/>
  <c r="BO836" i="63"/>
  <c r="M840" i="63"/>
  <c r="L868" i="63"/>
  <c r="L877" i="63"/>
  <c r="M877" i="63" s="1"/>
  <c r="M851" i="63"/>
  <c r="K853" i="63"/>
  <c r="AT879" i="63"/>
  <c r="AV853" i="63"/>
  <c r="BK868" i="63"/>
  <c r="G872" i="63"/>
  <c r="S876" i="63"/>
  <c r="AS877" i="63"/>
  <c r="BB881" i="63"/>
  <c r="P883" i="63"/>
  <c r="AE888" i="63"/>
  <c r="AC862" i="63"/>
  <c r="T889" i="63"/>
  <c r="K889" i="63"/>
  <c r="T891" i="63"/>
  <c r="BQ891" i="63"/>
  <c r="BO863" i="63"/>
  <c r="V896" i="63"/>
  <c r="AA896" i="63"/>
  <c r="U868" i="63"/>
  <c r="BH909" i="63"/>
  <c r="Z913" i="63"/>
  <c r="Z883" i="63" s="1"/>
  <c r="T883" i="63"/>
  <c r="AP922" i="63"/>
  <c r="Z923" i="63"/>
  <c r="BD925" i="63"/>
  <c r="BD918" i="63" s="1"/>
  <c r="U926" i="63"/>
  <c r="AZ1028" i="63"/>
  <c r="AZ925" i="63"/>
  <c r="BB925" i="63" s="1"/>
  <c r="L943" i="63"/>
  <c r="Y943" i="63"/>
  <c r="AK1051" i="63"/>
  <c r="BA1051" i="63"/>
  <c r="BB1051" i="63" s="1"/>
  <c r="BB975" i="63"/>
  <c r="AA978" i="63"/>
  <c r="V978" i="63"/>
  <c r="M702" i="63"/>
  <c r="M704" i="63"/>
  <c r="BQ711" i="63"/>
  <c r="X709" i="63"/>
  <c r="X708" i="63" s="1"/>
  <c r="X750" i="63" s="1"/>
  <c r="I721" i="63"/>
  <c r="K722" i="63"/>
  <c r="J722" i="63" s="1"/>
  <c r="Y724" i="63"/>
  <c r="AE725" i="63"/>
  <c r="BB725" i="63"/>
  <c r="BQ725" i="63"/>
  <c r="AV729" i="63"/>
  <c r="V730" i="63"/>
  <c r="AB732" i="63"/>
  <c r="AP733" i="63"/>
  <c r="BN733" i="63"/>
  <c r="BQ737" i="63"/>
  <c r="AE738" i="63"/>
  <c r="U766" i="63"/>
  <c r="I761" i="63"/>
  <c r="AJ766" i="63"/>
  <c r="BH766" i="63"/>
  <c r="AO758" i="63"/>
  <c r="BA758" i="63"/>
  <c r="BM758" i="63"/>
  <c r="S774" i="63"/>
  <c r="AE774" i="63"/>
  <c r="V776" i="63"/>
  <c r="AM785" i="63"/>
  <c r="BK785" i="63"/>
  <c r="I786" i="63"/>
  <c r="AM786" i="63"/>
  <c r="V788" i="63"/>
  <c r="BB794" i="63"/>
  <c r="AB797" i="63"/>
  <c r="F769" i="63"/>
  <c r="F812" i="63" s="1"/>
  <c r="BI798" i="63"/>
  <c r="BI760" i="63" s="1"/>
  <c r="Q801" i="63"/>
  <c r="S801" i="63" s="1"/>
  <c r="AM807" i="63"/>
  <c r="V809" i="63"/>
  <c r="AV822" i="63"/>
  <c r="AS860" i="63"/>
  <c r="AY830" i="63"/>
  <c r="AY831" i="63"/>
  <c r="BK832" i="63"/>
  <c r="BK833" i="63"/>
  <c r="Y834" i="63"/>
  <c r="AY834" i="63"/>
  <c r="AU863" i="63"/>
  <c r="AZ863" i="63"/>
  <c r="Y839" i="63"/>
  <c r="AR867" i="63"/>
  <c r="AY839" i="63"/>
  <c r="BC867" i="63"/>
  <c r="Y844" i="63"/>
  <c r="AV844" i="63"/>
  <c r="BQ844" i="63"/>
  <c r="M845" i="63"/>
  <c r="K875" i="63"/>
  <c r="AW860" i="63"/>
  <c r="Y865" i="63"/>
  <c r="AM865" i="63"/>
  <c r="AS865" i="63"/>
  <c r="AM868" i="63"/>
  <c r="AV869" i="63"/>
  <c r="BB869" i="63"/>
  <c r="BQ870" i="63"/>
  <c r="BB871" i="63"/>
  <c r="I874" i="63"/>
  <c r="AJ874" i="63"/>
  <c r="AY874" i="63"/>
  <c r="Y875" i="63"/>
  <c r="BH875" i="63"/>
  <c r="P876" i="63"/>
  <c r="BB876" i="63"/>
  <c r="BK877" i="63"/>
  <c r="I878" i="63"/>
  <c r="AJ878" i="63"/>
  <c r="AY878" i="63"/>
  <c r="AM880" i="63"/>
  <c r="BN881" i="63"/>
  <c r="AV882" i="63"/>
  <c r="BK882" i="63"/>
  <c r="AM883" i="63"/>
  <c r="AY886" i="63"/>
  <c r="BH886" i="63"/>
  <c r="BN886" i="63"/>
  <c r="U887" i="63"/>
  <c r="S887" i="63"/>
  <c r="AJ887" i="63"/>
  <c r="BH887" i="63"/>
  <c r="BH888" i="63"/>
  <c r="BN888" i="63"/>
  <c r="P889" i="63"/>
  <c r="BK890" i="63"/>
  <c r="P891" i="63"/>
  <c r="AT863" i="63"/>
  <c r="AJ892" i="63"/>
  <c r="M894" i="63"/>
  <c r="I895" i="63"/>
  <c r="AM895" i="63"/>
  <c r="V897" i="63"/>
  <c r="V899" i="63"/>
  <c r="AN885" i="63"/>
  <c r="AN915" i="63" s="1"/>
  <c r="M905" i="63"/>
  <c r="AE919" i="63"/>
  <c r="AS921" i="63"/>
  <c r="P923" i="63"/>
  <c r="BE923" i="63"/>
  <c r="I924" i="63"/>
  <c r="P924" i="63"/>
  <c r="AY926" i="63"/>
  <c r="BN926" i="63"/>
  <c r="M931" i="63"/>
  <c r="AE934" i="63"/>
  <c r="AV934" i="63"/>
  <c r="BK934" i="63"/>
  <c r="AE935" i="63"/>
  <c r="P936" i="63"/>
  <c r="AE936" i="63"/>
  <c r="P937" i="63"/>
  <c r="BE937" i="63"/>
  <c r="U939" i="63"/>
  <c r="V939" i="63" s="1"/>
  <c r="P939" i="63"/>
  <c r="P943" i="63"/>
  <c r="T943" i="63"/>
  <c r="Z943" i="63" s="1"/>
  <c r="AM949" i="63"/>
  <c r="AL1035" i="63"/>
  <c r="AM1035" i="63" s="1"/>
  <c r="AA955" i="63"/>
  <c r="AB955" i="63" s="1"/>
  <c r="V955" i="63"/>
  <c r="AN1040" i="63"/>
  <c r="AP1040" i="63" s="1"/>
  <c r="AP960" i="63"/>
  <c r="O1045" i="63"/>
  <c r="P967" i="63"/>
  <c r="BL1045" i="63"/>
  <c r="BN1045" i="63" s="1"/>
  <c r="BN967" i="63"/>
  <c r="BL941" i="63"/>
  <c r="BN941" i="63" s="1"/>
  <c r="U984" i="63"/>
  <c r="L984" i="63"/>
  <c r="L987" i="63"/>
  <c r="Y987" i="63"/>
  <c r="L996" i="63"/>
  <c r="U996" i="63"/>
  <c r="V996" i="63" s="1"/>
  <c r="P996" i="63"/>
  <c r="O1058" i="63"/>
  <c r="L998" i="63"/>
  <c r="O983" i="63"/>
  <c r="L983" i="63" s="1"/>
  <c r="P998" i="63"/>
  <c r="AB700" i="63"/>
  <c r="R708" i="63"/>
  <c r="BH711" i="63"/>
  <c r="AS721" i="63"/>
  <c r="BH721" i="63"/>
  <c r="I725" i="63"/>
  <c r="AJ725" i="63"/>
  <c r="Y729" i="63"/>
  <c r="BB733" i="63"/>
  <c r="M734" i="63"/>
  <c r="AP737" i="63"/>
  <c r="BE737" i="63"/>
  <c r="M739" i="63"/>
  <c r="AA741" i="63"/>
  <c r="M742" i="63"/>
  <c r="M744" i="63"/>
  <c r="M746" i="63"/>
  <c r="V749" i="63"/>
  <c r="I765" i="63"/>
  <c r="I766" i="63"/>
  <c r="AV766" i="63"/>
  <c r="H758" i="63"/>
  <c r="I758" i="63" s="1"/>
  <c r="AX759" i="63"/>
  <c r="M776" i="63"/>
  <c r="AB776" i="63"/>
  <c r="X770" i="63"/>
  <c r="V783" i="63"/>
  <c r="V784" i="63"/>
  <c r="S786" i="63"/>
  <c r="AE786" i="63"/>
  <c r="BN786" i="63"/>
  <c r="K790" i="63"/>
  <c r="BB790" i="63"/>
  <c r="M792" i="63"/>
  <c r="AB792" i="63"/>
  <c r="AK798" i="63"/>
  <c r="AK760" i="63" s="1"/>
  <c r="BA798" i="63"/>
  <c r="BA760" i="63" s="1"/>
  <c r="BB760" i="63" s="1"/>
  <c r="L801" i="63"/>
  <c r="L762" i="63" s="1"/>
  <c r="AE803" i="63"/>
  <c r="BK803" i="63"/>
  <c r="AY807" i="63"/>
  <c r="AT815" i="63"/>
  <c r="AV815" i="63" s="1"/>
  <c r="T816" i="63"/>
  <c r="Z816" i="63" s="1"/>
  <c r="Y816" i="63"/>
  <c r="AA817" i="63"/>
  <c r="Y822" i="63"/>
  <c r="AB826" i="63"/>
  <c r="AE860" i="63"/>
  <c r="AP830" i="63"/>
  <c r="AV860" i="63"/>
  <c r="AZ860" i="63"/>
  <c r="AD861" i="63"/>
  <c r="AE861" i="63" s="1"/>
  <c r="AZ861" i="63"/>
  <c r="BB861" i="63" s="1"/>
  <c r="S832" i="63"/>
  <c r="AE832" i="63"/>
  <c r="BB832" i="63"/>
  <c r="T833" i="63"/>
  <c r="Z833" i="63" s="1"/>
  <c r="AP834" i="63"/>
  <c r="H863" i="63"/>
  <c r="AL863" i="63"/>
  <c r="BG863" i="63"/>
  <c r="S836" i="63"/>
  <c r="BQ839" i="63"/>
  <c r="M842" i="63"/>
  <c r="V870" i="63"/>
  <c r="BE844" i="63"/>
  <c r="Z873" i="63"/>
  <c r="T876" i="63"/>
  <c r="S853" i="63"/>
  <c r="AE879" i="63"/>
  <c r="AP853" i="63"/>
  <c r="AZ879" i="63"/>
  <c r="BJ879" i="63"/>
  <c r="BQ853" i="63"/>
  <c r="I866" i="63"/>
  <c r="AJ866" i="63"/>
  <c r="AP866" i="63"/>
  <c r="BK866" i="63"/>
  <c r="AJ868" i="63"/>
  <c r="AP868" i="63"/>
  <c r="I869" i="63"/>
  <c r="Y869" i="63"/>
  <c r="S870" i="63"/>
  <c r="AY870" i="63"/>
  <c r="I873" i="63"/>
  <c r="AV873" i="63"/>
  <c r="BB873" i="63"/>
  <c r="P874" i="63"/>
  <c r="BB874" i="63"/>
  <c r="BK875" i="63"/>
  <c r="I876" i="63"/>
  <c r="AJ876" i="63"/>
  <c r="AY876" i="63"/>
  <c r="Y877" i="63"/>
  <c r="BH877" i="63"/>
  <c r="P878" i="63"/>
  <c r="BB878" i="63"/>
  <c r="AP880" i="63"/>
  <c r="I881" i="63"/>
  <c r="AV881" i="63"/>
  <c r="BK881" i="63"/>
  <c r="AY882" i="63"/>
  <c r="BH882" i="63"/>
  <c r="BN882" i="63"/>
  <c r="AP883" i="63"/>
  <c r="G860" i="63"/>
  <c r="I860" i="63" s="1"/>
  <c r="AY889" i="63"/>
  <c r="BH889" i="63"/>
  <c r="BN889" i="63"/>
  <c r="AE900" i="63"/>
  <c r="AQ872" i="63"/>
  <c r="AZ872" i="63"/>
  <c r="I909" i="63"/>
  <c r="V913" i="63"/>
  <c r="AS919" i="63"/>
  <c r="AS920" i="63"/>
  <c r="AY920" i="63"/>
  <c r="AV922" i="63"/>
  <c r="AE923" i="63"/>
  <c r="BQ924" i="63"/>
  <c r="I935" i="63"/>
  <c r="AH919" i="63"/>
  <c r="AS935" i="63"/>
  <c r="AS936" i="63"/>
  <c r="AE937" i="63"/>
  <c r="P938" i="63"/>
  <c r="U942" i="63"/>
  <c r="Z952" i="63"/>
  <c r="AB952" i="63" s="1"/>
  <c r="V952" i="63"/>
  <c r="BB954" i="63"/>
  <c r="BA941" i="63"/>
  <c r="BB941" i="63" s="1"/>
  <c r="Z957" i="63"/>
  <c r="AB957" i="63" s="1"/>
  <c r="V957" i="63"/>
  <c r="BN960" i="63"/>
  <c r="BM1040" i="63"/>
  <c r="AW1045" i="63"/>
  <c r="AY1045" i="63" s="1"/>
  <c r="AY967" i="63"/>
  <c r="AW941" i="63"/>
  <c r="AY941" i="63" s="1"/>
  <c r="AA972" i="63"/>
  <c r="AB972" i="63" s="1"/>
  <c r="V972" i="63"/>
  <c r="Z980" i="63"/>
  <c r="AB980" i="63" s="1"/>
  <c r="V980" i="63"/>
  <c r="BB988" i="63"/>
  <c r="BN991" i="63"/>
  <c r="BN992" i="63"/>
  <c r="U995" i="63"/>
  <c r="L995" i="63"/>
  <c r="Y995" i="63"/>
  <c r="AP995" i="63"/>
  <c r="AP996" i="63"/>
  <c r="AW1058" i="63"/>
  <c r="AW983" i="63"/>
  <c r="AW974" i="63" s="1"/>
  <c r="AW918" i="63" s="1"/>
  <c r="V700" i="63"/>
  <c r="BE711" i="63"/>
  <c r="G709" i="63"/>
  <c r="G708" i="63" s="1"/>
  <c r="G750" i="63" s="1"/>
  <c r="AO709" i="63"/>
  <c r="AO708" i="63" s="1"/>
  <c r="BM709" i="63"/>
  <c r="BM708" i="63" s="1"/>
  <c r="BM750" i="63" s="1"/>
  <c r="M726" i="63"/>
  <c r="M728" i="63"/>
  <c r="T739" i="63"/>
  <c r="Z739" i="63" s="1"/>
  <c r="AB741" i="63"/>
  <c r="V748" i="63"/>
  <c r="AL758" i="63"/>
  <c r="BJ758" i="63"/>
  <c r="AR759" i="63"/>
  <c r="BD759" i="63"/>
  <c r="BP759" i="63"/>
  <c r="AB777" i="63"/>
  <c r="AM782" i="63"/>
  <c r="BK782" i="63"/>
  <c r="T786" i="63"/>
  <c r="Z786" i="63" s="1"/>
  <c r="BE786" i="63"/>
  <c r="AJ790" i="63"/>
  <c r="AP794" i="63"/>
  <c r="V797" i="63"/>
  <c r="BM798" i="63"/>
  <c r="BM760" i="63" s="1"/>
  <c r="AS803" i="63"/>
  <c r="BK807" i="63"/>
  <c r="Z809" i="63"/>
  <c r="AZ815" i="63"/>
  <c r="BB815" i="63" s="1"/>
  <c r="AB817" i="63"/>
  <c r="AB819" i="63"/>
  <c r="I822" i="63"/>
  <c r="V824" i="63"/>
  <c r="V825" i="63"/>
  <c r="V826" i="63"/>
  <c r="O860" i="63"/>
  <c r="Y830" i="63"/>
  <c r="AE830" i="63"/>
  <c r="AM830" i="63"/>
  <c r="AV830" i="63"/>
  <c r="Y831" i="63"/>
  <c r="AE831" i="63"/>
  <c r="AM831" i="63"/>
  <c r="BB831" i="63"/>
  <c r="T832" i="63"/>
  <c r="AS832" i="63"/>
  <c r="AY832" i="63"/>
  <c r="AY833" i="63"/>
  <c r="BN833" i="63"/>
  <c r="AD862" i="63"/>
  <c r="AE862" i="63" s="1"/>
  <c r="AM834" i="63"/>
  <c r="BA862" i="63"/>
  <c r="I835" i="63"/>
  <c r="AC863" i="63"/>
  <c r="BH835" i="63"/>
  <c r="M838" i="63"/>
  <c r="S839" i="63"/>
  <c r="M841" i="63"/>
  <c r="S844" i="63"/>
  <c r="AM844" i="63"/>
  <c r="V846" i="63"/>
  <c r="L876" i="63"/>
  <c r="Y853" i="63"/>
  <c r="AM853" i="63"/>
  <c r="Z854" i="63"/>
  <c r="AB855" i="63"/>
  <c r="AV865" i="63"/>
  <c r="K866" i="63"/>
  <c r="T866" i="63"/>
  <c r="AV866" i="63"/>
  <c r="BB866" i="63"/>
  <c r="K869" i="63"/>
  <c r="AP870" i="63"/>
  <c r="BK871" i="63"/>
  <c r="W872" i="63"/>
  <c r="Y872" i="63" s="1"/>
  <c r="BB875" i="63"/>
  <c r="AJ877" i="63"/>
  <c r="AY877" i="63"/>
  <c r="BH878" i="63"/>
  <c r="I880" i="63"/>
  <c r="AM881" i="63"/>
  <c r="K888" i="63"/>
  <c r="AW862" i="63"/>
  <c r="AS909" i="63"/>
  <c r="K919" i="63"/>
  <c r="AV923" i="63"/>
  <c r="AY1028" i="63"/>
  <c r="BN1028" i="63"/>
  <c r="Z930" i="63"/>
  <c r="T1032" i="63"/>
  <c r="P941" i="63"/>
  <c r="U941" i="63"/>
  <c r="L944" i="63"/>
  <c r="U944" i="63"/>
  <c r="AA944" i="63" s="1"/>
  <c r="AB944" i="63" s="1"/>
  <c r="P944" i="63"/>
  <c r="L945" i="63"/>
  <c r="P945" i="63"/>
  <c r="Z949" i="63"/>
  <c r="BA1035" i="63"/>
  <c r="BB949" i="63"/>
  <c r="AD1037" i="63"/>
  <c r="AD941" i="63"/>
  <c r="AX1040" i="63"/>
  <c r="AY960" i="63"/>
  <c r="BP1045" i="63"/>
  <c r="BP941" i="63"/>
  <c r="Z969" i="63"/>
  <c r="T1047" i="63"/>
  <c r="U1052" i="63"/>
  <c r="V976" i="63"/>
  <c r="P987" i="63"/>
  <c r="T987" i="63"/>
  <c r="Z987" i="63" s="1"/>
  <c r="AE990" i="63"/>
  <c r="P994" i="63"/>
  <c r="AL1058" i="63"/>
  <c r="AL983" i="63"/>
  <c r="AY998" i="63"/>
  <c r="BQ983" i="63"/>
  <c r="AV938" i="63"/>
  <c r="BK938" i="63"/>
  <c r="BQ938" i="63"/>
  <c r="Y939" i="63"/>
  <c r="AY939" i="63"/>
  <c r="BE939" i="63"/>
  <c r="AY940" i="63"/>
  <c r="BE940" i="63"/>
  <c r="BE942" i="63"/>
  <c r="I943" i="63"/>
  <c r="AM943" i="63"/>
  <c r="AS943" i="63"/>
  <c r="AS944" i="63"/>
  <c r="BH944" i="63"/>
  <c r="AE945" i="63"/>
  <c r="BK945" i="63"/>
  <c r="BQ945" i="63"/>
  <c r="AE946" i="63"/>
  <c r="BK946" i="63"/>
  <c r="BQ946" i="63"/>
  <c r="L947" i="63"/>
  <c r="AY947" i="63"/>
  <c r="BE947" i="63"/>
  <c r="P949" i="63"/>
  <c r="U949" i="63"/>
  <c r="AE949" i="63"/>
  <c r="AP1035" i="63"/>
  <c r="M950" i="63"/>
  <c r="M951" i="63"/>
  <c r="M953" i="63"/>
  <c r="AE954" i="63"/>
  <c r="BN954" i="63"/>
  <c r="M955" i="63"/>
  <c r="M956" i="63"/>
  <c r="U960" i="63"/>
  <c r="BB1040" i="63"/>
  <c r="V961" i="63"/>
  <c r="V965" i="63"/>
  <c r="AP967" i="63"/>
  <c r="L1048" i="63"/>
  <c r="U1048" i="63"/>
  <c r="M972" i="63"/>
  <c r="N974" i="63"/>
  <c r="P1051" i="63"/>
  <c r="T975" i="63"/>
  <c r="BN975" i="63"/>
  <c r="M977" i="63"/>
  <c r="T1054" i="63"/>
  <c r="M981" i="63"/>
  <c r="BA983" i="63"/>
  <c r="BA974" i="63" s="1"/>
  <c r="BQ984" i="63"/>
  <c r="L985" i="63"/>
  <c r="Y985" i="63"/>
  <c r="AJ985" i="63"/>
  <c r="AT920" i="63"/>
  <c r="AV920" i="63" s="1"/>
  <c r="AM987" i="63"/>
  <c r="BE988" i="63"/>
  <c r="AM989" i="63"/>
  <c r="AS989" i="63"/>
  <c r="AL990" i="63"/>
  <c r="BA990" i="63"/>
  <c r="BB990" i="63" s="1"/>
  <c r="BP990" i="63"/>
  <c r="BQ991" i="63"/>
  <c r="L992" i="63"/>
  <c r="BQ992" i="63"/>
  <c r="L993" i="63"/>
  <c r="Y993" i="63"/>
  <c r="AJ993" i="63"/>
  <c r="BE993" i="63"/>
  <c r="BE994" i="63"/>
  <c r="I995" i="63"/>
  <c r="AM995" i="63"/>
  <c r="AS995" i="63"/>
  <c r="AS996" i="63"/>
  <c r="BH996" i="63"/>
  <c r="AP998" i="63"/>
  <c r="M1001" i="63"/>
  <c r="AB1001" i="63"/>
  <c r="P1003" i="63"/>
  <c r="AE1003" i="63"/>
  <c r="BK1060" i="63"/>
  <c r="BN1003" i="63"/>
  <c r="M1004" i="63"/>
  <c r="M1007" i="63"/>
  <c r="P1063" i="63"/>
  <c r="T1009" i="63"/>
  <c r="Z1010" i="63"/>
  <c r="Z1064" i="63" s="1"/>
  <c r="T1064" i="63"/>
  <c r="M1012" i="63"/>
  <c r="K1066" i="63"/>
  <c r="Z1012" i="63"/>
  <c r="Z1066" i="63" s="1"/>
  <c r="T1066" i="63"/>
  <c r="T1016" i="63"/>
  <c r="K1072" i="63"/>
  <c r="I1030" i="63"/>
  <c r="I1032" i="63"/>
  <c r="AV1032" i="63"/>
  <c r="AJ1036" i="63"/>
  <c r="BH1038" i="63"/>
  <c r="AV939" i="63"/>
  <c r="BQ939" i="63"/>
  <c r="BQ940" i="63"/>
  <c r="AE941" i="63"/>
  <c r="AM942" i="63"/>
  <c r="AS942" i="63"/>
  <c r="I944" i="63"/>
  <c r="AE944" i="63"/>
  <c r="BH945" i="63"/>
  <c r="AE947" i="63"/>
  <c r="AV947" i="63"/>
  <c r="AH934" i="63"/>
  <c r="AH925" i="63" s="1"/>
  <c r="AH918" i="63" s="1"/>
  <c r="BE960" i="63"/>
  <c r="L1044" i="63"/>
  <c r="M1044" i="63" s="1"/>
  <c r="M965" i="63"/>
  <c r="AM975" i="63"/>
  <c r="AL1051" i="63"/>
  <c r="AM1051" i="63" s="1"/>
  <c r="AO983" i="63"/>
  <c r="BE984" i="63"/>
  <c r="AM985" i="63"/>
  <c r="AS985" i="63"/>
  <c r="AS986" i="63"/>
  <c r="BK987" i="63"/>
  <c r="Y989" i="63"/>
  <c r="AJ989" i="63"/>
  <c r="AT924" i="63"/>
  <c r="U990" i="63"/>
  <c r="BE990" i="63"/>
  <c r="AM991" i="63"/>
  <c r="AS991" i="63"/>
  <c r="AJ992" i="63"/>
  <c r="AY992" i="63"/>
  <c r="U993" i="63"/>
  <c r="AA993" i="63" s="1"/>
  <c r="AM993" i="63"/>
  <c r="U994" i="63"/>
  <c r="AM994" i="63"/>
  <c r="I996" i="63"/>
  <c r="BB998" i="63"/>
  <c r="BN1058" i="63"/>
  <c r="V1001" i="63"/>
  <c r="AM1003" i="63"/>
  <c r="V1004" i="63"/>
  <c r="BB1063" i="63"/>
  <c r="V1010" i="63"/>
  <c r="Z1011" i="63"/>
  <c r="Z1065" i="63" s="1"/>
  <c r="T1065" i="63"/>
  <c r="V1012" i="63"/>
  <c r="Z1013" i="63"/>
  <c r="BB1016" i="63"/>
  <c r="M1022" i="63"/>
  <c r="V1024" i="63"/>
  <c r="P1029" i="63"/>
  <c r="AM1029" i="63"/>
  <c r="AS1029" i="63"/>
  <c r="Y1030" i="63"/>
  <c r="AY1030" i="63"/>
  <c r="S1036" i="63"/>
  <c r="BK1036" i="63"/>
  <c r="BQ1036" i="63"/>
  <c r="AP1038" i="63"/>
  <c r="Y1041" i="63"/>
  <c r="AH924" i="63"/>
  <c r="AJ924" i="63" s="1"/>
  <c r="Z968" i="63"/>
  <c r="Z1046" i="63" s="1"/>
  <c r="T1046" i="63"/>
  <c r="Z970" i="63"/>
  <c r="Z1048" i="63" s="1"/>
  <c r="T1048" i="63"/>
  <c r="AK983" i="63"/>
  <c r="AK974" i="63" s="1"/>
  <c r="AZ983" i="63"/>
  <c r="AZ974" i="63" s="1"/>
  <c r="BF983" i="63"/>
  <c r="BF974" i="63" s="1"/>
  <c r="G921" i="63"/>
  <c r="BF922" i="63"/>
  <c r="W990" i="63"/>
  <c r="AK990" i="63"/>
  <c r="L991" i="63"/>
  <c r="BE991" i="63"/>
  <c r="I992" i="63"/>
  <c r="P992" i="63"/>
  <c r="AE992" i="63"/>
  <c r="BH993" i="63"/>
  <c r="P995" i="63"/>
  <c r="AV995" i="63"/>
  <c r="Y998" i="63"/>
  <c r="X1058" i="63"/>
  <c r="AP1058" i="63"/>
  <c r="BN998" i="63"/>
  <c r="M1002" i="63"/>
  <c r="Y1003" i="63"/>
  <c r="BN1060" i="63"/>
  <c r="V1006" i="63"/>
  <c r="L1009" i="63"/>
  <c r="X1063" i="63"/>
  <c r="Y1063" i="63" s="1"/>
  <c r="AM1009" i="63"/>
  <c r="AQ983" i="63"/>
  <c r="AS983" i="63" s="1"/>
  <c r="BB1009" i="63"/>
  <c r="V1014" i="63"/>
  <c r="BN1016" i="63"/>
  <c r="M1021" i="63"/>
  <c r="AB1021" i="63"/>
  <c r="V1023" i="63"/>
  <c r="AJ1029" i="63"/>
  <c r="AP1029" i="63"/>
  <c r="AY1029" i="63"/>
  <c r="AP1030" i="63"/>
  <c r="AV1030" i="63"/>
  <c r="S1031" i="63"/>
  <c r="BB1031" i="63"/>
  <c r="Y1032" i="63"/>
  <c r="AY1032" i="63"/>
  <c r="AH1035" i="63"/>
  <c r="P1036" i="63"/>
  <c r="BK1038" i="63"/>
  <c r="P1042" i="63"/>
  <c r="AM1042" i="63"/>
  <c r="BB1042" i="63"/>
  <c r="BH1042" i="63"/>
  <c r="AV1043" i="63"/>
  <c r="BK1043" i="63"/>
  <c r="AY1044" i="63"/>
  <c r="AM1046" i="63"/>
  <c r="BH1046" i="63"/>
  <c r="AJ1047" i="63"/>
  <c r="AY1047" i="63"/>
  <c r="BN1047" i="63"/>
  <c r="I1048" i="63"/>
  <c r="AP1048" i="63"/>
  <c r="AV1048" i="63"/>
  <c r="AM1049" i="63"/>
  <c r="BH1049" i="63"/>
  <c r="AV1052" i="63"/>
  <c r="I1054" i="63"/>
  <c r="AJ1054" i="63"/>
  <c r="BH1055" i="63"/>
  <c r="I1059" i="63"/>
  <c r="AJ1064" i="63"/>
  <c r="I1065" i="63"/>
  <c r="AV1065" i="63"/>
  <c r="AV1066" i="63"/>
  <c r="BH1067" i="63"/>
  <c r="I1070" i="63"/>
  <c r="AJ1070" i="63"/>
  <c r="BH1071" i="63"/>
  <c r="AV1072" i="63"/>
  <c r="AJ1073" i="63"/>
  <c r="BH1074" i="63"/>
  <c r="AJ1078" i="63"/>
  <c r="BH1078" i="63"/>
  <c r="I1080" i="63"/>
  <c r="BH1080" i="63"/>
  <c r="K1084" i="63"/>
  <c r="K1028" i="63" s="1"/>
  <c r="V1088" i="63"/>
  <c r="AJ1093" i="63"/>
  <c r="S1094" i="63"/>
  <c r="P1095" i="63"/>
  <c r="I1096" i="63"/>
  <c r="S1096" i="63"/>
  <c r="AP1080" i="63"/>
  <c r="BN1080" i="63"/>
  <c r="U1097" i="63"/>
  <c r="BH1098" i="63"/>
  <c r="I1100" i="63"/>
  <c r="Y1101" i="63"/>
  <c r="AJ1101" i="63"/>
  <c r="BH1101" i="63"/>
  <c r="Y1102" i="63"/>
  <c r="T1103" i="63"/>
  <c r="Z1103" i="63" s="1"/>
  <c r="BQ1103" i="63"/>
  <c r="AV1104" i="63"/>
  <c r="BB1104" i="63"/>
  <c r="AY1105" i="63"/>
  <c r="R1091" i="63"/>
  <c r="R1083" i="63" s="1"/>
  <c r="AP1107" i="63"/>
  <c r="BH1107" i="63"/>
  <c r="BQ1112" i="63"/>
  <c r="V1124" i="63"/>
  <c r="BD1077" i="63"/>
  <c r="BE1077" i="63" s="1"/>
  <c r="BE1142" i="63"/>
  <c r="Y1156" i="63"/>
  <c r="W1155" i="63"/>
  <c r="BG1140" i="63"/>
  <c r="BG1132" i="63" s="1"/>
  <c r="I1074" i="63"/>
  <c r="AJ1074" i="63"/>
  <c r="AJ1081" i="63"/>
  <c r="BH1081" i="63"/>
  <c r="AJ1082" i="63"/>
  <c r="AP1082" i="63"/>
  <c r="AJ1084" i="63"/>
  <c r="Z1086" i="63"/>
  <c r="AB1086" i="63" s="1"/>
  <c r="AA1087" i="63"/>
  <c r="L1095" i="63"/>
  <c r="AJ1098" i="63"/>
  <c r="AK1091" i="63"/>
  <c r="AK1083" i="63" s="1"/>
  <c r="P1100" i="63"/>
  <c r="AV1100" i="63"/>
  <c r="I1101" i="63"/>
  <c r="K1104" i="63"/>
  <c r="AS1104" i="63"/>
  <c r="AY1104" i="63"/>
  <c r="BN1104" i="63"/>
  <c r="AJ1105" i="63"/>
  <c r="AP1105" i="63"/>
  <c r="M1106" i="63"/>
  <c r="AA1106" i="63"/>
  <c r="S1107" i="63"/>
  <c r="BE1107" i="63"/>
  <c r="AV1112" i="63"/>
  <c r="V1131" i="63"/>
  <c r="AA1131" i="63"/>
  <c r="AB1131" i="63" s="1"/>
  <c r="AU1077" i="63"/>
  <c r="AV1142" i="63"/>
  <c r="AJ1145" i="63"/>
  <c r="AJ1150" i="63"/>
  <c r="AJ1151" i="63"/>
  <c r="BL1079" i="63"/>
  <c r="BQ1156" i="63"/>
  <c r="BP1141" i="63"/>
  <c r="AV1166" i="63"/>
  <c r="AL1140" i="63"/>
  <c r="AL1132" i="63" s="1"/>
  <c r="AV1041" i="63"/>
  <c r="AY1042" i="63"/>
  <c r="I1043" i="63"/>
  <c r="Y1043" i="63"/>
  <c r="AJ1043" i="63"/>
  <c r="P1044" i="63"/>
  <c r="AM1044" i="63"/>
  <c r="BB1044" i="63"/>
  <c r="BH1044" i="63"/>
  <c r="I1046" i="63"/>
  <c r="AP1046" i="63"/>
  <c r="AV1046" i="63"/>
  <c r="BK1047" i="63"/>
  <c r="AM1048" i="63"/>
  <c r="BH1048" i="63"/>
  <c r="AP1049" i="63"/>
  <c r="AV1049" i="63"/>
  <c r="I1052" i="63"/>
  <c r="Y1052" i="63"/>
  <c r="AJ1052" i="63"/>
  <c r="P1053" i="63"/>
  <c r="BB1053" i="63"/>
  <c r="BH1053" i="63"/>
  <c r="AV1054" i="63"/>
  <c r="AY1055" i="63"/>
  <c r="AY1059" i="63"/>
  <c r="BN1059" i="63"/>
  <c r="P1061" i="63"/>
  <c r="BB1061" i="63"/>
  <c r="BK1064" i="63"/>
  <c r="AM1065" i="63"/>
  <c r="AM1066" i="63"/>
  <c r="AP1067" i="63"/>
  <c r="P1069" i="63"/>
  <c r="BB1069" i="63"/>
  <c r="BK1070" i="63"/>
  <c r="AY1071" i="63"/>
  <c r="Y1072" i="63"/>
  <c r="AX1083" i="63"/>
  <c r="AH1083" i="63"/>
  <c r="BA1077" i="63"/>
  <c r="AC1077" i="63"/>
  <c r="AE1077" i="63" s="1"/>
  <c r="S1145" i="63"/>
  <c r="I1146" i="63"/>
  <c r="BH1148" i="63"/>
  <c r="G1155" i="63"/>
  <c r="I1155" i="63" s="1"/>
  <c r="G1141" i="63"/>
  <c r="G1140" i="63" s="1"/>
  <c r="G1132" i="63" s="1"/>
  <c r="BH1156" i="63"/>
  <c r="BF1155" i="63"/>
  <c r="BH1155" i="63" s="1"/>
  <c r="BF1141" i="63"/>
  <c r="BF1140" i="63" s="1"/>
  <c r="BF1132" i="63" s="1"/>
  <c r="AJ1053" i="63"/>
  <c r="BH1054" i="63"/>
  <c r="AV1055" i="63"/>
  <c r="AP1059" i="63"/>
  <c r="AV1059" i="63"/>
  <c r="I1061" i="63"/>
  <c r="Y1061" i="63"/>
  <c r="AJ1061" i="63"/>
  <c r="AM1064" i="63"/>
  <c r="BH1064" i="63"/>
  <c r="AJ1065" i="63"/>
  <c r="BN1065" i="63"/>
  <c r="I1066" i="63"/>
  <c r="AJ1066" i="63"/>
  <c r="AY1066" i="63"/>
  <c r="BN1066" i="63"/>
  <c r="I1067" i="63"/>
  <c r="BK1067" i="63"/>
  <c r="I1069" i="63"/>
  <c r="Y1069" i="63"/>
  <c r="AJ1069" i="63"/>
  <c r="P1070" i="63"/>
  <c r="AM1070" i="63"/>
  <c r="BB1070" i="63"/>
  <c r="BH1070" i="63"/>
  <c r="AV1071" i="63"/>
  <c r="AY1072" i="63"/>
  <c r="I1073" i="63"/>
  <c r="P1073" i="63"/>
  <c r="AM1073" i="63"/>
  <c r="BB1073" i="63"/>
  <c r="BH1073" i="63"/>
  <c r="AV1074" i="63"/>
  <c r="BK1074" i="63"/>
  <c r="I1079" i="63"/>
  <c r="M1086" i="63"/>
  <c r="Z1088" i="63"/>
  <c r="K1093" i="63"/>
  <c r="BH1093" i="63"/>
  <c r="AJ1094" i="63"/>
  <c r="AY1094" i="63"/>
  <c r="BN1094" i="63"/>
  <c r="I1095" i="63"/>
  <c r="U1095" i="63"/>
  <c r="AY1095" i="63"/>
  <c r="AJ1096" i="63"/>
  <c r="BH1096" i="63"/>
  <c r="AY1097" i="63"/>
  <c r="P1098" i="63"/>
  <c r="Y1099" i="63"/>
  <c r="Y1100" i="63"/>
  <c r="AW1077" i="63"/>
  <c r="BB1100" i="63"/>
  <c r="AM1101" i="63"/>
  <c r="BK1101" i="63"/>
  <c r="BH1102" i="63"/>
  <c r="AM1103" i="63"/>
  <c r="I1104" i="63"/>
  <c r="BK1104" i="63"/>
  <c r="L1105" i="63"/>
  <c r="AM1105" i="63"/>
  <c r="Q1091" i="63"/>
  <c r="Q1083" i="63" s="1"/>
  <c r="BC1091" i="63"/>
  <c r="BC1083" i="63" s="1"/>
  <c r="BL1091" i="63"/>
  <c r="BL1083" i="63" s="1"/>
  <c r="M1113" i="63"/>
  <c r="V1113" i="63"/>
  <c r="M1120" i="63"/>
  <c r="AM1142" i="63"/>
  <c r="BQ1143" i="63"/>
  <c r="BH1152" i="63"/>
  <c r="I1156" i="63"/>
  <c r="BA1155" i="63"/>
  <c r="BA1141" i="63"/>
  <c r="BA1140" i="63" s="1"/>
  <c r="M1114" i="63"/>
  <c r="AM1118" i="63"/>
  <c r="L1043" i="63"/>
  <c r="M1131" i="63"/>
  <c r="N1141" i="63"/>
  <c r="AN1078" i="63"/>
  <c r="AP1078" i="63" s="1"/>
  <c r="AY1143" i="63"/>
  <c r="Y1144" i="63"/>
  <c r="AM1144" i="63"/>
  <c r="Y1145" i="63"/>
  <c r="AM1145" i="63"/>
  <c r="AY1146" i="63"/>
  <c r="T1147" i="63"/>
  <c r="Z1147" i="63" s="1"/>
  <c r="Y1147" i="63"/>
  <c r="T1148" i="63"/>
  <c r="AC1148" i="63"/>
  <c r="AC1140" i="63" s="1"/>
  <c r="AC1132" i="63" s="1"/>
  <c r="AM1148" i="63"/>
  <c r="AT1148" i="63"/>
  <c r="AT1140" i="63" s="1"/>
  <c r="AT1132" i="63" s="1"/>
  <c r="BI1148" i="63"/>
  <c r="BK1148" i="63" s="1"/>
  <c r="S1150" i="63"/>
  <c r="AE1150" i="63"/>
  <c r="AM1150" i="63"/>
  <c r="S1151" i="63"/>
  <c r="AE1151" i="63"/>
  <c r="AM1151" i="63"/>
  <c r="BE1152" i="63"/>
  <c r="BK1152" i="63"/>
  <c r="AT1155" i="63"/>
  <c r="AV1155" i="63" s="1"/>
  <c r="AX1155" i="63"/>
  <c r="BO1155" i="63"/>
  <c r="K1156" i="63"/>
  <c r="S1156" i="63"/>
  <c r="M1157" i="63"/>
  <c r="V1158" i="63"/>
  <c r="V1160" i="63"/>
  <c r="BN1161" i="63"/>
  <c r="M1163" i="63"/>
  <c r="AB1163" i="63"/>
  <c r="AR1166" i="63"/>
  <c r="AS1166" i="63" s="1"/>
  <c r="AM1167" i="63"/>
  <c r="V1169" i="63"/>
  <c r="AB1173" i="63"/>
  <c r="AY1174" i="63"/>
  <c r="M1176" i="63"/>
  <c r="AB1176" i="63"/>
  <c r="M1179" i="63"/>
  <c r="V1180" i="63"/>
  <c r="V1182" i="63"/>
  <c r="O1187" i="63"/>
  <c r="AK1187" i="63"/>
  <c r="AZ1187" i="63"/>
  <c r="AZ1213" i="63" s="1"/>
  <c r="T1188" i="63"/>
  <c r="Z1188" i="63" s="1"/>
  <c r="BN1188" i="63"/>
  <c r="P1189" i="63"/>
  <c r="BN1189" i="63"/>
  <c r="P1190" i="63"/>
  <c r="W1216" i="63"/>
  <c r="P1191" i="63"/>
  <c r="G1216" i="63"/>
  <c r="P1192" i="63"/>
  <c r="AV1192" i="63"/>
  <c r="BQ1192" i="63"/>
  <c r="BQ1193" i="63"/>
  <c r="L1194" i="63"/>
  <c r="AY1194" i="63"/>
  <c r="BN1194" i="63"/>
  <c r="M1198" i="63"/>
  <c r="AP1201" i="63"/>
  <c r="BK1201" i="63"/>
  <c r="M1203" i="63"/>
  <c r="V1207" i="63"/>
  <c r="AO1217" i="63"/>
  <c r="AP1217" i="63" s="1"/>
  <c r="BD1218" i="63"/>
  <c r="AM1219" i="63"/>
  <c r="AS1219" i="63"/>
  <c r="BN1219" i="63"/>
  <c r="I1220" i="63"/>
  <c r="Y1220" i="63"/>
  <c r="AV1220" i="63"/>
  <c r="I1221" i="63"/>
  <c r="AY1221" i="63"/>
  <c r="I1222" i="63"/>
  <c r="AJ1222" i="63"/>
  <c r="K1234" i="63"/>
  <c r="T1237" i="63"/>
  <c r="K1237" i="63"/>
  <c r="BQ1166" i="63"/>
  <c r="K1167" i="63"/>
  <c r="Y1217" i="63"/>
  <c r="U1201" i="63"/>
  <c r="Z1208" i="63"/>
  <c r="T1228" i="63"/>
  <c r="Z1211" i="63"/>
  <c r="T1231" i="63"/>
  <c r="BK1214" i="63"/>
  <c r="R1218" i="63"/>
  <c r="T1221" i="63"/>
  <c r="AD1259" i="63"/>
  <c r="AE1259" i="63" s="1"/>
  <c r="AE1233" i="63"/>
  <c r="AW1259" i="63"/>
  <c r="BD1259" i="63"/>
  <c r="BE1259" i="63" s="1"/>
  <c r="BE1233" i="63"/>
  <c r="BA1214" i="63"/>
  <c r="BB1234" i="63"/>
  <c r="AW1215" i="63"/>
  <c r="AY1215" i="63" s="1"/>
  <c r="BH1112" i="63"/>
  <c r="AA1126" i="63"/>
  <c r="AB1126" i="63" s="1"/>
  <c r="V1128" i="63"/>
  <c r="AA1129" i="63"/>
  <c r="AB1129" i="63" s="1"/>
  <c r="AV1133" i="63"/>
  <c r="BH1133" i="63"/>
  <c r="V1135" i="63"/>
  <c r="AB1137" i="63"/>
  <c r="AB1139" i="63"/>
  <c r="AH1141" i="63"/>
  <c r="AR1141" i="63"/>
  <c r="AE1142" i="63"/>
  <c r="AQ1077" i="63"/>
  <c r="AS1077" i="63" s="1"/>
  <c r="I1143" i="63"/>
  <c r="S1143" i="63"/>
  <c r="AE1143" i="63"/>
  <c r="BP1081" i="63"/>
  <c r="BQ1081" i="63" s="1"/>
  <c r="AP1147" i="63"/>
  <c r="H1148" i="63"/>
  <c r="I1148" i="63" s="1"/>
  <c r="AS1149" i="63"/>
  <c r="AN1079" i="63"/>
  <c r="AP1079" i="63" s="1"/>
  <c r="BN1151" i="63"/>
  <c r="BB1153" i="63"/>
  <c r="BQ1153" i="63"/>
  <c r="AS1154" i="63"/>
  <c r="AY1154" i="63"/>
  <c r="AS1156" i="63"/>
  <c r="AY1156" i="63"/>
  <c r="M1160" i="63"/>
  <c r="AM1161" i="63"/>
  <c r="V1163" i="63"/>
  <c r="AH1166" i="63"/>
  <c r="AJ1166" i="63" s="1"/>
  <c r="BH1167" i="63"/>
  <c r="M1169" i="63"/>
  <c r="AB1169" i="63"/>
  <c r="M1172" i="63"/>
  <c r="I1174" i="63"/>
  <c r="AM1174" i="63"/>
  <c r="V1176" i="63"/>
  <c r="M1180" i="63"/>
  <c r="M1182" i="63"/>
  <c r="AW1187" i="63"/>
  <c r="AW1213" i="63" s="1"/>
  <c r="AM1189" i="63"/>
  <c r="AP1190" i="63"/>
  <c r="BD1216" i="63"/>
  <c r="BK1190" i="63"/>
  <c r="BK1191" i="63"/>
  <c r="AY1192" i="63"/>
  <c r="BE1192" i="63"/>
  <c r="T1193" i="63"/>
  <c r="Z1193" i="63" s="1"/>
  <c r="AJ1193" i="63"/>
  <c r="AY1193" i="63"/>
  <c r="BE1193" i="63"/>
  <c r="AM1194" i="63"/>
  <c r="V1195" i="63"/>
  <c r="AB1199" i="63"/>
  <c r="P1201" i="63"/>
  <c r="M1206" i="63"/>
  <c r="M1208" i="63"/>
  <c r="V1208" i="63"/>
  <c r="M1211" i="63"/>
  <c r="AD1215" i="63"/>
  <c r="BD1217" i="63"/>
  <c r="AT1218" i="63"/>
  <c r="BH1220" i="63"/>
  <c r="S1222" i="63"/>
  <c r="X1223" i="63"/>
  <c r="Y1223" i="63" s="1"/>
  <c r="R1259" i="63"/>
  <c r="S1259" i="63" s="1"/>
  <c r="S1233" i="63"/>
  <c r="P1235" i="63"/>
  <c r="V1115" i="63"/>
  <c r="AP1118" i="63"/>
  <c r="U1133" i="63"/>
  <c r="U1051" i="63" s="1"/>
  <c r="V1139" i="63"/>
  <c r="BL1078" i="63"/>
  <c r="BN1078" i="63" s="1"/>
  <c r="AP1144" i="63"/>
  <c r="BQ1144" i="63"/>
  <c r="BK1145" i="63"/>
  <c r="S1146" i="63"/>
  <c r="AE1146" i="63"/>
  <c r="AM1146" i="63"/>
  <c r="BL1081" i="63"/>
  <c r="BQ1146" i="63"/>
  <c r="K1147" i="63"/>
  <c r="AM1147" i="63"/>
  <c r="AS1148" i="63"/>
  <c r="BD1148" i="63"/>
  <c r="BE1148" i="63" s="1"/>
  <c r="BO1148" i="63"/>
  <c r="BO1140" i="63" s="1"/>
  <c r="BO1132" i="63" s="1"/>
  <c r="BO1076" i="63" s="1"/>
  <c r="BE1150" i="63"/>
  <c r="BE1151" i="63"/>
  <c r="BN1152" i="63"/>
  <c r="AS1153" i="63"/>
  <c r="AY1155" i="63"/>
  <c r="BD1155" i="63"/>
  <c r="BE1155" i="63" s="1"/>
  <c r="T1161" i="63"/>
  <c r="Z1161" i="63" s="1"/>
  <c r="V1165" i="63"/>
  <c r="W1166" i="63"/>
  <c r="Y1166" i="63" s="1"/>
  <c r="T1174" i="63"/>
  <c r="Z1174" i="63" s="1"/>
  <c r="V1178" i="63"/>
  <c r="N1187" i="63"/>
  <c r="N1213" i="63" s="1"/>
  <c r="Y1189" i="63"/>
  <c r="P1194" i="63"/>
  <c r="BB1194" i="63"/>
  <c r="V1197" i="63"/>
  <c r="V1199" i="63"/>
  <c r="AA1200" i="63"/>
  <c r="AB1200" i="63" s="1"/>
  <c r="AY1201" i="63"/>
  <c r="Z1203" i="63"/>
  <c r="T1225" i="63"/>
  <c r="M1204" i="63"/>
  <c r="V1211" i="63"/>
  <c r="BD1213" i="63"/>
  <c r="L1220" i="63"/>
  <c r="M1220" i="63" s="1"/>
  <c r="BH1247" i="63"/>
  <c r="BF1223" i="63"/>
  <c r="K1227" i="63"/>
  <c r="V1251" i="63"/>
  <c r="Z1251" i="63"/>
  <c r="AA1289" i="63"/>
  <c r="AB1289" i="63" s="1"/>
  <c r="V1289" i="63"/>
  <c r="I1224" i="63"/>
  <c r="Y1225" i="63"/>
  <c r="AJ1225" i="63"/>
  <c r="BH1225" i="63"/>
  <c r="I1227" i="63"/>
  <c r="Y1227" i="63"/>
  <c r="AJ1227" i="63"/>
  <c r="Y1228" i="63"/>
  <c r="AJ1228" i="63"/>
  <c r="BH1228" i="63"/>
  <c r="Y1229" i="63"/>
  <c r="AJ1229" i="63"/>
  <c r="BH1229" i="63"/>
  <c r="I1231" i="63"/>
  <c r="P1231" i="63"/>
  <c r="Y1234" i="63"/>
  <c r="AW1214" i="63"/>
  <c r="AM1235" i="63"/>
  <c r="BA1215" i="63"/>
  <c r="BB1215" i="63" s="1"/>
  <c r="AM1236" i="63"/>
  <c r="BB1236" i="63"/>
  <c r="BH1236" i="63"/>
  <c r="Y1237" i="63"/>
  <c r="I1239" i="63"/>
  <c r="AP1239" i="63"/>
  <c r="V1241" i="63"/>
  <c r="AA1241" i="63"/>
  <c r="AB1241" i="63" s="1"/>
  <c r="T1247" i="63"/>
  <c r="K1247" i="63"/>
  <c r="AS1247" i="63"/>
  <c r="V1252" i="63"/>
  <c r="AA1252" i="63"/>
  <c r="M1258" i="63"/>
  <c r="Z1266" i="63"/>
  <c r="AB1266" i="63" s="1"/>
  <c r="V1266" i="63"/>
  <c r="BH1275" i="63"/>
  <c r="AM1276" i="63"/>
  <c r="Y1279" i="63"/>
  <c r="K1275" i="63"/>
  <c r="M1275" i="63" s="1"/>
  <c r="V1284" i="63"/>
  <c r="Z1284" i="63"/>
  <c r="Z1279" i="63"/>
  <c r="V1291" i="63"/>
  <c r="AY1222" i="63"/>
  <c r="BN1222" i="63"/>
  <c r="AM1224" i="63"/>
  <c r="BK1224" i="63"/>
  <c r="AV1225" i="63"/>
  <c r="I1226" i="63"/>
  <c r="P1226" i="63"/>
  <c r="AM1226" i="63"/>
  <c r="BB1226" i="63"/>
  <c r="BH1226" i="63"/>
  <c r="AV1227" i="63"/>
  <c r="BK1227" i="63"/>
  <c r="AV1228" i="63"/>
  <c r="I1229" i="63"/>
  <c r="AV1229" i="63"/>
  <c r="I1230" i="63"/>
  <c r="P1230" i="63"/>
  <c r="AM1230" i="63"/>
  <c r="BB1230" i="63"/>
  <c r="BH1230" i="63"/>
  <c r="Y1231" i="63"/>
  <c r="AM1231" i="63"/>
  <c r="BB1231" i="63"/>
  <c r="BH1231" i="63"/>
  <c r="AR1233" i="63"/>
  <c r="AK1214" i="63"/>
  <c r="AV1234" i="63"/>
  <c r="I1235" i="63"/>
  <c r="BI1216" i="63"/>
  <c r="I1237" i="63"/>
  <c r="AV1237" i="63"/>
  <c r="BH1238" i="63"/>
  <c r="AM1239" i="63"/>
  <c r="AS1239" i="63"/>
  <c r="BN1239" i="63"/>
  <c r="AW1218" i="63"/>
  <c r="AY1218" i="63" s="1"/>
  <c r="M1245" i="63"/>
  <c r="BD1262" i="63"/>
  <c r="BD1273" i="63" s="1"/>
  <c r="BE1263" i="63"/>
  <c r="BD1274" i="63"/>
  <c r="BQ1275" i="63"/>
  <c r="BB1276" i="63"/>
  <c r="AM1279" i="63"/>
  <c r="AY1283" i="63"/>
  <c r="AX1282" i="63"/>
  <c r="BK1283" i="63"/>
  <c r="AB1291" i="63"/>
  <c r="AH1293" i="63"/>
  <c r="AW1216" i="63"/>
  <c r="Y1263" i="63"/>
  <c r="W1262" i="63"/>
  <c r="AZ1274" i="63"/>
  <c r="BB1274" i="63" s="1"/>
  <c r="AZ1262" i="63"/>
  <c r="AA1268" i="63"/>
  <c r="AB1268" i="63" s="1"/>
  <c r="V1268" i="63"/>
  <c r="U1277" i="63"/>
  <c r="AO1293" i="63"/>
  <c r="AO1273" i="63"/>
  <c r="BK1282" i="63"/>
  <c r="O1282" i="63"/>
  <c r="O1273" i="63" s="1"/>
  <c r="P1273" i="63" s="1"/>
  <c r="O1274" i="63"/>
  <c r="Y1283" i="63"/>
  <c r="X1282" i="63"/>
  <c r="U1276" i="63"/>
  <c r="V1276" i="63" s="1"/>
  <c r="AA1285" i="63"/>
  <c r="BI1322" i="63"/>
  <c r="BI1296" i="63"/>
  <c r="BI1316" i="63" s="1"/>
  <c r="BO1322" i="63"/>
  <c r="BO1296" i="63"/>
  <c r="BP1334" i="63"/>
  <c r="BP1322" i="63"/>
  <c r="BA1218" i="63"/>
  <c r="BB1218" i="63" s="1"/>
  <c r="K1222" i="63"/>
  <c r="V1245" i="63"/>
  <c r="M1249" i="63"/>
  <c r="V1250" i="63"/>
  <c r="AB1252" i="63"/>
  <c r="AB1270" i="63"/>
  <c r="L1280" i="63"/>
  <c r="M1280" i="63" s="1"/>
  <c r="T1280" i="63"/>
  <c r="AV1275" i="63"/>
  <c r="I1276" i="63"/>
  <c r="AJ1276" i="63"/>
  <c r="AY1276" i="63"/>
  <c r="I1277" i="63"/>
  <c r="S1277" i="63"/>
  <c r="AJ1277" i="63"/>
  <c r="AP1277" i="63"/>
  <c r="AJ1278" i="63"/>
  <c r="AP1278" i="63"/>
  <c r="P1279" i="63"/>
  <c r="AP1279" i="63"/>
  <c r="BN1280" i="63"/>
  <c r="AM1282" i="63"/>
  <c r="AQ1274" i="63"/>
  <c r="Z1276" i="63"/>
  <c r="V1292" i="63"/>
  <c r="V1297" i="63"/>
  <c r="K1323" i="63"/>
  <c r="M1323" i="63" s="1"/>
  <c r="M1303" i="63"/>
  <c r="AA1343" i="63"/>
  <c r="AB1343" i="63" s="1"/>
  <c r="V1343" i="63"/>
  <c r="AP1346" i="63"/>
  <c r="AO1344" i="63"/>
  <c r="Z1220" i="63"/>
  <c r="Z1221" i="63"/>
  <c r="M1246" i="63"/>
  <c r="BM1233" i="63"/>
  <c r="AB1248" i="63"/>
  <c r="Z1249" i="63"/>
  <c r="Z1225" i="63" s="1"/>
  <c r="G1274" i="63"/>
  <c r="X1274" i="63"/>
  <c r="M1264" i="63"/>
  <c r="V1270" i="63"/>
  <c r="BQ1276" i="63"/>
  <c r="AE1277" i="63"/>
  <c r="BQ1277" i="63"/>
  <c r="AE1278" i="63"/>
  <c r="BH1278" i="63"/>
  <c r="AE1279" i="63"/>
  <c r="AV1280" i="63"/>
  <c r="BO1274" i="63"/>
  <c r="BA1332" i="63"/>
  <c r="BB1312" i="63"/>
  <c r="AV1316" i="63"/>
  <c r="BN1325" i="63"/>
  <c r="AA1338" i="63"/>
  <c r="AB1338" i="63" s="1"/>
  <c r="V1338" i="63"/>
  <c r="U1322" i="63"/>
  <c r="AS1340" i="63"/>
  <c r="AQ1334" i="63"/>
  <c r="AS1334" i="63" s="1"/>
  <c r="BN1340" i="63"/>
  <c r="BL1334" i="63"/>
  <c r="BN1334" i="63" s="1"/>
  <c r="M1342" i="63"/>
  <c r="BC1328" i="63"/>
  <c r="BQ1350" i="63"/>
  <c r="AV1239" i="63"/>
  <c r="I1240" i="63"/>
  <c r="P1240" i="63"/>
  <c r="AV1240" i="63"/>
  <c r="BK1240" i="63"/>
  <c r="V1242" i="63"/>
  <c r="AO1233" i="63"/>
  <c r="AY1247" i="63"/>
  <c r="BN1247" i="63"/>
  <c r="V1248" i="63"/>
  <c r="AP1262" i="63"/>
  <c r="AW1273" i="63"/>
  <c r="BB1263" i="63"/>
  <c r="BQ1263" i="63"/>
  <c r="Z1271" i="63"/>
  <c r="Z1280" i="63" s="1"/>
  <c r="Y1275" i="63"/>
  <c r="AS1275" i="63"/>
  <c r="AY1275" i="63"/>
  <c r="L1276" i="63"/>
  <c r="M1276" i="63" s="1"/>
  <c r="BH1276" i="63"/>
  <c r="BH1277" i="63"/>
  <c r="AS1278" i="63"/>
  <c r="I1279" i="63"/>
  <c r="S1279" i="63"/>
  <c r="AS1279" i="63"/>
  <c r="BH1279" i="63"/>
  <c r="BN1279" i="63"/>
  <c r="BQ1280" i="63"/>
  <c r="U1283" i="63"/>
  <c r="AA1283" i="63" s="1"/>
  <c r="AU1274" i="63"/>
  <c r="BB1283" i="63"/>
  <c r="BP1274" i="63"/>
  <c r="BQ1274" i="63" s="1"/>
  <c r="Z1292" i="63"/>
  <c r="AB1292" i="63" s="1"/>
  <c r="M1297" i="63"/>
  <c r="O1332" i="63"/>
  <c r="P1312" i="63"/>
  <c r="BH1327" i="63"/>
  <c r="Y1331" i="63"/>
  <c r="V1336" i="63"/>
  <c r="AA1336" i="63"/>
  <c r="AB1336" i="63" s="1"/>
  <c r="X1334" i="63"/>
  <c r="X1316" i="63" s="1"/>
  <c r="Y1316" i="63" s="1"/>
  <c r="Y1340" i="63"/>
  <c r="Z1330" i="63"/>
  <c r="AV1350" i="63"/>
  <c r="AO1316" i="63"/>
  <c r="K1317" i="63"/>
  <c r="M1317" i="63" s="1"/>
  <c r="M1301" i="63"/>
  <c r="AM1302" i="63"/>
  <c r="K1324" i="63"/>
  <c r="U1325" i="63"/>
  <c r="S1308" i="63"/>
  <c r="AE1328" i="63"/>
  <c r="AV1308" i="63"/>
  <c r="BQ1308" i="63"/>
  <c r="M1309" i="63"/>
  <c r="AT1332" i="63"/>
  <c r="BO1332" i="63"/>
  <c r="M1313" i="63"/>
  <c r="AB1313" i="63"/>
  <c r="I1317" i="63"/>
  <c r="BE1317" i="63"/>
  <c r="AS1318" i="63"/>
  <c r="BH1318" i="63"/>
  <c r="BN1318" i="63"/>
  <c r="BB1319" i="63"/>
  <c r="P1323" i="63"/>
  <c r="AE1323" i="63"/>
  <c r="BE1323" i="63"/>
  <c r="AY1324" i="63"/>
  <c r="BE1324" i="63"/>
  <c r="I1327" i="63"/>
  <c r="AE1327" i="63"/>
  <c r="BH1329" i="63"/>
  <c r="Y1330" i="63"/>
  <c r="Y1334" i="63"/>
  <c r="M1338" i="63"/>
  <c r="BQ1340" i="63"/>
  <c r="M1343" i="63"/>
  <c r="AY1344" i="63"/>
  <c r="AY1350" i="63"/>
  <c r="U1320" i="63"/>
  <c r="AV1296" i="63"/>
  <c r="AJ1308" i="63"/>
  <c r="AT1328" i="63"/>
  <c r="BE1328" i="63"/>
  <c r="BH1332" i="63"/>
  <c r="BN1312" i="63"/>
  <c r="AE1317" i="63"/>
  <c r="AM1317" i="63"/>
  <c r="P1318" i="63"/>
  <c r="S1319" i="63"/>
  <c r="AP1319" i="63"/>
  <c r="BN1319" i="63"/>
  <c r="AS1320" i="63"/>
  <c r="BH1320" i="63"/>
  <c r="BN1320" i="63"/>
  <c r="P1321" i="63"/>
  <c r="AE1321" i="63"/>
  <c r="BE1321" i="63"/>
  <c r="P1324" i="63"/>
  <c r="Y1327" i="63"/>
  <c r="BQ1327" i="63"/>
  <c r="AH1328" i="63"/>
  <c r="S1329" i="63"/>
  <c r="BE1329" i="63"/>
  <c r="S1330" i="63"/>
  <c r="AM1330" i="63"/>
  <c r="BQ1330" i="63"/>
  <c r="AY1331" i="63"/>
  <c r="M1335" i="63"/>
  <c r="S1350" i="63"/>
  <c r="X1322" i="63"/>
  <c r="Y1322" i="63" s="1"/>
  <c r="AH1322" i="63"/>
  <c r="AW1322" i="63"/>
  <c r="BQ1302" i="63"/>
  <c r="L1325" i="63"/>
  <c r="M1325" i="63" s="1"/>
  <c r="H1328" i="63"/>
  <c r="AI1328" i="63"/>
  <c r="T1329" i="63"/>
  <c r="V1329" i="63" s="1"/>
  <c r="AX1332" i="63"/>
  <c r="AY1332" i="63" s="1"/>
  <c r="BI1332" i="63"/>
  <c r="BK1332" i="63" s="1"/>
  <c r="T1325" i="63"/>
  <c r="G1328" i="63"/>
  <c r="AS1330" i="63"/>
  <c r="AR1332" i="63"/>
  <c r="AS1332" i="63" s="1"/>
  <c r="AE1340" i="63"/>
  <c r="M1341" i="63"/>
  <c r="V1347" i="63"/>
  <c r="T1350" i="63"/>
  <c r="Y1350" i="63"/>
  <c r="BB1350" i="63"/>
  <c r="M1352" i="63"/>
  <c r="O96" i="65"/>
  <c r="Q96" i="65"/>
  <c r="E368" i="65"/>
  <c r="L374" i="65"/>
  <c r="F368" i="65"/>
  <c r="G368" i="65"/>
  <c r="L366" i="65"/>
  <c r="D368" i="65"/>
  <c r="M45" i="65"/>
  <c r="P96" i="65"/>
  <c r="M98" i="65"/>
  <c r="AJ761" i="63"/>
  <c r="AJ762" i="63"/>
  <c r="AA52" i="63"/>
  <c r="AB52" i="63" s="1"/>
  <c r="AB23" i="63"/>
  <c r="AM480" i="63"/>
  <c r="AU38" i="63"/>
  <c r="AU39" i="63"/>
  <c r="AA50" i="63"/>
  <c r="AB50" i="63" s="1"/>
  <c r="AB21" i="63"/>
  <c r="V55" i="63"/>
  <c r="AA41" i="63"/>
  <c r="AB41" i="63" s="1"/>
  <c r="AB73" i="63"/>
  <c r="H39" i="63"/>
  <c r="I10" i="63"/>
  <c r="BC39" i="63"/>
  <c r="BC38" i="63"/>
  <c r="AA54" i="63"/>
  <c r="AB54" i="63" s="1"/>
  <c r="AB25" i="63"/>
  <c r="M41" i="63"/>
  <c r="H38" i="63"/>
  <c r="AQ38" i="63"/>
  <c r="BO38" i="63"/>
  <c r="BQ38" i="63" s="1"/>
  <c r="AA48" i="63"/>
  <c r="AB48" i="63" s="1"/>
  <c r="Z56" i="63"/>
  <c r="AJ10" i="63"/>
  <c r="AI39" i="63"/>
  <c r="AA44" i="63"/>
  <c r="AB15" i="63"/>
  <c r="BQ10" i="63"/>
  <c r="AB12" i="63"/>
  <c r="AC39" i="63"/>
  <c r="AC38" i="63"/>
  <c r="AI38" i="63"/>
  <c r="BG38" i="63"/>
  <c r="AA10" i="63"/>
  <c r="AB10" i="63" s="1"/>
  <c r="V10" i="63"/>
  <c r="BG39" i="63"/>
  <c r="BN43" i="63"/>
  <c r="M45" i="63"/>
  <c r="AB19" i="63"/>
  <c r="M53" i="63"/>
  <c r="AB27" i="63"/>
  <c r="AA31" i="63"/>
  <c r="BE29" i="63"/>
  <c r="BD58" i="63"/>
  <c r="BE58" i="63" s="1"/>
  <c r="AA64" i="63"/>
  <c r="M50" i="63"/>
  <c r="AS38" i="63"/>
  <c r="AA118" i="63"/>
  <c r="U513" i="63"/>
  <c r="P513" i="63"/>
  <c r="Z11" i="63"/>
  <c r="AB11" i="63" s="1"/>
  <c r="Z16" i="63"/>
  <c r="Z45" i="63" s="1"/>
  <c r="Z18" i="63"/>
  <c r="Z20" i="63"/>
  <c r="Z49" i="63" s="1"/>
  <c r="Z26" i="63"/>
  <c r="Z55" i="63" s="1"/>
  <c r="Z34" i="63"/>
  <c r="Z63" i="63" s="1"/>
  <c r="L40" i="63"/>
  <c r="M40" i="63" s="1"/>
  <c r="L42" i="63"/>
  <c r="M42" i="63" s="1"/>
  <c r="T42" i="63"/>
  <c r="V42" i="63" s="1"/>
  <c r="L47" i="63"/>
  <c r="M47" i="63" s="1"/>
  <c r="L55" i="63"/>
  <c r="M55" i="63" s="1"/>
  <c r="AN60" i="63"/>
  <c r="BD60" i="63"/>
  <c r="BL60" i="63"/>
  <c r="BN60" i="63" s="1"/>
  <c r="S70" i="63"/>
  <c r="K71" i="63"/>
  <c r="T71" i="63"/>
  <c r="Y75" i="63"/>
  <c r="X71" i="63"/>
  <c r="BJ58" i="63"/>
  <c r="AA101" i="63"/>
  <c r="BC380" i="63"/>
  <c r="BC103" i="63"/>
  <c r="BL380" i="63"/>
  <c r="BL103" i="63"/>
  <c r="L121" i="63"/>
  <c r="S121" i="63"/>
  <c r="T124" i="63"/>
  <c r="Z124" i="63" s="1"/>
  <c r="P124" i="63"/>
  <c r="T126" i="63"/>
  <c r="Z126" i="63" s="1"/>
  <c r="K126" i="63"/>
  <c r="I130" i="63"/>
  <c r="H124" i="63"/>
  <c r="I124" i="63" s="1"/>
  <c r="BQ130" i="63"/>
  <c r="BP124" i="63"/>
  <c r="BQ124" i="63" s="1"/>
  <c r="L152" i="63"/>
  <c r="S152" i="63"/>
  <c r="R117" i="63"/>
  <c r="R137" i="63"/>
  <c r="AA162" i="63"/>
  <c r="L164" i="63"/>
  <c r="S164" i="63"/>
  <c r="AL117" i="63"/>
  <c r="AM117" i="63" s="1"/>
  <c r="AM185" i="63"/>
  <c r="K212" i="63"/>
  <c r="M212" i="63" s="1"/>
  <c r="T212" i="63"/>
  <c r="Z212" i="63" s="1"/>
  <c r="BH212" i="63"/>
  <c r="BG203" i="63"/>
  <c r="S236" i="63"/>
  <c r="K236" i="63"/>
  <c r="T236" i="63"/>
  <c r="Z236" i="63" s="1"/>
  <c r="Y245" i="63"/>
  <c r="X236" i="63"/>
  <c r="AA236" i="63" s="1"/>
  <c r="L245" i="63"/>
  <c r="Y272" i="63"/>
  <c r="K272" i="63"/>
  <c r="AJ284" i="63"/>
  <c r="AI269" i="63"/>
  <c r="AJ269" i="63" s="1"/>
  <c r="AB288" i="63"/>
  <c r="AM318" i="63"/>
  <c r="AK302" i="63"/>
  <c r="BA302" i="63"/>
  <c r="BB302" i="63" s="1"/>
  <c r="BB318" i="63"/>
  <c r="V330" i="63"/>
  <c r="AA330" i="63"/>
  <c r="AB330" i="63" s="1"/>
  <c r="Y334" i="63"/>
  <c r="K334" i="63"/>
  <c r="L425" i="63"/>
  <c r="M425" i="63" s="1"/>
  <c r="M348" i="63"/>
  <c r="Z350" i="63"/>
  <c r="L415" i="63"/>
  <c r="M415" i="63" s="1"/>
  <c r="K424" i="63"/>
  <c r="M424" i="63" s="1"/>
  <c r="U441" i="63"/>
  <c r="L441" i="63"/>
  <c r="BH450" i="63"/>
  <c r="BF374" i="63"/>
  <c r="BH374" i="63" s="1"/>
  <c r="BF443" i="63"/>
  <c r="BH443" i="63" s="1"/>
  <c r="I452" i="63"/>
  <c r="G376" i="63"/>
  <c r="I453" i="63"/>
  <c r="G377" i="63"/>
  <c r="BH456" i="63"/>
  <c r="BF380" i="63"/>
  <c r="G463" i="63"/>
  <c r="AC464" i="63"/>
  <c r="AC388" i="63"/>
  <c r="AP470" i="63"/>
  <c r="AN464" i="63"/>
  <c r="AN388" i="63"/>
  <c r="AP388" i="63" s="1"/>
  <c r="BE470" i="63"/>
  <c r="BD464" i="63"/>
  <c r="BD388" i="63"/>
  <c r="AD480" i="63"/>
  <c r="AD446" i="63"/>
  <c r="AE481" i="63"/>
  <c r="AI448" i="63"/>
  <c r="U489" i="63"/>
  <c r="L489" i="63"/>
  <c r="M489" i="63" s="1"/>
  <c r="L490" i="63"/>
  <c r="R455" i="63"/>
  <c r="S490" i="63"/>
  <c r="BO455" i="63"/>
  <c r="BO486" i="63"/>
  <c r="AD458" i="63"/>
  <c r="AE458" i="63" s="1"/>
  <c r="AD492" i="63"/>
  <c r="AO492" i="63"/>
  <c r="AP493" i="63"/>
  <c r="AO458" i="63"/>
  <c r="S494" i="63"/>
  <c r="Q459" i="63"/>
  <c r="S459" i="63" s="1"/>
  <c r="AV494" i="63"/>
  <c r="AU459" i="63"/>
  <c r="BK494" i="63"/>
  <c r="BJ492" i="63"/>
  <c r="AA497" i="63"/>
  <c r="AB497" i="63" s="1"/>
  <c r="V497" i="63"/>
  <c r="AD498" i="63"/>
  <c r="AE499" i="63"/>
  <c r="AD466" i="63"/>
  <c r="AE466" i="63" s="1"/>
  <c r="AK467" i="63"/>
  <c r="AK498" i="63"/>
  <c r="AK465" i="63" s="1"/>
  <c r="AV500" i="63"/>
  <c r="AT498" i="63"/>
  <c r="BK500" i="63"/>
  <c r="BJ467" i="63"/>
  <c r="BJ498" i="63"/>
  <c r="BH502" i="63"/>
  <c r="BF469" i="63"/>
  <c r="BH469" i="63" s="1"/>
  <c r="V503" i="63"/>
  <c r="AA503" i="63"/>
  <c r="AB503" i="63" s="1"/>
  <c r="BQ505" i="63"/>
  <c r="BO504" i="63"/>
  <c r="AY506" i="63"/>
  <c r="AW473" i="63"/>
  <c r="AY473" i="63" s="1"/>
  <c r="BN506" i="63"/>
  <c r="BM473" i="63"/>
  <c r="AM508" i="63"/>
  <c r="AK475" i="63"/>
  <c r="AM475" i="63" s="1"/>
  <c r="AK504" i="63"/>
  <c r="BB508" i="63"/>
  <c r="BA475" i="63"/>
  <c r="BA504" i="63"/>
  <c r="S514" i="63"/>
  <c r="K514" i="63"/>
  <c r="M514" i="63" s="1"/>
  <c r="Q513" i="63"/>
  <c r="Q512" i="63" s="1"/>
  <c r="T514" i="63"/>
  <c r="Z514" i="63" s="1"/>
  <c r="BB515" i="63"/>
  <c r="BA513" i="63"/>
  <c r="V518" i="63"/>
  <c r="Z518" i="63"/>
  <c r="Y522" i="63"/>
  <c r="X454" i="63"/>
  <c r="AE527" i="63"/>
  <c r="AV527" i="63"/>
  <c r="AU525" i="63"/>
  <c r="BK527" i="63"/>
  <c r="BJ525" i="63"/>
  <c r="AU531" i="63"/>
  <c r="AV532" i="63"/>
  <c r="AA538" i="63"/>
  <c r="AB538" i="63" s="1"/>
  <c r="V538" i="63"/>
  <c r="AX537" i="63"/>
  <c r="AY537" i="63" s="1"/>
  <c r="AY538" i="63"/>
  <c r="BQ546" i="63"/>
  <c r="AA547" i="63"/>
  <c r="AX546" i="63"/>
  <c r="AY547" i="63"/>
  <c r="P559" i="63"/>
  <c r="L559" i="63"/>
  <c r="U559" i="63"/>
  <c r="O558" i="63"/>
  <c r="AJ568" i="63"/>
  <c r="AH564" i="63"/>
  <c r="BN572" i="63"/>
  <c r="BM570" i="63"/>
  <c r="BN570" i="63" s="1"/>
  <c r="V573" i="63"/>
  <c r="AV589" i="63"/>
  <c r="AU585" i="63"/>
  <c r="I597" i="63"/>
  <c r="G576" i="63"/>
  <c r="S600" i="63"/>
  <c r="L600" i="63"/>
  <c r="U600" i="63"/>
  <c r="P607" i="63"/>
  <c r="L607" i="63"/>
  <c r="U607" i="63"/>
  <c r="BK612" i="63"/>
  <c r="AA622" i="63"/>
  <c r="R624" i="63"/>
  <c r="S624" i="63" s="1"/>
  <c r="S625" i="63"/>
  <c r="I630" i="63"/>
  <c r="G609" i="63"/>
  <c r="S631" i="63"/>
  <c r="L631" i="63"/>
  <c r="R630" i="63"/>
  <c r="S630" i="63" s="1"/>
  <c r="AY632" i="63"/>
  <c r="AX467" i="63"/>
  <c r="AY638" i="63"/>
  <c r="AW636" i="63"/>
  <c r="AE654" i="63"/>
  <c r="AC650" i="63"/>
  <c r="AC646" i="63"/>
  <c r="BK654" i="63"/>
  <c r="BJ650" i="63"/>
  <c r="T666" i="63"/>
  <c r="AP714" i="63"/>
  <c r="AN775" i="63"/>
  <c r="AN710" i="63"/>
  <c r="AP710" i="63" s="1"/>
  <c r="AE771" i="63"/>
  <c r="AX758" i="63"/>
  <c r="AA794" i="63"/>
  <c r="AP892" i="63"/>
  <c r="AO885" i="63"/>
  <c r="Y922" i="63"/>
  <c r="L922" i="63"/>
  <c r="K10" i="63"/>
  <c r="Y14" i="63"/>
  <c r="AM14" i="63"/>
  <c r="AY14" i="63"/>
  <c r="BK14" i="63"/>
  <c r="M16" i="63"/>
  <c r="AA16" i="63"/>
  <c r="AA18" i="63"/>
  <c r="AA20" i="63"/>
  <c r="M24" i="63"/>
  <c r="AA24" i="63"/>
  <c r="AY29" i="63"/>
  <c r="K31" i="63"/>
  <c r="S31" i="63"/>
  <c r="AP60" i="63"/>
  <c r="BE31" i="63"/>
  <c r="M34" i="63"/>
  <c r="AA34" i="63"/>
  <c r="U40" i="63"/>
  <c r="V40" i="63" s="1"/>
  <c r="U41" i="63"/>
  <c r="V41" i="63" s="1"/>
  <c r="Q43" i="63"/>
  <c r="AI43" i="63"/>
  <c r="AQ43" i="63"/>
  <c r="BG43" i="63"/>
  <c r="BH43" i="63" s="1"/>
  <c r="BO43" i="63"/>
  <c r="U45" i="63"/>
  <c r="V45" i="63" s="1"/>
  <c r="U47" i="63"/>
  <c r="V47" i="63" s="1"/>
  <c r="U53" i="63"/>
  <c r="V53" i="63" s="1"/>
  <c r="BQ55" i="63"/>
  <c r="AE56" i="63"/>
  <c r="T57" i="63"/>
  <c r="AI58" i="63"/>
  <c r="AJ58" i="63" s="1"/>
  <c r="V73" i="63"/>
  <c r="BB71" i="63"/>
  <c r="M88" i="63"/>
  <c r="K56" i="63"/>
  <c r="AB88" i="63"/>
  <c r="BA90" i="63"/>
  <c r="BA70" i="63" s="1"/>
  <c r="BB92" i="63"/>
  <c r="BA60" i="63"/>
  <c r="BB60" i="63" s="1"/>
  <c r="L61" i="63"/>
  <c r="M61" i="63" s="1"/>
  <c r="Q374" i="63"/>
  <c r="T374" i="63" s="1"/>
  <c r="Z110" i="63"/>
  <c r="S111" i="63"/>
  <c r="R102" i="63"/>
  <c r="AS111" i="63"/>
  <c r="AR102" i="63"/>
  <c r="BG111" i="63"/>
  <c r="S112" i="63"/>
  <c r="U112" i="63"/>
  <c r="BE112" i="63"/>
  <c r="H377" i="63"/>
  <c r="I113" i="63"/>
  <c r="S114" i="63"/>
  <c r="U114" i="63"/>
  <c r="BE114" i="63"/>
  <c r="H379" i="63"/>
  <c r="I115" i="63"/>
  <c r="BQ115" i="63"/>
  <c r="R380" i="63"/>
  <c r="S116" i="63"/>
  <c r="U116" i="63"/>
  <c r="AN380" i="63"/>
  <c r="AN103" i="63"/>
  <c r="BN116" i="63"/>
  <c r="U121" i="63"/>
  <c r="AE129" i="63"/>
  <c r="AP129" i="63"/>
  <c r="AS130" i="63"/>
  <c r="AR124" i="63"/>
  <c r="AS124" i="63" s="1"/>
  <c r="T133" i="63"/>
  <c r="Z133" i="63" s="1"/>
  <c r="K133" i="63"/>
  <c r="U133" i="63"/>
  <c r="AS136" i="63"/>
  <c r="BB136" i="63"/>
  <c r="AC495" i="63"/>
  <c r="AE155" i="63"/>
  <c r="AC152" i="63"/>
  <c r="AE152" i="63" s="1"/>
  <c r="AC120" i="63"/>
  <c r="AA157" i="63"/>
  <c r="AB157" i="63" s="1"/>
  <c r="V157" i="63"/>
  <c r="BL714" i="63"/>
  <c r="BL125" i="63"/>
  <c r="V159" i="63"/>
  <c r="U164" i="63"/>
  <c r="AC508" i="63"/>
  <c r="AC475" i="63" s="1"/>
  <c r="AE168" i="63"/>
  <c r="AC164" i="63"/>
  <c r="AC131" i="63" s="1"/>
  <c r="H170" i="63"/>
  <c r="AB174" i="63"/>
  <c r="AE179" i="63"/>
  <c r="W529" i="63"/>
  <c r="W461" i="63" s="1"/>
  <c r="K189" i="63"/>
  <c r="M189" i="63" s="1"/>
  <c r="W121" i="63"/>
  <c r="Y121" i="63" s="1"/>
  <c r="Y189" i="63"/>
  <c r="BL170" i="63"/>
  <c r="BN170" i="63" s="1"/>
  <c r="V194" i="63"/>
  <c r="M202" i="63"/>
  <c r="AY212" i="63"/>
  <c r="M217" i="63"/>
  <c r="I218" i="63"/>
  <c r="AV218" i="63"/>
  <c r="AU203" i="63"/>
  <c r="AV203" i="63" s="1"/>
  <c r="BQ218" i="63"/>
  <c r="BO117" i="63"/>
  <c r="BO102" i="63" s="1"/>
  <c r="V220" i="63"/>
  <c r="BH224" i="63"/>
  <c r="BG125" i="63"/>
  <c r="BB239" i="63"/>
  <c r="AV245" i="63"/>
  <c r="AU236" i="63"/>
  <c r="AV236" i="63" s="1"/>
  <c r="I251" i="63"/>
  <c r="H236" i="63"/>
  <c r="I236" i="63" s="1"/>
  <c r="AA251" i="63"/>
  <c r="AB251" i="63" s="1"/>
  <c r="V251" i="63"/>
  <c r="Y257" i="63"/>
  <c r="L257" i="63"/>
  <c r="BQ272" i="63"/>
  <c r="X125" i="63"/>
  <c r="L290" i="63"/>
  <c r="M290" i="63" s="1"/>
  <c r="AQ123" i="63"/>
  <c r="V294" i="63"/>
  <c r="AA294" i="63"/>
  <c r="AB294" i="63" s="1"/>
  <c r="H302" i="63"/>
  <c r="I302" i="63" s="1"/>
  <c r="BH302" i="63"/>
  <c r="Y304" i="63"/>
  <c r="L304" i="63"/>
  <c r="Y308" i="63"/>
  <c r="L308" i="63"/>
  <c r="AE326" i="63"/>
  <c r="AC302" i="63"/>
  <c r="M329" i="63"/>
  <c r="K408" i="63"/>
  <c r="M408" i="63" s="1"/>
  <c r="V335" i="63"/>
  <c r="AB344" i="63"/>
  <c r="BN350" i="63"/>
  <c r="AY403" i="63"/>
  <c r="BH403" i="63"/>
  <c r="Y415" i="63"/>
  <c r="BK417" i="63"/>
  <c r="K422" i="63"/>
  <c r="I447" i="63"/>
  <c r="G371" i="63"/>
  <c r="AM449" i="63"/>
  <c r="BK449" i="63"/>
  <c r="AY450" i="63"/>
  <c r="AX374" i="63"/>
  <c r="BI452" i="63"/>
  <c r="AJ456" i="63"/>
  <c r="AH380" i="63"/>
  <c r="BM380" i="63"/>
  <c r="BN456" i="63"/>
  <c r="I468" i="63"/>
  <c r="AV470" i="63"/>
  <c r="AU464" i="63"/>
  <c r="AV464" i="63" s="1"/>
  <c r="AU388" i="63"/>
  <c r="AV388" i="63" s="1"/>
  <c r="AE472" i="63"/>
  <c r="Y476" i="63"/>
  <c r="W464" i="63"/>
  <c r="Y464" i="63" s="1"/>
  <c r="W390" i="63"/>
  <c r="U482" i="63"/>
  <c r="L482" i="63"/>
  <c r="M482" i="63" s="1"/>
  <c r="L483" i="63"/>
  <c r="R448" i="63"/>
  <c r="U448" i="63" s="1"/>
  <c r="S483" i="63"/>
  <c r="Y484" i="63"/>
  <c r="BN449" i="63"/>
  <c r="Q453" i="63"/>
  <c r="Q486" i="63"/>
  <c r="Q451" i="63" s="1"/>
  <c r="P489" i="63"/>
  <c r="T490" i="63"/>
  <c r="Z490" i="63" s="1"/>
  <c r="P490" i="63"/>
  <c r="N455" i="63"/>
  <c r="K490" i="63"/>
  <c r="N486" i="63"/>
  <c r="AQ455" i="63"/>
  <c r="AQ486" i="63"/>
  <c r="AQ451" i="63" s="1"/>
  <c r="BB490" i="63"/>
  <c r="AZ455" i="63"/>
  <c r="BP455" i="63"/>
  <c r="BQ490" i="63"/>
  <c r="G457" i="63"/>
  <c r="AE493" i="63"/>
  <c r="AZ458" i="63"/>
  <c r="AZ492" i="63"/>
  <c r="BK493" i="63"/>
  <c r="BI492" i="63"/>
  <c r="AI461" i="63"/>
  <c r="AI492" i="63"/>
  <c r="BB499" i="63"/>
  <c r="AZ498" i="63"/>
  <c r="AZ466" i="63"/>
  <c r="BB466" i="63" s="1"/>
  <c r="BA467" i="63"/>
  <c r="BB467" i="63" s="1"/>
  <c r="BB500" i="63"/>
  <c r="BA498" i="63"/>
  <c r="AY502" i="63"/>
  <c r="BM504" i="63"/>
  <c r="AP506" i="63"/>
  <c r="AO473" i="63"/>
  <c r="BE506" i="63"/>
  <c r="BD473" i="63"/>
  <c r="BE473" i="63" s="1"/>
  <c r="U508" i="63"/>
  <c r="L508" i="63"/>
  <c r="O475" i="63"/>
  <c r="AS508" i="63"/>
  <c r="AR504" i="63"/>
  <c r="S512" i="63"/>
  <c r="BP513" i="63"/>
  <c r="AS515" i="63"/>
  <c r="BL447" i="63"/>
  <c r="BN447" i="63" s="1"/>
  <c r="BL513" i="63"/>
  <c r="BM519" i="63"/>
  <c r="BN520" i="63"/>
  <c r="BM452" i="63"/>
  <c r="BN452" i="63" s="1"/>
  <c r="AY522" i="63"/>
  <c r="AX454" i="63"/>
  <c r="AY454" i="63" s="1"/>
  <c r="BH523" i="63"/>
  <c r="T526" i="63"/>
  <c r="Z526" i="63" s="1"/>
  <c r="K526" i="63"/>
  <c r="BA525" i="63"/>
  <c r="BB525" i="63" s="1"/>
  <c r="BB526" i="63"/>
  <c r="BA458" i="63"/>
  <c r="BB458" i="63" s="1"/>
  <c r="BP525" i="63"/>
  <c r="BQ525" i="63" s="1"/>
  <c r="BQ526" i="63"/>
  <c r="Y529" i="63"/>
  <c r="L534" i="63"/>
  <c r="S534" i="63"/>
  <c r="V536" i="63"/>
  <c r="AA536" i="63"/>
  <c r="AB536" i="63" s="1"/>
  <c r="T539" i="63"/>
  <c r="Z539" i="63" s="1"/>
  <c r="K539" i="63"/>
  <c r="Y561" i="63"/>
  <c r="W460" i="63"/>
  <c r="Y460" i="63" s="1"/>
  <c r="U566" i="63"/>
  <c r="L566" i="63"/>
  <c r="M566" i="63" s="1"/>
  <c r="P566" i="63"/>
  <c r="O564" i="63"/>
  <c r="BE572" i="63"/>
  <c r="BD570" i="63"/>
  <c r="R578" i="63"/>
  <c r="AP587" i="63"/>
  <c r="AN585" i="63"/>
  <c r="AM613" i="63"/>
  <c r="BF612" i="63"/>
  <c r="BF446" i="63"/>
  <c r="BQ613" i="63"/>
  <c r="BO612" i="63"/>
  <c r="BO611" i="63" s="1"/>
  <c r="S614" i="63"/>
  <c r="AH630" i="63"/>
  <c r="U631" i="63"/>
  <c r="AP634" i="63"/>
  <c r="AO630" i="63"/>
  <c r="P638" i="63"/>
  <c r="L638" i="63"/>
  <c r="U638" i="63"/>
  <c r="O636" i="63"/>
  <c r="BH652" i="63"/>
  <c r="BG650" i="63"/>
  <c r="V659" i="63"/>
  <c r="Z659" i="63"/>
  <c r="AB659" i="63" s="1"/>
  <c r="U832" i="63"/>
  <c r="P832" i="63"/>
  <c r="L832" i="63"/>
  <c r="AE834" i="63"/>
  <c r="AP844" i="63"/>
  <c r="AO872" i="63"/>
  <c r="AP872" i="63" s="1"/>
  <c r="AT885" i="63"/>
  <c r="W864" i="63"/>
  <c r="W885" i="63"/>
  <c r="Q1045" i="63"/>
  <c r="S967" i="63"/>
  <c r="K967" i="63"/>
  <c r="T967" i="63"/>
  <c r="Z967" i="63" s="1"/>
  <c r="Q941" i="63"/>
  <c r="X1045" i="63"/>
  <c r="Y1045" i="63" s="1"/>
  <c r="Y967" i="63"/>
  <c r="L967" i="63"/>
  <c r="AT1045" i="63"/>
  <c r="AT941" i="63"/>
  <c r="BC1045" i="63"/>
  <c r="BE967" i="63"/>
  <c r="BC941" i="63"/>
  <c r="M968" i="63"/>
  <c r="K1046" i="63"/>
  <c r="S990" i="63"/>
  <c r="K990" i="63"/>
  <c r="T990" i="63"/>
  <c r="Z990" i="63" s="1"/>
  <c r="AP1133" i="63"/>
  <c r="AO1051" i="63"/>
  <c r="BE1350" i="63"/>
  <c r="BD1332" i="63"/>
  <c r="BE1332" i="63" s="1"/>
  <c r="BF776" i="63"/>
  <c r="AZ776" i="63"/>
  <c r="BC776" i="63"/>
  <c r="L10" i="63"/>
  <c r="M10" i="63" s="1"/>
  <c r="AL10" i="63"/>
  <c r="AM10" i="63" s="1"/>
  <c r="AT10" i="63"/>
  <c r="AV10" i="63" s="1"/>
  <c r="BF10" i="63"/>
  <c r="BH10" i="63" s="1"/>
  <c r="V11" i="63"/>
  <c r="V13" i="63"/>
  <c r="I14" i="63"/>
  <c r="V14" i="63"/>
  <c r="Z14" i="63"/>
  <c r="Z43" i="63" s="1"/>
  <c r="AJ14" i="63"/>
  <c r="AV14" i="63"/>
  <c r="BH14" i="63"/>
  <c r="V20" i="63"/>
  <c r="V22" i="63"/>
  <c r="V26" i="63"/>
  <c r="V28" i="63"/>
  <c r="I29" i="63"/>
  <c r="N29" i="63"/>
  <c r="R29" i="63"/>
  <c r="AD29" i="63"/>
  <c r="AR29" i="63"/>
  <c r="AS29" i="63" s="1"/>
  <c r="AZ29" i="63"/>
  <c r="AZ58" i="63" s="1"/>
  <c r="BP29" i="63"/>
  <c r="BQ29" i="63" s="1"/>
  <c r="Z30" i="63"/>
  <c r="Z59" i="63" s="1"/>
  <c r="L31" i="63"/>
  <c r="M31" i="63" s="1"/>
  <c r="P31" i="63"/>
  <c r="T31" i="63"/>
  <c r="Z31" i="63" s="1"/>
  <c r="AP31" i="63"/>
  <c r="BB31" i="63"/>
  <c r="BN31" i="63"/>
  <c r="V32" i="63"/>
  <c r="Z33" i="63"/>
  <c r="Z62" i="63" s="1"/>
  <c r="V34" i="63"/>
  <c r="Z35" i="63"/>
  <c r="Z64" i="63" s="1"/>
  <c r="V36" i="63"/>
  <c r="R38" i="63"/>
  <c r="S38" i="63" s="1"/>
  <c r="N39" i="63"/>
  <c r="R39" i="63"/>
  <c r="S39" i="63" s="1"/>
  <c r="AD39" i="63"/>
  <c r="AE39" i="63" s="1"/>
  <c r="AN39" i="63"/>
  <c r="AP39" i="63" s="1"/>
  <c r="AR39" i="63"/>
  <c r="AS39" i="63" s="1"/>
  <c r="BD39" i="63"/>
  <c r="BL39" i="63"/>
  <c r="BN39" i="63" s="1"/>
  <c r="BP39" i="63"/>
  <c r="BQ39" i="63" s="1"/>
  <c r="N43" i="63"/>
  <c r="R43" i="63"/>
  <c r="AD43" i="63"/>
  <c r="AR43" i="63"/>
  <c r="BD43" i="63"/>
  <c r="BP43" i="63"/>
  <c r="BE55" i="63"/>
  <c r="BQ56" i="63"/>
  <c r="L57" i="63"/>
  <c r="M57" i="63" s="1"/>
  <c r="U57" i="63"/>
  <c r="AE57" i="63"/>
  <c r="S59" i="63"/>
  <c r="AE59" i="63"/>
  <c r="BE59" i="63"/>
  <c r="AR60" i="63"/>
  <c r="AS60" i="63" s="1"/>
  <c r="BP60" i="63"/>
  <c r="BQ60" i="63" s="1"/>
  <c r="S61" i="63"/>
  <c r="AE61" i="63"/>
  <c r="BE61" i="63"/>
  <c r="AS62" i="63"/>
  <c r="BQ62" i="63"/>
  <c r="S63" i="63"/>
  <c r="AE63" i="63"/>
  <c r="BE63" i="63"/>
  <c r="AS64" i="63"/>
  <c r="BQ64" i="63"/>
  <c r="AD70" i="63"/>
  <c r="BD70" i="63"/>
  <c r="S71" i="63"/>
  <c r="AS71" i="63"/>
  <c r="BQ71" i="63"/>
  <c r="AJ75" i="63"/>
  <c r="AH71" i="63"/>
  <c r="BB75" i="63"/>
  <c r="BH75" i="63"/>
  <c r="BF71" i="63"/>
  <c r="M79" i="63"/>
  <c r="AB79" i="63"/>
  <c r="V80" i="63"/>
  <c r="V83" i="63"/>
  <c r="AA83" i="63"/>
  <c r="AB87" i="63"/>
  <c r="AA56" i="63"/>
  <c r="V89" i="63"/>
  <c r="AL58" i="63"/>
  <c r="AV90" i="63"/>
  <c r="U92" i="63"/>
  <c r="O90" i="63"/>
  <c r="P92" i="63"/>
  <c r="L92" i="63"/>
  <c r="O60" i="63"/>
  <c r="P60" i="63" s="1"/>
  <c r="AS92" i="63"/>
  <c r="AY92" i="63"/>
  <c r="AW90" i="63"/>
  <c r="AW60" i="63"/>
  <c r="AY60" i="63" s="1"/>
  <c r="BQ92" i="63"/>
  <c r="M93" i="63"/>
  <c r="V93" i="63"/>
  <c r="S101" i="63"/>
  <c r="K101" i="63"/>
  <c r="T101" i="63"/>
  <c r="Z101" i="63" s="1"/>
  <c r="AR105" i="63"/>
  <c r="AS105" i="63" s="1"/>
  <c r="L106" i="63"/>
  <c r="S106" i="63"/>
  <c r="U106" i="63"/>
  <c r="BE106" i="63"/>
  <c r="I107" i="63"/>
  <c r="H371" i="63"/>
  <c r="BQ107" i="63"/>
  <c r="L108" i="63"/>
  <c r="S108" i="63"/>
  <c r="U108" i="63"/>
  <c r="BE108" i="63"/>
  <c r="H373" i="63"/>
  <c r="I373" i="63" s="1"/>
  <c r="I109" i="63"/>
  <c r="BQ109" i="63"/>
  <c r="S110" i="63"/>
  <c r="U110" i="63"/>
  <c r="BE110" i="63"/>
  <c r="BD374" i="63"/>
  <c r="BE374" i="63" s="1"/>
  <c r="BN110" i="63"/>
  <c r="AE112" i="63"/>
  <c r="AP112" i="63"/>
  <c r="T113" i="63"/>
  <c r="Z113" i="63" s="1"/>
  <c r="K113" i="63"/>
  <c r="AB113" i="63"/>
  <c r="AS113" i="63"/>
  <c r="BB113" i="63"/>
  <c r="AE114" i="63"/>
  <c r="AP114" i="63"/>
  <c r="T115" i="63"/>
  <c r="Z115" i="63" s="1"/>
  <c r="K115" i="63"/>
  <c r="AS115" i="63"/>
  <c r="BB115" i="63"/>
  <c r="AD380" i="63"/>
  <c r="AE116" i="63"/>
  <c r="AD103" i="63"/>
  <c r="AP116" i="63"/>
  <c r="AU103" i="63"/>
  <c r="AU380" i="63"/>
  <c r="AV380" i="63" s="1"/>
  <c r="AV116" i="63"/>
  <c r="AD386" i="63"/>
  <c r="AE386" i="63" s="1"/>
  <c r="AE122" i="63"/>
  <c r="AV122" i="63"/>
  <c r="BB122" i="63"/>
  <c r="AZ386" i="63"/>
  <c r="BB386" i="63" s="1"/>
  <c r="AR125" i="63"/>
  <c r="AS128" i="63"/>
  <c r="BB128" i="63"/>
  <c r="AI124" i="63"/>
  <c r="BO131" i="63"/>
  <c r="P136" i="63"/>
  <c r="AI390" i="63"/>
  <c r="AJ390" i="63" s="1"/>
  <c r="AJ136" i="63"/>
  <c r="AX105" i="63"/>
  <c r="AY105" i="63" s="1"/>
  <c r="AY140" i="63"/>
  <c r="BM105" i="63"/>
  <c r="BN105" i="63" s="1"/>
  <c r="BN140" i="63"/>
  <c r="BA137" i="63"/>
  <c r="BA111" i="63"/>
  <c r="BJ137" i="63"/>
  <c r="BJ111" i="63"/>
  <c r="BK146" i="63"/>
  <c r="AA149" i="63"/>
  <c r="AB149" i="63" s="1"/>
  <c r="AS152" i="63"/>
  <c r="AR137" i="63"/>
  <c r="BQ152" i="63"/>
  <c r="BP137" i="63"/>
  <c r="AW714" i="63"/>
  <c r="AY158" i="63"/>
  <c r="AW125" i="63"/>
  <c r="AW123" i="63" s="1"/>
  <c r="AI131" i="63"/>
  <c r="AS164" i="63"/>
  <c r="AR131" i="63"/>
  <c r="AS131" i="63" s="1"/>
  <c r="BG131" i="63"/>
  <c r="BQ164" i="63"/>
  <c r="BP131" i="63"/>
  <c r="W135" i="63"/>
  <c r="Y135" i="63" s="1"/>
  <c r="Y168" i="63"/>
  <c r="AC170" i="63"/>
  <c r="BJ170" i="63"/>
  <c r="BK170" i="63" s="1"/>
  <c r="AB181" i="63"/>
  <c r="M182" i="63"/>
  <c r="V183" i="63"/>
  <c r="AA185" i="63"/>
  <c r="AT720" i="63"/>
  <c r="AT117" i="63"/>
  <c r="AV117" i="63" s="1"/>
  <c r="BC720" i="63"/>
  <c r="BE185" i="63"/>
  <c r="BK720" i="63"/>
  <c r="BI717" i="63"/>
  <c r="BI712" i="63"/>
  <c r="V187" i="63"/>
  <c r="Z187" i="63"/>
  <c r="AB187" i="63" s="1"/>
  <c r="AE189" i="63"/>
  <c r="AC121" i="63"/>
  <c r="AE121" i="63" s="1"/>
  <c r="AC529" i="63"/>
  <c r="AE529" i="63" s="1"/>
  <c r="S191" i="63"/>
  <c r="R170" i="63"/>
  <c r="U191" i="63"/>
  <c r="AN170" i="63"/>
  <c r="AP170" i="63" s="1"/>
  <c r="BE191" i="63"/>
  <c r="BD170" i="63"/>
  <c r="BE170" i="63" s="1"/>
  <c r="BD125" i="63"/>
  <c r="BN191" i="63"/>
  <c r="Q131" i="63"/>
  <c r="S131" i="63" s="1"/>
  <c r="AS203" i="63"/>
  <c r="BQ203" i="63"/>
  <c r="BE206" i="63"/>
  <c r="AA212" i="63"/>
  <c r="AS218" i="63"/>
  <c r="AQ117" i="63"/>
  <c r="AS117" i="63" s="1"/>
  <c r="V222" i="63"/>
  <c r="AA222" i="63"/>
  <c r="AB222" i="63" s="1"/>
  <c r="V223" i="63"/>
  <c r="Z223" i="63"/>
  <c r="AB223" i="63" s="1"/>
  <c r="AJ224" i="63"/>
  <c r="AI125" i="63"/>
  <c r="AB228" i="63"/>
  <c r="I230" i="63"/>
  <c r="AV230" i="63"/>
  <c r="AU131" i="63"/>
  <c r="AV131" i="63" s="1"/>
  <c r="V232" i="63"/>
  <c r="BG236" i="63"/>
  <c r="U239" i="63"/>
  <c r="P239" i="63"/>
  <c r="L239" i="63"/>
  <c r="AA239" i="63"/>
  <c r="AM245" i="63"/>
  <c r="AL236" i="63"/>
  <c r="AM236" i="63" s="1"/>
  <c r="AB250" i="63"/>
  <c r="V253" i="63"/>
  <c r="AA253" i="63"/>
  <c r="AB253" i="63" s="1"/>
  <c r="AV257" i="63"/>
  <c r="AA261" i="63"/>
  <c r="AB261" i="63" s="1"/>
  <c r="V263" i="63"/>
  <c r="AJ263" i="63"/>
  <c r="AB283" i="63"/>
  <c r="Y290" i="63"/>
  <c r="AA292" i="63"/>
  <c r="AB292" i="63" s="1"/>
  <c r="AA296" i="63"/>
  <c r="AB296" i="63" s="1"/>
  <c r="V296" i="63"/>
  <c r="AX302" i="63"/>
  <c r="K304" i="63"/>
  <c r="S304" i="63"/>
  <c r="AV304" i="63"/>
  <c r="BE304" i="63"/>
  <c r="AV308" i="63"/>
  <c r="V314" i="63"/>
  <c r="AB319" i="63"/>
  <c r="AA325" i="63"/>
  <c r="AB338" i="63"/>
  <c r="L426" i="63"/>
  <c r="M426" i="63" s="1"/>
  <c r="L417" i="63"/>
  <c r="M417" i="63" s="1"/>
  <c r="Z426" i="63"/>
  <c r="Z417" i="63"/>
  <c r="S342" i="63"/>
  <c r="K342" i="63"/>
  <c r="T342" i="63"/>
  <c r="Z342" i="63" s="1"/>
  <c r="Y342" i="63"/>
  <c r="L342" i="63"/>
  <c r="L421" i="63"/>
  <c r="M421" i="63" s="1"/>
  <c r="M344" i="63"/>
  <c r="AP350" i="63"/>
  <c r="V359" i="63"/>
  <c r="AA359" i="63"/>
  <c r="AB359" i="63" s="1"/>
  <c r="V371" i="63"/>
  <c r="R374" i="63"/>
  <c r="AW374" i="63"/>
  <c r="AJ380" i="63"/>
  <c r="I397" i="63"/>
  <c r="AJ403" i="63"/>
  <c r="Y405" i="63"/>
  <c r="BK408" i="63"/>
  <c r="AM417" i="63"/>
  <c r="Y443" i="63"/>
  <c r="AL446" i="63"/>
  <c r="AM446" i="63" s="1"/>
  <c r="Z450" i="63"/>
  <c r="Z374" i="63" s="1"/>
  <c r="AK452" i="63"/>
  <c r="AM452" i="63" s="1"/>
  <c r="BK452" i="63"/>
  <c r="AY453" i="63"/>
  <c r="O454" i="63"/>
  <c r="BJ454" i="63"/>
  <c r="BK454" i="63" s="1"/>
  <c r="K456" i="63"/>
  <c r="M456" i="63" s="1"/>
  <c r="Z456" i="63"/>
  <c r="AO380" i="63"/>
  <c r="AP456" i="63"/>
  <c r="AA459" i="63"/>
  <c r="L459" i="63"/>
  <c r="BJ459" i="63"/>
  <c r="BK459" i="63" s="1"/>
  <c r="BE472" i="63"/>
  <c r="AN473" i="63"/>
  <c r="BL473" i="63"/>
  <c r="AC474" i="63"/>
  <c r="AE474" i="63" s="1"/>
  <c r="BC474" i="63"/>
  <c r="S475" i="63"/>
  <c r="AR475" i="63"/>
  <c r="AS475" i="63" s="1"/>
  <c r="H390" i="63"/>
  <c r="I390" i="63" s="1"/>
  <c r="I480" i="63"/>
  <c r="G479" i="63"/>
  <c r="G445" i="63"/>
  <c r="I445" i="63" s="1"/>
  <c r="Q480" i="63"/>
  <c r="Q446" i="63"/>
  <c r="BC480" i="63"/>
  <c r="BC446" i="63"/>
  <c r="BN481" i="63"/>
  <c r="BL480" i="63"/>
  <c r="BL446" i="63"/>
  <c r="BN446" i="63" s="1"/>
  <c r="P482" i="63"/>
  <c r="AJ482" i="63"/>
  <c r="AW447" i="63"/>
  <c r="AY447" i="63" s="1"/>
  <c r="BB482" i="63"/>
  <c r="BH482" i="63"/>
  <c r="BF480" i="63"/>
  <c r="T483" i="63"/>
  <c r="Z483" i="63" s="1"/>
  <c r="P483" i="63"/>
  <c r="N448" i="63"/>
  <c r="P448" i="63" s="1"/>
  <c r="K483" i="63"/>
  <c r="U483" i="63"/>
  <c r="BB483" i="63"/>
  <c r="AZ448" i="63"/>
  <c r="BB448" i="63" s="1"/>
  <c r="BP448" i="63"/>
  <c r="BQ448" i="63" s="1"/>
  <c r="BQ483" i="63"/>
  <c r="AV484" i="63"/>
  <c r="AT449" i="63"/>
  <c r="AV449" i="63" s="1"/>
  <c r="BN484" i="63"/>
  <c r="V485" i="63"/>
  <c r="R486" i="63"/>
  <c r="AZ486" i="63"/>
  <c r="BP486" i="63"/>
  <c r="AV487" i="63"/>
  <c r="AT486" i="63"/>
  <c r="AV486" i="63" s="1"/>
  <c r="BJ486" i="63"/>
  <c r="BK487" i="63"/>
  <c r="L488" i="63"/>
  <c r="R453" i="63"/>
  <c r="S453" i="63" s="1"/>
  <c r="S488" i="63"/>
  <c r="U488" i="63"/>
  <c r="AC453" i="63"/>
  <c r="AP488" i="63"/>
  <c r="AN453" i="63"/>
  <c r="AP453" i="63" s="1"/>
  <c r="AN486" i="63"/>
  <c r="BD453" i="63"/>
  <c r="BE453" i="63" s="1"/>
  <c r="BE488" i="63"/>
  <c r="BD486" i="63"/>
  <c r="AD455" i="63"/>
  <c r="AE490" i="63"/>
  <c r="AR455" i="63"/>
  <c r="AS455" i="63" s="1"/>
  <c r="AS490" i="63"/>
  <c r="BG455" i="63"/>
  <c r="BH455" i="63" s="1"/>
  <c r="BH490" i="63"/>
  <c r="BG486" i="63"/>
  <c r="R458" i="63"/>
  <c r="S458" i="63" s="1"/>
  <c r="R492" i="63"/>
  <c r="AA494" i="63"/>
  <c r="S495" i="63"/>
  <c r="BB495" i="63"/>
  <c r="BA460" i="63"/>
  <c r="BB460" i="63" s="1"/>
  <c r="BF498" i="63"/>
  <c r="L499" i="63"/>
  <c r="R498" i="63"/>
  <c r="S499" i="63"/>
  <c r="R466" i="63"/>
  <c r="Q468" i="63"/>
  <c r="AD468" i="63"/>
  <c r="AS501" i="63"/>
  <c r="AR468" i="63"/>
  <c r="AS468" i="63" s="1"/>
  <c r="BH501" i="63"/>
  <c r="BG468" i="63"/>
  <c r="BH468" i="63" s="1"/>
  <c r="AO469" i="63"/>
  <c r="AP469" i="63" s="1"/>
  <c r="AP502" i="63"/>
  <c r="BD504" i="63"/>
  <c r="AI504" i="63"/>
  <c r="AI472" i="63"/>
  <c r="AX472" i="63"/>
  <c r="AY472" i="63" s="1"/>
  <c r="AX504" i="63"/>
  <c r="AY505" i="63"/>
  <c r="AE506" i="63"/>
  <c r="AD473" i="63"/>
  <c r="AE473" i="63" s="1"/>
  <c r="AA507" i="63"/>
  <c r="S508" i="63"/>
  <c r="R504" i="63"/>
  <c r="AR513" i="63"/>
  <c r="AA514" i="63"/>
  <c r="AI513" i="63"/>
  <c r="AJ514" i="63"/>
  <c r="AX513" i="63"/>
  <c r="AX446" i="63"/>
  <c r="AY446" i="63" s="1"/>
  <c r="BG513" i="63"/>
  <c r="BH514" i="63"/>
  <c r="Y515" i="63"/>
  <c r="W447" i="63"/>
  <c r="AP517" i="63"/>
  <c r="BD449" i="63"/>
  <c r="BE449" i="63" s="1"/>
  <c r="BE517" i="63"/>
  <c r="BD513" i="63"/>
  <c r="AE519" i="63"/>
  <c r="Z520" i="63"/>
  <c r="AO519" i="63"/>
  <c r="AO512" i="63" s="1"/>
  <c r="AP520" i="63"/>
  <c r="AO452" i="63"/>
  <c r="AP452" i="63" s="1"/>
  <c r="T521" i="63"/>
  <c r="P521" i="63"/>
  <c r="K521" i="63"/>
  <c r="AS521" i="63"/>
  <c r="AR519" i="63"/>
  <c r="AS519" i="63" s="1"/>
  <c r="AP522" i="63"/>
  <c r="AV522" i="63"/>
  <c r="AT454" i="63"/>
  <c r="AV454" i="63" s="1"/>
  <c r="BN522" i="63"/>
  <c r="U526" i="63"/>
  <c r="O525" i="63"/>
  <c r="P526" i="63"/>
  <c r="L526" i="63"/>
  <c r="AR525" i="63"/>
  <c r="AS526" i="63"/>
  <c r="AA527" i="63"/>
  <c r="O531" i="63"/>
  <c r="AO531" i="63"/>
  <c r="BN532" i="63"/>
  <c r="BL531" i="63"/>
  <c r="BN531" i="63" s="1"/>
  <c r="AJ533" i="63"/>
  <c r="AH531" i="63"/>
  <c r="AJ531" i="63" s="1"/>
  <c r="BB533" i="63"/>
  <c r="BH533" i="63"/>
  <c r="BF531" i="63"/>
  <c r="T534" i="63"/>
  <c r="Z534" i="63" s="1"/>
  <c r="P534" i="63"/>
  <c r="K534" i="63"/>
  <c r="U534" i="63"/>
  <c r="AY535" i="63"/>
  <c r="AX531" i="63"/>
  <c r="AY531" i="63" s="1"/>
  <c r="P537" i="63"/>
  <c r="BQ538" i="63"/>
  <c r="BO537" i="63"/>
  <c r="BQ537" i="63" s="1"/>
  <c r="U539" i="63"/>
  <c r="P539" i="63"/>
  <c r="L539" i="63"/>
  <c r="AS539" i="63"/>
  <c r="AR537" i="63"/>
  <c r="AR473" i="63"/>
  <c r="AS473" i="63" s="1"/>
  <c r="P548" i="63"/>
  <c r="L548" i="63"/>
  <c r="U548" i="63"/>
  <c r="O546" i="63"/>
  <c r="AI552" i="63"/>
  <c r="AA560" i="63"/>
  <c r="BH560" i="63"/>
  <c r="BG558" i="63"/>
  <c r="BH558" i="63" s="1"/>
  <c r="T572" i="63"/>
  <c r="Z572" i="63" s="1"/>
  <c r="K572" i="63"/>
  <c r="AZ578" i="63"/>
  <c r="AM583" i="63"/>
  <c r="AK579" i="63"/>
  <c r="I585" i="63"/>
  <c r="AQ591" i="63"/>
  <c r="AS591" i="63" s="1"/>
  <c r="S593" i="63"/>
  <c r="K593" i="63"/>
  <c r="T593" i="63"/>
  <c r="Z593" i="63" s="1"/>
  <c r="Q591" i="63"/>
  <c r="L593" i="63"/>
  <c r="X591" i="63"/>
  <c r="Y593" i="63"/>
  <c r="BE593" i="63"/>
  <c r="BC591" i="63"/>
  <c r="Y595" i="63"/>
  <c r="AE598" i="63"/>
  <c r="AD597" i="63"/>
  <c r="AE597" i="63" s="1"/>
  <c r="AU597" i="63"/>
  <c r="AV597" i="63" s="1"/>
  <c r="AV598" i="63"/>
  <c r="W603" i="63"/>
  <c r="T605" i="63"/>
  <c r="Z605" i="63" s="1"/>
  <c r="K605" i="63"/>
  <c r="AM605" i="63"/>
  <c r="AK603" i="63"/>
  <c r="BB605" i="63"/>
  <c r="BA603" i="63"/>
  <c r="BB603" i="63" s="1"/>
  <c r="BQ605" i="63"/>
  <c r="BP603" i="63"/>
  <c r="BP473" i="63"/>
  <c r="BQ473" i="63" s="1"/>
  <c r="X612" i="63"/>
  <c r="L613" i="63"/>
  <c r="Y613" i="63"/>
  <c r="BH615" i="63"/>
  <c r="BN620" i="63"/>
  <c r="BL618" i="63"/>
  <c r="BL611" i="63" s="1"/>
  <c r="T627" i="63"/>
  <c r="Z627" i="63" s="1"/>
  <c r="K627" i="63"/>
  <c r="BM630" i="63"/>
  <c r="BQ633" i="63"/>
  <c r="BH637" i="63"/>
  <c r="BG636" i="63"/>
  <c r="BG644" i="63"/>
  <c r="BJ646" i="63"/>
  <c r="BK646" i="63" s="1"/>
  <c r="X642" i="63"/>
  <c r="L658" i="63"/>
  <c r="S658" i="63"/>
  <c r="U658" i="63"/>
  <c r="Y670" i="63"/>
  <c r="K670" i="63"/>
  <c r="K409" i="63" s="1"/>
  <c r="V671" i="63"/>
  <c r="AA671" i="63"/>
  <c r="BB672" i="63"/>
  <c r="BA666" i="63"/>
  <c r="Z412" i="63"/>
  <c r="U676" i="63"/>
  <c r="L676" i="63"/>
  <c r="O674" i="63"/>
  <c r="AM676" i="63"/>
  <c r="AL674" i="63"/>
  <c r="AM674" i="63" s="1"/>
  <c r="AL644" i="63"/>
  <c r="BK676" i="63"/>
  <c r="BJ644" i="63"/>
  <c r="BJ674" i="63"/>
  <c r="K416" i="63"/>
  <c r="Z421" i="63"/>
  <c r="AB421" i="63" s="1"/>
  <c r="AB685" i="63"/>
  <c r="M423" i="63"/>
  <c r="Z423" i="63"/>
  <c r="Z425" i="63"/>
  <c r="U712" i="63"/>
  <c r="L712" i="63"/>
  <c r="AN713" i="63"/>
  <c r="BA709" i="63"/>
  <c r="AA737" i="63"/>
  <c r="AL759" i="63"/>
  <c r="BH775" i="63"/>
  <c r="BD770" i="63"/>
  <c r="V785" i="63"/>
  <c r="Z785" i="63"/>
  <c r="BF782" i="63"/>
  <c r="BH782" i="63" s="1"/>
  <c r="BH785" i="63"/>
  <c r="AO798" i="63"/>
  <c r="AP799" i="63"/>
  <c r="U831" i="63"/>
  <c r="P831" i="63"/>
  <c r="L831" i="63"/>
  <c r="O861" i="63"/>
  <c r="BK835" i="63"/>
  <c r="BI863" i="63"/>
  <c r="BN839" i="63"/>
  <c r="BM836" i="63"/>
  <c r="BM834" i="63"/>
  <c r="BN834" i="63" s="1"/>
  <c r="BM867" i="63"/>
  <c r="M843" i="63"/>
  <c r="K871" i="63"/>
  <c r="U877" i="63"/>
  <c r="V851" i="63"/>
  <c r="AA851" i="63"/>
  <c r="Y889" i="63"/>
  <c r="L889" i="63"/>
  <c r="M889" i="63" s="1"/>
  <c r="BJ990" i="63"/>
  <c r="BK990" i="63" s="1"/>
  <c r="BJ1068" i="63"/>
  <c r="BK1068" i="63" s="1"/>
  <c r="BK1016" i="63"/>
  <c r="AY1081" i="63"/>
  <c r="Y1098" i="63"/>
  <c r="X1082" i="63"/>
  <c r="L1098" i="63"/>
  <c r="BC777" i="63"/>
  <c r="AZ777" i="63"/>
  <c r="BF777" i="63"/>
  <c r="L14" i="63"/>
  <c r="M14" i="63" s="1"/>
  <c r="Z22" i="63"/>
  <c r="Z51" i="63" s="1"/>
  <c r="Z24" i="63"/>
  <c r="Z53" i="63" s="1"/>
  <c r="G43" i="63"/>
  <c r="X43" i="63"/>
  <c r="Y43" i="63" s="1"/>
  <c r="AH43" i="63"/>
  <c r="AX43" i="63"/>
  <c r="AY43" i="63" s="1"/>
  <c r="BJ43" i="63"/>
  <c r="L49" i="63"/>
  <c r="M49" i="63" s="1"/>
  <c r="L51" i="63"/>
  <c r="M51" i="63" s="1"/>
  <c r="AD60" i="63"/>
  <c r="AE60" i="63" s="1"/>
  <c r="AS70" i="63"/>
  <c r="BQ70" i="63"/>
  <c r="I75" i="63"/>
  <c r="G71" i="63"/>
  <c r="AV75" i="63"/>
  <c r="AT71" i="63"/>
  <c r="AB89" i="63"/>
  <c r="AA57" i="63"/>
  <c r="AB57" i="63" s="1"/>
  <c r="M91" i="63"/>
  <c r="K59" i="63"/>
  <c r="M59" i="63" s="1"/>
  <c r="AA62" i="63"/>
  <c r="AB62" i="63" s="1"/>
  <c r="AB94" i="63"/>
  <c r="AQ102" i="63"/>
  <c r="L118" i="63"/>
  <c r="S118" i="63"/>
  <c r="L122" i="63"/>
  <c r="R386" i="63"/>
  <c r="S122" i="63"/>
  <c r="AA124" i="63"/>
  <c r="AA126" i="63"/>
  <c r="AB126" i="63" s="1"/>
  <c r="V126" i="63"/>
  <c r="AA128" i="63"/>
  <c r="S129" i="63"/>
  <c r="U129" i="63"/>
  <c r="AC502" i="63"/>
  <c r="AE162" i="63"/>
  <c r="U173" i="63"/>
  <c r="P173" i="63"/>
  <c r="L173" i="63"/>
  <c r="AV179" i="63"/>
  <c r="AU170" i="63"/>
  <c r="AU111" i="63"/>
  <c r="AA188" i="63"/>
  <c r="S245" i="63"/>
  <c r="K245" i="63"/>
  <c r="T245" i="63"/>
  <c r="Z245" i="63" s="1"/>
  <c r="AB259" i="63"/>
  <c r="V268" i="63"/>
  <c r="Z268" i="63"/>
  <c r="U272" i="63"/>
  <c r="V272" i="63" s="1"/>
  <c r="P272" i="63"/>
  <c r="L272" i="63"/>
  <c r="M272" i="63" s="1"/>
  <c r="V282" i="63"/>
  <c r="AA282" i="63"/>
  <c r="AB282" i="63" s="1"/>
  <c r="I290" i="63"/>
  <c r="H125" i="63"/>
  <c r="AA306" i="63"/>
  <c r="AB306" i="63" s="1"/>
  <c r="V306" i="63"/>
  <c r="AA310" i="63"/>
  <c r="AB310" i="63" s="1"/>
  <c r="V310" i="63"/>
  <c r="T318" i="63"/>
  <c r="Z318" i="63" s="1"/>
  <c r="N302" i="63"/>
  <c r="K318" i="63"/>
  <c r="BP302" i="63"/>
  <c r="BQ318" i="63"/>
  <c r="AB323" i="63"/>
  <c r="AA403" i="63"/>
  <c r="BE326" i="63"/>
  <c r="BC302" i="63"/>
  <c r="BE302" i="63" s="1"/>
  <c r="U334" i="63"/>
  <c r="P334" i="63"/>
  <c r="L334" i="63"/>
  <c r="M334" i="63" s="1"/>
  <c r="V341" i="63"/>
  <c r="AA341" i="63"/>
  <c r="AM342" i="63"/>
  <c r="AL302" i="63"/>
  <c r="V351" i="63"/>
  <c r="AA351" i="63"/>
  <c r="AB351" i="63" s="1"/>
  <c r="BH380" i="63"/>
  <c r="H388" i="63"/>
  <c r="I388" i="63" s="1"/>
  <c r="AO386" i="63"/>
  <c r="AP462" i="63"/>
  <c r="L470" i="63"/>
  <c r="S470" i="63"/>
  <c r="R464" i="63"/>
  <c r="S464" i="63" s="1"/>
  <c r="R388" i="63"/>
  <c r="U470" i="63"/>
  <c r="I471" i="63"/>
  <c r="H389" i="63"/>
  <c r="U476" i="63"/>
  <c r="O464" i="63"/>
  <c r="O390" i="63"/>
  <c r="P476" i="63"/>
  <c r="L476" i="63"/>
  <c r="AY476" i="63"/>
  <c r="AW464" i="63"/>
  <c r="AW390" i="63"/>
  <c r="AU480" i="63"/>
  <c r="AU446" i="63"/>
  <c r="AV446" i="63" s="1"/>
  <c r="AV481" i="63"/>
  <c r="M484" i="63"/>
  <c r="BD458" i="63"/>
  <c r="BE458" i="63" s="1"/>
  <c r="BD492" i="63"/>
  <c r="BM492" i="63"/>
  <c r="BN493" i="63"/>
  <c r="BM458" i="63"/>
  <c r="AE494" i="63"/>
  <c r="AC459" i="63"/>
  <c r="AE459" i="63" s="1"/>
  <c r="AS496" i="63"/>
  <c r="AQ461" i="63"/>
  <c r="AS461" i="63" s="1"/>
  <c r="AQ492" i="63"/>
  <c r="BH496" i="63"/>
  <c r="BG461" i="63"/>
  <c r="BG492" i="63"/>
  <c r="AU498" i="63"/>
  <c r="AU466" i="63"/>
  <c r="AV466" i="63" s="1"/>
  <c r="BD498" i="63"/>
  <c r="BE499" i="63"/>
  <c r="BD466" i="63"/>
  <c r="BE466" i="63" s="1"/>
  <c r="O469" i="63"/>
  <c r="U502" i="63"/>
  <c r="BF472" i="63"/>
  <c r="BF504" i="63"/>
  <c r="U506" i="63"/>
  <c r="P506" i="63"/>
  <c r="L506" i="63"/>
  <c r="O473" i="63"/>
  <c r="BQ508" i="63"/>
  <c r="BP504" i="63"/>
  <c r="BP475" i="63"/>
  <c r="BQ475" i="63" s="1"/>
  <c r="BK516" i="63"/>
  <c r="BJ448" i="63"/>
  <c r="BK448" i="63" s="1"/>
  <c r="H512" i="63"/>
  <c r="I519" i="63"/>
  <c r="AW519" i="63"/>
  <c r="AW452" i="63"/>
  <c r="BH520" i="63"/>
  <c r="BF519" i="63"/>
  <c r="BF452" i="63"/>
  <c r="BH452" i="63" s="1"/>
  <c r="BK526" i="63"/>
  <c r="BI525" i="63"/>
  <c r="S527" i="63"/>
  <c r="T527" i="63"/>
  <c r="AD531" i="63"/>
  <c r="AE531" i="63" s="1"/>
  <c r="AE532" i="63"/>
  <c r="M535" i="63"/>
  <c r="AI537" i="63"/>
  <c r="AJ537" i="63" s="1"/>
  <c r="AJ538" i="63"/>
  <c r="S540" i="63"/>
  <c r="U540" i="63"/>
  <c r="L540" i="63"/>
  <c r="R537" i="63"/>
  <c r="R474" i="63"/>
  <c r="AJ547" i="63"/>
  <c r="AI546" i="63"/>
  <c r="BD546" i="63"/>
  <c r="BE550" i="63"/>
  <c r="BH568" i="63"/>
  <c r="BF564" i="63"/>
  <c r="AE580" i="63"/>
  <c r="AC579" i="63"/>
  <c r="AV580" i="63"/>
  <c r="AU579" i="63"/>
  <c r="BJ579" i="63"/>
  <c r="BK580" i="63"/>
  <c r="Y581" i="63"/>
  <c r="W579" i="63"/>
  <c r="AV586" i="63"/>
  <c r="AT585" i="63"/>
  <c r="AE589" i="63"/>
  <c r="AD585" i="63"/>
  <c r="AM612" i="63"/>
  <c r="AV613" i="63"/>
  <c r="AU612" i="63"/>
  <c r="AR612" i="63"/>
  <c r="AS616" i="63"/>
  <c r="K622" i="63"/>
  <c r="T622" i="63"/>
  <c r="Z622" i="63" s="1"/>
  <c r="P622" i="63"/>
  <c r="N618" i="63"/>
  <c r="AD624" i="63"/>
  <c r="AE624" i="63" s="1"/>
  <c r="AE625" i="63"/>
  <c r="BN627" i="63"/>
  <c r="BM460" i="63"/>
  <c r="BN460" i="63" s="1"/>
  <c r="V628" i="63"/>
  <c r="AA628" i="63"/>
  <c r="AB628" i="63" s="1"/>
  <c r="AJ628" i="63"/>
  <c r="AI624" i="63"/>
  <c r="AY628" i="63"/>
  <c r="AX624" i="63"/>
  <c r="Y634" i="63"/>
  <c r="X630" i="63"/>
  <c r="Y630" i="63" s="1"/>
  <c r="X469" i="63"/>
  <c r="L634" i="63"/>
  <c r="M634" i="63" s="1"/>
  <c r="BD636" i="63"/>
  <c r="BE640" i="63"/>
  <c r="S652" i="63"/>
  <c r="K652" i="63"/>
  <c r="Q650" i="63"/>
  <c r="Q644" i="63"/>
  <c r="T644" i="63" s="1"/>
  <c r="T652" i="63"/>
  <c r="Z652" i="63" s="1"/>
  <c r="Z393" i="63" s="1"/>
  <c r="AV654" i="63"/>
  <c r="AU646" i="63"/>
  <c r="AV646" i="63" s="1"/>
  <c r="AA781" i="63"/>
  <c r="T794" i="63"/>
  <c r="Z794" i="63" s="1"/>
  <c r="P794" i="63"/>
  <c r="K794" i="63"/>
  <c r="BK892" i="63"/>
  <c r="BJ864" i="63"/>
  <c r="BJ885" i="63"/>
  <c r="AY937" i="63"/>
  <c r="AX921" i="63"/>
  <c r="AY921" i="63" s="1"/>
  <c r="S922" i="63"/>
  <c r="T922" i="63"/>
  <c r="Z922" i="63" s="1"/>
  <c r="AA992" i="63"/>
  <c r="AB992" i="63" s="1"/>
  <c r="V992" i="63"/>
  <c r="AW777" i="63"/>
  <c r="AQ777" i="63"/>
  <c r="AT777" i="63"/>
  <c r="BL776" i="63"/>
  <c r="BO776" i="63"/>
  <c r="BI776" i="63"/>
  <c r="AA13" i="63"/>
  <c r="AB13" i="63" s="1"/>
  <c r="AA22" i="63"/>
  <c r="AB22" i="63" s="1"/>
  <c r="AA26" i="63"/>
  <c r="Y29" i="63"/>
  <c r="AA32" i="63"/>
  <c r="AB32" i="63" s="1"/>
  <c r="H43" i="63"/>
  <c r="I43" i="63" s="1"/>
  <c r="AC43" i="63"/>
  <c r="AU43" i="63"/>
  <c r="AV43" i="63" s="1"/>
  <c r="BC43" i="63"/>
  <c r="AS57" i="63"/>
  <c r="M72" i="63"/>
  <c r="U75" i="63"/>
  <c r="O71" i="63"/>
  <c r="AM75" i="63"/>
  <c r="AL71" i="63"/>
  <c r="BK75" i="63"/>
  <c r="BJ71" i="63"/>
  <c r="V81" i="63"/>
  <c r="Z93" i="63"/>
  <c r="Z61" i="63" s="1"/>
  <c r="T61" i="63"/>
  <c r="V61" i="63" s="1"/>
  <c r="R103" i="63"/>
  <c r="L103" i="63" s="1"/>
  <c r="H102" i="63"/>
  <c r="BQ111" i="63"/>
  <c r="BP102" i="63"/>
  <c r="BN112" i="63"/>
  <c r="BQ113" i="63"/>
  <c r="BN114" i="63"/>
  <c r="AC103" i="63"/>
  <c r="AC380" i="63"/>
  <c r="BD380" i="63"/>
  <c r="BE116" i="63"/>
  <c r="T118" i="63"/>
  <c r="Z118" i="63" s="1"/>
  <c r="K118" i="63"/>
  <c r="T122" i="63"/>
  <c r="Z122" i="63" s="1"/>
  <c r="Z386" i="63" s="1"/>
  <c r="P122" i="63"/>
  <c r="N386" i="63"/>
  <c r="K122" i="63"/>
  <c r="K386" i="63" s="1"/>
  <c r="U122" i="63"/>
  <c r="BD386" i="63"/>
  <c r="BE386" i="63" s="1"/>
  <c r="BE122" i="63"/>
  <c r="R123" i="63"/>
  <c r="BP123" i="63"/>
  <c r="BQ128" i="63"/>
  <c r="T130" i="63"/>
  <c r="Z130" i="63" s="1"/>
  <c r="AB130" i="63" s="1"/>
  <c r="K130" i="63"/>
  <c r="BH130" i="63"/>
  <c r="BG124" i="63"/>
  <c r="BH124" i="63" s="1"/>
  <c r="U131" i="63"/>
  <c r="AE135" i="63"/>
  <c r="AP135" i="63"/>
  <c r="T136" i="63"/>
  <c r="Z136" i="63" s="1"/>
  <c r="AB136" i="63" s="1"/>
  <c r="K136" i="63"/>
  <c r="BG390" i="63"/>
  <c r="BH390" i="63" s="1"/>
  <c r="BH136" i="63"/>
  <c r="BL100" i="63"/>
  <c r="BH140" i="63"/>
  <c r="BF105" i="63"/>
  <c r="BH105" i="63" s="1"/>
  <c r="U152" i="63"/>
  <c r="AA155" i="63"/>
  <c r="BB158" i="63"/>
  <c r="BA125" i="63"/>
  <c r="AL170" i="63"/>
  <c r="AM170" i="63" s="1"/>
  <c r="AE185" i="63"/>
  <c r="M194" i="63"/>
  <c r="AJ197" i="63"/>
  <c r="AA202" i="63"/>
  <c r="AB202" i="63" s="1"/>
  <c r="S206" i="63"/>
  <c r="AJ212" i="63"/>
  <c r="AI203" i="63"/>
  <c r="AB216" i="63"/>
  <c r="S224" i="63"/>
  <c r="K224" i="63"/>
  <c r="M224" i="63" s="1"/>
  <c r="T224" i="63"/>
  <c r="Z224" i="63" s="1"/>
  <c r="T239" i="63"/>
  <c r="K239" i="63"/>
  <c r="Z239" i="63"/>
  <c r="BK245" i="63"/>
  <c r="BJ236" i="63"/>
  <c r="BK236" i="63" s="1"/>
  <c r="AJ251" i="63"/>
  <c r="AS251" i="63"/>
  <c r="S257" i="63"/>
  <c r="K257" i="63"/>
  <c r="T257" i="63"/>
  <c r="Z257" i="63" s="1"/>
  <c r="BH263" i="63"/>
  <c r="Q269" i="63"/>
  <c r="X269" i="63"/>
  <c r="AL269" i="63"/>
  <c r="AM269" i="63" s="1"/>
  <c r="V273" i="63"/>
  <c r="Y278" i="63"/>
  <c r="V284" i="63"/>
  <c r="AM290" i="63"/>
  <c r="AY296" i="63"/>
  <c r="AB300" i="63"/>
  <c r="M301" i="63"/>
  <c r="AA303" i="63"/>
  <c r="I305" i="63"/>
  <c r="S308" i="63"/>
  <c r="K308" i="63"/>
  <c r="T308" i="63"/>
  <c r="Z308" i="63" s="1"/>
  <c r="I309" i="63"/>
  <c r="U318" i="63"/>
  <c r="O302" i="63"/>
  <c r="P318" i="63"/>
  <c r="L318" i="63"/>
  <c r="M318" i="63" s="1"/>
  <c r="AR302" i="63"/>
  <c r="AS302" i="63" s="1"/>
  <c r="AS318" i="63"/>
  <c r="AA326" i="63"/>
  <c r="AB355" i="63"/>
  <c r="V357" i="63"/>
  <c r="V370" i="63"/>
  <c r="I400" i="63"/>
  <c r="M412" i="63"/>
  <c r="AA426" i="63"/>
  <c r="AB426" i="63" s="1"/>
  <c r="P441" i="63"/>
  <c r="BA447" i="63"/>
  <c r="AJ450" i="63"/>
  <c r="AH374" i="63"/>
  <c r="AJ374" i="63" s="1"/>
  <c r="AH443" i="63"/>
  <c r="AJ443" i="63" s="1"/>
  <c r="Y453" i="63"/>
  <c r="BB455" i="63"/>
  <c r="AY456" i="63"/>
  <c r="AX380" i="63"/>
  <c r="AY380" i="63" s="1"/>
  <c r="O458" i="63"/>
  <c r="X461" i="63"/>
  <c r="AV467" i="63"/>
  <c r="AE470" i="63"/>
  <c r="AD464" i="63"/>
  <c r="AD388" i="63"/>
  <c r="BQ474" i="63"/>
  <c r="BN480" i="63"/>
  <c r="BM479" i="63"/>
  <c r="AM482" i="63"/>
  <c r="AL447" i="63"/>
  <c r="AM447" i="63" s="1"/>
  <c r="BK482" i="63"/>
  <c r="BJ447" i="63"/>
  <c r="BK447" i="63" s="1"/>
  <c r="AO449" i="63"/>
  <c r="AP449" i="63" s="1"/>
  <c r="AY484" i="63"/>
  <c r="AX480" i="63"/>
  <c r="U487" i="63"/>
  <c r="O486" i="63"/>
  <c r="P487" i="63"/>
  <c r="L487" i="63"/>
  <c r="BN488" i="63"/>
  <c r="BL453" i="63"/>
  <c r="BN453" i="63" s="1"/>
  <c r="BL486" i="63"/>
  <c r="BN486" i="63" s="1"/>
  <c r="BB489" i="63"/>
  <c r="U490" i="63"/>
  <c r="AM493" i="63"/>
  <c r="AK492" i="63"/>
  <c r="BE493" i="63"/>
  <c r="AM494" i="63"/>
  <c r="AL492" i="63"/>
  <c r="BO498" i="63"/>
  <c r="AM500" i="63"/>
  <c r="AL467" i="63"/>
  <c r="AM467" i="63" s="1"/>
  <c r="AL498" i="63"/>
  <c r="BB501" i="63"/>
  <c r="AZ468" i="63"/>
  <c r="BB468" i="63" s="1"/>
  <c r="BQ501" i="63"/>
  <c r="BP468" i="63"/>
  <c r="BQ468" i="63" s="1"/>
  <c r="BM469" i="63"/>
  <c r="BN469" i="63" s="1"/>
  <c r="BN502" i="63"/>
  <c r="O504" i="63"/>
  <c r="AW504" i="63"/>
  <c r="AS505" i="63"/>
  <c r="AQ504" i="63"/>
  <c r="BG504" i="63"/>
  <c r="BH505" i="63"/>
  <c r="BG472" i="63"/>
  <c r="AD475" i="63"/>
  <c r="AE475" i="63" s="1"/>
  <c r="U515" i="63"/>
  <c r="P515" i="63"/>
  <c r="L515" i="63"/>
  <c r="AN447" i="63"/>
  <c r="AP447" i="63" s="1"/>
  <c r="AN513" i="63"/>
  <c r="AN512" i="63" s="1"/>
  <c r="BQ515" i="63"/>
  <c r="AM516" i="63"/>
  <c r="AL448" i="63"/>
  <c r="AM448" i="63" s="1"/>
  <c r="BN517" i="63"/>
  <c r="AJ520" i="63"/>
  <c r="AH519" i="63"/>
  <c r="AH452" i="63"/>
  <c r="AJ452" i="63" s="1"/>
  <c r="AX519" i="63"/>
  <c r="AY520" i="63"/>
  <c r="AX452" i="63"/>
  <c r="AY452" i="63" s="1"/>
  <c r="BB521" i="63"/>
  <c r="AZ519" i="63"/>
  <c r="AZ512" i="63" s="1"/>
  <c r="BQ521" i="63"/>
  <c r="BP519" i="63"/>
  <c r="BQ519" i="63" s="1"/>
  <c r="AJ523" i="63"/>
  <c r="I525" i="63"/>
  <c r="BH525" i="63"/>
  <c r="AM526" i="63"/>
  <c r="AK525" i="63"/>
  <c r="AM527" i="63"/>
  <c r="AL525" i="63"/>
  <c r="S529" i="63"/>
  <c r="K529" i="63"/>
  <c r="M529" i="63" s="1"/>
  <c r="T529" i="63"/>
  <c r="Z529" i="63" s="1"/>
  <c r="U533" i="63"/>
  <c r="L533" i="63"/>
  <c r="M533" i="63" s="1"/>
  <c r="AD537" i="63"/>
  <c r="AM539" i="63"/>
  <c r="AK537" i="63"/>
  <c r="AM537" i="63" s="1"/>
  <c r="BB539" i="63"/>
  <c r="BA537" i="63"/>
  <c r="BB537" i="63" s="1"/>
  <c r="K540" i="63"/>
  <c r="P540" i="63"/>
  <c r="T540" i="63"/>
  <c r="Z540" i="63" s="1"/>
  <c r="AP540" i="63"/>
  <c r="AN474" i="63"/>
  <c r="AP474" i="63" s="1"/>
  <c r="V542" i="63"/>
  <c r="AA542" i="63"/>
  <c r="AB542" i="63" s="1"/>
  <c r="R545" i="63"/>
  <c r="W552" i="63"/>
  <c r="W545" i="63" s="1"/>
  <c r="AP572" i="63"/>
  <c r="AO570" i="63"/>
  <c r="AB575" i="63"/>
  <c r="BP578" i="63"/>
  <c r="BN587" i="63"/>
  <c r="BL585" i="63"/>
  <c r="BN585" i="63" s="1"/>
  <c r="AP594" i="63"/>
  <c r="AO460" i="63"/>
  <c r="BA597" i="63"/>
  <c r="BB599" i="63"/>
  <c r="V602" i="63"/>
  <c r="AA602" i="63"/>
  <c r="AB602" i="63" s="1"/>
  <c r="AH612" i="63"/>
  <c r="AH446" i="63"/>
  <c r="AS613" i="63"/>
  <c r="AQ612" i="63"/>
  <c r="AQ611" i="63" s="1"/>
  <c r="BK613" i="63"/>
  <c r="T614" i="63"/>
  <c r="Z614" i="63" s="1"/>
  <c r="N612" i="63"/>
  <c r="P616" i="63"/>
  <c r="L616" i="63"/>
  <c r="U616" i="63"/>
  <c r="O612" i="63"/>
  <c r="O449" i="63"/>
  <c r="K631" i="63"/>
  <c r="T631" i="63"/>
  <c r="Z631" i="63" s="1"/>
  <c r="P631" i="63"/>
  <c r="N630" i="63"/>
  <c r="BM644" i="63"/>
  <c r="BN644" i="63" s="1"/>
  <c r="BN652" i="63"/>
  <c r="BM650" i="63"/>
  <c r="K654" i="63"/>
  <c r="K395" i="63" s="1"/>
  <c r="N642" i="63"/>
  <c r="AE718" i="63"/>
  <c r="W721" i="63"/>
  <c r="Y721" i="63" s="1"/>
  <c r="Y723" i="63"/>
  <c r="K723" i="63"/>
  <c r="J723" i="63" s="1"/>
  <c r="J721" i="63" s="1"/>
  <c r="I790" i="63"/>
  <c r="G770" i="63"/>
  <c r="AX798" i="63"/>
  <c r="AY799" i="63"/>
  <c r="K816" i="63"/>
  <c r="M816" i="63" s="1"/>
  <c r="AY829" i="63"/>
  <c r="AW859" i="63"/>
  <c r="AR861" i="63"/>
  <c r="AS861" i="63" s="1"/>
  <c r="AS831" i="63"/>
  <c r="AO863" i="63"/>
  <c r="BM915" i="63"/>
  <c r="BQ936" i="63"/>
  <c r="BO920" i="63"/>
  <c r="BQ920" i="63" s="1"/>
  <c r="L1047" i="63"/>
  <c r="M1047" i="63" s="1"/>
  <c r="M969" i="63"/>
  <c r="Y990" i="63"/>
  <c r="L990" i="63"/>
  <c r="M990" i="63" s="1"/>
  <c r="BQ1133" i="63"/>
  <c r="BP1051" i="63"/>
  <c r="M1349" i="63"/>
  <c r="K1331" i="63"/>
  <c r="AB1349" i="63"/>
  <c r="AP1350" i="63"/>
  <c r="AO1332" i="63"/>
  <c r="P10" i="63"/>
  <c r="AP10" i="63"/>
  <c r="AT776" i="63"/>
  <c r="AQ776" i="63"/>
  <c r="BO777" i="63"/>
  <c r="BI777" i="63"/>
  <c r="BL777" i="63"/>
  <c r="O29" i="63"/>
  <c r="AK29" i="63"/>
  <c r="AM29" i="63" s="1"/>
  <c r="AO29" i="63"/>
  <c r="AP29" i="63" s="1"/>
  <c r="BI29" i="63"/>
  <c r="BK29" i="63" s="1"/>
  <c r="BM29" i="63"/>
  <c r="BN29" i="63" s="1"/>
  <c r="M30" i="63"/>
  <c r="AA30" i="63"/>
  <c r="Y31" i="63"/>
  <c r="AM31" i="63"/>
  <c r="AY31" i="63"/>
  <c r="BK31" i="63"/>
  <c r="M33" i="63"/>
  <c r="M35" i="63"/>
  <c r="AK39" i="63"/>
  <c r="BA39" i="63"/>
  <c r="BB39" i="63" s="1"/>
  <c r="BI39" i="63"/>
  <c r="AA40" i="63"/>
  <c r="O43" i="63"/>
  <c r="P43" i="63" s="1"/>
  <c r="AK43" i="63"/>
  <c r="AM43" i="63" s="1"/>
  <c r="BA43" i="63"/>
  <c r="BB43" i="63" s="1"/>
  <c r="BI43" i="63"/>
  <c r="S56" i="63"/>
  <c r="BE56" i="63"/>
  <c r="BQ57" i="63"/>
  <c r="Z72" i="63"/>
  <c r="AB72" i="63" s="1"/>
  <c r="L75" i="63"/>
  <c r="AP71" i="63"/>
  <c r="AY75" i="63"/>
  <c r="AX71" i="63"/>
  <c r="BN71" i="63"/>
  <c r="M77" i="63"/>
  <c r="AB77" i="63"/>
  <c r="AA81" i="63"/>
  <c r="Y92" i="63"/>
  <c r="W90" i="63"/>
  <c r="W60" i="63"/>
  <c r="Y60" i="63" s="1"/>
  <c r="V95" i="63"/>
  <c r="AA95" i="63"/>
  <c r="AE106" i="63"/>
  <c r="T107" i="63"/>
  <c r="V107" i="63" s="1"/>
  <c r="P107" i="63"/>
  <c r="K107" i="63"/>
  <c r="AS107" i="63"/>
  <c r="AE108" i="63"/>
  <c r="T109" i="63"/>
  <c r="K109" i="63"/>
  <c r="AS109" i="63"/>
  <c r="BB109" i="63"/>
  <c r="AE110" i="63"/>
  <c r="AD374" i="63"/>
  <c r="AE374" i="63" s="1"/>
  <c r="AP110" i="63"/>
  <c r="AU374" i="63"/>
  <c r="AV110" i="63"/>
  <c r="AZ102" i="63"/>
  <c r="I376" i="63"/>
  <c r="P113" i="63"/>
  <c r="P115" i="63"/>
  <c r="AI117" i="63"/>
  <c r="AI102" i="63" s="1"/>
  <c r="BG117" i="63"/>
  <c r="I119" i="63"/>
  <c r="BE119" i="63"/>
  <c r="BN119" i="63"/>
  <c r="H384" i="63"/>
  <c r="I384" i="63" s="1"/>
  <c r="I120" i="63"/>
  <c r="BH386" i="63"/>
  <c r="L124" i="63"/>
  <c r="S124" i="63"/>
  <c r="AU125" i="63"/>
  <c r="BE137" i="63"/>
  <c r="BD100" i="63"/>
  <c r="Z138" i="63"/>
  <c r="K140" i="63"/>
  <c r="M140" i="63" s="1"/>
  <c r="AO105" i="63"/>
  <c r="AP105" i="63" s="1"/>
  <c r="AP140" i="63"/>
  <c r="U146" i="63"/>
  <c r="O137" i="63"/>
  <c r="O111" i="63"/>
  <c r="L146" i="63"/>
  <c r="M146" i="63" s="1"/>
  <c r="AL137" i="63"/>
  <c r="AL111" i="63"/>
  <c r="AM146" i="63"/>
  <c r="AW137" i="63"/>
  <c r="AW100" i="63" s="1"/>
  <c r="AW111" i="63"/>
  <c r="AW102" i="63" s="1"/>
  <c r="BB146" i="63"/>
  <c r="BH146" i="63"/>
  <c r="BF137" i="63"/>
  <c r="BF111" i="63"/>
  <c r="Z148" i="63"/>
  <c r="V151" i="63"/>
  <c r="AA151" i="63"/>
  <c r="AB151" i="63" s="1"/>
  <c r="BC117" i="63"/>
  <c r="BE117" i="63" s="1"/>
  <c r="BH152" i="63"/>
  <c r="AA159" i="63"/>
  <c r="AB159" i="63" s="1"/>
  <c r="V163" i="63"/>
  <c r="AA163" i="63"/>
  <c r="AB163" i="63" s="1"/>
  <c r="AP164" i="63"/>
  <c r="AN131" i="63"/>
  <c r="AP131" i="63" s="1"/>
  <c r="BN164" i="63"/>
  <c r="BL131" i="63"/>
  <c r="BN131" i="63" s="1"/>
  <c r="S507" i="63"/>
  <c r="Q474" i="63"/>
  <c r="T173" i="63"/>
  <c r="K173" i="63"/>
  <c r="N105" i="63"/>
  <c r="Z173" i="63"/>
  <c r="AB173" i="63" s="1"/>
  <c r="BB173" i="63"/>
  <c r="S179" i="63"/>
  <c r="K179" i="63"/>
  <c r="T179" i="63"/>
  <c r="Z179" i="63" s="1"/>
  <c r="Q170" i="63"/>
  <c r="Y179" i="63"/>
  <c r="L179" i="63"/>
  <c r="M179" i="63" s="1"/>
  <c r="BE179" i="63"/>
  <c r="BC111" i="63"/>
  <c r="BE111" i="63" s="1"/>
  <c r="X117" i="63"/>
  <c r="AM720" i="63"/>
  <c r="AK717" i="63"/>
  <c r="AK712" i="63"/>
  <c r="AM712" i="63" s="1"/>
  <c r="AV185" i="63"/>
  <c r="BJ117" i="63"/>
  <c r="BK117" i="63" s="1"/>
  <c r="BK185" i="63"/>
  <c r="Q528" i="63"/>
  <c r="Q460" i="63" s="1"/>
  <c r="S460" i="63" s="1"/>
  <c r="S188" i="63"/>
  <c r="Q120" i="63"/>
  <c r="AE191" i="63"/>
  <c r="AD170" i="63"/>
  <c r="AD125" i="63"/>
  <c r="AP191" i="63"/>
  <c r="I197" i="63"/>
  <c r="AB199" i="63"/>
  <c r="H203" i="63"/>
  <c r="Q203" i="63"/>
  <c r="S203" i="63" s="1"/>
  <c r="BC203" i="63"/>
  <c r="Y218" i="63"/>
  <c r="AA220" i="63"/>
  <c r="AB220" i="63" s="1"/>
  <c r="AA224" i="63"/>
  <c r="V234" i="63"/>
  <c r="AA234" i="63"/>
  <c r="AB234" i="63" s="1"/>
  <c r="V235" i="63"/>
  <c r="Z235" i="63"/>
  <c r="AB235" i="63" s="1"/>
  <c r="AI236" i="63"/>
  <c r="AJ236" i="63" s="1"/>
  <c r="AX236" i="63"/>
  <c r="AY236" i="63" s="1"/>
  <c r="AB247" i="63"/>
  <c r="BF236" i="63"/>
  <c r="BO236" i="63"/>
  <c r="V256" i="63"/>
  <c r="Z256" i="63"/>
  <c r="AB256" i="63" s="1"/>
  <c r="V265" i="63"/>
  <c r="AA265" i="63"/>
  <c r="AB265" i="63" s="1"/>
  <c r="AU269" i="63"/>
  <c r="AV269" i="63" s="1"/>
  <c r="I278" i="63"/>
  <c r="H269" i="63"/>
  <c r="I269" i="63" s="1"/>
  <c r="BF269" i="63"/>
  <c r="BO269" i="63"/>
  <c r="BO100" i="63" s="1"/>
  <c r="AX269" i="63"/>
  <c r="AY269" i="63" s="1"/>
  <c r="BH284" i="63"/>
  <c r="BG269" i="63"/>
  <c r="G125" i="63"/>
  <c r="BJ125" i="63"/>
  <c r="AB295" i="63"/>
  <c r="AI302" i="63"/>
  <c r="AE304" i="63"/>
  <c r="S307" i="63"/>
  <c r="K307" i="63"/>
  <c r="M307" i="63" s="1"/>
  <c r="T307" i="63"/>
  <c r="Z307" i="63" s="1"/>
  <c r="V316" i="63"/>
  <c r="AA316" i="63"/>
  <c r="AB316" i="63" s="1"/>
  <c r="BK318" i="63"/>
  <c r="BI302" i="63"/>
  <c r="AB324" i="63"/>
  <c r="S326" i="63"/>
  <c r="K326" i="63"/>
  <c r="M326" i="63" s="1"/>
  <c r="T326" i="63"/>
  <c r="Z326" i="63" s="1"/>
  <c r="Z334" i="63"/>
  <c r="AA335" i="63"/>
  <c r="AB335" i="63" s="1"/>
  <c r="AB337" i="63"/>
  <c r="M339" i="63"/>
  <c r="V339" i="63"/>
  <c r="AV342" i="63"/>
  <c r="AU302" i="63"/>
  <c r="AV302" i="63" s="1"/>
  <c r="BK342" i="63"/>
  <c r="BJ302" i="63"/>
  <c r="BK302" i="63" s="1"/>
  <c r="AB348" i="63"/>
  <c r="AA357" i="63"/>
  <c r="AB357" i="63" s="1"/>
  <c r="AB363" i="63"/>
  <c r="Y386" i="63"/>
  <c r="Y390" i="63"/>
  <c r="AY390" i="63"/>
  <c r="L403" i="63"/>
  <c r="M403" i="63" s="1"/>
  <c r="AA417" i="63"/>
  <c r="BM443" i="63"/>
  <c r="BN443" i="63" s="1"/>
  <c r="I448" i="63"/>
  <c r="G372" i="63"/>
  <c r="I372" i="63" s="1"/>
  <c r="W449" i="63"/>
  <c r="Y449" i="63" s="1"/>
  <c r="M450" i="63"/>
  <c r="O452" i="63"/>
  <c r="AL454" i="63"/>
  <c r="AM454" i="63" s="1"/>
  <c r="AK458" i="63"/>
  <c r="AM458" i="63" s="1"/>
  <c r="BI458" i="63"/>
  <c r="BK458" i="63" s="1"/>
  <c r="AX461" i="63"/>
  <c r="AY461" i="63" s="1"/>
  <c r="BM386" i="63"/>
  <c r="BN386" i="63" s="1"/>
  <c r="BN462" i="63"/>
  <c r="AQ466" i="63"/>
  <c r="AX469" i="63"/>
  <c r="AY469" i="63" s="1"/>
  <c r="BC464" i="63"/>
  <c r="BC388" i="63"/>
  <c r="BN470" i="63"/>
  <c r="BL464" i="63"/>
  <c r="BL388" i="63"/>
  <c r="BN388" i="63" s="1"/>
  <c r="AS472" i="63"/>
  <c r="BO472" i="63"/>
  <c r="BQ472" i="63" s="1"/>
  <c r="BE474" i="63"/>
  <c r="AR390" i="63"/>
  <c r="AS390" i="63" s="1"/>
  <c r="BA464" i="63"/>
  <c r="BA390" i="63"/>
  <c r="BB476" i="63"/>
  <c r="BP390" i="63"/>
  <c r="BQ390" i="63" s="1"/>
  <c r="BI479" i="63"/>
  <c r="W480" i="63"/>
  <c r="AO480" i="63"/>
  <c r="L481" i="63"/>
  <c r="R480" i="63"/>
  <c r="U480" i="63" s="1"/>
  <c r="R446" i="63"/>
  <c r="S481" i="63"/>
  <c r="U481" i="63"/>
  <c r="AC480" i="63"/>
  <c r="AC446" i="63"/>
  <c r="AP481" i="63"/>
  <c r="AN480" i="63"/>
  <c r="AN446" i="63"/>
  <c r="AP446" i="63" s="1"/>
  <c r="BD480" i="63"/>
  <c r="BD446" i="63"/>
  <c r="BE481" i="63"/>
  <c r="AD448" i="63"/>
  <c r="AE483" i="63"/>
  <c r="AR448" i="63"/>
  <c r="AS448" i="63" s="1"/>
  <c r="AS483" i="63"/>
  <c r="BG448" i="63"/>
  <c r="BH448" i="63" s="1"/>
  <c r="BH483" i="63"/>
  <c r="BC486" i="63"/>
  <c r="X486" i="63"/>
  <c r="Y487" i="63"/>
  <c r="AL486" i="63"/>
  <c r="AM487" i="63"/>
  <c r="BA486" i="63"/>
  <c r="BB487" i="63"/>
  <c r="AD453" i="63"/>
  <c r="AE488" i="63"/>
  <c r="AD486" i="63"/>
  <c r="AU453" i="63"/>
  <c r="AV453" i="63" s="1"/>
  <c r="AV488" i="63"/>
  <c r="AI455" i="63"/>
  <c r="AI486" i="63"/>
  <c r="AC492" i="63"/>
  <c r="AU492" i="63"/>
  <c r="N458" i="63"/>
  <c r="T493" i="63"/>
  <c r="Z493" i="63" s="1"/>
  <c r="AT459" i="63"/>
  <c r="AT492" i="63"/>
  <c r="BE494" i="63"/>
  <c r="BC459" i="63"/>
  <c r="BE459" i="63" s="1"/>
  <c r="BF461" i="63"/>
  <c r="BQ496" i="63"/>
  <c r="BO461" i="63"/>
  <c r="BQ461" i="63" s="1"/>
  <c r="BO492" i="63"/>
  <c r="O498" i="63"/>
  <c r="AW498" i="63"/>
  <c r="AW465" i="63" s="1"/>
  <c r="BM498" i="63"/>
  <c r="T499" i="63"/>
  <c r="Z499" i="63" s="1"/>
  <c r="P499" i="63"/>
  <c r="K499" i="63"/>
  <c r="N466" i="63"/>
  <c r="AA499" i="63"/>
  <c r="AB499" i="63" s="1"/>
  <c r="Y500" i="63"/>
  <c r="X467" i="63"/>
  <c r="Y467" i="63" s="1"/>
  <c r="BI467" i="63"/>
  <c r="BI498" i="63"/>
  <c r="BI465" i="63" s="1"/>
  <c r="L501" i="63"/>
  <c r="S501" i="63"/>
  <c r="R468" i="63"/>
  <c r="U501" i="63"/>
  <c r="AI468" i="63"/>
  <c r="L502" i="63"/>
  <c r="AO504" i="63"/>
  <c r="N473" i="63"/>
  <c r="Y506" i="63"/>
  <c r="W473" i="63"/>
  <c r="Y473" i="63" s="1"/>
  <c r="AI474" i="63"/>
  <c r="AX474" i="63"/>
  <c r="AY474" i="63" s="1"/>
  <c r="BH507" i="63"/>
  <c r="BG474" i="63"/>
  <c r="BH474" i="63" s="1"/>
  <c r="W508" i="63"/>
  <c r="AZ504" i="63"/>
  <c r="AZ475" i="63"/>
  <c r="BK508" i="63"/>
  <c r="BI475" i="63"/>
  <c r="BI504" i="63"/>
  <c r="AW513" i="63"/>
  <c r="AE514" i="63"/>
  <c r="AC513" i="63"/>
  <c r="BE514" i="63"/>
  <c r="BC513" i="63"/>
  <c r="BC512" i="63" s="1"/>
  <c r="S516" i="63"/>
  <c r="K516" i="63"/>
  <c r="T516" i="63"/>
  <c r="Z516" i="63" s="1"/>
  <c r="Y516" i="63"/>
  <c r="L516" i="63"/>
  <c r="K517" i="63"/>
  <c r="R449" i="63"/>
  <c r="S449" i="63" s="1"/>
  <c r="S517" i="63"/>
  <c r="AD449" i="63"/>
  <c r="AE449" i="63" s="1"/>
  <c r="AE517" i="63"/>
  <c r="AD513" i="63"/>
  <c r="BL519" i="63"/>
  <c r="M520" i="63"/>
  <c r="W519" i="63"/>
  <c r="W452" i="63"/>
  <c r="K452" i="63" s="1"/>
  <c r="L522" i="63"/>
  <c r="W454" i="63"/>
  <c r="K454" i="63" s="1"/>
  <c r="K522" i="63"/>
  <c r="BE527" i="63"/>
  <c r="BC525" i="63"/>
  <c r="BC457" i="63" s="1"/>
  <c r="L532" i="63"/>
  <c r="R531" i="63"/>
  <c r="S531" i="63" s="1"/>
  <c r="S532" i="63"/>
  <c r="U532" i="63"/>
  <c r="AP532" i="63"/>
  <c r="AN531" i="63"/>
  <c r="BD531" i="63"/>
  <c r="BE532" i="63"/>
  <c r="AN537" i="63"/>
  <c r="AS538" i="63"/>
  <c r="AQ537" i="63"/>
  <c r="BG537" i="63"/>
  <c r="BH537" i="63" s="1"/>
  <c r="BH538" i="63"/>
  <c r="BH547" i="63"/>
  <c r="BG546" i="63"/>
  <c r="BN550" i="63"/>
  <c r="BM546" i="63"/>
  <c r="K552" i="63"/>
  <c r="T552" i="63"/>
  <c r="Z552" i="63" s="1"/>
  <c r="N545" i="63"/>
  <c r="AO552" i="63"/>
  <c r="AP552" i="63" s="1"/>
  <c r="AP553" i="63"/>
  <c r="K554" i="63"/>
  <c r="T554" i="63"/>
  <c r="P554" i="63"/>
  <c r="AS554" i="63"/>
  <c r="AR552" i="63"/>
  <c r="AR558" i="63"/>
  <c r="AS558" i="63" s="1"/>
  <c r="AS559" i="63"/>
  <c r="AE560" i="63"/>
  <c r="AC558" i="63"/>
  <c r="BE560" i="63"/>
  <c r="BC558" i="63"/>
  <c r="S562" i="63"/>
  <c r="K562" i="63"/>
  <c r="T562" i="63"/>
  <c r="Z562" i="63" s="1"/>
  <c r="L562" i="63"/>
  <c r="M562" i="63" s="1"/>
  <c r="Y562" i="63"/>
  <c r="X558" i="63"/>
  <c r="U568" i="63"/>
  <c r="L568" i="63"/>
  <c r="M568" i="63" s="1"/>
  <c r="AM568" i="63"/>
  <c r="AL564" i="63"/>
  <c r="AM564" i="63" s="1"/>
  <c r="BK568" i="63"/>
  <c r="BJ564" i="63"/>
  <c r="BK564" i="63" s="1"/>
  <c r="X570" i="63"/>
  <c r="L571" i="63"/>
  <c r="AS571" i="63"/>
  <c r="AQ570" i="63"/>
  <c r="BQ571" i="63"/>
  <c r="BO570" i="63"/>
  <c r="S580" i="63"/>
  <c r="K580" i="63"/>
  <c r="Q579" i="63"/>
  <c r="Q578" i="63" s="1"/>
  <c r="T580" i="63"/>
  <c r="Z580" i="63" s="1"/>
  <c r="X579" i="63"/>
  <c r="L580" i="63"/>
  <c r="M580" i="63" s="1"/>
  <c r="Y580" i="63"/>
  <c r="X446" i="63"/>
  <c r="Y446" i="63" s="1"/>
  <c r="AT578" i="63"/>
  <c r="BE580" i="63"/>
  <c r="BC579" i="63"/>
  <c r="BC578" i="63" s="1"/>
  <c r="K581" i="63"/>
  <c r="AE581" i="63"/>
  <c r="AD579" i="63"/>
  <c r="AP585" i="63"/>
  <c r="AY586" i="63"/>
  <c r="AX585" i="63"/>
  <c r="Y592" i="63"/>
  <c r="W591" i="63"/>
  <c r="W597" i="63"/>
  <c r="BJ597" i="63"/>
  <c r="BK597" i="63" s="1"/>
  <c r="U599" i="63"/>
  <c r="L599" i="63"/>
  <c r="M599" i="63" s="1"/>
  <c r="P599" i="63"/>
  <c r="O597" i="63"/>
  <c r="BQ604" i="63"/>
  <c r="BO603" i="63"/>
  <c r="P605" i="63"/>
  <c r="L605" i="63"/>
  <c r="M605" i="63" s="1"/>
  <c r="U605" i="63"/>
  <c r="O603" i="63"/>
  <c r="AS605" i="63"/>
  <c r="AR603" i="63"/>
  <c r="AN603" i="63"/>
  <c r="AP603" i="63" s="1"/>
  <c r="AN475" i="63"/>
  <c r="AY607" i="63"/>
  <c r="AW603" i="63"/>
  <c r="V608" i="63"/>
  <c r="Z608" i="63"/>
  <c r="U619" i="63"/>
  <c r="O618" i="63"/>
  <c r="L619" i="63"/>
  <c r="P619" i="63"/>
  <c r="AV619" i="63"/>
  <c r="AT618" i="63"/>
  <c r="BK619" i="63"/>
  <c r="BJ618" i="63"/>
  <c r="BK618" i="63" s="1"/>
  <c r="S620" i="63"/>
  <c r="L620" i="63"/>
  <c r="U620" i="63"/>
  <c r="R618" i="63"/>
  <c r="S618" i="63" s="1"/>
  <c r="AP620" i="63"/>
  <c r="AN618" i="63"/>
  <c r="AN611" i="63" s="1"/>
  <c r="BE620" i="63"/>
  <c r="BD618" i="63"/>
  <c r="BE618" i="63" s="1"/>
  <c r="AP625" i="63"/>
  <c r="AO624" i="63"/>
  <c r="BD624" i="63"/>
  <c r="BE624" i="63" s="1"/>
  <c r="BE625" i="63"/>
  <c r="L626" i="63"/>
  <c r="X624" i="63"/>
  <c r="AH624" i="63"/>
  <c r="AS626" i="63"/>
  <c r="AQ624" i="63"/>
  <c r="BF624" i="63"/>
  <c r="BF457" i="63" s="1"/>
  <c r="BF459" i="63"/>
  <c r="BQ626" i="63"/>
  <c r="BO624" i="63"/>
  <c r="BH628" i="63"/>
  <c r="BG624" i="63"/>
  <c r="BH624" i="63" s="1"/>
  <c r="AA629" i="63"/>
  <c r="AB629" i="63" s="1"/>
  <c r="V629" i="63"/>
  <c r="BH632" i="63"/>
  <c r="BF630" i="63"/>
  <c r="V635" i="63"/>
  <c r="AA635" i="63"/>
  <c r="AB635" i="63" s="1"/>
  <c r="AO636" i="63"/>
  <c r="AP636" i="63" s="1"/>
  <c r="AA637" i="63"/>
  <c r="AJ637" i="63"/>
  <c r="AI636" i="63"/>
  <c r="AJ636" i="63" s="1"/>
  <c r="AX636" i="63"/>
  <c r="AY637" i="63"/>
  <c r="BN640" i="63"/>
  <c r="BM636" i="63"/>
  <c r="BN636" i="63" s="1"/>
  <c r="L643" i="63"/>
  <c r="Y643" i="63"/>
  <c r="U650" i="63"/>
  <c r="P650" i="63"/>
  <c r="AM668" i="63"/>
  <c r="AK666" i="63"/>
  <c r="AZ644" i="63"/>
  <c r="AZ666" i="63"/>
  <c r="BK668" i="63"/>
  <c r="BI666" i="63"/>
  <c r="BK666" i="63" s="1"/>
  <c r="BN670" i="63"/>
  <c r="U672" i="63"/>
  <c r="P672" i="63"/>
  <c r="L672" i="63"/>
  <c r="O666" i="63"/>
  <c r="AS672" i="63"/>
  <c r="BQ672" i="63"/>
  <c r="V673" i="63"/>
  <c r="AA673" i="63"/>
  <c r="P676" i="63"/>
  <c r="AJ676" i="63"/>
  <c r="AH674" i="63"/>
  <c r="AJ674" i="63" s="1"/>
  <c r="AH644" i="63"/>
  <c r="BB676" i="63"/>
  <c r="BH676" i="63"/>
  <c r="BF644" i="63"/>
  <c r="BF674" i="63"/>
  <c r="Z415" i="63"/>
  <c r="AB677" i="63"/>
  <c r="AB684" i="63"/>
  <c r="M686" i="63"/>
  <c r="V686" i="63"/>
  <c r="AA686" i="63"/>
  <c r="AB699" i="63"/>
  <c r="V701" i="63"/>
  <c r="AA701" i="63"/>
  <c r="AB701" i="63" s="1"/>
  <c r="BD758" i="63"/>
  <c r="AD709" i="63"/>
  <c r="AY720" i="63"/>
  <c r="AW717" i="63"/>
  <c r="AW712" i="63"/>
  <c r="AY712" i="63" s="1"/>
  <c r="V742" i="63"/>
  <c r="Z742" i="63"/>
  <c r="AB742" i="63" s="1"/>
  <c r="BP812" i="63"/>
  <c r="X759" i="63"/>
  <c r="L773" i="63"/>
  <c r="AW776" i="63"/>
  <c r="AR760" i="63"/>
  <c r="AR769" i="63"/>
  <c r="S803" i="63"/>
  <c r="K803" i="63"/>
  <c r="K763" i="63" s="1"/>
  <c r="T803" i="63"/>
  <c r="Y803" i="63"/>
  <c r="L803" i="63"/>
  <c r="BE803" i="63"/>
  <c r="BC798" i="63"/>
  <c r="BC760" i="63" s="1"/>
  <c r="L805" i="63"/>
  <c r="S805" i="63"/>
  <c r="U805" i="63"/>
  <c r="R798" i="63"/>
  <c r="AP805" i="63"/>
  <c r="AN798" i="63"/>
  <c r="AN760" i="63" s="1"/>
  <c r="BE805" i="63"/>
  <c r="BD798" i="63"/>
  <c r="BA863" i="63"/>
  <c r="BB863" i="63" s="1"/>
  <c r="BB835" i="63"/>
  <c r="BP863" i="63"/>
  <c r="BQ863" i="63" s="1"/>
  <c r="BQ835" i="63"/>
  <c r="U836" i="63"/>
  <c r="O864" i="63"/>
  <c r="O829" i="63"/>
  <c r="T865" i="63"/>
  <c r="Z837" i="63"/>
  <c r="AB837" i="63" s="1"/>
  <c r="BD836" i="63"/>
  <c r="BD834" i="63"/>
  <c r="BE834" i="63" s="1"/>
  <c r="BE839" i="63"/>
  <c r="BF1060" i="63"/>
  <c r="BF990" i="63"/>
  <c r="BO1060" i="63"/>
  <c r="BQ1003" i="63"/>
  <c r="BO990" i="63"/>
  <c r="BQ990" i="63" s="1"/>
  <c r="G983" i="63"/>
  <c r="I983" i="63" s="1"/>
  <c r="G1063" i="63"/>
  <c r="BJ1063" i="63"/>
  <c r="BK1063" i="63" s="1"/>
  <c r="BK1009" i="63"/>
  <c r="BJ983" i="63"/>
  <c r="BK983" i="63" s="1"/>
  <c r="T92" i="63"/>
  <c r="N90" i="63"/>
  <c r="AM92" i="63"/>
  <c r="AK90" i="63"/>
  <c r="BK92" i="63"/>
  <c r="BI90" i="63"/>
  <c r="AA106" i="63"/>
  <c r="AB106" i="63" s="1"/>
  <c r="L107" i="63"/>
  <c r="S107" i="63"/>
  <c r="AA108" i="63"/>
  <c r="AB108" i="63" s="1"/>
  <c r="L109" i="63"/>
  <c r="M109" i="63" s="1"/>
  <c r="S109" i="63"/>
  <c r="T111" i="63"/>
  <c r="AE111" i="63"/>
  <c r="AD102" i="63"/>
  <c r="BD102" i="63"/>
  <c r="BL102" i="63"/>
  <c r="AR380" i="63"/>
  <c r="AS380" i="63" s="1"/>
  <c r="AS116" i="63"/>
  <c r="BP380" i="63"/>
  <c r="BQ380" i="63" s="1"/>
  <c r="BQ116" i="63"/>
  <c r="L120" i="63"/>
  <c r="S120" i="63"/>
  <c r="AE120" i="63"/>
  <c r="I121" i="63"/>
  <c r="I122" i="63"/>
  <c r="AJ122" i="63"/>
  <c r="AP122" i="63"/>
  <c r="AN386" i="63"/>
  <c r="BH122" i="63"/>
  <c r="T127" i="63"/>
  <c r="AE128" i="63"/>
  <c r="AP128" i="63"/>
  <c r="BE128" i="63"/>
  <c r="BN128" i="63"/>
  <c r="AS129" i="63"/>
  <c r="BB129" i="63"/>
  <c r="BQ129" i="63"/>
  <c r="S130" i="63"/>
  <c r="AE130" i="63"/>
  <c r="BE130" i="63"/>
  <c r="T132" i="63"/>
  <c r="Z132" i="63" s="1"/>
  <c r="AB132" i="63" s="1"/>
  <c r="K132" i="63"/>
  <c r="AS135" i="63"/>
  <c r="BB135" i="63"/>
  <c r="BQ135" i="63"/>
  <c r="S136" i="63"/>
  <c r="AE136" i="63"/>
  <c r="AP136" i="63"/>
  <c r="BE136" i="63"/>
  <c r="BN136" i="63"/>
  <c r="U140" i="63"/>
  <c r="V140" i="63" s="1"/>
  <c r="O105" i="63"/>
  <c r="AA140" i="63"/>
  <c r="AL105" i="63"/>
  <c r="AM140" i="63"/>
  <c r="BA105" i="63"/>
  <c r="BB105" i="63" s="1"/>
  <c r="BJ105" i="63"/>
  <c r="BK140" i="63"/>
  <c r="I146" i="63"/>
  <c r="G137" i="63"/>
  <c r="G111" i="63"/>
  <c r="I111" i="63" s="1"/>
  <c r="X137" i="63"/>
  <c r="X111" i="63"/>
  <c r="Y146" i="63"/>
  <c r="AK137" i="63"/>
  <c r="AK111" i="63"/>
  <c r="AV146" i="63"/>
  <c r="AT137" i="63"/>
  <c r="AT111" i="63"/>
  <c r="BI137" i="63"/>
  <c r="BI100" i="63" s="1"/>
  <c r="BI111" i="63"/>
  <c r="BI102" i="63" s="1"/>
  <c r="AB153" i="63"/>
  <c r="W494" i="63"/>
  <c r="Y494" i="63" s="1"/>
  <c r="W152" i="63"/>
  <c r="W119" i="63"/>
  <c r="Y119" i="63" s="1"/>
  <c r="AK714" i="63"/>
  <c r="AM158" i="63"/>
  <c r="AK125" i="63"/>
  <c r="AK123" i="63" s="1"/>
  <c r="BB714" i="63"/>
  <c r="AZ775" i="63"/>
  <c r="AZ710" i="63"/>
  <c r="BB710" i="63" s="1"/>
  <c r="AZ713" i="63"/>
  <c r="BI714" i="63"/>
  <c r="BK158" i="63"/>
  <c r="BI125" i="63"/>
  <c r="BI123" i="63" s="1"/>
  <c r="W501" i="63"/>
  <c r="W128" i="63"/>
  <c r="Y128" i="63" s="1"/>
  <c r="AC158" i="63"/>
  <c r="AC125" i="63" s="1"/>
  <c r="AC123" i="63" s="1"/>
  <c r="AE161" i="63"/>
  <c r="AE164" i="63"/>
  <c r="AB165" i="63"/>
  <c r="AE166" i="63"/>
  <c r="W507" i="63"/>
  <c r="Y167" i="63"/>
  <c r="W164" i="63"/>
  <c r="W134" i="63"/>
  <c r="Y134" i="63" s="1"/>
  <c r="AA179" i="63"/>
  <c r="BQ179" i="63"/>
  <c r="G117" i="63"/>
  <c r="I117" i="63" s="1"/>
  <c r="AX117" i="63"/>
  <c r="AY117" i="63" s="1"/>
  <c r="BH185" i="63"/>
  <c r="W527" i="63"/>
  <c r="K527" i="63" s="1"/>
  <c r="M527" i="63" s="1"/>
  <c r="K187" i="63"/>
  <c r="M187" i="63" s="1"/>
  <c r="W185" i="63"/>
  <c r="W170" i="63" s="1"/>
  <c r="Y170" i="63" s="1"/>
  <c r="Z189" i="63"/>
  <c r="AB189" i="63" s="1"/>
  <c r="M190" i="63"/>
  <c r="P191" i="63"/>
  <c r="AS191" i="63"/>
  <c r="AR170" i="63"/>
  <c r="AS170" i="63" s="1"/>
  <c r="BB191" i="63"/>
  <c r="BQ191" i="63"/>
  <c r="BP170" i="63"/>
  <c r="BQ170" i="63" s="1"/>
  <c r="V196" i="63"/>
  <c r="T197" i="63"/>
  <c r="K197" i="63"/>
  <c r="M198" i="63"/>
  <c r="AB198" i="63"/>
  <c r="T203" i="63"/>
  <c r="Z203" i="63" s="1"/>
  <c r="AP203" i="63"/>
  <c r="BB203" i="63"/>
  <c r="V207" i="63"/>
  <c r="AB209" i="63"/>
  <c r="I212" i="63"/>
  <c r="AH203" i="63"/>
  <c r="BF203" i="63"/>
  <c r="V214" i="63"/>
  <c r="S218" i="63"/>
  <c r="K218" i="63"/>
  <c r="M218" i="63" s="1"/>
  <c r="I224" i="63"/>
  <c r="V226" i="63"/>
  <c r="S230" i="63"/>
  <c r="K230" i="63"/>
  <c r="AP239" i="63"/>
  <c r="BN239" i="63"/>
  <c r="V242" i="63"/>
  <c r="AB244" i="63"/>
  <c r="AA245" i="63"/>
  <c r="AJ245" i="63"/>
  <c r="BH245" i="63"/>
  <c r="BQ245" i="63"/>
  <c r="AV251" i="63"/>
  <c r="BE251" i="63"/>
  <c r="V255" i="63"/>
  <c r="AA257" i="63"/>
  <c r="V257" i="63"/>
  <c r="AJ257" i="63"/>
  <c r="BH257" i="63"/>
  <c r="AV263" i="63"/>
  <c r="V267" i="63"/>
  <c r="AB268" i="63"/>
  <c r="AA269" i="63"/>
  <c r="BQ269" i="63"/>
  <c r="Z272" i="63"/>
  <c r="AB272" i="63" s="1"/>
  <c r="V277" i="63"/>
  <c r="M283" i="63"/>
  <c r="I284" i="63"/>
  <c r="M285" i="63"/>
  <c r="V286" i="63"/>
  <c r="AT125" i="63"/>
  <c r="AT123" i="63" s="1"/>
  <c r="M295" i="63"/>
  <c r="I296" i="63"/>
  <c r="BF131" i="63"/>
  <c r="BF123" i="63" s="1"/>
  <c r="M297" i="63"/>
  <c r="V298" i="63"/>
  <c r="I303" i="63"/>
  <c r="V304" i="63"/>
  <c r="AJ304" i="63"/>
  <c r="AS304" i="63"/>
  <c r="BH304" i="63"/>
  <c r="BQ304" i="63"/>
  <c r="S305" i="63"/>
  <c r="K305" i="63"/>
  <c r="AV306" i="63"/>
  <c r="I307" i="63"/>
  <c r="AA308" i="63"/>
  <c r="AB308" i="63" s="1"/>
  <c r="V308" i="63"/>
  <c r="AJ308" i="63"/>
  <c r="BH308" i="63"/>
  <c r="S309" i="63"/>
  <c r="K309" i="63"/>
  <c r="M309" i="63" s="1"/>
  <c r="AV310" i="63"/>
  <c r="AB312" i="63"/>
  <c r="S302" i="63"/>
  <c r="AE302" i="63"/>
  <c r="AO302" i="63"/>
  <c r="AP318" i="63"/>
  <c r="BM302" i="63"/>
  <c r="BN318" i="63"/>
  <c r="M321" i="63"/>
  <c r="V321" i="63"/>
  <c r="I326" i="63"/>
  <c r="V328" i="63"/>
  <c r="V332" i="63"/>
  <c r="AA342" i="63"/>
  <c r="AB342" i="63" s="1"/>
  <c r="V342" i="63"/>
  <c r="AJ342" i="63"/>
  <c r="BH342" i="63"/>
  <c r="V346" i="63"/>
  <c r="U350" i="63"/>
  <c r="P350" i="63"/>
  <c r="BB350" i="63"/>
  <c r="L350" i="63"/>
  <c r="M350" i="63" s="1"/>
  <c r="V353" i="63"/>
  <c r="V361" i="63"/>
  <c r="I393" i="63"/>
  <c r="I394" i="63"/>
  <c r="V396" i="63"/>
  <c r="AJ396" i="63"/>
  <c r="AS396" i="63"/>
  <c r="BH396" i="63"/>
  <c r="BQ396" i="63"/>
  <c r="V397" i="63"/>
  <c r="V400" i="63"/>
  <c r="V401" i="63"/>
  <c r="Y401" i="63"/>
  <c r="I403" i="63"/>
  <c r="AM403" i="63"/>
  <c r="AV403" i="63"/>
  <c r="BK403" i="63"/>
  <c r="I404" i="63"/>
  <c r="AY408" i="63"/>
  <c r="V410" i="63"/>
  <c r="Y410" i="63"/>
  <c r="AM412" i="63"/>
  <c r="BK412" i="63"/>
  <c r="V419" i="63"/>
  <c r="V421" i="63"/>
  <c r="V422" i="63"/>
  <c r="V423" i="63"/>
  <c r="V424" i="63"/>
  <c r="V425" i="63"/>
  <c r="V426" i="63"/>
  <c r="Y441" i="63"/>
  <c r="P443" i="63"/>
  <c r="Y447" i="63"/>
  <c r="V450" i="63"/>
  <c r="AA450" i="63"/>
  <c r="AM450" i="63"/>
  <c r="AL374" i="63"/>
  <c r="AM374" i="63" s="1"/>
  <c r="BK450" i="63"/>
  <c r="BJ374" i="63"/>
  <c r="BK374" i="63" s="1"/>
  <c r="AM453" i="63"/>
  <c r="BK453" i="63"/>
  <c r="I454" i="63"/>
  <c r="G378" i="63"/>
  <c r="I378" i="63" s="1"/>
  <c r="I455" i="63"/>
  <c r="G379" i="63"/>
  <c r="U455" i="63"/>
  <c r="O380" i="63"/>
  <c r="U456" i="63"/>
  <c r="AM456" i="63"/>
  <c r="BK456" i="63"/>
  <c r="O386" i="63"/>
  <c r="P386" i="63" s="1"/>
  <c r="U462" i="63"/>
  <c r="AM462" i="63"/>
  <c r="BK462" i="63"/>
  <c r="AS470" i="63"/>
  <c r="AR464" i="63"/>
  <c r="AS464" i="63" s="1"/>
  <c r="AR388" i="63"/>
  <c r="AS388" i="63" s="1"/>
  <c r="BQ470" i="63"/>
  <c r="BP464" i="63"/>
  <c r="BQ464" i="63" s="1"/>
  <c r="BP388" i="63"/>
  <c r="BQ388" i="63" s="1"/>
  <c r="T472" i="63"/>
  <c r="Z472" i="63" s="1"/>
  <c r="P472" i="63"/>
  <c r="K472" i="63"/>
  <c r="T476" i="63"/>
  <c r="Z476" i="63" s="1"/>
  <c r="N390" i="63"/>
  <c r="AM476" i="63"/>
  <c r="AK464" i="63"/>
  <c r="AK390" i="63"/>
  <c r="AM390" i="63" s="1"/>
  <c r="AZ390" i="63"/>
  <c r="BK476" i="63"/>
  <c r="BI464" i="63"/>
  <c r="BK464" i="63" s="1"/>
  <c r="BI390" i="63"/>
  <c r="BK390" i="63" s="1"/>
  <c r="AB478" i="63"/>
  <c r="AI480" i="63"/>
  <c r="AI446" i="63"/>
  <c r="AR480" i="63"/>
  <c r="AR446" i="63"/>
  <c r="AS481" i="63"/>
  <c r="BG480" i="63"/>
  <c r="BG446" i="63"/>
  <c r="BH446" i="63" s="1"/>
  <c r="BP480" i="63"/>
  <c r="BP446" i="63"/>
  <c r="BQ481" i="63"/>
  <c r="Q448" i="63"/>
  <c r="AC448" i="63"/>
  <c r="AU448" i="63"/>
  <c r="AV448" i="63" s="1"/>
  <c r="BD448" i="63"/>
  <c r="BE483" i="63"/>
  <c r="Z484" i="63"/>
  <c r="H479" i="63"/>
  <c r="H451" i="63"/>
  <c r="I451" i="63" s="1"/>
  <c r="AP486" i="63"/>
  <c r="AX486" i="63"/>
  <c r="AY487" i="63"/>
  <c r="AI453" i="63"/>
  <c r="AJ453" i="63" s="1"/>
  <c r="AR453" i="63"/>
  <c r="AS488" i="63"/>
  <c r="BG453" i="63"/>
  <c r="BH453" i="63" s="1"/>
  <c r="BP453" i="63"/>
  <c r="BQ488" i="63"/>
  <c r="Q455" i="63"/>
  <c r="AC455" i="63"/>
  <c r="AU455" i="63"/>
  <c r="AV455" i="63" s="1"/>
  <c r="BD455" i="63"/>
  <c r="BE490" i="63"/>
  <c r="Y493" i="63"/>
  <c r="W492" i="63"/>
  <c r="AN458" i="63"/>
  <c r="AN492" i="63"/>
  <c r="AY493" i="63"/>
  <c r="AW492" i="63"/>
  <c r="BL458" i="63"/>
  <c r="BL492" i="63"/>
  <c r="AI459" i="63"/>
  <c r="BH494" i="63"/>
  <c r="BG459" i="63"/>
  <c r="U495" i="63"/>
  <c r="L495" i="63"/>
  <c r="AD460" i="63"/>
  <c r="Q496" i="63"/>
  <c r="Q492" i="63" s="1"/>
  <c r="AV496" i="63"/>
  <c r="AU461" i="63"/>
  <c r="AP499" i="63"/>
  <c r="AN498" i="63"/>
  <c r="AN466" i="63"/>
  <c r="AP466" i="63" s="1"/>
  <c r="BN499" i="63"/>
  <c r="BL498" i="63"/>
  <c r="BL466" i="63"/>
  <c r="BN466" i="63" s="1"/>
  <c r="O467" i="63"/>
  <c r="U500" i="63"/>
  <c r="AY500" i="63"/>
  <c r="BM467" i="63"/>
  <c r="BN467" i="63" s="1"/>
  <c r="AC501" i="63"/>
  <c r="AC468" i="63" s="1"/>
  <c r="BE501" i="63"/>
  <c r="BD468" i="63"/>
  <c r="BE468" i="63" s="1"/>
  <c r="Y502" i="63"/>
  <c r="AM502" i="63"/>
  <c r="BA469" i="63"/>
  <c r="BB469" i="63" s="1"/>
  <c r="BK502" i="63"/>
  <c r="X472" i="63"/>
  <c r="Y472" i="63" s="1"/>
  <c r="X504" i="63"/>
  <c r="AL472" i="63"/>
  <c r="AM472" i="63" s="1"/>
  <c r="AL504" i="63"/>
  <c r="AU504" i="63"/>
  <c r="AV505" i="63"/>
  <c r="BJ472" i="63"/>
  <c r="BK472" i="63" s="1"/>
  <c r="BJ504" i="63"/>
  <c r="BB506" i="63"/>
  <c r="BA473" i="63"/>
  <c r="BB473" i="63" s="1"/>
  <c r="AP508" i="63"/>
  <c r="AO475" i="63"/>
  <c r="BN508" i="63"/>
  <c r="BM475" i="63"/>
  <c r="BN475" i="63" s="1"/>
  <c r="AS514" i="63"/>
  <c r="AQ513" i="63"/>
  <c r="AQ512" i="63" s="1"/>
  <c r="BF512" i="63"/>
  <c r="BF510" i="63" s="1"/>
  <c r="BQ514" i="63"/>
  <c r="BO513" i="63"/>
  <c r="BO512" i="63" s="1"/>
  <c r="N447" i="63"/>
  <c r="T515" i="63"/>
  <c r="Z515" i="63" s="1"/>
  <c r="AA516" i="63"/>
  <c r="U517" i="63"/>
  <c r="P517" i="63"/>
  <c r="L517" i="63"/>
  <c r="AR449" i="63"/>
  <c r="AS449" i="63" s="1"/>
  <c r="AB518" i="63"/>
  <c r="U520" i="63"/>
  <c r="O519" i="63"/>
  <c r="O512" i="63" s="1"/>
  <c r="AL519" i="63"/>
  <c r="AM520" i="63"/>
  <c r="BB519" i="63"/>
  <c r="BJ519" i="63"/>
  <c r="BK520" i="63"/>
  <c r="L521" i="63"/>
  <c r="M521" i="63" s="1"/>
  <c r="S521" i="63"/>
  <c r="Z522" i="63"/>
  <c r="T523" i="63"/>
  <c r="P523" i="63"/>
  <c r="K523" i="63"/>
  <c r="R525" i="63"/>
  <c r="AO525" i="63"/>
  <c r="AP526" i="63"/>
  <c r="BM525" i="63"/>
  <c r="BN526" i="63"/>
  <c r="U528" i="63"/>
  <c r="L528" i="63"/>
  <c r="V529" i="63"/>
  <c r="AR531" i="63"/>
  <c r="AS532" i="63"/>
  <c r="BH531" i="63"/>
  <c r="BP531" i="63"/>
  <c r="BQ532" i="63"/>
  <c r="AA535" i="63"/>
  <c r="Y537" i="63"/>
  <c r="AU537" i="63"/>
  <c r="AV537" i="63" s="1"/>
  <c r="AV538" i="63"/>
  <c r="BK537" i="63"/>
  <c r="U541" i="63"/>
  <c r="L541" i="63"/>
  <c r="BH541" i="63"/>
  <c r="BF475" i="63"/>
  <c r="BH475" i="63" s="1"/>
  <c r="Q546" i="63"/>
  <c r="Q545" i="63" s="1"/>
  <c r="T547" i="63"/>
  <c r="Z547" i="63" s="1"/>
  <c r="Z548" i="63"/>
  <c r="BB548" i="63"/>
  <c r="BA546" i="63"/>
  <c r="H545" i="63"/>
  <c r="I552" i="63"/>
  <c r="AJ553" i="63"/>
  <c r="AH552" i="63"/>
  <c r="AH545" i="63" s="1"/>
  <c r="AH543" i="63" s="1"/>
  <c r="AY553" i="63"/>
  <c r="AX552" i="63"/>
  <c r="AY552" i="63" s="1"/>
  <c r="BM552" i="63"/>
  <c r="BN552" i="63" s="1"/>
  <c r="BN553" i="63"/>
  <c r="S552" i="63"/>
  <c r="BB554" i="63"/>
  <c r="AZ552" i="63"/>
  <c r="AZ545" i="63" s="1"/>
  <c r="BQ554" i="63"/>
  <c r="BP552" i="63"/>
  <c r="BQ552" i="63" s="1"/>
  <c r="I558" i="63"/>
  <c r="T559" i="63"/>
  <c r="Z559" i="63" s="1"/>
  <c r="N558" i="63"/>
  <c r="K559" i="63"/>
  <c r="AM559" i="63"/>
  <c r="AK558" i="63"/>
  <c r="BB559" i="63"/>
  <c r="BA558" i="63"/>
  <c r="BB558" i="63" s="1"/>
  <c r="BP558" i="63"/>
  <c r="BQ559" i="63"/>
  <c r="P561" i="63"/>
  <c r="L561" i="63"/>
  <c r="U561" i="63"/>
  <c r="AM562" i="63"/>
  <c r="AL558" i="63"/>
  <c r="Q564" i="63"/>
  <c r="AJ565" i="63"/>
  <c r="AP565" i="63"/>
  <c r="AN564" i="63"/>
  <c r="BC564" i="63"/>
  <c r="BH565" i="63"/>
  <c r="BN565" i="63"/>
  <c r="BL564" i="63"/>
  <c r="BN564" i="63" s="1"/>
  <c r="Y566" i="63"/>
  <c r="X564" i="63"/>
  <c r="AM566" i="63"/>
  <c r="AE567" i="63"/>
  <c r="AV571" i="63"/>
  <c r="AU570" i="63"/>
  <c r="BK570" i="63"/>
  <c r="P574" i="63"/>
  <c r="L574" i="63"/>
  <c r="U574" i="63"/>
  <c r="O570" i="63"/>
  <c r="AR570" i="63"/>
  <c r="AS574" i="63"/>
  <c r="AP581" i="63"/>
  <c r="AO579" i="63"/>
  <c r="BE581" i="63"/>
  <c r="BD579" i="63"/>
  <c r="T583" i="63"/>
  <c r="Z583" i="63" s="1"/>
  <c r="N579" i="63"/>
  <c r="Y586" i="63"/>
  <c r="X585" i="63"/>
  <c r="S589" i="63"/>
  <c r="L589" i="63"/>
  <c r="U589" i="63"/>
  <c r="BE589" i="63"/>
  <c r="BD585" i="63"/>
  <c r="BE585" i="63" s="1"/>
  <c r="AJ591" i="63"/>
  <c r="P592" i="63"/>
  <c r="L592" i="63"/>
  <c r="U592" i="63"/>
  <c r="O591" i="63"/>
  <c r="AS592" i="63"/>
  <c r="AY592" i="63"/>
  <c r="AW591" i="63"/>
  <c r="AY591" i="63" s="1"/>
  <c r="S598" i="63"/>
  <c r="L598" i="63"/>
  <c r="R597" i="63"/>
  <c r="S597" i="63" s="1"/>
  <c r="U598" i="63"/>
  <c r="AP598" i="63"/>
  <c r="AN597" i="63"/>
  <c r="BE598" i="63"/>
  <c r="BD597" i="63"/>
  <c r="BE597" i="63" s="1"/>
  <c r="Z601" i="63"/>
  <c r="V604" i="63"/>
  <c r="AA604" i="63"/>
  <c r="AB604" i="63" s="1"/>
  <c r="AJ604" i="63"/>
  <c r="AI603" i="63"/>
  <c r="AJ603" i="63" s="1"/>
  <c r="AX603" i="63"/>
  <c r="AY604" i="63"/>
  <c r="BK605" i="63"/>
  <c r="BI603" i="63"/>
  <c r="BK603" i="63" s="1"/>
  <c r="S606" i="63"/>
  <c r="K606" i="63"/>
  <c r="M606" i="63" s="1"/>
  <c r="T606" i="63"/>
  <c r="Z606" i="63" s="1"/>
  <c r="Z607" i="63"/>
  <c r="AZ612" i="63"/>
  <c r="AZ611" i="63" s="1"/>
  <c r="T616" i="63"/>
  <c r="Z616" i="63" s="1"/>
  <c r="K616" i="63"/>
  <c r="BB616" i="63"/>
  <c r="BP612" i="63"/>
  <c r="BQ616" i="63"/>
  <c r="AU618" i="63"/>
  <c r="AV618" i="63" s="1"/>
  <c r="U621" i="63"/>
  <c r="L621" i="63"/>
  <c r="M621" i="63" s="1"/>
  <c r="S622" i="63"/>
  <c r="L622" i="63"/>
  <c r="M622" i="63" s="1"/>
  <c r="AV624" i="63"/>
  <c r="AY625" i="63"/>
  <c r="AW624" i="63"/>
  <c r="BN625" i="63"/>
  <c r="BM624" i="63"/>
  <c r="BN624" i="63" s="1"/>
  <c r="AQ630" i="63"/>
  <c r="AV631" i="63"/>
  <c r="BB631" i="63"/>
  <c r="AZ630" i="63"/>
  <c r="BB630" i="63" s="1"/>
  <c r="BO630" i="63"/>
  <c r="S637" i="63"/>
  <c r="K637" i="63"/>
  <c r="M637" i="63" s="1"/>
  <c r="Q636" i="63"/>
  <c r="T636" i="63" s="1"/>
  <c r="Z636" i="63" s="1"/>
  <c r="T637" i="63"/>
  <c r="Z637" i="63" s="1"/>
  <c r="Z638" i="63"/>
  <c r="BB638" i="63"/>
  <c r="BA636" i="63"/>
  <c r="AV639" i="63"/>
  <c r="V641" i="63"/>
  <c r="Z641" i="63"/>
  <c r="AJ645" i="63"/>
  <c r="Y647" i="63"/>
  <c r="AJ649" i="63"/>
  <c r="AJ650" i="63"/>
  <c r="W644" i="63"/>
  <c r="Y644" i="63" s="1"/>
  <c r="Y652" i="63"/>
  <c r="W650" i="63"/>
  <c r="O646" i="63"/>
  <c r="U654" i="63"/>
  <c r="L654" i="63"/>
  <c r="AP646" i="63"/>
  <c r="BE654" i="63"/>
  <c r="BC646" i="63"/>
  <c r="M655" i="63"/>
  <c r="K396" i="63"/>
  <c r="M396" i="63" s="1"/>
  <c r="Z396" i="63"/>
  <c r="AB655" i="63"/>
  <c r="S656" i="63"/>
  <c r="K656" i="63"/>
  <c r="Q648" i="63"/>
  <c r="T656" i="63"/>
  <c r="Z656" i="63" s="1"/>
  <c r="Z397" i="63" s="1"/>
  <c r="AQ646" i="63"/>
  <c r="AS646" i="63" s="1"/>
  <c r="AQ658" i="63"/>
  <c r="BB662" i="63"/>
  <c r="AZ658" i="63"/>
  <c r="BO658" i="63"/>
  <c r="BO642" i="63" s="1"/>
  <c r="BO646" i="63"/>
  <c r="BQ646" i="63" s="1"/>
  <c r="M663" i="63"/>
  <c r="R666" i="63"/>
  <c r="R644" i="63"/>
  <c r="S644" i="63" s="1"/>
  <c r="S668" i="63"/>
  <c r="BH680" i="63"/>
  <c r="BF648" i="63"/>
  <c r="BH648" i="63" s="1"/>
  <c r="Z419" i="63"/>
  <c r="AB681" i="63"/>
  <c r="AB691" i="63"/>
  <c r="AD758" i="63"/>
  <c r="L711" i="63"/>
  <c r="I712" i="63"/>
  <c r="H759" i="63"/>
  <c r="AU709" i="63"/>
  <c r="U717" i="63"/>
  <c r="O709" i="63"/>
  <c r="L717" i="63"/>
  <c r="AO750" i="63"/>
  <c r="K718" i="63"/>
  <c r="J718" i="63" s="1"/>
  <c r="Y718" i="63"/>
  <c r="AA724" i="63"/>
  <c r="Q799" i="63"/>
  <c r="S738" i="63"/>
  <c r="Q737" i="63"/>
  <c r="S737" i="63" s="1"/>
  <c r="AB747" i="63"/>
  <c r="R757" i="63"/>
  <c r="I771" i="63"/>
  <c r="U772" i="63"/>
  <c r="O759" i="63"/>
  <c r="P772" i="63"/>
  <c r="L772" i="63"/>
  <c r="Y772" i="63"/>
  <c r="K772" i="63"/>
  <c r="AD770" i="63"/>
  <c r="U799" i="63"/>
  <c r="O798" i="63"/>
  <c r="L799" i="63"/>
  <c r="T830" i="63"/>
  <c r="N860" i="63"/>
  <c r="P860" i="63" s="1"/>
  <c r="BD860" i="63"/>
  <c r="BE860" i="63" s="1"/>
  <c r="BE830" i="63"/>
  <c r="Y832" i="63"/>
  <c r="K832" i="63"/>
  <c r="N863" i="63"/>
  <c r="T835" i="63"/>
  <c r="K835" i="63"/>
  <c r="Y836" i="63"/>
  <c r="W829" i="63"/>
  <c r="BA864" i="63"/>
  <c r="BA829" i="63"/>
  <c r="BP829" i="63"/>
  <c r="BQ836" i="63"/>
  <c r="N867" i="63"/>
  <c r="P867" i="63" s="1"/>
  <c r="T839" i="63"/>
  <c r="Z839" i="63" s="1"/>
  <c r="N836" i="63"/>
  <c r="K839" i="63"/>
  <c r="N834" i="63"/>
  <c r="AD867" i="63"/>
  <c r="AE867" i="63" s="1"/>
  <c r="AD836" i="63"/>
  <c r="AE839" i="63"/>
  <c r="AY844" i="63"/>
  <c r="AW872" i="63"/>
  <c r="AY872" i="63" s="1"/>
  <c r="BM872" i="63"/>
  <c r="BN844" i="63"/>
  <c r="M855" i="63"/>
  <c r="K881" i="63"/>
  <c r="M881" i="63" s="1"/>
  <c r="L882" i="63"/>
  <c r="M882" i="63" s="1"/>
  <c r="M856" i="63"/>
  <c r="Y886" i="63"/>
  <c r="X860" i="63"/>
  <c r="O862" i="63"/>
  <c r="AP895" i="63"/>
  <c r="AO867" i="63"/>
  <c r="AP867" i="63" s="1"/>
  <c r="AO890" i="63"/>
  <c r="AV895" i="63"/>
  <c r="AU892" i="63"/>
  <c r="AU890" i="63"/>
  <c r="AU867" i="63"/>
  <c r="AV867" i="63" s="1"/>
  <c r="AZ885" i="63"/>
  <c r="AB896" i="63"/>
  <c r="AA868" i="63"/>
  <c r="AB897" i="63"/>
  <c r="M898" i="63"/>
  <c r="L870" i="63"/>
  <c r="M870" i="63" s="1"/>
  <c r="BK900" i="63"/>
  <c r="BI885" i="63"/>
  <c r="BI872" i="63"/>
  <c r="BK872" i="63" s="1"/>
  <c r="M906" i="63"/>
  <c r="K876" i="63"/>
  <c r="S994" i="63"/>
  <c r="K994" i="63"/>
  <c r="T994" i="63"/>
  <c r="Z994" i="63" s="1"/>
  <c r="Y994" i="63"/>
  <c r="L994" i="63"/>
  <c r="U1061" i="63"/>
  <c r="V1005" i="63"/>
  <c r="AA1005" i="63"/>
  <c r="AB1005" i="63" s="1"/>
  <c r="T1063" i="63"/>
  <c r="Z1009" i="63"/>
  <c r="Z1063" i="63" s="1"/>
  <c r="M1010" i="63"/>
  <c r="K1064" i="63"/>
  <c r="M1064" i="63" s="1"/>
  <c r="M1011" i="63"/>
  <c r="L1065" i="63"/>
  <c r="M1065" i="63" s="1"/>
  <c r="M1017" i="63"/>
  <c r="K1069" i="63"/>
  <c r="L1070" i="63"/>
  <c r="M1070" i="63" s="1"/>
  <c r="M1018" i="63"/>
  <c r="AA85" i="63"/>
  <c r="V87" i="63"/>
  <c r="K92" i="63"/>
  <c r="K60" i="63" s="1"/>
  <c r="S90" i="63"/>
  <c r="AE90" i="63"/>
  <c r="AO90" i="63"/>
  <c r="AO70" i="63" s="1"/>
  <c r="AP92" i="63"/>
  <c r="BE90" i="63"/>
  <c r="BM90" i="63"/>
  <c r="BN92" i="63"/>
  <c r="AA97" i="63"/>
  <c r="AB97" i="63" s="1"/>
  <c r="AV101" i="63"/>
  <c r="T106" i="63"/>
  <c r="P106" i="63"/>
  <c r="K106" i="63"/>
  <c r="T108" i="63"/>
  <c r="P108" i="63"/>
  <c r="K108" i="63"/>
  <c r="T110" i="63"/>
  <c r="K110" i="63"/>
  <c r="K374" i="63" s="1"/>
  <c r="T112" i="63"/>
  <c r="Z112" i="63" s="1"/>
  <c r="K112" i="63"/>
  <c r="T114" i="63"/>
  <c r="Z114" i="63" s="1"/>
  <c r="K114" i="63"/>
  <c r="T116" i="63"/>
  <c r="Z116" i="63" s="1"/>
  <c r="N380" i="63"/>
  <c r="K116" i="63"/>
  <c r="N103" i="63"/>
  <c r="AZ380" i="63"/>
  <c r="BB380" i="63" s="1"/>
  <c r="AZ103" i="63"/>
  <c r="AP117" i="63"/>
  <c r="BB117" i="63"/>
  <c r="BN117" i="63"/>
  <c r="P118" i="63"/>
  <c r="AS118" i="63"/>
  <c r="BB118" i="63"/>
  <c r="BQ118" i="63"/>
  <c r="L119" i="63"/>
  <c r="S119" i="63"/>
  <c r="BE120" i="63"/>
  <c r="BE121" i="63"/>
  <c r="AR386" i="63"/>
  <c r="AS386" i="63" s="1"/>
  <c r="AS122" i="63"/>
  <c r="BP386" i="63"/>
  <c r="BQ386" i="63" s="1"/>
  <c r="BQ122" i="63"/>
  <c r="P126" i="63"/>
  <c r="AS126" i="63"/>
  <c r="BB126" i="63"/>
  <c r="BQ126" i="63"/>
  <c r="S127" i="63"/>
  <c r="AE127" i="63"/>
  <c r="AP127" i="63"/>
  <c r="BE127" i="63"/>
  <c r="BN127" i="63"/>
  <c r="AE131" i="63"/>
  <c r="BE131" i="63"/>
  <c r="S132" i="63"/>
  <c r="AE132" i="63"/>
  <c r="AP132" i="63"/>
  <c r="BE132" i="63"/>
  <c r="BN132" i="63"/>
  <c r="P133" i="63"/>
  <c r="AS133" i="63"/>
  <c r="BQ133" i="63"/>
  <c r="L134" i="63"/>
  <c r="S134" i="63"/>
  <c r="AS134" i="63"/>
  <c r="BQ134" i="63"/>
  <c r="L135" i="63"/>
  <c r="S135" i="63"/>
  <c r="M138" i="63"/>
  <c r="AB138" i="63"/>
  <c r="I140" i="63"/>
  <c r="G105" i="63"/>
  <c r="I105" i="63" s="1"/>
  <c r="Z140" i="63"/>
  <c r="X105" i="63"/>
  <c r="Y140" i="63"/>
  <c r="AK105" i="63"/>
  <c r="AV140" i="63"/>
  <c r="AT105" i="63"/>
  <c r="AV105" i="63" s="1"/>
  <c r="BI105" i="63"/>
  <c r="M142" i="63"/>
  <c r="M145" i="63"/>
  <c r="W111" i="63"/>
  <c r="K111" i="63" s="1"/>
  <c r="AO137" i="63"/>
  <c r="AO111" i="63"/>
  <c r="AX137" i="63"/>
  <c r="AX111" i="63"/>
  <c r="AY146" i="63"/>
  <c r="BM137" i="63"/>
  <c r="BM111" i="63"/>
  <c r="M148" i="63"/>
  <c r="AB148" i="63"/>
  <c r="M151" i="63"/>
  <c r="BE152" i="63"/>
  <c r="U158" i="63"/>
  <c r="L158" i="63"/>
  <c r="O125" i="63"/>
  <c r="Y158" i="63"/>
  <c r="W125" i="63"/>
  <c r="AP158" i="63"/>
  <c r="AO125" i="63"/>
  <c r="BN158" i="63"/>
  <c r="BM125" i="63"/>
  <c r="T160" i="63"/>
  <c r="Q158" i="63"/>
  <c r="Q500" i="63"/>
  <c r="S160" i="63"/>
  <c r="M163" i="63"/>
  <c r="BE164" i="63"/>
  <c r="AA166" i="63"/>
  <c r="AB166" i="63" s="1"/>
  <c r="V166" i="63"/>
  <c r="AB169" i="63"/>
  <c r="V174" i="63"/>
  <c r="AB176" i="63"/>
  <c r="M177" i="63"/>
  <c r="I179" i="63"/>
  <c r="V181" i="63"/>
  <c r="AQ720" i="63"/>
  <c r="AS185" i="63"/>
  <c r="BF720" i="63"/>
  <c r="BF117" i="63"/>
  <c r="BO720" i="63"/>
  <c r="AC720" i="63" s="1"/>
  <c r="BQ185" i="63"/>
  <c r="V190" i="63"/>
  <c r="T191" i="63"/>
  <c r="Z191" i="63" s="1"/>
  <c r="K191" i="63"/>
  <c r="M192" i="63"/>
  <c r="V192" i="63"/>
  <c r="L197" i="63"/>
  <c r="M197" i="63" s="1"/>
  <c r="S197" i="63"/>
  <c r="AE197" i="63"/>
  <c r="AP197" i="63"/>
  <c r="BE197" i="63"/>
  <c r="BN197" i="63"/>
  <c r="M200" i="63"/>
  <c r="V200" i="63"/>
  <c r="Z204" i="63"/>
  <c r="AB204" i="63" s="1"/>
  <c r="U206" i="63"/>
  <c r="V206" i="63" s="1"/>
  <c r="P206" i="63"/>
  <c r="L206" i="63"/>
  <c r="AA206" i="63"/>
  <c r="AB206" i="63" s="1"/>
  <c r="BB206" i="63"/>
  <c r="AB207" i="63"/>
  <c r="G203" i="63"/>
  <c r="S212" i="63"/>
  <c r="X203" i="63"/>
  <c r="Y203" i="63" s="1"/>
  <c r="AE212" i="63"/>
  <c r="AL203" i="63"/>
  <c r="AV212" i="63"/>
  <c r="BJ203" i="63"/>
  <c r="BK203" i="63" s="1"/>
  <c r="AB214" i="63"/>
  <c r="V216" i="63"/>
  <c r="AB217" i="63"/>
  <c r="AA218" i="63"/>
  <c r="AB218" i="63" s="1"/>
  <c r="AJ218" i="63"/>
  <c r="BH218" i="63"/>
  <c r="AV224" i="63"/>
  <c r="AB226" i="63"/>
  <c r="V228" i="63"/>
  <c r="AB229" i="63"/>
  <c r="AA230" i="63"/>
  <c r="AB230" i="63" s="1"/>
  <c r="V230" i="63"/>
  <c r="AJ230" i="63"/>
  <c r="BH230" i="63"/>
  <c r="V240" i="63"/>
  <c r="AB242" i="63"/>
  <c r="I245" i="63"/>
  <c r="V247" i="63"/>
  <c r="S251" i="63"/>
  <c r="K251" i="63"/>
  <c r="M251" i="63" s="1"/>
  <c r="AB255" i="63"/>
  <c r="M256" i="63"/>
  <c r="I257" i="63"/>
  <c r="V259" i="63"/>
  <c r="S263" i="63"/>
  <c r="K263" i="63"/>
  <c r="M263" i="63" s="1"/>
  <c r="AB267" i="63"/>
  <c r="AP272" i="63"/>
  <c r="BN272" i="63"/>
  <c r="V275" i="63"/>
  <c r="AB277" i="63"/>
  <c r="AA278" i="63"/>
  <c r="AB278" i="63" s="1"/>
  <c r="V278" i="63"/>
  <c r="AJ278" i="63"/>
  <c r="AS278" i="63"/>
  <c r="BH278" i="63"/>
  <c r="BQ278" i="63"/>
  <c r="V283" i="63"/>
  <c r="K284" i="63"/>
  <c r="M284" i="63" s="1"/>
  <c r="S284" i="63"/>
  <c r="AE284" i="63"/>
  <c r="AV284" i="63"/>
  <c r="BE284" i="63"/>
  <c r="AB286" i="63"/>
  <c r="V288" i="63"/>
  <c r="AA290" i="63"/>
  <c r="AB290" i="63" s="1"/>
  <c r="V290" i="63"/>
  <c r="AJ290" i="63"/>
  <c r="AS290" i="63"/>
  <c r="AX125" i="63"/>
  <c r="BH290" i="63"/>
  <c r="BQ290" i="63"/>
  <c r="V295" i="63"/>
  <c r="G131" i="63"/>
  <c r="G389" i="63" s="1"/>
  <c r="K296" i="63"/>
  <c r="M296" i="63" s="1"/>
  <c r="S296" i="63"/>
  <c r="X131" i="63"/>
  <c r="AE296" i="63"/>
  <c r="AL131" i="63"/>
  <c r="AM131" i="63" s="1"/>
  <c r="AV296" i="63"/>
  <c r="BE296" i="63"/>
  <c r="BJ131" i="63"/>
  <c r="BK131" i="63" s="1"/>
  <c r="AB298" i="63"/>
  <c r="M299" i="63"/>
  <c r="V300" i="63"/>
  <c r="AB301" i="63"/>
  <c r="K303" i="63"/>
  <c r="M303" i="63" s="1"/>
  <c r="S303" i="63"/>
  <c r="AE303" i="63"/>
  <c r="AV303" i="63"/>
  <c r="BE303" i="63"/>
  <c r="I304" i="63"/>
  <c r="AA304" i="63"/>
  <c r="V305" i="63"/>
  <c r="AJ305" i="63"/>
  <c r="BH305" i="63"/>
  <c r="BQ305" i="63"/>
  <c r="S306" i="63"/>
  <c r="K306" i="63"/>
  <c r="AV307" i="63"/>
  <c r="I308" i="63"/>
  <c r="AA309" i="63"/>
  <c r="AB309" i="63" s="1"/>
  <c r="V309" i="63"/>
  <c r="AJ309" i="63"/>
  <c r="BH309" i="63"/>
  <c r="S310" i="63"/>
  <c r="K310" i="63"/>
  <c r="M310" i="63" s="1"/>
  <c r="K394" i="63"/>
  <c r="M394" i="63" s="1"/>
  <c r="M313" i="63"/>
  <c r="K398" i="63"/>
  <c r="M398" i="63" s="1"/>
  <c r="M317" i="63"/>
  <c r="AB317" i="63"/>
  <c r="Y318" i="63"/>
  <c r="W302" i="63"/>
  <c r="Y302" i="63" s="1"/>
  <c r="AN302" i="63"/>
  <c r="AY318" i="63"/>
  <c r="AW302" i="63"/>
  <c r="BL302" i="63"/>
  <c r="V319" i="63"/>
  <c r="AB321" i="63"/>
  <c r="V323" i="63"/>
  <c r="AV326" i="63"/>
  <c r="AB328" i="63"/>
  <c r="AB331" i="63"/>
  <c r="AB332" i="63"/>
  <c r="AP334" i="63"/>
  <c r="BN334" i="63"/>
  <c r="V337" i="63"/>
  <c r="I342" i="63"/>
  <c r="V344" i="63"/>
  <c r="AB346" i="63"/>
  <c r="V348" i="63"/>
  <c r="AB353" i="63"/>
  <c r="V355" i="63"/>
  <c r="AB361" i="63"/>
  <c r="V363" i="63"/>
  <c r="BB374" i="63"/>
  <c r="V387" i="63"/>
  <c r="S394" i="63"/>
  <c r="AE394" i="63"/>
  <c r="AV394" i="63"/>
  <c r="BE394" i="63"/>
  <c r="I395" i="63"/>
  <c r="I396" i="63"/>
  <c r="V398" i="63"/>
  <c r="AJ398" i="63"/>
  <c r="AS398" i="63"/>
  <c r="BH398" i="63"/>
  <c r="BQ398" i="63"/>
  <c r="AJ401" i="63"/>
  <c r="AY401" i="63"/>
  <c r="BH401" i="63"/>
  <c r="V402" i="63"/>
  <c r="V403" i="63"/>
  <c r="Y403" i="63"/>
  <c r="I405" i="63"/>
  <c r="AM405" i="63"/>
  <c r="AV405" i="63"/>
  <c r="BK405" i="63"/>
  <c r="I407" i="63"/>
  <c r="M410" i="63"/>
  <c r="AY410" i="63"/>
  <c r="V412" i="63"/>
  <c r="Y412" i="63"/>
  <c r="AM415" i="63"/>
  <c r="BK415" i="63"/>
  <c r="AY419" i="63"/>
  <c r="AY421" i="63"/>
  <c r="M422" i="63"/>
  <c r="AY422" i="63"/>
  <c r="AY423" i="63"/>
  <c r="AY424" i="63"/>
  <c r="AY425" i="63"/>
  <c r="AY426" i="63"/>
  <c r="AY441" i="63"/>
  <c r="AM443" i="63"/>
  <c r="BK443" i="63"/>
  <c r="U446" i="63"/>
  <c r="I450" i="63"/>
  <c r="G374" i="63"/>
  <c r="I374" i="63" s="1"/>
  <c r="Y450" i="63"/>
  <c r="X374" i="63"/>
  <c r="Y374" i="63" s="1"/>
  <c r="AV450" i="63"/>
  <c r="AT374" i="63"/>
  <c r="AM455" i="63"/>
  <c r="Y456" i="63"/>
  <c r="Y458" i="63"/>
  <c r="AY458" i="63"/>
  <c r="U460" i="63"/>
  <c r="AM460" i="63"/>
  <c r="AY460" i="63"/>
  <c r="BK460" i="63"/>
  <c r="Y462" i="63"/>
  <c r="H463" i="63"/>
  <c r="BH466" i="63"/>
  <c r="I467" i="63"/>
  <c r="I469" i="63"/>
  <c r="T470" i="63"/>
  <c r="Z470" i="63" s="1"/>
  <c r="Z388" i="63" s="1"/>
  <c r="P470" i="63"/>
  <c r="K470" i="63"/>
  <c r="N464" i="63"/>
  <c r="N388" i="63"/>
  <c r="P388" i="63" s="1"/>
  <c r="BB470" i="63"/>
  <c r="AZ464" i="63"/>
  <c r="AZ388" i="63"/>
  <c r="L472" i="63"/>
  <c r="M472" i="63" s="1"/>
  <c r="S472" i="63"/>
  <c r="K476" i="63"/>
  <c r="R390" i="63"/>
  <c r="AD390" i="63"/>
  <c r="AE390" i="63" s="1"/>
  <c r="AO464" i="63"/>
  <c r="AP464" i="63" s="1"/>
  <c r="AO390" i="63"/>
  <c r="AP390" i="63" s="1"/>
  <c r="AP476" i="63"/>
  <c r="BD390" i="63"/>
  <c r="BE390" i="63" s="1"/>
  <c r="BM464" i="63"/>
  <c r="BN464" i="63" s="1"/>
  <c r="BM390" i="63"/>
  <c r="BN390" i="63" s="1"/>
  <c r="BN476" i="63"/>
  <c r="X480" i="63"/>
  <c r="T481" i="63"/>
  <c r="Z481" i="63" s="1"/>
  <c r="P481" i="63"/>
  <c r="N480" i="63"/>
  <c r="N446" i="63"/>
  <c r="K481" i="63"/>
  <c r="AQ480" i="63"/>
  <c r="AQ446" i="63"/>
  <c r="BB481" i="63"/>
  <c r="AZ480" i="63"/>
  <c r="AZ446" i="63"/>
  <c r="BB446" i="63" s="1"/>
  <c r="BO480" i="63"/>
  <c r="BO446" i="63"/>
  <c r="AY482" i="63"/>
  <c r="AP483" i="63"/>
  <c r="AN448" i="63"/>
  <c r="AP448" i="63" s="1"/>
  <c r="BC448" i="63"/>
  <c r="BN483" i="63"/>
  <c r="BL448" i="63"/>
  <c r="BN448" i="63" s="1"/>
  <c r="V484" i="63"/>
  <c r="AA484" i="63"/>
  <c r="AB484" i="63" s="1"/>
  <c r="AM484" i="63"/>
  <c r="BK484" i="63"/>
  <c r="K487" i="63"/>
  <c r="Z487" i="63"/>
  <c r="AJ487" i="63"/>
  <c r="AW486" i="63"/>
  <c r="BH487" i="63"/>
  <c r="BF486" i="63"/>
  <c r="T488" i="63"/>
  <c r="Z488" i="63" s="1"/>
  <c r="P488" i="63"/>
  <c r="N453" i="63"/>
  <c r="K488" i="63"/>
  <c r="AQ453" i="63"/>
  <c r="BB488" i="63"/>
  <c r="AZ453" i="63"/>
  <c r="BB453" i="63" s="1"/>
  <c r="BO453" i="63"/>
  <c r="AY489" i="63"/>
  <c r="AP490" i="63"/>
  <c r="AN455" i="63"/>
  <c r="AP455" i="63" s="1"/>
  <c r="BC455" i="63"/>
  <c r="BN490" i="63"/>
  <c r="BL455" i="63"/>
  <c r="BN455" i="63" s="1"/>
  <c r="AB491" i="63"/>
  <c r="I492" i="63"/>
  <c r="H457" i="63"/>
  <c r="U493" i="63"/>
  <c r="O492" i="63"/>
  <c r="P493" i="63"/>
  <c r="L493" i="63"/>
  <c r="M493" i="63" s="1"/>
  <c r="AR458" i="63"/>
  <c r="AS458" i="63" s="1"/>
  <c r="AR492" i="63"/>
  <c r="BA492" i="63"/>
  <c r="BB493" i="63"/>
  <c r="BP458" i="63"/>
  <c r="BQ458" i="63" s="1"/>
  <c r="BP492" i="63"/>
  <c r="AS494" i="63"/>
  <c r="AQ459" i="63"/>
  <c r="AS459" i="63" s="1"/>
  <c r="BQ494" i="63"/>
  <c r="BO459" i="63"/>
  <c r="BQ459" i="63" s="1"/>
  <c r="AP495" i="63"/>
  <c r="BD460" i="63"/>
  <c r="BE460" i="63" s="1"/>
  <c r="BN495" i="63"/>
  <c r="AE496" i="63"/>
  <c r="BE496" i="63"/>
  <c r="BC461" i="63"/>
  <c r="BE461" i="63" s="1"/>
  <c r="AI498" i="63"/>
  <c r="AR498" i="63"/>
  <c r="AS499" i="63"/>
  <c r="AR466" i="63"/>
  <c r="BG498" i="63"/>
  <c r="BP498" i="63"/>
  <c r="BQ499" i="63"/>
  <c r="BP466" i="63"/>
  <c r="BQ466" i="63" s="1"/>
  <c r="AW467" i="63"/>
  <c r="AP501" i="63"/>
  <c r="AN468" i="63"/>
  <c r="AP468" i="63" s="1"/>
  <c r="BN501" i="63"/>
  <c r="BL468" i="63"/>
  <c r="BN468" i="63" s="1"/>
  <c r="W469" i="63"/>
  <c r="S505" i="63"/>
  <c r="K505" i="63"/>
  <c r="AE505" i="63"/>
  <c r="AT472" i="63"/>
  <c r="AV472" i="63" s="1"/>
  <c r="AT504" i="63"/>
  <c r="BE505" i="63"/>
  <c r="BC504" i="63"/>
  <c r="AM506" i="63"/>
  <c r="AK473" i="63"/>
  <c r="AM473" i="63" s="1"/>
  <c r="BK506" i="63"/>
  <c r="BI473" i="63"/>
  <c r="BK473" i="63" s="1"/>
  <c r="AL474" i="63"/>
  <c r="AM474" i="63" s="1"/>
  <c r="AV507" i="63"/>
  <c r="AY508" i="63"/>
  <c r="AW475" i="63"/>
  <c r="AY475" i="63" s="1"/>
  <c r="X513" i="63"/>
  <c r="AL513" i="63"/>
  <c r="AU513" i="63"/>
  <c r="AV514" i="63"/>
  <c r="BJ513" i="63"/>
  <c r="BJ445" i="63" s="1"/>
  <c r="K515" i="63"/>
  <c r="R447" i="63"/>
  <c r="S447" i="63" s="1"/>
  <c r="AD447" i="63"/>
  <c r="AE447" i="63" s="1"/>
  <c r="AP515" i="63"/>
  <c r="BN515" i="63"/>
  <c r="N449" i="63"/>
  <c r="T517" i="63"/>
  <c r="Z517" i="63" s="1"/>
  <c r="AZ449" i="63"/>
  <c r="BB449" i="63" s="1"/>
  <c r="S519" i="63"/>
  <c r="X519" i="63"/>
  <c r="Y520" i="63"/>
  <c r="AK519" i="63"/>
  <c r="AK512" i="63" s="1"/>
  <c r="AV520" i="63"/>
  <c r="AT519" i="63"/>
  <c r="AV519" i="63" s="1"/>
  <c r="BI519" i="63"/>
  <c r="V522" i="63"/>
  <c r="AA522" i="63"/>
  <c r="AM522" i="63"/>
  <c r="BK522" i="63"/>
  <c r="L523" i="63"/>
  <c r="S523" i="63"/>
  <c r="AE523" i="63"/>
  <c r="BE523" i="63"/>
  <c r="Y526" i="63"/>
  <c r="AN525" i="63"/>
  <c r="AY526" i="63"/>
  <c r="AW525" i="63"/>
  <c r="AY525" i="63" s="1"/>
  <c r="BL525" i="63"/>
  <c r="AP528" i="63"/>
  <c r="BN528" i="63"/>
  <c r="AJ529" i="63"/>
  <c r="BH529" i="63"/>
  <c r="Y531" i="63"/>
  <c r="T532" i="63"/>
  <c r="Z532" i="63" s="1"/>
  <c r="P532" i="63"/>
  <c r="N531" i="63"/>
  <c r="K532" i="63"/>
  <c r="AQ531" i="63"/>
  <c r="BB532" i="63"/>
  <c r="AZ531" i="63"/>
  <c r="BB531" i="63" s="1"/>
  <c r="BO531" i="63"/>
  <c r="AY533" i="63"/>
  <c r="AS534" i="63"/>
  <c r="BQ534" i="63"/>
  <c r="Y535" i="63"/>
  <c r="S538" i="63"/>
  <c r="K538" i="63"/>
  <c r="Q537" i="63"/>
  <c r="K537" i="63" s="1"/>
  <c r="AE538" i="63"/>
  <c r="AC537" i="63"/>
  <c r="BE538" i="63"/>
  <c r="BC537" i="63"/>
  <c r="Y541" i="63"/>
  <c r="X475" i="63"/>
  <c r="BK541" i="63"/>
  <c r="BJ475" i="63"/>
  <c r="L549" i="63"/>
  <c r="M549" i="63" s="1"/>
  <c r="Y549" i="63"/>
  <c r="AD546" i="63"/>
  <c r="AE550" i="63"/>
  <c r="BH553" i="63"/>
  <c r="BF552" i="63"/>
  <c r="BH552" i="63" s="1"/>
  <c r="Y555" i="63"/>
  <c r="BK559" i="63"/>
  <c r="BI558" i="63"/>
  <c r="S560" i="63"/>
  <c r="K560" i="63"/>
  <c r="M560" i="63" s="1"/>
  <c r="T560" i="63"/>
  <c r="Z560" i="63" s="1"/>
  <c r="Z561" i="63"/>
  <c r="AV562" i="63"/>
  <c r="AU558" i="63"/>
  <c r="AV558" i="63" s="1"/>
  <c r="BK562" i="63"/>
  <c r="BJ558" i="63"/>
  <c r="BK558" i="63" s="1"/>
  <c r="AJ564" i="63"/>
  <c r="AS565" i="63"/>
  <c r="AR564" i="63"/>
  <c r="AS564" i="63" s="1"/>
  <c r="BQ565" i="63"/>
  <c r="BP564" i="63"/>
  <c r="BQ564" i="63" s="1"/>
  <c r="BK566" i="63"/>
  <c r="S567" i="63"/>
  <c r="L567" i="63"/>
  <c r="U567" i="63"/>
  <c r="BE567" i="63"/>
  <c r="AZ570" i="63"/>
  <c r="BB570" i="63" s="1"/>
  <c r="T574" i="63"/>
  <c r="Z574" i="63" s="1"/>
  <c r="K574" i="63"/>
  <c r="BB574" i="63"/>
  <c r="BP570" i="63"/>
  <c r="BQ570" i="63" s="1"/>
  <c r="BQ574" i="63"/>
  <c r="BB579" i="63"/>
  <c r="AL579" i="63"/>
  <c r="AM580" i="63"/>
  <c r="AN578" i="63"/>
  <c r="AY581" i="63"/>
  <c r="AW579" i="63"/>
  <c r="BN581" i="63"/>
  <c r="BM579" i="63"/>
  <c r="K583" i="63"/>
  <c r="AR585" i="63"/>
  <c r="L586" i="63"/>
  <c r="W585" i="63"/>
  <c r="K586" i="63"/>
  <c r="U588" i="63"/>
  <c r="L588" i="63"/>
  <c r="M588" i="63" s="1"/>
  <c r="P588" i="63"/>
  <c r="BH591" i="63"/>
  <c r="K592" i="63"/>
  <c r="BB592" i="63"/>
  <c r="BA591" i="63"/>
  <c r="BQ591" i="63"/>
  <c r="AE593" i="63"/>
  <c r="AC591" i="63"/>
  <c r="AV593" i="63"/>
  <c r="AU591" i="63"/>
  <c r="AV591" i="63" s="1"/>
  <c r="AP597" i="63"/>
  <c r="BN598" i="63"/>
  <c r="BL597" i="63"/>
  <c r="BN597" i="63" s="1"/>
  <c r="AJ599" i="63"/>
  <c r="AH597" i="63"/>
  <c r="BH599" i="63"/>
  <c r="BF597" i="63"/>
  <c r="K600" i="63"/>
  <c r="T600" i="63"/>
  <c r="Z600" i="63" s="1"/>
  <c r="P600" i="63"/>
  <c r="AY601" i="63"/>
  <c r="AX597" i="63"/>
  <c r="AY597" i="63" s="1"/>
  <c r="AS604" i="63"/>
  <c r="AQ603" i="63"/>
  <c r="BH604" i="63"/>
  <c r="BG603" i="63"/>
  <c r="BH603" i="63" s="1"/>
  <c r="AB608" i="63"/>
  <c r="AP614" i="63"/>
  <c r="AO612" i="63"/>
  <c r="BN614" i="63"/>
  <c r="BM612" i="63"/>
  <c r="AJ615" i="63"/>
  <c r="AB617" i="63"/>
  <c r="Y619" i="63"/>
  <c r="X618" i="63"/>
  <c r="Y618" i="63" s="1"/>
  <c r="AM619" i="63"/>
  <c r="AL618" i="63"/>
  <c r="AM618" i="63" s="1"/>
  <c r="BA618" i="63"/>
  <c r="BB619" i="63"/>
  <c r="AE620" i="63"/>
  <c r="AD618" i="63"/>
  <c r="Y625" i="63"/>
  <c r="W624" i="63"/>
  <c r="AE631" i="63"/>
  <c r="AD630" i="63"/>
  <c r="AE630" i="63" s="1"/>
  <c r="BE631" i="63"/>
  <c r="BD630" i="63"/>
  <c r="BE630" i="63" s="1"/>
  <c r="K633" i="63"/>
  <c r="T633" i="63"/>
  <c r="Z633" i="63" s="1"/>
  <c r="AB633" i="63" s="1"/>
  <c r="P633" i="63"/>
  <c r="AS633" i="63"/>
  <c r="AV634" i="63"/>
  <c r="AT630" i="63"/>
  <c r="AV630" i="63" s="1"/>
  <c r="AE637" i="63"/>
  <c r="AC636" i="63"/>
  <c r="BE637" i="63"/>
  <c r="BC636" i="63"/>
  <c r="S639" i="63"/>
  <c r="K639" i="63"/>
  <c r="T639" i="63"/>
  <c r="Z639" i="63" s="1"/>
  <c r="L639" i="63"/>
  <c r="M639" i="63" s="1"/>
  <c r="Y639" i="63"/>
  <c r="AD636" i="63"/>
  <c r="AE636" i="63" s="1"/>
  <c r="AE640" i="63"/>
  <c r="K645" i="63"/>
  <c r="T645" i="63"/>
  <c r="Z645" i="63" s="1"/>
  <c r="P645" i="63"/>
  <c r="T648" i="63"/>
  <c r="K649" i="63"/>
  <c r="T649" i="63"/>
  <c r="Z649" i="63" s="1"/>
  <c r="P649" i="63"/>
  <c r="AP650" i="63"/>
  <c r="AB652" i="63"/>
  <c r="AT650" i="63"/>
  <c r="AT642" i="63" s="1"/>
  <c r="AT644" i="63"/>
  <c r="BE652" i="63"/>
  <c r="BC650" i="63"/>
  <c r="BI644" i="63"/>
  <c r="BK652" i="63"/>
  <c r="BI650" i="63"/>
  <c r="AA394" i="63"/>
  <c r="AB394" i="63" s="1"/>
  <c r="AB653" i="63"/>
  <c r="M659" i="63"/>
  <c r="AE662" i="63"/>
  <c r="AD646" i="63"/>
  <c r="BE662" i="63"/>
  <c r="BD646" i="63"/>
  <c r="V663" i="63"/>
  <c r="Z663" i="63"/>
  <c r="Z403" i="63" s="1"/>
  <c r="U680" i="63"/>
  <c r="L680" i="63"/>
  <c r="AM680" i="63"/>
  <c r="AL648" i="63"/>
  <c r="AM648" i="63" s="1"/>
  <c r="BK680" i="63"/>
  <c r="BJ648" i="63"/>
  <c r="BK648" i="63" s="1"/>
  <c r="V693" i="63"/>
  <c r="AA693" i="63"/>
  <c r="AB693" i="63" s="1"/>
  <c r="V695" i="63"/>
  <c r="AA695" i="63"/>
  <c r="AB695" i="63" s="1"/>
  <c r="R750" i="63"/>
  <c r="AR708" i="63"/>
  <c r="BD709" i="63"/>
  <c r="BO815" i="63"/>
  <c r="BQ815" i="63" s="1"/>
  <c r="BI815" i="63"/>
  <c r="BK815" i="63" s="1"/>
  <c r="AE724" i="63"/>
  <c r="AC721" i="63"/>
  <c r="AE721" i="63" s="1"/>
  <c r="BL815" i="63"/>
  <c r="BN815" i="63" s="1"/>
  <c r="T725" i="63"/>
  <c r="Z725" i="63" s="1"/>
  <c r="P725" i="63"/>
  <c r="K725" i="63"/>
  <c r="AB725" i="63"/>
  <c r="AB735" i="63"/>
  <c r="BP757" i="63"/>
  <c r="AU770" i="63"/>
  <c r="T782" i="63"/>
  <c r="Z782" i="63" s="1"/>
  <c r="AB782" i="63" s="1"/>
  <c r="P782" i="63"/>
  <c r="K782" i="63"/>
  <c r="M785" i="63"/>
  <c r="AB785" i="63"/>
  <c r="BQ801" i="63"/>
  <c r="BO798" i="63"/>
  <c r="BO760" i="63" s="1"/>
  <c r="AV803" i="63"/>
  <c r="AU798" i="63"/>
  <c r="AE805" i="63"/>
  <c r="AD798" i="63"/>
  <c r="M809" i="63"/>
  <c r="L766" i="63"/>
  <c r="M766" i="63" s="1"/>
  <c r="AB809" i="63"/>
  <c r="V811" i="63"/>
  <c r="AA811" i="63"/>
  <c r="AB811" i="63" s="1"/>
  <c r="AA813" i="63"/>
  <c r="AM822" i="63"/>
  <c r="K830" i="63"/>
  <c r="BN830" i="63"/>
  <c r="BM860" i="63"/>
  <c r="BN860" i="63" s="1"/>
  <c r="AN864" i="63"/>
  <c r="AN829" i="63"/>
  <c r="AN859" i="63" s="1"/>
  <c r="L865" i="63"/>
  <c r="M865" i="63" s="1"/>
  <c r="M837" i="63"/>
  <c r="AP839" i="63"/>
  <c r="AO836" i="63"/>
  <c r="AO864" i="63" s="1"/>
  <c r="AZ867" i="63"/>
  <c r="BB867" i="63" s="1"/>
  <c r="AZ836" i="63"/>
  <c r="AZ829" i="63" s="1"/>
  <c r="BK839" i="63"/>
  <c r="BI867" i="63"/>
  <c r="BK867" i="63" s="1"/>
  <c r="BI836" i="63"/>
  <c r="AB849" i="63"/>
  <c r="M876" i="63"/>
  <c r="Z856" i="63"/>
  <c r="AB856" i="63" s="1"/>
  <c r="T882" i="63"/>
  <c r="AJ869" i="63"/>
  <c r="AK879" i="63"/>
  <c r="L886" i="63"/>
  <c r="K886" i="63"/>
  <c r="K860" i="63" s="1"/>
  <c r="W860" i="63"/>
  <c r="V903" i="63"/>
  <c r="U875" i="63"/>
  <c r="AA903" i="63"/>
  <c r="BE909" i="63"/>
  <c r="BD879" i="63"/>
  <c r="AA881" i="63"/>
  <c r="P919" i="63"/>
  <c r="U919" i="63"/>
  <c r="V958" i="63"/>
  <c r="AA958" i="63"/>
  <c r="AB958" i="63" s="1"/>
  <c r="G1040" i="63"/>
  <c r="G934" i="63"/>
  <c r="I984" i="63"/>
  <c r="H919" i="63"/>
  <c r="AA984" i="63"/>
  <c r="AB984" i="63" s="1"/>
  <c r="V984" i="63"/>
  <c r="AJ984" i="63"/>
  <c r="AI919" i="63"/>
  <c r="AY984" i="63"/>
  <c r="AX919" i="63"/>
  <c r="AY919" i="63" s="1"/>
  <c r="AA985" i="63"/>
  <c r="AA109" i="63"/>
  <c r="AB109" i="63" s="1"/>
  <c r="AA110" i="63"/>
  <c r="AT713" i="63"/>
  <c r="AV713" i="63" s="1"/>
  <c r="AT710" i="63"/>
  <c r="AV710" i="63" s="1"/>
  <c r="AV714" i="63"/>
  <c r="BF713" i="63"/>
  <c r="BH713" i="63" s="1"/>
  <c r="AN717" i="63"/>
  <c r="AP717" i="63" s="1"/>
  <c r="AN712" i="63"/>
  <c r="AP712" i="63" s="1"/>
  <c r="AP720" i="63"/>
  <c r="AZ717" i="63"/>
  <c r="BB717" i="63" s="1"/>
  <c r="AZ712" i="63"/>
  <c r="BB712" i="63" s="1"/>
  <c r="BB720" i="63"/>
  <c r="BL717" i="63"/>
  <c r="BN717" i="63" s="1"/>
  <c r="BL712" i="63"/>
  <c r="BN712" i="63" s="1"/>
  <c r="BN720" i="63"/>
  <c r="AA192" i="63"/>
  <c r="AB192" i="63" s="1"/>
  <c r="AA194" i="63"/>
  <c r="AB194" i="63" s="1"/>
  <c r="AA200" i="63"/>
  <c r="AB200" i="63" s="1"/>
  <c r="Z304" i="63"/>
  <c r="BK539" i="63"/>
  <c r="AE540" i="63"/>
  <c r="AY541" i="63"/>
  <c r="K547" i="63"/>
  <c r="M547" i="63" s="1"/>
  <c r="S547" i="63"/>
  <c r="X546" i="63"/>
  <c r="AE547" i="63"/>
  <c r="AL546" i="63"/>
  <c r="AV547" i="63"/>
  <c r="AU546" i="63"/>
  <c r="BE547" i="63"/>
  <c r="BJ546" i="63"/>
  <c r="K548" i="63"/>
  <c r="Y548" i="63"/>
  <c r="AP548" i="63"/>
  <c r="AY548" i="63"/>
  <c r="BN548" i="63"/>
  <c r="Y553" i="63"/>
  <c r="X552" i="63"/>
  <c r="Y552" i="63" s="1"/>
  <c r="AK552" i="63"/>
  <c r="AV553" i="63"/>
  <c r="AT552" i="63"/>
  <c r="AV552" i="63" s="1"/>
  <c r="BI552" i="63"/>
  <c r="BI545" i="63" s="1"/>
  <c r="AA555" i="63"/>
  <c r="AM555" i="63"/>
  <c r="BK555" i="63"/>
  <c r="S556" i="63"/>
  <c r="L556" i="63"/>
  <c r="AE556" i="63"/>
  <c r="BE556" i="63"/>
  <c r="Y559" i="63"/>
  <c r="W558" i="63"/>
  <c r="AN558" i="63"/>
  <c r="AY559" i="63"/>
  <c r="AW558" i="63"/>
  <c r="AY558" i="63" s="1"/>
  <c r="BL558" i="63"/>
  <c r="AV560" i="63"/>
  <c r="K561" i="63"/>
  <c r="AP561" i="63"/>
  <c r="BN561" i="63"/>
  <c r="W564" i="63"/>
  <c r="S565" i="63"/>
  <c r="L565" i="63"/>
  <c r="R564" i="63"/>
  <c r="AE565" i="63"/>
  <c r="AD564" i="63"/>
  <c r="AE564" i="63" s="1"/>
  <c r="AU564" i="63"/>
  <c r="AV564" i="63" s="1"/>
  <c r="BE565" i="63"/>
  <c r="BD564" i="63"/>
  <c r="Z566" i="63"/>
  <c r="K567" i="63"/>
  <c r="T567" i="63"/>
  <c r="Z567" i="63" s="1"/>
  <c r="P567" i="63"/>
  <c r="AY568" i="63"/>
  <c r="V569" i="63"/>
  <c r="W570" i="63"/>
  <c r="AW570" i="63"/>
  <c r="V571" i="63"/>
  <c r="AA571" i="63"/>
  <c r="AB571" i="63" s="1"/>
  <c r="AJ571" i="63"/>
  <c r="AI570" i="63"/>
  <c r="AJ570" i="63" s="1"/>
  <c r="AX570" i="63"/>
  <c r="BH571" i="63"/>
  <c r="BG570" i="63"/>
  <c r="BH570" i="63" s="1"/>
  <c r="P572" i="63"/>
  <c r="L572" i="63"/>
  <c r="M572" i="63" s="1"/>
  <c r="U572" i="63"/>
  <c r="BB572" i="63"/>
  <c r="S573" i="63"/>
  <c r="K573" i="63"/>
  <c r="M573" i="63" s="1"/>
  <c r="AH579" i="63"/>
  <c r="AS580" i="63"/>
  <c r="AQ579" i="63"/>
  <c r="BF579" i="63"/>
  <c r="BQ580" i="63"/>
  <c r="BO579" i="63"/>
  <c r="BO578" i="63" s="1"/>
  <c r="V582" i="63"/>
  <c r="AA582" i="63"/>
  <c r="AB582" i="63" s="1"/>
  <c r="AJ582" i="63"/>
  <c r="BH582" i="63"/>
  <c r="P583" i="63"/>
  <c r="L583" i="63"/>
  <c r="M583" i="63" s="1"/>
  <c r="U583" i="63"/>
  <c r="BB583" i="63"/>
  <c r="AB584" i="63"/>
  <c r="U586" i="63"/>
  <c r="O585" i="63"/>
  <c r="AM586" i="63"/>
  <c r="AL585" i="63"/>
  <c r="AM585" i="63" s="1"/>
  <c r="BA585" i="63"/>
  <c r="BK586" i="63"/>
  <c r="BJ585" i="63"/>
  <c r="BK585" i="63" s="1"/>
  <c r="S587" i="63"/>
  <c r="L587" i="63"/>
  <c r="AE587" i="63"/>
  <c r="BE587" i="63"/>
  <c r="Z588" i="63"/>
  <c r="K589" i="63"/>
  <c r="T589" i="63"/>
  <c r="Z589" i="63" s="1"/>
  <c r="P589" i="63"/>
  <c r="R591" i="63"/>
  <c r="AD591" i="63"/>
  <c r="AP592" i="63"/>
  <c r="AO591" i="63"/>
  <c r="AP591" i="63" s="1"/>
  <c r="BD591" i="63"/>
  <c r="BE591" i="63" s="1"/>
  <c r="BN592" i="63"/>
  <c r="BM591" i="63"/>
  <c r="BN591" i="63" s="1"/>
  <c r="V595" i="63"/>
  <c r="AA595" i="63"/>
  <c r="AB595" i="63" s="1"/>
  <c r="AJ595" i="63"/>
  <c r="BH595" i="63"/>
  <c r="X597" i="63"/>
  <c r="K598" i="63"/>
  <c r="T598" i="63"/>
  <c r="Z598" i="63" s="1"/>
  <c r="P598" i="63"/>
  <c r="N597" i="63"/>
  <c r="AQ597" i="63"/>
  <c r="BB598" i="63"/>
  <c r="AZ597" i="63"/>
  <c r="BO597" i="63"/>
  <c r="AY599" i="63"/>
  <c r="AS600" i="63"/>
  <c r="BQ600" i="63"/>
  <c r="Y601" i="63"/>
  <c r="S604" i="63"/>
  <c r="K604" i="63"/>
  <c r="M604" i="63" s="1"/>
  <c r="Q603" i="63"/>
  <c r="AE604" i="63"/>
  <c r="AC603" i="63"/>
  <c r="AE603" i="63" s="1"/>
  <c r="AT603" i="63"/>
  <c r="BE604" i="63"/>
  <c r="BC603" i="63"/>
  <c r="BE603" i="63" s="1"/>
  <c r="AV606" i="63"/>
  <c r="K607" i="63"/>
  <c r="AP607" i="63"/>
  <c r="BN607" i="63"/>
  <c r="W612" i="63"/>
  <c r="W611" i="63" s="1"/>
  <c r="AW612" i="63"/>
  <c r="V613" i="63"/>
  <c r="AA613" i="63"/>
  <c r="AB613" i="63" s="1"/>
  <c r="AJ613" i="63"/>
  <c r="AI612" i="63"/>
  <c r="AX612" i="63"/>
  <c r="BH613" i="63"/>
  <c r="BG612" i="63"/>
  <c r="P614" i="63"/>
  <c r="L614" i="63"/>
  <c r="M614" i="63" s="1"/>
  <c r="U614" i="63"/>
  <c r="BB614" i="63"/>
  <c r="S615" i="63"/>
  <c r="K615" i="63"/>
  <c r="M615" i="63" s="1"/>
  <c r="K619" i="63"/>
  <c r="Z619" i="63"/>
  <c r="AJ619" i="63"/>
  <c r="AH618" i="63"/>
  <c r="AW618" i="63"/>
  <c r="BH619" i="63"/>
  <c r="BF618" i="63"/>
  <c r="BH618" i="63" s="1"/>
  <c r="K620" i="63"/>
  <c r="T620" i="63"/>
  <c r="Z620" i="63" s="1"/>
  <c r="P620" i="63"/>
  <c r="AY621" i="63"/>
  <c r="AS622" i="63"/>
  <c r="BQ622" i="63"/>
  <c r="T625" i="63"/>
  <c r="Z625" i="63" s="1"/>
  <c r="N624" i="63"/>
  <c r="AM625" i="63"/>
  <c r="AK624" i="63"/>
  <c r="AM624" i="63" s="1"/>
  <c r="AZ624" i="63"/>
  <c r="BK625" i="63"/>
  <c r="BI624" i="63"/>
  <c r="BK624" i="63" s="1"/>
  <c r="V626" i="63"/>
  <c r="AA626" i="63"/>
  <c r="AB626" i="63" s="1"/>
  <c r="AJ626" i="63"/>
  <c r="BH626" i="63"/>
  <c r="P627" i="63"/>
  <c r="L627" i="63"/>
  <c r="M627" i="63" s="1"/>
  <c r="U627" i="63"/>
  <c r="BB627" i="63"/>
  <c r="S628" i="63"/>
  <c r="K628" i="63"/>
  <c r="M628" i="63" s="1"/>
  <c r="AI630" i="63"/>
  <c r="AS631" i="63"/>
  <c r="AR630" i="63"/>
  <c r="AS630" i="63" s="1"/>
  <c r="BG630" i="63"/>
  <c r="BQ631" i="63"/>
  <c r="BP630" i="63"/>
  <c r="BQ630" i="63" s="1"/>
  <c r="Y632" i="63"/>
  <c r="V634" i="63"/>
  <c r="AA634" i="63"/>
  <c r="AM634" i="63"/>
  <c r="BK634" i="63"/>
  <c r="AK636" i="63"/>
  <c r="BI636" i="63"/>
  <c r="X636" i="63"/>
  <c r="Y636" i="63" s="1"/>
  <c r="AL636" i="63"/>
  <c r="AV637" i="63"/>
  <c r="AU636" i="63"/>
  <c r="AV636" i="63" s="1"/>
  <c r="BJ636" i="63"/>
  <c r="K638" i="63"/>
  <c r="AP638" i="63"/>
  <c r="BN638" i="63"/>
  <c r="AA643" i="63"/>
  <c r="AB643" i="63" s="1"/>
  <c r="V643" i="63"/>
  <c r="I645" i="63"/>
  <c r="AA647" i="63"/>
  <c r="AB647" i="63" s="1"/>
  <c r="V647" i="63"/>
  <c r="I649" i="63"/>
  <c r="AM650" i="63"/>
  <c r="AV652" i="63"/>
  <c r="AU650" i="63"/>
  <c r="AU644" i="63"/>
  <c r="AM654" i="63"/>
  <c r="AL646" i="63"/>
  <c r="AM646" i="63" s="1"/>
  <c r="AA656" i="63"/>
  <c r="AJ656" i="63"/>
  <c r="AI648" i="63"/>
  <c r="AJ648" i="63" s="1"/>
  <c r="AI658" i="63"/>
  <c r="AJ658" i="63" s="1"/>
  <c r="AI644" i="63"/>
  <c r="AS660" i="63"/>
  <c r="AR658" i="63"/>
  <c r="BQ660" i="63"/>
  <c r="BP658" i="63"/>
  <c r="BP644" i="63"/>
  <c r="BQ644" i="63" s="1"/>
  <c r="L662" i="63"/>
  <c r="S662" i="63"/>
  <c r="BQ664" i="63"/>
  <c r="BP648" i="63"/>
  <c r="AB667" i="63"/>
  <c r="AN666" i="63"/>
  <c r="BL666" i="63"/>
  <c r="AP670" i="63"/>
  <c r="U678" i="63"/>
  <c r="L678" i="63"/>
  <c r="S682" i="63"/>
  <c r="K682" i="63"/>
  <c r="T682" i="63"/>
  <c r="Z682" i="63" s="1"/>
  <c r="Y682" i="63"/>
  <c r="L682" i="63"/>
  <c r="V688" i="63"/>
  <c r="AA688" i="63"/>
  <c r="T690" i="63"/>
  <c r="Z690" i="63" s="1"/>
  <c r="K690" i="63"/>
  <c r="BB690" i="63"/>
  <c r="V703" i="63"/>
  <c r="AA703" i="63"/>
  <c r="AB703" i="63" s="1"/>
  <c r="AV711" i="63"/>
  <c r="L713" i="63"/>
  <c r="U713" i="63"/>
  <c r="AI709" i="63"/>
  <c r="BG709" i="63"/>
  <c r="AA716" i="63"/>
  <c r="AE716" i="63"/>
  <c r="T723" i="63"/>
  <c r="Q721" i="63"/>
  <c r="S721" i="63" s="1"/>
  <c r="U729" i="63"/>
  <c r="L729" i="63"/>
  <c r="M729" i="63" s="1"/>
  <c r="Z736" i="63"/>
  <c r="AA738" i="63"/>
  <c r="AB739" i="63"/>
  <c r="Z748" i="63"/>
  <c r="Z766" i="63" s="1"/>
  <c r="AR757" i="63"/>
  <c r="U774" i="63"/>
  <c r="P774" i="63"/>
  <c r="L774" i="63"/>
  <c r="O770" i="63"/>
  <c r="Y774" i="63"/>
  <c r="K774" i="63"/>
  <c r="AT775" i="63"/>
  <c r="L778" i="63"/>
  <c r="U778" i="63"/>
  <c r="AI770" i="63"/>
  <c r="BG770" i="63"/>
  <c r="U786" i="63"/>
  <c r="P786" i="63"/>
  <c r="L786" i="63"/>
  <c r="Y786" i="63"/>
  <c r="K786" i="63"/>
  <c r="V787" i="63"/>
  <c r="AA787" i="63"/>
  <c r="AB787" i="63" s="1"/>
  <c r="M790" i="63"/>
  <c r="Y790" i="63"/>
  <c r="AV799" i="63"/>
  <c r="AT798" i="63"/>
  <c r="AT760" i="63" s="1"/>
  <c r="AS801" i="63"/>
  <c r="AQ798" i="63"/>
  <c r="AQ760" i="63" s="1"/>
  <c r="BH801" i="63"/>
  <c r="BG798" i="63"/>
  <c r="BN807" i="63"/>
  <c r="V815" i="63"/>
  <c r="Z815" i="63"/>
  <c r="AB815" i="63" s="1"/>
  <c r="AB818" i="63"/>
  <c r="Z824" i="63"/>
  <c r="AB824" i="63" s="1"/>
  <c r="R834" i="63"/>
  <c r="S834" i="63" s="1"/>
  <c r="O863" i="63"/>
  <c r="U835" i="63"/>
  <c r="P835" i="63"/>
  <c r="L835" i="63"/>
  <c r="M835" i="63" s="1"/>
  <c r="AR863" i="63"/>
  <c r="AS863" i="63" s="1"/>
  <c r="AS835" i="63"/>
  <c r="V837" i="63"/>
  <c r="AM839" i="63"/>
  <c r="AK867" i="63"/>
  <c r="AK836" i="63"/>
  <c r="V871" i="63"/>
  <c r="K844" i="63"/>
  <c r="AD872" i="63"/>
  <c r="AE872" i="63" s="1"/>
  <c r="AE844" i="63"/>
  <c r="N879" i="63"/>
  <c r="T853" i="63"/>
  <c r="Z853" i="63" s="1"/>
  <c r="BM879" i="63"/>
  <c r="BN853" i="63"/>
  <c r="AY860" i="63"/>
  <c r="AV872" i="63"/>
  <c r="AJ882" i="63"/>
  <c r="AK861" i="63"/>
  <c r="AM861" i="63" s="1"/>
  <c r="BI861" i="63"/>
  <c r="BK861" i="63" s="1"/>
  <c r="AY888" i="63"/>
  <c r="AX862" i="63"/>
  <c r="AY862" i="63" s="1"/>
  <c r="AK863" i="63"/>
  <c r="AM863" i="63" s="1"/>
  <c r="G864" i="63"/>
  <c r="G885" i="63"/>
  <c r="N885" i="63"/>
  <c r="P885" i="63" s="1"/>
  <c r="AS900" i="63"/>
  <c r="AR872" i="63"/>
  <c r="AS872" i="63" s="1"/>
  <c r="U874" i="63"/>
  <c r="V874" i="63" s="1"/>
  <c r="AA902" i="63"/>
  <c r="V902" i="63"/>
  <c r="AB912" i="63"/>
  <c r="AA882" i="63"/>
  <c r="T1030" i="63"/>
  <c r="Z928" i="63"/>
  <c r="AH941" i="63"/>
  <c r="AJ941" i="63" s="1"/>
  <c r="AH1037" i="63"/>
  <c r="AQ1037" i="63"/>
  <c r="AS954" i="63"/>
  <c r="AQ941" i="63"/>
  <c r="AS941" i="63" s="1"/>
  <c r="BJ1051" i="63"/>
  <c r="BK1051" i="63" s="1"/>
  <c r="M976" i="63"/>
  <c r="K1052" i="63"/>
  <c r="T1053" i="63"/>
  <c r="Z977" i="63"/>
  <c r="Z1053" i="63" s="1"/>
  <c r="BE989" i="63"/>
  <c r="BC924" i="63"/>
  <c r="BE924" i="63" s="1"/>
  <c r="I1093" i="63"/>
  <c r="G1077" i="63"/>
  <c r="I1077" i="63" s="1"/>
  <c r="M1094" i="63"/>
  <c r="K1094" i="63"/>
  <c r="W1078" i="63"/>
  <c r="K1078" i="63" s="1"/>
  <c r="U1099" i="63"/>
  <c r="O1091" i="63"/>
  <c r="AB1182" i="63"/>
  <c r="L110" i="63"/>
  <c r="L112" i="63"/>
  <c r="M112" i="63" s="1"/>
  <c r="L113" i="63"/>
  <c r="M113" i="63" s="1"/>
  <c r="L114" i="63"/>
  <c r="L115" i="63"/>
  <c r="M115" i="63" s="1"/>
  <c r="L116" i="63"/>
  <c r="L117" i="63"/>
  <c r="L126" i="63"/>
  <c r="L127" i="63"/>
  <c r="L128" i="63"/>
  <c r="L129" i="63"/>
  <c r="L130" i="63"/>
  <c r="P130" i="63"/>
  <c r="AP130" i="63"/>
  <c r="BB130" i="63"/>
  <c r="BN130" i="63"/>
  <c r="L131" i="63"/>
  <c r="L132" i="63"/>
  <c r="M132" i="63" s="1"/>
  <c r="L133" i="63"/>
  <c r="M133" i="63" s="1"/>
  <c r="L136" i="63"/>
  <c r="AQ714" i="63"/>
  <c r="BC714" i="63"/>
  <c r="BO714" i="63"/>
  <c r="V189" i="63"/>
  <c r="L191" i="63"/>
  <c r="M191" i="63" s="1"/>
  <c r="T546" i="63"/>
  <c r="Z546" i="63" s="1"/>
  <c r="AQ545" i="63"/>
  <c r="AQ543" i="63" s="1"/>
  <c r="BF545" i="63"/>
  <c r="BO545" i="63"/>
  <c r="V549" i="63"/>
  <c r="AA549" i="63"/>
  <c r="AB549" i="63" s="1"/>
  <c r="P550" i="63"/>
  <c r="L550" i="63"/>
  <c r="M550" i="63" s="1"/>
  <c r="U550" i="63"/>
  <c r="AB551" i="63"/>
  <c r="U553" i="63"/>
  <c r="O552" i="63"/>
  <c r="AM553" i="63"/>
  <c r="AL552" i="63"/>
  <c r="AM552" i="63" s="1"/>
  <c r="BB552" i="63"/>
  <c r="BK553" i="63"/>
  <c r="BJ552" i="63"/>
  <c r="BK552" i="63" s="1"/>
  <c r="S554" i="63"/>
  <c r="L554" i="63"/>
  <c r="M554" i="63" s="1"/>
  <c r="K556" i="63"/>
  <c r="T556" i="63"/>
  <c r="P556" i="63"/>
  <c r="S558" i="63"/>
  <c r="AE558" i="63"/>
  <c r="AP559" i="63"/>
  <c r="AO558" i="63"/>
  <c r="AP558" i="63" s="1"/>
  <c r="BN559" i="63"/>
  <c r="BM558" i="63"/>
  <c r="V562" i="63"/>
  <c r="AA562" i="63"/>
  <c r="AY564" i="63"/>
  <c r="K565" i="63"/>
  <c r="T565" i="63"/>
  <c r="P565" i="63"/>
  <c r="N564" i="63"/>
  <c r="BB565" i="63"/>
  <c r="AZ564" i="63"/>
  <c r="S571" i="63"/>
  <c r="K571" i="63"/>
  <c r="Q570" i="63"/>
  <c r="S570" i="63" s="1"/>
  <c r="AE571" i="63"/>
  <c r="AC570" i="63"/>
  <c r="AE570" i="63" s="1"/>
  <c r="BE571" i="63"/>
  <c r="BC570" i="63"/>
  <c r="V580" i="63"/>
  <c r="AJ580" i="63"/>
  <c r="AI579" i="63"/>
  <c r="AX578" i="63"/>
  <c r="BH580" i="63"/>
  <c r="BG579" i="63"/>
  <c r="P581" i="63"/>
  <c r="L581" i="63"/>
  <c r="U581" i="63"/>
  <c r="S582" i="63"/>
  <c r="K582" i="63"/>
  <c r="M582" i="63" s="1"/>
  <c r="K585" i="63"/>
  <c r="T585" i="63"/>
  <c r="AJ586" i="63"/>
  <c r="AH585" i="63"/>
  <c r="AJ585" i="63" s="1"/>
  <c r="BH586" i="63"/>
  <c r="BF585" i="63"/>
  <c r="K587" i="63"/>
  <c r="T587" i="63"/>
  <c r="P587" i="63"/>
  <c r="T592" i="63"/>
  <c r="Z592" i="63" s="1"/>
  <c r="N591" i="63"/>
  <c r="AM592" i="63"/>
  <c r="AK591" i="63"/>
  <c r="BK592" i="63"/>
  <c r="BI591" i="63"/>
  <c r="AA593" i="63"/>
  <c r="AB593" i="63" s="1"/>
  <c r="P594" i="63"/>
  <c r="L594" i="63"/>
  <c r="M594" i="63" s="1"/>
  <c r="U594" i="63"/>
  <c r="S595" i="63"/>
  <c r="K595" i="63"/>
  <c r="M595" i="63" s="1"/>
  <c r="AS598" i="63"/>
  <c r="AR597" i="63"/>
  <c r="BH597" i="63"/>
  <c r="BQ598" i="63"/>
  <c r="BP597" i="63"/>
  <c r="V601" i="63"/>
  <c r="AA601" i="63"/>
  <c r="AB601" i="63" s="1"/>
  <c r="AV604" i="63"/>
  <c r="AU603" i="63"/>
  <c r="AV603" i="63" s="1"/>
  <c r="S613" i="63"/>
  <c r="K613" i="63"/>
  <c r="Q612" i="63"/>
  <c r="Q611" i="63" s="1"/>
  <c r="AE613" i="63"/>
  <c r="AC612" i="63"/>
  <c r="AC611" i="63" s="1"/>
  <c r="AC609" i="63" s="1"/>
  <c r="AT611" i="63"/>
  <c r="BE613" i="63"/>
  <c r="BC612" i="63"/>
  <c r="BC611" i="63" s="1"/>
  <c r="AP618" i="63"/>
  <c r="AY619" i="63"/>
  <c r="AX618" i="63"/>
  <c r="AB623" i="63"/>
  <c r="P625" i="63"/>
  <c r="L625" i="63"/>
  <c r="M625" i="63" s="1"/>
  <c r="U625" i="63"/>
  <c r="O624" i="63"/>
  <c r="AS624" i="63"/>
  <c r="BB625" i="63"/>
  <c r="BA624" i="63"/>
  <c r="BQ624" i="63"/>
  <c r="S626" i="63"/>
  <c r="K626" i="63"/>
  <c r="AP631" i="63"/>
  <c r="AN630" i="63"/>
  <c r="BN631" i="63"/>
  <c r="BL630" i="63"/>
  <c r="V632" i="63"/>
  <c r="S633" i="63"/>
  <c r="L633" i="63"/>
  <c r="M633" i="63" s="1"/>
  <c r="Z634" i="63"/>
  <c r="AS637" i="63"/>
  <c r="AQ636" i="63"/>
  <c r="AS636" i="63" s="1"/>
  <c r="BQ637" i="63"/>
  <c r="BO636" i="63"/>
  <c r="BQ636" i="63" s="1"/>
  <c r="AA639" i="63"/>
  <c r="AB639" i="63" s="1"/>
  <c r="P640" i="63"/>
  <c r="L640" i="63"/>
  <c r="M640" i="63" s="1"/>
  <c r="U640" i="63"/>
  <c r="AB641" i="63"/>
  <c r="S645" i="63"/>
  <c r="U645" i="63"/>
  <c r="L645" i="63"/>
  <c r="S649" i="63"/>
  <c r="U649" i="63"/>
  <c r="L649" i="63"/>
  <c r="AS652" i="63"/>
  <c r="AQ650" i="63"/>
  <c r="BM646" i="63"/>
  <c r="AE656" i="63"/>
  <c r="AC648" i="63"/>
  <c r="AC658" i="63"/>
  <c r="AC644" i="63"/>
  <c r="AE644" i="63" s="1"/>
  <c r="AP660" i="63"/>
  <c r="AN644" i="63"/>
  <c r="AN658" i="63"/>
  <c r="BN660" i="63"/>
  <c r="BL658" i="63"/>
  <c r="T662" i="63"/>
  <c r="Z662" i="63" s="1"/>
  <c r="Z402" i="63" s="1"/>
  <c r="P662" i="63"/>
  <c r="K662" i="63"/>
  <c r="K402" i="63" s="1"/>
  <c r="N646" i="63"/>
  <c r="AA662" i="63"/>
  <c r="AP664" i="63"/>
  <c r="AN648" i="63"/>
  <c r="AP648" i="63" s="1"/>
  <c r="AP668" i="63"/>
  <c r="AO666" i="63"/>
  <c r="BD644" i="63"/>
  <c r="BE644" i="63" s="1"/>
  <c r="BD666" i="63"/>
  <c r="BE666" i="63" s="1"/>
  <c r="BN668" i="63"/>
  <c r="BM666" i="63"/>
  <c r="AB675" i="63"/>
  <c r="AJ678" i="63"/>
  <c r="AH646" i="63"/>
  <c r="AJ646" i="63" s="1"/>
  <c r="AB679" i="63"/>
  <c r="U690" i="63"/>
  <c r="P690" i="63"/>
  <c r="L690" i="63"/>
  <c r="M690" i="63" s="1"/>
  <c r="AB730" i="63"/>
  <c r="V739" i="63"/>
  <c r="AB751" i="63"/>
  <c r="BP758" i="63"/>
  <c r="T766" i="63"/>
  <c r="S771" i="63"/>
  <c r="K771" i="63"/>
  <c r="T771" i="63"/>
  <c r="V771" i="63" s="1"/>
  <c r="X758" i="63"/>
  <c r="Y771" i="63"/>
  <c r="L771" i="63"/>
  <c r="AA773" i="63"/>
  <c r="AO770" i="63"/>
  <c r="BM770" i="63"/>
  <c r="AB780" i="63"/>
  <c r="L794" i="63"/>
  <c r="S794" i="63"/>
  <c r="V795" i="63"/>
  <c r="Z795" i="63"/>
  <c r="AB795" i="63" s="1"/>
  <c r="BP760" i="63"/>
  <c r="AI798" i="63"/>
  <c r="BN805" i="63"/>
  <c r="BL798" i="63"/>
  <c r="BL760" i="63" s="1"/>
  <c r="BN760" i="63" s="1"/>
  <c r="V820" i="63"/>
  <c r="AA820" i="63"/>
  <c r="AB820" i="63" s="1"/>
  <c r="AB821" i="63"/>
  <c r="U822" i="63"/>
  <c r="P822" i="63"/>
  <c r="V823" i="63"/>
  <c r="Z823" i="63"/>
  <c r="AB823" i="63" s="1"/>
  <c r="N861" i="63"/>
  <c r="T831" i="63"/>
  <c r="K831" i="63"/>
  <c r="BP861" i="63"/>
  <c r="BQ861" i="63" s="1"/>
  <c r="BQ831" i="63"/>
  <c r="Z832" i="63"/>
  <c r="AY836" i="63"/>
  <c r="AW864" i="63"/>
  <c r="BH872" i="63"/>
  <c r="U873" i="63"/>
  <c r="V873" i="63" s="1"/>
  <c r="V845" i="63"/>
  <c r="AA845" i="63"/>
  <c r="AB845" i="63" s="1"/>
  <c r="T877" i="63"/>
  <c r="Z851" i="63"/>
  <c r="Z877" i="63" s="1"/>
  <c r="BK853" i="63"/>
  <c r="BI879" i="63"/>
  <c r="BK879" i="63" s="1"/>
  <c r="M857" i="63"/>
  <c r="K883" i="63"/>
  <c r="M883" i="63" s="1"/>
  <c r="I861" i="63"/>
  <c r="V868" i="63"/>
  <c r="M873" i="63"/>
  <c r="BB879" i="63"/>
  <c r="L861" i="63"/>
  <c r="K887" i="63"/>
  <c r="M887" i="63" s="1"/>
  <c r="W861" i="63"/>
  <c r="Y861" i="63" s="1"/>
  <c r="K891" i="63"/>
  <c r="W863" i="63"/>
  <c r="AA893" i="63"/>
  <c r="U865" i="63"/>
  <c r="V865" i="63" s="1"/>
  <c r="Y895" i="63"/>
  <c r="W867" i="63"/>
  <c r="Y867" i="63" s="1"/>
  <c r="K895" i="63"/>
  <c r="W890" i="63"/>
  <c r="W862" i="63" s="1"/>
  <c r="Z882" i="63"/>
  <c r="AE925" i="63"/>
  <c r="Q1028" i="63"/>
  <c r="S1028" i="63" s="1"/>
  <c r="S926" i="63"/>
  <c r="K926" i="63"/>
  <c r="T926" i="63"/>
  <c r="V926" i="63" s="1"/>
  <c r="Y926" i="63"/>
  <c r="L926" i="63"/>
  <c r="AT1028" i="63"/>
  <c r="AT925" i="63"/>
  <c r="BC1028" i="63"/>
  <c r="BE1028" i="63" s="1"/>
  <c r="BE926" i="63"/>
  <c r="BC925" i="63"/>
  <c r="M927" i="63"/>
  <c r="K1029" i="63"/>
  <c r="M1029" i="63" s="1"/>
  <c r="M928" i="63"/>
  <c r="L1030" i="63"/>
  <c r="M1030" i="63" s="1"/>
  <c r="BH937" i="63"/>
  <c r="BG921" i="63"/>
  <c r="BH921" i="63" s="1"/>
  <c r="S942" i="63"/>
  <c r="K942" i="63"/>
  <c r="T942" i="63"/>
  <c r="Z942" i="63" s="1"/>
  <c r="Y942" i="63"/>
  <c r="L942" i="63"/>
  <c r="I949" i="63"/>
  <c r="H934" i="63"/>
  <c r="I934" i="63" s="1"/>
  <c r="AA949" i="63"/>
  <c r="V949" i="63"/>
  <c r="AJ949" i="63"/>
  <c r="AI934" i="63"/>
  <c r="AX1035" i="63"/>
  <c r="AY1035" i="63" s="1"/>
  <c r="AY949" i="63"/>
  <c r="AX934" i="63"/>
  <c r="X1037" i="63"/>
  <c r="Y1037" i="63" s="1"/>
  <c r="L954" i="63"/>
  <c r="X941" i="63"/>
  <c r="AA941" i="63" s="1"/>
  <c r="Y954" i="63"/>
  <c r="G1051" i="63"/>
  <c r="AU1051" i="63"/>
  <c r="AV1051" i="63" s="1"/>
  <c r="AV975" i="63"/>
  <c r="AU974" i="63"/>
  <c r="BF1051" i="63"/>
  <c r="BQ975" i="63"/>
  <c r="BO974" i="63"/>
  <c r="BQ974" i="63" s="1"/>
  <c r="U1053" i="63"/>
  <c r="V977" i="63"/>
  <c r="AA977" i="63"/>
  <c r="AA1053" i="63" s="1"/>
  <c r="AB1053" i="63" s="1"/>
  <c r="AE985" i="63"/>
  <c r="AC920" i="63"/>
  <c r="AE920" i="63" s="1"/>
  <c r="S986" i="63"/>
  <c r="K986" i="63"/>
  <c r="T986" i="63"/>
  <c r="Z986" i="63" s="1"/>
  <c r="Q921" i="63"/>
  <c r="Y986" i="63"/>
  <c r="X921" i="63"/>
  <c r="L986" i="63"/>
  <c r="BE986" i="63"/>
  <c r="BC921" i="63"/>
  <c r="BE921" i="63" s="1"/>
  <c r="I987" i="63"/>
  <c r="H922" i="63"/>
  <c r="I922" i="63" s="1"/>
  <c r="T1070" i="63"/>
  <c r="Z1018" i="63"/>
  <c r="Z1070" i="63" s="1"/>
  <c r="I1084" i="63"/>
  <c r="G1028" i="63"/>
  <c r="BK1149" i="63"/>
  <c r="BI1077" i="63"/>
  <c r="Z1181" i="63"/>
  <c r="T1073" i="63"/>
  <c r="AL1259" i="63"/>
  <c r="BA1259" i="63"/>
  <c r="BB1259" i="63" s="1"/>
  <c r="BB1233" i="63"/>
  <c r="K643" i="63"/>
  <c r="K647" i="63"/>
  <c r="M647" i="63" s="1"/>
  <c r="S648" i="63"/>
  <c r="AK644" i="63"/>
  <c r="AO644" i="63"/>
  <c r="W646" i="63"/>
  <c r="Y646" i="63" s="1"/>
  <c r="O648" i="63"/>
  <c r="AW648" i="63"/>
  <c r="BA648" i="63"/>
  <c r="BB648" i="63" s="1"/>
  <c r="T660" i="63"/>
  <c r="P660" i="63"/>
  <c r="K660" i="63"/>
  <c r="K400" i="63" s="1"/>
  <c r="AB661" i="63"/>
  <c r="T664" i="63"/>
  <c r="P664" i="63"/>
  <c r="K664" i="63"/>
  <c r="K404" i="63" s="1"/>
  <c r="AB665" i="63"/>
  <c r="U670" i="63"/>
  <c r="P670" i="63"/>
  <c r="L670" i="63"/>
  <c r="AA682" i="63"/>
  <c r="AB682" i="63" s="1"/>
  <c r="V682" i="63"/>
  <c r="BK712" i="63"/>
  <c r="AL709" i="63"/>
  <c r="AX709" i="63"/>
  <c r="BJ709" i="63"/>
  <c r="W711" i="63"/>
  <c r="Y711" i="63" s="1"/>
  <c r="AM717" i="63"/>
  <c r="AY717" i="63"/>
  <c r="BK717" i="63"/>
  <c r="L725" i="63"/>
  <c r="M725" i="63" s="1"/>
  <c r="S725" i="63"/>
  <c r="AB728" i="63"/>
  <c r="T733" i="63"/>
  <c r="P733" i="63"/>
  <c r="K733" i="63"/>
  <c r="AB734" i="63"/>
  <c r="L737" i="63"/>
  <c r="W801" i="63"/>
  <c r="Y801" i="63" s="1"/>
  <c r="W737" i="63"/>
  <c r="Y737" i="63" s="1"/>
  <c r="AB746" i="63"/>
  <c r="AI759" i="63"/>
  <c r="BG759" i="63"/>
  <c r="AA771" i="63"/>
  <c r="I772" i="63"/>
  <c r="G759" i="63"/>
  <c r="S772" i="63"/>
  <c r="AE772" i="63"/>
  <c r="V775" i="63"/>
  <c r="AL757" i="63"/>
  <c r="AX770" i="63"/>
  <c r="M779" i="63"/>
  <c r="AB779" i="63"/>
  <c r="L782" i="63"/>
  <c r="M782" i="63" s="1"/>
  <c r="S782" i="63"/>
  <c r="AE782" i="63"/>
  <c r="AS782" i="63"/>
  <c r="BE782" i="63"/>
  <c r="BQ782" i="63"/>
  <c r="AT782" i="63"/>
  <c r="AV782" i="63" s="1"/>
  <c r="AV785" i="63"/>
  <c r="BB786" i="63"/>
  <c r="V789" i="63"/>
  <c r="P790" i="63"/>
  <c r="Z790" i="63"/>
  <c r="AW798" i="63"/>
  <c r="AW760" i="63" s="1"/>
  <c r="BB799" i="63"/>
  <c r="BH799" i="63"/>
  <c r="BF798" i="63"/>
  <c r="BF760" i="63" s="1"/>
  <c r="AV801" i="63"/>
  <c r="AA803" i="63"/>
  <c r="U763" i="63"/>
  <c r="V803" i="63"/>
  <c r="AJ803" i="63"/>
  <c r="BH803" i="63"/>
  <c r="AS805" i="63"/>
  <c r="BQ805" i="63"/>
  <c r="U807" i="63"/>
  <c r="P807" i="63"/>
  <c r="L807" i="63"/>
  <c r="BB807" i="63"/>
  <c r="T813" i="63"/>
  <c r="Z813" i="63" s="1"/>
  <c r="P813" i="63"/>
  <c r="M814" i="63"/>
  <c r="K813" i="63"/>
  <c r="M813" i="63" s="1"/>
  <c r="AB814" i="63"/>
  <c r="U816" i="63"/>
  <c r="P816" i="63"/>
  <c r="M822" i="63"/>
  <c r="AY822" i="63"/>
  <c r="AB825" i="63"/>
  <c r="AS830" i="63"/>
  <c r="BQ830" i="63"/>
  <c r="AP831" i="63"/>
  <c r="BN831" i="63"/>
  <c r="U833" i="63"/>
  <c r="P833" i="63"/>
  <c r="L833" i="63"/>
  <c r="M833" i="63" s="1"/>
  <c r="BB833" i="63"/>
  <c r="AN862" i="63"/>
  <c r="R863" i="63"/>
  <c r="S863" i="63" s="1"/>
  <c r="AD863" i="63"/>
  <c r="AP835" i="63"/>
  <c r="BD863" i="63"/>
  <c r="BE863" i="63" s="1"/>
  <c r="BN835" i="63"/>
  <c r="AJ867" i="63"/>
  <c r="AS839" i="63"/>
  <c r="V840" i="63"/>
  <c r="U844" i="63"/>
  <c r="O872" i="63"/>
  <c r="P844" i="63"/>
  <c r="L844" i="63"/>
  <c r="AM872" i="63"/>
  <c r="BB844" i="63"/>
  <c r="V847" i="63"/>
  <c r="M852" i="63"/>
  <c r="K878" i="63"/>
  <c r="M878" i="63" s="1"/>
  <c r="AS853" i="63"/>
  <c r="AW879" i="63"/>
  <c r="AY879" i="63" s="1"/>
  <c r="AY853" i="63"/>
  <c r="V854" i="63"/>
  <c r="AW861" i="63"/>
  <c r="BH861" i="63"/>
  <c r="AJ863" i="63"/>
  <c r="I865" i="63"/>
  <c r="AY866" i="63"/>
  <c r="AM867" i="63"/>
  <c r="AW867" i="63"/>
  <c r="AY867" i="63" s="1"/>
  <c r="AJ871" i="63"/>
  <c r="BA872" i="63"/>
  <c r="BB872" i="63" s="1"/>
  <c r="AM874" i="63"/>
  <c r="AV874" i="63"/>
  <c r="AM876" i="63"/>
  <c r="AV876" i="63"/>
  <c r="AM878" i="63"/>
  <c r="AV878" i="63"/>
  <c r="AJ880" i="63"/>
  <c r="AY881" i="63"/>
  <c r="BH881" i="63"/>
  <c r="AK860" i="63"/>
  <c r="AM860" i="63" s="1"/>
  <c r="AO861" i="63"/>
  <c r="AY887" i="63"/>
  <c r="AX861" i="63"/>
  <c r="AY861" i="63" s="1"/>
  <c r="Y888" i="63"/>
  <c r="G863" i="63"/>
  <c r="I863" i="63" s="1"/>
  <c r="BM863" i="63"/>
  <c r="P892" i="63"/>
  <c r="AH915" i="63"/>
  <c r="AH859" i="63"/>
  <c r="AB894" i="63"/>
  <c r="AA866" i="63"/>
  <c r="BE895" i="63"/>
  <c r="BD892" i="63"/>
  <c r="BD890" i="63"/>
  <c r="BD867" i="63"/>
  <c r="BE867" i="63" s="1"/>
  <c r="Z870" i="63"/>
  <c r="I900" i="63"/>
  <c r="H885" i="63"/>
  <c r="H872" i="63"/>
  <c r="I872" i="63" s="1"/>
  <c r="L875" i="63"/>
  <c r="Z903" i="63"/>
  <c r="Z875" i="63" s="1"/>
  <c r="T875" i="63"/>
  <c r="Y909" i="63"/>
  <c r="W879" i="63"/>
  <c r="Y879" i="63" s="1"/>
  <c r="K909" i="63"/>
  <c r="AJ920" i="63"/>
  <c r="BJ922" i="63"/>
  <c r="BK922" i="63" s="1"/>
  <c r="AA924" i="63"/>
  <c r="AB928" i="63"/>
  <c r="AA1030" i="63"/>
  <c r="AM938" i="63"/>
  <c r="AL922" i="63"/>
  <c r="AM922" i="63" s="1"/>
  <c r="AA945" i="63"/>
  <c r="S946" i="63"/>
  <c r="K946" i="63"/>
  <c r="T946" i="63"/>
  <c r="Z946" i="63" s="1"/>
  <c r="Y946" i="63"/>
  <c r="L946" i="63"/>
  <c r="I947" i="63"/>
  <c r="AL1040" i="63"/>
  <c r="AM1040" i="63" s="1"/>
  <c r="AM960" i="63"/>
  <c r="AL934" i="63"/>
  <c r="AM934" i="63" s="1"/>
  <c r="AB962" i="63"/>
  <c r="M964" i="63"/>
  <c r="V964" i="63"/>
  <c r="AA964" i="63"/>
  <c r="V973" i="63"/>
  <c r="AA973" i="63"/>
  <c r="AB973" i="63" s="1"/>
  <c r="X974" i="63"/>
  <c r="AL974" i="63"/>
  <c r="Y983" i="63"/>
  <c r="BE985" i="63"/>
  <c r="BC920" i="63"/>
  <c r="BE920" i="63" s="1"/>
  <c r="BQ987" i="63"/>
  <c r="BO922" i="63"/>
  <c r="BQ922" i="63" s="1"/>
  <c r="I991" i="63"/>
  <c r="AA996" i="63"/>
  <c r="AB996" i="63" s="1"/>
  <c r="AA998" i="63"/>
  <c r="AC1058" i="63"/>
  <c r="AE998" i="63"/>
  <c r="AC983" i="63"/>
  <c r="H1068" i="63"/>
  <c r="I1016" i="63"/>
  <c r="AL1068" i="63"/>
  <c r="AM1068" i="63" s="1"/>
  <c r="AM1016" i="63"/>
  <c r="BK1055" i="63"/>
  <c r="U1080" i="63"/>
  <c r="L1080" i="63"/>
  <c r="P1080" i="63"/>
  <c r="AA1092" i="63"/>
  <c r="BJ1091" i="63"/>
  <c r="AI1140" i="63"/>
  <c r="AJ1141" i="63"/>
  <c r="Y1142" i="63"/>
  <c r="W1077" i="63"/>
  <c r="Y1143" i="63"/>
  <c r="K1143" i="63"/>
  <c r="R1079" i="63"/>
  <c r="S1079" i="63" s="1"/>
  <c r="S1144" i="63"/>
  <c r="AA1201" i="63"/>
  <c r="BQ643" i="63"/>
  <c r="AS645" i="63"/>
  <c r="BG646" i="63"/>
  <c r="BH646" i="63" s="1"/>
  <c r="BL646" i="63"/>
  <c r="BQ647" i="63"/>
  <c r="BE648" i="63"/>
  <c r="BO648" i="63"/>
  <c r="AS649" i="63"/>
  <c r="O644" i="63"/>
  <c r="AJ652" i="63"/>
  <c r="AW644" i="63"/>
  <c r="AY644" i="63" s="1"/>
  <c r="BA644" i="63"/>
  <c r="AW646" i="63"/>
  <c r="AY646" i="63" s="1"/>
  <c r="BA646" i="63"/>
  <c r="BB646" i="63" s="1"/>
  <c r="AV656" i="63"/>
  <c r="L660" i="63"/>
  <c r="S660" i="63"/>
  <c r="AE660" i="63"/>
  <c r="BE660" i="63"/>
  <c r="AS662" i="63"/>
  <c r="BQ662" i="63"/>
  <c r="L664" i="63"/>
  <c r="S664" i="63"/>
  <c r="AE664" i="63"/>
  <c r="BE664" i="63"/>
  <c r="W666" i="63"/>
  <c r="Y666" i="63" s="1"/>
  <c r="AW666" i="63"/>
  <c r="AY666" i="63" s="1"/>
  <c r="V667" i="63"/>
  <c r="U668" i="63"/>
  <c r="P668" i="63"/>
  <c r="L668" i="63"/>
  <c r="BB668" i="63"/>
  <c r="AA669" i="63"/>
  <c r="K672" i="63"/>
  <c r="K411" i="63" s="1"/>
  <c r="AP672" i="63"/>
  <c r="BN672" i="63"/>
  <c r="AY676" i="63"/>
  <c r="AY678" i="63"/>
  <c r="AY680" i="63"/>
  <c r="I682" i="63"/>
  <c r="V684" i="63"/>
  <c r="V691" i="63"/>
  <c r="AA697" i="63"/>
  <c r="AB697" i="63" s="1"/>
  <c r="V699" i="63"/>
  <c r="AA705" i="63"/>
  <c r="AB705" i="63" s="1"/>
  <c r="L710" i="63"/>
  <c r="H709" i="63"/>
  <c r="I717" i="63"/>
  <c r="V718" i="63"/>
  <c r="Z718" i="63"/>
  <c r="AB718" i="63" s="1"/>
  <c r="J719" i="63"/>
  <c r="J711" i="63" s="1"/>
  <c r="J759" i="63" s="1"/>
  <c r="T719" i="63"/>
  <c r="S719" i="63"/>
  <c r="AA721" i="63"/>
  <c r="AA722" i="63"/>
  <c r="AB722" i="63" s="1"/>
  <c r="V722" i="63"/>
  <c r="Z726" i="63"/>
  <c r="AB726" i="63" s="1"/>
  <c r="AY729" i="63"/>
  <c r="M731" i="63"/>
  <c r="L733" i="63"/>
  <c r="S733" i="63"/>
  <c r="AE733" i="63"/>
  <c r="BE733" i="63"/>
  <c r="M736" i="63"/>
  <c r="AB736" i="63"/>
  <c r="AE737" i="63"/>
  <c r="Z744" i="63"/>
  <c r="AB744" i="63" s="1"/>
  <c r="M748" i="63"/>
  <c r="V766" i="63"/>
  <c r="U758" i="63"/>
  <c r="AY766" i="63"/>
  <c r="AO759" i="63"/>
  <c r="BA759" i="63"/>
  <c r="BM759" i="63"/>
  <c r="AB775" i="63"/>
  <c r="I770" i="63"/>
  <c r="H769" i="63"/>
  <c r="M783" i="63"/>
  <c r="AB783" i="63"/>
  <c r="AB789" i="63"/>
  <c r="AA790" i="63"/>
  <c r="AM790" i="63"/>
  <c r="BK790" i="63"/>
  <c r="AS794" i="63"/>
  <c r="BQ794" i="63"/>
  <c r="X798" i="63"/>
  <c r="X769" i="63" s="1"/>
  <c r="Y799" i="63"/>
  <c r="AL798" i="63"/>
  <c r="AM799" i="63"/>
  <c r="BB798" i="63"/>
  <c r="BJ798" i="63"/>
  <c r="BK799" i="63"/>
  <c r="AA801" i="63"/>
  <c r="AC801" i="63"/>
  <c r="T805" i="63"/>
  <c r="P805" i="63"/>
  <c r="K805" i="63"/>
  <c r="K764" i="63" s="1"/>
  <c r="M806" i="63"/>
  <c r="S813" i="63"/>
  <c r="AE813" i="63"/>
  <c r="V818" i="63"/>
  <c r="V821" i="63"/>
  <c r="U830" i="63"/>
  <c r="P830" i="63"/>
  <c r="L830" i="63"/>
  <c r="M830" i="63" s="1"/>
  <c r="BA860" i="63"/>
  <c r="BB860" i="63" s="1"/>
  <c r="BB830" i="63"/>
  <c r="BK860" i="63"/>
  <c r="BQ860" i="63"/>
  <c r="AJ861" i="63"/>
  <c r="AP832" i="63"/>
  <c r="BN832" i="63"/>
  <c r="P834" i="63"/>
  <c r="BB834" i="63"/>
  <c r="AN863" i="63"/>
  <c r="AW863" i="63"/>
  <c r="AY863" i="63" s="1"/>
  <c r="AY835" i="63"/>
  <c r="BH863" i="63"/>
  <c r="BL863" i="63"/>
  <c r="U839" i="63"/>
  <c r="P839" i="63"/>
  <c r="L839" i="63"/>
  <c r="M839" i="63" s="1"/>
  <c r="AS867" i="63"/>
  <c r="BB839" i="63"/>
  <c r="AB840" i="63"/>
  <c r="M869" i="63"/>
  <c r="V869" i="63"/>
  <c r="V842" i="63"/>
  <c r="M846" i="63"/>
  <c r="K874" i="63"/>
  <c r="M874" i="63" s="1"/>
  <c r="AB847" i="63"/>
  <c r="V849" i="63"/>
  <c r="O879" i="63"/>
  <c r="U853" i="63"/>
  <c r="P853" i="63"/>
  <c r="L853" i="63"/>
  <c r="AM879" i="63"/>
  <c r="BB853" i="63"/>
  <c r="AB854" i="63"/>
  <c r="U882" i="63"/>
  <c r="V882" i="63" s="1"/>
  <c r="V856" i="63"/>
  <c r="AV861" i="63"/>
  <c r="M866" i="63"/>
  <c r="BH868" i="63"/>
  <c r="BK869" i="63"/>
  <c r="AM870" i="63"/>
  <c r="Y871" i="63"/>
  <c r="AY873" i="63"/>
  <c r="BK874" i="63"/>
  <c r="I875" i="63"/>
  <c r="BK876" i="63"/>
  <c r="I877" i="63"/>
  <c r="BK878" i="63"/>
  <c r="AY880" i="63"/>
  <c r="BH880" i="63"/>
  <c r="AJ883" i="63"/>
  <c r="O915" i="63"/>
  <c r="AO860" i="63"/>
  <c r="AP860" i="63" s="1"/>
  <c r="Y887" i="63"/>
  <c r="AJ890" i="63"/>
  <c r="Y891" i="63"/>
  <c r="X863" i="63"/>
  <c r="V904" i="63"/>
  <c r="U876" i="63"/>
  <c r="V876" i="63" s="1"/>
  <c r="AA904" i="63"/>
  <c r="AP909" i="63"/>
  <c r="AO879" i="63"/>
  <c r="AP879" i="63" s="1"/>
  <c r="AV909" i="63"/>
  <c r="AU879" i="63"/>
  <c r="AV879" i="63" s="1"/>
  <c r="AB910" i="63"/>
  <c r="AA880" i="63"/>
  <c r="M912" i="63"/>
  <c r="U1032" i="63"/>
  <c r="V930" i="63"/>
  <c r="AA930" i="63"/>
  <c r="AB930" i="63" s="1"/>
  <c r="V932" i="63"/>
  <c r="AA932" i="63"/>
  <c r="AB932" i="63" s="1"/>
  <c r="L935" i="63"/>
  <c r="X919" i="63"/>
  <c r="Y919" i="63" s="1"/>
  <c r="BH936" i="63"/>
  <c r="BG920" i="63"/>
  <c r="S937" i="63"/>
  <c r="K937" i="63"/>
  <c r="M937" i="63" s="1"/>
  <c r="T937" i="63"/>
  <c r="Z937" i="63" s="1"/>
  <c r="AE938" i="63"/>
  <c r="AC922" i="63"/>
  <c r="AE922" i="63" s="1"/>
  <c r="L939" i="63"/>
  <c r="X923" i="63"/>
  <c r="AA923" i="63" s="1"/>
  <c r="AB923" i="63" s="1"/>
  <c r="AS939" i="63"/>
  <c r="AQ923" i="63"/>
  <c r="AS923" i="63" s="1"/>
  <c r="AS940" i="63"/>
  <c r="AQ924" i="63"/>
  <c r="AS924" i="63" s="1"/>
  <c r="BH940" i="63"/>
  <c r="V951" i="63"/>
  <c r="AA951" i="63"/>
  <c r="AB951" i="63" s="1"/>
  <c r="M963" i="63"/>
  <c r="K1043" i="63"/>
  <c r="T1044" i="63"/>
  <c r="Z964" i="63"/>
  <c r="Z1044" i="63" s="1"/>
  <c r="AC1045" i="63"/>
  <c r="AE1045" i="63" s="1"/>
  <c r="AE967" i="63"/>
  <c r="AU1045" i="63"/>
  <c r="AV967" i="63"/>
  <c r="BE1045" i="63"/>
  <c r="BJ1045" i="63"/>
  <c r="BK1045" i="63" s="1"/>
  <c r="BK967" i="63"/>
  <c r="H1051" i="63"/>
  <c r="I975" i="63"/>
  <c r="H974" i="63"/>
  <c r="AA988" i="63"/>
  <c r="AB988" i="63" s="1"/>
  <c r="V988" i="63"/>
  <c r="AJ988" i="63"/>
  <c r="AI923" i="63"/>
  <c r="AJ923" i="63" s="1"/>
  <c r="AY988" i="63"/>
  <c r="AX923" i="63"/>
  <c r="AY923" i="63" s="1"/>
  <c r="AA989" i="63"/>
  <c r="AE989" i="63"/>
  <c r="AC924" i="63"/>
  <c r="AE924" i="63" s="1"/>
  <c r="AI1058" i="63"/>
  <c r="AJ1058" i="63" s="1"/>
  <c r="AJ998" i="63"/>
  <c r="AI983" i="63"/>
  <c r="AJ983" i="63" s="1"/>
  <c r="AT1058" i="63"/>
  <c r="AT983" i="63"/>
  <c r="AT974" i="63" s="1"/>
  <c r="BC1058" i="63"/>
  <c r="BE1058" i="63" s="1"/>
  <c r="BE998" i="63"/>
  <c r="BC983" i="63"/>
  <c r="AA1065" i="63"/>
  <c r="G1068" i="63"/>
  <c r="G990" i="63"/>
  <c r="AU1068" i="63"/>
  <c r="AV1068" i="63" s="1"/>
  <c r="AV1016" i="63"/>
  <c r="AU990" i="63"/>
  <c r="AV990" i="63" s="1"/>
  <c r="BO1068" i="63"/>
  <c r="BQ1016" i="63"/>
  <c r="M1069" i="63"/>
  <c r="U1070" i="63"/>
  <c r="V1070" i="63" s="1"/>
  <c r="V1018" i="63"/>
  <c r="AA1018" i="63"/>
  <c r="X1083" i="63"/>
  <c r="Y1094" i="63"/>
  <c r="X1078" i="63"/>
  <c r="Y1078" i="63" s="1"/>
  <c r="Y1097" i="63"/>
  <c r="X1081" i="63"/>
  <c r="L1081" i="63" s="1"/>
  <c r="L1097" i="63"/>
  <c r="BN1097" i="63"/>
  <c r="BM1081" i="63"/>
  <c r="BN1081" i="63" s="1"/>
  <c r="AM1099" i="63"/>
  <c r="AL1091" i="63"/>
  <c r="T1107" i="63"/>
  <c r="K1107" i="63"/>
  <c r="N1092" i="63"/>
  <c r="N1035" i="63"/>
  <c r="P1035" i="63" s="1"/>
  <c r="AQ1092" i="63"/>
  <c r="AQ1091" i="63" s="1"/>
  <c r="AQ1083" i="63" s="1"/>
  <c r="AQ1076" i="63" s="1"/>
  <c r="AQ1035" i="63"/>
  <c r="AS1035" i="63" s="1"/>
  <c r="AZ1092" i="63"/>
  <c r="AZ1035" i="63"/>
  <c r="BK1107" i="63"/>
  <c r="BI1092" i="63"/>
  <c r="BI1091" i="63" s="1"/>
  <c r="BI1035" i="63"/>
  <c r="AA1109" i="63"/>
  <c r="U1036" i="63"/>
  <c r="V1109" i="63"/>
  <c r="AB1243" i="63"/>
  <c r="M1244" i="63"/>
  <c r="L1222" i="63"/>
  <c r="M1222" i="63" s="1"/>
  <c r="AA1222" i="63"/>
  <c r="I1247" i="63"/>
  <c r="G1233" i="63"/>
  <c r="G1223" i="63"/>
  <c r="AA748" i="63"/>
  <c r="AA766" i="63" s="1"/>
  <c r="Z841" i="63"/>
  <c r="Z869" i="63" s="1"/>
  <c r="Z843" i="63"/>
  <c r="Z846" i="63"/>
  <c r="Z850" i="63"/>
  <c r="Z876" i="63" s="1"/>
  <c r="Z852" i="63"/>
  <c r="Z878" i="63" s="1"/>
  <c r="AJ865" i="63"/>
  <c r="U866" i="63"/>
  <c r="V866" i="63" s="1"/>
  <c r="BH866" i="63"/>
  <c r="I868" i="63"/>
  <c r="AV868" i="63"/>
  <c r="I870" i="63"/>
  <c r="AV870" i="63"/>
  <c r="BH873" i="63"/>
  <c r="Y880" i="63"/>
  <c r="Y881" i="63"/>
  <c r="Y882" i="63"/>
  <c r="Y883" i="63"/>
  <c r="Y885" i="63"/>
  <c r="I886" i="63"/>
  <c r="AA886" i="63"/>
  <c r="AM886" i="63"/>
  <c r="AV886" i="63"/>
  <c r="BK886" i="63"/>
  <c r="I887" i="63"/>
  <c r="V887" i="63"/>
  <c r="AA887" i="63"/>
  <c r="AM887" i="63"/>
  <c r="AV887" i="63"/>
  <c r="BK887" i="63"/>
  <c r="I888" i="63"/>
  <c r="AA888" i="63"/>
  <c r="AM888" i="63"/>
  <c r="AV888" i="63"/>
  <c r="BK888" i="63"/>
  <c r="I889" i="63"/>
  <c r="V889" i="63"/>
  <c r="AA889" i="63"/>
  <c r="AM889" i="63"/>
  <c r="AV889" i="63"/>
  <c r="BK889" i="63"/>
  <c r="I890" i="63"/>
  <c r="AY890" i="63"/>
  <c r="I891" i="63"/>
  <c r="V891" i="63"/>
  <c r="AA891" i="63"/>
  <c r="AM891" i="63"/>
  <c r="AV891" i="63"/>
  <c r="BK891" i="63"/>
  <c r="I892" i="63"/>
  <c r="Y892" i="63"/>
  <c r="Q892" i="63"/>
  <c r="K892" i="63" s="1"/>
  <c r="Q890" i="63"/>
  <c r="Q862" i="63" s="1"/>
  <c r="AQ892" i="63"/>
  <c r="AQ890" i="63"/>
  <c r="AQ862" i="63" s="1"/>
  <c r="BG892" i="63"/>
  <c r="BG890" i="63"/>
  <c r="BP892" i="63"/>
  <c r="BP890" i="63"/>
  <c r="BP867" i="63"/>
  <c r="BQ867" i="63" s="1"/>
  <c r="Z868" i="63"/>
  <c r="AB899" i="63"/>
  <c r="R872" i="63"/>
  <c r="S872" i="63" s="1"/>
  <c r="AJ900" i="63"/>
  <c r="AI885" i="63"/>
  <c r="BL872" i="63"/>
  <c r="V901" i="63"/>
  <c r="AA901" i="63"/>
  <c r="AB905" i="63"/>
  <c r="Q879" i="63"/>
  <c r="AQ879" i="63"/>
  <c r="AS879" i="63" s="1"/>
  <c r="BG879" i="63"/>
  <c r="BH879" i="63" s="1"/>
  <c r="BP879" i="63"/>
  <c r="BQ879" i="63" s="1"/>
  <c r="Z880" i="63"/>
  <c r="V911" i="63"/>
  <c r="U881" i="63"/>
  <c r="V881" i="63" s="1"/>
  <c r="AB913" i="63"/>
  <c r="M914" i="63"/>
  <c r="AA920" i="63"/>
  <c r="AC921" i="63"/>
  <c r="AE921" i="63" s="1"/>
  <c r="H923" i="63"/>
  <c r="I923" i="63" s="1"/>
  <c r="AC1028" i="63"/>
  <c r="AE1028" i="63" s="1"/>
  <c r="AE926" i="63"/>
  <c r="AU1028" i="63"/>
  <c r="AV926" i="63"/>
  <c r="AU925" i="63"/>
  <c r="BK926" i="63"/>
  <c r="BJ925" i="63"/>
  <c r="S934" i="63"/>
  <c r="L934" i="63"/>
  <c r="I936" i="63"/>
  <c r="H920" i="63"/>
  <c r="I920" i="63" s="1"/>
  <c r="AA936" i="63"/>
  <c r="AB936" i="63" s="1"/>
  <c r="V936" i="63"/>
  <c r="AJ936" i="63"/>
  <c r="AA940" i="63"/>
  <c r="AB940" i="63" s="1"/>
  <c r="V940" i="63"/>
  <c r="AJ940" i="63"/>
  <c r="AV942" i="63"/>
  <c r="AV946" i="63"/>
  <c r="BB1035" i="63"/>
  <c r="BF1035" i="63"/>
  <c r="BF934" i="63"/>
  <c r="BO1035" i="63"/>
  <c r="BQ949" i="63"/>
  <c r="BO934" i="63"/>
  <c r="BQ934" i="63" s="1"/>
  <c r="G1037" i="63"/>
  <c r="G941" i="63"/>
  <c r="BJ941" i="63"/>
  <c r="BK941" i="63" s="1"/>
  <c r="BJ1037" i="63"/>
  <c r="BK1037" i="63" s="1"/>
  <c r="T1038" i="63"/>
  <c r="Z956" i="63"/>
  <c r="AB956" i="63" s="1"/>
  <c r="S960" i="63"/>
  <c r="K960" i="63"/>
  <c r="T960" i="63"/>
  <c r="Z960" i="63" s="1"/>
  <c r="X1040" i="63"/>
  <c r="Y960" i="63"/>
  <c r="L960" i="63"/>
  <c r="M960" i="63" s="1"/>
  <c r="M961" i="63"/>
  <c r="K1041" i="63"/>
  <c r="M1041" i="63" s="1"/>
  <c r="L1042" i="63"/>
  <c r="M1042" i="63" s="1"/>
  <c r="M962" i="63"/>
  <c r="V966" i="63"/>
  <c r="AA966" i="63"/>
  <c r="AB966" i="63" s="1"/>
  <c r="AL1045" i="63"/>
  <c r="AM1045" i="63" s="1"/>
  <c r="AM967" i="63"/>
  <c r="M970" i="63"/>
  <c r="K1048" i="63"/>
  <c r="T1049" i="63"/>
  <c r="Z971" i="63"/>
  <c r="AB971" i="63" s="1"/>
  <c r="X1051" i="63"/>
  <c r="Y1051" i="63" s="1"/>
  <c r="L975" i="63"/>
  <c r="AH1051" i="63"/>
  <c r="AH974" i="63"/>
  <c r="AQ1051" i="63"/>
  <c r="AS1051" i="63" s="1"/>
  <c r="AS975" i="63"/>
  <c r="U1055" i="63"/>
  <c r="V979" i="63"/>
  <c r="AA979" i="63"/>
  <c r="AV986" i="63"/>
  <c r="AU921" i="63"/>
  <c r="AV921" i="63" s="1"/>
  <c r="BK986" i="63"/>
  <c r="BJ921" i="63"/>
  <c r="BK921" i="63" s="1"/>
  <c r="AS987" i="63"/>
  <c r="AQ922" i="63"/>
  <c r="AS922" i="63" s="1"/>
  <c r="AV994" i="63"/>
  <c r="T1059" i="63"/>
  <c r="AH1060" i="63"/>
  <c r="AH990" i="63"/>
  <c r="AQ1060" i="63"/>
  <c r="AS1003" i="63"/>
  <c r="AQ990" i="63"/>
  <c r="AS990" i="63" s="1"/>
  <c r="BG1060" i="63"/>
  <c r="BH1003" i="63"/>
  <c r="BG990" i="63"/>
  <c r="BH990" i="63" s="1"/>
  <c r="BQ1060" i="63"/>
  <c r="H1063" i="63"/>
  <c r="I1063" i="63" s="1"/>
  <c r="I1009" i="63"/>
  <c r="AM1063" i="63"/>
  <c r="AU1063" i="63"/>
  <c r="AV1063" i="63" s="1"/>
  <c r="AV1009" i="63"/>
  <c r="BO1063" i="63"/>
  <c r="BQ1063" i="63" s="1"/>
  <c r="BQ1009" i="63"/>
  <c r="U1065" i="63"/>
  <c r="V1065" i="63" s="1"/>
  <c r="V1011" i="63"/>
  <c r="X1068" i="63"/>
  <c r="Y1068" i="63" s="1"/>
  <c r="L1016" i="63"/>
  <c r="AQ1068" i="63"/>
  <c r="AS1068" i="63" s="1"/>
  <c r="AS1016" i="63"/>
  <c r="U1072" i="63"/>
  <c r="V1020" i="63"/>
  <c r="AA1020" i="63"/>
  <c r="Z1023" i="63"/>
  <c r="BJ1040" i="63"/>
  <c r="BK1040" i="63" s="1"/>
  <c r="BK1041" i="63"/>
  <c r="M1046" i="63"/>
  <c r="BK1053" i="63"/>
  <c r="Y1058" i="63"/>
  <c r="AY1067" i="63"/>
  <c r="AL1077" i="63"/>
  <c r="AM1077" i="63" s="1"/>
  <c r="AY1079" i="63"/>
  <c r="P1082" i="63"/>
  <c r="BI1083" i="63"/>
  <c r="V1090" i="63"/>
  <c r="Z1090" i="63"/>
  <c r="Z1032" i="63" s="1"/>
  <c r="Y1093" i="63"/>
  <c r="L1093" i="63"/>
  <c r="X1077" i="63"/>
  <c r="AY1093" i="63"/>
  <c r="AX1077" i="63"/>
  <c r="AY1077" i="63" s="1"/>
  <c r="BM1077" i="63"/>
  <c r="BN1077" i="63" s="1"/>
  <c r="BN1093" i="63"/>
  <c r="AV1095" i="63"/>
  <c r="AT1079" i="63"/>
  <c r="AY1096" i="63"/>
  <c r="AX1080" i="63"/>
  <c r="AY1080" i="63" s="1"/>
  <c r="AO1081" i="63"/>
  <c r="AP1081" i="63" s="1"/>
  <c r="AP1097" i="63"/>
  <c r="V1110" i="63"/>
  <c r="AA1110" i="63"/>
  <c r="AB1110" i="63" s="1"/>
  <c r="T1112" i="63"/>
  <c r="N1099" i="63"/>
  <c r="N1060" i="63"/>
  <c r="K1112" i="63"/>
  <c r="N1037" i="63"/>
  <c r="AI1099" i="63"/>
  <c r="AJ1099" i="63" s="1"/>
  <c r="AI1060" i="63"/>
  <c r="AJ1060" i="63" s="1"/>
  <c r="AI1037" i="63"/>
  <c r="AJ1037" i="63" s="1"/>
  <c r="AR1099" i="63"/>
  <c r="AS1099" i="63" s="1"/>
  <c r="AR1060" i="63"/>
  <c r="AS1060" i="63" s="1"/>
  <c r="AR1037" i="63"/>
  <c r="AS1037" i="63" s="1"/>
  <c r="BB1112" i="63"/>
  <c r="BA1060" i="63"/>
  <c r="BA1037" i="63"/>
  <c r="BB1037" i="63" s="1"/>
  <c r="AB1113" i="63"/>
  <c r="M1043" i="63"/>
  <c r="Z1121" i="63"/>
  <c r="Z1043" i="63" s="1"/>
  <c r="T1043" i="63"/>
  <c r="AS1125" i="63"/>
  <c r="AR1045" i="63"/>
  <c r="M1129" i="63"/>
  <c r="K1049" i="63"/>
  <c r="T1152" i="63"/>
  <c r="Z1152" i="63" s="1"/>
  <c r="K1152" i="63"/>
  <c r="AM1156" i="63"/>
  <c r="AK1155" i="63"/>
  <c r="AM1155" i="63" s="1"/>
  <c r="AK1141" i="63"/>
  <c r="AK1058" i="63"/>
  <c r="AM1058" i="63" s="1"/>
  <c r="AC1217" i="63"/>
  <c r="AE1217" i="63" s="1"/>
  <c r="AE1191" i="63"/>
  <c r="AU1217" i="63"/>
  <c r="AV1217" i="63" s="1"/>
  <c r="AV1191" i="63"/>
  <c r="L1192" i="63"/>
  <c r="Y1192" i="63"/>
  <c r="AA1194" i="63"/>
  <c r="U1238" i="63"/>
  <c r="L1238" i="63"/>
  <c r="M1238" i="63" s="1"/>
  <c r="P1238" i="63"/>
  <c r="AQ815" i="63"/>
  <c r="AS815" i="63" s="1"/>
  <c r="AA841" i="63"/>
  <c r="AA843" i="63"/>
  <c r="AA852" i="63"/>
  <c r="I879" i="63"/>
  <c r="AJ879" i="63"/>
  <c r="AA857" i="63"/>
  <c r="Z887" i="63"/>
  <c r="Z889" i="63"/>
  <c r="Z891" i="63"/>
  <c r="Z865" i="63"/>
  <c r="S895" i="63"/>
  <c r="R892" i="63"/>
  <c r="U892" i="63" s="1"/>
  <c r="R890" i="63"/>
  <c r="L890" i="63" s="1"/>
  <c r="R867" i="63"/>
  <c r="S867" i="63" s="1"/>
  <c r="BC892" i="63"/>
  <c r="BC890" i="63"/>
  <c r="BC862" i="63" s="1"/>
  <c r="BL892" i="63"/>
  <c r="BL890" i="63"/>
  <c r="BL862" i="63" s="1"/>
  <c r="BL867" i="63"/>
  <c r="Z871" i="63"/>
  <c r="T900" i="63"/>
  <c r="K900" i="63"/>
  <c r="K872" i="63" s="1"/>
  <c r="N872" i="63"/>
  <c r="BD872" i="63"/>
  <c r="S909" i="63"/>
  <c r="R879" i="63"/>
  <c r="S879" i="63" s="1"/>
  <c r="BC879" i="63"/>
  <c r="BL879" i="63"/>
  <c r="V910" i="63"/>
  <c r="U880" i="63"/>
  <c r="V880" i="63" s="1"/>
  <c r="S920" i="63"/>
  <c r="AA921" i="63"/>
  <c r="G925" i="63"/>
  <c r="AM926" i="63"/>
  <c r="M929" i="63"/>
  <c r="K1031" i="63"/>
  <c r="M1031" i="63" s="1"/>
  <c r="BQ935" i="63"/>
  <c r="BO919" i="63"/>
  <c r="BQ919" i="63" s="1"/>
  <c r="AA937" i="63"/>
  <c r="AB937" i="63" s="1"/>
  <c r="V937" i="63"/>
  <c r="S938" i="63"/>
  <c r="K938" i="63"/>
  <c r="T938" i="63"/>
  <c r="Z938" i="63" s="1"/>
  <c r="Y938" i="63"/>
  <c r="L938" i="63"/>
  <c r="S945" i="63"/>
  <c r="K945" i="63"/>
  <c r="M945" i="63" s="1"/>
  <c r="T945" i="63"/>
  <c r="Z945" i="63" s="1"/>
  <c r="AS949" i="63"/>
  <c r="AQ934" i="63"/>
  <c r="AS934" i="63" s="1"/>
  <c r="BG1035" i="63"/>
  <c r="BH949" i="63"/>
  <c r="BG934" i="63"/>
  <c r="BQ1035" i="63"/>
  <c r="I954" i="63"/>
  <c r="H941" i="63"/>
  <c r="I941" i="63" s="1"/>
  <c r="AL1037" i="63"/>
  <c r="AM1037" i="63" s="1"/>
  <c r="AL941" i="63"/>
  <c r="AM941" i="63" s="1"/>
  <c r="AU1037" i="63"/>
  <c r="AV1037" i="63" s="1"/>
  <c r="AV954" i="63"/>
  <c r="AU941" i="63"/>
  <c r="BF1037" i="63"/>
  <c r="BF941" i="63"/>
  <c r="BH941" i="63" s="1"/>
  <c r="BO1037" i="63"/>
  <c r="BQ1037" i="63" s="1"/>
  <c r="BQ954" i="63"/>
  <c r="BO941" i="63"/>
  <c r="U1038" i="63"/>
  <c r="V1038" i="63" s="1"/>
  <c r="V956" i="63"/>
  <c r="AA1047" i="63"/>
  <c r="AB969" i="63"/>
  <c r="U1049" i="63"/>
  <c r="V1049" i="63" s="1"/>
  <c r="V971" i="63"/>
  <c r="Z975" i="63"/>
  <c r="AI974" i="63"/>
  <c r="S985" i="63"/>
  <c r="K985" i="63"/>
  <c r="M985" i="63" s="1"/>
  <c r="T985" i="63"/>
  <c r="Z985" i="63" s="1"/>
  <c r="AM986" i="63"/>
  <c r="AL921" i="63"/>
  <c r="AM921" i="63" s="1"/>
  <c r="BH988" i="63"/>
  <c r="BG923" i="63"/>
  <c r="BH923" i="63" s="1"/>
  <c r="S989" i="63"/>
  <c r="K989" i="63"/>
  <c r="M989" i="63" s="1"/>
  <c r="Q924" i="63"/>
  <c r="T989" i="63"/>
  <c r="Z989" i="63" s="1"/>
  <c r="S993" i="63"/>
  <c r="K993" i="63"/>
  <c r="M993" i="63" s="1"/>
  <c r="T993" i="63"/>
  <c r="Z993" i="63" s="1"/>
  <c r="Q1058" i="63"/>
  <c r="S1058" i="63" s="1"/>
  <c r="S998" i="63"/>
  <c r="K998" i="63"/>
  <c r="T998" i="63"/>
  <c r="Z998" i="63" s="1"/>
  <c r="Q983" i="63"/>
  <c r="AX1058" i="63"/>
  <c r="AY1058" i="63" s="1"/>
  <c r="AX983" i="63"/>
  <c r="AY983" i="63" s="1"/>
  <c r="BG1058" i="63"/>
  <c r="BH1058" i="63" s="1"/>
  <c r="BH998" i="63"/>
  <c r="BG983" i="63"/>
  <c r="L1059" i="63"/>
  <c r="M1059" i="63" s="1"/>
  <c r="I1003" i="63"/>
  <c r="H990" i="63"/>
  <c r="AA1003" i="63"/>
  <c r="AB1003" i="63" s="1"/>
  <c r="V1003" i="63"/>
  <c r="AJ1003" i="63"/>
  <c r="AI990" i="63"/>
  <c r="AX1060" i="63"/>
  <c r="AY1003" i="63"/>
  <c r="AX990" i="63"/>
  <c r="AY990" i="63" s="1"/>
  <c r="AQ1063" i="63"/>
  <c r="AS1063" i="63" s="1"/>
  <c r="AS1009" i="63"/>
  <c r="U1067" i="63"/>
  <c r="V1067" i="63" s="1"/>
  <c r="V1013" i="63"/>
  <c r="AA1013" i="63"/>
  <c r="Z1016" i="63"/>
  <c r="Z1068" i="63" s="1"/>
  <c r="T1068" i="63"/>
  <c r="U1084" i="63"/>
  <c r="L1084" i="63"/>
  <c r="O1028" i="63"/>
  <c r="P1028" i="63" s="1"/>
  <c r="P1084" i="63"/>
  <c r="O1083" i="63"/>
  <c r="AK1028" i="63"/>
  <c r="AV1084" i="63"/>
  <c r="AT1083" i="63"/>
  <c r="BK1084" i="63"/>
  <c r="BJ1028" i="63"/>
  <c r="BK1028" i="63" s="1"/>
  <c r="M1090" i="63"/>
  <c r="L1032" i="63"/>
  <c r="M1032" i="63" s="1"/>
  <c r="AA1032" i="63"/>
  <c r="AP1092" i="63"/>
  <c r="AO1091" i="63"/>
  <c r="BA1091" i="63"/>
  <c r="AO1077" i="63"/>
  <c r="AP1077" i="63" s="1"/>
  <c r="AP1093" i="63"/>
  <c r="K1095" i="63"/>
  <c r="M1095" i="63" s="1"/>
  <c r="W1079" i="63"/>
  <c r="AV1096" i="63"/>
  <c r="AT1080" i="63"/>
  <c r="AV1080" i="63" s="1"/>
  <c r="I1097" i="63"/>
  <c r="G1081" i="63"/>
  <c r="I1081" i="63" s="1"/>
  <c r="K1098" i="63"/>
  <c r="W1082" i="63"/>
  <c r="K1082" i="63" s="1"/>
  <c r="U1100" i="63"/>
  <c r="L1100" i="63"/>
  <c r="M1100" i="63" s="1"/>
  <c r="O1077" i="63"/>
  <c r="BK1100" i="63"/>
  <c r="BJ1077" i="63"/>
  <c r="AA1105" i="63"/>
  <c r="AE1107" i="63"/>
  <c r="AC1092" i="63"/>
  <c r="AC1035" i="63"/>
  <c r="AE1035" i="63" s="1"/>
  <c r="AU1092" i="63"/>
  <c r="AU1035" i="63"/>
  <c r="AV1035" i="63" s="1"/>
  <c r="BE1092" i="63"/>
  <c r="BN1107" i="63"/>
  <c r="BM1092" i="63"/>
  <c r="BM1035" i="63"/>
  <c r="BN1035" i="63" s="1"/>
  <c r="P1112" i="63"/>
  <c r="L1112" i="63"/>
  <c r="O1037" i="63"/>
  <c r="O1060" i="63"/>
  <c r="P1060" i="63" s="1"/>
  <c r="U1112" i="63"/>
  <c r="AC1099" i="63"/>
  <c r="AC1060" i="63"/>
  <c r="AC1037" i="63"/>
  <c r="AE1037" i="63" s="1"/>
  <c r="AN1099" i="63"/>
  <c r="AN1060" i="63"/>
  <c r="AP1060" i="63" s="1"/>
  <c r="AN1037" i="63"/>
  <c r="AY1112" i="63"/>
  <c r="AW1037" i="63"/>
  <c r="AY1037" i="63" s="1"/>
  <c r="AW1099" i="63"/>
  <c r="AW1091" i="63" s="1"/>
  <c r="AW1083" i="63" s="1"/>
  <c r="AW1060" i="63"/>
  <c r="Y1118" i="63"/>
  <c r="K1118" i="63"/>
  <c r="W1040" i="63"/>
  <c r="BD1040" i="63"/>
  <c r="BE1118" i="63"/>
  <c r="V1121" i="63"/>
  <c r="U1043" i="63"/>
  <c r="V1043" i="63" s="1"/>
  <c r="AA1121" i="63"/>
  <c r="Q1051" i="63"/>
  <c r="S1051" i="63" s="1"/>
  <c r="AN1051" i="63"/>
  <c r="BO1051" i="63"/>
  <c r="M1134" i="63"/>
  <c r="L1052" i="63"/>
  <c r="M1052" i="63" s="1"/>
  <c r="AB1135" i="63"/>
  <c r="Y1146" i="63"/>
  <c r="K1146" i="63"/>
  <c r="AR1081" i="63"/>
  <c r="AS1081" i="63" s="1"/>
  <c r="AS1146" i="63"/>
  <c r="Z1234" i="63"/>
  <c r="T1214" i="63"/>
  <c r="AD885" i="63"/>
  <c r="N890" i="63"/>
  <c r="P890" i="63" s="1"/>
  <c r="AR890" i="63"/>
  <c r="AZ890" i="63"/>
  <c r="AR892" i="63"/>
  <c r="V894" i="63"/>
  <c r="P895" i="63"/>
  <c r="L895" i="63"/>
  <c r="U895" i="63"/>
  <c r="BB895" i="63"/>
  <c r="AP900" i="63"/>
  <c r="V907" i="63"/>
  <c r="P909" i="63"/>
  <c r="L909" i="63"/>
  <c r="U909" i="63"/>
  <c r="BB909" i="63"/>
  <c r="V914" i="63"/>
  <c r="I921" i="63"/>
  <c r="AA922" i="63"/>
  <c r="AB922" i="63" s="1"/>
  <c r="V922" i="63"/>
  <c r="BH922" i="63"/>
  <c r="S923" i="63"/>
  <c r="K923" i="63"/>
  <c r="AV924" i="63"/>
  <c r="BF925" i="63"/>
  <c r="AA926" i="63"/>
  <c r="AI1028" i="63"/>
  <c r="AJ1028" i="63" s="1"/>
  <c r="AJ926" i="63"/>
  <c r="BG1028" i="63"/>
  <c r="BH1028" i="63" s="1"/>
  <c r="BH926" i="63"/>
  <c r="S935" i="63"/>
  <c r="K935" i="63"/>
  <c r="AV936" i="63"/>
  <c r="I937" i="63"/>
  <c r="AA938" i="63"/>
  <c r="V938" i="63"/>
  <c r="AJ938" i="63"/>
  <c r="BH938" i="63"/>
  <c r="S939" i="63"/>
  <c r="K939" i="63"/>
  <c r="AV940" i="63"/>
  <c r="AA942" i="63"/>
  <c r="AB942" i="63" s="1"/>
  <c r="AJ942" i="63"/>
  <c r="BH942" i="63"/>
  <c r="S943" i="63"/>
  <c r="K943" i="63"/>
  <c r="M943" i="63" s="1"/>
  <c r="AV944" i="63"/>
  <c r="I945" i="63"/>
  <c r="AA946" i="63"/>
  <c r="AB946" i="63" s="1"/>
  <c r="AJ946" i="63"/>
  <c r="BH946" i="63"/>
  <c r="S947" i="63"/>
  <c r="K947" i="63"/>
  <c r="M947" i="63" s="1"/>
  <c r="AV949" i="63"/>
  <c r="BK1035" i="63"/>
  <c r="T1036" i="63"/>
  <c r="V953" i="63"/>
  <c r="Q1037" i="63"/>
  <c r="S954" i="63"/>
  <c r="K954" i="63"/>
  <c r="AY954" i="63"/>
  <c r="BC1037" i="63"/>
  <c r="BE1037" i="63" s="1"/>
  <c r="BE954" i="63"/>
  <c r="AA960" i="63"/>
  <c r="AB960" i="63" s="1"/>
  <c r="V960" i="63"/>
  <c r="AJ960" i="63"/>
  <c r="AY1040" i="63"/>
  <c r="BH960" i="63"/>
  <c r="AA967" i="63"/>
  <c r="AB967" i="63" s="1"/>
  <c r="V967" i="63"/>
  <c r="AI1045" i="63"/>
  <c r="AJ1045" i="63" s="1"/>
  <c r="AJ967" i="63"/>
  <c r="BG1045" i="63"/>
  <c r="BH1045" i="63" s="1"/>
  <c r="BH967" i="63"/>
  <c r="S975" i="63"/>
  <c r="K975" i="63"/>
  <c r="K1051" i="63" s="1"/>
  <c r="AC1051" i="63"/>
  <c r="AE975" i="63"/>
  <c r="AY975" i="63"/>
  <c r="BC1051" i="63"/>
  <c r="BE1051" i="63" s="1"/>
  <c r="BE975" i="63"/>
  <c r="M978" i="63"/>
  <c r="K1054" i="63"/>
  <c r="M1054" i="63" s="1"/>
  <c r="L1055" i="63"/>
  <c r="M1055" i="63" s="1"/>
  <c r="T1055" i="63"/>
  <c r="V981" i="63"/>
  <c r="AV984" i="63"/>
  <c r="I985" i="63"/>
  <c r="AA986" i="63"/>
  <c r="AB986" i="63" s="1"/>
  <c r="AJ986" i="63"/>
  <c r="BH986" i="63"/>
  <c r="S987" i="63"/>
  <c r="K987" i="63"/>
  <c r="M987" i="63" s="1"/>
  <c r="AV988" i="63"/>
  <c r="I989" i="63"/>
  <c r="AA990" i="63"/>
  <c r="AB990" i="63" s="1"/>
  <c r="S991" i="63"/>
  <c r="K991" i="63"/>
  <c r="M991" i="63" s="1"/>
  <c r="AV992" i="63"/>
  <c r="I993" i="63"/>
  <c r="AA994" i="63"/>
  <c r="AJ994" i="63"/>
  <c r="BH994" i="63"/>
  <c r="S995" i="63"/>
  <c r="K995" i="63"/>
  <c r="M995" i="63" s="1"/>
  <c r="AV996" i="63"/>
  <c r="H1058" i="63"/>
  <c r="I1058" i="63" s="1"/>
  <c r="I998" i="63"/>
  <c r="AM998" i="63"/>
  <c r="AQ1058" i="63"/>
  <c r="AS1058" i="63" s="1"/>
  <c r="AS998" i="63"/>
  <c r="BK998" i="63"/>
  <c r="BO1058" i="63"/>
  <c r="BQ998" i="63"/>
  <c r="M1000" i="63"/>
  <c r="U1059" i="63"/>
  <c r="V1000" i="63"/>
  <c r="Y1060" i="63"/>
  <c r="AU1060" i="63"/>
  <c r="AV1060" i="63" s="1"/>
  <c r="AV1003" i="63"/>
  <c r="L1061" i="63"/>
  <c r="M1061" i="63" s="1"/>
  <c r="T1061" i="63"/>
  <c r="V1007" i="63"/>
  <c r="Q1063" i="63"/>
  <c r="S1063" i="63" s="1"/>
  <c r="S1009" i="63"/>
  <c r="K1009" i="63"/>
  <c r="K1063" i="63" s="1"/>
  <c r="AC1063" i="63"/>
  <c r="AE1063" i="63" s="1"/>
  <c r="AE1009" i="63"/>
  <c r="AY1009" i="63"/>
  <c r="BC1063" i="63"/>
  <c r="BE1009" i="63"/>
  <c r="V1015" i="63"/>
  <c r="Q1068" i="63"/>
  <c r="S1016" i="63"/>
  <c r="K1016" i="63"/>
  <c r="AC1068" i="63"/>
  <c r="AE1016" i="63"/>
  <c r="AY1016" i="63"/>
  <c r="BC1068" i="63"/>
  <c r="BE1068" i="63" s="1"/>
  <c r="BE1016" i="63"/>
  <c r="M1019" i="63"/>
  <c r="K1071" i="63"/>
  <c r="M1071" i="63" s="1"/>
  <c r="L1072" i="63"/>
  <c r="M1072" i="63" s="1"/>
  <c r="T1072" i="63"/>
  <c r="AA1022" i="63"/>
  <c r="AB1022" i="63" s="1"/>
  <c r="V1022" i="63"/>
  <c r="AM1036" i="63"/>
  <c r="S1037" i="63"/>
  <c r="AP1037" i="63"/>
  <c r="Y1038" i="63"/>
  <c r="BK1042" i="63"/>
  <c r="BK1044" i="63"/>
  <c r="AY1046" i="63"/>
  <c r="BK1052" i="63"/>
  <c r="BK1054" i="63"/>
  <c r="AM1061" i="63"/>
  <c r="AY1065" i="63"/>
  <c r="AM1069" i="63"/>
  <c r="AM1071" i="63"/>
  <c r="BK1073" i="63"/>
  <c r="AM1081" i="63"/>
  <c r="AA1029" i="63"/>
  <c r="AB1087" i="63"/>
  <c r="AV1094" i="63"/>
  <c r="AT1078" i="63"/>
  <c r="AV1078" i="63" s="1"/>
  <c r="BM1079" i="63"/>
  <c r="BN1079" i="63" s="1"/>
  <c r="Y1096" i="63"/>
  <c r="K1097" i="63"/>
  <c r="W1081" i="63"/>
  <c r="K1081" i="63" s="1"/>
  <c r="AV1098" i="63"/>
  <c r="AT1082" i="63"/>
  <c r="AV1082" i="63" s="1"/>
  <c r="U1101" i="63"/>
  <c r="L1101" i="63"/>
  <c r="M1101" i="63" s="1"/>
  <c r="AE1102" i="63"/>
  <c r="AC1079" i="63"/>
  <c r="AE1079" i="63" s="1"/>
  <c r="BK1102" i="63"/>
  <c r="BJ1079" i="63"/>
  <c r="BK1079" i="63" s="1"/>
  <c r="U1104" i="63"/>
  <c r="P1104" i="63"/>
  <c r="L1104" i="63"/>
  <c r="BH1105" i="63"/>
  <c r="Z1038" i="63"/>
  <c r="V1122" i="63"/>
  <c r="AA1122" i="63"/>
  <c r="U1044" i="63"/>
  <c r="BB1146" i="63"/>
  <c r="BA1081" i="63"/>
  <c r="BB1081" i="63" s="1"/>
  <c r="S1147" i="63"/>
  <c r="R1082" i="63"/>
  <c r="S1082" i="63" s="1"/>
  <c r="AE1147" i="63"/>
  <c r="AD1082" i="63"/>
  <c r="AE1082" i="63" s="1"/>
  <c r="U1154" i="63"/>
  <c r="P1154" i="63"/>
  <c r="L1154" i="63"/>
  <c r="AP1167" i="63"/>
  <c r="AO1166" i="63"/>
  <c r="AP1166" i="63" s="1"/>
  <c r="AO1063" i="63"/>
  <c r="BE1167" i="63"/>
  <c r="BD1166" i="63"/>
  <c r="BE1166" i="63" s="1"/>
  <c r="BD1063" i="63"/>
  <c r="Z1067" i="63"/>
  <c r="AB1171" i="63"/>
  <c r="AQ1213" i="63"/>
  <c r="AS1187" i="63"/>
  <c r="AJ1234" i="63"/>
  <c r="AH1214" i="63"/>
  <c r="BH1234" i="63"/>
  <c r="BF1214" i="63"/>
  <c r="T895" i="63"/>
  <c r="BN895" i="63"/>
  <c r="V898" i="63"/>
  <c r="P900" i="63"/>
  <c r="L900" i="63"/>
  <c r="U900" i="63"/>
  <c r="BB900" i="63"/>
  <c r="V905" i="63"/>
  <c r="AB907" i="63"/>
  <c r="T909" i="63"/>
  <c r="BN909" i="63"/>
  <c r="V912" i="63"/>
  <c r="AB914" i="63"/>
  <c r="Z919" i="63"/>
  <c r="V923" i="63"/>
  <c r="H1028" i="63"/>
  <c r="I926" i="63"/>
  <c r="AQ1028" i="63"/>
  <c r="AS1028" i="63" s="1"/>
  <c r="AS926" i="63"/>
  <c r="BO1028" i="63"/>
  <c r="BQ1028" i="63" s="1"/>
  <c r="BQ926" i="63"/>
  <c r="U1030" i="63"/>
  <c r="V1030" i="63" s="1"/>
  <c r="V928" i="63"/>
  <c r="AA935" i="63"/>
  <c r="AB935" i="63" s="1"/>
  <c r="AJ935" i="63"/>
  <c r="BH935" i="63"/>
  <c r="S936" i="63"/>
  <c r="K936" i="63"/>
  <c r="M936" i="63" s="1"/>
  <c r="AV937" i="63"/>
  <c r="I938" i="63"/>
  <c r="AA939" i="63"/>
  <c r="AB939" i="63" s="1"/>
  <c r="AJ939" i="63"/>
  <c r="BH939" i="63"/>
  <c r="S940" i="63"/>
  <c r="K940" i="63"/>
  <c r="M940" i="63" s="1"/>
  <c r="I942" i="63"/>
  <c r="AA943" i="63"/>
  <c r="AB943" i="63" s="1"/>
  <c r="V943" i="63"/>
  <c r="AJ943" i="63"/>
  <c r="BH943" i="63"/>
  <c r="S944" i="63"/>
  <c r="K944" i="63"/>
  <c r="M944" i="63" s="1"/>
  <c r="AV945" i="63"/>
  <c r="I946" i="63"/>
  <c r="V947" i="63"/>
  <c r="AJ947" i="63"/>
  <c r="BH947" i="63"/>
  <c r="Q1035" i="63"/>
  <c r="S1035" i="63" s="1"/>
  <c r="S949" i="63"/>
  <c r="K949" i="63"/>
  <c r="BC1035" i="63"/>
  <c r="BE1035" i="63" s="1"/>
  <c r="BE949" i="63"/>
  <c r="Z1036" i="63"/>
  <c r="AB953" i="63"/>
  <c r="AA954" i="63"/>
  <c r="AB954" i="63" s="1"/>
  <c r="V954" i="63"/>
  <c r="AJ954" i="63"/>
  <c r="BG1037" i="63"/>
  <c r="BH954" i="63"/>
  <c r="H1040" i="63"/>
  <c r="I960" i="63"/>
  <c r="AQ1040" i="63"/>
  <c r="AS1040" i="63" s="1"/>
  <c r="AS960" i="63"/>
  <c r="BO1040" i="63"/>
  <c r="BQ960" i="63"/>
  <c r="V962" i="63"/>
  <c r="I967" i="63"/>
  <c r="BO1045" i="63"/>
  <c r="BQ1045" i="63" s="1"/>
  <c r="BQ967" i="63"/>
  <c r="U1047" i="63"/>
  <c r="V1047" i="63" s="1"/>
  <c r="V969" i="63"/>
  <c r="AA975" i="63"/>
  <c r="V975" i="63"/>
  <c r="AI1051" i="63"/>
  <c r="AJ1051" i="63" s="1"/>
  <c r="AJ975" i="63"/>
  <c r="BG1051" i="63"/>
  <c r="BH975" i="63"/>
  <c r="Z1055" i="63"/>
  <c r="AB981" i="63"/>
  <c r="S984" i="63"/>
  <c r="K984" i="63"/>
  <c r="AV985" i="63"/>
  <c r="I986" i="63"/>
  <c r="AA987" i="63"/>
  <c r="AB987" i="63" s="1"/>
  <c r="V987" i="63"/>
  <c r="AJ987" i="63"/>
  <c r="BH987" i="63"/>
  <c r="S988" i="63"/>
  <c r="K988" i="63"/>
  <c r="M988" i="63" s="1"/>
  <c r="AV989" i="63"/>
  <c r="AA991" i="63"/>
  <c r="V991" i="63"/>
  <c r="AJ991" i="63"/>
  <c r="BH991" i="63"/>
  <c r="S992" i="63"/>
  <c r="K992" i="63"/>
  <c r="M992" i="63" s="1"/>
  <c r="AV993" i="63"/>
  <c r="I994" i="63"/>
  <c r="AA995" i="63"/>
  <c r="V995" i="63"/>
  <c r="AJ995" i="63"/>
  <c r="BH995" i="63"/>
  <c r="S996" i="63"/>
  <c r="K996" i="63"/>
  <c r="M996" i="63" s="1"/>
  <c r="AU1058" i="63"/>
  <c r="AV998" i="63"/>
  <c r="BK1058" i="63"/>
  <c r="AA1059" i="63"/>
  <c r="AB1000" i="63"/>
  <c r="V1002" i="63"/>
  <c r="Q1060" i="63"/>
  <c r="S1060" i="63" s="1"/>
  <c r="S1003" i="63"/>
  <c r="K1003" i="63"/>
  <c r="BC1060" i="63"/>
  <c r="BE1060" i="63" s="1"/>
  <c r="BE1003" i="63"/>
  <c r="AB1007" i="63"/>
  <c r="AA1009" i="63"/>
  <c r="AB1009" i="63" s="1"/>
  <c r="V1009" i="63"/>
  <c r="AI1063" i="63"/>
  <c r="AJ1063" i="63" s="1"/>
  <c r="AJ1009" i="63"/>
  <c r="BG1063" i="63"/>
  <c r="BH1063" i="63" s="1"/>
  <c r="BH1009" i="63"/>
  <c r="AB1015" i="63"/>
  <c r="AA1016" i="63"/>
  <c r="V1016" i="63"/>
  <c r="AI1068" i="63"/>
  <c r="AJ1068" i="63" s="1"/>
  <c r="AJ1016" i="63"/>
  <c r="BG1068" i="63"/>
  <c r="BH1068" i="63" s="1"/>
  <c r="BH1016" i="63"/>
  <c r="BQ1068" i="63"/>
  <c r="L1073" i="63"/>
  <c r="M1073" i="63" s="1"/>
  <c r="M1023" i="63"/>
  <c r="AP1028" i="63"/>
  <c r="Y1029" i="63"/>
  <c r="P1038" i="63"/>
  <c r="AM1041" i="63"/>
  <c r="AM1043" i="63"/>
  <c r="AY1049" i="63"/>
  <c r="AM1053" i="63"/>
  <c r="AM1055" i="63"/>
  <c r="BK1061" i="63"/>
  <c r="AY1064" i="63"/>
  <c r="BK1069" i="63"/>
  <c r="BK1071" i="63"/>
  <c r="AM1074" i="63"/>
  <c r="U1078" i="63"/>
  <c r="AY1078" i="63"/>
  <c r="BK1080" i="63"/>
  <c r="U1081" i="63"/>
  <c r="Y1084" i="63"/>
  <c r="X1028" i="63"/>
  <c r="Y1028" i="63" s="1"/>
  <c r="AM1084" i="63"/>
  <c r="AL1083" i="63"/>
  <c r="AL1028" i="63"/>
  <c r="AM1028" i="63" s="1"/>
  <c r="BB1084" i="63"/>
  <c r="BA1083" i="63"/>
  <c r="BA1028" i="63"/>
  <c r="BB1028" i="63" s="1"/>
  <c r="AY1091" i="63"/>
  <c r="AV1093" i="63"/>
  <c r="AT1077" i="63"/>
  <c r="I1094" i="63"/>
  <c r="G1078" i="63"/>
  <c r="I1078" i="63" s="1"/>
  <c r="Y1095" i="63"/>
  <c r="X1079" i="63"/>
  <c r="Y1079" i="63" s="1"/>
  <c r="K1096" i="63"/>
  <c r="M1096" i="63" s="1"/>
  <c r="W1080" i="63"/>
  <c r="K1080" i="63" s="1"/>
  <c r="AV1097" i="63"/>
  <c r="AT1081" i="63"/>
  <c r="AV1081" i="63" s="1"/>
  <c r="U1102" i="63"/>
  <c r="L1102" i="63"/>
  <c r="M1102" i="63" s="1"/>
  <c r="AJ1102" i="63"/>
  <c r="AI1079" i="63"/>
  <c r="AJ1079" i="63" s="1"/>
  <c r="S1105" i="63"/>
  <c r="K1105" i="63"/>
  <c r="M1105" i="63" s="1"/>
  <c r="T1105" i="63"/>
  <c r="Z1105" i="63" s="1"/>
  <c r="Y1107" i="63"/>
  <c r="W1092" i="63"/>
  <c r="W1091" i="63" s="1"/>
  <c r="W1083" i="63" s="1"/>
  <c r="W1035" i="63"/>
  <c r="Y1035" i="63" s="1"/>
  <c r="V1111" i="63"/>
  <c r="AA1111" i="63"/>
  <c r="AB1111" i="63" s="1"/>
  <c r="AJ1118" i="63"/>
  <c r="AI1040" i="63"/>
  <c r="AV1118" i="63"/>
  <c r="AU1040" i="63"/>
  <c r="AV1040" i="63" s="1"/>
  <c r="AA1120" i="63"/>
  <c r="U1042" i="63"/>
  <c r="V1042" i="63" s="1"/>
  <c r="V1120" i="63"/>
  <c r="AA1049" i="63"/>
  <c r="P1141" i="63"/>
  <c r="U1141" i="63"/>
  <c r="O1140" i="63"/>
  <c r="BK1141" i="63"/>
  <c r="BI1140" i="63"/>
  <c r="BN1143" i="63"/>
  <c r="T1144" i="63"/>
  <c r="Z1144" i="63" s="1"/>
  <c r="N1079" i="63"/>
  <c r="P1079" i="63" s="1"/>
  <c r="BD1079" i="63"/>
  <c r="BE1079" i="63" s="1"/>
  <c r="BE1144" i="63"/>
  <c r="BB1149" i="63"/>
  <c r="BQ1149" i="63"/>
  <c r="BP1077" i="63"/>
  <c r="Y1154" i="63"/>
  <c r="K1154" i="63"/>
  <c r="AP1155" i="63"/>
  <c r="AN1063" i="63"/>
  <c r="AN1141" i="63"/>
  <c r="AN1140" i="63" s="1"/>
  <c r="AN1132" i="63" s="1"/>
  <c r="AY1167" i="63"/>
  <c r="AW1166" i="63"/>
  <c r="AY1166" i="63" s="1"/>
  <c r="AW1063" i="63"/>
  <c r="AY1063" i="63" s="1"/>
  <c r="AW1141" i="63"/>
  <c r="BN1167" i="63"/>
  <c r="BM1166" i="63"/>
  <c r="BM1063" i="63"/>
  <c r="BN1063" i="63" s="1"/>
  <c r="L1188" i="63"/>
  <c r="Y1188" i="63"/>
  <c r="AA1190" i="63"/>
  <c r="AM1238" i="63"/>
  <c r="AL1216" i="63"/>
  <c r="AM1216" i="63" s="1"/>
  <c r="BA1216" i="63"/>
  <c r="BB1216" i="63" s="1"/>
  <c r="BB1238" i="63"/>
  <c r="Z927" i="63"/>
  <c r="Z929" i="63"/>
  <c r="AB929" i="63" s="1"/>
  <c r="Z961" i="63"/>
  <c r="AB961" i="63" s="1"/>
  <c r="Z976" i="63"/>
  <c r="Z1052" i="63" s="1"/>
  <c r="Z978" i="63"/>
  <c r="Z1017" i="63"/>
  <c r="Z1019" i="63"/>
  <c r="V1073" i="63"/>
  <c r="AA1023" i="63"/>
  <c r="Z1024" i="63"/>
  <c r="Z1074" i="63" s="1"/>
  <c r="BK1029" i="63"/>
  <c r="AM1030" i="63"/>
  <c r="BK1031" i="63"/>
  <c r="AM1032" i="63"/>
  <c r="Y1036" i="63"/>
  <c r="Y1046" i="63"/>
  <c r="Y1047" i="63"/>
  <c r="Y1048" i="63"/>
  <c r="Y1049" i="63"/>
  <c r="Y1059" i="63"/>
  <c r="Y1064" i="63"/>
  <c r="Y1065" i="63"/>
  <c r="Y1066" i="63"/>
  <c r="Y1067" i="63"/>
  <c r="AH1077" i="63"/>
  <c r="AJ1077" i="63" s="1"/>
  <c r="BF1077" i="63"/>
  <c r="BH1077" i="63" s="1"/>
  <c r="AM1079" i="63"/>
  <c r="Z1080" i="63"/>
  <c r="AH1080" i="63"/>
  <c r="AJ1080" i="63" s="1"/>
  <c r="BK1082" i="63"/>
  <c r="Z1084" i="63"/>
  <c r="U1031" i="63"/>
  <c r="V1031" i="63" s="1"/>
  <c r="M1088" i="63"/>
  <c r="AB1088" i="63"/>
  <c r="L1092" i="63"/>
  <c r="AY1092" i="63"/>
  <c r="V1093" i="63"/>
  <c r="AA1093" i="63"/>
  <c r="AM1093" i="63"/>
  <c r="BK1093" i="63"/>
  <c r="V1094" i="63"/>
  <c r="AA1094" i="63"/>
  <c r="AM1094" i="63"/>
  <c r="BK1094" i="63"/>
  <c r="AA1095" i="63"/>
  <c r="AM1095" i="63"/>
  <c r="BK1095" i="63"/>
  <c r="AM1096" i="63"/>
  <c r="BK1096" i="63"/>
  <c r="V1097" i="63"/>
  <c r="AA1097" i="63"/>
  <c r="AM1097" i="63"/>
  <c r="BK1097" i="63"/>
  <c r="AM1098" i="63"/>
  <c r="BK1098" i="63"/>
  <c r="AY1100" i="63"/>
  <c r="AY1101" i="63"/>
  <c r="AV1102" i="63"/>
  <c r="AU1079" i="63"/>
  <c r="AA1103" i="63"/>
  <c r="AJ1104" i="63"/>
  <c r="I1107" i="63"/>
  <c r="H1092" i="63"/>
  <c r="H1035" i="63"/>
  <c r="I1035" i="63" s="1"/>
  <c r="AR1092" i="63"/>
  <c r="AS1107" i="63"/>
  <c r="H1099" i="63"/>
  <c r="I1099" i="63" s="1"/>
  <c r="H1060" i="63"/>
  <c r="I1060" i="63" s="1"/>
  <c r="H1037" i="63"/>
  <c r="I1037" i="63" s="1"/>
  <c r="AD1099" i="63"/>
  <c r="AD1060" i="63"/>
  <c r="AE1060" i="63" s="1"/>
  <c r="AE1112" i="63"/>
  <c r="Z1061" i="63"/>
  <c r="AB1117" i="63"/>
  <c r="Q1040" i="63"/>
  <c r="AE1118" i="63"/>
  <c r="AC1040" i="63"/>
  <c r="AE1040" i="63" s="1"/>
  <c r="BG1040" i="63"/>
  <c r="BH1040" i="63" s="1"/>
  <c r="BP1092" i="63"/>
  <c r="BP1040" i="63"/>
  <c r="BQ1040" i="63" s="1"/>
  <c r="I1125" i="63"/>
  <c r="H1045" i="63"/>
  <c r="I1045" i="63" s="1"/>
  <c r="AB1130" i="63"/>
  <c r="AD1051" i="63"/>
  <c r="AE1051" i="63" s="1"/>
  <c r="AE1133" i="63"/>
  <c r="AV1077" i="63"/>
  <c r="AS1145" i="63"/>
  <c r="AR1080" i="63"/>
  <c r="AS1080" i="63" s="1"/>
  <c r="U1146" i="63"/>
  <c r="P1146" i="63"/>
  <c r="L1146" i="63"/>
  <c r="M1146" i="63" s="1"/>
  <c r="U1153" i="63"/>
  <c r="P1153" i="63"/>
  <c r="L1153" i="63"/>
  <c r="Z1059" i="63"/>
  <c r="AP1161" i="63"/>
  <c r="AO1148" i="63"/>
  <c r="AP1148" i="63" s="1"/>
  <c r="K1174" i="63"/>
  <c r="K1068" i="63" s="1"/>
  <c r="S1174" i="63"/>
  <c r="R1068" i="63"/>
  <c r="AE1174" i="63"/>
  <c r="AD1068" i="63"/>
  <c r="Z1071" i="63"/>
  <c r="Z1072" i="63"/>
  <c r="AB1180" i="63"/>
  <c r="AU1214" i="63"/>
  <c r="AV1214" i="63" s="1"/>
  <c r="AV1188" i="63"/>
  <c r="BO1214" i="63"/>
  <c r="BQ1188" i="63"/>
  <c r="BO1215" i="63"/>
  <c r="BQ1215" i="63" s="1"/>
  <c r="BQ1189" i="63"/>
  <c r="Z1209" i="63"/>
  <c r="V1210" i="63"/>
  <c r="T1230" i="63"/>
  <c r="Z1210" i="63"/>
  <c r="Z1230" i="63" s="1"/>
  <c r="U1237" i="63"/>
  <c r="L1237" i="63"/>
  <c r="O1217" i="63"/>
  <c r="P1217" i="63" s="1"/>
  <c r="P1237" i="63"/>
  <c r="BK1237" i="63"/>
  <c r="BJ1217" i="63"/>
  <c r="BK1217" i="63" s="1"/>
  <c r="Z1238" i="63"/>
  <c r="AK1274" i="63"/>
  <c r="AK1262" i="63"/>
  <c r="AT1262" i="63"/>
  <c r="AV1263" i="63"/>
  <c r="AT1274" i="63"/>
  <c r="AV1274" i="63" s="1"/>
  <c r="BI1262" i="63"/>
  <c r="BI1273" i="63" s="1"/>
  <c r="BI1274" i="63"/>
  <c r="V1264" i="63"/>
  <c r="Z1264" i="63"/>
  <c r="Z1275" i="63" s="1"/>
  <c r="BM1316" i="63"/>
  <c r="Q1322" i="63"/>
  <c r="S1322" i="63" s="1"/>
  <c r="Q1296" i="63"/>
  <c r="Q1316" i="63" s="1"/>
  <c r="V1046" i="63"/>
  <c r="AA968" i="63"/>
  <c r="V1048" i="63"/>
  <c r="AA970" i="63"/>
  <c r="V1052" i="63"/>
  <c r="AA976" i="63"/>
  <c r="V1064" i="63"/>
  <c r="AA1010" i="63"/>
  <c r="V1066" i="63"/>
  <c r="AA1012" i="63"/>
  <c r="V1071" i="63"/>
  <c r="AA1019" i="63"/>
  <c r="V1074" i="63"/>
  <c r="L1074" i="63"/>
  <c r="M1074" i="63" s="1"/>
  <c r="BK1078" i="63"/>
  <c r="AM1082" i="63"/>
  <c r="U1029" i="63"/>
  <c r="V1029" i="63" s="1"/>
  <c r="Z1093" i="63"/>
  <c r="Z1094" i="63"/>
  <c r="Z1096" i="63"/>
  <c r="Z1097" i="63"/>
  <c r="Z1098" i="63"/>
  <c r="AS1102" i="63"/>
  <c r="AQ1079" i="63"/>
  <c r="AS1079" i="63" s="1"/>
  <c r="S1103" i="63"/>
  <c r="K1103" i="63"/>
  <c r="M1103" i="63" s="1"/>
  <c r="AB1106" i="63"/>
  <c r="AJ1107" i="63"/>
  <c r="AI1092" i="63"/>
  <c r="AI1035" i="63"/>
  <c r="AJ1035" i="63" s="1"/>
  <c r="BG1091" i="63"/>
  <c r="V1108" i="63"/>
  <c r="AA1108" i="63"/>
  <c r="AB1108" i="63" s="1"/>
  <c r="AZ1099" i="63"/>
  <c r="BB1099" i="63" s="1"/>
  <c r="AZ1060" i="63"/>
  <c r="AB1116" i="63"/>
  <c r="R1040" i="63"/>
  <c r="S1118" i="63"/>
  <c r="BC1040" i="63"/>
  <c r="BL1040" i="63"/>
  <c r="BN1040" i="63" s="1"/>
  <c r="V1119" i="63"/>
  <c r="AA1119" i="63"/>
  <c r="U1041" i="63"/>
  <c r="V1041" i="63" s="1"/>
  <c r="T1125" i="63"/>
  <c r="N1045" i="63"/>
  <c r="P1045" i="63" s="1"/>
  <c r="K1125" i="63"/>
  <c r="K1045" i="63" s="1"/>
  <c r="AQ1045" i="63"/>
  <c r="AZ1045" i="63"/>
  <c r="BB1045" i="63" s="1"/>
  <c r="Z1047" i="63"/>
  <c r="AB1127" i="63"/>
  <c r="AA1133" i="63"/>
  <c r="V1138" i="63"/>
  <c r="AA1138" i="63"/>
  <c r="U1054" i="63"/>
  <c r="I1141" i="63"/>
  <c r="T1142" i="63"/>
  <c r="Z1142" i="63" s="1"/>
  <c r="K1142" i="63"/>
  <c r="N1077" i="63"/>
  <c r="AZ1077" i="63"/>
  <c r="BB1077" i="63" s="1"/>
  <c r="U1145" i="63"/>
  <c r="P1145" i="63"/>
  <c r="L1145" i="63"/>
  <c r="BE1147" i="63"/>
  <c r="BD1082" i="63"/>
  <c r="BE1082" i="63" s="1"/>
  <c r="T1149" i="63"/>
  <c r="Z1149" i="63" s="1"/>
  <c r="K1149" i="63"/>
  <c r="Y1151" i="63"/>
  <c r="K1151" i="63"/>
  <c r="AD1155" i="63"/>
  <c r="AE1155" i="63" s="1"/>
  <c r="AD1141" i="63"/>
  <c r="L1141" i="63" s="1"/>
  <c r="AD1058" i="63"/>
  <c r="AP1156" i="63"/>
  <c r="AO1141" i="63"/>
  <c r="AZ1155" i="63"/>
  <c r="BB1155" i="63" s="1"/>
  <c r="AZ1058" i="63"/>
  <c r="BB1058" i="63" s="1"/>
  <c r="AZ1141" i="63"/>
  <c r="AZ1140" i="63" s="1"/>
  <c r="AZ1132" i="63" s="1"/>
  <c r="BK1156" i="63"/>
  <c r="BI1155" i="63"/>
  <c r="BK1155" i="63" s="1"/>
  <c r="AB1159" i="63"/>
  <c r="S1161" i="63"/>
  <c r="R1155" i="63"/>
  <c r="S1155" i="63" s="1"/>
  <c r="R1148" i="63"/>
  <c r="S1148" i="63" s="1"/>
  <c r="AE1161" i="63"/>
  <c r="AD1148" i="63"/>
  <c r="AE1148" i="63" s="1"/>
  <c r="AB1172" i="63"/>
  <c r="BL1166" i="63"/>
  <c r="BL1068" i="63"/>
  <c r="BN1068" i="63" s="1"/>
  <c r="V1175" i="63"/>
  <c r="AA1175" i="63"/>
  <c r="U1069" i="63"/>
  <c r="H1214" i="63"/>
  <c r="I1188" i="63"/>
  <c r="AQ1214" i="63"/>
  <c r="AS1214" i="63" s="1"/>
  <c r="AS1188" i="63"/>
  <c r="AC1216" i="63"/>
  <c r="AE1216" i="63" s="1"/>
  <c r="AE1190" i="63"/>
  <c r="Q1217" i="63"/>
  <c r="S1191" i="63"/>
  <c r="K1191" i="63"/>
  <c r="T1191" i="63"/>
  <c r="Z1191" i="63" s="1"/>
  <c r="Y1191" i="63"/>
  <c r="L1191" i="63"/>
  <c r="BC1217" i="63"/>
  <c r="BE1217" i="63" s="1"/>
  <c r="BE1191" i="63"/>
  <c r="AC1218" i="63"/>
  <c r="AE1194" i="63"/>
  <c r="AC1187" i="63"/>
  <c r="AU1213" i="63"/>
  <c r="AV1187" i="63"/>
  <c r="K1221" i="63"/>
  <c r="M1197" i="63"/>
  <c r="AC1223" i="63"/>
  <c r="AE1223" i="63" s="1"/>
  <c r="AE1201" i="63"/>
  <c r="V1205" i="63"/>
  <c r="Z1205" i="63"/>
  <c r="L1230" i="63"/>
  <c r="M1230" i="63" s="1"/>
  <c r="M1210" i="63"/>
  <c r="T1229" i="63"/>
  <c r="V1229" i="63" s="1"/>
  <c r="U1234" i="63"/>
  <c r="O1214" i="63"/>
  <c r="P1214" i="63" s="1"/>
  <c r="L1234" i="63"/>
  <c r="AM1234" i="63"/>
  <c r="AL1214" i="63"/>
  <c r="AM1214" i="63" s="1"/>
  <c r="Z1235" i="63"/>
  <c r="Z1215" i="63" s="1"/>
  <c r="T1215" i="63"/>
  <c r="Q1262" i="63"/>
  <c r="T1262" i="63" s="1"/>
  <c r="Z1262" i="63" s="1"/>
  <c r="K1263" i="63"/>
  <c r="H1322" i="63"/>
  <c r="I1322" i="63" s="1"/>
  <c r="H1296" i="63"/>
  <c r="I1302" i="63"/>
  <c r="AC1296" i="63"/>
  <c r="AC1316" i="63" s="1"/>
  <c r="AC1322" i="63"/>
  <c r="AP1302" i="63"/>
  <c r="AN1296" i="63"/>
  <c r="AN1322" i="63"/>
  <c r="AA1024" i="63"/>
  <c r="I1103" i="63"/>
  <c r="AV1103" i="63"/>
  <c r="I1105" i="63"/>
  <c r="AV1105" i="63"/>
  <c r="P1107" i="63"/>
  <c r="L1107" i="63"/>
  <c r="U1107" i="63"/>
  <c r="BB1107" i="63"/>
  <c r="AP1112" i="63"/>
  <c r="AA1114" i="63"/>
  <c r="M1116" i="63"/>
  <c r="T1118" i="63"/>
  <c r="BN1118" i="63"/>
  <c r="AB1124" i="63"/>
  <c r="AA1128" i="63"/>
  <c r="M1130" i="63"/>
  <c r="BB1133" i="63"/>
  <c r="BA1132" i="63"/>
  <c r="BM1141" i="63"/>
  <c r="AS1142" i="63"/>
  <c r="AP1143" i="63"/>
  <c r="U1149" i="63"/>
  <c r="P1149" i="63"/>
  <c r="L1149" i="63"/>
  <c r="M1149" i="63" s="1"/>
  <c r="U1150" i="63"/>
  <c r="P1150" i="63"/>
  <c r="L1150" i="63"/>
  <c r="Y1150" i="63"/>
  <c r="K1150" i="63"/>
  <c r="AP1151" i="63"/>
  <c r="Y1161" i="63"/>
  <c r="W1148" i="63"/>
  <c r="BL1148" i="63"/>
  <c r="BL1140" i="63" s="1"/>
  <c r="BL1132" i="63" s="1"/>
  <c r="BL1076" i="63" s="1"/>
  <c r="V1162" i="63"/>
  <c r="AA1162" i="63"/>
  <c r="AB1162" i="63" s="1"/>
  <c r="S1167" i="63"/>
  <c r="R1166" i="63"/>
  <c r="S1166" i="63" s="1"/>
  <c r="AE1167" i="63"/>
  <c r="AD1166" i="63"/>
  <c r="AE1166" i="63" s="1"/>
  <c r="BN1174" i="63"/>
  <c r="AB1179" i="63"/>
  <c r="V1181" i="63"/>
  <c r="H1213" i="63"/>
  <c r="BG1213" i="63"/>
  <c r="BH1187" i="63"/>
  <c r="AY1214" i="63"/>
  <c r="AQ1215" i="63"/>
  <c r="AS1215" i="63" s="1"/>
  <c r="AS1189" i="63"/>
  <c r="BG1215" i="63"/>
  <c r="BH1189" i="63"/>
  <c r="Q1216" i="63"/>
  <c r="S1216" i="63" s="1"/>
  <c r="S1190" i="63"/>
  <c r="K1190" i="63"/>
  <c r="M1190" i="63" s="1"/>
  <c r="T1190" i="63"/>
  <c r="Z1190" i="63" s="1"/>
  <c r="X1216" i="63"/>
  <c r="Y1216" i="63" s="1"/>
  <c r="BG1216" i="63"/>
  <c r="BH1216" i="63" s="1"/>
  <c r="BH1190" i="63"/>
  <c r="BH1193" i="63"/>
  <c r="Q1218" i="63"/>
  <c r="S1218" i="63" s="1"/>
  <c r="S1194" i="63"/>
  <c r="K1194" i="63"/>
  <c r="Q1187" i="63"/>
  <c r="T1194" i="63"/>
  <c r="Z1194" i="63" s="1"/>
  <c r="BG1218" i="63"/>
  <c r="BH1194" i="63"/>
  <c r="Q1223" i="63"/>
  <c r="S1223" i="63" s="1"/>
  <c r="S1201" i="63"/>
  <c r="K1201" i="63"/>
  <c r="M1201" i="63" s="1"/>
  <c r="T1201" i="63"/>
  <c r="BG1223" i="63"/>
  <c r="BH1201" i="63"/>
  <c r="V1202" i="63"/>
  <c r="Z1202" i="63"/>
  <c r="Z1224" i="63" s="1"/>
  <c r="L1226" i="63"/>
  <c r="M1226" i="63" s="1"/>
  <c r="AB1208" i="63"/>
  <c r="BF1259" i="63"/>
  <c r="BH1259" i="63" s="1"/>
  <c r="BH1233" i="63"/>
  <c r="BF1213" i="63"/>
  <c r="AM1237" i="63"/>
  <c r="AL1217" i="63"/>
  <c r="AM1217" i="63" s="1"/>
  <c r="BB1237" i="63"/>
  <c r="BA1217" i="63"/>
  <c r="BB1217" i="63" s="1"/>
  <c r="AO1259" i="63"/>
  <c r="AP1259" i="63" s="1"/>
  <c r="AP1233" i="63"/>
  <c r="AO1213" i="63"/>
  <c r="BI1233" i="63"/>
  <c r="BI1223" i="63"/>
  <c r="AA1226" i="63"/>
  <c r="V1253" i="63"/>
  <c r="Z1253" i="63"/>
  <c r="T1227" i="63"/>
  <c r="AB1123" i="63"/>
  <c r="P1133" i="63"/>
  <c r="L1133" i="63"/>
  <c r="O1132" i="63"/>
  <c r="AY1133" i="63"/>
  <c r="AB1134" i="63"/>
  <c r="N1140" i="63"/>
  <c r="T1145" i="63"/>
  <c r="Z1145" i="63" s="1"/>
  <c r="K1145" i="63"/>
  <c r="T1153" i="63"/>
  <c r="Z1153" i="63" s="1"/>
  <c r="K1153" i="63"/>
  <c r="T1156" i="63"/>
  <c r="N1155" i="63"/>
  <c r="P1155" i="63" s="1"/>
  <c r="BD1141" i="63"/>
  <c r="AY1161" i="63"/>
  <c r="AW1148" i="63"/>
  <c r="AY1148" i="63" s="1"/>
  <c r="Y1167" i="63"/>
  <c r="W1141" i="63"/>
  <c r="V1168" i="63"/>
  <c r="AA1168" i="63"/>
  <c r="V1183" i="63"/>
  <c r="AA1183" i="63"/>
  <c r="AB1183" i="63" s="1"/>
  <c r="AI1213" i="63"/>
  <c r="AJ1187" i="63"/>
  <c r="H1215" i="63"/>
  <c r="I1215" i="63" s="1"/>
  <c r="I1189" i="63"/>
  <c r="AA1189" i="63"/>
  <c r="AB1189" i="63" s="1"/>
  <c r="V1189" i="63"/>
  <c r="AI1215" i="63"/>
  <c r="AJ1189" i="63"/>
  <c r="AI1216" i="63"/>
  <c r="AJ1190" i="63"/>
  <c r="BC1216" i="63"/>
  <c r="BE1216" i="63" s="1"/>
  <c r="BE1190" i="63"/>
  <c r="BN1217" i="63"/>
  <c r="AA1193" i="63"/>
  <c r="AB1193" i="63" s="1"/>
  <c r="V1193" i="63"/>
  <c r="AI1218" i="63"/>
  <c r="AJ1218" i="63" s="1"/>
  <c r="AJ1194" i="63"/>
  <c r="BC1218" i="63"/>
  <c r="BE1218" i="63" s="1"/>
  <c r="BE1194" i="63"/>
  <c r="BC1187" i="63"/>
  <c r="AB1198" i="63"/>
  <c r="AI1223" i="63"/>
  <c r="AJ1223" i="63" s="1"/>
  <c r="AJ1201" i="63"/>
  <c r="BC1223" i="63"/>
  <c r="BE1201" i="63"/>
  <c r="L1224" i="63"/>
  <c r="M1224" i="63" s="1"/>
  <c r="M1202" i="63"/>
  <c r="AB1202" i="63"/>
  <c r="V1206" i="63"/>
  <c r="T1226" i="63"/>
  <c r="Z1206" i="63"/>
  <c r="AB1206" i="63" s="1"/>
  <c r="S1217" i="63"/>
  <c r="AB1220" i="63"/>
  <c r="AA1224" i="63"/>
  <c r="AJ1235" i="63"/>
  <c r="AH1215" i="63"/>
  <c r="BH1235" i="63"/>
  <c r="BF1215" i="63"/>
  <c r="BH1239" i="63"/>
  <c r="BF1217" i="63"/>
  <c r="K1218" i="63"/>
  <c r="AA1221" i="63"/>
  <c r="AB1221" i="63" s="1"/>
  <c r="V1244" i="63"/>
  <c r="Z1244" i="63"/>
  <c r="T1222" i="63"/>
  <c r="U1247" i="63"/>
  <c r="L1247" i="63"/>
  <c r="P1247" i="63"/>
  <c r="O1223" i="63"/>
  <c r="P1223" i="63" s="1"/>
  <c r="AK1233" i="63"/>
  <c r="AM1233" i="63" s="1"/>
  <c r="AK1223" i="63"/>
  <c r="AV1247" i="63"/>
  <c r="AT1233" i="63"/>
  <c r="AT1223" i="63"/>
  <c r="BK1247" i="63"/>
  <c r="BJ1223" i="63"/>
  <c r="Z1227" i="63"/>
  <c r="M1253" i="63"/>
  <c r="L1227" i="63"/>
  <c r="M1227" i="63" s="1"/>
  <c r="AB1253" i="63"/>
  <c r="R1273" i="63"/>
  <c r="T1278" i="63"/>
  <c r="Z1267" i="63"/>
  <c r="Z1278" i="63" s="1"/>
  <c r="V1116" i="63"/>
  <c r="P1118" i="63"/>
  <c r="L1118" i="63"/>
  <c r="U1118" i="63"/>
  <c r="BB1118" i="63"/>
  <c r="V1123" i="63"/>
  <c r="P1125" i="63"/>
  <c r="L1125" i="63"/>
  <c r="U1125" i="63"/>
  <c r="BB1125" i="63"/>
  <c r="V1130" i="63"/>
  <c r="T1133" i="63"/>
  <c r="BN1133" i="63"/>
  <c r="V1136" i="63"/>
  <c r="AP1142" i="63"/>
  <c r="U1143" i="63"/>
  <c r="P1143" i="63"/>
  <c r="L1143" i="63"/>
  <c r="M1143" i="63" s="1"/>
  <c r="BB1143" i="63"/>
  <c r="AP1145" i="63"/>
  <c r="BN1145" i="63"/>
  <c r="U1147" i="63"/>
  <c r="P1147" i="63"/>
  <c r="L1147" i="63"/>
  <c r="BB1147" i="63"/>
  <c r="AP1149" i="63"/>
  <c r="BN1149" i="63"/>
  <c r="U1151" i="63"/>
  <c r="P1151" i="63"/>
  <c r="L1151" i="63"/>
  <c r="BB1151" i="63"/>
  <c r="AP1153" i="63"/>
  <c r="BN1153" i="63"/>
  <c r="AR1155" i="63"/>
  <c r="BP1155" i="63"/>
  <c r="BQ1155" i="63" s="1"/>
  <c r="V1157" i="63"/>
  <c r="U1161" i="63"/>
  <c r="P1161" i="63"/>
  <c r="L1161" i="63"/>
  <c r="M1161" i="63" s="1"/>
  <c r="BB1161" i="63"/>
  <c r="V1164" i="63"/>
  <c r="N1166" i="63"/>
  <c r="AK1166" i="63"/>
  <c r="AM1166" i="63" s="1"/>
  <c r="BI1166" i="63"/>
  <c r="BK1166" i="63" s="1"/>
  <c r="U1167" i="63"/>
  <c r="P1167" i="63"/>
  <c r="L1167" i="63"/>
  <c r="BB1167" i="63"/>
  <c r="V1170" i="63"/>
  <c r="U1174" i="63"/>
  <c r="P1174" i="63"/>
  <c r="L1174" i="63"/>
  <c r="BB1174" i="63"/>
  <c r="V1177" i="63"/>
  <c r="G1187" i="63"/>
  <c r="I1187" i="63" s="1"/>
  <c r="X1187" i="63"/>
  <c r="AL1187" i="63"/>
  <c r="AM1187" i="63" s="1"/>
  <c r="BJ1187" i="63"/>
  <c r="BK1187" i="63" s="1"/>
  <c r="Q1214" i="63"/>
  <c r="S1214" i="63" s="1"/>
  <c r="S1188" i="63"/>
  <c r="K1188" i="63"/>
  <c r="AC1214" i="63"/>
  <c r="AE1214" i="63" s="1"/>
  <c r="AE1188" i="63"/>
  <c r="AY1188" i="63"/>
  <c r="BC1214" i="63"/>
  <c r="BE1214" i="63" s="1"/>
  <c r="BE1188" i="63"/>
  <c r="Y1215" i="63"/>
  <c r="AU1215" i="63"/>
  <c r="AV1189" i="63"/>
  <c r="H1216" i="63"/>
  <c r="I1216" i="63" s="1"/>
  <c r="I1190" i="63"/>
  <c r="Y1190" i="63"/>
  <c r="AQ1216" i="63"/>
  <c r="AS1190" i="63"/>
  <c r="BO1216" i="63"/>
  <c r="BQ1216" i="63" s="1"/>
  <c r="BQ1190" i="63"/>
  <c r="AI1217" i="63"/>
  <c r="AJ1191" i="63"/>
  <c r="AX1217" i="63"/>
  <c r="BG1217" i="63"/>
  <c r="BH1217" i="63" s="1"/>
  <c r="BH1191" i="63"/>
  <c r="S1192" i="63"/>
  <c r="K1192" i="63"/>
  <c r="AV1193" i="63"/>
  <c r="H1218" i="63"/>
  <c r="I1218" i="63" s="1"/>
  <c r="I1194" i="63"/>
  <c r="Y1194" i="63"/>
  <c r="AQ1218" i="63"/>
  <c r="AS1218" i="63" s="1"/>
  <c r="AS1194" i="63"/>
  <c r="BO1218" i="63"/>
  <c r="BQ1218" i="63" s="1"/>
  <c r="BQ1194" i="63"/>
  <c r="U1220" i="63"/>
  <c r="V1220" i="63" s="1"/>
  <c r="V1196" i="63"/>
  <c r="H1223" i="63"/>
  <c r="I1223" i="63" s="1"/>
  <c r="I1201" i="63"/>
  <c r="AQ1223" i="63"/>
  <c r="AS1223" i="63" s="1"/>
  <c r="AS1201" i="63"/>
  <c r="BL1223" i="63"/>
  <c r="BN1223" i="63" s="1"/>
  <c r="BN1201" i="63"/>
  <c r="BL1187" i="63"/>
  <c r="AB1207" i="63"/>
  <c r="AB1211" i="63"/>
  <c r="O1216" i="63"/>
  <c r="BN1216" i="63"/>
  <c r="BJ1218" i="63"/>
  <c r="BK1218" i="63" s="1"/>
  <c r="P1219" i="63"/>
  <c r="BB1219" i="63"/>
  <c r="Y1221" i="63"/>
  <c r="Y1222" i="63"/>
  <c r="O1233" i="63"/>
  <c r="BJ1233" i="63"/>
  <c r="U1235" i="63"/>
  <c r="L1235" i="63"/>
  <c r="BK1235" i="63"/>
  <c r="BJ1215" i="63"/>
  <c r="BK1215" i="63" s="1"/>
  <c r="AJ1236" i="63"/>
  <c r="AH1216" i="63"/>
  <c r="U1239" i="63"/>
  <c r="L1239" i="63"/>
  <c r="M1239" i="63" s="1"/>
  <c r="Z1240" i="63"/>
  <c r="Z1218" i="63" s="1"/>
  <c r="BB1240" i="63"/>
  <c r="BH1240" i="63"/>
  <c r="BF1218" i="63"/>
  <c r="AA1219" i="63"/>
  <c r="BM1259" i="63"/>
  <c r="BN1259" i="63" s="1"/>
  <c r="BN1233" i="63"/>
  <c r="BM1213" i="63"/>
  <c r="Z1226" i="63"/>
  <c r="AB1250" i="63"/>
  <c r="U1228" i="63"/>
  <c r="V1228" i="63" s="1"/>
  <c r="AA1254" i="63"/>
  <c r="AY1263" i="63"/>
  <c r="AX1262" i="63"/>
  <c r="AX1274" i="63"/>
  <c r="AY1274" i="63" s="1"/>
  <c r="AS1283" i="63"/>
  <c r="AR1282" i="63"/>
  <c r="AR1274" i="63"/>
  <c r="AS1274" i="63" s="1"/>
  <c r="BC1274" i="63"/>
  <c r="BE1274" i="63" s="1"/>
  <c r="BC1282" i="63"/>
  <c r="BN1283" i="63"/>
  <c r="BL1282" i="63"/>
  <c r="BL1274" i="63"/>
  <c r="BN1274" i="63" s="1"/>
  <c r="V1134" i="63"/>
  <c r="AB1136" i="63"/>
  <c r="P1142" i="63"/>
  <c r="L1142" i="63"/>
  <c r="M1142" i="63" s="1"/>
  <c r="U1142" i="63"/>
  <c r="BB1142" i="63"/>
  <c r="T1143" i="63"/>
  <c r="Z1143" i="63" s="1"/>
  <c r="U1144" i="63"/>
  <c r="P1144" i="63"/>
  <c r="L1144" i="63"/>
  <c r="M1144" i="63" s="1"/>
  <c r="BB1144" i="63"/>
  <c r="AP1146" i="63"/>
  <c r="BN1146" i="63"/>
  <c r="U1148" i="63"/>
  <c r="P1148" i="63"/>
  <c r="BB1148" i="63"/>
  <c r="AP1150" i="63"/>
  <c r="BN1150" i="63"/>
  <c r="U1152" i="63"/>
  <c r="P1152" i="63"/>
  <c r="L1152" i="63"/>
  <c r="BB1152" i="63"/>
  <c r="AP1154" i="63"/>
  <c r="BN1154" i="63"/>
  <c r="U1156" i="63"/>
  <c r="P1156" i="63"/>
  <c r="L1156" i="63"/>
  <c r="BB1156" i="63"/>
  <c r="AB1157" i="63"/>
  <c r="V1159" i="63"/>
  <c r="AB1164" i="63"/>
  <c r="AB1170" i="63"/>
  <c r="V1172" i="63"/>
  <c r="AB1177" i="63"/>
  <c r="V1179" i="63"/>
  <c r="AA1188" i="63"/>
  <c r="AB1188" i="63" s="1"/>
  <c r="AI1214" i="63"/>
  <c r="AJ1188" i="63"/>
  <c r="BG1214" i="63"/>
  <c r="BH1188" i="63"/>
  <c r="Q1215" i="63"/>
  <c r="S1189" i="63"/>
  <c r="K1189" i="63"/>
  <c r="K1215" i="63" s="1"/>
  <c r="AC1215" i="63"/>
  <c r="AE1189" i="63"/>
  <c r="AP1215" i="63"/>
  <c r="BC1215" i="63"/>
  <c r="BE1215" i="63" s="1"/>
  <c r="BE1189" i="63"/>
  <c r="AU1216" i="63"/>
  <c r="AV1216" i="63" s="1"/>
  <c r="AV1190" i="63"/>
  <c r="H1217" i="63"/>
  <c r="I1217" i="63" s="1"/>
  <c r="I1191" i="63"/>
  <c r="AQ1217" i="63"/>
  <c r="AS1217" i="63" s="1"/>
  <c r="AS1191" i="63"/>
  <c r="BO1217" i="63"/>
  <c r="BQ1217" i="63" s="1"/>
  <c r="BQ1191" i="63"/>
  <c r="AJ1192" i="63"/>
  <c r="BH1192" i="63"/>
  <c r="S1193" i="63"/>
  <c r="K1193" i="63"/>
  <c r="M1193" i="63" s="1"/>
  <c r="Y1218" i="63"/>
  <c r="AE1218" i="63"/>
  <c r="AU1218" i="63"/>
  <c r="AV1218" i="63" s="1"/>
  <c r="AV1194" i="63"/>
  <c r="M1195" i="63"/>
  <c r="K1219" i="63"/>
  <c r="M1219" i="63" s="1"/>
  <c r="AB1196" i="63"/>
  <c r="U1222" i="63"/>
  <c r="V1198" i="63"/>
  <c r="AU1223" i="63"/>
  <c r="AV1201" i="63"/>
  <c r="BP1223" i="63"/>
  <c r="BQ1223" i="63" s="1"/>
  <c r="BQ1201" i="63"/>
  <c r="BP1187" i="63"/>
  <c r="M1205" i="63"/>
  <c r="V1227" i="63"/>
  <c r="M1209" i="63"/>
  <c r="BQ1214" i="63"/>
  <c r="AS1216" i="63"/>
  <c r="M1221" i="63"/>
  <c r="AH1259" i="63"/>
  <c r="AJ1259" i="63" s="1"/>
  <c r="AJ1233" i="63"/>
  <c r="AH1213" i="63"/>
  <c r="U1236" i="63"/>
  <c r="L1236" i="63"/>
  <c r="BK1236" i="63"/>
  <c r="BJ1216" i="63"/>
  <c r="BK1216" i="63" s="1"/>
  <c r="Z1237" i="63"/>
  <c r="AJ1237" i="63"/>
  <c r="AH1217" i="63"/>
  <c r="AW1217" i="63"/>
  <c r="U1240" i="63"/>
  <c r="O1218" i="63"/>
  <c r="P1218" i="63" s="1"/>
  <c r="L1240" i="63"/>
  <c r="AM1240" i="63"/>
  <c r="AL1218" i="63"/>
  <c r="AM1218" i="63" s="1"/>
  <c r="U1221" i="63"/>
  <c r="V1221" i="63" s="1"/>
  <c r="V1243" i="63"/>
  <c r="Y1247" i="63"/>
  <c r="X1233" i="63"/>
  <c r="AM1247" i="63"/>
  <c r="AL1223" i="63"/>
  <c r="AM1223" i="63" s="1"/>
  <c r="BB1247" i="63"/>
  <c r="BA1223" i="63"/>
  <c r="BB1223" i="63" s="1"/>
  <c r="M1255" i="63"/>
  <c r="L1229" i="63"/>
  <c r="M1229" i="63" s="1"/>
  <c r="BM1273" i="63"/>
  <c r="BN1262" i="63"/>
  <c r="R1274" i="63"/>
  <c r="S1263" i="63"/>
  <c r="AD1293" i="63"/>
  <c r="AD1273" i="63"/>
  <c r="AU1293" i="63"/>
  <c r="AV1293" i="63" s="1"/>
  <c r="AU1273" i="63"/>
  <c r="AV1282" i="63"/>
  <c r="BG1274" i="63"/>
  <c r="BG1282" i="63"/>
  <c r="BQ1283" i="63"/>
  <c r="BP1282" i="63"/>
  <c r="AB1285" i="63"/>
  <c r="AA1276" i="63"/>
  <c r="AB1276" i="63" s="1"/>
  <c r="AB1287" i="63"/>
  <c r="AU1332" i="63"/>
  <c r="AV1332" i="63" s="1"/>
  <c r="AV1312" i="63"/>
  <c r="Z1195" i="63"/>
  <c r="AB1195" i="63" s="1"/>
  <c r="G1214" i="63"/>
  <c r="X1214" i="63"/>
  <c r="Y1214" i="63" s="1"/>
  <c r="AT1215" i="63"/>
  <c r="BK1219" i="63"/>
  <c r="AM1220" i="63"/>
  <c r="BK1220" i="63"/>
  <c r="AM1221" i="63"/>
  <c r="BK1221" i="63"/>
  <c r="AM1222" i="63"/>
  <c r="BK1222" i="63"/>
  <c r="AY1224" i="63"/>
  <c r="L1225" i="63"/>
  <c r="M1225" i="63" s="1"/>
  <c r="AY1225" i="63"/>
  <c r="AY1226" i="63"/>
  <c r="AY1227" i="63"/>
  <c r="AY1228" i="63"/>
  <c r="AY1229" i="63"/>
  <c r="AY1230" i="63"/>
  <c r="L1231" i="63"/>
  <c r="M1231" i="63" s="1"/>
  <c r="AY1231" i="63"/>
  <c r="W1233" i="63"/>
  <c r="AX1233" i="63"/>
  <c r="AY1234" i="63"/>
  <c r="AY1235" i="63"/>
  <c r="AY1236" i="63"/>
  <c r="AY1237" i="63"/>
  <c r="AY1238" i="63"/>
  <c r="AY1239" i="63"/>
  <c r="AY1240" i="63"/>
  <c r="U1219" i="63"/>
  <c r="V1219" i="63" s="1"/>
  <c r="M1242" i="63"/>
  <c r="AB1242" i="63"/>
  <c r="Z1246" i="63"/>
  <c r="AB1246" i="63" s="1"/>
  <c r="Z1247" i="63"/>
  <c r="U1226" i="63"/>
  <c r="M1251" i="63"/>
  <c r="AB1251" i="63"/>
  <c r="Z1255" i="63"/>
  <c r="AB1255" i="63" s="1"/>
  <c r="Z1231" i="63"/>
  <c r="AB1231" i="63" s="1"/>
  <c r="AS1262" i="63"/>
  <c r="L1278" i="63"/>
  <c r="M1278" i="63" s="1"/>
  <c r="M1267" i="63"/>
  <c r="W1274" i="63"/>
  <c r="AM1274" i="63"/>
  <c r="AS1277" i="63"/>
  <c r="N1293" i="63"/>
  <c r="N1273" i="63"/>
  <c r="AZ1293" i="63"/>
  <c r="BB1293" i="63" s="1"/>
  <c r="BB1282" i="63"/>
  <c r="AZ1273" i="63"/>
  <c r="BO1293" i="63"/>
  <c r="BO1273" i="63"/>
  <c r="AI1274" i="63"/>
  <c r="AJ1274" i="63" s="1"/>
  <c r="AI1282" i="63"/>
  <c r="AJ1283" i="63"/>
  <c r="AA1319" i="63"/>
  <c r="AB1299" i="63"/>
  <c r="Z1327" i="63"/>
  <c r="AB1307" i="63"/>
  <c r="BA1328" i="63"/>
  <c r="BA1306" i="63"/>
  <c r="BB1308" i="63"/>
  <c r="T1331" i="63"/>
  <c r="V1311" i="63"/>
  <c r="Z1311" i="63"/>
  <c r="Z1331" i="63" s="1"/>
  <c r="I1312" i="63"/>
  <c r="G1332" i="63"/>
  <c r="I1332" i="63" s="1"/>
  <c r="AE1312" i="63"/>
  <c r="L1312" i="63"/>
  <c r="AL1332" i="63"/>
  <c r="AM1332" i="63" s="1"/>
  <c r="AM1312" i="63"/>
  <c r="V1225" i="63"/>
  <c r="U1224" i="63"/>
  <c r="V1224" i="63" s="1"/>
  <c r="AB1249" i="63"/>
  <c r="Z1228" i="63"/>
  <c r="AA1256" i="63"/>
  <c r="U1230" i="63"/>
  <c r="V1230" i="63" s="1"/>
  <c r="V1257" i="63"/>
  <c r="U1231" i="63"/>
  <c r="V1231" i="63" s="1"/>
  <c r="W1273" i="63"/>
  <c r="Y1262" i="63"/>
  <c r="BB1262" i="63"/>
  <c r="BA1273" i="63"/>
  <c r="P1262" i="63"/>
  <c r="L1262" i="63"/>
  <c r="U1262" i="63"/>
  <c r="V1288" i="63"/>
  <c r="Z1288" i="63"/>
  <c r="Z1277" i="63" s="1"/>
  <c r="AT1326" i="63"/>
  <c r="AV1306" i="63"/>
  <c r="W1328" i="63"/>
  <c r="W1306" i="63"/>
  <c r="W1326" i="63" s="1"/>
  <c r="AM1308" i="63"/>
  <c r="AL1306" i="63"/>
  <c r="AR1328" i="63"/>
  <c r="AS1328" i="63" s="1"/>
  <c r="AS1308" i="63"/>
  <c r="AR1306" i="63"/>
  <c r="T1330" i="63"/>
  <c r="V1330" i="63" s="1"/>
  <c r="V1310" i="63"/>
  <c r="L1331" i="63"/>
  <c r="M1331" i="63" s="1"/>
  <c r="M1311" i="63"/>
  <c r="V1331" i="63"/>
  <c r="AA1203" i="63"/>
  <c r="AA1205" i="63"/>
  <c r="AA1209" i="63"/>
  <c r="AB1209" i="63" s="1"/>
  <c r="N1274" i="63"/>
  <c r="P1274" i="63" s="1"/>
  <c r="T1263" i="63"/>
  <c r="Z1263" i="63" s="1"/>
  <c r="Y1274" i="63"/>
  <c r="BK1263" i="63"/>
  <c r="BJ1262" i="63"/>
  <c r="V1267" i="63"/>
  <c r="AA1267" i="63"/>
  <c r="AA1271" i="63"/>
  <c r="AB1271" i="63" s="1"/>
  <c r="U1280" i="63"/>
  <c r="V1280" i="63" s="1"/>
  <c r="BJ1274" i="63"/>
  <c r="BK1274" i="63" s="1"/>
  <c r="AM1275" i="63"/>
  <c r="BB1275" i="63"/>
  <c r="BE1278" i="63"/>
  <c r="AQ1293" i="63"/>
  <c r="AQ1273" i="63"/>
  <c r="AC1274" i="63"/>
  <c r="AC1282" i="63"/>
  <c r="AE1282" i="63" s="1"/>
  <c r="AP1283" i="63"/>
  <c r="AN1282" i="63"/>
  <c r="M1288" i="63"/>
  <c r="Y1296" i="63"/>
  <c r="BG1322" i="63"/>
  <c r="BH1322" i="63" s="1"/>
  <c r="BG1296" i="63"/>
  <c r="BH1296" i="63" s="1"/>
  <c r="BL1296" i="63"/>
  <c r="BL1316" i="63" s="1"/>
  <c r="BL1322" i="63"/>
  <c r="V1303" i="63"/>
  <c r="U1323" i="63"/>
  <c r="V1323" i="63" s="1"/>
  <c r="AA1303" i="63"/>
  <c r="O1328" i="63"/>
  <c r="U1308" i="63"/>
  <c r="O1306" i="63"/>
  <c r="L1308" i="63"/>
  <c r="P1308" i="63"/>
  <c r="Y1308" i="63"/>
  <c r="X1328" i="63"/>
  <c r="Y1328" i="63" s="1"/>
  <c r="X1306" i="63"/>
  <c r="Y1306" i="63" s="1"/>
  <c r="AA1329" i="63"/>
  <c r="Q1332" i="63"/>
  <c r="T1312" i="63"/>
  <c r="Z1312" i="63" s="1"/>
  <c r="T1334" i="63"/>
  <c r="K1334" i="63"/>
  <c r="AN1326" i="63"/>
  <c r="P1263" i="63"/>
  <c r="L1263" i="63"/>
  <c r="M1263" i="63" s="1"/>
  <c r="U1263" i="63"/>
  <c r="BF1274" i="63"/>
  <c r="BH1263" i="63"/>
  <c r="BF1262" i="63"/>
  <c r="R1293" i="63"/>
  <c r="S1282" i="63"/>
  <c r="BD1293" i="63"/>
  <c r="BE1282" i="63"/>
  <c r="H1274" i="63"/>
  <c r="I1274" i="63" s="1"/>
  <c r="H1282" i="63"/>
  <c r="Q1274" i="63"/>
  <c r="Q1282" i="63"/>
  <c r="K1282" i="63" s="1"/>
  <c r="AD1274" i="63"/>
  <c r="K1277" i="63"/>
  <c r="V1286" i="63"/>
  <c r="T1277" i="63"/>
  <c r="V1287" i="63"/>
  <c r="U1278" i="63"/>
  <c r="L1279" i="63"/>
  <c r="M1290" i="63"/>
  <c r="AB1290" i="63"/>
  <c r="AA1279" i="63"/>
  <c r="AB1279" i="63" s="1"/>
  <c r="O1316" i="63"/>
  <c r="T1320" i="63"/>
  <c r="V1300" i="63"/>
  <c r="U1321" i="63"/>
  <c r="V1321" i="63" s="1"/>
  <c r="V1301" i="63"/>
  <c r="AI1322" i="63"/>
  <c r="AI1296" i="63"/>
  <c r="AJ1296" i="63" s="1"/>
  <c r="AR1296" i="63"/>
  <c r="AS1302" i="63"/>
  <c r="AR1322" i="63"/>
  <c r="BM1322" i="63"/>
  <c r="BN1322" i="63" s="1"/>
  <c r="BN1302" i="63"/>
  <c r="AM1263" i="63"/>
  <c r="AA1264" i="63"/>
  <c r="AB1265" i="63"/>
  <c r="T1275" i="63"/>
  <c r="V1275" i="63" s="1"/>
  <c r="BK1275" i="63"/>
  <c r="AS1276" i="63"/>
  <c r="T1283" i="63"/>
  <c r="P1283" i="63"/>
  <c r="K1283" i="63"/>
  <c r="AV1283" i="63"/>
  <c r="M1284" i="63"/>
  <c r="AB1284" i="63"/>
  <c r="V1285" i="63"/>
  <c r="K1279" i="63"/>
  <c r="V1290" i="63"/>
  <c r="T1279" i="63"/>
  <c r="V1279" i="63" s="1"/>
  <c r="M1292" i="63"/>
  <c r="AM1296" i="63"/>
  <c r="BK1296" i="63"/>
  <c r="L1318" i="63"/>
  <c r="M1298" i="63"/>
  <c r="V1299" i="63"/>
  <c r="T1302" i="63"/>
  <c r="P1302" i="63"/>
  <c r="N1296" i="63"/>
  <c r="N1322" i="63"/>
  <c r="K1302" i="63"/>
  <c r="AQ1322" i="63"/>
  <c r="AQ1296" i="63"/>
  <c r="AQ1316" i="63" s="1"/>
  <c r="AV1302" i="63"/>
  <c r="BB1302" i="63"/>
  <c r="AZ1296" i="63"/>
  <c r="AZ1316" i="63" s="1"/>
  <c r="AJ1306" i="63"/>
  <c r="M1307" i="63"/>
  <c r="N1328" i="63"/>
  <c r="N1306" i="63"/>
  <c r="T1308" i="63"/>
  <c r="Z1308" i="63" s="1"/>
  <c r="K1308" i="63"/>
  <c r="AJ1328" i="63"/>
  <c r="BE1308" i="63"/>
  <c r="BI1328" i="63"/>
  <c r="BK1328" i="63" s="1"/>
  <c r="BI1306" i="63"/>
  <c r="BI1326" i="63" s="1"/>
  <c r="V1309" i="63"/>
  <c r="AY1312" i="63"/>
  <c r="BH1312" i="63"/>
  <c r="AU1322" i="63"/>
  <c r="AV1322" i="63" s="1"/>
  <c r="AP1325" i="63"/>
  <c r="AZ1328" i="63"/>
  <c r="S1332" i="63"/>
  <c r="V1345" i="63"/>
  <c r="AA1345" i="63"/>
  <c r="U1327" i="63"/>
  <c r="BQ1279" i="63"/>
  <c r="S1280" i="63"/>
  <c r="AE1280" i="63"/>
  <c r="BE1280" i="63"/>
  <c r="L1283" i="63"/>
  <c r="S1283" i="63"/>
  <c r="AE1283" i="63"/>
  <c r="BE1283" i="63"/>
  <c r="L1277" i="63"/>
  <c r="M1277" i="63" s="1"/>
  <c r="M1286" i="63"/>
  <c r="AB1286" i="63"/>
  <c r="AA1277" i="63"/>
  <c r="T1318" i="63"/>
  <c r="V1318" i="63" s="1"/>
  <c r="V1298" i="63"/>
  <c r="L1320" i="63"/>
  <c r="M1300" i="63"/>
  <c r="L1302" i="63"/>
  <c r="R1296" i="63"/>
  <c r="U1296" i="63" s="1"/>
  <c r="S1302" i="63"/>
  <c r="AD1296" i="63"/>
  <c r="AD1322" i="63"/>
  <c r="AE1322" i="63" s="1"/>
  <c r="AE1302" i="63"/>
  <c r="BD1296" i="63"/>
  <c r="BD1322" i="63"/>
  <c r="BE1322" i="63" s="1"/>
  <c r="BE1302" i="63"/>
  <c r="T1324" i="63"/>
  <c r="V1324" i="63" s="1"/>
  <c r="V1304" i="63"/>
  <c r="T1327" i="63"/>
  <c r="V1307" i="63"/>
  <c r="R1328" i="63"/>
  <c r="S1328" i="63" s="1"/>
  <c r="R1306" i="63"/>
  <c r="AP1308" i="63"/>
  <c r="AN1328" i="63"/>
  <c r="BM1328" i="63"/>
  <c r="BM1306" i="63"/>
  <c r="M1310" i="63"/>
  <c r="AH1332" i="63"/>
  <c r="AJ1332" i="63" s="1"/>
  <c r="AJ1312" i="63"/>
  <c r="BP1332" i="63"/>
  <c r="BQ1332" i="63" s="1"/>
  <c r="BQ1312" i="63"/>
  <c r="AV1328" i="63"/>
  <c r="AA1298" i="63"/>
  <c r="AB1298" i="63" s="1"/>
  <c r="AA1300" i="63"/>
  <c r="P1322" i="63"/>
  <c r="AP1322" i="63"/>
  <c r="L1324" i="63"/>
  <c r="M1324" i="63" s="1"/>
  <c r="M1304" i="63"/>
  <c r="BP1306" i="63"/>
  <c r="AO1328" i="63"/>
  <c r="AO1306" i="63"/>
  <c r="AW1328" i="63"/>
  <c r="AW1306" i="63"/>
  <c r="AW1326" i="63" s="1"/>
  <c r="AY1326" i="63" s="1"/>
  <c r="BK1308" i="63"/>
  <c r="AA1311" i="63"/>
  <c r="K1312" i="63"/>
  <c r="K1332" i="63" s="1"/>
  <c r="S1312" i="63"/>
  <c r="BE1312" i="63"/>
  <c r="S1317" i="63"/>
  <c r="AS1317" i="63"/>
  <c r="BQ1317" i="63"/>
  <c r="S1318" i="63"/>
  <c r="AE1318" i="63"/>
  <c r="BE1318" i="63"/>
  <c r="AS1319" i="63"/>
  <c r="BQ1319" i="63"/>
  <c r="S1320" i="63"/>
  <c r="AE1320" i="63"/>
  <c r="BE1320" i="63"/>
  <c r="AS1321" i="63"/>
  <c r="BQ1321" i="63"/>
  <c r="AS1323" i="63"/>
  <c r="BQ1323" i="63"/>
  <c r="S1324" i="63"/>
  <c r="AM1324" i="63"/>
  <c r="BE1327" i="63"/>
  <c r="BE1330" i="63"/>
  <c r="I1331" i="63"/>
  <c r="BN1332" i="63"/>
  <c r="AM1334" i="63"/>
  <c r="AK1316" i="63"/>
  <c r="K1319" i="63"/>
  <c r="Z1337" i="63"/>
  <c r="Z1319" i="63" s="1"/>
  <c r="T1319" i="63"/>
  <c r="V1319" i="63" s="1"/>
  <c r="BH1340" i="63"/>
  <c r="BG1334" i="63"/>
  <c r="Z1324" i="63"/>
  <c r="Z1297" i="63"/>
  <c r="Z1317" i="63" s="1"/>
  <c r="AB1317" i="63" s="1"/>
  <c r="Z1301" i="63"/>
  <c r="Z1321" i="63" s="1"/>
  <c r="BJ1322" i="63"/>
  <c r="BK1322" i="63" s="1"/>
  <c r="BK1302" i="63"/>
  <c r="V1325" i="63"/>
  <c r="AA1305" i="63"/>
  <c r="AK1328" i="63"/>
  <c r="AK1306" i="63"/>
  <c r="AK1326" i="63" s="1"/>
  <c r="AX1328" i="63"/>
  <c r="AY1328" i="63" s="1"/>
  <c r="AY1308" i="63"/>
  <c r="Z1309" i="63"/>
  <c r="AB1309" i="63" s="1"/>
  <c r="N1332" i="63"/>
  <c r="P1332" i="63" s="1"/>
  <c r="BB1334" i="63"/>
  <c r="BA1316" i="63"/>
  <c r="M1336" i="63"/>
  <c r="K1318" i="63"/>
  <c r="M1337" i="63"/>
  <c r="L1319" i="63"/>
  <c r="AA1340" i="63"/>
  <c r="AJ1340" i="63"/>
  <c r="AI1334" i="63"/>
  <c r="AX1334" i="63"/>
  <c r="AY1340" i="63"/>
  <c r="AX1322" i="63"/>
  <c r="AY1322" i="63" s="1"/>
  <c r="BD1326" i="63"/>
  <c r="AA1304" i="63"/>
  <c r="AB1304" i="63" s="1"/>
  <c r="AA1310" i="63"/>
  <c r="AB1310" i="63" s="1"/>
  <c r="BB1332" i="63"/>
  <c r="Y1324" i="63"/>
  <c r="AY1325" i="63"/>
  <c r="AJ1327" i="63"/>
  <c r="AE1329" i="63"/>
  <c r="BE1331" i="63"/>
  <c r="AE1334" i="63"/>
  <c r="AB1335" i="63"/>
  <c r="V1339" i="63"/>
  <c r="AA1339" i="63"/>
  <c r="AL1344" i="63"/>
  <c r="AM1346" i="63"/>
  <c r="AL1328" i="63"/>
  <c r="AM1328" i="63" s="1"/>
  <c r="AB1348" i="63"/>
  <c r="AE1350" i="63"/>
  <c r="AD1332" i="63"/>
  <c r="AE1332" i="63" s="1"/>
  <c r="AS1327" i="63"/>
  <c r="BQ1329" i="63"/>
  <c r="L1330" i="63"/>
  <c r="M1330" i="63" s="1"/>
  <c r="AE1330" i="63"/>
  <c r="AS1331" i="63"/>
  <c r="W1332" i="63"/>
  <c r="Y1332" i="63" s="1"/>
  <c r="AP1334" i="63"/>
  <c r="S1340" i="63"/>
  <c r="K1340" i="63"/>
  <c r="M1340" i="63" s="1"/>
  <c r="T1340" i="63"/>
  <c r="AE1346" i="63"/>
  <c r="AC1344" i="63"/>
  <c r="AC1326" i="63" s="1"/>
  <c r="AV1346" i="63"/>
  <c r="AU1344" i="63"/>
  <c r="BJ1344" i="63"/>
  <c r="BK1346" i="63"/>
  <c r="AN1332" i="63"/>
  <c r="BN1350" i="63"/>
  <c r="V1335" i="63"/>
  <c r="BE1340" i="63"/>
  <c r="BC1334" i="63"/>
  <c r="S1346" i="63"/>
  <c r="K1346" i="63"/>
  <c r="Q1344" i="63"/>
  <c r="T1344" i="63" s="1"/>
  <c r="T1346" i="63"/>
  <c r="V1346" i="63" s="1"/>
  <c r="X1344" i="63"/>
  <c r="L1346" i="63"/>
  <c r="Y1346" i="63"/>
  <c r="BE1346" i="63"/>
  <c r="BC1344" i="63"/>
  <c r="BC1326" i="63" s="1"/>
  <c r="M1347" i="63"/>
  <c r="K1329" i="63"/>
  <c r="M1329" i="63" s="1"/>
  <c r="V1351" i="63"/>
  <c r="AA1351" i="63"/>
  <c r="AB1351" i="63" s="1"/>
  <c r="P1334" i="63"/>
  <c r="V1337" i="63"/>
  <c r="AV1340" i="63"/>
  <c r="AA1342" i="63"/>
  <c r="P1344" i="63"/>
  <c r="L1344" i="63"/>
  <c r="U1344" i="63"/>
  <c r="AP1344" i="63"/>
  <c r="BN1344" i="63"/>
  <c r="I1346" i="63"/>
  <c r="H1344" i="63"/>
  <c r="AS1346" i="63"/>
  <c r="AQ1344" i="63"/>
  <c r="BQ1346" i="63"/>
  <c r="BO1344" i="63"/>
  <c r="V1348" i="63"/>
  <c r="Z1350" i="63"/>
  <c r="AA1346" i="63"/>
  <c r="AJ1346" i="63"/>
  <c r="AI1344" i="63"/>
  <c r="BH1346" i="63"/>
  <c r="BG1344" i="63"/>
  <c r="P1350" i="63"/>
  <c r="L1350" i="63"/>
  <c r="U1350" i="63"/>
  <c r="BH1132" i="63" l="1"/>
  <c r="BF918" i="63"/>
  <c r="BQ1099" i="63"/>
  <c r="BM974" i="63"/>
  <c r="AD1326" i="63"/>
  <c r="P1216" i="63"/>
  <c r="AB1010" i="63"/>
  <c r="AB970" i="63"/>
  <c r="AB1103" i="63"/>
  <c r="AA1098" i="63"/>
  <c r="AA1096" i="63"/>
  <c r="AB1096" i="63" s="1"/>
  <c r="S1091" i="63"/>
  <c r="AJ1040" i="63"/>
  <c r="AB995" i="63"/>
  <c r="AB991" i="63"/>
  <c r="I1040" i="63"/>
  <c r="AA1031" i="63"/>
  <c r="Z1078" i="63"/>
  <c r="BQ1058" i="63"/>
  <c r="V994" i="63"/>
  <c r="AA934" i="63"/>
  <c r="Z1214" i="63"/>
  <c r="K920" i="63"/>
  <c r="M920" i="63" s="1"/>
  <c r="Z886" i="63"/>
  <c r="AQ974" i="63"/>
  <c r="AS974" i="63" s="1"/>
  <c r="Y934" i="63"/>
  <c r="AM1091" i="63"/>
  <c r="BH920" i="63"/>
  <c r="V1032" i="63"/>
  <c r="Z866" i="63"/>
  <c r="M733" i="63"/>
  <c r="V944" i="63"/>
  <c r="AB949" i="63"/>
  <c r="K863" i="63"/>
  <c r="K658" i="63"/>
  <c r="BI576" i="63"/>
  <c r="BB564" i="63"/>
  <c r="Z1030" i="63"/>
  <c r="AB1030" i="63" s="1"/>
  <c r="AJ618" i="63"/>
  <c r="T603" i="63"/>
  <c r="V555" i="63"/>
  <c r="AK545" i="63"/>
  <c r="AK543" i="63" s="1"/>
  <c r="AJ919" i="63"/>
  <c r="I919" i="63"/>
  <c r="AB911" i="63"/>
  <c r="BI642" i="63"/>
  <c r="Z648" i="63"/>
  <c r="AJ597" i="63"/>
  <c r="BK475" i="63"/>
  <c r="BE537" i="63"/>
  <c r="W525" i="63"/>
  <c r="Y525" i="63" s="1"/>
  <c r="AB522" i="63"/>
  <c r="Q504" i="63"/>
  <c r="BB388" i="63"/>
  <c r="Y105" i="63"/>
  <c r="AV570" i="63"/>
  <c r="BQ558" i="63"/>
  <c r="AB535" i="63"/>
  <c r="M305" i="63"/>
  <c r="AB257" i="63"/>
  <c r="M230" i="63"/>
  <c r="AK102" i="63"/>
  <c r="K127" i="63"/>
  <c r="AY636" i="63"/>
  <c r="AP624" i="63"/>
  <c r="BE558" i="63"/>
  <c r="BE531" i="63"/>
  <c r="AW512" i="63"/>
  <c r="T506" i="63"/>
  <c r="Z506" i="63" s="1"/>
  <c r="V115" i="63"/>
  <c r="BN10" i="63"/>
  <c r="P658" i="63"/>
  <c r="AP570" i="63"/>
  <c r="AH512" i="63"/>
  <c r="BH472" i="63"/>
  <c r="AK477" i="63"/>
  <c r="BB447" i="63"/>
  <c r="AB393" i="63"/>
  <c r="AC578" i="63"/>
  <c r="BH519" i="63"/>
  <c r="BF471" i="63"/>
  <c r="AY464" i="63"/>
  <c r="AB347" i="63"/>
  <c r="BA757" i="63"/>
  <c r="AM603" i="63"/>
  <c r="Y603" i="63"/>
  <c r="BQ43" i="63"/>
  <c r="S43" i="63"/>
  <c r="BH29" i="63"/>
  <c r="BE941" i="63"/>
  <c r="S1045" i="63"/>
  <c r="BN380" i="63"/>
  <c r="AT58" i="63"/>
  <c r="AV58" i="63" s="1"/>
  <c r="Z47" i="63"/>
  <c r="AB44" i="63"/>
  <c r="I1328" i="63"/>
  <c r="BQ1322" i="63"/>
  <c r="AH1140" i="63"/>
  <c r="AH1132" i="63" s="1"/>
  <c r="BB1214" i="63"/>
  <c r="AN1213" i="63"/>
  <c r="Y1155" i="63"/>
  <c r="AU1140" i="63"/>
  <c r="AL862" i="63"/>
  <c r="AM862" i="63" s="1"/>
  <c r="BH829" i="63"/>
  <c r="BB674" i="63"/>
  <c r="BL471" i="63"/>
  <c r="P203" i="63"/>
  <c r="I58" i="63"/>
  <c r="BH1328" i="63"/>
  <c r="BK1334" i="63"/>
  <c r="N1259" i="63"/>
  <c r="T1259" i="63" s="1"/>
  <c r="T1233" i="63"/>
  <c r="BB1079" i="63"/>
  <c r="BK1099" i="63"/>
  <c r="S443" i="63"/>
  <c r="M127" i="63"/>
  <c r="M124" i="63"/>
  <c r="AB1312" i="63"/>
  <c r="P1282" i="63"/>
  <c r="AS1155" i="63"/>
  <c r="BN1148" i="63"/>
  <c r="AJ1322" i="63"/>
  <c r="S1215" i="63"/>
  <c r="K1214" i="63"/>
  <c r="BK1223" i="63"/>
  <c r="Z1049" i="63"/>
  <c r="V1044" i="63"/>
  <c r="AB994" i="63"/>
  <c r="BH983" i="63"/>
  <c r="BQ941" i="63"/>
  <c r="T934" i="63"/>
  <c r="AB1011" i="63"/>
  <c r="M853" i="63"/>
  <c r="M723" i="63"/>
  <c r="K879" i="63"/>
  <c r="AP861" i="63"/>
  <c r="AY648" i="63"/>
  <c r="V1053" i="63"/>
  <c r="BM862" i="63"/>
  <c r="AP666" i="63"/>
  <c r="K648" i="63"/>
  <c r="BH585" i="63"/>
  <c r="BN558" i="63"/>
  <c r="AA870" i="63"/>
  <c r="AE591" i="63"/>
  <c r="BI543" i="63"/>
  <c r="BH714" i="63"/>
  <c r="AD642" i="63"/>
  <c r="AA615" i="63"/>
  <c r="AB615" i="63" s="1"/>
  <c r="AW578" i="63"/>
  <c r="AW576" i="63" s="1"/>
  <c r="M538" i="63"/>
  <c r="M505" i="63"/>
  <c r="AM203" i="63"/>
  <c r="M206" i="63"/>
  <c r="BB636" i="63"/>
  <c r="BC465" i="63"/>
  <c r="M541" i="63"/>
  <c r="V535" i="63"/>
  <c r="AP475" i="63"/>
  <c r="Z390" i="63"/>
  <c r="AK100" i="63"/>
  <c r="Z127" i="63"/>
  <c r="AB127" i="63" s="1"/>
  <c r="AY585" i="63"/>
  <c r="L579" i="63"/>
  <c r="Q525" i="63"/>
  <c r="Q457" i="63" s="1"/>
  <c r="S513" i="63"/>
  <c r="BC451" i="63"/>
  <c r="AB417" i="63"/>
  <c r="O479" i="63"/>
  <c r="O477" i="63" s="1"/>
  <c r="L386" i="63"/>
  <c r="V303" i="63"/>
  <c r="Z644" i="63"/>
  <c r="BQ302" i="63"/>
  <c r="AV170" i="63"/>
  <c r="AX642" i="63"/>
  <c r="AS525" i="63"/>
  <c r="V505" i="63"/>
  <c r="V236" i="63"/>
  <c r="M101" i="63"/>
  <c r="AB78" i="63"/>
  <c r="N512" i="63"/>
  <c r="T512" i="63" s="1"/>
  <c r="I377" i="63"/>
  <c r="AB20" i="63"/>
  <c r="AV525" i="63"/>
  <c r="BO451" i="63"/>
  <c r="AB315" i="63"/>
  <c r="AB236" i="63"/>
  <c r="K124" i="63"/>
  <c r="S1334" i="63"/>
  <c r="Q1140" i="63"/>
  <c r="Q1132" i="63" s="1"/>
  <c r="Q1076" i="63" s="1"/>
  <c r="BQ1233" i="63"/>
  <c r="AK918" i="63"/>
  <c r="P1058" i="63"/>
  <c r="BO862" i="63"/>
  <c r="Y648" i="63"/>
  <c r="BI609" i="63"/>
  <c r="BL925" i="63"/>
  <c r="BN925" i="63" s="1"/>
  <c r="M601" i="63"/>
  <c r="M278" i="63"/>
  <c r="Q117" i="63"/>
  <c r="Q102" i="63" s="1"/>
  <c r="M46" i="63"/>
  <c r="AL1273" i="63"/>
  <c r="I1082" i="63"/>
  <c r="AP934" i="63"/>
  <c r="AO925" i="63"/>
  <c r="AP925" i="63" s="1"/>
  <c r="BA885" i="63"/>
  <c r="BA915" i="63" s="1"/>
  <c r="BB892" i="63"/>
  <c r="AR829" i="63"/>
  <c r="AS829" i="63" s="1"/>
  <c r="AS836" i="63"/>
  <c r="BE452" i="63"/>
  <c r="BE1078" i="63"/>
  <c r="BN923" i="63"/>
  <c r="AY468" i="63"/>
  <c r="BM445" i="63"/>
  <c r="V1226" i="63"/>
  <c r="V1192" i="63"/>
  <c r="U1334" i="63"/>
  <c r="AE1344" i="63"/>
  <c r="AB1311" i="63"/>
  <c r="M1320" i="63"/>
  <c r="K1274" i="63"/>
  <c r="V1320" i="63"/>
  <c r="V1277" i="63"/>
  <c r="L1282" i="63"/>
  <c r="L1273" i="63" s="1"/>
  <c r="AV1223" i="63"/>
  <c r="AJ1214" i="63"/>
  <c r="BE1223" i="63"/>
  <c r="T1141" i="63"/>
  <c r="Z1141" i="63" s="1"/>
  <c r="BH1223" i="63"/>
  <c r="AB1210" i="63"/>
  <c r="V1069" i="63"/>
  <c r="H1140" i="63"/>
  <c r="H1132" i="63" s="1"/>
  <c r="I1132" i="63" s="1"/>
  <c r="S1040" i="63"/>
  <c r="BH1092" i="63"/>
  <c r="V1103" i="63"/>
  <c r="V1095" i="63"/>
  <c r="M1003" i="63"/>
  <c r="AV1058" i="63"/>
  <c r="AB1032" i="63"/>
  <c r="AJ974" i="63"/>
  <c r="BE872" i="63"/>
  <c r="M1093" i="63"/>
  <c r="M1048" i="63"/>
  <c r="Y863" i="63"/>
  <c r="BC1316" i="63"/>
  <c r="AA1331" i="63"/>
  <c r="AM1316" i="63"/>
  <c r="AP1328" i="63"/>
  <c r="BN1328" i="63"/>
  <c r="BB1273" i="63"/>
  <c r="AE1215" i="63"/>
  <c r="V1188" i="63"/>
  <c r="M1152" i="63"/>
  <c r="K1216" i="63"/>
  <c r="M1147" i="63"/>
  <c r="K1141" i="63"/>
  <c r="AP1213" i="63"/>
  <c r="M1194" i="63"/>
  <c r="R1140" i="63"/>
  <c r="M1150" i="63"/>
  <c r="V1054" i="63"/>
  <c r="S1068" i="63"/>
  <c r="Z1041" i="63"/>
  <c r="Z1054" i="63"/>
  <c r="BQ1077" i="63"/>
  <c r="AB1016" i="63"/>
  <c r="M984" i="63"/>
  <c r="BH1037" i="63"/>
  <c r="M949" i="63"/>
  <c r="V935" i="63"/>
  <c r="BE1063" i="63"/>
  <c r="M1104" i="63"/>
  <c r="V990" i="63"/>
  <c r="V946" i="63"/>
  <c r="V942" i="63"/>
  <c r="AB938" i="63"/>
  <c r="AB1090" i="63"/>
  <c r="AJ990" i="63"/>
  <c r="I990" i="63"/>
  <c r="AV941" i="63"/>
  <c r="Z888" i="63"/>
  <c r="M1049" i="63"/>
  <c r="K934" i="63"/>
  <c r="M934" i="63" s="1"/>
  <c r="AB1065" i="63"/>
  <c r="I1051" i="63"/>
  <c r="M946" i="63"/>
  <c r="M875" i="63"/>
  <c r="AE863" i="63"/>
  <c r="M986" i="63"/>
  <c r="K867" i="63"/>
  <c r="X757" i="63"/>
  <c r="M649" i="63"/>
  <c r="M645" i="63"/>
  <c r="V639" i="63"/>
  <c r="AT609" i="63"/>
  <c r="AM591" i="63"/>
  <c r="Z585" i="63"/>
  <c r="BO543" i="63"/>
  <c r="L203" i="63"/>
  <c r="M203" i="63" s="1"/>
  <c r="W714" i="63"/>
  <c r="Y714" i="63" s="1"/>
  <c r="V656" i="63"/>
  <c r="AV644" i="63"/>
  <c r="AL642" i="63"/>
  <c r="BH630" i="63"/>
  <c r="W609" i="63"/>
  <c r="AQ465" i="63"/>
  <c r="S591" i="63"/>
  <c r="BE564" i="63"/>
  <c r="AN543" i="63"/>
  <c r="BF710" i="63"/>
  <c r="BH710" i="63" s="1"/>
  <c r="AP864" i="63"/>
  <c r="BE646" i="63"/>
  <c r="BB591" i="63"/>
  <c r="BI512" i="63"/>
  <c r="K513" i="63"/>
  <c r="BB480" i="63"/>
  <c r="M306" i="63"/>
  <c r="U630" i="63"/>
  <c r="AS570" i="63"/>
  <c r="AP564" i="63"/>
  <c r="BA445" i="63"/>
  <c r="T513" i="63"/>
  <c r="Z513" i="63" s="1"/>
  <c r="AV461" i="63"/>
  <c r="AM464" i="63"/>
  <c r="M107" i="63"/>
  <c r="AK58" i="63"/>
  <c r="AM666" i="63"/>
  <c r="AC512" i="63"/>
  <c r="K506" i="63"/>
  <c r="AT457" i="63"/>
  <c r="AJ302" i="63"/>
  <c r="BQ236" i="63"/>
  <c r="BC100" i="63"/>
  <c r="V113" i="63"/>
  <c r="V109" i="63"/>
  <c r="AP460" i="63"/>
  <c r="AY519" i="63"/>
  <c r="AB303" i="63"/>
  <c r="AE585" i="63"/>
  <c r="BH564" i="63"/>
  <c r="AB124" i="63"/>
  <c r="BK863" i="63"/>
  <c r="BK674" i="63"/>
  <c r="BH636" i="63"/>
  <c r="M593" i="63"/>
  <c r="M526" i="63"/>
  <c r="BO123" i="63"/>
  <c r="AB115" i="63"/>
  <c r="AB56" i="63"/>
  <c r="M56" i="63"/>
  <c r="I576" i="63"/>
  <c r="AV531" i="63"/>
  <c r="M441" i="63"/>
  <c r="BE60" i="63"/>
  <c r="BE1262" i="63"/>
  <c r="AY1187" i="63"/>
  <c r="G1076" i="63"/>
  <c r="G1184" i="63" s="1"/>
  <c r="BQ834" i="63"/>
  <c r="I642" i="63"/>
  <c r="BK920" i="63"/>
  <c r="BE674" i="63"/>
  <c r="AV674" i="63"/>
  <c r="BL545" i="63"/>
  <c r="BL543" i="63" s="1"/>
  <c r="BH58" i="63"/>
  <c r="V54" i="63"/>
  <c r="X1140" i="63"/>
  <c r="X1132" i="63" s="1"/>
  <c r="L920" i="63"/>
  <c r="AY466" i="63"/>
  <c r="AS1078" i="63"/>
  <c r="BB974" i="63"/>
  <c r="BA918" i="63"/>
  <c r="AB1297" i="63"/>
  <c r="M1308" i="63"/>
  <c r="BK1306" i="63"/>
  <c r="AB889" i="63"/>
  <c r="V989" i="63"/>
  <c r="M935" i="63"/>
  <c r="BK1092" i="63"/>
  <c r="AL1213" i="63"/>
  <c r="Z1073" i="63"/>
  <c r="AT918" i="63"/>
  <c r="Y862" i="63"/>
  <c r="AB870" i="63"/>
  <c r="AB868" i="63"/>
  <c r="BK591" i="63"/>
  <c r="AM558" i="63"/>
  <c r="AS531" i="63"/>
  <c r="AP525" i="63"/>
  <c r="AC498" i="63"/>
  <c r="AC465" i="63" s="1"/>
  <c r="AW457" i="63"/>
  <c r="BQ453" i="63"/>
  <c r="W451" i="63"/>
  <c r="AT512" i="63"/>
  <c r="AT510" i="63" s="1"/>
  <c r="M481" i="63"/>
  <c r="L447" i="63"/>
  <c r="AQ471" i="63"/>
  <c r="AQ463" i="63" s="1"/>
  <c r="M506" i="63"/>
  <c r="BE203" i="63"/>
  <c r="BN867" i="63"/>
  <c r="BK644" i="63"/>
  <c r="K644" i="63"/>
  <c r="AZ576" i="63"/>
  <c r="AP531" i="63"/>
  <c r="M488" i="63"/>
  <c r="K380" i="63"/>
  <c r="L453" i="63"/>
  <c r="BH131" i="63"/>
  <c r="V136" i="63"/>
  <c r="V130" i="63"/>
  <c r="V110" i="63"/>
  <c r="M108" i="63"/>
  <c r="AE43" i="63"/>
  <c r="AU451" i="63"/>
  <c r="BL123" i="63"/>
  <c r="S102" i="63"/>
  <c r="AY467" i="63"/>
  <c r="AT465" i="63"/>
  <c r="AE158" i="63"/>
  <c r="BQ117" i="63"/>
  <c r="V101" i="63"/>
  <c r="V472" i="63"/>
  <c r="AB33" i="63"/>
  <c r="AY1282" i="63"/>
  <c r="AX1293" i="63"/>
  <c r="AY1293" i="63" s="1"/>
  <c r="AR1259" i="63"/>
  <c r="AS1259" i="63" s="1"/>
  <c r="AS1233" i="63"/>
  <c r="AR1140" i="63"/>
  <c r="AS1141" i="63"/>
  <c r="S1083" i="63"/>
  <c r="AP983" i="63"/>
  <c r="AO974" i="63"/>
  <c r="AM990" i="63"/>
  <c r="U983" i="63"/>
  <c r="P983" i="63"/>
  <c r="O974" i="63"/>
  <c r="P974" i="63" s="1"/>
  <c r="BO864" i="63"/>
  <c r="BO829" i="63"/>
  <c r="BO859" i="63" s="1"/>
  <c r="H829" i="63"/>
  <c r="I829" i="63" s="1"/>
  <c r="I836" i="63"/>
  <c r="H864" i="63"/>
  <c r="I864" i="63" s="1"/>
  <c r="AM892" i="63"/>
  <c r="AL864" i="63"/>
  <c r="AL885" i="63"/>
  <c r="X864" i="63"/>
  <c r="Y864" i="63" s="1"/>
  <c r="X829" i="63"/>
  <c r="X859" i="63" s="1"/>
  <c r="P925" i="63"/>
  <c r="U925" i="63"/>
  <c r="AA925" i="63" s="1"/>
  <c r="O918" i="63"/>
  <c r="AT829" i="63"/>
  <c r="AV829" i="63" s="1"/>
  <c r="AV836" i="63"/>
  <c r="AS648" i="63"/>
  <c r="AE552" i="63"/>
  <c r="AC451" i="63"/>
  <c r="AB401" i="63"/>
  <c r="AY386" i="63"/>
  <c r="AZ100" i="63"/>
  <c r="U203" i="63"/>
  <c r="V203" i="63" s="1"/>
  <c r="AE1326" i="63"/>
  <c r="L1296" i="63"/>
  <c r="BB1328" i="63"/>
  <c r="BH1274" i="63"/>
  <c r="AQ925" i="63"/>
  <c r="V1072" i="63"/>
  <c r="M975" i="63"/>
  <c r="AW642" i="63"/>
  <c r="V813" i="63"/>
  <c r="AT471" i="63"/>
  <c r="S603" i="63"/>
  <c r="M589" i="63"/>
  <c r="AZ543" i="63"/>
  <c r="P380" i="63"/>
  <c r="M626" i="63"/>
  <c r="M616" i="63"/>
  <c r="AH611" i="63"/>
  <c r="AH609" i="63" s="1"/>
  <c r="BB597" i="63"/>
  <c r="AM125" i="63"/>
  <c r="AJ624" i="63"/>
  <c r="M118" i="63"/>
  <c r="M1098" i="63"/>
  <c r="BB666" i="63"/>
  <c r="BQ603" i="63"/>
  <c r="AN451" i="63"/>
  <c r="AB239" i="63"/>
  <c r="K519" i="63"/>
  <c r="M257" i="63"/>
  <c r="V794" i="63"/>
  <c r="M245" i="63"/>
  <c r="BQ1334" i="63"/>
  <c r="BP1316" i="63"/>
  <c r="O1293" i="63"/>
  <c r="L1293" i="63" s="1"/>
  <c r="U1282" i="63"/>
  <c r="AA1282" i="63" s="1"/>
  <c r="BQ1148" i="63"/>
  <c r="BB1187" i="63"/>
  <c r="BF1076" i="63"/>
  <c r="AH1076" i="63"/>
  <c r="AH1184" i="63" s="1"/>
  <c r="BQ1141" i="63"/>
  <c r="BP1140" i="63"/>
  <c r="AV1140" i="63"/>
  <c r="AU1132" i="63"/>
  <c r="AV1132" i="63" s="1"/>
  <c r="AX885" i="63"/>
  <c r="AX859" i="63" s="1"/>
  <c r="AY859" i="63" s="1"/>
  <c r="AX864" i="63"/>
  <c r="AY864" i="63" s="1"/>
  <c r="BL918" i="63"/>
  <c r="BL1026" i="63" s="1"/>
  <c r="S585" i="63"/>
  <c r="U443" i="63"/>
  <c r="L443" i="63"/>
  <c r="M443" i="63" s="1"/>
  <c r="BQ585" i="63"/>
  <c r="BC545" i="63"/>
  <c r="AJ60" i="63"/>
  <c r="AQ100" i="63"/>
  <c r="BE1344" i="63"/>
  <c r="AY1217" i="63"/>
  <c r="BH1213" i="63"/>
  <c r="V1190" i="63"/>
  <c r="AH1026" i="63"/>
  <c r="AB1105" i="63"/>
  <c r="M938" i="63"/>
  <c r="U1155" i="63"/>
  <c r="AA1155" i="63" s="1"/>
  <c r="AB1155" i="63" s="1"/>
  <c r="BB1060" i="63"/>
  <c r="V1036" i="63"/>
  <c r="I1068" i="63"/>
  <c r="P872" i="63"/>
  <c r="M556" i="63"/>
  <c r="AB985" i="63"/>
  <c r="AB813" i="63"/>
  <c r="M586" i="63"/>
  <c r="M567" i="63"/>
  <c r="M994" i="63"/>
  <c r="BN798" i="63"/>
  <c r="AQ510" i="63"/>
  <c r="G100" i="63"/>
  <c r="V637" i="63"/>
  <c r="AS603" i="63"/>
  <c r="AN471" i="63"/>
  <c r="BC102" i="63"/>
  <c r="BE102" i="63" s="1"/>
  <c r="BE100" i="63"/>
  <c r="BE636" i="63"/>
  <c r="BE612" i="63"/>
  <c r="AS537" i="63"/>
  <c r="AE501" i="63"/>
  <c r="M239" i="63"/>
  <c r="M967" i="63"/>
  <c r="AB307" i="63"/>
  <c r="AS102" i="63"/>
  <c r="AE446" i="63"/>
  <c r="AB93" i="63"/>
  <c r="AB35" i="63"/>
  <c r="AE508" i="63"/>
  <c r="Y1282" i="63"/>
  <c r="X1273" i="63"/>
  <c r="Y1273" i="63" s="1"/>
  <c r="X1293" i="63"/>
  <c r="Y1293" i="63" s="1"/>
  <c r="AR1213" i="63"/>
  <c r="AS1213" i="63" s="1"/>
  <c r="AV1148" i="63"/>
  <c r="BH1140" i="63"/>
  <c r="BB983" i="63"/>
  <c r="H862" i="63"/>
  <c r="I862" i="63" s="1"/>
  <c r="I834" i="63"/>
  <c r="N918" i="63"/>
  <c r="AI862" i="63"/>
  <c r="AJ862" i="63" s="1"/>
  <c r="H609" i="63"/>
  <c r="I609" i="63" s="1"/>
  <c r="I611" i="63"/>
  <c r="M888" i="63"/>
  <c r="AI864" i="63"/>
  <c r="AJ864" i="63" s="1"/>
  <c r="AI829" i="63"/>
  <c r="AJ829" i="63" s="1"/>
  <c r="AJ836" i="63"/>
  <c r="K674" i="63"/>
  <c r="BI445" i="63"/>
  <c r="BK445" i="63" s="1"/>
  <c r="AB46" i="63"/>
  <c r="V48" i="63"/>
  <c r="AJ1215" i="63"/>
  <c r="K1217" i="63"/>
  <c r="M1189" i="63"/>
  <c r="AB1190" i="63"/>
  <c r="BN1166" i="63"/>
  <c r="M1154" i="63"/>
  <c r="V1105" i="63"/>
  <c r="AT1076" i="63"/>
  <c r="BK1091" i="63"/>
  <c r="M1080" i="63"/>
  <c r="AM974" i="63"/>
  <c r="AB964" i="63"/>
  <c r="H925" i="63"/>
  <c r="I925" i="63" s="1"/>
  <c r="BQ648" i="63"/>
  <c r="BN872" i="63"/>
  <c r="BQ829" i="63"/>
  <c r="Y829" i="63"/>
  <c r="V725" i="63"/>
  <c r="M574" i="63"/>
  <c r="M561" i="63"/>
  <c r="BL465" i="63"/>
  <c r="BL463" i="63" s="1"/>
  <c r="AT576" i="63"/>
  <c r="K376" i="63"/>
  <c r="AW510" i="63"/>
  <c r="BO457" i="63"/>
  <c r="I203" i="63"/>
  <c r="W543" i="63"/>
  <c r="AA472" i="63"/>
  <c r="AB472" i="63" s="1"/>
  <c r="V173" i="63"/>
  <c r="V560" i="63"/>
  <c r="M548" i="63"/>
  <c r="M499" i="63"/>
  <c r="M106" i="63"/>
  <c r="M638" i="63"/>
  <c r="M631" i="63"/>
  <c r="AP458" i="63"/>
  <c r="AR451" i="63"/>
  <c r="AS451" i="63" s="1"/>
  <c r="AB396" i="63"/>
  <c r="AJ519" i="63"/>
  <c r="BO1316" i="63"/>
  <c r="BQ1296" i="63"/>
  <c r="U1187" i="63"/>
  <c r="P1187" i="63"/>
  <c r="BH1141" i="63"/>
  <c r="AM983" i="63"/>
  <c r="AV863" i="63"/>
  <c r="AZ918" i="63"/>
  <c r="M722" i="63"/>
  <c r="T920" i="63"/>
  <c r="P920" i="63"/>
  <c r="Z807" i="63"/>
  <c r="Z765" i="63" s="1"/>
  <c r="T765" i="63"/>
  <c r="AT445" i="63"/>
  <c r="BE552" i="63"/>
  <c r="AW545" i="63"/>
  <c r="AM386" i="63"/>
  <c r="G374" i="65"/>
  <c r="D374" i="65"/>
  <c r="E374" i="65"/>
  <c r="F374" i="65"/>
  <c r="M96" i="65"/>
  <c r="E366" i="65"/>
  <c r="F366" i="65"/>
  <c r="G366" i="65"/>
  <c r="D366" i="65"/>
  <c r="BL1184" i="63"/>
  <c r="AA480" i="63"/>
  <c r="BH1344" i="63"/>
  <c r="BG1326" i="63"/>
  <c r="BH1326" i="63" s="1"/>
  <c r="V1334" i="63"/>
  <c r="AA1334" i="63"/>
  <c r="U1316" i="63"/>
  <c r="AU1326" i="63"/>
  <c r="AV1326" i="63" s="1"/>
  <c r="AV1344" i="63"/>
  <c r="Z1344" i="63"/>
  <c r="AA1322" i="63"/>
  <c r="L1322" i="63"/>
  <c r="M1302" i="63"/>
  <c r="M1318" i="63"/>
  <c r="H1293" i="63"/>
  <c r="I1293" i="63" s="1"/>
  <c r="H1273" i="63"/>
  <c r="I1273" i="63" s="1"/>
  <c r="I1282" i="63"/>
  <c r="V1262" i="63"/>
  <c r="AA1262" i="63"/>
  <c r="AB1262" i="63" s="1"/>
  <c r="AX1259" i="63"/>
  <c r="AY1259" i="63" s="1"/>
  <c r="AY1233" i="63"/>
  <c r="AX1213" i="63"/>
  <c r="AY1213" i="63" s="1"/>
  <c r="M1240" i="63"/>
  <c r="L1218" i="63"/>
  <c r="M1218" i="63" s="1"/>
  <c r="M1174" i="63"/>
  <c r="L1068" i="63"/>
  <c r="M1068" i="63" s="1"/>
  <c r="AA1151" i="63"/>
  <c r="AB1151" i="63" s="1"/>
  <c r="V1151" i="63"/>
  <c r="AA1143" i="63"/>
  <c r="AB1143" i="63" s="1"/>
  <c r="V1143" i="63"/>
  <c r="AA1229" i="63"/>
  <c r="AT1259" i="63"/>
  <c r="AV1259" i="63" s="1"/>
  <c r="AV1233" i="63"/>
  <c r="AT1213" i="63"/>
  <c r="AV1213" i="63" s="1"/>
  <c r="BC1213" i="63"/>
  <c r="BE1213" i="63" s="1"/>
  <c r="BE1187" i="63"/>
  <c r="BH1215" i="63"/>
  <c r="V1145" i="63"/>
  <c r="AA1145" i="63"/>
  <c r="AB1145" i="63" s="1"/>
  <c r="AB1119" i="63"/>
  <c r="AA1041" i="63"/>
  <c r="AB1041" i="63" s="1"/>
  <c r="AB1019" i="63"/>
  <c r="AA1071" i="63"/>
  <c r="AB1071" i="63" s="1"/>
  <c r="BN1316" i="63"/>
  <c r="AK1273" i="63"/>
  <c r="AM1273" i="63" s="1"/>
  <c r="AM1262" i="63"/>
  <c r="M1237" i="63"/>
  <c r="L1217" i="63"/>
  <c r="M1217" i="63" s="1"/>
  <c r="AD1091" i="63"/>
  <c r="AE1099" i="63"/>
  <c r="I1092" i="63"/>
  <c r="H1091" i="63"/>
  <c r="Z1069" i="63"/>
  <c r="AB1017" i="63"/>
  <c r="M1141" i="63"/>
  <c r="U867" i="63"/>
  <c r="AA895" i="63"/>
  <c r="V895" i="63"/>
  <c r="AR885" i="63"/>
  <c r="AR864" i="63"/>
  <c r="AS892" i="63"/>
  <c r="M1112" i="63"/>
  <c r="L1037" i="63"/>
  <c r="L1060" i="63"/>
  <c r="S924" i="63"/>
  <c r="K924" i="63"/>
  <c r="M924" i="63" s="1"/>
  <c r="T924" i="63"/>
  <c r="AA871" i="63"/>
  <c r="AB871" i="63" s="1"/>
  <c r="AB843" i="63"/>
  <c r="AK1140" i="63"/>
  <c r="AM1141" i="63"/>
  <c r="K1099" i="63"/>
  <c r="T1099" i="63"/>
  <c r="Z1099" i="63" s="1"/>
  <c r="AV925" i="63"/>
  <c r="AU918" i="63"/>
  <c r="AV918" i="63" s="1"/>
  <c r="AB901" i="63"/>
  <c r="AA873" i="63"/>
  <c r="AB873" i="63" s="1"/>
  <c r="BG885" i="63"/>
  <c r="BH892" i="63"/>
  <c r="BG864" i="63"/>
  <c r="BH864" i="63" s="1"/>
  <c r="AQ1184" i="63"/>
  <c r="Z1107" i="63"/>
  <c r="Z1035" i="63" s="1"/>
  <c r="T1035" i="63"/>
  <c r="Y1091" i="63"/>
  <c r="I885" i="63"/>
  <c r="H859" i="63"/>
  <c r="H915" i="63"/>
  <c r="AB866" i="63"/>
  <c r="AA816" i="63"/>
  <c r="AB816" i="63" s="1"/>
  <c r="V816" i="63"/>
  <c r="AA758" i="63"/>
  <c r="BJ708" i="63"/>
  <c r="S921" i="63"/>
  <c r="K921" i="63"/>
  <c r="T921" i="63"/>
  <c r="AY934" i="63"/>
  <c r="AX925" i="63"/>
  <c r="AI760" i="63"/>
  <c r="AQ642" i="63"/>
  <c r="AS650" i="63"/>
  <c r="Z565" i="63"/>
  <c r="AB565" i="63" s="1"/>
  <c r="V565" i="63"/>
  <c r="P552" i="63"/>
  <c r="L552" i="63"/>
  <c r="M552" i="63" s="1"/>
  <c r="U552" i="63"/>
  <c r="BO775" i="63"/>
  <c r="BQ714" i="63"/>
  <c r="BO713" i="63"/>
  <c r="BO710" i="63"/>
  <c r="BQ710" i="63" s="1"/>
  <c r="L1099" i="63"/>
  <c r="AI757" i="63"/>
  <c r="AI769" i="63"/>
  <c r="BG611" i="63"/>
  <c r="BH612" i="63"/>
  <c r="AU545" i="63"/>
  <c r="AV546" i="63"/>
  <c r="BK836" i="63"/>
  <c r="BI829" i="63"/>
  <c r="BK829" i="63" s="1"/>
  <c r="BI864" i="63"/>
  <c r="BD708" i="63"/>
  <c r="AD545" i="63"/>
  <c r="AE546" i="63"/>
  <c r="K531" i="63"/>
  <c r="T531" i="63"/>
  <c r="Z531" i="63" s="1"/>
  <c r="AM513" i="63"/>
  <c r="AL512" i="63"/>
  <c r="AS492" i="63"/>
  <c r="AR457" i="63"/>
  <c r="K446" i="63"/>
  <c r="K370" i="63" s="1"/>
  <c r="T446" i="63"/>
  <c r="Z446" i="63" s="1"/>
  <c r="Z370" i="63" s="1"/>
  <c r="AP111" i="63"/>
  <c r="AO102" i="63"/>
  <c r="AP102" i="63" s="1"/>
  <c r="BN90" i="63"/>
  <c r="BM58" i="63"/>
  <c r="BN58" i="63" s="1"/>
  <c r="AB85" i="63"/>
  <c r="AA53" i="63"/>
  <c r="AB53" i="63" s="1"/>
  <c r="AZ915" i="63"/>
  <c r="BB915" i="63" s="1"/>
  <c r="AZ859" i="63"/>
  <c r="BB885" i="63"/>
  <c r="AD864" i="63"/>
  <c r="AE864" i="63" s="1"/>
  <c r="AE836" i="63"/>
  <c r="AD829" i="63"/>
  <c r="AE829" i="63" s="1"/>
  <c r="T836" i="63"/>
  <c r="Z836" i="63" s="1"/>
  <c r="K836" i="63"/>
  <c r="K864" i="63" s="1"/>
  <c r="N829" i="63"/>
  <c r="L798" i="63"/>
  <c r="U798" i="63"/>
  <c r="O760" i="63"/>
  <c r="AA717" i="63"/>
  <c r="BP611" i="63"/>
  <c r="BQ612" i="63"/>
  <c r="P591" i="63"/>
  <c r="U591" i="63"/>
  <c r="L591" i="63"/>
  <c r="AA589" i="63"/>
  <c r="AB589" i="63" s="1"/>
  <c r="V589" i="63"/>
  <c r="V520" i="63"/>
  <c r="AA520" i="63"/>
  <c r="AB520" i="63" s="1"/>
  <c r="BK504" i="63"/>
  <c r="BJ471" i="63"/>
  <c r="W457" i="63"/>
  <c r="AA374" i="63"/>
  <c r="AB374" i="63" s="1"/>
  <c r="AB450" i="63"/>
  <c r="W131" i="63"/>
  <c r="Y164" i="63"/>
  <c r="AC714" i="63"/>
  <c r="BI775" i="63"/>
  <c r="BI713" i="63"/>
  <c r="BI710" i="63"/>
  <c r="BK710" i="63" s="1"/>
  <c r="BK714" i="63"/>
  <c r="AT100" i="63"/>
  <c r="AV137" i="63"/>
  <c r="AR812" i="63"/>
  <c r="L759" i="63"/>
  <c r="U666" i="63"/>
  <c r="P666" i="63"/>
  <c r="L666" i="63"/>
  <c r="M643" i="63"/>
  <c r="V619" i="63"/>
  <c r="AA619" i="63"/>
  <c r="AB619" i="63" s="1"/>
  <c r="AA605" i="63"/>
  <c r="AB605" i="63" s="1"/>
  <c r="V605" i="63"/>
  <c r="AA532" i="63"/>
  <c r="AB532" i="63" s="1"/>
  <c r="V532" i="63"/>
  <c r="O465" i="63"/>
  <c r="U498" i="63"/>
  <c r="L498" i="63"/>
  <c r="BB486" i="63"/>
  <c r="BA451" i="63"/>
  <c r="BA479" i="63"/>
  <c r="BJ123" i="63"/>
  <c r="BK123" i="63" s="1"/>
  <c r="BK125" i="63"/>
  <c r="BF100" i="63"/>
  <c r="AV125" i="63"/>
  <c r="AU123" i="63"/>
  <c r="AV123" i="63" s="1"/>
  <c r="BM70" i="63"/>
  <c r="P29" i="63"/>
  <c r="L29" i="63"/>
  <c r="U29" i="63"/>
  <c r="V616" i="63"/>
  <c r="AA616" i="63"/>
  <c r="AB616" i="63" s="1"/>
  <c r="AA490" i="63"/>
  <c r="AB490" i="63" s="1"/>
  <c r="V490" i="63"/>
  <c r="V487" i="63"/>
  <c r="AA487" i="63"/>
  <c r="AB487" i="63" s="1"/>
  <c r="S269" i="63"/>
  <c r="K269" i="63"/>
  <c r="T269" i="63"/>
  <c r="BN776" i="63"/>
  <c r="BL772" i="63"/>
  <c r="BN772" i="63" s="1"/>
  <c r="K922" i="63"/>
  <c r="M922" i="63" s="1"/>
  <c r="K393" i="63"/>
  <c r="M393" i="63" s="1"/>
  <c r="M652" i="63"/>
  <c r="AU611" i="63"/>
  <c r="AV612" i="63"/>
  <c r="AC576" i="63"/>
  <c r="S537" i="63"/>
  <c r="BH461" i="63"/>
  <c r="U464" i="63"/>
  <c r="P464" i="63"/>
  <c r="L464" i="63"/>
  <c r="K302" i="63"/>
  <c r="T302" i="63"/>
  <c r="Z302" i="63" s="1"/>
  <c r="BB777" i="63"/>
  <c r="AY1083" i="63"/>
  <c r="AB851" i="63"/>
  <c r="AA877" i="63"/>
  <c r="AB877" i="63" s="1"/>
  <c r="AA712" i="63"/>
  <c r="Z521" i="63"/>
  <c r="AB521" i="63" s="1"/>
  <c r="V521" i="63"/>
  <c r="AS513" i="63"/>
  <c r="AR512" i="63"/>
  <c r="R465" i="63"/>
  <c r="AA383" i="63"/>
  <c r="BH236" i="63"/>
  <c r="AI123" i="63"/>
  <c r="AC781" i="63"/>
  <c r="AE720" i="63"/>
  <c r="BE720" i="63"/>
  <c r="BC717" i="63"/>
  <c r="BE717" i="63" s="1"/>
  <c r="BC712" i="63"/>
  <c r="BE712" i="63" s="1"/>
  <c r="U60" i="63"/>
  <c r="AA92" i="63"/>
  <c r="V92" i="63"/>
  <c r="BF70" i="63"/>
  <c r="BF39" i="63"/>
  <c r="AT915" i="63"/>
  <c r="AT859" i="63"/>
  <c r="K603" i="63"/>
  <c r="R510" i="63"/>
  <c r="V482" i="63"/>
  <c r="AA482" i="63"/>
  <c r="AB482" i="63" s="1"/>
  <c r="AA448" i="63"/>
  <c r="V127" i="63"/>
  <c r="S380" i="63"/>
  <c r="U380" i="63"/>
  <c r="V380" i="63" s="1"/>
  <c r="BB70" i="63"/>
  <c r="BA38" i="63"/>
  <c r="BB38" i="63" s="1"/>
  <c r="AA47" i="63"/>
  <c r="AB47" i="63" s="1"/>
  <c r="AB18" i="63"/>
  <c r="V993" i="63"/>
  <c r="U558" i="63"/>
  <c r="L558" i="63"/>
  <c r="P558" i="63"/>
  <c r="AV459" i="63"/>
  <c r="V441" i="63"/>
  <c r="AA441" i="63"/>
  <c r="AB441" i="63" s="1"/>
  <c r="AA513" i="63"/>
  <c r="AB513" i="63" s="1"/>
  <c r="V513" i="63"/>
  <c r="AB14" i="63"/>
  <c r="S528" i="63"/>
  <c r="AA1350" i="63"/>
  <c r="V1350" i="63"/>
  <c r="U1332" i="63"/>
  <c r="I1344" i="63"/>
  <c r="H1326" i="63"/>
  <c r="I1326" i="63" s="1"/>
  <c r="V1344" i="63"/>
  <c r="AA1344" i="63"/>
  <c r="M1334" i="63"/>
  <c r="L1316" i="63"/>
  <c r="S1344" i="63"/>
  <c r="K1344" i="63"/>
  <c r="Q1326" i="63"/>
  <c r="Z1340" i="63"/>
  <c r="T1322" i="63"/>
  <c r="V1322" i="63" s="1"/>
  <c r="BH1334" i="63"/>
  <c r="BG1316" i="63"/>
  <c r="BH1316" i="63" s="1"/>
  <c r="BP1326" i="63"/>
  <c r="BQ1306" i="63"/>
  <c r="R1326" i="63"/>
  <c r="S1306" i="63"/>
  <c r="Z1302" i="63"/>
  <c r="AB1302" i="63" s="1"/>
  <c r="V1302" i="63"/>
  <c r="AA1296" i="63"/>
  <c r="AE1274" i="63"/>
  <c r="AB1267" i="63"/>
  <c r="AA1227" i="63"/>
  <c r="AB1227" i="63" s="1"/>
  <c r="AB1205" i="63"/>
  <c r="AB1319" i="63"/>
  <c r="W1259" i="63"/>
  <c r="K1233" i="63"/>
  <c r="W1213" i="63"/>
  <c r="X1259" i="63"/>
  <c r="Y1259" i="63" s="1"/>
  <c r="Y1233" i="63"/>
  <c r="X1213" i="63"/>
  <c r="AA1156" i="63"/>
  <c r="V1156" i="63"/>
  <c r="U1058" i="63"/>
  <c r="BL1293" i="63"/>
  <c r="BN1293" i="63" s="1"/>
  <c r="BN1282" i="63"/>
  <c r="BL1273" i="63"/>
  <c r="BN1273" i="63" s="1"/>
  <c r="AB1254" i="63"/>
  <c r="AA1228" i="63"/>
  <c r="AB1228" i="63" s="1"/>
  <c r="V1191" i="63"/>
  <c r="M1118" i="63"/>
  <c r="L1040" i="63"/>
  <c r="AB1224" i="63"/>
  <c r="BD1140" i="63"/>
  <c r="BE1141" i="63"/>
  <c r="T1140" i="63"/>
  <c r="N1132" i="63"/>
  <c r="M1133" i="63"/>
  <c r="L1051" i="63"/>
  <c r="M1051" i="63" s="1"/>
  <c r="Q1213" i="63"/>
  <c r="S1213" i="63" s="1"/>
  <c r="S1187" i="63"/>
  <c r="K1187" i="63"/>
  <c r="T1187" i="63"/>
  <c r="Z1118" i="63"/>
  <c r="Z1040" i="63" s="1"/>
  <c r="T1040" i="63"/>
  <c r="AB1024" i="63"/>
  <c r="I1214" i="63"/>
  <c r="L1166" i="63"/>
  <c r="AB1138" i="63"/>
  <c r="AA1054" i="63"/>
  <c r="Z1125" i="63"/>
  <c r="Z1045" i="63" s="1"/>
  <c r="T1045" i="63"/>
  <c r="BH1091" i="63"/>
  <c r="BG1083" i="63"/>
  <c r="AJ1092" i="63"/>
  <c r="AI1091" i="63"/>
  <c r="AY1099" i="63"/>
  <c r="AV1079" i="63"/>
  <c r="AB1023" i="63"/>
  <c r="AA1073" i="63"/>
  <c r="AB1073" i="63" s="1"/>
  <c r="Z1029" i="63"/>
  <c r="AB1029" i="63" s="1"/>
  <c r="AB927" i="63"/>
  <c r="K1079" i="63"/>
  <c r="T1079" i="63"/>
  <c r="Z1079" i="63" s="1"/>
  <c r="AB1059" i="63"/>
  <c r="BH1051" i="63"/>
  <c r="Z1031" i="63"/>
  <c r="AB1031" i="63" s="1"/>
  <c r="M895" i="63"/>
  <c r="L867" i="63"/>
  <c r="M867" i="63" s="1"/>
  <c r="K1040" i="63"/>
  <c r="AN1091" i="63"/>
  <c r="AN1083" i="63" s="1"/>
  <c r="AN1076" i="63" s="1"/>
  <c r="AP1099" i="63"/>
  <c r="AA1112" i="63"/>
  <c r="V1112" i="63"/>
  <c r="U1060" i="63"/>
  <c r="U1037" i="63"/>
  <c r="U1077" i="63"/>
  <c r="P1077" i="63"/>
  <c r="L1077" i="63"/>
  <c r="BJ1083" i="63"/>
  <c r="AL925" i="63"/>
  <c r="BL885" i="63"/>
  <c r="BL864" i="63"/>
  <c r="AB841" i="63"/>
  <c r="V1238" i="63"/>
  <c r="AA1238" i="63"/>
  <c r="AB1238" i="63" s="1"/>
  <c r="Z1112" i="63"/>
  <c r="T1037" i="63"/>
  <c r="T1060" i="63"/>
  <c r="V1055" i="63"/>
  <c r="BO925" i="63"/>
  <c r="AB1109" i="63"/>
  <c r="AA1036" i="63"/>
  <c r="AB1036" i="63" s="1"/>
  <c r="AB1018" i="63"/>
  <c r="AA1070" i="63"/>
  <c r="AB1070" i="63" s="1"/>
  <c r="BN892" i="63"/>
  <c r="AA853" i="63"/>
  <c r="AB853" i="63" s="1"/>
  <c r="V853" i="63"/>
  <c r="BJ760" i="63"/>
  <c r="BK760" i="63" s="1"/>
  <c r="BK798" i="63"/>
  <c r="I709" i="63"/>
  <c r="H708" i="63"/>
  <c r="AB669" i="63"/>
  <c r="AA408" i="63"/>
  <c r="AB408" i="63" s="1"/>
  <c r="V998" i="63"/>
  <c r="Y974" i="63"/>
  <c r="L974" i="63"/>
  <c r="AA892" i="63"/>
  <c r="U864" i="63"/>
  <c r="AA844" i="63"/>
  <c r="AB844" i="63" s="1"/>
  <c r="V844" i="63"/>
  <c r="Z733" i="63"/>
  <c r="AB733" i="63" s="1"/>
  <c r="V733" i="63"/>
  <c r="AX708" i="63"/>
  <c r="G974" i="63"/>
  <c r="M942" i="63"/>
  <c r="Z831" i="63"/>
  <c r="Z861" i="63" s="1"/>
  <c r="T861" i="63"/>
  <c r="AO769" i="63"/>
  <c r="AO757" i="63"/>
  <c r="K646" i="63"/>
  <c r="T646" i="63"/>
  <c r="Z646" i="63" s="1"/>
  <c r="P624" i="63"/>
  <c r="L624" i="63"/>
  <c r="U624" i="63"/>
  <c r="BG578" i="63"/>
  <c r="BH579" i="63"/>
  <c r="AA579" i="63"/>
  <c r="V553" i="63"/>
  <c r="AA553" i="63"/>
  <c r="AB553" i="63" s="1"/>
  <c r="BF543" i="63"/>
  <c r="BC775" i="63"/>
  <c r="BE714" i="63"/>
  <c r="BC713" i="63"/>
  <c r="BC710" i="63"/>
  <c r="BE710" i="63" s="1"/>
  <c r="AB1181" i="63"/>
  <c r="AA1099" i="63"/>
  <c r="AA778" i="63"/>
  <c r="AI708" i="63"/>
  <c r="AJ644" i="63"/>
  <c r="K597" i="63"/>
  <c r="T597" i="63"/>
  <c r="Z597" i="63" s="1"/>
  <c r="BO576" i="63"/>
  <c r="AB555" i="63"/>
  <c r="AV983" i="63"/>
  <c r="AB850" i="63"/>
  <c r="V588" i="63"/>
  <c r="AA588" i="63"/>
  <c r="AB588" i="63" s="1"/>
  <c r="AS585" i="63"/>
  <c r="AR578" i="63"/>
  <c r="AL578" i="63"/>
  <c r="AM579" i="63"/>
  <c r="AK510" i="63"/>
  <c r="Y513" i="63"/>
  <c r="X512" i="63"/>
  <c r="Q471" i="63"/>
  <c r="AR465" i="63"/>
  <c r="AS498" i="63"/>
  <c r="AW451" i="63"/>
  <c r="BO479" i="63"/>
  <c r="BO445" i="63"/>
  <c r="N479" i="63"/>
  <c r="N445" i="63"/>
  <c r="K480" i="63"/>
  <c r="T480" i="63"/>
  <c r="Z480" i="63" s="1"/>
  <c r="S390" i="63"/>
  <c r="U390" i="63"/>
  <c r="V390" i="63" s="1"/>
  <c r="K464" i="63"/>
  <c r="T464" i="63"/>
  <c r="Z464" i="63" s="1"/>
  <c r="I463" i="63"/>
  <c r="AX123" i="63"/>
  <c r="AY123" i="63" s="1"/>
  <c r="AY125" i="63"/>
  <c r="BF717" i="63"/>
  <c r="BH717" i="63" s="1"/>
  <c r="BH720" i="63"/>
  <c r="BF712" i="63"/>
  <c r="BH712" i="63" s="1"/>
  <c r="BN125" i="63"/>
  <c r="BM123" i="63"/>
  <c r="BN123" i="63" s="1"/>
  <c r="U761" i="63"/>
  <c r="AA799" i="63"/>
  <c r="AA772" i="63"/>
  <c r="AB772" i="63" s="1"/>
  <c r="U759" i="63"/>
  <c r="V772" i="63"/>
  <c r="J717" i="63"/>
  <c r="J709" i="63" s="1"/>
  <c r="J708" i="63" s="1"/>
  <c r="J710" i="63"/>
  <c r="J758" i="63" s="1"/>
  <c r="M654" i="63"/>
  <c r="L395" i="63"/>
  <c r="M395" i="63" s="1"/>
  <c r="AZ609" i="63"/>
  <c r="AA598" i="63"/>
  <c r="AB598" i="63" s="1"/>
  <c r="V598" i="63"/>
  <c r="AA592" i="63"/>
  <c r="AB592" i="63" s="1"/>
  <c r="V592" i="63"/>
  <c r="T579" i="63"/>
  <c r="Z579" i="63" s="1"/>
  <c r="N578" i="63"/>
  <c r="K579" i="63"/>
  <c r="M579" i="63" s="1"/>
  <c r="K558" i="63"/>
  <c r="T558" i="63"/>
  <c r="Z558" i="63" s="1"/>
  <c r="BB546" i="63"/>
  <c r="BA545" i="63"/>
  <c r="AA541" i="63"/>
  <c r="AB541" i="63" s="1"/>
  <c r="V541" i="63"/>
  <c r="AA495" i="63"/>
  <c r="BE448" i="63"/>
  <c r="BH480" i="63"/>
  <c r="BG479" i="63"/>
  <c r="BG445" i="63"/>
  <c r="AA455" i="63"/>
  <c r="BN302" i="63"/>
  <c r="V179" i="63"/>
  <c r="BB713" i="63"/>
  <c r="AZ709" i="63"/>
  <c r="AZ708" i="63" s="1"/>
  <c r="AZ750" i="63" s="1"/>
  <c r="U103" i="63"/>
  <c r="L836" i="63"/>
  <c r="BD760" i="63"/>
  <c r="BE760" i="63" s="1"/>
  <c r="BE798" i="63"/>
  <c r="R760" i="63"/>
  <c r="R769" i="63"/>
  <c r="M672" i="63"/>
  <c r="L411" i="63"/>
  <c r="M411" i="63" s="1"/>
  <c r="O642" i="63"/>
  <c r="M571" i="63"/>
  <c r="BN546" i="63"/>
  <c r="BM545" i="63"/>
  <c r="AV492" i="63"/>
  <c r="AU457" i="63"/>
  <c r="AV457" i="63" s="1"/>
  <c r="L371" i="63"/>
  <c r="G123" i="63"/>
  <c r="Y185" i="63"/>
  <c r="T105" i="63"/>
  <c r="K105" i="63"/>
  <c r="Z105" i="63"/>
  <c r="P111" i="63"/>
  <c r="L111" i="63"/>
  <c r="M111" i="63" s="1"/>
  <c r="O102" i="63"/>
  <c r="U111" i="63"/>
  <c r="AX70" i="63"/>
  <c r="AY71" i="63"/>
  <c r="AX39" i="63"/>
  <c r="AY39" i="63" s="1"/>
  <c r="AV776" i="63"/>
  <c r="AT772" i="63"/>
  <c r="AV772" i="63" s="1"/>
  <c r="AP863" i="63"/>
  <c r="BQ579" i="63"/>
  <c r="S546" i="63"/>
  <c r="M515" i="63"/>
  <c r="AL457" i="63"/>
  <c r="AM492" i="63"/>
  <c r="AY480" i="63"/>
  <c r="AX479" i="63"/>
  <c r="AX445" i="63"/>
  <c r="BM477" i="63"/>
  <c r="BB125" i="63"/>
  <c r="BA123" i="63"/>
  <c r="BB123" i="63" s="1"/>
  <c r="AA122" i="63"/>
  <c r="AB122" i="63" s="1"/>
  <c r="V122" i="63"/>
  <c r="O70" i="63"/>
  <c r="P71" i="63"/>
  <c r="L71" i="63"/>
  <c r="U71" i="63"/>
  <c r="O39" i="63"/>
  <c r="P39" i="63" s="1"/>
  <c r="AV777" i="63"/>
  <c r="BJ578" i="63"/>
  <c r="BK579" i="63"/>
  <c r="AO545" i="63"/>
  <c r="AV498" i="63"/>
  <c r="AU465" i="63"/>
  <c r="M476" i="63"/>
  <c r="L390" i="63"/>
  <c r="L388" i="63"/>
  <c r="M470" i="63"/>
  <c r="AT70" i="63"/>
  <c r="AT39" i="63"/>
  <c r="AV39" i="63" s="1"/>
  <c r="AV71" i="63"/>
  <c r="BE777" i="63"/>
  <c r="BA812" i="63"/>
  <c r="U674" i="63"/>
  <c r="L674" i="63"/>
  <c r="P674" i="63"/>
  <c r="BL609" i="63"/>
  <c r="AJ552" i="63"/>
  <c r="AA539" i="63"/>
  <c r="AB539" i="63" s="1"/>
  <c r="V539" i="63"/>
  <c r="AI512" i="63"/>
  <c r="AJ513" i="63"/>
  <c r="AY504" i="63"/>
  <c r="AX471" i="63"/>
  <c r="AE455" i="63"/>
  <c r="AA488" i="63"/>
  <c r="AB488" i="63" s="1"/>
  <c r="V488" i="63"/>
  <c r="AK451" i="63"/>
  <c r="AA483" i="63"/>
  <c r="AB483" i="63" s="1"/>
  <c r="V483" i="63"/>
  <c r="BC479" i="63"/>
  <c r="BC445" i="63"/>
  <c r="L377" i="63"/>
  <c r="V212" i="63"/>
  <c r="AN123" i="63"/>
  <c r="BH137" i="63"/>
  <c r="BB111" i="63"/>
  <c r="BA102" i="63"/>
  <c r="BB102" i="63" s="1"/>
  <c r="M92" i="63"/>
  <c r="L60" i="63"/>
  <c r="M60" i="63" s="1"/>
  <c r="AE70" i="63"/>
  <c r="AD38" i="63"/>
  <c r="AE38" i="63" s="1"/>
  <c r="BE39" i="63"/>
  <c r="AE29" i="63"/>
  <c r="AD58" i="63"/>
  <c r="AE58" i="63" s="1"/>
  <c r="BC772" i="63"/>
  <c r="BE772" i="63" s="1"/>
  <c r="BE776" i="63"/>
  <c r="V832" i="63"/>
  <c r="AA832" i="63"/>
  <c r="AB832" i="63" s="1"/>
  <c r="R576" i="63"/>
  <c r="S578" i="63"/>
  <c r="BQ513" i="63"/>
  <c r="BP512" i="63"/>
  <c r="AP473" i="63"/>
  <c r="AZ465" i="63"/>
  <c r="AZ457" i="63"/>
  <c r="S448" i="63"/>
  <c r="BN714" i="63"/>
  <c r="BL775" i="63"/>
  <c r="BL710" i="63"/>
  <c r="BN710" i="63" s="1"/>
  <c r="BL713" i="63"/>
  <c r="I137" i="63"/>
  <c r="AA114" i="63"/>
  <c r="AB114" i="63" s="1"/>
  <c r="V114" i="63"/>
  <c r="AJ43" i="63"/>
  <c r="AA45" i="63"/>
  <c r="AB45" i="63" s="1"/>
  <c r="AB16" i="63"/>
  <c r="AO915" i="63"/>
  <c r="AP915" i="63" s="1"/>
  <c r="AP885" i="63"/>
  <c r="Z666" i="63"/>
  <c r="BJ611" i="63"/>
  <c r="BL578" i="63"/>
  <c r="BL576" i="63" s="1"/>
  <c r="AA559" i="63"/>
  <c r="AB559" i="63" s="1"/>
  <c r="V559" i="63"/>
  <c r="BK525" i="63"/>
  <c r="AD479" i="63"/>
  <c r="AD445" i="63"/>
  <c r="AE480" i="63"/>
  <c r="R100" i="63"/>
  <c r="T39" i="63"/>
  <c r="Z71" i="63"/>
  <c r="Z39" i="63" s="1"/>
  <c r="U512" i="63"/>
  <c r="O510" i="63"/>
  <c r="AB64" i="63"/>
  <c r="L1332" i="63"/>
  <c r="M1332" i="63" s="1"/>
  <c r="M1350" i="63"/>
  <c r="AJ1344" i="63"/>
  <c r="AI1326" i="63"/>
  <c r="AJ1326" i="63" s="1"/>
  <c r="Z1332" i="63"/>
  <c r="M1344" i="63"/>
  <c r="M1346" i="63"/>
  <c r="L1328" i="63"/>
  <c r="K1328" i="63"/>
  <c r="K1322" i="63"/>
  <c r="Z1329" i="63"/>
  <c r="AB1337" i="63"/>
  <c r="AB1331" i="63"/>
  <c r="BE1326" i="63"/>
  <c r="AJ1334" i="63"/>
  <c r="AI1316" i="63"/>
  <c r="AJ1316" i="63" s="1"/>
  <c r="M1319" i="63"/>
  <c r="BB1316" i="63"/>
  <c r="AA1325" i="63"/>
  <c r="AB1325" i="63" s="1"/>
  <c r="AB1305" i="63"/>
  <c r="AA1318" i="63"/>
  <c r="AB1318" i="63" s="1"/>
  <c r="BD1316" i="63"/>
  <c r="BE1316" i="63" s="1"/>
  <c r="BE1296" i="63"/>
  <c r="AY1306" i="63"/>
  <c r="T1274" i="63"/>
  <c r="Z1283" i="63"/>
  <c r="Z1274" i="63" s="1"/>
  <c r="AS1322" i="63"/>
  <c r="M1279" i="63"/>
  <c r="Q1293" i="63"/>
  <c r="S1293" i="63" s="1"/>
  <c r="Q1273" i="63"/>
  <c r="AA1263" i="63"/>
  <c r="AB1263" i="63" s="1"/>
  <c r="V1263" i="63"/>
  <c r="U1328" i="63"/>
  <c r="AA1308" i="63"/>
  <c r="AB1308" i="63" s="1"/>
  <c r="V1308" i="63"/>
  <c r="AB1203" i="63"/>
  <c r="AA1225" i="63"/>
  <c r="AB1225" i="63" s="1"/>
  <c r="T1282" i="63"/>
  <c r="AA1278" i="63"/>
  <c r="AB1278" i="63" s="1"/>
  <c r="V1240" i="63"/>
  <c r="U1218" i="63"/>
  <c r="AA1240" i="63"/>
  <c r="T1217" i="63"/>
  <c r="M1236" i="63"/>
  <c r="L1216" i="63"/>
  <c r="M1216" i="63" s="1"/>
  <c r="V1222" i="63"/>
  <c r="BH1214" i="63"/>
  <c r="V1142" i="63"/>
  <c r="AA1142" i="63"/>
  <c r="AB1142" i="63" s="1"/>
  <c r="AR1293" i="63"/>
  <c r="AS1293" i="63" s="1"/>
  <c r="AS1282" i="63"/>
  <c r="AR1273" i="63"/>
  <c r="AS1273" i="63" s="1"/>
  <c r="V1239" i="63"/>
  <c r="AA1239" i="63"/>
  <c r="AB1239" i="63" s="1"/>
  <c r="BJ1259" i="63"/>
  <c r="BK1233" i="63"/>
  <c r="BJ1213" i="63"/>
  <c r="AB1191" i="63"/>
  <c r="AA1174" i="63"/>
  <c r="V1174" i="63"/>
  <c r="U1068" i="63"/>
  <c r="V1068" i="63" s="1"/>
  <c r="T1166" i="63"/>
  <c r="Z1166" i="63" s="1"/>
  <c r="K1166" i="63"/>
  <c r="M1151" i="63"/>
  <c r="AA1147" i="63"/>
  <c r="AB1147" i="63" s="1"/>
  <c r="V1147" i="63"/>
  <c r="S1262" i="63"/>
  <c r="M1247" i="63"/>
  <c r="L1223" i="63"/>
  <c r="AB1168" i="63"/>
  <c r="AA1064" i="63"/>
  <c r="AB1064" i="63" s="1"/>
  <c r="T1155" i="63"/>
  <c r="Z1155" i="63" s="1"/>
  <c r="K1155" i="63"/>
  <c r="K1262" i="63"/>
  <c r="K1273" i="63" s="1"/>
  <c r="BI1213" i="63"/>
  <c r="BI1259" i="63"/>
  <c r="T1223" i="63"/>
  <c r="Z1201" i="63"/>
  <c r="Z1223" i="63" s="1"/>
  <c r="AA1149" i="63"/>
  <c r="AB1149" i="63" s="1"/>
  <c r="V1149" i="63"/>
  <c r="BN1141" i="63"/>
  <c r="BM1140" i="63"/>
  <c r="AB1128" i="63"/>
  <c r="AA1048" i="63"/>
  <c r="AB1048" i="63" s="1"/>
  <c r="V1107" i="63"/>
  <c r="U1035" i="63"/>
  <c r="AA1107" i="63"/>
  <c r="V1283" i="63"/>
  <c r="M1191" i="63"/>
  <c r="P1166" i="63"/>
  <c r="AE1141" i="63"/>
  <c r="AD1140" i="63"/>
  <c r="M1145" i="63"/>
  <c r="T1077" i="63"/>
  <c r="Z1077" i="63" s="1"/>
  <c r="K1077" i="63"/>
  <c r="AA1051" i="63"/>
  <c r="AA1066" i="63"/>
  <c r="AB1066" i="63" s="1"/>
  <c r="AB1012" i="63"/>
  <c r="AA1052" i="63"/>
  <c r="AB1052" i="63" s="1"/>
  <c r="AB976" i="63"/>
  <c r="AA1046" i="63"/>
  <c r="AB1046" i="63" s="1"/>
  <c r="AB968" i="63"/>
  <c r="T1216" i="63"/>
  <c r="AE1068" i="63"/>
  <c r="M1153" i="63"/>
  <c r="Q1184" i="63"/>
  <c r="P1140" i="63"/>
  <c r="U1140" i="63"/>
  <c r="AB1049" i="63"/>
  <c r="BA1076" i="63"/>
  <c r="M1081" i="63"/>
  <c r="L1078" i="63"/>
  <c r="M1078" i="63" s="1"/>
  <c r="AB975" i="63"/>
  <c r="Z909" i="63"/>
  <c r="Z879" i="63" s="1"/>
  <c r="T879" i="63"/>
  <c r="V900" i="63"/>
  <c r="U872" i="63"/>
  <c r="AA900" i="63"/>
  <c r="V1154" i="63"/>
  <c r="AA1154" i="63"/>
  <c r="AB1154" i="63" s="1"/>
  <c r="AB1122" i="63"/>
  <c r="AA1044" i="63"/>
  <c r="AB1044" i="63" s="1"/>
  <c r="V1101" i="63"/>
  <c r="AA1101" i="63"/>
  <c r="AB1101" i="63" s="1"/>
  <c r="V1059" i="63"/>
  <c r="U879" i="63"/>
  <c r="V909" i="63"/>
  <c r="AA909" i="63"/>
  <c r="AR862" i="63"/>
  <c r="AS862" i="63" s="1"/>
  <c r="AS890" i="63"/>
  <c r="BO1184" i="63"/>
  <c r="BD1083" i="63"/>
  <c r="BE1091" i="63"/>
  <c r="AC1091" i="63"/>
  <c r="AC1083" i="63" s="1"/>
  <c r="AC1076" i="63" s="1"/>
  <c r="AE1092" i="63"/>
  <c r="BK1077" i="63"/>
  <c r="M1084" i="63"/>
  <c r="L1028" i="63"/>
  <c r="M1028" i="63" s="1"/>
  <c r="AA1067" i="63"/>
  <c r="AB1067" i="63" s="1"/>
  <c r="AB1013" i="63"/>
  <c r="AY1060" i="63"/>
  <c r="AB978" i="63"/>
  <c r="AB1047" i="63"/>
  <c r="R885" i="63"/>
  <c r="R864" i="63"/>
  <c r="S892" i="63"/>
  <c r="L892" i="63"/>
  <c r="AA883" i="63"/>
  <c r="AB883" i="63" s="1"/>
  <c r="AB857" i="63"/>
  <c r="AB852" i="63"/>
  <c r="AA878" i="63"/>
  <c r="AB878" i="63" s="1"/>
  <c r="V1194" i="63"/>
  <c r="AS1045" i="63"/>
  <c r="K1060" i="63"/>
  <c r="K1037" i="63"/>
  <c r="Y1077" i="63"/>
  <c r="U1082" i="63"/>
  <c r="AB1020" i="63"/>
  <c r="AA1072" i="63"/>
  <c r="AB1072" i="63" s="1"/>
  <c r="BH1060" i="63"/>
  <c r="BG974" i="63"/>
  <c r="BH974" i="63" s="1"/>
  <c r="Y1040" i="63"/>
  <c r="BK925" i="63"/>
  <c r="AV1028" i="63"/>
  <c r="BP885" i="63"/>
  <c r="BP864" i="63"/>
  <c r="BQ892" i="63"/>
  <c r="AQ885" i="63"/>
  <c r="AQ864" i="63"/>
  <c r="AB888" i="63"/>
  <c r="AB886" i="63"/>
  <c r="Z874" i="63"/>
  <c r="AB846" i="63"/>
  <c r="K1223" i="63"/>
  <c r="AZ1091" i="63"/>
  <c r="AZ1083" i="63" s="1"/>
  <c r="AZ1076" i="63" s="1"/>
  <c r="BB1092" i="63"/>
  <c r="N1091" i="63"/>
  <c r="T1092" i="63"/>
  <c r="P1092" i="63"/>
  <c r="K1092" i="63"/>
  <c r="M1092" i="63" s="1"/>
  <c r="M1097" i="63"/>
  <c r="BE983" i="63"/>
  <c r="BC974" i="63"/>
  <c r="BE974" i="63" s="1"/>
  <c r="AB989" i="63"/>
  <c r="AV1045" i="63"/>
  <c r="L923" i="63"/>
  <c r="M923" i="63" s="1"/>
  <c r="Y923" i="63"/>
  <c r="P879" i="63"/>
  <c r="X760" i="63"/>
  <c r="H757" i="63"/>
  <c r="M660" i="63"/>
  <c r="L400" i="63"/>
  <c r="M400" i="63" s="1"/>
  <c r="BB644" i="63"/>
  <c r="V1201" i="63"/>
  <c r="V1080" i="63"/>
  <c r="AA1080" i="63"/>
  <c r="AB1080" i="63" s="1"/>
  <c r="AE983" i="63"/>
  <c r="AC974" i="63"/>
  <c r="AB998" i="63"/>
  <c r="AB945" i="63"/>
  <c r="BD885" i="63"/>
  <c r="BD864" i="63"/>
  <c r="BE892" i="63"/>
  <c r="BN863" i="63"/>
  <c r="M844" i="63"/>
  <c r="AA833" i="63"/>
  <c r="AB833" i="63" s="1"/>
  <c r="V833" i="63"/>
  <c r="AA763" i="63"/>
  <c r="BJ757" i="63"/>
  <c r="AL708" i="63"/>
  <c r="M670" i="63"/>
  <c r="L409" i="63"/>
  <c r="M409" i="63" s="1"/>
  <c r="Z660" i="63"/>
  <c r="V660" i="63"/>
  <c r="Y921" i="63"/>
  <c r="L921" i="63"/>
  <c r="AB977" i="63"/>
  <c r="M954" i="63"/>
  <c r="M926" i="63"/>
  <c r="T1028" i="63"/>
  <c r="Z926" i="63"/>
  <c r="AB926" i="63" s="1"/>
  <c r="AB893" i="63"/>
  <c r="AA865" i="63"/>
  <c r="AB865" i="63" s="1"/>
  <c r="M891" i="63"/>
  <c r="BQ798" i="63"/>
  <c r="Z771" i="63"/>
  <c r="AB771" i="63" s="1"/>
  <c r="M718" i="63"/>
  <c r="AA690" i="63"/>
  <c r="AB690" i="63" s="1"/>
  <c r="V690" i="63"/>
  <c r="AH642" i="63"/>
  <c r="AA649" i="63"/>
  <c r="AB649" i="63" s="1"/>
  <c r="V649" i="63"/>
  <c r="AA645" i="63"/>
  <c r="AB645" i="63" s="1"/>
  <c r="V645" i="63"/>
  <c r="AA640" i="63"/>
  <c r="AB640" i="63" s="1"/>
  <c r="V640" i="63"/>
  <c r="BB624" i="63"/>
  <c r="AA625" i="63"/>
  <c r="AB625" i="63" s="1"/>
  <c r="V625" i="63"/>
  <c r="BN618" i="63"/>
  <c r="BC609" i="63"/>
  <c r="BQ597" i="63"/>
  <c r="AA594" i="63"/>
  <c r="AB594" i="63" s="1"/>
  <c r="V594" i="63"/>
  <c r="V593" i="63"/>
  <c r="AA581" i="63"/>
  <c r="AB581" i="63" s="1"/>
  <c r="V581" i="63"/>
  <c r="T564" i="63"/>
  <c r="Z564" i="63" s="1"/>
  <c r="K564" i="63"/>
  <c r="Z556" i="63"/>
  <c r="AB556" i="63" s="1"/>
  <c r="V556" i="63"/>
  <c r="AQ775" i="63"/>
  <c r="AS714" i="63"/>
  <c r="AQ713" i="63"/>
  <c r="Q714" i="63"/>
  <c r="AQ710" i="63"/>
  <c r="AS710" i="63" s="1"/>
  <c r="M110" i="63"/>
  <c r="P1099" i="63"/>
  <c r="AB882" i="63"/>
  <c r="N864" i="63"/>
  <c r="AK864" i="63"/>
  <c r="AM864" i="63" s="1"/>
  <c r="AM836" i="63"/>
  <c r="AK829" i="63"/>
  <c r="U863" i="63"/>
  <c r="AA835" i="63"/>
  <c r="AA863" i="63" s="1"/>
  <c r="V835" i="63"/>
  <c r="BG760" i="63"/>
  <c r="BH760" i="63" s="1"/>
  <c r="BH798" i="63"/>
  <c r="M786" i="63"/>
  <c r="BG757" i="63"/>
  <c r="BG769" i="63"/>
  <c r="M774" i="63"/>
  <c r="AC712" i="63"/>
  <c r="AE712" i="63" s="1"/>
  <c r="AA713" i="63"/>
  <c r="M678" i="63"/>
  <c r="L416" i="63"/>
  <c r="M416" i="63" s="1"/>
  <c r="AB656" i="63"/>
  <c r="AA397" i="63"/>
  <c r="AB397" i="63" s="1"/>
  <c r="AV650" i="63"/>
  <c r="AU642" i="63"/>
  <c r="AV642" i="63" s="1"/>
  <c r="BA642" i="63"/>
  <c r="BK636" i="63"/>
  <c r="AX611" i="63"/>
  <c r="AY612" i="63"/>
  <c r="P585" i="63"/>
  <c r="L585" i="63"/>
  <c r="M585" i="63" s="1"/>
  <c r="O578" i="63"/>
  <c r="U585" i="63"/>
  <c r="AA583" i="63"/>
  <c r="AB583" i="63" s="1"/>
  <c r="V583" i="63"/>
  <c r="AH578" i="63"/>
  <c r="AH576" i="63" s="1"/>
  <c r="AA572" i="63"/>
  <c r="AB572" i="63" s="1"/>
  <c r="V572" i="63"/>
  <c r="M565" i="63"/>
  <c r="BJ545" i="63"/>
  <c r="BK546" i="63"/>
  <c r="AL545" i="63"/>
  <c r="AM546" i="63"/>
  <c r="BF709" i="63"/>
  <c r="BF708" i="63" s="1"/>
  <c r="BF750" i="63" s="1"/>
  <c r="AB110" i="63"/>
  <c r="V919" i="63"/>
  <c r="AA919" i="63"/>
  <c r="AB919" i="63" s="1"/>
  <c r="AB881" i="63"/>
  <c r="V875" i="63"/>
  <c r="M886" i="63"/>
  <c r="L860" i="63"/>
  <c r="M860" i="63" s="1"/>
  <c r="V680" i="63"/>
  <c r="AA680" i="63"/>
  <c r="AE658" i="63"/>
  <c r="AO642" i="63"/>
  <c r="K636" i="63"/>
  <c r="AE618" i="63"/>
  <c r="AD611" i="63"/>
  <c r="BN612" i="63"/>
  <c r="BM611" i="63"/>
  <c r="AE612" i="63"/>
  <c r="AT545" i="63"/>
  <c r="AT543" i="63" s="1"/>
  <c r="BI510" i="63"/>
  <c r="BH498" i="63"/>
  <c r="BG465" i="63"/>
  <c r="AI465" i="63"/>
  <c r="I457" i="63"/>
  <c r="AQ479" i="63"/>
  <c r="AQ445" i="63"/>
  <c r="K390" i="63"/>
  <c r="K388" i="63"/>
  <c r="V446" i="63"/>
  <c r="AA446" i="63"/>
  <c r="AB304" i="63"/>
  <c r="Y131" i="63"/>
  <c r="S500" i="63"/>
  <c r="T500" i="63"/>
  <c r="Z500" i="63" s="1"/>
  <c r="Q467" i="63"/>
  <c r="K500" i="63"/>
  <c r="M500" i="63" s="1"/>
  <c r="AA158" i="63"/>
  <c r="AX102" i="63"/>
  <c r="AY102" i="63" s="1"/>
  <c r="AY111" i="63"/>
  <c r="AV890" i="63"/>
  <c r="AU862" i="63"/>
  <c r="AV862" i="63" s="1"/>
  <c r="T834" i="63"/>
  <c r="Z834" i="63" s="1"/>
  <c r="K834" i="63"/>
  <c r="BB836" i="63"/>
  <c r="V782" i="63"/>
  <c r="M772" i="63"/>
  <c r="U709" i="63"/>
  <c r="L709" i="63"/>
  <c r="O708" i="63"/>
  <c r="AU708" i="63"/>
  <c r="AB663" i="63"/>
  <c r="BB658" i="63"/>
  <c r="AZ642" i="63"/>
  <c r="V654" i="63"/>
  <c r="AA654" i="63"/>
  <c r="BB612" i="63"/>
  <c r="M592" i="63"/>
  <c r="AP579" i="63"/>
  <c r="AO578" i="63"/>
  <c r="P570" i="63"/>
  <c r="L570" i="63"/>
  <c r="U570" i="63"/>
  <c r="BQ531" i="63"/>
  <c r="BE525" i="63"/>
  <c r="Z523" i="63"/>
  <c r="AB523" i="63" s="1"/>
  <c r="V523" i="63"/>
  <c r="AM519" i="63"/>
  <c r="V516" i="63"/>
  <c r="BO510" i="63"/>
  <c r="X471" i="63"/>
  <c r="U467" i="63"/>
  <c r="P467" i="63"/>
  <c r="L467" i="63"/>
  <c r="Q498" i="63"/>
  <c r="Q465" i="63" s="1"/>
  <c r="Q463" i="63" s="1"/>
  <c r="BH459" i="63"/>
  <c r="BL457" i="63"/>
  <c r="AN457" i="63"/>
  <c r="I479" i="63"/>
  <c r="H444" i="63"/>
  <c r="H477" i="63"/>
  <c r="BQ446" i="63"/>
  <c r="AI479" i="63"/>
  <c r="AI445" i="63"/>
  <c r="V245" i="63"/>
  <c r="AB179" i="63"/>
  <c r="W474" i="63"/>
  <c r="Y474" i="63" s="1"/>
  <c r="Y507" i="63"/>
  <c r="W504" i="63"/>
  <c r="W471" i="63" s="1"/>
  <c r="W459" i="63"/>
  <c r="Y459" i="63" s="1"/>
  <c r="X100" i="63"/>
  <c r="AM105" i="63"/>
  <c r="Z111" i="63"/>
  <c r="BI58" i="63"/>
  <c r="BK58" i="63" s="1"/>
  <c r="K90" i="63"/>
  <c r="T90" i="63"/>
  <c r="N58" i="63"/>
  <c r="P836" i="63"/>
  <c r="AA805" i="63"/>
  <c r="U764" i="63"/>
  <c r="V805" i="63"/>
  <c r="AS760" i="63"/>
  <c r="AB686" i="63"/>
  <c r="AA423" i="63"/>
  <c r="AB423" i="63" s="1"/>
  <c r="AA650" i="63"/>
  <c r="AA620" i="63"/>
  <c r="AB620" i="63" s="1"/>
  <c r="V620" i="63"/>
  <c r="M619" i="63"/>
  <c r="AN609" i="63"/>
  <c r="V599" i="63"/>
  <c r="AA599" i="63"/>
  <c r="AB599" i="63" s="1"/>
  <c r="BC576" i="63"/>
  <c r="Q576" i="63"/>
  <c r="Y570" i="63"/>
  <c r="Y558" i="63"/>
  <c r="AC543" i="63"/>
  <c r="AS552" i="63"/>
  <c r="AR545" i="63"/>
  <c r="Z554" i="63"/>
  <c r="AB554" i="63" s="1"/>
  <c r="V554" i="63"/>
  <c r="T545" i="63"/>
  <c r="Z545" i="63" s="1"/>
  <c r="K545" i="63"/>
  <c r="N543" i="63"/>
  <c r="Y527" i="63"/>
  <c r="K378" i="63"/>
  <c r="M516" i="63"/>
  <c r="BI471" i="63"/>
  <c r="AZ471" i="63"/>
  <c r="BM465" i="63"/>
  <c r="BN498" i="63"/>
  <c r="AE453" i="63"/>
  <c r="AM486" i="63"/>
  <c r="AL451" i="63"/>
  <c r="BD479" i="63"/>
  <c r="BD445" i="63"/>
  <c r="BE480" i="63"/>
  <c r="S446" i="63"/>
  <c r="L446" i="63"/>
  <c r="W479" i="63"/>
  <c r="W445" i="63"/>
  <c r="BB390" i="63"/>
  <c r="AX465" i="63"/>
  <c r="U452" i="63"/>
  <c r="P452" i="63"/>
  <c r="L452" i="63"/>
  <c r="BH269" i="63"/>
  <c r="BG100" i="63"/>
  <c r="V224" i="63"/>
  <c r="AE125" i="63"/>
  <c r="AD123" i="63"/>
  <c r="AE123" i="63" s="1"/>
  <c r="AM111" i="63"/>
  <c r="AL102" i="63"/>
  <c r="AM102" i="63" s="1"/>
  <c r="L137" i="63"/>
  <c r="O100" i="63"/>
  <c r="U137" i="63"/>
  <c r="AU100" i="63"/>
  <c r="BH117" i="63"/>
  <c r="AB95" i="63"/>
  <c r="AA63" i="63"/>
  <c r="AB63" i="63" s="1"/>
  <c r="M75" i="63"/>
  <c r="L43" i="63"/>
  <c r="M43" i="63" s="1"/>
  <c r="AA59" i="63"/>
  <c r="AB59" i="63" s="1"/>
  <c r="AB30" i="63"/>
  <c r="BK777" i="63"/>
  <c r="BQ1051" i="63"/>
  <c r="AC717" i="63"/>
  <c r="AE717" i="63" s="1"/>
  <c r="BM642" i="63"/>
  <c r="BN650" i="63"/>
  <c r="T630" i="63"/>
  <c r="Z630" i="63" s="1"/>
  <c r="K630" i="63"/>
  <c r="P630" i="63"/>
  <c r="U449" i="63"/>
  <c r="L449" i="63"/>
  <c r="P449" i="63"/>
  <c r="AQ609" i="63"/>
  <c r="AE537" i="63"/>
  <c r="V533" i="63"/>
  <c r="AA533" i="63"/>
  <c r="AB533" i="63" s="1"/>
  <c r="AM525" i="63"/>
  <c r="BL451" i="63"/>
  <c r="AE464" i="63"/>
  <c r="M386" i="63"/>
  <c r="V326" i="63"/>
  <c r="AA152" i="63"/>
  <c r="AA131" i="63"/>
  <c r="BE380" i="63"/>
  <c r="V75" i="63"/>
  <c r="AA75" i="63"/>
  <c r="U43" i="63"/>
  <c r="V43" i="63" s="1"/>
  <c r="BK776" i="63"/>
  <c r="BI772" i="63"/>
  <c r="BK772" i="63" s="1"/>
  <c r="AS777" i="63"/>
  <c r="AE648" i="63"/>
  <c r="AY624" i="63"/>
  <c r="S612" i="63"/>
  <c r="W578" i="63"/>
  <c r="W576" i="63" s="1"/>
  <c r="AU578" i="63"/>
  <c r="AV579" i="63"/>
  <c r="BD545" i="63"/>
  <c r="BE546" i="63"/>
  <c r="AA540" i="63"/>
  <c r="AB540" i="63" s="1"/>
  <c r="V540" i="63"/>
  <c r="AP537" i="63"/>
  <c r="Z527" i="63"/>
  <c r="BP471" i="63"/>
  <c r="BQ504" i="63"/>
  <c r="AQ457" i="63"/>
  <c r="BE492" i="63"/>
  <c r="BD457" i="63"/>
  <c r="BE457" i="63" s="1"/>
  <c r="S388" i="63"/>
  <c r="U388" i="63"/>
  <c r="V388" i="63" s="1"/>
  <c r="AM302" i="63"/>
  <c r="AA203" i="63"/>
  <c r="AB203" i="63" s="1"/>
  <c r="M173" i="63"/>
  <c r="AE502" i="63"/>
  <c r="AC469" i="63"/>
  <c r="AE469" i="63" s="1"/>
  <c r="S386" i="63"/>
  <c r="U386" i="63"/>
  <c r="V386" i="63" s="1"/>
  <c r="V877" i="63"/>
  <c r="P861" i="63"/>
  <c r="BF758" i="63"/>
  <c r="BH758" i="63" s="1"/>
  <c r="AM644" i="63"/>
  <c r="M676" i="63"/>
  <c r="L414" i="63"/>
  <c r="M414" i="63" s="1"/>
  <c r="AY642" i="63"/>
  <c r="X611" i="63"/>
  <c r="Y612" i="63"/>
  <c r="AB606" i="63"/>
  <c r="Y591" i="63"/>
  <c r="P546" i="63"/>
  <c r="L546" i="63"/>
  <c r="U546" i="63"/>
  <c r="O545" i="63"/>
  <c r="AA534" i="63"/>
  <c r="AB534" i="63" s="1"/>
  <c r="V534" i="63"/>
  <c r="U531" i="63"/>
  <c r="P531" i="63"/>
  <c r="L531" i="63"/>
  <c r="AA526" i="63"/>
  <c r="AB526" i="63" s="1"/>
  <c r="V526" i="63"/>
  <c r="BD512" i="63"/>
  <c r="BE513" i="63"/>
  <c r="V514" i="63"/>
  <c r="R471" i="63"/>
  <c r="S471" i="63" s="1"/>
  <c r="S504" i="63"/>
  <c r="S466" i="63"/>
  <c r="U466" i="63"/>
  <c r="L466" i="63"/>
  <c r="BF465" i="63"/>
  <c r="BD451" i="63"/>
  <c r="BE451" i="63" s="1"/>
  <c r="BE486" i="63"/>
  <c r="BK486" i="63"/>
  <c r="BJ479" i="63"/>
  <c r="BJ451" i="63"/>
  <c r="BP451" i="63"/>
  <c r="BQ451" i="63" s="1"/>
  <c r="BQ486" i="63"/>
  <c r="BF479" i="63"/>
  <c r="BF445" i="63"/>
  <c r="BL479" i="63"/>
  <c r="BL445" i="63"/>
  <c r="U453" i="63"/>
  <c r="U374" i="63"/>
  <c r="V374" i="63" s="1"/>
  <c r="S374" i="63"/>
  <c r="AB212" i="63"/>
  <c r="S170" i="63"/>
  <c r="L170" i="63"/>
  <c r="U170" i="63"/>
  <c r="AV720" i="63"/>
  <c r="AT717" i="63"/>
  <c r="AV717" i="63" s="1"/>
  <c r="AT712" i="63"/>
  <c r="AV712" i="63" s="1"/>
  <c r="BQ131" i="63"/>
  <c r="AS137" i="63"/>
  <c r="AR100" i="63"/>
  <c r="BB137" i="63"/>
  <c r="BA100" i="63"/>
  <c r="BB100" i="63" s="1"/>
  <c r="V106" i="63"/>
  <c r="AM58" i="63"/>
  <c r="AB83" i="63"/>
  <c r="AA51" i="63"/>
  <c r="AB51" i="63" s="1"/>
  <c r="N70" i="63"/>
  <c r="BP58" i="63"/>
  <c r="BQ58" i="63" s="1"/>
  <c r="BE43" i="63"/>
  <c r="S29" i="63"/>
  <c r="R58" i="63"/>
  <c r="S58" i="63" s="1"/>
  <c r="BB776" i="63"/>
  <c r="AZ772" i="63"/>
  <c r="BB772" i="63" s="1"/>
  <c r="W915" i="63"/>
  <c r="Y915" i="63" s="1"/>
  <c r="W859" i="63"/>
  <c r="Y859" i="63" s="1"/>
  <c r="P636" i="63"/>
  <c r="L636" i="63"/>
  <c r="M636" i="63" s="1"/>
  <c r="U636" i="63"/>
  <c r="AP630" i="63"/>
  <c r="BF611" i="63"/>
  <c r="BF609" i="63" s="1"/>
  <c r="S579" i="63"/>
  <c r="M534" i="63"/>
  <c r="BN519" i="63"/>
  <c r="BM451" i="63"/>
  <c r="BN451" i="63" s="1"/>
  <c r="BM512" i="63"/>
  <c r="BL512" i="63"/>
  <c r="BL510" i="63" s="1"/>
  <c r="AP513" i="63"/>
  <c r="AA508" i="63"/>
  <c r="BQ455" i="63"/>
  <c r="M483" i="63"/>
  <c r="AW479" i="63"/>
  <c r="M304" i="63"/>
  <c r="X123" i="63"/>
  <c r="Y125" i="63"/>
  <c r="BG123" i="63"/>
  <c r="BH123" i="63" s="1"/>
  <c r="BH125" i="63"/>
  <c r="I170" i="63"/>
  <c r="H100" i="63"/>
  <c r="I100" i="63" s="1"/>
  <c r="AA164" i="63"/>
  <c r="AA116" i="63"/>
  <c r="AB116" i="63" s="1"/>
  <c r="V116" i="63"/>
  <c r="AA112" i="63"/>
  <c r="AB112" i="63" s="1"/>
  <c r="V112" i="63"/>
  <c r="BA58" i="63"/>
  <c r="BB58" i="63" s="1"/>
  <c r="BB90" i="63"/>
  <c r="AB794" i="63"/>
  <c r="AN771" i="63"/>
  <c r="AP775" i="63"/>
  <c r="BJ642" i="63"/>
  <c r="BK650" i="63"/>
  <c r="V622" i="63"/>
  <c r="AA607" i="63"/>
  <c r="AB607" i="63" s="1"/>
  <c r="V607" i="63"/>
  <c r="AA600" i="63"/>
  <c r="AB600" i="63" s="1"/>
  <c r="V600" i="63"/>
  <c r="M559" i="63"/>
  <c r="AX545" i="63"/>
  <c r="AY546" i="63"/>
  <c r="BB475" i="63"/>
  <c r="BK467" i="63"/>
  <c r="AD465" i="63"/>
  <c r="AE498" i="63"/>
  <c r="BK492" i="63"/>
  <c r="BJ457" i="63"/>
  <c r="AX457" i="63"/>
  <c r="AY457" i="63" s="1"/>
  <c r="V489" i="63"/>
  <c r="AA489" i="63"/>
  <c r="AB489" i="63" s="1"/>
  <c r="BE388" i="63"/>
  <c r="U447" i="63"/>
  <c r="AL123" i="63"/>
  <c r="AM123" i="63" s="1"/>
  <c r="BH203" i="63"/>
  <c r="S117" i="63"/>
  <c r="U117" i="63"/>
  <c r="AB101" i="63"/>
  <c r="BI70" i="63"/>
  <c r="BI38" i="63" s="1"/>
  <c r="K39" i="63"/>
  <c r="L513" i="63"/>
  <c r="M513" i="63" s="1"/>
  <c r="V118" i="63"/>
  <c r="V31" i="63"/>
  <c r="BH39" i="63"/>
  <c r="AD471" i="63"/>
  <c r="AW543" i="63"/>
  <c r="AL479" i="63"/>
  <c r="AI100" i="63"/>
  <c r="AA1328" i="63"/>
  <c r="AB1342" i="63"/>
  <c r="AA1324" i="63"/>
  <c r="AB1324" i="63" s="1"/>
  <c r="Z1346" i="63"/>
  <c r="Z1328" i="63" s="1"/>
  <c r="T1328" i="63"/>
  <c r="AB1339" i="63"/>
  <c r="AA1321" i="63"/>
  <c r="AB1321" i="63" s="1"/>
  <c r="AB1277" i="63"/>
  <c r="V1327" i="63"/>
  <c r="AR1316" i="63"/>
  <c r="AS1316" i="63" s="1"/>
  <c r="AS1296" i="63"/>
  <c r="AA1323" i="63"/>
  <c r="AB1323" i="63" s="1"/>
  <c r="AB1303" i="63"/>
  <c r="AM1306" i="63"/>
  <c r="AI1293" i="63"/>
  <c r="AJ1293" i="63" s="1"/>
  <c r="AI1273" i="63"/>
  <c r="AJ1273" i="63" s="1"/>
  <c r="AJ1282" i="63"/>
  <c r="U1273" i="63"/>
  <c r="M1235" i="63"/>
  <c r="L1215" i="63"/>
  <c r="M1215" i="63" s="1"/>
  <c r="BN1187" i="63"/>
  <c r="BL1213" i="63"/>
  <c r="BN1213" i="63" s="1"/>
  <c r="AJ1217" i="63"/>
  <c r="Y1187" i="63"/>
  <c r="L1187" i="63"/>
  <c r="M1187" i="63" s="1"/>
  <c r="Z1133" i="63"/>
  <c r="Z1051" i="63" s="1"/>
  <c r="T1051" i="63"/>
  <c r="V1051" i="63" s="1"/>
  <c r="M1125" i="63"/>
  <c r="L1045" i="63"/>
  <c r="M1045" i="63" s="1"/>
  <c r="AA1118" i="63"/>
  <c r="V1118" i="63"/>
  <c r="U1040" i="63"/>
  <c r="V1040" i="63" s="1"/>
  <c r="AB1226" i="63"/>
  <c r="I1296" i="63"/>
  <c r="H1316" i="63"/>
  <c r="I1316" i="63" s="1"/>
  <c r="V1153" i="63"/>
  <c r="AA1153" i="63"/>
  <c r="AB1153" i="63" s="1"/>
  <c r="BI1132" i="63"/>
  <c r="BK1132" i="63" s="1"/>
  <c r="BK1140" i="63"/>
  <c r="AB1120" i="63"/>
  <c r="AA1042" i="63"/>
  <c r="AB1042" i="63" s="1"/>
  <c r="AA1102" i="63"/>
  <c r="AB1102" i="63" s="1"/>
  <c r="V1102" i="63"/>
  <c r="V1104" i="63"/>
  <c r="AA1104" i="63"/>
  <c r="AB1104" i="63" s="1"/>
  <c r="AD915" i="63"/>
  <c r="AE915" i="63" s="1"/>
  <c r="AE885" i="63"/>
  <c r="AD859" i="63"/>
  <c r="AE859" i="63" s="1"/>
  <c r="AA1187" i="63"/>
  <c r="AV1092" i="63"/>
  <c r="AU1091" i="63"/>
  <c r="AO1083" i="63"/>
  <c r="AP1091" i="63"/>
  <c r="AS925" i="63"/>
  <c r="AQ918" i="63"/>
  <c r="AS918" i="63" s="1"/>
  <c r="G918" i="63"/>
  <c r="G1026" i="63" s="1"/>
  <c r="Q885" i="63"/>
  <c r="K885" i="63" s="1"/>
  <c r="Q864" i="63"/>
  <c r="T892" i="63"/>
  <c r="V892" i="63" s="1"/>
  <c r="AB887" i="63"/>
  <c r="G1259" i="63"/>
  <c r="I1259" i="63" s="1"/>
  <c r="I1233" i="63"/>
  <c r="G1213" i="63"/>
  <c r="I1213" i="63" s="1"/>
  <c r="U860" i="63"/>
  <c r="AA830" i="63"/>
  <c r="V830" i="63"/>
  <c r="T764" i="63"/>
  <c r="Z805" i="63"/>
  <c r="Z764" i="63" s="1"/>
  <c r="AL760" i="63"/>
  <c r="AM760" i="63" s="1"/>
  <c r="AM798" i="63"/>
  <c r="M664" i="63"/>
  <c r="L404" i="63"/>
  <c r="M404" i="63" s="1"/>
  <c r="AA670" i="63"/>
  <c r="V670" i="63"/>
  <c r="BN890" i="63"/>
  <c r="AB662" i="63"/>
  <c r="AA402" i="63"/>
  <c r="AB402" i="63" s="1"/>
  <c r="AY578" i="63"/>
  <c r="AX576" i="63"/>
  <c r="AY576" i="63" s="1"/>
  <c r="G915" i="63"/>
  <c r="G859" i="63"/>
  <c r="V786" i="63"/>
  <c r="AA786" i="63"/>
  <c r="AB786" i="63" s="1"/>
  <c r="AT774" i="63"/>
  <c r="AT771" i="63"/>
  <c r="AV775" i="63"/>
  <c r="AA774" i="63"/>
  <c r="AB774" i="63" s="1"/>
  <c r="V774" i="63"/>
  <c r="AQ578" i="63"/>
  <c r="AQ576" i="63" s="1"/>
  <c r="AS579" i="63"/>
  <c r="X545" i="63"/>
  <c r="Y546" i="63"/>
  <c r="AB766" i="63"/>
  <c r="BC642" i="63"/>
  <c r="BE650" i="63"/>
  <c r="AP612" i="63"/>
  <c r="AO611" i="63"/>
  <c r="AA567" i="63"/>
  <c r="AB567" i="63" s="1"/>
  <c r="V567" i="63"/>
  <c r="BQ492" i="63"/>
  <c r="BP457" i="63"/>
  <c r="BQ457" i="63" s="1"/>
  <c r="L492" i="63"/>
  <c r="O457" i="63"/>
  <c r="U492" i="63"/>
  <c r="K453" i="63"/>
  <c r="K377" i="63" s="1"/>
  <c r="T453" i="63"/>
  <c r="Z453" i="63" s="1"/>
  <c r="Z377" i="63" s="1"/>
  <c r="P453" i="63"/>
  <c r="Y480" i="63"/>
  <c r="X479" i="63"/>
  <c r="X445" i="63"/>
  <c r="Y445" i="63" s="1"/>
  <c r="Z160" i="63"/>
  <c r="AB160" i="63" s="1"/>
  <c r="V160" i="63"/>
  <c r="BN137" i="63"/>
  <c r="BM100" i="63"/>
  <c r="BN100" i="63" s="1"/>
  <c r="Y860" i="63"/>
  <c r="T863" i="63"/>
  <c r="Z835" i="63"/>
  <c r="Z863" i="63" s="1"/>
  <c r="K397" i="63"/>
  <c r="M397" i="63" s="1"/>
  <c r="M656" i="63"/>
  <c r="W642" i="63"/>
  <c r="Y642" i="63" s="1"/>
  <c r="AA630" i="63"/>
  <c r="AB630" i="63" s="1"/>
  <c r="BE579" i="63"/>
  <c r="BD578" i="63"/>
  <c r="H543" i="63"/>
  <c r="I543" i="63" s="1"/>
  <c r="I545" i="63"/>
  <c r="AM504" i="63"/>
  <c r="AL471" i="63"/>
  <c r="AR479" i="63"/>
  <c r="AR445" i="63"/>
  <c r="AS445" i="63" s="1"/>
  <c r="AS480" i="63"/>
  <c r="V462" i="63"/>
  <c r="AA462" i="63"/>
  <c r="AP302" i="63"/>
  <c r="AK775" i="63"/>
  <c r="AK713" i="63"/>
  <c r="AK710" i="63"/>
  <c r="AM710" i="63" s="1"/>
  <c r="AM714" i="63"/>
  <c r="P105" i="63"/>
  <c r="L105" i="63"/>
  <c r="M105" i="63" s="1"/>
  <c r="AA105" i="63"/>
  <c r="U105" i="63"/>
  <c r="V105" i="63" s="1"/>
  <c r="P864" i="63"/>
  <c r="L764" i="63"/>
  <c r="M764" i="63" s="1"/>
  <c r="M805" i="63"/>
  <c r="BH674" i="63"/>
  <c r="BF642" i="63"/>
  <c r="AB673" i="63"/>
  <c r="AA412" i="63"/>
  <c r="AB412" i="63" s="1"/>
  <c r="X578" i="63"/>
  <c r="Y579" i="63"/>
  <c r="AD512" i="63"/>
  <c r="L512" i="63" s="1"/>
  <c r="AE513" i="63"/>
  <c r="T473" i="63"/>
  <c r="Z473" i="63" s="1"/>
  <c r="K473" i="63"/>
  <c r="S468" i="63"/>
  <c r="L468" i="63"/>
  <c r="U468" i="63"/>
  <c r="K458" i="63"/>
  <c r="K382" i="63" s="1"/>
  <c r="T458" i="63"/>
  <c r="Z458" i="63" s="1"/>
  <c r="Z382" i="63" s="1"/>
  <c r="AD451" i="63"/>
  <c r="AE451" i="63" s="1"/>
  <c r="AE486" i="63"/>
  <c r="X451" i="63"/>
  <c r="Y451" i="63" s="1"/>
  <c r="Y486" i="63"/>
  <c r="AN479" i="63"/>
  <c r="AN445" i="63"/>
  <c r="AA481" i="63"/>
  <c r="AB481" i="63" s="1"/>
  <c r="V481" i="63"/>
  <c r="AV374" i="63"/>
  <c r="AB81" i="63"/>
  <c r="AA49" i="63"/>
  <c r="AB49" i="63" s="1"/>
  <c r="AP70" i="63"/>
  <c r="AO38" i="63"/>
  <c r="AP38" i="63" s="1"/>
  <c r="AQ772" i="63"/>
  <c r="AS772" i="63" s="1"/>
  <c r="AS776" i="63"/>
  <c r="G769" i="63"/>
  <c r="G812" i="63" s="1"/>
  <c r="G757" i="63"/>
  <c r="BP576" i="63"/>
  <c r="BQ576" i="63" s="1"/>
  <c r="BQ578" i="63"/>
  <c r="S545" i="63"/>
  <c r="R543" i="63"/>
  <c r="T537" i="63"/>
  <c r="Z537" i="63" s="1"/>
  <c r="AW471" i="63"/>
  <c r="AW463" i="63" s="1"/>
  <c r="AM498" i="63"/>
  <c r="AL465" i="63"/>
  <c r="BN445" i="63"/>
  <c r="Y461" i="63"/>
  <c r="AA461" i="63"/>
  <c r="L461" i="63"/>
  <c r="L302" i="63"/>
  <c r="M302" i="63" s="1"/>
  <c r="U302" i="63"/>
  <c r="P302" i="63"/>
  <c r="AJ203" i="63"/>
  <c r="BQ102" i="63"/>
  <c r="BK885" i="63"/>
  <c r="BJ915" i="63"/>
  <c r="BJ859" i="63"/>
  <c r="K618" i="63"/>
  <c r="T618" i="63"/>
  <c r="Z618" i="63" s="1"/>
  <c r="P473" i="63"/>
  <c r="L473" i="63"/>
  <c r="U473" i="63"/>
  <c r="L469" i="63"/>
  <c r="U469" i="63"/>
  <c r="AB341" i="63"/>
  <c r="AA419" i="63"/>
  <c r="AB419" i="63" s="1"/>
  <c r="AA422" i="63"/>
  <c r="AB422" i="63" s="1"/>
  <c r="V334" i="63"/>
  <c r="AA334" i="63"/>
  <c r="AB334" i="63" s="1"/>
  <c r="AA129" i="63"/>
  <c r="G70" i="63"/>
  <c r="G39" i="63"/>
  <c r="I39" i="63" s="1"/>
  <c r="Y650" i="63"/>
  <c r="AB527" i="63"/>
  <c r="BE504" i="63"/>
  <c r="BD471" i="63"/>
  <c r="R451" i="63"/>
  <c r="S451" i="63" s="1"/>
  <c r="S486" i="63"/>
  <c r="Z380" i="63"/>
  <c r="AW775" i="63"/>
  <c r="AW713" i="63"/>
  <c r="AW710" i="63"/>
  <c r="AY710" i="63" s="1"/>
  <c r="AY714" i="63"/>
  <c r="BJ100" i="63"/>
  <c r="BK100" i="63" s="1"/>
  <c r="BK137" i="63"/>
  <c r="AS125" i="63"/>
  <c r="AR123" i="63"/>
  <c r="AS123" i="63" s="1"/>
  <c r="AH70" i="63"/>
  <c r="AH39" i="63"/>
  <c r="AJ39" i="63" s="1"/>
  <c r="BE70" i="63"/>
  <c r="BD38" i="63"/>
  <c r="BE38" i="63" s="1"/>
  <c r="S941" i="63"/>
  <c r="K941" i="63"/>
  <c r="T941" i="63"/>
  <c r="BH650" i="63"/>
  <c r="BG642" i="63"/>
  <c r="AA631" i="63"/>
  <c r="AB631" i="63" s="1"/>
  <c r="V631" i="63"/>
  <c r="V566" i="63"/>
  <c r="AA566" i="63"/>
  <c r="AB566" i="63" s="1"/>
  <c r="BA465" i="63"/>
  <c r="BB498" i="63"/>
  <c r="AI457" i="63"/>
  <c r="AN100" i="63"/>
  <c r="BG102" i="63"/>
  <c r="BH111" i="63"/>
  <c r="K666" i="63"/>
  <c r="V547" i="63"/>
  <c r="AK471" i="63"/>
  <c r="AK463" i="63" s="1"/>
  <c r="AE492" i="63"/>
  <c r="AD457" i="63"/>
  <c r="M490" i="63"/>
  <c r="Y492" i="63"/>
  <c r="BO1326" i="63"/>
  <c r="BQ1344" i="63"/>
  <c r="AY1334" i="63"/>
  <c r="AX1316" i="63"/>
  <c r="AY1316" i="63" s="1"/>
  <c r="V1340" i="63"/>
  <c r="BM1326" i="63"/>
  <c r="BN1326" i="63" s="1"/>
  <c r="BN1306" i="63"/>
  <c r="AD1316" i="63"/>
  <c r="AE1316" i="63" s="1"/>
  <c r="AE1296" i="63"/>
  <c r="AB1345" i="63"/>
  <c r="AA1327" i="63"/>
  <c r="AB1327" i="63" s="1"/>
  <c r="P1306" i="63"/>
  <c r="O1326" i="63"/>
  <c r="L1306" i="63"/>
  <c r="L1326" i="63" s="1"/>
  <c r="U1306" i="63"/>
  <c r="U1326" i="63" s="1"/>
  <c r="AN1293" i="63"/>
  <c r="AP1293" i="63" s="1"/>
  <c r="AP1282" i="63"/>
  <c r="AN1273" i="63"/>
  <c r="AP1273" i="63" s="1"/>
  <c r="AS1306" i="63"/>
  <c r="AR1326" i="63"/>
  <c r="M1262" i="63"/>
  <c r="BP1293" i="63"/>
  <c r="BQ1293" i="63" s="1"/>
  <c r="BQ1282" i="63"/>
  <c r="BP1273" i="63"/>
  <c r="BQ1273" i="63" s="1"/>
  <c r="AA1148" i="63"/>
  <c r="V1148" i="63"/>
  <c r="V1235" i="63"/>
  <c r="U1215" i="63"/>
  <c r="V1215" i="63" s="1"/>
  <c r="AA1235" i="63"/>
  <c r="M1167" i="63"/>
  <c r="L1063" i="63"/>
  <c r="M1063" i="63" s="1"/>
  <c r="Z1222" i="63"/>
  <c r="AB1222" i="63" s="1"/>
  <c r="W1140" i="63"/>
  <c r="K1140" i="63" s="1"/>
  <c r="Y1141" i="63"/>
  <c r="S1140" i="63"/>
  <c r="R1132" i="63"/>
  <c r="M1234" i="63"/>
  <c r="L1214" i="63"/>
  <c r="M1214" i="63" s="1"/>
  <c r="AC1213" i="63"/>
  <c r="AE1213" i="63" s="1"/>
  <c r="AE1187" i="63"/>
  <c r="AE1058" i="63"/>
  <c r="V1133" i="63"/>
  <c r="V1237" i="63"/>
  <c r="U1217" i="63"/>
  <c r="V1217" i="63" s="1"/>
  <c r="AA1237" i="63"/>
  <c r="AR1091" i="63"/>
  <c r="AS1092" i="63"/>
  <c r="AM1083" i="63"/>
  <c r="AL1076" i="63"/>
  <c r="AP1063" i="63"/>
  <c r="Z1081" i="63"/>
  <c r="AZ862" i="63"/>
  <c r="BB862" i="63" s="1"/>
  <c r="BB890" i="63"/>
  <c r="M998" i="63"/>
  <c r="K1058" i="63"/>
  <c r="BH1035" i="63"/>
  <c r="Z900" i="63"/>
  <c r="Z872" i="63" s="1"/>
  <c r="T872" i="63"/>
  <c r="R862" i="63"/>
  <c r="S862" i="63" s="1"/>
  <c r="S890" i="63"/>
  <c r="M1192" i="63"/>
  <c r="L1082" i="63"/>
  <c r="M1082" i="63" s="1"/>
  <c r="BP862" i="63"/>
  <c r="BQ862" i="63" s="1"/>
  <c r="BQ890" i="63"/>
  <c r="AB748" i="63"/>
  <c r="AB904" i="63"/>
  <c r="AA876" i="63"/>
  <c r="AB876" i="63" s="1"/>
  <c r="U834" i="63"/>
  <c r="AE801" i="63"/>
  <c r="AC798" i="63"/>
  <c r="AC760" i="63" s="1"/>
  <c r="Z719" i="63"/>
  <c r="AB719" i="63" s="1"/>
  <c r="V719" i="63"/>
  <c r="AA668" i="63"/>
  <c r="V668" i="63"/>
  <c r="L644" i="63"/>
  <c r="M644" i="63" s="1"/>
  <c r="U644" i="63"/>
  <c r="P644" i="63"/>
  <c r="V945" i="63"/>
  <c r="BD862" i="63"/>
  <c r="BE862" i="63" s="1"/>
  <c r="BE890" i="63"/>
  <c r="M807" i="63"/>
  <c r="L765" i="63"/>
  <c r="M765" i="63" s="1"/>
  <c r="AX769" i="63"/>
  <c r="AX757" i="63"/>
  <c r="Z664" i="63"/>
  <c r="V664" i="63"/>
  <c r="L648" i="63"/>
  <c r="M648" i="63" s="1"/>
  <c r="P648" i="63"/>
  <c r="U648" i="63"/>
  <c r="AV974" i="63"/>
  <c r="Y941" i="63"/>
  <c r="L941" i="63"/>
  <c r="BE925" i="63"/>
  <c r="BC918" i="63"/>
  <c r="BE918" i="63" s="1"/>
  <c r="S925" i="63"/>
  <c r="K925" i="63"/>
  <c r="T925" i="63"/>
  <c r="L863" i="63"/>
  <c r="X812" i="63"/>
  <c r="BN658" i="63"/>
  <c r="BL642" i="63"/>
  <c r="AS597" i="63"/>
  <c r="AI578" i="63"/>
  <c r="AJ579" i="63"/>
  <c r="M116" i="63"/>
  <c r="L380" i="63"/>
  <c r="M380" i="63" s="1"/>
  <c r="U1079" i="63"/>
  <c r="BJ974" i="63"/>
  <c r="BK974" i="63" s="1"/>
  <c r="AB902" i="63"/>
  <c r="AA874" i="63"/>
  <c r="AB874" i="63" s="1"/>
  <c r="U770" i="63"/>
  <c r="L770" i="63"/>
  <c r="O769" i="63"/>
  <c r="O757" i="63"/>
  <c r="M682" i="63"/>
  <c r="BQ658" i="63"/>
  <c r="BP642" i="63"/>
  <c r="BQ642" i="63" s="1"/>
  <c r="AM636" i="63"/>
  <c r="AA614" i="63"/>
  <c r="AB614" i="63" s="1"/>
  <c r="V614" i="63"/>
  <c r="Y597" i="63"/>
  <c r="S564" i="63"/>
  <c r="W720" i="63"/>
  <c r="AB903" i="63"/>
  <c r="AA875" i="63"/>
  <c r="AB875" i="63" s="1"/>
  <c r="AP836" i="63"/>
  <c r="AO829" i="63"/>
  <c r="AP829" i="63" s="1"/>
  <c r="AD760" i="63"/>
  <c r="AE798" i="63"/>
  <c r="M680" i="63"/>
  <c r="L418" i="63"/>
  <c r="M418" i="63" s="1"/>
  <c r="BB618" i="63"/>
  <c r="BA611" i="63"/>
  <c r="BC543" i="63"/>
  <c r="M523" i="63"/>
  <c r="BK513" i="63"/>
  <c r="BJ512" i="63"/>
  <c r="BP465" i="63"/>
  <c r="BQ498" i="63"/>
  <c r="AC461" i="63"/>
  <c r="AE461" i="63" s="1"/>
  <c r="AA493" i="63"/>
  <c r="AB493" i="63" s="1"/>
  <c r="V493" i="63"/>
  <c r="W123" i="63"/>
  <c r="AP137" i="63"/>
  <c r="AO100" i="63"/>
  <c r="K103" i="63"/>
  <c r="M103" i="63" s="1"/>
  <c r="T103" i="63"/>
  <c r="Z103" i="63" s="1"/>
  <c r="AP890" i="63"/>
  <c r="AO862" i="63"/>
  <c r="AP862" i="63" s="1"/>
  <c r="BB829" i="63"/>
  <c r="BA859" i="63"/>
  <c r="BB859" i="63" s="1"/>
  <c r="S666" i="63"/>
  <c r="R642" i="63"/>
  <c r="V621" i="63"/>
  <c r="AA621" i="63"/>
  <c r="AB621" i="63" s="1"/>
  <c r="Q543" i="63"/>
  <c r="BN525" i="63"/>
  <c r="AA517" i="63"/>
  <c r="AB517" i="63" s="1"/>
  <c r="V517" i="63"/>
  <c r="K447" i="63"/>
  <c r="K371" i="63" s="1"/>
  <c r="T447" i="63"/>
  <c r="Z447" i="63" s="1"/>
  <c r="Z371" i="63" s="1"/>
  <c r="AA500" i="63"/>
  <c r="AB500" i="63" s="1"/>
  <c r="S496" i="63"/>
  <c r="Q461" i="63"/>
  <c r="S461" i="63" s="1"/>
  <c r="AJ446" i="63"/>
  <c r="AA350" i="63"/>
  <c r="AB350" i="63" s="1"/>
  <c r="V350" i="63"/>
  <c r="W468" i="63"/>
  <c r="Y468" i="63" s="1"/>
  <c r="Y501" i="63"/>
  <c r="W498" i="63"/>
  <c r="W117" i="63"/>
  <c r="Y117" i="63" s="1"/>
  <c r="Y152" i="63"/>
  <c r="Y111" i="63"/>
  <c r="X102" i="63"/>
  <c r="Z803" i="63"/>
  <c r="Z763" i="63" s="1"/>
  <c r="T763" i="63"/>
  <c r="V763" i="63" s="1"/>
  <c r="AS798" i="63"/>
  <c r="AD708" i="63"/>
  <c r="V568" i="63"/>
  <c r="AA568" i="63"/>
  <c r="AB568" i="63" s="1"/>
  <c r="K466" i="63"/>
  <c r="T466" i="63"/>
  <c r="Z466" i="63" s="1"/>
  <c r="P466" i="63"/>
  <c r="BE446" i="63"/>
  <c r="AP480" i="63"/>
  <c r="AO479" i="63"/>
  <c r="AO445" i="63"/>
  <c r="AP445" i="63" s="1"/>
  <c r="W58" i="63"/>
  <c r="Y58" i="63" s="1"/>
  <c r="Y90" i="63"/>
  <c r="W70" i="63"/>
  <c r="W38" i="63" s="1"/>
  <c r="BN777" i="63"/>
  <c r="U504" i="63"/>
  <c r="L504" i="63"/>
  <c r="O471" i="63"/>
  <c r="AK457" i="63"/>
  <c r="M487" i="63"/>
  <c r="AE388" i="63"/>
  <c r="U458" i="63"/>
  <c r="L458" i="63"/>
  <c r="P458" i="63"/>
  <c r="AA318" i="63"/>
  <c r="AB318" i="63" s="1"/>
  <c r="V318" i="63"/>
  <c r="BQ123" i="63"/>
  <c r="BJ70" i="63"/>
  <c r="BK71" i="63"/>
  <c r="BJ39" i="63"/>
  <c r="BK39" i="63" s="1"/>
  <c r="BK864" i="63"/>
  <c r="S636" i="63"/>
  <c r="AR611" i="63"/>
  <c r="AS612" i="63"/>
  <c r="M540" i="63"/>
  <c r="I512" i="63"/>
  <c r="H510" i="63"/>
  <c r="I510" i="63" s="1"/>
  <c r="BN492" i="63"/>
  <c r="BM457" i="63"/>
  <c r="BN457" i="63" s="1"/>
  <c r="AA476" i="63"/>
  <c r="V476" i="63"/>
  <c r="AA470" i="63"/>
  <c r="V470" i="63"/>
  <c r="Y452" i="63"/>
  <c r="Y1082" i="63"/>
  <c r="U861" i="63"/>
  <c r="V861" i="63" s="1"/>
  <c r="AA831" i="63"/>
  <c r="AA861" i="63" s="1"/>
  <c r="V831" i="63"/>
  <c r="AP713" i="63"/>
  <c r="AN709" i="63"/>
  <c r="M658" i="63"/>
  <c r="BN630" i="63"/>
  <c r="M613" i="63"/>
  <c r="AK609" i="63"/>
  <c r="L537" i="63"/>
  <c r="M537" i="63" s="1"/>
  <c r="L525" i="63"/>
  <c r="U525" i="63"/>
  <c r="BG512" i="63"/>
  <c r="BH513" i="63"/>
  <c r="AO510" i="63"/>
  <c r="AP512" i="63"/>
  <c r="AI471" i="63"/>
  <c r="S492" i="63"/>
  <c r="R457" i="63"/>
  <c r="G477" i="63"/>
  <c r="G440" i="63" s="1"/>
  <c r="G439" i="63" s="1"/>
  <c r="G444" i="63"/>
  <c r="G442" i="63" s="1"/>
  <c r="M342" i="63"/>
  <c r="BE125" i="63"/>
  <c r="BD123" i="63"/>
  <c r="BE123" i="63" s="1"/>
  <c r="AA191" i="63"/>
  <c r="AB191" i="63" s="1"/>
  <c r="V191" i="63"/>
  <c r="AE103" i="63"/>
  <c r="AW58" i="63"/>
  <c r="AY58" i="63" s="1"/>
  <c r="AY90" i="63"/>
  <c r="AJ71" i="63"/>
  <c r="V57" i="63"/>
  <c r="Z603" i="63"/>
  <c r="U564" i="63"/>
  <c r="P564" i="63"/>
  <c r="L564" i="63"/>
  <c r="Z519" i="63"/>
  <c r="AR471" i="63"/>
  <c r="AS504" i="63"/>
  <c r="T455" i="63"/>
  <c r="Z455" i="63" s="1"/>
  <c r="Z379" i="63" s="1"/>
  <c r="P455" i="63"/>
  <c r="K455" i="63"/>
  <c r="K379" i="63" s="1"/>
  <c r="AW445" i="63"/>
  <c r="P480" i="63"/>
  <c r="M308" i="63"/>
  <c r="AC117" i="63"/>
  <c r="AC137" i="63"/>
  <c r="AA121" i="63"/>
  <c r="AB34" i="63"/>
  <c r="AB24" i="63"/>
  <c r="AB993" i="63"/>
  <c r="AE650" i="63"/>
  <c r="AC642" i="63"/>
  <c r="AE642" i="63" s="1"/>
  <c r="BP545" i="63"/>
  <c r="AC525" i="63"/>
  <c r="AE525" i="63" s="1"/>
  <c r="BB504" i="63"/>
  <c r="BA471" i="63"/>
  <c r="BB471" i="63" s="1"/>
  <c r="BK498" i="63"/>
  <c r="BJ465" i="63"/>
  <c r="P447" i="63"/>
  <c r="Y236" i="63"/>
  <c r="L236" i="63"/>
  <c r="M236" i="63" s="1"/>
  <c r="AZ510" i="63"/>
  <c r="AB31" i="63"/>
  <c r="T1332" i="63"/>
  <c r="AS1344" i="63"/>
  <c r="AQ1326" i="63"/>
  <c r="Y1344" i="63"/>
  <c r="X1326" i="63"/>
  <c r="Y1326" i="63" s="1"/>
  <c r="BK1344" i="63"/>
  <c r="BJ1326" i="63"/>
  <c r="BK1326" i="63" s="1"/>
  <c r="AA1330" i="63"/>
  <c r="AB1330" i="63" s="1"/>
  <c r="AM1344" i="63"/>
  <c r="AL1326" i="63"/>
  <c r="AM1326" i="63" s="1"/>
  <c r="BE1334" i="63"/>
  <c r="AO1326" i="63"/>
  <c r="AP1326" i="63" s="1"/>
  <c r="AP1306" i="63"/>
  <c r="AA1320" i="63"/>
  <c r="AB1320" i="63" s="1"/>
  <c r="AB1300" i="63"/>
  <c r="R1316" i="63"/>
  <c r="S1316" i="63" s="1"/>
  <c r="S1296" i="63"/>
  <c r="AA1280" i="63"/>
  <c r="AB1280" i="63" s="1"/>
  <c r="M1283" i="63"/>
  <c r="L1274" i="63"/>
  <c r="M1274" i="63" s="1"/>
  <c r="V1312" i="63"/>
  <c r="K1306" i="63"/>
  <c r="T1306" i="63"/>
  <c r="Z1306" i="63" s="1"/>
  <c r="N1326" i="63"/>
  <c r="K1296" i="63"/>
  <c r="M1296" i="63" s="1"/>
  <c r="T1296" i="63"/>
  <c r="Z1296" i="63" s="1"/>
  <c r="N1316" i="63"/>
  <c r="P1316" i="63" s="1"/>
  <c r="P1296" i="63"/>
  <c r="AA1275" i="63"/>
  <c r="AB1275" i="63" s="1"/>
  <c r="AB1264" i="63"/>
  <c r="V1278" i="63"/>
  <c r="BF1273" i="63"/>
  <c r="BH1262" i="63"/>
  <c r="Z1334" i="63"/>
  <c r="Z1316" i="63" s="1"/>
  <c r="T1316" i="63"/>
  <c r="AB1329" i="63"/>
  <c r="P1328" i="63"/>
  <c r="AB1288" i="63"/>
  <c r="AC1293" i="63"/>
  <c r="AE1293" i="63" s="1"/>
  <c r="AC1273" i="63"/>
  <c r="AE1273" i="63" s="1"/>
  <c r="BK1262" i="63"/>
  <c r="BJ1273" i="63"/>
  <c r="BK1273" i="63" s="1"/>
  <c r="BB1296" i="63"/>
  <c r="AB1256" i="63"/>
  <c r="AA1230" i="63"/>
  <c r="AB1230" i="63" s="1"/>
  <c r="M1312" i="63"/>
  <c r="BB1306" i="63"/>
  <c r="BA1326" i="63"/>
  <c r="BB1326" i="63" s="1"/>
  <c r="AB1301" i="63"/>
  <c r="K1293" i="63"/>
  <c r="Z1229" i="63"/>
  <c r="BG1293" i="63"/>
  <c r="BH1293" i="63" s="1"/>
  <c r="BG1273" i="63"/>
  <c r="BH1282" i="63"/>
  <c r="S1274" i="63"/>
  <c r="Z1217" i="63"/>
  <c r="V1236" i="63"/>
  <c r="U1216" i="63"/>
  <c r="V1216" i="63" s="1"/>
  <c r="AA1236" i="63"/>
  <c r="BQ1187" i="63"/>
  <c r="BP1213" i="63"/>
  <c r="BQ1213" i="63" s="1"/>
  <c r="M1156" i="63"/>
  <c r="L1058" i="63"/>
  <c r="AA1152" i="63"/>
  <c r="AB1152" i="63" s="1"/>
  <c r="V1152" i="63"/>
  <c r="L1148" i="63"/>
  <c r="AA1144" i="63"/>
  <c r="AB1144" i="63" s="1"/>
  <c r="V1144" i="63"/>
  <c r="BC1293" i="63"/>
  <c r="BE1293" i="63" s="1"/>
  <c r="BC1273" i="63"/>
  <c r="BE1273" i="63" s="1"/>
  <c r="AY1262" i="63"/>
  <c r="AX1273" i="63"/>
  <c r="AY1273" i="63" s="1"/>
  <c r="Z1219" i="63"/>
  <c r="AB1219" i="63" s="1"/>
  <c r="T1218" i="63"/>
  <c r="U1233" i="63"/>
  <c r="L1233" i="63"/>
  <c r="O1213" i="63"/>
  <c r="P1213" i="63" s="1"/>
  <c r="P1233" i="63"/>
  <c r="O1259" i="63"/>
  <c r="AV1215" i="63"/>
  <c r="AA1167" i="63"/>
  <c r="V1167" i="63"/>
  <c r="U1063" i="63"/>
  <c r="V1063" i="63" s="1"/>
  <c r="AA1161" i="63"/>
  <c r="AB1161" i="63" s="1"/>
  <c r="V1161" i="63"/>
  <c r="U1045" i="63"/>
  <c r="V1045" i="63" s="1"/>
  <c r="V1125" i="63"/>
  <c r="AA1125" i="63"/>
  <c r="S1273" i="63"/>
  <c r="AK1259" i="63"/>
  <c r="AM1259" i="63" s="1"/>
  <c r="AK1213" i="63"/>
  <c r="AM1213" i="63" s="1"/>
  <c r="V1247" i="63"/>
  <c r="U1223" i="63"/>
  <c r="V1223" i="63" s="1"/>
  <c r="AA1247" i="63"/>
  <c r="AJ1216" i="63"/>
  <c r="AJ1213" i="63"/>
  <c r="Z1156" i="63"/>
  <c r="Z1058" i="63" s="1"/>
  <c r="T1058" i="63"/>
  <c r="BB1141" i="63"/>
  <c r="Z1233" i="63"/>
  <c r="BH1218" i="63"/>
  <c r="Y1148" i="63"/>
  <c r="Z1148" i="63"/>
  <c r="V1150" i="63"/>
  <c r="AA1150" i="63"/>
  <c r="AB1150" i="63" s="1"/>
  <c r="K1148" i="63"/>
  <c r="BB1132" i="63"/>
  <c r="AB1114" i="63"/>
  <c r="AA1038" i="63"/>
  <c r="AB1038" i="63" s="1"/>
  <c r="AA1061" i="63"/>
  <c r="AB1061" i="63" s="1"/>
  <c r="M1107" i="63"/>
  <c r="L1035" i="63"/>
  <c r="AN1316" i="63"/>
  <c r="AP1316" i="63" s="1"/>
  <c r="AP1296" i="63"/>
  <c r="U1274" i="63"/>
  <c r="V1234" i="63"/>
  <c r="U1214" i="63"/>
  <c r="V1214" i="63" s="1"/>
  <c r="AA1234" i="63"/>
  <c r="AB1175" i="63"/>
  <c r="AA1069" i="63"/>
  <c r="AB1069" i="63" s="1"/>
  <c r="U1166" i="63"/>
  <c r="AP1141" i="63"/>
  <c r="AO1140" i="63"/>
  <c r="BB1140" i="63"/>
  <c r="BC1184" i="63"/>
  <c r="BN1296" i="63"/>
  <c r="AT1273" i="63"/>
  <c r="AV1273" i="63" s="1"/>
  <c r="AV1262" i="63"/>
  <c r="Z1216" i="63"/>
  <c r="V1146" i="63"/>
  <c r="AA1146" i="63"/>
  <c r="AB1146" i="63" s="1"/>
  <c r="BP1091" i="63"/>
  <c r="BQ1092" i="63"/>
  <c r="AB1098" i="63"/>
  <c r="AB1097" i="63"/>
  <c r="AB1095" i="63"/>
  <c r="AB1094" i="63"/>
  <c r="AB1093" i="63"/>
  <c r="M1188" i="63"/>
  <c r="AY1141" i="63"/>
  <c r="AW1140" i="63"/>
  <c r="AA1141" i="63"/>
  <c r="V1081" i="63"/>
  <c r="AA1081" i="63"/>
  <c r="V1078" i="63"/>
  <c r="AA1078" i="63"/>
  <c r="AB1078" i="63" s="1"/>
  <c r="I1028" i="63"/>
  <c r="M900" i="63"/>
  <c r="L872" i="63"/>
  <c r="M872" i="63" s="1"/>
  <c r="Z895" i="63"/>
  <c r="Z867" i="63" s="1"/>
  <c r="T867" i="63"/>
  <c r="V986" i="63"/>
  <c r="AX974" i="63"/>
  <c r="AY974" i="63" s="1"/>
  <c r="M909" i="63"/>
  <c r="L879" i="63"/>
  <c r="M879" i="63" s="1"/>
  <c r="N862" i="63"/>
  <c r="P862" i="63" s="1"/>
  <c r="K890" i="63"/>
  <c r="T890" i="63"/>
  <c r="AB1121" i="63"/>
  <c r="AA1043" i="63"/>
  <c r="AB1043" i="63" s="1"/>
  <c r="BE1040" i="63"/>
  <c r="P1037" i="63"/>
  <c r="BN1092" i="63"/>
  <c r="BM1091" i="63"/>
  <c r="V1100" i="63"/>
  <c r="AA1100" i="63"/>
  <c r="AB1100" i="63" s="1"/>
  <c r="BB1091" i="63"/>
  <c r="AT1184" i="63"/>
  <c r="AT1026" i="63"/>
  <c r="U1083" i="63"/>
  <c r="O1076" i="63"/>
  <c r="V1084" i="63"/>
  <c r="U1028" i="63"/>
  <c r="V1028" i="63" s="1"/>
  <c r="AA1084" i="63"/>
  <c r="M1009" i="63"/>
  <c r="S983" i="63"/>
  <c r="K983" i="63"/>
  <c r="M983" i="63" s="1"/>
  <c r="T983" i="63"/>
  <c r="Q974" i="63"/>
  <c r="BH934" i="63"/>
  <c r="BG925" i="63"/>
  <c r="BC885" i="63"/>
  <c r="BC864" i="63"/>
  <c r="AB1194" i="63"/>
  <c r="L1155" i="63"/>
  <c r="M1155" i="63" s="1"/>
  <c r="BI1076" i="63"/>
  <c r="Y1080" i="63"/>
  <c r="M1016" i="63"/>
  <c r="AB979" i="63"/>
  <c r="AA1055" i="63"/>
  <c r="AB1055" i="63" s="1"/>
  <c r="AI915" i="63"/>
  <c r="AJ915" i="63" s="1"/>
  <c r="AJ885" i="63"/>
  <c r="AI859" i="63"/>
  <c r="AJ859" i="63" s="1"/>
  <c r="BH890" i="63"/>
  <c r="BG862" i="63"/>
  <c r="BH862" i="63" s="1"/>
  <c r="AB891" i="63"/>
  <c r="Y890" i="63"/>
  <c r="AB1244" i="63"/>
  <c r="K1035" i="63"/>
  <c r="Y1081" i="63"/>
  <c r="Y1083" i="63"/>
  <c r="X1076" i="63"/>
  <c r="I974" i="63"/>
  <c r="M939" i="63"/>
  <c r="AB880" i="63"/>
  <c r="AA839" i="63"/>
  <c r="AB839" i="63" s="1"/>
  <c r="V839" i="63"/>
  <c r="L834" i="63"/>
  <c r="AA762" i="63"/>
  <c r="AB790" i="63"/>
  <c r="H812" i="63"/>
  <c r="I812" i="63" s="1"/>
  <c r="I769" i="63"/>
  <c r="M668" i="63"/>
  <c r="L407" i="63"/>
  <c r="M407" i="63" s="1"/>
  <c r="AB1201" i="63"/>
  <c r="AI1132" i="63"/>
  <c r="AJ1132" i="63" s="1"/>
  <c r="AJ1140" i="63"/>
  <c r="Y1092" i="63"/>
  <c r="AA869" i="63"/>
  <c r="AB869" i="63" s="1"/>
  <c r="AA807" i="63"/>
  <c r="V807" i="63"/>
  <c r="U765" i="63"/>
  <c r="V765" i="63" s="1"/>
  <c r="BJ769" i="63"/>
  <c r="AL769" i="63"/>
  <c r="AP644" i="63"/>
  <c r="AJ934" i="63"/>
  <c r="AI925" i="63"/>
  <c r="Y925" i="63"/>
  <c r="X918" i="63"/>
  <c r="L925" i="63"/>
  <c r="M925" i="63" s="1"/>
  <c r="BN862" i="63"/>
  <c r="K861" i="63"/>
  <c r="M861" i="63" s="1"/>
  <c r="V822" i="63"/>
  <c r="AA822" i="63"/>
  <c r="AB822" i="63" s="1"/>
  <c r="BQ760" i="63"/>
  <c r="M794" i="63"/>
  <c r="BM769" i="63"/>
  <c r="BM757" i="63"/>
  <c r="L758" i="63"/>
  <c r="M771" i="63"/>
  <c r="BN666" i="63"/>
  <c r="V662" i="63"/>
  <c r="AP658" i="63"/>
  <c r="AN642" i="63"/>
  <c r="BN646" i="63"/>
  <c r="V652" i="63"/>
  <c r="AY618" i="63"/>
  <c r="Q609" i="63"/>
  <c r="K591" i="63"/>
  <c r="T591" i="63"/>
  <c r="Z591" i="63" s="1"/>
  <c r="Z587" i="63"/>
  <c r="AB587" i="63" s="1"/>
  <c r="V587" i="63"/>
  <c r="M581" i="63"/>
  <c r="AY579" i="63"/>
  <c r="AB580" i="63"/>
  <c r="P579" i="63"/>
  <c r="AB562" i="63"/>
  <c r="AA550" i="63"/>
  <c r="AB550" i="63" s="1"/>
  <c r="V550" i="63"/>
  <c r="M136" i="63"/>
  <c r="M130" i="63"/>
  <c r="M126" i="63"/>
  <c r="M114" i="63"/>
  <c r="AA1074" i="63"/>
  <c r="AB1074" i="63" s="1"/>
  <c r="U1091" i="63"/>
  <c r="L1091" i="63"/>
  <c r="L1079" i="63"/>
  <c r="M1079" i="63" s="1"/>
  <c r="N915" i="63"/>
  <c r="P915" i="63" s="1"/>
  <c r="T885" i="63"/>
  <c r="N859" i="63"/>
  <c r="BN879" i="63"/>
  <c r="P863" i="63"/>
  <c r="V729" i="63"/>
  <c r="AA729" i="63"/>
  <c r="AB729" i="63" s="1"/>
  <c r="Z723" i="63"/>
  <c r="AB723" i="63" s="1"/>
  <c r="V723" i="63"/>
  <c r="BG708" i="63"/>
  <c r="BH709" i="63"/>
  <c r="AB688" i="63"/>
  <c r="AA425" i="63"/>
  <c r="AB425" i="63" s="1"/>
  <c r="V678" i="63"/>
  <c r="AA678" i="63"/>
  <c r="M662" i="63"/>
  <c r="L402" i="63"/>
  <c r="M402" i="63" s="1"/>
  <c r="AS658" i="63"/>
  <c r="AR642" i="63"/>
  <c r="AK642" i="63"/>
  <c r="AM642" i="63" s="1"/>
  <c r="AB634" i="63"/>
  <c r="AJ630" i="63"/>
  <c r="AA627" i="63"/>
  <c r="AB627" i="63" s="1"/>
  <c r="V627" i="63"/>
  <c r="K624" i="63"/>
  <c r="T624" i="63"/>
  <c r="Z624" i="63" s="1"/>
  <c r="AI611" i="63"/>
  <c r="AJ612" i="63"/>
  <c r="AW611" i="63"/>
  <c r="AW609" i="63" s="1"/>
  <c r="M587" i="63"/>
  <c r="BB585" i="63"/>
  <c r="BA578" i="63"/>
  <c r="V586" i="63"/>
  <c r="AA586" i="63"/>
  <c r="AB586" i="63" s="1"/>
  <c r="BF578" i="63"/>
  <c r="BF576" i="63" s="1"/>
  <c r="AY570" i="63"/>
  <c r="V985" i="63"/>
  <c r="L919" i="63"/>
  <c r="M919" i="63" s="1"/>
  <c r="BE879" i="63"/>
  <c r="AU760" i="63"/>
  <c r="AV760" i="63" s="1"/>
  <c r="AV798" i="63"/>
  <c r="W798" i="63"/>
  <c r="W760" i="63" s="1"/>
  <c r="AU757" i="63"/>
  <c r="AU769" i="63"/>
  <c r="AR750" i="63"/>
  <c r="AE646" i="63"/>
  <c r="BD642" i="63"/>
  <c r="BE642" i="63" s="1"/>
  <c r="BN579" i="63"/>
  <c r="BM578" i="63"/>
  <c r="AN576" i="63"/>
  <c r="K546" i="63"/>
  <c r="Y519" i="63"/>
  <c r="T449" i="63"/>
  <c r="Z449" i="63" s="1"/>
  <c r="Z373" i="63" s="1"/>
  <c r="K449" i="63"/>
  <c r="K373" i="63" s="1"/>
  <c r="AU512" i="63"/>
  <c r="AV513" i="63"/>
  <c r="BC471" i="63"/>
  <c r="BC463" i="63" s="1"/>
  <c r="AC504" i="63"/>
  <c r="AS466" i="63"/>
  <c r="BB492" i="63"/>
  <c r="BA457" i="63"/>
  <c r="BB457" i="63" s="1"/>
  <c r="BF451" i="63"/>
  <c r="AZ479" i="63"/>
  <c r="AZ445" i="63"/>
  <c r="BB445" i="63" s="1"/>
  <c r="AA460" i="63"/>
  <c r="Z452" i="63"/>
  <c r="Z376" i="63" s="1"/>
  <c r="BQ720" i="63"/>
  <c r="BO717" i="63"/>
  <c r="BQ717" i="63" s="1"/>
  <c r="BO712" i="63"/>
  <c r="BQ712" i="63" s="1"/>
  <c r="Q720" i="63"/>
  <c r="AS720" i="63"/>
  <c r="AQ717" i="63"/>
  <c r="AS717" i="63" s="1"/>
  <c r="AQ712" i="63"/>
  <c r="AS712" i="63" s="1"/>
  <c r="Q137" i="63"/>
  <c r="Q100" i="63" s="1"/>
  <c r="Q125" i="63"/>
  <c r="S158" i="63"/>
  <c r="AP125" i="63"/>
  <c r="AO123" i="63"/>
  <c r="AP123" i="63" s="1"/>
  <c r="L125" i="63"/>
  <c r="O123" i="63"/>
  <c r="U125" i="63"/>
  <c r="BN111" i="63"/>
  <c r="BM102" i="63"/>
  <c r="BN102" i="63" s="1"/>
  <c r="AY137" i="63"/>
  <c r="AX100" i="63"/>
  <c r="AY100" i="63" s="1"/>
  <c r="W137" i="63"/>
  <c r="W100" i="63" s="1"/>
  <c r="AP90" i="63"/>
  <c r="AO58" i="63"/>
  <c r="AP58" i="63" s="1"/>
  <c r="V1061" i="63"/>
  <c r="BI915" i="63"/>
  <c r="BI859" i="63"/>
  <c r="AZ864" i="63"/>
  <c r="BB864" i="63" s="1"/>
  <c r="AU885" i="63"/>
  <c r="AV892" i="63"/>
  <c r="AU864" i="63"/>
  <c r="AV864" i="63" s="1"/>
  <c r="U890" i="63"/>
  <c r="T860" i="63"/>
  <c r="Z830" i="63"/>
  <c r="Z860" i="63" s="1"/>
  <c r="L761" i="63"/>
  <c r="AD769" i="63"/>
  <c r="AD757" i="63"/>
  <c r="S799" i="63"/>
  <c r="Q798" i="63"/>
  <c r="Q760" i="63" s="1"/>
  <c r="I759" i="63"/>
  <c r="U646" i="63"/>
  <c r="P646" i="63"/>
  <c r="L646" i="63"/>
  <c r="AI642" i="63"/>
  <c r="AJ642" i="63" s="1"/>
  <c r="V633" i="63"/>
  <c r="L630" i="63"/>
  <c r="M630" i="63" s="1"/>
  <c r="AY603" i="63"/>
  <c r="M598" i="63"/>
  <c r="Y585" i="63"/>
  <c r="AA574" i="63"/>
  <c r="AB574" i="63" s="1"/>
  <c r="V574" i="63"/>
  <c r="Y564" i="63"/>
  <c r="AA561" i="63"/>
  <c r="AB561" i="63" s="1"/>
  <c r="V561" i="63"/>
  <c r="AA528" i="63"/>
  <c r="BK519" i="63"/>
  <c r="P519" i="63"/>
  <c r="L519" i="63"/>
  <c r="M519" i="63" s="1"/>
  <c r="U519" i="63"/>
  <c r="M517" i="63"/>
  <c r="AB516" i="63"/>
  <c r="AU471" i="63"/>
  <c r="AV471" i="63" s="1"/>
  <c r="AV504" i="63"/>
  <c r="AN465" i="63"/>
  <c r="BE455" i="63"/>
  <c r="AS453" i="63"/>
  <c r="AX451" i="63"/>
  <c r="AY451" i="63" s="1"/>
  <c r="AY486" i="63"/>
  <c r="BP479" i="63"/>
  <c r="BP445" i="63"/>
  <c r="BQ480" i="63"/>
  <c r="AS446" i="63"/>
  <c r="V456" i="63"/>
  <c r="AA456" i="63"/>
  <c r="AB245" i="63"/>
  <c r="Z197" i="63"/>
  <c r="AB197" i="63" s="1"/>
  <c r="V197" i="63"/>
  <c r="AZ771" i="63"/>
  <c r="BB775" i="63"/>
  <c r="AZ774" i="63"/>
  <c r="AT102" i="63"/>
  <c r="G102" i="63"/>
  <c r="I102" i="63" s="1"/>
  <c r="BK105" i="63"/>
  <c r="AB140" i="63"/>
  <c r="Z92" i="63"/>
  <c r="Z60" i="63" s="1"/>
  <c r="T60" i="63"/>
  <c r="BE836" i="63"/>
  <c r="BD829" i="63"/>
  <c r="BE829" i="63" s="1"/>
  <c r="U829" i="63"/>
  <c r="P829" i="63"/>
  <c r="L829" i="63"/>
  <c r="O859" i="63"/>
  <c r="AA836" i="63"/>
  <c r="AB836" i="63" s="1"/>
  <c r="L763" i="63"/>
  <c r="M763" i="63" s="1"/>
  <c r="M803" i="63"/>
  <c r="AY776" i="63"/>
  <c r="AW772" i="63"/>
  <c r="AY772" i="63" s="1"/>
  <c r="V672" i="63"/>
  <c r="AA672" i="63"/>
  <c r="AB637" i="63"/>
  <c r="Y624" i="63"/>
  <c r="M620" i="63"/>
  <c r="P618" i="63"/>
  <c r="L618" i="63"/>
  <c r="M618" i="63" s="1"/>
  <c r="U618" i="63"/>
  <c r="P603" i="63"/>
  <c r="L603" i="63"/>
  <c r="U603" i="63"/>
  <c r="U597" i="63"/>
  <c r="P597" i="63"/>
  <c r="L597" i="63"/>
  <c r="AE579" i="63"/>
  <c r="AD578" i="63"/>
  <c r="K570" i="63"/>
  <c r="BG545" i="63"/>
  <c r="BH546" i="63"/>
  <c r="M532" i="63"/>
  <c r="M522" i="63"/>
  <c r="BC510" i="63"/>
  <c r="Y508" i="63"/>
  <c r="W475" i="63"/>
  <c r="Y475" i="63" s="1"/>
  <c r="AP504" i="63"/>
  <c r="AO471" i="63"/>
  <c r="AA501" i="63"/>
  <c r="BI463" i="63"/>
  <c r="V499" i="63"/>
  <c r="AI451" i="63"/>
  <c r="AE448" i="63"/>
  <c r="AC479" i="63"/>
  <c r="AC445" i="63"/>
  <c r="R479" i="63"/>
  <c r="R445" i="63"/>
  <c r="S480" i="63"/>
  <c r="L480" i="63"/>
  <c r="M480" i="63" s="1"/>
  <c r="BI477" i="63"/>
  <c r="BI440" i="63" s="1"/>
  <c r="BI444" i="63"/>
  <c r="BB464" i="63"/>
  <c r="Z454" i="63"/>
  <c r="Z378" i="63" s="1"/>
  <c r="L374" i="63"/>
  <c r="M374" i="63" s="1"/>
  <c r="P446" i="63"/>
  <c r="AB224" i="63"/>
  <c r="AE170" i="63"/>
  <c r="BF102" i="63"/>
  <c r="AL100" i="63"/>
  <c r="AM100" i="63" s="1"/>
  <c r="AM137" i="63"/>
  <c r="V146" i="63"/>
  <c r="AA146" i="63"/>
  <c r="AB146" i="63" s="1"/>
  <c r="AD100" i="63"/>
  <c r="AM90" i="63"/>
  <c r="Z40" i="63"/>
  <c r="AB40" i="63" s="1"/>
  <c r="AA42" i="63"/>
  <c r="AB42" i="63" s="1"/>
  <c r="BQ777" i="63"/>
  <c r="AP1332" i="63"/>
  <c r="Z1082" i="63"/>
  <c r="AY798" i="63"/>
  <c r="AX760" i="63"/>
  <c r="AY760" i="63" s="1"/>
  <c r="P612" i="63"/>
  <c r="L612" i="63"/>
  <c r="U612" i="63"/>
  <c r="O611" i="63"/>
  <c r="T612" i="63"/>
  <c r="Z612" i="63" s="1"/>
  <c r="N611" i="63"/>
  <c r="K612" i="63"/>
  <c r="AN510" i="63"/>
  <c r="V515" i="63"/>
  <c r="AA515" i="63"/>
  <c r="AB515" i="63" s="1"/>
  <c r="BH504" i="63"/>
  <c r="BG471" i="63"/>
  <c r="BH471" i="63" s="1"/>
  <c r="BO465" i="63"/>
  <c r="P486" i="63"/>
  <c r="L486" i="63"/>
  <c r="U486" i="63"/>
  <c r="O451" i="63"/>
  <c r="AB326" i="63"/>
  <c r="Y269" i="63"/>
  <c r="L269" i="63"/>
  <c r="BK90" i="63"/>
  <c r="AL70" i="63"/>
  <c r="AM71" i="63"/>
  <c r="AL39" i="63"/>
  <c r="AM39" i="63" s="1"/>
  <c r="AA55" i="63"/>
  <c r="AB55" i="63" s="1"/>
  <c r="AB26" i="63"/>
  <c r="BO772" i="63"/>
  <c r="BQ772" i="63" s="1"/>
  <c r="BQ776" i="63"/>
  <c r="AY777" i="63"/>
  <c r="S650" i="63"/>
  <c r="K650" i="63"/>
  <c r="M650" i="63" s="1"/>
  <c r="Q642" i="63"/>
  <c r="T642" i="63" s="1"/>
  <c r="Z642" i="63" s="1"/>
  <c r="T650" i="63"/>
  <c r="Z650" i="63" s="1"/>
  <c r="Y469" i="63"/>
  <c r="R611" i="63"/>
  <c r="AL611" i="63"/>
  <c r="T570" i="63"/>
  <c r="Z570" i="63" s="1"/>
  <c r="AI545" i="63"/>
  <c r="AJ546" i="63"/>
  <c r="L474" i="63"/>
  <c r="S474" i="63"/>
  <c r="U474" i="63"/>
  <c r="AA506" i="63"/>
  <c r="AB506" i="63" s="1"/>
  <c r="AA502" i="63"/>
  <c r="BD465" i="63"/>
  <c r="BE498" i="63"/>
  <c r="BH492" i="63"/>
  <c r="BG457" i="63"/>
  <c r="BH457" i="63" s="1"/>
  <c r="BN458" i="63"/>
  <c r="AV480" i="63"/>
  <c r="AU479" i="63"/>
  <c r="AU445" i="63"/>
  <c r="P390" i="63"/>
  <c r="I389" i="63"/>
  <c r="AP386" i="63"/>
  <c r="AB403" i="63"/>
  <c r="H123" i="63"/>
  <c r="I125" i="63"/>
  <c r="H387" i="63"/>
  <c r="AV111" i="63"/>
  <c r="AU102" i="63"/>
  <c r="V124" i="63"/>
  <c r="M122" i="63"/>
  <c r="AK70" i="63"/>
  <c r="AK38" i="63" s="1"/>
  <c r="BK43" i="63"/>
  <c r="BH777" i="63"/>
  <c r="AX1184" i="63"/>
  <c r="BN836" i="63"/>
  <c r="BM864" i="63"/>
  <c r="BN864" i="63" s="1"/>
  <c r="BM829" i="63"/>
  <c r="M831" i="63"/>
  <c r="AP798" i="63"/>
  <c r="AO760" i="63"/>
  <c r="AP760" i="63" s="1"/>
  <c r="BD769" i="63"/>
  <c r="BD757" i="63"/>
  <c r="BF774" i="63"/>
  <c r="BA708" i="63"/>
  <c r="V676" i="63"/>
  <c r="AA676" i="63"/>
  <c r="AB671" i="63"/>
  <c r="AA410" i="63"/>
  <c r="AB410" i="63" s="1"/>
  <c r="AA658" i="63"/>
  <c r="AB658" i="63" s="1"/>
  <c r="V658" i="63"/>
  <c r="BH644" i="63"/>
  <c r="BD611" i="63"/>
  <c r="V606" i="63"/>
  <c r="AK578" i="63"/>
  <c r="AK576" i="63" s="1"/>
  <c r="AK445" i="63"/>
  <c r="AB560" i="63"/>
  <c r="AA548" i="63"/>
  <c r="AB548" i="63" s="1"/>
  <c r="V548" i="63"/>
  <c r="M539" i="63"/>
  <c r="U537" i="63"/>
  <c r="V527" i="63"/>
  <c r="AP519" i="63"/>
  <c r="AO451" i="63"/>
  <c r="AY513" i="63"/>
  <c r="AX512" i="63"/>
  <c r="AB514" i="63"/>
  <c r="AE468" i="63"/>
  <c r="AP498" i="63"/>
  <c r="BG451" i="63"/>
  <c r="BH486" i="63"/>
  <c r="AT451" i="63"/>
  <c r="AV451" i="63" s="1"/>
  <c r="AT479" i="63"/>
  <c r="AZ451" i="63"/>
  <c r="K448" i="63"/>
  <c r="K372" i="63" s="1"/>
  <c r="T448" i="63"/>
  <c r="Z448" i="63" s="1"/>
  <c r="Z372" i="63" s="1"/>
  <c r="Q479" i="63"/>
  <c r="Q445" i="63"/>
  <c r="L383" i="63"/>
  <c r="AP380" i="63"/>
  <c r="U454" i="63"/>
  <c r="L454" i="63"/>
  <c r="P454" i="63"/>
  <c r="AB325" i="63"/>
  <c r="AA405" i="63"/>
  <c r="AB405" i="63" s="1"/>
  <c r="AY302" i="63"/>
  <c r="V239" i="63"/>
  <c r="I131" i="63"/>
  <c r="BQ137" i="63"/>
  <c r="BP100" i="63"/>
  <c r="BQ100" i="63" s="1"/>
  <c r="BK111" i="63"/>
  <c r="BJ102" i="63"/>
  <c r="BK102" i="63" s="1"/>
  <c r="V132" i="63"/>
  <c r="AE380" i="63"/>
  <c r="V108" i="63"/>
  <c r="I371" i="63"/>
  <c r="P90" i="63"/>
  <c r="O58" i="63"/>
  <c r="P58" i="63" s="1"/>
  <c r="U90" i="63"/>
  <c r="L90" i="63"/>
  <c r="AW70" i="63"/>
  <c r="AW38" i="63" s="1"/>
  <c r="BH71" i="63"/>
  <c r="I71" i="63"/>
  <c r="AR58" i="63"/>
  <c r="AS58" i="63" s="1"/>
  <c r="AS43" i="63"/>
  <c r="K29" i="63"/>
  <c r="T29" i="63"/>
  <c r="Z29" i="63" s="1"/>
  <c r="BH776" i="63"/>
  <c r="BF772" i="63"/>
  <c r="BH772" i="63" s="1"/>
  <c r="AP1051" i="63"/>
  <c r="M832" i="63"/>
  <c r="AA638" i="63"/>
  <c r="AB638" i="63" s="1"/>
  <c r="V638" i="63"/>
  <c r="BO609" i="63"/>
  <c r="BE570" i="63"/>
  <c r="L475" i="63"/>
  <c r="U475" i="63"/>
  <c r="BN504" i="63"/>
  <c r="BM471" i="63"/>
  <c r="BN471" i="63" s="1"/>
  <c r="AO465" i="63"/>
  <c r="BI457" i="63"/>
  <c r="T486" i="63"/>
  <c r="Z486" i="63" s="1"/>
  <c r="N451" i="63"/>
  <c r="K486" i="63"/>
  <c r="BI451" i="63"/>
  <c r="O445" i="63"/>
  <c r="AY374" i="63"/>
  <c r="L448" i="63"/>
  <c r="V307" i="63"/>
  <c r="AC460" i="63"/>
  <c r="AE460" i="63" s="1"/>
  <c r="AE495" i="63"/>
  <c r="AA133" i="63"/>
  <c r="AB133" i="63" s="1"/>
  <c r="V133" i="63"/>
  <c r="I379" i="63"/>
  <c r="AB622" i="63"/>
  <c r="M607" i="63"/>
  <c r="M600" i="63"/>
  <c r="AV585" i="63"/>
  <c r="AB547" i="63"/>
  <c r="Y454" i="63"/>
  <c r="BB513" i="63"/>
  <c r="BA512" i="63"/>
  <c r="BN473" i="63"/>
  <c r="BO471" i="63"/>
  <c r="AY498" i="63"/>
  <c r="AO457" i="63"/>
  <c r="AP457" i="63" s="1"/>
  <c r="AP492" i="63"/>
  <c r="AY492" i="63"/>
  <c r="L455" i="63"/>
  <c r="S455" i="63"/>
  <c r="AS486" i="63"/>
  <c r="BE464" i="63"/>
  <c r="G387" i="63"/>
  <c r="AA61" i="63"/>
  <c r="AB61" i="63" s="1"/>
  <c r="X70" i="63"/>
  <c r="Y71" i="63"/>
  <c r="X39" i="63"/>
  <c r="Y39" i="63" s="1"/>
  <c r="X465" i="63"/>
  <c r="AB118" i="63"/>
  <c r="L460" i="63"/>
  <c r="X457" i="63"/>
  <c r="Y457" i="63" s="1"/>
  <c r="W512" i="63"/>
  <c r="W510" i="63" s="1"/>
  <c r="AL445" i="63"/>
  <c r="AM445" i="63" s="1"/>
  <c r="BB29" i="63"/>
  <c r="V836" i="63" l="1"/>
  <c r="M834" i="63"/>
  <c r="K862" i="63"/>
  <c r="V1141" i="63"/>
  <c r="Z1028" i="63"/>
  <c r="T1293" i="63"/>
  <c r="Z1293" i="63" s="1"/>
  <c r="AS471" i="63"/>
  <c r="M863" i="63"/>
  <c r="W710" i="63"/>
  <c r="BK642" i="63"/>
  <c r="H918" i="63"/>
  <c r="S1326" i="63"/>
  <c r="AB1141" i="63"/>
  <c r="BI439" i="63"/>
  <c r="AP471" i="63"/>
  <c r="P479" i="63"/>
  <c r="M473" i="63"/>
  <c r="W713" i="63"/>
  <c r="AS100" i="63"/>
  <c r="BF463" i="63"/>
  <c r="S525" i="63"/>
  <c r="I1140" i="63"/>
  <c r="P512" i="63"/>
  <c r="AB1054" i="63"/>
  <c r="AA1273" i="63"/>
  <c r="M1282" i="63"/>
  <c r="Z934" i="63"/>
  <c r="AB934" i="63" s="1"/>
  <c r="V934" i="63"/>
  <c r="BH451" i="63"/>
  <c r="V506" i="63"/>
  <c r="U479" i="63"/>
  <c r="AN463" i="63"/>
  <c r="V1274" i="63"/>
  <c r="AK444" i="63"/>
  <c r="AK442" i="63" s="1"/>
  <c r="AP451" i="63"/>
  <c r="AV445" i="63"/>
  <c r="AS642" i="63"/>
  <c r="M564" i="63"/>
  <c r="S457" i="63"/>
  <c r="AE760" i="63"/>
  <c r="M941" i="63"/>
  <c r="BH642" i="63"/>
  <c r="Q510" i="63"/>
  <c r="BQ864" i="63"/>
  <c r="V879" i="63"/>
  <c r="M674" i="63"/>
  <c r="BN974" i="63"/>
  <c r="BM918" i="63"/>
  <c r="BN918" i="63" s="1"/>
  <c r="AB1148" i="63"/>
  <c r="AB1328" i="63"/>
  <c r="M466" i="63"/>
  <c r="BE864" i="63"/>
  <c r="AB1051" i="63"/>
  <c r="M558" i="63"/>
  <c r="M1060" i="63"/>
  <c r="AB1229" i="63"/>
  <c r="Z920" i="63"/>
  <c r="AB920" i="63" s="1"/>
  <c r="V920" i="63"/>
  <c r="AP974" i="63"/>
  <c r="AO918" i="63"/>
  <c r="AP918" i="63" s="1"/>
  <c r="AR1132" i="63"/>
  <c r="AS1132" i="63" s="1"/>
  <c r="AS1140" i="63"/>
  <c r="Z512" i="63"/>
  <c r="AS1326" i="63"/>
  <c r="BH102" i="63"/>
  <c r="BN642" i="63"/>
  <c r="M570" i="63"/>
  <c r="Y798" i="63"/>
  <c r="K1316" i="63"/>
  <c r="AY471" i="63"/>
  <c r="V455" i="63"/>
  <c r="AB579" i="63"/>
  <c r="V1332" i="63"/>
  <c r="AA1274" i="63"/>
  <c r="AB1274" i="63" s="1"/>
  <c r="BF1184" i="63"/>
  <c r="BF1026" i="63"/>
  <c r="P1293" i="63"/>
  <c r="U1293" i="63"/>
  <c r="AA1293" i="63" s="1"/>
  <c r="AB1293" i="63" s="1"/>
  <c r="I387" i="63"/>
  <c r="M1148" i="63"/>
  <c r="AC457" i="63"/>
  <c r="K58" i="63"/>
  <c r="BB1083" i="63"/>
  <c r="AY445" i="63"/>
  <c r="AM457" i="63"/>
  <c r="AK440" i="63"/>
  <c r="AK439" i="63" s="1"/>
  <c r="V579" i="63"/>
  <c r="M624" i="63"/>
  <c r="BQ1326" i="63"/>
  <c r="M591" i="63"/>
  <c r="I859" i="63"/>
  <c r="V443" i="63"/>
  <c r="AA443" i="63"/>
  <c r="AB443" i="63" s="1"/>
  <c r="BP1132" i="63"/>
  <c r="BQ1132" i="63" s="1"/>
  <c r="BQ1140" i="63"/>
  <c r="BQ1316" i="63"/>
  <c r="P918" i="63"/>
  <c r="U918" i="63"/>
  <c r="AA983" i="63"/>
  <c r="AA974" i="63" s="1"/>
  <c r="U974" i="63"/>
  <c r="AT463" i="63"/>
  <c r="BB918" i="63"/>
  <c r="M1035" i="63"/>
  <c r="BH1273" i="63"/>
  <c r="AP510" i="63"/>
  <c r="S543" i="63"/>
  <c r="W102" i="63"/>
  <c r="Y102" i="63" s="1"/>
  <c r="BB451" i="63"/>
  <c r="AX915" i="63"/>
  <c r="AY915" i="63" s="1"/>
  <c r="AY885" i="63"/>
  <c r="AL859" i="63"/>
  <c r="AM885" i="63"/>
  <c r="AL915" i="63"/>
  <c r="AM915" i="63" s="1"/>
  <c r="AA479" i="63"/>
  <c r="AP465" i="63"/>
  <c r="AO463" i="63"/>
  <c r="AP463" i="63" s="1"/>
  <c r="M454" i="63"/>
  <c r="L378" i="63"/>
  <c r="M378" i="63" s="1"/>
  <c r="BA750" i="63"/>
  <c r="BB750" i="63" s="1"/>
  <c r="BB708" i="63"/>
  <c r="AV479" i="63"/>
  <c r="AU444" i="63"/>
  <c r="AU477" i="63"/>
  <c r="M486" i="63"/>
  <c r="AD812" i="63"/>
  <c r="L123" i="63"/>
  <c r="U123" i="63"/>
  <c r="Q712" i="63"/>
  <c r="S720" i="63"/>
  <c r="Q781" i="63"/>
  <c r="Q717" i="63"/>
  <c r="S717" i="63" s="1"/>
  <c r="BN578" i="63"/>
  <c r="BM576" i="63"/>
  <c r="BN576" i="63" s="1"/>
  <c r="BB578" i="63"/>
  <c r="BA576" i="63"/>
  <c r="BB576" i="63" s="1"/>
  <c r="BC915" i="63"/>
  <c r="BC859" i="63"/>
  <c r="BP1083" i="63"/>
  <c r="BQ1091" i="63"/>
  <c r="V1166" i="63"/>
  <c r="AA1166" i="63"/>
  <c r="AB1166" i="63" s="1"/>
  <c r="AN708" i="63"/>
  <c r="AP709" i="63"/>
  <c r="AB470" i="63"/>
  <c r="AA388" i="63"/>
  <c r="AB388" i="63" s="1"/>
  <c r="W465" i="63"/>
  <c r="W463" i="63" s="1"/>
  <c r="Y498" i="63"/>
  <c r="AX812" i="63"/>
  <c r="AA644" i="63"/>
  <c r="AB644" i="63" s="1"/>
  <c r="V644" i="63"/>
  <c r="AA834" i="63"/>
  <c r="AB834" i="63" s="1"/>
  <c r="V834" i="63"/>
  <c r="S1132" i="63"/>
  <c r="R1076" i="63"/>
  <c r="U1076" i="63" s="1"/>
  <c r="AH38" i="63"/>
  <c r="AJ38" i="63" s="1"/>
  <c r="AJ70" i="63"/>
  <c r="AY775" i="63"/>
  <c r="AW771" i="63"/>
  <c r="AW774" i="63"/>
  <c r="AA468" i="63"/>
  <c r="Y578" i="63"/>
  <c r="X576" i="63"/>
  <c r="Y576" i="63" s="1"/>
  <c r="AM775" i="63"/>
  <c r="AK771" i="63"/>
  <c r="AL477" i="63"/>
  <c r="AM479" i="63"/>
  <c r="AL444" i="63"/>
  <c r="BM510" i="63"/>
  <c r="BN510" i="63" s="1"/>
  <c r="BN512" i="63"/>
  <c r="BF477" i="63"/>
  <c r="BF440" i="63" s="1"/>
  <c r="BF439" i="63" s="1"/>
  <c r="BF444" i="63"/>
  <c r="BF442" i="63" s="1"/>
  <c r="BJ477" i="63"/>
  <c r="BK479" i="63"/>
  <c r="BJ444" i="63"/>
  <c r="BD510" i="63"/>
  <c r="BE510" i="63" s="1"/>
  <c r="BE512" i="63"/>
  <c r="P545" i="63"/>
  <c r="L545" i="63"/>
  <c r="M545" i="63" s="1"/>
  <c r="U545" i="63"/>
  <c r="O543" i="63"/>
  <c r="AA43" i="63"/>
  <c r="AB43" i="63" s="1"/>
  <c r="AB75" i="63"/>
  <c r="M446" i="63"/>
  <c r="L370" i="63"/>
  <c r="M370" i="63" s="1"/>
  <c r="BD444" i="63"/>
  <c r="BE479" i="63"/>
  <c r="BD477" i="63"/>
  <c r="AR543" i="63"/>
  <c r="AS543" i="63" s="1"/>
  <c r="AS545" i="63"/>
  <c r="BN611" i="63"/>
  <c r="BM609" i="63"/>
  <c r="BN609" i="63" s="1"/>
  <c r="AM545" i="63"/>
  <c r="AL543" i="63"/>
  <c r="AM543" i="63" s="1"/>
  <c r="AM829" i="63"/>
  <c r="AK859" i="63"/>
  <c r="AM859" i="63" s="1"/>
  <c r="AS775" i="63"/>
  <c r="AQ774" i="63"/>
  <c r="AQ771" i="63"/>
  <c r="N1083" i="63"/>
  <c r="T1091" i="63"/>
  <c r="Z1091" i="63" s="1"/>
  <c r="K1091" i="63"/>
  <c r="BJ918" i="63"/>
  <c r="BK918" i="63" s="1"/>
  <c r="AC1184" i="63"/>
  <c r="AE1140" i="63"/>
  <c r="AD1132" i="63"/>
  <c r="AE1132" i="63" s="1"/>
  <c r="M1293" i="63"/>
  <c r="AA512" i="63"/>
  <c r="V512" i="63"/>
  <c r="BB545" i="63"/>
  <c r="BA543" i="63"/>
  <c r="BB543" i="63" s="1"/>
  <c r="AS465" i="63"/>
  <c r="AR463" i="63"/>
  <c r="AS463" i="63" s="1"/>
  <c r="BE775" i="63"/>
  <c r="BC774" i="63"/>
  <c r="BC771" i="63"/>
  <c r="AX750" i="63"/>
  <c r="AA864" i="63"/>
  <c r="BL915" i="63"/>
  <c r="BN915" i="63" s="1"/>
  <c r="BL859" i="63"/>
  <c r="BN885" i="63"/>
  <c r="AR510" i="63"/>
  <c r="AS510" i="63" s="1"/>
  <c r="AS512" i="63"/>
  <c r="Z269" i="63"/>
  <c r="AB269" i="63" s="1"/>
  <c r="V269" i="63"/>
  <c r="T829" i="63"/>
  <c r="Z829" i="63" s="1"/>
  <c r="K829" i="63"/>
  <c r="K859" i="63" s="1"/>
  <c r="BD750" i="63"/>
  <c r="BQ775" i="63"/>
  <c r="BO774" i="63"/>
  <c r="BO771" i="63"/>
  <c r="Z921" i="63"/>
  <c r="AB921" i="63" s="1"/>
  <c r="V921" i="63"/>
  <c r="U1132" i="63"/>
  <c r="Y70" i="63"/>
  <c r="X38" i="63"/>
  <c r="Y38" i="63" s="1"/>
  <c r="BA510" i="63"/>
  <c r="BB510" i="63" s="1"/>
  <c r="BB512" i="63"/>
  <c r="AA90" i="63"/>
  <c r="V90" i="63"/>
  <c r="U58" i="63"/>
  <c r="V454" i="63"/>
  <c r="AA454" i="63"/>
  <c r="AA414" i="63"/>
  <c r="AB414" i="63" s="1"/>
  <c r="AB676" i="63"/>
  <c r="BD812" i="63"/>
  <c r="M612" i="63"/>
  <c r="M597" i="63"/>
  <c r="AA829" i="63"/>
  <c r="BB771" i="63"/>
  <c r="AZ758" i="63"/>
  <c r="BB758" i="63" s="1"/>
  <c r="AA646" i="63"/>
  <c r="AB646" i="63" s="1"/>
  <c r="V646" i="63"/>
  <c r="Z885" i="63"/>
  <c r="AL812" i="63"/>
  <c r="O1184" i="63"/>
  <c r="O1026" i="63"/>
  <c r="AB1081" i="63"/>
  <c r="V564" i="63"/>
  <c r="AA564" i="63"/>
  <c r="AB564" i="63" s="1"/>
  <c r="AA525" i="63"/>
  <c r="M458" i="63"/>
  <c r="L382" i="63"/>
  <c r="M382" i="63" s="1"/>
  <c r="AA504" i="63"/>
  <c r="V1079" i="63"/>
  <c r="AA1079" i="63"/>
  <c r="AB1079" i="63" s="1"/>
  <c r="AA1306" i="63"/>
  <c r="AB1306" i="63" s="1"/>
  <c r="V1306" i="63"/>
  <c r="AE457" i="63"/>
  <c r="BK859" i="63"/>
  <c r="AL463" i="63"/>
  <c r="AM463" i="63" s="1"/>
  <c r="AM465" i="63"/>
  <c r="X477" i="63"/>
  <c r="Y479" i="63"/>
  <c r="X444" i="63"/>
  <c r="Y545" i="63"/>
  <c r="X543" i="63"/>
  <c r="Y543" i="63" s="1"/>
  <c r="AB861" i="63"/>
  <c r="AA117" i="63"/>
  <c r="AW477" i="63"/>
  <c r="AW440" i="63" s="1"/>
  <c r="AW439" i="63" s="1"/>
  <c r="AW444" i="63"/>
  <c r="AW442" i="63" s="1"/>
  <c r="AA170" i="63"/>
  <c r="BL444" i="63"/>
  <c r="BL442" i="63" s="1"/>
  <c r="BL477" i="63"/>
  <c r="BL440" i="63" s="1"/>
  <c r="BL439" i="63" s="1"/>
  <c r="V531" i="63"/>
  <c r="AA531" i="63"/>
  <c r="AB531" i="63" s="1"/>
  <c r="V546" i="63"/>
  <c r="AA546" i="63"/>
  <c r="AB546" i="63" s="1"/>
  <c r="M452" i="63"/>
  <c r="L376" i="63"/>
  <c r="M376" i="63" s="1"/>
  <c r="AM451" i="63"/>
  <c r="Y471" i="63"/>
  <c r="S714" i="63"/>
  <c r="Q710" i="63"/>
  <c r="Q713" i="63"/>
  <c r="AL750" i="63"/>
  <c r="AB1174" i="63"/>
  <c r="AA1068" i="63"/>
  <c r="AB1068" i="63" s="1"/>
  <c r="S137" i="63"/>
  <c r="BC444" i="63"/>
  <c r="BC442" i="63" s="1"/>
  <c r="BC477" i="63"/>
  <c r="BC440" i="63" s="1"/>
  <c r="BC439" i="63" s="1"/>
  <c r="AV465" i="63"/>
  <c r="AU463" i="63"/>
  <c r="AV463" i="63" s="1"/>
  <c r="AA71" i="63"/>
  <c r="U39" i="63"/>
  <c r="V39" i="63" s="1"/>
  <c r="V71" i="63"/>
  <c r="T578" i="63"/>
  <c r="Z578" i="63" s="1"/>
  <c r="N576" i="63"/>
  <c r="K578" i="63"/>
  <c r="BO444" i="63"/>
  <c r="BO442" i="63" s="1"/>
  <c r="BO477" i="63"/>
  <c r="BO440" i="63" s="1"/>
  <c r="BO439" i="63" s="1"/>
  <c r="AB1099" i="63"/>
  <c r="V1077" i="63"/>
  <c r="AA1077" i="63"/>
  <c r="AB1077" i="63" s="1"/>
  <c r="AB1112" i="63"/>
  <c r="AA1060" i="63"/>
  <c r="AA1037" i="63"/>
  <c r="T1132" i="63"/>
  <c r="AB1156" i="63"/>
  <c r="AA1058" i="63"/>
  <c r="AB1058" i="63" s="1"/>
  <c r="K1213" i="63"/>
  <c r="Z1322" i="63"/>
  <c r="AB1322" i="63" s="1"/>
  <c r="AC778" i="63"/>
  <c r="AE781" i="63"/>
  <c r="AC773" i="63"/>
  <c r="AC3" i="63"/>
  <c r="BN70" i="63"/>
  <c r="BM38" i="63"/>
  <c r="BN38" i="63" s="1"/>
  <c r="L465" i="63"/>
  <c r="U465" i="63"/>
  <c r="O463" i="63"/>
  <c r="BP609" i="63"/>
  <c r="BQ609" i="63" s="1"/>
  <c r="BQ611" i="63"/>
  <c r="AM512" i="63"/>
  <c r="AL510" i="63"/>
  <c r="AM510" i="63" s="1"/>
  <c r="AA552" i="63"/>
  <c r="AB552" i="63" s="1"/>
  <c r="V552" i="63"/>
  <c r="AB895" i="63"/>
  <c r="AA867" i="63"/>
  <c r="AB867" i="63" s="1"/>
  <c r="V1316" i="63"/>
  <c r="X463" i="63"/>
  <c r="L379" i="63"/>
  <c r="M379" i="63" s="1"/>
  <c r="M455" i="63"/>
  <c r="U445" i="63"/>
  <c r="L445" i="63"/>
  <c r="P445" i="63"/>
  <c r="K512" i="63"/>
  <c r="Q444" i="63"/>
  <c r="Q442" i="63" s="1"/>
  <c r="Q477" i="63"/>
  <c r="Q440" i="63" s="1"/>
  <c r="Q439" i="63" s="1"/>
  <c r="AT477" i="63"/>
  <c r="AT440" i="63" s="1"/>
  <c r="AT439" i="63" s="1"/>
  <c r="AT444" i="63"/>
  <c r="AT442" i="63" s="1"/>
  <c r="AY512" i="63"/>
  <c r="AX510" i="63"/>
  <c r="AY510" i="63" s="1"/>
  <c r="BN829" i="63"/>
  <c r="BM859" i="63"/>
  <c r="BN859" i="63" s="1"/>
  <c r="AV102" i="63"/>
  <c r="I123" i="63"/>
  <c r="BE465" i="63"/>
  <c r="BD463" i="63"/>
  <c r="BE463" i="63" s="1"/>
  <c r="R609" i="63"/>
  <c r="S609" i="63" s="1"/>
  <c r="S611" i="63"/>
  <c r="U451" i="63"/>
  <c r="P451" i="63"/>
  <c r="L451" i="63"/>
  <c r="BO463" i="63"/>
  <c r="AC444" i="63"/>
  <c r="AC442" i="63" s="1"/>
  <c r="AC477" i="63"/>
  <c r="P859" i="63"/>
  <c r="AA380" i="63"/>
  <c r="AB380" i="63" s="1"/>
  <c r="AB456" i="63"/>
  <c r="BQ445" i="63"/>
  <c r="AA519" i="63"/>
  <c r="AB519" i="63" s="1"/>
  <c r="V519" i="63"/>
  <c r="AV885" i="63"/>
  <c r="AU859" i="63"/>
  <c r="AV859" i="63" s="1"/>
  <c r="AU915" i="63"/>
  <c r="AV915" i="63" s="1"/>
  <c r="AZ444" i="63"/>
  <c r="AZ442" i="63" s="1"/>
  <c r="AZ477" i="63"/>
  <c r="AZ440" i="63" s="1"/>
  <c r="AZ439" i="63" s="1"/>
  <c r="AU510" i="63"/>
  <c r="AV510" i="63" s="1"/>
  <c r="AV512" i="63"/>
  <c r="BH708" i="63"/>
  <c r="BG750" i="63"/>
  <c r="BH750" i="63" s="1"/>
  <c r="M1091" i="63"/>
  <c r="AJ925" i="63"/>
  <c r="AI918" i="63"/>
  <c r="AJ918" i="63" s="1"/>
  <c r="BJ812" i="63"/>
  <c r="BH925" i="63"/>
  <c r="BG918" i="63"/>
  <c r="BH918" i="63" s="1"/>
  <c r="AP1140" i="63"/>
  <c r="AO1132" i="63"/>
  <c r="AP1132" i="63" s="1"/>
  <c r="AB1125" i="63"/>
  <c r="AA1045" i="63"/>
  <c r="AB1045" i="63" s="1"/>
  <c r="M1233" i="63"/>
  <c r="L1213" i="63"/>
  <c r="M1213" i="63" s="1"/>
  <c r="BJ463" i="63"/>
  <c r="BK463" i="63" s="1"/>
  <c r="BK465" i="63"/>
  <c r="AA390" i="63"/>
  <c r="AB390" i="63" s="1"/>
  <c r="AB476" i="63"/>
  <c r="V458" i="63"/>
  <c r="AA458" i="63"/>
  <c r="L471" i="63"/>
  <c r="U471" i="63"/>
  <c r="K642" i="63"/>
  <c r="AD750" i="63"/>
  <c r="S642" i="63"/>
  <c r="AP100" i="63"/>
  <c r="BQ465" i="63"/>
  <c r="BP463" i="63"/>
  <c r="BQ463" i="63" s="1"/>
  <c r="L769" i="63"/>
  <c r="O812" i="63"/>
  <c r="U769" i="63"/>
  <c r="Z925" i="63"/>
  <c r="AB925" i="63" s="1"/>
  <c r="V925" i="63"/>
  <c r="AA648" i="63"/>
  <c r="AB648" i="63" s="1"/>
  <c r="V648" i="63"/>
  <c r="Z404" i="63"/>
  <c r="AB404" i="63" s="1"/>
  <c r="AB664" i="63"/>
  <c r="AR1083" i="63"/>
  <c r="AS1091" i="63"/>
  <c r="M1306" i="63"/>
  <c r="L479" i="63"/>
  <c r="BB465" i="63"/>
  <c r="BA463" i="63"/>
  <c r="Z941" i="63"/>
  <c r="AB941" i="63" s="1"/>
  <c r="V941" i="63"/>
  <c r="BK915" i="63"/>
  <c r="AA385" i="63"/>
  <c r="AD510" i="63"/>
  <c r="AE512" i="63"/>
  <c r="AB105" i="63"/>
  <c r="Y713" i="63"/>
  <c r="AM471" i="63"/>
  <c r="V630" i="63"/>
  <c r="AA492" i="63"/>
  <c r="V860" i="63"/>
  <c r="AB1346" i="63"/>
  <c r="V447" i="63"/>
  <c r="AA447" i="63"/>
  <c r="AE465" i="63"/>
  <c r="AD463" i="63"/>
  <c r="K70" i="63"/>
  <c r="K38" i="63" s="1"/>
  <c r="T70" i="63"/>
  <c r="N38" i="63"/>
  <c r="AA466" i="63"/>
  <c r="AB466" i="63" s="1"/>
  <c r="V466" i="63"/>
  <c r="M546" i="63"/>
  <c r="BQ471" i="63"/>
  <c r="AV578" i="63"/>
  <c r="AU576" i="63"/>
  <c r="AV576" i="63" s="1"/>
  <c r="V650" i="63"/>
  <c r="Y100" i="63"/>
  <c r="H440" i="63"/>
  <c r="I477" i="63"/>
  <c r="Y504" i="63"/>
  <c r="AP578" i="63"/>
  <c r="AO576" i="63"/>
  <c r="AP576" i="63" s="1"/>
  <c r="AB654" i="63"/>
  <c r="AA395" i="63"/>
  <c r="AB395" i="63" s="1"/>
  <c r="BH465" i="63"/>
  <c r="BG463" i="63"/>
  <c r="AD609" i="63"/>
  <c r="AE609" i="63" s="1"/>
  <c r="AE611" i="63"/>
  <c r="BK545" i="63"/>
  <c r="BJ543" i="63"/>
  <c r="BK543" i="63" s="1"/>
  <c r="P578" i="63"/>
  <c r="L578" i="63"/>
  <c r="M578" i="63" s="1"/>
  <c r="U578" i="63"/>
  <c r="O576" i="63"/>
  <c r="AY611" i="63"/>
  <c r="AX609" i="63"/>
  <c r="AY609" i="63" s="1"/>
  <c r="AB835" i="63"/>
  <c r="AQ709" i="63"/>
  <c r="AS713" i="63"/>
  <c r="M921" i="63"/>
  <c r="Z400" i="63"/>
  <c r="AB400" i="63" s="1"/>
  <c r="AB660" i="63"/>
  <c r="AB803" i="63"/>
  <c r="J803" i="63" s="1"/>
  <c r="BD915" i="63"/>
  <c r="BE915" i="63" s="1"/>
  <c r="BD859" i="63"/>
  <c r="BE859" i="63" s="1"/>
  <c r="BE885" i="63"/>
  <c r="AE974" i="63"/>
  <c r="AC918" i="63"/>
  <c r="AE918" i="63" s="1"/>
  <c r="I757" i="63"/>
  <c r="AZ1184" i="63"/>
  <c r="AZ1026" i="63"/>
  <c r="BP915" i="63"/>
  <c r="BQ915" i="63" s="1"/>
  <c r="BP859" i="63"/>
  <c r="BQ859" i="63" s="1"/>
  <c r="BQ885" i="63"/>
  <c r="BE1083" i="63"/>
  <c r="AB900" i="63"/>
  <c r="AA872" i="63"/>
  <c r="AB872" i="63" s="1"/>
  <c r="AA1140" i="63"/>
  <c r="V1140" i="63"/>
  <c r="AB1133" i="63"/>
  <c r="V1035" i="63"/>
  <c r="BN1140" i="63"/>
  <c r="BM1132" i="63"/>
  <c r="BN1132" i="63" s="1"/>
  <c r="Z1282" i="63"/>
  <c r="T1273" i="63"/>
  <c r="V1273" i="63" s="1"/>
  <c r="V1282" i="63"/>
  <c r="M1328" i="63"/>
  <c r="BL771" i="63"/>
  <c r="BN775" i="63"/>
  <c r="BL774" i="63"/>
  <c r="AZ463" i="63"/>
  <c r="M377" i="63"/>
  <c r="AT38" i="63"/>
  <c r="AV38" i="63" s="1"/>
  <c r="AV70" i="63"/>
  <c r="M388" i="63"/>
  <c r="M71" i="63"/>
  <c r="L39" i="63"/>
  <c r="M39" i="63" s="1"/>
  <c r="BN479" i="63"/>
  <c r="AA111" i="63"/>
  <c r="AB111" i="63" s="1"/>
  <c r="V111" i="63"/>
  <c r="M371" i="63"/>
  <c r="BN545" i="63"/>
  <c r="BM543" i="63"/>
  <c r="BN543" i="63" s="1"/>
  <c r="S798" i="63"/>
  <c r="M836" i="63"/>
  <c r="BH445" i="63"/>
  <c r="T445" i="63"/>
  <c r="Z445" i="63" s="1"/>
  <c r="K445" i="63"/>
  <c r="Y512" i="63"/>
  <c r="X510" i="63"/>
  <c r="Y510" i="63" s="1"/>
  <c r="AM578" i="63"/>
  <c r="AL576" i="63"/>
  <c r="AM576" i="63" s="1"/>
  <c r="V1099" i="63"/>
  <c r="BC709" i="63"/>
  <c r="BE713" i="63"/>
  <c r="AO812" i="63"/>
  <c r="BQ925" i="63"/>
  <c r="BO918" i="63"/>
  <c r="Z1060" i="63"/>
  <c r="Z1037" i="63"/>
  <c r="BK1083" i="63"/>
  <c r="BJ1076" i="63"/>
  <c r="V1037" i="63"/>
  <c r="AJ1091" i="63"/>
  <c r="AI1083" i="63"/>
  <c r="M1166" i="63"/>
  <c r="Y1213" i="63"/>
  <c r="Z1259" i="63"/>
  <c r="K1259" i="63"/>
  <c r="AB1296" i="63"/>
  <c r="AB1350" i="63"/>
  <c r="AA1332" i="63"/>
  <c r="AB1332" i="63" s="1"/>
  <c r="AB448" i="63"/>
  <c r="AA372" i="63"/>
  <c r="AB372" i="63" s="1"/>
  <c r="AB92" i="63"/>
  <c r="AA60" i="63"/>
  <c r="AB60" i="63" s="1"/>
  <c r="S498" i="63"/>
  <c r="M464" i="63"/>
  <c r="M29" i="63"/>
  <c r="V591" i="63"/>
  <c r="AA591" i="63"/>
  <c r="AB591" i="63" s="1"/>
  <c r="L760" i="63"/>
  <c r="L862" i="63"/>
  <c r="M862" i="63" s="1"/>
  <c r="AD543" i="63"/>
  <c r="AE543" i="63" s="1"/>
  <c r="AE545" i="63"/>
  <c r="J757" i="63"/>
  <c r="BO709" i="63"/>
  <c r="BQ713" i="63"/>
  <c r="AY925" i="63"/>
  <c r="AX918" i="63"/>
  <c r="Z924" i="63"/>
  <c r="AB924" i="63" s="1"/>
  <c r="V924" i="63"/>
  <c r="M1037" i="63"/>
  <c r="AS864" i="63"/>
  <c r="V867" i="63"/>
  <c r="AB1283" i="63"/>
  <c r="P1132" i="63"/>
  <c r="M1322" i="63"/>
  <c r="Z1326" i="63"/>
  <c r="AB1334" i="63"/>
  <c r="AA1316" i="63"/>
  <c r="AB1316" i="63" s="1"/>
  <c r="L384" i="63"/>
  <c r="L58" i="63"/>
  <c r="M90" i="63"/>
  <c r="AM70" i="63"/>
  <c r="AL38" i="63"/>
  <c r="AM38" i="63" s="1"/>
  <c r="V612" i="63"/>
  <c r="AA612" i="63"/>
  <c r="AB612" i="63" s="1"/>
  <c r="R444" i="63"/>
  <c r="S479" i="63"/>
  <c r="R477" i="63"/>
  <c r="AA603" i="63"/>
  <c r="AB603" i="63" s="1"/>
  <c r="V603" i="63"/>
  <c r="L918" i="63"/>
  <c r="Y918" i="63"/>
  <c r="AA918" i="63"/>
  <c r="BI1184" i="63"/>
  <c r="BI1026" i="63"/>
  <c r="S974" i="63"/>
  <c r="K974" i="63"/>
  <c r="M974" i="63" s="1"/>
  <c r="AB1247" i="63"/>
  <c r="AA1223" i="63"/>
  <c r="AB1223" i="63" s="1"/>
  <c r="AE117" i="63"/>
  <c r="AC102" i="63"/>
  <c r="AE102" i="63" s="1"/>
  <c r="W781" i="63"/>
  <c r="W712" i="63"/>
  <c r="Y712" i="63" s="1"/>
  <c r="Y720" i="63"/>
  <c r="W717" i="63"/>
  <c r="Y717" i="63" s="1"/>
  <c r="G38" i="63"/>
  <c r="I38" i="63" s="1"/>
  <c r="I70" i="63"/>
  <c r="AV774" i="63"/>
  <c r="AV1091" i="63"/>
  <c r="AU1083" i="63"/>
  <c r="AY545" i="63"/>
  <c r="AX543" i="63"/>
  <c r="AY543" i="63" s="1"/>
  <c r="BD543" i="63"/>
  <c r="BE543" i="63" s="1"/>
  <c r="BE545" i="63"/>
  <c r="V449" i="63"/>
  <c r="AA449" i="63"/>
  <c r="AA137" i="63"/>
  <c r="AY465" i="63"/>
  <c r="AX463" i="63"/>
  <c r="AY463" i="63" s="1"/>
  <c r="AB805" i="63"/>
  <c r="AA764" i="63"/>
  <c r="AB764" i="63" s="1"/>
  <c r="AA467" i="63"/>
  <c r="AU750" i="63"/>
  <c r="AA709" i="63"/>
  <c r="AA370" i="63"/>
  <c r="AB370" i="63" s="1"/>
  <c r="AB446" i="63"/>
  <c r="AI463" i="63"/>
  <c r="BB642" i="63"/>
  <c r="R915" i="63"/>
  <c r="S885" i="63"/>
  <c r="R859" i="63"/>
  <c r="L885" i="63"/>
  <c r="U885" i="63"/>
  <c r="AB1240" i="63"/>
  <c r="AA1218" i="63"/>
  <c r="AB1218" i="63" s="1"/>
  <c r="S100" i="63"/>
  <c r="AD444" i="63"/>
  <c r="AE479" i="63"/>
  <c r="AD477" i="63"/>
  <c r="BN713" i="63"/>
  <c r="BL709" i="63"/>
  <c r="BP510" i="63"/>
  <c r="BQ510" i="63" s="1"/>
  <c r="BQ512" i="63"/>
  <c r="P70" i="63"/>
  <c r="L70" i="63"/>
  <c r="O38" i="63"/>
  <c r="U70" i="63"/>
  <c r="AB455" i="63"/>
  <c r="AA379" i="63"/>
  <c r="AB379" i="63" s="1"/>
  <c r="AI750" i="63"/>
  <c r="V624" i="63"/>
  <c r="AA624" i="63"/>
  <c r="AB624" i="63" s="1"/>
  <c r="BH1083" i="63"/>
  <c r="BG1076" i="63"/>
  <c r="M1273" i="63"/>
  <c r="BF38" i="63"/>
  <c r="BH38" i="63" s="1"/>
  <c r="BH70" i="63"/>
  <c r="AA464" i="63"/>
  <c r="AB464" i="63" s="1"/>
  <c r="V464" i="63"/>
  <c r="AA498" i="63"/>
  <c r="BK775" i="63"/>
  <c r="BI771" i="63"/>
  <c r="BI774" i="63"/>
  <c r="BJ750" i="63"/>
  <c r="I1091" i="63"/>
  <c r="H1083" i="63"/>
  <c r="V480" i="63"/>
  <c r="K451" i="63"/>
  <c r="T451" i="63"/>
  <c r="Z451" i="63" s="1"/>
  <c r="BB709" i="63"/>
  <c r="AM611" i="63"/>
  <c r="AL609" i="63"/>
  <c r="AM609" i="63" s="1"/>
  <c r="T611" i="63"/>
  <c r="Z611" i="63" s="1"/>
  <c r="N609" i="63"/>
  <c r="K611" i="63"/>
  <c r="BG543" i="63"/>
  <c r="BH543" i="63" s="1"/>
  <c r="BH545" i="63"/>
  <c r="M603" i="63"/>
  <c r="AB672" i="63"/>
  <c r="AA411" i="63"/>
  <c r="AB411" i="63" s="1"/>
  <c r="AJ611" i="63"/>
  <c r="AI609" i="63"/>
  <c r="AJ609" i="63" s="1"/>
  <c r="AB678" i="63"/>
  <c r="AA416" i="63"/>
  <c r="AB416" i="63" s="1"/>
  <c r="P1091" i="63"/>
  <c r="AB807" i="63"/>
  <c r="AA765" i="63"/>
  <c r="AB765" i="63" s="1"/>
  <c r="AB863" i="63"/>
  <c r="Z983" i="63"/>
  <c r="V983" i="63"/>
  <c r="T974" i="63"/>
  <c r="V974" i="63" s="1"/>
  <c r="AB1084" i="63"/>
  <c r="AA1028" i="63"/>
  <c r="AB1028" i="63" s="1"/>
  <c r="BN1091" i="63"/>
  <c r="BM1083" i="63"/>
  <c r="AY1140" i="63"/>
  <c r="AW1132" i="63"/>
  <c r="AB1167" i="63"/>
  <c r="AA1063" i="63"/>
  <c r="AB1063" i="63" s="1"/>
  <c r="AR609" i="63"/>
  <c r="AS609" i="63" s="1"/>
  <c r="AS611" i="63"/>
  <c r="AO477" i="63"/>
  <c r="AP479" i="63"/>
  <c r="AO444" i="63"/>
  <c r="V500" i="63"/>
  <c r="U757" i="63"/>
  <c r="AA770" i="63"/>
  <c r="AJ578" i="63"/>
  <c r="AI576" i="63"/>
  <c r="AJ576" i="63" s="1"/>
  <c r="Q918" i="63"/>
  <c r="L477" i="63"/>
  <c r="U477" i="63"/>
  <c r="AA469" i="63"/>
  <c r="L385" i="63"/>
  <c r="AN444" i="63"/>
  <c r="AN442" i="63" s="1"/>
  <c r="AN477" i="63"/>
  <c r="AN440" i="63" s="1"/>
  <c r="AN439" i="63" s="1"/>
  <c r="Y710" i="63"/>
  <c r="W758" i="63"/>
  <c r="Y758" i="63" s="1"/>
  <c r="AA386" i="63"/>
  <c r="AB386" i="63" s="1"/>
  <c r="AB462" i="63"/>
  <c r="AR444" i="63"/>
  <c r="AS479" i="63"/>
  <c r="AR477" i="63"/>
  <c r="AB830" i="63"/>
  <c r="Q915" i="63"/>
  <c r="K915" i="63" s="1"/>
  <c r="Q859" i="63"/>
  <c r="L100" i="63"/>
  <c r="U100" i="63"/>
  <c r="AB650" i="63"/>
  <c r="O750" i="63"/>
  <c r="U708" i="63"/>
  <c r="L708" i="63"/>
  <c r="AQ444" i="63"/>
  <c r="AQ442" i="63" s="1"/>
  <c r="AQ477" i="63"/>
  <c r="AQ440" i="63" s="1"/>
  <c r="AQ439" i="63" s="1"/>
  <c r="AP642" i="63"/>
  <c r="AA585" i="63"/>
  <c r="AB585" i="63" s="1"/>
  <c r="V585" i="63"/>
  <c r="M892" i="63"/>
  <c r="L864" i="63"/>
  <c r="M864" i="63" s="1"/>
  <c r="AB1107" i="63"/>
  <c r="AA1035" i="63"/>
  <c r="AB1035" i="63" s="1"/>
  <c r="BK1259" i="63"/>
  <c r="V1218" i="63"/>
  <c r="M512" i="63"/>
  <c r="BK611" i="63"/>
  <c r="BJ609" i="63"/>
  <c r="BK609" i="63" s="1"/>
  <c r="BK578" i="63"/>
  <c r="BJ576" i="63"/>
  <c r="BK576" i="63" s="1"/>
  <c r="BM444" i="63"/>
  <c r="AX477" i="63"/>
  <c r="AY479" i="63"/>
  <c r="AX444" i="63"/>
  <c r="AY70" i="63"/>
  <c r="AX38" i="63"/>
  <c r="AY38" i="63" s="1"/>
  <c r="U642" i="63"/>
  <c r="P642" i="63"/>
  <c r="L642" i="63"/>
  <c r="M642" i="63" s="1"/>
  <c r="R812" i="63"/>
  <c r="AM925" i="63"/>
  <c r="AL918" i="63"/>
  <c r="AM918" i="63" s="1"/>
  <c r="BE1140" i="63"/>
  <c r="BD1132" i="63"/>
  <c r="BE1132" i="63" s="1"/>
  <c r="M1316" i="63"/>
  <c r="V558" i="63"/>
  <c r="AA558" i="63"/>
  <c r="AB558" i="63" s="1"/>
  <c r="AU609" i="63"/>
  <c r="AV609" i="63" s="1"/>
  <c r="AV611" i="63"/>
  <c r="AA29" i="63"/>
  <c r="AB29" i="63" s="1"/>
  <c r="V29" i="63"/>
  <c r="AA666" i="63"/>
  <c r="AB666" i="63" s="1"/>
  <c r="V666" i="63"/>
  <c r="AE714" i="63"/>
  <c r="AC713" i="63"/>
  <c r="AC710" i="63"/>
  <c r="AA798" i="63"/>
  <c r="U760" i="63"/>
  <c r="BH611" i="63"/>
  <c r="BG609" i="63"/>
  <c r="BH609" i="63" s="1"/>
  <c r="AI812" i="63"/>
  <c r="L1132" i="63"/>
  <c r="T1326" i="63"/>
  <c r="V1326" i="63" s="1"/>
  <c r="M448" i="63"/>
  <c r="L372" i="63"/>
  <c r="M372" i="63" s="1"/>
  <c r="AA475" i="63"/>
  <c r="AA537" i="63"/>
  <c r="AB537" i="63" s="1"/>
  <c r="V537" i="63"/>
  <c r="BD609" i="63"/>
  <c r="BE609" i="63" s="1"/>
  <c r="BE611" i="63"/>
  <c r="BH774" i="63"/>
  <c r="AA474" i="63"/>
  <c r="AJ545" i="63"/>
  <c r="AI543" i="63"/>
  <c r="AJ543" i="63" s="1"/>
  <c r="M269" i="63"/>
  <c r="AA486" i="63"/>
  <c r="AB486" i="63" s="1"/>
  <c r="V486" i="63"/>
  <c r="P611" i="63"/>
  <c r="L611" i="63"/>
  <c r="U611" i="63"/>
  <c r="O609" i="63"/>
  <c r="BI442" i="63"/>
  <c r="S445" i="63"/>
  <c r="AD576" i="63"/>
  <c r="AE576" i="63" s="1"/>
  <c r="AE578" i="63"/>
  <c r="V597" i="63"/>
  <c r="AA597" i="63"/>
  <c r="AB597" i="63" s="1"/>
  <c r="AA618" i="63"/>
  <c r="AB618" i="63" s="1"/>
  <c r="V618" i="63"/>
  <c r="BB774" i="63"/>
  <c r="BP444" i="63"/>
  <c r="BQ479" i="63"/>
  <c r="BP477" i="63"/>
  <c r="M646" i="63"/>
  <c r="V890" i="63"/>
  <c r="AA890" i="63"/>
  <c r="U862" i="63"/>
  <c r="AA125" i="63"/>
  <c r="Q123" i="63"/>
  <c r="S123" i="63" s="1"/>
  <c r="S125" i="63"/>
  <c r="AA384" i="63"/>
  <c r="AC471" i="63"/>
  <c r="AC463" i="63" s="1"/>
  <c r="AE504" i="63"/>
  <c r="AU812" i="63"/>
  <c r="T915" i="63"/>
  <c r="Z915" i="63" s="1"/>
  <c r="AA1091" i="63"/>
  <c r="BM812" i="63"/>
  <c r="X1184" i="63"/>
  <c r="X1026" i="63"/>
  <c r="AA1083" i="63"/>
  <c r="Z890" i="63"/>
  <c r="Z862" i="63" s="1"/>
  <c r="T862" i="63"/>
  <c r="BC1026" i="63"/>
  <c r="AA1214" i="63"/>
  <c r="AB1214" i="63" s="1"/>
  <c r="AB1234" i="63"/>
  <c r="P1259" i="63"/>
  <c r="L1259" i="63"/>
  <c r="M1259" i="63" s="1"/>
  <c r="U1259" i="63"/>
  <c r="V1233" i="63"/>
  <c r="U1213" i="63"/>
  <c r="AA1233" i="63"/>
  <c r="M1058" i="63"/>
  <c r="AA1216" i="63"/>
  <c r="AB1216" i="63" s="1"/>
  <c r="AB1236" i="63"/>
  <c r="BP543" i="63"/>
  <c r="BQ543" i="63" s="1"/>
  <c r="BQ545" i="63"/>
  <c r="AC100" i="63"/>
  <c r="AE100" i="63" s="1"/>
  <c r="AE137" i="63"/>
  <c r="BH512" i="63"/>
  <c r="BG510" i="63"/>
  <c r="BH510" i="63" s="1"/>
  <c r="AB831" i="63"/>
  <c r="BJ38" i="63"/>
  <c r="BK38" i="63" s="1"/>
  <c r="BK70" i="63"/>
  <c r="BK512" i="63"/>
  <c r="BJ510" i="63"/>
  <c r="BK510" i="63" s="1"/>
  <c r="BB611" i="63"/>
  <c r="BA609" i="63"/>
  <c r="BB609" i="63" s="1"/>
  <c r="AT709" i="63"/>
  <c r="L757" i="63"/>
  <c r="AB668" i="63"/>
  <c r="AA407" i="63"/>
  <c r="AB407" i="63" s="1"/>
  <c r="V1155" i="63"/>
  <c r="AL1184" i="63"/>
  <c r="AA1217" i="63"/>
  <c r="AB1217" i="63" s="1"/>
  <c r="AB1237" i="63"/>
  <c r="W1132" i="63"/>
  <c r="Y1140" i="63"/>
  <c r="AA1215" i="63"/>
  <c r="AB1215" i="63" s="1"/>
  <c r="AB1235" i="63"/>
  <c r="P1326" i="63"/>
  <c r="O444" i="63"/>
  <c r="AW709" i="63"/>
  <c r="AY713" i="63"/>
  <c r="BE471" i="63"/>
  <c r="AA473" i="63"/>
  <c r="AB473" i="63" s="1"/>
  <c r="V473" i="63"/>
  <c r="AA302" i="63"/>
  <c r="AB302" i="63" s="1"/>
  <c r="V302" i="63"/>
  <c r="AM713" i="63"/>
  <c r="AK709" i="63"/>
  <c r="BD576" i="63"/>
  <c r="BE576" i="63" s="1"/>
  <c r="BE578" i="63"/>
  <c r="U457" i="63"/>
  <c r="L457" i="63"/>
  <c r="AP611" i="63"/>
  <c r="AO609" i="63"/>
  <c r="AP609" i="63" s="1"/>
  <c r="AT758" i="63"/>
  <c r="AV758" i="63" s="1"/>
  <c r="AV771" i="63"/>
  <c r="AA759" i="63"/>
  <c r="AB670" i="63"/>
  <c r="AA409" i="63"/>
  <c r="AB409" i="63" s="1"/>
  <c r="Z892" i="63"/>
  <c r="Z864" i="63" s="1"/>
  <c r="T864" i="63"/>
  <c r="AP1083" i="63"/>
  <c r="AB1118" i="63"/>
  <c r="AA1040" i="63"/>
  <c r="AB1040" i="63" s="1"/>
  <c r="BK457" i="63"/>
  <c r="AP771" i="63"/>
  <c r="AN758" i="63"/>
  <c r="AP758" i="63" s="1"/>
  <c r="Y123" i="63"/>
  <c r="V636" i="63"/>
  <c r="AA636" i="63"/>
  <c r="AB636" i="63" s="1"/>
  <c r="V453" i="63"/>
  <c r="AA453" i="63"/>
  <c r="BK451" i="63"/>
  <c r="M531" i="63"/>
  <c r="Y611" i="63"/>
  <c r="X609" i="63"/>
  <c r="Y609" i="63" s="1"/>
  <c r="M449" i="63"/>
  <c r="L373" i="63"/>
  <c r="M373" i="63" s="1"/>
  <c r="AV100" i="63"/>
  <c r="BH100" i="63"/>
  <c r="V452" i="63"/>
  <c r="AA452" i="63"/>
  <c r="W477" i="63"/>
  <c r="W440" i="63" s="1"/>
  <c r="W439" i="63" s="1"/>
  <c r="W444" i="63"/>
  <c r="W442" i="63" s="1"/>
  <c r="BE445" i="63"/>
  <c r="BN465" i="63"/>
  <c r="BM463" i="63"/>
  <c r="BN463" i="63" s="1"/>
  <c r="AC510" i="63"/>
  <c r="K543" i="63"/>
  <c r="T543" i="63"/>
  <c r="Z543" i="63" s="1"/>
  <c r="V764" i="63"/>
  <c r="Z90" i="63"/>
  <c r="Z58" i="63" s="1"/>
  <c r="T58" i="63"/>
  <c r="Y137" i="63"/>
  <c r="AI444" i="63"/>
  <c r="AI477" i="63"/>
  <c r="I444" i="63"/>
  <c r="H442" i="63"/>
  <c r="I442" i="63" s="1"/>
  <c r="V570" i="63"/>
  <c r="AA570" i="63"/>
  <c r="AB570" i="63" s="1"/>
  <c r="S467" i="63"/>
  <c r="K467" i="63"/>
  <c r="M467" i="63" s="1"/>
  <c r="T467" i="63"/>
  <c r="Z467" i="63" s="1"/>
  <c r="AA418" i="63"/>
  <c r="AB418" i="63" s="1"/>
  <c r="AB680" i="63"/>
  <c r="BG812" i="63"/>
  <c r="V863" i="63"/>
  <c r="AB763" i="63"/>
  <c r="Y760" i="63"/>
  <c r="Z1092" i="63"/>
  <c r="AB1092" i="63" s="1"/>
  <c r="V1092" i="63"/>
  <c r="AA860" i="63"/>
  <c r="AB860" i="63" s="1"/>
  <c r="AQ859" i="63"/>
  <c r="AQ915" i="63"/>
  <c r="V1082" i="63"/>
  <c r="AA1082" i="63"/>
  <c r="AB1082" i="63" s="1"/>
  <c r="S864" i="63"/>
  <c r="AB909" i="63"/>
  <c r="AA879" i="63"/>
  <c r="AB879" i="63" s="1"/>
  <c r="V872" i="63"/>
  <c r="BA1184" i="63"/>
  <c r="BB1076" i="63"/>
  <c r="BA1026" i="63"/>
  <c r="BB1026" i="63" s="1"/>
  <c r="L1140" i="63"/>
  <c r="M1140" i="63" s="1"/>
  <c r="M1223" i="63"/>
  <c r="BK1213" i="63"/>
  <c r="V1328" i="63"/>
  <c r="U510" i="63"/>
  <c r="L510" i="63"/>
  <c r="AE445" i="63"/>
  <c r="AO859" i="63"/>
  <c r="AP859" i="63" s="1"/>
  <c r="S576" i="63"/>
  <c r="M453" i="63"/>
  <c r="AI510" i="63"/>
  <c r="AJ512" i="63"/>
  <c r="V674" i="63"/>
  <c r="AA674" i="63"/>
  <c r="M390" i="63"/>
  <c r="AP545" i="63"/>
  <c r="AO543" i="63"/>
  <c r="AP543" i="63" s="1"/>
  <c r="BN477" i="63"/>
  <c r="L102" i="63"/>
  <c r="U102" i="63"/>
  <c r="M447" i="63"/>
  <c r="S760" i="63"/>
  <c r="AA103" i="63"/>
  <c r="AB103" i="63" s="1"/>
  <c r="V103" i="63"/>
  <c r="BH479" i="63"/>
  <c r="BG444" i="63"/>
  <c r="BG477" i="63"/>
  <c r="AA761" i="63"/>
  <c r="N444" i="63"/>
  <c r="K479" i="63"/>
  <c r="T479" i="63"/>
  <c r="Z479" i="63" s="1"/>
  <c r="AR576" i="63"/>
  <c r="AS576" i="63" s="1"/>
  <c r="AS578" i="63"/>
  <c r="I918" i="63"/>
  <c r="BG576" i="63"/>
  <c r="BH576" i="63" s="1"/>
  <c r="BH578" i="63"/>
  <c r="V864" i="63"/>
  <c r="I708" i="63"/>
  <c r="H750" i="63"/>
  <c r="I750" i="63" s="1"/>
  <c r="M1077" i="63"/>
  <c r="V1060" i="63"/>
  <c r="AN1184" i="63"/>
  <c r="AN1026" i="63"/>
  <c r="Z1187" i="63"/>
  <c r="Z1213" i="63" s="1"/>
  <c r="V1187" i="63"/>
  <c r="T1213" i="63"/>
  <c r="Z1140" i="63"/>
  <c r="M1040" i="63"/>
  <c r="V1058" i="63"/>
  <c r="V1296" i="63"/>
  <c r="K1326" i="63"/>
  <c r="M1326" i="63" s="1"/>
  <c r="AB1344" i="63"/>
  <c r="AA1326" i="63"/>
  <c r="AB1326" i="63" s="1"/>
  <c r="V448" i="63"/>
  <c r="S510" i="63"/>
  <c r="V60" i="63"/>
  <c r="S465" i="63"/>
  <c r="R463" i="63"/>
  <c r="S463" i="63" s="1"/>
  <c r="BA477" i="63"/>
  <c r="BA444" i="63"/>
  <c r="BB479" i="63"/>
  <c r="M666" i="63"/>
  <c r="BI709" i="63"/>
  <c r="BK713" i="63"/>
  <c r="BK471" i="63"/>
  <c r="M890" i="63"/>
  <c r="AS457" i="63"/>
  <c r="AV545" i="63"/>
  <c r="AU543" i="63"/>
  <c r="AV543" i="63" s="1"/>
  <c r="M1099" i="63"/>
  <c r="I915" i="63"/>
  <c r="AQ1026" i="63"/>
  <c r="BH885" i="63"/>
  <c r="BG859" i="63"/>
  <c r="BH859" i="63" s="1"/>
  <c r="BG915" i="63"/>
  <c r="BH915" i="63" s="1"/>
  <c r="AM1140" i="63"/>
  <c r="AK1132" i="63"/>
  <c r="AR915" i="63"/>
  <c r="AS885" i="63"/>
  <c r="AR859" i="63"/>
  <c r="AD1083" i="63"/>
  <c r="AE1091" i="63"/>
  <c r="AB1340" i="63"/>
  <c r="AB480" i="63"/>
  <c r="AL1026" i="63" l="1"/>
  <c r="Y463" i="63"/>
  <c r="AB829" i="63"/>
  <c r="BH463" i="63"/>
  <c r="AS915" i="63"/>
  <c r="AO1076" i="63"/>
  <c r="AS859" i="63"/>
  <c r="BM440" i="63"/>
  <c r="BM439" i="63" s="1"/>
  <c r="BN439" i="63" s="1"/>
  <c r="V1213" i="63"/>
  <c r="M829" i="63"/>
  <c r="AB467" i="63"/>
  <c r="AB512" i="63"/>
  <c r="M58" i="63"/>
  <c r="AB1187" i="63"/>
  <c r="AB1037" i="63"/>
  <c r="V467" i="63"/>
  <c r="V1293" i="63"/>
  <c r="BB463" i="63"/>
  <c r="AC440" i="63"/>
  <c r="AC439" i="63" s="1"/>
  <c r="AB1060" i="63"/>
  <c r="U1026" i="63"/>
  <c r="AA1076" i="63"/>
  <c r="J763" i="63"/>
  <c r="J798" i="63"/>
  <c r="AA376" i="63"/>
  <c r="AB376" i="63" s="1"/>
  <c r="AB452" i="63"/>
  <c r="V862" i="63"/>
  <c r="AE710" i="63"/>
  <c r="AC758" i="63"/>
  <c r="AE758" i="63" s="1"/>
  <c r="AR440" i="63"/>
  <c r="AS477" i="63"/>
  <c r="AA477" i="63"/>
  <c r="BK774" i="63"/>
  <c r="AA373" i="63"/>
  <c r="AB373" i="63" s="1"/>
  <c r="AB449" i="63"/>
  <c r="R442" i="63"/>
  <c r="S442" i="63" s="1"/>
  <c r="S444" i="63"/>
  <c r="BN771" i="63"/>
  <c r="BL758" i="63"/>
  <c r="BN758" i="63" s="1"/>
  <c r="V578" i="63"/>
  <c r="AA578" i="63"/>
  <c r="AB578" i="63" s="1"/>
  <c r="L389" i="63"/>
  <c r="V451" i="63"/>
  <c r="AA451" i="63"/>
  <c r="AB451" i="63" s="1"/>
  <c r="K576" i="63"/>
  <c r="T576" i="63"/>
  <c r="Z576" i="63" s="1"/>
  <c r="AB71" i="63"/>
  <c r="AA39" i="63"/>
  <c r="AB39" i="63" s="1"/>
  <c r="BK444" i="63"/>
  <c r="BJ442" i="63"/>
  <c r="BK442" i="63" s="1"/>
  <c r="AW758" i="63"/>
  <c r="AY758" i="63" s="1"/>
  <c r="AY771" i="63"/>
  <c r="AM1132" i="63"/>
  <c r="AK1076" i="63"/>
  <c r="BB444" i="63"/>
  <c r="BA442" i="63"/>
  <c r="BB442" i="63" s="1"/>
  <c r="K444" i="63"/>
  <c r="T444" i="63"/>
  <c r="Z444" i="63" s="1"/>
  <c r="Y1132" i="63"/>
  <c r="W1076" i="63"/>
  <c r="V611" i="63"/>
  <c r="AA611" i="63"/>
  <c r="AB611" i="63" s="1"/>
  <c r="AC709" i="63"/>
  <c r="AE713" i="63"/>
  <c r="AA100" i="63"/>
  <c r="K609" i="63"/>
  <c r="T609" i="63"/>
  <c r="Z609" i="63" s="1"/>
  <c r="BG1184" i="63"/>
  <c r="BH1184" i="63" s="1"/>
  <c r="BH1076" i="63"/>
  <c r="BG1026" i="63"/>
  <c r="BH1026" i="63" s="1"/>
  <c r="AA70" i="63"/>
  <c r="V70" i="63"/>
  <c r="U38" i="63"/>
  <c r="Z70" i="63"/>
  <c r="Z38" i="63" s="1"/>
  <c r="T38" i="63"/>
  <c r="AA465" i="63"/>
  <c r="Y477" i="63"/>
  <c r="X440" i="63"/>
  <c r="AA378" i="63"/>
  <c r="AB378" i="63" s="1"/>
  <c r="AB454" i="63"/>
  <c r="V1132" i="63"/>
  <c r="AA1132" i="63"/>
  <c r="AB864" i="63"/>
  <c r="AM444" i="63"/>
  <c r="AL442" i="63"/>
  <c r="AM442" i="63" s="1"/>
  <c r="AV444" i="63"/>
  <c r="AU442" i="63"/>
  <c r="AV442" i="63" s="1"/>
  <c r="BB477" i="63"/>
  <c r="BA440" i="63"/>
  <c r="BH444" i="63"/>
  <c r="BG442" i="63"/>
  <c r="BH442" i="63" s="1"/>
  <c r="BB1184" i="63"/>
  <c r="AI442" i="63"/>
  <c r="AA377" i="63"/>
  <c r="AB377" i="63" s="1"/>
  <c r="AB453" i="63"/>
  <c r="AK708" i="63"/>
  <c r="AM709" i="63"/>
  <c r="AW708" i="63"/>
  <c r="AY709" i="63"/>
  <c r="AT708" i="63"/>
  <c r="AV709" i="63"/>
  <c r="AA1259" i="63"/>
  <c r="AB1259" i="63" s="1"/>
  <c r="V1259" i="63"/>
  <c r="AB1091" i="63"/>
  <c r="BP440" i="63"/>
  <c r="BQ477" i="63"/>
  <c r="M611" i="63"/>
  <c r="AY477" i="63"/>
  <c r="AX440" i="63"/>
  <c r="U750" i="63"/>
  <c r="AR442" i="63"/>
  <c r="AS442" i="63" s="1"/>
  <c r="AS444" i="63"/>
  <c r="AA757" i="63"/>
  <c r="AO442" i="63"/>
  <c r="AP442" i="63" s="1"/>
  <c r="AP444" i="63"/>
  <c r="I1083" i="63"/>
  <c r="H1076" i="63"/>
  <c r="P38" i="63"/>
  <c r="AE471" i="63"/>
  <c r="R440" i="63"/>
  <c r="S477" i="63"/>
  <c r="BN774" i="63"/>
  <c r="AE510" i="63"/>
  <c r="M479" i="63"/>
  <c r="AA382" i="63"/>
  <c r="AB382" i="63" s="1"/>
  <c r="AB458" i="63"/>
  <c r="M451" i="63"/>
  <c r="V445" i="63"/>
  <c r="AA445" i="63"/>
  <c r="AB445" i="63" s="1"/>
  <c r="Y465" i="63"/>
  <c r="K1132" i="63"/>
  <c r="M1132" i="63" s="1"/>
  <c r="Q709" i="63"/>
  <c r="S713" i="63"/>
  <c r="T859" i="63"/>
  <c r="BQ771" i="63"/>
  <c r="BO758" i="63"/>
  <c r="BQ758" i="63" s="1"/>
  <c r="AB892" i="63"/>
  <c r="BE774" i="63"/>
  <c r="AC1026" i="63"/>
  <c r="N1076" i="63"/>
  <c r="T1083" i="63"/>
  <c r="K1083" i="63"/>
  <c r="P1083" i="63"/>
  <c r="AS774" i="63"/>
  <c r="BD440" i="63"/>
  <c r="BE477" i="63"/>
  <c r="U543" i="63"/>
  <c r="P543" i="63"/>
  <c r="L543" i="63"/>
  <c r="M543" i="63" s="1"/>
  <c r="BJ440" i="63"/>
  <c r="BK477" i="63"/>
  <c r="AA123" i="63"/>
  <c r="AB479" i="63"/>
  <c r="U444" i="63"/>
  <c r="O442" i="63"/>
  <c r="L444" i="63"/>
  <c r="M444" i="63" s="1"/>
  <c r="P444" i="63"/>
  <c r="BP442" i="63"/>
  <c r="BQ442" i="63" s="1"/>
  <c r="BQ444" i="63"/>
  <c r="P609" i="63"/>
  <c r="U609" i="63"/>
  <c r="L609" i="63"/>
  <c r="M609" i="63" s="1"/>
  <c r="AY444" i="63"/>
  <c r="AX442" i="63"/>
  <c r="AY442" i="63" s="1"/>
  <c r="L750" i="63"/>
  <c r="AP477" i="63"/>
  <c r="AO440" i="63"/>
  <c r="M885" i="63"/>
  <c r="L859" i="63"/>
  <c r="M859" i="63" s="1"/>
  <c r="Y781" i="63"/>
  <c r="W773" i="63"/>
  <c r="W778" i="63"/>
  <c r="W3" i="63"/>
  <c r="AY918" i="63"/>
  <c r="AX1026" i="63"/>
  <c r="AJ1083" i="63"/>
  <c r="AI1076" i="63"/>
  <c r="AA769" i="63"/>
  <c r="U463" i="63"/>
  <c r="L463" i="63"/>
  <c r="BD442" i="63"/>
  <c r="BE442" i="63" s="1"/>
  <c r="BE444" i="63"/>
  <c r="R1184" i="63"/>
  <c r="S1184" i="63" s="1"/>
  <c r="S1076" i="63"/>
  <c r="R1026" i="63"/>
  <c r="AU440" i="63"/>
  <c r="AV477" i="63"/>
  <c r="AD1076" i="63"/>
  <c r="AE1083" i="63"/>
  <c r="L1083" i="63"/>
  <c r="M1083" i="63" s="1"/>
  <c r="BI708" i="63"/>
  <c r="BK709" i="63"/>
  <c r="BG440" i="63"/>
  <c r="BH477" i="63"/>
  <c r="AA102" i="63"/>
  <c r="AB674" i="63"/>
  <c r="AA415" i="63"/>
  <c r="AB415" i="63" s="1"/>
  <c r="AI440" i="63"/>
  <c r="AA862" i="63"/>
  <c r="AB862" i="63" s="1"/>
  <c r="AB890" i="63"/>
  <c r="AA642" i="63"/>
  <c r="AB642" i="63" s="1"/>
  <c r="V642" i="63"/>
  <c r="AA708" i="63"/>
  <c r="AY1132" i="63"/>
  <c r="AW1076" i="63"/>
  <c r="Z974" i="63"/>
  <c r="AB974" i="63" s="1"/>
  <c r="AB983" i="63"/>
  <c r="BI758" i="63"/>
  <c r="BK758" i="63" s="1"/>
  <c r="BK771" i="63"/>
  <c r="AD440" i="63"/>
  <c r="AE477" i="63"/>
  <c r="S859" i="63"/>
  <c r="BC708" i="63"/>
  <c r="BE709" i="63"/>
  <c r="Z1273" i="63"/>
  <c r="AB1273" i="63" s="1"/>
  <c r="AB1282" i="63"/>
  <c r="AB447" i="63"/>
  <c r="AA371" i="63"/>
  <c r="AB371" i="63" s="1"/>
  <c r="AR1076" i="63"/>
  <c r="AS1083" i="63"/>
  <c r="U812" i="63"/>
  <c r="L812" i="63"/>
  <c r="M445" i="63"/>
  <c r="AC770" i="63"/>
  <c r="AE778" i="63"/>
  <c r="V58" i="63"/>
  <c r="BE771" i="63"/>
  <c r="BC758" i="63"/>
  <c r="BE758" i="63" s="1"/>
  <c r="AS771" i="63"/>
  <c r="AQ758" i="63"/>
  <c r="AS758" i="63" s="1"/>
  <c r="AK758" i="63"/>
  <c r="AM758" i="63" s="1"/>
  <c r="AM771" i="63"/>
  <c r="S712" i="63"/>
  <c r="AA510" i="63"/>
  <c r="AO1184" i="63"/>
  <c r="AP1184" i="63" s="1"/>
  <c r="AO1026" i="63"/>
  <c r="AP1026" i="63" s="1"/>
  <c r="AP1076" i="63"/>
  <c r="AA457" i="63"/>
  <c r="AA1213" i="63"/>
  <c r="AB1213" i="63" s="1"/>
  <c r="AB1233" i="63"/>
  <c r="V1091" i="63"/>
  <c r="AA760" i="63"/>
  <c r="BM442" i="63"/>
  <c r="BN442" i="63" s="1"/>
  <c r="BN444" i="63"/>
  <c r="O440" i="63"/>
  <c r="S918" i="63"/>
  <c r="K918" i="63"/>
  <c r="M918" i="63" s="1"/>
  <c r="T918" i="63"/>
  <c r="Q1026" i="63"/>
  <c r="BM1076" i="63"/>
  <c r="BN1083" i="63"/>
  <c r="L38" i="63"/>
  <c r="M38" i="63" s="1"/>
  <c r="M70" i="63"/>
  <c r="BL708" i="63"/>
  <c r="BN709" i="63"/>
  <c r="AD442" i="63"/>
  <c r="AE442" i="63" s="1"/>
  <c r="AE444" i="63"/>
  <c r="V885" i="63"/>
  <c r="AA885" i="63"/>
  <c r="U859" i="63"/>
  <c r="S915" i="63"/>
  <c r="L915" i="63"/>
  <c r="M915" i="63" s="1"/>
  <c r="U915" i="63"/>
  <c r="AV1083" i="63"/>
  <c r="AU1076" i="63"/>
  <c r="BO708" i="63"/>
  <c r="BQ709" i="63"/>
  <c r="BJ1184" i="63"/>
  <c r="BK1184" i="63" s="1"/>
  <c r="BK1076" i="63"/>
  <c r="BJ1026" i="63"/>
  <c r="BK1026" i="63" s="1"/>
  <c r="BQ918" i="63"/>
  <c r="BO1026" i="63"/>
  <c r="AB1140" i="63"/>
  <c r="BD1076" i="63"/>
  <c r="AQ708" i="63"/>
  <c r="AS709" i="63"/>
  <c r="P576" i="63"/>
  <c r="U576" i="63"/>
  <c r="L576" i="63"/>
  <c r="M576" i="63" s="1"/>
  <c r="I440" i="63"/>
  <c r="H439" i="63"/>
  <c r="I439" i="63" s="1"/>
  <c r="AE463" i="63"/>
  <c r="W709" i="63"/>
  <c r="AA471" i="63"/>
  <c r="L387" i="63"/>
  <c r="AE773" i="63"/>
  <c r="AC759" i="63"/>
  <c r="AE759" i="63" s="1"/>
  <c r="Z1132" i="63"/>
  <c r="Q758" i="63"/>
  <c r="S758" i="63" s="1"/>
  <c r="S710" i="63"/>
  <c r="Y444" i="63"/>
  <c r="X442" i="63"/>
  <c r="Y442" i="63" s="1"/>
  <c r="Z859" i="63"/>
  <c r="V829" i="63"/>
  <c r="AA58" i="63"/>
  <c r="AB58" i="63" s="1"/>
  <c r="AB90" i="63"/>
  <c r="BQ774" i="63"/>
  <c r="V545" i="63"/>
  <c r="AA545" i="63"/>
  <c r="AB545" i="63" s="1"/>
  <c r="AL440" i="63"/>
  <c r="AM477" i="63"/>
  <c r="AY774" i="63"/>
  <c r="AN750" i="63"/>
  <c r="AP750" i="63" s="1"/>
  <c r="AP708" i="63"/>
  <c r="BP1076" i="63"/>
  <c r="BQ1083" i="63"/>
  <c r="S781" i="63"/>
  <c r="Q773" i="63"/>
  <c r="Q778" i="63"/>
  <c r="Q3" i="63"/>
  <c r="V479" i="63"/>
  <c r="BN440" i="63" l="1"/>
  <c r="U1184" i="63"/>
  <c r="V38" i="63"/>
  <c r="AB885" i="63"/>
  <c r="AA859" i="63"/>
  <c r="AB859" i="63" s="1"/>
  <c r="BM1184" i="63"/>
  <c r="BN1184" i="63" s="1"/>
  <c r="BM1026" i="63"/>
  <c r="BN1026" i="63" s="1"/>
  <c r="BN1076" i="63"/>
  <c r="AR1184" i="63"/>
  <c r="AS1184" i="63" s="1"/>
  <c r="AR1026" i="63"/>
  <c r="AS1026" i="63" s="1"/>
  <c r="AS1076" i="63"/>
  <c r="AD1184" i="63"/>
  <c r="AE1184" i="63" s="1"/>
  <c r="AE1076" i="63"/>
  <c r="AD1026" i="63"/>
  <c r="AE1026" i="63" s="1"/>
  <c r="AO439" i="63"/>
  <c r="AP439" i="63" s="1"/>
  <c r="AP440" i="63"/>
  <c r="N1184" i="63"/>
  <c r="T1076" i="63"/>
  <c r="N1026" i="63"/>
  <c r="P1026" i="63" s="1"/>
  <c r="K1076" i="63"/>
  <c r="K1026" i="63" s="1"/>
  <c r="P1076" i="63"/>
  <c r="AR439" i="63"/>
  <c r="AS439" i="63" s="1"/>
  <c r="AS440" i="63"/>
  <c r="AM440" i="63"/>
  <c r="AL439" i="63"/>
  <c r="AM439" i="63" s="1"/>
  <c r="AA1184" i="63"/>
  <c r="V576" i="63"/>
  <c r="AA576" i="63"/>
  <c r="AB576" i="63" s="1"/>
  <c r="AV1076" i="63"/>
  <c r="AU1026" i="63"/>
  <c r="AV1026" i="63" s="1"/>
  <c r="AU1184" i="63"/>
  <c r="AV1184" i="63" s="1"/>
  <c r="U440" i="63"/>
  <c r="O439" i="63"/>
  <c r="L440" i="63"/>
  <c r="BI750" i="63"/>
  <c r="BK750" i="63" s="1"/>
  <c r="BK708" i="63"/>
  <c r="U442" i="63"/>
  <c r="L442" i="63"/>
  <c r="AW750" i="63"/>
  <c r="AY750" i="63" s="1"/>
  <c r="AY708" i="63"/>
  <c r="BB440" i="63"/>
  <c r="BA439" i="63"/>
  <c r="BB439" i="63" s="1"/>
  <c r="Y440" i="63"/>
  <c r="X439" i="63"/>
  <c r="Y439" i="63" s="1"/>
  <c r="AA387" i="63"/>
  <c r="W1184" i="63"/>
  <c r="Y1184" i="63" s="1"/>
  <c r="W1026" i="63"/>
  <c r="Y1026" i="63" s="1"/>
  <c r="Y1076" i="63"/>
  <c r="AA1026" i="63"/>
  <c r="Q770" i="63"/>
  <c r="S778" i="63"/>
  <c r="BP1184" i="63"/>
  <c r="BQ1184" i="63" s="1"/>
  <c r="BQ1076" i="63"/>
  <c r="BP1026" i="63"/>
  <c r="BQ1026" i="63" s="1"/>
  <c r="Z918" i="63"/>
  <c r="AB918" i="63" s="1"/>
  <c r="V918" i="63"/>
  <c r="AC757" i="63"/>
  <c r="AE757" i="63" s="1"/>
  <c r="AC769" i="63"/>
  <c r="AE770" i="63"/>
  <c r="AA812" i="63"/>
  <c r="BC750" i="63"/>
  <c r="BE750" i="63" s="1"/>
  <c r="BE708" i="63"/>
  <c r="AD439" i="63"/>
  <c r="AE439" i="63" s="1"/>
  <c r="AE440" i="63"/>
  <c r="AW1184" i="63"/>
  <c r="AY1184" i="63" s="1"/>
  <c r="AW1026" i="63"/>
  <c r="AY1026" i="63" s="1"/>
  <c r="AY1076" i="63"/>
  <c r="AI1184" i="63"/>
  <c r="AJ1184" i="63" s="1"/>
  <c r="AJ1076" i="63"/>
  <c r="AI1026" i="63"/>
  <c r="AJ1026" i="63" s="1"/>
  <c r="BL781" i="63"/>
  <c r="BI781" i="63"/>
  <c r="AZ781" i="63"/>
  <c r="BC781" i="63"/>
  <c r="BO781" i="63"/>
  <c r="BF781" i="63"/>
  <c r="V444" i="63"/>
  <c r="AA444" i="63"/>
  <c r="AB444" i="63" s="1"/>
  <c r="BD439" i="63"/>
  <c r="BE439" i="63" s="1"/>
  <c r="BE440" i="63"/>
  <c r="R439" i="63"/>
  <c r="S439" i="63" s="1"/>
  <c r="S440" i="63"/>
  <c r="H1184" i="63"/>
  <c r="I1184" i="63" s="1"/>
  <c r="I1076" i="63"/>
  <c r="H1026" i="63"/>
  <c r="I1026" i="63" s="1"/>
  <c r="AY440" i="63"/>
  <c r="AX439" i="63"/>
  <c r="AY439" i="63" s="1"/>
  <c r="AT750" i="63"/>
  <c r="AV750" i="63" s="1"/>
  <c r="AV708" i="63"/>
  <c r="AB70" i="63"/>
  <c r="AA38" i="63"/>
  <c r="AB38" i="63" s="1"/>
  <c r="AQ750" i="63"/>
  <c r="AS750" i="63" s="1"/>
  <c r="AS708" i="63"/>
  <c r="V915" i="63"/>
  <c r="AA915" i="63"/>
  <c r="AB915" i="63" s="1"/>
  <c r="AI439" i="63"/>
  <c r="AV440" i="63"/>
  <c r="AU439" i="63"/>
  <c r="AV439" i="63" s="1"/>
  <c r="W759" i="63"/>
  <c r="Y759" i="63" s="1"/>
  <c r="Y773" i="63"/>
  <c r="V609" i="63"/>
  <c r="AA609" i="63"/>
  <c r="AB609" i="63" s="1"/>
  <c r="AA543" i="63"/>
  <c r="AB543" i="63" s="1"/>
  <c r="V543" i="63"/>
  <c r="AA750" i="63"/>
  <c r="AC708" i="63"/>
  <c r="AE709" i="63"/>
  <c r="AK1184" i="63"/>
  <c r="AM1184" i="63" s="1"/>
  <c r="AK1026" i="63"/>
  <c r="AM1026" i="63" s="1"/>
  <c r="AM1076" i="63"/>
  <c r="W708" i="63"/>
  <c r="Y709" i="63"/>
  <c r="BD1184" i="63"/>
  <c r="BE1184" i="63" s="1"/>
  <c r="BE1076" i="63"/>
  <c r="BD1026" i="63"/>
  <c r="BE1026" i="63" s="1"/>
  <c r="BL750" i="63"/>
  <c r="BN750" i="63" s="1"/>
  <c r="BN708" i="63"/>
  <c r="S1026" i="63"/>
  <c r="BK440" i="63"/>
  <c r="BJ439" i="63"/>
  <c r="BK439" i="63" s="1"/>
  <c r="S773" i="63"/>
  <c r="Q759" i="63"/>
  <c r="S759" i="63" s="1"/>
  <c r="AA389" i="63"/>
  <c r="BO750" i="63"/>
  <c r="BQ750" i="63" s="1"/>
  <c r="BQ708" i="63"/>
  <c r="V859" i="63"/>
  <c r="BH440" i="63"/>
  <c r="BG439" i="63"/>
  <c r="BH439" i="63" s="1"/>
  <c r="AA463" i="63"/>
  <c r="Y778" i="63"/>
  <c r="W770" i="63"/>
  <c r="Z1083" i="63"/>
  <c r="AB1083" i="63" s="1"/>
  <c r="V1083" i="63"/>
  <c r="Q708" i="63"/>
  <c r="S709" i="63"/>
  <c r="BP439" i="63"/>
  <c r="BQ439" i="63" s="1"/>
  <c r="BQ440" i="63"/>
  <c r="AK750" i="63"/>
  <c r="AM750" i="63" s="1"/>
  <c r="AM708" i="63"/>
  <c r="AB1132" i="63"/>
  <c r="L1076" i="63"/>
  <c r="J760" i="63"/>
  <c r="J769" i="63"/>
  <c r="L1184" i="63" l="1"/>
  <c r="AT817" i="63"/>
  <c r="AW814" i="63"/>
  <c r="AQ814" i="63"/>
  <c r="AW819" i="63"/>
  <c r="AY819" i="63" s="1"/>
  <c r="AQ819" i="63"/>
  <c r="AS819" i="63" s="1"/>
  <c r="AW818" i="63"/>
  <c r="AY818" i="63" s="1"/>
  <c r="AQ818" i="63"/>
  <c r="AS818" i="63" s="1"/>
  <c r="AT819" i="63"/>
  <c r="AV819" i="63" s="1"/>
  <c r="AT818" i="63"/>
  <c r="AV818" i="63" s="1"/>
  <c r="AQ817" i="63"/>
  <c r="AT814" i="63"/>
  <c r="Q750" i="63"/>
  <c r="S750" i="63" s="1"/>
  <c r="AW817" i="63"/>
  <c r="S708" i="63"/>
  <c r="BO778" i="63"/>
  <c r="BQ781" i="63"/>
  <c r="BO773" i="63"/>
  <c r="M1076" i="63"/>
  <c r="L1026" i="63"/>
  <c r="M1026" i="63" s="1"/>
  <c r="BF817" i="63"/>
  <c r="AZ817" i="63"/>
  <c r="BC814" i="63"/>
  <c r="BC819" i="63"/>
  <c r="BE819" i="63" s="1"/>
  <c r="BC818" i="63"/>
  <c r="BE818" i="63" s="1"/>
  <c r="W750" i="63"/>
  <c r="Y750" i="63" s="1"/>
  <c r="BF819" i="63"/>
  <c r="BH819" i="63" s="1"/>
  <c r="BF818" i="63"/>
  <c r="BH818" i="63" s="1"/>
  <c r="BC817" i="63"/>
  <c r="BF814" i="63"/>
  <c r="AZ819" i="63"/>
  <c r="BB819" i="63" s="1"/>
  <c r="AZ814" i="63"/>
  <c r="AZ818" i="63"/>
  <c r="BB818" i="63" s="1"/>
  <c r="Y708" i="63"/>
  <c r="BF778" i="63"/>
  <c r="BH781" i="63"/>
  <c r="BF773" i="63"/>
  <c r="BI778" i="63"/>
  <c r="BK781" i="63"/>
  <c r="BI773" i="63"/>
  <c r="AA440" i="63"/>
  <c r="K1184" i="63"/>
  <c r="M1184" i="63" s="1"/>
  <c r="T1184" i="63"/>
  <c r="P1184" i="63"/>
  <c r="W769" i="63"/>
  <c r="W757" i="63"/>
  <c r="Y757" i="63" s="1"/>
  <c r="Y770" i="63"/>
  <c r="BN781" i="63"/>
  <c r="BL778" i="63"/>
  <c r="BL773" i="63"/>
  <c r="BC778" i="63"/>
  <c r="BE781" i="63"/>
  <c r="BC773" i="63"/>
  <c r="AC812" i="63"/>
  <c r="AE812" i="63" s="1"/>
  <c r="AE769" i="63"/>
  <c r="Q757" i="63"/>
  <c r="S757" i="63" s="1"/>
  <c r="Q769" i="63"/>
  <c r="S770" i="63"/>
  <c r="AA442" i="63"/>
  <c r="J1413" i="63"/>
  <c r="J812" i="63"/>
  <c r="BL817" i="63"/>
  <c r="BI814" i="63"/>
  <c r="BO819" i="63"/>
  <c r="BQ819" i="63" s="1"/>
  <c r="BI819" i="63"/>
  <c r="BK819" i="63" s="1"/>
  <c r="BO818" i="63"/>
  <c r="BQ818" i="63" s="1"/>
  <c r="BI818" i="63"/>
  <c r="BK818" i="63" s="1"/>
  <c r="BL814" i="63"/>
  <c r="BO817" i="63"/>
  <c r="BO814" i="63"/>
  <c r="BL818" i="63"/>
  <c r="BN818" i="63" s="1"/>
  <c r="BI817" i="63"/>
  <c r="AC750" i="63"/>
  <c r="AE750" i="63" s="1"/>
  <c r="BL819" i="63"/>
  <c r="BN819" i="63" s="1"/>
  <c r="AE708" i="63"/>
  <c r="BB781" i="63"/>
  <c r="AZ778" i="63"/>
  <c r="AZ773" i="63"/>
  <c r="U439" i="63"/>
  <c r="L439" i="63"/>
  <c r="Z1076" i="63"/>
  <c r="T1026" i="63"/>
  <c r="V1026" i="63" s="1"/>
  <c r="V1076" i="63"/>
  <c r="BK817" i="63" l="1"/>
  <c r="BI816" i="63"/>
  <c r="BK816" i="63" s="1"/>
  <c r="BM814" i="63"/>
  <c r="BL813" i="63"/>
  <c r="BL759" i="63"/>
  <c r="BN759" i="63" s="1"/>
  <c r="BN773" i="63"/>
  <c r="BI759" i="63"/>
  <c r="BK759" i="63" s="1"/>
  <c r="BK773" i="63"/>
  <c r="BB814" i="63"/>
  <c r="AZ813" i="63"/>
  <c r="BB813" i="63" s="1"/>
  <c r="AQ816" i="63"/>
  <c r="AS816" i="63" s="1"/>
  <c r="AS817" i="63"/>
  <c r="AW813" i="63"/>
  <c r="AY813" i="63" s="1"/>
  <c r="AY814" i="63"/>
  <c r="AZ759" i="63"/>
  <c r="BB759" i="63" s="1"/>
  <c r="BB773" i="63"/>
  <c r="BI813" i="63"/>
  <c r="BJ814" i="63"/>
  <c r="Q812" i="63"/>
  <c r="S812" i="63" s="1"/>
  <c r="S769" i="63"/>
  <c r="BE773" i="63"/>
  <c r="BC759" i="63"/>
  <c r="BE759" i="63" s="1"/>
  <c r="BN778" i="63"/>
  <c r="BL770" i="63"/>
  <c r="Z1184" i="63"/>
  <c r="AB1184" i="63" s="1"/>
  <c r="V1184" i="63"/>
  <c r="BH778" i="63"/>
  <c r="BF770" i="63"/>
  <c r="BE814" i="63"/>
  <c r="BC813" i="63"/>
  <c r="BE813" i="63" s="1"/>
  <c r="BQ773" i="63"/>
  <c r="BO759" i="63"/>
  <c r="BQ759" i="63" s="1"/>
  <c r="AY817" i="63"/>
  <c r="AW816" i="63"/>
  <c r="AY816" i="63" s="1"/>
  <c r="AT816" i="63"/>
  <c r="AV816" i="63" s="1"/>
  <c r="AV817" i="63"/>
  <c r="AA439" i="63"/>
  <c r="BB778" i="63"/>
  <c r="AZ770" i="63"/>
  <c r="BP814" i="63"/>
  <c r="BO813" i="63"/>
  <c r="BN817" i="63"/>
  <c r="BL816" i="63"/>
  <c r="BN816" i="63" s="1"/>
  <c r="BK778" i="63"/>
  <c r="BI770" i="63"/>
  <c r="BF813" i="63"/>
  <c r="BH813" i="63" s="1"/>
  <c r="BH814" i="63"/>
  <c r="BB817" i="63"/>
  <c r="AZ816" i="63"/>
  <c r="BB816" i="63" s="1"/>
  <c r="Z1026" i="63"/>
  <c r="AB1026" i="63" s="1"/>
  <c r="AB1076" i="63"/>
  <c r="BO816" i="63"/>
  <c r="BQ816" i="63" s="1"/>
  <c r="BQ817" i="63"/>
  <c r="BE778" i="63"/>
  <c r="BC770" i="63"/>
  <c r="W812" i="63"/>
  <c r="Y812" i="63" s="1"/>
  <c r="Y769" i="63"/>
  <c r="BF759" i="63"/>
  <c r="BH759" i="63" s="1"/>
  <c r="BH773" i="63"/>
  <c r="BC816" i="63"/>
  <c r="BE816" i="63" s="1"/>
  <c r="BE817" i="63"/>
  <c r="BF816" i="63"/>
  <c r="BH816" i="63" s="1"/>
  <c r="BH817" i="63"/>
  <c r="BQ778" i="63"/>
  <c r="BO770" i="63"/>
  <c r="AT813" i="63"/>
  <c r="AV813" i="63" s="1"/>
  <c r="AV814" i="63"/>
  <c r="AS814" i="63"/>
  <c r="AQ813" i="63"/>
  <c r="AS813" i="63" s="1"/>
  <c r="BO757" i="63" l="1"/>
  <c r="BQ757" i="63" s="1"/>
  <c r="BO769" i="63"/>
  <c r="BQ770" i="63"/>
  <c r="BJ813" i="63"/>
  <c r="BK813" i="63" s="1"/>
  <c r="BK814" i="63"/>
  <c r="BI769" i="63"/>
  <c r="BI757" i="63"/>
  <c r="BK757" i="63" s="1"/>
  <c r="BK770" i="63"/>
  <c r="BQ814" i="63"/>
  <c r="BP813" i="63"/>
  <c r="BQ813" i="63" s="1"/>
  <c r="BF769" i="63"/>
  <c r="BF757" i="63"/>
  <c r="BH757" i="63" s="1"/>
  <c r="BH770" i="63"/>
  <c r="BL769" i="63"/>
  <c r="BL757" i="63"/>
  <c r="BN757" i="63" s="1"/>
  <c r="BN770" i="63"/>
  <c r="BM813" i="63"/>
  <c r="BN813" i="63" s="1"/>
  <c r="BN814" i="63"/>
  <c r="BC757" i="63"/>
  <c r="BE757" i="63" s="1"/>
  <c r="BC769" i="63"/>
  <c r="BE770" i="63"/>
  <c r="AZ757" i="63"/>
  <c r="BB757" i="63" s="1"/>
  <c r="AZ769" i="63"/>
  <c r="BB770" i="63"/>
  <c r="BF812" i="63" l="1"/>
  <c r="BH812" i="63" s="1"/>
  <c r="BH769" i="63"/>
  <c r="BO812" i="63"/>
  <c r="BQ812" i="63" s="1"/>
  <c r="BQ769" i="63"/>
  <c r="BC812" i="63"/>
  <c r="BE812" i="63" s="1"/>
  <c r="BE769" i="63"/>
  <c r="AZ812" i="63"/>
  <c r="BB812" i="63" s="1"/>
  <c r="BB769" i="63"/>
  <c r="BI812" i="63"/>
  <c r="BK812" i="63" s="1"/>
  <c r="BK769" i="63"/>
  <c r="BL812" i="63"/>
  <c r="BN812" i="63" s="1"/>
  <c r="BN769" i="63"/>
  <c r="D8" i="52" l="1"/>
  <c r="E20" i="50" l="1"/>
  <c r="AH372" i="63" s="1"/>
  <c r="E21" i="50"/>
  <c r="AH373" i="63" s="1"/>
  <c r="AJ373" i="63" l="1"/>
  <c r="AJ372" i="63"/>
  <c r="O30" i="2"/>
  <c r="P30" i="2"/>
  <c r="O31" i="2"/>
  <c r="P31" i="2"/>
  <c r="P28" i="2"/>
  <c r="P29" i="2"/>
  <c r="P36" i="2"/>
  <c r="O37" i="2"/>
  <c r="P37" i="2"/>
  <c r="O38" i="2"/>
  <c r="P38" i="2"/>
  <c r="N33" i="2"/>
  <c r="O29" i="2"/>
  <c r="O28" i="2"/>
  <c r="L31" i="2" l="1"/>
  <c r="L29" i="2"/>
  <c r="P26" i="2"/>
  <c r="L30" i="2"/>
  <c r="L28" i="2"/>
  <c r="O26" i="2"/>
  <c r="P35" i="2"/>
  <c r="P33" i="2" s="1"/>
  <c r="O33" i="2"/>
  <c r="L36" i="2"/>
  <c r="L38" i="2"/>
  <c r="L37" i="2"/>
  <c r="L26" i="2" l="1"/>
  <c r="L35" i="2"/>
  <c r="L33" i="2"/>
  <c r="L177" i="1"/>
  <c r="C177" i="1"/>
  <c r="L176" i="1"/>
  <c r="C176" i="1"/>
  <c r="AH740" i="63" s="1"/>
  <c r="L175" i="1"/>
  <c r="C175" i="1"/>
  <c r="L113" i="1"/>
  <c r="C113" i="1"/>
  <c r="AJ740" i="63" l="1"/>
  <c r="AH801" i="63"/>
  <c r="AJ801" i="63" s="1"/>
  <c r="N740" i="63"/>
  <c r="L174" i="1"/>
  <c r="C174" i="1"/>
  <c r="AH738" i="63" s="1"/>
  <c r="L173" i="1"/>
  <c r="C173" i="1"/>
  <c r="L172" i="1"/>
  <c r="C172" i="1"/>
  <c r="L171" i="1"/>
  <c r="C171" i="1"/>
  <c r="L170" i="1"/>
  <c r="C170" i="1"/>
  <c r="L169" i="1"/>
  <c r="C169" i="1"/>
  <c r="L111" i="1"/>
  <c r="L112" i="1"/>
  <c r="C112" i="1"/>
  <c r="T740" i="63" l="1"/>
  <c r="N801" i="63"/>
  <c r="P740" i="63"/>
  <c r="K740" i="63"/>
  <c r="M740" i="63" s="1"/>
  <c r="N738" i="63"/>
  <c r="AH799" i="63"/>
  <c r="AH737" i="63"/>
  <c r="AJ737" i="63" s="1"/>
  <c r="AJ738" i="63"/>
  <c r="D18" i="62"/>
  <c r="T801" i="63" l="1"/>
  <c r="P801" i="63"/>
  <c r="K801" i="63"/>
  <c r="AJ799" i="63"/>
  <c r="AH798" i="63"/>
  <c r="N799" i="63"/>
  <c r="N737" i="63"/>
  <c r="K738" i="63"/>
  <c r="M738" i="63" s="1"/>
  <c r="T738" i="63"/>
  <c r="P738" i="63"/>
  <c r="V740" i="63"/>
  <c r="Z740" i="63"/>
  <c r="AB740" i="63" s="1"/>
  <c r="L165" i="1"/>
  <c r="C165" i="1"/>
  <c r="L164" i="1"/>
  <c r="C164" i="1"/>
  <c r="L163" i="1"/>
  <c r="C163" i="1"/>
  <c r="L162" i="1"/>
  <c r="C162" i="1"/>
  <c r="L161" i="1"/>
  <c r="C161" i="1"/>
  <c r="L160" i="1"/>
  <c r="C160" i="1"/>
  <c r="L108" i="1"/>
  <c r="L109" i="1"/>
  <c r="C108" i="1"/>
  <c r="C109" i="1"/>
  <c r="K762" i="63" l="1"/>
  <c r="M762" i="63" s="1"/>
  <c r="M801" i="63"/>
  <c r="N798" i="63"/>
  <c r="K799" i="63"/>
  <c r="T799" i="63"/>
  <c r="P799" i="63"/>
  <c r="T737" i="63"/>
  <c r="P737" i="63"/>
  <c r="K737" i="63"/>
  <c r="M737" i="63" s="1"/>
  <c r="Z738" i="63"/>
  <c r="AB738" i="63" s="1"/>
  <c r="V738" i="63"/>
  <c r="AH760" i="63"/>
  <c r="AJ760" i="63" s="1"/>
  <c r="AJ798" i="63"/>
  <c r="T762" i="63"/>
  <c r="V762" i="63" s="1"/>
  <c r="Z801" i="63"/>
  <c r="V801" i="63"/>
  <c r="D42" i="2"/>
  <c r="AB801" i="63" l="1"/>
  <c r="Z762" i="63"/>
  <c r="AB762" i="63" s="1"/>
  <c r="Z737" i="63"/>
  <c r="AB737" i="63" s="1"/>
  <c r="V737" i="63"/>
  <c r="M799" i="63"/>
  <c r="K761" i="63"/>
  <c r="M761" i="63" s="1"/>
  <c r="K798" i="63"/>
  <c r="N760" i="63"/>
  <c r="P760" i="63" s="1"/>
  <c r="P798" i="63"/>
  <c r="T798" i="63"/>
  <c r="T761" i="63"/>
  <c r="V761" i="63" s="1"/>
  <c r="Z799" i="63"/>
  <c r="V799" i="63"/>
  <c r="O14" i="2"/>
  <c r="M798" i="63" l="1"/>
  <c r="K760" i="63"/>
  <c r="M760" i="63" s="1"/>
  <c r="T760" i="63"/>
  <c r="V760" i="63" s="1"/>
  <c r="V798" i="63"/>
  <c r="Z798" i="63"/>
  <c r="Z761" i="63"/>
  <c r="AB761" i="63" s="1"/>
  <c r="AB799" i="63"/>
  <c r="DC28" i="60"/>
  <c r="DC27" i="60" s="1"/>
  <c r="DB28" i="60"/>
  <c r="DB27" i="60" s="1"/>
  <c r="DA28" i="60"/>
  <c r="CT28" i="60"/>
  <c r="CT27" i="60" s="1"/>
  <c r="CM28" i="60"/>
  <c r="CM27" i="60" s="1"/>
  <c r="CF28" i="60"/>
  <c r="CF27" i="60" s="1"/>
  <c r="BY28" i="60"/>
  <c r="BY27" i="60" s="1"/>
  <c r="BR28" i="60"/>
  <c r="BR27" i="60" s="1"/>
  <c r="BK28" i="60"/>
  <c r="BK27" i="60" s="1"/>
  <c r="DC19" i="60"/>
  <c r="DC18" i="60" s="1"/>
  <c r="DB19" i="60"/>
  <c r="DB18" i="60" s="1"/>
  <c r="DA19" i="60"/>
  <c r="CY19" i="60" s="1"/>
  <c r="CY18" i="60" s="1"/>
  <c r="CT19" i="60"/>
  <c r="CT18" i="60" s="1"/>
  <c r="CM19" i="60"/>
  <c r="CM18" i="60" s="1"/>
  <c r="CF19" i="60"/>
  <c r="CF18" i="60" s="1"/>
  <c r="CF9" i="60" s="1"/>
  <c r="CF44" i="60" s="1"/>
  <c r="BY19" i="60"/>
  <c r="BY18" i="60" s="1"/>
  <c r="BR19" i="60"/>
  <c r="BR18" i="60" s="1"/>
  <c r="BK19" i="60"/>
  <c r="BK18" i="60" s="1"/>
  <c r="N32" i="60"/>
  <c r="N33" i="60"/>
  <c r="N34" i="60"/>
  <c r="G32" i="60"/>
  <c r="G33" i="60"/>
  <c r="G34" i="60"/>
  <c r="H33" i="59"/>
  <c r="J33" i="59"/>
  <c r="J33" i="83" s="1"/>
  <c r="K33" i="59"/>
  <c r="L33" i="59"/>
  <c r="L30" i="59" s="1"/>
  <c r="M33" i="59"/>
  <c r="Q33" i="59"/>
  <c r="R33" i="59"/>
  <c r="R30" i="59" s="1"/>
  <c r="S33" i="59"/>
  <c r="J30" i="59"/>
  <c r="J30" i="83" s="1"/>
  <c r="H27" i="59"/>
  <c r="J27" i="59"/>
  <c r="K27" i="59"/>
  <c r="L27" i="59"/>
  <c r="M27" i="59"/>
  <c r="Q27" i="59"/>
  <c r="R27" i="59"/>
  <c r="S27" i="59"/>
  <c r="J26" i="59"/>
  <c r="K26" i="59"/>
  <c r="L26" i="59"/>
  <c r="M26" i="59"/>
  <c r="Q26" i="59"/>
  <c r="R26" i="59"/>
  <c r="S26" i="59"/>
  <c r="H26" i="59"/>
  <c r="H24" i="59"/>
  <c r="J24" i="59"/>
  <c r="K24" i="59"/>
  <c r="L24" i="59"/>
  <c r="M24" i="59"/>
  <c r="Q24" i="59"/>
  <c r="R24" i="59"/>
  <c r="S24" i="59"/>
  <c r="J23" i="59"/>
  <c r="G23" i="59" s="1"/>
  <c r="K23" i="59"/>
  <c r="L23" i="59"/>
  <c r="M23" i="59"/>
  <c r="Q23" i="59"/>
  <c r="Q22" i="59" s="1"/>
  <c r="R23" i="59"/>
  <c r="S23" i="59"/>
  <c r="H23" i="59"/>
  <c r="H21" i="59"/>
  <c r="J21" i="59"/>
  <c r="K21" i="59"/>
  <c r="L21" i="59"/>
  <c r="M21" i="59"/>
  <c r="Q21" i="59"/>
  <c r="R21" i="59"/>
  <c r="S21" i="59"/>
  <c r="J20" i="59"/>
  <c r="K20" i="59"/>
  <c r="L20" i="59"/>
  <c r="M20" i="59"/>
  <c r="Q20" i="59"/>
  <c r="Q19" i="59" s="1"/>
  <c r="R20" i="59"/>
  <c r="S20" i="59"/>
  <c r="H20" i="59"/>
  <c r="H18" i="59"/>
  <c r="H18" i="83" s="1"/>
  <c r="J18" i="59"/>
  <c r="J18" i="83" s="1"/>
  <c r="K18" i="59"/>
  <c r="K18" i="83" s="1"/>
  <c r="L18" i="59"/>
  <c r="M18" i="59"/>
  <c r="L18" i="83" s="1"/>
  <c r="Q18" i="59"/>
  <c r="O18" i="83" s="1"/>
  <c r="R18" i="59"/>
  <c r="S18" i="59"/>
  <c r="P18" i="83" s="1"/>
  <c r="H15" i="59"/>
  <c r="H15" i="83" s="1"/>
  <c r="J15" i="59"/>
  <c r="J15" i="83" s="1"/>
  <c r="K15" i="59"/>
  <c r="K15" i="83" s="1"/>
  <c r="L15" i="59"/>
  <c r="L12" i="59" s="1"/>
  <c r="M15" i="59"/>
  <c r="L15" i="83" s="1"/>
  <c r="Q15" i="59"/>
  <c r="O15" i="83" s="1"/>
  <c r="R15" i="59"/>
  <c r="S15" i="59"/>
  <c r="P15" i="83" s="1"/>
  <c r="G54" i="59"/>
  <c r="F54" i="59"/>
  <c r="E54" i="59"/>
  <c r="G53" i="59"/>
  <c r="F53" i="59"/>
  <c r="F52" i="59" s="1"/>
  <c r="E53" i="59"/>
  <c r="G51" i="59"/>
  <c r="F51" i="59"/>
  <c r="E51" i="59"/>
  <c r="G50" i="59"/>
  <c r="F50" i="59"/>
  <c r="E50" i="59"/>
  <c r="G48" i="59"/>
  <c r="F48" i="59"/>
  <c r="E48" i="59"/>
  <c r="G47" i="59"/>
  <c r="F47" i="59"/>
  <c r="F46" i="59" s="1"/>
  <c r="E47" i="59"/>
  <c r="G45" i="59"/>
  <c r="F45" i="59"/>
  <c r="E45" i="59"/>
  <c r="G44" i="59"/>
  <c r="F44" i="59"/>
  <c r="E44" i="59"/>
  <c r="G42" i="59"/>
  <c r="F42" i="59"/>
  <c r="E42" i="59"/>
  <c r="G41" i="59"/>
  <c r="F41" i="59"/>
  <c r="F40" i="59" s="1"/>
  <c r="E41" i="59"/>
  <c r="G39" i="59"/>
  <c r="F39" i="59"/>
  <c r="E39" i="59"/>
  <c r="G38" i="59"/>
  <c r="G37" i="59" s="1"/>
  <c r="F38" i="59"/>
  <c r="E38" i="59"/>
  <c r="G36" i="59"/>
  <c r="F36" i="59"/>
  <c r="E36" i="59"/>
  <c r="G35" i="59"/>
  <c r="F35" i="59"/>
  <c r="F34" i="59" s="1"/>
  <c r="E35" i="59"/>
  <c r="S55" i="59"/>
  <c r="R55" i="59"/>
  <c r="Q55" i="59"/>
  <c r="P55" i="59"/>
  <c r="O55" i="59"/>
  <c r="N55" i="59"/>
  <c r="M55" i="59"/>
  <c r="L55" i="59"/>
  <c r="K55" i="59"/>
  <c r="J55" i="59"/>
  <c r="I55" i="59"/>
  <c r="H55" i="59"/>
  <c r="G55" i="59"/>
  <c r="F55" i="59"/>
  <c r="E55" i="59"/>
  <c r="S52" i="59"/>
  <c r="R52" i="59"/>
  <c r="Q52" i="59"/>
  <c r="P52" i="59"/>
  <c r="O52" i="59"/>
  <c r="N52" i="59"/>
  <c r="M52" i="59"/>
  <c r="L52" i="59"/>
  <c r="K52" i="59"/>
  <c r="J52" i="59"/>
  <c r="I52" i="59"/>
  <c r="H52" i="59"/>
  <c r="E52" i="59"/>
  <c r="S46" i="59"/>
  <c r="R46" i="59"/>
  <c r="Q46" i="59"/>
  <c r="P46" i="59"/>
  <c r="O46" i="59"/>
  <c r="N46" i="59"/>
  <c r="M46" i="59"/>
  <c r="L46" i="59"/>
  <c r="K46" i="59"/>
  <c r="J46" i="59"/>
  <c r="I46" i="59"/>
  <c r="H46" i="59"/>
  <c r="E46" i="59"/>
  <c r="S43" i="59"/>
  <c r="R43" i="59"/>
  <c r="Q43" i="59"/>
  <c r="P43" i="59"/>
  <c r="O43" i="59"/>
  <c r="N43" i="59"/>
  <c r="M43" i="59"/>
  <c r="L43" i="59"/>
  <c r="K43" i="59"/>
  <c r="J43" i="59"/>
  <c r="I43" i="59"/>
  <c r="H43" i="59"/>
  <c r="S40" i="59"/>
  <c r="R40" i="59"/>
  <c r="Q40" i="59"/>
  <c r="P40" i="59"/>
  <c r="O40" i="59"/>
  <c r="N40" i="59"/>
  <c r="M40" i="59"/>
  <c r="L40" i="59"/>
  <c r="K40" i="59"/>
  <c r="J40" i="59"/>
  <c r="I40" i="59"/>
  <c r="H40" i="59"/>
  <c r="S37" i="59"/>
  <c r="R37" i="59"/>
  <c r="Q37" i="59"/>
  <c r="P37" i="59"/>
  <c r="O37" i="59"/>
  <c r="N37" i="59"/>
  <c r="M37" i="59"/>
  <c r="L37" i="59"/>
  <c r="K37" i="59"/>
  <c r="J37" i="59"/>
  <c r="I37" i="59"/>
  <c r="H37" i="59"/>
  <c r="F37" i="59"/>
  <c r="S34" i="59"/>
  <c r="R34" i="59"/>
  <c r="Q34" i="59"/>
  <c r="P34" i="59"/>
  <c r="O34" i="59"/>
  <c r="N34" i="59"/>
  <c r="M34" i="59"/>
  <c r="L34" i="59"/>
  <c r="K34" i="59"/>
  <c r="J34" i="59"/>
  <c r="I34" i="59"/>
  <c r="H34" i="59"/>
  <c r="E34" i="59"/>
  <c r="L25" i="59"/>
  <c r="R22" i="59"/>
  <c r="J19" i="59"/>
  <c r="E9" i="58"/>
  <c r="F9" i="58"/>
  <c r="I9" i="58"/>
  <c r="K9" i="58" s="1"/>
  <c r="J9" i="58"/>
  <c r="L9" i="58"/>
  <c r="M9" i="58"/>
  <c r="O9" i="58"/>
  <c r="P9" i="58"/>
  <c r="R9" i="58"/>
  <c r="S9" i="58"/>
  <c r="I10" i="58"/>
  <c r="K10" i="58" s="1"/>
  <c r="J10" i="58"/>
  <c r="L10" i="58"/>
  <c r="M10" i="58"/>
  <c r="O10" i="58"/>
  <c r="R10" i="58"/>
  <c r="I11" i="58"/>
  <c r="J11" i="58"/>
  <c r="O11" i="58"/>
  <c r="R11" i="58"/>
  <c r="I12" i="58"/>
  <c r="J12" i="58"/>
  <c r="O12" i="58"/>
  <c r="R12" i="58"/>
  <c r="I8" i="58"/>
  <c r="J8" i="58"/>
  <c r="O8" i="58"/>
  <c r="R8" i="58"/>
  <c r="DE27" i="60"/>
  <c r="DE9" i="60" s="1"/>
  <c r="DE44" i="60" s="1"/>
  <c r="DD27" i="60"/>
  <c r="DD9" i="60" s="1"/>
  <c r="DD44" i="60" s="1"/>
  <c r="CZ27" i="60"/>
  <c r="CZ9" i="60" s="1"/>
  <c r="CZ44" i="60" s="1"/>
  <c r="CX27" i="60"/>
  <c r="CW27" i="60"/>
  <c r="CW9" i="60" s="1"/>
  <c r="CW44" i="60" s="1"/>
  <c r="CS27" i="60"/>
  <c r="CS9" i="60" s="1"/>
  <c r="CS44" i="60" s="1"/>
  <c r="CQ27" i="60"/>
  <c r="CQ9" i="60" s="1"/>
  <c r="CQ44" i="60" s="1"/>
  <c r="CP27" i="60"/>
  <c r="CL27" i="60"/>
  <c r="CL9" i="60" s="1"/>
  <c r="CL44" i="60" s="1"/>
  <c r="CJ27" i="60"/>
  <c r="CJ9" i="60" s="1"/>
  <c r="CJ44" i="60" s="1"/>
  <c r="CI27" i="60"/>
  <c r="CI9" i="60" s="1"/>
  <c r="CI44" i="60" s="1"/>
  <c r="CE27" i="60"/>
  <c r="CC27" i="60"/>
  <c r="CC9" i="60" s="1"/>
  <c r="CC44" i="60" s="1"/>
  <c r="CB27" i="60"/>
  <c r="BX27" i="60"/>
  <c r="BX9" i="60" s="1"/>
  <c r="BX44" i="60" s="1"/>
  <c r="BV27" i="60"/>
  <c r="BU27" i="60"/>
  <c r="BU9" i="60" s="1"/>
  <c r="BU44" i="60" s="1"/>
  <c r="BQ27" i="60"/>
  <c r="BQ9" i="60" s="1"/>
  <c r="BQ44" i="60" s="1"/>
  <c r="BO27" i="60"/>
  <c r="BO9" i="60" s="1"/>
  <c r="BO44" i="60" s="1"/>
  <c r="BN27" i="60"/>
  <c r="BJ27" i="60"/>
  <c r="BJ9" i="60" s="1"/>
  <c r="BJ44" i="60" s="1"/>
  <c r="BH27" i="60"/>
  <c r="BG27" i="60"/>
  <c r="BG9" i="60" s="1"/>
  <c r="BG44" i="60" s="1"/>
  <c r="BC27" i="60"/>
  <c r="BA27" i="60"/>
  <c r="BA9" i="60" s="1"/>
  <c r="BA44" i="60" s="1"/>
  <c r="AZ27" i="60"/>
  <c r="AZ9" i="60" s="1"/>
  <c r="AZ44" i="60" s="1"/>
  <c r="AV27" i="60"/>
  <c r="AV9" i="60" s="1"/>
  <c r="AV44" i="60" s="1"/>
  <c r="AT27" i="60"/>
  <c r="AS27" i="60"/>
  <c r="AS9" i="60" s="1"/>
  <c r="AS44" i="60" s="1"/>
  <c r="AO27" i="60"/>
  <c r="AO9" i="60" s="1"/>
  <c r="AO44" i="60" s="1"/>
  <c r="AM27" i="60"/>
  <c r="AL27" i="60"/>
  <c r="AH27" i="60"/>
  <c r="AH9" i="60" s="1"/>
  <c r="AH44" i="60" s="1"/>
  <c r="AF27" i="60"/>
  <c r="AE27" i="60"/>
  <c r="AE9" i="60" s="1"/>
  <c r="AE44" i="60" s="1"/>
  <c r="AB27" i="60"/>
  <c r="AA27" i="60"/>
  <c r="AA9" i="60" s="1"/>
  <c r="AA44" i="60" s="1"/>
  <c r="Y27" i="60"/>
  <c r="Y9" i="60" s="1"/>
  <c r="Y44" i="60" s="1"/>
  <c r="X27" i="60"/>
  <c r="X9" i="60" s="1"/>
  <c r="X44" i="60" s="1"/>
  <c r="U27" i="60"/>
  <c r="U9" i="60" s="1"/>
  <c r="U44" i="60" s="1"/>
  <c r="T27" i="60"/>
  <c r="T9" i="60" s="1"/>
  <c r="T44" i="60" s="1"/>
  <c r="R27" i="60"/>
  <c r="Q27" i="60"/>
  <c r="Q9" i="60" s="1"/>
  <c r="Q44" i="60" s="1"/>
  <c r="M27" i="60"/>
  <c r="M9" i="60" s="1"/>
  <c r="M44" i="60" s="1"/>
  <c r="K27" i="60"/>
  <c r="K9" i="60" s="1"/>
  <c r="K44" i="60" s="1"/>
  <c r="J27" i="60"/>
  <c r="F27" i="60"/>
  <c r="CX9" i="60"/>
  <c r="CX44" i="60" s="1"/>
  <c r="CP9" i="60"/>
  <c r="CP44" i="60" s="1"/>
  <c r="CE9" i="60"/>
  <c r="CE44" i="60" s="1"/>
  <c r="CB9" i="60"/>
  <c r="CB44" i="60" s="1"/>
  <c r="BV9" i="60"/>
  <c r="BV44" i="60" s="1"/>
  <c r="BN9" i="60"/>
  <c r="BN44" i="60" s="1"/>
  <c r="BH9" i="60"/>
  <c r="BH44" i="60" s="1"/>
  <c r="BC9" i="60"/>
  <c r="BC44" i="60" s="1"/>
  <c r="AT9" i="60"/>
  <c r="AT44" i="60" s="1"/>
  <c r="AM9" i="60"/>
  <c r="AM44" i="60" s="1"/>
  <c r="AL9" i="60"/>
  <c r="AL44" i="60" s="1"/>
  <c r="AF9" i="60"/>
  <c r="AF44" i="60" s="1"/>
  <c r="AB9" i="60"/>
  <c r="AB44" i="60" s="1"/>
  <c r="R9" i="60"/>
  <c r="R44" i="60" s="1"/>
  <c r="J9" i="60"/>
  <c r="J44" i="60" s="1"/>
  <c r="F9" i="60"/>
  <c r="F44" i="60" s="1"/>
  <c r="M19" i="59" l="1"/>
  <c r="S30" i="59"/>
  <c r="P30" i="83" s="1"/>
  <c r="P33" i="83"/>
  <c r="DA18" i="60"/>
  <c r="L19" i="59"/>
  <c r="L22" i="59"/>
  <c r="Q30" i="59"/>
  <c r="O30" i="83" s="1"/>
  <c r="O33" i="83"/>
  <c r="E20" i="59"/>
  <c r="M30" i="59"/>
  <c r="L30" i="83" s="1"/>
  <c r="L33" i="83"/>
  <c r="H22" i="59"/>
  <c r="K30" i="59"/>
  <c r="K30" i="83" s="1"/>
  <c r="K33" i="83"/>
  <c r="H30" i="59"/>
  <c r="H30" i="83" s="1"/>
  <c r="H33" i="83"/>
  <c r="H19" i="59"/>
  <c r="M22" i="59"/>
  <c r="E15" i="59"/>
  <c r="E15" i="83" s="1"/>
  <c r="R12" i="59"/>
  <c r="R19" i="59"/>
  <c r="E21" i="59"/>
  <c r="R25" i="59"/>
  <c r="E27" i="59"/>
  <c r="J12" i="59"/>
  <c r="J12" i="83" s="1"/>
  <c r="E23" i="59"/>
  <c r="J22" i="59"/>
  <c r="E26" i="59"/>
  <c r="J25" i="59"/>
  <c r="G30" i="59"/>
  <c r="G30" i="83" s="1"/>
  <c r="BK9" i="60"/>
  <c r="BK44" i="60" s="1"/>
  <c r="CM9" i="60"/>
  <c r="CM44" i="60" s="1"/>
  <c r="CT9" i="60"/>
  <c r="CT44" i="60" s="1"/>
  <c r="G18" i="59"/>
  <c r="G18" i="83" s="1"/>
  <c r="K12" i="59"/>
  <c r="K12" i="83" s="1"/>
  <c r="G21" i="59"/>
  <c r="G24" i="59"/>
  <c r="G22" i="59" s="1"/>
  <c r="K22" i="59"/>
  <c r="DA27" i="60"/>
  <c r="DA9" i="60" s="1"/>
  <c r="DA44" i="60" s="1"/>
  <c r="J9" i="59"/>
  <c r="J9" i="83" s="1"/>
  <c r="G34" i="59"/>
  <c r="E43" i="59"/>
  <c r="G52" i="59"/>
  <c r="G27" i="59"/>
  <c r="G9" i="59" s="1"/>
  <c r="G9" i="83" s="1"/>
  <c r="M25" i="59"/>
  <c r="E30" i="59"/>
  <c r="E30" i="83" s="1"/>
  <c r="G33" i="59"/>
  <c r="G33" i="83" s="1"/>
  <c r="E40" i="59"/>
  <c r="G43" i="59"/>
  <c r="G15" i="59"/>
  <c r="G15" i="83" s="1"/>
  <c r="G20" i="59"/>
  <c r="G26" i="59"/>
  <c r="G25" i="59" s="1"/>
  <c r="H25" i="59"/>
  <c r="R9" i="59"/>
  <c r="CY28" i="60"/>
  <c r="CY27" i="60" s="1"/>
  <c r="CY9" i="60" s="1"/>
  <c r="CY44" i="60" s="1"/>
  <c r="AB798" i="63"/>
  <c r="Z760" i="63"/>
  <c r="AB760" i="63" s="1"/>
  <c r="DC9" i="60"/>
  <c r="DC44" i="60" s="1"/>
  <c r="DB9" i="60"/>
  <c r="DB44" i="60" s="1"/>
  <c r="BY9" i="60"/>
  <c r="BY44" i="60" s="1"/>
  <c r="BR9" i="60"/>
  <c r="BR44" i="60" s="1"/>
  <c r="G46" i="59"/>
  <c r="F43" i="59"/>
  <c r="G40" i="59"/>
  <c r="E37" i="59"/>
  <c r="E33" i="59"/>
  <c r="E33" i="83" s="1"/>
  <c r="Q25" i="59"/>
  <c r="S25" i="59"/>
  <c r="K25" i="59"/>
  <c r="E24" i="59"/>
  <c r="E22" i="59" s="1"/>
  <c r="S22" i="59"/>
  <c r="S19" i="59"/>
  <c r="K19" i="59"/>
  <c r="E19" i="59"/>
  <c r="G19" i="59"/>
  <c r="E18" i="59"/>
  <c r="E18" i="83" s="1"/>
  <c r="S9" i="59"/>
  <c r="P9" i="83" s="1"/>
  <c r="K9" i="59"/>
  <c r="K9" i="83" s="1"/>
  <c r="S12" i="59"/>
  <c r="P12" i="83" s="1"/>
  <c r="Q9" i="59"/>
  <c r="O9" i="83" s="1"/>
  <c r="M9" i="59"/>
  <c r="L9" i="83" s="1"/>
  <c r="Q12" i="59"/>
  <c r="O12" i="83" s="1"/>
  <c r="M12" i="59"/>
  <c r="L12" i="83" s="1"/>
  <c r="L9" i="59"/>
  <c r="H9" i="59"/>
  <c r="H9" i="83" s="1"/>
  <c r="H12" i="59"/>
  <c r="H12" i="83" s="1"/>
  <c r="G12" i="59"/>
  <c r="G12" i="83" s="1"/>
  <c r="E25" i="59" l="1"/>
  <c r="E9" i="59"/>
  <c r="E9" i="83" s="1"/>
  <c r="E12" i="59"/>
  <c r="E12" i="83" s="1"/>
  <c r="A3" i="52" l="1"/>
  <c r="B538" i="51" l="1"/>
  <c r="B537" i="51"/>
  <c r="B566" i="51" s="1"/>
  <c r="B534" i="51"/>
  <c r="B563" i="51" s="1"/>
  <c r="B533" i="51"/>
  <c r="B562" i="51" s="1"/>
  <c r="B532" i="51"/>
  <c r="BF36" i="42" l="1"/>
  <c r="BF28" i="60" s="1"/>
  <c r="BF27" i="60" s="1"/>
  <c r="BE36" i="42"/>
  <c r="BE28" i="60" s="1"/>
  <c r="BE27" i="60" s="1"/>
  <c r="BD36" i="42"/>
  <c r="BD28" i="60" s="1"/>
  <c r="AY36" i="42"/>
  <c r="AY28" i="60" s="1"/>
  <c r="AY27" i="60" s="1"/>
  <c r="AX36" i="42"/>
  <c r="AX28" i="60" s="1"/>
  <c r="AX27" i="60" s="1"/>
  <c r="AW36" i="42"/>
  <c r="AW28" i="60" s="1"/>
  <c r="AR36" i="42"/>
  <c r="AR28" i="60" s="1"/>
  <c r="AR27" i="60" s="1"/>
  <c r="AQ36" i="42"/>
  <c r="AQ28" i="60" s="1"/>
  <c r="AQ27" i="60" s="1"/>
  <c r="AP36" i="42"/>
  <c r="AP28" i="60" s="1"/>
  <c r="AK36" i="42"/>
  <c r="AK28" i="60" s="1"/>
  <c r="AK27" i="60" s="1"/>
  <c r="AJ36" i="42"/>
  <c r="AJ28" i="60" s="1"/>
  <c r="AJ27" i="60" s="1"/>
  <c r="AI36" i="42"/>
  <c r="AI28" i="60" s="1"/>
  <c r="AG28" i="60" l="1"/>
  <c r="AG27" i="60" s="1"/>
  <c r="AI27" i="60"/>
  <c r="AW27" i="60"/>
  <c r="AU28" i="60"/>
  <c r="AU27" i="60" s="1"/>
  <c r="BD27" i="60"/>
  <c r="BB28" i="60"/>
  <c r="BB27" i="60" s="1"/>
  <c r="AN28" i="60"/>
  <c r="AN27" i="60" s="1"/>
  <c r="AP27" i="60"/>
  <c r="D306" i="4"/>
  <c r="D305" i="4" l="1"/>
  <c r="D304" i="4"/>
  <c r="G24" i="20" l="1"/>
  <c r="T24" i="20" s="1"/>
  <c r="BU42" i="9" l="1"/>
  <c r="BN42" i="9"/>
  <c r="BM36" i="42" l="1"/>
  <c r="BM28" i="60" s="1"/>
  <c r="BM27" i="60" s="1"/>
  <c r="BN66" i="97"/>
  <c r="BT36" i="42"/>
  <c r="BT28" i="60" s="1"/>
  <c r="BT57" i="84" s="1"/>
  <c r="BT46" i="84" s="1"/>
  <c r="BU66" i="97"/>
  <c r="D286" i="4"/>
  <c r="O24" i="20"/>
  <c r="L24" i="20" s="1"/>
  <c r="F24" i="20" s="1"/>
  <c r="BM57" i="84" l="1"/>
  <c r="BM46" i="84" s="1"/>
  <c r="BT27" i="60"/>
  <c r="D538" i="4"/>
  <c r="B55" i="35"/>
  <c r="B43" i="35"/>
  <c r="B42" i="35"/>
  <c r="F38" i="31" l="1"/>
  <c r="H38" i="31" s="1"/>
  <c r="H42" i="31"/>
  <c r="H37" i="31" l="1"/>
  <c r="F37" i="31"/>
  <c r="C310" i="1" l="1"/>
  <c r="G309" i="1"/>
  <c r="F309" i="1"/>
  <c r="E309" i="1"/>
  <c r="C309" i="1" l="1"/>
  <c r="CW26" i="9" l="1"/>
  <c r="CW48" i="97" s="1"/>
  <c r="N255" i="1"/>
  <c r="M255" i="1"/>
  <c r="CI26" i="9"/>
  <c r="CI48" i="97" s="1"/>
  <c r="N254" i="1"/>
  <c r="M254" i="1"/>
  <c r="L254" i="1" s="1"/>
  <c r="D254" i="1"/>
  <c r="E254" i="1"/>
  <c r="D255" i="1"/>
  <c r="E255" i="1"/>
  <c r="CW42" i="9"/>
  <c r="CV42" i="9"/>
  <c r="CV66" i="97" s="1"/>
  <c r="CV55" i="97" s="1"/>
  <c r="CV18" i="97" s="1"/>
  <c r="CV94" i="97" s="1"/>
  <c r="M147" i="1"/>
  <c r="CI42" i="9"/>
  <c r="CH42" i="9"/>
  <c r="CH66" i="97" s="1"/>
  <c r="CH55" i="97" s="1"/>
  <c r="CH18" i="97" s="1"/>
  <c r="CH94" i="97" s="1"/>
  <c r="M146" i="1"/>
  <c r="D146" i="1"/>
  <c r="D147" i="1"/>
  <c r="E147" i="1"/>
  <c r="CP26" i="9"/>
  <c r="CP48" i="97" s="1"/>
  <c r="CB26" i="9"/>
  <c r="CB48" i="97" s="1"/>
  <c r="CV36" i="42" l="1"/>
  <c r="CV28" i="60" s="1"/>
  <c r="CV57" i="84" s="1"/>
  <c r="CV46" i="84" s="1"/>
  <c r="CW66" i="97"/>
  <c r="CH36" i="42"/>
  <c r="CH28" i="60" s="1"/>
  <c r="CH27" i="60" s="1"/>
  <c r="CI66" i="97"/>
  <c r="CL48" i="97"/>
  <c r="CP37" i="97"/>
  <c r="CL37" i="97" s="1"/>
  <c r="CI37" i="97"/>
  <c r="CE37" i="97" s="1"/>
  <c r="CE48" i="97"/>
  <c r="BX48" i="97"/>
  <c r="CB37" i="97"/>
  <c r="BX37" i="97" s="1"/>
  <c r="CW37" i="97"/>
  <c r="CS37" i="97" s="1"/>
  <c r="CS48" i="97"/>
  <c r="CU36" i="42"/>
  <c r="CU28" i="60" s="1"/>
  <c r="CU57" i="84" s="1"/>
  <c r="CG36" i="42"/>
  <c r="CG28" i="60" s="1"/>
  <c r="CG57" i="84" s="1"/>
  <c r="CG46" i="84" s="1"/>
  <c r="CG9" i="84" s="1"/>
  <c r="CG82" i="84" s="1"/>
  <c r="C254" i="1"/>
  <c r="F67" i="1"/>
  <c r="F40" i="65"/>
  <c r="CR57" i="84" l="1"/>
  <c r="CR46" i="84" s="1"/>
  <c r="CV27" i="60"/>
  <c r="CH57" i="84"/>
  <c r="CH46" i="84" s="1"/>
  <c r="CR28" i="60"/>
  <c r="CR27" i="60" s="1"/>
  <c r="CU27" i="60"/>
  <c r="CG27" i="60"/>
  <c r="CD28" i="60"/>
  <c r="CD27" i="60" s="1"/>
  <c r="CU46" i="84"/>
  <c r="CU9" i="84" s="1"/>
  <c r="CU82" i="84" s="1"/>
  <c r="CW55" i="97"/>
  <c r="CS66" i="97"/>
  <c r="CE66" i="97"/>
  <c r="CI55" i="97"/>
  <c r="F39" i="65"/>
  <c r="K40" i="65"/>
  <c r="K39" i="65" s="1"/>
  <c r="CO42" i="9"/>
  <c r="CO66" i="97" s="1"/>
  <c r="CO55" i="97" s="1"/>
  <c r="CO18" i="97" s="1"/>
  <c r="CO94" i="97" s="1"/>
  <c r="F337" i="1"/>
  <c r="AE110" i="17"/>
  <c r="CA42" i="9"/>
  <c r="CA66" i="97" s="1"/>
  <c r="CA55" i="97" s="1"/>
  <c r="CA18" i="97" s="1"/>
  <c r="CA94" i="97" s="1"/>
  <c r="CP42" i="9"/>
  <c r="F338" i="1"/>
  <c r="AF110" i="17"/>
  <c r="CB42" i="9"/>
  <c r="G144" i="1"/>
  <c r="N253" i="1"/>
  <c r="O253" i="1"/>
  <c r="M253" i="1"/>
  <c r="E253" i="1"/>
  <c r="D253" i="1"/>
  <c r="C253" i="1" s="1"/>
  <c r="D102" i="1"/>
  <c r="C255" i="1"/>
  <c r="N145" i="1"/>
  <c r="O145" i="1"/>
  <c r="M145" i="1"/>
  <c r="L147" i="1"/>
  <c r="L146" i="1"/>
  <c r="C147" i="1"/>
  <c r="D145" i="1"/>
  <c r="E145" i="1"/>
  <c r="E40" i="65"/>
  <c r="F28" i="105" l="1"/>
  <c r="E50" i="106"/>
  <c r="E35" i="106" s="1"/>
  <c r="F29" i="105"/>
  <c r="F25" i="105" s="1"/>
  <c r="E51" i="106"/>
  <c r="E47" i="106" s="1"/>
  <c r="L253" i="1"/>
  <c r="CD57" i="84"/>
  <c r="CA36" i="42"/>
  <c r="CA28" i="60" s="1"/>
  <c r="CA57" i="84" s="1"/>
  <c r="CA46" i="84" s="1"/>
  <c r="CB66" i="97"/>
  <c r="CO36" i="42"/>
  <c r="CO28" i="60" s="1"/>
  <c r="CO27" i="60" s="1"/>
  <c r="CP66" i="97"/>
  <c r="I725" i="76"/>
  <c r="BZ36" i="42"/>
  <c r="BZ28" i="60" s="1"/>
  <c r="BZ57" i="84" s="1"/>
  <c r="CS55" i="97"/>
  <c r="CW18" i="97"/>
  <c r="CI18" i="97"/>
  <c r="CE55" i="97"/>
  <c r="CN36" i="42"/>
  <c r="CN28" i="60" s="1"/>
  <c r="CN57" i="84" s="1"/>
  <c r="CN46" i="84" s="1"/>
  <c r="CN9" i="84" s="1"/>
  <c r="CN82" i="84" s="1"/>
  <c r="M144" i="1"/>
  <c r="E39" i="65"/>
  <c r="E24" i="65" s="1"/>
  <c r="J40" i="65"/>
  <c r="F144" i="1"/>
  <c r="AR110" i="17"/>
  <c r="O144" i="1"/>
  <c r="AQ110" i="17" s="1"/>
  <c r="BM42" i="9"/>
  <c r="BM66" i="97" s="1"/>
  <c r="BM55" i="97" s="1"/>
  <c r="BM18" i="97" s="1"/>
  <c r="BM94" i="97" s="1"/>
  <c r="N144" i="1"/>
  <c r="D144" i="1"/>
  <c r="E144" i="1"/>
  <c r="L255" i="1"/>
  <c r="C146" i="1"/>
  <c r="CD46" i="84" l="1"/>
  <c r="L55" i="85"/>
  <c r="L44" i="85" s="1"/>
  <c r="L7" i="85" s="1"/>
  <c r="L83" i="85" s="1"/>
  <c r="CA27" i="60"/>
  <c r="CO57" i="84"/>
  <c r="CO46" i="84" s="1"/>
  <c r="BW57" i="84"/>
  <c r="BZ46" i="84"/>
  <c r="BZ9" i="84" s="1"/>
  <c r="BZ82" i="84" s="1"/>
  <c r="CK28" i="60"/>
  <c r="CK27" i="60" s="1"/>
  <c r="CN27" i="60"/>
  <c r="BW28" i="60"/>
  <c r="BW27" i="60" s="1"/>
  <c r="I722" i="76"/>
  <c r="I719" i="76" s="1"/>
  <c r="BZ27" i="60"/>
  <c r="CW94" i="97"/>
  <c r="CS94" i="97" s="1"/>
  <c r="CS18" i="97"/>
  <c r="CL66" i="97"/>
  <c r="CP55" i="97"/>
  <c r="BX66" i="97"/>
  <c r="CB55" i="97"/>
  <c r="BL36" i="42"/>
  <c r="BL28" i="60" s="1"/>
  <c r="BL57" i="84" s="1"/>
  <c r="BI57" i="84" s="1"/>
  <c r="CI94" i="97"/>
  <c r="CE94" i="97" s="1"/>
  <c r="CE18" i="97"/>
  <c r="E93" i="65"/>
  <c r="E95" i="65"/>
  <c r="J39" i="65"/>
  <c r="L148" i="1"/>
  <c r="L149" i="1"/>
  <c r="L150" i="1"/>
  <c r="L151" i="1"/>
  <c r="L152" i="1"/>
  <c r="L153" i="1"/>
  <c r="L154" i="1"/>
  <c r="L155" i="1"/>
  <c r="L156" i="1"/>
  <c r="L157" i="1"/>
  <c r="L158" i="1"/>
  <c r="L159" i="1"/>
  <c r="L256" i="1"/>
  <c r="L257" i="1"/>
  <c r="L258" i="1"/>
  <c r="C148" i="1"/>
  <c r="C149" i="1"/>
  <c r="C150" i="1"/>
  <c r="C151" i="1"/>
  <c r="C152" i="1"/>
  <c r="C153" i="1"/>
  <c r="C154" i="1"/>
  <c r="C155" i="1"/>
  <c r="C156" i="1"/>
  <c r="C157" i="1"/>
  <c r="C158" i="1"/>
  <c r="C159" i="1"/>
  <c r="C256" i="1"/>
  <c r="C257" i="1"/>
  <c r="C258" i="1"/>
  <c r="C145" i="1"/>
  <c r="BW46" i="84" l="1"/>
  <c r="K55" i="85"/>
  <c r="K44" i="85" s="1"/>
  <c r="K7" i="85" s="1"/>
  <c r="K83" i="85" s="1"/>
  <c r="BI46" i="84"/>
  <c r="I55" i="85"/>
  <c r="I44" i="85" s="1"/>
  <c r="I7" i="85" s="1"/>
  <c r="I83" i="85" s="1"/>
  <c r="CK57" i="84"/>
  <c r="CK46" i="84" s="1"/>
  <c r="CB18" i="97"/>
  <c r="BX55" i="97"/>
  <c r="BL46" i="84"/>
  <c r="BL9" i="84" s="1"/>
  <c r="BL82" i="84" s="1"/>
  <c r="BL27" i="60"/>
  <c r="CL55" i="97"/>
  <c r="CP18" i="97"/>
  <c r="BI28" i="60"/>
  <c r="BI27" i="60" s="1"/>
  <c r="BJ66" i="97"/>
  <c r="BN55" i="97"/>
  <c r="J24" i="65"/>
  <c r="E94" i="65"/>
  <c r="L145" i="1"/>
  <c r="BT42" i="9"/>
  <c r="BT66" i="97" s="1"/>
  <c r="BT55" i="97" s="1"/>
  <c r="BT18" i="97" s="1"/>
  <c r="BT94" i="97" s="1"/>
  <c r="CP94" i="97" l="1"/>
  <c r="CL94" i="97" s="1"/>
  <c r="CL18" i="97"/>
  <c r="BJ55" i="97"/>
  <c r="CB94" i="97"/>
  <c r="BX94" i="97" s="1"/>
  <c r="BX18" i="97"/>
  <c r="BS36" i="42"/>
  <c r="BS28" i="60" s="1"/>
  <c r="BS57" i="84" s="1"/>
  <c r="BP57" i="84" s="1"/>
  <c r="J95" i="65"/>
  <c r="J93" i="65"/>
  <c r="C103" i="1"/>
  <c r="F101" i="1"/>
  <c r="BN26" i="9"/>
  <c r="BN48" i="97" s="1"/>
  <c r="BP46" i="84" l="1"/>
  <c r="J55" i="85"/>
  <c r="J44" i="85" s="1"/>
  <c r="J7" i="85" s="1"/>
  <c r="J83" i="85" s="1"/>
  <c r="BJ48" i="97"/>
  <c r="BN37" i="97"/>
  <c r="BP28" i="60"/>
  <c r="BP27" i="60" s="1"/>
  <c r="BQ66" i="97"/>
  <c r="BU55" i="97"/>
  <c r="BS27" i="60"/>
  <c r="BS46" i="84"/>
  <c r="BS9" i="84" s="1"/>
  <c r="BS82" i="84" s="1"/>
  <c r="S11" i="58"/>
  <c r="F42" i="65"/>
  <c r="J94" i="65"/>
  <c r="N102" i="1"/>
  <c r="N101" i="1" s="1"/>
  <c r="M102" i="1"/>
  <c r="M101" i="1" s="1"/>
  <c r="E102" i="1"/>
  <c r="E101" i="1" s="1"/>
  <c r="S10" i="58" s="1"/>
  <c r="G102" i="1"/>
  <c r="F341" i="1" s="1"/>
  <c r="E41" i="106" s="1"/>
  <c r="F24" i="105" l="1"/>
  <c r="E36" i="106"/>
  <c r="E32" i="106" s="1"/>
  <c r="Q10" i="58"/>
  <c r="BJ37" i="97"/>
  <c r="BN18" i="97"/>
  <c r="BQ55" i="97"/>
  <c r="F41" i="65"/>
  <c r="K42" i="65"/>
  <c r="G101" i="1"/>
  <c r="F725" i="76"/>
  <c r="L140" i="1"/>
  <c r="C140" i="1"/>
  <c r="C106" i="1"/>
  <c r="L106" i="1"/>
  <c r="C107" i="1"/>
  <c r="L107" i="1"/>
  <c r="G42" i="65" l="1"/>
  <c r="C42" i="65" s="1"/>
  <c r="Q42" i="65" s="1"/>
  <c r="BJ18" i="97"/>
  <c r="BN94" i="97"/>
  <c r="BJ94" i="97" s="1"/>
  <c r="O42" i="65"/>
  <c r="P42" i="65"/>
  <c r="K41" i="65"/>
  <c r="G41" i="65"/>
  <c r="C41" i="65" s="1"/>
  <c r="L42" i="65"/>
  <c r="L41" i="65" s="1"/>
  <c r="F24" i="65"/>
  <c r="C101" i="1"/>
  <c r="S12" i="58"/>
  <c r="P101" i="1"/>
  <c r="Q12" i="58" s="1"/>
  <c r="BU26" i="9"/>
  <c r="BU48" i="97" s="1"/>
  <c r="L139" i="1"/>
  <c r="O102" i="1"/>
  <c r="O101" i="1" s="1"/>
  <c r="Q11" i="58" s="1"/>
  <c r="S12" i="82" l="1"/>
  <c r="Q12" i="82"/>
  <c r="Q11" i="82"/>
  <c r="BQ48" i="97"/>
  <c r="BU37" i="97"/>
  <c r="H42" i="65"/>
  <c r="H41" i="65"/>
  <c r="K24" i="65"/>
  <c r="F95" i="65"/>
  <c r="F93" i="65"/>
  <c r="M42" i="65"/>
  <c r="C93" i="65" l="1"/>
  <c r="BQ37" i="97"/>
  <c r="BU18" i="97"/>
  <c r="F94" i="65"/>
  <c r="K95" i="65"/>
  <c r="I13" i="26"/>
  <c r="I13" i="58" s="1"/>
  <c r="J13" i="26"/>
  <c r="J13" i="58" s="1"/>
  <c r="N13" i="26"/>
  <c r="O13" i="26"/>
  <c r="O13" i="58" s="1"/>
  <c r="P13" i="26"/>
  <c r="S13" i="58" s="1"/>
  <c r="Q13" i="26"/>
  <c r="R13" i="26"/>
  <c r="R13" i="58" s="1"/>
  <c r="S13" i="26"/>
  <c r="T13" i="26"/>
  <c r="U13" i="26"/>
  <c r="C94" i="65" l="1"/>
  <c r="O94" i="65" s="1"/>
  <c r="O93" i="65"/>
  <c r="L375" i="65"/>
  <c r="P93" i="65"/>
  <c r="S8" i="58"/>
  <c r="S8" i="82" s="1"/>
  <c r="S14" i="82" s="1"/>
  <c r="S13" i="82"/>
  <c r="BQ18" i="97"/>
  <c r="BU94" i="97"/>
  <c r="BQ94" i="97" s="1"/>
  <c r="G67" i="1"/>
  <c r="AE25" i="17"/>
  <c r="K13" i="27"/>
  <c r="AM3" i="22"/>
  <c r="AM4" i="22"/>
  <c r="AI3" i="22"/>
  <c r="M14" i="22" s="1"/>
  <c r="AI4" i="22"/>
  <c r="M15" i="22" s="1"/>
  <c r="D230" i="4"/>
  <c r="D231" i="4" s="1"/>
  <c r="D227" i="4"/>
  <c r="AK58" i="17"/>
  <c r="AK57" i="17"/>
  <c r="G78" i="2"/>
  <c r="H78" i="2" s="1"/>
  <c r="G77" i="2"/>
  <c r="H77" i="2" s="1"/>
  <c r="I77" i="2" s="1"/>
  <c r="J77" i="2" s="1"/>
  <c r="G75" i="2"/>
  <c r="H75" i="2" s="1"/>
  <c r="G74" i="2"/>
  <c r="H74" i="2" s="1"/>
  <c r="I74" i="2" s="1"/>
  <c r="G67" i="2"/>
  <c r="H67" i="2" s="1"/>
  <c r="G68" i="2"/>
  <c r="H68" i="2" s="1"/>
  <c r="G69" i="2"/>
  <c r="G70" i="2"/>
  <c r="H70" i="2" s="1"/>
  <c r="I70" i="2" s="1"/>
  <c r="G71" i="2"/>
  <c r="H71" i="2" s="1"/>
  <c r="I71" i="2" s="1"/>
  <c r="G72" i="2"/>
  <c r="H72" i="2" s="1"/>
  <c r="G66" i="2"/>
  <c r="H66" i="2" s="1"/>
  <c r="F92" i="2"/>
  <c r="G89" i="2"/>
  <c r="H89" i="2" s="1"/>
  <c r="G88" i="2"/>
  <c r="H88" i="2" s="1"/>
  <c r="G87" i="2"/>
  <c r="H87" i="2" s="1"/>
  <c r="H86" i="2"/>
  <c r="I86" i="2" s="1"/>
  <c r="F84" i="2"/>
  <c r="H83" i="2"/>
  <c r="H82" i="2"/>
  <c r="H81" i="2"/>
  <c r="I81" i="2" s="1"/>
  <c r="A3" i="50"/>
  <c r="E24" i="50"/>
  <c r="AH379" i="63" s="1"/>
  <c r="E23" i="50"/>
  <c r="AH378" i="63" s="1"/>
  <c r="E13" i="50"/>
  <c r="AH384" i="63" s="1"/>
  <c r="E14" i="50"/>
  <c r="AH385" i="63" s="1"/>
  <c r="E15" i="50"/>
  <c r="E16" i="50"/>
  <c r="AH387" i="63" s="1"/>
  <c r="E17" i="50"/>
  <c r="E18" i="50"/>
  <c r="AH389" i="63" s="1"/>
  <c r="E12" i="50"/>
  <c r="AH383" i="63" s="1"/>
  <c r="D38" i="50"/>
  <c r="E35" i="50"/>
  <c r="F35" i="50" s="1"/>
  <c r="G35" i="50" s="1"/>
  <c r="E34" i="50"/>
  <c r="F34" i="50" s="1"/>
  <c r="E33" i="50"/>
  <c r="F33" i="50" s="1"/>
  <c r="F32" i="50"/>
  <c r="G32" i="50" s="1"/>
  <c r="D30" i="50"/>
  <c r="F29" i="50"/>
  <c r="F28" i="50"/>
  <c r="G28" i="50" s="1"/>
  <c r="H28" i="50" s="1"/>
  <c r="F27" i="50"/>
  <c r="G27" i="50" s="1"/>
  <c r="H27" i="50" s="1"/>
  <c r="I82" i="2"/>
  <c r="J82" i="2" s="1"/>
  <c r="G29" i="50"/>
  <c r="H29" i="50" s="1"/>
  <c r="O278" i="1"/>
  <c r="G53" i="50"/>
  <c r="B53" i="50"/>
  <c r="L105" i="1"/>
  <c r="P49" i="2"/>
  <c r="P46" i="2" s="1"/>
  <c r="N49" i="2"/>
  <c r="M49" i="2"/>
  <c r="M46" i="2" s="1"/>
  <c r="G49" i="2"/>
  <c r="G46" i="2" s="1"/>
  <c r="E49" i="2"/>
  <c r="E46" i="2" s="1"/>
  <c r="D49" i="2"/>
  <c r="D46" i="2" s="1"/>
  <c r="F41" i="2"/>
  <c r="N46" i="2"/>
  <c r="O13" i="2"/>
  <c r="O12" i="2" s="1"/>
  <c r="L15" i="2"/>
  <c r="D529" i="4"/>
  <c r="D558" i="4" s="1"/>
  <c r="D523" i="4"/>
  <c r="D552" i="4" s="1"/>
  <c r="D554" i="4" s="1"/>
  <c r="D498" i="4"/>
  <c r="D497" i="4"/>
  <c r="D485" i="4"/>
  <c r="D484" i="4"/>
  <c r="D473" i="4"/>
  <c r="D467" i="4"/>
  <c r="D457" i="4"/>
  <c r="D514" i="4" s="1"/>
  <c r="D456" i="4"/>
  <c r="D513" i="4" s="1"/>
  <c r="D455" i="4"/>
  <c r="D512" i="4" s="1"/>
  <c r="D516" i="4" s="1"/>
  <c r="CH41" i="9"/>
  <c r="CB41" i="9"/>
  <c r="D376" i="4"/>
  <c r="D377" i="4" s="1"/>
  <c r="D373" i="4"/>
  <c r="D374" i="4" s="1"/>
  <c r="D367" i="4"/>
  <c r="D368" i="4" s="1"/>
  <c r="D349" i="4"/>
  <c r="D403" i="4" s="1"/>
  <c r="D346" i="4"/>
  <c r="D388" i="4" s="1"/>
  <c r="D340" i="4"/>
  <c r="E56" i="44"/>
  <c r="E57" i="44"/>
  <c r="O37" i="44"/>
  <c r="O11" i="44"/>
  <c r="Q6" i="44"/>
  <c r="Q7" i="44" s="1"/>
  <c r="Q8" i="44" s="1"/>
  <c r="H5" i="44"/>
  <c r="O5" i="44"/>
  <c r="O6" i="44" s="1"/>
  <c r="A9" i="45"/>
  <c r="O57" i="45"/>
  <c r="O51" i="45"/>
  <c r="O35" i="45"/>
  <c r="L19" i="45"/>
  <c r="O19" i="45" s="1"/>
  <c r="L18" i="45"/>
  <c r="O18" i="45" s="1"/>
  <c r="R15" i="45"/>
  <c r="H15" i="45"/>
  <c r="H14" i="45"/>
  <c r="L14" i="45" s="1"/>
  <c r="R16" i="45"/>
  <c r="H16" i="45" s="1"/>
  <c r="G31" i="43"/>
  <c r="A8" i="43"/>
  <c r="A22" i="43" s="1"/>
  <c r="F30" i="31"/>
  <c r="H30" i="31" s="1"/>
  <c r="F26" i="31"/>
  <c r="H15" i="31"/>
  <c r="G17" i="31"/>
  <c r="G17" i="43" s="1"/>
  <c r="F17" i="31"/>
  <c r="F17" i="43" s="1"/>
  <c r="R32" i="41"/>
  <c r="R32" i="59" s="1"/>
  <c r="L32" i="41"/>
  <c r="L32" i="59" s="1"/>
  <c r="R16" i="41"/>
  <c r="L16" i="41"/>
  <c r="L17" i="59" s="1"/>
  <c r="L16" i="59" s="1"/>
  <c r="R13" i="41"/>
  <c r="L13" i="41"/>
  <c r="DL44" i="42"/>
  <c r="DK44" i="42"/>
  <c r="DJ44" i="42"/>
  <c r="DI44" i="42"/>
  <c r="DH44" i="42"/>
  <c r="DG44" i="42"/>
  <c r="DE44" i="42"/>
  <c r="DD44" i="42"/>
  <c r="DC44" i="42"/>
  <c r="DB44" i="42"/>
  <c r="DA44" i="42"/>
  <c r="CZ44" i="42"/>
  <c r="CX44" i="42"/>
  <c r="CW44" i="42"/>
  <c r="CT44" i="42"/>
  <c r="CS44" i="42"/>
  <c r="CQ44" i="42"/>
  <c r="CP44" i="42"/>
  <c r="CM44" i="42"/>
  <c r="CL44" i="42"/>
  <c r="CJ44" i="42"/>
  <c r="CI44" i="42"/>
  <c r="CF44" i="42"/>
  <c r="CE44" i="42"/>
  <c r="CC44" i="42"/>
  <c r="CB44" i="42"/>
  <c r="BY44" i="42"/>
  <c r="BX44" i="42"/>
  <c r="BV44" i="42"/>
  <c r="BU44" i="42"/>
  <c r="BR44" i="42"/>
  <c r="BQ44" i="42"/>
  <c r="BO44" i="42"/>
  <c r="BN44" i="42"/>
  <c r="BK44" i="42"/>
  <c r="BJ44" i="42"/>
  <c r="BH44" i="42"/>
  <c r="BG44" i="42"/>
  <c r="BC44" i="42"/>
  <c r="BA44" i="42"/>
  <c r="AZ44" i="42"/>
  <c r="AV44" i="42"/>
  <c r="AT44" i="42"/>
  <c r="AS44" i="42"/>
  <c r="AO44" i="42"/>
  <c r="AM44" i="42"/>
  <c r="AL44" i="42"/>
  <c r="AH44" i="42"/>
  <c r="AF44" i="42"/>
  <c r="AE44" i="42"/>
  <c r="AB44" i="42"/>
  <c r="AA44" i="42"/>
  <c r="Y44" i="42"/>
  <c r="X44" i="42"/>
  <c r="U44" i="42"/>
  <c r="T44" i="42"/>
  <c r="R44" i="42"/>
  <c r="Q44" i="42"/>
  <c r="M44" i="42"/>
  <c r="K44" i="42"/>
  <c r="J44" i="42"/>
  <c r="F44" i="42"/>
  <c r="DF43" i="42"/>
  <c r="CY43" i="42"/>
  <c r="CR43" i="42"/>
  <c r="CK43" i="42"/>
  <c r="CD43" i="42"/>
  <c r="BW43" i="42"/>
  <c r="BP43" i="42"/>
  <c r="BI43" i="42"/>
  <c r="BB43" i="42"/>
  <c r="AU43" i="42"/>
  <c r="AN43" i="42"/>
  <c r="AG43" i="42"/>
  <c r="Z43" i="42"/>
  <c r="S43" i="42"/>
  <c r="DF42" i="42"/>
  <c r="CY42" i="42"/>
  <c r="CR42" i="42"/>
  <c r="CK42" i="42"/>
  <c r="CD42" i="42"/>
  <c r="BW42" i="42"/>
  <c r="BP42" i="42"/>
  <c r="BI42" i="42"/>
  <c r="BB42" i="42"/>
  <c r="AU42" i="42"/>
  <c r="AN42" i="42"/>
  <c r="AG42" i="42"/>
  <c r="Z42" i="42"/>
  <c r="S42" i="42"/>
  <c r="DF41" i="42"/>
  <c r="CY41" i="42"/>
  <c r="CR41" i="42"/>
  <c r="CK41" i="42"/>
  <c r="CD41" i="42"/>
  <c r="BW41" i="42"/>
  <c r="BP41" i="42"/>
  <c r="BI41" i="42"/>
  <c r="BB41" i="42"/>
  <c r="AU41" i="42"/>
  <c r="AN41" i="42"/>
  <c r="AG41" i="42"/>
  <c r="DF40" i="42"/>
  <c r="CY40" i="42"/>
  <c r="CR40" i="42"/>
  <c r="CK40" i="42"/>
  <c r="CD40" i="42"/>
  <c r="BW40" i="42"/>
  <c r="BP40" i="42"/>
  <c r="BI40" i="42"/>
  <c r="BB40" i="42"/>
  <c r="AU40" i="42"/>
  <c r="AN40" i="42"/>
  <c r="AG40" i="42"/>
  <c r="Z40" i="42"/>
  <c r="S40" i="42"/>
  <c r="DF39" i="42"/>
  <c r="CY39" i="42"/>
  <c r="CR39" i="42"/>
  <c r="CK39" i="42"/>
  <c r="CD39" i="42"/>
  <c r="BW39" i="42"/>
  <c r="BP39" i="42"/>
  <c r="BI39" i="42"/>
  <c r="BB39" i="42"/>
  <c r="AU39" i="42"/>
  <c r="AN39" i="42"/>
  <c r="AG39" i="42"/>
  <c r="Z39" i="42"/>
  <c r="S39" i="42"/>
  <c r="DF38" i="42"/>
  <c r="CY38" i="42"/>
  <c r="CR38" i="42"/>
  <c r="CK38" i="42"/>
  <c r="CD38" i="42"/>
  <c r="BW38" i="42"/>
  <c r="BP38" i="42"/>
  <c r="BI38" i="42"/>
  <c r="BB38" i="42"/>
  <c r="AU38" i="42"/>
  <c r="AN38" i="42"/>
  <c r="AG38" i="42"/>
  <c r="Z38" i="42"/>
  <c r="S38" i="42"/>
  <c r="L38" i="42"/>
  <c r="E38" i="42"/>
  <c r="DF37" i="42"/>
  <c r="CY37" i="42"/>
  <c r="CR37" i="42"/>
  <c r="CK37" i="42"/>
  <c r="CD37" i="42"/>
  <c r="BW37" i="42"/>
  <c r="BP37" i="42"/>
  <c r="BI37" i="42"/>
  <c r="BB37" i="42"/>
  <c r="AU37" i="42"/>
  <c r="AN37" i="42"/>
  <c r="AG37" i="42"/>
  <c r="Z37" i="42"/>
  <c r="S37" i="42"/>
  <c r="L37" i="42"/>
  <c r="E37" i="42"/>
  <c r="DF36" i="42"/>
  <c r="DF35" i="42" s="1"/>
  <c r="CY36" i="42"/>
  <c r="CR36" i="42"/>
  <c r="CR35" i="42" s="1"/>
  <c r="CK36" i="42"/>
  <c r="CD36" i="42"/>
  <c r="BW36" i="42"/>
  <c r="BP36" i="42"/>
  <c r="BP35" i="42" s="1"/>
  <c r="BI36" i="42"/>
  <c r="BB36" i="42"/>
  <c r="BB35" i="42" s="1"/>
  <c r="AU36" i="42"/>
  <c r="AN36" i="42"/>
  <c r="AG36" i="42"/>
  <c r="Z36" i="42"/>
  <c r="S36" i="42"/>
  <c r="L36" i="42"/>
  <c r="E36" i="42"/>
  <c r="DL35" i="42"/>
  <c r="DK35" i="42"/>
  <c r="DJ35" i="42"/>
  <c r="DI35" i="42"/>
  <c r="DH35" i="42"/>
  <c r="DG35" i="42"/>
  <c r="DE35" i="42"/>
  <c r="DD35" i="42"/>
  <c r="DC35" i="42"/>
  <c r="DB35" i="42"/>
  <c r="DA35" i="42"/>
  <c r="CZ35" i="42"/>
  <c r="CX35" i="42"/>
  <c r="CW35" i="42"/>
  <c r="CV35" i="42"/>
  <c r="CU35" i="42"/>
  <c r="CT35" i="42"/>
  <c r="CS35" i="42"/>
  <c r="CQ35" i="42"/>
  <c r="CP35" i="42"/>
  <c r="CO35" i="42"/>
  <c r="CN35" i="42"/>
  <c r="CM35" i="42"/>
  <c r="CL35" i="42"/>
  <c r="CJ35" i="42"/>
  <c r="CI35" i="42"/>
  <c r="CH35" i="42"/>
  <c r="CG35" i="42"/>
  <c r="CF35" i="42"/>
  <c r="CE35" i="42"/>
  <c r="CC35" i="42"/>
  <c r="CB35" i="42"/>
  <c r="CA35" i="42"/>
  <c r="BZ35" i="42"/>
  <c r="BY35" i="42"/>
  <c r="BX35" i="42"/>
  <c r="BV35" i="42"/>
  <c r="BU35" i="42"/>
  <c r="BT35" i="42"/>
  <c r="BS35" i="42"/>
  <c r="BR35" i="42"/>
  <c r="BQ35" i="42"/>
  <c r="BO35" i="42"/>
  <c r="BN35" i="42"/>
  <c r="BM35" i="42"/>
  <c r="BL35" i="42"/>
  <c r="BK35" i="42"/>
  <c r="BJ35" i="42"/>
  <c r="BH35" i="42"/>
  <c r="BG35" i="42"/>
  <c r="BF35" i="42"/>
  <c r="BE35" i="42"/>
  <c r="BD35" i="42"/>
  <c r="BC35" i="42"/>
  <c r="BA35" i="42"/>
  <c r="AZ35" i="42"/>
  <c r="AY35" i="42"/>
  <c r="AX35" i="42"/>
  <c r="AW35" i="42"/>
  <c r="AV35" i="42"/>
  <c r="AT35" i="42"/>
  <c r="AS35" i="42"/>
  <c r="AR35" i="42"/>
  <c r="AQ35" i="42"/>
  <c r="AP35" i="42"/>
  <c r="AO35" i="42"/>
  <c r="AM35" i="42"/>
  <c r="AL35" i="42"/>
  <c r="AK35" i="42"/>
  <c r="AJ35" i="42"/>
  <c r="AI35" i="42"/>
  <c r="AH35" i="42"/>
  <c r="AF35" i="42"/>
  <c r="AE35" i="42"/>
  <c r="AB35" i="42"/>
  <c r="AA35" i="42"/>
  <c r="Y35" i="42"/>
  <c r="X35" i="42"/>
  <c r="U35" i="42"/>
  <c r="T35" i="42"/>
  <c r="R35" i="42"/>
  <c r="Q35" i="42"/>
  <c r="M35" i="42"/>
  <c r="K35" i="42"/>
  <c r="J35" i="42"/>
  <c r="F35" i="42"/>
  <c r="DF34" i="42"/>
  <c r="CY34" i="42"/>
  <c r="CR34" i="42"/>
  <c r="CK34" i="42"/>
  <c r="CD34" i="42"/>
  <c r="BW34" i="42"/>
  <c r="BP34" i="42"/>
  <c r="BI34" i="42"/>
  <c r="BB34" i="42"/>
  <c r="AU34" i="42"/>
  <c r="AN34" i="42"/>
  <c r="AG34" i="42"/>
  <c r="Z34" i="42"/>
  <c r="S34" i="42"/>
  <c r="L34" i="42"/>
  <c r="E34" i="42"/>
  <c r="DF33" i="42"/>
  <c r="CY33" i="42"/>
  <c r="CR33" i="42"/>
  <c r="CK33" i="42"/>
  <c r="CD33" i="42"/>
  <c r="BW33" i="42"/>
  <c r="BP33" i="42"/>
  <c r="BI33" i="42"/>
  <c r="BB33" i="42"/>
  <c r="AU33" i="42"/>
  <c r="AN33" i="42"/>
  <c r="AG33" i="42"/>
  <c r="Z33" i="42"/>
  <c r="S33" i="42"/>
  <c r="L33" i="42"/>
  <c r="E33" i="42"/>
  <c r="DF32" i="42"/>
  <c r="CY32" i="42"/>
  <c r="CR32" i="42"/>
  <c r="CK32" i="42"/>
  <c r="CD32" i="42"/>
  <c r="BW32" i="42"/>
  <c r="BP32" i="42"/>
  <c r="BI32" i="42"/>
  <c r="BB32" i="42"/>
  <c r="AU32" i="42"/>
  <c r="AN32" i="42"/>
  <c r="AG32" i="42"/>
  <c r="Z32" i="42"/>
  <c r="S32" i="42"/>
  <c r="L32" i="42"/>
  <c r="E32" i="42"/>
  <c r="DF31" i="42"/>
  <c r="CY31" i="42"/>
  <c r="CR31" i="42"/>
  <c r="CK31" i="42"/>
  <c r="CD31" i="42"/>
  <c r="BW31" i="42"/>
  <c r="BP31" i="42"/>
  <c r="BI31" i="42"/>
  <c r="BB31" i="42"/>
  <c r="AU31" i="42"/>
  <c r="AN31" i="42"/>
  <c r="AG31" i="42"/>
  <c r="Z31" i="42"/>
  <c r="S31" i="42"/>
  <c r="DF30" i="42"/>
  <c r="CY30" i="42"/>
  <c r="CR30" i="42"/>
  <c r="CK30" i="42"/>
  <c r="CD30" i="42"/>
  <c r="BW30" i="42"/>
  <c r="BP30" i="42"/>
  <c r="BI30" i="42"/>
  <c r="BB30" i="42"/>
  <c r="AU30" i="42"/>
  <c r="AN30" i="42"/>
  <c r="AG30" i="42"/>
  <c r="Z30" i="42"/>
  <c r="S30" i="42"/>
  <c r="L30" i="42"/>
  <c r="E30" i="42"/>
  <c r="DF29" i="42"/>
  <c r="CY29" i="42"/>
  <c r="CR29" i="42"/>
  <c r="CK29" i="42"/>
  <c r="CD29" i="42"/>
  <c r="BW29" i="42"/>
  <c r="BP29" i="42"/>
  <c r="BI29" i="42"/>
  <c r="BB29" i="42"/>
  <c r="AU29" i="42"/>
  <c r="AN29" i="42"/>
  <c r="AG29" i="42"/>
  <c r="Z29" i="42"/>
  <c r="S29" i="42"/>
  <c r="L29" i="42"/>
  <c r="E29" i="42"/>
  <c r="DF28" i="42"/>
  <c r="DF27" i="42" s="1"/>
  <c r="CY28" i="42"/>
  <c r="CR28" i="42"/>
  <c r="CK28" i="42"/>
  <c r="CK27" i="42" s="1"/>
  <c r="CD28" i="42"/>
  <c r="BW28" i="42"/>
  <c r="BP28" i="42"/>
  <c r="BI28" i="42"/>
  <c r="BB28" i="42"/>
  <c r="AU28" i="42"/>
  <c r="AN28" i="42"/>
  <c r="AN27" i="42" s="1"/>
  <c r="AG28" i="42"/>
  <c r="Z28" i="42"/>
  <c r="S28" i="42"/>
  <c r="L28" i="42"/>
  <c r="E28" i="42"/>
  <c r="DL27" i="42"/>
  <c r="DK27" i="42"/>
  <c r="DJ27" i="42"/>
  <c r="DI27" i="42"/>
  <c r="DH27" i="42"/>
  <c r="DG27" i="42"/>
  <c r="DE27" i="42"/>
  <c r="DD27" i="42"/>
  <c r="DC27" i="42"/>
  <c r="DB27" i="42"/>
  <c r="DA27" i="42"/>
  <c r="CZ27" i="42"/>
  <c r="CX27" i="42"/>
  <c r="CW27" i="42"/>
  <c r="CV27" i="42"/>
  <c r="CU27" i="42"/>
  <c r="CT27" i="42"/>
  <c r="CS27" i="42"/>
  <c r="CQ27" i="42"/>
  <c r="CP27" i="42"/>
  <c r="CO27" i="42"/>
  <c r="CN27" i="42"/>
  <c r="CM27" i="42"/>
  <c r="CL27" i="42"/>
  <c r="CJ27" i="42"/>
  <c r="CI27" i="42"/>
  <c r="CH27" i="42"/>
  <c r="CG27" i="42"/>
  <c r="CF27" i="42"/>
  <c r="CE27" i="42"/>
  <c r="CC27" i="42"/>
  <c r="CB27" i="42"/>
  <c r="CA27" i="42"/>
  <c r="BZ27" i="42"/>
  <c r="BY27" i="42"/>
  <c r="BX27" i="42"/>
  <c r="BV27" i="42"/>
  <c r="BU27" i="42"/>
  <c r="BT27" i="42"/>
  <c r="BS27" i="42"/>
  <c r="BR27" i="42"/>
  <c r="BQ27" i="42"/>
  <c r="BO27" i="42"/>
  <c r="BN27" i="42"/>
  <c r="BM27" i="42"/>
  <c r="BL27" i="42"/>
  <c r="BK27" i="42"/>
  <c r="BJ27" i="42"/>
  <c r="BI27" i="42"/>
  <c r="BH27" i="42"/>
  <c r="BG27" i="42"/>
  <c r="BF27" i="42"/>
  <c r="BE27" i="42"/>
  <c r="BD27" i="42"/>
  <c r="BC27" i="42"/>
  <c r="BA27" i="42"/>
  <c r="AZ27" i="42"/>
  <c r="AY27" i="42"/>
  <c r="AX27" i="42"/>
  <c r="AW27" i="42"/>
  <c r="AV27" i="42"/>
  <c r="AT27" i="42"/>
  <c r="AS27" i="42"/>
  <c r="AR27" i="42"/>
  <c r="AQ27" i="42"/>
  <c r="AP27" i="42"/>
  <c r="AO27" i="42"/>
  <c r="AM27" i="42"/>
  <c r="AL27" i="42"/>
  <c r="AK27" i="42"/>
  <c r="AJ27" i="42"/>
  <c r="AI27" i="42"/>
  <c r="AH27" i="42"/>
  <c r="AF27" i="42"/>
  <c r="AE27" i="42"/>
  <c r="AD27" i="42"/>
  <c r="AC27" i="42"/>
  <c r="AB27" i="42"/>
  <c r="AA27" i="42"/>
  <c r="Y27" i="42"/>
  <c r="X27" i="42"/>
  <c r="W27" i="42"/>
  <c r="V27" i="42"/>
  <c r="U27" i="42"/>
  <c r="T27" i="42"/>
  <c r="R27" i="42"/>
  <c r="Q27" i="42"/>
  <c r="M27" i="42"/>
  <c r="K27" i="42"/>
  <c r="J27" i="42"/>
  <c r="F27" i="42"/>
  <c r="DF26" i="42"/>
  <c r="CY26" i="42"/>
  <c r="CR26" i="42"/>
  <c r="CK26" i="42"/>
  <c r="CD26" i="42"/>
  <c r="BW26" i="42"/>
  <c r="BP26" i="42"/>
  <c r="BI26" i="42"/>
  <c r="BB26" i="42"/>
  <c r="AU26" i="42"/>
  <c r="AN26" i="42"/>
  <c r="AG26" i="42"/>
  <c r="Z26" i="42"/>
  <c r="S26" i="42"/>
  <c r="L26" i="42"/>
  <c r="E26" i="42"/>
  <c r="DF25" i="42"/>
  <c r="CY25" i="42"/>
  <c r="CR25" i="42"/>
  <c r="CK25" i="42"/>
  <c r="CD25" i="42"/>
  <c r="BW25" i="42"/>
  <c r="BP25" i="42"/>
  <c r="BI25" i="42"/>
  <c r="BB25" i="42"/>
  <c r="AU25" i="42"/>
  <c r="AN25" i="42"/>
  <c r="AG25" i="42"/>
  <c r="Z25" i="42"/>
  <c r="S25" i="42"/>
  <c r="L25" i="42"/>
  <c r="E25" i="42"/>
  <c r="DF24" i="42"/>
  <c r="CY24" i="42"/>
  <c r="CR24" i="42"/>
  <c r="CK24" i="42"/>
  <c r="CD24" i="42"/>
  <c r="BW24" i="42"/>
  <c r="BP24" i="42"/>
  <c r="BI24" i="42"/>
  <c r="BB24" i="42"/>
  <c r="AU24" i="42"/>
  <c r="AN24" i="42"/>
  <c r="AG24" i="42"/>
  <c r="Z24" i="42"/>
  <c r="S24" i="42"/>
  <c r="L24" i="42"/>
  <c r="E24" i="42"/>
  <c r="DF23" i="42"/>
  <c r="CY23" i="42"/>
  <c r="CR23" i="42"/>
  <c r="CK23" i="42"/>
  <c r="CD23" i="42"/>
  <c r="BW23" i="42"/>
  <c r="BP23" i="42"/>
  <c r="BI23" i="42"/>
  <c r="BB23" i="42"/>
  <c r="AU23" i="42"/>
  <c r="AN23" i="42"/>
  <c r="AG23" i="42"/>
  <c r="Z23" i="42"/>
  <c r="S23" i="42"/>
  <c r="L23" i="42"/>
  <c r="E23" i="42"/>
  <c r="DF22" i="42"/>
  <c r="CY22" i="42"/>
  <c r="CR22" i="42"/>
  <c r="CK22" i="42"/>
  <c r="CD22" i="42"/>
  <c r="BW22" i="42"/>
  <c r="BP22" i="42"/>
  <c r="BI22" i="42"/>
  <c r="BB22" i="42"/>
  <c r="AU22" i="42"/>
  <c r="AN22" i="42"/>
  <c r="AG22" i="42"/>
  <c r="Z22" i="42"/>
  <c r="S22" i="42"/>
  <c r="L22" i="42"/>
  <c r="E22" i="42"/>
  <c r="DF21" i="42"/>
  <c r="CY21" i="42"/>
  <c r="CY19" i="42" s="1"/>
  <c r="CR21" i="42"/>
  <c r="CK21" i="42"/>
  <c r="CD21" i="42"/>
  <c r="BW21" i="42"/>
  <c r="BP21" i="42"/>
  <c r="BI21" i="42"/>
  <c r="BB21" i="42"/>
  <c r="AU21" i="42"/>
  <c r="AN21" i="42"/>
  <c r="AG21" i="42"/>
  <c r="Z21" i="42"/>
  <c r="S21" i="42"/>
  <c r="L21" i="42"/>
  <c r="E21" i="42"/>
  <c r="DF20" i="42"/>
  <c r="DF19" i="42" s="1"/>
  <c r="CY20" i="42"/>
  <c r="Z20" i="42"/>
  <c r="S20" i="42"/>
  <c r="L20" i="42"/>
  <c r="E20" i="42"/>
  <c r="DL19" i="42"/>
  <c r="DK19" i="42"/>
  <c r="DJ19" i="42"/>
  <c r="DI19" i="42"/>
  <c r="DH19" i="42"/>
  <c r="DG19" i="42"/>
  <c r="DE19" i="42"/>
  <c r="DD19" i="42"/>
  <c r="DC19" i="42"/>
  <c r="DB19" i="42"/>
  <c r="DA19" i="42"/>
  <c r="CZ19" i="42"/>
  <c r="CX19" i="42"/>
  <c r="CW19" i="42"/>
  <c r="CT19" i="42"/>
  <c r="CS19" i="42"/>
  <c r="CQ19" i="42"/>
  <c r="CP19" i="42"/>
  <c r="CM19" i="42"/>
  <c r="CL19" i="42"/>
  <c r="CJ19" i="42"/>
  <c r="CI19" i="42"/>
  <c r="CF19" i="42"/>
  <c r="CE19" i="42"/>
  <c r="CC19" i="42"/>
  <c r="CB19" i="42"/>
  <c r="BY19" i="42"/>
  <c r="BX19" i="42"/>
  <c r="BV19" i="42"/>
  <c r="BU19" i="42"/>
  <c r="BR19" i="42"/>
  <c r="BQ19" i="42"/>
  <c r="BO19" i="42"/>
  <c r="BN19" i="42"/>
  <c r="BK19" i="42"/>
  <c r="BJ19" i="42"/>
  <c r="BH19" i="42"/>
  <c r="BG19" i="42"/>
  <c r="BC19" i="42"/>
  <c r="BA19" i="42"/>
  <c r="AZ19" i="42"/>
  <c r="AV19" i="42"/>
  <c r="AT19" i="42"/>
  <c r="AS19" i="42"/>
  <c r="AO19" i="42"/>
  <c r="AM19" i="42"/>
  <c r="AL19" i="42"/>
  <c r="AH19" i="42"/>
  <c r="AF19" i="42"/>
  <c r="AE19" i="42"/>
  <c r="AD19" i="42"/>
  <c r="AC19" i="42"/>
  <c r="AB19" i="42"/>
  <c r="AA19" i="42"/>
  <c r="Y19" i="42"/>
  <c r="X19" i="42"/>
  <c r="W19" i="42"/>
  <c r="V19" i="42"/>
  <c r="U19" i="42"/>
  <c r="T19" i="42"/>
  <c r="R19" i="42"/>
  <c r="Q19" i="42"/>
  <c r="P19" i="42"/>
  <c r="O19" i="42"/>
  <c r="N19" i="42"/>
  <c r="M19" i="42"/>
  <c r="K19" i="42"/>
  <c r="J19" i="42"/>
  <c r="I19" i="42"/>
  <c r="H19" i="42"/>
  <c r="G19" i="42"/>
  <c r="F19" i="42"/>
  <c r="E19" i="42"/>
  <c r="DF18" i="42"/>
  <c r="CY18" i="42"/>
  <c r="CR18" i="42"/>
  <c r="CK18" i="42"/>
  <c r="CD18" i="42"/>
  <c r="BW18" i="42"/>
  <c r="BP18" i="42"/>
  <c r="BI18" i="42"/>
  <c r="BB18" i="42"/>
  <c r="AU18" i="42"/>
  <c r="AN18" i="42"/>
  <c r="AG18" i="42"/>
  <c r="Z18" i="42"/>
  <c r="S18" i="42"/>
  <c r="L18" i="42"/>
  <c r="E18" i="42"/>
  <c r="DF17" i="42"/>
  <c r="CY17" i="42"/>
  <c r="CR17" i="42"/>
  <c r="CK17" i="42"/>
  <c r="CD17" i="42"/>
  <c r="BW17" i="42"/>
  <c r="BP17" i="42"/>
  <c r="BI17" i="42"/>
  <c r="BB17" i="42"/>
  <c r="AU17" i="42"/>
  <c r="AN17" i="42"/>
  <c r="AG17" i="42"/>
  <c r="Z17" i="42"/>
  <c r="S17" i="42"/>
  <c r="L17" i="42"/>
  <c r="E17" i="42"/>
  <c r="DF16" i="42"/>
  <c r="CY16" i="42"/>
  <c r="CR16" i="42"/>
  <c r="CK16" i="42"/>
  <c r="CD16" i="42"/>
  <c r="BW16" i="42"/>
  <c r="BP16" i="42"/>
  <c r="BI16" i="42"/>
  <c r="BB16" i="42"/>
  <c r="AU16" i="42"/>
  <c r="AN16" i="42"/>
  <c r="AG16" i="42"/>
  <c r="Z16" i="42"/>
  <c r="S16" i="42"/>
  <c r="L16" i="42"/>
  <c r="E16" i="42"/>
  <c r="DF15" i="42"/>
  <c r="CY15" i="42"/>
  <c r="CR15" i="42"/>
  <c r="CK15" i="42"/>
  <c r="CD15" i="42"/>
  <c r="BW15" i="42"/>
  <c r="BP15" i="42"/>
  <c r="BI15" i="42"/>
  <c r="BB15" i="42"/>
  <c r="AU15" i="42"/>
  <c r="AN15" i="42"/>
  <c r="AG15" i="42"/>
  <c r="Z15" i="42"/>
  <c r="S15" i="42"/>
  <c r="L15" i="42"/>
  <c r="E15" i="42"/>
  <c r="DF14" i="42"/>
  <c r="CY14" i="42"/>
  <c r="CR14" i="42"/>
  <c r="CK14" i="42"/>
  <c r="CD14" i="42"/>
  <c r="BW14" i="42"/>
  <c r="BP14" i="42"/>
  <c r="BI14" i="42"/>
  <c r="BB14" i="42"/>
  <c r="AU14" i="42"/>
  <c r="AN14" i="42"/>
  <c r="AG14" i="42"/>
  <c r="Z14" i="42"/>
  <c r="S14" i="42"/>
  <c r="L14" i="42"/>
  <c r="E14" i="42"/>
  <c r="DF13" i="42"/>
  <c r="CY13" i="42"/>
  <c r="CR13" i="42"/>
  <c r="CK13" i="42"/>
  <c r="CD13" i="42"/>
  <c r="BW13" i="42"/>
  <c r="BP13" i="42"/>
  <c r="BI13" i="42"/>
  <c r="BB13" i="42"/>
  <c r="AU13" i="42"/>
  <c r="AN13" i="42"/>
  <c r="AG13" i="42"/>
  <c r="Z13" i="42"/>
  <c r="S13" i="42"/>
  <c r="L13" i="42"/>
  <c r="E13" i="42"/>
  <c r="DF12" i="42"/>
  <c r="CY12" i="42"/>
  <c r="CY11" i="42" s="1"/>
  <c r="CR12" i="42"/>
  <c r="CK12" i="42"/>
  <c r="CD12" i="42"/>
  <c r="CD11" i="42" s="1"/>
  <c r="BW12" i="42"/>
  <c r="BP12" i="42"/>
  <c r="BI12" i="42"/>
  <c r="BI11" i="42" s="1"/>
  <c r="BB12" i="42"/>
  <c r="AU12" i="42"/>
  <c r="AU11" i="42" s="1"/>
  <c r="AN12" i="42"/>
  <c r="AN11" i="42" s="1"/>
  <c r="AG12" i="42"/>
  <c r="Z12" i="42"/>
  <c r="Z11" i="42" s="1"/>
  <c r="S12" i="42"/>
  <c r="S11" i="42" s="1"/>
  <c r="L12" i="42"/>
  <c r="E12" i="42"/>
  <c r="DL11" i="42"/>
  <c r="DK11" i="42"/>
  <c r="DJ11" i="42"/>
  <c r="DI11" i="42"/>
  <c r="DH11" i="42"/>
  <c r="DG11" i="42"/>
  <c r="DE11" i="42"/>
  <c r="DD11" i="42"/>
  <c r="DC11" i="42"/>
  <c r="DB11" i="42"/>
  <c r="DA11" i="42"/>
  <c r="CZ11" i="42"/>
  <c r="CX11" i="42"/>
  <c r="CW11" i="42"/>
  <c r="CV11" i="42"/>
  <c r="CU11" i="42"/>
  <c r="CT11" i="42"/>
  <c r="CS11" i="42"/>
  <c r="CQ11" i="42"/>
  <c r="CP11" i="42"/>
  <c r="CO11" i="42"/>
  <c r="CN11" i="42"/>
  <c r="CM11" i="42"/>
  <c r="CL11" i="42"/>
  <c r="CJ11" i="42"/>
  <c r="CI11" i="42"/>
  <c r="CH11" i="42"/>
  <c r="CG11" i="42"/>
  <c r="CF11" i="42"/>
  <c r="CE11" i="42"/>
  <c r="CC11" i="42"/>
  <c r="CB11" i="42"/>
  <c r="CA11" i="42"/>
  <c r="BZ11" i="42"/>
  <c r="BY11" i="42"/>
  <c r="BX11" i="42"/>
  <c r="BV11" i="42"/>
  <c r="BU11" i="42"/>
  <c r="BT11" i="42"/>
  <c r="BS11" i="42"/>
  <c r="BR11" i="42"/>
  <c r="BQ11" i="42"/>
  <c r="BO11" i="42"/>
  <c r="BN11" i="42"/>
  <c r="BM11" i="42"/>
  <c r="BL11" i="42"/>
  <c r="BK11" i="42"/>
  <c r="BJ11" i="42"/>
  <c r="BH11" i="42"/>
  <c r="BG11" i="42"/>
  <c r="BF11" i="42"/>
  <c r="BE11" i="42"/>
  <c r="BD11" i="42"/>
  <c r="BC11" i="42"/>
  <c r="BA11" i="42"/>
  <c r="AZ11" i="42"/>
  <c r="AY11" i="42"/>
  <c r="AX11" i="42"/>
  <c r="AW11" i="42"/>
  <c r="AV11" i="42"/>
  <c r="AT11" i="42"/>
  <c r="AS11" i="42"/>
  <c r="AR11" i="42"/>
  <c r="AQ11" i="42"/>
  <c r="AP11" i="42"/>
  <c r="AO11" i="42"/>
  <c r="AM11" i="42"/>
  <c r="AL11" i="42"/>
  <c r="AK11" i="42"/>
  <c r="AJ11" i="42"/>
  <c r="AI11" i="42"/>
  <c r="AH11" i="42"/>
  <c r="AF11" i="42"/>
  <c r="AE11" i="42"/>
  <c r="AD11" i="42"/>
  <c r="AC11" i="42"/>
  <c r="AB11" i="42"/>
  <c r="AA11" i="42"/>
  <c r="Y11" i="42"/>
  <c r="X11" i="42"/>
  <c r="W11" i="42"/>
  <c r="V11" i="42"/>
  <c r="U11" i="42"/>
  <c r="T11" i="42"/>
  <c r="R11" i="42"/>
  <c r="Q11" i="42"/>
  <c r="P11" i="42"/>
  <c r="O11" i="42"/>
  <c r="N11" i="42"/>
  <c r="M11" i="42"/>
  <c r="K11" i="42"/>
  <c r="J11" i="42"/>
  <c r="I11" i="42"/>
  <c r="H11" i="42"/>
  <c r="G11" i="42"/>
  <c r="F11" i="42"/>
  <c r="E11" i="42"/>
  <c r="P51" i="41"/>
  <c r="O51" i="41"/>
  <c r="N51" i="41"/>
  <c r="I51" i="41"/>
  <c r="G51" i="41"/>
  <c r="E51" i="41"/>
  <c r="P50" i="41"/>
  <c r="P49" i="41" s="1"/>
  <c r="O50" i="41"/>
  <c r="N50" i="41"/>
  <c r="I50" i="41"/>
  <c r="G50" i="41"/>
  <c r="G49" i="41" s="1"/>
  <c r="E50" i="41"/>
  <c r="S49" i="41"/>
  <c r="R49" i="41"/>
  <c r="Q49" i="41"/>
  <c r="M49" i="41"/>
  <c r="L49" i="41"/>
  <c r="K49" i="41"/>
  <c r="J49" i="41"/>
  <c r="H49" i="41"/>
  <c r="P48" i="41"/>
  <c r="O48" i="41"/>
  <c r="N48" i="41"/>
  <c r="F48" i="41" s="1"/>
  <c r="I48" i="41"/>
  <c r="G48" i="41"/>
  <c r="E48" i="41"/>
  <c r="P47" i="41"/>
  <c r="O47" i="41"/>
  <c r="N47" i="41"/>
  <c r="I47" i="41"/>
  <c r="G47" i="41"/>
  <c r="G46" i="41" s="1"/>
  <c r="E47" i="41"/>
  <c r="E46" i="41" s="1"/>
  <c r="S46" i="41"/>
  <c r="R46" i="41"/>
  <c r="Q46" i="41"/>
  <c r="M46" i="41"/>
  <c r="L46" i="41"/>
  <c r="K46" i="41"/>
  <c r="J46" i="41"/>
  <c r="H46" i="41"/>
  <c r="P45" i="41"/>
  <c r="O45" i="41"/>
  <c r="N45" i="41"/>
  <c r="I45" i="41"/>
  <c r="G45" i="41"/>
  <c r="E45" i="41"/>
  <c r="P44" i="41"/>
  <c r="O44" i="41"/>
  <c r="N44" i="41"/>
  <c r="N43" i="41"/>
  <c r="I44" i="41"/>
  <c r="G44" i="41"/>
  <c r="E44" i="41"/>
  <c r="S43" i="41"/>
  <c r="R43" i="41"/>
  <c r="Q43" i="41"/>
  <c r="M43" i="41"/>
  <c r="L43" i="41"/>
  <c r="K43" i="41"/>
  <c r="J43" i="41"/>
  <c r="H43" i="41"/>
  <c r="P42" i="41"/>
  <c r="O42" i="41"/>
  <c r="N42" i="41"/>
  <c r="I42" i="41"/>
  <c r="G42" i="41"/>
  <c r="E42" i="41"/>
  <c r="P41" i="41"/>
  <c r="O41" i="41"/>
  <c r="O40" i="41" s="1"/>
  <c r="N41" i="41"/>
  <c r="N40" i="41" s="1"/>
  <c r="I41" i="41"/>
  <c r="G41" i="41"/>
  <c r="E41" i="41"/>
  <c r="E40" i="41" s="1"/>
  <c r="S40" i="41"/>
  <c r="R40" i="41"/>
  <c r="Q40" i="41"/>
  <c r="M40" i="41"/>
  <c r="L40" i="41"/>
  <c r="K40" i="41"/>
  <c r="J40" i="41"/>
  <c r="H40" i="41"/>
  <c r="P39" i="41"/>
  <c r="O39" i="41"/>
  <c r="N39" i="41"/>
  <c r="I39" i="41"/>
  <c r="G39" i="41"/>
  <c r="E39" i="41"/>
  <c r="P38" i="41"/>
  <c r="O38" i="41"/>
  <c r="O37" i="41" s="1"/>
  <c r="N38" i="41"/>
  <c r="I38" i="41"/>
  <c r="G38" i="41"/>
  <c r="E38" i="41"/>
  <c r="S37" i="41"/>
  <c r="R37" i="41"/>
  <c r="Q37" i="41"/>
  <c r="M37" i="41"/>
  <c r="L37" i="41"/>
  <c r="K37" i="41"/>
  <c r="J37" i="41"/>
  <c r="H37" i="41"/>
  <c r="P36" i="41"/>
  <c r="O36" i="41"/>
  <c r="N36" i="41"/>
  <c r="I36" i="41"/>
  <c r="G36" i="41"/>
  <c r="E36" i="41"/>
  <c r="P35" i="41"/>
  <c r="O35" i="41"/>
  <c r="O34" i="41" s="1"/>
  <c r="N35" i="41"/>
  <c r="N34" i="41" s="1"/>
  <c r="I35" i="41"/>
  <c r="G35" i="41"/>
  <c r="E35" i="41"/>
  <c r="E34" i="41" s="1"/>
  <c r="S34" i="41"/>
  <c r="R34" i="41"/>
  <c r="Q34" i="41"/>
  <c r="M34" i="41"/>
  <c r="L34" i="41"/>
  <c r="K34" i="41"/>
  <c r="J34" i="41"/>
  <c r="H34" i="41"/>
  <c r="P33" i="41"/>
  <c r="O33" i="41"/>
  <c r="O33" i="59" s="1"/>
  <c r="O30" i="59" s="1"/>
  <c r="N33" i="41"/>
  <c r="N33" i="59" s="1"/>
  <c r="I33" i="41"/>
  <c r="G33" i="41"/>
  <c r="E33" i="41"/>
  <c r="R31" i="41"/>
  <c r="L31" i="41"/>
  <c r="S29" i="41"/>
  <c r="S11" i="41" s="1"/>
  <c r="R29" i="41"/>
  <c r="R11" i="41" s="1"/>
  <c r="Q29" i="41"/>
  <c r="Q11" i="41" s="1"/>
  <c r="N29" i="41"/>
  <c r="M29" i="41"/>
  <c r="M11" i="41" s="1"/>
  <c r="L29" i="41"/>
  <c r="L11" i="41" s="1"/>
  <c r="K29" i="41"/>
  <c r="K11" i="41" s="1"/>
  <c r="J29" i="41"/>
  <c r="J11" i="41" s="1"/>
  <c r="H29" i="41"/>
  <c r="H11" i="41" s="1"/>
  <c r="R28" i="41"/>
  <c r="R27" i="41" s="1"/>
  <c r="P26" i="41"/>
  <c r="P27" i="59" s="1"/>
  <c r="O26" i="41"/>
  <c r="O27" i="59" s="1"/>
  <c r="N26" i="41"/>
  <c r="I26" i="41"/>
  <c r="I27" i="59" s="1"/>
  <c r="G26" i="41"/>
  <c r="E26" i="41"/>
  <c r="P25" i="41"/>
  <c r="P26" i="59" s="1"/>
  <c r="O25" i="41"/>
  <c r="O26" i="59" s="1"/>
  <c r="N25" i="41"/>
  <c r="I25" i="41"/>
  <c r="G25" i="41"/>
  <c r="G24" i="41" s="1"/>
  <c r="E25" i="41"/>
  <c r="S24" i="41"/>
  <c r="R24" i="41"/>
  <c r="Q24" i="41"/>
  <c r="M24" i="41"/>
  <c r="L24" i="41"/>
  <c r="K24" i="41"/>
  <c r="J24" i="41"/>
  <c r="H24" i="41"/>
  <c r="P23" i="41"/>
  <c r="P24" i="59" s="1"/>
  <c r="O23" i="41"/>
  <c r="O24" i="59" s="1"/>
  <c r="N23" i="41"/>
  <c r="N24" i="59" s="1"/>
  <c r="I23" i="41"/>
  <c r="I24" i="59" s="1"/>
  <c r="G23" i="41"/>
  <c r="E23" i="41"/>
  <c r="P22" i="41"/>
  <c r="P23" i="59" s="1"/>
  <c r="O22" i="41"/>
  <c r="N22" i="41"/>
  <c r="I22" i="41"/>
  <c r="I23" i="59" s="1"/>
  <c r="G22" i="41"/>
  <c r="E22" i="41"/>
  <c r="S21" i="41"/>
  <c r="R21" i="41"/>
  <c r="Q21" i="41"/>
  <c r="M21" i="41"/>
  <c r="L21" i="41"/>
  <c r="K21" i="41"/>
  <c r="J21" i="41"/>
  <c r="H21" i="41"/>
  <c r="P20" i="41"/>
  <c r="P21" i="59" s="1"/>
  <c r="O20" i="41"/>
  <c r="O21" i="59" s="1"/>
  <c r="N20" i="41"/>
  <c r="N21" i="59" s="1"/>
  <c r="I20" i="41"/>
  <c r="G20" i="41"/>
  <c r="E20" i="41"/>
  <c r="P19" i="41"/>
  <c r="P20" i="59" s="1"/>
  <c r="O19" i="41"/>
  <c r="O20" i="59" s="1"/>
  <c r="O19" i="59" s="1"/>
  <c r="N19" i="41"/>
  <c r="N20" i="59" s="1"/>
  <c r="I19" i="41"/>
  <c r="I20" i="59" s="1"/>
  <c r="G19" i="41"/>
  <c r="E19" i="41"/>
  <c r="E18" i="41" s="1"/>
  <c r="S18" i="41"/>
  <c r="R18" i="41"/>
  <c r="Q18" i="41"/>
  <c r="M18" i="41"/>
  <c r="L18" i="41"/>
  <c r="K18" i="41"/>
  <c r="J18" i="41"/>
  <c r="H18" i="41"/>
  <c r="G18" i="41"/>
  <c r="P17" i="41"/>
  <c r="P18" i="59" s="1"/>
  <c r="N18" i="83" s="1"/>
  <c r="O17" i="41"/>
  <c r="O18" i="59" s="1"/>
  <c r="N17" i="41"/>
  <c r="N18" i="59" s="1"/>
  <c r="M18" i="83" s="1"/>
  <c r="I17" i="41"/>
  <c r="I18" i="59" s="1"/>
  <c r="I18" i="83" s="1"/>
  <c r="G17" i="41"/>
  <c r="E17" i="41"/>
  <c r="L15" i="41"/>
  <c r="P14" i="41"/>
  <c r="P15" i="59" s="1"/>
  <c r="N15" i="83" s="1"/>
  <c r="O14" i="41"/>
  <c r="O15" i="59" s="1"/>
  <c r="N14" i="41"/>
  <c r="N15" i="59" s="1"/>
  <c r="M15" i="83" s="1"/>
  <c r="I14" i="41"/>
  <c r="G14" i="41"/>
  <c r="E14" i="41"/>
  <c r="R12" i="41"/>
  <c r="L11" i="42"/>
  <c r="BP11" i="42"/>
  <c r="CR11" i="42"/>
  <c r="I21" i="41"/>
  <c r="Q46" i="9"/>
  <c r="R70" i="97" s="1"/>
  <c r="P46" i="9"/>
  <c r="Q48" i="9"/>
  <c r="R72" i="97" s="1"/>
  <c r="P48" i="9"/>
  <c r="J48" i="9"/>
  <c r="I48" i="9"/>
  <c r="H45" i="9"/>
  <c r="I69" i="97" s="1"/>
  <c r="F19" i="33"/>
  <c r="G19" i="33"/>
  <c r="H19" i="33"/>
  <c r="P47" i="9" s="1"/>
  <c r="Q71" i="97" s="1"/>
  <c r="I19" i="33"/>
  <c r="Q47" i="9" s="1"/>
  <c r="J46" i="9"/>
  <c r="I46" i="9"/>
  <c r="AS29" i="35"/>
  <c r="AS28" i="35"/>
  <c r="AS27" i="35"/>
  <c r="AS26" i="35"/>
  <c r="BR26" i="35" s="1"/>
  <c r="AS25" i="35"/>
  <c r="AU25" i="35" s="1"/>
  <c r="AS24" i="35"/>
  <c r="BR24" i="35" s="1"/>
  <c r="BT24" i="35" s="1"/>
  <c r="AS23" i="35"/>
  <c r="BR23" i="35" s="1"/>
  <c r="BT23" i="35" s="1"/>
  <c r="AS22" i="35"/>
  <c r="AS21" i="35"/>
  <c r="AS34" i="35"/>
  <c r="BR34" i="35" s="1"/>
  <c r="BT34" i="35" s="1"/>
  <c r="A2" i="35"/>
  <c r="A2" i="36" s="1"/>
  <c r="K50" i="36"/>
  <c r="G50" i="36"/>
  <c r="H49" i="36"/>
  <c r="F49" i="36"/>
  <c r="C49" i="36"/>
  <c r="H48" i="36"/>
  <c r="F48" i="36"/>
  <c r="C48" i="36"/>
  <c r="H47" i="36"/>
  <c r="F47" i="36"/>
  <c r="C47" i="36"/>
  <c r="H46" i="36"/>
  <c r="F46" i="36"/>
  <c r="C46" i="36"/>
  <c r="H45" i="36"/>
  <c r="F45" i="36"/>
  <c r="C45" i="36"/>
  <c r="H44" i="36"/>
  <c r="F44" i="36"/>
  <c r="C44" i="36"/>
  <c r="H43" i="36"/>
  <c r="F43" i="36"/>
  <c r="C43" i="36"/>
  <c r="H42" i="36"/>
  <c r="F42" i="36"/>
  <c r="C42" i="36"/>
  <c r="H41" i="36"/>
  <c r="F41" i="36"/>
  <c r="C41" i="36"/>
  <c r="H40" i="36"/>
  <c r="F40" i="36"/>
  <c r="C40" i="36"/>
  <c r="H39" i="36"/>
  <c r="F39" i="36"/>
  <c r="C39" i="36"/>
  <c r="E38" i="36"/>
  <c r="D38" i="36"/>
  <c r="C38" i="36"/>
  <c r="C50" i="36" s="1"/>
  <c r="J50" i="36" s="1"/>
  <c r="B38" i="36"/>
  <c r="Y28" i="36"/>
  <c r="G21" i="36"/>
  <c r="E21" i="36"/>
  <c r="D21" i="36"/>
  <c r="H9" i="36"/>
  <c r="F9" i="36"/>
  <c r="A1" i="36"/>
  <c r="BQ61" i="35"/>
  <c r="BP61" i="35"/>
  <c r="BO61" i="35"/>
  <c r="BN61" i="35"/>
  <c r="BJ61" i="35"/>
  <c r="BI61" i="35"/>
  <c r="BE61" i="35"/>
  <c r="BD61" i="35"/>
  <c r="AZ61" i="35"/>
  <c r="AY61" i="35"/>
  <c r="AP61" i="35"/>
  <c r="AO61" i="35"/>
  <c r="AK61" i="35"/>
  <c r="AJ61" i="35"/>
  <c r="AF61" i="35"/>
  <c r="AE61" i="35"/>
  <c r="AA61" i="35"/>
  <c r="Z61" i="35"/>
  <c r="V61" i="35"/>
  <c r="U61" i="35"/>
  <c r="Q61" i="35"/>
  <c r="P61" i="35"/>
  <c r="L61" i="35"/>
  <c r="K61" i="35"/>
  <c r="G61" i="35"/>
  <c r="F61" i="35"/>
  <c r="B61" i="35"/>
  <c r="BQ60" i="35"/>
  <c r="BP60" i="35"/>
  <c r="BO60" i="35"/>
  <c r="BN60" i="35"/>
  <c r="BJ60" i="35"/>
  <c r="BI60" i="35"/>
  <c r="BE60" i="35"/>
  <c r="BD60" i="35"/>
  <c r="AZ60" i="35"/>
  <c r="AY60" i="35"/>
  <c r="AP60" i="35"/>
  <c r="AO60" i="35"/>
  <c r="AK60" i="35"/>
  <c r="AJ60" i="35"/>
  <c r="AF60" i="35"/>
  <c r="AE60" i="35"/>
  <c r="AA60" i="35"/>
  <c r="Z60" i="35"/>
  <c r="V60" i="35"/>
  <c r="U60" i="35"/>
  <c r="Q60" i="35"/>
  <c r="P60" i="35"/>
  <c r="L60" i="35"/>
  <c r="K60" i="35"/>
  <c r="G60" i="35"/>
  <c r="F60" i="35"/>
  <c r="B60" i="35"/>
  <c r="BQ59" i="35"/>
  <c r="BP59" i="35"/>
  <c r="BO59" i="35"/>
  <c r="BN59" i="35"/>
  <c r="BJ59" i="35"/>
  <c r="BI59" i="35"/>
  <c r="BE59" i="35"/>
  <c r="BD59" i="35"/>
  <c r="AZ59" i="35"/>
  <c r="AY59" i="35"/>
  <c r="AP59" i="35"/>
  <c r="AO59" i="35"/>
  <c r="AK59" i="35"/>
  <c r="AJ59" i="35"/>
  <c r="AF59" i="35"/>
  <c r="AE59" i="35"/>
  <c r="AA59" i="35"/>
  <c r="Z59" i="35"/>
  <c r="V59" i="35"/>
  <c r="U59" i="35"/>
  <c r="Q59" i="35"/>
  <c r="P59" i="35"/>
  <c r="L59" i="35"/>
  <c r="K59" i="35"/>
  <c r="G59" i="35"/>
  <c r="F59" i="35"/>
  <c r="B59" i="35"/>
  <c r="BM57" i="35"/>
  <c r="BO57" i="35" s="1"/>
  <c r="BL57" i="35"/>
  <c r="BK57" i="35"/>
  <c r="BH57" i="35"/>
  <c r="BG57" i="35"/>
  <c r="BF57" i="35"/>
  <c r="BJ57" i="35" s="1"/>
  <c r="BC57" i="35"/>
  <c r="BB57" i="35"/>
  <c r="BA57" i="35"/>
  <c r="AX57" i="35"/>
  <c r="AW57" i="35"/>
  <c r="AV57" i="35"/>
  <c r="AR57" i="35"/>
  <c r="AQ57" i="35"/>
  <c r="AN57" i="35"/>
  <c r="AM57" i="35"/>
  <c r="AL57" i="35"/>
  <c r="AI57" i="35"/>
  <c r="AK57" i="35" s="1"/>
  <c r="AH57" i="35"/>
  <c r="AG57" i="35"/>
  <c r="AD57" i="35"/>
  <c r="AC57" i="35"/>
  <c r="AB57" i="35"/>
  <c r="Y57" i="35"/>
  <c r="X57" i="35"/>
  <c r="W57" i="35"/>
  <c r="T57" i="35"/>
  <c r="S57" i="35"/>
  <c r="R57" i="35"/>
  <c r="O57" i="35"/>
  <c r="N57" i="35"/>
  <c r="M57" i="35"/>
  <c r="J57" i="35"/>
  <c r="K57" i="35" s="1"/>
  <c r="I57" i="35"/>
  <c r="H57" i="35"/>
  <c r="L57" i="35"/>
  <c r="E57" i="35"/>
  <c r="D57" i="35"/>
  <c r="C57" i="35"/>
  <c r="BQ54" i="35"/>
  <c r="BP54" i="35"/>
  <c r="BO54" i="35"/>
  <c r="BN54" i="35"/>
  <c r="BJ54" i="35"/>
  <c r="BI54" i="35"/>
  <c r="BE54" i="35"/>
  <c r="BD54" i="35"/>
  <c r="AZ54" i="35"/>
  <c r="AY54" i="35"/>
  <c r="AP54" i="35"/>
  <c r="AO54" i="35"/>
  <c r="AK54" i="35"/>
  <c r="AJ54" i="35"/>
  <c r="AF54" i="35"/>
  <c r="AE54" i="35"/>
  <c r="AA54" i="35"/>
  <c r="Z54" i="35"/>
  <c r="V54" i="35"/>
  <c r="U54" i="35"/>
  <c r="Q54" i="35"/>
  <c r="P54" i="35"/>
  <c r="L54" i="35"/>
  <c r="K54" i="35"/>
  <c r="G54" i="35"/>
  <c r="F54" i="35"/>
  <c r="B54" i="35"/>
  <c r="BQ53" i="35"/>
  <c r="BQ51" i="35"/>
  <c r="BP53" i="35"/>
  <c r="BO53" i="35"/>
  <c r="BN53" i="35"/>
  <c r="BJ53" i="35"/>
  <c r="BI53" i="35"/>
  <c r="BE53" i="35"/>
  <c r="BD53" i="35"/>
  <c r="AZ53" i="35"/>
  <c r="AY53" i="35"/>
  <c r="AP53" i="35"/>
  <c r="AO53" i="35"/>
  <c r="AK53" i="35"/>
  <c r="AJ53" i="35"/>
  <c r="AF53" i="35"/>
  <c r="AE53" i="35"/>
  <c r="AA53" i="35"/>
  <c r="Z53" i="35"/>
  <c r="V53" i="35"/>
  <c r="U53" i="35"/>
  <c r="Q53" i="35"/>
  <c r="P53" i="35"/>
  <c r="L53" i="35"/>
  <c r="K53" i="35"/>
  <c r="G53" i="35"/>
  <c r="F53" i="35"/>
  <c r="B53" i="35"/>
  <c r="B51" i="35" s="1"/>
  <c r="BM51" i="35"/>
  <c r="BL51" i="35"/>
  <c r="BK51" i="35"/>
  <c r="BH51" i="35"/>
  <c r="BI51" i="35" s="1"/>
  <c r="BG51" i="35"/>
  <c r="BF51" i="35"/>
  <c r="BC51" i="35"/>
  <c r="BB51" i="35"/>
  <c r="BA51" i="35"/>
  <c r="AX51" i="35"/>
  <c r="AW51" i="35"/>
  <c r="AV51" i="35"/>
  <c r="AR51" i="35"/>
  <c r="AQ51" i="35"/>
  <c r="AN51" i="35"/>
  <c r="AM51" i="35"/>
  <c r="AO51" i="35" s="1"/>
  <c r="AL51" i="35"/>
  <c r="AP51" i="35" s="1"/>
  <c r="AI51" i="35"/>
  <c r="AH51" i="35"/>
  <c r="AG51" i="35"/>
  <c r="AK51" i="35" s="1"/>
  <c r="AD51" i="35"/>
  <c r="AC51" i="35"/>
  <c r="AB51" i="35"/>
  <c r="Y51" i="35"/>
  <c r="X51" i="35"/>
  <c r="W51" i="35"/>
  <c r="T51" i="35"/>
  <c r="S51" i="35"/>
  <c r="R51" i="35"/>
  <c r="O51" i="35"/>
  <c r="N51" i="35"/>
  <c r="M51" i="35"/>
  <c r="J51" i="35"/>
  <c r="I51" i="35"/>
  <c r="H51" i="35"/>
  <c r="E51" i="35"/>
  <c r="F51" i="35" s="1"/>
  <c r="D51" i="35"/>
  <c r="C51" i="35"/>
  <c r="BQ49" i="35"/>
  <c r="BP49" i="35"/>
  <c r="BO49" i="35"/>
  <c r="BN49" i="35"/>
  <c r="BJ49" i="35"/>
  <c r="BI49" i="35"/>
  <c r="BE49" i="35"/>
  <c r="BD49" i="35"/>
  <c r="AZ49" i="35"/>
  <c r="AY49" i="35"/>
  <c r="AP49" i="35"/>
  <c r="AO49" i="35"/>
  <c r="AK49" i="35"/>
  <c r="AJ49" i="35"/>
  <c r="AF49" i="35"/>
  <c r="AE49" i="35"/>
  <c r="AA49" i="35"/>
  <c r="Z49" i="35"/>
  <c r="V49" i="35"/>
  <c r="U49" i="35"/>
  <c r="Q49" i="35"/>
  <c r="P49" i="35"/>
  <c r="L49" i="35"/>
  <c r="K49" i="35"/>
  <c r="G49" i="35"/>
  <c r="F49" i="35"/>
  <c r="B49" i="35"/>
  <c r="BQ48" i="35"/>
  <c r="BP48" i="35"/>
  <c r="BO48" i="35"/>
  <c r="BN48" i="35"/>
  <c r="BJ48" i="35"/>
  <c r="BI48" i="35"/>
  <c r="BE48" i="35"/>
  <c r="BD48" i="35"/>
  <c r="AZ48" i="35"/>
  <c r="AY48" i="35"/>
  <c r="AP48" i="35"/>
  <c r="AO48" i="35"/>
  <c r="AK48" i="35"/>
  <c r="AJ48" i="35"/>
  <c r="AF48" i="35"/>
  <c r="AE48" i="35"/>
  <c r="AA48" i="35"/>
  <c r="Z48" i="35"/>
  <c r="U48" i="35"/>
  <c r="R48" i="35"/>
  <c r="V48" i="35" s="1"/>
  <c r="P48" i="35"/>
  <c r="M48" i="35"/>
  <c r="M45" i="35" s="1"/>
  <c r="K48" i="35"/>
  <c r="H48" i="35"/>
  <c r="G48" i="35"/>
  <c r="F48" i="35"/>
  <c r="B48" i="35"/>
  <c r="BQ47" i="35"/>
  <c r="BP47" i="35"/>
  <c r="BP45" i="35" s="1"/>
  <c r="BO47" i="35"/>
  <c r="BN47" i="35"/>
  <c r="BJ47" i="35"/>
  <c r="BI47" i="35"/>
  <c r="BE47" i="35"/>
  <c r="BD47" i="35"/>
  <c r="AZ47" i="35"/>
  <c r="AY47" i="35"/>
  <c r="AP47" i="35"/>
  <c r="AO47" i="35"/>
  <c r="AK47" i="35"/>
  <c r="AJ47" i="35"/>
  <c r="AF47" i="35"/>
  <c r="AE47" i="35"/>
  <c r="AA47" i="35"/>
  <c r="Z47" i="35"/>
  <c r="V47" i="35"/>
  <c r="U47" i="35"/>
  <c r="Q47" i="35"/>
  <c r="P47" i="35"/>
  <c r="L47" i="35"/>
  <c r="K47" i="35"/>
  <c r="G47" i="35"/>
  <c r="F47" i="35"/>
  <c r="B47" i="35"/>
  <c r="B45" i="35" s="1"/>
  <c r="BM45" i="35"/>
  <c r="BL45" i="35"/>
  <c r="BK45" i="35"/>
  <c r="BH45" i="35"/>
  <c r="BJ45" i="35" s="1"/>
  <c r="BG45" i="35"/>
  <c r="BF45" i="35"/>
  <c r="BC45" i="35"/>
  <c r="BB45" i="35"/>
  <c r="BA45" i="35"/>
  <c r="AX45" i="35"/>
  <c r="AW45" i="35"/>
  <c r="AV45" i="35"/>
  <c r="AR45" i="35"/>
  <c r="AQ45" i="35"/>
  <c r="AN45" i="35"/>
  <c r="AM45" i="35"/>
  <c r="AL45" i="35"/>
  <c r="AI45" i="35"/>
  <c r="AH45" i="35"/>
  <c r="AG45" i="35"/>
  <c r="AD45" i="35"/>
  <c r="AC45" i="35"/>
  <c r="AB45" i="35"/>
  <c r="AF45" i="35"/>
  <c r="Y45" i="35"/>
  <c r="X45" i="35"/>
  <c r="Z45" i="35" s="1"/>
  <c r="W45" i="35"/>
  <c r="T45" i="35"/>
  <c r="U45" i="35" s="1"/>
  <c r="S45" i="35"/>
  <c r="O45" i="35"/>
  <c r="N45" i="35"/>
  <c r="J45" i="35"/>
  <c r="K45" i="35" s="1"/>
  <c r="I45" i="35"/>
  <c r="E45" i="35"/>
  <c r="D45" i="35"/>
  <c r="C45" i="35"/>
  <c r="BQ42" i="35"/>
  <c r="BP42" i="35"/>
  <c r="BO42" i="35"/>
  <c r="BN42" i="35"/>
  <c r="BJ42" i="35"/>
  <c r="BI42" i="35"/>
  <c r="BE42" i="35"/>
  <c r="BD42" i="35"/>
  <c r="AZ42" i="35"/>
  <c r="AY42" i="35"/>
  <c r="AP42" i="35"/>
  <c r="AO42" i="35"/>
  <c r="AK42" i="35"/>
  <c r="AJ42" i="35"/>
  <c r="AF42" i="35"/>
  <c r="AE42" i="35"/>
  <c r="AA42" i="35"/>
  <c r="Z42" i="35"/>
  <c r="V42" i="35"/>
  <c r="U42" i="35"/>
  <c r="Q42" i="35"/>
  <c r="P42" i="35"/>
  <c r="L42" i="35"/>
  <c r="K42" i="35"/>
  <c r="G42" i="35"/>
  <c r="F42" i="35"/>
  <c r="BQ41" i="35"/>
  <c r="BQ39" i="35"/>
  <c r="BP41" i="35"/>
  <c r="BO41" i="35"/>
  <c r="BN41" i="35"/>
  <c r="BJ41" i="35"/>
  <c r="BI41" i="35"/>
  <c r="BE41" i="35"/>
  <c r="BD41" i="35"/>
  <c r="AZ41" i="35"/>
  <c r="AY41" i="35"/>
  <c r="AP41" i="35"/>
  <c r="AO41" i="35"/>
  <c r="AK41" i="35"/>
  <c r="AJ41" i="35"/>
  <c r="AF41" i="35"/>
  <c r="AE41" i="35"/>
  <c r="AA41" i="35"/>
  <c r="Z41" i="35"/>
  <c r="V41" i="35"/>
  <c r="U41" i="35"/>
  <c r="Q41" i="35"/>
  <c r="P41" i="35"/>
  <c r="L41" i="35"/>
  <c r="K41" i="35"/>
  <c r="G41" i="35"/>
  <c r="F41" i="35"/>
  <c r="B41" i="35"/>
  <c r="B39" i="35" s="1"/>
  <c r="BM39" i="35"/>
  <c r="BL39" i="35"/>
  <c r="BK39" i="35"/>
  <c r="BH39" i="35"/>
  <c r="BI39" i="35" s="1"/>
  <c r="BG39" i="35"/>
  <c r="BF39" i="35"/>
  <c r="BC39" i="35"/>
  <c r="BB39" i="35"/>
  <c r="BD39" i="35" s="1"/>
  <c r="BA39" i="35"/>
  <c r="AX39" i="35"/>
  <c r="AW39" i="35"/>
  <c r="AY39" i="35"/>
  <c r="AV39" i="35"/>
  <c r="AR39" i="35"/>
  <c r="AQ39" i="35"/>
  <c r="AN39" i="35"/>
  <c r="AP39" i="35" s="1"/>
  <c r="AM39" i="35"/>
  <c r="AL39" i="35"/>
  <c r="AI39" i="35"/>
  <c r="AH39" i="35"/>
  <c r="AG39" i="35"/>
  <c r="AD39" i="35"/>
  <c r="AC39" i="35"/>
  <c r="AB39" i="35"/>
  <c r="Y39" i="35"/>
  <c r="X39" i="35"/>
  <c r="W39" i="35"/>
  <c r="T39" i="35"/>
  <c r="U39" i="35" s="1"/>
  <c r="S39" i="35"/>
  <c r="R39" i="35"/>
  <c r="O39" i="35"/>
  <c r="N39" i="35"/>
  <c r="P39" i="35" s="1"/>
  <c r="M39" i="35"/>
  <c r="J39" i="35"/>
  <c r="I39" i="35"/>
  <c r="H39" i="35"/>
  <c r="E39" i="35"/>
  <c r="D39" i="35"/>
  <c r="F39" i="35" s="1"/>
  <c r="C39" i="35"/>
  <c r="G39" i="35" s="1"/>
  <c r="BQ38" i="35"/>
  <c r="BP38" i="35"/>
  <c r="BO38" i="35"/>
  <c r="BN38" i="35"/>
  <c r="BJ38" i="35"/>
  <c r="BI38" i="35"/>
  <c r="BD38" i="35"/>
  <c r="BA38" i="35"/>
  <c r="BE38" i="35" s="1"/>
  <c r="AZ38" i="35"/>
  <c r="AY38" i="35"/>
  <c r="AP38" i="35"/>
  <c r="AO38" i="35"/>
  <c r="AK38" i="35"/>
  <c r="AJ38" i="35"/>
  <c r="AF38" i="35"/>
  <c r="AE38" i="35"/>
  <c r="AA38" i="35"/>
  <c r="Z38" i="35"/>
  <c r="V38" i="35"/>
  <c r="U38" i="35"/>
  <c r="Q38" i="35"/>
  <c r="P38" i="35"/>
  <c r="J38" i="35"/>
  <c r="L38" i="35" s="1"/>
  <c r="G38" i="35"/>
  <c r="F38" i="35"/>
  <c r="B38" i="35"/>
  <c r="BT36" i="35"/>
  <c r="BS36" i="35"/>
  <c r="BO36" i="35"/>
  <c r="BN36" i="35"/>
  <c r="BJ36" i="35"/>
  <c r="BI36" i="35"/>
  <c r="BE36" i="35"/>
  <c r="BD36" i="35"/>
  <c r="AZ36" i="35"/>
  <c r="AY36" i="35"/>
  <c r="AU36" i="35"/>
  <c r="AT36" i="35"/>
  <c r="AP36" i="35"/>
  <c r="AO36" i="35"/>
  <c r="AK36" i="35"/>
  <c r="AJ36" i="35"/>
  <c r="AF36" i="35"/>
  <c r="AE36" i="35"/>
  <c r="AA36" i="35"/>
  <c r="Z36" i="35"/>
  <c r="V36" i="35"/>
  <c r="U36" i="35"/>
  <c r="Q36" i="35"/>
  <c r="P36" i="35"/>
  <c r="L36" i="35"/>
  <c r="K36" i="35"/>
  <c r="G36" i="35"/>
  <c r="F36" i="35"/>
  <c r="BQ35" i="35"/>
  <c r="BP35" i="35"/>
  <c r="BO35" i="35"/>
  <c r="BN35" i="35"/>
  <c r="BJ35" i="35"/>
  <c r="BI35" i="35"/>
  <c r="BE35" i="35"/>
  <c r="BD35" i="35"/>
  <c r="AZ35" i="35"/>
  <c r="AY35" i="35"/>
  <c r="AP35" i="35"/>
  <c r="AO35" i="35"/>
  <c r="AK35" i="35"/>
  <c r="AJ35" i="35"/>
  <c r="AF35" i="35"/>
  <c r="AE35" i="35"/>
  <c r="AA35" i="35"/>
  <c r="Z35" i="35"/>
  <c r="V35" i="35"/>
  <c r="U35" i="35"/>
  <c r="Q35" i="35"/>
  <c r="P35" i="35"/>
  <c r="L35" i="35"/>
  <c r="K35" i="35"/>
  <c r="G35" i="35"/>
  <c r="F35" i="35"/>
  <c r="B35" i="35"/>
  <c r="BP34" i="35"/>
  <c r="BO34" i="35"/>
  <c r="BL34" i="35"/>
  <c r="BN34" i="35" s="1"/>
  <c r="BJ34" i="35"/>
  <c r="BG34" i="35"/>
  <c r="BI34" i="35" s="1"/>
  <c r="BE34" i="35"/>
  <c r="BB34" i="35"/>
  <c r="BD34" i="35" s="1"/>
  <c r="AZ34" i="35"/>
  <c r="AW34" i="35"/>
  <c r="AY34" i="35" s="1"/>
  <c r="AU34" i="35"/>
  <c r="AR34" i="35"/>
  <c r="BQ34" i="35" s="1"/>
  <c r="AP34" i="35"/>
  <c r="AM34" i="35"/>
  <c r="AO34" i="35" s="1"/>
  <c r="AK34" i="35"/>
  <c r="AH34" i="35"/>
  <c r="AJ34" i="35" s="1"/>
  <c r="AF34" i="35"/>
  <c r="AC34" i="35"/>
  <c r="AE34" i="35" s="1"/>
  <c r="AA34" i="35"/>
  <c r="X34" i="35"/>
  <c r="Z34" i="35"/>
  <c r="V34" i="35"/>
  <c r="S34" i="35"/>
  <c r="U34" i="35" s="1"/>
  <c r="Q34" i="35"/>
  <c r="N34" i="35"/>
  <c r="P34" i="35" s="1"/>
  <c r="L34" i="35"/>
  <c r="I34" i="35"/>
  <c r="G34" i="35"/>
  <c r="F34" i="35"/>
  <c r="BQ33" i="35"/>
  <c r="BP33" i="35"/>
  <c r="BO33" i="35"/>
  <c r="BN33" i="35"/>
  <c r="BJ33" i="35"/>
  <c r="BI33" i="35"/>
  <c r="BE33" i="35"/>
  <c r="BD33" i="35"/>
  <c r="AZ33" i="35"/>
  <c r="AY33" i="35"/>
  <c r="AP33" i="35"/>
  <c r="AO33" i="35"/>
  <c r="AK33" i="35"/>
  <c r="AJ33" i="35"/>
  <c r="AF33" i="35"/>
  <c r="AE33" i="35"/>
  <c r="AA33" i="35"/>
  <c r="Z33" i="35"/>
  <c r="V33" i="35"/>
  <c r="U33" i="35"/>
  <c r="Q33" i="35"/>
  <c r="P33" i="35"/>
  <c r="L33" i="35"/>
  <c r="K33" i="35"/>
  <c r="G33" i="35"/>
  <c r="F33" i="35"/>
  <c r="B33" i="35"/>
  <c r="BR32" i="35"/>
  <c r="BQ32" i="35"/>
  <c r="BP32" i="35"/>
  <c r="BO32" i="35"/>
  <c r="BN32" i="35"/>
  <c r="BJ32" i="35"/>
  <c r="BI32" i="35"/>
  <c r="BE32" i="35"/>
  <c r="BD32" i="35"/>
  <c r="AZ32" i="35"/>
  <c r="AY32" i="35"/>
  <c r="AU32" i="35"/>
  <c r="AT32" i="35"/>
  <c r="AP32" i="35"/>
  <c r="AO32" i="35"/>
  <c r="AK32" i="35"/>
  <c r="AJ32" i="35"/>
  <c r="AF32" i="35"/>
  <c r="AE32" i="35"/>
  <c r="AA32" i="35"/>
  <c r="Z32" i="35"/>
  <c r="V32" i="35"/>
  <c r="U32" i="35"/>
  <c r="Q32" i="35"/>
  <c r="P32" i="35"/>
  <c r="L32" i="35"/>
  <c r="K32" i="35"/>
  <c r="G32" i="35"/>
  <c r="F32" i="35"/>
  <c r="B32" i="35"/>
  <c r="BR31" i="35"/>
  <c r="BQ31" i="35"/>
  <c r="BP31" i="35"/>
  <c r="BO31" i="35"/>
  <c r="BN31" i="35"/>
  <c r="BJ31" i="35"/>
  <c r="BI31" i="35"/>
  <c r="BE31" i="35"/>
  <c r="BD31" i="35"/>
  <c r="AZ31" i="35"/>
  <c r="AY31" i="35"/>
  <c r="AU31" i="35"/>
  <c r="AT31" i="35"/>
  <c r="AP31" i="35"/>
  <c r="AO31" i="35"/>
  <c r="AK31" i="35"/>
  <c r="AJ31" i="35"/>
  <c r="AF31" i="35"/>
  <c r="AE31" i="35"/>
  <c r="AA31" i="35"/>
  <c r="Z31" i="35"/>
  <c r="V31" i="35"/>
  <c r="U31" i="35"/>
  <c r="Q31" i="35"/>
  <c r="P31" i="35"/>
  <c r="L31" i="35"/>
  <c r="K31" i="35"/>
  <c r="G31" i="35"/>
  <c r="F31" i="35"/>
  <c r="B31" i="35"/>
  <c r="BR30" i="35"/>
  <c r="BQ30" i="35"/>
  <c r="BP30" i="35"/>
  <c r="BO30" i="35"/>
  <c r="BN30" i="35"/>
  <c r="BJ30" i="35"/>
  <c r="BI30" i="35"/>
  <c r="BE30" i="35"/>
  <c r="BD30" i="35"/>
  <c r="AZ30" i="35"/>
  <c r="AY30" i="35"/>
  <c r="AU30" i="35"/>
  <c r="AT30" i="35"/>
  <c r="AP30" i="35"/>
  <c r="AO30" i="35"/>
  <c r="AK30" i="35"/>
  <c r="AJ30" i="35"/>
  <c r="AF30" i="35"/>
  <c r="AE30" i="35"/>
  <c r="AA30" i="35"/>
  <c r="Z30" i="35"/>
  <c r="V30" i="35"/>
  <c r="U30" i="35"/>
  <c r="Q30" i="35"/>
  <c r="P30" i="35"/>
  <c r="L30" i="35"/>
  <c r="K30" i="35"/>
  <c r="G30" i="35"/>
  <c r="F30" i="35"/>
  <c r="B30" i="35"/>
  <c r="BR29" i="35"/>
  <c r="BP29" i="35"/>
  <c r="BO29" i="35"/>
  <c r="BL29" i="35"/>
  <c r="BN29" i="35" s="1"/>
  <c r="BJ29" i="35"/>
  <c r="BG29" i="35"/>
  <c r="BI29" i="35"/>
  <c r="BE29" i="35"/>
  <c r="BB29" i="35"/>
  <c r="BD29" i="35" s="1"/>
  <c r="AZ29" i="35"/>
  <c r="AW29" i="35"/>
  <c r="AY29" i="35" s="1"/>
  <c r="AU29" i="35"/>
  <c r="AR29" i="35"/>
  <c r="AP29" i="35"/>
  <c r="AM29" i="35"/>
  <c r="AO29" i="35" s="1"/>
  <c r="AK29" i="35"/>
  <c r="AH29" i="35"/>
  <c r="AJ29" i="35" s="1"/>
  <c r="AF29" i="35"/>
  <c r="AC29" i="35"/>
  <c r="AE29" i="35" s="1"/>
  <c r="AA29" i="35"/>
  <c r="X29" i="35"/>
  <c r="Z29" i="35"/>
  <c r="V29" i="35"/>
  <c r="S29" i="35"/>
  <c r="U29" i="35" s="1"/>
  <c r="Q29" i="35"/>
  <c r="N29" i="35"/>
  <c r="P29" i="35" s="1"/>
  <c r="L29" i="35"/>
  <c r="I29" i="35"/>
  <c r="G29" i="35"/>
  <c r="F29" i="35"/>
  <c r="BL28" i="35"/>
  <c r="BN28" i="35" s="1"/>
  <c r="BK28" i="35"/>
  <c r="BO28" i="35" s="1"/>
  <c r="BF28" i="35"/>
  <c r="BJ28" i="35" s="1"/>
  <c r="BA28" i="35"/>
  <c r="BE28" i="35"/>
  <c r="BB28" i="35"/>
  <c r="BD28" i="35" s="1"/>
  <c r="AV28" i="35"/>
  <c r="AZ28" i="35" s="1"/>
  <c r="AQ28" i="35"/>
  <c r="AL28" i="35"/>
  <c r="AP28" i="35" s="1"/>
  <c r="AI28" i="35"/>
  <c r="AG28" i="35"/>
  <c r="AH28" i="35" s="1"/>
  <c r="AD28" i="35"/>
  <c r="AC28" i="35"/>
  <c r="W28" i="35"/>
  <c r="T28" i="35"/>
  <c r="R28" i="35"/>
  <c r="S28" i="35"/>
  <c r="O28" i="35"/>
  <c r="N28" i="35"/>
  <c r="H28" i="35"/>
  <c r="I28" i="35" s="1"/>
  <c r="L28" i="35"/>
  <c r="G28" i="35"/>
  <c r="F28" i="35"/>
  <c r="BO27" i="35"/>
  <c r="BL27" i="35"/>
  <c r="BN27" i="35" s="1"/>
  <c r="BJ27" i="35"/>
  <c r="BG27" i="35"/>
  <c r="BE27" i="35"/>
  <c r="BB27" i="35"/>
  <c r="BD27" i="35" s="1"/>
  <c r="AZ27" i="35"/>
  <c r="AW27" i="35"/>
  <c r="AY27" i="35" s="1"/>
  <c r="AQ27" i="35"/>
  <c r="AR27" i="35" s="1"/>
  <c r="AP27" i="35"/>
  <c r="AM27" i="35"/>
  <c r="AO27" i="35" s="1"/>
  <c r="AK27" i="35"/>
  <c r="AH27" i="35"/>
  <c r="AJ27" i="35"/>
  <c r="AF27" i="35"/>
  <c r="AC27" i="35"/>
  <c r="AE27" i="35" s="1"/>
  <c r="AA27" i="35"/>
  <c r="X27" i="35"/>
  <c r="Z27" i="35" s="1"/>
  <c r="V27" i="35"/>
  <c r="S27" i="35"/>
  <c r="U27" i="35" s="1"/>
  <c r="Q27" i="35"/>
  <c r="N27" i="35"/>
  <c r="L27" i="35"/>
  <c r="I27" i="35"/>
  <c r="K27" i="35" s="1"/>
  <c r="G27" i="35"/>
  <c r="F27" i="35"/>
  <c r="BP26" i="35"/>
  <c r="BO26" i="35"/>
  <c r="BL26" i="35"/>
  <c r="BN26" i="35" s="1"/>
  <c r="BJ26" i="35"/>
  <c r="BG26" i="35"/>
  <c r="BI26" i="35" s="1"/>
  <c r="BE26" i="35"/>
  <c r="BB26" i="35"/>
  <c r="BD26" i="35" s="1"/>
  <c r="AZ26" i="35"/>
  <c r="AW26" i="35"/>
  <c r="AY26" i="35" s="1"/>
  <c r="AR26" i="35"/>
  <c r="AT26" i="35" s="1"/>
  <c r="AP26" i="35"/>
  <c r="AM26" i="35"/>
  <c r="AO26" i="35" s="1"/>
  <c r="AK26" i="35"/>
  <c r="AH26" i="35"/>
  <c r="AJ26" i="35" s="1"/>
  <c r="AF26" i="35"/>
  <c r="AC26" i="35"/>
  <c r="AE26" i="35" s="1"/>
  <c r="AA26" i="35"/>
  <c r="X26" i="35"/>
  <c r="Z26" i="35" s="1"/>
  <c r="V26" i="35"/>
  <c r="S26" i="35"/>
  <c r="U26" i="35" s="1"/>
  <c r="Q26" i="35"/>
  <c r="N26" i="35"/>
  <c r="L26" i="35"/>
  <c r="I26" i="35"/>
  <c r="K26" i="35" s="1"/>
  <c r="G26" i="35"/>
  <c r="F26" i="35"/>
  <c r="BR25" i="35"/>
  <c r="BP25" i="35"/>
  <c r="BO25" i="35"/>
  <c r="BL25" i="35"/>
  <c r="BN25" i="35" s="1"/>
  <c r="BJ25" i="35"/>
  <c r="BG25" i="35"/>
  <c r="BI25" i="35" s="1"/>
  <c r="BE25" i="35"/>
  <c r="BB25" i="35"/>
  <c r="BD25" i="35" s="1"/>
  <c r="AZ25" i="35"/>
  <c r="AW25" i="35"/>
  <c r="AY25" i="35" s="1"/>
  <c r="AR25" i="35"/>
  <c r="AT25" i="35" s="1"/>
  <c r="AP25" i="35"/>
  <c r="AM25" i="35"/>
  <c r="AO25" i="35" s="1"/>
  <c r="AK25" i="35"/>
  <c r="AH25" i="35"/>
  <c r="AJ25" i="35" s="1"/>
  <c r="AF25" i="35"/>
  <c r="AC25" i="35"/>
  <c r="AE25" i="35" s="1"/>
  <c r="AA25" i="35"/>
  <c r="X25" i="35"/>
  <c r="Z25" i="35" s="1"/>
  <c r="V25" i="35"/>
  <c r="S25" i="35"/>
  <c r="U25" i="35" s="1"/>
  <c r="Q25" i="35"/>
  <c r="N25" i="35"/>
  <c r="L25" i="35"/>
  <c r="I25" i="35"/>
  <c r="K25" i="35" s="1"/>
  <c r="G25" i="35"/>
  <c r="F25" i="35"/>
  <c r="BP24" i="35"/>
  <c r="BO24" i="35"/>
  <c r="BL24" i="35"/>
  <c r="BJ24" i="35"/>
  <c r="BG24" i="35"/>
  <c r="BI24" i="35" s="1"/>
  <c r="BE24" i="35"/>
  <c r="BB24" i="35"/>
  <c r="BD24" i="35" s="1"/>
  <c r="AZ24" i="35"/>
  <c r="AW24" i="35"/>
  <c r="AY24" i="35" s="1"/>
  <c r="AU24" i="35"/>
  <c r="AR24" i="35"/>
  <c r="BQ24" i="35" s="1"/>
  <c r="AP24" i="35"/>
  <c r="AM24" i="35"/>
  <c r="AO24" i="35" s="1"/>
  <c r="AK24" i="35"/>
  <c r="AH24" i="35"/>
  <c r="AJ24" i="35" s="1"/>
  <c r="AF24" i="35"/>
  <c r="AC24" i="35"/>
  <c r="AE24" i="35" s="1"/>
  <c r="AA24" i="35"/>
  <c r="X24" i="35"/>
  <c r="Z24" i="35" s="1"/>
  <c r="V24" i="35"/>
  <c r="S24" i="35"/>
  <c r="U24" i="35" s="1"/>
  <c r="Q24" i="35"/>
  <c r="N24" i="35"/>
  <c r="L24" i="35"/>
  <c r="I24" i="35"/>
  <c r="G24" i="35"/>
  <c r="F24" i="35"/>
  <c r="BP23" i="35"/>
  <c r="BO23" i="35"/>
  <c r="BL23" i="35"/>
  <c r="BN23" i="35" s="1"/>
  <c r="BJ23" i="35"/>
  <c r="BG23" i="35"/>
  <c r="BI23" i="35" s="1"/>
  <c r="BE23" i="35"/>
  <c r="BB23" i="35"/>
  <c r="BD23" i="35"/>
  <c r="AZ23" i="35"/>
  <c r="AW23" i="35"/>
  <c r="AY23" i="35" s="1"/>
  <c r="AR23" i="35"/>
  <c r="AT23" i="35" s="1"/>
  <c r="BQ23" i="35"/>
  <c r="AP23" i="35"/>
  <c r="AM23" i="35"/>
  <c r="AO23" i="35" s="1"/>
  <c r="AK23" i="35"/>
  <c r="AH23" i="35"/>
  <c r="AJ23" i="35" s="1"/>
  <c r="AF23" i="35"/>
  <c r="AC23" i="35"/>
  <c r="AE23" i="35" s="1"/>
  <c r="AA23" i="35"/>
  <c r="X23" i="35"/>
  <c r="Z23" i="35" s="1"/>
  <c r="V23" i="35"/>
  <c r="S23" i="35"/>
  <c r="U23" i="35" s="1"/>
  <c r="Q23" i="35"/>
  <c r="N23" i="35"/>
  <c r="L23" i="35"/>
  <c r="I23" i="35"/>
  <c r="K23" i="35" s="1"/>
  <c r="G23" i="35"/>
  <c r="F23" i="35"/>
  <c r="BR22" i="35"/>
  <c r="BP22" i="35"/>
  <c r="BO22" i="35"/>
  <c r="BL22" i="35"/>
  <c r="BN22" i="35" s="1"/>
  <c r="BJ22" i="35"/>
  <c r="BG22" i="35"/>
  <c r="BI22" i="35"/>
  <c r="BE22" i="35"/>
  <c r="BB22" i="35"/>
  <c r="BD22" i="35" s="1"/>
  <c r="AZ22" i="35"/>
  <c r="AW22" i="35"/>
  <c r="AY22" i="35" s="1"/>
  <c r="AU22" i="35"/>
  <c r="AR22" i="35"/>
  <c r="AP22" i="35"/>
  <c r="AM22" i="35"/>
  <c r="AO22" i="35" s="1"/>
  <c r="AK22" i="35"/>
  <c r="AH22" i="35"/>
  <c r="AJ22" i="35" s="1"/>
  <c r="AF22" i="35"/>
  <c r="AC22" i="35"/>
  <c r="AE22" i="35" s="1"/>
  <c r="AA22" i="35"/>
  <c r="X22" i="35"/>
  <c r="Z22" i="35" s="1"/>
  <c r="V22" i="35"/>
  <c r="S22" i="35"/>
  <c r="U22" i="35" s="1"/>
  <c r="Q22" i="35"/>
  <c r="N22" i="35"/>
  <c r="L22" i="35"/>
  <c r="I22" i="35"/>
  <c r="K22" i="35" s="1"/>
  <c r="G22" i="35"/>
  <c r="F22" i="35"/>
  <c r="BP21" i="35"/>
  <c r="BO21" i="35"/>
  <c r="BL21" i="35"/>
  <c r="BN21" i="35" s="1"/>
  <c r="BJ21" i="35"/>
  <c r="BG21" i="35"/>
  <c r="BI21" i="35" s="1"/>
  <c r="BE21" i="35"/>
  <c r="BB21" i="35"/>
  <c r="BD21" i="35" s="1"/>
  <c r="AZ21" i="35"/>
  <c r="AW21" i="35"/>
  <c r="AW19" i="35" s="1"/>
  <c r="AR21" i="35"/>
  <c r="BQ21" i="35" s="1"/>
  <c r="AP21" i="35"/>
  <c r="AM21" i="35"/>
  <c r="AO21" i="35"/>
  <c r="AK21" i="35"/>
  <c r="AH21" i="35"/>
  <c r="AF21" i="35"/>
  <c r="AC21" i="35"/>
  <c r="AE21" i="35" s="1"/>
  <c r="AA21" i="35"/>
  <c r="X21" i="35"/>
  <c r="Z21" i="35" s="1"/>
  <c r="V21" i="35"/>
  <c r="S21" i="35"/>
  <c r="U21" i="35" s="1"/>
  <c r="Q21" i="35"/>
  <c r="N21" i="35"/>
  <c r="L21" i="35"/>
  <c r="I21" i="35"/>
  <c r="K21" i="35" s="1"/>
  <c r="G21" i="35"/>
  <c r="F21" i="35"/>
  <c r="BM19" i="35"/>
  <c r="BK19" i="35"/>
  <c r="BH19" i="35"/>
  <c r="BF19" i="35"/>
  <c r="BC19" i="35"/>
  <c r="BA19" i="35"/>
  <c r="AX19" i="35"/>
  <c r="AV19" i="35"/>
  <c r="AN19" i="35"/>
  <c r="AL19" i="35"/>
  <c r="AI19" i="35"/>
  <c r="AG19" i="35"/>
  <c r="AD19" i="35"/>
  <c r="AB19" i="35"/>
  <c r="Y19" i="35"/>
  <c r="W19" i="35"/>
  <c r="T19" i="35"/>
  <c r="R19" i="35"/>
  <c r="O19" i="35"/>
  <c r="M19" i="35"/>
  <c r="J19" i="35"/>
  <c r="H19" i="35"/>
  <c r="E19" i="35"/>
  <c r="D19" i="35"/>
  <c r="C19" i="35"/>
  <c r="BR18" i="35"/>
  <c r="BQ18" i="35"/>
  <c r="BP18" i="35"/>
  <c r="BO18" i="35"/>
  <c r="BN18" i="35"/>
  <c r="BJ18" i="35"/>
  <c r="BI18" i="35"/>
  <c r="BE18" i="35"/>
  <c r="BD18" i="35"/>
  <c r="AZ18" i="35"/>
  <c r="AY18" i="35"/>
  <c r="AU18" i="35"/>
  <c r="AT18" i="35"/>
  <c r="AP18" i="35"/>
  <c r="AO18" i="35"/>
  <c r="AK18" i="35"/>
  <c r="AJ18" i="35"/>
  <c r="AF18" i="35"/>
  <c r="AE18" i="35"/>
  <c r="AA18" i="35"/>
  <c r="Z18" i="35"/>
  <c r="V18" i="35"/>
  <c r="U18" i="35"/>
  <c r="Q18" i="35"/>
  <c r="P18" i="35"/>
  <c r="L18" i="35"/>
  <c r="K18" i="35"/>
  <c r="G18" i="35"/>
  <c r="F18" i="35"/>
  <c r="BR17" i="35"/>
  <c r="BQ17" i="35"/>
  <c r="BP17" i="35"/>
  <c r="BO17" i="35"/>
  <c r="BN17" i="35"/>
  <c r="BJ17" i="35"/>
  <c r="BI17" i="35"/>
  <c r="BE17" i="35"/>
  <c r="BD17" i="35"/>
  <c r="AZ17" i="35"/>
  <c r="AY17" i="35"/>
  <c r="AU17" i="35"/>
  <c r="AT17" i="35"/>
  <c r="AP17" i="35"/>
  <c r="AO17" i="35"/>
  <c r="AK17" i="35"/>
  <c r="AJ17" i="35"/>
  <c r="AF17" i="35"/>
  <c r="AE17" i="35"/>
  <c r="AA17" i="35"/>
  <c r="Z17" i="35"/>
  <c r="V17" i="35"/>
  <c r="U17" i="35"/>
  <c r="Q17" i="35"/>
  <c r="P17" i="35"/>
  <c r="L17" i="35"/>
  <c r="K17" i="35"/>
  <c r="G17" i="35"/>
  <c r="F17" i="35"/>
  <c r="BP16" i="35"/>
  <c r="BO16" i="35"/>
  <c r="BL16" i="35"/>
  <c r="BN16" i="35" s="1"/>
  <c r="BJ16" i="35"/>
  <c r="BG16" i="35"/>
  <c r="BE16" i="35"/>
  <c r="BB16" i="35"/>
  <c r="BD16" i="35" s="1"/>
  <c r="AZ16" i="35"/>
  <c r="AW16" i="35"/>
  <c r="AY16" i="35"/>
  <c r="AR16" i="35"/>
  <c r="BQ16" i="35" s="1"/>
  <c r="AP16" i="35"/>
  <c r="AM16" i="35"/>
  <c r="AO16" i="35" s="1"/>
  <c r="AK16" i="35"/>
  <c r="AH16" i="35"/>
  <c r="AF16" i="35"/>
  <c r="AC16" i="35"/>
  <c r="AE16" i="35" s="1"/>
  <c r="AA16" i="35"/>
  <c r="X16" i="35"/>
  <c r="Z16" i="35" s="1"/>
  <c r="V16" i="35"/>
  <c r="S16" i="35"/>
  <c r="Q16" i="35"/>
  <c r="N16" i="35"/>
  <c r="P16" i="35" s="1"/>
  <c r="L16" i="35"/>
  <c r="I16" i="35"/>
  <c r="G16" i="35"/>
  <c r="F16" i="35"/>
  <c r="BP15" i="35"/>
  <c r="BO15" i="35"/>
  <c r="BL15" i="35"/>
  <c r="BN15" i="35" s="1"/>
  <c r="BJ15" i="35"/>
  <c r="BG15" i="35"/>
  <c r="BI15" i="35" s="1"/>
  <c r="BE15" i="35"/>
  <c r="BB15" i="35"/>
  <c r="AZ15" i="35"/>
  <c r="AW15" i="35"/>
  <c r="AR15" i="35"/>
  <c r="AP15" i="35"/>
  <c r="AM15" i="35"/>
  <c r="AK15" i="35"/>
  <c r="AH15" i="35"/>
  <c r="AJ15" i="35" s="1"/>
  <c r="AF15" i="35"/>
  <c r="AC15" i="35"/>
  <c r="AA15" i="35"/>
  <c r="X15" i="35"/>
  <c r="Z15" i="35" s="1"/>
  <c r="V15" i="35"/>
  <c r="S15" i="35"/>
  <c r="U15" i="35" s="1"/>
  <c r="Q15" i="35"/>
  <c r="N15" i="35"/>
  <c r="L15" i="35"/>
  <c r="I15" i="35"/>
  <c r="G15" i="35"/>
  <c r="F15" i="35"/>
  <c r="BM14" i="35"/>
  <c r="BK14" i="35"/>
  <c r="BH14" i="35"/>
  <c r="BF14" i="35"/>
  <c r="BC14" i="35"/>
  <c r="BA14" i="35"/>
  <c r="AX14" i="35"/>
  <c r="AV14" i="35"/>
  <c r="AQ14" i="35"/>
  <c r="AN14" i="35"/>
  <c r="AL14" i="35"/>
  <c r="AI14" i="35"/>
  <c r="AG14" i="35"/>
  <c r="AD14" i="35"/>
  <c r="AB14" i="35"/>
  <c r="Y14" i="35"/>
  <c r="W14" i="35"/>
  <c r="T14" i="35"/>
  <c r="R14" i="35"/>
  <c r="O14" i="35"/>
  <c r="M14" i="35"/>
  <c r="J14" i="35"/>
  <c r="H14" i="35"/>
  <c r="E14" i="35"/>
  <c r="D14" i="35"/>
  <c r="C14" i="35"/>
  <c r="BM13" i="35"/>
  <c r="BL13" i="35"/>
  <c r="BK13" i="35"/>
  <c r="BH13" i="35"/>
  <c r="BF13" i="35"/>
  <c r="BC13" i="35"/>
  <c r="BE13" i="35" s="1"/>
  <c r="BA13" i="35"/>
  <c r="AX13" i="35"/>
  <c r="AV13" i="35"/>
  <c r="AV12" i="35" s="1"/>
  <c r="AV10" i="35" s="1"/>
  <c r="AQ13" i="35"/>
  <c r="AN13" i="35"/>
  <c r="AL13" i="35"/>
  <c r="AI13" i="35"/>
  <c r="AG13" i="35"/>
  <c r="AG12" i="35" s="1"/>
  <c r="AD13" i="35"/>
  <c r="AB13" i="35"/>
  <c r="AB12" i="35" s="1"/>
  <c r="AB10" i="35" s="1"/>
  <c r="Y13" i="35"/>
  <c r="X13" i="35"/>
  <c r="W13" i="35"/>
  <c r="T13" i="35"/>
  <c r="V13" i="35" s="1"/>
  <c r="R13" i="35"/>
  <c r="O13" i="35"/>
  <c r="M13" i="35"/>
  <c r="M12" i="35" s="1"/>
  <c r="J13" i="35"/>
  <c r="H13" i="35"/>
  <c r="E13" i="35"/>
  <c r="D13" i="35"/>
  <c r="D12" i="35" s="1"/>
  <c r="D10" i="35" s="1"/>
  <c r="D2" i="35" s="1"/>
  <c r="C13" i="35"/>
  <c r="AN12" i="35"/>
  <c r="AN10" i="35" s="1"/>
  <c r="B9" i="35"/>
  <c r="C9" i="35" s="1"/>
  <c r="D9" i="35" s="1"/>
  <c r="E9" i="35" s="1"/>
  <c r="F9" i="35" s="1"/>
  <c r="G9" i="35" s="1"/>
  <c r="H9" i="35" s="1"/>
  <c r="I9" i="35" s="1"/>
  <c r="J9" i="35" s="1"/>
  <c r="K9" i="35" s="1"/>
  <c r="L9" i="35" s="1"/>
  <c r="M9" i="35" s="1"/>
  <c r="N9" i="35" s="1"/>
  <c r="O9" i="35" s="1"/>
  <c r="P9" i="35" s="1"/>
  <c r="Q9" i="35" s="1"/>
  <c r="R9" i="35" s="1"/>
  <c r="S9" i="35" s="1"/>
  <c r="T9" i="35" s="1"/>
  <c r="U9" i="35" s="1"/>
  <c r="V9" i="35" s="1"/>
  <c r="W9" i="35" s="1"/>
  <c r="X9" i="35" s="1"/>
  <c r="Y9" i="35" s="1"/>
  <c r="Z9" i="35" s="1"/>
  <c r="AA9" i="35" s="1"/>
  <c r="AB9" i="35" s="1"/>
  <c r="AC9" i="35" s="1"/>
  <c r="AD9" i="35" s="1"/>
  <c r="AE9" i="35" s="1"/>
  <c r="AF9" i="35" s="1"/>
  <c r="AG9" i="35" s="1"/>
  <c r="AH9" i="35" s="1"/>
  <c r="AI9" i="35" s="1"/>
  <c r="AJ9" i="35" s="1"/>
  <c r="AK9" i="35" s="1"/>
  <c r="AL9" i="35" s="1"/>
  <c r="AM9" i="35" s="1"/>
  <c r="AN9" i="35" s="1"/>
  <c r="AO9" i="35" s="1"/>
  <c r="AP9" i="35" s="1"/>
  <c r="AQ9" i="35" s="1"/>
  <c r="AR9" i="35" s="1"/>
  <c r="AS9" i="35" s="1"/>
  <c r="AT9" i="35" s="1"/>
  <c r="AU9" i="35" s="1"/>
  <c r="AV9" i="35" s="1"/>
  <c r="AW9" i="35" s="1"/>
  <c r="AX9" i="35" s="1"/>
  <c r="AY9" i="35" s="1"/>
  <c r="AZ9" i="35" s="1"/>
  <c r="BA9" i="35" s="1"/>
  <c r="BB9" i="35" s="1"/>
  <c r="BC9" i="35" s="1"/>
  <c r="BD9" i="35" s="1"/>
  <c r="BE9" i="35" s="1"/>
  <c r="BF9" i="35" s="1"/>
  <c r="BG9" i="35" s="1"/>
  <c r="BH9" i="35" s="1"/>
  <c r="BI9" i="35" s="1"/>
  <c r="BJ9" i="35" s="1"/>
  <c r="BK9" i="35" s="1"/>
  <c r="BL9" i="35" s="1"/>
  <c r="BM9" i="35" s="1"/>
  <c r="BN9" i="35" s="1"/>
  <c r="BO9" i="35" s="1"/>
  <c r="C19" i="33"/>
  <c r="D19" i="33"/>
  <c r="E19" i="33"/>
  <c r="G16" i="31" s="1"/>
  <c r="G16" i="43" s="1"/>
  <c r="B19" i="33"/>
  <c r="A2" i="31"/>
  <c r="A6" i="46" s="1"/>
  <c r="A3" i="30"/>
  <c r="H63" i="31"/>
  <c r="D4" i="28"/>
  <c r="L19" i="27"/>
  <c r="K19" i="27"/>
  <c r="J19" i="27"/>
  <c r="L17" i="27"/>
  <c r="K17" i="27"/>
  <c r="L15" i="27"/>
  <c r="K15" i="27"/>
  <c r="L13" i="27"/>
  <c r="L12" i="27"/>
  <c r="K12" i="27"/>
  <c r="A4" i="27"/>
  <c r="C62" i="27"/>
  <c r="Q58" i="27"/>
  <c r="N57" i="27"/>
  <c r="L57" i="27"/>
  <c r="I57" i="27"/>
  <c r="H57" i="27"/>
  <c r="Q57" i="27" s="1"/>
  <c r="Q59" i="27" s="1"/>
  <c r="G57" i="27"/>
  <c r="D57" i="27"/>
  <c r="O9" i="27"/>
  <c r="P9" i="27" s="1"/>
  <c r="Q9" i="27" s="1"/>
  <c r="B9" i="27"/>
  <c r="C9" i="27" s="1"/>
  <c r="D9" i="27" s="1"/>
  <c r="F9" i="27" s="1"/>
  <c r="G9" i="27" s="1"/>
  <c r="H9" i="27" s="1"/>
  <c r="G12" i="26"/>
  <c r="G11" i="26"/>
  <c r="H12" i="26"/>
  <c r="H11" i="26"/>
  <c r="D8" i="26"/>
  <c r="D13" i="26" s="1"/>
  <c r="C8" i="26"/>
  <c r="C13" i="26" s="1"/>
  <c r="B8" i="26"/>
  <c r="B13" i="26" s="1"/>
  <c r="AK49" i="17"/>
  <c r="AM17" i="22"/>
  <c r="AM16" i="22"/>
  <c r="AM15" i="22"/>
  <c r="AM14" i="22"/>
  <c r="AN13" i="22"/>
  <c r="AM13" i="22"/>
  <c r="AN12" i="22"/>
  <c r="AM12" i="22"/>
  <c r="AN11" i="22"/>
  <c r="AM11" i="22"/>
  <c r="AN10" i="22"/>
  <c r="AN9" i="22"/>
  <c r="AN8" i="22"/>
  <c r="AN7" i="22"/>
  <c r="AN6" i="22"/>
  <c r="AN5" i="22"/>
  <c r="AN4" i="22"/>
  <c r="AN3" i="22"/>
  <c r="AN2" i="22"/>
  <c r="AI17" i="22"/>
  <c r="AI16" i="22"/>
  <c r="AI15" i="22"/>
  <c r="AI14" i="22"/>
  <c r="AF14" i="22" s="1"/>
  <c r="AI13" i="22"/>
  <c r="AI12" i="22"/>
  <c r="AI11" i="22"/>
  <c r="AJ3" i="22"/>
  <c r="AJ4" i="22"/>
  <c r="AJ5" i="22"/>
  <c r="AJ6" i="22"/>
  <c r="AJ7" i="22"/>
  <c r="AJ8" i="22"/>
  <c r="AJ9" i="22"/>
  <c r="AF9" i="22" s="1"/>
  <c r="AJ10" i="22"/>
  <c r="N6" i="22" s="1"/>
  <c r="Z6" i="22" s="1"/>
  <c r="AJ11" i="22"/>
  <c r="N32" i="22" s="1"/>
  <c r="Z32" i="22" s="1"/>
  <c r="AJ12" i="22"/>
  <c r="AJ13" i="22"/>
  <c r="N30" i="22" s="1"/>
  <c r="Z30" i="22" s="1"/>
  <c r="AJ2" i="22"/>
  <c r="AQ1" i="22"/>
  <c r="AP1" i="22"/>
  <c r="AH1" i="22"/>
  <c r="AG1" i="22"/>
  <c r="J49" i="22"/>
  <c r="D292" i="1" s="1"/>
  <c r="C49" i="22"/>
  <c r="D291" i="1" s="1"/>
  <c r="J48" i="22"/>
  <c r="C48" i="22"/>
  <c r="D33" i="22"/>
  <c r="D32" i="22"/>
  <c r="X31" i="22"/>
  <c r="X29" i="22" s="1"/>
  <c r="W31" i="22"/>
  <c r="L31" i="22"/>
  <c r="L29" i="22" s="1"/>
  <c r="K31" i="22"/>
  <c r="K29" i="22" s="1"/>
  <c r="H31" i="22"/>
  <c r="H29" i="22" s="1"/>
  <c r="G31" i="22"/>
  <c r="G29" i="22" s="1"/>
  <c r="F31" i="22"/>
  <c r="F29" i="22" s="1"/>
  <c r="E31" i="22"/>
  <c r="D30" i="22"/>
  <c r="V28" i="22"/>
  <c r="J28" i="22"/>
  <c r="D28" i="22"/>
  <c r="V27" i="22"/>
  <c r="J27" i="22"/>
  <c r="D27" i="22"/>
  <c r="V26" i="22"/>
  <c r="J26" i="22"/>
  <c r="D26" i="22"/>
  <c r="V25" i="22"/>
  <c r="J25" i="22"/>
  <c r="D25" i="22"/>
  <c r="V24" i="22"/>
  <c r="J24" i="22"/>
  <c r="D24" i="22"/>
  <c r="V23" i="22"/>
  <c r="J23" i="22"/>
  <c r="D23" i="22"/>
  <c r="V22" i="22"/>
  <c r="J22" i="22"/>
  <c r="D22" i="22"/>
  <c r="V21" i="22"/>
  <c r="J21" i="22"/>
  <c r="D21" i="22"/>
  <c r="V20" i="22"/>
  <c r="J20" i="22"/>
  <c r="D20" i="22"/>
  <c r="V19" i="22"/>
  <c r="J19" i="22"/>
  <c r="D19" i="22"/>
  <c r="V18" i="22"/>
  <c r="J18" i="22"/>
  <c r="D18" i="22"/>
  <c r="V17" i="22"/>
  <c r="J17" i="22"/>
  <c r="D17" i="22"/>
  <c r="V16" i="22"/>
  <c r="J16" i="22"/>
  <c r="D16" i="22"/>
  <c r="D15" i="22"/>
  <c r="D14" i="22"/>
  <c r="Y13" i="22"/>
  <c r="Y11" i="22" s="1"/>
  <c r="X13" i="22"/>
  <c r="X11" i="22" s="1"/>
  <c r="W13" i="22"/>
  <c r="W11" i="22" s="1"/>
  <c r="L13" i="22"/>
  <c r="L11" i="22" s="1"/>
  <c r="K13" i="22"/>
  <c r="K11" i="22" s="1"/>
  <c r="H13" i="22"/>
  <c r="G13" i="22"/>
  <c r="G11" i="22" s="1"/>
  <c r="F13" i="22"/>
  <c r="F11" i="22" s="1"/>
  <c r="E13" i="22"/>
  <c r="D12" i="22"/>
  <c r="H11" i="22"/>
  <c r="V10" i="22"/>
  <c r="J10" i="22"/>
  <c r="D10" i="22"/>
  <c r="V9" i="22"/>
  <c r="J9" i="22"/>
  <c r="D9" i="22"/>
  <c r="V8" i="22"/>
  <c r="J8" i="22"/>
  <c r="D8" i="22"/>
  <c r="V7" i="22"/>
  <c r="J7" i="22"/>
  <c r="D7" i="22"/>
  <c r="D6" i="22"/>
  <c r="D5" i="22"/>
  <c r="X4" i="22"/>
  <c r="W4" i="22"/>
  <c r="W2" i="22" s="1"/>
  <c r="L4" i="22"/>
  <c r="K4" i="22"/>
  <c r="K2" i="22" s="1"/>
  <c r="K1" i="22" s="1"/>
  <c r="H4" i="22"/>
  <c r="H2" i="22" s="1"/>
  <c r="G4" i="22"/>
  <c r="G2" i="22" s="1"/>
  <c r="F4" i="22"/>
  <c r="F2" i="22"/>
  <c r="D2" i="22" s="1"/>
  <c r="E4" i="22"/>
  <c r="E2" i="22"/>
  <c r="D3" i="22"/>
  <c r="X2" i="22"/>
  <c r="L2" i="22"/>
  <c r="O23" i="20"/>
  <c r="L23" i="20" s="1"/>
  <c r="Q18" i="18"/>
  <c r="P18" i="18" s="1"/>
  <c r="Q19" i="18"/>
  <c r="P19" i="18" s="1"/>
  <c r="G19" i="18"/>
  <c r="F19" i="18" s="1"/>
  <c r="G18" i="18"/>
  <c r="F18" i="18" s="1"/>
  <c r="AL48" i="17"/>
  <c r="AL76" i="17"/>
  <c r="AL75" i="17"/>
  <c r="J49" i="15"/>
  <c r="J19" i="15" s="1"/>
  <c r="F294" i="21"/>
  <c r="AG25" i="17"/>
  <c r="AQ34" i="17"/>
  <c r="AR34" i="17"/>
  <c r="AR33" i="17"/>
  <c r="AQ33" i="17"/>
  <c r="AE34" i="17"/>
  <c r="H11" i="58" s="1"/>
  <c r="AF34" i="17"/>
  <c r="AF33" i="17"/>
  <c r="AE33" i="17"/>
  <c r="AK33" i="17" s="1"/>
  <c r="AN55" i="17"/>
  <c r="AN46" i="17"/>
  <c r="AK76" i="17"/>
  <c r="AL73" i="17"/>
  <c r="AL58" i="17"/>
  <c r="AB55" i="17"/>
  <c r="AL46" i="17"/>
  <c r="J53" i="15"/>
  <c r="J23" i="15" s="1"/>
  <c r="V19" i="14"/>
  <c r="Q19" i="14" s="1"/>
  <c r="L22" i="1"/>
  <c r="L34" i="3" s="1"/>
  <c r="I22" i="12"/>
  <c r="P45" i="9"/>
  <c r="D494" i="4"/>
  <c r="D493" i="4"/>
  <c r="P37" i="9"/>
  <c r="P33" i="9" s="1"/>
  <c r="Q37" i="9"/>
  <c r="Q33" i="9" s="1"/>
  <c r="O37" i="9"/>
  <c r="O33" i="9" s="1"/>
  <c r="I37" i="9"/>
  <c r="I33" i="9" s="1"/>
  <c r="J37" i="9"/>
  <c r="J33" i="9" s="1"/>
  <c r="H37" i="9"/>
  <c r="O45" i="9"/>
  <c r="P69" i="97" s="1"/>
  <c r="G23" i="20"/>
  <c r="T23" i="20" s="1"/>
  <c r="G22" i="20"/>
  <c r="T22" i="20" s="1"/>
  <c r="V20" i="20"/>
  <c r="M20" i="20"/>
  <c r="K20" i="20"/>
  <c r="J20" i="20"/>
  <c r="I20" i="20"/>
  <c r="H20" i="20"/>
  <c r="K19" i="18"/>
  <c r="K18" i="18"/>
  <c r="P17" i="18"/>
  <c r="K17" i="18"/>
  <c r="F17" i="18"/>
  <c r="P16" i="18"/>
  <c r="K16" i="18"/>
  <c r="F16" i="18"/>
  <c r="Q14" i="18"/>
  <c r="M14" i="18"/>
  <c r="L14" i="18"/>
  <c r="G14" i="18"/>
  <c r="E13" i="18"/>
  <c r="F13" i="18" s="1"/>
  <c r="G13" i="18" s="1"/>
  <c r="H13" i="18" s="1"/>
  <c r="I13" i="18" s="1"/>
  <c r="J13" i="18" s="1"/>
  <c r="K13" i="18" s="1"/>
  <c r="L13" i="18" s="1"/>
  <c r="M13" i="18" s="1"/>
  <c r="N13" i="18" s="1"/>
  <c r="O13" i="18" s="1"/>
  <c r="P13" i="18" s="1"/>
  <c r="Q13" i="18" s="1"/>
  <c r="R13" i="18" s="1"/>
  <c r="S13" i="18" s="1"/>
  <c r="T13" i="18" s="1"/>
  <c r="AN114" i="17"/>
  <c r="AL114" i="17"/>
  <c r="AK114" i="17"/>
  <c r="AJ114" i="17"/>
  <c r="AI114" i="17"/>
  <c r="AB114" i="17"/>
  <c r="S114" i="17"/>
  <c r="AT114" i="17" s="1"/>
  <c r="Q114" i="17"/>
  <c r="P114" i="17"/>
  <c r="O114" i="17"/>
  <c r="N114" i="17"/>
  <c r="G114" i="17"/>
  <c r="AN112" i="17"/>
  <c r="AL112" i="17"/>
  <c r="AK112" i="17"/>
  <c r="AJ112" i="17"/>
  <c r="AI112" i="17"/>
  <c r="AB112" i="17"/>
  <c r="S112" i="17"/>
  <c r="AT112" i="17" s="1"/>
  <c r="Q112" i="17"/>
  <c r="P112" i="17"/>
  <c r="O112" i="17"/>
  <c r="N112" i="17"/>
  <c r="G112" i="17"/>
  <c r="AJ110" i="17"/>
  <c r="AI110" i="17"/>
  <c r="S110" i="17"/>
  <c r="Q110" i="17"/>
  <c r="P110" i="17"/>
  <c r="O110" i="17"/>
  <c r="N110" i="17"/>
  <c r="G110" i="17"/>
  <c r="AI108" i="17"/>
  <c r="S108" i="17"/>
  <c r="Q108" i="17"/>
  <c r="P108" i="17"/>
  <c r="O108" i="17"/>
  <c r="N108" i="17"/>
  <c r="G108" i="17"/>
  <c r="AN106" i="17"/>
  <c r="AL106" i="17"/>
  <c r="AK106" i="17"/>
  <c r="AJ106" i="17"/>
  <c r="AI106" i="17"/>
  <c r="AB106" i="17"/>
  <c r="S106" i="17"/>
  <c r="AT106" i="17"/>
  <c r="Q106" i="17"/>
  <c r="P106" i="17"/>
  <c r="O106" i="17"/>
  <c r="N106" i="17"/>
  <c r="G106" i="17"/>
  <c r="AN105" i="17"/>
  <c r="AL105" i="17"/>
  <c r="AK105" i="17"/>
  <c r="AJ105" i="17"/>
  <c r="AI105" i="17"/>
  <c r="AB105" i="17"/>
  <c r="S105" i="17"/>
  <c r="Q105" i="17"/>
  <c r="P105" i="17"/>
  <c r="O105" i="17"/>
  <c r="O104" i="17"/>
  <c r="N105" i="17"/>
  <c r="G105" i="17"/>
  <c r="AR104" i="17"/>
  <c r="AQ104" i="17"/>
  <c r="AP104" i="17"/>
  <c r="AO104" i="17"/>
  <c r="AF104" i="17"/>
  <c r="AE104" i="17"/>
  <c r="AD104" i="17"/>
  <c r="AC104" i="17"/>
  <c r="W104" i="17"/>
  <c r="V104" i="17"/>
  <c r="U104" i="17"/>
  <c r="T104" i="17"/>
  <c r="Q104" i="17"/>
  <c r="K104" i="17"/>
  <c r="J104" i="17"/>
  <c r="I104" i="17"/>
  <c r="H104" i="17"/>
  <c r="AN102" i="17"/>
  <c r="AL102" i="17"/>
  <c r="AK102" i="17"/>
  <c r="AJ102" i="17"/>
  <c r="AI102" i="17"/>
  <c r="AB102" i="17"/>
  <c r="S102" i="17"/>
  <c r="AT102" i="17" s="1"/>
  <c r="Q102" i="17"/>
  <c r="P102" i="17"/>
  <c r="O102" i="17"/>
  <c r="N102" i="17"/>
  <c r="M102" i="17" s="1"/>
  <c r="G102" i="17"/>
  <c r="AN101" i="17"/>
  <c r="AL101" i="17"/>
  <c r="AK101" i="17"/>
  <c r="AJ101" i="17"/>
  <c r="AI101" i="17"/>
  <c r="AB101" i="17"/>
  <c r="S101" i="17"/>
  <c r="Q101" i="17"/>
  <c r="P101" i="17"/>
  <c r="O101" i="17"/>
  <c r="N101" i="17"/>
  <c r="G101" i="17"/>
  <c r="AN100" i="17"/>
  <c r="AL100" i="17"/>
  <c r="AK100" i="17"/>
  <c r="AH100" i="17" s="1"/>
  <c r="AJ100" i="17"/>
  <c r="AI100" i="17"/>
  <c r="AB100" i="17"/>
  <c r="S100" i="17"/>
  <c r="AT100" i="17" s="1"/>
  <c r="Q100" i="17"/>
  <c r="P100" i="17"/>
  <c r="O100" i="17"/>
  <c r="N100" i="17"/>
  <c r="G100" i="17"/>
  <c r="AR99" i="17"/>
  <c r="AQ99" i="17"/>
  <c r="AP99" i="17"/>
  <c r="AO99" i="17"/>
  <c r="AF99" i="17"/>
  <c r="AE99" i="17"/>
  <c r="AD99" i="17"/>
  <c r="AC99" i="17"/>
  <c r="W99" i="17"/>
  <c r="W95" i="17" s="1"/>
  <c r="W93" i="17" s="1"/>
  <c r="V99" i="17"/>
  <c r="U99" i="17"/>
  <c r="T99" i="17"/>
  <c r="T95" i="17" s="1"/>
  <c r="Q99" i="17"/>
  <c r="K99" i="17"/>
  <c r="J99" i="17"/>
  <c r="J95" i="17" s="1"/>
  <c r="P95" i="17" s="1"/>
  <c r="I99" i="17"/>
  <c r="H99" i="17"/>
  <c r="H95" i="17" s="1"/>
  <c r="N95" i="17" s="1"/>
  <c r="AN97" i="17"/>
  <c r="AL97" i="17"/>
  <c r="AH97" i="17" s="1"/>
  <c r="AK97" i="17"/>
  <c r="AJ97" i="17"/>
  <c r="AI97" i="17"/>
  <c r="AB97" i="17"/>
  <c r="S97" i="17"/>
  <c r="Q97" i="17"/>
  <c r="P97" i="17"/>
  <c r="O97" i="17"/>
  <c r="M97" i="17" s="1"/>
  <c r="N97" i="17"/>
  <c r="G97" i="17"/>
  <c r="AN89" i="17"/>
  <c r="AL89" i="17"/>
  <c r="AK89" i="17"/>
  <c r="AJ89" i="17"/>
  <c r="AI89" i="17"/>
  <c r="AB89" i="17"/>
  <c r="S89" i="17"/>
  <c r="Q89" i="17"/>
  <c r="P89" i="17"/>
  <c r="O89" i="17"/>
  <c r="N89" i="17"/>
  <c r="G89" i="17"/>
  <c r="AN88" i="17"/>
  <c r="AL88" i="17"/>
  <c r="AK88" i="17"/>
  <c r="AJ88" i="17"/>
  <c r="AI88" i="17"/>
  <c r="AB88" i="17"/>
  <c r="S88" i="17"/>
  <c r="AT88" i="17" s="1"/>
  <c r="Q88" i="17"/>
  <c r="P88" i="17"/>
  <c r="O88" i="17"/>
  <c r="N88" i="17"/>
  <c r="G88" i="17"/>
  <c r="AN87" i="17"/>
  <c r="AL87" i="17"/>
  <c r="AK87" i="17"/>
  <c r="AJ87" i="17"/>
  <c r="AI87" i="17"/>
  <c r="AB87" i="17"/>
  <c r="S87" i="17"/>
  <c r="Q87" i="17"/>
  <c r="Q86" i="17" s="1"/>
  <c r="P87" i="17"/>
  <c r="O87" i="17"/>
  <c r="N87" i="17"/>
  <c r="G87" i="17"/>
  <c r="AR86" i="17"/>
  <c r="AQ86" i="17"/>
  <c r="AP86" i="17"/>
  <c r="AO86" i="17"/>
  <c r="AF86" i="17"/>
  <c r="AE86" i="17"/>
  <c r="AD86" i="17"/>
  <c r="AC86" i="17"/>
  <c r="W86" i="17"/>
  <c r="V86" i="17"/>
  <c r="U86" i="17"/>
  <c r="T86" i="17"/>
  <c r="K86" i="17"/>
  <c r="J86" i="17"/>
  <c r="I86" i="17"/>
  <c r="H86" i="17"/>
  <c r="AN85" i="17"/>
  <c r="AL85" i="17"/>
  <c r="AK85" i="17"/>
  <c r="AJ85" i="17"/>
  <c r="AI85" i="17"/>
  <c r="AB85" i="17"/>
  <c r="S85" i="17"/>
  <c r="Q85" i="17"/>
  <c r="P85" i="17"/>
  <c r="O85" i="17"/>
  <c r="N85" i="17"/>
  <c r="G85" i="17"/>
  <c r="AN84" i="17"/>
  <c r="AL84" i="17"/>
  <c r="AL83" i="17" s="1"/>
  <c r="AK84" i="17"/>
  <c r="AK83" i="17" s="1"/>
  <c r="AJ84" i="17"/>
  <c r="AJ83" i="17" s="1"/>
  <c r="AI84" i="17"/>
  <c r="AB84" i="17"/>
  <c r="S84" i="17"/>
  <c r="Q84" i="17"/>
  <c r="Q83" i="17" s="1"/>
  <c r="P84" i="17"/>
  <c r="O84" i="17"/>
  <c r="O83" i="17" s="1"/>
  <c r="N84" i="17"/>
  <c r="G84" i="17"/>
  <c r="AR83" i="17"/>
  <c r="AQ83" i="17"/>
  <c r="AP83" i="17"/>
  <c r="AO83" i="17"/>
  <c r="AO81" i="17" s="1"/>
  <c r="AF83" i="17"/>
  <c r="AE83" i="17"/>
  <c r="AE81" i="17" s="1"/>
  <c r="AD83" i="17"/>
  <c r="AD81" i="17" s="1"/>
  <c r="AC83" i="17"/>
  <c r="AC81" i="17" s="1"/>
  <c r="W83" i="17"/>
  <c r="W81" i="17" s="1"/>
  <c r="V83" i="17"/>
  <c r="V81" i="17" s="1"/>
  <c r="U83" i="17"/>
  <c r="U81" i="17" s="1"/>
  <c r="U44" i="17" s="1"/>
  <c r="T83" i="17"/>
  <c r="K83" i="17"/>
  <c r="J83" i="17"/>
  <c r="I83" i="17"/>
  <c r="I81" i="17" s="1"/>
  <c r="H83" i="17"/>
  <c r="H81" i="17" s="1"/>
  <c r="AN82" i="17"/>
  <c r="AL82" i="17"/>
  <c r="AK82" i="17"/>
  <c r="AJ82" i="17"/>
  <c r="AI82" i="17"/>
  <c r="AB82" i="17"/>
  <c r="S82" i="17"/>
  <c r="Q82" i="17"/>
  <c r="P82" i="17"/>
  <c r="O82" i="17"/>
  <c r="N82" i="17"/>
  <c r="G82" i="17"/>
  <c r="AR81" i="17"/>
  <c r="AN80" i="17"/>
  <c r="AL80" i="17"/>
  <c r="AK80" i="17"/>
  <c r="AJ80" i="17"/>
  <c r="AI80" i="17"/>
  <c r="AH80" i="17" s="1"/>
  <c r="AB80" i="17"/>
  <c r="S80" i="17"/>
  <c r="Q80" i="17"/>
  <c r="P80" i="17"/>
  <c r="O80" i="17"/>
  <c r="N80" i="17"/>
  <c r="G80" i="17"/>
  <c r="AN79" i="17"/>
  <c r="AL79" i="17"/>
  <c r="AK79" i="17"/>
  <c r="AJ79" i="17"/>
  <c r="AI79" i="17"/>
  <c r="AB79" i="17"/>
  <c r="S79" i="17"/>
  <c r="AT79" i="17" s="1"/>
  <c r="Q79" i="17"/>
  <c r="P79" i="17"/>
  <c r="O79" i="17"/>
  <c r="N79" i="17"/>
  <c r="G79" i="17"/>
  <c r="AN78" i="17"/>
  <c r="AT78" i="17" s="1"/>
  <c r="AL78" i="17"/>
  <c r="AK78" i="17"/>
  <c r="AJ78" i="17"/>
  <c r="AI78" i="17"/>
  <c r="AB78" i="17"/>
  <c r="S78" i="17"/>
  <c r="Q78" i="17"/>
  <c r="P78" i="17"/>
  <c r="O78" i="17"/>
  <c r="N78" i="17"/>
  <c r="G78" i="17"/>
  <c r="AR77" i="17"/>
  <c r="AQ77" i="17"/>
  <c r="AP77" i="17"/>
  <c r="AO77" i="17"/>
  <c r="AF77" i="17"/>
  <c r="AE77" i="17"/>
  <c r="AD77" i="17"/>
  <c r="AC77" i="17"/>
  <c r="W77" i="17"/>
  <c r="V77" i="17"/>
  <c r="U77" i="17"/>
  <c r="T77" i="17"/>
  <c r="K77" i="17"/>
  <c r="J77" i="17"/>
  <c r="I77" i="17"/>
  <c r="H77" i="17"/>
  <c r="AJ76" i="17"/>
  <c r="AI76" i="17"/>
  <c r="S76" i="17"/>
  <c r="Q76" i="17"/>
  <c r="P76" i="17"/>
  <c r="O76" i="17"/>
  <c r="N76" i="17"/>
  <c r="G76" i="17"/>
  <c r="AJ75" i="17"/>
  <c r="AI75" i="17"/>
  <c r="AI74" i="17" s="1"/>
  <c r="S75" i="17"/>
  <c r="Q75" i="17"/>
  <c r="Q74" i="17" s="1"/>
  <c r="P75" i="17"/>
  <c r="O75" i="17"/>
  <c r="N75" i="17"/>
  <c r="G75" i="17"/>
  <c r="AP74" i="17"/>
  <c r="AO74" i="17"/>
  <c r="AD74" i="17"/>
  <c r="AC74" i="17"/>
  <c r="AC72" i="17" s="1"/>
  <c r="W74" i="17"/>
  <c r="W72" i="17" s="1"/>
  <c r="V74" i="17"/>
  <c r="V72" i="17" s="1"/>
  <c r="U74" i="17"/>
  <c r="U72" i="17" s="1"/>
  <c r="T74" i="17"/>
  <c r="K74" i="17"/>
  <c r="J74" i="17"/>
  <c r="I74" i="17"/>
  <c r="G74" i="17" s="1"/>
  <c r="H74" i="17"/>
  <c r="AJ73" i="17"/>
  <c r="AI73" i="17"/>
  <c r="S73" i="17"/>
  <c r="Q73" i="17"/>
  <c r="P73" i="17"/>
  <c r="O73" i="17"/>
  <c r="N73" i="17"/>
  <c r="G73" i="17"/>
  <c r="AN71" i="17"/>
  <c r="AL71" i="17"/>
  <c r="AK71" i="17"/>
  <c r="AJ71" i="17"/>
  <c r="AI71" i="17"/>
  <c r="AB71" i="17"/>
  <c r="S71" i="17"/>
  <c r="Q71" i="17"/>
  <c r="P71" i="17"/>
  <c r="O71" i="17"/>
  <c r="N71" i="17"/>
  <c r="G71" i="17"/>
  <c r="AN70" i="17"/>
  <c r="AL70" i="17"/>
  <c r="AK70" i="17"/>
  <c r="AJ70" i="17"/>
  <c r="AI70" i="17"/>
  <c r="AB70" i="17"/>
  <c r="S70" i="17"/>
  <c r="Q70" i="17"/>
  <c r="P70" i="17"/>
  <c r="O70" i="17"/>
  <c r="N70" i="17"/>
  <c r="G70" i="17"/>
  <c r="AN69" i="17"/>
  <c r="AL69" i="17"/>
  <c r="AK69" i="17"/>
  <c r="AJ69" i="17"/>
  <c r="AI69" i="17"/>
  <c r="AB69" i="17"/>
  <c r="S69" i="17"/>
  <c r="AT69" i="17" s="1"/>
  <c r="Q69" i="17"/>
  <c r="P69" i="17"/>
  <c r="O69" i="17"/>
  <c r="O68" i="17" s="1"/>
  <c r="N69" i="17"/>
  <c r="G69" i="17"/>
  <c r="AR68" i="17"/>
  <c r="AQ68" i="17"/>
  <c r="AP68" i="17"/>
  <c r="AO68" i="17"/>
  <c r="AB68" i="17"/>
  <c r="W68" i="17"/>
  <c r="V68" i="17"/>
  <c r="U68" i="17"/>
  <c r="T68" i="17"/>
  <c r="K68" i="17"/>
  <c r="J68" i="17"/>
  <c r="I68" i="17"/>
  <c r="H68" i="17"/>
  <c r="G68" i="17" s="1"/>
  <c r="AN67" i="17"/>
  <c r="AL67" i="17"/>
  <c r="AK67" i="17"/>
  <c r="AJ67" i="17"/>
  <c r="AI67" i="17"/>
  <c r="AB67" i="17"/>
  <c r="S67" i="17"/>
  <c r="AT67" i="17" s="1"/>
  <c r="Q67" i="17"/>
  <c r="P67" i="17"/>
  <c r="O67" i="17"/>
  <c r="N67" i="17"/>
  <c r="G67" i="17"/>
  <c r="AN66" i="17"/>
  <c r="AL66" i="17"/>
  <c r="AL65" i="17" s="1"/>
  <c r="AK66" i="17"/>
  <c r="AJ66" i="17"/>
  <c r="AJ65" i="17" s="1"/>
  <c r="AI66" i="17"/>
  <c r="AB66" i="17"/>
  <c r="S66" i="17"/>
  <c r="Q66" i="17"/>
  <c r="Q65" i="17" s="1"/>
  <c r="P66" i="17"/>
  <c r="O66" i="17"/>
  <c r="N66" i="17"/>
  <c r="M66" i="17" s="1"/>
  <c r="G66" i="17"/>
  <c r="AR65" i="17"/>
  <c r="AR63" i="17" s="1"/>
  <c r="AQ65" i="17"/>
  <c r="AQ63" i="17" s="1"/>
  <c r="AP65" i="17"/>
  <c r="AP63" i="17" s="1"/>
  <c r="AO65" i="17"/>
  <c r="AO63" i="17" s="1"/>
  <c r="AB65" i="17"/>
  <c r="W65" i="17"/>
  <c r="W63" i="17" s="1"/>
  <c r="V65" i="17"/>
  <c r="V63" i="17" s="1"/>
  <c r="U65" i="17"/>
  <c r="T65" i="17"/>
  <c r="K65" i="17"/>
  <c r="J65" i="17"/>
  <c r="J63" i="17" s="1"/>
  <c r="I65" i="17"/>
  <c r="I63" i="17" s="1"/>
  <c r="H65" i="17"/>
  <c r="AN64" i="17"/>
  <c r="AL64" i="17"/>
  <c r="AK64" i="17"/>
  <c r="AJ64" i="17"/>
  <c r="AI64" i="17"/>
  <c r="AB64" i="17"/>
  <c r="S64" i="17"/>
  <c r="AT64" i="17" s="1"/>
  <c r="Q64" i="17"/>
  <c r="P64" i="17"/>
  <c r="O64" i="17"/>
  <c r="N64" i="17"/>
  <c r="G64" i="17"/>
  <c r="AB63" i="17"/>
  <c r="U63" i="17"/>
  <c r="AN62" i="17"/>
  <c r="AL62" i="17"/>
  <c r="AK62" i="17"/>
  <c r="AJ62" i="17"/>
  <c r="AH62" i="17" s="1"/>
  <c r="AI62" i="17"/>
  <c r="AB62" i="17"/>
  <c r="S62" i="17"/>
  <c r="Q62" i="17"/>
  <c r="P62" i="17"/>
  <c r="O62" i="17"/>
  <c r="N62" i="17"/>
  <c r="G62" i="17"/>
  <c r="AN61" i="17"/>
  <c r="AL61" i="17"/>
  <c r="AK61" i="17"/>
  <c r="AJ61" i="17"/>
  <c r="AI61" i="17"/>
  <c r="AB61" i="17"/>
  <c r="S61" i="17"/>
  <c r="Q61" i="17"/>
  <c r="P61" i="17"/>
  <c r="O61" i="17"/>
  <c r="N61" i="17"/>
  <c r="G61" i="17"/>
  <c r="AN60" i="17"/>
  <c r="AL60" i="17"/>
  <c r="AK60" i="17"/>
  <c r="AJ60" i="17"/>
  <c r="AI60" i="17"/>
  <c r="AI59" i="17" s="1"/>
  <c r="AB60" i="17"/>
  <c r="S60" i="17"/>
  <c r="Q60" i="17"/>
  <c r="P60" i="17"/>
  <c r="M60" i="17" s="1"/>
  <c r="O60" i="17"/>
  <c r="N60" i="17"/>
  <c r="G60" i="17"/>
  <c r="AR59" i="17"/>
  <c r="AQ59" i="17"/>
  <c r="AP59" i="17"/>
  <c r="AO59" i="17"/>
  <c r="AB59" i="17"/>
  <c r="W59" i="17"/>
  <c r="V59" i="17"/>
  <c r="U59" i="17"/>
  <c r="T59" i="17"/>
  <c r="S59" i="17" s="1"/>
  <c r="K59" i="17"/>
  <c r="J59" i="17"/>
  <c r="I59" i="17"/>
  <c r="H59" i="17"/>
  <c r="G59" i="17" s="1"/>
  <c r="AJ58" i="17"/>
  <c r="AI58" i="17"/>
  <c r="S58" i="17"/>
  <c r="Q58" i="17"/>
  <c r="P58" i="17"/>
  <c r="O58" i="17"/>
  <c r="N58" i="17"/>
  <c r="G58" i="17"/>
  <c r="AJ57" i="17"/>
  <c r="AJ56" i="17" s="1"/>
  <c r="AI57" i="17"/>
  <c r="S57" i="17"/>
  <c r="Q57" i="17"/>
  <c r="Q56" i="17" s="1"/>
  <c r="P57" i="17"/>
  <c r="P56" i="17" s="1"/>
  <c r="O57" i="17"/>
  <c r="N57" i="17"/>
  <c r="G57" i="17"/>
  <c r="AP56" i="17"/>
  <c r="AO56" i="17"/>
  <c r="AD56" i="17"/>
  <c r="AD54" i="17" s="1"/>
  <c r="AC56" i="17"/>
  <c r="W56" i="17"/>
  <c r="W54" i="17" s="1"/>
  <c r="V56" i="17"/>
  <c r="U56" i="17"/>
  <c r="T56" i="17"/>
  <c r="T54" i="17" s="1"/>
  <c r="K56" i="17"/>
  <c r="K54" i="17" s="1"/>
  <c r="J56" i="17"/>
  <c r="I56" i="17"/>
  <c r="I54" i="17"/>
  <c r="H56" i="17"/>
  <c r="AK55" i="17"/>
  <c r="AJ55" i="17"/>
  <c r="AI55" i="17"/>
  <c r="S55" i="17"/>
  <c r="Q55" i="17"/>
  <c r="P55" i="17"/>
  <c r="O55" i="17"/>
  <c r="N55" i="17"/>
  <c r="G55" i="17"/>
  <c r="AC54" i="17"/>
  <c r="AN53" i="17"/>
  <c r="AL53" i="17"/>
  <c r="AK53" i="17"/>
  <c r="AJ53" i="17"/>
  <c r="AI53" i="17"/>
  <c r="AH53" i="17" s="1"/>
  <c r="AB53" i="17"/>
  <c r="S53" i="17"/>
  <c r="Q53" i="17"/>
  <c r="P53" i="17"/>
  <c r="O53" i="17"/>
  <c r="N53" i="17"/>
  <c r="G53" i="17"/>
  <c r="AN52" i="17"/>
  <c r="AL52" i="17"/>
  <c r="AK52" i="17"/>
  <c r="AJ52" i="17"/>
  <c r="AI52" i="17"/>
  <c r="AH52" i="17" s="1"/>
  <c r="AB52" i="17"/>
  <c r="S52" i="17"/>
  <c r="Q52" i="17"/>
  <c r="P52" i="17"/>
  <c r="O52" i="17"/>
  <c r="N52" i="17"/>
  <c r="G52" i="17"/>
  <c r="AN51" i="17"/>
  <c r="AL51" i="17"/>
  <c r="AK51" i="17"/>
  <c r="AJ51" i="17"/>
  <c r="AJ50" i="17" s="1"/>
  <c r="AI51" i="17"/>
  <c r="AB51" i="17"/>
  <c r="S51" i="17"/>
  <c r="Q51" i="17"/>
  <c r="Q50" i="17" s="1"/>
  <c r="P51" i="17"/>
  <c r="O51" i="17"/>
  <c r="N51" i="17"/>
  <c r="G51" i="17"/>
  <c r="AR50" i="17"/>
  <c r="AQ50" i="17"/>
  <c r="AP50" i="17"/>
  <c r="AO50" i="17"/>
  <c r="AB50" i="17"/>
  <c r="W50" i="17"/>
  <c r="V50" i="17"/>
  <c r="U50" i="17"/>
  <c r="T50" i="17"/>
  <c r="K50" i="17"/>
  <c r="J50" i="17"/>
  <c r="I50" i="17"/>
  <c r="H50" i="17"/>
  <c r="G50" i="17" s="1"/>
  <c r="AJ49" i="17"/>
  <c r="AI49" i="17"/>
  <c r="S49" i="17"/>
  <c r="Q49" i="17"/>
  <c r="P49" i="17"/>
  <c r="O49" i="17"/>
  <c r="N49" i="17"/>
  <c r="G49" i="17"/>
  <c r="AJ48" i="17"/>
  <c r="AI48" i="17"/>
  <c r="AI47" i="17" s="1"/>
  <c r="S48" i="17"/>
  <c r="Q48" i="17"/>
  <c r="Q47" i="17" s="1"/>
  <c r="P48" i="17"/>
  <c r="O48" i="17"/>
  <c r="O47" i="17"/>
  <c r="N48" i="17"/>
  <c r="N47" i="17" s="1"/>
  <c r="G48" i="17"/>
  <c r="AP47" i="17"/>
  <c r="AO47" i="17"/>
  <c r="AD47" i="17"/>
  <c r="AD45" i="17" s="1"/>
  <c r="AC47" i="17"/>
  <c r="AC45" i="17" s="1"/>
  <c r="W47" i="17"/>
  <c r="V47" i="17"/>
  <c r="U47" i="17"/>
  <c r="U45" i="17" s="1"/>
  <c r="T47" i="17"/>
  <c r="K47" i="17"/>
  <c r="J47" i="17"/>
  <c r="I47" i="17"/>
  <c r="I45" i="17" s="1"/>
  <c r="H47" i="17"/>
  <c r="AK46" i="17"/>
  <c r="AJ46" i="17"/>
  <c r="AI46" i="17"/>
  <c r="S46" i="17"/>
  <c r="Q46" i="17"/>
  <c r="P46" i="17"/>
  <c r="O46" i="17"/>
  <c r="N46" i="17"/>
  <c r="G46" i="17"/>
  <c r="AP45" i="17"/>
  <c r="AN42" i="17"/>
  <c r="AL42" i="17"/>
  <c r="AK42" i="17"/>
  <c r="AJ42" i="17"/>
  <c r="AI42" i="17"/>
  <c r="AB42" i="17"/>
  <c r="S42" i="17"/>
  <c r="Q42" i="17"/>
  <c r="P42" i="17"/>
  <c r="O42" i="17"/>
  <c r="N42" i="17"/>
  <c r="G42" i="17"/>
  <c r="AN40" i="17"/>
  <c r="AL40" i="17"/>
  <c r="AK40" i="17"/>
  <c r="AJ40" i="17"/>
  <c r="AI40" i="17"/>
  <c r="AB40" i="17"/>
  <c r="S40" i="17"/>
  <c r="Q40" i="17"/>
  <c r="P40" i="17"/>
  <c r="O40" i="17"/>
  <c r="N40" i="17"/>
  <c r="M40" i="17" s="1"/>
  <c r="G40" i="17"/>
  <c r="AJ38" i="17"/>
  <c r="AI38" i="17"/>
  <c r="S38" i="17"/>
  <c r="Q38" i="17"/>
  <c r="P38" i="17"/>
  <c r="O38" i="17"/>
  <c r="N38" i="17"/>
  <c r="M38" i="17" s="1"/>
  <c r="G38" i="17"/>
  <c r="AI36" i="17"/>
  <c r="S36" i="17"/>
  <c r="Q36" i="17"/>
  <c r="P36" i="17"/>
  <c r="O36" i="17"/>
  <c r="N36" i="17"/>
  <c r="G36" i="17"/>
  <c r="AJ34" i="17"/>
  <c r="AI34" i="17"/>
  <c r="AG34" i="17"/>
  <c r="S34" i="17"/>
  <c r="Q34" i="17"/>
  <c r="P34" i="17"/>
  <c r="O34" i="17"/>
  <c r="N34" i="17"/>
  <c r="M34" i="17" s="1"/>
  <c r="G34" i="17"/>
  <c r="AJ33" i="17"/>
  <c r="AI33" i="17"/>
  <c r="S33" i="17"/>
  <c r="Q33" i="17"/>
  <c r="P33" i="17"/>
  <c r="P32" i="17" s="1"/>
  <c r="O33" i="17"/>
  <c r="N33" i="17"/>
  <c r="N32" i="17" s="1"/>
  <c r="G33" i="17"/>
  <c r="AP32" i="17"/>
  <c r="AO32" i="17"/>
  <c r="AD32" i="17"/>
  <c r="AC32" i="17"/>
  <c r="W32" i="17"/>
  <c r="V32" i="17"/>
  <c r="U32" i="17"/>
  <c r="S32" i="17" s="1"/>
  <c r="T32" i="17"/>
  <c r="K32" i="17"/>
  <c r="J32" i="17"/>
  <c r="I32" i="17"/>
  <c r="G32" i="17" s="1"/>
  <c r="H32" i="17"/>
  <c r="AN30" i="17"/>
  <c r="AL30" i="17"/>
  <c r="AK30" i="17"/>
  <c r="AJ30" i="17"/>
  <c r="AI30" i="17"/>
  <c r="AB30" i="17"/>
  <c r="S30" i="17"/>
  <c r="AT30" i="17" s="1"/>
  <c r="Q30" i="17"/>
  <c r="P30" i="17"/>
  <c r="O30" i="17"/>
  <c r="N30" i="17"/>
  <c r="G30" i="17"/>
  <c r="AN29" i="17"/>
  <c r="AL29" i="17"/>
  <c r="AK29" i="17"/>
  <c r="AJ29" i="17"/>
  <c r="AI29" i="17"/>
  <c r="AB29" i="17"/>
  <c r="S29" i="17"/>
  <c r="AT29" i="17" s="1"/>
  <c r="Q29" i="17"/>
  <c r="P29" i="17"/>
  <c r="O29" i="17"/>
  <c r="N29" i="17"/>
  <c r="G29" i="17"/>
  <c r="AN28" i="17"/>
  <c r="AL28" i="17"/>
  <c r="AK28" i="17"/>
  <c r="AJ28" i="17"/>
  <c r="AI28" i="17"/>
  <c r="AI27" i="17" s="1"/>
  <c r="AB28" i="17"/>
  <c r="S28" i="17"/>
  <c r="AT28" i="17" s="1"/>
  <c r="Q28" i="17"/>
  <c r="Q27" i="17" s="1"/>
  <c r="P28" i="17"/>
  <c r="O28" i="17"/>
  <c r="N28" i="17"/>
  <c r="M28" i="17" s="1"/>
  <c r="G28" i="17"/>
  <c r="AR27" i="17"/>
  <c r="AQ27" i="17"/>
  <c r="AP27" i="17"/>
  <c r="AO27" i="17"/>
  <c r="AF27" i="17"/>
  <c r="AE27" i="17"/>
  <c r="AD27" i="17"/>
  <c r="AB27" i="17" s="1"/>
  <c r="AC27" i="17"/>
  <c r="W27" i="17"/>
  <c r="V27" i="17"/>
  <c r="U27" i="17"/>
  <c r="S27" i="17" s="1"/>
  <c r="T27" i="17"/>
  <c r="K27" i="17"/>
  <c r="J27" i="17"/>
  <c r="I27" i="17"/>
  <c r="H27" i="17"/>
  <c r="AI25" i="17"/>
  <c r="S25" i="17"/>
  <c r="Q25" i="17"/>
  <c r="P25" i="17"/>
  <c r="O25" i="17"/>
  <c r="N25" i="17"/>
  <c r="G25" i="17"/>
  <c r="AO23" i="17"/>
  <c r="AC23" i="17"/>
  <c r="AI23" i="17" s="1"/>
  <c r="W23" i="17"/>
  <c r="V23" i="17"/>
  <c r="U23" i="17"/>
  <c r="T23" i="17"/>
  <c r="K23" i="17"/>
  <c r="Q23" i="17" s="1"/>
  <c r="J23" i="17"/>
  <c r="P23" i="17" s="1"/>
  <c r="I23" i="17"/>
  <c r="O23" i="17" s="1"/>
  <c r="H23" i="17"/>
  <c r="K68" i="16"/>
  <c r="J68" i="16"/>
  <c r="I68" i="16"/>
  <c r="H68" i="16"/>
  <c r="G68" i="16"/>
  <c r="K50" i="16"/>
  <c r="K32" i="16"/>
  <c r="J32" i="16"/>
  <c r="I32" i="16"/>
  <c r="H32" i="16"/>
  <c r="G32" i="16"/>
  <c r="K30" i="16"/>
  <c r="J30" i="16"/>
  <c r="I30" i="16"/>
  <c r="H30" i="16"/>
  <c r="G30" i="16"/>
  <c r="K29" i="16"/>
  <c r="J29" i="16"/>
  <c r="I29" i="16"/>
  <c r="H29" i="16"/>
  <c r="G29" i="16"/>
  <c r="K28" i="16"/>
  <c r="J28" i="16"/>
  <c r="I28" i="16"/>
  <c r="H28" i="16"/>
  <c r="G28" i="16"/>
  <c r="K27" i="16"/>
  <c r="J27" i="16"/>
  <c r="I27" i="16"/>
  <c r="H27" i="16"/>
  <c r="G27" i="16"/>
  <c r="K26" i="16"/>
  <c r="J26" i="16"/>
  <c r="I26" i="16"/>
  <c r="H26" i="16"/>
  <c r="G26" i="16"/>
  <c r="K25" i="16"/>
  <c r="K24" i="16"/>
  <c r="I24" i="16"/>
  <c r="K23" i="16"/>
  <c r="J23" i="16"/>
  <c r="I23" i="16"/>
  <c r="H23" i="16"/>
  <c r="G23" i="16"/>
  <c r="K22" i="16"/>
  <c r="J22" i="16"/>
  <c r="I22" i="16"/>
  <c r="H22" i="16"/>
  <c r="G22" i="16"/>
  <c r="K21" i="16"/>
  <c r="J21" i="16"/>
  <c r="I21" i="16"/>
  <c r="K20" i="16"/>
  <c r="J20" i="16"/>
  <c r="I20" i="16"/>
  <c r="K19" i="16"/>
  <c r="J19" i="16"/>
  <c r="I19" i="16"/>
  <c r="H19" i="16"/>
  <c r="G19" i="16"/>
  <c r="K18" i="16"/>
  <c r="J18" i="16"/>
  <c r="I18" i="16"/>
  <c r="H18" i="16"/>
  <c r="G18" i="16"/>
  <c r="K17" i="16"/>
  <c r="J17" i="16"/>
  <c r="I17" i="16"/>
  <c r="H17" i="16"/>
  <c r="G17" i="16"/>
  <c r="K16" i="16"/>
  <c r="J16" i="16"/>
  <c r="I16" i="16"/>
  <c r="H16" i="16"/>
  <c r="G16" i="16"/>
  <c r="K15" i="16"/>
  <c r="J15" i="16"/>
  <c r="I15" i="16"/>
  <c r="H15" i="16"/>
  <c r="G15" i="16"/>
  <c r="E12" i="16"/>
  <c r="F12" i="16" s="1"/>
  <c r="G12" i="16" s="1"/>
  <c r="H12" i="16" s="1"/>
  <c r="I12" i="16" s="1"/>
  <c r="J12" i="16" s="1"/>
  <c r="K12" i="16" s="1"/>
  <c r="K59" i="15"/>
  <c r="J59" i="15"/>
  <c r="I59" i="15"/>
  <c r="H59" i="15"/>
  <c r="G59" i="15"/>
  <c r="K44" i="15"/>
  <c r="K29" i="15"/>
  <c r="J29" i="15"/>
  <c r="I29" i="15"/>
  <c r="H29" i="15"/>
  <c r="G29" i="15"/>
  <c r="K27" i="15"/>
  <c r="J27" i="15"/>
  <c r="I27" i="15"/>
  <c r="H27" i="15"/>
  <c r="G27" i="15"/>
  <c r="K26" i="15"/>
  <c r="H26" i="15"/>
  <c r="G26" i="15"/>
  <c r="K25" i="15"/>
  <c r="J25" i="15"/>
  <c r="I25" i="15"/>
  <c r="H25" i="15"/>
  <c r="G25" i="15"/>
  <c r="K24" i="15"/>
  <c r="J24" i="15"/>
  <c r="I24" i="15"/>
  <c r="H24" i="15"/>
  <c r="G24" i="15"/>
  <c r="K23" i="15"/>
  <c r="H23" i="15"/>
  <c r="G23" i="15"/>
  <c r="K22" i="15"/>
  <c r="J22" i="15"/>
  <c r="I22" i="15"/>
  <c r="H22" i="15"/>
  <c r="G22" i="15"/>
  <c r="K21" i="15"/>
  <c r="J21" i="15"/>
  <c r="I21" i="15"/>
  <c r="K20" i="15"/>
  <c r="J20" i="15"/>
  <c r="I20" i="15"/>
  <c r="K19" i="15"/>
  <c r="H19" i="15"/>
  <c r="G19" i="15"/>
  <c r="K18" i="15"/>
  <c r="J18" i="15"/>
  <c r="I18" i="15"/>
  <c r="H18" i="15"/>
  <c r="G18" i="15"/>
  <c r="K17" i="15"/>
  <c r="J17" i="15"/>
  <c r="I17" i="15"/>
  <c r="H17" i="15"/>
  <c r="G17" i="15"/>
  <c r="K16" i="15"/>
  <c r="J16" i="15"/>
  <c r="I16" i="15"/>
  <c r="H16" i="15"/>
  <c r="G16" i="15"/>
  <c r="K15" i="15"/>
  <c r="E12" i="15"/>
  <c r="F12" i="15" s="1"/>
  <c r="G12" i="15" s="1"/>
  <c r="H12" i="15" s="1"/>
  <c r="I12" i="15" s="1"/>
  <c r="J12" i="15" s="1"/>
  <c r="K12" i="15" s="1"/>
  <c r="AA42" i="14"/>
  <c r="Q42" i="14"/>
  <c r="G42" i="14" s="1"/>
  <c r="K42" i="14"/>
  <c r="AA41" i="14"/>
  <c r="K41" i="14"/>
  <c r="AA40" i="14"/>
  <c r="K40" i="14"/>
  <c r="AA39" i="14"/>
  <c r="K39" i="14"/>
  <c r="AA38" i="14"/>
  <c r="Q38" i="14"/>
  <c r="K38" i="14"/>
  <c r="AA37" i="14"/>
  <c r="Q37" i="14"/>
  <c r="K37" i="14"/>
  <c r="AA36" i="14"/>
  <c r="K36" i="14"/>
  <c r="AA35" i="14"/>
  <c r="Q35" i="14"/>
  <c r="K35" i="14"/>
  <c r="AA34" i="14"/>
  <c r="K34" i="14"/>
  <c r="AA33" i="14"/>
  <c r="K33" i="14"/>
  <c r="AA32" i="14"/>
  <c r="K32" i="14"/>
  <c r="AA30" i="14"/>
  <c r="K30" i="14"/>
  <c r="AA29" i="14"/>
  <c r="Q29" i="14"/>
  <c r="K29" i="14"/>
  <c r="AA28" i="14"/>
  <c r="Q28" i="14"/>
  <c r="K28" i="14"/>
  <c r="G28" i="14" s="1"/>
  <c r="AA27" i="14"/>
  <c r="K27" i="14"/>
  <c r="AA26" i="14"/>
  <c r="K26" i="14"/>
  <c r="AA25" i="14"/>
  <c r="K25" i="14"/>
  <c r="AA24" i="14"/>
  <c r="K24" i="14"/>
  <c r="AA23" i="14"/>
  <c r="K23" i="14"/>
  <c r="AA22" i="14"/>
  <c r="K22" i="14"/>
  <c r="AA21" i="14"/>
  <c r="Q21" i="14"/>
  <c r="K21" i="14"/>
  <c r="AA20" i="14"/>
  <c r="K20" i="14"/>
  <c r="AA19" i="14"/>
  <c r="K19" i="14"/>
  <c r="AA18" i="14"/>
  <c r="K18" i="14"/>
  <c r="AA17" i="14"/>
  <c r="K17" i="14"/>
  <c r="J26" i="12"/>
  <c r="J25" i="12"/>
  <c r="J23" i="12"/>
  <c r="J24" i="11"/>
  <c r="J23" i="11"/>
  <c r="BI50" i="10"/>
  <c r="BH50" i="10"/>
  <c r="BG50" i="10"/>
  <c r="BF50" i="10"/>
  <c r="BE50" i="10"/>
  <c r="BD50" i="10"/>
  <c r="BC50" i="10"/>
  <c r="BB50" i="10"/>
  <c r="BA50" i="10"/>
  <c r="AZ50" i="10"/>
  <c r="AY50" i="10"/>
  <c r="AX50" i="10"/>
  <c r="AW50" i="10"/>
  <c r="AV50" i="10"/>
  <c r="AU50" i="10"/>
  <c r="AT50" i="10"/>
  <c r="AS50" i="10"/>
  <c r="AR50" i="10"/>
  <c r="AQ50" i="10"/>
  <c r="AP50" i="10"/>
  <c r="AO50" i="10"/>
  <c r="AN50" i="10"/>
  <c r="AM50" i="10"/>
  <c r="AL50" i="10"/>
  <c r="AK50" i="10"/>
  <c r="AJ50" i="10"/>
  <c r="AI50" i="10"/>
  <c r="AH50" i="10"/>
  <c r="AG50" i="10"/>
  <c r="AF50" i="10"/>
  <c r="AE50" i="10"/>
  <c r="AD50" i="10"/>
  <c r="AC50" i="10"/>
  <c r="AB50" i="10"/>
  <c r="AA50" i="10"/>
  <c r="Z50" i="10"/>
  <c r="Y50" i="10"/>
  <c r="X50" i="10"/>
  <c r="W50" i="10"/>
  <c r="V50" i="10"/>
  <c r="U50" i="10"/>
  <c r="T50" i="10"/>
  <c r="S50" i="10"/>
  <c r="R50" i="10"/>
  <c r="Q50" i="10"/>
  <c r="P50" i="10"/>
  <c r="O50" i="10"/>
  <c r="N50" i="10"/>
  <c r="M50" i="10"/>
  <c r="L50" i="10"/>
  <c r="K50" i="10"/>
  <c r="J50" i="10"/>
  <c r="I50" i="10"/>
  <c r="H50" i="10"/>
  <c r="G50" i="10"/>
  <c r="F50" i="10"/>
  <c r="BI41" i="10"/>
  <c r="BH41" i="10"/>
  <c r="BG41" i="10"/>
  <c r="BF41" i="10"/>
  <c r="BE41" i="10"/>
  <c r="BD41" i="10"/>
  <c r="BC41" i="10"/>
  <c r="BB41" i="10"/>
  <c r="BA41" i="10"/>
  <c r="AZ41" i="10"/>
  <c r="AY41" i="10"/>
  <c r="AX41" i="10"/>
  <c r="AW41" i="10"/>
  <c r="AV41" i="10"/>
  <c r="AU41" i="10"/>
  <c r="AT41" i="10"/>
  <c r="AS41" i="10"/>
  <c r="AR41" i="10"/>
  <c r="AQ41" i="10"/>
  <c r="AP41" i="10"/>
  <c r="AO41" i="10"/>
  <c r="AN41" i="10"/>
  <c r="AM41" i="10"/>
  <c r="AL41" i="10"/>
  <c r="AK41" i="10"/>
  <c r="AJ41" i="10"/>
  <c r="AI41" i="10"/>
  <c r="AH41" i="10"/>
  <c r="AG41" i="10"/>
  <c r="AF41" i="10"/>
  <c r="AE41" i="10"/>
  <c r="AD41" i="10"/>
  <c r="AC41" i="10"/>
  <c r="AB41" i="10"/>
  <c r="AA41" i="10"/>
  <c r="Z41" i="10"/>
  <c r="Y41" i="10"/>
  <c r="X41" i="10"/>
  <c r="W41" i="10"/>
  <c r="V41" i="10"/>
  <c r="U41" i="10"/>
  <c r="T41" i="10"/>
  <c r="S41" i="10"/>
  <c r="R41" i="10"/>
  <c r="Q41" i="10"/>
  <c r="P41" i="10"/>
  <c r="O41" i="10"/>
  <c r="N41" i="10"/>
  <c r="M41" i="10"/>
  <c r="L41" i="10"/>
  <c r="K41" i="10"/>
  <c r="J41" i="10"/>
  <c r="I41" i="10"/>
  <c r="H41" i="10"/>
  <c r="G41" i="10"/>
  <c r="F41" i="10"/>
  <c r="BI33" i="10"/>
  <c r="BH33" i="10"/>
  <c r="BG33" i="10"/>
  <c r="BF33" i="10"/>
  <c r="BE33" i="10"/>
  <c r="BD33" i="10"/>
  <c r="BC33" i="10"/>
  <c r="BB33" i="10"/>
  <c r="BA33" i="10"/>
  <c r="AZ33" i="10"/>
  <c r="AY33" i="10"/>
  <c r="AX33" i="10"/>
  <c r="AW33" i="10"/>
  <c r="AV33" i="10"/>
  <c r="AU33" i="10"/>
  <c r="AT33" i="10"/>
  <c r="AS33" i="10"/>
  <c r="AR33" i="10"/>
  <c r="AQ33" i="10"/>
  <c r="AP33" i="10"/>
  <c r="AO33" i="10"/>
  <c r="AN33" i="10"/>
  <c r="AM33" i="10"/>
  <c r="AL33" i="10"/>
  <c r="AK33" i="10"/>
  <c r="AJ33" i="10"/>
  <c r="AI33" i="10"/>
  <c r="AH33" i="10"/>
  <c r="AG33" i="10"/>
  <c r="AF33" i="10"/>
  <c r="AE33" i="10"/>
  <c r="AD33" i="10"/>
  <c r="AC33" i="10"/>
  <c r="AB33" i="10"/>
  <c r="AA33" i="10"/>
  <c r="Z33" i="10"/>
  <c r="Y33" i="10"/>
  <c r="X33" i="10"/>
  <c r="W33" i="10"/>
  <c r="V33" i="10"/>
  <c r="U33" i="10"/>
  <c r="T33" i="10"/>
  <c r="S33" i="10"/>
  <c r="R33" i="10"/>
  <c r="Q33" i="10"/>
  <c r="P33" i="10"/>
  <c r="O33" i="10"/>
  <c r="N33" i="10"/>
  <c r="M33" i="10"/>
  <c r="L33" i="10"/>
  <c r="K33" i="10"/>
  <c r="J33" i="10"/>
  <c r="I33" i="10"/>
  <c r="H33" i="10"/>
  <c r="G33" i="10"/>
  <c r="F33" i="10"/>
  <c r="BI25" i="10"/>
  <c r="BH25" i="10"/>
  <c r="BG25" i="10"/>
  <c r="BF25" i="10"/>
  <c r="BE25" i="10"/>
  <c r="BD25" i="10"/>
  <c r="BC25" i="10"/>
  <c r="BB25" i="10"/>
  <c r="BA25" i="10"/>
  <c r="AZ25" i="10"/>
  <c r="AY25" i="10"/>
  <c r="AX25" i="10"/>
  <c r="AW25" i="10"/>
  <c r="AV25" i="10"/>
  <c r="AU25" i="10"/>
  <c r="AT25" i="10"/>
  <c r="AS25" i="10"/>
  <c r="AR25" i="10"/>
  <c r="AQ25" i="10"/>
  <c r="AP25" i="10"/>
  <c r="AO25" i="10"/>
  <c r="AN25"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M25" i="10"/>
  <c r="L25" i="10"/>
  <c r="K25" i="10"/>
  <c r="J25" i="10"/>
  <c r="I25" i="10"/>
  <c r="H25" i="10"/>
  <c r="G25" i="10"/>
  <c r="F25" i="10"/>
  <c r="BI17" i="10"/>
  <c r="BH17" i="10"/>
  <c r="BG17" i="10"/>
  <c r="BF17" i="10"/>
  <c r="BE17" i="10"/>
  <c r="BD17" i="10"/>
  <c r="BC17" i="10"/>
  <c r="BB17" i="10"/>
  <c r="BA17" i="10"/>
  <c r="AZ17" i="10"/>
  <c r="AY17" i="10"/>
  <c r="AX17" i="10"/>
  <c r="AW17" i="10"/>
  <c r="AV17" i="10"/>
  <c r="AU17" i="10"/>
  <c r="AT17" i="10"/>
  <c r="AS17" i="10"/>
  <c r="AR17" i="10"/>
  <c r="AQ17" i="10"/>
  <c r="AP17" i="10"/>
  <c r="AO17" i="10"/>
  <c r="AN17" i="10"/>
  <c r="AM17" i="10"/>
  <c r="AL17" i="10"/>
  <c r="AK17" i="10"/>
  <c r="AJ17" i="10"/>
  <c r="AI17" i="10"/>
  <c r="AH17" i="10"/>
  <c r="AG17" i="10"/>
  <c r="AF17" i="10"/>
  <c r="AE17" i="10"/>
  <c r="AD17" i="10"/>
  <c r="AC17" i="10"/>
  <c r="AB17" i="10"/>
  <c r="AA17" i="10"/>
  <c r="Z17" i="10"/>
  <c r="Y17" i="10"/>
  <c r="X17" i="10"/>
  <c r="W17" i="10"/>
  <c r="V17" i="10"/>
  <c r="U17" i="10"/>
  <c r="T17" i="10"/>
  <c r="S17" i="10"/>
  <c r="R17" i="10"/>
  <c r="Q17" i="10"/>
  <c r="P17" i="10"/>
  <c r="O17" i="10"/>
  <c r="N17" i="10"/>
  <c r="M17" i="10"/>
  <c r="L17" i="10"/>
  <c r="K17" i="10"/>
  <c r="J17" i="10"/>
  <c r="I17" i="10"/>
  <c r="H17" i="10"/>
  <c r="G17" i="10"/>
  <c r="F17" i="10"/>
  <c r="DM50" i="9"/>
  <c r="DL50" i="9"/>
  <c r="DK50" i="9"/>
  <c r="DJ50" i="9"/>
  <c r="DI50" i="9"/>
  <c r="DH50" i="9"/>
  <c r="DF50" i="9"/>
  <c r="DE50" i="9"/>
  <c r="DD50" i="9"/>
  <c r="DC50" i="9"/>
  <c r="DB50" i="9"/>
  <c r="DA50" i="9"/>
  <c r="CY50" i="9"/>
  <c r="CX50" i="9"/>
  <c r="CU50" i="9"/>
  <c r="CT50" i="9"/>
  <c r="CR50" i="9"/>
  <c r="CQ50" i="9"/>
  <c r="CN50" i="9"/>
  <c r="CM50" i="9"/>
  <c r="CK50" i="9"/>
  <c r="CJ50" i="9"/>
  <c r="CG50" i="9"/>
  <c r="CF50" i="9"/>
  <c r="CD50" i="9"/>
  <c r="CC50" i="9"/>
  <c r="BZ50" i="9"/>
  <c r="BY50" i="9"/>
  <c r="BW50" i="9"/>
  <c r="BV50" i="9"/>
  <c r="BS50" i="9"/>
  <c r="BR50" i="9"/>
  <c r="BP50" i="9"/>
  <c r="BO50" i="9"/>
  <c r="BL50" i="9"/>
  <c r="BK50" i="9"/>
  <c r="BI50" i="9"/>
  <c r="BH50" i="9"/>
  <c r="BD50" i="9"/>
  <c r="BB50" i="9"/>
  <c r="BA50" i="9"/>
  <c r="AW50" i="9"/>
  <c r="AU50" i="9"/>
  <c r="AT50" i="9"/>
  <c r="AP50" i="9"/>
  <c r="AN50" i="9"/>
  <c r="AM50" i="9"/>
  <c r="AI50" i="9"/>
  <c r="AG50" i="9"/>
  <c r="AF50" i="9"/>
  <c r="AC50" i="9"/>
  <c r="AB50" i="9"/>
  <c r="Z50" i="9"/>
  <c r="Y50" i="9"/>
  <c r="V50" i="9"/>
  <c r="U50" i="9"/>
  <c r="S50" i="9"/>
  <c r="R50" i="9"/>
  <c r="N50" i="9"/>
  <c r="L50" i="9"/>
  <c r="K50" i="9"/>
  <c r="G50" i="9"/>
  <c r="DG49" i="9"/>
  <c r="CZ49" i="9"/>
  <c r="CS49" i="9"/>
  <c r="CL49" i="9"/>
  <c r="CE49" i="9"/>
  <c r="BX49" i="9"/>
  <c r="BQ49" i="9"/>
  <c r="BJ49" i="9"/>
  <c r="BC49" i="9"/>
  <c r="AV49" i="9"/>
  <c r="AO49" i="9"/>
  <c r="AH49" i="9"/>
  <c r="AA49" i="9"/>
  <c r="T49" i="9"/>
  <c r="DG48" i="9"/>
  <c r="CZ48" i="9"/>
  <c r="CS48" i="9"/>
  <c r="CL48" i="9"/>
  <c r="CE48" i="9"/>
  <c r="BX48" i="9"/>
  <c r="BQ48" i="9"/>
  <c r="BJ48" i="9"/>
  <c r="BC48" i="9"/>
  <c r="AV48" i="9"/>
  <c r="AO48" i="9"/>
  <c r="AH48" i="9"/>
  <c r="AA48" i="9"/>
  <c r="T48" i="9"/>
  <c r="M48" i="9"/>
  <c r="DG47" i="9"/>
  <c r="CZ47" i="9"/>
  <c r="CS47" i="9"/>
  <c r="CL47" i="9"/>
  <c r="CE47" i="9"/>
  <c r="BX47" i="9"/>
  <c r="BQ47" i="9"/>
  <c r="BJ47" i="9"/>
  <c r="BC47" i="9"/>
  <c r="AV47" i="9"/>
  <c r="AO47" i="9"/>
  <c r="AH47" i="9"/>
  <c r="DG46" i="9"/>
  <c r="CZ46" i="9"/>
  <c r="CS46" i="9"/>
  <c r="CL46" i="9"/>
  <c r="CE46" i="9"/>
  <c r="BX46" i="9"/>
  <c r="BQ46" i="9"/>
  <c r="BJ46" i="9"/>
  <c r="BC46" i="9"/>
  <c r="AV46" i="9"/>
  <c r="AO46" i="9"/>
  <c r="AH46" i="9"/>
  <c r="AA46" i="9"/>
  <c r="T46" i="9"/>
  <c r="DG45" i="9"/>
  <c r="CZ45" i="9"/>
  <c r="CS45" i="9"/>
  <c r="CL45" i="9"/>
  <c r="CE45" i="9"/>
  <c r="BX45" i="9"/>
  <c r="BQ45" i="9"/>
  <c r="BJ45" i="9"/>
  <c r="BC45" i="9"/>
  <c r="AV45" i="9"/>
  <c r="AO45" i="9"/>
  <c r="AH45" i="9"/>
  <c r="AA45" i="9"/>
  <c r="T45" i="9"/>
  <c r="DG44" i="9"/>
  <c r="CZ44" i="9"/>
  <c r="CS44" i="9"/>
  <c r="CL44" i="9"/>
  <c r="CE44" i="9"/>
  <c r="BX44" i="9"/>
  <c r="BQ44" i="9"/>
  <c r="BJ44" i="9"/>
  <c r="BC44" i="9"/>
  <c r="AV44" i="9"/>
  <c r="AO44" i="9"/>
  <c r="AH44" i="9"/>
  <c r="AA44" i="9"/>
  <c r="T44" i="9"/>
  <c r="M44" i="9"/>
  <c r="F44" i="9"/>
  <c r="DG43" i="9"/>
  <c r="CZ43" i="9"/>
  <c r="CS43" i="9"/>
  <c r="CL43" i="9"/>
  <c r="CE43" i="9"/>
  <c r="BX43" i="9"/>
  <c r="BQ43" i="9"/>
  <c r="BJ43" i="9"/>
  <c r="BC43" i="9"/>
  <c r="AV43" i="9"/>
  <c r="AO43" i="9"/>
  <c r="AH43" i="9"/>
  <c r="AA43" i="9"/>
  <c r="T43" i="9"/>
  <c r="M43" i="9"/>
  <c r="F43" i="9"/>
  <c r="DG42" i="9"/>
  <c r="DG41" i="9"/>
  <c r="CZ42" i="9"/>
  <c r="BC42" i="9"/>
  <c r="AV42" i="9"/>
  <c r="AO42" i="9"/>
  <c r="AH42" i="9"/>
  <c r="AA42" i="9"/>
  <c r="T42" i="9"/>
  <c r="M42" i="9"/>
  <c r="F42" i="9"/>
  <c r="DM41" i="9"/>
  <c r="DL41" i="9"/>
  <c r="DK41" i="9"/>
  <c r="DJ41" i="9"/>
  <c r="DI41" i="9"/>
  <c r="DH41" i="9"/>
  <c r="DF41" i="9"/>
  <c r="DE41" i="9"/>
  <c r="DD41" i="9"/>
  <c r="DC41" i="9"/>
  <c r="DB41" i="9"/>
  <c r="DA41" i="9"/>
  <c r="CY41" i="9"/>
  <c r="CX41" i="9"/>
  <c r="CU41" i="9"/>
  <c r="CT41" i="9"/>
  <c r="CR41" i="9"/>
  <c r="CQ41" i="9"/>
  <c r="CN41" i="9"/>
  <c r="CM41" i="9"/>
  <c r="CK41" i="9"/>
  <c r="CJ41" i="9"/>
  <c r="CG41" i="9"/>
  <c r="CF41" i="9"/>
  <c r="CD41" i="9"/>
  <c r="CC41" i="9"/>
  <c r="CA41" i="9"/>
  <c r="BZ41" i="9"/>
  <c r="BY41" i="9"/>
  <c r="BW41" i="9"/>
  <c r="BV41" i="9"/>
  <c r="BS41" i="9"/>
  <c r="BR41" i="9"/>
  <c r="BP41" i="9"/>
  <c r="BO41" i="9"/>
  <c r="BL41" i="9"/>
  <c r="BK41" i="9"/>
  <c r="BI41" i="9"/>
  <c r="BH41" i="9"/>
  <c r="BG41" i="9"/>
  <c r="BF41" i="9"/>
  <c r="BE41" i="9"/>
  <c r="BD41" i="9"/>
  <c r="BB41" i="9"/>
  <c r="BA41" i="9"/>
  <c r="AZ41" i="9"/>
  <c r="AY41" i="9"/>
  <c r="AX41" i="9"/>
  <c r="AW41" i="9"/>
  <c r="AU41" i="9"/>
  <c r="AT41" i="9"/>
  <c r="AS41" i="9"/>
  <c r="AR41" i="9"/>
  <c r="AQ41" i="9"/>
  <c r="AP41" i="9"/>
  <c r="AN41" i="9"/>
  <c r="AM41" i="9"/>
  <c r="AL41" i="9"/>
  <c r="AK41" i="9"/>
  <c r="AJ41" i="9"/>
  <c r="AI41" i="9"/>
  <c r="AG41" i="9"/>
  <c r="AF41" i="9"/>
  <c r="AC41" i="9"/>
  <c r="AB41" i="9"/>
  <c r="Z41" i="9"/>
  <c r="Y41" i="9"/>
  <c r="V41" i="9"/>
  <c r="U41" i="9"/>
  <c r="S41" i="9"/>
  <c r="R41" i="9"/>
  <c r="N41" i="9"/>
  <c r="L41" i="9"/>
  <c r="K41" i="9"/>
  <c r="G41" i="9"/>
  <c r="DG40" i="9"/>
  <c r="CZ40" i="9"/>
  <c r="CS40" i="9"/>
  <c r="CL40" i="9"/>
  <c r="CE40" i="9"/>
  <c r="BX40" i="9"/>
  <c r="BQ40" i="9"/>
  <c r="BJ40" i="9"/>
  <c r="BC40" i="9"/>
  <c r="AV40" i="9"/>
  <c r="AO40" i="9"/>
  <c r="AH40" i="9"/>
  <c r="AA40" i="9"/>
  <c r="T40" i="9"/>
  <c r="M40" i="9"/>
  <c r="F40" i="9"/>
  <c r="DG39" i="9"/>
  <c r="CZ39" i="9"/>
  <c r="CS39" i="9"/>
  <c r="CL39" i="9"/>
  <c r="CE39" i="9"/>
  <c r="BX39" i="9"/>
  <c r="BQ39" i="9"/>
  <c r="BJ39" i="9"/>
  <c r="BC39" i="9"/>
  <c r="AV39" i="9"/>
  <c r="AO39" i="9"/>
  <c r="AH39" i="9"/>
  <c r="AA39" i="9"/>
  <c r="T39" i="9"/>
  <c r="M39" i="9"/>
  <c r="F39" i="9"/>
  <c r="DG38" i="9"/>
  <c r="CZ38" i="9"/>
  <c r="CS38" i="9"/>
  <c r="CL38" i="9"/>
  <c r="CE38" i="9"/>
  <c r="BX38" i="9"/>
  <c r="BQ38" i="9"/>
  <c r="BJ38" i="9"/>
  <c r="BC38" i="9"/>
  <c r="AV38" i="9"/>
  <c r="AO38" i="9"/>
  <c r="AH38" i="9"/>
  <c r="AA38" i="9"/>
  <c r="T38" i="9"/>
  <c r="M38" i="9"/>
  <c r="F38" i="9"/>
  <c r="DG37" i="9"/>
  <c r="CZ37" i="9"/>
  <c r="CS37" i="9"/>
  <c r="CL37" i="9"/>
  <c r="CE37" i="9"/>
  <c r="BX37" i="9"/>
  <c r="BQ37" i="9"/>
  <c r="BJ37" i="9"/>
  <c r="BC37" i="9"/>
  <c r="AV37" i="9"/>
  <c r="AO37" i="9"/>
  <c r="AH37" i="9"/>
  <c r="AA37" i="9"/>
  <c r="T37" i="9"/>
  <c r="DG36" i="9"/>
  <c r="CZ36" i="9"/>
  <c r="CS36" i="9"/>
  <c r="CL36" i="9"/>
  <c r="CE36" i="9"/>
  <c r="BX36" i="9"/>
  <c r="BQ36" i="9"/>
  <c r="BJ36" i="9"/>
  <c r="BC36" i="9"/>
  <c r="AV36" i="9"/>
  <c r="AO36" i="9"/>
  <c r="AH36" i="9"/>
  <c r="AA36" i="9"/>
  <c r="T36" i="9"/>
  <c r="M36" i="9"/>
  <c r="F36" i="9"/>
  <c r="DG35" i="9"/>
  <c r="CZ35" i="9"/>
  <c r="CS35" i="9"/>
  <c r="CL35" i="9"/>
  <c r="CE35" i="9"/>
  <c r="BX35" i="9"/>
  <c r="BQ35" i="9"/>
  <c r="BJ35" i="9"/>
  <c r="BC35" i="9"/>
  <c r="AV35" i="9"/>
  <c r="AO35" i="9"/>
  <c r="AH35" i="9"/>
  <c r="AA35" i="9"/>
  <c r="T35" i="9"/>
  <c r="M35" i="9"/>
  <c r="F35" i="9"/>
  <c r="DG34" i="9"/>
  <c r="CZ34" i="9"/>
  <c r="CS34" i="9"/>
  <c r="CL34" i="9"/>
  <c r="CE34" i="9"/>
  <c r="CE33" i="9"/>
  <c r="BX34" i="9"/>
  <c r="BQ34" i="9"/>
  <c r="BQ33" i="9" s="1"/>
  <c r="BJ34" i="9"/>
  <c r="BC34" i="9"/>
  <c r="BC33" i="9" s="1"/>
  <c r="AV34" i="9"/>
  <c r="AO34" i="9"/>
  <c r="AH34" i="9"/>
  <c r="AA34" i="9"/>
  <c r="T34" i="9"/>
  <c r="M34" i="9"/>
  <c r="F34" i="9"/>
  <c r="DM33" i="9"/>
  <c r="DL33" i="9"/>
  <c r="DK33" i="9"/>
  <c r="DJ33" i="9"/>
  <c r="DI33" i="9"/>
  <c r="DH33" i="9"/>
  <c r="DF33" i="9"/>
  <c r="DE33" i="9"/>
  <c r="DD33" i="9"/>
  <c r="DC33" i="9"/>
  <c r="DB33" i="9"/>
  <c r="DA33" i="9"/>
  <c r="CY33" i="9"/>
  <c r="CX33" i="9"/>
  <c r="CW33" i="9"/>
  <c r="CV33" i="9"/>
  <c r="CU33" i="9"/>
  <c r="CT33" i="9"/>
  <c r="CR33" i="9"/>
  <c r="CQ33" i="9"/>
  <c r="CP33" i="9"/>
  <c r="CO33" i="9"/>
  <c r="CN33" i="9"/>
  <c r="CM33" i="9"/>
  <c r="CK33" i="9"/>
  <c r="CJ33" i="9"/>
  <c r="CI33" i="9"/>
  <c r="CH33" i="9"/>
  <c r="CG33" i="9"/>
  <c r="CF33" i="9"/>
  <c r="CD33" i="9"/>
  <c r="CC33" i="9"/>
  <c r="CB33" i="9"/>
  <c r="CA33" i="9"/>
  <c r="BZ33" i="9"/>
  <c r="BY33" i="9"/>
  <c r="BW33" i="9"/>
  <c r="BV33" i="9"/>
  <c r="BU33" i="9"/>
  <c r="BT33" i="9"/>
  <c r="BS33" i="9"/>
  <c r="BR33" i="9"/>
  <c r="BP33" i="9"/>
  <c r="BO33" i="9"/>
  <c r="BN33" i="9"/>
  <c r="BM33" i="9"/>
  <c r="BL33" i="9"/>
  <c r="BK33" i="9"/>
  <c r="BI33" i="9"/>
  <c r="BH33" i="9"/>
  <c r="BG33" i="9"/>
  <c r="BF33" i="9"/>
  <c r="BE33" i="9"/>
  <c r="BD33" i="9"/>
  <c r="BB33" i="9"/>
  <c r="BA33" i="9"/>
  <c r="AZ33" i="9"/>
  <c r="AY33" i="9"/>
  <c r="AX33" i="9"/>
  <c r="AW33" i="9"/>
  <c r="AU33" i="9"/>
  <c r="AT33" i="9"/>
  <c r="AS33" i="9"/>
  <c r="AR33" i="9"/>
  <c r="AQ33" i="9"/>
  <c r="AP33" i="9"/>
  <c r="AN33" i="9"/>
  <c r="AM33" i="9"/>
  <c r="AL33" i="9"/>
  <c r="AK33" i="9"/>
  <c r="AJ33" i="9"/>
  <c r="AI33" i="9"/>
  <c r="AG33" i="9"/>
  <c r="AF33" i="9"/>
  <c r="AE33" i="9"/>
  <c r="AD33" i="9"/>
  <c r="AC33" i="9"/>
  <c r="AB33" i="9"/>
  <c r="Z33" i="9"/>
  <c r="Y33" i="9"/>
  <c r="X33" i="9"/>
  <c r="W33" i="9"/>
  <c r="V33" i="9"/>
  <c r="U33" i="9"/>
  <c r="S33" i="9"/>
  <c r="R33" i="9"/>
  <c r="N33" i="9"/>
  <c r="L33" i="9"/>
  <c r="K33" i="9"/>
  <c r="G33" i="9"/>
  <c r="DG32" i="9"/>
  <c r="CZ32" i="9"/>
  <c r="CS32" i="9"/>
  <c r="CL32" i="9"/>
  <c r="CE32" i="9"/>
  <c r="BX32" i="9"/>
  <c r="BQ32" i="9"/>
  <c r="BJ32" i="9"/>
  <c r="BC32" i="9"/>
  <c r="AV32" i="9"/>
  <c r="AO32" i="9"/>
  <c r="AH32" i="9"/>
  <c r="AA32" i="9"/>
  <c r="T32" i="9"/>
  <c r="M32" i="9"/>
  <c r="F32" i="9"/>
  <c r="DG31" i="9"/>
  <c r="CZ31" i="9"/>
  <c r="CS31" i="9"/>
  <c r="CL31" i="9"/>
  <c r="CE31" i="9"/>
  <c r="BX31" i="9"/>
  <c r="BQ31" i="9"/>
  <c r="BJ31" i="9"/>
  <c r="BC31" i="9"/>
  <c r="AV31" i="9"/>
  <c r="AO31" i="9"/>
  <c r="AH31" i="9"/>
  <c r="AA31" i="9"/>
  <c r="T31" i="9"/>
  <c r="M31" i="9"/>
  <c r="F31" i="9"/>
  <c r="DG30" i="9"/>
  <c r="CZ30" i="9"/>
  <c r="CS30" i="9"/>
  <c r="CL30" i="9"/>
  <c r="CE30" i="9"/>
  <c r="BX30" i="9"/>
  <c r="BQ30" i="9"/>
  <c r="BJ30" i="9"/>
  <c r="BC30" i="9"/>
  <c r="AV30" i="9"/>
  <c r="AO30" i="9"/>
  <c r="AH30" i="9"/>
  <c r="AA30" i="9"/>
  <c r="T30" i="9"/>
  <c r="M30" i="9"/>
  <c r="F30" i="9"/>
  <c r="DG29" i="9"/>
  <c r="CZ29" i="9"/>
  <c r="CS29" i="9"/>
  <c r="CL29" i="9"/>
  <c r="CE29" i="9"/>
  <c r="BX29" i="9"/>
  <c r="BQ29" i="9"/>
  <c r="BJ29" i="9"/>
  <c r="BC29" i="9"/>
  <c r="AV29" i="9"/>
  <c r="AO29" i="9"/>
  <c r="AH29" i="9"/>
  <c r="AA29" i="9"/>
  <c r="T29" i="9"/>
  <c r="M29" i="9"/>
  <c r="F29" i="9"/>
  <c r="DG28" i="9"/>
  <c r="CZ28" i="9"/>
  <c r="CS28" i="9"/>
  <c r="CL28" i="9"/>
  <c r="CE28" i="9"/>
  <c r="BX28" i="9"/>
  <c r="BQ28" i="9"/>
  <c r="BJ28" i="9"/>
  <c r="BC28" i="9"/>
  <c r="AV28" i="9"/>
  <c r="AO28" i="9"/>
  <c r="AH28" i="9"/>
  <c r="AA28" i="9"/>
  <c r="T28" i="9"/>
  <c r="M28" i="9"/>
  <c r="F28" i="9"/>
  <c r="DG27" i="9"/>
  <c r="CZ27" i="9"/>
  <c r="CS27" i="9"/>
  <c r="CL27" i="9"/>
  <c r="CE27" i="9"/>
  <c r="BX27" i="9"/>
  <c r="BQ27" i="9"/>
  <c r="BJ27" i="9"/>
  <c r="BC27" i="9"/>
  <c r="AV27" i="9"/>
  <c r="AO27" i="9"/>
  <c r="AH27" i="9"/>
  <c r="AA27" i="9"/>
  <c r="T27" i="9"/>
  <c r="M27" i="9"/>
  <c r="F27" i="9"/>
  <c r="DG26" i="9"/>
  <c r="DG25" i="9" s="1"/>
  <c r="CZ26" i="9"/>
  <c r="CZ25" i="9" s="1"/>
  <c r="AA26" i="9"/>
  <c r="T26" i="9"/>
  <c r="T25" i="9"/>
  <c r="M26" i="9"/>
  <c r="F26" i="9"/>
  <c r="DM25" i="9"/>
  <c r="DL25" i="9"/>
  <c r="DK25" i="9"/>
  <c r="DJ25" i="9"/>
  <c r="DI25" i="9"/>
  <c r="DH25" i="9"/>
  <c r="DF25" i="9"/>
  <c r="DE25" i="9"/>
  <c r="DD25" i="9"/>
  <c r="DC25" i="9"/>
  <c r="DB25" i="9"/>
  <c r="DA25" i="9"/>
  <c r="CY25" i="9"/>
  <c r="CX25" i="9"/>
  <c r="CU25" i="9"/>
  <c r="CT25" i="9"/>
  <c r="CR25" i="9"/>
  <c r="CQ25" i="9"/>
  <c r="CN25" i="9"/>
  <c r="CM25" i="9"/>
  <c r="CK25" i="9"/>
  <c r="CJ25" i="9"/>
  <c r="CG25" i="9"/>
  <c r="CF25" i="9"/>
  <c r="CD25" i="9"/>
  <c r="CC25" i="9"/>
  <c r="BZ25" i="9"/>
  <c r="BY25" i="9"/>
  <c r="BW25" i="9"/>
  <c r="BV25" i="9"/>
  <c r="BS25" i="9"/>
  <c r="BR25" i="9"/>
  <c r="BP25" i="9"/>
  <c r="BO25" i="9"/>
  <c r="BL25" i="9"/>
  <c r="BK25" i="9"/>
  <c r="BI25" i="9"/>
  <c r="BH25" i="9"/>
  <c r="BD25" i="9"/>
  <c r="BB25" i="9"/>
  <c r="BA25" i="9"/>
  <c r="AW25" i="9"/>
  <c r="AU25" i="9"/>
  <c r="AT25" i="9"/>
  <c r="AP25" i="9"/>
  <c r="AN25" i="9"/>
  <c r="AM25" i="9"/>
  <c r="AI25" i="9"/>
  <c r="AG25" i="9"/>
  <c r="AF25" i="9"/>
  <c r="AE25" i="9"/>
  <c r="AD25" i="9"/>
  <c r="AC25" i="9"/>
  <c r="AB25" i="9"/>
  <c r="Z25" i="9"/>
  <c r="Y25" i="9"/>
  <c r="X25" i="9"/>
  <c r="W25" i="9"/>
  <c r="V25" i="9"/>
  <c r="U25" i="9"/>
  <c r="S25" i="9"/>
  <c r="R25" i="9"/>
  <c r="Q25" i="9"/>
  <c r="P25" i="9"/>
  <c r="O25" i="9"/>
  <c r="N25" i="9"/>
  <c r="M25" i="9"/>
  <c r="L25" i="9"/>
  <c r="K25" i="9"/>
  <c r="J25" i="9"/>
  <c r="I25" i="9"/>
  <c r="H25" i="9"/>
  <c r="G25" i="9"/>
  <c r="DG24" i="9"/>
  <c r="CZ24" i="9"/>
  <c r="CS24" i="9"/>
  <c r="CL24" i="9"/>
  <c r="CE24" i="9"/>
  <c r="BX24" i="9"/>
  <c r="BQ24" i="9"/>
  <c r="BJ24" i="9"/>
  <c r="BC24" i="9"/>
  <c r="AV24" i="9"/>
  <c r="AO24" i="9"/>
  <c r="AH24" i="9"/>
  <c r="AA24" i="9"/>
  <c r="T24" i="9"/>
  <c r="M24" i="9"/>
  <c r="F24" i="9"/>
  <c r="DG23" i="9"/>
  <c r="CZ23" i="9"/>
  <c r="CS23" i="9"/>
  <c r="CL23" i="9"/>
  <c r="CE23" i="9"/>
  <c r="BX23" i="9"/>
  <c r="BQ23" i="9"/>
  <c r="BJ23" i="9"/>
  <c r="BC23" i="9"/>
  <c r="AV23" i="9"/>
  <c r="AO23" i="9"/>
  <c r="AH23" i="9"/>
  <c r="AA23" i="9"/>
  <c r="T23" i="9"/>
  <c r="M23" i="9"/>
  <c r="F23" i="9"/>
  <c r="DG22" i="9"/>
  <c r="CZ22" i="9"/>
  <c r="CS22" i="9"/>
  <c r="CL22" i="9"/>
  <c r="CE22" i="9"/>
  <c r="BX22" i="9"/>
  <c r="BQ22" i="9"/>
  <c r="BJ22" i="9"/>
  <c r="BC22" i="9"/>
  <c r="AV22" i="9"/>
  <c r="AO22" i="9"/>
  <c r="AH22" i="9"/>
  <c r="AA22" i="9"/>
  <c r="T22" i="9"/>
  <c r="M22" i="9"/>
  <c r="F22" i="9"/>
  <c r="DG21" i="9"/>
  <c r="CZ21" i="9"/>
  <c r="CS21" i="9"/>
  <c r="CL21" i="9"/>
  <c r="CE21" i="9"/>
  <c r="BX21" i="9"/>
  <c r="BQ21" i="9"/>
  <c r="BJ21" i="9"/>
  <c r="BC21" i="9"/>
  <c r="AV21" i="9"/>
  <c r="AO21" i="9"/>
  <c r="AH21" i="9"/>
  <c r="AA21" i="9"/>
  <c r="T21" i="9"/>
  <c r="M21" i="9"/>
  <c r="F21" i="9"/>
  <c r="DG20" i="9"/>
  <c r="CZ20" i="9"/>
  <c r="CS20" i="9"/>
  <c r="CL20" i="9"/>
  <c r="CE20" i="9"/>
  <c r="BX20" i="9"/>
  <c r="BQ20" i="9"/>
  <c r="BJ20" i="9"/>
  <c r="BC20" i="9"/>
  <c r="AV20" i="9"/>
  <c r="AO20" i="9"/>
  <c r="AH20" i="9"/>
  <c r="AA20" i="9"/>
  <c r="T20" i="9"/>
  <c r="M20" i="9"/>
  <c r="F20" i="9"/>
  <c r="DG19" i="9"/>
  <c r="CZ19" i="9"/>
  <c r="CS19" i="9"/>
  <c r="CL19" i="9"/>
  <c r="CE19" i="9"/>
  <c r="BX19" i="9"/>
  <c r="BQ19" i="9"/>
  <c r="BJ19" i="9"/>
  <c r="BC19" i="9"/>
  <c r="AV19" i="9"/>
  <c r="AO19" i="9"/>
  <c r="AH19" i="9"/>
  <c r="AA19" i="9"/>
  <c r="T19" i="9"/>
  <c r="M19" i="9"/>
  <c r="F19" i="9"/>
  <c r="DG18" i="9"/>
  <c r="CZ18" i="9"/>
  <c r="CS18" i="9"/>
  <c r="CS17" i="9" s="1"/>
  <c r="CL18" i="9"/>
  <c r="CL17" i="9" s="1"/>
  <c r="CE18" i="9"/>
  <c r="BX18" i="9"/>
  <c r="BQ18" i="9"/>
  <c r="BQ17" i="9" s="1"/>
  <c r="BJ18" i="9"/>
  <c r="BC18" i="9"/>
  <c r="AV18" i="9"/>
  <c r="AV17" i="9" s="1"/>
  <c r="AO18" i="9"/>
  <c r="AO17" i="9" s="1"/>
  <c r="AH18" i="9"/>
  <c r="AA18" i="9"/>
  <c r="T18" i="9"/>
  <c r="M18" i="9"/>
  <c r="M17" i="9" s="1"/>
  <c r="F18" i="9"/>
  <c r="DM17" i="9"/>
  <c r="DL17" i="9"/>
  <c r="DK17" i="9"/>
  <c r="DJ17" i="9"/>
  <c r="DI17" i="9"/>
  <c r="DH17" i="9"/>
  <c r="DF17" i="9"/>
  <c r="DE17" i="9"/>
  <c r="DD17" i="9"/>
  <c r="DC17" i="9"/>
  <c r="DB17" i="9"/>
  <c r="DA17" i="9"/>
  <c r="CY17" i="9"/>
  <c r="CX17" i="9"/>
  <c r="CW17" i="9"/>
  <c r="CV17" i="9"/>
  <c r="CU17" i="9"/>
  <c r="CT17" i="9"/>
  <c r="CR17" i="9"/>
  <c r="CQ17" i="9"/>
  <c r="CP17" i="9"/>
  <c r="CO17" i="9"/>
  <c r="CN17" i="9"/>
  <c r="CM17" i="9"/>
  <c r="CK17" i="9"/>
  <c r="CJ17" i="9"/>
  <c r="CI17" i="9"/>
  <c r="CH17" i="9"/>
  <c r="CG17" i="9"/>
  <c r="CF17" i="9"/>
  <c r="CD17" i="9"/>
  <c r="CC17" i="9"/>
  <c r="CB17" i="9"/>
  <c r="CA17" i="9"/>
  <c r="BZ17" i="9"/>
  <c r="BY17" i="9"/>
  <c r="BW17" i="9"/>
  <c r="BV17" i="9"/>
  <c r="BU17" i="9"/>
  <c r="BT17" i="9"/>
  <c r="BS17" i="9"/>
  <c r="BR17" i="9"/>
  <c r="BP17" i="9"/>
  <c r="BO17" i="9"/>
  <c r="BN17" i="9"/>
  <c r="BM17" i="9"/>
  <c r="BL17" i="9"/>
  <c r="BK17" i="9"/>
  <c r="BJ17" i="9"/>
  <c r="BI17" i="9"/>
  <c r="BH17" i="9"/>
  <c r="BG17" i="9"/>
  <c r="BF17" i="9"/>
  <c r="BE17" i="9"/>
  <c r="BD17" i="9"/>
  <c r="BB17" i="9"/>
  <c r="BA17" i="9"/>
  <c r="AZ17" i="9"/>
  <c r="AY17" i="9"/>
  <c r="AX17" i="9"/>
  <c r="AW17" i="9"/>
  <c r="AU17" i="9"/>
  <c r="AT17" i="9"/>
  <c r="AS17" i="9"/>
  <c r="AR17" i="9"/>
  <c r="AQ17" i="9"/>
  <c r="AP17" i="9"/>
  <c r="AN17" i="9"/>
  <c r="AM17" i="9"/>
  <c r="AL17" i="9"/>
  <c r="AK17" i="9"/>
  <c r="AJ17" i="9"/>
  <c r="AI17" i="9"/>
  <c r="AG17" i="9"/>
  <c r="AF17" i="9"/>
  <c r="AE17" i="9"/>
  <c r="AD17" i="9"/>
  <c r="AC17" i="9"/>
  <c r="AB17" i="9"/>
  <c r="Z17" i="9"/>
  <c r="Y17" i="9"/>
  <c r="X17" i="9"/>
  <c r="W17" i="9"/>
  <c r="V17" i="9"/>
  <c r="U17" i="9"/>
  <c r="S17" i="9"/>
  <c r="R17" i="9"/>
  <c r="Q17" i="9"/>
  <c r="P17" i="9"/>
  <c r="O17" i="9"/>
  <c r="N17" i="9"/>
  <c r="L17" i="9"/>
  <c r="K17" i="9"/>
  <c r="J17" i="9"/>
  <c r="I17" i="9"/>
  <c r="H17" i="9"/>
  <c r="G17" i="9"/>
  <c r="F17" i="9"/>
  <c r="Q57" i="8"/>
  <c r="P57" i="8"/>
  <c r="O57" i="8"/>
  <c r="J57" i="8"/>
  <c r="G57" i="8" s="1"/>
  <c r="H57" i="8"/>
  <c r="F57" i="8"/>
  <c r="Q56" i="8"/>
  <c r="P56" i="8"/>
  <c r="O56" i="8"/>
  <c r="J56" i="8"/>
  <c r="J55" i="8" s="1"/>
  <c r="H56" i="8"/>
  <c r="F56" i="8"/>
  <c r="T55" i="8"/>
  <c r="S55" i="8"/>
  <c r="R55" i="8"/>
  <c r="N55" i="8"/>
  <c r="M55" i="8"/>
  <c r="L55" i="8"/>
  <c r="K55" i="8"/>
  <c r="I55" i="8"/>
  <c r="Q54" i="8"/>
  <c r="Q52" i="8" s="1"/>
  <c r="P54" i="8"/>
  <c r="O54" i="8"/>
  <c r="J54" i="8"/>
  <c r="H54" i="8"/>
  <c r="F54" i="8"/>
  <c r="Q53" i="8"/>
  <c r="P53" i="8"/>
  <c r="O53" i="8"/>
  <c r="O52" i="8"/>
  <c r="J53" i="8"/>
  <c r="H53" i="8"/>
  <c r="F53" i="8"/>
  <c r="T52" i="8"/>
  <c r="S52" i="8"/>
  <c r="R52" i="8"/>
  <c r="N52" i="8"/>
  <c r="M52" i="8"/>
  <c r="L52" i="8"/>
  <c r="K52" i="8"/>
  <c r="I52" i="8"/>
  <c r="Q51" i="8"/>
  <c r="P51" i="8"/>
  <c r="O51" i="8"/>
  <c r="J51" i="8"/>
  <c r="H51" i="8"/>
  <c r="F51" i="8"/>
  <c r="Q50" i="8"/>
  <c r="P50" i="8"/>
  <c r="O50" i="8"/>
  <c r="J50" i="8"/>
  <c r="H50" i="8"/>
  <c r="F50" i="8"/>
  <c r="T49" i="8"/>
  <c r="S49" i="8"/>
  <c r="R49" i="8"/>
  <c r="N49" i="8"/>
  <c r="M49" i="8"/>
  <c r="L49" i="8"/>
  <c r="K49" i="8"/>
  <c r="I49" i="8"/>
  <c r="Q48" i="8"/>
  <c r="P48" i="8"/>
  <c r="O48" i="8"/>
  <c r="J48" i="8"/>
  <c r="H48" i="8"/>
  <c r="F48" i="8"/>
  <c r="Q47" i="8"/>
  <c r="P47" i="8"/>
  <c r="O47" i="8"/>
  <c r="J47" i="8"/>
  <c r="H47" i="8"/>
  <c r="F47" i="8"/>
  <c r="T46" i="8"/>
  <c r="S46" i="8"/>
  <c r="R46" i="8"/>
  <c r="N46" i="8"/>
  <c r="M46" i="8"/>
  <c r="L46" i="8"/>
  <c r="K46" i="8"/>
  <c r="I46" i="8"/>
  <c r="F46" i="8"/>
  <c r="Q45" i="8"/>
  <c r="P45" i="8"/>
  <c r="O45" i="8"/>
  <c r="J45" i="8"/>
  <c r="H45" i="8"/>
  <c r="F45" i="8"/>
  <c r="Q44" i="8"/>
  <c r="Q43" i="8" s="1"/>
  <c r="P44" i="8"/>
  <c r="O44" i="8"/>
  <c r="J44" i="8"/>
  <c r="H44" i="8"/>
  <c r="F44" i="8"/>
  <c r="T43" i="8"/>
  <c r="S43" i="8"/>
  <c r="R43" i="8"/>
  <c r="O43" i="8"/>
  <c r="N43" i="8"/>
  <c r="M43" i="8"/>
  <c r="L43" i="8"/>
  <c r="K43" i="8"/>
  <c r="I43" i="8"/>
  <c r="Q42" i="8"/>
  <c r="P42" i="8"/>
  <c r="O42" i="8"/>
  <c r="J42" i="8"/>
  <c r="H42" i="8"/>
  <c r="H40" i="8" s="1"/>
  <c r="F42" i="8"/>
  <c r="Q41" i="8"/>
  <c r="P41" i="8"/>
  <c r="O41" i="8"/>
  <c r="J41" i="8"/>
  <c r="J40" i="8"/>
  <c r="H41" i="8"/>
  <c r="F41" i="8"/>
  <c r="T40" i="8"/>
  <c r="S40" i="8"/>
  <c r="R40" i="8"/>
  <c r="N40" i="8"/>
  <c r="M40" i="8"/>
  <c r="L40" i="8"/>
  <c r="K40" i="8"/>
  <c r="I40" i="8"/>
  <c r="Q39" i="8"/>
  <c r="P39" i="8"/>
  <c r="O39" i="8"/>
  <c r="J39" i="8"/>
  <c r="J35" i="8" s="1"/>
  <c r="H39" i="8"/>
  <c r="F39" i="8"/>
  <c r="P38" i="8"/>
  <c r="P37" i="8" s="1"/>
  <c r="S37" i="8"/>
  <c r="M37" i="8"/>
  <c r="T35" i="8"/>
  <c r="S35" i="8"/>
  <c r="R35" i="8"/>
  <c r="N35" i="8"/>
  <c r="M35" i="8"/>
  <c r="L35" i="8"/>
  <c r="K35" i="8"/>
  <c r="I35" i="8"/>
  <c r="S34" i="8"/>
  <c r="M34" i="8"/>
  <c r="Q32" i="8"/>
  <c r="P32" i="8"/>
  <c r="O32" i="8"/>
  <c r="J32" i="8"/>
  <c r="J30" i="8" s="1"/>
  <c r="H32" i="8"/>
  <c r="F32" i="8"/>
  <c r="Q31" i="8"/>
  <c r="P31" i="8"/>
  <c r="O31" i="8"/>
  <c r="J31" i="8"/>
  <c r="H31" i="8"/>
  <c r="H30" i="8" s="1"/>
  <c r="F31" i="8"/>
  <c r="T30" i="8"/>
  <c r="S30" i="8"/>
  <c r="R30" i="8"/>
  <c r="N30" i="8"/>
  <c r="M30" i="8"/>
  <c r="L30" i="8"/>
  <c r="K30" i="8"/>
  <c r="I30" i="8"/>
  <c r="Q29" i="8"/>
  <c r="P29" i="8"/>
  <c r="O29" i="8"/>
  <c r="J29" i="8"/>
  <c r="H29" i="8"/>
  <c r="F29" i="8"/>
  <c r="Q28" i="8"/>
  <c r="P28" i="8"/>
  <c r="P27" i="8" s="1"/>
  <c r="O28" i="8"/>
  <c r="J28" i="8"/>
  <c r="H28" i="8"/>
  <c r="F28" i="8"/>
  <c r="F27" i="8" s="1"/>
  <c r="T27" i="8"/>
  <c r="S27" i="8"/>
  <c r="R27" i="8"/>
  <c r="N27" i="8"/>
  <c r="M27" i="8"/>
  <c r="L27" i="8"/>
  <c r="K27" i="8"/>
  <c r="I27" i="8"/>
  <c r="Q26" i="8"/>
  <c r="P26" i="8"/>
  <c r="O26" i="8"/>
  <c r="O24" i="8" s="1"/>
  <c r="J26" i="8"/>
  <c r="H26" i="8"/>
  <c r="F26" i="8"/>
  <c r="Q25" i="8"/>
  <c r="Q24" i="8" s="1"/>
  <c r="P25" i="8"/>
  <c r="O25" i="8"/>
  <c r="J25" i="8"/>
  <c r="J24" i="8"/>
  <c r="H25" i="8"/>
  <c r="F25" i="8"/>
  <c r="F24" i="8" s="1"/>
  <c r="T24" i="8"/>
  <c r="S24" i="8"/>
  <c r="R24" i="8"/>
  <c r="N24" i="8"/>
  <c r="M24" i="8"/>
  <c r="L24" i="8"/>
  <c r="K24" i="8"/>
  <c r="I24" i="8"/>
  <c r="Q23" i="8"/>
  <c r="P23" i="8"/>
  <c r="P21" i="8" s="1"/>
  <c r="O23" i="8"/>
  <c r="J23" i="8"/>
  <c r="H23" i="8"/>
  <c r="F23" i="8"/>
  <c r="P22" i="8"/>
  <c r="S21" i="8"/>
  <c r="M21" i="8"/>
  <c r="Q20" i="8"/>
  <c r="Q17" i="8" s="1"/>
  <c r="P20" i="8"/>
  <c r="O20" i="8"/>
  <c r="J20" i="8"/>
  <c r="H20" i="8"/>
  <c r="F20" i="8"/>
  <c r="P19" i="8"/>
  <c r="S18" i="8"/>
  <c r="M18" i="8"/>
  <c r="T17" i="8"/>
  <c r="T60" i="8" s="1"/>
  <c r="S17" i="8"/>
  <c r="R17" i="8"/>
  <c r="N17" i="8"/>
  <c r="M17" i="8"/>
  <c r="M15" i="8" s="1"/>
  <c r="L17" i="8"/>
  <c r="K17" i="8"/>
  <c r="K60" i="8" s="1"/>
  <c r="I17" i="8"/>
  <c r="S16" i="8"/>
  <c r="S59" i="8" s="1"/>
  <c r="M16" i="8"/>
  <c r="BW49" i="7"/>
  <c r="BV49" i="7"/>
  <c r="BU49" i="7"/>
  <c r="BT49" i="7"/>
  <c r="BS49" i="7"/>
  <c r="BR49" i="7"/>
  <c r="BP49" i="7"/>
  <c r="BO49" i="7"/>
  <c r="BN49" i="7"/>
  <c r="BM49" i="7"/>
  <c r="BL49" i="7"/>
  <c r="BK49" i="7"/>
  <c r="AU49" i="7"/>
  <c r="AT49" i="7"/>
  <c r="AS49" i="7"/>
  <c r="AR49" i="7"/>
  <c r="AQ49" i="7"/>
  <c r="AP49" i="7"/>
  <c r="AN49" i="7"/>
  <c r="AM49" i="7"/>
  <c r="AL49" i="7"/>
  <c r="AK49" i="7"/>
  <c r="AJ49" i="7"/>
  <c r="AI49" i="7"/>
  <c r="AG49" i="7"/>
  <c r="AF49" i="7"/>
  <c r="AE49" i="7"/>
  <c r="AD49" i="7"/>
  <c r="AC49" i="7"/>
  <c r="AB49" i="7"/>
  <c r="Z49" i="7"/>
  <c r="Y49" i="7"/>
  <c r="X49" i="7"/>
  <c r="W49" i="7"/>
  <c r="V49" i="7"/>
  <c r="U49" i="7"/>
  <c r="S49" i="7"/>
  <c r="R49" i="7"/>
  <c r="Q49" i="7"/>
  <c r="P49" i="7"/>
  <c r="O49" i="7"/>
  <c r="N49" i="7"/>
  <c r="L49" i="7"/>
  <c r="K49" i="7"/>
  <c r="J49" i="7"/>
  <c r="I49" i="7"/>
  <c r="H49" i="7"/>
  <c r="G49" i="7"/>
  <c r="BQ48" i="7"/>
  <c r="BJ48" i="7"/>
  <c r="BI48" i="7"/>
  <c r="BH48" i="7"/>
  <c r="BG48" i="7"/>
  <c r="BF48" i="7"/>
  <c r="BE48" i="7"/>
  <c r="BD48" i="7"/>
  <c r="BC48" i="7" s="1"/>
  <c r="BB48" i="7"/>
  <c r="BA48" i="7"/>
  <c r="AZ48" i="7"/>
  <c r="AY48" i="7"/>
  <c r="AV48" i="7" s="1"/>
  <c r="AX48" i="7"/>
  <c r="AW48" i="7"/>
  <c r="AO48" i="7"/>
  <c r="AH48" i="7"/>
  <c r="AA48" i="7"/>
  <c r="T48" i="7"/>
  <c r="M48" i="7"/>
  <c r="F48" i="7"/>
  <c r="BQ47" i="7"/>
  <c r="BJ47" i="7"/>
  <c r="BI47" i="7"/>
  <c r="BH47" i="7"/>
  <c r="BG47" i="7"/>
  <c r="BF47" i="7"/>
  <c r="BE47" i="7"/>
  <c r="BD47" i="7"/>
  <c r="BB47" i="7"/>
  <c r="BA47" i="7"/>
  <c r="AZ47" i="7"/>
  <c r="AY47" i="7"/>
  <c r="AX47" i="7"/>
  <c r="AW47" i="7"/>
  <c r="AO47" i="7"/>
  <c r="AH47" i="7"/>
  <c r="AA47" i="7"/>
  <c r="T47" i="7"/>
  <c r="M47" i="7"/>
  <c r="F47" i="7"/>
  <c r="BQ46" i="7"/>
  <c r="BJ46" i="7"/>
  <c r="BI46" i="7"/>
  <c r="BH46" i="7"/>
  <c r="BG46" i="7"/>
  <c r="BF46" i="7"/>
  <c r="BE46" i="7"/>
  <c r="BD46" i="7"/>
  <c r="BB46" i="7"/>
  <c r="BA46" i="7"/>
  <c r="AZ46" i="7"/>
  <c r="AY46" i="7"/>
  <c r="AV46" i="7" s="1"/>
  <c r="AX46" i="7"/>
  <c r="AW46" i="7"/>
  <c r="AO46" i="7"/>
  <c r="AH46" i="7"/>
  <c r="AA46" i="7"/>
  <c r="T46" i="7"/>
  <c r="M46" i="7"/>
  <c r="F46" i="7"/>
  <c r="BQ45" i="7"/>
  <c r="BJ45" i="7"/>
  <c r="BI45" i="7"/>
  <c r="BH45" i="7"/>
  <c r="BG45" i="7"/>
  <c r="BF45" i="7"/>
  <c r="BE45" i="7"/>
  <c r="BD45" i="7"/>
  <c r="BB45" i="7"/>
  <c r="BA45" i="7"/>
  <c r="AZ45" i="7"/>
  <c r="AY45" i="7"/>
  <c r="AX45" i="7"/>
  <c r="AW45" i="7"/>
  <c r="AO45" i="7"/>
  <c r="AH45" i="7"/>
  <c r="AA45" i="7"/>
  <c r="T45" i="7"/>
  <c r="M45" i="7"/>
  <c r="F45" i="7"/>
  <c r="BQ44" i="7"/>
  <c r="BJ44" i="7"/>
  <c r="BI44" i="7"/>
  <c r="BH44" i="7"/>
  <c r="BG44" i="7"/>
  <c r="BF44" i="7"/>
  <c r="BE44" i="7"/>
  <c r="BD44" i="7"/>
  <c r="BB44" i="7"/>
  <c r="BA44" i="7"/>
  <c r="AZ44" i="7"/>
  <c r="AY44" i="7"/>
  <c r="AX44" i="7"/>
  <c r="AW44" i="7"/>
  <c r="AO44" i="7"/>
  <c r="AH44" i="7"/>
  <c r="AA44" i="7"/>
  <c r="T44" i="7"/>
  <c r="M44" i="7"/>
  <c r="F44" i="7"/>
  <c r="BQ43" i="7"/>
  <c r="BJ43" i="7"/>
  <c r="BI43" i="7"/>
  <c r="BH43" i="7"/>
  <c r="BG43" i="7"/>
  <c r="BF43" i="7"/>
  <c r="BE43" i="7"/>
  <c r="BD43" i="7"/>
  <c r="BB43" i="7"/>
  <c r="BA43" i="7"/>
  <c r="AZ43" i="7"/>
  <c r="AY43" i="7"/>
  <c r="AX43" i="7"/>
  <c r="AW43" i="7"/>
  <c r="AO43" i="7"/>
  <c r="AH43" i="7"/>
  <c r="AA43" i="7"/>
  <c r="T43" i="7"/>
  <c r="M43" i="7"/>
  <c r="F43" i="7"/>
  <c r="BQ42" i="7"/>
  <c r="BJ42" i="7"/>
  <c r="BI42" i="7"/>
  <c r="BH42" i="7"/>
  <c r="BG42" i="7"/>
  <c r="BF42" i="7"/>
  <c r="BE42" i="7"/>
  <c r="BD42" i="7"/>
  <c r="BB42" i="7"/>
  <c r="BA42" i="7"/>
  <c r="AZ42" i="7"/>
  <c r="AY42" i="7"/>
  <c r="AX42" i="7"/>
  <c r="AW42" i="7"/>
  <c r="AO42" i="7"/>
  <c r="AH42" i="7"/>
  <c r="AA42" i="7"/>
  <c r="T42" i="7"/>
  <c r="M42" i="7"/>
  <c r="F42" i="7"/>
  <c r="BQ41" i="7"/>
  <c r="BJ41" i="7"/>
  <c r="BJ40" i="7" s="1"/>
  <c r="BI41" i="7"/>
  <c r="BH41" i="7"/>
  <c r="BG41" i="7"/>
  <c r="BF41" i="7"/>
  <c r="BF40" i="7" s="1"/>
  <c r="BE41" i="7"/>
  <c r="BD41" i="7"/>
  <c r="BB41" i="7"/>
  <c r="BA41" i="7"/>
  <c r="AZ41" i="7"/>
  <c r="AY41" i="7"/>
  <c r="AX41" i="7"/>
  <c r="AW41" i="7"/>
  <c r="AV41" i="7" s="1"/>
  <c r="AO41" i="7"/>
  <c r="AH41" i="7"/>
  <c r="AA41" i="7"/>
  <c r="T41" i="7"/>
  <c r="M41" i="7"/>
  <c r="F41" i="7"/>
  <c r="BW40" i="7"/>
  <c r="BV40" i="7"/>
  <c r="BU40" i="7"/>
  <c r="BT40" i="7"/>
  <c r="BS40" i="7"/>
  <c r="BR40" i="7"/>
  <c r="BP40" i="7"/>
  <c r="BO40" i="7"/>
  <c r="BN40" i="7"/>
  <c r="BM40" i="7"/>
  <c r="BL40" i="7"/>
  <c r="BK40" i="7"/>
  <c r="AU40" i="7"/>
  <c r="AT40" i="7"/>
  <c r="AS40" i="7"/>
  <c r="AR40" i="7"/>
  <c r="AQ40" i="7"/>
  <c r="AP40" i="7"/>
  <c r="AN40" i="7"/>
  <c r="AM40" i="7"/>
  <c r="AL40" i="7"/>
  <c r="AK40" i="7"/>
  <c r="AJ40" i="7"/>
  <c r="AI40" i="7"/>
  <c r="AG40" i="7"/>
  <c r="AF40" i="7"/>
  <c r="AE40" i="7"/>
  <c r="AD40" i="7"/>
  <c r="AC40" i="7"/>
  <c r="AB40" i="7"/>
  <c r="Z40" i="7"/>
  <c r="Y40" i="7"/>
  <c r="X40" i="7"/>
  <c r="W40" i="7"/>
  <c r="V40" i="7"/>
  <c r="U40" i="7"/>
  <c r="S40" i="7"/>
  <c r="R40" i="7"/>
  <c r="Q40" i="7"/>
  <c r="P40" i="7"/>
  <c r="O40" i="7"/>
  <c r="N40" i="7"/>
  <c r="L40" i="7"/>
  <c r="K40" i="7"/>
  <c r="J40" i="7"/>
  <c r="I40" i="7"/>
  <c r="H40" i="7"/>
  <c r="G40" i="7"/>
  <c r="BQ39" i="7"/>
  <c r="BJ39" i="7"/>
  <c r="BI39" i="7"/>
  <c r="BH39" i="7"/>
  <c r="BG39" i="7"/>
  <c r="BF39" i="7"/>
  <c r="BE39" i="7"/>
  <c r="BD39" i="7"/>
  <c r="BB39" i="7"/>
  <c r="BA39" i="7"/>
  <c r="AZ39" i="7"/>
  <c r="AY39" i="7"/>
  <c r="AX39" i="7"/>
  <c r="AV39" i="7" s="1"/>
  <c r="AW39" i="7"/>
  <c r="AO39" i="7"/>
  <c r="AH39" i="7"/>
  <c r="AA39" i="7"/>
  <c r="T39" i="7"/>
  <c r="M39" i="7"/>
  <c r="F39" i="7"/>
  <c r="BQ38" i="7"/>
  <c r="BJ38" i="7"/>
  <c r="BI38" i="7"/>
  <c r="BH38" i="7"/>
  <c r="BG38" i="7"/>
  <c r="BF38" i="7"/>
  <c r="BE38" i="7"/>
  <c r="BD38" i="7"/>
  <c r="BC38" i="7"/>
  <c r="BB38" i="7"/>
  <c r="BA38" i="7"/>
  <c r="AZ38" i="7"/>
  <c r="AY38" i="7"/>
  <c r="AV38" i="7" s="1"/>
  <c r="AX38" i="7"/>
  <c r="AW38" i="7"/>
  <c r="AO38" i="7"/>
  <c r="AH38" i="7"/>
  <c r="AA38" i="7"/>
  <c r="T38" i="7"/>
  <c r="M38" i="7"/>
  <c r="F38" i="7"/>
  <c r="BQ37" i="7"/>
  <c r="BJ37" i="7"/>
  <c r="BI37" i="7"/>
  <c r="BH37" i="7"/>
  <c r="BG37" i="7"/>
  <c r="BF37" i="7"/>
  <c r="BE37" i="7"/>
  <c r="BD37" i="7"/>
  <c r="BB37" i="7"/>
  <c r="BA37" i="7"/>
  <c r="AZ37" i="7"/>
  <c r="AY37" i="7"/>
  <c r="AX37" i="7"/>
  <c r="AW37" i="7"/>
  <c r="AO37" i="7"/>
  <c r="AH37" i="7"/>
  <c r="AA37" i="7"/>
  <c r="T37" i="7"/>
  <c r="M37" i="7"/>
  <c r="F37" i="7"/>
  <c r="BQ36" i="7"/>
  <c r="BJ36" i="7"/>
  <c r="BI36" i="7"/>
  <c r="BH36" i="7"/>
  <c r="BG36" i="7"/>
  <c r="BF36" i="7"/>
  <c r="BE36" i="7"/>
  <c r="BD36" i="7"/>
  <c r="BC36" i="7" s="1"/>
  <c r="BB36" i="7"/>
  <c r="BA36" i="7"/>
  <c r="AZ36" i="7"/>
  <c r="AY36" i="7"/>
  <c r="AX36" i="7"/>
  <c r="AW36" i="7"/>
  <c r="AO36" i="7"/>
  <c r="AH36" i="7"/>
  <c r="AA36" i="7"/>
  <c r="T36" i="7"/>
  <c r="M36" i="7"/>
  <c r="F36" i="7"/>
  <c r="BQ35" i="7"/>
  <c r="BJ35" i="7"/>
  <c r="BI35" i="7"/>
  <c r="BH35" i="7"/>
  <c r="BG35" i="7"/>
  <c r="BF35" i="7"/>
  <c r="BE35" i="7"/>
  <c r="BD35" i="7"/>
  <c r="BB35" i="7"/>
  <c r="BA35" i="7"/>
  <c r="AZ35" i="7"/>
  <c r="AY35" i="7"/>
  <c r="AX35" i="7"/>
  <c r="AW35" i="7"/>
  <c r="AO35" i="7"/>
  <c r="AH35" i="7"/>
  <c r="AA35" i="7"/>
  <c r="T35" i="7"/>
  <c r="M35" i="7"/>
  <c r="F35" i="7"/>
  <c r="BQ34" i="7"/>
  <c r="BJ34" i="7"/>
  <c r="BI34" i="7"/>
  <c r="BH34" i="7"/>
  <c r="BG34" i="7"/>
  <c r="BF34" i="7"/>
  <c r="BE34" i="7"/>
  <c r="BD34" i="7"/>
  <c r="BB34" i="7"/>
  <c r="BA34" i="7"/>
  <c r="AZ34" i="7"/>
  <c r="AY34" i="7"/>
  <c r="AX34" i="7"/>
  <c r="AW34" i="7"/>
  <c r="AO34" i="7"/>
  <c r="AH34" i="7"/>
  <c r="AA34" i="7"/>
  <c r="T34" i="7"/>
  <c r="M34" i="7"/>
  <c r="F34" i="7"/>
  <c r="BQ33" i="7"/>
  <c r="BJ33" i="7"/>
  <c r="BI33" i="7"/>
  <c r="BH33" i="7"/>
  <c r="BH32" i="7" s="1"/>
  <c r="BG33" i="7"/>
  <c r="BF33" i="7"/>
  <c r="BE33" i="7"/>
  <c r="BD33" i="7"/>
  <c r="BD32" i="7" s="1"/>
  <c r="BB33" i="7"/>
  <c r="BA33" i="7"/>
  <c r="BA32" i="7" s="1"/>
  <c r="AZ33" i="7"/>
  <c r="AZ32" i="7"/>
  <c r="AY33" i="7"/>
  <c r="AX33" i="7"/>
  <c r="AW33" i="7"/>
  <c r="AV33" i="7"/>
  <c r="AO33" i="7"/>
  <c r="AH33" i="7"/>
  <c r="AA33" i="7"/>
  <c r="T33" i="7"/>
  <c r="M33" i="7"/>
  <c r="F33" i="7"/>
  <c r="BW32" i="7"/>
  <c r="BV32" i="7"/>
  <c r="BU32" i="7"/>
  <c r="BT32" i="7"/>
  <c r="BS32" i="7"/>
  <c r="BR32" i="7"/>
  <c r="BP32" i="7"/>
  <c r="BO32" i="7"/>
  <c r="BN32" i="7"/>
  <c r="BM32" i="7"/>
  <c r="BL32" i="7"/>
  <c r="BK32" i="7"/>
  <c r="AU32" i="7"/>
  <c r="AT32" i="7"/>
  <c r="AS32" i="7"/>
  <c r="AR32" i="7"/>
  <c r="AQ32" i="7"/>
  <c r="AP32" i="7"/>
  <c r="AN32" i="7"/>
  <c r="AM32" i="7"/>
  <c r="AL32" i="7"/>
  <c r="AK32" i="7"/>
  <c r="AJ32" i="7"/>
  <c r="AI32" i="7"/>
  <c r="AG32" i="7"/>
  <c r="AF32" i="7"/>
  <c r="AE32" i="7"/>
  <c r="AD32" i="7"/>
  <c r="AC32" i="7"/>
  <c r="AB32" i="7"/>
  <c r="Z32" i="7"/>
  <c r="Y32" i="7"/>
  <c r="X32" i="7"/>
  <c r="W32" i="7"/>
  <c r="V32" i="7"/>
  <c r="U32" i="7"/>
  <c r="S32" i="7"/>
  <c r="R32" i="7"/>
  <c r="Q32" i="7"/>
  <c r="P32" i="7"/>
  <c r="O32" i="7"/>
  <c r="N32" i="7"/>
  <c r="L32" i="7"/>
  <c r="K32" i="7"/>
  <c r="J32" i="7"/>
  <c r="I32" i="7"/>
  <c r="H32" i="7"/>
  <c r="G32" i="7"/>
  <c r="BQ31" i="7"/>
  <c r="BJ31" i="7"/>
  <c r="BI31" i="7"/>
  <c r="BH31" i="7"/>
  <c r="BG31" i="7"/>
  <c r="BF31" i="7"/>
  <c r="BE31" i="7"/>
  <c r="BD31" i="7"/>
  <c r="BB31" i="7"/>
  <c r="BA31" i="7"/>
  <c r="AZ31" i="7"/>
  <c r="AY31" i="7"/>
  <c r="AX31" i="7"/>
  <c r="AW31" i="7"/>
  <c r="AO31" i="7"/>
  <c r="AH31" i="7"/>
  <c r="AA31" i="7"/>
  <c r="T31" i="7"/>
  <c r="M31" i="7"/>
  <c r="F31" i="7"/>
  <c r="BQ30" i="7"/>
  <c r="BJ30" i="7"/>
  <c r="BI30" i="7"/>
  <c r="BH30" i="7"/>
  <c r="BG30" i="7"/>
  <c r="BF30" i="7"/>
  <c r="BE30" i="7"/>
  <c r="BD30" i="7"/>
  <c r="BB30" i="7"/>
  <c r="BA30" i="7"/>
  <c r="AZ30" i="7"/>
  <c r="AY30" i="7"/>
  <c r="AX30" i="7"/>
  <c r="AW30" i="7"/>
  <c r="AO30" i="7"/>
  <c r="AH30" i="7"/>
  <c r="AA30" i="7"/>
  <c r="T30" i="7"/>
  <c r="M30" i="7"/>
  <c r="F30" i="7"/>
  <c r="BQ29" i="7"/>
  <c r="BJ29" i="7"/>
  <c r="BI29" i="7"/>
  <c r="BH29" i="7"/>
  <c r="BG29" i="7"/>
  <c r="BF29" i="7"/>
  <c r="BE29" i="7"/>
  <c r="BD29" i="7"/>
  <c r="BB29" i="7"/>
  <c r="BA29" i="7"/>
  <c r="AZ29" i="7"/>
  <c r="AY29" i="7"/>
  <c r="AX29" i="7"/>
  <c r="AW29" i="7"/>
  <c r="AO29" i="7"/>
  <c r="AH29" i="7"/>
  <c r="AA29" i="7"/>
  <c r="T29" i="7"/>
  <c r="M29" i="7"/>
  <c r="F29" i="7"/>
  <c r="BQ28" i="7"/>
  <c r="BJ28" i="7"/>
  <c r="BI28" i="7"/>
  <c r="BH28" i="7"/>
  <c r="BG28" i="7"/>
  <c r="BF28" i="7"/>
  <c r="BE28" i="7"/>
  <c r="BD28" i="7"/>
  <c r="BB28" i="7"/>
  <c r="BA28" i="7"/>
  <c r="AZ28" i="7"/>
  <c r="AY28" i="7"/>
  <c r="AX28" i="7"/>
  <c r="AW28" i="7"/>
  <c r="AO28" i="7"/>
  <c r="AH28" i="7"/>
  <c r="AA28" i="7"/>
  <c r="T28" i="7"/>
  <c r="M28" i="7"/>
  <c r="F28" i="7"/>
  <c r="BQ27" i="7"/>
  <c r="BJ27" i="7"/>
  <c r="BI27" i="7"/>
  <c r="BH27" i="7"/>
  <c r="BG27" i="7"/>
  <c r="BF27" i="7"/>
  <c r="BE27" i="7"/>
  <c r="BD27" i="7"/>
  <c r="BB27" i="7"/>
  <c r="BA27" i="7"/>
  <c r="AZ27" i="7"/>
  <c r="AY27" i="7"/>
  <c r="AX27" i="7"/>
  <c r="AW27" i="7"/>
  <c r="AO27" i="7"/>
  <c r="AH27" i="7"/>
  <c r="AA27" i="7"/>
  <c r="T27" i="7"/>
  <c r="M27" i="7"/>
  <c r="F27" i="7"/>
  <c r="BQ26" i="7"/>
  <c r="BJ26" i="7"/>
  <c r="BI26" i="7"/>
  <c r="BH26" i="7"/>
  <c r="BG26" i="7"/>
  <c r="BF26" i="7"/>
  <c r="BE26" i="7"/>
  <c r="BD26" i="7"/>
  <c r="BB26" i="7"/>
  <c r="BA26" i="7"/>
  <c r="AZ26" i="7"/>
  <c r="AY26" i="7"/>
  <c r="AX26" i="7"/>
  <c r="AW26" i="7"/>
  <c r="AO26" i="7"/>
  <c r="AH26" i="7"/>
  <c r="AA26" i="7"/>
  <c r="T26" i="7"/>
  <c r="M26" i="7"/>
  <c r="F26" i="7"/>
  <c r="BQ25" i="7"/>
  <c r="BQ24" i="7" s="1"/>
  <c r="BJ25" i="7"/>
  <c r="BI25" i="7"/>
  <c r="BH25" i="7"/>
  <c r="BG25" i="7"/>
  <c r="BF25" i="7"/>
  <c r="BF24" i="7" s="1"/>
  <c r="BE25" i="7"/>
  <c r="BD25" i="7"/>
  <c r="BB25" i="7"/>
  <c r="BA25" i="7"/>
  <c r="BA24" i="7" s="1"/>
  <c r="AZ25" i="7"/>
  <c r="AY25" i="7"/>
  <c r="AX25" i="7"/>
  <c r="AW25" i="7"/>
  <c r="AO25" i="7"/>
  <c r="AO24" i="7" s="1"/>
  <c r="AH25" i="7"/>
  <c r="AA25" i="7"/>
  <c r="AA24" i="7" s="1"/>
  <c r="T25" i="7"/>
  <c r="M25" i="7"/>
  <c r="F25" i="7"/>
  <c r="BW24" i="7"/>
  <c r="BV24" i="7"/>
  <c r="BU24" i="7"/>
  <c r="BT24" i="7"/>
  <c r="BS24" i="7"/>
  <c r="BR24" i="7"/>
  <c r="BP24" i="7"/>
  <c r="BO24" i="7"/>
  <c r="BN24" i="7"/>
  <c r="BM24" i="7"/>
  <c r="BL24" i="7"/>
  <c r="BK24" i="7"/>
  <c r="AU24" i="7"/>
  <c r="AT24" i="7"/>
  <c r="AS24" i="7"/>
  <c r="AR24" i="7"/>
  <c r="AQ24" i="7"/>
  <c r="AP24" i="7"/>
  <c r="AN24" i="7"/>
  <c r="AM24" i="7"/>
  <c r="AL24" i="7"/>
  <c r="AK24" i="7"/>
  <c r="AJ24" i="7"/>
  <c r="AI24" i="7"/>
  <c r="AG24" i="7"/>
  <c r="AF24" i="7"/>
  <c r="AE24" i="7"/>
  <c r="AD24" i="7"/>
  <c r="AC24" i="7"/>
  <c r="AB24" i="7"/>
  <c r="Z24" i="7"/>
  <c r="Y24" i="7"/>
  <c r="X24" i="7"/>
  <c r="W24" i="7"/>
  <c r="V24" i="7"/>
  <c r="U24" i="7"/>
  <c r="S24" i="7"/>
  <c r="R24" i="7"/>
  <c r="Q24" i="7"/>
  <c r="P24" i="7"/>
  <c r="O24" i="7"/>
  <c r="N24" i="7"/>
  <c r="L24" i="7"/>
  <c r="K24" i="7"/>
  <c r="J24" i="7"/>
  <c r="I24" i="7"/>
  <c r="H24" i="7"/>
  <c r="G24" i="7"/>
  <c r="BQ23" i="7"/>
  <c r="BJ23" i="7"/>
  <c r="BI23" i="7"/>
  <c r="BH23" i="7"/>
  <c r="BG23" i="7"/>
  <c r="BC23" i="7" s="1"/>
  <c r="BF23" i="7"/>
  <c r="BE23" i="7"/>
  <c r="BD23" i="7"/>
  <c r="BB23" i="7"/>
  <c r="BA23" i="7"/>
  <c r="AZ23" i="7"/>
  <c r="AY23" i="7"/>
  <c r="AX23" i="7"/>
  <c r="AV23" i="7" s="1"/>
  <c r="AW23" i="7"/>
  <c r="AO23" i="7"/>
  <c r="AH23" i="7"/>
  <c r="AA23" i="7"/>
  <c r="T23" i="7"/>
  <c r="M23" i="7"/>
  <c r="F23" i="7"/>
  <c r="BQ22" i="7"/>
  <c r="BJ22" i="7"/>
  <c r="BI22" i="7"/>
  <c r="BH22" i="7"/>
  <c r="BG22" i="7"/>
  <c r="BC22" i="7" s="1"/>
  <c r="BF22" i="7"/>
  <c r="BE22" i="7"/>
  <c r="BD22" i="7"/>
  <c r="BB22" i="7"/>
  <c r="BA22" i="7"/>
  <c r="AZ22" i="7"/>
  <c r="AY22" i="7"/>
  <c r="AX22" i="7"/>
  <c r="AW22" i="7"/>
  <c r="AO22" i="7"/>
  <c r="AH22" i="7"/>
  <c r="AA22" i="7"/>
  <c r="T22" i="7"/>
  <c r="M22" i="7"/>
  <c r="F22" i="7"/>
  <c r="BQ21" i="7"/>
  <c r="BJ21" i="7"/>
  <c r="BI21" i="7"/>
  <c r="BH21" i="7"/>
  <c r="BG21" i="7"/>
  <c r="BF21" i="7"/>
  <c r="BE21" i="7"/>
  <c r="BD21" i="7"/>
  <c r="BB21" i="7"/>
  <c r="BA21" i="7"/>
  <c r="AZ21" i="7"/>
  <c r="AY21" i="7"/>
  <c r="AX21" i="7"/>
  <c r="AW21" i="7"/>
  <c r="AO21" i="7"/>
  <c r="AH21" i="7"/>
  <c r="AA21" i="7"/>
  <c r="T21" i="7"/>
  <c r="M21" i="7"/>
  <c r="F21" i="7"/>
  <c r="BQ20" i="7"/>
  <c r="BJ20" i="7"/>
  <c r="BI20" i="7"/>
  <c r="BH20" i="7"/>
  <c r="BG20" i="7"/>
  <c r="BF20" i="7"/>
  <c r="BE20" i="7"/>
  <c r="BD20" i="7"/>
  <c r="BB20" i="7"/>
  <c r="BA20" i="7"/>
  <c r="AZ20" i="7"/>
  <c r="AY20" i="7"/>
  <c r="AX20" i="7"/>
  <c r="AW20" i="7"/>
  <c r="AO20" i="7"/>
  <c r="AH20" i="7"/>
  <c r="AA20" i="7"/>
  <c r="T20" i="7"/>
  <c r="M20" i="7"/>
  <c r="F20" i="7"/>
  <c r="BQ19" i="7"/>
  <c r="BJ19" i="7"/>
  <c r="BI19" i="7"/>
  <c r="BH19" i="7"/>
  <c r="BG19" i="7"/>
  <c r="BF19" i="7"/>
  <c r="BE19" i="7"/>
  <c r="BD19" i="7"/>
  <c r="BB19" i="7"/>
  <c r="BA19" i="7"/>
  <c r="AZ19" i="7"/>
  <c r="AY19" i="7"/>
  <c r="AX19" i="7"/>
  <c r="AW19" i="7"/>
  <c r="AO19" i="7"/>
  <c r="AH19" i="7"/>
  <c r="AA19" i="7"/>
  <c r="T19" i="7"/>
  <c r="M19" i="7"/>
  <c r="F19" i="7"/>
  <c r="BQ18" i="7"/>
  <c r="BJ18" i="7"/>
  <c r="BI18" i="7"/>
  <c r="BH18" i="7"/>
  <c r="BG18" i="7"/>
  <c r="BF18" i="7"/>
  <c r="BE18" i="7"/>
  <c r="BD18" i="7"/>
  <c r="BB18" i="7"/>
  <c r="BA18" i="7"/>
  <c r="AZ18" i="7"/>
  <c r="AY18" i="7"/>
  <c r="AX18" i="7"/>
  <c r="AW18" i="7"/>
  <c r="AO18" i="7"/>
  <c r="AH18" i="7"/>
  <c r="AA18" i="7"/>
  <c r="T18" i="7"/>
  <c r="M18" i="7"/>
  <c r="F18" i="7"/>
  <c r="BQ17" i="7"/>
  <c r="BJ17" i="7"/>
  <c r="BI17" i="7"/>
  <c r="BI49" i="7" s="1"/>
  <c r="BH17" i="7"/>
  <c r="BG17" i="7"/>
  <c r="BF17" i="7"/>
  <c r="BE17" i="7"/>
  <c r="BE16" i="7" s="1"/>
  <c r="BD17" i="7"/>
  <c r="BB17" i="7"/>
  <c r="BA17" i="7"/>
  <c r="AZ17" i="7"/>
  <c r="AZ16" i="7" s="1"/>
  <c r="AY17" i="7"/>
  <c r="AX17" i="7"/>
  <c r="AW17" i="7"/>
  <c r="AO17" i="7"/>
  <c r="AO16" i="7" s="1"/>
  <c r="AH17" i="7"/>
  <c r="AA17" i="7"/>
  <c r="T17" i="7"/>
  <c r="T16" i="7" s="1"/>
  <c r="M17" i="7"/>
  <c r="F17" i="7"/>
  <c r="BW16" i="7"/>
  <c r="BV16" i="7"/>
  <c r="BU16" i="7"/>
  <c r="BT16" i="7"/>
  <c r="BS16" i="7"/>
  <c r="BR16" i="7"/>
  <c r="BP16" i="7"/>
  <c r="BO16" i="7"/>
  <c r="BN16" i="7"/>
  <c r="BM16" i="7"/>
  <c r="BL16" i="7"/>
  <c r="BK16" i="7"/>
  <c r="AU16" i="7"/>
  <c r="AT16" i="7"/>
  <c r="AS16" i="7"/>
  <c r="AR16" i="7"/>
  <c r="AQ16" i="7"/>
  <c r="AP16" i="7"/>
  <c r="AN16" i="7"/>
  <c r="AM16" i="7"/>
  <c r="AL16" i="7"/>
  <c r="AK16" i="7"/>
  <c r="AJ16" i="7"/>
  <c r="AI16" i="7"/>
  <c r="AG16" i="7"/>
  <c r="AF16" i="7"/>
  <c r="AE16" i="7"/>
  <c r="AD16" i="7"/>
  <c r="AC16" i="7"/>
  <c r="AB16" i="7"/>
  <c r="Z16" i="7"/>
  <c r="Y16" i="7"/>
  <c r="X16" i="7"/>
  <c r="W16" i="7"/>
  <c r="V16" i="7"/>
  <c r="U16" i="7"/>
  <c r="S16" i="7"/>
  <c r="R16" i="7"/>
  <c r="Q16" i="7"/>
  <c r="P16" i="7"/>
  <c r="O16" i="7"/>
  <c r="N16" i="7"/>
  <c r="L16" i="7"/>
  <c r="K16" i="7"/>
  <c r="J16" i="7"/>
  <c r="I16" i="7"/>
  <c r="H16" i="7"/>
  <c r="G16" i="7"/>
  <c r="CK49" i="6"/>
  <c r="CJ49" i="6"/>
  <c r="CI49" i="6"/>
  <c r="CH49" i="6"/>
  <c r="CG49" i="6"/>
  <c r="CF49" i="6"/>
  <c r="CD49" i="6"/>
  <c r="CC49" i="6"/>
  <c r="CB49" i="6"/>
  <c r="CA49" i="6"/>
  <c r="BZ49" i="6"/>
  <c r="BY49" i="6"/>
  <c r="BI49" i="6"/>
  <c r="BH49" i="6"/>
  <c r="BG49" i="6"/>
  <c r="BF49" i="6"/>
  <c r="BE49" i="6"/>
  <c r="BD49" i="6"/>
  <c r="BB49" i="6"/>
  <c r="BA49" i="6"/>
  <c r="AZ49" i="6"/>
  <c r="AY49" i="6"/>
  <c r="AX49" i="6"/>
  <c r="AW49" i="6"/>
  <c r="AU49" i="6"/>
  <c r="AT49" i="6"/>
  <c r="AS49" i="6"/>
  <c r="AR49" i="6"/>
  <c r="AQ49" i="6"/>
  <c r="AP49" i="6"/>
  <c r="AN49" i="6"/>
  <c r="AM49" i="6"/>
  <c r="AL49" i="6"/>
  <c r="AK49" i="6"/>
  <c r="AJ49" i="6"/>
  <c r="AI49" i="6"/>
  <c r="AG49" i="6"/>
  <c r="AF49" i="6"/>
  <c r="AE49" i="6"/>
  <c r="AD49" i="6"/>
  <c r="AC49" i="6"/>
  <c r="AB49" i="6"/>
  <c r="Z49" i="6"/>
  <c r="Y49" i="6"/>
  <c r="X49" i="6"/>
  <c r="W49" i="6"/>
  <c r="V49" i="6"/>
  <c r="U49" i="6"/>
  <c r="S49" i="6"/>
  <c r="R49" i="6"/>
  <c r="Q49" i="6"/>
  <c r="P49" i="6"/>
  <c r="O49" i="6"/>
  <c r="N49" i="6"/>
  <c r="L49" i="6"/>
  <c r="K49" i="6"/>
  <c r="J49" i="6"/>
  <c r="I49" i="6"/>
  <c r="H49" i="6"/>
  <c r="G49" i="6"/>
  <c r="CE48" i="6"/>
  <c r="BX48" i="6"/>
  <c r="BW48" i="6"/>
  <c r="BV48" i="6"/>
  <c r="BU48" i="6"/>
  <c r="BT48" i="6"/>
  <c r="BS48" i="6"/>
  <c r="BR48" i="6"/>
  <c r="BP48" i="6"/>
  <c r="BO48" i="6"/>
  <c r="BN48" i="6"/>
  <c r="BM48" i="6"/>
  <c r="BL48" i="6"/>
  <c r="BK48" i="6"/>
  <c r="BC48" i="6"/>
  <c r="AV48" i="6"/>
  <c r="AO48" i="6"/>
  <c r="AH48" i="6"/>
  <c r="AA48" i="6"/>
  <c r="T48" i="6"/>
  <c r="M48" i="6"/>
  <c r="F48" i="6"/>
  <c r="CE47" i="6"/>
  <c r="BX47" i="6"/>
  <c r="BW47" i="6"/>
  <c r="BV47" i="6"/>
  <c r="BU47" i="6"/>
  <c r="BT47" i="6"/>
  <c r="BS47" i="6"/>
  <c r="BR47" i="6"/>
  <c r="BP47" i="6"/>
  <c r="BO47" i="6"/>
  <c r="BN47" i="6"/>
  <c r="BM47" i="6"/>
  <c r="BL47" i="6"/>
  <c r="BK47" i="6"/>
  <c r="BJ47" i="6" s="1"/>
  <c r="BC47" i="6"/>
  <c r="AV47" i="6"/>
  <c r="AO47" i="6"/>
  <c r="AH47" i="6"/>
  <c r="AA47" i="6"/>
  <c r="T47" i="6"/>
  <c r="M47" i="6"/>
  <c r="F47" i="6"/>
  <c r="CE46" i="6"/>
  <c r="BX46" i="6"/>
  <c r="BW46" i="6"/>
  <c r="BV46" i="6"/>
  <c r="BU46" i="6"/>
  <c r="BT46" i="6"/>
  <c r="BS46" i="6"/>
  <c r="BR46" i="6"/>
  <c r="BQ46" i="6" s="1"/>
  <c r="BP46" i="6"/>
  <c r="BO46" i="6"/>
  <c r="BN46" i="6"/>
  <c r="BM46" i="6"/>
  <c r="BL46" i="6"/>
  <c r="BK46" i="6"/>
  <c r="BC46" i="6"/>
  <c r="AV46" i="6"/>
  <c r="AO46" i="6"/>
  <c r="AH46" i="6"/>
  <c r="AA46" i="6"/>
  <c r="T46" i="6"/>
  <c r="M46" i="6"/>
  <c r="F46" i="6"/>
  <c r="CE45" i="6"/>
  <c r="BX45" i="6"/>
  <c r="BW45" i="6"/>
  <c r="BV45" i="6"/>
  <c r="BU45" i="6"/>
  <c r="BT45" i="6"/>
  <c r="BS45" i="6"/>
  <c r="BR45" i="6"/>
  <c r="BP45" i="6"/>
  <c r="BO45" i="6"/>
  <c r="BN45" i="6"/>
  <c r="BM45" i="6"/>
  <c r="BL45" i="6"/>
  <c r="BK45" i="6"/>
  <c r="BC45" i="6"/>
  <c r="AV45" i="6"/>
  <c r="AO45" i="6"/>
  <c r="AH45" i="6"/>
  <c r="AA45" i="6"/>
  <c r="T45" i="6"/>
  <c r="M45" i="6"/>
  <c r="F45" i="6"/>
  <c r="CE44" i="6"/>
  <c r="BX44" i="6"/>
  <c r="BW44" i="6"/>
  <c r="BV44" i="6"/>
  <c r="BU44" i="6"/>
  <c r="BT44" i="6"/>
  <c r="BS44" i="6"/>
  <c r="BR44" i="6"/>
  <c r="BP44" i="6"/>
  <c r="BO44" i="6"/>
  <c r="BN44" i="6"/>
  <c r="BM44" i="6"/>
  <c r="BL44" i="6"/>
  <c r="BK44" i="6"/>
  <c r="BC44" i="6"/>
  <c r="AV44" i="6"/>
  <c r="AO44" i="6"/>
  <c r="AH44" i="6"/>
  <c r="AA44" i="6"/>
  <c r="T44" i="6"/>
  <c r="M44" i="6"/>
  <c r="F44" i="6"/>
  <c r="CE43" i="6"/>
  <c r="BX43" i="6"/>
  <c r="BW43" i="6"/>
  <c r="BV43" i="6"/>
  <c r="BU43" i="6"/>
  <c r="BT43" i="6"/>
  <c r="BS43" i="6"/>
  <c r="BR43" i="6"/>
  <c r="BP43" i="6"/>
  <c r="BO43" i="6"/>
  <c r="BN43" i="6"/>
  <c r="BM43" i="6"/>
  <c r="BL43" i="6"/>
  <c r="BK43" i="6"/>
  <c r="BC43" i="6"/>
  <c r="AV43" i="6"/>
  <c r="AO43" i="6"/>
  <c r="AH43" i="6"/>
  <c r="AA43" i="6"/>
  <c r="T43" i="6"/>
  <c r="M43" i="6"/>
  <c r="F43" i="6"/>
  <c r="CE42" i="6"/>
  <c r="BX42" i="6"/>
  <c r="BW42" i="6"/>
  <c r="BV42" i="6"/>
  <c r="BU42" i="6"/>
  <c r="BT42" i="6"/>
  <c r="BS42" i="6"/>
  <c r="BR42" i="6"/>
  <c r="BP42" i="6"/>
  <c r="BO42" i="6"/>
  <c r="BN42" i="6"/>
  <c r="BM42" i="6"/>
  <c r="BL42" i="6"/>
  <c r="BK42" i="6"/>
  <c r="BJ42" i="6"/>
  <c r="BC42" i="6"/>
  <c r="AV42" i="6"/>
  <c r="AO42" i="6"/>
  <c r="AH42" i="6"/>
  <c r="AA42" i="6"/>
  <c r="T42" i="6"/>
  <c r="M42" i="6"/>
  <c r="F42" i="6"/>
  <c r="CE41" i="6"/>
  <c r="BX41" i="6"/>
  <c r="BW41" i="6"/>
  <c r="BV41" i="6"/>
  <c r="BV40" i="6" s="1"/>
  <c r="BU41" i="6"/>
  <c r="BU40" i="6" s="1"/>
  <c r="BT41" i="6"/>
  <c r="BS41" i="6"/>
  <c r="BS40" i="6" s="1"/>
  <c r="BR41" i="6"/>
  <c r="BP41" i="6"/>
  <c r="BO41" i="6"/>
  <c r="BN41" i="6"/>
  <c r="BN40" i="6" s="1"/>
  <c r="BM41" i="6"/>
  <c r="BL41" i="6"/>
  <c r="BK41" i="6"/>
  <c r="BC41" i="6"/>
  <c r="AV41" i="6"/>
  <c r="AO41" i="6"/>
  <c r="AH41" i="6"/>
  <c r="AA41" i="6"/>
  <c r="T41" i="6"/>
  <c r="M41" i="6"/>
  <c r="F41" i="6"/>
  <c r="CK40" i="6"/>
  <c r="CJ40" i="6"/>
  <c r="CI40" i="6"/>
  <c r="CH40" i="6"/>
  <c r="CG40" i="6"/>
  <c r="CF40" i="6"/>
  <c r="CD40" i="6"/>
  <c r="CC40" i="6"/>
  <c r="CB40" i="6"/>
  <c r="CA40" i="6"/>
  <c r="BZ40" i="6"/>
  <c r="BY40" i="6"/>
  <c r="BI40" i="6"/>
  <c r="BH40" i="6"/>
  <c r="BG40" i="6"/>
  <c r="BF40" i="6"/>
  <c r="BE40" i="6"/>
  <c r="BD40" i="6"/>
  <c r="BB40" i="6"/>
  <c r="BA40" i="6"/>
  <c r="AZ40" i="6"/>
  <c r="AY40" i="6"/>
  <c r="AX40" i="6"/>
  <c r="AW40" i="6"/>
  <c r="AU40" i="6"/>
  <c r="AT40" i="6"/>
  <c r="AS40" i="6"/>
  <c r="AR40" i="6"/>
  <c r="AQ40" i="6"/>
  <c r="AP40" i="6"/>
  <c r="AN40" i="6"/>
  <c r="AM40" i="6"/>
  <c r="AL40" i="6"/>
  <c r="AK40" i="6"/>
  <c r="AJ40" i="6"/>
  <c r="AI40" i="6"/>
  <c r="AG40" i="6"/>
  <c r="AF40" i="6"/>
  <c r="AE40" i="6"/>
  <c r="AD40" i="6"/>
  <c r="AC40" i="6"/>
  <c r="AB40" i="6"/>
  <c r="Z40" i="6"/>
  <c r="Y40" i="6"/>
  <c r="X40" i="6"/>
  <c r="W40" i="6"/>
  <c r="V40" i="6"/>
  <c r="U40" i="6"/>
  <c r="S40" i="6"/>
  <c r="R40" i="6"/>
  <c r="Q40" i="6"/>
  <c r="P40" i="6"/>
  <c r="O40" i="6"/>
  <c r="N40" i="6"/>
  <c r="L40" i="6"/>
  <c r="K40" i="6"/>
  <c r="J40" i="6"/>
  <c r="I40" i="6"/>
  <c r="H40" i="6"/>
  <c r="G40" i="6"/>
  <c r="CE39" i="6"/>
  <c r="BX39" i="6"/>
  <c r="BW39" i="6"/>
  <c r="BV39" i="6"/>
  <c r="BU39" i="6"/>
  <c r="BT39" i="6"/>
  <c r="BS39" i="6"/>
  <c r="BR39" i="6"/>
  <c r="BP39" i="6"/>
  <c r="BO39" i="6"/>
  <c r="BN39" i="6"/>
  <c r="BM39" i="6"/>
  <c r="BL39" i="6"/>
  <c r="BK39" i="6"/>
  <c r="BC39" i="6"/>
  <c r="AV39" i="6"/>
  <c r="AO39" i="6"/>
  <c r="AH39" i="6"/>
  <c r="AA39" i="6"/>
  <c r="T39" i="6"/>
  <c r="M39" i="6"/>
  <c r="F39" i="6"/>
  <c r="CE38" i="6"/>
  <c r="BX38" i="6"/>
  <c r="BW38" i="6"/>
  <c r="BV38" i="6"/>
  <c r="BU38" i="6"/>
  <c r="BT38" i="6"/>
  <c r="BS38" i="6"/>
  <c r="BR38" i="6"/>
  <c r="BP38" i="6"/>
  <c r="BO38" i="6"/>
  <c r="BN38" i="6"/>
  <c r="BM38" i="6"/>
  <c r="BL38" i="6"/>
  <c r="BK38" i="6"/>
  <c r="BC38" i="6"/>
  <c r="AV38" i="6"/>
  <c r="AO38" i="6"/>
  <c r="AH38" i="6"/>
  <c r="AA38" i="6"/>
  <c r="T38" i="6"/>
  <c r="M38" i="6"/>
  <c r="F38" i="6"/>
  <c r="CE37" i="6"/>
  <c r="BX37" i="6"/>
  <c r="BW37" i="6"/>
  <c r="BV37" i="6"/>
  <c r="BU37" i="6"/>
  <c r="BT37" i="6"/>
  <c r="BS37" i="6"/>
  <c r="BR37" i="6"/>
  <c r="BP37" i="6"/>
  <c r="BO37" i="6"/>
  <c r="BN37" i="6"/>
  <c r="BM37" i="6"/>
  <c r="BL37" i="6"/>
  <c r="BK37" i="6"/>
  <c r="BC37" i="6"/>
  <c r="AV37" i="6"/>
  <c r="AO37" i="6"/>
  <c r="AH37" i="6"/>
  <c r="AA37" i="6"/>
  <c r="T37" i="6"/>
  <c r="M37" i="6"/>
  <c r="F37" i="6"/>
  <c r="CE36" i="6"/>
  <c r="BX36" i="6"/>
  <c r="BW36" i="6"/>
  <c r="BV36" i="6"/>
  <c r="BU36" i="6"/>
  <c r="BT36" i="6"/>
  <c r="BS36" i="6"/>
  <c r="BR36" i="6"/>
  <c r="BP36" i="6"/>
  <c r="BO36" i="6"/>
  <c r="BN36" i="6"/>
  <c r="BM36" i="6"/>
  <c r="BL36" i="6"/>
  <c r="BK36" i="6"/>
  <c r="BC36" i="6"/>
  <c r="AV36" i="6"/>
  <c r="AO36" i="6"/>
  <c r="AH36" i="6"/>
  <c r="AA36" i="6"/>
  <c r="T36" i="6"/>
  <c r="M36" i="6"/>
  <c r="F36" i="6"/>
  <c r="CE35" i="6"/>
  <c r="BX35" i="6"/>
  <c r="BW35" i="6"/>
  <c r="BV35" i="6"/>
  <c r="BU35" i="6"/>
  <c r="BT35" i="6"/>
  <c r="BS35" i="6"/>
  <c r="BR35" i="6"/>
  <c r="BP35" i="6"/>
  <c r="BO35" i="6"/>
  <c r="BN35" i="6"/>
  <c r="BM35" i="6"/>
  <c r="BL35" i="6"/>
  <c r="BK35" i="6"/>
  <c r="BC35" i="6"/>
  <c r="AV35" i="6"/>
  <c r="AO35" i="6"/>
  <c r="AH35" i="6"/>
  <c r="AA35" i="6"/>
  <c r="T35" i="6"/>
  <c r="M35" i="6"/>
  <c r="F35" i="6"/>
  <c r="CE34" i="6"/>
  <c r="BX34" i="6"/>
  <c r="BW34" i="6"/>
  <c r="BV34" i="6"/>
  <c r="BU34" i="6"/>
  <c r="BT34" i="6"/>
  <c r="BS34" i="6"/>
  <c r="BR34" i="6"/>
  <c r="BP34" i="6"/>
  <c r="BO34" i="6"/>
  <c r="BN34" i="6"/>
  <c r="BM34" i="6"/>
  <c r="BL34" i="6"/>
  <c r="BJ34" i="6" s="1"/>
  <c r="BK34" i="6"/>
  <c r="BC34" i="6"/>
  <c r="AV34" i="6"/>
  <c r="AO34" i="6"/>
  <c r="AH34" i="6"/>
  <c r="AA34" i="6"/>
  <c r="T34" i="6"/>
  <c r="M34" i="6"/>
  <c r="M32" i="6" s="1"/>
  <c r="F34" i="6"/>
  <c r="CE33" i="6"/>
  <c r="BX33" i="6"/>
  <c r="BW33" i="6"/>
  <c r="BV33" i="6"/>
  <c r="BU33" i="6"/>
  <c r="BT33" i="6"/>
  <c r="BS33" i="6"/>
  <c r="BR33" i="6"/>
  <c r="BP33" i="6"/>
  <c r="BO33" i="6"/>
  <c r="BN33" i="6"/>
  <c r="BJ33" i="6" s="1"/>
  <c r="BM33" i="6"/>
  <c r="BL33" i="6"/>
  <c r="BK33" i="6"/>
  <c r="BC33" i="6"/>
  <c r="AV33" i="6"/>
  <c r="AO33" i="6"/>
  <c r="AH33" i="6"/>
  <c r="AA33" i="6"/>
  <c r="T33" i="6"/>
  <c r="M33" i="6"/>
  <c r="F33" i="6"/>
  <c r="CK32" i="6"/>
  <c r="CJ32" i="6"/>
  <c r="CI32" i="6"/>
  <c r="CH32" i="6"/>
  <c r="CG32" i="6"/>
  <c r="CF32" i="6"/>
  <c r="CD32" i="6"/>
  <c r="CC32" i="6"/>
  <c r="CB32" i="6"/>
  <c r="CA32" i="6"/>
  <c r="BZ32" i="6"/>
  <c r="BY32" i="6"/>
  <c r="BI32" i="6"/>
  <c r="BH32" i="6"/>
  <c r="BG32" i="6"/>
  <c r="BF32" i="6"/>
  <c r="BE32" i="6"/>
  <c r="BD32" i="6"/>
  <c r="BB32" i="6"/>
  <c r="BA32" i="6"/>
  <c r="AZ32" i="6"/>
  <c r="AY32" i="6"/>
  <c r="AX32" i="6"/>
  <c r="AW32" i="6"/>
  <c r="AU32" i="6"/>
  <c r="AT32" i="6"/>
  <c r="AS32" i="6"/>
  <c r="AR32" i="6"/>
  <c r="AQ32" i="6"/>
  <c r="AP32" i="6"/>
  <c r="AN32" i="6"/>
  <c r="AM32" i="6"/>
  <c r="AL32" i="6"/>
  <c r="AK32" i="6"/>
  <c r="AJ32" i="6"/>
  <c r="AI32" i="6"/>
  <c r="AH32" i="6"/>
  <c r="AG32" i="6"/>
  <c r="AF32" i="6"/>
  <c r="AE32" i="6"/>
  <c r="AD32" i="6"/>
  <c r="AC32" i="6"/>
  <c r="AB32" i="6"/>
  <c r="Z32" i="6"/>
  <c r="Y32" i="6"/>
  <c r="X32" i="6"/>
  <c r="W32" i="6"/>
  <c r="V32" i="6"/>
  <c r="U32" i="6"/>
  <c r="S32" i="6"/>
  <c r="R32" i="6"/>
  <c r="Q32" i="6"/>
  <c r="P32" i="6"/>
  <c r="O32" i="6"/>
  <c r="N32" i="6"/>
  <c r="L32" i="6"/>
  <c r="K32" i="6"/>
  <c r="J32" i="6"/>
  <c r="I32" i="6"/>
  <c r="H32" i="6"/>
  <c r="G32" i="6"/>
  <c r="CE31" i="6"/>
  <c r="BX31" i="6"/>
  <c r="BW31" i="6"/>
  <c r="BV31" i="6"/>
  <c r="BU31" i="6"/>
  <c r="BT31" i="6"/>
  <c r="BS31" i="6"/>
  <c r="BR31" i="6"/>
  <c r="BP31" i="6"/>
  <c r="BO31" i="6"/>
  <c r="BN31" i="6"/>
  <c r="BM31" i="6"/>
  <c r="BL31" i="6"/>
  <c r="BK31" i="6"/>
  <c r="BC31" i="6"/>
  <c r="AV31" i="6"/>
  <c r="AO31" i="6"/>
  <c r="AH31" i="6"/>
  <c r="AA31" i="6"/>
  <c r="T31" i="6"/>
  <c r="M31" i="6"/>
  <c r="F31" i="6"/>
  <c r="CE30" i="6"/>
  <c r="BX30" i="6"/>
  <c r="BW30" i="6"/>
  <c r="BV30" i="6"/>
  <c r="BU30" i="6"/>
  <c r="BT30" i="6"/>
  <c r="BS30" i="6"/>
  <c r="BR30" i="6"/>
  <c r="BP30" i="6"/>
  <c r="BO30" i="6"/>
  <c r="BN30" i="6"/>
  <c r="BM30" i="6"/>
  <c r="BL30" i="6"/>
  <c r="BK30" i="6"/>
  <c r="BJ30" i="6" s="1"/>
  <c r="BC30" i="6"/>
  <c r="AV30" i="6"/>
  <c r="AO30" i="6"/>
  <c r="AH30" i="6"/>
  <c r="AA30" i="6"/>
  <c r="T30" i="6"/>
  <c r="M30" i="6"/>
  <c r="F30" i="6"/>
  <c r="CE29" i="6"/>
  <c r="BX29" i="6"/>
  <c r="BW29" i="6"/>
  <c r="BV29" i="6"/>
  <c r="BU29" i="6"/>
  <c r="BT29" i="6"/>
  <c r="BS29" i="6"/>
  <c r="BR29" i="6"/>
  <c r="BP29" i="6"/>
  <c r="BO29" i="6"/>
  <c r="BN29" i="6"/>
  <c r="BM29" i="6"/>
  <c r="BL29" i="6"/>
  <c r="BK29" i="6"/>
  <c r="BC29" i="6"/>
  <c r="AV29" i="6"/>
  <c r="AO29" i="6"/>
  <c r="AH29" i="6"/>
  <c r="AA29" i="6"/>
  <c r="T29" i="6"/>
  <c r="M29" i="6"/>
  <c r="F29" i="6"/>
  <c r="CE28" i="6"/>
  <c r="BX28" i="6"/>
  <c r="BW28" i="6"/>
  <c r="BV28" i="6"/>
  <c r="BU28" i="6"/>
  <c r="BT28" i="6"/>
  <c r="BS28" i="6"/>
  <c r="BR28" i="6"/>
  <c r="BP28" i="6"/>
  <c r="BO28" i="6"/>
  <c r="BN28" i="6"/>
  <c r="BM28" i="6"/>
  <c r="BL28" i="6"/>
  <c r="BK28" i="6"/>
  <c r="BJ28" i="6" s="1"/>
  <c r="BC28" i="6"/>
  <c r="AV28" i="6"/>
  <c r="AO28" i="6"/>
  <c r="AH28" i="6"/>
  <c r="AA28" i="6"/>
  <c r="T28" i="6"/>
  <c r="M28" i="6"/>
  <c r="F28" i="6"/>
  <c r="CE27" i="6"/>
  <c r="BX27" i="6"/>
  <c r="BW27" i="6"/>
  <c r="BV27" i="6"/>
  <c r="BU27" i="6"/>
  <c r="BT27" i="6"/>
  <c r="BS27" i="6"/>
  <c r="BR27" i="6"/>
  <c r="BQ27" i="6" s="1"/>
  <c r="BP27" i="6"/>
  <c r="BO27" i="6"/>
  <c r="BN27" i="6"/>
  <c r="BM27" i="6"/>
  <c r="BL27" i="6"/>
  <c r="BK27" i="6"/>
  <c r="BC27" i="6"/>
  <c r="AV27" i="6"/>
  <c r="AO27" i="6"/>
  <c r="AH27" i="6"/>
  <c r="AA27" i="6"/>
  <c r="T27" i="6"/>
  <c r="M27" i="6"/>
  <c r="F27" i="6"/>
  <c r="CE26" i="6"/>
  <c r="BX26" i="6"/>
  <c r="BX24" i="6" s="1"/>
  <c r="BW26" i="6"/>
  <c r="BV26" i="6"/>
  <c r="BU26" i="6"/>
  <c r="BT26" i="6"/>
  <c r="BQ26" i="6" s="1"/>
  <c r="BS26" i="6"/>
  <c r="BR26" i="6"/>
  <c r="BP26" i="6"/>
  <c r="BO26" i="6"/>
  <c r="BN26" i="6"/>
  <c r="BM26" i="6"/>
  <c r="BL26" i="6"/>
  <c r="BK26" i="6"/>
  <c r="BJ26" i="6" s="1"/>
  <c r="BC26" i="6"/>
  <c r="AV26" i="6"/>
  <c r="AO26" i="6"/>
  <c r="AH26" i="6"/>
  <c r="AA26" i="6"/>
  <c r="T26" i="6"/>
  <c r="M26" i="6"/>
  <c r="F26" i="6"/>
  <c r="CE25" i="6"/>
  <c r="CE24" i="6" s="1"/>
  <c r="BX25" i="6"/>
  <c r="BW25" i="6"/>
  <c r="BW24" i="6" s="1"/>
  <c r="BV25" i="6"/>
  <c r="BU25" i="6"/>
  <c r="BU24" i="6" s="1"/>
  <c r="BT25" i="6"/>
  <c r="BS25" i="6"/>
  <c r="BS24" i="6" s="1"/>
  <c r="BR25" i="6"/>
  <c r="BP25" i="6"/>
  <c r="BP24" i="6" s="1"/>
  <c r="BO25" i="6"/>
  <c r="BN25" i="6"/>
  <c r="BM25" i="6"/>
  <c r="BL25" i="6"/>
  <c r="BL24" i="6" s="1"/>
  <c r="BK25" i="6"/>
  <c r="BC25" i="6"/>
  <c r="BC24" i="6" s="1"/>
  <c r="AV25" i="6"/>
  <c r="AO25" i="6"/>
  <c r="AH25" i="6"/>
  <c r="AA25" i="6"/>
  <c r="AA24" i="6" s="1"/>
  <c r="T25" i="6"/>
  <c r="M25" i="6"/>
  <c r="M24" i="6" s="1"/>
  <c r="F25" i="6"/>
  <c r="CK24" i="6"/>
  <c r="CJ24" i="6"/>
  <c r="CI24" i="6"/>
  <c r="CH24" i="6"/>
  <c r="CG24" i="6"/>
  <c r="CF24" i="6"/>
  <c r="CD24" i="6"/>
  <c r="CC24" i="6"/>
  <c r="CB24" i="6"/>
  <c r="CA24" i="6"/>
  <c r="BZ24" i="6"/>
  <c r="BY24" i="6"/>
  <c r="BI24" i="6"/>
  <c r="BH24" i="6"/>
  <c r="BG24" i="6"/>
  <c r="BF24" i="6"/>
  <c r="BE24" i="6"/>
  <c r="BD24" i="6"/>
  <c r="BB24" i="6"/>
  <c r="BA24" i="6"/>
  <c r="AZ24" i="6"/>
  <c r="AY24" i="6"/>
  <c r="AX24" i="6"/>
  <c r="AW24" i="6"/>
  <c r="AU24" i="6"/>
  <c r="AT24" i="6"/>
  <c r="AS24" i="6"/>
  <c r="AR24" i="6"/>
  <c r="AQ24" i="6"/>
  <c r="AP24" i="6"/>
  <c r="AN24" i="6"/>
  <c r="AM24" i="6"/>
  <c r="AL24" i="6"/>
  <c r="AK24" i="6"/>
  <c r="AJ24" i="6"/>
  <c r="AI24" i="6"/>
  <c r="AG24" i="6"/>
  <c r="AF24" i="6"/>
  <c r="AE24" i="6"/>
  <c r="AD24" i="6"/>
  <c r="AC24" i="6"/>
  <c r="AB24" i="6"/>
  <c r="Z24" i="6"/>
  <c r="Y24" i="6"/>
  <c r="X24" i="6"/>
  <c r="W24" i="6"/>
  <c r="V24" i="6"/>
  <c r="U24" i="6"/>
  <c r="S24" i="6"/>
  <c r="R24" i="6"/>
  <c r="Q24" i="6"/>
  <c r="P24" i="6"/>
  <c r="O24" i="6"/>
  <c r="N24" i="6"/>
  <c r="L24" i="6"/>
  <c r="K24" i="6"/>
  <c r="J24" i="6"/>
  <c r="I24" i="6"/>
  <c r="H24" i="6"/>
  <c r="G24" i="6"/>
  <c r="CE23" i="6"/>
  <c r="BX23" i="6"/>
  <c r="BW23" i="6"/>
  <c r="BV23" i="6"/>
  <c r="BU23" i="6"/>
  <c r="BT23" i="6"/>
  <c r="BS23" i="6"/>
  <c r="BR23" i="6"/>
  <c r="BP23" i="6"/>
  <c r="BO23" i="6"/>
  <c r="BN23" i="6"/>
  <c r="BM23" i="6"/>
  <c r="BL23" i="6"/>
  <c r="BK23" i="6"/>
  <c r="BC23" i="6"/>
  <c r="AV23" i="6"/>
  <c r="AO23" i="6"/>
  <c r="AH23" i="6"/>
  <c r="AA23" i="6"/>
  <c r="T23" i="6"/>
  <c r="M23" i="6"/>
  <c r="F23" i="6"/>
  <c r="CE22" i="6"/>
  <c r="BX22" i="6"/>
  <c r="BW22" i="6"/>
  <c r="BV22" i="6"/>
  <c r="BU22" i="6"/>
  <c r="BT22" i="6"/>
  <c r="BS22" i="6"/>
  <c r="BR22" i="6"/>
  <c r="BP22" i="6"/>
  <c r="BO22" i="6"/>
  <c r="BN22" i="6"/>
  <c r="BM22" i="6"/>
  <c r="BL22" i="6"/>
  <c r="BK22" i="6"/>
  <c r="BC22" i="6"/>
  <c r="AV22" i="6"/>
  <c r="AO22" i="6"/>
  <c r="AH22" i="6"/>
  <c r="AA22" i="6"/>
  <c r="T22" i="6"/>
  <c r="M22" i="6"/>
  <c r="F22" i="6"/>
  <c r="CE21" i="6"/>
  <c r="BX21" i="6"/>
  <c r="BW21" i="6"/>
  <c r="BV21" i="6"/>
  <c r="BU21" i="6"/>
  <c r="BT21" i="6"/>
  <c r="BS21" i="6"/>
  <c r="BR21" i="6"/>
  <c r="BP21" i="6"/>
  <c r="BO21" i="6"/>
  <c r="BN21" i="6"/>
  <c r="BM21" i="6"/>
  <c r="BL21" i="6"/>
  <c r="BK21" i="6"/>
  <c r="BC21" i="6"/>
  <c r="AV21" i="6"/>
  <c r="AO21" i="6"/>
  <c r="AH21" i="6"/>
  <c r="AA21" i="6"/>
  <c r="T21" i="6"/>
  <c r="M21" i="6"/>
  <c r="F21" i="6"/>
  <c r="CE20" i="6"/>
  <c r="BX20" i="6"/>
  <c r="BW20" i="6"/>
  <c r="BV20" i="6"/>
  <c r="BU20" i="6"/>
  <c r="BT20" i="6"/>
  <c r="BS20" i="6"/>
  <c r="BR20" i="6"/>
  <c r="BP20" i="6"/>
  <c r="BO20" i="6"/>
  <c r="BN20" i="6"/>
  <c r="BM20" i="6"/>
  <c r="BL20" i="6"/>
  <c r="BK20" i="6"/>
  <c r="BJ20" i="6" s="1"/>
  <c r="BC20" i="6"/>
  <c r="AV20" i="6"/>
  <c r="AO20" i="6"/>
  <c r="AH20" i="6"/>
  <c r="AA20" i="6"/>
  <c r="T20" i="6"/>
  <c r="M20" i="6"/>
  <c r="F20" i="6"/>
  <c r="CE19" i="6"/>
  <c r="BX19" i="6"/>
  <c r="BW19" i="6"/>
  <c r="BV19" i="6"/>
  <c r="BU19" i="6"/>
  <c r="BT19" i="6"/>
  <c r="BS19" i="6"/>
  <c r="BR19" i="6"/>
  <c r="BP19" i="6"/>
  <c r="BO19" i="6"/>
  <c r="BN19" i="6"/>
  <c r="BM19" i="6"/>
  <c r="BL19" i="6"/>
  <c r="BK19" i="6"/>
  <c r="BC19" i="6"/>
  <c r="AV19" i="6"/>
  <c r="AO19" i="6"/>
  <c r="AH19" i="6"/>
  <c r="AA19" i="6"/>
  <c r="T19" i="6"/>
  <c r="M19" i="6"/>
  <c r="F19" i="6"/>
  <c r="CE18" i="6"/>
  <c r="BX18" i="6"/>
  <c r="BW18" i="6"/>
  <c r="BV18" i="6"/>
  <c r="BU18" i="6"/>
  <c r="BT18" i="6"/>
  <c r="BT49" i="6" s="1"/>
  <c r="BS18" i="6"/>
  <c r="BR18" i="6"/>
  <c r="BP18" i="6"/>
  <c r="BO18" i="6"/>
  <c r="BN18" i="6"/>
  <c r="BM18" i="6"/>
  <c r="BL18" i="6"/>
  <c r="BL49" i="6" s="1"/>
  <c r="BK18" i="6"/>
  <c r="BC18" i="6"/>
  <c r="AV18" i="6"/>
  <c r="AO18" i="6"/>
  <c r="AO16" i="6" s="1"/>
  <c r="AH18" i="6"/>
  <c r="AA18" i="6"/>
  <c r="T18" i="6"/>
  <c r="M18" i="6"/>
  <c r="M49" i="6" s="1"/>
  <c r="F18" i="6"/>
  <c r="CE17" i="6"/>
  <c r="BX17" i="6"/>
  <c r="BW17" i="6"/>
  <c r="BW16" i="6" s="1"/>
  <c r="BV17" i="6"/>
  <c r="BU17" i="6"/>
  <c r="BT17" i="6"/>
  <c r="BS17" i="6"/>
  <c r="BS49" i="6" s="1"/>
  <c r="BR17" i="6"/>
  <c r="BP17" i="6"/>
  <c r="BO17" i="6"/>
  <c r="BN17" i="6"/>
  <c r="BN16" i="6" s="1"/>
  <c r="BM17" i="6"/>
  <c r="BL17" i="6"/>
  <c r="BK17" i="6"/>
  <c r="BC17" i="6"/>
  <c r="AV17" i="6"/>
  <c r="AO17" i="6"/>
  <c r="AH17" i="6"/>
  <c r="AA17" i="6"/>
  <c r="AA16" i="6" s="1"/>
  <c r="T17" i="6"/>
  <c r="M17" i="6"/>
  <c r="F17" i="6"/>
  <c r="CK16" i="6"/>
  <c r="CJ16" i="6"/>
  <c r="CI16" i="6"/>
  <c r="CH16" i="6"/>
  <c r="CG16" i="6"/>
  <c r="CF16" i="6"/>
  <c r="CD16" i="6"/>
  <c r="CC16" i="6"/>
  <c r="CB16" i="6"/>
  <c r="CA16" i="6"/>
  <c r="BZ16" i="6"/>
  <c r="BY16" i="6"/>
  <c r="BI16" i="6"/>
  <c r="BH16" i="6"/>
  <c r="BG16" i="6"/>
  <c r="BF16" i="6"/>
  <c r="BE16" i="6"/>
  <c r="BD16" i="6"/>
  <c r="BB16" i="6"/>
  <c r="BA16" i="6"/>
  <c r="AZ16" i="6"/>
  <c r="AY16" i="6"/>
  <c r="AX16" i="6"/>
  <c r="AW16" i="6"/>
  <c r="AU16" i="6"/>
  <c r="AT16" i="6"/>
  <c r="AS16" i="6"/>
  <c r="AR16" i="6"/>
  <c r="AQ16" i="6"/>
  <c r="AP16" i="6"/>
  <c r="AN16" i="6"/>
  <c r="AM16" i="6"/>
  <c r="AL16" i="6"/>
  <c r="AK16" i="6"/>
  <c r="AJ16" i="6"/>
  <c r="AI16" i="6"/>
  <c r="AG16" i="6"/>
  <c r="AF16" i="6"/>
  <c r="AE16" i="6"/>
  <c r="AD16" i="6"/>
  <c r="AC16" i="6"/>
  <c r="AB16" i="6"/>
  <c r="Z16" i="6"/>
  <c r="Y16" i="6"/>
  <c r="X16" i="6"/>
  <c r="W16" i="6"/>
  <c r="V16" i="6"/>
  <c r="U16" i="6"/>
  <c r="T16" i="6"/>
  <c r="S16" i="6"/>
  <c r="R16" i="6"/>
  <c r="Q16" i="6"/>
  <c r="P16" i="6"/>
  <c r="O16" i="6"/>
  <c r="N16" i="6"/>
  <c r="L16" i="6"/>
  <c r="K16" i="6"/>
  <c r="J16" i="6"/>
  <c r="I16" i="6"/>
  <c r="H16" i="6"/>
  <c r="G16" i="6"/>
  <c r="BT41" i="9"/>
  <c r="BN41" i="9"/>
  <c r="C105" i="1"/>
  <c r="G350" i="1"/>
  <c r="H350" i="1" s="1"/>
  <c r="F355" i="1"/>
  <c r="D43" i="2"/>
  <c r="D41" i="2" s="1"/>
  <c r="D40" i="2" s="1"/>
  <c r="D39" i="2" s="1"/>
  <c r="D50" i="2" s="1"/>
  <c r="D520" i="4"/>
  <c r="D519" i="4" s="1"/>
  <c r="D509" i="4"/>
  <c r="D507" i="4" s="1"/>
  <c r="D556" i="4"/>
  <c r="D550" i="4"/>
  <c r="D536" i="4"/>
  <c r="D535" i="4" s="1"/>
  <c r="D527" i="4"/>
  <c r="D500" i="4"/>
  <c r="D487" i="4"/>
  <c r="B526" i="4"/>
  <c r="B525" i="4"/>
  <c r="B554" i="4" s="1"/>
  <c r="B522" i="4"/>
  <c r="B551" i="4" s="1"/>
  <c r="B521" i="4"/>
  <c r="B550" i="4" s="1"/>
  <c r="B520" i="4"/>
  <c r="G352" i="1"/>
  <c r="G351" i="1"/>
  <c r="H351" i="1" s="1"/>
  <c r="H349" i="1"/>
  <c r="F347" i="1"/>
  <c r="H346" i="1"/>
  <c r="I346" i="1" s="1"/>
  <c r="H345" i="1"/>
  <c r="I345" i="1" s="1"/>
  <c r="H344" i="1"/>
  <c r="D246" i="4"/>
  <c r="D243" i="4"/>
  <c r="D237" i="4"/>
  <c r="D282" i="4"/>
  <c r="D269" i="4"/>
  <c r="D270" i="4" s="1"/>
  <c r="D266" i="4"/>
  <c r="D260" i="4"/>
  <c r="D261" i="4" s="1"/>
  <c r="D257" i="4"/>
  <c r="D258" i="4" s="1"/>
  <c r="D254" i="4"/>
  <c r="D255" i="4" s="1"/>
  <c r="D248" i="4"/>
  <c r="D249" i="4" s="1"/>
  <c r="D221" i="4"/>
  <c r="D222" i="4" s="1"/>
  <c r="D215" i="4"/>
  <c r="D212" i="4"/>
  <c r="D213" i="4" s="1"/>
  <c r="D206" i="4"/>
  <c r="D207" i="4" s="1"/>
  <c r="D203" i="4"/>
  <c r="D204" i="4" s="1"/>
  <c r="D200" i="4"/>
  <c r="D194" i="4"/>
  <c r="D195" i="4" s="1"/>
  <c r="D164" i="4"/>
  <c r="D163" i="4"/>
  <c r="D162" i="4"/>
  <c r="D160" i="4"/>
  <c r="D159" i="4"/>
  <c r="D158" i="4"/>
  <c r="D809" i="4"/>
  <c r="D787" i="4"/>
  <c r="D786" i="4"/>
  <c r="D711" i="4"/>
  <c r="D808" i="4" s="1"/>
  <c r="D707" i="4"/>
  <c r="X562" i="4"/>
  <c r="W562" i="4"/>
  <c r="V562" i="4"/>
  <c r="U562" i="4"/>
  <c r="T562" i="4"/>
  <c r="S562" i="4"/>
  <c r="R562" i="4"/>
  <c r="Q562" i="4"/>
  <c r="P562" i="4"/>
  <c r="O562" i="4"/>
  <c r="N562" i="4"/>
  <c r="M562" i="4"/>
  <c r="L562" i="4"/>
  <c r="K562" i="4"/>
  <c r="J562" i="4"/>
  <c r="I562" i="4"/>
  <c r="H562" i="4"/>
  <c r="G562" i="4"/>
  <c r="F562" i="4"/>
  <c r="E562" i="4"/>
  <c r="AC543" i="4"/>
  <c r="AB543" i="4"/>
  <c r="AA543" i="4"/>
  <c r="Z543" i="4"/>
  <c r="Y543" i="4"/>
  <c r="X543" i="4"/>
  <c r="W543" i="4"/>
  <c r="V543" i="4"/>
  <c r="U543" i="4"/>
  <c r="T543" i="4"/>
  <c r="S543" i="4"/>
  <c r="R543" i="4"/>
  <c r="Q543" i="4"/>
  <c r="P543" i="4"/>
  <c r="O543" i="4"/>
  <c r="N543" i="4"/>
  <c r="M543" i="4"/>
  <c r="L543" i="4"/>
  <c r="K543" i="4"/>
  <c r="J543" i="4"/>
  <c r="I543" i="4"/>
  <c r="H543" i="4"/>
  <c r="G543" i="4"/>
  <c r="F543" i="4"/>
  <c r="E543" i="4"/>
  <c r="AC533" i="4"/>
  <c r="AB533" i="4"/>
  <c r="AA533" i="4"/>
  <c r="Z533" i="4"/>
  <c r="X533" i="4"/>
  <c r="W533" i="4"/>
  <c r="V533" i="4"/>
  <c r="U533" i="4"/>
  <c r="T533" i="4"/>
  <c r="S533" i="4"/>
  <c r="R533" i="4"/>
  <c r="Q533" i="4"/>
  <c r="P533" i="4"/>
  <c r="O533" i="4"/>
  <c r="N533" i="4"/>
  <c r="M533" i="4"/>
  <c r="L533" i="4"/>
  <c r="K533" i="4"/>
  <c r="J533" i="4"/>
  <c r="I533" i="4"/>
  <c r="H533" i="4"/>
  <c r="G533" i="4"/>
  <c r="F533" i="4"/>
  <c r="E533" i="4"/>
  <c r="Y531" i="4"/>
  <c r="Y533" i="4" s="1"/>
  <c r="AC504" i="4"/>
  <c r="AB504" i="4"/>
  <c r="AA504" i="4"/>
  <c r="Z504" i="4"/>
  <c r="X504" i="4"/>
  <c r="W504" i="4"/>
  <c r="V504" i="4"/>
  <c r="U504" i="4"/>
  <c r="T504" i="4"/>
  <c r="S504" i="4"/>
  <c r="R504" i="4"/>
  <c r="Q504" i="4"/>
  <c r="P504" i="4"/>
  <c r="O504" i="4"/>
  <c r="N504" i="4"/>
  <c r="M504" i="4"/>
  <c r="L504" i="4"/>
  <c r="K504" i="4"/>
  <c r="J504" i="4"/>
  <c r="I504" i="4"/>
  <c r="H504" i="4"/>
  <c r="G504" i="4"/>
  <c r="F504" i="4"/>
  <c r="E504" i="4"/>
  <c r="Y502" i="4"/>
  <c r="Y504" i="4" s="1"/>
  <c r="E480" i="4"/>
  <c r="E479" i="4"/>
  <c r="AC475" i="4"/>
  <c r="AB475" i="4"/>
  <c r="AA475" i="4"/>
  <c r="Z475" i="4"/>
  <c r="X475" i="4"/>
  <c r="W475" i="4"/>
  <c r="V475" i="4"/>
  <c r="U475" i="4"/>
  <c r="T475" i="4"/>
  <c r="S475" i="4"/>
  <c r="R475" i="4"/>
  <c r="Q475" i="4"/>
  <c r="P475" i="4"/>
  <c r="O475" i="4"/>
  <c r="N475" i="4"/>
  <c r="M475" i="4"/>
  <c r="L475" i="4"/>
  <c r="K475" i="4"/>
  <c r="J475" i="4"/>
  <c r="I475" i="4"/>
  <c r="H475" i="4"/>
  <c r="G475" i="4"/>
  <c r="F475" i="4"/>
  <c r="E475" i="4"/>
  <c r="Y473" i="4"/>
  <c r="Y475" i="4" s="1"/>
  <c r="Y456" i="4"/>
  <c r="Y457" i="4" s="1"/>
  <c r="D430" i="4"/>
  <c r="Y419" i="4"/>
  <c r="Y420" i="4" s="1"/>
  <c r="Y421" i="4" s="1"/>
  <c r="AC402" i="4"/>
  <c r="AB402" i="4"/>
  <c r="AA402" i="4"/>
  <c r="Z402" i="4"/>
  <c r="Y402" i="4"/>
  <c r="X402" i="4"/>
  <c r="W402" i="4"/>
  <c r="V402" i="4"/>
  <c r="U402" i="4"/>
  <c r="T402" i="4"/>
  <c r="S402" i="4"/>
  <c r="R402" i="4"/>
  <c r="Q402" i="4"/>
  <c r="P402" i="4"/>
  <c r="O402" i="4"/>
  <c r="N402" i="4"/>
  <c r="M402" i="4"/>
  <c r="L402" i="4"/>
  <c r="K402" i="4"/>
  <c r="J402" i="4"/>
  <c r="I402" i="4"/>
  <c r="H402" i="4"/>
  <c r="G402" i="4"/>
  <c r="F402" i="4"/>
  <c r="E402" i="4"/>
  <c r="AC400" i="4"/>
  <c r="AB400" i="4"/>
  <c r="AA400" i="4"/>
  <c r="Z400" i="4"/>
  <c r="Y400" i="4"/>
  <c r="X400" i="4"/>
  <c r="W400" i="4"/>
  <c r="V400" i="4"/>
  <c r="U400" i="4"/>
  <c r="T400" i="4"/>
  <c r="S400" i="4"/>
  <c r="R400" i="4"/>
  <c r="Q400" i="4"/>
  <c r="P400" i="4"/>
  <c r="O400" i="4"/>
  <c r="N400" i="4"/>
  <c r="M400" i="4"/>
  <c r="L400" i="4"/>
  <c r="K400" i="4"/>
  <c r="J400" i="4"/>
  <c r="I400" i="4"/>
  <c r="H400" i="4"/>
  <c r="G400" i="4"/>
  <c r="F400" i="4"/>
  <c r="E400" i="4"/>
  <c r="AC396" i="4"/>
  <c r="AB396" i="4"/>
  <c r="AA396" i="4"/>
  <c r="Z396" i="4"/>
  <c r="Y396" i="4"/>
  <c r="X396" i="4"/>
  <c r="W396" i="4"/>
  <c r="V396" i="4"/>
  <c r="U396" i="4"/>
  <c r="T396" i="4"/>
  <c r="S396" i="4"/>
  <c r="R396" i="4"/>
  <c r="Q396" i="4"/>
  <c r="P396" i="4"/>
  <c r="O396" i="4"/>
  <c r="N396" i="4"/>
  <c r="M396" i="4"/>
  <c r="L396" i="4"/>
  <c r="K396" i="4"/>
  <c r="J396" i="4"/>
  <c r="I396" i="4"/>
  <c r="H396" i="4"/>
  <c r="G396" i="4"/>
  <c r="F396" i="4"/>
  <c r="E396" i="4"/>
  <c r="AC394" i="4"/>
  <c r="AB394" i="4"/>
  <c r="AA394" i="4"/>
  <c r="Z394" i="4"/>
  <c r="Y394" i="4"/>
  <c r="X394" i="4"/>
  <c r="W394" i="4"/>
  <c r="V394" i="4"/>
  <c r="U394" i="4"/>
  <c r="T394" i="4"/>
  <c r="S394" i="4"/>
  <c r="R394" i="4"/>
  <c r="Q394" i="4"/>
  <c r="P394" i="4"/>
  <c r="O394" i="4"/>
  <c r="N394" i="4"/>
  <c r="M394" i="4"/>
  <c r="L394" i="4"/>
  <c r="K394" i="4"/>
  <c r="J394" i="4"/>
  <c r="I394" i="4"/>
  <c r="H394" i="4"/>
  <c r="G394" i="4"/>
  <c r="F394" i="4"/>
  <c r="E394" i="4"/>
  <c r="AC377" i="4"/>
  <c r="AB377" i="4"/>
  <c r="AA377" i="4"/>
  <c r="Z377" i="4"/>
  <c r="Y377" i="4"/>
  <c r="X377" i="4"/>
  <c r="W377" i="4"/>
  <c r="V377" i="4"/>
  <c r="U377" i="4"/>
  <c r="T377" i="4"/>
  <c r="S377" i="4"/>
  <c r="R377" i="4"/>
  <c r="Q377" i="4"/>
  <c r="P377" i="4"/>
  <c r="O377" i="4"/>
  <c r="N377" i="4"/>
  <c r="M377" i="4"/>
  <c r="L377" i="4"/>
  <c r="K377" i="4"/>
  <c r="J377" i="4"/>
  <c r="I377" i="4"/>
  <c r="H377" i="4"/>
  <c r="G377" i="4"/>
  <c r="F377" i="4"/>
  <c r="E377" i="4"/>
  <c r="AC374" i="4"/>
  <c r="AB374" i="4"/>
  <c r="AA374" i="4"/>
  <c r="Z374" i="4"/>
  <c r="Y374" i="4"/>
  <c r="X374" i="4"/>
  <c r="W374" i="4"/>
  <c r="V374" i="4"/>
  <c r="U374" i="4"/>
  <c r="T374" i="4"/>
  <c r="S374" i="4"/>
  <c r="R374" i="4"/>
  <c r="Q374" i="4"/>
  <c r="P374" i="4"/>
  <c r="O374" i="4"/>
  <c r="N374" i="4"/>
  <c r="M374" i="4"/>
  <c r="L374" i="4"/>
  <c r="K374" i="4"/>
  <c r="J374" i="4"/>
  <c r="I374" i="4"/>
  <c r="H374" i="4"/>
  <c r="G374" i="4"/>
  <c r="F374" i="4"/>
  <c r="E374" i="4"/>
  <c r="AC347" i="4"/>
  <c r="AC401" i="4" s="1"/>
  <c r="AB347" i="4"/>
  <c r="AB401" i="4" s="1"/>
  <c r="AA347" i="4"/>
  <c r="AA401" i="4" s="1"/>
  <c r="Z347" i="4"/>
  <c r="Z401" i="4" s="1"/>
  <c r="Y347" i="4"/>
  <c r="Y401" i="4" s="1"/>
  <c r="X347" i="4"/>
  <c r="X401" i="4" s="1"/>
  <c r="W347" i="4"/>
  <c r="W401" i="4" s="1"/>
  <c r="V347" i="4"/>
  <c r="V401" i="4" s="1"/>
  <c r="U347" i="4"/>
  <c r="U401" i="4" s="1"/>
  <c r="T347" i="4"/>
  <c r="T401" i="4" s="1"/>
  <c r="S347" i="4"/>
  <c r="S401" i="4" s="1"/>
  <c r="R347" i="4"/>
  <c r="R401" i="4"/>
  <c r="Q347" i="4"/>
  <c r="Q401" i="4" s="1"/>
  <c r="P347" i="4"/>
  <c r="P401" i="4" s="1"/>
  <c r="O347" i="4"/>
  <c r="O401" i="4" s="1"/>
  <c r="N347" i="4"/>
  <c r="N401" i="4" s="1"/>
  <c r="M347" i="4"/>
  <c r="M401" i="4" s="1"/>
  <c r="L347" i="4"/>
  <c r="L401" i="4" s="1"/>
  <c r="K347" i="4"/>
  <c r="K401" i="4" s="1"/>
  <c r="J347" i="4"/>
  <c r="J401" i="4" s="1"/>
  <c r="I347" i="4"/>
  <c r="I401" i="4" s="1"/>
  <c r="H347" i="4"/>
  <c r="H401" i="4" s="1"/>
  <c r="G347" i="4"/>
  <c r="G401" i="4" s="1"/>
  <c r="F347" i="4"/>
  <c r="F401" i="4" s="1"/>
  <c r="E347" i="4"/>
  <c r="E401" i="4" s="1"/>
  <c r="AC341" i="4"/>
  <c r="AC395" i="4" s="1"/>
  <c r="AB341" i="4"/>
  <c r="AB395" i="4" s="1"/>
  <c r="AA341" i="4"/>
  <c r="AA395" i="4" s="1"/>
  <c r="Z341" i="4"/>
  <c r="Z395" i="4" s="1"/>
  <c r="Y341" i="4"/>
  <c r="Y395" i="4" s="1"/>
  <c r="X341" i="4"/>
  <c r="X395" i="4"/>
  <c r="W341" i="4"/>
  <c r="W395" i="4" s="1"/>
  <c r="V341" i="4"/>
  <c r="V395" i="4" s="1"/>
  <c r="U341" i="4"/>
  <c r="U395" i="4" s="1"/>
  <c r="T341" i="4"/>
  <c r="T395" i="4" s="1"/>
  <c r="S341" i="4"/>
  <c r="S395" i="4" s="1"/>
  <c r="R341" i="4"/>
  <c r="R395" i="4" s="1"/>
  <c r="Q341" i="4"/>
  <c r="Q395" i="4" s="1"/>
  <c r="P341" i="4"/>
  <c r="P395" i="4" s="1"/>
  <c r="O341" i="4"/>
  <c r="O395" i="4" s="1"/>
  <c r="N341" i="4"/>
  <c r="N395" i="4" s="1"/>
  <c r="M341" i="4"/>
  <c r="M395" i="4" s="1"/>
  <c r="L341" i="4"/>
  <c r="L395" i="4" s="1"/>
  <c r="K341" i="4"/>
  <c r="K395" i="4" s="1"/>
  <c r="J341" i="4"/>
  <c r="J395" i="4" s="1"/>
  <c r="I341" i="4"/>
  <c r="I395" i="4" s="1"/>
  <c r="H341" i="4"/>
  <c r="H395" i="4"/>
  <c r="G341" i="4"/>
  <c r="G395" i="4" s="1"/>
  <c r="F341" i="4"/>
  <c r="F395" i="4" s="1"/>
  <c r="E341" i="4"/>
  <c r="E395" i="4" s="1"/>
  <c r="AB331" i="4"/>
  <c r="AB332" i="4" s="1"/>
  <c r="AB333" i="4" s="1"/>
  <c r="AC305" i="4"/>
  <c r="AC306" i="4" s="1"/>
  <c r="AC308" i="4" s="1"/>
  <c r="AC309" i="4" s="1"/>
  <c r="AC310" i="4" s="1"/>
  <c r="AC313" i="4" s="1"/>
  <c r="AC314" i="4" s="1"/>
  <c r="AC315" i="4" s="1"/>
  <c r="AB305" i="4"/>
  <c r="AB306" i="4" s="1"/>
  <c r="AB308" i="4" s="1"/>
  <c r="AB309" i="4" s="1"/>
  <c r="AB310" i="4" s="1"/>
  <c r="AB313" i="4" s="1"/>
  <c r="AB314" i="4" s="1"/>
  <c r="AB315" i="4" s="1"/>
  <c r="AB326" i="4" s="1"/>
  <c r="AB327" i="4" s="1"/>
  <c r="AB328" i="4" s="1"/>
  <c r="D284" i="4"/>
  <c r="AS43" i="35" s="1"/>
  <c r="AC192" i="4"/>
  <c r="AC193" i="4" s="1"/>
  <c r="AB192" i="4"/>
  <c r="AB193" i="4" s="1"/>
  <c r="AA192" i="4"/>
  <c r="AA193" i="4" s="1"/>
  <c r="Z192" i="4"/>
  <c r="Z193" i="4"/>
  <c r="Y192" i="4"/>
  <c r="Y193" i="4" s="1"/>
  <c r="X192" i="4"/>
  <c r="X193" i="4" s="1"/>
  <c r="W192" i="4"/>
  <c r="W193" i="4" s="1"/>
  <c r="V192" i="4"/>
  <c r="V193" i="4" s="1"/>
  <c r="U192" i="4"/>
  <c r="U193" i="4" s="1"/>
  <c r="T192" i="4"/>
  <c r="T193" i="4" s="1"/>
  <c r="S192" i="4"/>
  <c r="S193" i="4" s="1"/>
  <c r="R192" i="4"/>
  <c r="R193" i="4" s="1"/>
  <c r="Q192" i="4"/>
  <c r="Q193" i="4" s="1"/>
  <c r="P192" i="4"/>
  <c r="P193" i="4" s="1"/>
  <c r="O192" i="4"/>
  <c r="O193" i="4" s="1"/>
  <c r="N192" i="4"/>
  <c r="N193" i="4" s="1"/>
  <c r="M192" i="4"/>
  <c r="M193" i="4" s="1"/>
  <c r="L192" i="4"/>
  <c r="L193" i="4" s="1"/>
  <c r="K192" i="4"/>
  <c r="K193" i="4" s="1"/>
  <c r="J192" i="4"/>
  <c r="J193" i="4"/>
  <c r="I192" i="4"/>
  <c r="I193" i="4" s="1"/>
  <c r="H192" i="4"/>
  <c r="H193" i="4" s="1"/>
  <c r="G192" i="4"/>
  <c r="G193" i="4" s="1"/>
  <c r="F192" i="4"/>
  <c r="F193" i="4" s="1"/>
  <c r="E192" i="4"/>
  <c r="E193" i="4" s="1"/>
  <c r="D190" i="4"/>
  <c r="D174" i="4"/>
  <c r="D170" i="4"/>
  <c r="D56" i="4"/>
  <c r="D40" i="4"/>
  <c r="D36" i="4"/>
  <c r="X26" i="4"/>
  <c r="W26" i="4"/>
  <c r="V26" i="4"/>
  <c r="U26" i="4"/>
  <c r="T26" i="4"/>
  <c r="S26" i="4"/>
  <c r="R26" i="4"/>
  <c r="Q26" i="4"/>
  <c r="P26" i="4"/>
  <c r="O26" i="4"/>
  <c r="N26" i="4"/>
  <c r="M26" i="4"/>
  <c r="L26" i="4"/>
  <c r="K26" i="4"/>
  <c r="J26" i="4"/>
  <c r="I26" i="4"/>
  <c r="H26" i="4"/>
  <c r="G26" i="4"/>
  <c r="F26" i="4"/>
  <c r="E26" i="4"/>
  <c r="X25" i="4"/>
  <c r="W25" i="4"/>
  <c r="V25" i="4"/>
  <c r="U25" i="4"/>
  <c r="T25" i="4"/>
  <c r="S25" i="4"/>
  <c r="R25" i="4"/>
  <c r="Q25" i="4"/>
  <c r="P25" i="4"/>
  <c r="O25" i="4"/>
  <c r="N25" i="4"/>
  <c r="M25" i="4"/>
  <c r="L25" i="4"/>
  <c r="K25" i="4"/>
  <c r="J25" i="4"/>
  <c r="I25" i="4"/>
  <c r="H25" i="4"/>
  <c r="G25" i="4"/>
  <c r="F25" i="4"/>
  <c r="E25" i="4"/>
  <c r="X24" i="4"/>
  <c r="W24" i="4"/>
  <c r="V24" i="4"/>
  <c r="U24" i="4"/>
  <c r="T24" i="4"/>
  <c r="S24" i="4"/>
  <c r="R24" i="4"/>
  <c r="Q24" i="4"/>
  <c r="P24" i="4"/>
  <c r="O24" i="4"/>
  <c r="N24" i="4"/>
  <c r="M24" i="4"/>
  <c r="L24" i="4"/>
  <c r="K24" i="4"/>
  <c r="J24" i="4"/>
  <c r="I24" i="4"/>
  <c r="H24" i="4"/>
  <c r="G24" i="4"/>
  <c r="F24" i="4"/>
  <c r="E24" i="4"/>
  <c r="D239" i="4"/>
  <c r="E509" i="4"/>
  <c r="E508" i="4"/>
  <c r="E537" i="4"/>
  <c r="E449" i="4"/>
  <c r="E450" i="4"/>
  <c r="E458" i="4"/>
  <c r="F458" i="4"/>
  <c r="E517" i="4"/>
  <c r="E488" i="4"/>
  <c r="G458" i="4"/>
  <c r="F488" i="4"/>
  <c r="F517" i="4"/>
  <c r="G488" i="4"/>
  <c r="G517" i="4"/>
  <c r="G21" i="65"/>
  <c r="F21" i="65"/>
  <c r="CI25" i="9"/>
  <c r="P99" i="1"/>
  <c r="BG26" i="9" s="1"/>
  <c r="O99" i="1"/>
  <c r="N99" i="1"/>
  <c r="BE26" i="9" s="1"/>
  <c r="BE48" i="97" s="1"/>
  <c r="F99" i="1"/>
  <c r="AY26" i="9" s="1"/>
  <c r="AY48" i="97" s="1"/>
  <c r="AY37" i="97" s="1"/>
  <c r="AY18" i="97" s="1"/>
  <c r="AY94" i="97" s="1"/>
  <c r="G99" i="1"/>
  <c r="AZ26" i="9" s="1"/>
  <c r="E99" i="1"/>
  <c r="AX26" i="9" s="1"/>
  <c r="AX48" i="97" s="1"/>
  <c r="AS26" i="9"/>
  <c r="AQ36" i="17"/>
  <c r="AQ26" i="9"/>
  <c r="AQ48" i="97" s="1"/>
  <c r="F61" i="3"/>
  <c r="F60" i="3" s="1"/>
  <c r="AJ26" i="9"/>
  <c r="AJ48" i="97" s="1"/>
  <c r="G74" i="1"/>
  <c r="C104" i="1"/>
  <c r="C307" i="1"/>
  <c r="C306" i="1"/>
  <c r="G305" i="1"/>
  <c r="F305" i="1"/>
  <c r="E305" i="1"/>
  <c r="L69" i="1"/>
  <c r="C69" i="1"/>
  <c r="P55" i="3"/>
  <c r="O55" i="3"/>
  <c r="N55" i="3"/>
  <c r="M55" i="3"/>
  <c r="L55" i="3" s="1"/>
  <c r="E55" i="3"/>
  <c r="F55" i="3"/>
  <c r="G55" i="3"/>
  <c r="D55" i="3"/>
  <c r="C55" i="3" s="1"/>
  <c r="N27" i="1"/>
  <c r="N278" i="1" s="1"/>
  <c r="P27" i="1"/>
  <c r="M27" i="1"/>
  <c r="M278" i="1" s="1"/>
  <c r="M275" i="1" s="1"/>
  <c r="E27" i="1"/>
  <c r="E278" i="1" s="1"/>
  <c r="E275" i="1" s="1"/>
  <c r="F27" i="1"/>
  <c r="G27" i="1"/>
  <c r="D27" i="1"/>
  <c r="L65" i="1"/>
  <c r="R19" i="8" s="1"/>
  <c r="C65" i="1"/>
  <c r="L19" i="8" s="1"/>
  <c r="L64" i="1"/>
  <c r="T19" i="8" s="1"/>
  <c r="C64" i="1"/>
  <c r="N19" i="8" s="1"/>
  <c r="F68" i="3"/>
  <c r="G68" i="3"/>
  <c r="E68" i="3"/>
  <c r="P68" i="3"/>
  <c r="D67" i="1"/>
  <c r="H30" i="3"/>
  <c r="M25" i="2"/>
  <c r="L25" i="2" s="1"/>
  <c r="M23" i="2"/>
  <c r="M18" i="2"/>
  <c r="L18" i="2" s="1"/>
  <c r="M17" i="2"/>
  <c r="P14" i="2"/>
  <c r="L14" i="2" s="1"/>
  <c r="P13" i="2"/>
  <c r="O20" i="1"/>
  <c r="N20" i="1"/>
  <c r="N19" i="1" s="1"/>
  <c r="C20" i="1"/>
  <c r="F19" i="1"/>
  <c r="F9" i="1" s="1"/>
  <c r="E19" i="1"/>
  <c r="N18" i="1"/>
  <c r="L18" i="1" s="1"/>
  <c r="C18" i="1"/>
  <c r="N17" i="1"/>
  <c r="C17" i="1"/>
  <c r="I16" i="1"/>
  <c r="E16" i="1"/>
  <c r="E13" i="1" s="1"/>
  <c r="M15" i="1"/>
  <c r="L15" i="1" s="1"/>
  <c r="C15" i="1"/>
  <c r="H14" i="1"/>
  <c r="D14" i="1"/>
  <c r="D13" i="1" s="1"/>
  <c r="P9" i="1"/>
  <c r="G9" i="1"/>
  <c r="M51" i="3"/>
  <c r="H41" i="3"/>
  <c r="I41" i="3"/>
  <c r="J41" i="3"/>
  <c r="K41" i="3"/>
  <c r="H42" i="3"/>
  <c r="I42" i="3"/>
  <c r="J42" i="3"/>
  <c r="K42" i="3"/>
  <c r="H43" i="3"/>
  <c r="I43" i="3"/>
  <c r="J43" i="3"/>
  <c r="K43" i="3"/>
  <c r="H44" i="3"/>
  <c r="I44" i="3"/>
  <c r="J44" i="3"/>
  <c r="K44" i="3"/>
  <c r="H45" i="3"/>
  <c r="I45" i="3"/>
  <c r="J45" i="3"/>
  <c r="K45" i="3"/>
  <c r="H46" i="3"/>
  <c r="I46" i="3"/>
  <c r="J46" i="3"/>
  <c r="K46" i="3"/>
  <c r="H47" i="3"/>
  <c r="I47" i="3"/>
  <c r="J47" i="3"/>
  <c r="K47" i="3"/>
  <c r="H48" i="3"/>
  <c r="I48" i="3"/>
  <c r="J48" i="3"/>
  <c r="K48" i="3"/>
  <c r="H49" i="3"/>
  <c r="I49" i="3"/>
  <c r="J49" i="3"/>
  <c r="K49" i="3"/>
  <c r="H50" i="3"/>
  <c r="I50" i="3"/>
  <c r="J50" i="3"/>
  <c r="K50" i="3"/>
  <c r="H51" i="3"/>
  <c r="I51" i="3"/>
  <c r="J51" i="3"/>
  <c r="K51" i="3"/>
  <c r="I40" i="3"/>
  <c r="J40" i="3"/>
  <c r="K40" i="3"/>
  <c r="H40" i="3"/>
  <c r="N51" i="3"/>
  <c r="O51" i="3"/>
  <c r="P51" i="3"/>
  <c r="M41" i="3"/>
  <c r="N41" i="3"/>
  <c r="O41" i="3"/>
  <c r="P41" i="3"/>
  <c r="M42" i="3"/>
  <c r="N42" i="3"/>
  <c r="O42" i="3"/>
  <c r="P42" i="3"/>
  <c r="M43" i="3"/>
  <c r="N43" i="3"/>
  <c r="O43" i="3"/>
  <c r="P43" i="3"/>
  <c r="M44" i="3"/>
  <c r="N44" i="3"/>
  <c r="O44" i="3"/>
  <c r="P44" i="3"/>
  <c r="M45" i="3"/>
  <c r="N45" i="3"/>
  <c r="O45" i="3"/>
  <c r="P45" i="3"/>
  <c r="M46" i="3"/>
  <c r="N46" i="3"/>
  <c r="O46" i="3"/>
  <c r="P46" i="3"/>
  <c r="M47" i="3"/>
  <c r="N47" i="3"/>
  <c r="O47" i="3"/>
  <c r="P47" i="3"/>
  <c r="M48" i="3"/>
  <c r="N48" i="3"/>
  <c r="O48" i="3"/>
  <c r="P48" i="3"/>
  <c r="M49" i="3"/>
  <c r="N49" i="3"/>
  <c r="O49" i="3"/>
  <c r="P49" i="3"/>
  <c r="M50" i="3"/>
  <c r="N50" i="3"/>
  <c r="O50" i="3"/>
  <c r="P50" i="3"/>
  <c r="N40" i="3"/>
  <c r="O40" i="3"/>
  <c r="P40" i="3"/>
  <c r="M40" i="3"/>
  <c r="E51" i="3"/>
  <c r="F51" i="3"/>
  <c r="G51" i="3"/>
  <c r="D41" i="3"/>
  <c r="E41" i="3"/>
  <c r="F41" i="3"/>
  <c r="G41" i="3"/>
  <c r="D42" i="3"/>
  <c r="E42" i="3"/>
  <c r="F42" i="3"/>
  <c r="G42" i="3"/>
  <c r="D43" i="3"/>
  <c r="E43" i="3"/>
  <c r="F43" i="3"/>
  <c r="G43" i="3"/>
  <c r="D44" i="3"/>
  <c r="E44" i="3"/>
  <c r="F44" i="3"/>
  <c r="G44" i="3"/>
  <c r="D45" i="3"/>
  <c r="E45" i="3"/>
  <c r="F45" i="3"/>
  <c r="G45" i="3"/>
  <c r="D46" i="3"/>
  <c r="E46" i="3"/>
  <c r="F46" i="3"/>
  <c r="G46" i="3"/>
  <c r="D47" i="3"/>
  <c r="E47" i="3"/>
  <c r="F47" i="3"/>
  <c r="G47" i="3"/>
  <c r="D48" i="3"/>
  <c r="E48" i="3"/>
  <c r="F48" i="3"/>
  <c r="G48" i="3"/>
  <c r="D49" i="3"/>
  <c r="E49" i="3"/>
  <c r="F49" i="3"/>
  <c r="G49" i="3"/>
  <c r="D50" i="3"/>
  <c r="E50" i="3"/>
  <c r="F50" i="3"/>
  <c r="G50" i="3"/>
  <c r="E40" i="3"/>
  <c r="F40" i="3"/>
  <c r="G40" i="3"/>
  <c r="D40" i="3"/>
  <c r="M59" i="3"/>
  <c r="N59" i="3"/>
  <c r="O59" i="3"/>
  <c r="P59" i="3"/>
  <c r="N58" i="3"/>
  <c r="O58" i="3"/>
  <c r="P58" i="3"/>
  <c r="M58" i="3"/>
  <c r="N62" i="3"/>
  <c r="O62" i="3"/>
  <c r="P62" i="3"/>
  <c r="M62" i="3"/>
  <c r="E62" i="3"/>
  <c r="F62" i="3"/>
  <c r="G62" i="3"/>
  <c r="D62" i="3"/>
  <c r="D59" i="3"/>
  <c r="E59" i="3"/>
  <c r="F59" i="3"/>
  <c r="G59" i="3"/>
  <c r="E58" i="3"/>
  <c r="F58" i="3"/>
  <c r="G58" i="3"/>
  <c r="D58" i="3"/>
  <c r="P54" i="3"/>
  <c r="P53" i="3" s="1"/>
  <c r="O54" i="3"/>
  <c r="N54" i="3"/>
  <c r="N53" i="3" s="1"/>
  <c r="M54" i="3"/>
  <c r="L54" i="3" s="1"/>
  <c r="E54" i="3"/>
  <c r="F54" i="3"/>
  <c r="F53" i="3" s="1"/>
  <c r="G54" i="3"/>
  <c r="G53" i="3" s="1"/>
  <c r="D54" i="3"/>
  <c r="D53" i="3" s="1"/>
  <c r="C53" i="3" s="1"/>
  <c r="M61" i="3"/>
  <c r="N18" i="3"/>
  <c r="L18" i="3" s="1"/>
  <c r="C18" i="3"/>
  <c r="N17" i="3"/>
  <c r="I16" i="3"/>
  <c r="E16" i="3"/>
  <c r="M15" i="3"/>
  <c r="M14" i="3" s="1"/>
  <c r="H14" i="3"/>
  <c r="D14" i="3"/>
  <c r="D13" i="3" s="1"/>
  <c r="J20" i="3"/>
  <c r="I20" i="3"/>
  <c r="H32" i="3"/>
  <c r="H28" i="3"/>
  <c r="H27" i="3"/>
  <c r="D32" i="3"/>
  <c r="C32" i="3" s="1"/>
  <c r="D31" i="3"/>
  <c r="D30" i="3"/>
  <c r="C30" i="3" s="1"/>
  <c r="D28" i="3"/>
  <c r="C28" i="3" s="1"/>
  <c r="D27" i="3"/>
  <c r="D26" i="3" s="1"/>
  <c r="C26" i="3" s="1"/>
  <c r="K25" i="3"/>
  <c r="K24" i="3"/>
  <c r="G25" i="3"/>
  <c r="C25" i="3" s="1"/>
  <c r="G24" i="3"/>
  <c r="F20" i="3"/>
  <c r="F19" i="3" s="1"/>
  <c r="E20" i="3"/>
  <c r="C36" i="3"/>
  <c r="L96" i="1"/>
  <c r="C96" i="1"/>
  <c r="J62" i="3"/>
  <c r="N41" i="2"/>
  <c r="N40" i="2" s="1"/>
  <c r="N39" i="2" s="1"/>
  <c r="N50" i="2" s="1"/>
  <c r="C44" i="2"/>
  <c r="C43" i="2"/>
  <c r="E41" i="2"/>
  <c r="E40" i="2"/>
  <c r="F40" i="2"/>
  <c r="F39" i="2" s="1"/>
  <c r="F50" i="2" s="1"/>
  <c r="F47" i="2" s="1"/>
  <c r="L76" i="1"/>
  <c r="L77" i="1"/>
  <c r="L79" i="1"/>
  <c r="L80" i="1"/>
  <c r="L81" i="1"/>
  <c r="L82" i="1"/>
  <c r="L83" i="1"/>
  <c r="L84" i="1"/>
  <c r="L85" i="1"/>
  <c r="L86" i="1"/>
  <c r="L87" i="1"/>
  <c r="L88" i="1"/>
  <c r="L89" i="1"/>
  <c r="L90" i="1"/>
  <c r="L91" i="1"/>
  <c r="L92" i="1"/>
  <c r="L93" i="1"/>
  <c r="L94" i="1"/>
  <c r="L100" i="1"/>
  <c r="L73" i="1"/>
  <c r="H16" i="82" s="1"/>
  <c r="L72" i="1"/>
  <c r="G16" i="82" s="1"/>
  <c r="N71" i="1"/>
  <c r="O71" i="1"/>
  <c r="P71" i="1"/>
  <c r="M71" i="1"/>
  <c r="L70" i="1"/>
  <c r="L68" i="1"/>
  <c r="N67" i="1"/>
  <c r="P67" i="1"/>
  <c r="M67" i="1"/>
  <c r="C73" i="1"/>
  <c r="H17" i="82" s="1"/>
  <c r="C72" i="1"/>
  <c r="G17" i="82" s="1"/>
  <c r="E71" i="1"/>
  <c r="F71" i="1"/>
  <c r="K12" i="82" s="1"/>
  <c r="G71" i="1"/>
  <c r="D71" i="1"/>
  <c r="F16" i="105" s="1"/>
  <c r="F11" i="105" s="1"/>
  <c r="F208" i="105" s="1"/>
  <c r="C70" i="1"/>
  <c r="V26" i="14" s="1"/>
  <c r="Q26" i="14" s="1"/>
  <c r="C68" i="1"/>
  <c r="E67" i="1"/>
  <c r="F10" i="26" s="1"/>
  <c r="F10" i="58" s="1"/>
  <c r="L37" i="1"/>
  <c r="L38" i="1"/>
  <c r="T22" i="8" s="1"/>
  <c r="L39" i="1"/>
  <c r="R22" i="8" s="1"/>
  <c r="L40" i="1"/>
  <c r="L28" i="1"/>
  <c r="C37" i="1"/>
  <c r="C38" i="1"/>
  <c r="N22" i="8" s="1"/>
  <c r="C39" i="1"/>
  <c r="L22" i="8" s="1"/>
  <c r="C40" i="1"/>
  <c r="I34" i="8"/>
  <c r="C28" i="1"/>
  <c r="C76" i="1"/>
  <c r="C77" i="1"/>
  <c r="AS16" i="35"/>
  <c r="C79" i="1"/>
  <c r="C80" i="1"/>
  <c r="C81" i="1"/>
  <c r="C82" i="1"/>
  <c r="C83" i="1"/>
  <c r="C84" i="1"/>
  <c r="C85" i="1"/>
  <c r="C86" i="1"/>
  <c r="C87" i="1"/>
  <c r="C88" i="1"/>
  <c r="C89" i="1"/>
  <c r="C90" i="1"/>
  <c r="C91" i="1"/>
  <c r="C92" i="1"/>
  <c r="C93" i="1"/>
  <c r="C94" i="1"/>
  <c r="C100" i="1"/>
  <c r="A8" i="3"/>
  <c r="A8" i="2"/>
  <c r="O56" i="3"/>
  <c r="F56" i="3"/>
  <c r="C56" i="3" s="1"/>
  <c r="L65" i="3"/>
  <c r="L64" i="3"/>
  <c r="L63" i="3"/>
  <c r="C65" i="3"/>
  <c r="C64" i="3"/>
  <c r="C63" i="3"/>
  <c r="N7" i="3"/>
  <c r="O7" i="3" s="1"/>
  <c r="P7" i="3" s="1"/>
  <c r="B7" i="3"/>
  <c r="C7" i="3" s="1"/>
  <c r="D7" i="3" s="1"/>
  <c r="E7" i="3" s="1"/>
  <c r="F7" i="3" s="1"/>
  <c r="G7" i="3" s="1"/>
  <c r="N7" i="2"/>
  <c r="O7" i="2" s="1"/>
  <c r="P7" i="2" s="1"/>
  <c r="B7" i="2"/>
  <c r="C7" i="2" s="1"/>
  <c r="D7" i="2" s="1"/>
  <c r="E7" i="2" s="1"/>
  <c r="F7" i="2" s="1"/>
  <c r="G7" i="2" s="1"/>
  <c r="B7" i="1"/>
  <c r="C7" i="1" s="1"/>
  <c r="D7" i="1" s="1"/>
  <c r="E7" i="1" s="1"/>
  <c r="F7" i="1" s="1"/>
  <c r="G7" i="1" s="1"/>
  <c r="N7" i="1"/>
  <c r="O7" i="1" s="1"/>
  <c r="P7" i="1" s="1"/>
  <c r="C14" i="3"/>
  <c r="D51" i="3"/>
  <c r="O67" i="1"/>
  <c r="O68" i="3"/>
  <c r="L104" i="1"/>
  <c r="H43" i="8"/>
  <c r="O27" i="8"/>
  <c r="M59" i="8"/>
  <c r="G56" i="8"/>
  <c r="J27" i="8"/>
  <c r="P49" i="8"/>
  <c r="R60" i="8"/>
  <c r="P46" i="8"/>
  <c r="M60" i="8"/>
  <c r="J43" i="8"/>
  <c r="AY24" i="7"/>
  <c r="N27" i="17"/>
  <c r="M29" i="17"/>
  <c r="V45" i="17"/>
  <c r="H45" i="17"/>
  <c r="P59" i="17"/>
  <c r="P54" i="17" s="1"/>
  <c r="AL59" i="17"/>
  <c r="AB99" i="17"/>
  <c r="AT40" i="17"/>
  <c r="AK59" i="17"/>
  <c r="J81" i="17"/>
  <c r="S83" i="17"/>
  <c r="T81" i="17"/>
  <c r="K95" i="17"/>
  <c r="K93" i="17" s="1"/>
  <c r="Q93" i="17" s="1"/>
  <c r="O65" i="17"/>
  <c r="H72" i="17"/>
  <c r="AI99" i="17"/>
  <c r="O50" i="17"/>
  <c r="O45" i="17" s="1"/>
  <c r="M53" i="17"/>
  <c r="AO54" i="17"/>
  <c r="AO72" i="17"/>
  <c r="AH78" i="17"/>
  <c r="AJ77" i="17"/>
  <c r="N68" i="17"/>
  <c r="AP81" i="17"/>
  <c r="M87" i="17"/>
  <c r="H93" i="17"/>
  <c r="U95" i="17"/>
  <c r="U93" i="17" s="1"/>
  <c r="AJ99" i="17"/>
  <c r="AJ104" i="17"/>
  <c r="AK68" i="17"/>
  <c r="N83" i="17"/>
  <c r="P86" i="17"/>
  <c r="AL86" i="17"/>
  <c r="AH101" i="17"/>
  <c r="N104" i="17"/>
  <c r="AK104" i="17"/>
  <c r="Q95" i="17"/>
  <c r="N93" i="17"/>
  <c r="CA50" i="9"/>
  <c r="J24" i="16"/>
  <c r="C23" i="1"/>
  <c r="C35" i="3" s="1"/>
  <c r="J45" i="15"/>
  <c r="J15" i="15" s="1"/>
  <c r="I53" i="15"/>
  <c r="I23" i="15" s="1"/>
  <c r="H50" i="15"/>
  <c r="H20" i="15" s="1"/>
  <c r="G19" i="12"/>
  <c r="L23" i="1"/>
  <c r="L35" i="3" s="1"/>
  <c r="G20" i="12"/>
  <c r="I49" i="15"/>
  <c r="I19" i="15"/>
  <c r="F15" i="12"/>
  <c r="F20" i="103" s="1"/>
  <c r="F18" i="103" s="1"/>
  <c r="G45" i="15"/>
  <c r="G15" i="15" s="1"/>
  <c r="V33" i="14"/>
  <c r="V32" i="14" s="1"/>
  <c r="I15" i="12"/>
  <c r="I20" i="103" s="1"/>
  <c r="I18" i="103" s="1"/>
  <c r="H24" i="12"/>
  <c r="F20" i="12"/>
  <c r="H45" i="15"/>
  <c r="H15" i="15" s="1"/>
  <c r="G15" i="12"/>
  <c r="G20" i="103" s="1"/>
  <c r="M11" i="1"/>
  <c r="M11" i="3" s="1"/>
  <c r="L11" i="3" s="1"/>
  <c r="I45" i="15"/>
  <c r="I15" i="15" s="1"/>
  <c r="V34" i="14"/>
  <c r="V40" i="14" s="1"/>
  <c r="Q40" i="14" s="1"/>
  <c r="G40" i="14" s="1"/>
  <c r="H15" i="12"/>
  <c r="H20" i="103" s="1"/>
  <c r="H18" i="103" s="1"/>
  <c r="I56" i="15"/>
  <c r="I26" i="15" s="1"/>
  <c r="I18" i="12"/>
  <c r="J56" i="15"/>
  <c r="J26" i="15" s="1"/>
  <c r="H18" i="12"/>
  <c r="G51" i="15"/>
  <c r="G21" i="15" s="1"/>
  <c r="F19" i="12"/>
  <c r="I24" i="12"/>
  <c r="J24" i="12" s="1"/>
  <c r="J13" i="12" s="1"/>
  <c r="G50" i="15"/>
  <c r="H51" i="15"/>
  <c r="H21" i="15" s="1"/>
  <c r="D11" i="1"/>
  <c r="C11" i="1" s="1"/>
  <c r="D12" i="1"/>
  <c r="C12" i="1" s="1"/>
  <c r="E294" i="21"/>
  <c r="F1" i="22"/>
  <c r="E29" i="22"/>
  <c r="W29" i="22"/>
  <c r="E11" i="22"/>
  <c r="D11" i="22" s="1"/>
  <c r="H21" i="36"/>
  <c r="F21" i="36"/>
  <c r="AU23" i="35"/>
  <c r="AU26" i="35"/>
  <c r="AS19" i="35"/>
  <c r="BP9" i="35"/>
  <c r="BQ9" i="35"/>
  <c r="BR9" i="35" s="1"/>
  <c r="BS9" i="35" s="1"/>
  <c r="BT9" i="35" s="1"/>
  <c r="BT17" i="35"/>
  <c r="P24" i="35"/>
  <c r="AE57" i="35"/>
  <c r="AF13" i="35"/>
  <c r="N13" i="35"/>
  <c r="N14" i="35"/>
  <c r="P15" i="35"/>
  <c r="BG14" i="35"/>
  <c r="BI16" i="35"/>
  <c r="Q19" i="35"/>
  <c r="BJ19" i="35"/>
  <c r="BF12" i="35"/>
  <c r="BF10" i="35" s="1"/>
  <c r="BF64" i="35" s="1"/>
  <c r="AJ21" i="35"/>
  <c r="AH19" i="35"/>
  <c r="AJ19" i="35" s="1"/>
  <c r="BI27" i="35"/>
  <c r="Q28" i="35"/>
  <c r="V39" i="35"/>
  <c r="AD12" i="35"/>
  <c r="P13" i="35"/>
  <c r="O12" i="35"/>
  <c r="AA13" i="35"/>
  <c r="Z13" i="35"/>
  <c r="U16" i="35"/>
  <c r="S13" i="35"/>
  <c r="S14" i="35"/>
  <c r="U14" i="35"/>
  <c r="BT22" i="35"/>
  <c r="AT29" i="35"/>
  <c r="BQ29" i="35"/>
  <c r="BS29" i="35" s="1"/>
  <c r="AE15" i="35"/>
  <c r="AC14" i="35"/>
  <c r="AE14" i="35" s="1"/>
  <c r="BB13" i="35"/>
  <c r="AK19" i="35"/>
  <c r="K29" i="35"/>
  <c r="B29" i="35"/>
  <c r="K34" i="35"/>
  <c r="BM12" i="35"/>
  <c r="AZ13" i="35"/>
  <c r="AX12" i="35"/>
  <c r="AX10" i="35" s="1"/>
  <c r="K15" i="35"/>
  <c r="I14" i="35"/>
  <c r="K14" i="35" s="1"/>
  <c r="I13" i="35"/>
  <c r="K13" i="35" s="1"/>
  <c r="AO15" i="35"/>
  <c r="AM14" i="35"/>
  <c r="AO14" i="35" s="1"/>
  <c r="P22" i="35"/>
  <c r="P26" i="35"/>
  <c r="AR28" i="35"/>
  <c r="BQ28" i="35" s="1"/>
  <c r="BP28" i="35"/>
  <c r="C12" i="35"/>
  <c r="C10" i="35" s="1"/>
  <c r="G13" i="35"/>
  <c r="AC13" i="35"/>
  <c r="AI12" i="35"/>
  <c r="AI10" i="35" s="1"/>
  <c r="AK13" i="35"/>
  <c r="AP14" i="35"/>
  <c r="BI14" i="35"/>
  <c r="AY15" i="35"/>
  <c r="AW14" i="35"/>
  <c r="AY14" i="35" s="1"/>
  <c r="AW13" i="35"/>
  <c r="AY13" i="35"/>
  <c r="BG13" i="35"/>
  <c r="K16" i="35"/>
  <c r="B16" i="35"/>
  <c r="AJ16" i="35"/>
  <c r="AH14" i="35"/>
  <c r="AJ14" i="35" s="1"/>
  <c r="BT18" i="35"/>
  <c r="BS18" i="35"/>
  <c r="AF28" i="35"/>
  <c r="AE28" i="35"/>
  <c r="D63" i="35"/>
  <c r="AA39" i="35"/>
  <c r="Z39" i="35"/>
  <c r="W12" i="35"/>
  <c r="W10" i="35" s="1"/>
  <c r="BP13" i="35"/>
  <c r="BE19" i="35"/>
  <c r="P21" i="35"/>
  <c r="P23" i="35"/>
  <c r="P25" i="35"/>
  <c r="P27" i="35"/>
  <c r="AT34" i="35"/>
  <c r="Q39" i="35"/>
  <c r="AJ39" i="35"/>
  <c r="AJ51" i="35"/>
  <c r="AE39" i="35"/>
  <c r="BE39" i="35"/>
  <c r="H45" i="35"/>
  <c r="L45" i="35" s="1"/>
  <c r="L48" i="35"/>
  <c r="AU27" i="35"/>
  <c r="AV64" i="35"/>
  <c r="AV63" i="35"/>
  <c r="AZ39" i="35"/>
  <c r="AA45" i="35"/>
  <c r="AF51" i="35"/>
  <c r="AE51" i="35"/>
  <c r="BP51" i="35"/>
  <c r="AA57" i="35"/>
  <c r="Z57" i="35"/>
  <c r="D50" i="36"/>
  <c r="K38" i="35"/>
  <c r="BO39" i="35"/>
  <c r="BO45" i="35"/>
  <c r="BN45" i="35"/>
  <c r="AK39" i="35"/>
  <c r="AJ45" i="35"/>
  <c r="J38" i="36"/>
  <c r="B39" i="36"/>
  <c r="J39" i="36" s="1"/>
  <c r="B40" i="36" s="1"/>
  <c r="J40" i="36" s="1"/>
  <c r="B41" i="36" s="1"/>
  <c r="J41" i="36" s="1"/>
  <c r="B42" i="36" s="1"/>
  <c r="J42" i="36" s="1"/>
  <c r="B43" i="36" s="1"/>
  <c r="J43" i="36" s="1"/>
  <c r="B44" i="36" s="1"/>
  <c r="J44" i="36" s="1"/>
  <c r="B45" i="36" s="1"/>
  <c r="J45" i="36" s="1"/>
  <c r="B46" i="36" s="1"/>
  <c r="J46" i="36" s="1"/>
  <c r="B47" i="36" s="1"/>
  <c r="J47" i="36" s="1"/>
  <c r="B48" i="36" s="1"/>
  <c r="J48" i="36" s="1"/>
  <c r="B49" i="36" s="1"/>
  <c r="J49" i="36" s="1"/>
  <c r="B50" i="36"/>
  <c r="BI13" i="35"/>
  <c r="U13" i="35"/>
  <c r="AE13" i="35"/>
  <c r="AZ12" i="35"/>
  <c r="AD10" i="35"/>
  <c r="AI64" i="35"/>
  <c r="BR28" i="35"/>
  <c r="BT28" i="35" s="1"/>
  <c r="AT24" i="35"/>
  <c r="M46" i="9"/>
  <c r="BR16" i="35"/>
  <c r="AT16" i="35"/>
  <c r="BF63" i="35"/>
  <c r="AR38" i="17"/>
  <c r="AO49" i="6"/>
  <c r="BJ22" i="6"/>
  <c r="BQ31" i="6"/>
  <c r="T40" i="6"/>
  <c r="AV40" i="6"/>
  <c r="BQ43" i="6"/>
  <c r="AO41" i="9"/>
  <c r="U54" i="17"/>
  <c r="O10" i="35"/>
  <c r="BD49" i="7"/>
  <c r="E39" i="2"/>
  <c r="E50" i="2" s="1"/>
  <c r="BQ17" i="6"/>
  <c r="BJ18" i="6"/>
  <c r="BJ36" i="6"/>
  <c r="BG16" i="7"/>
  <c r="AZ49" i="7"/>
  <c r="AW16" i="7"/>
  <c r="F24" i="7"/>
  <c r="AY40" i="7"/>
  <c r="F40" i="8"/>
  <c r="G53" i="8"/>
  <c r="J52" i="8"/>
  <c r="N59" i="17"/>
  <c r="AP72" i="17"/>
  <c r="N74" i="17"/>
  <c r="AQ81" i="17"/>
  <c r="BK40" i="6"/>
  <c r="P24" i="8"/>
  <c r="H63" i="17"/>
  <c r="M13" i="3"/>
  <c r="L14" i="3"/>
  <c r="BL16" i="6"/>
  <c r="BE49" i="7"/>
  <c r="G31" i="8"/>
  <c r="O30" i="8"/>
  <c r="O35" i="8"/>
  <c r="N50" i="17"/>
  <c r="M24" i="2"/>
  <c r="L24" i="2" s="1"/>
  <c r="H31" i="3"/>
  <c r="F74" i="1"/>
  <c r="BZ20" i="42"/>
  <c r="BZ44" i="42" s="1"/>
  <c r="CA25" i="9"/>
  <c r="N68" i="3"/>
  <c r="BQ26" i="9"/>
  <c r="BO49" i="6"/>
  <c r="BW49" i="6"/>
  <c r="BQ30" i="6"/>
  <c r="BT40" i="6"/>
  <c r="BX40" i="6"/>
  <c r="M16" i="7"/>
  <c r="BB24" i="7"/>
  <c r="BJ24" i="7"/>
  <c r="AW24" i="7"/>
  <c r="M32" i="7"/>
  <c r="AV35" i="7"/>
  <c r="AA40" i="7"/>
  <c r="BG40" i="7"/>
  <c r="H27" i="8"/>
  <c r="Q27" i="8"/>
  <c r="AA33" i="9"/>
  <c r="AP54" i="17"/>
  <c r="N56" i="17"/>
  <c r="Q68" i="17"/>
  <c r="G15" i="27"/>
  <c r="H337" i="1"/>
  <c r="I337" i="1" s="1"/>
  <c r="AK110" i="17"/>
  <c r="D29" i="3"/>
  <c r="C29" i="3" s="1"/>
  <c r="BQ42" i="6"/>
  <c r="BF49" i="7"/>
  <c r="BF16" i="7"/>
  <c r="BJ16" i="7"/>
  <c r="AZ24" i="7"/>
  <c r="BD24" i="7"/>
  <c r="BH24" i="7"/>
  <c r="AA32" i="7"/>
  <c r="AW32" i="7"/>
  <c r="BI32" i="7"/>
  <c r="AO40" i="7"/>
  <c r="J49" i="8"/>
  <c r="AO45" i="17"/>
  <c r="AB83" i="17"/>
  <c r="CH20" i="42"/>
  <c r="CH44" i="42" s="1"/>
  <c r="AH24" i="7"/>
  <c r="BC37" i="7"/>
  <c r="BA40" i="7"/>
  <c r="H17" i="8"/>
  <c r="Q30" i="8"/>
  <c r="DG33" i="9"/>
  <c r="BC41" i="9"/>
  <c r="AT66" i="17"/>
  <c r="P77" i="17"/>
  <c r="AO95" i="17"/>
  <c r="AO93" i="17" s="1"/>
  <c r="AS15" i="35"/>
  <c r="B13" i="33"/>
  <c r="BC27" i="7"/>
  <c r="AO32" i="7"/>
  <c r="BC42" i="7"/>
  <c r="BQ40" i="7"/>
  <c r="AV47" i="7"/>
  <c r="P18" i="8"/>
  <c r="Q40" i="8"/>
  <c r="F49" i="8"/>
  <c r="Q55" i="8"/>
  <c r="AO33" i="9"/>
  <c r="CS33" i="9"/>
  <c r="W45" i="17"/>
  <c r="AT51" i="17"/>
  <c r="M61" i="17"/>
  <c r="AI65" i="17"/>
  <c r="M69" i="17"/>
  <c r="AJ74" i="17"/>
  <c r="AJ72" i="17" s="1"/>
  <c r="AH114" i="17"/>
  <c r="CO20" i="42"/>
  <c r="F13" i="35"/>
  <c r="E12" i="35"/>
  <c r="F12" i="35" s="1"/>
  <c r="AY21" i="35"/>
  <c r="BS31" i="35"/>
  <c r="BT31" i="35"/>
  <c r="V57" i="35"/>
  <c r="U57" i="35"/>
  <c r="AY57" i="35"/>
  <c r="AZ57" i="35"/>
  <c r="H38" i="36"/>
  <c r="F38" i="36"/>
  <c r="I38" i="36" s="1"/>
  <c r="BH12" i="35"/>
  <c r="BJ13" i="35"/>
  <c r="Y12" i="35"/>
  <c r="Y10" i="35" s="1"/>
  <c r="Y63" i="35" s="1"/>
  <c r="AW28" i="35"/>
  <c r="AY28" i="35" s="1"/>
  <c r="AK45" i="35"/>
  <c r="AZ51" i="35"/>
  <c r="AY51" i="35"/>
  <c r="AT21" i="35"/>
  <c r="AU21" i="35"/>
  <c r="BQ15" i="35"/>
  <c r="AR13" i="35"/>
  <c r="K24" i="35"/>
  <c r="BQ26" i="35"/>
  <c r="BT30" i="35"/>
  <c r="BT32" i="35"/>
  <c r="AY45" i="35"/>
  <c r="AZ45" i="35"/>
  <c r="L51" i="35"/>
  <c r="K51" i="35"/>
  <c r="E50" i="36"/>
  <c r="BQ22" i="35"/>
  <c r="AT22" i="35"/>
  <c r="BN24" i="35"/>
  <c r="BL19" i="35"/>
  <c r="BN19" i="35" s="1"/>
  <c r="X28" i="35"/>
  <c r="Z28" i="35" s="1"/>
  <c r="AA28" i="35"/>
  <c r="AK28" i="35"/>
  <c r="K39" i="35"/>
  <c r="Q48" i="35"/>
  <c r="Q51" i="35"/>
  <c r="BD57" i="35"/>
  <c r="BE57" i="35"/>
  <c r="B57" i="35"/>
  <c r="O43" i="41"/>
  <c r="I43" i="36"/>
  <c r="I49" i="36"/>
  <c r="P40" i="42"/>
  <c r="P32" i="60" s="1"/>
  <c r="P61" i="84" s="1"/>
  <c r="Q45" i="9"/>
  <c r="O29" i="41"/>
  <c r="BS17" i="35"/>
  <c r="F19" i="35"/>
  <c r="U51" i="35"/>
  <c r="V51" i="35"/>
  <c r="BQ57" i="35"/>
  <c r="I46" i="36"/>
  <c r="H50" i="36"/>
  <c r="F47" i="41"/>
  <c r="F46" i="41" s="1"/>
  <c r="I46" i="41"/>
  <c r="CY44" i="42"/>
  <c r="CY27" i="42"/>
  <c r="I40" i="41"/>
  <c r="BW27" i="42"/>
  <c r="I40" i="36"/>
  <c r="F41" i="41"/>
  <c r="O24" i="41"/>
  <c r="G29" i="41"/>
  <c r="F35" i="41"/>
  <c r="P37" i="41"/>
  <c r="P46" i="41"/>
  <c r="CK11" i="42"/>
  <c r="DF44" i="42"/>
  <c r="DF11" i="42"/>
  <c r="BB11" i="42"/>
  <c r="L19" i="42"/>
  <c r="AG27" i="42"/>
  <c r="F17" i="41"/>
  <c r="F22" i="41"/>
  <c r="F25" i="41"/>
  <c r="F38" i="41"/>
  <c r="N37" i="41"/>
  <c r="F50" i="41"/>
  <c r="N49" i="41"/>
  <c r="BW11" i="42"/>
  <c r="S27" i="42"/>
  <c r="AN35" i="42"/>
  <c r="CV20" i="42"/>
  <c r="CW25" i="9"/>
  <c r="BH10" i="35"/>
  <c r="BH63" i="35" s="1"/>
  <c r="BJ12" i="35"/>
  <c r="CN20" i="42"/>
  <c r="CO25" i="9"/>
  <c r="N54" i="17"/>
  <c r="E10" i="35"/>
  <c r="E63" i="35" s="1"/>
  <c r="P41" i="2"/>
  <c r="P40" i="2" s="1"/>
  <c r="P39" i="2" s="1"/>
  <c r="P50" i="2" s="1"/>
  <c r="C42" i="2"/>
  <c r="AT15" i="35"/>
  <c r="BR15" i="35"/>
  <c r="BT15" i="35" s="1"/>
  <c r="AU15" i="35"/>
  <c r="AS14" i="35"/>
  <c r="AS13" i="35"/>
  <c r="BM20" i="42"/>
  <c r="BM19" i="42" s="1"/>
  <c r="BN25" i="9"/>
  <c r="CG20" i="42"/>
  <c r="CG19" i="60" s="1"/>
  <c r="CG18" i="60" s="1"/>
  <c r="CG9" i="60" s="1"/>
  <c r="CG44" i="60" s="1"/>
  <c r="CH25" i="9"/>
  <c r="CE26" i="9"/>
  <c r="BS20" i="42"/>
  <c r="BT25" i="9"/>
  <c r="F50" i="36"/>
  <c r="BL20" i="42"/>
  <c r="BL19" i="60" s="1"/>
  <c r="BL18" i="60" s="1"/>
  <c r="BL9" i="60" s="1"/>
  <c r="BL44" i="60" s="1"/>
  <c r="BJ26" i="9"/>
  <c r="BJ25" i="9" s="1"/>
  <c r="BM25" i="9"/>
  <c r="O64" i="35"/>
  <c r="O63" i="35"/>
  <c r="BT20" i="42"/>
  <c r="BU25" i="9"/>
  <c r="BS15" i="35"/>
  <c r="G44" i="15" l="1"/>
  <c r="BS34" i="35"/>
  <c r="BS24" i="35"/>
  <c r="F319" i="1"/>
  <c r="E26" i="106" s="1"/>
  <c r="G375" i="65"/>
  <c r="D375" i="65"/>
  <c r="E375" i="65"/>
  <c r="F375" i="65"/>
  <c r="L373" i="65"/>
  <c r="P94" i="65"/>
  <c r="K22" i="8"/>
  <c r="K28" i="99" s="1"/>
  <c r="K31" i="99" s="1"/>
  <c r="BT29" i="35"/>
  <c r="BS26" i="35"/>
  <c r="BR13" i="35"/>
  <c r="BT13" i="35" s="1"/>
  <c r="Q33" i="14"/>
  <c r="G33" i="14" s="1"/>
  <c r="N30" i="59"/>
  <c r="M30" i="83" s="1"/>
  <c r="M33" i="83"/>
  <c r="I14" i="15"/>
  <c r="BS23" i="35"/>
  <c r="I22" i="59"/>
  <c r="I22" i="8"/>
  <c r="I28" i="99" s="1"/>
  <c r="I31" i="99" s="1"/>
  <c r="Q28" i="99"/>
  <c r="Q31" i="99" s="1"/>
  <c r="Q30" i="99" s="1"/>
  <c r="L28" i="99"/>
  <c r="L31" i="99" s="1"/>
  <c r="L30" i="99" s="1"/>
  <c r="M28" i="99"/>
  <c r="M31" i="99" s="1"/>
  <c r="M30" i="99" s="1"/>
  <c r="P28" i="99"/>
  <c r="P31" i="99" s="1"/>
  <c r="P30" i="99" s="1"/>
  <c r="BL19" i="42"/>
  <c r="BL44" i="42"/>
  <c r="I19" i="8"/>
  <c r="K19" i="8"/>
  <c r="K18" i="8" s="1"/>
  <c r="F19" i="105"/>
  <c r="F14" i="105" s="1"/>
  <c r="E21" i="106"/>
  <c r="E16" i="106" s="1"/>
  <c r="F318" i="1"/>
  <c r="F66" i="1"/>
  <c r="F279" i="1" s="1"/>
  <c r="F298" i="1" s="1"/>
  <c r="H44" i="15"/>
  <c r="G20" i="15"/>
  <c r="J20" i="103"/>
  <c r="G18" i="103"/>
  <c r="J18" i="103" s="1"/>
  <c r="O40" i="42"/>
  <c r="O32" i="60" s="1"/>
  <c r="O61" i="84" s="1"/>
  <c r="L61" i="84" s="1"/>
  <c r="F59" i="85" s="1"/>
  <c r="Q70" i="97"/>
  <c r="M70" i="97" s="1"/>
  <c r="D57" i="75"/>
  <c r="G63" i="76"/>
  <c r="G65" i="76" s="1"/>
  <c r="H42" i="42"/>
  <c r="H34" i="60" s="1"/>
  <c r="J72" i="97"/>
  <c r="H40" i="42"/>
  <c r="J70" i="97"/>
  <c r="I42" i="42"/>
  <c r="I34" i="60" s="1"/>
  <c r="I63" i="84" s="1"/>
  <c r="K72" i="97"/>
  <c r="I40" i="42"/>
  <c r="I32" i="60" s="1"/>
  <c r="I61" i="84" s="1"/>
  <c r="K70" i="97"/>
  <c r="O42" i="42"/>
  <c r="Q72" i="97"/>
  <c r="M72" i="97" s="1"/>
  <c r="DG50" i="9"/>
  <c r="D59" i="75"/>
  <c r="G92" i="76"/>
  <c r="P41" i="42"/>
  <c r="R71" i="97"/>
  <c r="M71" i="97" s="1"/>
  <c r="P42" i="42"/>
  <c r="P34" i="60" s="1"/>
  <c r="P63" i="84" s="1"/>
  <c r="H63" i="84"/>
  <c r="CO19" i="60"/>
  <c r="CO39" i="84" s="1"/>
  <c r="P12" i="2"/>
  <c r="O11" i="2"/>
  <c r="L12" i="2"/>
  <c r="L13" i="2"/>
  <c r="H8" i="82"/>
  <c r="H14" i="82" s="1"/>
  <c r="G8" i="82"/>
  <c r="G14" i="82" s="1"/>
  <c r="D169" i="4"/>
  <c r="K13" i="82"/>
  <c r="AJ37" i="97"/>
  <c r="BE37" i="97"/>
  <c r="K25" i="99"/>
  <c r="P55" i="97"/>
  <c r="F113" i="76"/>
  <c r="F114" i="76"/>
  <c r="AQ37" i="97"/>
  <c r="BG50" i="9"/>
  <c r="BG48" i="97"/>
  <c r="BG37" i="97" s="1"/>
  <c r="BG18" i="97" s="1"/>
  <c r="BG94" i="97" s="1"/>
  <c r="O39" i="42"/>
  <c r="O31" i="60" s="1"/>
  <c r="O60" i="84" s="1"/>
  <c r="Q69" i="97"/>
  <c r="AL34" i="17"/>
  <c r="H12" i="58"/>
  <c r="K12" i="58" s="1"/>
  <c r="Q41" i="9"/>
  <c r="R69" i="97"/>
  <c r="K11" i="58"/>
  <c r="AR20" i="42"/>
  <c r="AR44" i="42" s="1"/>
  <c r="AS48" i="97"/>
  <c r="AS37" i="97" s="1"/>
  <c r="AS18" i="97" s="1"/>
  <c r="AS94" i="97" s="1"/>
  <c r="AX37" i="97"/>
  <c r="G113" i="76"/>
  <c r="G114" i="76"/>
  <c r="AZ50" i="9"/>
  <c r="AZ48" i="97"/>
  <c r="AZ37" i="97" s="1"/>
  <c r="AZ18" i="97" s="1"/>
  <c r="AZ94" i="97" s="1"/>
  <c r="I55" i="97"/>
  <c r="J349" i="1"/>
  <c r="E12" i="26"/>
  <c r="E12" i="58" s="1"/>
  <c r="CV41" i="9"/>
  <c r="AX63" i="35"/>
  <c r="AX64" i="35"/>
  <c r="H13" i="12"/>
  <c r="G14" i="15"/>
  <c r="P11" i="2"/>
  <c r="P10" i="2" s="1"/>
  <c r="P9" i="2" s="1"/>
  <c r="L17" i="2"/>
  <c r="M16" i="2"/>
  <c r="H16" i="2" s="1"/>
  <c r="AH24" i="6"/>
  <c r="BJ25" i="6"/>
  <c r="AH40" i="6"/>
  <c r="M40" i="6"/>
  <c r="BL40" i="6"/>
  <c r="BP40" i="6"/>
  <c r="BQ44" i="6"/>
  <c r="BQ45" i="6"/>
  <c r="M49" i="7"/>
  <c r="AV42" i="7"/>
  <c r="AV43" i="7"/>
  <c r="AV44" i="7"/>
  <c r="G29" i="8"/>
  <c r="M33" i="8"/>
  <c r="S33" i="8"/>
  <c r="P40" i="8"/>
  <c r="BC17" i="9"/>
  <c r="CE17" i="9"/>
  <c r="AA25" i="9"/>
  <c r="AH29" i="17"/>
  <c r="T45" i="17"/>
  <c r="M48" i="17"/>
  <c r="M62" i="17"/>
  <c r="AI68" i="17"/>
  <c r="AI63" i="17" s="1"/>
  <c r="AT70" i="17"/>
  <c r="AK77" i="17"/>
  <c r="AT89" i="17"/>
  <c r="L13" i="35"/>
  <c r="AF14" i="35"/>
  <c r="BT25" i="35"/>
  <c r="BS30" i="35"/>
  <c r="BS32" i="35"/>
  <c r="Q45" i="35"/>
  <c r="BE51" i="35"/>
  <c r="L27" i="74"/>
  <c r="J27" i="68"/>
  <c r="L19" i="74"/>
  <c r="J19" i="68"/>
  <c r="L21" i="74"/>
  <c r="J21" i="68"/>
  <c r="L23" i="74"/>
  <c r="J23" i="68"/>
  <c r="D14" i="4"/>
  <c r="AH776" i="63" s="1"/>
  <c r="J42" i="68"/>
  <c r="F24" i="59"/>
  <c r="O25" i="59"/>
  <c r="P43" i="41"/>
  <c r="O46" i="41"/>
  <c r="E49" i="41"/>
  <c r="Z27" i="42"/>
  <c r="CD27" i="42"/>
  <c r="CR27" i="42"/>
  <c r="E37" i="50"/>
  <c r="F37" i="50" s="1"/>
  <c r="L14" i="74"/>
  <c r="J14" i="68"/>
  <c r="BQ22" i="6"/>
  <c r="BJ23" i="6"/>
  <c r="BO16" i="6"/>
  <c r="BJ38" i="6"/>
  <c r="BQ47" i="6"/>
  <c r="AY32" i="7"/>
  <c r="BG32" i="7"/>
  <c r="BQ32" i="7"/>
  <c r="BB32" i="7"/>
  <c r="G38" i="14"/>
  <c r="N45" i="17"/>
  <c r="P50" i="17"/>
  <c r="AH61" i="17"/>
  <c r="AH64" i="17"/>
  <c r="M67" i="17"/>
  <c r="S68" i="17"/>
  <c r="AN68" i="17"/>
  <c r="G77" i="17"/>
  <c r="AB77" i="17"/>
  <c r="AN77" i="17"/>
  <c r="AI77" i="17"/>
  <c r="AH79" i="17"/>
  <c r="O77" i="17"/>
  <c r="M85" i="17"/>
  <c r="AI83" i="17"/>
  <c r="G86" i="17"/>
  <c r="AF81" i="17"/>
  <c r="AN86" i="17"/>
  <c r="AI86" i="17"/>
  <c r="O86" i="17"/>
  <c r="O81" i="17" s="1"/>
  <c r="G99" i="17"/>
  <c r="X1" i="22"/>
  <c r="R12" i="35"/>
  <c r="R10" i="35" s="1"/>
  <c r="BK12" i="35"/>
  <c r="BK10" i="35" s="1"/>
  <c r="N19" i="35"/>
  <c r="BR21" i="35"/>
  <c r="BT21" i="35" s="1"/>
  <c r="L17" i="74"/>
  <c r="J17" i="68"/>
  <c r="L24" i="74"/>
  <c r="J24" i="68"/>
  <c r="O63" i="17"/>
  <c r="AU16" i="35"/>
  <c r="L15" i="74"/>
  <c r="J15" i="68"/>
  <c r="L23" i="2"/>
  <c r="M22" i="2"/>
  <c r="H22" i="2" s="1"/>
  <c r="AV49" i="6"/>
  <c r="BM16" i="6"/>
  <c r="BQ19" i="6"/>
  <c r="BV49" i="6"/>
  <c r="F49" i="6"/>
  <c r="AH49" i="6"/>
  <c r="BJ21" i="6"/>
  <c r="BU16" i="6"/>
  <c r="CE16" i="6"/>
  <c r="BQ36" i="6"/>
  <c r="BQ37" i="6"/>
  <c r="BV32" i="6"/>
  <c r="BQ48" i="6"/>
  <c r="BG49" i="7"/>
  <c r="BQ49" i="7"/>
  <c r="AX16" i="7"/>
  <c r="BB16" i="7"/>
  <c r="AV25" i="7"/>
  <c r="BC26" i="7"/>
  <c r="BC28" i="7"/>
  <c r="BC31" i="7"/>
  <c r="BC44" i="7"/>
  <c r="CZ50" i="9"/>
  <c r="AV33" i="9"/>
  <c r="CZ41" i="9"/>
  <c r="AH41" i="9"/>
  <c r="G29" i="14"/>
  <c r="G37" i="14"/>
  <c r="AJ27" i="17"/>
  <c r="AP44" i="17"/>
  <c r="M52" i="17"/>
  <c r="M57" i="17"/>
  <c r="S104" i="17"/>
  <c r="AC95" i="17"/>
  <c r="AN104" i="17"/>
  <c r="AT105" i="17"/>
  <c r="M106" i="17"/>
  <c r="M108" i="17"/>
  <c r="AH112" i="17"/>
  <c r="L1" i="22"/>
  <c r="B15" i="35"/>
  <c r="B14" i="35" s="1"/>
  <c r="BP14" i="35"/>
  <c r="G19" i="35"/>
  <c r="J12" i="35"/>
  <c r="V19" i="35"/>
  <c r="BQ25" i="35"/>
  <c r="BS25" i="35" s="1"/>
  <c r="L18" i="74"/>
  <c r="J18" i="68"/>
  <c r="L20" i="74"/>
  <c r="J20" i="68"/>
  <c r="L22" i="74"/>
  <c r="J22" i="68"/>
  <c r="L25" i="74"/>
  <c r="J25" i="68"/>
  <c r="M47" i="9"/>
  <c r="M110" i="76" s="1"/>
  <c r="M116" i="76" s="1"/>
  <c r="F36" i="41"/>
  <c r="F34" i="41" s="1"/>
  <c r="F39" i="41"/>
  <c r="F37" i="41" s="1"/>
  <c r="E43" i="41"/>
  <c r="E36" i="50"/>
  <c r="F36" i="50" s="1"/>
  <c r="BR14" i="35"/>
  <c r="BT14" i="35" s="1"/>
  <c r="M50" i="17"/>
  <c r="P25" i="3"/>
  <c r="L25" i="3" s="1"/>
  <c r="N16" i="3"/>
  <c r="BV24" i="6"/>
  <c r="AY49" i="7"/>
  <c r="BC20" i="7"/>
  <c r="BH16" i="7"/>
  <c r="F49" i="7"/>
  <c r="AH16" i="7"/>
  <c r="BE40" i="7"/>
  <c r="BI40" i="7"/>
  <c r="AV45" i="7"/>
  <c r="G41" i="8"/>
  <c r="O40" i="8"/>
  <c r="F43" i="8"/>
  <c r="P43" i="8"/>
  <c r="G45" i="8"/>
  <c r="O46" i="8"/>
  <c r="H46" i="8"/>
  <c r="G48" i="8"/>
  <c r="F35" i="8"/>
  <c r="F55" i="8"/>
  <c r="BX17" i="9"/>
  <c r="CZ17" i="9"/>
  <c r="AK27" i="17"/>
  <c r="M42" i="17"/>
  <c r="AT42" i="17"/>
  <c r="S50" i="17"/>
  <c r="AN50" i="17"/>
  <c r="AT50" i="17" s="1"/>
  <c r="M51" i="17"/>
  <c r="AT52" i="17"/>
  <c r="S56" i="17"/>
  <c r="O56" i="17"/>
  <c r="M56" i="17" s="1"/>
  <c r="AT62" i="17"/>
  <c r="M70" i="17"/>
  <c r="AL68" i="17"/>
  <c r="AL63" i="17" s="1"/>
  <c r="M71" i="17"/>
  <c r="J72" i="17"/>
  <c r="AT82" i="17"/>
  <c r="G83" i="17"/>
  <c r="S81" i="17"/>
  <c r="M88" i="17"/>
  <c r="AH88" i="17"/>
  <c r="AH89" i="17"/>
  <c r="V95" i="17"/>
  <c r="V93" i="17" s="1"/>
  <c r="P57" i="27"/>
  <c r="H12" i="35"/>
  <c r="H10" i="35" s="1"/>
  <c r="BL12" i="35"/>
  <c r="BL10" i="35" s="1"/>
  <c r="BL63" i="35" s="1"/>
  <c r="G14" i="35"/>
  <c r="Q14" i="35"/>
  <c r="AA14" i="35"/>
  <c r="AR14" i="35"/>
  <c r="AT14" i="35" s="1"/>
  <c r="AA19" i="35"/>
  <c r="BS22" i="35"/>
  <c r="P28" i="35"/>
  <c r="V28" i="35"/>
  <c r="AJ28" i="35"/>
  <c r="F57" i="35"/>
  <c r="AF57" i="35"/>
  <c r="AP57" i="35"/>
  <c r="I45" i="36"/>
  <c r="BR27" i="35"/>
  <c r="G21" i="41"/>
  <c r="P21" i="41"/>
  <c r="G37" i="41"/>
  <c r="G40" i="41"/>
  <c r="P40" i="41"/>
  <c r="G43" i="41"/>
  <c r="I43" i="41"/>
  <c r="AU27" i="42"/>
  <c r="G18" i="31"/>
  <c r="G18" i="43" s="1"/>
  <c r="F324" i="1"/>
  <c r="AC44" i="17"/>
  <c r="AC21" i="17" s="1"/>
  <c r="AI21" i="17" s="1"/>
  <c r="T20" i="20"/>
  <c r="L44" i="2"/>
  <c r="AN63" i="17"/>
  <c r="AO44" i="17"/>
  <c r="T93" i="17"/>
  <c r="S93" i="17" s="1"/>
  <c r="S95" i="17"/>
  <c r="R63" i="35"/>
  <c r="R64" i="35"/>
  <c r="AY19" i="35"/>
  <c r="AW12" i="35"/>
  <c r="P19" i="35"/>
  <c r="N12" i="35"/>
  <c r="P33" i="60"/>
  <c r="P62" i="84" s="1"/>
  <c r="AC93" i="17"/>
  <c r="AI93" i="17" s="1"/>
  <c r="AI95" i="17"/>
  <c r="AT104" i="17"/>
  <c r="M10" i="35"/>
  <c r="Q12" i="35"/>
  <c r="J10" i="35"/>
  <c r="L12" i="35"/>
  <c r="AK12" i="35"/>
  <c r="AG10" i="35"/>
  <c r="E40" i="42"/>
  <c r="H32" i="60"/>
  <c r="AH715" i="63"/>
  <c r="D291" i="4"/>
  <c r="AY16" i="7"/>
  <c r="H64" i="35"/>
  <c r="AB64" i="35"/>
  <c r="P12" i="59"/>
  <c r="N12" i="83" s="1"/>
  <c r="F20" i="59"/>
  <c r="N21" i="41"/>
  <c r="N23" i="59"/>
  <c r="N22" i="59" s="1"/>
  <c r="I29" i="41"/>
  <c r="I33" i="59"/>
  <c r="I33" i="83" s="1"/>
  <c r="BP27" i="42"/>
  <c r="L12" i="41"/>
  <c r="L14" i="59"/>
  <c r="L31" i="59"/>
  <c r="L29" i="59"/>
  <c r="L28" i="59" s="1"/>
  <c r="T49" i="7"/>
  <c r="G10" i="35"/>
  <c r="G64" i="35" s="1"/>
  <c r="AA10" i="35"/>
  <c r="AA64" i="35" s="1"/>
  <c r="BS44" i="42"/>
  <c r="BS19" i="60"/>
  <c r="BS18" i="60" s="1"/>
  <c r="BS9" i="60" s="1"/>
  <c r="BS44" i="60" s="1"/>
  <c r="M84" i="17"/>
  <c r="G26" i="8"/>
  <c r="G47" i="8"/>
  <c r="AB104" i="17"/>
  <c r="AX32" i="7"/>
  <c r="BS16" i="6"/>
  <c r="BK16" i="6"/>
  <c r="O17" i="8"/>
  <c r="O60" i="8" s="1"/>
  <c r="BH49" i="7"/>
  <c r="BJ41" i="6"/>
  <c r="AN83" i="17"/>
  <c r="AT83" i="17" s="1"/>
  <c r="BQ16" i="7"/>
  <c r="F16" i="7"/>
  <c r="BV16" i="6"/>
  <c r="BR49" i="6"/>
  <c r="BJ17" i="6"/>
  <c r="M16" i="6"/>
  <c r="AO39" i="35"/>
  <c r="BN57" i="35"/>
  <c r="B23" i="35"/>
  <c r="S19" i="35"/>
  <c r="B22" i="35"/>
  <c r="BB14" i="35"/>
  <c r="BD14" i="35" s="1"/>
  <c r="BJ39" i="35"/>
  <c r="BD15" i="35"/>
  <c r="BC12" i="35"/>
  <c r="BC10" i="35" s="1"/>
  <c r="L19" i="35"/>
  <c r="Q13" i="35"/>
  <c r="AN63" i="35"/>
  <c r="P14" i="35"/>
  <c r="B24" i="35"/>
  <c r="J44" i="15"/>
  <c r="D4" i="22"/>
  <c r="D39" i="22" s="1"/>
  <c r="D41" i="22" s="1"/>
  <c r="V18" i="14"/>
  <c r="AK99" i="17"/>
  <c r="AL77" i="17"/>
  <c r="AN65" i="17"/>
  <c r="AH60" i="17"/>
  <c r="N65" i="17"/>
  <c r="N63" i="17" s="1"/>
  <c r="AH28" i="17"/>
  <c r="N23" i="17"/>
  <c r="AV17" i="7"/>
  <c r="G28" i="8"/>
  <c r="G27" i="8" s="1"/>
  <c r="F16" i="6"/>
  <c r="AH16" i="6"/>
  <c r="BQ18" i="6"/>
  <c r="BQ29" i="6"/>
  <c r="BX32" i="6"/>
  <c r="BX49" i="6"/>
  <c r="T49" i="6"/>
  <c r="BM49" i="6"/>
  <c r="BU49" i="6"/>
  <c r="BC49" i="6"/>
  <c r="BO40" i="6"/>
  <c r="BI16" i="7"/>
  <c r="AV19" i="7"/>
  <c r="AV20" i="7"/>
  <c r="BE32" i="7"/>
  <c r="O55" i="8"/>
  <c r="AH17" i="9"/>
  <c r="K14" i="15"/>
  <c r="O27" i="17"/>
  <c r="J45" i="17"/>
  <c r="K45" i="17"/>
  <c r="AK50" i="17"/>
  <c r="M55" i="17"/>
  <c r="M58" i="17"/>
  <c r="AJ59" i="17"/>
  <c r="AH59" i="17" s="1"/>
  <c r="AK65" i="17"/>
  <c r="AK63" i="17" s="1"/>
  <c r="AH71" i="17"/>
  <c r="M80" i="17"/>
  <c r="AT84" i="17"/>
  <c r="AB86" i="17"/>
  <c r="AH87" i="17"/>
  <c r="M89" i="17"/>
  <c r="AL99" i="17"/>
  <c r="O99" i="17"/>
  <c r="M105" i="17"/>
  <c r="F23" i="20"/>
  <c r="T12" i="35"/>
  <c r="AZ14" i="35"/>
  <c r="BJ14" i="35"/>
  <c r="AP19" i="35"/>
  <c r="BO19" i="35"/>
  <c r="BP39" i="35"/>
  <c r="AP45" i="35"/>
  <c r="G51" i="35"/>
  <c r="P51" i="35"/>
  <c r="BJ51" i="35"/>
  <c r="AJ57" i="35"/>
  <c r="I41" i="36"/>
  <c r="O41" i="42"/>
  <c r="O33" i="60" s="1"/>
  <c r="F14" i="41"/>
  <c r="I15" i="59"/>
  <c r="I15" i="83" s="1"/>
  <c r="F18" i="59"/>
  <c r="F18" i="83" s="1"/>
  <c r="N18" i="41"/>
  <c r="P18" i="41"/>
  <c r="F20" i="41"/>
  <c r="I21" i="59"/>
  <c r="F21" i="59" s="1"/>
  <c r="E21" i="41"/>
  <c r="O21" i="41"/>
  <c r="O23" i="59"/>
  <c r="O22" i="59" s="1"/>
  <c r="P24" i="41"/>
  <c r="L28" i="41"/>
  <c r="L27" i="41" s="1"/>
  <c r="N46" i="41"/>
  <c r="E29" i="41"/>
  <c r="S19" i="42"/>
  <c r="AG35" i="42"/>
  <c r="BI35" i="42"/>
  <c r="CK35" i="42"/>
  <c r="O13" i="41"/>
  <c r="R14" i="59"/>
  <c r="O32" i="41"/>
  <c r="H35" i="50"/>
  <c r="H84" i="2"/>
  <c r="AV40" i="7"/>
  <c r="BC21" i="7"/>
  <c r="E2" i="35"/>
  <c r="L39" i="35"/>
  <c r="AC19" i="35"/>
  <c r="I19" i="35"/>
  <c r="K19" i="35" s="1"/>
  <c r="BG28" i="35"/>
  <c r="BI28" i="35" s="1"/>
  <c r="X19" i="35"/>
  <c r="G20" i="20"/>
  <c r="Q20" i="20" s="1"/>
  <c r="AH66" i="17"/>
  <c r="AW40" i="7"/>
  <c r="T32" i="7"/>
  <c r="AH84" i="17"/>
  <c r="BJ49" i="7"/>
  <c r="J93" i="17"/>
  <c r="P93" i="17" s="1"/>
  <c r="BC33" i="7"/>
  <c r="DG17" i="9"/>
  <c r="P16" i="8"/>
  <c r="AN81" i="17"/>
  <c r="AT81" i="17" s="1"/>
  <c r="BR24" i="6"/>
  <c r="BK24" i="6"/>
  <c r="AZ10" i="35"/>
  <c r="AZ64" i="35" s="1"/>
  <c r="AB63" i="35"/>
  <c r="H63" i="35"/>
  <c r="U28" i="35"/>
  <c r="B26" i="35"/>
  <c r="BN13" i="35"/>
  <c r="B34" i="35"/>
  <c r="AN64" i="35"/>
  <c r="BG19" i="35"/>
  <c r="W1" i="22"/>
  <c r="Q34" i="14"/>
  <c r="G34" i="14" s="1"/>
  <c r="F13" i="12"/>
  <c r="AH85" i="17"/>
  <c r="AH70" i="17"/>
  <c r="N86" i="17"/>
  <c r="M86" i="17" s="1"/>
  <c r="I72" i="17"/>
  <c r="AH51" i="17"/>
  <c r="G56" i="17"/>
  <c r="G45" i="17"/>
  <c r="G23" i="17"/>
  <c r="G23" i="8"/>
  <c r="F20" i="65"/>
  <c r="K21" i="65"/>
  <c r="K20" i="65" s="1"/>
  <c r="BQ23" i="6"/>
  <c r="BQ25" i="6"/>
  <c r="BJ29" i="6"/>
  <c r="BL32" i="6"/>
  <c r="BP32" i="6"/>
  <c r="BQ34" i="6"/>
  <c r="AA16" i="7"/>
  <c r="AX49" i="7"/>
  <c r="BE24" i="7"/>
  <c r="BI24" i="7"/>
  <c r="BC30" i="7"/>
  <c r="AH32" i="7"/>
  <c r="F40" i="7"/>
  <c r="BD40" i="7"/>
  <c r="BC43" i="7"/>
  <c r="AX40" i="7"/>
  <c r="BB40" i="7"/>
  <c r="S15" i="8"/>
  <c r="S58" i="8" s="1"/>
  <c r="P17" i="8"/>
  <c r="I60" i="8"/>
  <c r="Q49" i="8"/>
  <c r="H52" i="8"/>
  <c r="P55" i="8"/>
  <c r="AA17" i="9"/>
  <c r="F25" i="9"/>
  <c r="AH33" i="9"/>
  <c r="CL33" i="9"/>
  <c r="T33" i="9"/>
  <c r="BX33" i="9"/>
  <c r="M25" i="17"/>
  <c r="AH42" i="17"/>
  <c r="M46" i="17"/>
  <c r="G47" i="17"/>
  <c r="AT60" i="17"/>
  <c r="AT61" i="17"/>
  <c r="M64" i="17"/>
  <c r="M73" i="17"/>
  <c r="K72" i="17"/>
  <c r="M76" i="17"/>
  <c r="M79" i="17"/>
  <c r="M101" i="17"/>
  <c r="AT101" i="17"/>
  <c r="M112" i="17"/>
  <c r="AT46" i="17"/>
  <c r="G1" i="22"/>
  <c r="D13" i="22"/>
  <c r="AL12" i="35"/>
  <c r="BT26" i="35"/>
  <c r="BP57" i="35"/>
  <c r="F46" i="9"/>
  <c r="AJ776" i="63"/>
  <c r="AH772" i="63"/>
  <c r="AJ772" i="63" s="1"/>
  <c r="L42" i="42"/>
  <c r="O34" i="60"/>
  <c r="L32" i="60"/>
  <c r="I18" i="41"/>
  <c r="N12" i="59"/>
  <c r="M12" i="83" s="1"/>
  <c r="P19" i="59"/>
  <c r="N19" i="59"/>
  <c r="F23" i="41"/>
  <c r="F21" i="41" s="1"/>
  <c r="I24" i="41"/>
  <c r="I26" i="59"/>
  <c r="I25" i="59" s="1"/>
  <c r="P25" i="59"/>
  <c r="F26" i="41"/>
  <c r="F24" i="41" s="1"/>
  <c r="N27" i="59"/>
  <c r="N9" i="59" s="1"/>
  <c r="M9" i="83" s="1"/>
  <c r="I37" i="41"/>
  <c r="E37" i="41"/>
  <c r="F42" i="41"/>
  <c r="F40" i="41" s="1"/>
  <c r="AG11" i="42"/>
  <c r="Z19" i="42"/>
  <c r="BB27" i="42"/>
  <c r="R29" i="59"/>
  <c r="R28" i="59" s="1"/>
  <c r="R31" i="59"/>
  <c r="Q63" i="17"/>
  <c r="N81" i="17"/>
  <c r="G55" i="8"/>
  <c r="G19" i="14"/>
  <c r="H1" i="22"/>
  <c r="E64" i="35"/>
  <c r="Y64" i="35"/>
  <c r="BJ10" i="35"/>
  <c r="BJ63" i="35" s="1"/>
  <c r="F10" i="35"/>
  <c r="F64" i="35" s="1"/>
  <c r="AU14" i="35"/>
  <c r="BH64" i="35"/>
  <c r="CN44" i="42"/>
  <c r="CN19" i="60"/>
  <c r="CN18" i="60" s="1"/>
  <c r="CN9" i="60" s="1"/>
  <c r="CN44" i="60" s="1"/>
  <c r="I50" i="36"/>
  <c r="L40" i="42"/>
  <c r="AV34" i="7"/>
  <c r="BR40" i="6"/>
  <c r="BD16" i="7"/>
  <c r="BZ19" i="42"/>
  <c r="BZ19" i="60"/>
  <c r="BZ18" i="60" s="1"/>
  <c r="BZ9" i="60" s="1"/>
  <c r="BZ44" i="60" s="1"/>
  <c r="G42" i="8"/>
  <c r="G40" i="8" s="1"/>
  <c r="G25" i="8"/>
  <c r="G65" i="17"/>
  <c r="G39" i="8"/>
  <c r="BR16" i="6"/>
  <c r="BQ41" i="6"/>
  <c r="BQ40" i="6" s="1"/>
  <c r="BR32" i="6"/>
  <c r="AT28" i="35"/>
  <c r="AF39" i="35"/>
  <c r="B25" i="35"/>
  <c r="B21" i="35"/>
  <c r="AM19" i="35"/>
  <c r="AO19" i="35" s="1"/>
  <c r="AF12" i="35"/>
  <c r="S47" i="17"/>
  <c r="G44" i="8"/>
  <c r="G43" i="8" s="1"/>
  <c r="G26" i="14"/>
  <c r="G61" i="3"/>
  <c r="G60" i="3" s="1"/>
  <c r="G40" i="65"/>
  <c r="L21" i="65"/>
  <c r="L20" i="65" s="1"/>
  <c r="G20" i="65"/>
  <c r="BC16" i="6"/>
  <c r="BQ28" i="6"/>
  <c r="AO24" i="6"/>
  <c r="F32" i="6"/>
  <c r="BJ39" i="6"/>
  <c r="BJ43" i="6"/>
  <c r="BJ45" i="6"/>
  <c r="AA40" i="6"/>
  <c r="BC40" i="6"/>
  <c r="AO49" i="7"/>
  <c r="BC17" i="7"/>
  <c r="AV30" i="7"/>
  <c r="BF32" i="7"/>
  <c r="BJ32" i="7"/>
  <c r="M40" i="7"/>
  <c r="AZ40" i="7"/>
  <c r="J46" i="8"/>
  <c r="H55" i="8"/>
  <c r="F48" i="9"/>
  <c r="G35" i="14"/>
  <c r="K14" i="16"/>
  <c r="G27" i="17"/>
  <c r="AN27" i="17"/>
  <c r="M30" i="17"/>
  <c r="AH40" i="17"/>
  <c r="AI50" i="17"/>
  <c r="AI45" i="17" s="1"/>
  <c r="AL50" i="17"/>
  <c r="H54" i="17"/>
  <c r="H44" i="17" s="1"/>
  <c r="H21" i="17" s="1"/>
  <c r="N21" i="17" s="1"/>
  <c r="AJ54" i="17"/>
  <c r="O59" i="17"/>
  <c r="O54" i="17" s="1"/>
  <c r="AH67" i="17"/>
  <c r="AH69" i="17"/>
  <c r="P74" i="17"/>
  <c r="P72" i="17" s="1"/>
  <c r="S77" i="17"/>
  <c r="AT77" i="17" s="1"/>
  <c r="P83" i="17"/>
  <c r="P81" i="17" s="1"/>
  <c r="AT87" i="17"/>
  <c r="AJ86" i="17"/>
  <c r="G104" i="17"/>
  <c r="M110" i="17"/>
  <c r="M114" i="17"/>
  <c r="AP13" i="35"/>
  <c r="BA12" i="35"/>
  <c r="BO13" i="35"/>
  <c r="F14" i="35"/>
  <c r="BO14" i="35"/>
  <c r="BQ13" i="35"/>
  <c r="BS13" i="35" s="1"/>
  <c r="BS21" i="35"/>
  <c r="AU28" i="35"/>
  <c r="BN39" i="35"/>
  <c r="P45" i="35"/>
  <c r="AO45" i="35"/>
  <c r="BI45" i="35"/>
  <c r="BD51" i="35"/>
  <c r="BN51" i="35"/>
  <c r="I39" i="36"/>
  <c r="I44" i="36"/>
  <c r="I47" i="36"/>
  <c r="I34" i="41"/>
  <c r="O12" i="59"/>
  <c r="O9" i="59"/>
  <c r="F19" i="41"/>
  <c r="O18" i="41"/>
  <c r="F23" i="59"/>
  <c r="F22" i="59" s="1"/>
  <c r="P22" i="59"/>
  <c r="N24" i="41"/>
  <c r="N26" i="59"/>
  <c r="N25" i="59" s="1"/>
  <c r="E24" i="41"/>
  <c r="P29" i="41"/>
  <c r="P33" i="59"/>
  <c r="G34" i="41"/>
  <c r="O49" i="41"/>
  <c r="F51" i="41"/>
  <c r="F49" i="41" s="1"/>
  <c r="AU35" i="42"/>
  <c r="BW35" i="42"/>
  <c r="O16" i="41"/>
  <c r="R17" i="59"/>
  <c r="R16" i="59" s="1"/>
  <c r="H17" i="43"/>
  <c r="F30" i="50"/>
  <c r="D181" i="4"/>
  <c r="P11" i="58"/>
  <c r="P12" i="82" s="1"/>
  <c r="D182" i="4"/>
  <c r="P12" i="58"/>
  <c r="D88" i="4"/>
  <c r="D87" i="4" s="1"/>
  <c r="D97" i="4"/>
  <c r="D96" i="4" s="1"/>
  <c r="M30" i="3"/>
  <c r="L30" i="3" s="1"/>
  <c r="G41" i="2"/>
  <c r="M31" i="3"/>
  <c r="L31" i="3" s="1"/>
  <c r="M32" i="3"/>
  <c r="L32" i="3" s="1"/>
  <c r="M27" i="3"/>
  <c r="L27" i="3" s="1"/>
  <c r="F278" i="1"/>
  <c r="F299" i="1" s="1"/>
  <c r="AJ379" i="63"/>
  <c r="AJ378" i="63"/>
  <c r="AJ389" i="63"/>
  <c r="AH505" i="63"/>
  <c r="AH506" i="63"/>
  <c r="AH499" i="63"/>
  <c r="AH500" i="63"/>
  <c r="AJ387" i="63"/>
  <c r="AJ385" i="63"/>
  <c r="AJ384" i="63"/>
  <c r="AJ383" i="63"/>
  <c r="C11" i="30"/>
  <c r="G23" i="3"/>
  <c r="C23" i="3" s="1"/>
  <c r="C27" i="3"/>
  <c r="C31" i="3"/>
  <c r="M28" i="3"/>
  <c r="L28" i="3" s="1"/>
  <c r="C24" i="3"/>
  <c r="P24" i="3"/>
  <c r="L24" i="3" s="1"/>
  <c r="D22" i="3"/>
  <c r="D21" i="3" s="1"/>
  <c r="F67" i="3"/>
  <c r="F66" i="3" s="1"/>
  <c r="O22" i="20"/>
  <c r="E21" i="65"/>
  <c r="AD47" i="9"/>
  <c r="AD71" i="97" s="1"/>
  <c r="AD55" i="97" s="1"/>
  <c r="AD18" i="97" s="1"/>
  <c r="AD94" i="97" s="1"/>
  <c r="D314" i="4"/>
  <c r="P22" i="20"/>
  <c r="G268" i="1"/>
  <c r="AE47" i="9"/>
  <c r="D315" i="4"/>
  <c r="AR36" i="17"/>
  <c r="M14" i="1"/>
  <c r="M13" i="1" s="1"/>
  <c r="W47" i="9"/>
  <c r="W71" i="97" s="1"/>
  <c r="W55" i="97" s="1"/>
  <c r="W18" i="97" s="1"/>
  <c r="W94" i="97" s="1"/>
  <c r="BM44" i="42"/>
  <c r="N14" i="22"/>
  <c r="J14" i="22" s="1"/>
  <c r="H50" i="9"/>
  <c r="D350" i="4"/>
  <c r="D392" i="4" s="1"/>
  <c r="CV44" i="42"/>
  <c r="CV19" i="60"/>
  <c r="CV39" i="84" s="1"/>
  <c r="BT19" i="42"/>
  <c r="BT19" i="60"/>
  <c r="BT39" i="84" s="1"/>
  <c r="BI20" i="42"/>
  <c r="BI19" i="42" s="1"/>
  <c r="BM19" i="60"/>
  <c r="BM39" i="84" s="1"/>
  <c r="CH19" i="42"/>
  <c r="CH19" i="60"/>
  <c r="CH39" i="84" s="1"/>
  <c r="D280" i="4"/>
  <c r="AS42" i="35" s="1"/>
  <c r="BR42" i="35" s="1"/>
  <c r="BT42" i="35" s="1"/>
  <c r="D560" i="4"/>
  <c r="D561" i="4" s="1"/>
  <c r="G31" i="42"/>
  <c r="G27" i="42" s="1"/>
  <c r="D502" i="4"/>
  <c r="H26" i="31"/>
  <c r="H25" i="31" s="1"/>
  <c r="D548" i="4"/>
  <c r="AS49" i="35"/>
  <c r="F65" i="31"/>
  <c r="N31" i="42"/>
  <c r="N27" i="42" s="1"/>
  <c r="D168" i="4"/>
  <c r="AD108" i="17"/>
  <c r="M74" i="1"/>
  <c r="M66" i="1" s="1"/>
  <c r="M279" i="1" s="1"/>
  <c r="M276" i="1" s="1"/>
  <c r="M274" i="1" s="1"/>
  <c r="AE108" i="17"/>
  <c r="I31" i="42"/>
  <c r="I27" i="42" s="1"/>
  <c r="P31" i="42"/>
  <c r="P27" i="42" s="1"/>
  <c r="G19" i="11"/>
  <c r="H56" i="16" s="1"/>
  <c r="H20" i="16" s="1"/>
  <c r="AB73" i="17"/>
  <c r="AS12" i="22"/>
  <c r="AQ56" i="17"/>
  <c r="AQ54" i="17" s="1"/>
  <c r="E18" i="29"/>
  <c r="AD36" i="17"/>
  <c r="AK26" i="9"/>
  <c r="AJ32" i="17"/>
  <c r="E11" i="26"/>
  <c r="E11" i="58" s="1"/>
  <c r="AI32" i="17"/>
  <c r="D12" i="3"/>
  <c r="C12" i="3" s="1"/>
  <c r="N16" i="1"/>
  <c r="L16" i="1" s="1"/>
  <c r="J345" i="1"/>
  <c r="E299" i="1"/>
  <c r="E55" i="44" s="1"/>
  <c r="BN50" i="9"/>
  <c r="AF36" i="17"/>
  <c r="D278" i="4"/>
  <c r="D274" i="4" s="1"/>
  <c r="AB46" i="17"/>
  <c r="M12" i="26"/>
  <c r="M12" i="58" s="1"/>
  <c r="AF38" i="17"/>
  <c r="AL38" i="17" s="1"/>
  <c r="AL26" i="9"/>
  <c r="G278" i="1"/>
  <c r="G275" i="1" s="1"/>
  <c r="D11" i="3"/>
  <c r="AD25" i="17"/>
  <c r="O61" i="3"/>
  <c r="O60" i="3" s="1"/>
  <c r="H8" i="26"/>
  <c r="C102" i="1"/>
  <c r="AS3" i="22"/>
  <c r="AJ47" i="17"/>
  <c r="AJ45" i="17" s="1"/>
  <c r="I68" i="3"/>
  <c r="E16" i="29"/>
  <c r="R37" i="8"/>
  <c r="P43" i="99" s="1"/>
  <c r="C16" i="1"/>
  <c r="L17" i="1"/>
  <c r="C19" i="1"/>
  <c r="M32" i="41"/>
  <c r="M32" i="59" s="1"/>
  <c r="L32" i="83" s="1"/>
  <c r="C27" i="1"/>
  <c r="L27" i="1"/>
  <c r="G111" i="76" s="1"/>
  <c r="C75" i="1"/>
  <c r="J56" i="3"/>
  <c r="E57" i="3"/>
  <c r="M33" i="22"/>
  <c r="J33" i="22" s="1"/>
  <c r="AH76" i="17"/>
  <c r="K58" i="3"/>
  <c r="L68" i="3"/>
  <c r="AN58" i="17"/>
  <c r="AT58" i="17" s="1"/>
  <c r="O20" i="3"/>
  <c r="O19" i="3" s="1"/>
  <c r="O9" i="3" s="1"/>
  <c r="D400" i="4"/>
  <c r="D412" i="4"/>
  <c r="AI20" i="42"/>
  <c r="AJ50" i="9"/>
  <c r="J350" i="1"/>
  <c r="BT50" i="9"/>
  <c r="M53" i="3"/>
  <c r="H53" i="3" s="1"/>
  <c r="D74" i="1"/>
  <c r="D66" i="1" s="1"/>
  <c r="D279" i="1" s="1"/>
  <c r="N39" i="3"/>
  <c r="N74" i="3" s="1"/>
  <c r="N71" i="3" s="1"/>
  <c r="BJ42" i="9"/>
  <c r="P278" i="1"/>
  <c r="P275" i="1" s="1"/>
  <c r="L12" i="26"/>
  <c r="L12" i="58" s="1"/>
  <c r="N61" i="3"/>
  <c r="N60" i="3" s="1"/>
  <c r="H341" i="1"/>
  <c r="I341" i="1" s="1"/>
  <c r="P41" i="9"/>
  <c r="L11" i="1"/>
  <c r="Q38" i="8"/>
  <c r="Q37" i="8" s="1"/>
  <c r="O43" i="99" s="1"/>
  <c r="C144" i="1"/>
  <c r="BX42" i="9"/>
  <c r="BX41" i="9" s="1"/>
  <c r="AB75" i="17"/>
  <c r="AR47" i="17"/>
  <c r="AR45" i="17" s="1"/>
  <c r="AQ32" i="17"/>
  <c r="AQ25" i="17" s="1"/>
  <c r="AK25" i="17" s="1"/>
  <c r="AS2" i="22"/>
  <c r="AO2" i="22" s="1"/>
  <c r="AS10" i="22"/>
  <c r="AO10" i="22" s="1"/>
  <c r="AS6" i="22"/>
  <c r="AO6" i="22" s="1"/>
  <c r="AR15" i="22"/>
  <c r="AO15" i="22" s="1"/>
  <c r="AN48" i="17"/>
  <c r="AT48" i="17" s="1"/>
  <c r="AK56" i="17"/>
  <c r="AK54" i="17" s="1"/>
  <c r="AY20" i="42"/>
  <c r="D279" i="4"/>
  <c r="D275" i="4" s="1"/>
  <c r="AQ38" i="17"/>
  <c r="AN38" i="17" s="1"/>
  <c r="AT38" i="17" s="1"/>
  <c r="BM50" i="9"/>
  <c r="D480" i="4"/>
  <c r="D488" i="4" s="1"/>
  <c r="AR26" i="9"/>
  <c r="D61" i="3"/>
  <c r="D60" i="3" s="1"/>
  <c r="L75" i="1"/>
  <c r="X47" i="9"/>
  <c r="M12" i="1"/>
  <c r="L12" i="1" s="1"/>
  <c r="C20" i="3"/>
  <c r="H347" i="1"/>
  <c r="D187" i="4"/>
  <c r="CH50" i="9"/>
  <c r="AJ25" i="9"/>
  <c r="AF12" i="22"/>
  <c r="C45" i="3"/>
  <c r="D358" i="4"/>
  <c r="BM41" i="9"/>
  <c r="N5" i="22"/>
  <c r="Z5" i="22" s="1"/>
  <c r="Z4" i="22" s="1"/>
  <c r="AF6" i="22"/>
  <c r="AF10" i="22"/>
  <c r="C21" i="1"/>
  <c r="D10" i="1"/>
  <c r="D9" i="1" s="1"/>
  <c r="D18" i="65" s="1"/>
  <c r="F57" i="3"/>
  <c r="F52" i="3" s="1"/>
  <c r="F75" i="3" s="1"/>
  <c r="O57" i="3"/>
  <c r="F39" i="3"/>
  <c r="F74" i="3" s="1"/>
  <c r="F71" i="3" s="1"/>
  <c r="I55" i="3"/>
  <c r="K37" i="8"/>
  <c r="K43" i="99" s="1"/>
  <c r="J38" i="8"/>
  <c r="J37" i="8" s="1"/>
  <c r="J43" i="99" s="1"/>
  <c r="E10" i="26"/>
  <c r="E10" i="58" s="1"/>
  <c r="AP25" i="17"/>
  <c r="G353" i="1"/>
  <c r="H353" i="1" s="1"/>
  <c r="G354" i="1"/>
  <c r="H354" i="1" s="1"/>
  <c r="P57" i="3"/>
  <c r="K59" i="3"/>
  <c r="O19" i="1"/>
  <c r="L20" i="1"/>
  <c r="L144" i="1"/>
  <c r="D278" i="1"/>
  <c r="D275" i="1" s="1"/>
  <c r="M60" i="3"/>
  <c r="N20" i="3"/>
  <c r="N19" i="3" s="1"/>
  <c r="H352" i="1"/>
  <c r="L67" i="1"/>
  <c r="G57" i="3"/>
  <c r="D333" i="4"/>
  <c r="L102" i="1"/>
  <c r="G8" i="26"/>
  <c r="L56" i="3"/>
  <c r="AP36" i="17"/>
  <c r="N74" i="1"/>
  <c r="G67" i="3"/>
  <c r="G66" i="3" s="1"/>
  <c r="BG25" i="9"/>
  <c r="AF108" i="17"/>
  <c r="AR108" i="17"/>
  <c r="BF20" i="42"/>
  <c r="BF19" i="60" s="1"/>
  <c r="BF18" i="60" s="1"/>
  <c r="BF9" i="60" s="1"/>
  <c r="E13" i="29"/>
  <c r="C99" i="1"/>
  <c r="O275" i="1"/>
  <c r="C71" i="1"/>
  <c r="K8" i="82" s="1"/>
  <c r="K14" i="82" s="1"/>
  <c r="J13" i="41"/>
  <c r="C48" i="3"/>
  <c r="L11" i="26"/>
  <c r="L11" i="58" s="1"/>
  <c r="M11" i="26"/>
  <c r="M11" i="58" s="1"/>
  <c r="N275" i="1"/>
  <c r="C305" i="1"/>
  <c r="AE36" i="17"/>
  <c r="AK36" i="17" s="1"/>
  <c r="D327" i="4"/>
  <c r="AS25" i="9"/>
  <c r="AS50" i="9"/>
  <c r="D21" i="50"/>
  <c r="AH144" i="63" s="1"/>
  <c r="CP41" i="9"/>
  <c r="AF13" i="22"/>
  <c r="AR12" i="22"/>
  <c r="AF2" i="22"/>
  <c r="H15" i="27"/>
  <c r="Q15" i="27" s="1"/>
  <c r="AL110" i="17"/>
  <c r="AH110" i="17" s="1"/>
  <c r="D332" i="4"/>
  <c r="AS13" i="22"/>
  <c r="F20" i="11"/>
  <c r="G57" i="16" s="1"/>
  <c r="G21" i="16" s="1"/>
  <c r="O40" i="2"/>
  <c r="L62" i="3"/>
  <c r="C42" i="3"/>
  <c r="M39" i="3"/>
  <c r="M74" i="3" s="1"/>
  <c r="M71" i="3" s="1"/>
  <c r="K55" i="3"/>
  <c r="D30" i="4"/>
  <c r="D701" i="4" s="1"/>
  <c r="D798" i="4" s="1"/>
  <c r="D263" i="4"/>
  <c r="G20" i="8"/>
  <c r="AK73" i="17"/>
  <c r="AH73" i="17" s="1"/>
  <c r="AR56" i="17"/>
  <c r="AN34" i="17"/>
  <c r="AT34" i="17" s="1"/>
  <c r="F11" i="26"/>
  <c r="F11" i="58" s="1"/>
  <c r="K11" i="26"/>
  <c r="AE38" i="17"/>
  <c r="AK38" i="17" s="1"/>
  <c r="D521" i="4"/>
  <c r="AF15" i="22"/>
  <c r="D347" i="4"/>
  <c r="D389" i="4" s="1"/>
  <c r="D161" i="4"/>
  <c r="D21" i="28" s="1"/>
  <c r="D209" i="4"/>
  <c r="D24" i="4"/>
  <c r="H338" i="1"/>
  <c r="I338" i="1" s="1"/>
  <c r="D506" i="4"/>
  <c r="AS48" i="35" s="1"/>
  <c r="AN33" i="17"/>
  <c r="AT33" i="17" s="1"/>
  <c r="AE56" i="17"/>
  <c r="AE54" i="17" s="1"/>
  <c r="D20" i="50"/>
  <c r="AH143" i="63" s="1"/>
  <c r="AH58" i="17"/>
  <c r="AB76" i="17"/>
  <c r="AR32" i="17"/>
  <c r="AN75" i="17"/>
  <c r="AT75" i="17" s="1"/>
  <c r="M30" i="22"/>
  <c r="Y30" i="22" s="1"/>
  <c r="AS7" i="22"/>
  <c r="AO7" i="22" s="1"/>
  <c r="AR13" i="22"/>
  <c r="AN49" i="17"/>
  <c r="AT49" i="17" s="1"/>
  <c r="F12" i="26"/>
  <c r="F12" i="58" s="1"/>
  <c r="K12" i="26"/>
  <c r="D518" i="4"/>
  <c r="D543" i="4"/>
  <c r="D547" i="4" s="1"/>
  <c r="AF7" i="22"/>
  <c r="I37" i="8"/>
  <c r="I43" i="99" s="1"/>
  <c r="C62" i="3"/>
  <c r="L48" i="3"/>
  <c r="L42" i="3"/>
  <c r="AL55" i="17"/>
  <c r="AH55" i="17" s="1"/>
  <c r="AN73" i="17"/>
  <c r="AT73" i="17" s="1"/>
  <c r="F25" i="31"/>
  <c r="E19" i="3"/>
  <c r="C19" i="3" s="1"/>
  <c r="C54" i="3"/>
  <c r="AS11" i="22"/>
  <c r="L33" i="3"/>
  <c r="H33" i="9"/>
  <c r="J68" i="3"/>
  <c r="M57" i="3"/>
  <c r="D39" i="3"/>
  <c r="D74" i="3" s="1"/>
  <c r="D71" i="3" s="1"/>
  <c r="C41" i="3"/>
  <c r="C51" i="3"/>
  <c r="D25" i="4"/>
  <c r="D696" i="4" s="1"/>
  <c r="D531" i="4"/>
  <c r="AE32" i="17"/>
  <c r="AN57" i="17"/>
  <c r="AT57" i="17" s="1"/>
  <c r="AR74" i="17"/>
  <c r="AR72" i="17" s="1"/>
  <c r="J32" i="41"/>
  <c r="P50" i="9"/>
  <c r="D28" i="4"/>
  <c r="L49" i="3"/>
  <c r="L43" i="3"/>
  <c r="AS9" i="22"/>
  <c r="AO9" i="22" s="1"/>
  <c r="O50" i="9"/>
  <c r="H54" i="3"/>
  <c r="N33" i="22"/>
  <c r="N31" i="22" s="1"/>
  <c r="N29" i="22" s="1"/>
  <c r="AF74" i="17"/>
  <c r="AF72" i="17" s="1"/>
  <c r="D216" i="4"/>
  <c r="H32" i="41"/>
  <c r="H32" i="59" s="1"/>
  <c r="H32" i="83" s="1"/>
  <c r="J55" i="3"/>
  <c r="J17" i="8"/>
  <c r="J60" i="8" s="1"/>
  <c r="AL74" i="17"/>
  <c r="AL72" i="17" s="1"/>
  <c r="AQ47" i="17"/>
  <c r="AR3" i="22"/>
  <c r="AF3" i="22"/>
  <c r="AI1" i="22"/>
  <c r="AX20" i="42"/>
  <c r="AX19" i="60" s="1"/>
  <c r="AX18" i="60" s="1"/>
  <c r="AX9" i="60" s="1"/>
  <c r="AY50" i="9"/>
  <c r="AY25" i="9"/>
  <c r="C68" i="3"/>
  <c r="K68" i="3"/>
  <c r="D267" i="4"/>
  <c r="AS8" i="22"/>
  <c r="AO8" i="22" s="1"/>
  <c r="N3" i="22"/>
  <c r="J3" i="22" s="1"/>
  <c r="AF8" i="22"/>
  <c r="M32" i="22"/>
  <c r="AR11" i="22"/>
  <c r="AF11" i="22"/>
  <c r="M6" i="22"/>
  <c r="AR17" i="22"/>
  <c r="AO17" i="22" s="1"/>
  <c r="AF17" i="22"/>
  <c r="AK48" i="17"/>
  <c r="AE47" i="17"/>
  <c r="AB48" i="17"/>
  <c r="D382" i="4"/>
  <c r="D352" i="4"/>
  <c r="D406" i="4"/>
  <c r="D394" i="4"/>
  <c r="D341" i="4"/>
  <c r="AB57" i="17"/>
  <c r="AL57" i="17"/>
  <c r="AF56" i="17"/>
  <c r="AF54" i="17" s="1"/>
  <c r="D228" i="4"/>
  <c r="D94" i="4" s="1"/>
  <c r="D224" i="4"/>
  <c r="D218" i="4" s="1"/>
  <c r="AQ25" i="9"/>
  <c r="AP20" i="42"/>
  <c r="AP19" i="60" s="1"/>
  <c r="AQ50" i="9"/>
  <c r="D57" i="3"/>
  <c r="C59" i="3"/>
  <c r="L21" i="1"/>
  <c r="D18" i="4" s="1"/>
  <c r="AH789" i="63" s="1"/>
  <c r="G20" i="11"/>
  <c r="H57" i="16" s="1"/>
  <c r="H21" i="16" s="1"/>
  <c r="P39" i="3"/>
  <c r="P74" i="3" s="1"/>
  <c r="P71" i="3" s="1"/>
  <c r="D29" i="4"/>
  <c r="D700" i="4" s="1"/>
  <c r="N39" i="42"/>
  <c r="N31" i="60" s="1"/>
  <c r="N60" i="84" s="1"/>
  <c r="O41" i="9"/>
  <c r="AK34" i="17"/>
  <c r="AK32" i="17" s="1"/>
  <c r="AB34" i="17"/>
  <c r="N12" i="22"/>
  <c r="J12" i="22" s="1"/>
  <c r="AF5" i="22"/>
  <c r="AS5" i="22"/>
  <c r="AO5" i="22" s="1"/>
  <c r="G39" i="3"/>
  <c r="G74" i="3" s="1"/>
  <c r="K54" i="3"/>
  <c r="L58" i="3"/>
  <c r="H55" i="3"/>
  <c r="D251" i="4"/>
  <c r="O39" i="3"/>
  <c r="O74" i="3" s="1"/>
  <c r="O71" i="3" s="1"/>
  <c r="L40" i="3"/>
  <c r="L50" i="3"/>
  <c r="L46" i="3"/>
  <c r="L41" i="3"/>
  <c r="L51" i="3"/>
  <c r="M37" i="9"/>
  <c r="M33" i="9" s="1"/>
  <c r="O31" i="42"/>
  <c r="O27" i="42" s="1"/>
  <c r="AK75" i="17"/>
  <c r="AE74" i="17"/>
  <c r="AE72" i="17" s="1"/>
  <c r="AF47" i="17"/>
  <c r="AF45" i="17" s="1"/>
  <c r="AL49" i="17"/>
  <c r="AH49" i="17" s="1"/>
  <c r="N15" i="22"/>
  <c r="Z15" i="22" s="1"/>
  <c r="V15" i="22" s="1"/>
  <c r="AS4" i="22"/>
  <c r="AF4" i="22"/>
  <c r="G39" i="42"/>
  <c r="G31" i="60" s="1"/>
  <c r="G60" i="84" s="1"/>
  <c r="H41" i="9"/>
  <c r="D415" i="4"/>
  <c r="D391" i="4"/>
  <c r="D361" i="4"/>
  <c r="D517" i="4"/>
  <c r="AB58" i="17"/>
  <c r="D491" i="4"/>
  <c r="D501" i="4"/>
  <c r="H31" i="42"/>
  <c r="H27" i="42" s="1"/>
  <c r="F37" i="9"/>
  <c r="F33" i="9" s="1"/>
  <c r="AN76" i="17"/>
  <c r="AT76" i="17" s="1"/>
  <c r="AQ74" i="17"/>
  <c r="AR14" i="22"/>
  <c r="AO14" i="22" s="1"/>
  <c r="AZ25" i="9"/>
  <c r="C58" i="3"/>
  <c r="K53" i="3"/>
  <c r="N57" i="3"/>
  <c r="L59" i="3"/>
  <c r="C49" i="3"/>
  <c r="E39" i="3"/>
  <c r="E74" i="3" s="1"/>
  <c r="E71" i="3" s="1"/>
  <c r="D26" i="4"/>
  <c r="D697" i="4" s="1"/>
  <c r="D157" i="4"/>
  <c r="C34" i="3"/>
  <c r="C33" i="3" s="1"/>
  <c r="F19" i="11"/>
  <c r="G56" i="16" s="1"/>
  <c r="G20" i="16" s="1"/>
  <c r="AL33" i="17"/>
  <c r="AL32" i="17" s="1"/>
  <c r="AB33" i="17"/>
  <c r="AF32" i="17"/>
  <c r="AF16" i="22"/>
  <c r="AR16" i="22"/>
  <c r="AO16" i="22" s="1"/>
  <c r="M5" i="22"/>
  <c r="Y5" i="22" s="1"/>
  <c r="J54" i="3"/>
  <c r="D197" i="4"/>
  <c r="AT55" i="17"/>
  <c r="L47" i="3"/>
  <c r="CN19" i="42"/>
  <c r="CE25" i="9"/>
  <c r="CD20" i="42"/>
  <c r="CD19" i="42" s="1"/>
  <c r="CG19" i="42"/>
  <c r="CG44" i="42"/>
  <c r="BQ25" i="9"/>
  <c r="BS19" i="42"/>
  <c r="CV19" i="42"/>
  <c r="P39" i="42"/>
  <c r="P31" i="60" s="1"/>
  <c r="D541" i="4"/>
  <c r="D545" i="4" s="1"/>
  <c r="D525" i="4"/>
  <c r="CS26" i="9"/>
  <c r="CV25" i="9"/>
  <c r="CV50" i="9"/>
  <c r="CU20" i="42"/>
  <c r="CU19" i="60" s="1"/>
  <c r="CU18" i="60" s="1"/>
  <c r="CU9" i="60" s="1"/>
  <c r="CU44" i="60" s="1"/>
  <c r="D542" i="4"/>
  <c r="D546" i="4" s="1"/>
  <c r="O53" i="3"/>
  <c r="J53" i="3" s="1"/>
  <c r="J71" i="2"/>
  <c r="J70" i="2"/>
  <c r="I66" i="2"/>
  <c r="J66" i="2" s="1"/>
  <c r="Q50" i="9"/>
  <c r="M45" i="9"/>
  <c r="CO44" i="42"/>
  <c r="CO19" i="42"/>
  <c r="BO12" i="35"/>
  <c r="BM10" i="35"/>
  <c r="E14" i="29"/>
  <c r="E17" i="29"/>
  <c r="M27" i="99"/>
  <c r="E53" i="3"/>
  <c r="I54" i="3"/>
  <c r="C67" i="1"/>
  <c r="AO21" i="17"/>
  <c r="O74" i="17"/>
  <c r="O72" i="17" s="1"/>
  <c r="M75" i="17"/>
  <c r="BQ14" i="35"/>
  <c r="BS14" i="35" s="1"/>
  <c r="C41" i="2"/>
  <c r="G40" i="2"/>
  <c r="AT13" i="35"/>
  <c r="AU13" i="35"/>
  <c r="BK64" i="35"/>
  <c r="BK63" i="35"/>
  <c r="I25" i="99"/>
  <c r="N114" i="107" s="1"/>
  <c r="N20" i="107" s="1"/>
  <c r="E12" i="29"/>
  <c r="F9" i="3"/>
  <c r="N13" i="3"/>
  <c r="L16" i="3"/>
  <c r="AQ108" i="17"/>
  <c r="G50" i="8"/>
  <c r="O49" i="8"/>
  <c r="P52" i="8"/>
  <c r="G54" i="8"/>
  <c r="G52" i="8" s="1"/>
  <c r="P35" i="8"/>
  <c r="P60" i="8" s="1"/>
  <c r="O32" i="17"/>
  <c r="M33" i="17"/>
  <c r="AD72" i="17"/>
  <c r="BL64" i="35"/>
  <c r="Q35" i="8"/>
  <c r="BF26" i="9"/>
  <c r="AH77" i="17"/>
  <c r="AI72" i="17"/>
  <c r="CA20" i="42"/>
  <c r="CA19" i="60" s="1"/>
  <c r="CA39" i="84" s="1"/>
  <c r="CB50" i="9"/>
  <c r="BX26" i="9"/>
  <c r="CB25" i="9"/>
  <c r="CK20" i="42"/>
  <c r="CL26" i="9"/>
  <c r="CP25" i="9"/>
  <c r="AW20" i="42"/>
  <c r="AW19" i="60" s="1"/>
  <c r="AX25" i="9"/>
  <c r="AX50" i="9"/>
  <c r="AV26" i="9"/>
  <c r="AF25" i="17"/>
  <c r="G66" i="1"/>
  <c r="G279" i="1" s="1"/>
  <c r="G298" i="1" s="1"/>
  <c r="G46" i="8"/>
  <c r="U21" i="17"/>
  <c r="S23" i="17"/>
  <c r="M100" i="17"/>
  <c r="N99" i="17"/>
  <c r="AH105" i="17"/>
  <c r="AI104" i="17"/>
  <c r="AL104" i="17"/>
  <c r="AH106" i="17"/>
  <c r="BA10" i="35"/>
  <c r="BE12" i="35"/>
  <c r="AA63" i="35"/>
  <c r="P15" i="27"/>
  <c r="BD13" i="35"/>
  <c r="D13" i="47"/>
  <c r="Q81" i="17"/>
  <c r="M83" i="17"/>
  <c r="BT32" i="6"/>
  <c r="BQ33" i="6"/>
  <c r="BJ35" i="6"/>
  <c r="BK32" i="6"/>
  <c r="BK49" i="6"/>
  <c r="CE49" i="6"/>
  <c r="CE32" i="6"/>
  <c r="AA49" i="6"/>
  <c r="AA32" i="6"/>
  <c r="BN32" i="6"/>
  <c r="BN49" i="6"/>
  <c r="BJ37" i="6"/>
  <c r="BT44" i="42"/>
  <c r="AF10" i="35"/>
  <c r="AD63" i="35"/>
  <c r="AD64" i="35"/>
  <c r="W64" i="35"/>
  <c r="W63" i="35"/>
  <c r="C63" i="35"/>
  <c r="C2" i="35"/>
  <c r="BC2" i="35"/>
  <c r="BC63" i="35"/>
  <c r="BC64" i="35"/>
  <c r="V41" i="14"/>
  <c r="Q41" i="14" s="1"/>
  <c r="G41" i="14" s="1"/>
  <c r="V36" i="14"/>
  <c r="Q32" i="14"/>
  <c r="G32" i="14" s="1"/>
  <c r="G13" i="12"/>
  <c r="BP20" i="42"/>
  <c r="G12" i="35"/>
  <c r="AA12" i="35"/>
  <c r="S45" i="17"/>
  <c r="W44" i="17"/>
  <c r="W21" i="17" s="1"/>
  <c r="BS28" i="35"/>
  <c r="BS16" i="35"/>
  <c r="BT16" i="35"/>
  <c r="AI63" i="35"/>
  <c r="AK10" i="35"/>
  <c r="D29" i="22"/>
  <c r="E1" i="22"/>
  <c r="D1" i="22" s="1"/>
  <c r="D35" i="22" s="1"/>
  <c r="D42" i="22" s="1"/>
  <c r="H14" i="15"/>
  <c r="B13" i="35"/>
  <c r="L71" i="1"/>
  <c r="C13" i="1"/>
  <c r="E9" i="1"/>
  <c r="E74" i="1"/>
  <c r="F317" i="1" s="1"/>
  <c r="E24" i="106" s="1"/>
  <c r="E61" i="3"/>
  <c r="BH40" i="7"/>
  <c r="BC41" i="7"/>
  <c r="S65" i="17"/>
  <c r="T63" i="17"/>
  <c r="J14" i="15"/>
  <c r="I44" i="15"/>
  <c r="J19" i="8"/>
  <c r="J25" i="99" s="1"/>
  <c r="T114" i="107" s="1"/>
  <c r="T20" i="107" s="1"/>
  <c r="T18" i="107" s="1"/>
  <c r="E13" i="3"/>
  <c r="C13" i="3" s="1"/>
  <c r="C16" i="3"/>
  <c r="P61" i="3"/>
  <c r="P74" i="1"/>
  <c r="N12" i="58" s="1"/>
  <c r="G24" i="8"/>
  <c r="K34" i="8"/>
  <c r="D240" i="4"/>
  <c r="D106" i="4" s="1"/>
  <c r="BO24" i="6"/>
  <c r="BG24" i="7"/>
  <c r="BC25" i="7"/>
  <c r="AV29" i="7"/>
  <c r="AX24" i="7"/>
  <c r="I33" i="8"/>
  <c r="C14" i="1"/>
  <c r="T32" i="6"/>
  <c r="AV32" i="6"/>
  <c r="F40" i="6"/>
  <c r="BW40" i="6"/>
  <c r="BC18" i="7"/>
  <c r="BC29" i="7"/>
  <c r="T40" i="7"/>
  <c r="BC45" i="7"/>
  <c r="F17" i="8"/>
  <c r="G51" i="8"/>
  <c r="G35" i="8" s="1"/>
  <c r="F52" i="8"/>
  <c r="CZ33" i="9"/>
  <c r="P47" i="17"/>
  <c r="P45" i="17" s="1"/>
  <c r="J58" i="3"/>
  <c r="J59" i="3"/>
  <c r="C40" i="3"/>
  <c r="AP108" i="17"/>
  <c r="D201" i="4"/>
  <c r="D252" i="4"/>
  <c r="I344" i="1"/>
  <c r="I347" i="1" s="1"/>
  <c r="BT16" i="6"/>
  <c r="BX16" i="6"/>
  <c r="AV16" i="6"/>
  <c r="BQ21" i="6"/>
  <c r="AO40" i="6"/>
  <c r="BC39" i="7"/>
  <c r="F30" i="8"/>
  <c r="P30" i="8"/>
  <c r="Q46" i="8"/>
  <c r="T17" i="9"/>
  <c r="BJ33" i="9"/>
  <c r="AV41" i="9"/>
  <c r="M49" i="17"/>
  <c r="M78" i="17"/>
  <c r="N77" i="17"/>
  <c r="N72" i="17" s="1"/>
  <c r="O74" i="1"/>
  <c r="O66" i="1" s="1"/>
  <c r="BP49" i="6"/>
  <c r="BP16" i="6"/>
  <c r="BJ19" i="6"/>
  <c r="BJ16" i="6" s="1"/>
  <c r="AV24" i="6"/>
  <c r="BM24" i="6"/>
  <c r="BW32" i="6"/>
  <c r="BM40" i="6"/>
  <c r="CE40" i="6"/>
  <c r="BJ48" i="6"/>
  <c r="BA49" i="7"/>
  <c r="AV28" i="7"/>
  <c r="AV36" i="7"/>
  <c r="AH40" i="7"/>
  <c r="J54" i="17"/>
  <c r="J44" i="17" s="1"/>
  <c r="J21" i="17" s="1"/>
  <c r="P21" i="17" s="1"/>
  <c r="T24" i="6"/>
  <c r="AO32" i="6"/>
  <c r="BU32" i="6"/>
  <c r="BA16" i="7"/>
  <c r="M24" i="7"/>
  <c r="AV26" i="7"/>
  <c r="AV27" i="7"/>
  <c r="AV31" i="7"/>
  <c r="N60" i="8"/>
  <c r="G21" i="14"/>
  <c r="AH30" i="17"/>
  <c r="M36" i="17"/>
  <c r="F24" i="6"/>
  <c r="BJ27" i="6"/>
  <c r="BJ24" i="6" s="1"/>
  <c r="BJ31" i="6"/>
  <c r="BO32" i="6"/>
  <c r="BS32" i="6"/>
  <c r="BQ35" i="6"/>
  <c r="BQ39" i="6"/>
  <c r="BJ44" i="6"/>
  <c r="BJ46" i="6"/>
  <c r="AA49" i="7"/>
  <c r="BC19" i="7"/>
  <c r="AV21" i="7"/>
  <c r="T24" i="7"/>
  <c r="F32" i="7"/>
  <c r="AV37" i="7"/>
  <c r="G32" i="8"/>
  <c r="H35" i="8"/>
  <c r="H60" i="8" s="1"/>
  <c r="H49" i="8"/>
  <c r="AL27" i="17"/>
  <c r="AT71" i="17"/>
  <c r="T72" i="17"/>
  <c r="S72" i="17" s="1"/>
  <c r="S74" i="17"/>
  <c r="P99" i="17"/>
  <c r="BQ20" i="6"/>
  <c r="BN24" i="6"/>
  <c r="BT24" i="6"/>
  <c r="BC32" i="6"/>
  <c r="BM32" i="6"/>
  <c r="BQ38" i="6"/>
  <c r="AH49" i="7"/>
  <c r="AW49" i="7"/>
  <c r="BB49" i="7"/>
  <c r="AV18" i="7"/>
  <c r="AV22" i="7"/>
  <c r="BC34" i="7"/>
  <c r="BC35" i="7"/>
  <c r="BC46" i="7"/>
  <c r="BC47" i="7"/>
  <c r="BC40" i="7" s="1"/>
  <c r="L60" i="8"/>
  <c r="S60" i="8"/>
  <c r="H24" i="8"/>
  <c r="P34" i="8"/>
  <c r="P27" i="17"/>
  <c r="M27" i="17" s="1"/>
  <c r="Q32" i="17"/>
  <c r="AH46" i="17"/>
  <c r="AT53" i="17"/>
  <c r="V54" i="17"/>
  <c r="AI56" i="17"/>
  <c r="AN59" i="17"/>
  <c r="AT59" i="17" s="1"/>
  <c r="Q59" i="17"/>
  <c r="Q54" i="17" s="1"/>
  <c r="M54" i="17" s="1"/>
  <c r="K63" i="17"/>
  <c r="G63" i="17" s="1"/>
  <c r="P65" i="17"/>
  <c r="M65" i="17" s="1"/>
  <c r="AH82" i="17"/>
  <c r="K81" i="17"/>
  <c r="G81" i="17" s="1"/>
  <c r="AK86" i="17"/>
  <c r="AK81" i="17" s="1"/>
  <c r="AN99" i="17"/>
  <c r="AJ1" i="22"/>
  <c r="G64" i="31"/>
  <c r="G30" i="43" s="1"/>
  <c r="G34" i="50"/>
  <c r="H34" i="50" s="1"/>
  <c r="I87" i="2"/>
  <c r="J87" i="2" s="1"/>
  <c r="I78" i="2"/>
  <c r="J78" i="2" s="1"/>
  <c r="D31" i="22"/>
  <c r="BL14" i="35"/>
  <c r="BN14" i="35" s="1"/>
  <c r="AQ19" i="35"/>
  <c r="AU19" i="35" s="1"/>
  <c r="BB19" i="35"/>
  <c r="BD19" i="35" s="1"/>
  <c r="BE45" i="35"/>
  <c r="Q57" i="35"/>
  <c r="I42" i="36"/>
  <c r="H37" i="50"/>
  <c r="I88" i="2"/>
  <c r="J88" i="2" s="1"/>
  <c r="P68" i="17"/>
  <c r="P63" i="17" s="1"/>
  <c r="AJ68" i="17"/>
  <c r="AT80" i="17"/>
  <c r="AT85" i="17"/>
  <c r="S86" i="17"/>
  <c r="AT86" i="17" s="1"/>
  <c r="I95" i="17"/>
  <c r="O95" i="17" s="1"/>
  <c r="M95" i="17" s="1"/>
  <c r="S99" i="17"/>
  <c r="AT99" i="17" s="1"/>
  <c r="AH102" i="17"/>
  <c r="AB49" i="17"/>
  <c r="J47" i="9"/>
  <c r="K71" i="97" s="1"/>
  <c r="AH13" i="35"/>
  <c r="AM13" i="35"/>
  <c r="L14" i="35"/>
  <c r="V14" i="35"/>
  <c r="X14" i="35"/>
  <c r="AK14" i="35"/>
  <c r="BE14" i="35"/>
  <c r="AF19" i="35"/>
  <c r="AZ19" i="35"/>
  <c r="G45" i="35"/>
  <c r="AE45" i="35"/>
  <c r="BD45" i="35"/>
  <c r="BQ45" i="35"/>
  <c r="L16" i="45"/>
  <c r="O16" i="45" s="1"/>
  <c r="Q9" i="44"/>
  <c r="Q10" i="44" s="1"/>
  <c r="Q11" i="44" s="1"/>
  <c r="Q12" i="44" s="1"/>
  <c r="H8" i="44"/>
  <c r="O8" i="44" s="1"/>
  <c r="O10" i="44" s="1"/>
  <c r="I89" i="2"/>
  <c r="J89" i="2" s="1"/>
  <c r="I72" i="2"/>
  <c r="J72" i="2" s="1"/>
  <c r="I75" i="2"/>
  <c r="J75" i="2" s="1"/>
  <c r="Q77" i="17"/>
  <c r="Q72" i="17" s="1"/>
  <c r="M82" i="17"/>
  <c r="AT97" i="17"/>
  <c r="P104" i="17"/>
  <c r="BP27" i="35"/>
  <c r="AM28" i="35"/>
  <c r="AO28" i="35" s="1"/>
  <c r="F45" i="35"/>
  <c r="R45" i="35"/>
  <c r="V45" i="35" s="1"/>
  <c r="G36" i="50"/>
  <c r="H36" i="50" s="1"/>
  <c r="H30" i="50"/>
  <c r="H33" i="50"/>
  <c r="I68" i="2"/>
  <c r="J68" i="2" s="1"/>
  <c r="BI57" i="35"/>
  <c r="I48" i="36"/>
  <c r="E11" i="41"/>
  <c r="N11" i="41"/>
  <c r="R15" i="41"/>
  <c r="I49" i="41"/>
  <c r="O14" i="45"/>
  <c r="L15" i="45"/>
  <c r="O15" i="45" s="1"/>
  <c r="H32" i="50"/>
  <c r="G91" i="2"/>
  <c r="H91" i="2" s="1"/>
  <c r="I83" i="2"/>
  <c r="J83" i="2" s="1"/>
  <c r="E42" i="42"/>
  <c r="F33" i="41"/>
  <c r="P34" i="41"/>
  <c r="F44" i="41"/>
  <c r="R17" i="45"/>
  <c r="G30" i="50"/>
  <c r="J74" i="2"/>
  <c r="AR4" i="22"/>
  <c r="AA51" i="35"/>
  <c r="BO51" i="35"/>
  <c r="G57" i="35"/>
  <c r="P11" i="41"/>
  <c r="F45" i="41"/>
  <c r="CD35" i="42"/>
  <c r="CY35" i="42"/>
  <c r="G90" i="2"/>
  <c r="H90" i="2" s="1"/>
  <c r="I11" i="41"/>
  <c r="BC24" i="7"/>
  <c r="BQ24" i="6"/>
  <c r="AH104" i="17"/>
  <c r="AH99" i="17"/>
  <c r="D326" i="4"/>
  <c r="D328" i="4"/>
  <c r="J346" i="1"/>
  <c r="BQ32" i="6"/>
  <c r="AV32" i="7"/>
  <c r="M58" i="8"/>
  <c r="M23" i="17"/>
  <c r="AT27" i="17"/>
  <c r="AH27" i="17"/>
  <c r="M32" i="17"/>
  <c r="AI54" i="17"/>
  <c r="AT65" i="17"/>
  <c r="AB81" i="17"/>
  <c r="M104" i="17"/>
  <c r="Z14" i="35"/>
  <c r="Z51" i="35"/>
  <c r="P57" i="35"/>
  <c r="AO57" i="35"/>
  <c r="I13" i="12"/>
  <c r="C50" i="3"/>
  <c r="C47" i="3"/>
  <c r="C46" i="3"/>
  <c r="C44" i="3"/>
  <c r="C43" i="3"/>
  <c r="L45" i="3"/>
  <c r="L44" i="3"/>
  <c r="L10" i="41"/>
  <c r="L9" i="41" s="1"/>
  <c r="R10" i="41"/>
  <c r="R9" i="41" s="1"/>
  <c r="BE25" i="9"/>
  <c r="BD20" i="42"/>
  <c r="BD19" i="60" s="1"/>
  <c r="BE50" i="9"/>
  <c r="D185" i="4"/>
  <c r="BC16" i="7"/>
  <c r="AV16" i="7"/>
  <c r="F60" i="8"/>
  <c r="G30" i="8"/>
  <c r="P59" i="8"/>
  <c r="M47" i="17"/>
  <c r="Q45" i="17"/>
  <c r="AH50" i="17"/>
  <c r="V44" i="17"/>
  <c r="S54" i="17"/>
  <c r="AJ63" i="17"/>
  <c r="AH63" i="17" s="1"/>
  <c r="AH68" i="17"/>
  <c r="I44" i="17"/>
  <c r="AH83" i="17"/>
  <c r="AL81" i="17"/>
  <c r="AH86" i="17"/>
  <c r="AJ81" i="17"/>
  <c r="G95" i="17"/>
  <c r="I93" i="17"/>
  <c r="BQ27" i="35"/>
  <c r="AT27" i="35"/>
  <c r="B27" i="35"/>
  <c r="B19" i="35" s="1"/>
  <c r="AR19" i="35"/>
  <c r="K28" i="35"/>
  <c r="B28" i="35"/>
  <c r="P47" i="2"/>
  <c r="P45" i="2" s="1"/>
  <c r="P48" i="2"/>
  <c r="E47" i="2"/>
  <c r="E45" i="2" s="1"/>
  <c r="E48" i="2"/>
  <c r="D48" i="2"/>
  <c r="D47" i="2"/>
  <c r="N47" i="2"/>
  <c r="N45" i="2" s="1"/>
  <c r="N48" i="2"/>
  <c r="F18" i="31"/>
  <c r="F18" i="43" s="1"/>
  <c r="F16" i="31"/>
  <c r="I47" i="9"/>
  <c r="J71" i="97" s="1"/>
  <c r="F49" i="2"/>
  <c r="I67" i="2"/>
  <c r="J67" i="2" s="1"/>
  <c r="J351" i="1"/>
  <c r="L99" i="1"/>
  <c r="G11" i="41"/>
  <c r="O11" i="41"/>
  <c r="H17" i="31"/>
  <c r="J81" i="2"/>
  <c r="J86" i="2"/>
  <c r="L16" i="74" l="1"/>
  <c r="R55" i="97"/>
  <c r="R18" i="97" s="1"/>
  <c r="R94" i="97" s="1"/>
  <c r="BR19" i="35"/>
  <c r="AL108" i="17"/>
  <c r="AK108" i="17"/>
  <c r="AJ108" i="17"/>
  <c r="AL36" i="17"/>
  <c r="AJ36" i="17"/>
  <c r="E373" i="65"/>
  <c r="G373" i="65"/>
  <c r="F373" i="65"/>
  <c r="D373" i="65"/>
  <c r="AJ25" i="17"/>
  <c r="J15" i="22"/>
  <c r="M12" i="82"/>
  <c r="L12" i="82"/>
  <c r="H114" i="76"/>
  <c r="H113" i="76"/>
  <c r="G55" i="44"/>
  <c r="F301" i="1"/>
  <c r="E63" i="84"/>
  <c r="E61" i="85" s="1"/>
  <c r="E34" i="60"/>
  <c r="N18" i="107"/>
  <c r="K18" i="107" s="1"/>
  <c r="K20" i="107"/>
  <c r="P30" i="59"/>
  <c r="N33" i="83"/>
  <c r="CR20" i="42"/>
  <c r="I30" i="99"/>
  <c r="F31" i="99"/>
  <c r="F30" i="99" s="1"/>
  <c r="M119" i="107" s="1"/>
  <c r="O118" i="107" s="1"/>
  <c r="H31" i="99"/>
  <c r="H30" i="99" s="1"/>
  <c r="K30" i="99"/>
  <c r="F71" i="97"/>
  <c r="F72" i="97"/>
  <c r="Q55" i="97"/>
  <c r="Q18" i="97" s="1"/>
  <c r="Q94" i="97" s="1"/>
  <c r="T40" i="107"/>
  <c r="N40" i="107"/>
  <c r="K41" i="107"/>
  <c r="F17" i="105"/>
  <c r="E19" i="106"/>
  <c r="E25" i="106"/>
  <c r="E22" i="106" s="1"/>
  <c r="J337" i="1"/>
  <c r="E69" i="106"/>
  <c r="F327" i="1"/>
  <c r="N13" i="1"/>
  <c r="N9" i="1" s="1"/>
  <c r="I56" i="44"/>
  <c r="N10" i="58"/>
  <c r="CK19" i="60"/>
  <c r="CK18" i="60" s="1"/>
  <c r="CK9" i="60" s="1"/>
  <c r="CK44" i="60" s="1"/>
  <c r="CO18" i="60"/>
  <c r="CO9" i="60" s="1"/>
  <c r="CO44" i="60" s="1"/>
  <c r="D38" i="75"/>
  <c r="D19" i="75" s="1"/>
  <c r="F63" i="76"/>
  <c r="D40" i="75"/>
  <c r="D21" i="75" s="1"/>
  <c r="D69" i="52"/>
  <c r="F92" i="76"/>
  <c r="G88" i="76"/>
  <c r="G86" i="76" s="1"/>
  <c r="G126" i="76"/>
  <c r="G127" i="76" s="1"/>
  <c r="F70" i="97"/>
  <c r="L34" i="60"/>
  <c r="O63" i="84"/>
  <c r="L63" i="84" s="1"/>
  <c r="F61" i="85" s="1"/>
  <c r="L33" i="60"/>
  <c r="O62" i="84"/>
  <c r="L62" i="84" s="1"/>
  <c r="F60" i="85" s="1"/>
  <c r="E32" i="60"/>
  <c r="H61" i="84"/>
  <c r="E61" i="84" s="1"/>
  <c r="E59" i="85" s="1"/>
  <c r="N11" i="58"/>
  <c r="N12" i="82" s="1"/>
  <c r="D35" i="4"/>
  <c r="D706" i="4" s="1"/>
  <c r="D166" i="4"/>
  <c r="D165" i="4" s="1"/>
  <c r="M29" i="3"/>
  <c r="H43" i="2"/>
  <c r="M43" i="2" s="1"/>
  <c r="L43" i="2" s="1"/>
  <c r="L22" i="2"/>
  <c r="G22" i="3"/>
  <c r="O10" i="2"/>
  <c r="AR19" i="42"/>
  <c r="AR19" i="60"/>
  <c r="AR18" i="60" s="1"/>
  <c r="AR9" i="60" s="1"/>
  <c r="AR44" i="60" s="1"/>
  <c r="O35" i="42"/>
  <c r="AH714" i="63"/>
  <c r="AJ714" i="63" s="1"/>
  <c r="D105" i="52"/>
  <c r="F111" i="76"/>
  <c r="W41" i="42"/>
  <c r="W35" i="42" s="1"/>
  <c r="X71" i="97"/>
  <c r="AE41" i="9"/>
  <c r="AE71" i="97"/>
  <c r="H8" i="58"/>
  <c r="K8" i="58" s="1"/>
  <c r="H13" i="58"/>
  <c r="K13" i="58" s="1"/>
  <c r="AL50" i="9"/>
  <c r="AL48" i="97"/>
  <c r="AL37" i="97" s="1"/>
  <c r="AL18" i="97" s="1"/>
  <c r="AL94" i="97" s="1"/>
  <c r="Q19" i="8"/>
  <c r="Q25" i="99"/>
  <c r="V41" i="42"/>
  <c r="V33" i="60" s="1"/>
  <c r="AD41" i="9"/>
  <c r="P18" i="97"/>
  <c r="M55" i="97"/>
  <c r="J24" i="99"/>
  <c r="G46" i="84"/>
  <c r="G9" i="84" s="1"/>
  <c r="G82" i="84" s="1"/>
  <c r="AX44" i="60"/>
  <c r="AX39" i="84"/>
  <c r="AX28" i="84" s="1"/>
  <c r="AX9" i="84" s="1"/>
  <c r="AX82" i="84" s="1"/>
  <c r="T21" i="8"/>
  <c r="Q27" i="99"/>
  <c r="K16" i="41"/>
  <c r="K15" i="41" s="1"/>
  <c r="L27" i="99"/>
  <c r="O40" i="99"/>
  <c r="O39" i="99" s="1"/>
  <c r="O42" i="99"/>
  <c r="K24" i="99"/>
  <c r="D56" i="75"/>
  <c r="S110" i="76"/>
  <c r="S116" i="76" s="1"/>
  <c r="R21" i="8"/>
  <c r="P27" i="99"/>
  <c r="J22" i="8"/>
  <c r="I24" i="99"/>
  <c r="I22" i="99"/>
  <c r="BF44" i="60"/>
  <c r="BF39" i="84"/>
  <c r="BF28" i="84" s="1"/>
  <c r="BF9" i="84" s="1"/>
  <c r="BF82" i="84" s="1"/>
  <c r="R18" i="8"/>
  <c r="P25" i="99"/>
  <c r="AV37" i="97"/>
  <c r="AX18" i="97"/>
  <c r="AQ18" i="97"/>
  <c r="BE18" i="97"/>
  <c r="BC26" i="9"/>
  <c r="BC50" i="9" s="1"/>
  <c r="BF48" i="97"/>
  <c r="N46" i="84"/>
  <c r="N9" i="84" s="1"/>
  <c r="N82" i="84" s="1"/>
  <c r="I42" i="99"/>
  <c r="I40" i="99"/>
  <c r="P40" i="99"/>
  <c r="P39" i="99" s="1"/>
  <c r="P42" i="99"/>
  <c r="L18" i="8"/>
  <c r="L25" i="99"/>
  <c r="J42" i="99"/>
  <c r="J40" i="99"/>
  <c r="N18" i="8"/>
  <c r="M25" i="99"/>
  <c r="AV48" i="97"/>
  <c r="AJ18" i="97"/>
  <c r="P27" i="60"/>
  <c r="P60" i="84"/>
  <c r="P46" i="84" s="1"/>
  <c r="P9" i="84" s="1"/>
  <c r="P82" i="84" s="1"/>
  <c r="K40" i="99"/>
  <c r="K42" i="99"/>
  <c r="AO26" i="9"/>
  <c r="AO25" i="9" s="1"/>
  <c r="AR48" i="97"/>
  <c r="I27" i="99"/>
  <c r="AK25" i="9"/>
  <c r="AK48" i="97"/>
  <c r="I18" i="97"/>
  <c r="AD95" i="17"/>
  <c r="AD93" i="17" s="1"/>
  <c r="M69" i="97"/>
  <c r="J725" i="76"/>
  <c r="K725" i="76" s="1"/>
  <c r="G66" i="31"/>
  <c r="G32" i="43" s="1"/>
  <c r="J341" i="1"/>
  <c r="AI81" i="17"/>
  <c r="BJ40" i="6"/>
  <c r="M81" i="17"/>
  <c r="AT68" i="17"/>
  <c r="H42" i="2"/>
  <c r="L16" i="2"/>
  <c r="C63" i="27"/>
  <c r="C64" i="27"/>
  <c r="P59" i="27"/>
  <c r="C65" i="27" s="1"/>
  <c r="J13" i="68"/>
  <c r="BN12" i="35"/>
  <c r="J16" i="68"/>
  <c r="J123" i="68" s="1"/>
  <c r="L13" i="74"/>
  <c r="K42" i="68"/>
  <c r="K137" i="68" s="1"/>
  <c r="T137" i="68" s="1"/>
  <c r="J137" i="68"/>
  <c r="BJ41" i="9"/>
  <c r="D36" i="75"/>
  <c r="L14" i="1"/>
  <c r="D47" i="4"/>
  <c r="D718" i="4" s="1"/>
  <c r="AH775" i="63"/>
  <c r="AH771" i="63" s="1"/>
  <c r="J41" i="68"/>
  <c r="AA47" i="9"/>
  <c r="AA41" i="9" s="1"/>
  <c r="D277" i="4"/>
  <c r="D273" i="4" s="1"/>
  <c r="D272" i="4" s="1"/>
  <c r="F29" i="41"/>
  <c r="F11" i="41" s="1"/>
  <c r="O44" i="17"/>
  <c r="E20" i="65"/>
  <c r="J21" i="65"/>
  <c r="C21" i="65"/>
  <c r="O21" i="65" s="1"/>
  <c r="O15" i="41"/>
  <c r="O17" i="59"/>
  <c r="O16" i="59" s="1"/>
  <c r="F26" i="59"/>
  <c r="F101" i="65"/>
  <c r="AE19" i="35"/>
  <c r="AC12" i="35"/>
  <c r="R13" i="59"/>
  <c r="R11" i="59"/>
  <c r="R10" i="59" s="1"/>
  <c r="R8" i="59"/>
  <c r="R7" i="59" s="1"/>
  <c r="M64" i="35"/>
  <c r="M63" i="35"/>
  <c r="Q10" i="35"/>
  <c r="AV49" i="7"/>
  <c r="P44" i="17"/>
  <c r="G17" i="8"/>
  <c r="G60" i="8" s="1"/>
  <c r="D17" i="65"/>
  <c r="C18" i="65"/>
  <c r="N18" i="65" s="1"/>
  <c r="AL10" i="35"/>
  <c r="AP12" i="35"/>
  <c r="X12" i="35"/>
  <c r="Z19" i="35"/>
  <c r="O27" i="60"/>
  <c r="O14" i="59"/>
  <c r="O12" i="41"/>
  <c r="F27" i="59"/>
  <c r="T10" i="35"/>
  <c r="V12" i="35"/>
  <c r="U19" i="35"/>
  <c r="S12" i="35"/>
  <c r="I30" i="59"/>
  <c r="F33" i="59"/>
  <c r="F33" i="83" s="1"/>
  <c r="F19" i="59"/>
  <c r="AG63" i="35"/>
  <c r="AG64" i="35"/>
  <c r="N10" i="35"/>
  <c r="P12" i="35"/>
  <c r="F43" i="41"/>
  <c r="M63" i="17"/>
  <c r="G49" i="8"/>
  <c r="BG12" i="35"/>
  <c r="BI19" i="35"/>
  <c r="BJ64" i="35"/>
  <c r="M10" i="2"/>
  <c r="M9" i="2" s="1"/>
  <c r="L13" i="59"/>
  <c r="L8" i="59"/>
  <c r="L7" i="59" s="1"/>
  <c r="L11" i="59"/>
  <c r="L10" i="59" s="1"/>
  <c r="I19" i="59"/>
  <c r="AJ715" i="63"/>
  <c r="AH711" i="63"/>
  <c r="AJ711" i="63" s="1"/>
  <c r="N715" i="63"/>
  <c r="J64" i="35"/>
  <c r="J63" i="35"/>
  <c r="L10" i="35"/>
  <c r="L64" i="35" s="1"/>
  <c r="AH65" i="17"/>
  <c r="M59" i="17"/>
  <c r="BC49" i="7"/>
  <c r="BQ49" i="6"/>
  <c r="N44" i="17"/>
  <c r="B12" i="35"/>
  <c r="B10" i="35" s="1"/>
  <c r="B63" i="35" s="1"/>
  <c r="L40" i="65"/>
  <c r="G39" i="65"/>
  <c r="C40" i="65"/>
  <c r="Q40" i="65" s="1"/>
  <c r="G72" i="17"/>
  <c r="P15" i="8"/>
  <c r="I12" i="35"/>
  <c r="O32" i="59"/>
  <c r="O28" i="41"/>
  <c r="O31" i="41"/>
  <c r="F18" i="41"/>
  <c r="F15" i="59"/>
  <c r="I12" i="59"/>
  <c r="I12" i="83" s="1"/>
  <c r="Q18" i="14"/>
  <c r="G18" i="14" s="1"/>
  <c r="V17" i="14"/>
  <c r="Q17" i="14" s="1"/>
  <c r="G17" i="14" s="1"/>
  <c r="L41" i="42"/>
  <c r="AW10" i="35"/>
  <c r="AY12" i="35"/>
  <c r="E66" i="1"/>
  <c r="E279" i="1" s="1"/>
  <c r="P10" i="58"/>
  <c r="D48" i="4"/>
  <c r="D719" i="4" s="1"/>
  <c r="F275" i="1"/>
  <c r="C275" i="1" s="1"/>
  <c r="C367" i="1" s="1"/>
  <c r="D70" i="4"/>
  <c r="D69" i="4" s="1"/>
  <c r="D210" i="4"/>
  <c r="D109" i="4"/>
  <c r="D108" i="4" s="1"/>
  <c r="BI44" i="42"/>
  <c r="D112" i="4"/>
  <c r="D111" i="4" s="1"/>
  <c r="D198" i="4"/>
  <c r="D67" i="4"/>
  <c r="D66" i="4" s="1"/>
  <c r="D61" i="4"/>
  <c r="D60" i="4" s="1"/>
  <c r="P23" i="3"/>
  <c r="M26" i="3"/>
  <c r="AD41" i="42"/>
  <c r="AD33" i="60" s="1"/>
  <c r="AE50" i="9"/>
  <c r="W50" i="9"/>
  <c r="AD50" i="9"/>
  <c r="W41" i="9"/>
  <c r="AC41" i="42"/>
  <c r="AC35" i="42" s="1"/>
  <c r="F72" i="3"/>
  <c r="F70" i="3" s="1"/>
  <c r="AH786" i="63"/>
  <c r="AJ786" i="63" s="1"/>
  <c r="AJ789" i="63"/>
  <c r="AH109" i="63"/>
  <c r="AJ109" i="63" s="1"/>
  <c r="AJ144" i="63"/>
  <c r="AH484" i="63"/>
  <c r="AJ143" i="63"/>
  <c r="AH140" i="63"/>
  <c r="AH108" i="63"/>
  <c r="AJ108" i="63" s="1"/>
  <c r="AH483" i="63"/>
  <c r="AN36" i="17"/>
  <c r="AT36" i="17" s="1"/>
  <c r="AJ506" i="63"/>
  <c r="AH473" i="63"/>
  <c r="AJ473" i="63" s="1"/>
  <c r="AH472" i="63"/>
  <c r="AJ472" i="63" s="1"/>
  <c r="AJ505" i="63"/>
  <c r="AJ500" i="63"/>
  <c r="AH467" i="63"/>
  <c r="AJ467" i="63" s="1"/>
  <c r="AJ499" i="63"/>
  <c r="AH466" i="63"/>
  <c r="AJ466" i="63" s="1"/>
  <c r="D11" i="30"/>
  <c r="C22" i="3"/>
  <c r="G21" i="3"/>
  <c r="G9" i="3" s="1"/>
  <c r="Q32" i="41"/>
  <c r="Q32" i="59" s="1"/>
  <c r="B35" i="33"/>
  <c r="B10" i="33" s="1"/>
  <c r="B41" i="33" s="1"/>
  <c r="AE35" i="22"/>
  <c r="N22" i="20"/>
  <c r="E268" i="1"/>
  <c r="H49" i="9" s="1"/>
  <c r="C15" i="27"/>
  <c r="K13" i="41"/>
  <c r="K12" i="41" s="1"/>
  <c r="CD44" i="42"/>
  <c r="K57" i="3"/>
  <c r="D416" i="4"/>
  <c r="D404" i="4"/>
  <c r="G19" i="31"/>
  <c r="G14" i="31" s="1"/>
  <c r="AW18" i="60"/>
  <c r="AW9" i="60" s="1"/>
  <c r="I32" i="41"/>
  <c r="I28" i="41" s="1"/>
  <c r="I27" i="41" s="1"/>
  <c r="J32" i="59"/>
  <c r="J32" i="83" s="1"/>
  <c r="AY44" i="42"/>
  <c r="AY19" i="60"/>
  <c r="AY18" i="60" s="1"/>
  <c r="AY9" i="60" s="1"/>
  <c r="CD19" i="60"/>
  <c r="CD18" i="60" s="1"/>
  <c r="CD9" i="60" s="1"/>
  <c r="CD44" i="60" s="1"/>
  <c r="CH18" i="60"/>
  <c r="CH9" i="60" s="1"/>
  <c r="BM18" i="60"/>
  <c r="BM9" i="60" s="1"/>
  <c r="BI19" i="60"/>
  <c r="BI18" i="60" s="1"/>
  <c r="BI9" i="60" s="1"/>
  <c r="BI44" i="60" s="1"/>
  <c r="G27" i="60"/>
  <c r="AP18" i="60"/>
  <c r="AP9" i="60" s="1"/>
  <c r="F21" i="50"/>
  <c r="O15" i="18"/>
  <c r="O14" i="18" s="1"/>
  <c r="D362" i="4"/>
  <c r="BD18" i="60"/>
  <c r="BD9" i="60" s="1"/>
  <c r="CA18" i="60"/>
  <c r="CA9" i="60" s="1"/>
  <c r="BW19" i="60"/>
  <c r="BW18" i="60" s="1"/>
  <c r="BW9" i="60" s="1"/>
  <c r="BW44" i="60" s="1"/>
  <c r="H29" i="59"/>
  <c r="H29" i="83" s="1"/>
  <c r="H31" i="59"/>
  <c r="H31" i="83" s="1"/>
  <c r="AT42" i="35"/>
  <c r="J12" i="41"/>
  <c r="J14" i="59"/>
  <c r="J14" i="83" s="1"/>
  <c r="CR19" i="60"/>
  <c r="CR18" i="60" s="1"/>
  <c r="CR9" i="60" s="1"/>
  <c r="CR44" i="60" s="1"/>
  <c r="CV18" i="60"/>
  <c r="CV9" i="60" s="1"/>
  <c r="L31" i="60"/>
  <c r="N27" i="60"/>
  <c r="F20" i="50"/>
  <c r="N15" i="18"/>
  <c r="N14" i="18" s="1"/>
  <c r="G13" i="26"/>
  <c r="AI19" i="42"/>
  <c r="AI19" i="60"/>
  <c r="M31" i="59"/>
  <c r="L31" i="83" s="1"/>
  <c r="M29" i="59"/>
  <c r="H13" i="26"/>
  <c r="BP19" i="60"/>
  <c r="BP18" i="60" s="1"/>
  <c r="BP9" i="60" s="1"/>
  <c r="BP44" i="60" s="1"/>
  <c r="BT18" i="60"/>
  <c r="BT9" i="60" s="1"/>
  <c r="AU42" i="35"/>
  <c r="BS42" i="35"/>
  <c r="L23" i="3"/>
  <c r="P22" i="3"/>
  <c r="P21" i="3" s="1"/>
  <c r="P9" i="3" s="1"/>
  <c r="T18" i="8"/>
  <c r="AE95" i="17"/>
  <c r="D499" i="4"/>
  <c r="AU49" i="35"/>
  <c r="BR49" i="35"/>
  <c r="AT49" i="35"/>
  <c r="F31" i="43"/>
  <c r="H65" i="31"/>
  <c r="H31" i="43" s="1"/>
  <c r="M15" i="27"/>
  <c r="D34" i="4"/>
  <c r="D32" i="4" s="1"/>
  <c r="AH108" i="17"/>
  <c r="S13" i="41"/>
  <c r="S12" i="41" s="1"/>
  <c r="M277" i="1"/>
  <c r="E10" i="29"/>
  <c r="AJ20" i="42"/>
  <c r="D10" i="3"/>
  <c r="C10" i="3" s="1"/>
  <c r="G299" i="1"/>
  <c r="G277" i="1"/>
  <c r="L21" i="8"/>
  <c r="C10" i="1"/>
  <c r="AO12" i="22"/>
  <c r="AN56" i="17"/>
  <c r="AT56" i="17" s="1"/>
  <c r="P44" i="42"/>
  <c r="AO3" i="22"/>
  <c r="AK50" i="9"/>
  <c r="L278" i="1"/>
  <c r="N37" i="8"/>
  <c r="M43" i="99" s="1"/>
  <c r="E8" i="26"/>
  <c r="E67" i="3"/>
  <c r="C67" i="3" s="1"/>
  <c r="AD23" i="17"/>
  <c r="AL25" i="9"/>
  <c r="H19" i="8"/>
  <c r="H18" i="8" s="1"/>
  <c r="Q13" i="41"/>
  <c r="AH36" i="17"/>
  <c r="C11" i="3"/>
  <c r="S32" i="41"/>
  <c r="AH26" i="9"/>
  <c r="O19" i="8"/>
  <c r="Q34" i="8"/>
  <c r="Q33" i="8" s="1"/>
  <c r="AN110" i="17"/>
  <c r="AT110" i="17" s="1"/>
  <c r="T34" i="8"/>
  <c r="T33" i="8" s="1"/>
  <c r="AQ23" i="17"/>
  <c r="H17" i="27"/>
  <c r="Q17" i="27" s="1"/>
  <c r="D24" i="50"/>
  <c r="AH38" i="17"/>
  <c r="H340" i="1"/>
  <c r="Q16" i="41"/>
  <c r="O38" i="8"/>
  <c r="G38" i="8" s="1"/>
  <c r="I13" i="41"/>
  <c r="N34" i="8"/>
  <c r="N33" i="8" s="1"/>
  <c r="H38" i="8"/>
  <c r="H34" i="8" s="1"/>
  <c r="H33" i="8" s="1"/>
  <c r="C269" i="1"/>
  <c r="AK20" i="42"/>
  <c r="R34" i="8"/>
  <c r="R33" i="8" s="1"/>
  <c r="AQ95" i="17"/>
  <c r="AQ93" i="17" s="1"/>
  <c r="L53" i="3"/>
  <c r="Y33" i="22"/>
  <c r="V33" i="22" s="1"/>
  <c r="C9" i="1"/>
  <c r="L13" i="1"/>
  <c r="I49" i="9"/>
  <c r="H43" i="42" s="1"/>
  <c r="H35" i="60" s="1"/>
  <c r="O20" i="20"/>
  <c r="J344" i="1"/>
  <c r="J347" i="1" s="1"/>
  <c r="C278" i="1"/>
  <c r="H10" i="46" s="1"/>
  <c r="AI44" i="42"/>
  <c r="AB56" i="17"/>
  <c r="AS35" i="35"/>
  <c r="L28" i="74" s="1"/>
  <c r="M8" i="26"/>
  <c r="D233" i="4"/>
  <c r="CP50" i="9"/>
  <c r="O22" i="8"/>
  <c r="T47" i="9"/>
  <c r="J31" i="41"/>
  <c r="L57" i="3"/>
  <c r="AY19" i="42"/>
  <c r="J57" i="3"/>
  <c r="D532" i="4"/>
  <c r="X50" i="9"/>
  <c r="AB38" i="17"/>
  <c r="D23" i="50"/>
  <c r="AF1" i="22"/>
  <c r="L16" i="8"/>
  <c r="L15" i="8" s="1"/>
  <c r="M10" i="1"/>
  <c r="M9" i="1" s="1"/>
  <c r="AN32" i="17"/>
  <c r="AT32" i="17" s="1"/>
  <c r="M13" i="41"/>
  <c r="X41" i="9"/>
  <c r="M12" i="3"/>
  <c r="M10" i="3" s="1"/>
  <c r="F8" i="26"/>
  <c r="L8" i="26"/>
  <c r="L19" i="3"/>
  <c r="L71" i="3"/>
  <c r="I21" i="8"/>
  <c r="H16" i="41"/>
  <c r="D186" i="4"/>
  <c r="D52" i="4" s="1"/>
  <c r="L74" i="3"/>
  <c r="F22" i="8"/>
  <c r="F21" i="8" s="1"/>
  <c r="D191" i="4"/>
  <c r="D192" i="4" s="1"/>
  <c r="AB36" i="17"/>
  <c r="V27" i="14" s="1"/>
  <c r="Q27" i="14" s="1"/>
  <c r="G27" i="14" s="1"/>
  <c r="T16" i="8"/>
  <c r="T15" i="8" s="1"/>
  <c r="R16" i="8"/>
  <c r="R15" i="8" s="1"/>
  <c r="J30" i="22"/>
  <c r="D156" i="4"/>
  <c r="Z33" i="22"/>
  <c r="Z31" i="22" s="1"/>
  <c r="Z29" i="22" s="1"/>
  <c r="K16" i="8"/>
  <c r="K15" i="8" s="1"/>
  <c r="L20" i="3"/>
  <c r="BJ50" i="9"/>
  <c r="D515" i="4"/>
  <c r="D511" i="4" s="1"/>
  <c r="L275" i="1"/>
  <c r="T37" i="8"/>
  <c r="D481" i="4"/>
  <c r="D53" i="4"/>
  <c r="G17" i="27"/>
  <c r="S16" i="41"/>
  <c r="S17" i="59" s="1"/>
  <c r="L101" i="1"/>
  <c r="Q8" i="58" s="1"/>
  <c r="AQ20" i="42"/>
  <c r="AR50" i="9"/>
  <c r="AR25" i="9"/>
  <c r="H22" i="8"/>
  <c r="J16" i="41"/>
  <c r="AO11" i="22"/>
  <c r="AH34" i="17"/>
  <c r="Q22" i="8"/>
  <c r="J34" i="8"/>
  <c r="J33" i="8" s="1"/>
  <c r="Z3" i="22"/>
  <c r="Z2" i="22" s="1"/>
  <c r="AB110" i="17"/>
  <c r="K21" i="8"/>
  <c r="M52" i="3"/>
  <c r="M75" i="3" s="1"/>
  <c r="M72" i="3" s="1"/>
  <c r="M70" i="3" s="1"/>
  <c r="N66" i="1"/>
  <c r="N279" i="1" s="1"/>
  <c r="N277" i="1" s="1"/>
  <c r="P66" i="1"/>
  <c r="P279" i="1" s="1"/>
  <c r="P277" i="1" s="1"/>
  <c r="AR95" i="17"/>
  <c r="AR93" i="17" s="1"/>
  <c r="E31" i="42"/>
  <c r="E27" i="42" s="1"/>
  <c r="AR25" i="17"/>
  <c r="AR23" i="17" s="1"/>
  <c r="AO13" i="22"/>
  <c r="J28" i="41"/>
  <c r="AR54" i="17"/>
  <c r="AN54" i="17" s="1"/>
  <c r="AT54" i="17" s="1"/>
  <c r="D359" i="4"/>
  <c r="G52" i="3"/>
  <c r="G75" i="3" s="1"/>
  <c r="G72" i="3" s="1"/>
  <c r="AP23" i="17"/>
  <c r="AP21" i="17" s="1"/>
  <c r="AE23" i="17"/>
  <c r="AK23" i="17" s="1"/>
  <c r="N4" i="22"/>
  <c r="N2" i="22" s="1"/>
  <c r="F73" i="3"/>
  <c r="AF95" i="17"/>
  <c r="C57" i="3"/>
  <c r="M4" i="22"/>
  <c r="M2" i="22" s="1"/>
  <c r="CO41" i="9"/>
  <c r="CO50" i="9"/>
  <c r="CL42" i="9"/>
  <c r="CL41" i="9" s="1"/>
  <c r="BR48" i="35"/>
  <c r="AT48" i="35"/>
  <c r="AU48" i="35"/>
  <c r="O39" i="2"/>
  <c r="BU41" i="9"/>
  <c r="BU50" i="9"/>
  <c r="J5" i="22"/>
  <c r="N9" i="3"/>
  <c r="AH32" i="17"/>
  <c r="AB108" i="17"/>
  <c r="J338" i="1"/>
  <c r="D413" i="4"/>
  <c r="D133" i="4" s="1"/>
  <c r="D401" i="4"/>
  <c r="D121" i="4" s="1"/>
  <c r="BQ42" i="9"/>
  <c r="BF19" i="42"/>
  <c r="BF44" i="42"/>
  <c r="P20" i="20"/>
  <c r="J49" i="9"/>
  <c r="I43" i="42" s="1"/>
  <c r="I35" i="60" s="1"/>
  <c r="M31" i="41"/>
  <c r="M28" i="41"/>
  <c r="M27" i="41" s="1"/>
  <c r="I352" i="1"/>
  <c r="H355" i="1"/>
  <c r="O9" i="1"/>
  <c r="L19" i="1"/>
  <c r="K8" i="26"/>
  <c r="I354" i="1"/>
  <c r="J354" i="1" s="1"/>
  <c r="P35" i="42"/>
  <c r="AB32" i="17"/>
  <c r="CE42" i="9"/>
  <c r="CI41" i="9"/>
  <c r="CI50" i="9"/>
  <c r="I353" i="1"/>
  <c r="J353" i="1" s="1"/>
  <c r="H28" i="41"/>
  <c r="H27" i="41" s="1"/>
  <c r="H31" i="41"/>
  <c r="O52" i="3"/>
  <c r="J52" i="3" s="1"/>
  <c r="N16" i="8"/>
  <c r="N15" i="8" s="1"/>
  <c r="AB74" i="17"/>
  <c r="L39" i="42"/>
  <c r="L35" i="42" s="1"/>
  <c r="AQ45" i="17"/>
  <c r="AN45" i="17" s="1"/>
  <c r="AT45" i="17" s="1"/>
  <c r="AN47" i="17"/>
  <c r="AT47" i="17" s="1"/>
  <c r="E9" i="3"/>
  <c r="AS1" i="22"/>
  <c r="N52" i="3"/>
  <c r="N75" i="3" s="1"/>
  <c r="N73" i="3" s="1"/>
  <c r="Z12" i="22"/>
  <c r="V12" i="22" s="1"/>
  <c r="M13" i="22"/>
  <c r="L39" i="3"/>
  <c r="D23" i="4"/>
  <c r="D225" i="4"/>
  <c r="D219" i="4" s="1"/>
  <c r="D353" i="4"/>
  <c r="D395" i="4"/>
  <c r="D383" i="4"/>
  <c r="D407" i="4"/>
  <c r="AQ72" i="17"/>
  <c r="AN74" i="17"/>
  <c r="AT74" i="17" s="1"/>
  <c r="G71" i="3"/>
  <c r="AH57" i="17"/>
  <c r="AL56" i="17"/>
  <c r="AL54" i="17" s="1"/>
  <c r="AH54" i="17" s="1"/>
  <c r="AE45" i="17"/>
  <c r="AB47" i="17"/>
  <c r="Y6" i="22"/>
  <c r="V6" i="22" s="1"/>
  <c r="J6" i="22"/>
  <c r="D264" i="4"/>
  <c r="D234" i="4" s="1"/>
  <c r="C74" i="3"/>
  <c r="L31" i="42"/>
  <c r="L27" i="42" s="1"/>
  <c r="O44" i="42"/>
  <c r="AL47" i="17"/>
  <c r="AL45" i="17" s="1"/>
  <c r="D27" i="4"/>
  <c r="N35" i="42"/>
  <c r="N44" i="42"/>
  <c r="AK47" i="17"/>
  <c r="AH48" i="17"/>
  <c r="AX44" i="42"/>
  <c r="AX19" i="42"/>
  <c r="D544" i="4"/>
  <c r="D562" i="4" s="1"/>
  <c r="AS61" i="35" s="1"/>
  <c r="V30" i="22"/>
  <c r="G44" i="42"/>
  <c r="G35" i="42"/>
  <c r="AK74" i="17"/>
  <c r="AH75" i="17"/>
  <c r="C39" i="3"/>
  <c r="AH33" i="17"/>
  <c r="AP19" i="42"/>
  <c r="AP44" i="42"/>
  <c r="Y32" i="22"/>
  <c r="J32" i="22"/>
  <c r="M31" i="22"/>
  <c r="D52" i="3"/>
  <c r="CU19" i="42"/>
  <c r="CU44" i="42"/>
  <c r="CS25" i="9"/>
  <c r="M41" i="9"/>
  <c r="M50" i="9"/>
  <c r="O49" i="2"/>
  <c r="G38" i="50"/>
  <c r="AB25" i="17"/>
  <c r="V25" i="14" s="1"/>
  <c r="Q25" i="14" s="1"/>
  <c r="G25" i="14" s="1"/>
  <c r="AF23" i="17"/>
  <c r="BC32" i="7"/>
  <c r="BJ49" i="6"/>
  <c r="I91" i="2"/>
  <c r="J91" i="2" s="1"/>
  <c r="AH12" i="35"/>
  <c r="AJ13" i="35"/>
  <c r="AQ12" i="35"/>
  <c r="AQ10" i="35" s="1"/>
  <c r="K33" i="8"/>
  <c r="G54" i="17"/>
  <c r="E60" i="3"/>
  <c r="C60" i="3" s="1"/>
  <c r="C61" i="3"/>
  <c r="AF64" i="35"/>
  <c r="AF63" i="35"/>
  <c r="M99" i="17"/>
  <c r="AW19" i="42"/>
  <c r="AU20" i="42"/>
  <c r="AW44" i="42"/>
  <c r="CL25" i="9"/>
  <c r="BF50" i="9"/>
  <c r="BE20" i="42"/>
  <c r="BF25" i="9"/>
  <c r="AD44" i="17"/>
  <c r="AB72" i="17"/>
  <c r="H26" i="3"/>
  <c r="L26" i="3"/>
  <c r="M22" i="3"/>
  <c r="M74" i="17"/>
  <c r="AO4" i="22"/>
  <c r="AR1" i="22"/>
  <c r="BB12" i="35"/>
  <c r="I16" i="8"/>
  <c r="F19" i="8"/>
  <c r="I18" i="8"/>
  <c r="H13" i="41"/>
  <c r="H14" i="59" s="1"/>
  <c r="H14" i="83" s="1"/>
  <c r="AB54" i="17"/>
  <c r="AF44" i="17"/>
  <c r="J84" i="2"/>
  <c r="L74" i="1"/>
  <c r="M77" i="17"/>
  <c r="M68" i="17"/>
  <c r="I84" i="2"/>
  <c r="AV24" i="7"/>
  <c r="Q13" i="44"/>
  <c r="Q14" i="44" s="1"/>
  <c r="Q15" i="44" s="1"/>
  <c r="Q16" i="44" s="1"/>
  <c r="Q17" i="44" s="1"/>
  <c r="H12" i="44"/>
  <c r="O12" i="44" s="1"/>
  <c r="O14" i="44" s="1"/>
  <c r="I41" i="42"/>
  <c r="I33" i="60" s="1"/>
  <c r="I62" i="84" s="1"/>
  <c r="J45" i="9"/>
  <c r="K69" i="97" s="1"/>
  <c r="K55" i="97" s="1"/>
  <c r="K18" i="97" s="1"/>
  <c r="K94" i="97" s="1"/>
  <c r="AN108" i="17"/>
  <c r="AT108" i="17" s="1"/>
  <c r="AP95" i="17"/>
  <c r="L61" i="3"/>
  <c r="P60" i="3"/>
  <c r="K44" i="17"/>
  <c r="K21" i="17" s="1"/>
  <c r="Q21" i="17" s="1"/>
  <c r="D180" i="4"/>
  <c r="C74" i="1"/>
  <c r="D36" i="22"/>
  <c r="D38" i="22" s="1"/>
  <c r="AV25" i="9"/>
  <c r="AV50" i="9"/>
  <c r="CA19" i="42"/>
  <c r="BW20" i="42"/>
  <c r="CA44" i="42"/>
  <c r="CR19" i="42"/>
  <c r="CR44" i="42"/>
  <c r="I53" i="3"/>
  <c r="L37" i="8"/>
  <c r="L43" i="99" s="1"/>
  <c r="N122" i="107" s="1"/>
  <c r="N80" i="107" s="1"/>
  <c r="F38" i="8"/>
  <c r="K32" i="41"/>
  <c r="K32" i="59" s="1"/>
  <c r="L34" i="8"/>
  <c r="L13" i="3"/>
  <c r="AH81" i="17"/>
  <c r="BT27" i="35"/>
  <c r="BP19" i="35"/>
  <c r="AM12" i="35"/>
  <c r="AO13" i="35"/>
  <c r="Q36" i="14"/>
  <c r="G36" i="14" s="1"/>
  <c r="V39" i="14"/>
  <c r="Q39" i="14" s="1"/>
  <c r="G39" i="14" s="1"/>
  <c r="BX50" i="9"/>
  <c r="BX25" i="9"/>
  <c r="Q60" i="8"/>
  <c r="L29" i="3"/>
  <c r="H29" i="3"/>
  <c r="P33" i="8"/>
  <c r="P58" i="8" s="1"/>
  <c r="BQ16" i="6"/>
  <c r="H38" i="50"/>
  <c r="M72" i="17"/>
  <c r="H92" i="2"/>
  <c r="I90" i="2"/>
  <c r="I92" i="2" s="1"/>
  <c r="H17" i="45"/>
  <c r="R18" i="45"/>
  <c r="R19" i="45" s="1"/>
  <c r="R20" i="45" s="1"/>
  <c r="J18" i="8"/>
  <c r="S63" i="17"/>
  <c r="AT63" i="17" s="1"/>
  <c r="T44" i="17"/>
  <c r="T21" i="17" s="1"/>
  <c r="V5" i="22"/>
  <c r="AK63" i="35"/>
  <c r="AK64" i="35"/>
  <c r="BP19" i="42"/>
  <c r="BP44" i="42"/>
  <c r="BJ32" i="6"/>
  <c r="BA63" i="35"/>
  <c r="BA2" i="35"/>
  <c r="BA64" i="35"/>
  <c r="BE10" i="35"/>
  <c r="G276" i="1"/>
  <c r="G274" i="1" s="1"/>
  <c r="CK19" i="42"/>
  <c r="CK44" i="42"/>
  <c r="G39" i="2"/>
  <c r="C40" i="2"/>
  <c r="D276" i="1"/>
  <c r="D274" i="1" s="1"/>
  <c r="D277" i="1"/>
  <c r="M16" i="41"/>
  <c r="M17" i="59" s="1"/>
  <c r="N21" i="8"/>
  <c r="BM6" i="35"/>
  <c r="BM64" i="35"/>
  <c r="BM63" i="35"/>
  <c r="BN10" i="35"/>
  <c r="BO10" i="35"/>
  <c r="AI44" i="17"/>
  <c r="N13" i="22"/>
  <c r="N11" i="22" s="1"/>
  <c r="Z14" i="22"/>
  <c r="F48" i="2"/>
  <c r="C49" i="2"/>
  <c r="F46" i="2"/>
  <c r="H69" i="2"/>
  <c r="F79" i="2"/>
  <c r="H41" i="42"/>
  <c r="H33" i="60" s="1"/>
  <c r="F47" i="9"/>
  <c r="L110" i="76" s="1"/>
  <c r="I45" i="9"/>
  <c r="J69" i="97" s="1"/>
  <c r="F16" i="43"/>
  <c r="H16" i="43" s="1"/>
  <c r="H16" i="31"/>
  <c r="F64" i="31"/>
  <c r="H18" i="43"/>
  <c r="H18" i="31"/>
  <c r="F66" i="31"/>
  <c r="G56" i="44"/>
  <c r="D45" i="2"/>
  <c r="D16" i="50"/>
  <c r="H12" i="27"/>
  <c r="H324" i="1"/>
  <c r="I324" i="1" s="1"/>
  <c r="AT19" i="35"/>
  <c r="AR12" i="35"/>
  <c r="BQ19" i="35"/>
  <c r="BS27" i="35"/>
  <c r="O93" i="17"/>
  <c r="M93" i="17" s="1"/>
  <c r="G93" i="17"/>
  <c r="I21" i="17"/>
  <c r="G44" i="17"/>
  <c r="V21" i="17"/>
  <c r="S21" i="17" s="1"/>
  <c r="S44" i="17"/>
  <c r="AJ44" i="17"/>
  <c r="Q44" i="17"/>
  <c r="M45" i="17"/>
  <c r="D51" i="4"/>
  <c r="BD19" i="42"/>
  <c r="BD44" i="42"/>
  <c r="O279" i="1"/>
  <c r="C268" i="1" l="1"/>
  <c r="F92" i="98"/>
  <c r="AK95" i="17"/>
  <c r="AL25" i="17"/>
  <c r="AH25" i="17" s="1"/>
  <c r="AJ23" i="17"/>
  <c r="H327" i="1"/>
  <c r="F55" i="105"/>
  <c r="E85" i="106" s="1"/>
  <c r="E63" i="106" s="1"/>
  <c r="C299" i="1"/>
  <c r="G301" i="1"/>
  <c r="F332" i="1" s="1"/>
  <c r="E91" i="106" s="1"/>
  <c r="F328" i="1"/>
  <c r="G57" i="44"/>
  <c r="N77" i="107"/>
  <c r="N78" i="107"/>
  <c r="N118" i="107"/>
  <c r="N36" i="107" s="1"/>
  <c r="O36" i="107"/>
  <c r="V24" i="14"/>
  <c r="Q24" i="14" s="1"/>
  <c r="G24" i="14" s="1"/>
  <c r="N11" i="82"/>
  <c r="F12" i="59"/>
  <c r="F12" i="83" s="1"/>
  <c r="F15" i="83"/>
  <c r="F30" i="59"/>
  <c r="F30" i="83" s="1"/>
  <c r="I30" i="83"/>
  <c r="P9" i="59"/>
  <c r="N9" i="83" s="1"/>
  <c r="N30" i="83"/>
  <c r="G725" i="76"/>
  <c r="I340" i="1"/>
  <c r="N28" i="99"/>
  <c r="N31" i="99" s="1"/>
  <c r="N30" i="99" s="1"/>
  <c r="J16" i="8"/>
  <c r="J15" i="8" s="1"/>
  <c r="J28" i="99"/>
  <c r="J31" i="99" s="1"/>
  <c r="Q43" i="99"/>
  <c r="H43" i="99" s="1"/>
  <c r="H42" i="99" s="1"/>
  <c r="O28" i="99"/>
  <c r="O31" i="99" s="1"/>
  <c r="O30" i="99" s="1"/>
  <c r="K40" i="107"/>
  <c r="AR39" i="84"/>
  <c r="AR28" i="84" s="1"/>
  <c r="AR9" i="84" s="1"/>
  <c r="AR82" i="84" s="1"/>
  <c r="E19" i="31"/>
  <c r="E14" i="31" s="1"/>
  <c r="E298" i="1"/>
  <c r="E14" i="106"/>
  <c r="F12" i="105"/>
  <c r="F209" i="105" s="1"/>
  <c r="F18" i="105"/>
  <c r="F13" i="105" s="1"/>
  <c r="E20" i="106"/>
  <c r="E15" i="106" s="1"/>
  <c r="D464" i="4"/>
  <c r="E68" i="106"/>
  <c r="F54" i="105"/>
  <c r="E84" i="106" s="1"/>
  <c r="L27" i="60"/>
  <c r="L56" i="44"/>
  <c r="N714" i="63"/>
  <c r="P714" i="63" s="1"/>
  <c r="AH710" i="63"/>
  <c r="AJ710" i="63" s="1"/>
  <c r="E81" i="85"/>
  <c r="E80" i="85" s="1"/>
  <c r="F9" i="82"/>
  <c r="N8" i="58"/>
  <c r="N13" i="58" s="1"/>
  <c r="N13" i="82" s="1"/>
  <c r="N110" i="76"/>
  <c r="L116" i="76"/>
  <c r="N116" i="76" s="1"/>
  <c r="H92" i="76"/>
  <c r="F88" i="76"/>
  <c r="F126" i="76"/>
  <c r="H63" i="76"/>
  <c r="F65" i="76"/>
  <c r="H65" i="76" s="1"/>
  <c r="O46" i="84"/>
  <c r="O9" i="84" s="1"/>
  <c r="O82" i="84" s="1"/>
  <c r="E33" i="60"/>
  <c r="H62" i="84"/>
  <c r="E62" i="84" s="1"/>
  <c r="E60" i="85" s="1"/>
  <c r="Q8" i="82"/>
  <c r="Q14" i="82" s="1"/>
  <c r="Q13" i="58"/>
  <c r="Q13" i="82" s="1"/>
  <c r="M42" i="2"/>
  <c r="W44" i="42"/>
  <c r="W33" i="60"/>
  <c r="W62" i="84" s="1"/>
  <c r="W46" i="84" s="1"/>
  <c r="W9" i="84" s="1"/>
  <c r="W82" i="84" s="1"/>
  <c r="BC25" i="9"/>
  <c r="V44" i="42"/>
  <c r="V35" i="42"/>
  <c r="S41" i="42"/>
  <c r="S35" i="42" s="1"/>
  <c r="AC33" i="60"/>
  <c r="AC62" i="84" s="1"/>
  <c r="AC46" i="84" s="1"/>
  <c r="AC9" i="84" s="1"/>
  <c r="AC82" i="84" s="1"/>
  <c r="E7" i="29"/>
  <c r="F124" i="76"/>
  <c r="F728" i="76"/>
  <c r="H111" i="76"/>
  <c r="AO50" i="9"/>
  <c r="K17" i="59"/>
  <c r="K17" i="83" s="1"/>
  <c r="F28" i="99"/>
  <c r="F27" i="99" s="1"/>
  <c r="M121" i="107" s="1"/>
  <c r="O120" i="107" s="1"/>
  <c r="AJ95" i="17"/>
  <c r="D61" i="75"/>
  <c r="D60" i="75" s="1"/>
  <c r="F25" i="99"/>
  <c r="F24" i="99" s="1"/>
  <c r="D276" i="4"/>
  <c r="AS41" i="35" s="1"/>
  <c r="J31" i="68" s="1"/>
  <c r="J30" i="68" s="1"/>
  <c r="J118" i="68" s="1"/>
  <c r="E32" i="59"/>
  <c r="K32" i="83"/>
  <c r="BD44" i="60"/>
  <c r="BD39" i="84"/>
  <c r="BM44" i="60"/>
  <c r="I94" i="97"/>
  <c r="H28" i="99"/>
  <c r="H27" i="99" s="1"/>
  <c r="K27" i="99"/>
  <c r="AA71" i="97"/>
  <c r="AE55" i="97"/>
  <c r="M16" i="59"/>
  <c r="L16" i="83" s="1"/>
  <c r="L17" i="83"/>
  <c r="CH44" i="60"/>
  <c r="M22" i="99"/>
  <c r="M24" i="99"/>
  <c r="BE94" i="97"/>
  <c r="P24" i="99"/>
  <c r="P22" i="99"/>
  <c r="J21" i="8"/>
  <c r="L40" i="99"/>
  <c r="L39" i="99" s="1"/>
  <c r="L42" i="99"/>
  <c r="M28" i="59"/>
  <c r="L28" i="83" s="1"/>
  <c r="L29" i="83"/>
  <c r="I39" i="99"/>
  <c r="X55" i="97"/>
  <c r="T71" i="97"/>
  <c r="AY44" i="60"/>
  <c r="AY39" i="84"/>
  <c r="AY28" i="84" s="1"/>
  <c r="AY9" i="84" s="1"/>
  <c r="AY82" i="84" s="1"/>
  <c r="Q31" i="59"/>
  <c r="O31" i="83" s="1"/>
  <c r="O32" i="83"/>
  <c r="P13" i="58"/>
  <c r="P11" i="82"/>
  <c r="AK37" i="97"/>
  <c r="AH48" i="97"/>
  <c r="K39" i="99"/>
  <c r="J39" i="99"/>
  <c r="V27" i="60"/>
  <c r="V9" i="60" s="1"/>
  <c r="V44" i="60" s="1"/>
  <c r="V62" i="84"/>
  <c r="O21" i="8"/>
  <c r="O18" i="8"/>
  <c r="N25" i="99"/>
  <c r="F43" i="99"/>
  <c r="F42" i="99" s="1"/>
  <c r="AQ94" i="97"/>
  <c r="Q24" i="99"/>
  <c r="Q22" i="99"/>
  <c r="J55" i="97"/>
  <c r="F69" i="97"/>
  <c r="CV44" i="60"/>
  <c r="AP44" i="60"/>
  <c r="AP39" i="84"/>
  <c r="AD27" i="60"/>
  <c r="AD9" i="60" s="1"/>
  <c r="AD44" i="60" s="1"/>
  <c r="AD62" i="84"/>
  <c r="AD46" i="84" s="1"/>
  <c r="AD9" i="84" s="1"/>
  <c r="AD82" i="84" s="1"/>
  <c r="AX94" i="97"/>
  <c r="AV94" i="97" s="1"/>
  <c r="AV18" i="97"/>
  <c r="H32" i="102" s="1"/>
  <c r="Q18" i="8"/>
  <c r="O25" i="99"/>
  <c r="Q16" i="8"/>
  <c r="Q15" i="8" s="1"/>
  <c r="Q58" i="8" s="1"/>
  <c r="L24" i="99"/>
  <c r="L22" i="99"/>
  <c r="L60" i="84"/>
  <c r="I21" i="99"/>
  <c r="I19" i="99"/>
  <c r="K22" i="99"/>
  <c r="S16" i="59"/>
  <c r="P16" i="83" s="1"/>
  <c r="P17" i="83"/>
  <c r="M42" i="99"/>
  <c r="M40" i="99"/>
  <c r="M39" i="99" s="1"/>
  <c r="BT44" i="60"/>
  <c r="CA44" i="60"/>
  <c r="AW44" i="60"/>
  <c r="AW39" i="84"/>
  <c r="AR37" i="97"/>
  <c r="AO48" i="97"/>
  <c r="AJ94" i="97"/>
  <c r="BF37" i="97"/>
  <c r="BC48" i="97"/>
  <c r="CO28" i="84"/>
  <c r="CO9" i="84" s="1"/>
  <c r="CO82" i="84" s="1"/>
  <c r="CK39" i="84"/>
  <c r="CK28" i="84" s="1"/>
  <c r="CK9" i="84" s="1"/>
  <c r="CK82" i="84" s="1"/>
  <c r="H25" i="99"/>
  <c r="H24" i="99" s="1"/>
  <c r="P94" i="97"/>
  <c r="M94" i="97" s="1"/>
  <c r="M18" i="97"/>
  <c r="J722" i="76"/>
  <c r="G20" i="50"/>
  <c r="H20" i="50" s="1"/>
  <c r="G21" i="50"/>
  <c r="H21" i="50" s="1"/>
  <c r="M44" i="17"/>
  <c r="F9" i="59"/>
  <c r="F9" i="83" s="1"/>
  <c r="D64" i="4"/>
  <c r="T50" i="9"/>
  <c r="D39" i="75"/>
  <c r="AA50" i="9"/>
  <c r="D58" i="75"/>
  <c r="AH50" i="9"/>
  <c r="D42" i="75"/>
  <c r="N32" i="41"/>
  <c r="N32" i="59" s="1"/>
  <c r="AJ775" i="63"/>
  <c r="K41" i="68"/>
  <c r="K136" i="68" s="1"/>
  <c r="T136" i="68" s="1"/>
  <c r="J136" i="68"/>
  <c r="L11" i="2"/>
  <c r="AT35" i="35"/>
  <c r="J28" i="68"/>
  <c r="J122" i="68" s="1"/>
  <c r="AC44" i="42"/>
  <c r="O29" i="59"/>
  <c r="O28" i="59" s="1"/>
  <c r="O31" i="59"/>
  <c r="P40" i="65"/>
  <c r="O40" i="65"/>
  <c r="P10" i="35"/>
  <c r="N63" i="35"/>
  <c r="N64" i="35"/>
  <c r="O11" i="59"/>
  <c r="O10" i="59" s="1"/>
  <c r="O8" i="59"/>
  <c r="O7" i="59" s="1"/>
  <c r="O13" i="59"/>
  <c r="X10" i="35"/>
  <c r="Z12" i="35"/>
  <c r="AE12" i="35"/>
  <c r="AC10" i="35"/>
  <c r="F25" i="59"/>
  <c r="H21" i="65"/>
  <c r="J20" i="65"/>
  <c r="T715" i="63"/>
  <c r="N711" i="63"/>
  <c r="P715" i="63"/>
  <c r="K715" i="63"/>
  <c r="M715" i="63" s="1"/>
  <c r="M2" i="63"/>
  <c r="C17" i="65"/>
  <c r="N17" i="65" s="1"/>
  <c r="AW64" i="35"/>
  <c r="AW63" i="35"/>
  <c r="AY10" i="35"/>
  <c r="AY64" i="35" s="1"/>
  <c r="I9" i="59"/>
  <c r="I9" i="83" s="1"/>
  <c r="G24" i="65"/>
  <c r="C24" i="65" s="1"/>
  <c r="C39" i="65"/>
  <c r="S10" i="35"/>
  <c r="U12" i="35"/>
  <c r="AL64" i="35"/>
  <c r="AL63" i="35"/>
  <c r="AP10" i="35"/>
  <c r="H18" i="65"/>
  <c r="I17" i="65"/>
  <c r="H17" i="65" s="1"/>
  <c r="L378" i="65" s="1"/>
  <c r="Q63" i="35"/>
  <c r="Q64" i="35"/>
  <c r="I10" i="35"/>
  <c r="K12" i="35"/>
  <c r="V10" i="35"/>
  <c r="T64" i="35"/>
  <c r="T63" i="35"/>
  <c r="C20" i="65"/>
  <c r="E101" i="65"/>
  <c r="O10" i="41"/>
  <c r="O9" i="41" s="1"/>
  <c r="O27" i="41"/>
  <c r="L39" i="65"/>
  <c r="H40" i="65"/>
  <c r="BI12" i="35"/>
  <c r="BG10" i="35"/>
  <c r="P18" i="65"/>
  <c r="O18" i="65"/>
  <c r="Q18" i="65"/>
  <c r="E263" i="65"/>
  <c r="F263" i="65"/>
  <c r="P21" i="65"/>
  <c r="Q21" i="65"/>
  <c r="AD44" i="42"/>
  <c r="Z41" i="42"/>
  <c r="Z35" i="42" s="1"/>
  <c r="D105" i="4"/>
  <c r="D103" i="4"/>
  <c r="D102" i="4" s="1"/>
  <c r="D79" i="4"/>
  <c r="D136" i="4"/>
  <c r="D135" i="4" s="1"/>
  <c r="D115" i="4"/>
  <c r="D114" i="4" s="1"/>
  <c r="D73" i="4"/>
  <c r="D72" i="4" s="1"/>
  <c r="D82" i="4"/>
  <c r="D81" i="4" s="1"/>
  <c r="D127" i="4"/>
  <c r="D126" i="4" s="1"/>
  <c r="D124" i="4"/>
  <c r="D123" i="4" s="1"/>
  <c r="AD35" i="42"/>
  <c r="AJ771" i="63"/>
  <c r="Q31" i="41"/>
  <c r="Q29" i="59"/>
  <c r="Q28" i="41"/>
  <c r="Q27" i="41" s="1"/>
  <c r="F16" i="50"/>
  <c r="AH162" i="63"/>
  <c r="F23" i="50"/>
  <c r="AH149" i="63"/>
  <c r="F24" i="50"/>
  <c r="AH150" i="63"/>
  <c r="AH105" i="63"/>
  <c r="AJ105" i="63" s="1"/>
  <c r="AJ140" i="63"/>
  <c r="AH480" i="63"/>
  <c r="AH448" i="63"/>
  <c r="AJ448" i="63" s="1"/>
  <c r="AJ483" i="63"/>
  <c r="AJ484" i="63"/>
  <c r="AH449" i="63"/>
  <c r="AJ449" i="63" s="1"/>
  <c r="D428" i="4"/>
  <c r="D570" i="4" s="1"/>
  <c r="AH817" i="63" s="1"/>
  <c r="C21" i="3"/>
  <c r="K14" i="59"/>
  <c r="B40" i="33"/>
  <c r="F19" i="31"/>
  <c r="F14" i="31" s="1"/>
  <c r="F14" i="43" s="1"/>
  <c r="B9" i="33"/>
  <c r="K14" i="18"/>
  <c r="G14" i="43"/>
  <c r="G13" i="43" s="1"/>
  <c r="K13" i="26"/>
  <c r="L13" i="26"/>
  <c r="L13" i="58" s="1"/>
  <c r="L13" i="82" s="1"/>
  <c r="L8" i="58"/>
  <c r="L8" i="82" s="1"/>
  <c r="L14" i="82" s="1"/>
  <c r="AK44" i="42"/>
  <c r="AK19" i="60"/>
  <c r="AK18" i="60" s="1"/>
  <c r="AK9" i="60" s="1"/>
  <c r="K15" i="18"/>
  <c r="E13" i="26"/>
  <c r="E13" i="58" s="1"/>
  <c r="E8" i="58"/>
  <c r="AI18" i="60"/>
  <c r="AI9" i="60" s="1"/>
  <c r="H28" i="59"/>
  <c r="H28" i="83" s="1"/>
  <c r="K29" i="59"/>
  <c r="K31" i="59"/>
  <c r="K31" i="83" s="1"/>
  <c r="BB20" i="42"/>
  <c r="BB44" i="42" s="1"/>
  <c r="BE19" i="60"/>
  <c r="H13" i="59"/>
  <c r="H13" i="83" s="1"/>
  <c r="N16" i="41"/>
  <c r="N17" i="59" s="1"/>
  <c r="Q17" i="59"/>
  <c r="N13" i="41"/>
  <c r="Q14" i="59"/>
  <c r="O14" i="83" s="1"/>
  <c r="AJ19" i="42"/>
  <c r="AJ19" i="60"/>
  <c r="AJ18" i="60" s="1"/>
  <c r="AJ9" i="60" s="1"/>
  <c r="P13" i="41"/>
  <c r="P14" i="59" s="1"/>
  <c r="N14" i="83" s="1"/>
  <c r="S14" i="59"/>
  <c r="P14" i="83" s="1"/>
  <c r="AU19" i="60"/>
  <c r="AU18" i="60" s="1"/>
  <c r="AU9" i="60" s="1"/>
  <c r="AU44" i="60" s="1"/>
  <c r="H15" i="41"/>
  <c r="H17" i="59"/>
  <c r="M12" i="41"/>
  <c r="M14" i="59"/>
  <c r="L14" i="83" s="1"/>
  <c r="P32" i="41"/>
  <c r="P28" i="41" s="1"/>
  <c r="P27" i="41" s="1"/>
  <c r="S32" i="59"/>
  <c r="J13" i="59"/>
  <c r="J13" i="83" s="1"/>
  <c r="J29" i="59"/>
  <c r="J29" i="83" s="1"/>
  <c r="J31" i="59"/>
  <c r="J31" i="83" s="1"/>
  <c r="F13" i="26"/>
  <c r="F13" i="58" s="1"/>
  <c r="F8" i="58"/>
  <c r="I12" i="41"/>
  <c r="I14" i="59"/>
  <c r="I14" i="83" s="1"/>
  <c r="I31" i="41"/>
  <c r="I32" i="59"/>
  <c r="I32" i="83" s="1"/>
  <c r="I16" i="41"/>
  <c r="I17" i="59" s="1"/>
  <c r="J17" i="59"/>
  <c r="AN20" i="42"/>
  <c r="AN44" i="42" s="1"/>
  <c r="AQ19" i="60"/>
  <c r="M13" i="26"/>
  <c r="M13" i="58" s="1"/>
  <c r="M13" i="82" s="1"/>
  <c r="M8" i="58"/>
  <c r="M8" i="82" s="1"/>
  <c r="M14" i="82" s="1"/>
  <c r="W27" i="60"/>
  <c r="W9" i="60" s="1"/>
  <c r="W44" i="60" s="1"/>
  <c r="S33" i="60"/>
  <c r="S27" i="60" s="1"/>
  <c r="S9" i="60" s="1"/>
  <c r="S44" i="60" s="1"/>
  <c r="D294" i="4"/>
  <c r="D8" i="51"/>
  <c r="J90" i="2"/>
  <c r="J92" i="2" s="1"/>
  <c r="L22" i="20"/>
  <c r="AE93" i="17"/>
  <c r="AK93" i="17" s="1"/>
  <c r="AB95" i="17"/>
  <c r="AU61" i="35"/>
  <c r="BR61" i="35"/>
  <c r="AT61" i="35"/>
  <c r="BS49" i="35"/>
  <c r="BT49" i="35"/>
  <c r="D9" i="3"/>
  <c r="C9" i="3" s="1"/>
  <c r="G13" i="31"/>
  <c r="G62" i="31"/>
  <c r="G28" i="43" s="1"/>
  <c r="AJ44" i="42"/>
  <c r="I55" i="44"/>
  <c r="L55" i="44" s="1"/>
  <c r="V30" i="14"/>
  <c r="Q30" i="14" s="1"/>
  <c r="G30" i="14" s="1"/>
  <c r="Q15" i="41"/>
  <c r="R59" i="8"/>
  <c r="J4" i="22"/>
  <c r="E66" i="3"/>
  <c r="C66" i="3" s="1"/>
  <c r="L12" i="3"/>
  <c r="H16" i="8"/>
  <c r="H15" i="8" s="1"/>
  <c r="H58" i="8" s="1"/>
  <c r="H21" i="8"/>
  <c r="Q21" i="8"/>
  <c r="AK19" i="42"/>
  <c r="G19" i="8"/>
  <c r="G18" i="8" s="1"/>
  <c r="T41" i="9"/>
  <c r="G32" i="41"/>
  <c r="G28" i="41" s="1"/>
  <c r="G27" i="41" s="1"/>
  <c r="N58" i="8"/>
  <c r="Q12" i="41"/>
  <c r="AH25" i="9"/>
  <c r="S28" i="41"/>
  <c r="S27" i="41" s="1"/>
  <c r="G13" i="41"/>
  <c r="G12" i="41" s="1"/>
  <c r="L10" i="1"/>
  <c r="S31" i="41"/>
  <c r="O16" i="8"/>
  <c r="O15" i="8" s="1"/>
  <c r="O37" i="8"/>
  <c r="N43" i="99" s="1"/>
  <c r="T122" i="107" s="1"/>
  <c r="T80" i="107" s="1"/>
  <c r="K80" i="107" s="1"/>
  <c r="AG20" i="42"/>
  <c r="AG44" i="42" s="1"/>
  <c r="R58" i="8"/>
  <c r="H37" i="8"/>
  <c r="C66" i="1"/>
  <c r="O34" i="8"/>
  <c r="O33" i="8" s="1"/>
  <c r="BR35" i="35"/>
  <c r="BT35" i="35" s="1"/>
  <c r="AU35" i="35"/>
  <c r="L9" i="1"/>
  <c r="D11" i="28"/>
  <c r="D12" i="62" s="1"/>
  <c r="G22" i="8"/>
  <c r="G21" i="8" s="1"/>
  <c r="L44" i="42"/>
  <c r="K59" i="8"/>
  <c r="G73" i="3"/>
  <c r="D8" i="47"/>
  <c r="AR44" i="17"/>
  <c r="AR21" i="17" s="1"/>
  <c r="G70" i="3"/>
  <c r="K58" i="8"/>
  <c r="AL95" i="17"/>
  <c r="D189" i="4"/>
  <c r="D188" i="4"/>
  <c r="D184" i="4"/>
  <c r="D183" i="4" s="1"/>
  <c r="D20" i="28" s="1"/>
  <c r="D20" i="62" s="1"/>
  <c r="J15" i="41"/>
  <c r="V3" i="22"/>
  <c r="T58" i="8"/>
  <c r="S15" i="41"/>
  <c r="P16" i="41"/>
  <c r="G16" i="41"/>
  <c r="G15" i="41" s="1"/>
  <c r="D50" i="4"/>
  <c r="D49" i="4" s="1"/>
  <c r="AO1" i="22"/>
  <c r="CL50" i="9"/>
  <c r="D533" i="4"/>
  <c r="AS60" i="35" s="1"/>
  <c r="AU60" i="35" s="1"/>
  <c r="M73" i="3"/>
  <c r="P17" i="27"/>
  <c r="M17" i="27" s="1"/>
  <c r="C17" i="27"/>
  <c r="AQ19" i="42"/>
  <c r="AQ44" i="42"/>
  <c r="AN23" i="17"/>
  <c r="AT23" i="17" s="1"/>
  <c r="T59" i="8"/>
  <c r="D489" i="4"/>
  <c r="D486" i="4" s="1"/>
  <c r="D478" i="4"/>
  <c r="F276" i="1"/>
  <c r="F274" i="1" s="1"/>
  <c r="F277" i="1"/>
  <c r="L66" i="1"/>
  <c r="O75" i="3"/>
  <c r="O73" i="3" s="1"/>
  <c r="D540" i="4"/>
  <c r="D63" i="4"/>
  <c r="J27" i="41"/>
  <c r="J10" i="41"/>
  <c r="J9" i="41" s="1"/>
  <c r="N1" i="22"/>
  <c r="AF93" i="17"/>
  <c r="AL93" i="17" s="1"/>
  <c r="AN25" i="17"/>
  <c r="AT25" i="17" s="1"/>
  <c r="F38" i="50"/>
  <c r="D462" i="4"/>
  <c r="M21" i="27"/>
  <c r="I355" i="1"/>
  <c r="D120" i="4"/>
  <c r="BT48" i="35"/>
  <c r="BS48" i="35"/>
  <c r="AL44" i="17"/>
  <c r="F49" i="9"/>
  <c r="D12" i="75" s="1"/>
  <c r="P12" i="75" s="1"/>
  <c r="G43" i="42"/>
  <c r="O50" i="2"/>
  <c r="CW41" i="9"/>
  <c r="CW50" i="9"/>
  <c r="CS42" i="9"/>
  <c r="D55" i="75" s="1"/>
  <c r="Y4" i="22"/>
  <c r="Y2" i="22" s="1"/>
  <c r="CE50" i="9"/>
  <c r="CE41" i="9"/>
  <c r="J352" i="1"/>
  <c r="J355" i="1" s="1"/>
  <c r="BQ41" i="9"/>
  <c r="BQ50" i="9"/>
  <c r="AH56" i="17"/>
  <c r="C71" i="3"/>
  <c r="J58" i="8"/>
  <c r="N59" i="8"/>
  <c r="M29" i="22"/>
  <c r="J29" i="22" s="1"/>
  <c r="J31" i="22"/>
  <c r="D26" i="28"/>
  <c r="D16" i="28" s="1"/>
  <c r="D307" i="4"/>
  <c r="AK72" i="17"/>
  <c r="AH72" i="17" s="1"/>
  <c r="AH74" i="17"/>
  <c r="M11" i="22"/>
  <c r="J13" i="22"/>
  <c r="H52" i="3"/>
  <c r="D75" i="3"/>
  <c r="V32" i="22"/>
  <c r="Y31" i="22"/>
  <c r="AK45" i="17"/>
  <c r="AH47" i="17"/>
  <c r="D132" i="4"/>
  <c r="AE44" i="17"/>
  <c r="AE21" i="17" s="1"/>
  <c r="AB45" i="17"/>
  <c r="AN72" i="17"/>
  <c r="AT72" i="17" s="1"/>
  <c r="AQ44" i="17"/>
  <c r="D91" i="4"/>
  <c r="D85" i="4" s="1"/>
  <c r="D93" i="4"/>
  <c r="D90" i="4" s="1"/>
  <c r="D84" i="4" s="1"/>
  <c r="D303" i="4"/>
  <c r="D22" i="4"/>
  <c r="D302" i="4" s="1"/>
  <c r="E52" i="3"/>
  <c r="I52" i="3" s="1"/>
  <c r="H26" i="11"/>
  <c r="E32" i="41"/>
  <c r="K28" i="41"/>
  <c r="K31" i="41"/>
  <c r="J59" i="8"/>
  <c r="E41" i="42"/>
  <c r="BE63" i="35"/>
  <c r="BE64" i="35"/>
  <c r="H20" i="45"/>
  <c r="R21" i="45"/>
  <c r="F37" i="8"/>
  <c r="F34" i="8"/>
  <c r="D179" i="4"/>
  <c r="D178" i="4" s="1"/>
  <c r="D22" i="28" s="1"/>
  <c r="D21" i="62" s="1"/>
  <c r="D46" i="4"/>
  <c r="D45" i="4" s="1"/>
  <c r="AP93" i="17"/>
  <c r="AN93" i="17" s="1"/>
  <c r="AU93" i="17" s="1"/>
  <c r="AN95" i="17"/>
  <c r="AT95" i="17" s="1"/>
  <c r="AT93" i="17" s="1"/>
  <c r="L22" i="3"/>
  <c r="M21" i="3"/>
  <c r="L21" i="3" s="1"/>
  <c r="BE44" i="42"/>
  <c r="BE19" i="42"/>
  <c r="AU44" i="42"/>
  <c r="AU19" i="42"/>
  <c r="AH10" i="35"/>
  <c r="AJ12" i="35"/>
  <c r="BO63" i="35"/>
  <c r="BO64" i="35"/>
  <c r="G297" i="1"/>
  <c r="I54" i="44"/>
  <c r="L17" i="45"/>
  <c r="O17" i="45" s="1"/>
  <c r="J2" i="22"/>
  <c r="H17" i="44"/>
  <c r="O17" i="44" s="1"/>
  <c r="O18" i="44" s="1"/>
  <c r="Q18" i="44"/>
  <c r="Q19" i="44" s="1"/>
  <c r="Q20" i="44" s="1"/>
  <c r="Q21" i="44" s="1"/>
  <c r="Q22" i="44" s="1"/>
  <c r="Q23" i="44" s="1"/>
  <c r="Q24" i="44" s="1"/>
  <c r="Q25" i="44" s="1"/>
  <c r="Q26" i="44" s="1"/>
  <c r="Q27" i="44" s="1"/>
  <c r="Q28" i="44" s="1"/>
  <c r="Q29" i="44" s="1"/>
  <c r="Q30" i="44" s="1"/>
  <c r="Q31" i="44" s="1"/>
  <c r="Q32" i="44" s="1"/>
  <c r="Q33" i="44" s="1"/>
  <c r="Q34" i="44" s="1"/>
  <c r="Q35" i="44" s="1"/>
  <c r="Q36" i="44" s="1"/>
  <c r="F18" i="8"/>
  <c r="F16" i="8"/>
  <c r="F15" i="8" s="1"/>
  <c r="L10" i="3"/>
  <c r="AL23" i="17"/>
  <c r="AH23" i="17" s="1"/>
  <c r="AF21" i="17"/>
  <c r="AB23" i="17"/>
  <c r="M15" i="41"/>
  <c r="E16" i="41"/>
  <c r="E15" i="41" s="1"/>
  <c r="M10" i="41"/>
  <c r="M9" i="41" s="1"/>
  <c r="G50" i="2"/>
  <c r="C39" i="2"/>
  <c r="BP12" i="35"/>
  <c r="BP10" i="35" s="1"/>
  <c r="BT19" i="35"/>
  <c r="H10" i="41"/>
  <c r="H9" i="41" s="1"/>
  <c r="E13" i="41"/>
  <c r="H12" i="41"/>
  <c r="BB10" i="35"/>
  <c r="BD12" i="35"/>
  <c r="BN64" i="35"/>
  <c r="BN63" i="35"/>
  <c r="G34" i="8"/>
  <c r="G33" i="8" s="1"/>
  <c r="G37" i="8"/>
  <c r="AM10" i="35"/>
  <c r="AO12" i="35"/>
  <c r="L33" i="8"/>
  <c r="L58" i="8" s="1"/>
  <c r="L59" i="8"/>
  <c r="BW19" i="42"/>
  <c r="BW44" i="42"/>
  <c r="P52" i="3"/>
  <c r="L60" i="3"/>
  <c r="I39" i="42"/>
  <c r="I31" i="60" s="1"/>
  <c r="J50" i="9"/>
  <c r="J41" i="9"/>
  <c r="I15" i="8"/>
  <c r="I58" i="8" s="1"/>
  <c r="I59" i="8"/>
  <c r="AD21" i="17"/>
  <c r="AQ64" i="35"/>
  <c r="AQ63" i="35"/>
  <c r="O46" i="2"/>
  <c r="L49" i="2"/>
  <c r="D312" i="4"/>
  <c r="D31" i="4"/>
  <c r="D311" i="4" s="1"/>
  <c r="O277" i="1"/>
  <c r="L277" i="1" s="1"/>
  <c r="G116" i="76" s="1"/>
  <c r="L279" i="1"/>
  <c r="E277" i="1"/>
  <c r="E276" i="1"/>
  <c r="C279" i="1"/>
  <c r="O21" i="17"/>
  <c r="M21" i="17" s="1"/>
  <c r="G21" i="17"/>
  <c r="BS19" i="35"/>
  <c r="BQ12" i="35"/>
  <c r="AR10" i="35"/>
  <c r="J324" i="1"/>
  <c r="Q12" i="27"/>
  <c r="D15" i="50"/>
  <c r="G12" i="27"/>
  <c r="H66" i="31"/>
  <c r="H32" i="43" s="1"/>
  <c r="F32" i="43"/>
  <c r="F30" i="43"/>
  <c r="H64" i="31"/>
  <c r="H30" i="43" s="1"/>
  <c r="H39" i="42"/>
  <c r="H31" i="60" s="1"/>
  <c r="H60" i="84" s="1"/>
  <c r="F45" i="9"/>
  <c r="I50" i="9"/>
  <c r="I41" i="9"/>
  <c r="O9" i="2"/>
  <c r="L9" i="2" s="1"/>
  <c r="D10" i="30" s="1"/>
  <c r="L10" i="2"/>
  <c r="I69" i="2"/>
  <c r="I79" i="2" s="1"/>
  <c r="I85" i="2" s="1"/>
  <c r="I94" i="2" s="1"/>
  <c r="H79" i="2"/>
  <c r="H85" i="2" s="1"/>
  <c r="H94" i="2" s="1"/>
  <c r="C46" i="2"/>
  <c r="F45" i="2"/>
  <c r="V14" i="22"/>
  <c r="Z13" i="22"/>
  <c r="L725" i="76" l="1"/>
  <c r="M725" i="76" s="1"/>
  <c r="H725" i="76"/>
  <c r="O27" i="99"/>
  <c r="F93" i="98"/>
  <c r="F91" i="98" s="1"/>
  <c r="F94" i="98" s="1"/>
  <c r="O24" i="65"/>
  <c r="P24" i="65"/>
  <c r="D19" i="62"/>
  <c r="E12" i="106"/>
  <c r="AJ93" i="17"/>
  <c r="J719" i="76"/>
  <c r="K719" i="76" s="1"/>
  <c r="K722" i="76"/>
  <c r="F15" i="105"/>
  <c r="E17" i="106"/>
  <c r="AL21" i="17"/>
  <c r="N27" i="99"/>
  <c r="I327" i="1"/>
  <c r="J327" i="1" s="1"/>
  <c r="F39" i="105"/>
  <c r="F34" i="105" s="1"/>
  <c r="F211" i="105" s="1"/>
  <c r="Q40" i="99"/>
  <c r="Q39" i="99" s="1"/>
  <c r="E90" i="106"/>
  <c r="D17" i="50"/>
  <c r="H328" i="1"/>
  <c r="G13" i="27"/>
  <c r="P13" i="27" s="1"/>
  <c r="F342" i="1"/>
  <c r="P8" i="58"/>
  <c r="P8" i="82" s="1"/>
  <c r="P14" i="82" s="1"/>
  <c r="P13" i="82"/>
  <c r="O35" i="107"/>
  <c r="N35" i="107"/>
  <c r="F10" i="105"/>
  <c r="T77" i="107"/>
  <c r="K77" i="107" s="1"/>
  <c r="T78" i="107"/>
  <c r="K78" i="107" s="1"/>
  <c r="N120" i="107"/>
  <c r="N27" i="107" s="1"/>
  <c r="O27" i="107"/>
  <c r="Q42" i="99"/>
  <c r="N710" i="63"/>
  <c r="P710" i="63" s="1"/>
  <c r="T714" i="63"/>
  <c r="K714" i="63"/>
  <c r="M714" i="63" s="1"/>
  <c r="J30" i="99"/>
  <c r="G31" i="99"/>
  <c r="G30" i="99" s="1"/>
  <c r="S119" i="107" s="1"/>
  <c r="J340" i="1"/>
  <c r="E81" i="106"/>
  <c r="E62" i="106"/>
  <c r="D470" i="4"/>
  <c r="D471" i="4" s="1"/>
  <c r="D475" i="4" s="1"/>
  <c r="F38" i="105"/>
  <c r="F51" i="105"/>
  <c r="E65" i="106"/>
  <c r="N8" i="82"/>
  <c r="N14" i="82" s="1"/>
  <c r="AH758" i="63"/>
  <c r="AJ758" i="63" s="1"/>
  <c r="F8" i="82"/>
  <c r="F14" i="82" s="1"/>
  <c r="E14" i="82" s="1"/>
  <c r="L46" i="84"/>
  <c r="L9" i="84" s="1"/>
  <c r="L82" i="84" s="1"/>
  <c r="F58" i="85"/>
  <c r="F44" i="85" s="1"/>
  <c r="F7" i="85" s="1"/>
  <c r="H126" i="76"/>
  <c r="F127" i="76"/>
  <c r="H127" i="76" s="1"/>
  <c r="H88" i="76"/>
  <c r="F86" i="76"/>
  <c r="H86" i="76" s="1"/>
  <c r="BS9" i="77"/>
  <c r="BI9" i="77"/>
  <c r="M41" i="2"/>
  <c r="L42" i="2"/>
  <c r="AH724" i="63"/>
  <c r="Z33" i="60"/>
  <c r="Z27" i="60" s="1"/>
  <c r="Z9" i="60" s="1"/>
  <c r="Z44" i="60" s="1"/>
  <c r="K16" i="59"/>
  <c r="K16" i="83" s="1"/>
  <c r="AH95" i="17"/>
  <c r="AC27" i="60"/>
  <c r="AC9" i="60" s="1"/>
  <c r="AC44" i="60" s="1"/>
  <c r="S44" i="42"/>
  <c r="Q59" i="8"/>
  <c r="F22" i="99"/>
  <c r="F21" i="99" s="1"/>
  <c r="L728" i="76"/>
  <c r="M728" i="76" s="1"/>
  <c r="F121" i="76"/>
  <c r="F729" i="76"/>
  <c r="BR41" i="35"/>
  <c r="BS41" i="35" s="1"/>
  <c r="AS39" i="35"/>
  <c r="AU39" i="35" s="1"/>
  <c r="AU41" i="35"/>
  <c r="L31" i="74"/>
  <c r="L30" i="74" s="1"/>
  <c r="AT41" i="35"/>
  <c r="K11" i="59"/>
  <c r="K14" i="83"/>
  <c r="CA28" i="84"/>
  <c r="CA9" i="84" s="1"/>
  <c r="CA82" i="84" s="1"/>
  <c r="BW39" i="84"/>
  <c r="BW28" i="84" s="1"/>
  <c r="BW9" i="84" s="1"/>
  <c r="BW82" i="84" s="1"/>
  <c r="K21" i="99"/>
  <c r="K19" i="99"/>
  <c r="H22" i="99"/>
  <c r="H21" i="99" s="1"/>
  <c r="S62" i="84"/>
  <c r="V46" i="84"/>
  <c r="V9" i="84" s="1"/>
  <c r="V82" i="84" s="1"/>
  <c r="J27" i="99"/>
  <c r="G28" i="99"/>
  <c r="G27" i="99" s="1"/>
  <c r="S121" i="107" s="1"/>
  <c r="U120" i="107" s="1"/>
  <c r="J22" i="99"/>
  <c r="CH28" i="84"/>
  <c r="CH9" i="84" s="1"/>
  <c r="CH82" i="84" s="1"/>
  <c r="CD39" i="84"/>
  <c r="CD28" i="84" s="1"/>
  <c r="CD9" i="84" s="1"/>
  <c r="CD82" i="84" s="1"/>
  <c r="H46" i="84"/>
  <c r="H9" i="84" s="1"/>
  <c r="H82" i="84" s="1"/>
  <c r="I27" i="60"/>
  <c r="I9" i="60" s="1"/>
  <c r="I44" i="60" s="1"/>
  <c r="I60" i="84"/>
  <c r="I46" i="84" s="1"/>
  <c r="I9" i="84" s="1"/>
  <c r="I82" i="84" s="1"/>
  <c r="I16" i="59"/>
  <c r="I16" i="83" s="1"/>
  <c r="I17" i="83"/>
  <c r="Q16" i="59"/>
  <c r="O16" i="83" s="1"/>
  <c r="O17" i="83"/>
  <c r="AI44" i="60"/>
  <c r="AI39" i="84"/>
  <c r="BF18" i="97"/>
  <c r="BC37" i="97"/>
  <c r="O24" i="99"/>
  <c r="O22" i="99"/>
  <c r="CV28" i="84"/>
  <c r="CV9" i="84" s="1"/>
  <c r="CV82" i="84" s="1"/>
  <c r="CR39" i="84"/>
  <c r="CR28" i="84" s="1"/>
  <c r="CR9" i="84" s="1"/>
  <c r="CR82" i="84" s="1"/>
  <c r="T55" i="97"/>
  <c r="X18" i="97"/>
  <c r="N40" i="99"/>
  <c r="N42" i="99"/>
  <c r="G43" i="99"/>
  <c r="G42" i="99" s="1"/>
  <c r="N16" i="59"/>
  <c r="M16" i="83" s="1"/>
  <c r="M17" i="83"/>
  <c r="D20" i="75"/>
  <c r="BP39" i="84"/>
  <c r="BP28" i="84" s="1"/>
  <c r="BP9" i="84" s="1"/>
  <c r="BP82" i="84" s="1"/>
  <c r="BT28" i="84"/>
  <c r="BT9" i="84" s="1"/>
  <c r="BT82" i="84" s="1"/>
  <c r="I18" i="99"/>
  <c r="I61" i="99" s="1"/>
  <c r="F40" i="99"/>
  <c r="F39" i="99" s="1"/>
  <c r="P19" i="99"/>
  <c r="P18" i="99" s="1"/>
  <c r="P61" i="99" s="1"/>
  <c r="P21" i="99"/>
  <c r="BI39" i="84"/>
  <c r="BI28" i="84" s="1"/>
  <c r="BI9" i="84" s="1"/>
  <c r="BI82" i="84" s="1"/>
  <c r="BM28" i="84"/>
  <c r="BM9" i="84" s="1"/>
  <c r="BM82" i="84" s="1"/>
  <c r="G32" i="59"/>
  <c r="P32" i="83"/>
  <c r="Q28" i="59"/>
  <c r="O28" i="83" s="1"/>
  <c r="O29" i="83"/>
  <c r="Z62" i="84"/>
  <c r="D37" i="75"/>
  <c r="D18" i="75" s="1"/>
  <c r="R110" i="76"/>
  <c r="J11" i="59"/>
  <c r="J17" i="83"/>
  <c r="I61" i="16"/>
  <c r="I50" i="16" s="1"/>
  <c r="H18" i="102"/>
  <c r="H37" i="103" s="1"/>
  <c r="J18" i="97"/>
  <c r="F55" i="97"/>
  <c r="N22" i="99"/>
  <c r="N24" i="99"/>
  <c r="G25" i="99"/>
  <c r="G24" i="99" s="1"/>
  <c r="AA55" i="97"/>
  <c r="AE18" i="97"/>
  <c r="BD28" i="84"/>
  <c r="BD9" i="84" s="1"/>
  <c r="BD82" i="84" s="1"/>
  <c r="AJ44" i="60"/>
  <c r="AJ39" i="84"/>
  <c r="AJ28" i="84" s="1"/>
  <c r="AJ9" i="84" s="1"/>
  <c r="AJ82" i="84" s="1"/>
  <c r="AK44" i="60"/>
  <c r="AK39" i="84"/>
  <c r="AK28" i="84" s="1"/>
  <c r="AK9" i="84" s="1"/>
  <c r="AK82" i="84" s="1"/>
  <c r="AR18" i="97"/>
  <c r="AO37" i="97"/>
  <c r="L21" i="99"/>
  <c r="L19" i="99"/>
  <c r="L18" i="99" s="1"/>
  <c r="L61" i="99" s="1"/>
  <c r="Q21" i="99"/>
  <c r="AU39" i="84"/>
  <c r="AU28" i="84" s="1"/>
  <c r="AU9" i="84" s="1"/>
  <c r="AU82" i="84" s="1"/>
  <c r="AW28" i="84"/>
  <c r="AW9" i="84" s="1"/>
  <c r="AW82" i="84" s="1"/>
  <c r="H16" i="59"/>
  <c r="H16" i="83" s="1"/>
  <c r="H17" i="83"/>
  <c r="K28" i="59"/>
  <c r="K28" i="83" s="1"/>
  <c r="K29" i="83"/>
  <c r="N29" i="59"/>
  <c r="M32" i="83"/>
  <c r="AP28" i="84"/>
  <c r="AP9" i="84" s="1"/>
  <c r="AP82" i="84" s="1"/>
  <c r="AK18" i="97"/>
  <c r="AH37" i="97"/>
  <c r="M21" i="99"/>
  <c r="M19" i="99"/>
  <c r="M18" i="99" s="1"/>
  <c r="M61" i="99" s="1"/>
  <c r="E31" i="59"/>
  <c r="E31" i="83" s="1"/>
  <c r="E32" i="83"/>
  <c r="G118" i="76"/>
  <c r="G110" i="76"/>
  <c r="G23" i="50"/>
  <c r="H23" i="50" s="1"/>
  <c r="N31" i="41"/>
  <c r="Z44" i="42"/>
  <c r="N31" i="59"/>
  <c r="M31" i="83" s="1"/>
  <c r="N28" i="41"/>
  <c r="N27" i="41" s="1"/>
  <c r="G24" i="50"/>
  <c r="H24" i="50" s="1"/>
  <c r="A9" i="50" s="1"/>
  <c r="G16" i="50"/>
  <c r="H16" i="50" s="1"/>
  <c r="D130" i="4"/>
  <c r="G26" i="11"/>
  <c r="I58" i="44"/>
  <c r="N15" i="41"/>
  <c r="D17" i="75"/>
  <c r="D54" i="75"/>
  <c r="D41" i="75"/>
  <c r="D23" i="75"/>
  <c r="I57" i="44"/>
  <c r="L57" i="44" s="1"/>
  <c r="J130" i="68"/>
  <c r="D443" i="4"/>
  <c r="AH814" i="63" s="1"/>
  <c r="J129" i="68"/>
  <c r="D118" i="4"/>
  <c r="M18" i="65"/>
  <c r="Q10" i="41"/>
  <c r="Q9" i="41" s="1"/>
  <c r="K10" i="35"/>
  <c r="K64" i="35" s="1"/>
  <c r="I64" i="35"/>
  <c r="I63" i="35"/>
  <c r="BG64" i="35"/>
  <c r="BG63" i="35"/>
  <c r="BI10" i="35"/>
  <c r="L376" i="65"/>
  <c r="P20" i="65"/>
  <c r="Q20" i="65"/>
  <c r="AK776" i="63"/>
  <c r="AN776" i="63"/>
  <c r="V715" i="63"/>
  <c r="Z715" i="63"/>
  <c r="AB715" i="63" s="1"/>
  <c r="AE10" i="35"/>
  <c r="AC63" i="35"/>
  <c r="AC64" i="35"/>
  <c r="X63" i="35"/>
  <c r="Z10" i="35"/>
  <c r="X64" i="35"/>
  <c r="G95" i="65"/>
  <c r="C95" i="65" s="1"/>
  <c r="Q24" i="65"/>
  <c r="M24" i="65" s="1"/>
  <c r="G93" i="65"/>
  <c r="M21" i="65"/>
  <c r="C101" i="65"/>
  <c r="P101" i="65" s="1"/>
  <c r="P63" i="35"/>
  <c r="P64" i="35"/>
  <c r="D378" i="65"/>
  <c r="F378" i="65"/>
  <c r="E378" i="65"/>
  <c r="L379" i="65"/>
  <c r="G378" i="65"/>
  <c r="H20" i="65"/>
  <c r="J101" i="65"/>
  <c r="G263" i="65"/>
  <c r="L24" i="65"/>
  <c r="H39" i="65"/>
  <c r="O20" i="65"/>
  <c r="V64" i="35"/>
  <c r="V63" i="35"/>
  <c r="AP63" i="35"/>
  <c r="AP64" i="35"/>
  <c r="S64" i="35"/>
  <c r="S63" i="35"/>
  <c r="L363" i="65"/>
  <c r="Q17" i="65"/>
  <c r="P17" i="65"/>
  <c r="O17" i="65"/>
  <c r="K711" i="63"/>
  <c r="M711" i="63" s="1"/>
  <c r="T711" i="63"/>
  <c r="P711" i="63"/>
  <c r="M40" i="65"/>
  <c r="U10" i="35"/>
  <c r="D76" i="4"/>
  <c r="D58" i="4" s="1"/>
  <c r="D427" i="4"/>
  <c r="D78" i="4"/>
  <c r="D75" i="4" s="1"/>
  <c r="D57" i="4" s="1"/>
  <c r="D337" i="4" s="1"/>
  <c r="D129" i="4"/>
  <c r="D117" i="4"/>
  <c r="AH716" i="63"/>
  <c r="N716" i="63" s="1"/>
  <c r="AH721" i="63"/>
  <c r="AJ721" i="63" s="1"/>
  <c r="N724" i="63"/>
  <c r="AJ724" i="63"/>
  <c r="D571" i="4"/>
  <c r="D569" i="4" s="1"/>
  <c r="E14" i="59"/>
  <c r="K13" i="59"/>
  <c r="K13" i="83" s="1"/>
  <c r="D452" i="4"/>
  <c r="AH720" i="63"/>
  <c r="AH781" i="63"/>
  <c r="AH188" i="63"/>
  <c r="V714" i="63"/>
  <c r="Z714" i="63"/>
  <c r="AB714" i="63" s="1"/>
  <c r="AH115" i="63"/>
  <c r="AJ115" i="63" s="1"/>
  <c r="AJ150" i="63"/>
  <c r="AH490" i="63"/>
  <c r="F15" i="50"/>
  <c r="AH161" i="63"/>
  <c r="N162" i="63"/>
  <c r="AH129" i="63"/>
  <c r="AJ129" i="63" s="1"/>
  <c r="AJ162" i="63"/>
  <c r="AH502" i="63"/>
  <c r="D442" i="4"/>
  <c r="AJ480" i="63"/>
  <c r="AH445" i="63"/>
  <c r="AJ445" i="63" s="1"/>
  <c r="AJ817" i="63"/>
  <c r="AJ149" i="63"/>
  <c r="AH146" i="63"/>
  <c r="AH114" i="63"/>
  <c r="AJ114" i="63" s="1"/>
  <c r="AH489" i="63"/>
  <c r="F13" i="31"/>
  <c r="BB19" i="42"/>
  <c r="G14" i="59"/>
  <c r="F13" i="41"/>
  <c r="F12" i="41" s="1"/>
  <c r="H8" i="59"/>
  <c r="AN19" i="42"/>
  <c r="E29" i="59"/>
  <c r="F32" i="41"/>
  <c r="F28" i="41" s="1"/>
  <c r="F27" i="41" s="1"/>
  <c r="AG19" i="60"/>
  <c r="AG18" i="60" s="1"/>
  <c r="AG9" i="60" s="1"/>
  <c r="AG44" i="60" s="1"/>
  <c r="K8" i="59"/>
  <c r="P12" i="41"/>
  <c r="H27" i="60"/>
  <c r="H9" i="60" s="1"/>
  <c r="H44" i="60" s="1"/>
  <c r="E31" i="60"/>
  <c r="E27" i="60" s="1"/>
  <c r="I15" i="41"/>
  <c r="E43" i="42"/>
  <c r="G35" i="60"/>
  <c r="J16" i="59"/>
  <c r="J16" i="83" s="1"/>
  <c r="G17" i="59"/>
  <c r="I29" i="59"/>
  <c r="I31" i="59"/>
  <c r="I31" i="83" s="1"/>
  <c r="P31" i="41"/>
  <c r="P32" i="59"/>
  <c r="S11" i="59"/>
  <c r="S13" i="59"/>
  <c r="P13" i="83" s="1"/>
  <c r="Q11" i="59"/>
  <c r="Q13" i="59"/>
  <c r="O13" i="83" s="1"/>
  <c r="Q8" i="59"/>
  <c r="BE18" i="60"/>
  <c r="BE9" i="60" s="1"/>
  <c r="BB19" i="60"/>
  <c r="BB18" i="60" s="1"/>
  <c r="BB9" i="60" s="1"/>
  <c r="BB44" i="60" s="1"/>
  <c r="M11" i="59"/>
  <c r="M13" i="59"/>
  <c r="L13" i="83" s="1"/>
  <c r="M8" i="59"/>
  <c r="P13" i="59"/>
  <c r="N13" i="83" s="1"/>
  <c r="N12" i="41"/>
  <c r="N14" i="59"/>
  <c r="AQ18" i="60"/>
  <c r="AQ9" i="60" s="1"/>
  <c r="AN19" i="60"/>
  <c r="AN18" i="60" s="1"/>
  <c r="AN9" i="60" s="1"/>
  <c r="AN44" i="60" s="1"/>
  <c r="I11" i="59"/>
  <c r="I13" i="59"/>
  <c r="I13" i="83" s="1"/>
  <c r="I10" i="41"/>
  <c r="I9" i="41" s="1"/>
  <c r="P15" i="41"/>
  <c r="P17" i="59"/>
  <c r="N17" i="83" s="1"/>
  <c r="J8" i="59"/>
  <c r="J28" i="59"/>
  <c r="J28" i="83" s="1"/>
  <c r="S29" i="59"/>
  <c r="S31" i="59"/>
  <c r="P31" i="83" s="1"/>
  <c r="E17" i="59"/>
  <c r="H11" i="59"/>
  <c r="J11" i="22"/>
  <c r="M1" i="22"/>
  <c r="J1" i="22" s="1"/>
  <c r="AE36" i="22" s="1"/>
  <c r="AH93" i="17"/>
  <c r="N20" i="20"/>
  <c r="BT61" i="35"/>
  <c r="BS61" i="35"/>
  <c r="G31" i="41"/>
  <c r="G61" i="31"/>
  <c r="G27" i="43" s="1"/>
  <c r="AT60" i="35"/>
  <c r="S10" i="41"/>
  <c r="S9" i="41" s="1"/>
  <c r="H59" i="8"/>
  <c r="G25" i="11" s="1"/>
  <c r="O58" i="8"/>
  <c r="G16" i="8"/>
  <c r="G15" i="8" s="1"/>
  <c r="G58" i="8" s="1"/>
  <c r="D9" i="75" s="1"/>
  <c r="AG19" i="42"/>
  <c r="BS35" i="35"/>
  <c r="O59" i="8"/>
  <c r="V4" i="22"/>
  <c r="F62" i="31"/>
  <c r="F61" i="31" s="1"/>
  <c r="F27" i="43" s="1"/>
  <c r="D7" i="28"/>
  <c r="D8" i="62" s="1"/>
  <c r="D12" i="47"/>
  <c r="D292" i="4"/>
  <c r="F13" i="43"/>
  <c r="BR60" i="35"/>
  <c r="BT60" i="35" s="1"/>
  <c r="D330" i="4"/>
  <c r="H13" i="11"/>
  <c r="P10" i="41"/>
  <c r="P9" i="41" s="1"/>
  <c r="G54" i="44"/>
  <c r="G58" i="44" s="1"/>
  <c r="F297" i="1"/>
  <c r="F16" i="41"/>
  <c r="F15" i="41" s="1"/>
  <c r="D325" i="4"/>
  <c r="D155" i="4"/>
  <c r="D290" i="4" s="1"/>
  <c r="AV93" i="17"/>
  <c r="AB93" i="17"/>
  <c r="C52" i="3"/>
  <c r="CS41" i="9"/>
  <c r="CS50" i="9"/>
  <c r="I26" i="11" s="1"/>
  <c r="O47" i="2"/>
  <c r="L20" i="20"/>
  <c r="F22" i="20"/>
  <c r="F20" i="20" s="1"/>
  <c r="O48" i="2"/>
  <c r="AB44" i="17"/>
  <c r="V23" i="14" s="1"/>
  <c r="Q23" i="14" s="1"/>
  <c r="G23" i="14" s="1"/>
  <c r="E75" i="3"/>
  <c r="E72" i="3" s="1"/>
  <c r="G10" i="41"/>
  <c r="G9" i="41" s="1"/>
  <c r="D44" i="4"/>
  <c r="D27" i="28" s="1"/>
  <c r="AN44" i="17"/>
  <c r="AT44" i="17" s="1"/>
  <c r="AT21" i="17" s="1"/>
  <c r="AV21" i="17" s="1"/>
  <c r="AQ21" i="17"/>
  <c r="AN21" i="17" s="1"/>
  <c r="D72" i="3"/>
  <c r="D70" i="3" s="1"/>
  <c r="D73" i="3"/>
  <c r="V31" i="22"/>
  <c r="Y29" i="22"/>
  <c r="V29" i="22" s="1"/>
  <c r="AK44" i="17"/>
  <c r="AH44" i="17" s="1"/>
  <c r="AH45" i="17"/>
  <c r="L46" i="2"/>
  <c r="AJ21" i="17"/>
  <c r="AB21" i="17"/>
  <c r="D433" i="4"/>
  <c r="M9" i="3"/>
  <c r="L9" i="3" s="1"/>
  <c r="H36" i="44"/>
  <c r="O36" i="44" s="1"/>
  <c r="O38" i="44" s="1"/>
  <c r="Q37" i="44"/>
  <c r="Q38" i="44" s="1"/>
  <c r="Q39" i="44" s="1"/>
  <c r="Q40" i="44" s="1"/>
  <c r="H40" i="44" s="1"/>
  <c r="O40" i="44" s="1"/>
  <c r="O42" i="44" s="1"/>
  <c r="D14" i="50"/>
  <c r="AH156" i="63" s="1"/>
  <c r="D453" i="4"/>
  <c r="D461" i="4" s="1"/>
  <c r="H19" i="27"/>
  <c r="Q19" i="27" s="1"/>
  <c r="H319" i="1"/>
  <c r="I319" i="1" s="1"/>
  <c r="L20" i="45"/>
  <c r="O20" i="45" s="1"/>
  <c r="K52" i="3"/>
  <c r="P75" i="3"/>
  <c r="L52" i="3"/>
  <c r="BB64" i="35"/>
  <c r="BB63" i="35"/>
  <c r="BB2" i="35"/>
  <c r="BD10" i="35"/>
  <c r="G47" i="2"/>
  <c r="G48" i="2"/>
  <c r="C48" i="2" s="1"/>
  <c r="C50" i="2"/>
  <c r="V2" i="22"/>
  <c r="AO10" i="35"/>
  <c r="AM64" i="35"/>
  <c r="AM63" i="35"/>
  <c r="BP2" i="35"/>
  <c r="BP63" i="35"/>
  <c r="BP64" i="35"/>
  <c r="AH63" i="35"/>
  <c r="AH64" i="35"/>
  <c r="AJ10" i="35"/>
  <c r="K27" i="41"/>
  <c r="K10" i="41"/>
  <c r="K9" i="41" s="1"/>
  <c r="I35" i="42"/>
  <c r="I44" i="42"/>
  <c r="E12" i="41"/>
  <c r="H13" i="27"/>
  <c r="H11" i="27" s="1"/>
  <c r="D18" i="50"/>
  <c r="H332" i="1"/>
  <c r="I332" i="1" s="1"/>
  <c r="F33" i="8"/>
  <c r="F58" i="8" s="1"/>
  <c r="D8" i="75" s="1"/>
  <c r="P8" i="75" s="1"/>
  <c r="F59" i="8"/>
  <c r="F25" i="11" s="1"/>
  <c r="G60" i="16" s="1"/>
  <c r="G24" i="16" s="1"/>
  <c r="H21" i="45"/>
  <c r="R22" i="45"/>
  <c r="E31" i="41"/>
  <c r="E28" i="41"/>
  <c r="E27" i="41" s="1"/>
  <c r="V13" i="22"/>
  <c r="Z11" i="22"/>
  <c r="D446" i="4"/>
  <c r="F41" i="9"/>
  <c r="F50" i="9"/>
  <c r="F26" i="11" s="1"/>
  <c r="H35" i="42"/>
  <c r="H44" i="42"/>
  <c r="E39" i="42"/>
  <c r="D465" i="4"/>
  <c r="D469" i="4" s="1"/>
  <c r="C12" i="27"/>
  <c r="P12" i="27"/>
  <c r="AR63" i="35"/>
  <c r="AR64" i="35"/>
  <c r="BQ10" i="35"/>
  <c r="E274" i="1"/>
  <c r="C274" i="1" s="1"/>
  <c r="C282" i="1" s="1"/>
  <c r="C276" i="1"/>
  <c r="C277" i="1"/>
  <c r="C366" i="1" s="1"/>
  <c r="C370" i="1" s="1"/>
  <c r="C374" i="1" s="1"/>
  <c r="E54" i="44"/>
  <c r="E297" i="1"/>
  <c r="C298" i="1"/>
  <c r="D329" i="4"/>
  <c r="D25" i="28"/>
  <c r="J69" i="2"/>
  <c r="J79" i="2" s="1"/>
  <c r="J85" i="2" s="1"/>
  <c r="J94" i="2" s="1"/>
  <c r="F35" i="105" l="1"/>
  <c r="Q19" i="99"/>
  <c r="Q18" i="99" s="1"/>
  <c r="Q61" i="99" s="1"/>
  <c r="H40" i="99"/>
  <c r="H39" i="99" s="1"/>
  <c r="T710" i="63"/>
  <c r="N758" i="63"/>
  <c r="P758" i="63" s="1"/>
  <c r="K710" i="63"/>
  <c r="O95" i="65"/>
  <c r="P95" i="65"/>
  <c r="AK21" i="17"/>
  <c r="AH21" i="17" s="1"/>
  <c r="G11" i="27"/>
  <c r="I328" i="1"/>
  <c r="J328" i="1" s="1"/>
  <c r="F17" i="50"/>
  <c r="G17" i="50" s="1"/>
  <c r="H17" i="50" s="1"/>
  <c r="AH163" i="63"/>
  <c r="AH167" i="63"/>
  <c r="T120" i="107"/>
  <c r="T27" i="107" s="1"/>
  <c r="K27" i="107" s="1"/>
  <c r="U27" i="107"/>
  <c r="L27" i="107" s="1"/>
  <c r="O26" i="107"/>
  <c r="O101" i="107"/>
  <c r="N26" i="107"/>
  <c r="N101" i="107"/>
  <c r="U118" i="107"/>
  <c r="U36" i="107" s="1"/>
  <c r="BT41" i="35"/>
  <c r="E87" i="106"/>
  <c r="E59" i="106"/>
  <c r="E387" i="106" s="1"/>
  <c r="E388" i="106" s="1"/>
  <c r="E389" i="106" s="1"/>
  <c r="N10" i="41"/>
  <c r="N9" i="41" s="1"/>
  <c r="BR39" i="35"/>
  <c r="BT39" i="35" s="1"/>
  <c r="D100" i="4"/>
  <c r="D35" i="75"/>
  <c r="D16" i="75" s="1"/>
  <c r="Z46" i="84"/>
  <c r="Z9" i="84" s="1"/>
  <c r="Z82" i="84" s="1"/>
  <c r="H60" i="85"/>
  <c r="H44" i="85" s="1"/>
  <c r="H7" i="85" s="1"/>
  <c r="H83" i="85" s="1"/>
  <c r="S46" i="84"/>
  <c r="S9" i="84" s="1"/>
  <c r="S82" i="84" s="1"/>
  <c r="G60" i="85"/>
  <c r="G44" i="85" s="1"/>
  <c r="G7" i="85" s="1"/>
  <c r="G83" i="85" s="1"/>
  <c r="M40" i="2"/>
  <c r="L41" i="2"/>
  <c r="AT39" i="35"/>
  <c r="L729" i="76"/>
  <c r="M729" i="76" s="1"/>
  <c r="F730" i="76"/>
  <c r="I25" i="16"/>
  <c r="I14" i="16" s="1"/>
  <c r="E16" i="59"/>
  <c r="E16" i="83" s="1"/>
  <c r="E17" i="83"/>
  <c r="S10" i="59"/>
  <c r="P10" i="83" s="1"/>
  <c r="P11" i="83"/>
  <c r="I10" i="59"/>
  <c r="I10" i="83" s="1"/>
  <c r="I11" i="83"/>
  <c r="M10" i="59"/>
  <c r="L10" i="83" s="1"/>
  <c r="L11" i="83"/>
  <c r="F32" i="59"/>
  <c r="N32" i="83"/>
  <c r="N28" i="59"/>
  <c r="M28" i="83" s="1"/>
  <c r="M29" i="83"/>
  <c r="N21" i="99"/>
  <c r="N19" i="99"/>
  <c r="N18" i="99" s="1"/>
  <c r="N61" i="99" s="1"/>
  <c r="H7" i="59"/>
  <c r="H7" i="83" s="1"/>
  <c r="H50" i="83" s="1"/>
  <c r="H8" i="83"/>
  <c r="E28" i="59"/>
  <c r="E28" i="83" s="1"/>
  <c r="E29" i="83"/>
  <c r="AQ44" i="60"/>
  <c r="AQ39" i="84"/>
  <c r="BE44" i="60"/>
  <c r="BE39" i="84"/>
  <c r="J94" i="97"/>
  <c r="F94" i="97" s="1"/>
  <c r="F18" i="97"/>
  <c r="K18" i="99"/>
  <c r="K61" i="99" s="1"/>
  <c r="H61" i="99" s="1"/>
  <c r="H19" i="99"/>
  <c r="H18" i="99" s="1"/>
  <c r="G35" i="102" s="1"/>
  <c r="J35" i="102" s="1"/>
  <c r="J7" i="59"/>
  <c r="J7" i="83" s="1"/>
  <c r="J50" i="83" s="1"/>
  <c r="J8" i="83"/>
  <c r="F14" i="59"/>
  <c r="F14" i="83" s="1"/>
  <c r="M14" i="83"/>
  <c r="Q7" i="59"/>
  <c r="O7" i="83" s="1"/>
  <c r="O50" i="83" s="1"/>
  <c r="O8" i="83"/>
  <c r="I8" i="59"/>
  <c r="I29" i="83"/>
  <c r="G13" i="59"/>
  <c r="G13" i="83" s="1"/>
  <c r="G14" i="83"/>
  <c r="O19" i="99"/>
  <c r="O18" i="99" s="1"/>
  <c r="O61" i="99" s="1"/>
  <c r="O21" i="99"/>
  <c r="J19" i="99"/>
  <c r="J21" i="99"/>
  <c r="G22" i="99"/>
  <c r="G21" i="99" s="1"/>
  <c r="G16" i="59"/>
  <c r="G16" i="83" s="1"/>
  <c r="G17" i="83"/>
  <c r="K7" i="59"/>
  <c r="K7" i="83" s="1"/>
  <c r="K50" i="83" s="1"/>
  <c r="K8" i="83"/>
  <c r="E13" i="59"/>
  <c r="E13" i="83" s="1"/>
  <c r="E14" i="83"/>
  <c r="H61" i="16"/>
  <c r="H25" i="16" s="1"/>
  <c r="AK94" i="97"/>
  <c r="AH94" i="97" s="1"/>
  <c r="AH18" i="97"/>
  <c r="AE94" i="97"/>
  <c r="AA94" i="97" s="1"/>
  <c r="AA18" i="97"/>
  <c r="F61" i="99"/>
  <c r="S28" i="59"/>
  <c r="P28" i="83" s="1"/>
  <c r="P29" i="83"/>
  <c r="Q10" i="59"/>
  <c r="O10" i="83" s="1"/>
  <c r="O11" i="83"/>
  <c r="AR94" i="97"/>
  <c r="AO94" i="97" s="1"/>
  <c r="AO18" i="97"/>
  <c r="F19" i="99"/>
  <c r="F18" i="99" s="1"/>
  <c r="N39" i="99"/>
  <c r="G40" i="99"/>
  <c r="G39" i="99" s="1"/>
  <c r="H10" i="59"/>
  <c r="H10" i="83" s="1"/>
  <c r="H11" i="83"/>
  <c r="M7" i="59"/>
  <c r="L7" i="83" s="1"/>
  <c r="L50" i="83" s="1"/>
  <c r="L8" i="83"/>
  <c r="J10" i="59"/>
  <c r="J10" i="83" s="1"/>
  <c r="J11" i="83"/>
  <c r="G31" i="59"/>
  <c r="G31" i="83" s="1"/>
  <c r="G32" i="83"/>
  <c r="BF94" i="97"/>
  <c r="BC94" i="97" s="1"/>
  <c r="BC18" i="97"/>
  <c r="I32" i="102" s="1"/>
  <c r="I18" i="102" s="1"/>
  <c r="I37" i="103" s="1"/>
  <c r="T110" i="76"/>
  <c r="R116" i="76"/>
  <c r="T116" i="76" s="1"/>
  <c r="X94" i="97"/>
  <c r="T94" i="97" s="1"/>
  <c r="T18" i="97"/>
  <c r="AI28" i="84"/>
  <c r="AI9" i="84" s="1"/>
  <c r="AI82" i="84" s="1"/>
  <c r="AG39" i="84"/>
  <c r="AG28" i="84" s="1"/>
  <c r="AG9" i="84" s="1"/>
  <c r="AG82" i="84" s="1"/>
  <c r="E60" i="84"/>
  <c r="K10" i="59"/>
  <c r="K10" i="83" s="1"/>
  <c r="K11" i="83"/>
  <c r="G10" i="46"/>
  <c r="D106" i="52"/>
  <c r="D104" i="52" s="1"/>
  <c r="F116" i="76"/>
  <c r="G15" i="50"/>
  <c r="H15" i="50" s="1"/>
  <c r="G13" i="11"/>
  <c r="J332" i="1"/>
  <c r="P9" i="75"/>
  <c r="P7" i="75" s="1"/>
  <c r="D7" i="75"/>
  <c r="D53" i="75"/>
  <c r="D22" i="75"/>
  <c r="M17" i="65"/>
  <c r="Q13" i="27"/>
  <c r="C13" i="27"/>
  <c r="J128" i="68"/>
  <c r="Z711" i="63"/>
  <c r="AB711" i="63" s="1"/>
  <c r="V711" i="63"/>
  <c r="D379" i="65"/>
  <c r="G379" i="65"/>
  <c r="E379" i="65"/>
  <c r="F379" i="65"/>
  <c r="AN772" i="63"/>
  <c r="AP772" i="63" s="1"/>
  <c r="AP776" i="63"/>
  <c r="G376" i="65"/>
  <c r="D376" i="65"/>
  <c r="E376" i="65"/>
  <c r="F376" i="65"/>
  <c r="L95" i="65"/>
  <c r="H95" i="65" s="1"/>
  <c r="H24" i="65"/>
  <c r="U64" i="35"/>
  <c r="U63" i="35"/>
  <c r="M20" i="65"/>
  <c r="Q93" i="65"/>
  <c r="G101" i="65"/>
  <c r="Q101" i="65" s="1"/>
  <c r="Z64" i="35"/>
  <c r="Z63" i="35"/>
  <c r="AE64" i="35"/>
  <c r="AE63" i="35"/>
  <c r="AK772" i="63"/>
  <c r="AM772" i="63" s="1"/>
  <c r="AM776" i="63"/>
  <c r="BI63" i="35"/>
  <c r="BI64" i="35"/>
  <c r="G94" i="65"/>
  <c r="Q94" i="65" s="1"/>
  <c r="M94" i="65" s="1"/>
  <c r="Q95" i="65"/>
  <c r="C103" i="65"/>
  <c r="F363" i="65"/>
  <c r="E363" i="65"/>
  <c r="L365" i="65"/>
  <c r="G363" i="65"/>
  <c r="D363" i="65"/>
  <c r="O101" i="65"/>
  <c r="D99" i="4"/>
  <c r="D54" i="4" s="1"/>
  <c r="D334" i="4" s="1"/>
  <c r="D55" i="4"/>
  <c r="AH712" i="63"/>
  <c r="AJ712" i="63" s="1"/>
  <c r="AH818" i="63"/>
  <c r="AJ818" i="63" s="1"/>
  <c r="AH713" i="63"/>
  <c r="D441" i="4"/>
  <c r="D21" i="51" s="1"/>
  <c r="AH815" i="63"/>
  <c r="AJ815" i="63" s="1"/>
  <c r="AJ716" i="63"/>
  <c r="N2" i="63"/>
  <c r="P724" i="63"/>
  <c r="AN815" i="63"/>
  <c r="AP815" i="63" s="1"/>
  <c r="AK815" i="63"/>
  <c r="AM815" i="63" s="1"/>
  <c r="T724" i="63"/>
  <c r="N721" i="63"/>
  <c r="K724" i="63"/>
  <c r="T758" i="63"/>
  <c r="V758" i="63" s="1"/>
  <c r="Z710" i="63"/>
  <c r="V710" i="63"/>
  <c r="AJ720" i="63"/>
  <c r="AH717" i="63"/>
  <c r="AJ717" i="63" s="1"/>
  <c r="N720" i="63"/>
  <c r="N712" i="63" s="1"/>
  <c r="K758" i="63"/>
  <c r="M758" i="63" s="1"/>
  <c r="M710" i="63"/>
  <c r="AH185" i="63"/>
  <c r="N188" i="63"/>
  <c r="AJ188" i="63"/>
  <c r="AH528" i="63"/>
  <c r="AJ781" i="63"/>
  <c r="AH778" i="63"/>
  <c r="AJ778" i="63" s="1"/>
  <c r="AJ156" i="63"/>
  <c r="N156" i="63"/>
  <c r="AH121" i="63"/>
  <c r="AJ121" i="63" s="1"/>
  <c r="AH496" i="63"/>
  <c r="AH111" i="63"/>
  <c r="AJ146" i="63"/>
  <c r="F18" i="50"/>
  <c r="AH168" i="63"/>
  <c r="O2" i="63"/>
  <c r="T716" i="63"/>
  <c r="K716" i="63"/>
  <c r="M716" i="63" s="1"/>
  <c r="P716" i="63"/>
  <c r="N713" i="63"/>
  <c r="P162" i="63"/>
  <c r="N502" i="63"/>
  <c r="N129" i="63"/>
  <c r="K162" i="63"/>
  <c r="M162" i="63" s="1"/>
  <c r="T162" i="63"/>
  <c r="AJ814" i="63"/>
  <c r="AH455" i="63"/>
  <c r="AJ455" i="63" s="1"/>
  <c r="AJ490" i="63"/>
  <c r="AH454" i="63"/>
  <c r="AJ454" i="63" s="1"/>
  <c r="AJ489" i="63"/>
  <c r="AH486" i="63"/>
  <c r="AJ502" i="63"/>
  <c r="AH469" i="63"/>
  <c r="AJ469" i="63" s="1"/>
  <c r="AJ161" i="63"/>
  <c r="AH158" i="63"/>
  <c r="N161" i="63"/>
  <c r="AH128" i="63"/>
  <c r="AJ128" i="63" s="1"/>
  <c r="AH501" i="63"/>
  <c r="F31" i="41"/>
  <c r="D17" i="28"/>
  <c r="D25" i="62"/>
  <c r="D17" i="62" s="1"/>
  <c r="D15" i="28"/>
  <c r="D24" i="62"/>
  <c r="G29" i="59"/>
  <c r="H60" i="16"/>
  <c r="H24" i="16" s="1"/>
  <c r="S8" i="59"/>
  <c r="J61" i="16"/>
  <c r="J25" i="16" s="1"/>
  <c r="J14" i="16" s="1"/>
  <c r="J26" i="11"/>
  <c r="I13" i="11"/>
  <c r="G11" i="59"/>
  <c r="E8" i="59"/>
  <c r="F14" i="50"/>
  <c r="G14" i="50" s="1"/>
  <c r="J15" i="18"/>
  <c r="J14" i="18" s="1"/>
  <c r="N13" i="59"/>
  <c r="M13" i="83" s="1"/>
  <c r="N8" i="59"/>
  <c r="N11" i="59"/>
  <c r="P31" i="59"/>
  <c r="N31" i="83" s="1"/>
  <c r="P29" i="59"/>
  <c r="I28" i="59"/>
  <c r="I28" i="83" s="1"/>
  <c r="F17" i="59"/>
  <c r="P16" i="59"/>
  <c r="N16" i="83" s="1"/>
  <c r="P11" i="59"/>
  <c r="E35" i="60"/>
  <c r="E9" i="60" s="1"/>
  <c r="E44" i="60" s="1"/>
  <c r="G9" i="60"/>
  <c r="G44" i="60" s="1"/>
  <c r="E11" i="59"/>
  <c r="J36" i="22"/>
  <c r="J50" i="22" s="1"/>
  <c r="E292" i="1" s="1"/>
  <c r="J25" i="11"/>
  <c r="D293" i="4"/>
  <c r="G59" i="8"/>
  <c r="AE37" i="22"/>
  <c r="BS39" i="35"/>
  <c r="F28" i="43"/>
  <c r="V22" i="14"/>
  <c r="Q22" i="14" s="1"/>
  <c r="G22" i="14" s="1"/>
  <c r="J35" i="22"/>
  <c r="C50" i="22" s="1"/>
  <c r="E291" i="1" s="1"/>
  <c r="C75" i="3"/>
  <c r="BS60" i="35"/>
  <c r="E73" i="3"/>
  <c r="C73" i="3" s="1"/>
  <c r="C297" i="1"/>
  <c r="D324" i="4"/>
  <c r="H318" i="1"/>
  <c r="I318" i="1" s="1"/>
  <c r="D13" i="50"/>
  <c r="AH155" i="63" s="1"/>
  <c r="D460" i="4"/>
  <c r="G19" i="27"/>
  <c r="P19" i="27" s="1"/>
  <c r="P20" i="27" s="1"/>
  <c r="V20" i="14"/>
  <c r="Q20" i="14" s="1"/>
  <c r="G20" i="14" s="1"/>
  <c r="F10" i="41"/>
  <c r="F9" i="41" s="1"/>
  <c r="O45" i="2"/>
  <c r="D463" i="4"/>
  <c r="D21" i="4"/>
  <c r="D301" i="4" s="1"/>
  <c r="Y1" i="22"/>
  <c r="S1" i="22" s="1"/>
  <c r="D476" i="4"/>
  <c r="H20" i="27"/>
  <c r="L21" i="45"/>
  <c r="O21" i="45" s="1"/>
  <c r="AJ63" i="35"/>
  <c r="AJ64" i="35"/>
  <c r="G45" i="2"/>
  <c r="C45" i="2" s="1"/>
  <c r="C47" i="2"/>
  <c r="P73" i="3"/>
  <c r="L73" i="3" s="1"/>
  <c r="L75" i="3"/>
  <c r="D289" i="4"/>
  <c r="D154" i="4" s="1"/>
  <c r="D426" i="4"/>
  <c r="E70" i="3"/>
  <c r="C70" i="3" s="1"/>
  <c r="C76" i="3" s="1"/>
  <c r="C72" i="3"/>
  <c r="J319" i="1"/>
  <c r="E10" i="41"/>
  <c r="E9" i="41" s="1"/>
  <c r="H22" i="45"/>
  <c r="R23" i="45"/>
  <c r="R24" i="45" s="1"/>
  <c r="R25" i="45" s="1"/>
  <c r="AO63" i="35"/>
  <c r="AO64" i="35"/>
  <c r="BD64" i="35"/>
  <c r="BD63" i="35"/>
  <c r="D12" i="50"/>
  <c r="F19" i="27"/>
  <c r="D451" i="4"/>
  <c r="H317" i="1"/>
  <c r="I317" i="1" s="1"/>
  <c r="E58" i="44"/>
  <c r="L54" i="44"/>
  <c r="L58" i="44" s="1"/>
  <c r="E13" i="31"/>
  <c r="H13" i="31" s="1"/>
  <c r="E14" i="43"/>
  <c r="E62" i="31"/>
  <c r="H14" i="31"/>
  <c r="E6" i="29"/>
  <c r="C280" i="1"/>
  <c r="BQ2" i="35"/>
  <c r="BQ63" i="35"/>
  <c r="BQ64" i="35"/>
  <c r="C11" i="27"/>
  <c r="P11" i="27"/>
  <c r="M12" i="27"/>
  <c r="E35" i="42"/>
  <c r="E44" i="42"/>
  <c r="G61" i="16"/>
  <c r="F13" i="11"/>
  <c r="V11" i="22"/>
  <c r="Z1" i="22"/>
  <c r="T1" i="22" s="1"/>
  <c r="M95" i="65" l="1"/>
  <c r="U35" i="107"/>
  <c r="L35" i="107" s="1"/>
  <c r="L36" i="107"/>
  <c r="AJ167" i="63"/>
  <c r="AH134" i="63"/>
  <c r="AJ134" i="63" s="1"/>
  <c r="N167" i="63"/>
  <c r="AH507" i="63"/>
  <c r="AH130" i="63"/>
  <c r="AJ163" i="63"/>
  <c r="N106" i="107"/>
  <c r="N100" i="107"/>
  <c r="F32" i="102"/>
  <c r="O100" i="107"/>
  <c r="T118" i="107"/>
  <c r="T36" i="107" s="1"/>
  <c r="T101" i="107" s="1"/>
  <c r="U26" i="107"/>
  <c r="U100" i="107" s="1"/>
  <c r="U101" i="107"/>
  <c r="L101" i="107" s="1"/>
  <c r="T26" i="107"/>
  <c r="K26" i="107" s="1"/>
  <c r="F35" i="102"/>
  <c r="N108" i="107"/>
  <c r="F18" i="102"/>
  <c r="F37" i="103" s="1"/>
  <c r="D34" i="75"/>
  <c r="I342" i="1"/>
  <c r="H342" i="1"/>
  <c r="H348" i="1" s="1"/>
  <c r="H357" i="1" s="1"/>
  <c r="F59" i="105"/>
  <c r="F67" i="105"/>
  <c r="F13" i="59"/>
  <c r="F13" i="83" s="1"/>
  <c r="E46" i="84"/>
  <c r="E9" i="84" s="1"/>
  <c r="E82" i="84" s="1"/>
  <c r="E58" i="85"/>
  <c r="E44" i="85" s="1"/>
  <c r="E7" i="85" s="1"/>
  <c r="E83" i="85" s="1"/>
  <c r="AH813" i="63"/>
  <c r="AJ813" i="63" s="1"/>
  <c r="M39" i="2"/>
  <c r="L40" i="2"/>
  <c r="L730" i="76"/>
  <c r="L726" i="76" s="1"/>
  <c r="M726" i="76" s="1"/>
  <c r="F16" i="59"/>
  <c r="F16" i="83" s="1"/>
  <c r="F17" i="83"/>
  <c r="H14" i="16"/>
  <c r="J18" i="99"/>
  <c r="J61" i="99" s="1"/>
  <c r="G61" i="99" s="1"/>
  <c r="G19" i="99"/>
  <c r="G18" i="99" s="1"/>
  <c r="T108" i="107" s="1"/>
  <c r="S7" i="59"/>
  <c r="P7" i="83" s="1"/>
  <c r="P50" i="83" s="1"/>
  <c r="P8" i="83"/>
  <c r="E7" i="59"/>
  <c r="E7" i="83" s="1"/>
  <c r="E50" i="83" s="1"/>
  <c r="E8" i="83"/>
  <c r="G28" i="59"/>
  <c r="G28" i="83" s="1"/>
  <c r="G29" i="83"/>
  <c r="BE28" i="84"/>
  <c r="BE9" i="84" s="1"/>
  <c r="BE82" i="84" s="1"/>
  <c r="BB39" i="84"/>
  <c r="BB28" i="84" s="1"/>
  <c r="BB9" i="84" s="1"/>
  <c r="BB82" i="84" s="1"/>
  <c r="F29" i="59"/>
  <c r="F8" i="59" s="1"/>
  <c r="N29" i="83"/>
  <c r="G10" i="59"/>
  <c r="G10" i="83" s="1"/>
  <c r="G11" i="83"/>
  <c r="E10" i="59"/>
  <c r="E10" i="83" s="1"/>
  <c r="E11" i="83"/>
  <c r="AQ28" i="84"/>
  <c r="AQ9" i="84" s="1"/>
  <c r="AQ82" i="84" s="1"/>
  <c r="AN39" i="84"/>
  <c r="AN28" i="84" s="1"/>
  <c r="AN9" i="84" s="1"/>
  <c r="AN82" i="84" s="1"/>
  <c r="N10" i="59"/>
  <c r="M10" i="83" s="1"/>
  <c r="M11" i="83"/>
  <c r="N7" i="59"/>
  <c r="M7" i="83" s="1"/>
  <c r="M50" i="83" s="1"/>
  <c r="M8" i="83"/>
  <c r="P10" i="59"/>
  <c r="N10" i="83" s="1"/>
  <c r="N11" i="83"/>
  <c r="I7" i="59"/>
  <c r="I7" i="83" s="1"/>
  <c r="I50" i="83" s="1"/>
  <c r="I8" i="83"/>
  <c r="F31" i="59"/>
  <c r="F31" i="83" s="1"/>
  <c r="F32" i="83"/>
  <c r="H116" i="76"/>
  <c r="F118" i="76"/>
  <c r="H118" i="76" s="1"/>
  <c r="F722" i="76"/>
  <c r="F110" i="76"/>
  <c r="H110" i="76" s="1"/>
  <c r="F742" i="76"/>
  <c r="F744" i="76" s="1"/>
  <c r="G18" i="50"/>
  <c r="H18" i="50" s="1"/>
  <c r="D15" i="75"/>
  <c r="M13" i="27"/>
  <c r="Q11" i="27"/>
  <c r="M11" i="27" s="1"/>
  <c r="C24" i="27" s="1"/>
  <c r="Q20" i="27"/>
  <c r="E365" i="65"/>
  <c r="G365" i="65"/>
  <c r="F365" i="65"/>
  <c r="D365" i="65"/>
  <c r="L364" i="65"/>
  <c r="D678" i="4"/>
  <c r="D680" i="4" s="1"/>
  <c r="D16" i="47"/>
  <c r="AH816" i="63"/>
  <c r="AJ816" i="63" s="1"/>
  <c r="AH709" i="63"/>
  <c r="AH708" i="63" s="1"/>
  <c r="Z724" i="63"/>
  <c r="AB724" i="63" s="1"/>
  <c r="V724" i="63"/>
  <c r="AJ713" i="63"/>
  <c r="M724" i="63"/>
  <c r="K2" i="63"/>
  <c r="K721" i="63"/>
  <c r="M721" i="63" s="1"/>
  <c r="P721" i="63"/>
  <c r="T721" i="63"/>
  <c r="AJ528" i="63"/>
  <c r="AH525" i="63"/>
  <c r="T15" i="18"/>
  <c r="T14" i="18" s="1"/>
  <c r="N185" i="63"/>
  <c r="T188" i="63"/>
  <c r="K188" i="63"/>
  <c r="M188" i="63" s="1"/>
  <c r="N528" i="63"/>
  <c r="P188" i="63"/>
  <c r="N781" i="63"/>
  <c r="N717" i="63"/>
  <c r="N709" i="63" s="1"/>
  <c r="P720" i="63"/>
  <c r="T720" i="63"/>
  <c r="K720" i="63"/>
  <c r="M720" i="63" s="1"/>
  <c r="AB710" i="63"/>
  <c r="Z758" i="63"/>
  <c r="AB758" i="63" s="1"/>
  <c r="AH170" i="63"/>
  <c r="AJ170" i="63" s="1"/>
  <c r="AJ185" i="63"/>
  <c r="AJ501" i="63"/>
  <c r="AH468" i="63"/>
  <c r="AJ468" i="63" s="1"/>
  <c r="AH498" i="63"/>
  <c r="Z162" i="63"/>
  <c r="AB162" i="63" s="1"/>
  <c r="V162" i="63"/>
  <c r="P712" i="63"/>
  <c r="T712" i="63"/>
  <c r="K712" i="63"/>
  <c r="N496" i="63"/>
  <c r="T156" i="63"/>
  <c r="N121" i="63"/>
  <c r="K156" i="63"/>
  <c r="M156" i="63" s="1"/>
  <c r="P156" i="63"/>
  <c r="H15" i="18"/>
  <c r="H14" i="18" s="1"/>
  <c r="AH154" i="63"/>
  <c r="AJ158" i="63"/>
  <c r="AH125" i="63"/>
  <c r="AJ125" i="63" s="1"/>
  <c r="AH479" i="63"/>
  <c r="AH451" i="63"/>
  <c r="AJ451" i="63" s="1"/>
  <c r="AJ486" i="63"/>
  <c r="P129" i="63"/>
  <c r="T129" i="63"/>
  <c r="K129" i="63"/>
  <c r="M129" i="63" s="1"/>
  <c r="AN777" i="63"/>
  <c r="AK777" i="63"/>
  <c r="AH461" i="63"/>
  <c r="AJ461" i="63" s="1"/>
  <c r="AJ496" i="63"/>
  <c r="P502" i="63"/>
  <c r="K502" i="63"/>
  <c r="M502" i="63" s="1"/>
  <c r="N469" i="63"/>
  <c r="T502" i="63"/>
  <c r="N168" i="63"/>
  <c r="AH135" i="63"/>
  <c r="AJ135" i="63" s="1"/>
  <c r="AJ168" i="63"/>
  <c r="AH508" i="63"/>
  <c r="AH164" i="63"/>
  <c r="N155" i="63"/>
  <c r="AH120" i="63"/>
  <c r="AJ120" i="63" s="1"/>
  <c r="AJ155" i="63"/>
  <c r="AH495" i="63"/>
  <c r="T161" i="63"/>
  <c r="N128" i="63"/>
  <c r="N158" i="63"/>
  <c r="N501" i="63"/>
  <c r="P161" i="63"/>
  <c r="K161" i="63"/>
  <c r="M161" i="63" s="1"/>
  <c r="T713" i="63"/>
  <c r="K713" i="63"/>
  <c r="M713" i="63" s="1"/>
  <c r="P713" i="63"/>
  <c r="Z716" i="63"/>
  <c r="AB716" i="63" s="1"/>
  <c r="V716" i="63"/>
  <c r="AJ111" i="63"/>
  <c r="H50" i="16"/>
  <c r="J13" i="11"/>
  <c r="G8" i="59"/>
  <c r="D16" i="62"/>
  <c r="D23" i="62"/>
  <c r="D15" i="62" s="1"/>
  <c r="H14" i="50"/>
  <c r="F11" i="59"/>
  <c r="J50" i="16"/>
  <c r="P28" i="59"/>
  <c r="N28" i="83" s="1"/>
  <c r="P8" i="59"/>
  <c r="F13" i="50"/>
  <c r="I15" i="18"/>
  <c r="I14" i="18" s="1"/>
  <c r="D434" i="4"/>
  <c r="D7" i="51"/>
  <c r="D425" i="4"/>
  <c r="D15" i="4"/>
  <c r="D8" i="28"/>
  <c r="V1" i="22"/>
  <c r="K50" i="22" s="1"/>
  <c r="J318" i="1"/>
  <c r="G20" i="27"/>
  <c r="D13" i="4"/>
  <c r="B33" i="33"/>
  <c r="AS33" i="35" s="1"/>
  <c r="D7" i="47"/>
  <c r="AS38" i="35"/>
  <c r="H25" i="45"/>
  <c r="O25" i="45" s="1"/>
  <c r="R26" i="45"/>
  <c r="L22" i="45"/>
  <c r="O22" i="45" s="1"/>
  <c r="O23" i="45" s="1"/>
  <c r="G25" i="16"/>
  <c r="G14" i="16" s="1"/>
  <c r="G50" i="16"/>
  <c r="E9" i="29"/>
  <c r="E19" i="29" s="1"/>
  <c r="E8" i="29"/>
  <c r="E61" i="31"/>
  <c r="E27" i="43" s="1"/>
  <c r="E28" i="43"/>
  <c r="H62" i="31"/>
  <c r="E13" i="43"/>
  <c r="H13" i="43" s="1"/>
  <c r="H14" i="43"/>
  <c r="D459" i="4"/>
  <c r="D458" i="4" s="1"/>
  <c r="D450" i="4"/>
  <c r="D449" i="4" s="1"/>
  <c r="O19" i="27"/>
  <c r="F20" i="27"/>
  <c r="C19" i="27"/>
  <c r="F12" i="50"/>
  <c r="D25" i="50"/>
  <c r="T106" i="107" l="1"/>
  <c r="M730" i="76"/>
  <c r="L26" i="107"/>
  <c r="L100" i="107"/>
  <c r="K101" i="107"/>
  <c r="T35" i="107"/>
  <c r="K35" i="107" s="1"/>
  <c r="K36" i="107"/>
  <c r="AH124" i="63"/>
  <c r="AJ124" i="63" s="1"/>
  <c r="AH388" i="63"/>
  <c r="AJ388" i="63" s="1"/>
  <c r="AJ130" i="63"/>
  <c r="N111" i="107"/>
  <c r="AJ507" i="63"/>
  <c r="AH474" i="63"/>
  <c r="AJ474" i="63" s="1"/>
  <c r="N507" i="63"/>
  <c r="K167" i="63"/>
  <c r="M167" i="63" s="1"/>
  <c r="T167" i="63"/>
  <c r="P167" i="63"/>
  <c r="N134" i="63"/>
  <c r="T111" i="107"/>
  <c r="F33" i="105"/>
  <c r="F56" i="105"/>
  <c r="L39" i="2"/>
  <c r="M50" i="2"/>
  <c r="G7" i="59"/>
  <c r="G7" i="83" s="1"/>
  <c r="G50" i="83" s="1"/>
  <c r="G8" i="83"/>
  <c r="F28" i="59"/>
  <c r="F28" i="83" s="1"/>
  <c r="F29" i="83"/>
  <c r="P7" i="59"/>
  <c r="N7" i="83" s="1"/>
  <c r="N50" i="83" s="1"/>
  <c r="N8" i="83"/>
  <c r="F7" i="59"/>
  <c r="F7" i="83" s="1"/>
  <c r="F50" i="83" s="1"/>
  <c r="F8" i="83"/>
  <c r="F10" i="59"/>
  <c r="F10" i="83" s="1"/>
  <c r="F11" i="83"/>
  <c r="F719" i="76"/>
  <c r="F724" i="76"/>
  <c r="E21" i="29"/>
  <c r="G722" i="76"/>
  <c r="H722" i="76" s="1"/>
  <c r="R15" i="18"/>
  <c r="R14" i="18" s="1"/>
  <c r="G12" i="50"/>
  <c r="S15" i="18"/>
  <c r="S14" i="18" s="1"/>
  <c r="G13" i="50"/>
  <c r="H13" i="50" s="1"/>
  <c r="J29" i="68"/>
  <c r="J117" i="68" s="1"/>
  <c r="J119" i="68" s="1"/>
  <c r="L29" i="74"/>
  <c r="J26" i="68"/>
  <c r="J12" i="68" s="1"/>
  <c r="J11" i="68" s="1"/>
  <c r="L26" i="74"/>
  <c r="L12" i="74" s="1"/>
  <c r="L11" i="74" s="1"/>
  <c r="J120" i="68"/>
  <c r="J121" i="68" s="1"/>
  <c r="D364" i="65"/>
  <c r="E364" i="65"/>
  <c r="F364" i="65"/>
  <c r="G364" i="65"/>
  <c r="AJ709" i="63"/>
  <c r="Z721" i="63"/>
  <c r="AB721" i="63" s="1"/>
  <c r="V721" i="63"/>
  <c r="V720" i="63"/>
  <c r="Z720" i="63"/>
  <c r="AB720" i="63" s="1"/>
  <c r="P185" i="63"/>
  <c r="K185" i="63"/>
  <c r="M185" i="63" s="1"/>
  <c r="N170" i="63"/>
  <c r="T185" i="63"/>
  <c r="T528" i="63"/>
  <c r="P528" i="63"/>
  <c r="K528" i="63"/>
  <c r="M528" i="63" s="1"/>
  <c r="N525" i="63"/>
  <c r="T717" i="63"/>
  <c r="P717" i="63"/>
  <c r="K717" i="63"/>
  <c r="M717" i="63" s="1"/>
  <c r="AH510" i="63"/>
  <c r="AJ510" i="63" s="1"/>
  <c r="AJ525" i="63"/>
  <c r="N778" i="63"/>
  <c r="N773" i="63"/>
  <c r="N3" i="63"/>
  <c r="P781" i="63"/>
  <c r="T781" i="63"/>
  <c r="K781" i="63"/>
  <c r="M781" i="63" s="1"/>
  <c r="Z188" i="63"/>
  <c r="AB188" i="63" s="1"/>
  <c r="V188" i="63"/>
  <c r="T709" i="63"/>
  <c r="P709" i="63"/>
  <c r="N708" i="63"/>
  <c r="K709" i="63"/>
  <c r="Z161" i="63"/>
  <c r="AB161" i="63" s="1"/>
  <c r="V161" i="63"/>
  <c r="AM777" i="63"/>
  <c r="AK774" i="63"/>
  <c r="T496" i="63"/>
  <c r="N461" i="63"/>
  <c r="K496" i="63"/>
  <c r="M496" i="63" s="1"/>
  <c r="P496" i="63"/>
  <c r="AH465" i="63"/>
  <c r="AJ498" i="63"/>
  <c r="K501" i="63"/>
  <c r="M501" i="63" s="1"/>
  <c r="P501" i="63"/>
  <c r="N498" i="63"/>
  <c r="N468" i="63"/>
  <c r="T501" i="63"/>
  <c r="AH131" i="63"/>
  <c r="AJ164" i="63"/>
  <c r="N508" i="63"/>
  <c r="T168" i="63"/>
  <c r="K168" i="63"/>
  <c r="M168" i="63" s="1"/>
  <c r="P168" i="63"/>
  <c r="N135" i="63"/>
  <c r="N164" i="63"/>
  <c r="M712" i="63"/>
  <c r="T128" i="63"/>
  <c r="P128" i="63"/>
  <c r="K128" i="63"/>
  <c r="M128" i="63" s="1"/>
  <c r="P469" i="63"/>
  <c r="K469" i="63"/>
  <c r="M469" i="63" s="1"/>
  <c r="T469" i="63"/>
  <c r="Z129" i="63"/>
  <c r="AB129" i="63" s="1"/>
  <c r="V129" i="63"/>
  <c r="AH444" i="63"/>
  <c r="AJ479" i="63"/>
  <c r="V156" i="63"/>
  <c r="Z156" i="63"/>
  <c r="AB156" i="63" s="1"/>
  <c r="P155" i="63"/>
  <c r="K155" i="63"/>
  <c r="M155" i="63" s="1"/>
  <c r="T155" i="63"/>
  <c r="N120" i="63"/>
  <c r="N495" i="63"/>
  <c r="AH750" i="63"/>
  <c r="AJ750" i="63" s="1"/>
  <c r="AJ708" i="63"/>
  <c r="AJ495" i="63"/>
  <c r="AH460" i="63"/>
  <c r="AJ460" i="63" s="1"/>
  <c r="AP777" i="63"/>
  <c r="AN774" i="63"/>
  <c r="Z713" i="63"/>
  <c r="AB713" i="63" s="1"/>
  <c r="V713" i="63"/>
  <c r="P158" i="63"/>
  <c r="N125" i="63"/>
  <c r="T158" i="63"/>
  <c r="K158" i="63"/>
  <c r="M158" i="63" s="1"/>
  <c r="AJ508" i="63"/>
  <c r="AH475" i="63"/>
  <c r="AJ475" i="63" s="1"/>
  <c r="AH504" i="63"/>
  <c r="Z502" i="63"/>
  <c r="AB502" i="63" s="1"/>
  <c r="V502" i="63"/>
  <c r="AJ154" i="63"/>
  <c r="N154" i="63"/>
  <c r="AH119" i="63"/>
  <c r="AJ119" i="63" s="1"/>
  <c r="AH152" i="63"/>
  <c r="AH494" i="63"/>
  <c r="T121" i="63"/>
  <c r="K121" i="63"/>
  <c r="M121" i="63" s="1"/>
  <c r="P121" i="63"/>
  <c r="V712" i="63"/>
  <c r="Z712" i="63"/>
  <c r="D6" i="28"/>
  <c r="D9" i="62"/>
  <c r="D7" i="62" s="1"/>
  <c r="D16" i="4"/>
  <c r="F14" i="18"/>
  <c r="F15" i="18"/>
  <c r="D10" i="51"/>
  <c r="D9" i="51"/>
  <c r="D296" i="4"/>
  <c r="I348" i="1"/>
  <c r="I357" i="1" s="1"/>
  <c r="C20" i="27"/>
  <c r="AU38" i="35"/>
  <c r="BR38" i="35"/>
  <c r="AT38" i="35"/>
  <c r="D10" i="47"/>
  <c r="D11" i="47" s="1"/>
  <c r="D9" i="47"/>
  <c r="J317" i="1"/>
  <c r="R27" i="45"/>
  <c r="R28" i="45" s="1"/>
  <c r="R29" i="45" s="1"/>
  <c r="R30" i="45" s="1"/>
  <c r="H26" i="45"/>
  <c r="O26" i="45" s="1"/>
  <c r="O28" i="45" s="1"/>
  <c r="AU33" i="35"/>
  <c r="AT33" i="35"/>
  <c r="BR33" i="35"/>
  <c r="AS12" i="35"/>
  <c r="F25" i="50"/>
  <c r="F31" i="50" s="1"/>
  <c r="F40" i="50" s="1"/>
  <c r="O20" i="27"/>
  <c r="M20" i="27" s="1"/>
  <c r="C25" i="27" s="1"/>
  <c r="C23" i="27" s="1"/>
  <c r="M19" i="27"/>
  <c r="AS47" i="35"/>
  <c r="L33" i="74" s="1"/>
  <c r="D564" i="4"/>
  <c r="D504" i="4"/>
  <c r="D454" i="4"/>
  <c r="H61" i="31"/>
  <c r="H27" i="43" s="1"/>
  <c r="H28" i="43"/>
  <c r="T100" i="107" l="1"/>
  <c r="K100" i="107" s="1"/>
  <c r="K507" i="63"/>
  <c r="M507" i="63" s="1"/>
  <c r="T507" i="63"/>
  <c r="N474" i="63"/>
  <c r="P507" i="63"/>
  <c r="P134" i="63"/>
  <c r="T134" i="63"/>
  <c r="K134" i="63"/>
  <c r="M134" i="63" s="1"/>
  <c r="V167" i="63"/>
  <c r="Z167" i="63"/>
  <c r="AB167" i="63" s="1"/>
  <c r="J342" i="1"/>
  <c r="J348" i="1" s="1"/>
  <c r="J357" i="1" s="1"/>
  <c r="F30" i="105"/>
  <c r="F210" i="105"/>
  <c r="F207" i="105" s="1"/>
  <c r="L50" i="2"/>
  <c r="M47" i="2"/>
  <c r="M48" i="2"/>
  <c r="L48" i="2" s="1"/>
  <c r="G724" i="76"/>
  <c r="L724" i="76" s="1"/>
  <c r="M724" i="76" s="1"/>
  <c r="G719" i="76"/>
  <c r="L719" i="76" s="1"/>
  <c r="M719" i="76" s="1"/>
  <c r="L722" i="76"/>
  <c r="M722" i="76" s="1"/>
  <c r="P15" i="18"/>
  <c r="P14" i="18"/>
  <c r="AS45" i="35"/>
  <c r="J33" i="68"/>
  <c r="J32" i="68" s="1"/>
  <c r="J124" i="68" s="1"/>
  <c r="J125" i="68" s="1"/>
  <c r="G25" i="50"/>
  <c r="G31" i="50" s="1"/>
  <c r="G40" i="50" s="1"/>
  <c r="Z781" i="63"/>
  <c r="AB781" i="63" s="1"/>
  <c r="V781" i="63"/>
  <c r="N770" i="63"/>
  <c r="T778" i="63"/>
  <c r="P778" i="63"/>
  <c r="K778" i="63"/>
  <c r="M778" i="63" s="1"/>
  <c r="Z717" i="63"/>
  <c r="AB717" i="63" s="1"/>
  <c r="V717" i="63"/>
  <c r="AT781" i="63"/>
  <c r="AN781" i="63"/>
  <c r="AK781" i="63"/>
  <c r="AW781" i="63"/>
  <c r="AQ781" i="63"/>
  <c r="N510" i="63"/>
  <c r="T525" i="63"/>
  <c r="P525" i="63"/>
  <c r="K525" i="63"/>
  <c r="M525" i="63" s="1"/>
  <c r="V185" i="63"/>
  <c r="Z185" i="63"/>
  <c r="AB185" i="63" s="1"/>
  <c r="V528" i="63"/>
  <c r="Z528" i="63"/>
  <c r="AB528" i="63" s="1"/>
  <c r="P773" i="63"/>
  <c r="K773" i="63"/>
  <c r="T773" i="63"/>
  <c r="N759" i="63"/>
  <c r="P759" i="63" s="1"/>
  <c r="P170" i="63"/>
  <c r="K170" i="63"/>
  <c r="M170" i="63" s="1"/>
  <c r="T170" i="63"/>
  <c r="AB712" i="63"/>
  <c r="Z121" i="63"/>
  <c r="AB121" i="63" s="1"/>
  <c r="V121" i="63"/>
  <c r="T154" i="63"/>
  <c r="N119" i="63"/>
  <c r="N494" i="63"/>
  <c r="K154" i="63"/>
  <c r="M154" i="63" s="1"/>
  <c r="P154" i="63"/>
  <c r="N152" i="63"/>
  <c r="Z158" i="63"/>
  <c r="AB158" i="63" s="1"/>
  <c r="V158" i="63"/>
  <c r="Z155" i="63"/>
  <c r="AB155" i="63" s="1"/>
  <c r="V155" i="63"/>
  <c r="P498" i="63"/>
  <c r="K498" i="63"/>
  <c r="M498" i="63" s="1"/>
  <c r="T498" i="63"/>
  <c r="N465" i="63"/>
  <c r="V496" i="63"/>
  <c r="Z496" i="63"/>
  <c r="AB496" i="63" s="1"/>
  <c r="K120" i="63"/>
  <c r="M120" i="63" s="1"/>
  <c r="P120" i="63"/>
  <c r="T120" i="63"/>
  <c r="AJ444" i="63"/>
  <c r="V128" i="63"/>
  <c r="Z128" i="63"/>
  <c r="AB128" i="63" s="1"/>
  <c r="K135" i="63"/>
  <c r="M135" i="63" s="1"/>
  <c r="T135" i="63"/>
  <c r="P135" i="63"/>
  <c r="P508" i="63"/>
  <c r="N475" i="63"/>
  <c r="K508" i="63"/>
  <c r="M508" i="63" s="1"/>
  <c r="T508" i="63"/>
  <c r="N504" i="63"/>
  <c r="K468" i="63"/>
  <c r="M468" i="63" s="1"/>
  <c r="P468" i="63"/>
  <c r="T468" i="63"/>
  <c r="P461" i="63"/>
  <c r="T461" i="63"/>
  <c r="K461" i="63"/>
  <c r="AH471" i="63"/>
  <c r="AJ471" i="63" s="1"/>
  <c r="AJ504" i="63"/>
  <c r="AJ465" i="63"/>
  <c r="AK818" i="63"/>
  <c r="AM818" i="63" s="1"/>
  <c r="AK817" i="63"/>
  <c r="AN817" i="63"/>
  <c r="AK814" i="63"/>
  <c r="P708" i="63"/>
  <c r="AK819" i="63"/>
  <c r="AM819" i="63" s="1"/>
  <c r="AN819" i="63"/>
  <c r="AP819" i="63" s="1"/>
  <c r="N750" i="63"/>
  <c r="AN814" i="63"/>
  <c r="AN818" i="63"/>
  <c r="AP818" i="63" s="1"/>
  <c r="K708" i="63"/>
  <c r="T708" i="63"/>
  <c r="AH492" i="63"/>
  <c r="AJ494" i="63"/>
  <c r="AH459" i="63"/>
  <c r="AJ459" i="63" s="1"/>
  <c r="P125" i="63"/>
  <c r="T125" i="63"/>
  <c r="K125" i="63"/>
  <c r="M125" i="63" s="1"/>
  <c r="AH123" i="63"/>
  <c r="AJ123" i="63" s="1"/>
  <c r="AJ131" i="63"/>
  <c r="AH117" i="63"/>
  <c r="AJ152" i="63"/>
  <c r="AH137" i="63"/>
  <c r="AP774" i="63"/>
  <c r="K495" i="63"/>
  <c r="M495" i="63" s="1"/>
  <c r="P495" i="63"/>
  <c r="N460" i="63"/>
  <c r="T495" i="63"/>
  <c r="Z469" i="63"/>
  <c r="AB469" i="63" s="1"/>
  <c r="V469" i="63"/>
  <c r="T164" i="63"/>
  <c r="K164" i="63"/>
  <c r="M164" i="63" s="1"/>
  <c r="N131" i="63"/>
  <c r="P164" i="63"/>
  <c r="Z168" i="63"/>
  <c r="AB168" i="63" s="1"/>
  <c r="V168" i="63"/>
  <c r="Z501" i="63"/>
  <c r="AB501" i="63" s="1"/>
  <c r="V501" i="63"/>
  <c r="AM774" i="63"/>
  <c r="M709" i="63"/>
  <c r="V709" i="63"/>
  <c r="Z709" i="63"/>
  <c r="H12" i="50"/>
  <c r="H25" i="50" s="1"/>
  <c r="H31" i="50" s="1"/>
  <c r="H40" i="50" s="1"/>
  <c r="AU12" i="35"/>
  <c r="AS10" i="35"/>
  <c r="AT12" i="35"/>
  <c r="BS33" i="35"/>
  <c r="BT33" i="35"/>
  <c r="BR12" i="35"/>
  <c r="R31" i="45"/>
  <c r="R32" i="45" s="1"/>
  <c r="R33" i="45" s="1"/>
  <c r="R34" i="45" s="1"/>
  <c r="H30" i="45"/>
  <c r="O30" i="45" s="1"/>
  <c r="O32" i="45" s="1"/>
  <c r="BT38" i="35"/>
  <c r="BS38" i="35"/>
  <c r="AS59" i="35"/>
  <c r="L37" i="74" s="1"/>
  <c r="L36" i="74" s="1"/>
  <c r="D565" i="4"/>
  <c r="D22" i="51" s="1"/>
  <c r="D14" i="47"/>
  <c r="D773" i="4"/>
  <c r="D759" i="4"/>
  <c r="D762" i="4"/>
  <c r="D756" i="4"/>
  <c r="AT47" i="35"/>
  <c r="BR47" i="35"/>
  <c r="AU47" i="35"/>
  <c r="H724" i="76" l="1"/>
  <c r="Z134" i="63"/>
  <c r="AB134" i="63" s="1"/>
  <c r="V134" i="63"/>
  <c r="K474" i="63"/>
  <c r="M474" i="63" s="1"/>
  <c r="P474" i="63"/>
  <c r="T474" i="63"/>
  <c r="H719" i="76"/>
  <c r="V507" i="63"/>
  <c r="Z507" i="63"/>
  <c r="AB507" i="63" s="1"/>
  <c r="M45" i="2"/>
  <c r="L45" i="2" s="1"/>
  <c r="D19" i="4" s="1"/>
  <c r="AH785" i="63" s="1"/>
  <c r="AH782" i="63" s="1"/>
  <c r="AJ782" i="63" s="1"/>
  <c r="L47" i="2"/>
  <c r="AS57" i="35"/>
  <c r="J37" i="68"/>
  <c r="J36" i="68" s="1"/>
  <c r="J131" i="68" s="1"/>
  <c r="J132" i="68" s="1"/>
  <c r="AM781" i="63"/>
  <c r="AK778" i="63"/>
  <c r="AK773" i="63"/>
  <c r="N769" i="63"/>
  <c r="P770" i="63"/>
  <c r="T770" i="63"/>
  <c r="K770" i="63"/>
  <c r="N757" i="63"/>
  <c r="P757" i="63" s="1"/>
  <c r="P510" i="63"/>
  <c r="K510" i="63"/>
  <c r="M510" i="63" s="1"/>
  <c r="T510" i="63"/>
  <c r="AP781" i="63"/>
  <c r="AN778" i="63"/>
  <c r="AN773" i="63"/>
  <c r="V170" i="63"/>
  <c r="Z170" i="63"/>
  <c r="AB170" i="63" s="1"/>
  <c r="V773" i="63"/>
  <c r="Z773" i="63"/>
  <c r="T759" i="63"/>
  <c r="V759" i="63" s="1"/>
  <c r="AY781" i="63"/>
  <c r="AW773" i="63"/>
  <c r="AW778" i="63"/>
  <c r="Z778" i="63"/>
  <c r="AB778" i="63" s="1"/>
  <c r="V778" i="63"/>
  <c r="M773" i="63"/>
  <c r="K759" i="63"/>
  <c r="M759" i="63" s="1"/>
  <c r="V525" i="63"/>
  <c r="Z525" i="63"/>
  <c r="AB525" i="63" s="1"/>
  <c r="AS781" i="63"/>
  <c r="AQ778" i="63"/>
  <c r="AQ773" i="63"/>
  <c r="AT778" i="63"/>
  <c r="AV781" i="63"/>
  <c r="AT773" i="63"/>
  <c r="Z495" i="63"/>
  <c r="AB495" i="63" s="1"/>
  <c r="V495" i="63"/>
  <c r="AJ117" i="63"/>
  <c r="AH102" i="63"/>
  <c r="AJ102" i="63" s="1"/>
  <c r="K504" i="63"/>
  <c r="M504" i="63" s="1"/>
  <c r="T504" i="63"/>
  <c r="N471" i="63"/>
  <c r="P504" i="63"/>
  <c r="P460" i="63"/>
  <c r="K460" i="63"/>
  <c r="T460" i="63"/>
  <c r="Z125" i="63"/>
  <c r="AB125" i="63" s="1"/>
  <c r="V125" i="63"/>
  <c r="AP814" i="63"/>
  <c r="AN813" i="63"/>
  <c r="AP813" i="63" s="1"/>
  <c r="Z508" i="63"/>
  <c r="AB508" i="63" s="1"/>
  <c r="V508" i="63"/>
  <c r="P465" i="63"/>
  <c r="K465" i="63"/>
  <c r="T465" i="63"/>
  <c r="N117" i="63"/>
  <c r="T152" i="63"/>
  <c r="K152" i="63"/>
  <c r="M152" i="63" s="1"/>
  <c r="N137" i="63"/>
  <c r="P152" i="63"/>
  <c r="K131" i="63"/>
  <c r="M131" i="63" s="1"/>
  <c r="T131" i="63"/>
  <c r="P131" i="63"/>
  <c r="N123" i="63"/>
  <c r="K750" i="63"/>
  <c r="M750" i="63" s="1"/>
  <c r="M708" i="63"/>
  <c r="AP817" i="63"/>
  <c r="AN816" i="63"/>
  <c r="AP816" i="63" s="1"/>
  <c r="V461" i="63"/>
  <c r="Z461" i="63"/>
  <c r="T475" i="63"/>
  <c r="K475" i="63"/>
  <c r="M475" i="63" s="1"/>
  <c r="P475" i="63"/>
  <c r="AB709" i="63"/>
  <c r="AM817" i="63"/>
  <c r="AK816" i="63"/>
  <c r="AM816" i="63" s="1"/>
  <c r="Z120" i="63"/>
  <c r="AB120" i="63" s="1"/>
  <c r="V120" i="63"/>
  <c r="N459" i="63"/>
  <c r="K494" i="63"/>
  <c r="M494" i="63" s="1"/>
  <c r="T494" i="63"/>
  <c r="P494" i="63"/>
  <c r="N492" i="63"/>
  <c r="V164" i="63"/>
  <c r="Z164" i="63"/>
  <c r="AB164" i="63" s="1"/>
  <c r="AJ492" i="63"/>
  <c r="AH457" i="63"/>
  <c r="AH477" i="63"/>
  <c r="Z468" i="63"/>
  <c r="AB468" i="63" s="1"/>
  <c r="V468" i="63"/>
  <c r="T119" i="63"/>
  <c r="P119" i="63"/>
  <c r="K119" i="63"/>
  <c r="M119" i="63" s="1"/>
  <c r="AH100" i="63"/>
  <c r="AJ100" i="63" s="1"/>
  <c r="AJ137" i="63"/>
  <c r="Z708" i="63"/>
  <c r="AB708" i="63" s="1"/>
  <c r="V708" i="63"/>
  <c r="T750" i="63"/>
  <c r="P750" i="63"/>
  <c r="AM814" i="63"/>
  <c r="AK813" i="63"/>
  <c r="AM813" i="63" s="1"/>
  <c r="AH463" i="63"/>
  <c r="AJ463" i="63" s="1"/>
  <c r="M461" i="63"/>
  <c r="K385" i="63"/>
  <c r="M385" i="63" s="1"/>
  <c r="Z135" i="63"/>
  <c r="AB135" i="63" s="1"/>
  <c r="V135" i="63"/>
  <c r="Z498" i="63"/>
  <c r="AB498" i="63" s="1"/>
  <c r="V498" i="63"/>
  <c r="V154" i="63"/>
  <c r="Z154" i="63"/>
  <c r="AB154" i="63" s="1"/>
  <c r="BT12" i="35"/>
  <c r="BR10" i="35"/>
  <c r="BS12" i="35"/>
  <c r="AU10" i="35"/>
  <c r="AT10" i="35"/>
  <c r="AS63" i="35"/>
  <c r="AS64" i="35"/>
  <c r="R35" i="45"/>
  <c r="R36" i="45" s="1"/>
  <c r="H34" i="45"/>
  <c r="O34" i="45" s="1"/>
  <c r="BR45" i="35"/>
  <c r="BS47" i="35"/>
  <c r="BT47" i="35"/>
  <c r="AU45" i="35"/>
  <c r="AT45" i="35"/>
  <c r="D788" i="4"/>
  <c r="D757" i="4"/>
  <c r="D763" i="4"/>
  <c r="D810" i="4"/>
  <c r="D760" i="4"/>
  <c r="D792" i="4"/>
  <c r="D778" i="4"/>
  <c r="D774" i="4"/>
  <c r="D775" i="4" s="1"/>
  <c r="D17" i="47"/>
  <c r="BR59" i="35"/>
  <c r="AT59" i="35"/>
  <c r="AU59" i="35"/>
  <c r="Z474" i="63" l="1"/>
  <c r="AB474" i="63" s="1"/>
  <c r="V474" i="63"/>
  <c r="AJ785" i="63"/>
  <c r="AQ759" i="63"/>
  <c r="AS759" i="63" s="1"/>
  <c r="AS773" i="63"/>
  <c r="V510" i="63"/>
  <c r="Z510" i="63"/>
  <c r="AB510" i="63" s="1"/>
  <c r="AK759" i="63"/>
  <c r="AM759" i="63" s="1"/>
  <c r="AM773" i="63"/>
  <c r="AT759" i="63"/>
  <c r="AV759" i="63" s="1"/>
  <c r="AV773" i="63"/>
  <c r="AY778" i="63"/>
  <c r="AW770" i="63"/>
  <c r="AB773" i="63"/>
  <c r="Z759" i="63"/>
  <c r="AB759" i="63" s="1"/>
  <c r="AM778" i="63"/>
  <c r="AK770" i="63"/>
  <c r="AT770" i="63"/>
  <c r="AV778" i="63"/>
  <c r="P769" i="63"/>
  <c r="N812" i="63"/>
  <c r="K769" i="63"/>
  <c r="M769" i="63" s="1"/>
  <c r="T769" i="63"/>
  <c r="M770" i="63"/>
  <c r="K757" i="63"/>
  <c r="M757" i="63" s="1"/>
  <c r="AQ770" i="63"/>
  <c r="AS778" i="63"/>
  <c r="AP773" i="63"/>
  <c r="AN759" i="63"/>
  <c r="AP759" i="63" s="1"/>
  <c r="Z770" i="63"/>
  <c r="V770" i="63"/>
  <c r="T757" i="63"/>
  <c r="V757" i="63" s="1"/>
  <c r="AY773" i="63"/>
  <c r="AW759" i="63"/>
  <c r="AY759" i="63" s="1"/>
  <c r="AP778" i="63"/>
  <c r="AN770" i="63"/>
  <c r="AJ457" i="63"/>
  <c r="AH442" i="63"/>
  <c r="AJ442" i="63" s="1"/>
  <c r="T492" i="63"/>
  <c r="K492" i="63"/>
  <c r="M492" i="63" s="1"/>
  <c r="N457" i="63"/>
  <c r="P492" i="63"/>
  <c r="N477" i="63"/>
  <c r="N100" i="63"/>
  <c r="P137" i="63"/>
  <c r="T137" i="63"/>
  <c r="K137" i="63"/>
  <c r="M137" i="63" s="1"/>
  <c r="Z465" i="63"/>
  <c r="V465" i="63"/>
  <c r="AB461" i="63"/>
  <c r="Z385" i="63"/>
  <c r="AB385" i="63" s="1"/>
  <c r="Z131" i="63"/>
  <c r="AB131" i="63" s="1"/>
  <c r="V131" i="63"/>
  <c r="K387" i="63"/>
  <c r="M387" i="63" s="1"/>
  <c r="M465" i="63"/>
  <c r="Z460" i="63"/>
  <c r="V460" i="63"/>
  <c r="AJ477" i="63"/>
  <c r="AH440" i="63"/>
  <c r="P123" i="63"/>
  <c r="T123" i="63"/>
  <c r="K123" i="63"/>
  <c r="M123" i="63" s="1"/>
  <c r="K117" i="63"/>
  <c r="M117" i="63" s="1"/>
  <c r="N102" i="63"/>
  <c r="T117" i="63"/>
  <c r="P117" i="63"/>
  <c r="V119" i="63"/>
  <c r="Z119" i="63"/>
  <c r="AB119" i="63" s="1"/>
  <c r="P459" i="63"/>
  <c r="K459" i="63"/>
  <c r="T459" i="63"/>
  <c r="Z475" i="63"/>
  <c r="AB475" i="63" s="1"/>
  <c r="V475" i="63"/>
  <c r="Z750" i="63"/>
  <c r="AB750" i="63" s="1"/>
  <c r="V750" i="63"/>
  <c r="N463" i="63"/>
  <c r="T471" i="63"/>
  <c r="P471" i="63"/>
  <c r="K471" i="63"/>
  <c r="Z494" i="63"/>
  <c r="AB494" i="63" s="1"/>
  <c r="V494" i="63"/>
  <c r="Z152" i="63"/>
  <c r="AB152" i="63" s="1"/>
  <c r="V152" i="63"/>
  <c r="K384" i="63"/>
  <c r="M384" i="63" s="1"/>
  <c r="M460" i="63"/>
  <c r="V504" i="63"/>
  <c r="Z504" i="63"/>
  <c r="AB504" i="63" s="1"/>
  <c r="R37" i="45"/>
  <c r="H36" i="45"/>
  <c r="O36" i="45" s="1"/>
  <c r="AU63" i="35"/>
  <c r="AU64" i="35"/>
  <c r="BT10" i="35"/>
  <c r="BS10" i="35"/>
  <c r="BR64" i="35"/>
  <c r="BR2" i="35"/>
  <c r="BR63" i="35"/>
  <c r="AT64" i="35"/>
  <c r="AT63" i="35"/>
  <c r="AU57" i="35"/>
  <c r="AT57" i="35"/>
  <c r="BR57" i="35"/>
  <c r="BT59" i="35"/>
  <c r="BS59" i="35"/>
  <c r="D793" i="4"/>
  <c r="D761" i="4"/>
  <c r="D794" i="4" s="1"/>
  <c r="D764" i="4"/>
  <c r="D812" i="4" s="1"/>
  <c r="D811" i="4"/>
  <c r="D758" i="4"/>
  <c r="D790" i="4" s="1"/>
  <c r="D789" i="4"/>
  <c r="BS45" i="35"/>
  <c r="BT45" i="35"/>
  <c r="AQ769" i="63" l="1"/>
  <c r="AS770" i="63"/>
  <c r="AQ757" i="63"/>
  <c r="AS757" i="63" s="1"/>
  <c r="AT757" i="63"/>
  <c r="AV757" i="63" s="1"/>
  <c r="AV770" i="63"/>
  <c r="AT769" i="63"/>
  <c r="P812" i="63"/>
  <c r="T812" i="63"/>
  <c r="K812" i="63"/>
  <c r="M812" i="63" s="1"/>
  <c r="AW769" i="63"/>
  <c r="AW757" i="63"/>
  <c r="AY757" i="63" s="1"/>
  <c r="AY770" i="63"/>
  <c r="Z769" i="63"/>
  <c r="AB769" i="63" s="1"/>
  <c r="V769" i="63"/>
  <c r="AB770" i="63"/>
  <c r="Z757" i="63"/>
  <c r="AB757" i="63" s="1"/>
  <c r="AK769" i="63"/>
  <c r="AK757" i="63"/>
  <c r="AM757" i="63" s="1"/>
  <c r="AM770" i="63"/>
  <c r="AN757" i="63"/>
  <c r="AP757" i="63" s="1"/>
  <c r="AP770" i="63"/>
  <c r="AN769" i="63"/>
  <c r="K389" i="63"/>
  <c r="M389" i="63" s="1"/>
  <c r="M471" i="63"/>
  <c r="N440" i="63"/>
  <c r="K477" i="63"/>
  <c r="M477" i="63" s="1"/>
  <c r="T477" i="63"/>
  <c r="P477" i="63"/>
  <c r="Z492" i="63"/>
  <c r="AB492" i="63" s="1"/>
  <c r="V492" i="63"/>
  <c r="K383" i="63"/>
  <c r="M383" i="63" s="1"/>
  <c r="M459" i="63"/>
  <c r="AB460" i="63"/>
  <c r="Z384" i="63"/>
  <c r="AB384" i="63" s="1"/>
  <c r="Z137" i="63"/>
  <c r="AB137" i="63" s="1"/>
  <c r="V137" i="63"/>
  <c r="K463" i="63"/>
  <c r="M463" i="63" s="1"/>
  <c r="P463" i="63"/>
  <c r="T463" i="63"/>
  <c r="T102" i="63"/>
  <c r="P102" i="63"/>
  <c r="K102" i="63"/>
  <c r="M102" i="63" s="1"/>
  <c r="Z387" i="63"/>
  <c r="AB387" i="63" s="1"/>
  <c r="AB465" i="63"/>
  <c r="K100" i="63"/>
  <c r="M100" i="63" s="1"/>
  <c r="T100" i="63"/>
  <c r="P100" i="63"/>
  <c r="V459" i="63"/>
  <c r="Z459" i="63"/>
  <c r="V471" i="63"/>
  <c r="Z471" i="63"/>
  <c r="V117" i="63"/>
  <c r="Z117" i="63"/>
  <c r="AB117" i="63" s="1"/>
  <c r="Z123" i="63"/>
  <c r="AB123" i="63" s="1"/>
  <c r="V123" i="63"/>
  <c r="AH439" i="63"/>
  <c r="AJ439" i="63" s="1"/>
  <c r="AJ440" i="63"/>
  <c r="T457" i="63"/>
  <c r="K457" i="63"/>
  <c r="M457" i="63" s="1"/>
  <c r="P457" i="63"/>
  <c r="N442" i="63"/>
  <c r="R38" i="45"/>
  <c r="H37" i="45"/>
  <c r="O37" i="45" s="1"/>
  <c r="BT57" i="35"/>
  <c r="BS57" i="35"/>
  <c r="AN812" i="63" l="1"/>
  <c r="AP812" i="63" s="1"/>
  <c r="AP769" i="63"/>
  <c r="AY769" i="63"/>
  <c r="AW812" i="63"/>
  <c r="AY812" i="63" s="1"/>
  <c r="AT812" i="63"/>
  <c r="AV812" i="63" s="1"/>
  <c r="AV769" i="63"/>
  <c r="Z812" i="63"/>
  <c r="AB812" i="63" s="1"/>
  <c r="V812" i="63"/>
  <c r="AM769" i="63"/>
  <c r="AK812" i="63"/>
  <c r="AM812" i="63" s="1"/>
  <c r="AS769" i="63"/>
  <c r="AQ812" i="63"/>
  <c r="AS812" i="63" s="1"/>
  <c r="Z383" i="63"/>
  <c r="AB383" i="63" s="1"/>
  <c r="AB459" i="63"/>
  <c r="K440" i="63"/>
  <c r="M440" i="63" s="1"/>
  <c r="T440" i="63"/>
  <c r="P440" i="63"/>
  <c r="N439" i="63"/>
  <c r="V102" i="63"/>
  <c r="Z102" i="63"/>
  <c r="AB102" i="63" s="1"/>
  <c r="Z389" i="63"/>
  <c r="AB389" i="63" s="1"/>
  <c r="AB471" i="63"/>
  <c r="Z457" i="63"/>
  <c r="AB457" i="63" s="1"/>
  <c r="V457" i="63"/>
  <c r="V100" i="63"/>
  <c r="Z100" i="63"/>
  <c r="AB100" i="63" s="1"/>
  <c r="P442" i="63"/>
  <c r="T442" i="63"/>
  <c r="K442" i="63"/>
  <c r="M442" i="63" s="1"/>
  <c r="Z463" i="63"/>
  <c r="AB463" i="63" s="1"/>
  <c r="V463" i="63"/>
  <c r="Z477" i="63"/>
  <c r="AB477" i="63" s="1"/>
  <c r="V477" i="63"/>
  <c r="R39" i="45"/>
  <c r="H38" i="45"/>
  <c r="O38" i="45" s="1"/>
  <c r="K439" i="63" l="1"/>
  <c r="M439" i="63" s="1"/>
  <c r="T439" i="63"/>
  <c r="P439" i="63"/>
  <c r="Z442" i="63"/>
  <c r="AB442" i="63" s="1"/>
  <c r="V442" i="63"/>
  <c r="V440" i="63"/>
  <c r="Z440" i="63"/>
  <c r="AB440" i="63" s="1"/>
  <c r="R40" i="45"/>
  <c r="R41" i="45" s="1"/>
  <c r="R42" i="45" s="1"/>
  <c r="R43" i="45" s="1"/>
  <c r="H39" i="45"/>
  <c r="O39" i="45" s="1"/>
  <c r="O40" i="45" s="1"/>
  <c r="Z439" i="63" l="1"/>
  <c r="AB439" i="63" s="1"/>
  <c r="V439" i="63"/>
  <c r="R44" i="45"/>
  <c r="R45" i="45" s="1"/>
  <c r="R46" i="45" s="1"/>
  <c r="R47" i="45" s="1"/>
  <c r="R48" i="45" s="1"/>
  <c r="R49" i="45" s="1"/>
  <c r="R50" i="45" s="1"/>
  <c r="H43" i="45"/>
  <c r="O43" i="45" s="1"/>
  <c r="O44" i="45" s="1"/>
  <c r="H50" i="45" l="1"/>
  <c r="O50" i="45" s="1"/>
  <c r="R51" i="45"/>
  <c r="R52" i="45" s="1"/>
  <c r="R53" i="45" l="1"/>
  <c r="H52" i="45"/>
  <c r="O52" i="45" s="1"/>
  <c r="H53" i="45" l="1"/>
  <c r="O53" i="45" s="1"/>
  <c r="R54" i="45"/>
  <c r="R55" i="45" l="1"/>
  <c r="H54" i="45"/>
  <c r="O54" i="45" s="1"/>
  <c r="R56" i="45" l="1"/>
  <c r="H55" i="45"/>
  <c r="O55" i="45" s="1"/>
  <c r="R57" i="45" l="1"/>
  <c r="R58" i="45" s="1"/>
  <c r="R59" i="45" s="1"/>
  <c r="R60" i="45" s="1"/>
  <c r="R61" i="45" s="1"/>
  <c r="H56" i="45"/>
  <c r="O56" i="45" s="1"/>
  <c r="O58" i="45" s="1"/>
  <c r="R62" i="45" l="1"/>
  <c r="H62" i="45" s="1"/>
  <c r="O62" i="45" s="1"/>
  <c r="H61" i="45"/>
  <c r="O61" i="45" s="1"/>
  <c r="J269" i="1" l="1"/>
  <c r="R22" i="20" s="1"/>
  <c r="U22" i="20" s="1"/>
  <c r="N67" i="3"/>
  <c r="N268" i="1"/>
  <c r="O269" i="1"/>
  <c r="O268" i="1" s="1"/>
  <c r="D419" i="4"/>
  <c r="K269" i="1"/>
  <c r="P269" i="1" s="1"/>
  <c r="L268" i="1" l="1"/>
  <c r="L269" i="1"/>
  <c r="G92" i="98" s="1"/>
  <c r="R23" i="20"/>
  <c r="U23" i="20" s="1"/>
  <c r="S23" i="20" s="1"/>
  <c r="W23" i="20" s="1"/>
  <c r="P268" i="1"/>
  <c r="P67" i="3"/>
  <c r="I67" i="3"/>
  <c r="N66" i="3"/>
  <c r="N276" i="1"/>
  <c r="O49" i="9"/>
  <c r="D420" i="4"/>
  <c r="D147" i="4"/>
  <c r="D418" i="4"/>
  <c r="D151" i="4"/>
  <c r="D143" i="4"/>
  <c r="O67" i="3"/>
  <c r="L67" i="3" s="1"/>
  <c r="S22" i="20"/>
  <c r="G93" i="98" l="1"/>
  <c r="G91" i="98" s="1"/>
  <c r="F81" i="85"/>
  <c r="F80" i="85" s="1"/>
  <c r="F83" i="85" s="1"/>
  <c r="E8" i="82"/>
  <c r="E9" i="82"/>
  <c r="J43" i="68"/>
  <c r="K43" i="68" s="1"/>
  <c r="G124" i="76"/>
  <c r="R24" i="20"/>
  <c r="U24" i="20" s="1"/>
  <c r="S24" i="20" s="1"/>
  <c r="W24" i="20" s="1"/>
  <c r="W22" i="20"/>
  <c r="N43" i="42"/>
  <c r="J67" i="3"/>
  <c r="O66" i="3"/>
  <c r="O276" i="1"/>
  <c r="O274" i="1" s="1"/>
  <c r="P49" i="9"/>
  <c r="O43" i="42" s="1"/>
  <c r="O35" i="60" s="1"/>
  <c r="O9" i="60" s="1"/>
  <c r="O44" i="60" s="1"/>
  <c r="N274" i="1"/>
  <c r="K67" i="3"/>
  <c r="P66" i="3"/>
  <c r="D139" i="4"/>
  <c r="D421" i="4"/>
  <c r="D148" i="4"/>
  <c r="D144" i="4"/>
  <c r="D152" i="4"/>
  <c r="I66" i="3"/>
  <c r="N72" i="3"/>
  <c r="Q49" i="9"/>
  <c r="P43" i="42" s="1"/>
  <c r="P35" i="60" s="1"/>
  <c r="P9" i="60" s="1"/>
  <c r="P44" i="60" s="1"/>
  <c r="P276" i="1"/>
  <c r="P274" i="1" s="1"/>
  <c r="G121" i="76" l="1"/>
  <c r="H121" i="76" s="1"/>
  <c r="H124" i="76"/>
  <c r="G94" i="98"/>
  <c r="G32" i="102"/>
  <c r="G18" i="102" s="1"/>
  <c r="S20" i="20"/>
  <c r="J138" i="68"/>
  <c r="W20" i="20"/>
  <c r="U20" i="20"/>
  <c r="R20" i="20" s="1"/>
  <c r="L66" i="3"/>
  <c r="K138" i="68"/>
  <c r="T138" i="68" s="1"/>
  <c r="K40" i="68"/>
  <c r="K135" i="68" s="1"/>
  <c r="T135" i="68" s="1"/>
  <c r="L274" i="1"/>
  <c r="L280" i="1" s="1"/>
  <c r="J39" i="68" s="1"/>
  <c r="J40" i="68" s="1"/>
  <c r="J135" i="68" s="1"/>
  <c r="N35" i="60"/>
  <c r="L43" i="42"/>
  <c r="D140" i="4"/>
  <c r="L276" i="1"/>
  <c r="J66" i="3"/>
  <c r="O72" i="3"/>
  <c r="O70" i="3" s="1"/>
  <c r="N70" i="3"/>
  <c r="K66" i="3"/>
  <c r="P72" i="3"/>
  <c r="P70" i="3" s="1"/>
  <c r="D153" i="4"/>
  <c r="D150" i="4" s="1"/>
  <c r="AS55" i="35" s="1"/>
  <c r="D145" i="4"/>
  <c r="D149" i="4"/>
  <c r="D146" i="4" s="1"/>
  <c r="AS54" i="35" s="1"/>
  <c r="M49" i="9"/>
  <c r="D13" i="75" s="1"/>
  <c r="J32" i="102" l="1"/>
  <c r="J18" i="102"/>
  <c r="J37" i="103" s="1"/>
  <c r="G37" i="103"/>
  <c r="D11" i="75"/>
  <c r="P13" i="75"/>
  <c r="P11" i="75" s="1"/>
  <c r="L72" i="3"/>
  <c r="E20" i="29"/>
  <c r="AU54" i="35"/>
  <c r="AT54" i="35"/>
  <c r="BR54" i="35"/>
  <c r="D141" i="4"/>
  <c r="D138" i="4" s="1"/>
  <c r="D142" i="4"/>
  <c r="AS53" i="35" s="1"/>
  <c r="L70" i="3"/>
  <c r="L76" i="3" s="1"/>
  <c r="N9" i="60"/>
  <c r="N44" i="60" s="1"/>
  <c r="L35" i="60"/>
  <c r="L9" i="60" s="1"/>
  <c r="L44" i="60" s="1"/>
  <c r="L32" i="74" l="1"/>
  <c r="L35" i="74"/>
  <c r="L34" i="74" s="1"/>
  <c r="AS51" i="35"/>
  <c r="J35" i="68"/>
  <c r="J34" i="68" s="1"/>
  <c r="D12" i="28"/>
  <c r="D17" i="4"/>
  <c r="D682" i="4"/>
  <c r="BT54" i="35"/>
  <c r="BS54" i="35"/>
  <c r="AT53" i="35"/>
  <c r="BR53" i="35"/>
  <c r="AU53" i="35"/>
  <c r="D10" i="28" l="1"/>
  <c r="D13" i="62"/>
  <c r="D11" i="62" s="1"/>
  <c r="BT53" i="35"/>
  <c r="BR51" i="35"/>
  <c r="BS53" i="35"/>
  <c r="AT51" i="35"/>
  <c r="AU51" i="35"/>
  <c r="D717" i="4"/>
  <c r="D716" i="4" s="1"/>
  <c r="D715" i="4" s="1"/>
  <c r="D695" i="4"/>
  <c r="D694" i="4" s="1"/>
  <c r="D699" i="4"/>
  <c r="D705" i="4"/>
  <c r="D703" i="4" s="1"/>
  <c r="D702" i="4" s="1"/>
  <c r="D799" i="4" s="1"/>
  <c r="D18" i="51"/>
  <c r="D12" i="4"/>
  <c r="AH777" i="63" s="1"/>
  <c r="D300" i="4"/>
  <c r="AJ777" i="63" l="1"/>
  <c r="AH773" i="63"/>
  <c r="AH774" i="63"/>
  <c r="D295" i="4"/>
  <c r="D18" i="47"/>
  <c r="D19" i="47" s="1"/>
  <c r="D579" i="4"/>
  <c r="D14" i="51"/>
  <c r="D791" i="4"/>
  <c r="D698" i="4"/>
  <c r="D795" i="4" s="1"/>
  <c r="D796" i="4"/>
  <c r="D17" i="51"/>
  <c r="D20" i="51"/>
  <c r="BS51" i="35"/>
  <c r="BT51" i="35"/>
  <c r="AH759" i="63" l="1"/>
  <c r="AJ759" i="63" s="1"/>
  <c r="AJ773" i="63"/>
  <c r="AH770" i="63"/>
  <c r="AJ774" i="63"/>
  <c r="D16" i="51"/>
  <c r="D13" i="51"/>
  <c r="D11" i="51" s="1"/>
  <c r="D693" i="4"/>
  <c r="D723" i="4" s="1"/>
  <c r="AH757" i="63" l="1"/>
  <c r="AJ757" i="63" s="1"/>
  <c r="AH769" i="63"/>
  <c r="AJ770" i="63"/>
  <c r="AJ769" i="63" l="1"/>
  <c r="AH812" i="63"/>
  <c r="AJ812" i="63" s="1"/>
  <c r="L98" i="65" l="1"/>
  <c r="L120" i="65"/>
  <c r="L93" i="65"/>
  <c r="L101" i="65" s="1"/>
  <c r="L115" i="65"/>
  <c r="L96" i="65"/>
  <c r="L94" i="65" s="1"/>
  <c r="K98" i="65" l="1"/>
  <c r="K120" i="65" l="1"/>
  <c r="L382" i="65"/>
  <c r="K93" i="65"/>
  <c r="K115" i="65"/>
  <c r="K96" i="65"/>
  <c r="H98" i="65"/>
  <c r="K94" i="65" l="1"/>
  <c r="H94" i="65" s="1"/>
  <c r="H96" i="65"/>
  <c r="F382" i="65"/>
  <c r="E382" i="65"/>
  <c r="D382" i="65"/>
  <c r="G382" i="65"/>
  <c r="L380" i="65"/>
  <c r="K101" i="65"/>
  <c r="H101" i="65" s="1"/>
  <c r="H103" i="65" s="1"/>
  <c r="H93" i="65"/>
  <c r="L387" i="65" s="1"/>
  <c r="G387" i="65" l="1"/>
  <c r="E387" i="65"/>
  <c r="D387" i="65"/>
  <c r="F387" i="65"/>
  <c r="D380" i="65"/>
  <c r="G380" i="65"/>
  <c r="F380" i="65"/>
  <c r="E380" i="65"/>
  <c r="J134" i="68" l="1"/>
  <c r="J162" i="68" l="1"/>
  <c r="J94" i="68"/>
  <c r="J168" i="68" s="1"/>
  <c r="K177" i="68" l="1"/>
  <c r="K96" i="68"/>
  <c r="K163" i="68" s="1"/>
  <c r="T163" i="68" s="1"/>
  <c r="J161" i="68"/>
  <c r="K176" i="68"/>
  <c r="K178" i="68"/>
  <c r="K97" i="68"/>
  <c r="K164" i="68" s="1"/>
  <c r="T164" i="68" s="1"/>
  <c r="K95" i="68" l="1"/>
  <c r="K162" i="68" s="1"/>
  <c r="T162" i="68" s="1"/>
</calcChain>
</file>

<file path=xl/comments1.xml><?xml version="1.0" encoding="utf-8"?>
<comments xmlns="http://schemas.openxmlformats.org/spreadsheetml/2006/main">
  <authors>
    <author>Автор</author>
  </authors>
  <commentList>
    <comment ref="A273" authorId="0" shapeId="0">
      <text>
        <r>
          <rPr>
            <b/>
            <sz val="12"/>
            <color indexed="81"/>
            <rFont val="Tahoma"/>
            <family val="2"/>
            <charset val="204"/>
          </rPr>
          <t>Автор:</t>
        </r>
        <r>
          <rPr>
            <sz val="12"/>
            <color indexed="81"/>
            <rFont val="Tahoma"/>
            <family val="2"/>
            <charset val="204"/>
          </rPr>
          <t xml:space="preserve">
сайт АО АТС
личный кабинет\ персональный раздел \ персональные\ отчет 77\ </t>
        </r>
        <r>
          <rPr>
            <b/>
            <sz val="12"/>
            <color indexed="81"/>
            <rFont val="Tahoma"/>
            <family val="2"/>
            <charset val="204"/>
          </rPr>
          <t>яч. В9</t>
        </r>
      </text>
    </comment>
    <comment ref="A274" authorId="0" shapeId="0">
      <text>
        <r>
          <rPr>
            <b/>
            <sz val="8"/>
            <color indexed="81"/>
            <rFont val="Tahoma"/>
            <family val="2"/>
            <charset val="204"/>
          </rPr>
          <t>Автор:</t>
        </r>
        <r>
          <rPr>
            <sz val="8"/>
            <color indexed="81"/>
            <rFont val="Tahoma"/>
            <family val="2"/>
            <charset val="204"/>
          </rPr>
          <t xml:space="preserve">
сайт АО АТС
</t>
        </r>
        <r>
          <rPr>
            <b/>
            <sz val="11"/>
            <color indexed="81"/>
            <rFont val="Tahoma"/>
            <family val="2"/>
            <charset val="204"/>
          </rPr>
          <t>личный кабинет\ персональный раздел \ персональные\ отчет 77\ яч. E9</t>
        </r>
        <r>
          <rPr>
            <sz val="8"/>
            <color indexed="81"/>
            <rFont val="Tahoma"/>
            <family val="2"/>
            <charset val="204"/>
          </rPr>
          <t xml:space="preserve">
собственный  максимум потребления мощности населением, определенный  в соответствии с принятыми ФСТ России тарифно-балансовыми решениями на расчетный период в месяц m
Pпик_нас=Pоплач_пик_нас/1,06
</t>
        </r>
      </text>
    </comment>
    <comment ref="A275" authorId="0" shapeId="0">
      <text>
        <r>
          <rPr>
            <b/>
            <sz val="12"/>
            <color indexed="81"/>
            <rFont val="Tahoma"/>
            <family val="2"/>
            <charset val="204"/>
          </rPr>
          <t>Автор:</t>
        </r>
        <r>
          <rPr>
            <sz val="12"/>
            <color indexed="81"/>
            <rFont val="Tahoma"/>
            <family val="2"/>
            <charset val="204"/>
          </rPr>
          <t xml:space="preserve">
сайт АО АТС
личный кабинет\персональный раздел\персональные\отчет 77\ </t>
        </r>
        <r>
          <rPr>
            <b/>
            <sz val="12"/>
            <color indexed="81"/>
            <rFont val="Tahoma"/>
            <family val="2"/>
            <charset val="204"/>
          </rPr>
          <t>F9/(B9-D9)</t>
        </r>
      </text>
    </comment>
    <comment ref="A372" authorId="0" shapeId="0">
      <text>
        <r>
          <rPr>
            <b/>
            <sz val="8"/>
            <color indexed="81"/>
            <rFont val="Tahoma"/>
            <family val="2"/>
            <charset val="204"/>
          </rPr>
          <t>Автор:</t>
        </r>
        <r>
          <rPr>
            <sz val="8"/>
            <color indexed="81"/>
            <rFont val="Tahoma"/>
            <family val="2"/>
            <charset val="204"/>
          </rPr>
          <t xml:space="preserve">
Из отчета о нашрузочных потерях</t>
        </r>
      </text>
    </comment>
  </commentList>
</comments>
</file>

<file path=xl/comments2.xml><?xml version="1.0" encoding="utf-8"?>
<comments xmlns="http://schemas.openxmlformats.org/spreadsheetml/2006/main">
  <authors>
    <author>КАА</author>
  </authors>
  <commentList>
    <comment ref="CL12" authorId="0" shapeId="0">
      <text>
        <r>
          <rPr>
            <b/>
            <sz val="9"/>
            <color indexed="81"/>
            <rFont val="Tahoma"/>
            <family val="2"/>
            <charset val="204"/>
          </rPr>
          <t>Объем[Стоимость] услуг, оплаченных потребителем четвертой и шестой ценовой категории по ставке тарифа на услуги по передаче электрической энергии за содержание электрических сетей, в месяц (год), МВт [тыс руб]</t>
        </r>
      </text>
    </comment>
    <comment ref="CL13" authorId="0" shapeId="0">
      <text>
        <r>
          <rPr>
            <b/>
            <sz val="9"/>
            <color indexed="81"/>
            <rFont val="Tahoma"/>
            <family val="2"/>
            <charset val="204"/>
          </rPr>
          <t>Объем мощности услуг по передаче электроэнергии потребителей за отчетный месяц (год), МВт</t>
        </r>
      </text>
    </comment>
    <comment ref="CS13" authorId="0" shapeId="0">
      <text>
        <r>
          <rPr>
            <b/>
            <sz val="9"/>
            <color indexed="81"/>
            <rFont val="Tahoma"/>
            <family val="2"/>
            <charset val="204"/>
          </rPr>
          <t>Стоимость мощности услуг по передаче электроэнергии потребителей за отчетный месяц (год), тыс руб</t>
        </r>
      </text>
    </comment>
  </commentList>
</comments>
</file>

<file path=xl/sharedStrings.xml><?xml version="1.0" encoding="utf-8"?>
<sst xmlns="http://schemas.openxmlformats.org/spreadsheetml/2006/main" count="18773" uniqueCount="5147">
  <si>
    <t>Общий</t>
  </si>
  <si>
    <t>Отчет 46 ЭС полезного отпуска электрической энергии (мощности) по группам потребителей</t>
  </si>
  <si>
    <t>ООО "Нижневартовская энергосбытовая компания"</t>
  </si>
  <si>
    <t>№</t>
  </si>
  <si>
    <t>Группа потребителей</t>
  </si>
  <si>
    <t>Объем полезного отпуска электроэнергии, кВт*час</t>
  </si>
  <si>
    <t>Тариф, руб/ кВт*час</t>
  </si>
  <si>
    <t>Стоимость электроэнергии, руб.без НДС</t>
  </si>
  <si>
    <t xml:space="preserve">Всего </t>
  </si>
  <si>
    <t>ВН</t>
  </si>
  <si>
    <t>СН-1 (35кВ)</t>
  </si>
  <si>
    <t>СН-2 (20-1кВ)</t>
  </si>
  <si>
    <t>НН</t>
  </si>
  <si>
    <t>Покупка Всего:</t>
  </si>
  <si>
    <t xml:space="preserve">с ОРЭМ </t>
  </si>
  <si>
    <t>в т.ч. по регулируемой цене</t>
  </si>
  <si>
    <t>в т.ч. по нерегулируемой цене</t>
  </si>
  <si>
    <t>от ОАО ТЭК</t>
  </si>
  <si>
    <t>от ОАО ТЭК в качестве СК</t>
  </si>
  <si>
    <t>по тарифу прочие</t>
  </si>
  <si>
    <t>от ЗАО ЕЭСнК</t>
  </si>
  <si>
    <t xml:space="preserve">Продажа: </t>
  </si>
  <si>
    <t>продажа электроэнергии по договору комиссии № 0301-RSV-E-</t>
  </si>
  <si>
    <t>продажа электроэнергии по договору комиссии № 0301-BMA-E-</t>
  </si>
  <si>
    <t>Нагрузочные потери</t>
  </si>
  <si>
    <t>1.</t>
  </si>
  <si>
    <t>Базовые потребители</t>
  </si>
  <si>
    <t>2.</t>
  </si>
  <si>
    <t>Население</t>
  </si>
  <si>
    <t xml:space="preserve">Городское население с эл.плитами </t>
  </si>
  <si>
    <t>Городское население с эл.плитами дневная зона</t>
  </si>
  <si>
    <t>Городское население с эл. плитами ночная зона</t>
  </si>
  <si>
    <t>Городское население с эл.плитами ком.нужды</t>
  </si>
  <si>
    <t>Городское население с эл.плитами дневная зона ком.нужд.</t>
  </si>
  <si>
    <t>Городское население с эл. плитами ночная зона ком.нужд.</t>
  </si>
  <si>
    <t xml:space="preserve">Городское население с газ. плитами </t>
  </si>
  <si>
    <t>Городское население с газ. плитами дневная зона</t>
  </si>
  <si>
    <t>Городское население с газ. плитами ночная зона</t>
  </si>
  <si>
    <t>Потребители, приравненные к нас. дневная зона</t>
  </si>
  <si>
    <t>Потребители, приравненные к нас. ночная зона</t>
  </si>
  <si>
    <t>Потребители, приравненные к населению</t>
  </si>
  <si>
    <t>3.</t>
  </si>
  <si>
    <t>Прочие потребители</t>
  </si>
  <si>
    <t>по договору ОАО "Нижневартовскавиа"</t>
  </si>
  <si>
    <t>4.</t>
  </si>
  <si>
    <t>5.</t>
  </si>
  <si>
    <t xml:space="preserve">Итого </t>
  </si>
  <si>
    <t>Итого (рег.ц)</t>
  </si>
  <si>
    <t>Итого (нерег.ц)</t>
  </si>
  <si>
    <t>В т.ч. Полезный отпуск (итого)</t>
  </si>
  <si>
    <t>В т.ч. Полезный отпуск (рег.ц)</t>
  </si>
  <si>
    <t>В т.ч. Полезный отпуск (нерег.ц)</t>
  </si>
  <si>
    <t>6.</t>
  </si>
  <si>
    <t>Итого (ПО + продажа по ЦФР)</t>
  </si>
  <si>
    <t>Утверждаю:</t>
  </si>
  <si>
    <t xml:space="preserve">Директор ООО "НЭСКО" </t>
  </si>
  <si>
    <t>В.В.Эсауленко</t>
  </si>
  <si>
    <t>Исп: Разяпов Р.Г.</t>
  </si>
  <si>
    <t>2,1,4</t>
  </si>
  <si>
    <t>2,1,5</t>
  </si>
  <si>
    <t>2,1,6</t>
  </si>
  <si>
    <t>2,2,4</t>
  </si>
  <si>
    <t>2,2,5</t>
  </si>
  <si>
    <t>2,3,4</t>
  </si>
  <si>
    <t>2,4,4</t>
  </si>
  <si>
    <t>2,5,4</t>
  </si>
  <si>
    <t>2,6,4</t>
  </si>
  <si>
    <t>2,7,4</t>
  </si>
  <si>
    <t>2,8,4</t>
  </si>
  <si>
    <t>2,9,4</t>
  </si>
  <si>
    <t>2,10,4</t>
  </si>
  <si>
    <t>2,11,4</t>
  </si>
  <si>
    <t>2,12,4</t>
  </si>
  <si>
    <t>2,3,5</t>
  </si>
  <si>
    <t>2,4,5</t>
  </si>
  <si>
    <t>2,4,6</t>
  </si>
  <si>
    <t>2,5,5</t>
  </si>
  <si>
    <t>2,5,6</t>
  </si>
  <si>
    <t>2,6,5</t>
  </si>
  <si>
    <t>2,6,6</t>
  </si>
  <si>
    <t>2,7,5</t>
  </si>
  <si>
    <t>2,7,6</t>
  </si>
  <si>
    <t>2,8,5</t>
  </si>
  <si>
    <t>2,8,6</t>
  </si>
  <si>
    <t>2,9,5</t>
  </si>
  <si>
    <t>2,9,6</t>
  </si>
  <si>
    <t>2,10,5</t>
  </si>
  <si>
    <t>2,11,5</t>
  </si>
  <si>
    <t>2,12,5</t>
  </si>
  <si>
    <t>3,1,5</t>
  </si>
  <si>
    <t>3,1,6</t>
  </si>
  <si>
    <t>3,1,7</t>
  </si>
  <si>
    <t>3,5,6</t>
  </si>
  <si>
    <t>3,5,7</t>
  </si>
  <si>
    <t>3,6,6</t>
  </si>
  <si>
    <t>3,6,7</t>
  </si>
  <si>
    <t>В т.ч. Хознужды д.2075 (сч.41092, сч.40310)</t>
  </si>
  <si>
    <t>2,1,8</t>
  </si>
  <si>
    <t>2,1,9</t>
  </si>
  <si>
    <t>2,1,13</t>
  </si>
  <si>
    <t>2,1,14</t>
  </si>
  <si>
    <t>2,1,15</t>
  </si>
  <si>
    <t>2,2,8</t>
  </si>
  <si>
    <t>2,2,9</t>
  </si>
  <si>
    <t>2,2,13</t>
  </si>
  <si>
    <t>2,2,14</t>
  </si>
  <si>
    <t>2,3,8</t>
  </si>
  <si>
    <t>2,3,9</t>
  </si>
  <si>
    <t>2,3,13</t>
  </si>
  <si>
    <t>2,3,14</t>
  </si>
  <si>
    <t>2,4,8</t>
  </si>
  <si>
    <t>2,4,9</t>
  </si>
  <si>
    <t>2,4,13</t>
  </si>
  <si>
    <t>2,4,14</t>
  </si>
  <si>
    <t>2,4,15</t>
  </si>
  <si>
    <t>2,5,8</t>
  </si>
  <si>
    <t>2,5,9</t>
  </si>
  <si>
    <t>2,5,13</t>
  </si>
  <si>
    <t>2,5,14</t>
  </si>
  <si>
    <t>2,5,15</t>
  </si>
  <si>
    <t>2,6,8</t>
  </si>
  <si>
    <t>2,6,9</t>
  </si>
  <si>
    <t>2,6,13</t>
  </si>
  <si>
    <t>2,6,14</t>
  </si>
  <si>
    <t>2,6,15</t>
  </si>
  <si>
    <t>2,7,8</t>
  </si>
  <si>
    <t>2,7,9</t>
  </si>
  <si>
    <t>2,7,13</t>
  </si>
  <si>
    <t>2,7,14</t>
  </si>
  <si>
    <t>2,7,15</t>
  </si>
  <si>
    <t>2,8,8</t>
  </si>
  <si>
    <t>2,8,9</t>
  </si>
  <si>
    <t>2,8,13</t>
  </si>
  <si>
    <t>2,8,14</t>
  </si>
  <si>
    <t>2,8,15</t>
  </si>
  <si>
    <t>2,9,8</t>
  </si>
  <si>
    <t>2,9,9</t>
  </si>
  <si>
    <t>2,9,13</t>
  </si>
  <si>
    <t>2,9,14</t>
  </si>
  <si>
    <t>2,9,15</t>
  </si>
  <si>
    <t>2,10,8</t>
  </si>
  <si>
    <t>2,10,9</t>
  </si>
  <si>
    <t>2,10,13</t>
  </si>
  <si>
    <t>2,10,14</t>
  </si>
  <si>
    <t>2,11,8</t>
  </si>
  <si>
    <t>2,11,9</t>
  </si>
  <si>
    <t>2,11,13</t>
  </si>
  <si>
    <t>2,11,14</t>
  </si>
  <si>
    <t>2,12,8</t>
  </si>
  <si>
    <t>2,12,9</t>
  </si>
  <si>
    <t>2,12,13</t>
  </si>
  <si>
    <t>2,12,14</t>
  </si>
  <si>
    <t>4 Ценовая категория</t>
  </si>
  <si>
    <t>5 Ценовая категория</t>
  </si>
  <si>
    <t>6 Ценовая категория</t>
  </si>
  <si>
    <t>Первая ценовая категория, в том числе:</t>
  </si>
  <si>
    <t>менее 150 кВт</t>
  </si>
  <si>
    <t>от 150 до 670 кВт</t>
  </si>
  <si>
    <t>от 670 до 10 МВт</t>
  </si>
  <si>
    <t>Вторая ценовая категория, в том числе:</t>
  </si>
  <si>
    <t xml:space="preserve">ночная зона 2-х тарифная </t>
  </si>
  <si>
    <t xml:space="preserve">дневная зона 2-х тарифная </t>
  </si>
  <si>
    <t>ночная зона 2-х тарифная менее 150 кВт</t>
  </si>
  <si>
    <t>дневная зона 2-х тарифная менее 150 кВт</t>
  </si>
  <si>
    <t>мощность, 4 ценовая категория (услуги)</t>
  </si>
  <si>
    <t xml:space="preserve">мощность, 4 ценовая категория </t>
  </si>
  <si>
    <t>Услуги ОАО Горэлектросеть</t>
  </si>
  <si>
    <t>Третья ценовая категория, в том числе:</t>
  </si>
  <si>
    <t>догвор 120</t>
  </si>
  <si>
    <t>договор 182</t>
  </si>
  <si>
    <t>договор 551</t>
  </si>
  <si>
    <t>договор 789</t>
  </si>
  <si>
    <t>договор 1595</t>
  </si>
  <si>
    <t>договор 2147</t>
  </si>
  <si>
    <t>3,7,6</t>
  </si>
  <si>
    <t>3,9,6</t>
  </si>
  <si>
    <t>3,9,5</t>
  </si>
  <si>
    <t>3,10,6</t>
  </si>
  <si>
    <t>3,15,6</t>
  </si>
  <si>
    <t>3,16,6</t>
  </si>
  <si>
    <t>3,17,6</t>
  </si>
  <si>
    <t>3,18,6</t>
  </si>
  <si>
    <t>3,19,6</t>
  </si>
  <si>
    <t>3,20,6</t>
  </si>
  <si>
    <t>3,21,6</t>
  </si>
  <si>
    <t>3,13,6</t>
  </si>
  <si>
    <t>3,14,5</t>
  </si>
  <si>
    <t>3,22,6</t>
  </si>
  <si>
    <t>3,23,7</t>
  </si>
  <si>
    <t>3,24,6</t>
  </si>
  <si>
    <t>3,22,10</t>
  </si>
  <si>
    <t>3,22,15</t>
  </si>
  <si>
    <t>мощность</t>
  </si>
  <si>
    <t>3,25,10</t>
  </si>
  <si>
    <t>3,25,15</t>
  </si>
  <si>
    <t>Мощность</t>
  </si>
  <si>
    <t>первая ценовая категория</t>
  </si>
  <si>
    <t>1 ценовая категория в т.ч.:</t>
  </si>
  <si>
    <t>электроэнергия менее 150 кВт</t>
  </si>
  <si>
    <t>электроэнергия (ОДН)</t>
  </si>
  <si>
    <t>3 ценовая категория в т.ч.:</t>
  </si>
  <si>
    <t>электроэнергия от 670 до 10 МВт</t>
  </si>
  <si>
    <t xml:space="preserve">мощность, 3 ценовая категория </t>
  </si>
  <si>
    <t>4 ценовая категория в т.ч:</t>
  </si>
  <si>
    <t xml:space="preserve">электроэнергия </t>
  </si>
  <si>
    <t>1 ценовая категория</t>
  </si>
  <si>
    <t>мощность (услуги)</t>
  </si>
  <si>
    <t>Директор ООО "НЭСКО"</t>
  </si>
  <si>
    <t>_________________В.В. Эсауленко</t>
  </si>
  <si>
    <t>Наименование показателя</t>
  </si>
  <si>
    <t>Ед. изм.</t>
  </si>
  <si>
    <t>Товарная выручка</t>
  </si>
  <si>
    <t>млн.руб.</t>
  </si>
  <si>
    <t>в т.ч. выручка от потребителей в качестве ГП</t>
  </si>
  <si>
    <t xml:space="preserve">          бюджетные потребители</t>
  </si>
  <si>
    <t xml:space="preserve">          население</t>
  </si>
  <si>
    <t xml:space="preserve">          прочие</t>
  </si>
  <si>
    <t>в т.ч. выручка от продажи потерь</t>
  </si>
  <si>
    <t>в т.ч. выручка от продажи э/э на ОРЭМ</t>
  </si>
  <si>
    <t>в т.ч. выручка по прочим видам деятельности</t>
  </si>
  <si>
    <t>По ценовым категориям</t>
  </si>
  <si>
    <t>1 Ценовая категория</t>
  </si>
  <si>
    <t>в т.ч. по СН-I</t>
  </si>
  <si>
    <t>в т.ч. по СН-II</t>
  </si>
  <si>
    <t>в т.ч. по НН</t>
  </si>
  <si>
    <t>150-670 кВт</t>
  </si>
  <si>
    <t>670 кВт-10 МВт</t>
  </si>
  <si>
    <t>2 Ценовая категория</t>
  </si>
  <si>
    <t>Население (газовые плиты)</t>
  </si>
  <si>
    <t>Одноставочный тариф</t>
  </si>
  <si>
    <t>- дневная зона с 7-00 до 23-00 часов</t>
  </si>
  <si>
    <t>- ночная зона с 23-00 до 7-00 часов</t>
  </si>
  <si>
    <t>Население (электроплиты)</t>
  </si>
  <si>
    <t>Тарифы, дифференцированные по двум зонам суток</t>
  </si>
  <si>
    <t>Одноставочный тариф по СН-2</t>
  </si>
  <si>
    <t>Тарифы, дифференцированные по двум зонам суток* по СН-2</t>
  </si>
  <si>
    <t>Одноставочный тариф по НН</t>
  </si>
  <si>
    <t>Тарифы, дифференцированные по двум зонам суток* по НН</t>
  </si>
  <si>
    <t>Потери</t>
  </si>
  <si>
    <t>Объем отпуска электроэнергии</t>
  </si>
  <si>
    <t>млн.кВтч</t>
  </si>
  <si>
    <t>Объем отпуска электроэнергии по группам:</t>
  </si>
  <si>
    <t>в т.ч. потребителям в качестве ЭСК</t>
  </si>
  <si>
    <t>в т.ч. потребителям</t>
  </si>
  <si>
    <t>в т.ч. потери</t>
  </si>
  <si>
    <t>Средний тариф</t>
  </si>
  <si>
    <t>руб./кВтч</t>
  </si>
  <si>
    <t>Процент реализации потерь</t>
  </si>
  <si>
    <t>%</t>
  </si>
  <si>
    <t>Объем покупной электроэнергии</t>
  </si>
  <si>
    <t>Объем покупной электроэнергии в качестве ГП</t>
  </si>
  <si>
    <t>в т.ч. с ОРЭМ</t>
  </si>
  <si>
    <t>в т.ч. с РРЭ как ГП у ОАО "ТЭК"</t>
  </si>
  <si>
    <t>в т.ч. с РРЭ как ГП у ЗАО "ЕЭСнК"</t>
  </si>
  <si>
    <t>в т.ч. с РРЭ как ЭСК у ОАО "ТЭК"</t>
  </si>
  <si>
    <t>Средний тариф покупки</t>
  </si>
  <si>
    <t>тариф на ОРЭМ (нерег)</t>
  </si>
  <si>
    <t>в т.ч. с ОРЭМ (РД)</t>
  </si>
  <si>
    <t xml:space="preserve">средневзвешенный тариф на ОРЭМ </t>
  </si>
  <si>
    <t>Стоимость покупной электроэнергии</t>
  </si>
  <si>
    <t>Стоимость покупной электроэнергии как ГП</t>
  </si>
  <si>
    <t>Объём услуг по передаче э/э "ПРОЧИЕ"</t>
  </si>
  <si>
    <t>тариф на услуги по передаче</t>
  </si>
  <si>
    <t>Стоимость услуг по передаче э/э "ПРОЧИЕ"</t>
  </si>
  <si>
    <t>Стоимость услуг по передаче э/э ОАО"ГЭС"</t>
  </si>
  <si>
    <t>НВВ сбыта</t>
  </si>
  <si>
    <t>в том числе резерв по сомнительным долгам</t>
  </si>
  <si>
    <t>Федеральные факторы</t>
  </si>
  <si>
    <t>ОАО "АТС"</t>
  </si>
  <si>
    <t>услуги ЦФР</t>
  </si>
  <si>
    <t>Совет рынка</t>
  </si>
  <si>
    <t>Биржа Арена</t>
  </si>
  <si>
    <t>услуги системного оператора</t>
  </si>
  <si>
    <t>Комиссионное вознаграждение ЦФР</t>
  </si>
  <si>
    <t>Количество абонентов</t>
  </si>
  <si>
    <t>Юр.лица</t>
  </si>
  <si>
    <t>ед.</t>
  </si>
  <si>
    <t>Физ.лица</t>
  </si>
  <si>
    <t>Доходы/Расходы (прибыль)</t>
  </si>
  <si>
    <t>СН2</t>
  </si>
  <si>
    <t>прочие</t>
  </si>
  <si>
    <t>Одноставочный тариф по СН-1</t>
  </si>
  <si>
    <t>Тарифы, дифференцированные по двум зонам суток* по СН-1</t>
  </si>
  <si>
    <t>Компенсация технологических потерь ОАО "ГЭС"</t>
  </si>
  <si>
    <t>Компенсация технологических потерь ОАО "НЭН"</t>
  </si>
  <si>
    <t>4.1.</t>
  </si>
  <si>
    <t>4.2.</t>
  </si>
  <si>
    <t xml:space="preserve">Компенсация технологических потерь </t>
  </si>
  <si>
    <t>2,13,4</t>
  </si>
  <si>
    <t>2,13,5</t>
  </si>
  <si>
    <t>2,13,7</t>
  </si>
  <si>
    <t>2,13,8</t>
  </si>
  <si>
    <t>2,13,9</t>
  </si>
  <si>
    <t>2,13,13</t>
  </si>
  <si>
    <t>2,13,14</t>
  </si>
  <si>
    <t>2,13,16</t>
  </si>
  <si>
    <t>2,14,4</t>
  </si>
  <si>
    <t>2,14,5</t>
  </si>
  <si>
    <t>2,14,7</t>
  </si>
  <si>
    <t>2,14,8</t>
  </si>
  <si>
    <t>2,14,9</t>
  </si>
  <si>
    <t>2,14,13</t>
  </si>
  <si>
    <t>2,14,14</t>
  </si>
  <si>
    <t>2,14,16</t>
  </si>
  <si>
    <t>2,15,4</t>
  </si>
  <si>
    <t>2,15,5</t>
  </si>
  <si>
    <t>2,15,7</t>
  </si>
  <si>
    <t>2,15,8</t>
  </si>
  <si>
    <t>2,15,9</t>
  </si>
  <si>
    <t>2,15,13</t>
  </si>
  <si>
    <t>2,15,14</t>
  </si>
  <si>
    <t>2,15,16</t>
  </si>
  <si>
    <t>2,16,4</t>
  </si>
  <si>
    <t>2,16,5</t>
  </si>
  <si>
    <t>2,16,7</t>
  </si>
  <si>
    <t>2,16,8</t>
  </si>
  <si>
    <t>2,16,9</t>
  </si>
  <si>
    <t>2,16,13</t>
  </si>
  <si>
    <t>2,16,14</t>
  </si>
  <si>
    <t>2,16,16</t>
  </si>
  <si>
    <t>Потребители, приравненные к нас. дневная зона (без услуг)</t>
  </si>
  <si>
    <t>Потребители, приравненные к нас. ночная зона (без услуг)</t>
  </si>
  <si>
    <t>Городское население с газ. плитами дневная зона (без услуг)</t>
  </si>
  <si>
    <t>Городское население с газ. плитами ночная зона (без услуг)</t>
  </si>
  <si>
    <t>3,27,6</t>
  </si>
  <si>
    <t>Услуги ООО НЭН</t>
  </si>
  <si>
    <t>с коэфф. "1"</t>
  </si>
  <si>
    <t>с коэфф. "0,7"</t>
  </si>
  <si>
    <t>мощность третья ценовая категория от 670 кВт-10</t>
  </si>
  <si>
    <t>Четвёртая ценовая категория, в том числе:</t>
  </si>
  <si>
    <t>3,30,6</t>
  </si>
  <si>
    <t>3,31,7</t>
  </si>
  <si>
    <t>3,32,10</t>
  </si>
  <si>
    <t>3,33,10</t>
  </si>
  <si>
    <t>3,31,10</t>
  </si>
  <si>
    <t>3,33,15</t>
  </si>
  <si>
    <t>3,32,15</t>
  </si>
  <si>
    <t>3,31,15</t>
  </si>
  <si>
    <t>в т.ч. выручка от потребителей по договору  ЭСК</t>
  </si>
  <si>
    <t>1.1.</t>
  </si>
  <si>
    <t>3 Ценовая категория</t>
  </si>
  <si>
    <t>в пределах соц нормы</t>
  </si>
  <si>
    <t>свыше соцнормы</t>
  </si>
  <si>
    <t>дифференцированные по двум зонам суток* по СН-1</t>
  </si>
  <si>
    <t>дифференцированные по двум зонам суток* по НН</t>
  </si>
  <si>
    <t>дифференцированные по двум зонам суток</t>
  </si>
  <si>
    <t>дифференцированные по двум зонам суток* по СН-2</t>
  </si>
  <si>
    <t>Потери ВСЕГО:</t>
  </si>
  <si>
    <t>Потери в сетях ОАО "Горэлектросеть"</t>
  </si>
  <si>
    <t>Потери в сетях ООО "НЭН"</t>
  </si>
  <si>
    <t>сверх соц нормы</t>
  </si>
  <si>
    <t>Справочно:</t>
  </si>
  <si>
    <t>средневзвешенный тариф для потребителей и потерь</t>
  </si>
  <si>
    <t>Услуги по передаче э/э</t>
  </si>
  <si>
    <t>Объём услуг по передаче э/э ПАО "ГЭС"</t>
  </si>
  <si>
    <t>Объём услуг по передаче э/э "НАСЕЛЕНИЕ"</t>
  </si>
  <si>
    <t>Объём услуг по передаче э/э "НАСЕЛЕНИЕ" коэфф. "1"</t>
  </si>
  <si>
    <t>Объём услуг по передаче э/э "НАСЕЛЕНИЕ" коэфф. "1" в пределах соц нормы</t>
  </si>
  <si>
    <t>Объём услуг по передаче э/э "НАСЕЛЕНИЕ" коэфф. "1" сверх соц нормы</t>
  </si>
  <si>
    <t>тариф на услуги по передаче соц.норма</t>
  </si>
  <si>
    <t>тариф на услуги по передаче сверх соц нормы</t>
  </si>
  <si>
    <t>Стоимость услуг по передаче коэфф. "1"</t>
  </si>
  <si>
    <t>Объём услуг по передаче э/э "НАСЕЛЕНИЕ" коэфф. "0,7"</t>
  </si>
  <si>
    <t>Объём услуг по передаче э/э "НАСЕЛЕНИЕ" коэфф. "0,7" в пределах соц нормы</t>
  </si>
  <si>
    <t>Объём услуг по передаче э/э "НАСЕЛЕНИЕ" коэфф. "0,7" сверх соц нормы</t>
  </si>
  <si>
    <t>Стоимость услуг по передаче коэфф. "0,7"</t>
  </si>
  <si>
    <t>Стоимость услуг по передаче группа "НАСЕЛЕНИЕ"</t>
  </si>
  <si>
    <t>Объём услуг по передаче э/э ООО "НЭН"</t>
  </si>
  <si>
    <t>Стоимость услуг по передаче э/э ООО"НЭН"</t>
  </si>
  <si>
    <t>Стоимость услуг по передаче э/э ОАО"Черногорэнерго"</t>
  </si>
  <si>
    <t>Объём услуг по передаче э/э ВСЕГО:</t>
  </si>
  <si>
    <t>Стоимость услуг по передаче э/э ВСЕГО:</t>
  </si>
  <si>
    <t>7.</t>
  </si>
  <si>
    <t>8.</t>
  </si>
  <si>
    <t>9.</t>
  </si>
  <si>
    <t>13.</t>
  </si>
  <si>
    <t>январь</t>
  </si>
  <si>
    <t>февраль</t>
  </si>
  <si>
    <t>март</t>
  </si>
  <si>
    <t>апрель</t>
  </si>
  <si>
    <t>май</t>
  </si>
  <si>
    <t>июнь</t>
  </si>
  <si>
    <t>июль</t>
  </si>
  <si>
    <t>август</t>
  </si>
  <si>
    <t>сентябрь</t>
  </si>
  <si>
    <t>октябрь</t>
  </si>
  <si>
    <t>ноябрь</t>
  </si>
  <si>
    <t>декабрь</t>
  </si>
  <si>
    <t>по договору купли - продажи э/э от 150 до 670 кВт</t>
  </si>
  <si>
    <t>Оборонэнергосбыт</t>
  </si>
  <si>
    <t>1.2.</t>
  </si>
  <si>
    <t>1.3.</t>
  </si>
  <si>
    <t>СН менее 150</t>
  </si>
  <si>
    <t>СН от 150 до 670</t>
  </si>
  <si>
    <t>СН от 670 до 10</t>
  </si>
  <si>
    <t>СН на технологические потери</t>
  </si>
  <si>
    <t>Плата за иные услуги</t>
  </si>
  <si>
    <t>Тариф на ОРЭМ</t>
  </si>
  <si>
    <t>тариф на технологические потери</t>
  </si>
  <si>
    <t xml:space="preserve"> дифференцированные по двум зонам суток* по СН-2</t>
  </si>
  <si>
    <t>№ п/п</t>
  </si>
  <si>
    <t>Наименование работ</t>
  </si>
  <si>
    <t>Еденица измерения</t>
  </si>
  <si>
    <t>Количество</t>
  </si>
  <si>
    <t>Цена</t>
  </si>
  <si>
    <t>Сумма без НДС (руб.)</t>
  </si>
  <si>
    <t>НДС (руб.)</t>
  </si>
  <si>
    <t>Сумма с НДС (руб.)</t>
  </si>
  <si>
    <t>Услуги по передаче электрической энергии по ставке на содержание сетей (одноставочный тариф)</t>
  </si>
  <si>
    <t>СН-1</t>
  </si>
  <si>
    <t>МВт*ч</t>
  </si>
  <si>
    <t>СН-2</t>
  </si>
  <si>
    <t>1.4.</t>
  </si>
  <si>
    <t>СН-2 К1</t>
  </si>
  <si>
    <t>1.5.</t>
  </si>
  <si>
    <t>НН К1</t>
  </si>
  <si>
    <t>1.6.</t>
  </si>
  <si>
    <t>НН К0,7</t>
  </si>
  <si>
    <t>Услуги по передаче электрической энергии по ставке на содержание сетей (двухставочный тариф)</t>
  </si>
  <si>
    <t>1.7.</t>
  </si>
  <si>
    <t>МВт</t>
  </si>
  <si>
    <t>1.8.</t>
  </si>
  <si>
    <t>Услуги по передаче электрической энергии по ставке на оплату технологического расхода - потерь (двухставочный тариф)</t>
  </si>
  <si>
    <t>1.9.</t>
  </si>
  <si>
    <t>1.10.</t>
  </si>
  <si>
    <t>ИТОГО</t>
  </si>
  <si>
    <t>Услуги по передаче электрической энергии по ставке на оплату потерь</t>
  </si>
  <si>
    <t>2.1.</t>
  </si>
  <si>
    <t>2.2.</t>
  </si>
  <si>
    <t>2.3.</t>
  </si>
  <si>
    <t>2.4.</t>
  </si>
  <si>
    <t>ВСЕГО</t>
  </si>
  <si>
    <t>Нагрузочные потери в сетях ФСК, учтенные в равновесных ценах на электрическую энергию для участников ОРЭ, отнесенные на отпуск из сетей РСК</t>
  </si>
  <si>
    <t>Нагрузочные потери в сетях РСК, учтенные в равновесных ценах на электрическую энергию для участников ОРЭ, отнесенные на отпуск из сетей РСК</t>
  </si>
  <si>
    <t>ИТОГО к оплате с учетом нагрузочных потерь</t>
  </si>
  <si>
    <t>-</t>
  </si>
  <si>
    <t>Объём услуг по передаче электрической энергии по ставке на оплату технологического расхода - потерь (двухставочный тариф)</t>
  </si>
  <si>
    <t xml:space="preserve">тариф </t>
  </si>
  <si>
    <t>Стоимость услуг (двухставочный тариф)</t>
  </si>
  <si>
    <t>ФСК</t>
  </si>
  <si>
    <t xml:space="preserve"> РСК РСК</t>
  </si>
  <si>
    <t>ФСК РСК</t>
  </si>
  <si>
    <t>Cведения о полезном отпуске (продаже) электрической энергии и мощности отдельным категориям потребителей</t>
  </si>
  <si>
    <t>Субъект РФ</t>
  </si>
  <si>
    <t>Ханты-Мансийский автономный округ</t>
  </si>
  <si>
    <t>Отчетный период</t>
  </si>
  <si>
    <t>Год</t>
  </si>
  <si>
    <t>Месяц</t>
  </si>
  <si>
    <t>Срок предоставления отчета истек</t>
  </si>
  <si>
    <t>Нет</t>
  </si>
  <si>
    <t>Ссылка на обосновывающие материалы</t>
  </si>
  <si>
    <t>Наименование организации</t>
  </si>
  <si>
    <t>ИНН</t>
  </si>
  <si>
    <t>8603109926</t>
  </si>
  <si>
    <t>КПП</t>
  </si>
  <si>
    <t>860301001</t>
  </si>
  <si>
    <t>Вид деятельности</t>
  </si>
  <si>
    <t>Сбытовая компания</t>
  </si>
  <si>
    <t>Муниципальный район</t>
  </si>
  <si>
    <t>город Нижневартовск</t>
  </si>
  <si>
    <t>Муниципальное образование</t>
  </si>
  <si>
    <t>ОКТМО</t>
  </si>
  <si>
    <t>71875000</t>
  </si>
  <si>
    <t>Гарантирующий поставщик</t>
  </si>
  <si>
    <t>Да</t>
  </si>
  <si>
    <t>Способ приобретения электроэнергии</t>
  </si>
  <si>
    <t>с ОРЭМ</t>
  </si>
  <si>
    <t>Плательщик НДС</t>
  </si>
  <si>
    <t>Тип отчета</t>
  </si>
  <si>
    <t>В целом по организации</t>
  </si>
  <si>
    <t>Наименование обособленного подразделения</t>
  </si>
  <si>
    <t>Адрес организации</t>
  </si>
  <si>
    <t>Юридический адрес:</t>
  </si>
  <si>
    <t>628611 г.Нижневартовск, ул.Ленина,34А</t>
  </si>
  <si>
    <t>Почтовый адрес:</t>
  </si>
  <si>
    <t>Руководитель</t>
  </si>
  <si>
    <t>Фамилия, имя, отчество</t>
  </si>
  <si>
    <t>Эсауленко Валерий Васильевич</t>
  </si>
  <si>
    <t>(код) номер телефона</t>
  </si>
  <si>
    <t>(3466) 47-08-50</t>
  </si>
  <si>
    <t>Главный бухгалтер</t>
  </si>
  <si>
    <t>Ярмоленко Александра Владимировна</t>
  </si>
  <si>
    <t>(3466) 49-15-55</t>
  </si>
  <si>
    <t>Должностное лицо, ответственное за составление формы</t>
  </si>
  <si>
    <t>Разяпов Руслан Глимханович</t>
  </si>
  <si>
    <t>Должность</t>
  </si>
  <si>
    <t>Начальник планово-аналитического отдела</t>
  </si>
  <si>
    <t>(3466) 45-41-43</t>
  </si>
  <si>
    <t>e-mail</t>
  </si>
  <si>
    <t>razyapov@gesnv.ru</t>
  </si>
  <si>
    <t>Максимальный интервал представления отчёта за прошедшие периоды (дней)</t>
  </si>
  <si>
    <t>90</t>
  </si>
  <si>
    <t>Дата последнего обновления реестра МР/МО:_x000D_17.05.2016 14:19:57</t>
  </si>
  <si>
    <t>Дата последнего обновления реестра организаций: 17.05.2016 14:19:57</t>
  </si>
  <si>
    <t>Раздел I. Полезный отпуск электроэнергии и мощности, реализуемой по регулируемым тарифам (ценам)</t>
  </si>
  <si>
    <t>А. Полезный отпуск электроэнергии и мощности, реализуемой по регулируемым тарифам (ценам) по Договору энергоснабжения</t>
  </si>
  <si>
    <t>Коды по ОКЕИ: 1000 киловатт-часов – 246, мегаватт – 215, тысяча рублей – 384</t>
  </si>
  <si>
    <t>Потребители</t>
  </si>
  <si>
    <t>Код строки</t>
  </si>
  <si>
    <t>Объем электрической энергии потребителей, осуществляющих оплату по одноставочным тарифам (ценам) за отчетный месяц (год), тыс кВт ч</t>
  </si>
  <si>
    <t>Стоимость электрической энергии потребителей, осуществляющих оплату по одноставочным тарифам (ценам) за отчетный месяц (год) без НДС, тыс руб</t>
  </si>
  <si>
    <t>Объем электрической энергии потребителей, осуществляющих оплату по зонным тарифам (ценам) за отчетный месяц (год), 
тыс кВт ч</t>
  </si>
  <si>
    <t>Стоимость электрической энергии потребителей, осуществляющих оплату по зонным тарифам (ценам) за отчетный месяц (год) без НДС, тыс руб</t>
  </si>
  <si>
    <t>Объем электрической энергии потребителей, осуществляющих оплату по трехставочным тарифам (ценам) за отчетный месяц (год), тыс кВт ч</t>
  </si>
  <si>
    <t>Стоимость электрической энергии потребителей, осуществляющих оплату по трехставочным тарифам (ценам) за отчетный месяц (год) без НДС, тыс руб</t>
  </si>
  <si>
    <t>Объем электрической мощности потребителей, осуществляющих оплату услуг по передаче электрической энергии по трехставочным ценам 
за отчетный месяц (год), МВт</t>
  </si>
  <si>
    <t>Стоимость электрической мощности потребителей, осуществляющих оплату услуг по передаче электрической энергии по трехставочным ценам 
за отчетный месяц (год) без НДС, тыс руб</t>
  </si>
  <si>
    <t>Объем электрической энергии за отчетный месяц (год), 
тыс кВт ч</t>
  </si>
  <si>
    <t>Стоимость электрической энергии за отчетный месяц (год) без НДС, тыс руб</t>
  </si>
  <si>
    <t>Стоимость электрической энергии (мощности) без учета стоимости отклонений за отчетный месяц (год) без НДС, по двухставочным тарифам (ценам) 
за отчетный месяц (год) без НДС, тыс руб</t>
  </si>
  <si>
    <t>Стоимость отклонений фактических объемов потребления электрической энергии от плановых (договорных) значений за отчетный  месяц (год) без НДС, тыс руб</t>
  </si>
  <si>
    <t>всего</t>
  </si>
  <si>
    <t>в том числе:</t>
  </si>
  <si>
    <t>СН1</t>
  </si>
  <si>
    <t>ГН</t>
  </si>
  <si>
    <t>Потребители с максимальной мощностью принадлежащих им энергопринимающих устройств от 10 МВт</t>
  </si>
  <si>
    <t>Промышленные и приравненные к ним потребители</t>
  </si>
  <si>
    <t>Электрифицированный железнодорожный транспорт</t>
  </si>
  <si>
    <t>Электрифицированный городской транспорт</t>
  </si>
  <si>
    <t>Непромышленные потребители</t>
  </si>
  <si>
    <t>Сельскохозяйственные товаропроизводители</t>
  </si>
  <si>
    <t>Бюджетные потребители</t>
  </si>
  <si>
    <t>Другие энергоснабжающие организации</t>
  </si>
  <si>
    <t>Потребители с максимальной мощностью принадлежащих им энергопринимающих устройств от 670 кВт до 10 МВт</t>
  </si>
  <si>
    <t>Потребители с максимальной мощностью принадлежащих им энергопринимающих устройств от 150 кВт до 670 кВт</t>
  </si>
  <si>
    <t>Потребители с максимальной мощностью принадлежащих им энергопринимающих устройств до 150 кВт</t>
  </si>
  <si>
    <t>Компенсация расхода электрической энергии на передачу сетевыми организациями</t>
  </si>
  <si>
    <t xml:space="preserve">Полезный отпуск - всего </t>
  </si>
  <si>
    <t>Руководитель организации</t>
  </si>
  <si>
    <t>(Ф.И.О.)</t>
  </si>
  <si>
    <t>(подпись)</t>
  </si>
  <si>
    <t>Должностное лицо,</t>
  </si>
  <si>
    <t xml:space="preserve"> ответственное за</t>
  </si>
  <si>
    <t>(должность)</t>
  </si>
  <si>
    <t>составление формы</t>
  </si>
  <si>
    <t>«____» _________20__ год</t>
  </si>
  <si>
    <t>(номер контактного телефона)</t>
  </si>
  <si>
    <t>(дата составления документа)</t>
  </si>
  <si>
    <t>Б. Полезный отпуск электроэнергии и мощности, реализуемой по регулируемым тарифам (ценам) по Договору купли-продажи</t>
  </si>
  <si>
    <t>Стоимость электрической энергии потребителей, осуществляющих оплату по одноставочным тарифам (ценам) за отчетный месяц (год) 
без НДС, тыс руб</t>
  </si>
  <si>
    <t>Стоимость электрической энергии за отчетный месяц (год) 
без НДС, тыс руб</t>
  </si>
  <si>
    <t>Стоимость электрической энергии (мощности) без учета стоимости отклонений за отчетный месяц (год) без НДС, по двухставочным тарифам (ценам) за отчетный месяц (год) без НДС, тыс руб</t>
  </si>
  <si>
    <t>Стоимость отклонений фактических объемов потребления электрической энергии от плановых (договорных) значений за отчетный месяц (год) 
без НДС, тыс руб</t>
  </si>
  <si>
    <t>В. Полезный отпуск электроэнергии, реализуемой населению и приравненным к нему категориям потребителей</t>
  </si>
  <si>
    <t>Объем электрической энергии за отчетный месяц (год), тыс кВт ч всего</t>
  </si>
  <si>
    <t>Стоимость электрической энергии за отчетный месяц (год) с НДС, тыс руб всего</t>
  </si>
  <si>
    <t>Стоимость электрической энергии за отчетный месяц (год) без НДС, тыс руб всего</t>
  </si>
  <si>
    <t>Объем электрической энергии потребителей, осуществляющих оплату по одноставочному тарифу за отчетный месяц (год), тыс кВт ч всего</t>
  </si>
  <si>
    <t>Стоимость электрической энергии потребителей, осуществляющих оплату по одноставочному тарифу за отчетный месяц (год) с НДС, тыс руб всего</t>
  </si>
  <si>
    <t>Стоимость электрической энергии потребителей, осуществляющих оплату по одноставочному тарифу за отчетный месяц (год) без НДС,  тыс руб всего</t>
  </si>
  <si>
    <t>Объем электрической энергии потребителей, осуществляющих оплату по зонным тарифам за отчетный месяц (год), тыс кВт ч</t>
  </si>
  <si>
    <t>Стоимость электрической энергии потребителей, осуществляющих оплату по зонным тарифам за отчетный месяц (год) с НДС, тыс руб всего</t>
  </si>
  <si>
    <t>Стоимость электрической энергии потребителей, осуществляющих оплату по зонным тарифам за отчетный месяц (год) без НДС, тыс руб всего</t>
  </si>
  <si>
    <t>ночь</t>
  </si>
  <si>
    <t>пик</t>
  </si>
  <si>
    <t>полупик (день)</t>
  </si>
  <si>
    <t>Население, всего</t>
  </si>
  <si>
    <t>в пределах социальной нормы</t>
  </si>
  <si>
    <t>сверх социальной нормы</t>
  </si>
  <si>
    <t>Население, проживающее в городских населенных пунктах в домах, не оборудованных в установленном порядке стационарными электроплитами и (или) электроотопительными установками</t>
  </si>
  <si>
    <t>Население, проживающее в городских населенных пунктах в домах, оборудованных в установленном порядке стационарными электроплитами</t>
  </si>
  <si>
    <t>Население, проживающее в городских населенных пунктах в домах, оборудованных в установленном порядке стационарными электроотопительными установками</t>
  </si>
  <si>
    <t> 270</t>
  </si>
  <si>
    <t> 280</t>
  </si>
  <si>
    <t>Население, проживающее в городских населенных пунктах в домах, оборудованных в установленном порядке стационарными электроплитами и электроотопительными установками</t>
  </si>
  <si>
    <t> 290</t>
  </si>
  <si>
    <t> 300</t>
  </si>
  <si>
    <t> 310</t>
  </si>
  <si>
    <t>Население, проживающее в сельских населенных пунктах</t>
  </si>
  <si>
    <t> 320</t>
  </si>
  <si>
    <t> 330</t>
  </si>
  <si>
    <t> 340</t>
  </si>
  <si>
    <t>Потребители, приравненные к населению, всего</t>
  </si>
  <si>
    <t> 400</t>
  </si>
  <si>
    <t> 410</t>
  </si>
  <si>
    <t> 420</t>
  </si>
  <si>
    <t> 430</t>
  </si>
  <si>
    <t>Исполнители коммунальных услуг</t>
  </si>
  <si>
    <t> 440</t>
  </si>
  <si>
    <t> 450</t>
  </si>
  <si>
    <t> 460</t>
  </si>
  <si>
    <t>Садоводческие, огороднические или дачные некоммерческие объединения граждан</t>
  </si>
  <si>
    <t> 470</t>
  </si>
  <si>
    <t> 480</t>
  </si>
  <si>
    <t> 490</t>
  </si>
  <si>
    <t>Религиозные организации</t>
  </si>
  <si>
    <t> 500</t>
  </si>
  <si>
    <t> 510</t>
  </si>
  <si>
    <t> 520</t>
  </si>
  <si>
    <t>Бюджетные организации (проживание военнослужащих, содержание осужденных)</t>
  </si>
  <si>
    <t> 530</t>
  </si>
  <si>
    <t> 540</t>
  </si>
  <si>
    <t> 550</t>
  </si>
  <si>
    <t>Некоммерческие объединения граждан  (гаражно-строительные, гаражные кооперативы)</t>
  </si>
  <si>
    <t> 560</t>
  </si>
  <si>
    <t> 570</t>
  </si>
  <si>
    <t> 580</t>
  </si>
  <si>
    <t>Хозяйственные постройки физических лиц</t>
  </si>
  <si>
    <t> 590</t>
  </si>
  <si>
    <t> 600</t>
  </si>
  <si>
    <t> 610</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</si>
  <si>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t>
  </si>
  <si>
    <t> 700</t>
  </si>
  <si>
    <t> 710</t>
  </si>
  <si>
    <t> 720</t>
  </si>
  <si>
    <t>СПРАВОЧНО: Всего по населению и приравненным к нему категориям</t>
  </si>
  <si>
    <t>Раздел II. Полезный отпуск электроэнергии и мощности, реализуемой по нерегулируемым ценам</t>
  </si>
  <si>
    <t>А. Полезный отпуск электроэнергии и мощности, реализуемой по нерегулируемым ценам по Договору энергоснабжения</t>
  </si>
  <si>
    <t>2 ценовая категория</t>
  </si>
  <si>
    <t>3 и 5 ценовые категории</t>
  </si>
  <si>
    <t>4 и 6 ценовые категории</t>
  </si>
  <si>
    <t>Стоимость электрической энергии (мощности) по 3-6 ценовой категории без учета стоимости отклонений за отчетный месяц (год) без НДС, тыс руб</t>
  </si>
  <si>
    <t>Стоимость отклонений фактических объемов потребления электрической энергии по 5 и 6 ценовой категории от плановых (договорных) значений за отчетный месяц (год) 
без НДС, тыс руб</t>
  </si>
  <si>
    <t>Объем электрической энергии (мощности) потребителей за отчетный месяц (год), тыс кВт ч</t>
  </si>
  <si>
    <t>Стоимость электрической энергии (мощности) потребителей за отчетный месяц (год) без НДС, тыс руб</t>
  </si>
  <si>
    <t>Объем электрической энергии потребителей за отчетный месяц (год), тыс кВт ч</t>
  </si>
  <si>
    <t>Стоимость электрической энергии потребителей за отчетный месяц (год) без НДС, тыс руб</t>
  </si>
  <si>
    <t>Объем электрической мощности за отчетный месяц (год), 
МВт</t>
  </si>
  <si>
    <t>Стоимость электрической мощности за отчетный месяц (год) без НДС, тыс руб</t>
  </si>
  <si>
    <t>Объем мощности услуг по передаче электроэнергии потребителей за отчетный месяц (год), МВт</t>
  </si>
  <si>
    <t>Стоимость мощности услуг по передаче электроэнергии потребителей за отчетный месяц (год) без НДС, тыс руб</t>
  </si>
  <si>
    <t>Б. Полезный отпуск электроэнергии и мощности, реализуемой по нерегулируемым ценам по Договору купли-продажи</t>
  </si>
  <si>
    <t>3 и 4 ценовые категории</t>
  </si>
  <si>
    <t>5 и 6 ценовые категории</t>
  </si>
  <si>
    <t>Стоимость электрической энергии по 3-6 ценовой категории без учета стоимости отклонений за отчетный месяц (год) без НДС, тыс руб</t>
  </si>
  <si>
    <t>Стоимость отклонений фактических объемов потребления электрической энергии по 5 и 6 ценовой категории 
от плановых (договорных) значений за отчетный 
месяц (год) без НДС, тыс руб</t>
  </si>
  <si>
    <t>Объем электрической энергии (мощности) потребителей 
за отчетный месяц (год), тыс кВт ч</t>
  </si>
  <si>
    <t>Стоимость электрической энергии (мощности) потребителей 
за отчетный месяц (год) без НДС, тыс руб</t>
  </si>
  <si>
    <t>Объем электрической мощности 
за отчетный месяц (год), МВт</t>
  </si>
  <si>
    <t>Объем электрической энергии за отчетный месяц (год), тыс кВт ч</t>
  </si>
  <si>
    <t>прочие (разделение по напряжению)</t>
  </si>
  <si>
    <t>Сельскохозяйственные товаро-производители</t>
  </si>
  <si>
    <t>Раздел III. Продажа электрической энергии и мощности</t>
  </si>
  <si>
    <t xml:space="preserve">Наименование </t>
  </si>
  <si>
    <t>Стоимость электрической энергии за отчетный месяц (год), тыс руб</t>
  </si>
  <si>
    <t>Величина электрической мощности за отчетный месяц (в среднем 
за год), МВт</t>
  </si>
  <si>
    <t>Стоимость электрической мощности за отчетный месяц (год), тыс руб</t>
  </si>
  <si>
    <t>Стоимость без дифференциации на энергию и мощность за отчетный месяц (год), тыс руб</t>
  </si>
  <si>
    <t xml:space="preserve">Продажа </t>
  </si>
  <si>
    <t>В обеспечение СД</t>
  </si>
  <si>
    <t>Х</t>
  </si>
  <si>
    <t>В обеспечение регулируемых договоров (РД)</t>
  </si>
  <si>
    <t>В обеспечение биржевых СДМ</t>
  </si>
  <si>
    <t>В обеспечение внебиржевых СДМ</t>
  </si>
  <si>
    <t>По договорам предоставления мощности ДПМ</t>
  </si>
  <si>
    <t>По ценам РСВ</t>
  </si>
  <si>
    <t>БР</t>
  </si>
  <si>
    <t>Экспортно-импортная и приграничная торговля</t>
  </si>
  <si>
    <t>По результатам КОМ</t>
  </si>
  <si>
    <t>На оптовом рынке по регулируемым ценам</t>
  </si>
  <si>
    <t>На оптовом рынке по нерегулируемым ценам</t>
  </si>
  <si>
    <t>На розничном рынке по регулируемым тарифам (ценам)</t>
  </si>
  <si>
    <t>На розничном рынке по свободным (нерегулируемым) ценам</t>
  </si>
  <si>
    <t>Собственное производство</t>
  </si>
  <si>
    <t>Мощность, заявленная на КОМ</t>
  </si>
  <si>
    <t>Аттестованная мощность</t>
  </si>
  <si>
    <t>Штрафные санкции ЦФР</t>
  </si>
  <si>
    <t>Раздел IV. Покупка электрической энергии и мощности</t>
  </si>
  <si>
    <t xml:space="preserve">         Коды по ОКЕИ: 1000 киловатт-часов – 246, мегаватт – 215, тысяча рублей – 384</t>
  </si>
  <si>
    <t>Покупка</t>
  </si>
  <si>
    <t>Итого покупка с учетом продажи</t>
  </si>
  <si>
    <t>Собственное потребление</t>
  </si>
  <si>
    <t>Фактические объёмы покупки и продажи электроэнергии и мощности сбытовой компании</t>
  </si>
  <si>
    <t>Тюменская область</t>
  </si>
  <si>
    <t>FROM_PLAN_12</t>
  </si>
  <si>
    <t>Период регулирования</t>
  </si>
  <si>
    <t>Апрель</t>
  </si>
  <si>
    <t>Тип данных</t>
  </si>
  <si>
    <t>Факт</t>
  </si>
  <si>
    <t>Территориальное разделение (регионы, в которых организация оказывает услуги)</t>
  </si>
  <si>
    <t>Тюменская область (Юг Тюменской области)</t>
  </si>
  <si>
    <t>да</t>
  </si>
  <si>
    <t>Ямало-Ненецкий автономный округ</t>
  </si>
  <si>
    <t>нет</t>
  </si>
  <si>
    <t>Дата последнего обновления реестра организаций: 23.04.2012 11:48:20</t>
  </si>
  <si>
    <t>Наименование юридического лица</t>
  </si>
  <si>
    <t>Юридический адрес</t>
  </si>
  <si>
    <t>Почтовый адрес</t>
  </si>
  <si>
    <t>Контактный телефон</t>
  </si>
  <si>
    <t>L11.1</t>
  </si>
  <si>
    <t>Ответственный.ФИО</t>
  </si>
  <si>
    <t>L11.2</t>
  </si>
  <si>
    <t>Ответственный.Должность</t>
  </si>
  <si>
    <t>L11.3</t>
  </si>
  <si>
    <t>Ответственный.Телефон</t>
  </si>
  <si>
    <t>L11.4</t>
  </si>
  <si>
    <t>Ответственный. E-Mail</t>
  </si>
  <si>
    <t>Отображаемое число знаков после запятой для числовых полей</t>
  </si>
  <si>
    <t>2</t>
  </si>
  <si>
    <t>Добавить</t>
  </si>
  <si>
    <t>r</t>
  </si>
  <si>
    <t>Показатели</t>
  </si>
  <si>
    <t>Единицы измерения</t>
  </si>
  <si>
    <t>Всего</t>
  </si>
  <si>
    <t>Всего по Югу Тюменской области</t>
  </si>
  <si>
    <t>Всего по Ханты-Мансийский автономный округ</t>
  </si>
  <si>
    <t>Всего по Ямало-Ненецкий автономный округ</t>
  </si>
  <si>
    <t>I</t>
  </si>
  <si>
    <t>Электроэнергия</t>
  </si>
  <si>
    <t>1</t>
  </si>
  <si>
    <t>Потребление электроэнергии</t>
  </si>
  <si>
    <t>Покупка электроэнергии всего, в т.ч.:</t>
  </si>
  <si>
    <t>2.1</t>
  </si>
  <si>
    <t>с ОРЭМ, в т.ч.:</t>
  </si>
  <si>
    <t>2.1.1</t>
  </si>
  <si>
    <t>население</t>
  </si>
  <si>
    <t>2.2</t>
  </si>
  <si>
    <t xml:space="preserve">от розничных производителей </t>
  </si>
  <si>
    <t>3</t>
  </si>
  <si>
    <t>Отпуск электроэнергии собственным потребителям, в т.ч.:</t>
  </si>
  <si>
    <t>3.1</t>
  </si>
  <si>
    <t>3.2</t>
  </si>
  <si>
    <t>другие</t>
  </si>
  <si>
    <t>3.2.1</t>
  </si>
  <si>
    <t>до 100 кВт</t>
  </si>
  <si>
    <t>3.2.2</t>
  </si>
  <si>
    <t>от 100 кВ до 670 кВт</t>
  </si>
  <si>
    <t>3.2.3</t>
  </si>
  <si>
    <t>от 670 кВ до 10 МВт</t>
  </si>
  <si>
    <t>3.2.4</t>
  </si>
  <si>
    <t>более 10 МВт</t>
  </si>
  <si>
    <t>3.3</t>
  </si>
  <si>
    <t>потребителям по прямым договорам с ОАО "ФСК ЕЭС"</t>
  </si>
  <si>
    <t>4</t>
  </si>
  <si>
    <t xml:space="preserve">Потери в региональных электрических сетях </t>
  </si>
  <si>
    <t>II</t>
  </si>
  <si>
    <t>5</t>
  </si>
  <si>
    <t>Средняя нагрузка потребления в отчётный час</t>
  </si>
  <si>
    <t>5.1</t>
  </si>
  <si>
    <t>Покупка мощности с ОРЭМ, в т.ч.:</t>
  </si>
  <si>
    <t>5.1.1</t>
  </si>
  <si>
    <t>5.2</t>
  </si>
  <si>
    <t>покупка мощности от розничных производителей</t>
  </si>
  <si>
    <t>6</t>
  </si>
  <si>
    <t>Покупка резервной мощности с ОРЭМ - 6% от средней нагрузки потребления в отчетный час (строка 5 * 0,06) всего, в т.ч.:</t>
  </si>
  <si>
    <t>6.1</t>
  </si>
  <si>
    <t>7</t>
  </si>
  <si>
    <t>Отпуск мощности потребителям по прямым договорам с ОАО "ФСК ЕЭС"</t>
  </si>
  <si>
    <t>8</t>
  </si>
  <si>
    <t>Оплачиваемый сальдо-переток мощности на ОРЭМ (строка 5.1 + строка 6) всего, в т.ч.:</t>
  </si>
  <si>
    <t>8.1</t>
  </si>
  <si>
    <t>население (строка 5.1.1 + строка 6.1)</t>
  </si>
  <si>
    <t>9</t>
  </si>
  <si>
    <t>Заявленная мощность потребителей услуг по передаче электроэнергии</t>
  </si>
  <si>
    <t>10</t>
  </si>
  <si>
    <t>Кроме того: заявленная мощность потребителей розничного рынка, присоединённых к сетям ЕНЭС</t>
  </si>
  <si>
    <t>Наименование</t>
  </si>
  <si>
    <t>Объём электрической энергии за отчётный месяц (год), тыс.кВтч</t>
  </si>
  <si>
    <t>Стоимость электрической энергии за отчётный месяц (год), тыс.руб.</t>
  </si>
  <si>
    <t>Величина электрической мощности за отчётный месяц (средняя по году), МВт</t>
  </si>
  <si>
    <t>Стоимость электрической мощности за отчётный месяц (год), тыс.руб.</t>
  </si>
  <si>
    <t>Стоимость без дифференциации на энергию и мощность за отчётный месяц (год), тыс.руб.</t>
  </si>
  <si>
    <t>Тюменский регион - ВСЕГО</t>
  </si>
  <si>
    <t>1.1</t>
  </si>
  <si>
    <t>В обеспечение РД</t>
  </si>
  <si>
    <t>1.2</t>
  </si>
  <si>
    <t>В обеспечение биржевых СДЭМ</t>
  </si>
  <si>
    <t>1.3</t>
  </si>
  <si>
    <t>В обеспечение внебиржевых СДЭМ</t>
  </si>
  <si>
    <t>1.4</t>
  </si>
  <si>
    <t>В обеспечение СДД</t>
  </si>
  <si>
    <t>1.5</t>
  </si>
  <si>
    <t>В обеспечение договоров с ГЭС/АЭС</t>
  </si>
  <si>
    <t>1.6</t>
  </si>
  <si>
    <t>1.7</t>
  </si>
  <si>
    <t>1.8</t>
  </si>
  <si>
    <t>1.9</t>
  </si>
  <si>
    <t>1.10</t>
  </si>
  <si>
    <t>На розничном рынке по регулируемым ценам</t>
  </si>
  <si>
    <t>1.11</t>
  </si>
  <si>
    <t>На розничном рынке по свободным ценам</t>
  </si>
  <si>
    <t>1.12</t>
  </si>
  <si>
    <t>Прочее</t>
  </si>
  <si>
    <t>Юг Тюменской области</t>
  </si>
  <si>
    <t>Продажа</t>
  </si>
  <si>
    <t>На розничном рынке по регулируемым ценам *</t>
  </si>
  <si>
    <t>На розничном рынке по свободным ценам *</t>
  </si>
  <si>
    <t>* Рассчитывается как сумма по всем категориям потребителей</t>
  </si>
  <si>
    <t>Добавить месяц</t>
  </si>
  <si>
    <t>Тарифное меню</t>
  </si>
  <si>
    <t>Задолженность на начало периода (тыс.руб.)</t>
  </si>
  <si>
    <t>Итого платёжные обязательства за отчётный месяц (тыс.руб.)</t>
  </si>
  <si>
    <t>Оплачено (тыс.руб.)</t>
  </si>
  <si>
    <t>Задолженность на конец периода (тыс.руб.)</t>
  </si>
  <si>
    <t>Отчётный месяц</t>
  </si>
  <si>
    <t>COST</t>
  </si>
  <si>
    <t>Объём (э/э или мощность) (тыс.кВтч или МВт)</t>
  </si>
  <si>
    <t>Цена (руб./кВтч или руб./МВт)</t>
  </si>
  <si>
    <t>Стоимость (тыс.руб.)</t>
  </si>
  <si>
    <t>ВСЕГО, в т.ч.:</t>
  </si>
  <si>
    <t>Продажа на РРЭМ по нерегулируемым ценам, всего</t>
  </si>
  <si>
    <t>Первая ценовая категория (интегральный учет)</t>
  </si>
  <si>
    <t>4.1</t>
  </si>
  <si>
    <t>Вторая ценовая категория (трехзонный учет), в т.ч.:</t>
  </si>
  <si>
    <t>4.1.1</t>
  </si>
  <si>
    <t>Ночь</t>
  </si>
  <si>
    <t>4.1.2</t>
  </si>
  <si>
    <t>Пик</t>
  </si>
  <si>
    <t>4.1.3</t>
  </si>
  <si>
    <t>Полупик</t>
  </si>
  <si>
    <t>4.2</t>
  </si>
  <si>
    <t>Вторая ценовая категория (двухзонный учет), в т.ч.:</t>
  </si>
  <si>
    <t>4.2.1</t>
  </si>
  <si>
    <t>4.2.2</t>
  </si>
  <si>
    <t>День</t>
  </si>
  <si>
    <t>Третья ценовая категория (почасовой учет, одноставочный тариф за услуги по передаче)</t>
  </si>
  <si>
    <t>Четвертая ценовая категория (почасовой учет, двухставочный тариф за услуги по передаче)</t>
  </si>
  <si>
    <t>Пятая ценовая категория (почасовое планирование и учет, одноставочный тариф за услуги по передаче)</t>
  </si>
  <si>
    <t>Шестая ценовая категория (почасовое планирование и учет, двухставочный тариф за услуги по передаче)</t>
  </si>
  <si>
    <t>Продажа на РРЭМ по регулируемым ценам, всего (с учетом НДС)</t>
  </si>
  <si>
    <t>Население, за исключением указанного в пунктах 11 и 12</t>
  </si>
  <si>
    <t>10.1</t>
  </si>
  <si>
    <t>Одноставочный</t>
  </si>
  <si>
    <t>10.2</t>
  </si>
  <si>
    <t>По двум зонам суток (всего) в т.ч.:</t>
  </si>
  <si>
    <t>10.2.1</t>
  </si>
  <si>
    <t>Дневная зона</t>
  </si>
  <si>
    <t>10.2.2</t>
  </si>
  <si>
    <t>Ночная зона</t>
  </si>
  <si>
    <t>10.3</t>
  </si>
  <si>
    <t>По трем зонам суток (всего) в т.ч.:</t>
  </si>
  <si>
    <t>10.3.1</t>
  </si>
  <si>
    <t>Пиковая зона</t>
  </si>
  <si>
    <t>10.3.2</t>
  </si>
  <si>
    <t>Полупиковая зона</t>
  </si>
  <si>
    <t>10.3.3</t>
  </si>
  <si>
    <t>11</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</si>
  <si>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t>
  </si>
  <si>
    <t>11.1</t>
  </si>
  <si>
    <t>11.2</t>
  </si>
  <si>
    <t>11.2.1</t>
  </si>
  <si>
    <t>11.2.2</t>
  </si>
  <si>
    <t>11.3</t>
  </si>
  <si>
    <t>11.3.1</t>
  </si>
  <si>
    <t>11.3.2</t>
  </si>
  <si>
    <t>11.3.3</t>
  </si>
  <si>
    <t>12</t>
  </si>
  <si>
    <t xml:space="preserve">Население, проживающее в сельских населенных пунктах </t>
  </si>
  <si>
    <t>12.1</t>
  </si>
  <si>
    <t>12.2</t>
  </si>
  <si>
    <t>12.2.1</t>
  </si>
  <si>
    <t>12.2.2</t>
  </si>
  <si>
    <t>12.3</t>
  </si>
  <si>
    <t>12.3.1</t>
  </si>
  <si>
    <t>12.3.2</t>
  </si>
  <si>
    <t>12.3.3</t>
  </si>
  <si>
    <t>13.1</t>
  </si>
  <si>
    <t>Потребители, приравненные к населению (с газовыми плитами)</t>
  </si>
  <si>
    <t>13.1.1</t>
  </si>
  <si>
    <t>13.1.2</t>
  </si>
  <si>
    <t>13.1.2.1</t>
  </si>
  <si>
    <t>13.1.2.2</t>
  </si>
  <si>
    <t>13.1.3</t>
  </si>
  <si>
    <t>13.1.3.1</t>
  </si>
  <si>
    <t>13.1.3.2</t>
  </si>
  <si>
    <t>13.1.3.3</t>
  </si>
  <si>
    <t>13.2</t>
  </si>
  <si>
    <t>Потребители, приравненные к населению (с электрическими плитами)</t>
  </si>
  <si>
    <t>13.2.1</t>
  </si>
  <si>
    <t>13.2.2</t>
  </si>
  <si>
    <t>13.2.2.1</t>
  </si>
  <si>
    <t>13.2.2.2</t>
  </si>
  <si>
    <t>13.2.3</t>
  </si>
  <si>
    <t>13.2.3.1</t>
  </si>
  <si>
    <t>13.2.3.2</t>
  </si>
  <si>
    <t>13.2.3.3</t>
  </si>
  <si>
    <t>14</t>
  </si>
  <si>
    <t>15</t>
  </si>
  <si>
    <t>16</t>
  </si>
  <si>
    <t>17</t>
  </si>
  <si>
    <t>17.1</t>
  </si>
  <si>
    <t>17.2</t>
  </si>
  <si>
    <t>17.3</t>
  </si>
  <si>
    <t>18</t>
  </si>
  <si>
    <t>18.1</t>
  </si>
  <si>
    <t>18.2</t>
  </si>
  <si>
    <t>19</t>
  </si>
  <si>
    <t>20</t>
  </si>
  <si>
    <t>21</t>
  </si>
  <si>
    <t>22</t>
  </si>
  <si>
    <t>Электроэнергия (тыс.кВтч)</t>
  </si>
  <si>
    <t>Мощность (МВт)</t>
  </si>
  <si>
    <t>СН 1</t>
  </si>
  <si>
    <t>СН 2</t>
  </si>
  <si>
    <t>Единый "котловой" тариф</t>
  </si>
  <si>
    <t>одноставочный</t>
  </si>
  <si>
    <t>двухставочный</t>
  </si>
  <si>
    <t>Оплата услуг ФСК</t>
  </si>
  <si>
    <t>Оплата услуг СО ЦДУ</t>
  </si>
  <si>
    <t>Оплата услуг АТС/ЦФР</t>
  </si>
  <si>
    <t>Баланс электрической энергии и мощности в 2016 году, Апрель</t>
  </si>
  <si>
    <t>Фактический объём покупки электрической энергии и мощности за Апрель 2016 года</t>
  </si>
  <si>
    <t>Фактический объём продажи электрической энергии и мощности за Апрель 2016 года</t>
  </si>
  <si>
    <t>Фактические объёмы прочих платежей за Апрель 2016 года</t>
  </si>
  <si>
    <t>Сетевая организация</t>
  </si>
  <si>
    <t>Объём электроэнергии, тыс.кВтч</t>
  </si>
  <si>
    <t>Цена, руб/кВтч</t>
  </si>
  <si>
    <t>Стоимость, тыс.руб.</t>
  </si>
  <si>
    <t>Стоимость нагрузочных потерь, тыс. руб.</t>
  </si>
  <si>
    <t>Стоимость по счёт-фактуре, тыс. руб.</t>
  </si>
  <si>
    <t>в том числе по регулируемой цене</t>
  </si>
  <si>
    <t>в том числе по свободной цене</t>
  </si>
  <si>
    <t>Регулируемая цена</t>
  </si>
  <si>
    <t>Свободная цена</t>
  </si>
  <si>
    <t>в том числе</t>
  </si>
  <si>
    <t>по регулируемой цене</t>
  </si>
  <si>
    <t>по свободной цене</t>
  </si>
  <si>
    <t>Удалить</t>
  </si>
  <si>
    <t>ПАО "Городские электрические сети" г.Нижневартовск</t>
  </si>
  <si>
    <t>ООО "Нижневартовскэнергонефть"</t>
  </si>
  <si>
    <t>Фактический объём продажи электроэнергии сетевым организациям на компенсацию потерь в части передачи сторонним потребителям за Апрель 2016 года</t>
  </si>
  <si>
    <t>Версия 3.0</t>
  </si>
  <si>
    <t>Организация: ООО "Нижневартовская энергосбытовая компания"</t>
  </si>
  <si>
    <t>ОРГАНИЗАЦИЯ: ООО "Нижневартовская энергосбытовая компания"</t>
  </si>
  <si>
    <t>Единица измерения показателя</t>
  </si>
  <si>
    <t>Объём факт. покупки э/э на ОРЭМ (акт сальдо-перетока)</t>
  </si>
  <si>
    <t>Плановый объем потребления э/э</t>
  </si>
  <si>
    <t>Объем покупки э/э в регулируемом секторе (для раскрытия)</t>
  </si>
  <si>
    <t>Объем покупки э/э в секторе своб. торговли (для раскрытия)</t>
  </si>
  <si>
    <t>Полный объем покупки э/э на ОРЭМ (факт)</t>
  </si>
  <si>
    <t>Объем продажи э/э по договорам комиссии с ЗАО "ЦФР"</t>
  </si>
  <si>
    <t>Объем нагрузочных оплачиваемых потерь</t>
  </si>
  <si>
    <t>Стоимость нагрузочных потерь</t>
  </si>
  <si>
    <t>руб.</t>
  </si>
  <si>
    <t>покупка нагрузочных потерь ЕНЭС, РСК</t>
  </si>
  <si>
    <t>Сальдо по э/э на ОРЭМ</t>
  </si>
  <si>
    <t>Мощность на ОРЭМ всего (факт)</t>
  </si>
  <si>
    <t>Всего затраты на ОРЭМ (без НДС)</t>
  </si>
  <si>
    <t>в т.ч 41-й счет (без розницы)</t>
  </si>
  <si>
    <t>в т.ч 60/20.5.3 (услуги АТС, ЦФР, СО)</t>
  </si>
  <si>
    <t>в т.ч 76.15/44.1.1 (комисс. Вознагражд ЦФР)</t>
  </si>
  <si>
    <t>в т.ч 60/20.5.6 (услуги биржи МЭБ)</t>
  </si>
  <si>
    <t>Проверка расчета 41-й счет на ОРЭМ (без НДС)</t>
  </si>
  <si>
    <t>Всего затраты на ОРЭМ (с НДС)</t>
  </si>
  <si>
    <t>в т.ч. НДС</t>
  </si>
  <si>
    <t>Всего затраты за минусом прибыли</t>
  </si>
  <si>
    <t>Всего затраты на покупку э/э (факт) (без НДС)</t>
  </si>
  <si>
    <t>Всего прибыль от продажи э/э (без НДС)</t>
  </si>
  <si>
    <t>СВЦ покупки э/э</t>
  </si>
  <si>
    <t>руб./МВт*ч</t>
  </si>
  <si>
    <t>СВЦ продажи э/э</t>
  </si>
  <si>
    <t>Всего затраты на покупку мощности (факт) (без НДС)</t>
  </si>
  <si>
    <t>Всего прибыль от продажи мощности (без НДС)</t>
  </si>
  <si>
    <t>СВЦ покупки мощности</t>
  </si>
  <si>
    <t>руб/МВт</t>
  </si>
  <si>
    <t>Всего затрат по услугам инфраструктурных орг. (без НДС)</t>
  </si>
  <si>
    <t>Всего затрат по услугам биржи МЭБ (без НДС)</t>
  </si>
  <si>
    <t>Всего затрат за комиссионное вознаграждение (без НДС)</t>
  </si>
  <si>
    <t>Проверка</t>
  </si>
  <si>
    <t>Всего прибыль на ОРЭМ (без НДС)</t>
  </si>
  <si>
    <t>Всего затраты с учетом прибыли на ОРЭМ (без НДС)</t>
  </si>
  <si>
    <t>Средневзвешенный тариф покупки э/э с учетом мощности на ОРЭМ</t>
  </si>
  <si>
    <t>Срв. тариф покупки э/э с уч. мощн. на ОРЭМ без инфраструктуры</t>
  </si>
  <si>
    <t>Средневзвешенный тариф покупки э/э с учетом мощности на ОРЭМ без учета прибыли</t>
  </si>
  <si>
    <t>ставка э/э</t>
  </si>
  <si>
    <t>ставка мощности</t>
  </si>
  <si>
    <t>Объем  покупки э/э по регулируемым ценам</t>
  </si>
  <si>
    <t>Мощность по регулируемым ценам</t>
  </si>
  <si>
    <t>Всего затрат по регулируемым ценам (без НДС)</t>
  </si>
  <si>
    <t>Всего затрат по регулируемым ценам (с НДС)</t>
  </si>
  <si>
    <t>Тариф на э/э с учетом мощности по РД</t>
  </si>
  <si>
    <t>Фактическая доля покупки э/э по регулируемым ценам</t>
  </si>
  <si>
    <t>Объем покупки э/э по РД с учетом потерь (3%), в том числе:</t>
  </si>
  <si>
    <t>В т.ч. Объем покупки э/э по РД без учета потерь (3%):</t>
  </si>
  <si>
    <t>В т.ч. Объем э/э для компенсации потерь (3%), учитываемых в РД</t>
  </si>
  <si>
    <t>Тариф покупки э/э по РД</t>
  </si>
  <si>
    <t>Стоимость э/э по РД (без НДС)</t>
  </si>
  <si>
    <t>Стоимость э/э по РД (с НДС)</t>
  </si>
  <si>
    <t>Мощность по РД</t>
  </si>
  <si>
    <t>Тариф на мощность по РД</t>
  </si>
  <si>
    <t>Стоимость мощности по РД (без НДС)</t>
  </si>
  <si>
    <t>Стоимость мощности по РД (с НДС)</t>
  </si>
  <si>
    <t>Объем  покупки э/э по нерегулируемым ценам</t>
  </si>
  <si>
    <t>Мощность по нерегулируемым ценам</t>
  </si>
  <si>
    <t>Всего затрат по нерегулируемым ценам (без НДС)</t>
  </si>
  <si>
    <t>Всего затрат по нерегулируемым ценам (с НДС)</t>
  </si>
  <si>
    <t>В т.ч. Объем покупки э/э по нерег. ценам без учета потерь</t>
  </si>
  <si>
    <t>В т.ч. Объем покупки потерь</t>
  </si>
  <si>
    <t>Тариф покупки э/э по нерегулируемым ценам</t>
  </si>
  <si>
    <t>Стоимость э/э по нерегулируемым ценам (без НДС)</t>
  </si>
  <si>
    <t>Стоимость э/э по нерегулируемым ценам (с НДС)</t>
  </si>
  <si>
    <t>Объем  продажи э/э по нерегулируемым ценам</t>
  </si>
  <si>
    <t>В т.ч. Объем продажи э/э по нерег. ценам без учета потерь</t>
  </si>
  <si>
    <t>В т.ч. Объем продажи потерь</t>
  </si>
  <si>
    <t>Тариф продажи э/э по нерегулируемым ценам</t>
  </si>
  <si>
    <t>Стоимость продажи э/э по нерегулируемым ценам (без НДС)</t>
  </si>
  <si>
    <t>Стоимость продажи э/э по нерегулируемым ценам (с НДС)</t>
  </si>
  <si>
    <t>Сальдо э/э по нерегулируемым ценам</t>
  </si>
  <si>
    <t>В т.ч. Сальдо э/э по нерегулируемым ценам без учета потерь</t>
  </si>
  <si>
    <t>В т.ч. Сальдо потерь</t>
  </si>
  <si>
    <t>Тариф покупки сальдо э/э по нерегулируемым ценам</t>
  </si>
  <si>
    <t>Стоимость сальдо э/э по нерегулируемым ценам (без НДС)</t>
  </si>
  <si>
    <t>Стоимость сальдо э/э по нерегулируемым ценам (с НДС)</t>
  </si>
  <si>
    <t>Тариф на мощность по нерегулируемым ценам</t>
  </si>
  <si>
    <t>Стоимость мощности по нерегулируемым ценам (без НДС)</t>
  </si>
  <si>
    <t>Стоимость мощности по нерегулируемым ценам (с НДС)</t>
  </si>
  <si>
    <t>Средневзвешенная нерегулируемая цена - расчетная</t>
  </si>
  <si>
    <t>Средневзвешенная нерегулируемая цена - ОАО "АТС"</t>
  </si>
  <si>
    <t>Объем  покупки э/э на РСВ c учетом расчетных потерь</t>
  </si>
  <si>
    <t>В т.ч. Объем покупки э/э на РСВ без учета потерь</t>
  </si>
  <si>
    <t>В т.ч. Объем покупки э/э для компенсации  расчетных потерь, учитываемых на РСВ</t>
  </si>
  <si>
    <t>В т.ч. Покупка разницы нагрузочых потерь по РД</t>
  </si>
  <si>
    <t>Тариф покупки э/э на РСВ</t>
  </si>
  <si>
    <t>Стоимость покупки э/э на РСВ (без НДС)</t>
  </si>
  <si>
    <t>Стоимость покупки э/э на РСВ (с НДС)</t>
  </si>
  <si>
    <t>Тарифы 2010</t>
  </si>
  <si>
    <t>Объем продажи э/э на РСВ</t>
  </si>
  <si>
    <t>В т.ч. Объем продажи разницы нагрузочых потерь по РД</t>
  </si>
  <si>
    <t>В т.ч. Объем продажи в обеспечение РД без учёта потерь</t>
  </si>
  <si>
    <t>В т.ч. Объем продажи потерь, отнесённых к обьёму продажи в обеспечение РД</t>
  </si>
  <si>
    <t>В т.ч. Объем продажи в обеспечение СДД (СДЭМ)</t>
  </si>
  <si>
    <t>Тариф продажи э/э на РСВ</t>
  </si>
  <si>
    <t>Стоимость продажи э/э на РСВ (без НДС)</t>
  </si>
  <si>
    <t>Стоимость продажи э/э на РСВ (с НДС)</t>
  </si>
  <si>
    <t>Объем покупки э/э на БР</t>
  </si>
  <si>
    <t>Тариф покупки э/э на БР</t>
  </si>
  <si>
    <t>Стоимость покупки э/э на БР (без НДС)</t>
  </si>
  <si>
    <t>Стоимость покупки э/э на БР (с НДС)</t>
  </si>
  <si>
    <t>Объем продажи э/э на БР</t>
  </si>
  <si>
    <t>Тариф продажи э/э на БР</t>
  </si>
  <si>
    <t>Стоимость продажи э/э на БР (без НДС)</t>
  </si>
  <si>
    <t>Стоимость продажи э/э на БР (с НДС)</t>
  </si>
  <si>
    <t>Модуль фактических отклонений</t>
  </si>
  <si>
    <t>Отклонения в плюс - покупка</t>
  </si>
  <si>
    <t>Отклонения в минус - продажа</t>
  </si>
  <si>
    <t>Величина нормативных отклонений ∆ i,p,t (транслируется)</t>
  </si>
  <si>
    <t>Всего затрат по СДЭМ (без НДС)</t>
  </si>
  <si>
    <t>Всего затрат по СДЭМ (с НДС)</t>
  </si>
  <si>
    <t>Всего затрат по СДЭМ (без НДС) без снижения стоимости мощности</t>
  </si>
  <si>
    <t>Тариф по э/э и мощности</t>
  </si>
  <si>
    <t>Экономия от заключения СДЭМ (без НДС)</t>
  </si>
  <si>
    <t>Экономия от заключения СДЭМ (с НДС)</t>
  </si>
  <si>
    <t>Объем покупки э/э по СДЭМ всего</t>
  </si>
  <si>
    <t>Тариф покупки э/э по СДЭМ всего</t>
  </si>
  <si>
    <t>Стоимость покупки э/э по СДЭМ всего (без НДС)</t>
  </si>
  <si>
    <t>Стоимость покупки э/э по СДЭМ всего (с НДС)</t>
  </si>
  <si>
    <t>Объем покупки э/э по СДЭМв</t>
  </si>
  <si>
    <t>Тариф покупки э/э по СДЭМв</t>
  </si>
  <si>
    <t>Стоимость покупки э/э по СДЭМв (без НДС)</t>
  </si>
  <si>
    <t>Стоимость покупки э/э по СДЭМв (с НДС)</t>
  </si>
  <si>
    <t>Объем покупки э/э по СДЭМб</t>
  </si>
  <si>
    <t>Тариф покупки э/э по СДЭМб</t>
  </si>
  <si>
    <t>Стоимость покупки э/э по СДЭМб (без НДС)</t>
  </si>
  <si>
    <t>Стоимость покупки э/э по СДЭМб (с НДС)</t>
  </si>
  <si>
    <t>Мощность по СДЭМ всего</t>
  </si>
  <si>
    <t>Тариф на мощность по СДЭМ всего</t>
  </si>
  <si>
    <t>Тариф на мощность по СДЭМ всего без снижения стоимости мощности</t>
  </si>
  <si>
    <t>Предварительная стоимость мощности без применения понижающих коэффициентов (без НДС)</t>
  </si>
  <si>
    <t>Величина снижения стоимости мощности</t>
  </si>
  <si>
    <t>Стоимость мощности по СДЭМ всего (без НДС)</t>
  </si>
  <si>
    <t>Стоимость мощности по СДЭМ всего (с НДС)</t>
  </si>
  <si>
    <t>Мощность по СДЭМв</t>
  </si>
  <si>
    <t>Тариф на мощность по СДЭМв</t>
  </si>
  <si>
    <t>Тариф на мощность по СДЭМв без снижения стоимости мощности</t>
  </si>
  <si>
    <t>Стоимость мощности по СДЭМв (без НДС)</t>
  </si>
  <si>
    <t>Стоимость мощности по СДЭМв (с НДС)</t>
  </si>
  <si>
    <t>Мощность по СДЭМб</t>
  </si>
  <si>
    <t>Тариф на мощность по СДЭМб</t>
  </si>
  <si>
    <t>Тариф на мощность по СДЭМб без снижения стоимости мощности</t>
  </si>
  <si>
    <t>Стоимость мощности по СДЭМб (без НДС)</t>
  </si>
  <si>
    <t>Стоимость мощности по СДЭМб (с НДС)</t>
  </si>
  <si>
    <t>Мощность по ДПМ</t>
  </si>
  <si>
    <t>Тариф на мощность по ДПМ</t>
  </si>
  <si>
    <t>Стоимость мощности по ДПМ (без НДС)</t>
  </si>
  <si>
    <t>Стоимость мощности по ДПМ (с НДС)</t>
  </si>
  <si>
    <t>Мощность по ГЭС/АЭС</t>
  </si>
  <si>
    <t>Тариф на мощность по ГЭС/АЭС</t>
  </si>
  <si>
    <t>Стоимость мощности по ГЭС/АЭС (без НДС)</t>
  </si>
  <si>
    <t>Стоимость мощности по ГЭС/АЭС (с НДС)</t>
  </si>
  <si>
    <t>Мощность по ДПМ ВИЭ</t>
  </si>
  <si>
    <t>Тариф на мощность по ДПМ ВИЭ</t>
  </si>
  <si>
    <t>Стоимость мощности по ДПМ ВИЭ (без НДС)</t>
  </si>
  <si>
    <t>Стоимость мощности по ДПМ ВИЭ (с НДС)</t>
  </si>
  <si>
    <t>Мощность по ВР</t>
  </si>
  <si>
    <t>Тариф на мощность по ВР</t>
  </si>
  <si>
    <t>Стоимость мощности по ВР (без НДС)</t>
  </si>
  <si>
    <t>Стоимость мощности по ВР (с НДС)</t>
  </si>
  <si>
    <t>Мощность по КОМ (покупка)</t>
  </si>
  <si>
    <t>Тариф на мощность по КОМ</t>
  </si>
  <si>
    <t>Стоимость мощности по КОМ (без НДС)</t>
  </si>
  <si>
    <t>Стоимость мощности по КОМ (с НДС)</t>
  </si>
  <si>
    <t>Предварительная средневзв.цена мощности по рез-там КОМ</t>
  </si>
  <si>
    <t>Средневзв.цена покупки мощности по рез-там КОМ</t>
  </si>
  <si>
    <t>Фактический собственный максимум потребления</t>
  </si>
  <si>
    <t>Величина планового пикового потребления мощности населением по Балансу ФСТ</t>
  </si>
  <si>
    <t>Фактический коэффициент наличия мощности k_факт_налич</t>
  </si>
  <si>
    <t>Фактический объем покупки мощности N_пок_факт_ЗСП</t>
  </si>
  <si>
    <t>Совокупный объем покупки мощности N_пок_ДПМ</t>
  </si>
  <si>
    <t>Объем покупки мощности по договору КОМ с ЦФР</t>
  </si>
  <si>
    <t>Всего затрат по услугам (без НДС)</t>
  </si>
  <si>
    <t>Всего затрат по услугам (с НДС)</t>
  </si>
  <si>
    <t>Объем по услугам ОАО "АТС"</t>
  </si>
  <si>
    <t>Тариф</t>
  </si>
  <si>
    <t>Стоимость услуг ОАО "АТС" (без НДС)</t>
  </si>
  <si>
    <t>Стоимость услуг ОАО "АТС" (с НДС)</t>
  </si>
  <si>
    <t>Объем по услугам ЗАО "ЦФР"</t>
  </si>
  <si>
    <t>Стоимость услуг ЗАО "ЦФР" (без НДС)</t>
  </si>
  <si>
    <t>Стоимость услуг ЗАО "ЦФР" (с НДС)</t>
  </si>
  <si>
    <t>Объем по услугам ОАО "СО ЕЭС" (Системного оператора)</t>
  </si>
  <si>
    <t>Стоимость услуг ОАО "СО ЕЭС" (без НДС)</t>
  </si>
  <si>
    <t>Стоимость услуг ОАО "СО ЕЭС" (с НДС)</t>
  </si>
  <si>
    <t>Услуги "Совета рынка" (членские взносы)</t>
  </si>
  <si>
    <t>Суммарная стоимость исполненных заявок на электроэнергию и мощность</t>
  </si>
  <si>
    <t>Абонентная плата (без НДС)</t>
  </si>
  <si>
    <t>Биржевой сбор по исполненным заявкам на электроэнергию и мощность (без НДС)</t>
  </si>
  <si>
    <t>Итого стоимость (без НДС)</t>
  </si>
  <si>
    <t>Итого стоимость (с НДС)</t>
  </si>
  <si>
    <t>Всего затрат за комиссионное вознаграждение (с НДС)</t>
  </si>
  <si>
    <t>по Договору комиссии РСВ (без НДС)</t>
  </si>
  <si>
    <t>по Договору комиссии РСВ (с НДС)</t>
  </si>
  <si>
    <t>по Договору комиссии БР (без НДС)</t>
  </si>
  <si>
    <t>по Договору комиссии БР (с НДС)</t>
  </si>
  <si>
    <t>по Договору коммерческого представительства KPR (без НДС)</t>
  </si>
  <si>
    <t>по Договору коммерческого представительства KPR (с НДС)</t>
  </si>
  <si>
    <t>по Договору коммерческого представительства RDP (без НДС)</t>
  </si>
  <si>
    <t>по Договору коммерческого представительства RDP (с НДС)</t>
  </si>
  <si>
    <t>по Договору коммерческого представительства RES-P-13 (без НДС)</t>
  </si>
  <si>
    <t>по Договору коммерческого представительства RES (с НДС)</t>
  </si>
  <si>
    <t>по Агентский договор AD-RES-14 (без НДС)</t>
  </si>
  <si>
    <t>по Агентский договор AD-KOM-15 (без НДС)</t>
  </si>
  <si>
    <t>по Договору коммерческого представительства KOM (с НДС)</t>
  </si>
  <si>
    <t>Объем по услугам по передаче ОАО "ГЭС" ВН всего</t>
  </si>
  <si>
    <t>Тариф ВН</t>
  </si>
  <si>
    <t>Стоимость услуг по передаче ОАО "ГЭС" (без НДС)</t>
  </si>
  <si>
    <t>Стоимость услуг по передаче ОАО "ГЭС" (с НДС)</t>
  </si>
  <si>
    <t>Объем по услугам по передаче ОАО "ГЭС" ВН по РД</t>
  </si>
  <si>
    <t>Стоимость услуг по передаче ОАО "ГЭС" ВН по РД (без НДС)</t>
  </si>
  <si>
    <t>Стоимость услуг по передаче ОАО "ГЭС" ВН по РД (с НДС)</t>
  </si>
  <si>
    <t>Объем по услугам по передаче ОАО "ГЭС" ВН по нерег.ценам</t>
  </si>
  <si>
    <t>Стоимость услуг по передаче ОАО "ГЭС" ВН по нерег. ценам (без НДС)</t>
  </si>
  <si>
    <t>Стоимость услуг по передаче ОАО "ГЭС" ВН по нерег. ценам (с НДС)</t>
  </si>
  <si>
    <t>Объем компенсируемых потерь ОАО "ГЭС" всего</t>
  </si>
  <si>
    <t>Цена ээ для покупки в целях компенсации потерь ээ</t>
  </si>
  <si>
    <t>Стоимость компенсируемых потерь (без НДС)</t>
  </si>
  <si>
    <t>Стоимость компенсируемых потерь (с НДС)</t>
  </si>
  <si>
    <t>Объем компенсируемых потерь ОАО "ГЭС" по РД</t>
  </si>
  <si>
    <t>Цена ээ для покупки в целях компенсации потерь ээ по РД</t>
  </si>
  <si>
    <t>Стоимость компенсируемых потерь ээ по РД (без НДС)</t>
  </si>
  <si>
    <t>Стоимость компенсируемых потерь ээ по РД (с НДС)</t>
  </si>
  <si>
    <t>Объем компенсируемых потерь ОАО "ГЭС" по нерег. ценам</t>
  </si>
  <si>
    <t>Цена ээ для покупки в целях компенсации потерь ээ по нерег.</t>
  </si>
  <si>
    <t>Стоимость компенсируемых потерь ээ по нерег. (без НДС)</t>
  </si>
  <si>
    <t>Стоимость компенсируемых потерь ээ по нерег. (с НДС)</t>
  </si>
  <si>
    <t>Потери в прочих сетях, не компенсируемые ОАО "ГЭС"</t>
  </si>
  <si>
    <t>Объем потерь ФСК</t>
  </si>
  <si>
    <t>Ст-ть потерь ФСК</t>
  </si>
  <si>
    <t>Объем потерь РСК</t>
  </si>
  <si>
    <t>Ст-ть потерь РСК</t>
  </si>
  <si>
    <t>Ст-ть покупки РСВ без потерь</t>
  </si>
  <si>
    <t>Ст-ть продажи РСВ</t>
  </si>
  <si>
    <t>Ст-ть покупки БР</t>
  </si>
  <si>
    <t>Ст-ть продажи БР</t>
  </si>
  <si>
    <t>ДЕБИТОРКА на 01.08.2011г.:</t>
  </si>
  <si>
    <t>0301-BMA-E-KM-08</t>
  </si>
  <si>
    <t>0301-KOM-E-KM-08</t>
  </si>
  <si>
    <t>0301-RSV-E-KM-08</t>
  </si>
  <si>
    <t>Сумма</t>
  </si>
  <si>
    <t>ДЕБИТОРКА на 01.11.2011г.:</t>
  </si>
  <si>
    <t>ДЕБИТОРКА на 01.06.2012г.:</t>
  </si>
  <si>
    <t>Договора</t>
  </si>
  <si>
    <t>ДПМ ГЭС АЭС</t>
  </si>
  <si>
    <t>ДПМ</t>
  </si>
  <si>
    <t>ВР</t>
  </si>
  <si>
    <t>КОМ</t>
  </si>
  <si>
    <t>РД</t>
  </si>
  <si>
    <t>РЕГУЛИРУЕМЫЙ СЕКТОР</t>
  </si>
  <si>
    <t>Э/Э</t>
  </si>
  <si>
    <t>МОЩНОСТЬ</t>
  </si>
  <si>
    <t>НЕРЕГУЛИРУЕМЫЙ СЕКТОР</t>
  </si>
  <si>
    <t>РСВ</t>
  </si>
  <si>
    <t>СДЭМ</t>
  </si>
  <si>
    <t>ГЭС/АЭС</t>
  </si>
  <si>
    <t>ДПМ ВИЭ</t>
  </si>
  <si>
    <t>ВЫНУЖДЕННЫЙ РЕЖИМ</t>
  </si>
  <si>
    <t>Услуги инфраструктурных организаций</t>
  </si>
  <si>
    <t>Услуги Биржи</t>
  </si>
  <si>
    <t>Комиссионное вознаграждение ЗАО "ЦФР"</t>
  </si>
  <si>
    <t>УСЛУГИ ПО ПЕРЕДАЧЕ</t>
  </si>
  <si>
    <t>газ</t>
  </si>
  <si>
    <t>Перераспределение объёма между тарифами группы "население" 2015 год</t>
  </si>
  <si>
    <t>№п/п</t>
  </si>
  <si>
    <t xml:space="preserve">Период </t>
  </si>
  <si>
    <t>потребление "население"</t>
  </si>
  <si>
    <t>начисление</t>
  </si>
  <si>
    <t>тыс.руб</t>
  </si>
  <si>
    <t>Зарегулированно в РЭК на 2014</t>
  </si>
  <si>
    <t>Зарегулированно в РЭК на 2015</t>
  </si>
  <si>
    <t>Факт 2016 года после пересортицы</t>
  </si>
  <si>
    <t>причина выполения пересортицы а именно исскуственное увеличение объёма в % по тарифу "ночь" и уменьшение объёма в % по тарифной группе "газ" кроится в формировании на основе этих данных перекрёстки на 2016 год.</t>
  </si>
  <si>
    <t>GS_PRICE_DATA_26</t>
  </si>
  <si>
    <t>1.1.2</t>
  </si>
  <si>
    <t>Первое число расчётного месяца в формате "YYYYMMDD"</t>
  </si>
  <si>
    <t>20120901</t>
  </si>
  <si>
    <t xml:space="preserve">Код участника в реестре АТС </t>
  </si>
  <si>
    <t>OOONESKO</t>
  </si>
  <si>
    <t>Код субъекта РФ</t>
  </si>
  <si>
    <t>Код</t>
  </si>
  <si>
    <t xml:space="preserve"> Алтайский край</t>
  </si>
  <si>
    <t xml:space="preserve"> Краснодарский край</t>
  </si>
  <si>
    <t xml:space="preserve"> Красноярский край</t>
  </si>
  <si>
    <t xml:space="preserve"> Ставропольский край</t>
  </si>
  <si>
    <t xml:space="preserve"> Астраханская область</t>
  </si>
  <si>
    <t xml:space="preserve"> Белгородская область</t>
  </si>
  <si>
    <t xml:space="preserve"> Брянская область</t>
  </si>
  <si>
    <t xml:space="preserve"> Владимирская область</t>
  </si>
  <si>
    <t xml:space="preserve"> Волгоградская область</t>
  </si>
  <si>
    <t xml:space="preserve"> Вологодская область</t>
  </si>
  <si>
    <t xml:space="preserve"> Воронежская область</t>
  </si>
  <si>
    <t xml:space="preserve"> Нижегородская область</t>
  </si>
  <si>
    <t xml:space="preserve"> Ивановская область</t>
  </si>
  <si>
    <t xml:space="preserve"> Иркутская область</t>
  </si>
  <si>
    <t xml:space="preserve"> Республика Ингушетия</t>
  </si>
  <si>
    <t xml:space="preserve"> Тверская область</t>
  </si>
  <si>
    <t xml:space="preserve"> Калужская область</t>
  </si>
  <si>
    <t xml:space="preserve"> Кемеровская область</t>
  </si>
  <si>
    <t xml:space="preserve"> Кировская область</t>
  </si>
  <si>
    <t xml:space="preserve"> Костромская область</t>
  </si>
  <si>
    <t xml:space="preserve"> Самарская область</t>
  </si>
  <si>
    <t xml:space="preserve"> Курганская область</t>
  </si>
  <si>
    <t xml:space="preserve"> Курская область</t>
  </si>
  <si>
    <t xml:space="preserve"> Город Санкт-Петербург</t>
  </si>
  <si>
    <t xml:space="preserve"> Ленинградская область</t>
  </si>
  <si>
    <t xml:space="preserve"> Липецкая область</t>
  </si>
  <si>
    <t xml:space="preserve"> Город Москва</t>
  </si>
  <si>
    <t xml:space="preserve"> Московская область</t>
  </si>
  <si>
    <t xml:space="preserve"> Мурманская область</t>
  </si>
  <si>
    <t xml:space="preserve"> Новгородская область</t>
  </si>
  <si>
    <t xml:space="preserve"> Новосибирская область</t>
  </si>
  <si>
    <t xml:space="preserve"> Омская область</t>
  </si>
  <si>
    <t xml:space="preserve"> Оренбургская область</t>
  </si>
  <si>
    <t xml:space="preserve"> Орловская область</t>
  </si>
  <si>
    <t xml:space="preserve"> Пензенская область</t>
  </si>
  <si>
    <t xml:space="preserve"> Пермский край</t>
  </si>
  <si>
    <t xml:space="preserve"> Псковская область</t>
  </si>
  <si>
    <t xml:space="preserve"> Ростовская область</t>
  </si>
  <si>
    <t xml:space="preserve"> Рязанская область</t>
  </si>
  <si>
    <t xml:space="preserve"> Саратовская область</t>
  </si>
  <si>
    <t xml:space="preserve"> Свердловская область</t>
  </si>
  <si>
    <t xml:space="preserve"> Смоленская область</t>
  </si>
  <si>
    <t xml:space="preserve"> Тамбовская область</t>
  </si>
  <si>
    <t xml:space="preserve"> Томская область</t>
  </si>
  <si>
    <t xml:space="preserve"> Тульская область</t>
  </si>
  <si>
    <t xml:space="preserve"> Тюменская область</t>
  </si>
  <si>
    <t xml:space="preserve"> Ульяновская область</t>
  </si>
  <si>
    <t xml:space="preserve"> Челябинская область</t>
  </si>
  <si>
    <t xml:space="preserve"> Забайкальский край</t>
  </si>
  <si>
    <t xml:space="preserve"> Ярославская область</t>
  </si>
  <si>
    <t xml:space="preserve"> Республика Башкортостан</t>
  </si>
  <si>
    <t xml:space="preserve"> Республика Бурятия</t>
  </si>
  <si>
    <t xml:space="preserve"> Республика Дагестан</t>
  </si>
  <si>
    <t xml:space="preserve"> Кабардино-Балкарская Республика</t>
  </si>
  <si>
    <t xml:space="preserve"> Республика Алтай</t>
  </si>
  <si>
    <t xml:space="preserve"> Республика Калмыкия</t>
  </si>
  <si>
    <t xml:space="preserve"> Республика Карелия</t>
  </si>
  <si>
    <t xml:space="preserve"> Республика Мари Эл</t>
  </si>
  <si>
    <t xml:space="preserve"> Республика Мордовия</t>
  </si>
  <si>
    <t xml:space="preserve"> Республика Северная Осетия-Алания</t>
  </si>
  <si>
    <t xml:space="preserve"> Карачаево-Черкесская Республика</t>
  </si>
  <si>
    <t xml:space="preserve"> Республика Татарстан</t>
  </si>
  <si>
    <t xml:space="preserve"> Республика Тыва</t>
  </si>
  <si>
    <t xml:space="preserve"> Удмуртская Республика</t>
  </si>
  <si>
    <t xml:space="preserve"> Республика Хакасия</t>
  </si>
  <si>
    <t xml:space="preserve"> Чеченская Республика</t>
  </si>
  <si>
    <t xml:space="preserve"> Чувашская Республика-Чувашия</t>
  </si>
  <si>
    <t xml:space="preserve"> ИТОГО (без учета уровня напряжения)</t>
  </si>
  <si>
    <t>ДКП</t>
  </si>
  <si>
    <t xml:space="preserve"> ВН</t>
  </si>
  <si>
    <t xml:space="preserve"> СН1</t>
  </si>
  <si>
    <t xml:space="preserve"> СН2</t>
  </si>
  <si>
    <t xml:space="preserve"> НН</t>
  </si>
  <si>
    <t>ФСК до 330 кВ и выше</t>
  </si>
  <si>
    <t>ФСК - 220 кВ и ниже</t>
  </si>
  <si>
    <t>ГН для ВН</t>
  </si>
  <si>
    <t>ГН для СН1</t>
  </si>
  <si>
    <t>ГН для СН2</t>
  </si>
  <si>
    <t>Средневзвешенные значения предельных уровней нерегулируемых цен и их составляющие</t>
  </si>
  <si>
    <t>Уровень напряжения</t>
  </si>
  <si>
    <t>Одноставочный тариф на услуги по передаче электрической энергии, руб./МВт∙ч</t>
  </si>
  <si>
    <t>Дифференцированная по уровням напряжения ставка для определения расходов на оплату нормативных технологических потерь электрической энергии в электрических сетях тарифа на услуги по передаче электрической энергии, руб./МВт∙ч</t>
  </si>
  <si>
    <t>Дифференцированная по уровням напряжения ставка, отражающая удельную величину расходов на содержание электрических сетей, тарифа на услуги по передаче электрической энергии, руб./МВт</t>
  </si>
  <si>
    <t>Средневзвешенный предельный уровень нерегулируемой цены на электрическую энергию (мощность) для 1-й ценовой категории, руб./МВт∙ч</t>
  </si>
  <si>
    <t>Средневзвешенный предельный уровень нерегулируемой цены на электрическую энергию (мощность) для 2-й ценовой категории, руб./МВт∙ч</t>
  </si>
  <si>
    <t>Население и приравненные к нему категории потребителей</t>
  </si>
  <si>
    <t>3-я ценовая категория</t>
  </si>
  <si>
    <t>4-я ценовая категория</t>
  </si>
  <si>
    <t>5-я ценовая категория</t>
  </si>
  <si>
    <t>6-я ценовая категория</t>
  </si>
  <si>
    <t>ночная зона для трех и двух зон суток</t>
  </si>
  <si>
    <t>дневная зона</t>
  </si>
  <si>
    <t>полупиковая зона</t>
  </si>
  <si>
    <t>пиковая зона</t>
  </si>
  <si>
    <t>Суммарный объем фактического потребления электрической энергии по категории, МВт∙ч</t>
  </si>
  <si>
    <t>Средневзвешенный тариф, руб./МВт∙ч</t>
  </si>
  <si>
    <r>
      <t>Средневзвешенный по категории предельный уровень нерегулируемой цены на электрическую энергию (мощность), руб./МВт</t>
    </r>
    <r>
      <rPr>
        <sz val="10"/>
        <rFont val="Calibri"/>
        <family val="2"/>
        <charset val="204"/>
      </rPr>
      <t>∙</t>
    </r>
    <r>
      <rPr>
        <sz val="10"/>
        <rFont val="Arial"/>
        <family val="2"/>
        <charset val="204"/>
      </rPr>
      <t>ч</t>
    </r>
  </si>
  <si>
    <t xml:space="preserve"> в т. ч.</t>
  </si>
  <si>
    <t>Средневзвешенный по категории предельный уровень нерегулируемой цены на электрическую энергию (мощность), руб./МВт∙ч</t>
  </si>
  <si>
    <t>Средневзвешенная нерегулируемая цена на электрическую энергию (мощность), руб./МВт∙ч</t>
  </si>
  <si>
    <r>
      <t>Средневзвешенная нерегулируемая цена на электрическую энергию (мощность), руб/МВт</t>
    </r>
    <r>
      <rPr>
        <sz val="10"/>
        <rFont val="Calibri"/>
        <family val="2"/>
        <charset val="204"/>
      </rPr>
      <t>∙</t>
    </r>
    <r>
      <rPr>
        <sz val="10"/>
        <rFont val="Arial"/>
        <family val="2"/>
        <charset val="204"/>
      </rPr>
      <t>ч</t>
    </r>
  </si>
  <si>
    <t>lvl</t>
  </si>
  <si>
    <t>v1</t>
  </si>
  <si>
    <t>v2</t>
  </si>
  <si>
    <t>v3</t>
  </si>
  <si>
    <t>v4</t>
  </si>
  <si>
    <t>v5</t>
  </si>
  <si>
    <t>v6</t>
  </si>
  <si>
    <t>v7</t>
  </si>
  <si>
    <t>v8</t>
  </si>
  <si>
    <t>v9</t>
  </si>
  <si>
    <t>v10</t>
  </si>
  <si>
    <t>v11</t>
  </si>
  <si>
    <t>v12</t>
  </si>
  <si>
    <t>v13</t>
  </si>
  <si>
    <t>v14</t>
  </si>
  <si>
    <t>v15</t>
  </si>
  <si>
    <t>v16</t>
  </si>
  <si>
    <t>v17</t>
  </si>
  <si>
    <t>v18</t>
  </si>
  <si>
    <t>Фактические объёмы продажи электроэнергии и мощности на розничном рынке и её фактическая стоимость Ханты-Мансийский автономный округ</t>
  </si>
  <si>
    <t>PNVAREK1</t>
  </si>
  <si>
    <t>Отчёт ООО "НЭСКО" о разделении затрат по видам деятельности по группам ("население" и "прочие")</t>
  </si>
  <si>
    <t>Услуги по передаче</t>
  </si>
  <si>
    <t>Тариф, руб/ кВт*час (услуги по передаче)</t>
  </si>
  <si>
    <t>Прочие</t>
  </si>
  <si>
    <t>Всего за минусом п.2.1.</t>
  </si>
  <si>
    <t>ИТОГО:</t>
  </si>
  <si>
    <t>руб. без НДС</t>
  </si>
  <si>
    <t>по группе "население"</t>
  </si>
  <si>
    <t>по группе "прочие""</t>
  </si>
  <si>
    <t>Покупка электроэнергии и мощности по РД  в отношении потребления населения и приравненных к нему групп потребителей</t>
  </si>
  <si>
    <t>Номер договора  купли-продажи</t>
  </si>
  <si>
    <t>Наименование Участника ОРЭ - продавца</t>
  </si>
  <si>
    <t>Объем э/э</t>
  </si>
  <si>
    <t>Стоимость э/э</t>
  </si>
  <si>
    <t>Мощность на месяц</t>
  </si>
  <si>
    <t>Стоимость мощности</t>
  </si>
  <si>
    <t>Стоимость всего (без НДС)</t>
  </si>
  <si>
    <t>Стоимость всего (с НДС)</t>
  </si>
  <si>
    <t>Цена договора на э/э</t>
  </si>
  <si>
    <t>Сумма (без НДС)</t>
  </si>
  <si>
    <t>Сумма (с НДС)</t>
  </si>
  <si>
    <t>Цена договора на мощность</t>
  </si>
  <si>
    <t>кВт*ч</t>
  </si>
  <si>
    <t>руб./кВт*ч</t>
  </si>
  <si>
    <t>руб/.МВт</t>
  </si>
  <si>
    <t>RDN-PNVAREK1-STUMENE8-01-KP-16-E</t>
  </si>
  <si>
    <t>АО "Интер РАО - Электрогенерация"</t>
  </si>
  <si>
    <t>RDN-PNVAREK1-STUMEN10-01-KP-16-E</t>
  </si>
  <si>
    <t>ЗАО "Нижневартовская ГРЭС"</t>
  </si>
  <si>
    <t>RDN-PNVAREK1-STUMEN10-02-KP-16-E</t>
  </si>
  <si>
    <t>RDN-PNVAREK1-SLENENE1-01-KP-16-E</t>
  </si>
  <si>
    <t>ОАО "ТГК-1"</t>
  </si>
  <si>
    <t>RDN-PNVAREK1-SLENENE1-02-KP-16-E</t>
  </si>
  <si>
    <t>RDN-PNVAREK1-SLENENE1-03-KP-16-E</t>
  </si>
  <si>
    <t>RDN-PNVAREK1-SLENENE1-04-KP-16-E</t>
  </si>
  <si>
    <t>RDN-PNVAREK1-SLENENE2-01-KP-16-E</t>
  </si>
  <si>
    <t>RDN-PNVAREK1-SLENENE2-02-KP-16-E</t>
  </si>
  <si>
    <t>RDN-PNVAREK1-SLENENE2-03-KP-16-E</t>
  </si>
  <si>
    <t>RDN-PNVAREK1-SLENENE2-04-KP-16-E</t>
  </si>
  <si>
    <t>RDN-PNVAREK1-STUMENE4-01-KP-16-E</t>
  </si>
  <si>
    <t>ОАО "Фортум"</t>
  </si>
  <si>
    <t>RDN-PNVAREK1-STUMENE5-01-KP-16-E</t>
  </si>
  <si>
    <t>RDN-PNVAREK1-SNYAGAGR-01-KP-16-E</t>
  </si>
  <si>
    <t>RDN-PNVAREK1-SNYAGAGR-02-KP-16-E</t>
  </si>
  <si>
    <t>RDN-PNVAREK1-SNYAGAGR-03-KP-16-E</t>
  </si>
  <si>
    <t>RDN-PNVAREK1-SSURGGR2-01-KP-16-E</t>
  </si>
  <si>
    <t>ОАО "Э.ОН Россия"</t>
  </si>
  <si>
    <t>RDN-PNVAREK1-SSURGGR2-02-KP-16-E</t>
  </si>
  <si>
    <t>RDN-PNVAREK1-SSURGGR2-03-KP-16-E</t>
  </si>
  <si>
    <t>RDN-PNVAREK1-STUMENE7-01-KP-16-E</t>
  </si>
  <si>
    <t>ООО "ТТЭЦ"</t>
  </si>
  <si>
    <t>RDN-PNVAREK1-STUMENE1-01-KP-16-E</t>
  </si>
  <si>
    <t>ПАО "ОГК-2"</t>
  </si>
  <si>
    <t>RDN-PNVAREK1-STUMPES1-01-KP-16-E</t>
  </si>
  <si>
    <t>ПАО "Передвижная энергетика"</t>
  </si>
  <si>
    <t>RDN-PNVAREK1-SVOLGESV-01-KP-16-E</t>
  </si>
  <si>
    <t>ПАО "РусГидро"</t>
  </si>
  <si>
    <t>RDN-PNVAREK1-SVOLGESL-01-KP-16-E</t>
  </si>
  <si>
    <t>RDN-PNVAREK1-SKAMSKG1-01-KP-16-E</t>
  </si>
  <si>
    <t>Итого по ГТП ООО "НЭСКО"</t>
  </si>
  <si>
    <t>Итого сумма проведённая за весь объём э/э (мощности) по "1С Предприятие":</t>
  </si>
  <si>
    <t>процент для расп. ОРЭМ</t>
  </si>
  <si>
    <t>Директор ООО "НЭСКО"                                                                                                В.В. Эсауленко</t>
  </si>
  <si>
    <t xml:space="preserve">№ </t>
  </si>
  <si>
    <t>группы потребителей</t>
  </si>
  <si>
    <t>единицы измерения</t>
  </si>
  <si>
    <t xml:space="preserve">Население и приравненные к нему категории потребителей </t>
  </si>
  <si>
    <t>Средневзвешенный тариф на электрическую энергию</t>
  </si>
  <si>
    <t>руб./кВт·ч (с НДС)</t>
  </si>
  <si>
    <t>Полезный отпуск электрической энергии</t>
  </si>
  <si>
    <t xml:space="preserve">МВт·ч </t>
  </si>
  <si>
    <t>Необходимая валовая выручка</t>
  </si>
  <si>
    <t>тыс.руб. (с НДС)</t>
  </si>
  <si>
    <t xml:space="preserve">Сетевые организаций, покупающие электрическую энергию для компенсации потерь электрической энергии </t>
  </si>
  <si>
    <t>Средневзвешенная цена на электрическую энергию</t>
  </si>
  <si>
    <t>руб./кВт·ч (без НДС)</t>
  </si>
  <si>
    <t>2.3</t>
  </si>
  <si>
    <t>тыс.руб. (без НДС)</t>
  </si>
  <si>
    <t xml:space="preserve">Средневзвешенная цена на электрическую энергию,  в том числе с дифференциацией по максимальной  мощности  энергопринимающих устройств:
</t>
  </si>
  <si>
    <t>3.1.1</t>
  </si>
  <si>
    <t>3.1.2</t>
  </si>
  <si>
    <t>от 150 кВт  до 670 кВт</t>
  </si>
  <si>
    <t>3.1.3</t>
  </si>
  <si>
    <t>от 670 кВт  до 10 МВт</t>
  </si>
  <si>
    <t>3.1.4</t>
  </si>
  <si>
    <t>не менее 10 МВт</t>
  </si>
  <si>
    <t xml:space="preserve">Полезный отпуск электрической энергии, в том числе с дифференциацией по максимальной  мощности  энергопринимающих устройств:
</t>
  </si>
  <si>
    <t>Необходимая валовая выручка, в том числе с дифференциацией по максимальной  мощности  энергопринимающих устройств:</t>
  </si>
  <si>
    <t>3.3.1</t>
  </si>
  <si>
    <t>3.3.2</t>
  </si>
  <si>
    <t>3.3.3</t>
  </si>
  <si>
    <t>3.3.4</t>
  </si>
  <si>
    <t>ФАКТ</t>
  </si>
  <si>
    <t>Объём покупки</t>
  </si>
  <si>
    <t>т.кВтч</t>
  </si>
  <si>
    <t>Полезный отпуск</t>
  </si>
  <si>
    <t>- в т.ч. население 1,0</t>
  </si>
  <si>
    <t>в т.ч. основной</t>
  </si>
  <si>
    <t>- в т.ч. День</t>
  </si>
  <si>
    <t>- в т.ч. Ночь</t>
  </si>
  <si>
    <t>- в т.ч. население 0,7</t>
  </si>
  <si>
    <t>Выручка</t>
  </si>
  <si>
    <t>т.руб.</t>
  </si>
  <si>
    <t xml:space="preserve">Стоимость услуг по передаче </t>
  </si>
  <si>
    <t>Эффект НЭСКО</t>
  </si>
  <si>
    <t>Эффект ГЭС</t>
  </si>
  <si>
    <t>Кредиторка население</t>
  </si>
  <si>
    <t>Причины</t>
  </si>
  <si>
    <t>Потери ниже баланса</t>
  </si>
  <si>
    <t>Рост кредиторки по населению</t>
  </si>
  <si>
    <t>Информация, подлежащая раскрытию в соответствии со Стандартами раскрытия информации субъектами оптового и розничных рынков электрической энергии, утвержденными Постановлением Правительства РФ от 21.01.2004г. № 24</t>
  </si>
  <si>
    <t>ГП: ООО "Нижневартовская энергосбытовая компания"</t>
  </si>
  <si>
    <t>Субъект РФ: Тюменская область</t>
  </si>
  <si>
    <t>Договор</t>
  </si>
  <si>
    <t xml:space="preserve"> Объем , кВтч</t>
  </si>
  <si>
    <t>средневзв. тариф, руб/кВтч</t>
  </si>
  <si>
    <t>Договор № ЭС-09/414-03 от 30.10.2015</t>
  </si>
  <si>
    <t xml:space="preserve">АО "Тюменская энергосбытовая компания" </t>
  </si>
  <si>
    <t>Показатель</t>
  </si>
  <si>
    <t>Итого</t>
  </si>
  <si>
    <t>в разрезе сетевых компаний:</t>
  </si>
  <si>
    <t>ПАО "Горэлектросеть"</t>
  </si>
  <si>
    <t>Группы потребителей</t>
  </si>
  <si>
    <t>ВСЕГО:</t>
  </si>
  <si>
    <t>Объем ПО э/э, млн.кВт.ч.</t>
  </si>
  <si>
    <t>Прочие потребители с шин</t>
  </si>
  <si>
    <t>Сельско-хозяйственные товаропроизводители 
и организации потребкооперациии</t>
  </si>
  <si>
    <t xml:space="preserve">                           -      </t>
  </si>
  <si>
    <t>1.  (без единого договора)</t>
  </si>
  <si>
    <t>1.1. Промышленность</t>
  </si>
  <si>
    <t>в том числе крупнейшие потребители</t>
  </si>
  <si>
    <t>МУП "Теплоснабжение"</t>
  </si>
  <si>
    <t>ОАО "Горводоканал"</t>
  </si>
  <si>
    <t>1.2. Электрифицированный железнодорожный транспорт</t>
  </si>
  <si>
    <t>1.3. Бюджеты</t>
  </si>
  <si>
    <t xml:space="preserve">                                    в том числе</t>
  </si>
  <si>
    <t>Федеральный бюджет</t>
  </si>
  <si>
    <t>образование</t>
  </si>
  <si>
    <t>здравоохранение</t>
  </si>
  <si>
    <t>Областной бюджет</t>
  </si>
  <si>
    <t>Районный бюджет</t>
  </si>
  <si>
    <t>1.4. Непром. потребители</t>
  </si>
  <si>
    <t>1.5. Производств. сельхоз. потребители</t>
  </si>
  <si>
    <t>1.6. Население всего</t>
  </si>
  <si>
    <t>2.   ЕДИНЫЕ договоры</t>
  </si>
  <si>
    <t>Июль 2016 года</t>
  </si>
  <si>
    <t xml:space="preserve">Приложение №1 к письму б/н ДСП от 15.10.2014.  </t>
  </si>
  <si>
    <t>Форма 1. Динамика полезного отпуска за отчетный месяц и с начала текущего года нарастающим итогом.</t>
  </si>
  <si>
    <t>отчетный период  (факт)</t>
  </si>
  <si>
    <t>ВСЕГО ПО, тыс. кВтч</t>
  </si>
  <si>
    <t xml:space="preserve">                                   в том числе</t>
  </si>
  <si>
    <t>ПОКУПКА всего, тыс. кВтч;</t>
  </si>
  <si>
    <t>ПОТЕРИ всего, тыс. кВтч</t>
  </si>
  <si>
    <t>по сети ОАО "Горэлектросеть"</t>
  </si>
  <si>
    <t>по сети ООО "Нижневартовскэнергонефть"</t>
  </si>
  <si>
    <t>УСЛУГИ всего, тыс. кВтч</t>
  </si>
  <si>
    <r>
      <t xml:space="preserve">ПОТЕРИ всего, тыс. руб. </t>
    </r>
    <r>
      <rPr>
        <b/>
        <sz val="14"/>
        <color indexed="12"/>
        <rFont val="Times New Roman"/>
        <family val="1"/>
        <charset val="204"/>
      </rPr>
      <t>(без НДС)</t>
    </r>
  </si>
  <si>
    <r>
      <t>УСЛУГИ всего, тыс. руб.</t>
    </r>
    <r>
      <rPr>
        <b/>
        <sz val="14"/>
        <color indexed="12"/>
        <rFont val="Times New Roman"/>
        <family val="1"/>
        <charset val="204"/>
      </rPr>
      <t xml:space="preserve"> (без НДС)</t>
    </r>
  </si>
  <si>
    <t>образование+д/с и школы</t>
  </si>
  <si>
    <t>Городской бюджет + д/с и школы</t>
  </si>
  <si>
    <t>тыс.кВт/ч</t>
  </si>
  <si>
    <t>2016 год план</t>
  </si>
  <si>
    <t>с начала года (за 7 мес.) январь-июль   , предшествующий отчетному</t>
  </si>
  <si>
    <r>
      <t xml:space="preserve">за отчетный месяц </t>
    </r>
    <r>
      <rPr>
        <b/>
        <sz val="12"/>
        <color indexed="12"/>
        <rFont val="Times New Roman"/>
        <family val="1"/>
        <charset val="204"/>
      </rPr>
      <t xml:space="preserve">(январь) </t>
    </r>
    <r>
      <rPr>
        <b/>
        <sz val="12"/>
        <color indexed="8"/>
        <rFont val="Times New Roman"/>
        <family val="1"/>
        <charset val="204"/>
      </rPr>
      <t>оперативные</t>
    </r>
  </si>
  <si>
    <r>
      <t xml:space="preserve">за отчетный месяц </t>
    </r>
    <r>
      <rPr>
        <b/>
        <sz val="12"/>
        <color indexed="12"/>
        <rFont val="Times New Roman"/>
        <family val="1"/>
        <charset val="204"/>
      </rPr>
      <t xml:space="preserve">(февраль) </t>
    </r>
    <r>
      <rPr>
        <b/>
        <sz val="12"/>
        <color indexed="8"/>
        <rFont val="Times New Roman"/>
        <family val="1"/>
        <charset val="204"/>
      </rPr>
      <t>оперативные</t>
    </r>
  </si>
  <si>
    <r>
      <t xml:space="preserve">за отчетный месяц </t>
    </r>
    <r>
      <rPr>
        <b/>
        <sz val="12"/>
        <color indexed="12"/>
        <rFont val="Times New Roman"/>
        <family val="1"/>
        <charset val="204"/>
      </rPr>
      <t xml:space="preserve">(март) </t>
    </r>
    <r>
      <rPr>
        <b/>
        <sz val="12"/>
        <color indexed="8"/>
        <rFont val="Times New Roman"/>
        <family val="1"/>
        <charset val="204"/>
      </rPr>
      <t>оперативные</t>
    </r>
  </si>
  <si>
    <r>
      <t xml:space="preserve">за отчетный месяц </t>
    </r>
    <r>
      <rPr>
        <b/>
        <sz val="12"/>
        <color indexed="12"/>
        <rFont val="Times New Roman"/>
        <family val="1"/>
        <charset val="204"/>
      </rPr>
      <t xml:space="preserve">(апрель) </t>
    </r>
    <r>
      <rPr>
        <b/>
        <sz val="12"/>
        <color indexed="8"/>
        <rFont val="Times New Roman"/>
        <family val="1"/>
        <charset val="204"/>
      </rPr>
      <t>оперативные</t>
    </r>
  </si>
  <si>
    <r>
      <t xml:space="preserve">за отчетный месяц </t>
    </r>
    <r>
      <rPr>
        <b/>
        <sz val="12"/>
        <color indexed="12"/>
        <rFont val="Times New Roman"/>
        <family val="1"/>
        <charset val="204"/>
      </rPr>
      <t xml:space="preserve">(май) </t>
    </r>
    <r>
      <rPr>
        <b/>
        <sz val="12"/>
        <color indexed="8"/>
        <rFont val="Times New Roman"/>
        <family val="1"/>
        <charset val="204"/>
      </rPr>
      <t>оперативные</t>
    </r>
  </si>
  <si>
    <r>
      <t xml:space="preserve">за отчетный месяц </t>
    </r>
    <r>
      <rPr>
        <b/>
        <sz val="12"/>
        <color indexed="12"/>
        <rFont val="Times New Roman"/>
        <family val="1"/>
        <charset val="204"/>
      </rPr>
      <t xml:space="preserve">(июнь) </t>
    </r>
    <r>
      <rPr>
        <b/>
        <sz val="12"/>
        <color indexed="8"/>
        <rFont val="Times New Roman"/>
        <family val="1"/>
        <charset val="204"/>
      </rPr>
      <t>оперативные</t>
    </r>
  </si>
  <si>
    <r>
      <t xml:space="preserve">за отчетный месяц </t>
    </r>
    <r>
      <rPr>
        <b/>
        <sz val="12"/>
        <color indexed="12"/>
        <rFont val="Times New Roman"/>
        <family val="1"/>
        <charset val="204"/>
      </rPr>
      <t xml:space="preserve">(июль) </t>
    </r>
    <r>
      <rPr>
        <b/>
        <sz val="12"/>
        <color indexed="8"/>
        <rFont val="Times New Roman"/>
        <family val="1"/>
        <charset val="204"/>
      </rPr>
      <t>оперативные</t>
    </r>
  </si>
  <si>
    <r>
      <t xml:space="preserve">за отчетный месяц </t>
    </r>
    <r>
      <rPr>
        <b/>
        <sz val="12"/>
        <color indexed="12"/>
        <rFont val="Times New Roman"/>
        <family val="1"/>
        <charset val="204"/>
      </rPr>
      <t xml:space="preserve">(сентябрь) </t>
    </r>
    <r>
      <rPr>
        <b/>
        <sz val="12"/>
        <color indexed="8"/>
        <rFont val="Times New Roman"/>
        <family val="1"/>
        <charset val="204"/>
      </rPr>
      <t>оперативные</t>
    </r>
  </si>
  <si>
    <r>
      <t xml:space="preserve">за отчетный месяц </t>
    </r>
    <r>
      <rPr>
        <b/>
        <sz val="12"/>
        <color indexed="12"/>
        <rFont val="Times New Roman"/>
        <family val="1"/>
        <charset val="204"/>
      </rPr>
      <t xml:space="preserve">(октябрь) </t>
    </r>
    <r>
      <rPr>
        <b/>
        <sz val="12"/>
        <color indexed="8"/>
        <rFont val="Times New Roman"/>
        <family val="1"/>
        <charset val="204"/>
      </rPr>
      <t>оперативные</t>
    </r>
  </si>
  <si>
    <r>
      <t xml:space="preserve">за отчетный месяц </t>
    </r>
    <r>
      <rPr>
        <b/>
        <sz val="12"/>
        <color indexed="12"/>
        <rFont val="Times New Roman"/>
        <family val="1"/>
        <charset val="204"/>
      </rPr>
      <t xml:space="preserve">(ноябрь) </t>
    </r>
    <r>
      <rPr>
        <b/>
        <sz val="12"/>
        <color indexed="8"/>
        <rFont val="Times New Roman"/>
        <family val="1"/>
        <charset val="204"/>
      </rPr>
      <t>оперативные</t>
    </r>
  </si>
  <si>
    <r>
      <t xml:space="preserve">за отчетный месяц </t>
    </r>
    <r>
      <rPr>
        <b/>
        <sz val="12"/>
        <color indexed="12"/>
        <rFont val="Times New Roman"/>
        <family val="1"/>
        <charset val="204"/>
      </rPr>
      <t xml:space="preserve">(декабрь) </t>
    </r>
    <r>
      <rPr>
        <b/>
        <sz val="12"/>
        <color indexed="8"/>
        <rFont val="Times New Roman"/>
        <family val="1"/>
        <charset val="204"/>
      </rPr>
      <t>оперативные</t>
    </r>
  </si>
  <si>
    <t>с начала года (за 8 мес.) январь-август</t>
  </si>
  <si>
    <r>
      <t>за аналогичный период предыдущего года (</t>
    </r>
    <r>
      <rPr>
        <b/>
        <sz val="12"/>
        <rFont val="Times New Roman"/>
        <family val="1"/>
        <charset val="204"/>
      </rPr>
      <t>факт)</t>
    </r>
  </si>
  <si>
    <r>
      <t>за 7 мес. отчетного года  (</t>
    </r>
    <r>
      <rPr>
        <b/>
        <sz val="12"/>
        <rFont val="Times New Roman"/>
        <family val="1"/>
        <charset val="204"/>
      </rPr>
      <t>план)</t>
    </r>
  </si>
  <si>
    <r>
      <t xml:space="preserve">за 7 мес. отчетного года  </t>
    </r>
    <r>
      <rPr>
        <b/>
        <sz val="12"/>
        <rFont val="Times New Roman"/>
        <family val="1"/>
        <charset val="204"/>
      </rPr>
      <t>(факт)</t>
    </r>
  </si>
  <si>
    <t>% факт к плану  откл. (-/+)</t>
  </si>
  <si>
    <t>% факт / к факту аналогичного периода предыдущего года откл. (-/+)</t>
  </si>
  <si>
    <t>аналогичный период предыдущего года (факт)</t>
  </si>
  <si>
    <t>отчетный период  (план)</t>
  </si>
  <si>
    <r>
      <t>за 8 мес. отчетного года  (</t>
    </r>
    <r>
      <rPr>
        <b/>
        <sz val="12"/>
        <rFont val="Times New Roman"/>
        <family val="1"/>
        <charset val="204"/>
      </rPr>
      <t>план)</t>
    </r>
  </si>
  <si>
    <r>
      <t xml:space="preserve">за 8 мес. отчетного года  </t>
    </r>
    <r>
      <rPr>
        <b/>
        <sz val="12"/>
        <rFont val="Times New Roman"/>
        <family val="1"/>
        <charset val="204"/>
      </rPr>
      <t>(факт)</t>
    </r>
  </si>
  <si>
    <t>Городской бюджет</t>
  </si>
  <si>
    <t xml:space="preserve">Приложение № 2 к письму б/н ДСП от 15.10.2014 </t>
  </si>
  <si>
    <t>Форма 2. Динамика реализации энергоресурсов</t>
  </si>
  <si>
    <t>Электроэнергия без учёта потерь</t>
  </si>
  <si>
    <t xml:space="preserve"> руб.</t>
  </si>
  <si>
    <t>Период</t>
  </si>
  <si>
    <r>
      <t xml:space="preserve">Дебет </t>
    </r>
    <r>
      <rPr>
        <i/>
        <sz val="9"/>
        <color indexed="8"/>
        <rFont val="Times New Roman"/>
        <family val="1"/>
        <charset val="204"/>
      </rPr>
      <t>(тыс.руб. с НДС)</t>
    </r>
  </si>
  <si>
    <r>
      <t xml:space="preserve">Кредит </t>
    </r>
    <r>
      <rPr>
        <i/>
        <sz val="9"/>
        <color indexed="8"/>
        <rFont val="Times New Roman"/>
        <family val="1"/>
        <charset val="204"/>
      </rPr>
      <t>(тыс.руб. с НДС)</t>
    </r>
  </si>
  <si>
    <t>Начисление (выручка), (тыс.руб. с НДС)</t>
  </si>
  <si>
    <t>% отклонения</t>
  </si>
  <si>
    <t>Оплата</t>
  </si>
  <si>
    <t>% оплаты от факта начисления</t>
  </si>
  <si>
    <t>% оплаты по плану</t>
  </si>
  <si>
    <t>план</t>
  </si>
  <si>
    <t>факт</t>
  </si>
  <si>
    <t>С начала года</t>
  </si>
  <si>
    <t>Пояснение:</t>
  </si>
  <si>
    <t>Объём фактической покупки э/э в январе от плана составил 94%, что привело к отклонению факта начисления от плана</t>
  </si>
  <si>
    <t>* в случае невыполнения плановых показателей, а также в случае неоплаты более чем 3% от потребления предоставлять расшифровку по группам потребителей с пояснением причин отклонений</t>
  </si>
  <si>
    <t>Расшифровка</t>
  </si>
  <si>
    <t xml:space="preserve">1. </t>
  </si>
  <si>
    <t>без начислений по МагнитЭнерго</t>
  </si>
  <si>
    <t>Другие энергоснабжающие организации всего, тыс. кВтч;</t>
  </si>
  <si>
    <t xml:space="preserve">Информация, направленная гарантирующими поставщиками за расчетный период </t>
  </si>
  <si>
    <t>по форме Приложения 104 к Регламенту финансовых расчетов на оптовом рынке (приложение № 16 к ДОП)</t>
  </si>
  <si>
    <t>Полезный отпуск электроэнергии, реализуемой населению и приравненным к нему категориям потребителей</t>
  </si>
  <si>
    <t>Объем электрической энергии, тыс. кВт*ч</t>
  </si>
  <si>
    <t>Стоимость электрической энергии с НДС, тыс руб.</t>
  </si>
  <si>
    <t>Стоимость электрической энергии без НДС, тыс. руб.</t>
  </si>
  <si>
    <t>Объем электрической энергии потребителей, осуществляющих оплату по одноставочному тарифу,
тыс. кВт*ч</t>
  </si>
  <si>
    <t>Стоимость электрической энергии потребителей, осуществляющих оплату по одноставочному тарифу с НДС,
тыс. руб.</t>
  </si>
  <si>
    <t>Стоимость электрической энергии потребителей, осуществляющих оплату по одноставочному тарифу без НДС,
тыс. руб.</t>
  </si>
  <si>
    <t>Объем электрической энергии потребителей, осуществляющих оплату по зонным тарифам, тыс. кВт*ч</t>
  </si>
  <si>
    <t>Стоимость электрической энергии потребителей, осуществляющих оплату по зонным тарифам с НДС, тыс. руб.</t>
  </si>
  <si>
    <t>Стоимость электрической энергии потребителей, осуществляющих оплату по зонным тарифам без НДС, тыс. руб.</t>
  </si>
  <si>
    <t>pk</t>
  </si>
  <si>
    <t>sn</t>
  </si>
  <si>
    <t>КодСтр</t>
  </si>
  <si>
    <t/>
  </si>
  <si>
    <t>Полезный отпуск электроэнергии и мощности, реализуемой по нерегулируемым ценам по договору энергоснабжения</t>
  </si>
  <si>
    <t>Стоимость электрической энергии (мощности) по 3-6 ценовой категории без учета стоимости отклонений без НДС, тыс. руб.</t>
  </si>
  <si>
    <t>Стоимость отклонений фактических объемов потребления электрической энергии по 5 и 6 ценовой категории от плановых (договорных) значений без НДС, тыс. руб.</t>
  </si>
  <si>
    <t>Объем электрической энергии (мощности) потребителей, тыс. кВт*ч</t>
  </si>
  <si>
    <t>Стоимость электрической энергии (мощности) потребителей без НДС, тыс. руб.</t>
  </si>
  <si>
    <t>Объем электрической энергии потребителей, тыс. кВт*ч</t>
  </si>
  <si>
    <t>Стоимость электрической энергии потребителей без НДС, тыс. руб.</t>
  </si>
  <si>
    <t>Объем электрической мощности, МВт</t>
  </si>
  <si>
    <t>Стоимость электрической мощности без НДС, тыс. руб.</t>
  </si>
  <si>
    <t>Объем мощности услуг по передаче электроэнергии потребителей, МВт</t>
  </si>
  <si>
    <t xml:space="preserve">Стоимость мощности услуг по передаче электроэнергии потребителей без НДС, тыс. руб. </t>
  </si>
  <si>
    <t>в том числе: </t>
  </si>
  <si>
    <t>ck</t>
  </si>
  <si>
    <t>gc</t>
  </si>
  <si>
    <t>v19</t>
  </si>
  <si>
    <t>V20</t>
  </si>
  <si>
    <t>V21</t>
  </si>
  <si>
    <t>V22</t>
  </si>
  <si>
    <t>V23</t>
  </si>
  <si>
    <t>V24</t>
  </si>
  <si>
    <t>V25</t>
  </si>
  <si>
    <t>V26</t>
  </si>
  <si>
    <t>V27</t>
  </si>
  <si>
    <t>V28</t>
  </si>
  <si>
    <t>V29</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</si>
  <si>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</si>
  <si>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</si>
  <si>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</si>
  <si>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</si>
  <si>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</si>
  <si>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</si>
  <si>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</si>
  <si>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</si>
  <si>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</si>
  <si>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</si>
  <si>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</si>
  <si>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</si>
  <si>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</si>
  <si>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</si>
  <si>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</si>
  <si>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</si>
  <si>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</si>
  <si>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</si>
  <si>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</si>
  <si>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</si>
  <si>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</si>
  <si>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</si>
  <si>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</si>
  <si>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</si>
  <si>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</si>
  <si>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</si>
  <si>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</si>
  <si>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</si>
  <si>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</si>
  <si>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</si>
  <si>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</si>
  <si>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</si>
  <si>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</si>
  <si>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</si>
  <si>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</si>
  <si>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</si>
  <si>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</si>
  <si>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</si>
  <si>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</si>
  <si>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</si>
  <si>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</si>
  <si>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</si>
  <si>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</si>
  <si>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</si>
  <si>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</si>
  <si>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</si>
  <si>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</si>
  <si>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</si>
  <si>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</si>
  <si>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</si>
  <si>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</si>
  <si>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</si>
  <si>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</si>
  <si>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</si>
  <si>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</si>
  <si>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</si>
  <si>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</si>
  <si>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</si>
  <si>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</si>
  <si>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</si>
  <si>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</si>
  <si>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</si>
  <si>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</si>
  <si>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</si>
  <si>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</si>
  <si>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</si>
  <si>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</si>
  <si>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</si>
  <si>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</si>
  <si>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</si>
  <si>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</si>
  <si>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</si>
  <si>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</si>
  <si>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</si>
  <si>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</si>
  <si>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</si>
  <si>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</si>
  <si>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</si>
  <si>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</si>
  <si>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V109</t>
  </si>
  <si>
    <t>V110</t>
  </si>
  <si>
    <t>V111</t>
  </si>
  <si>
    <t>V112</t>
  </si>
  <si>
    <t>Настоящим ООО «НЭСКО» раскрывает следующую информацию:</t>
  </si>
  <si>
    <t>источник: ООО «НЭСКО»</t>
  </si>
  <si>
    <t>млн. кВт.ч</t>
  </si>
  <si>
    <t>Сельскохозяйственные товаропроизводители  и организации потребкооперации</t>
  </si>
  <si>
    <t>млн. кВт</t>
  </si>
  <si>
    <r>
      <t xml:space="preserve">по теме: </t>
    </r>
    <r>
      <rPr>
        <sz val="7.5"/>
        <color indexed="8"/>
        <rFont val="Verdana"/>
        <family val="2"/>
        <charset val="204"/>
      </rPr>
      <t xml:space="preserve">[Электроэнергетика] [ОТРАСЛИ ЭКОНОМИКИ] </t>
    </r>
  </si>
  <si>
    <t>Сетевая организация                            ПАО «Горэлектросеть»</t>
  </si>
  <si>
    <t xml:space="preserve">Фактический полезный отпуск электроэнергии </t>
  </si>
  <si>
    <t>Фактический отпуск мощности</t>
  </si>
  <si>
    <t>Договор : № 01001,11 от "01" января 2011 г,</t>
  </si>
  <si>
    <t>Сетевая организация: ОАО "Горэлектросеть"</t>
  </si>
  <si>
    <t>Сбытовая организация: ООО "НЭСКО"</t>
  </si>
  <si>
    <t>АКТ</t>
  </si>
  <si>
    <t>снятия показаний приборов учета электрической энергии</t>
  </si>
  <si>
    <t>№ дог,</t>
  </si>
  <si>
    <t>Наименование потребителя</t>
  </si>
  <si>
    <t>Приз   Уровень нак      напряжения расч</t>
  </si>
  <si>
    <t>Номер счетчика</t>
  </si>
  <si>
    <t>Договорная цифра</t>
  </si>
  <si>
    <t>Показания на начало месяца</t>
  </si>
  <si>
    <t>Показания на конец месяца</t>
  </si>
  <si>
    <t>Разница</t>
  </si>
  <si>
    <t>Коэффициент трансф,</t>
  </si>
  <si>
    <t>Потери, %</t>
  </si>
  <si>
    <t>Потери, кВт*ч</t>
  </si>
  <si>
    <t>Потери в ТП, кВт*ч</t>
  </si>
  <si>
    <t>Перерасчет, кВт*ч</t>
  </si>
  <si>
    <t>ИТОГО, кВт*ч</t>
  </si>
  <si>
    <t>ОАО"Городские электрические сети"</t>
  </si>
  <si>
    <t>d</t>
  </si>
  <si>
    <t>n</t>
  </si>
  <si>
    <t>295778</t>
  </si>
  <si>
    <t>60</t>
  </si>
  <si>
    <t>030784</t>
  </si>
  <si>
    <t>770844</t>
  </si>
  <si>
    <t>80</t>
  </si>
  <si>
    <t>121027</t>
  </si>
  <si>
    <t>053494</t>
  </si>
  <si>
    <t>120</t>
  </si>
  <si>
    <t>281163</t>
  </si>
  <si>
    <t>10007564</t>
  </si>
  <si>
    <t>13</t>
  </si>
  <si>
    <t>ОАО "Продтовары"</t>
  </si>
  <si>
    <t>612080828</t>
  </si>
  <si>
    <t>312076249</t>
  </si>
  <si>
    <t>ООО "Северный причал"</t>
  </si>
  <si>
    <t>121173</t>
  </si>
  <si>
    <t>Межрайонная инспекция Федеральной налоговой службы №6 по ,Ханты-Мансийскому автономному округу - Югре</t>
  </si>
  <si>
    <t>11000453</t>
  </si>
  <si>
    <t>9005901</t>
  </si>
  <si>
    <t>11000519</t>
  </si>
  <si>
    <t>10009580</t>
  </si>
  <si>
    <t>30</t>
  </si>
  <si>
    <t>10009633</t>
  </si>
  <si>
    <t>Закрытое акционерное общество" Коммерческий Центр" "Обьсантехмонтаж"</t>
  </si>
  <si>
    <r>
      <t xml:space="preserve">d              </t>
    </r>
    <r>
      <rPr>
        <sz val="8"/>
        <rFont val="Arial"/>
        <family val="2"/>
        <charset val="204"/>
      </rPr>
      <t>СН-2</t>
    </r>
  </si>
  <si>
    <t>ООО "Эскор"</t>
  </si>
  <si>
    <t>ГСК"Росич-автосервис"</t>
  </si>
  <si>
    <t>123639</t>
  </si>
  <si>
    <t>2587</t>
  </si>
  <si>
    <t>03004333</t>
  </si>
  <si>
    <t>40</t>
  </si>
  <si>
    <t>967382</t>
  </si>
  <si>
    <t>05002353</t>
  </si>
  <si>
    <t>447773</t>
  </si>
  <si>
    <t>50</t>
  </si>
  <si>
    <t>23</t>
  </si>
  <si>
    <t>Бюджетное учреждение среднего профессионального образования Ханты-Мансийского автономного округа - Югры"Нижне</t>
  </si>
  <si>
    <t>вартовский профессиональный колледж"</t>
  </si>
  <si>
    <t>40597</t>
  </si>
  <si>
    <t>110221</t>
  </si>
  <si>
    <t>2987        Индивидуальный предприниматель Попа В,П,</t>
  </si>
  <si>
    <t>03004760</t>
  </si>
  <si>
    <t>2988        Индивидуальный предприниматель Пигур Я,Р,</t>
  </si>
  <si>
    <t>09304605</t>
  </si>
  <si>
    <r>
      <t xml:space="preserve">2989        </t>
    </r>
    <r>
      <rPr>
        <i/>
        <sz val="8"/>
        <rFont val="Arial"/>
        <family val="2"/>
        <charset val="204"/>
      </rPr>
      <t>Закрытое акционерное общество "ТАНДЕР"</t>
    </r>
  </si>
  <si>
    <t>050335</t>
  </si>
  <si>
    <t>2990         Предприниматель Адинец В,И,</t>
  </si>
  <si>
    <t>0704111443</t>
  </si>
  <si>
    <r>
      <t xml:space="preserve">2992        </t>
    </r>
    <r>
      <rPr>
        <i/>
        <sz val="8"/>
        <rFont val="Arial"/>
        <family val="2"/>
        <charset val="204"/>
      </rPr>
      <t>Закрытое акционерное общество "Центр финансовых расчетов"</t>
    </r>
  </si>
  <si>
    <t>---</t>
  </si>
  <si>
    <r>
      <t xml:space="preserve">2993        </t>
    </r>
    <r>
      <rPr>
        <i/>
        <sz val="8"/>
        <rFont val="Arial"/>
        <family val="2"/>
        <charset val="204"/>
      </rPr>
      <t>Закрытое акционерное общество "Центр финансовых расчетов"</t>
    </r>
  </si>
  <si>
    <r>
      <t xml:space="preserve">2994        </t>
    </r>
    <r>
      <rPr>
        <i/>
        <sz val="8"/>
        <rFont val="Arial"/>
        <family val="2"/>
        <charset val="204"/>
      </rPr>
      <t>Закрытое акционерное общество "Центр финансовых расчетов"</t>
    </r>
  </si>
  <si>
    <r>
      <t xml:space="preserve">2995        </t>
    </r>
    <r>
      <rPr>
        <i/>
        <sz val="8"/>
        <rFont val="Arial"/>
        <family val="2"/>
        <charset val="204"/>
      </rPr>
      <t>ОАО "Горэлектросеть"</t>
    </r>
  </si>
  <si>
    <r>
      <t xml:space="preserve">3121        </t>
    </r>
    <r>
      <rPr>
        <i/>
        <sz val="8"/>
        <rFont val="Arial"/>
        <family val="2"/>
        <charset val="204"/>
      </rPr>
      <t>ЗАО "НТД - Сервис - Сибирь"</t>
    </r>
  </si>
  <si>
    <t>32049</t>
  </si>
  <si>
    <r>
      <t xml:space="preserve">3122        </t>
    </r>
    <r>
      <rPr>
        <i/>
        <sz val="8"/>
        <rFont val="Arial"/>
        <family val="2"/>
        <charset val="204"/>
      </rPr>
      <t>ООО "Фут"</t>
    </r>
  </si>
  <si>
    <t>70051</t>
  </si>
  <si>
    <t>Сетевая организация:____________________________________________/_____________________________</t>
  </si>
  <si>
    <r>
      <t>Сбытовая организация:___________________________________________/</t>
    </r>
    <r>
      <rPr>
        <b/>
        <sz val="12"/>
        <rFont val="Arial"/>
        <family val="2"/>
        <charset val="204"/>
      </rPr>
      <t>В.В. Эсауленко</t>
    </r>
  </si>
  <si>
    <t>Услуги ОАО "Горэлектросеть"</t>
  </si>
  <si>
    <t>Ед.изм.</t>
  </si>
  <si>
    <t>СН-I</t>
  </si>
  <si>
    <t>СН-II</t>
  </si>
  <si>
    <t>в т.ч. с коэф. "1"</t>
  </si>
  <si>
    <t>в т.ч. с коэф. "0,7"</t>
  </si>
  <si>
    <t>ед. изм.</t>
  </si>
  <si>
    <t>в т.ч. население и  приравненные к нему категории потребителей</t>
  </si>
  <si>
    <t>млн.кВт*ч</t>
  </si>
  <si>
    <t>Объём услуг по передаче э/э</t>
  </si>
  <si>
    <t>Стоимость услуг по передаче э/э</t>
  </si>
  <si>
    <t>Сбор</t>
  </si>
  <si>
    <t>млн.руб. с НДС</t>
  </si>
  <si>
    <t xml:space="preserve"> 2016 года</t>
  </si>
  <si>
    <t>Реализация : абсолютные и относительные показатели</t>
  </si>
  <si>
    <t>Покупка:</t>
  </si>
  <si>
    <t>процент потерь</t>
  </si>
  <si>
    <t>в т.ч.  Полезный отпуск</t>
  </si>
  <si>
    <t>бюджет</t>
  </si>
  <si>
    <t>Стоимость покупной э/э</t>
  </si>
  <si>
    <t>млн.руб. без НДС</t>
  </si>
  <si>
    <t>Товарная выручка с потерями</t>
  </si>
  <si>
    <t>Сбор без учёта потерь</t>
  </si>
  <si>
    <t>2016 года факт</t>
  </si>
  <si>
    <t>3,30,5</t>
  </si>
  <si>
    <t>3,30,7</t>
  </si>
  <si>
    <t>3,32,7</t>
  </si>
  <si>
    <t>по тарифу население</t>
  </si>
  <si>
    <t>Потребители, приравненные к населению дневная зона</t>
  </si>
  <si>
    <t>Потребители, приравненные к населению ночная зона</t>
  </si>
  <si>
    <t>3,35,7</t>
  </si>
  <si>
    <t>АКТ ОБ ОКАЗАНИИ УСЛУГ ПО ПЕРЕДАЧЕ ЭЛЕКТРЧЕСКОЙ ЭНЕРГИИ ПО СЕТИ СЕТЕВОЙ</t>
  </si>
  <si>
    <t xml:space="preserve">ОРГАНИЗАЦИИ ЗА РАСЧЕТНЫЙ ПЕРИОД </t>
  </si>
  <si>
    <t>г. Нижневартовск</t>
  </si>
  <si>
    <r>
      <t xml:space="preserve">      Публичное акционерное общество "Городские электрические сети"</t>
    </r>
    <r>
      <rPr>
        <sz val="10"/>
        <rFont val="Tahoma"/>
        <family val="2"/>
        <charset val="204"/>
      </rPr>
      <t>, именуемое в дальнейшем Сетевая организация, в лице Генерального директора Елина Юрия Алексеевича, действующего на основании Устава, и</t>
    </r>
  </si>
  <si>
    <r>
      <t xml:space="preserve">      Общество с ограниченной ответствнностью "Нижневартовская энергосбытовая компания",</t>
    </r>
    <r>
      <rPr>
        <sz val="10"/>
        <rFont val="Tahoma"/>
        <family val="2"/>
        <charset val="204"/>
      </rPr>
      <t xml:space="preserve"> именуемое в дальнейшем "Сбытовая организация", в лице директора Эсауленко Валерия Васильевича, действующего на основании доверенности Дв-Н-2015-0037 от "12" февраля 2015 г., с другой стороны, совместно именуемые </t>
    </r>
    <r>
      <rPr>
        <b/>
        <sz val="10"/>
        <rFont val="Tahoma"/>
        <family val="2"/>
        <charset val="204"/>
      </rPr>
      <t>"Стороны",</t>
    </r>
    <r>
      <rPr>
        <sz val="10"/>
        <rFont val="Tahoma"/>
        <family val="2"/>
        <charset val="204"/>
      </rPr>
      <t xml:space="preserve"> оформили и подписали настоящий Акт об оказании услуг по передаче электрической энергии по сети Сетевой организации о нижеследующем:</t>
    </r>
  </si>
  <si>
    <t>НЕТ</t>
  </si>
  <si>
    <t>Сетевая организация:</t>
  </si>
  <si>
    <t>Сбытовая организация:</t>
  </si>
  <si>
    <t>ООО "НЭСКО"</t>
  </si>
  <si>
    <t>Генеральный директор</t>
  </si>
  <si>
    <t>Директор</t>
  </si>
  <si>
    <t>_______________________Ю.А. Елин</t>
  </si>
  <si>
    <t>___________________В.В. Эсауленко</t>
  </si>
  <si>
    <t>МП</t>
  </si>
  <si>
    <t>1.11.</t>
  </si>
  <si>
    <t>СН-2 К0,7</t>
  </si>
  <si>
    <t>3,27,7</t>
  </si>
  <si>
    <t>v42</t>
  </si>
  <si>
    <t>Объем потребления электрической энергии потребителями 1-й ценовой категории, МВт∙ч</t>
  </si>
  <si>
    <t>Объем потребления электрической энергии потребителями 2-й ценовой категории, МВт∙ч</t>
  </si>
  <si>
    <t>v72</t>
  </si>
  <si>
    <t>2018</t>
  </si>
  <si>
    <t>мощность (генераторная) 4 ЦК  от 670 кВт-10</t>
  </si>
  <si>
    <t>договор 1892</t>
  </si>
  <si>
    <t>3,36,7</t>
  </si>
  <si>
    <t>3,36,11</t>
  </si>
  <si>
    <t>3,37,7</t>
  </si>
  <si>
    <t>3,37,11</t>
  </si>
  <si>
    <t>3,36,16</t>
  </si>
  <si>
    <t>3,37,16</t>
  </si>
  <si>
    <t>3,38,7</t>
  </si>
  <si>
    <t xml:space="preserve">мощность (сетевая) 4 ЦК </t>
  </si>
  <si>
    <t>3,33,7</t>
  </si>
  <si>
    <t>мощность (сетевая) 4 ЦК</t>
  </si>
  <si>
    <t>3,40,16</t>
  </si>
  <si>
    <t>3,41,16</t>
  </si>
  <si>
    <t>3,43,16</t>
  </si>
  <si>
    <t>3,42,16</t>
  </si>
  <si>
    <t>мощность от 670 до 10 МВт</t>
  </si>
  <si>
    <t>3,44,7</t>
  </si>
  <si>
    <t>3,45,7</t>
  </si>
  <si>
    <t>генераторная</t>
  </si>
  <si>
    <t>сетевая</t>
  </si>
  <si>
    <t>3,40,11</t>
  </si>
  <si>
    <t>3,41,11</t>
  </si>
  <si>
    <t>3,42,11</t>
  </si>
  <si>
    <t>3,43,11</t>
  </si>
  <si>
    <t>3,39,7</t>
  </si>
  <si>
    <t>3,34,7</t>
  </si>
  <si>
    <t>Услуги АО ЮРЭСК</t>
  </si>
  <si>
    <t>АО "ЮРЭСК"</t>
  </si>
  <si>
    <t>Потери в сетях АО "ЮРЭСК"</t>
  </si>
  <si>
    <t>Объём услуг по передаче э/э АО "ЮРЭСК"</t>
  </si>
  <si>
    <t>по сети АО "ЮРЭСК"</t>
  </si>
  <si>
    <t>4,31,6</t>
  </si>
  <si>
    <t>Договор № КП-09/426 от 20.10.2016</t>
  </si>
  <si>
    <t>зарегулированно</t>
  </si>
  <si>
    <t>Отчет в СТС</t>
  </si>
  <si>
    <t>Поступление электроэнергии в сеть</t>
  </si>
  <si>
    <t>Потери электроэнергии:</t>
  </si>
  <si>
    <t>то же в %</t>
  </si>
  <si>
    <t>Объем продаж электроэнергии, всего:</t>
  </si>
  <si>
    <t>тыс.руб.</t>
  </si>
  <si>
    <t>Объем продаж электроэнергии потребителям:</t>
  </si>
  <si>
    <t>4.1.1.</t>
  </si>
  <si>
    <t xml:space="preserve">                     начисление</t>
  </si>
  <si>
    <t>4.1.2.</t>
  </si>
  <si>
    <t xml:space="preserve">                        оплата</t>
  </si>
  <si>
    <t>4.1.3.</t>
  </si>
  <si>
    <t>% оплаты от начисления</t>
  </si>
  <si>
    <t>Объем продаж электроэнергии для компенсации потерь:</t>
  </si>
  <si>
    <t>4.2.1.</t>
  </si>
  <si>
    <t>4.2.2.</t>
  </si>
  <si>
    <t>оплата</t>
  </si>
  <si>
    <t>4.2.3.</t>
  </si>
  <si>
    <t>Расходы на покупку электроэнергии</t>
  </si>
  <si>
    <t>Расходы на услуги по передаче</t>
  </si>
  <si>
    <t>НВВ сбыта электроэнергии</t>
  </si>
  <si>
    <t>Сбытовая надбавка</t>
  </si>
  <si>
    <t>коп/кВтч</t>
  </si>
  <si>
    <t xml:space="preserve">* отправлять до 20 числа на адрес: </t>
  </si>
  <si>
    <t>office@gesnv.ru</t>
  </si>
  <si>
    <t>mochalina@id-suenco.ru</t>
  </si>
  <si>
    <t>Потери в сетях ОАО "Черногорэнерго"</t>
  </si>
  <si>
    <t xml:space="preserve"> дифференцированные по двум зонам суток* по СН-1</t>
  </si>
  <si>
    <t>Объём услуг по передаче э/э ОАО "Черногорэнерго"</t>
  </si>
  <si>
    <t>='Шаблон 46 ГП'!A8:P8</t>
  </si>
  <si>
    <t>Структура потребления электрической энергии</t>
  </si>
  <si>
    <t>Общество с ограниченной ответственностью "Нижневартовская Энергосбытовая компания" (ООО "НЭСКО")</t>
  </si>
  <si>
    <t>Направления отпуска</t>
  </si>
  <si>
    <t>Отпуск электрической энергии за отчетный месяц, тыс. кВт∙ч</t>
  </si>
  <si>
    <t>электрической энергии по видам экономической деятельности потребителей (по ОКВЭД), категориям потребителей</t>
  </si>
  <si>
    <t>ОКВЭД</t>
  </si>
  <si>
    <r>
      <t>строки</t>
    </r>
    <r>
      <rPr>
        <sz val="9"/>
        <color theme="1"/>
        <rFont val="Garamond"/>
        <family val="1"/>
        <charset val="204"/>
      </rPr>
      <t>*</t>
    </r>
    <r>
      <rPr>
        <b/>
        <sz val="9"/>
        <color theme="1"/>
        <rFont val="Garamond"/>
        <family val="1"/>
        <charset val="204"/>
      </rPr>
      <t xml:space="preserve"> </t>
    </r>
  </si>
  <si>
    <t>Сельское хозяйство, лесное хозяйство, охота, рыболовство и рыбоводство</t>
  </si>
  <si>
    <t>Раздел А</t>
  </si>
  <si>
    <t>01, 02, 03</t>
  </si>
  <si>
    <t>Рыболовство и рыбоводство</t>
  </si>
  <si>
    <t>Добыча полезных ископаемых</t>
  </si>
  <si>
    <t>Раздел В</t>
  </si>
  <si>
    <t>в том числе потребители с потреблением электроэнергии</t>
  </si>
  <si>
    <t>120 млн. кВт∙ч в год и выше:</t>
  </si>
  <si>
    <t>Потребитель 1</t>
  </si>
  <si>
    <t>**</t>
  </si>
  <si>
    <t>Потребитель 2</t>
  </si>
  <si>
    <t xml:space="preserve">… </t>
  </si>
  <si>
    <t xml:space="preserve">Обрабатывающие производства </t>
  </si>
  <si>
    <t>Раздел С</t>
  </si>
  <si>
    <t xml:space="preserve">Обработка древесины и производство изделий из дерева и пробки, кроме мебели, производство изделий из соломки и материалов для плетения </t>
  </si>
  <si>
    <t>16, 17</t>
  </si>
  <si>
    <t>Производство бумаги и бумажных изделий</t>
  </si>
  <si>
    <t>……</t>
  </si>
  <si>
    <t xml:space="preserve">Производство кокса и нефтепродуктов </t>
  </si>
  <si>
    <t>Производство химических веществ и химических продуктов</t>
  </si>
  <si>
    <t>Производство металлургическое</t>
  </si>
  <si>
    <t>…….</t>
  </si>
  <si>
    <t>Производство компьютеров, электронных и оптических изделий</t>
  </si>
  <si>
    <t>26, 27</t>
  </si>
  <si>
    <t>Производство электрического оборудования</t>
  </si>
  <si>
    <t>Производство машин и оборудования не включенных в другие</t>
  </si>
  <si>
    <t>группировки</t>
  </si>
  <si>
    <t>Производство автотранспортных средств, прицепов и полуприцепов</t>
  </si>
  <si>
    <t>29, 30</t>
  </si>
  <si>
    <t>Производство прочих транспортных средств и оборудования</t>
  </si>
  <si>
    <t>Обеспечение электрической энергией, газом и паром, кондиционирование воздуха</t>
  </si>
  <si>
    <t>Раздел D                35</t>
  </si>
  <si>
    <t>Водоснабжение; водоотведение, организация сбора и утилизации отходов, деятельность по ликвидации загрязнений</t>
  </si>
  <si>
    <t>Раздел E             36 – 39</t>
  </si>
  <si>
    <t xml:space="preserve">Строительство </t>
  </si>
  <si>
    <t>Раздел F</t>
  </si>
  <si>
    <t>41 - 43</t>
  </si>
  <si>
    <t xml:space="preserve">Транспортировка и хранение </t>
  </si>
  <si>
    <t>Раздел H</t>
  </si>
  <si>
    <t>49 – 53</t>
  </si>
  <si>
    <t>Деятельность в области информации и связи</t>
  </si>
  <si>
    <t>Раздел J</t>
  </si>
  <si>
    <t>58 - 63</t>
  </si>
  <si>
    <t xml:space="preserve">Деятельность железнодорожного транспорта </t>
  </si>
  <si>
    <t>49.1, 49.2, 49.31.1</t>
  </si>
  <si>
    <t xml:space="preserve">Деятельность городского электрического транспорта </t>
  </si>
  <si>
    <t>49.31.22, 49.31.23, 49.31.24, 49.31.25</t>
  </si>
  <si>
    <t>Деятельность трубопроводного транспорта</t>
  </si>
  <si>
    <t>49.5</t>
  </si>
  <si>
    <t>Торговля оптовая и розничная; ремонт автотранспортных средств и мотоциклов</t>
  </si>
  <si>
    <t>Раздел G            45, 46, 47</t>
  </si>
  <si>
    <t>Прочие виды экономической деятельности, не вошедшие в вышеперечисленные группировки</t>
  </si>
  <si>
    <t>Население и приравненные к нему группы потребителей</t>
  </si>
  <si>
    <r>
      <t>Полезный отпуск потребителям, всего</t>
    </r>
    <r>
      <rPr>
        <sz val="9"/>
        <color theme="1"/>
        <rFont val="Garamond"/>
        <family val="1"/>
        <charset val="204"/>
      </rPr>
      <t xml:space="preserve"> </t>
    </r>
  </si>
  <si>
    <t>(строки 10100 + 10200 + 10300 + 10400 +10440 + 10500 + 10610 + 10620 + 10510 +10700 + 10800)</t>
  </si>
  <si>
    <t>*   В соответствии с макетом 10112 «Отпуск электроэнергии потребителям» (код указан при наличии в макете).</t>
  </si>
  <si>
    <t>** В ячейках указывается код ОКВЭД при заполнении данных по конкретному потребителю.</t>
  </si>
  <si>
    <t xml:space="preserve">____________             _____________________________________________________ </t>
  </si>
  <si>
    <t xml:space="preserve">          (подпись)       (должность, ФИО уполномоченного лица)         </t>
  </si>
  <si>
    <t>Энергосбытовые компании</t>
  </si>
  <si>
    <t>кВтч</t>
  </si>
  <si>
    <t>руб</t>
  </si>
  <si>
    <t>Строительные предприятия</t>
  </si>
  <si>
    <t>Связь</t>
  </si>
  <si>
    <t>Добыча сырой нефти и газа</t>
  </si>
  <si>
    <t xml:space="preserve">оплата </t>
  </si>
  <si>
    <t>долг</t>
  </si>
  <si>
    <t xml:space="preserve">ДКП электроэнергия менее 670 кВт </t>
  </si>
  <si>
    <t xml:space="preserve">ЭС электроэнергия менее 670 кВт </t>
  </si>
  <si>
    <t>менее 670 кВт</t>
  </si>
  <si>
    <t>Э/Э ПС "Нижневартовская "</t>
  </si>
  <si>
    <t>Э/Э ПС "Мегион"</t>
  </si>
  <si>
    <t>по ДКП э/э менее 670 кВт</t>
  </si>
  <si>
    <t xml:space="preserve">мощность (генераторная) 4 ЦК менее 670 кВт </t>
  </si>
  <si>
    <t>PART_SR_DATA_26</t>
  </si>
  <si>
    <t>1.1.3</t>
  </si>
  <si>
    <t>20181101</t>
  </si>
  <si>
    <t>Код(ы) ГТП в реестре АТС</t>
  </si>
  <si>
    <t>code</t>
  </si>
  <si>
    <t>Приморский край</t>
  </si>
  <si>
    <t>Хабаровский край</t>
  </si>
  <si>
    <t>Амурская область</t>
  </si>
  <si>
    <t>Архангельская область</t>
  </si>
  <si>
    <t>Калининградская область</t>
  </si>
  <si>
    <t xml:space="preserve"> Республика Крым</t>
  </si>
  <si>
    <t xml:space="preserve"> Город Севастополь</t>
  </si>
  <si>
    <t>Республика Коми</t>
  </si>
  <si>
    <t xml:space="preserve"> Республика Марий Эл</t>
  </si>
  <si>
    <t>Республика Саха (Якутия)</t>
  </si>
  <si>
    <t>Еврейская автономная область</t>
  </si>
  <si>
    <t>ВН1</t>
  </si>
  <si>
    <t>ИТОГО по ГП (без учета ДКП)</t>
  </si>
  <si>
    <t>Средневзвешенные значения предельных уровней нерегулируемых цен/конечных регулируемых цен и их составляющие за расчетный период по уровням напряжения</t>
  </si>
  <si>
    <t>Средневзвешенный предельный уровень нерегулируемой цены на электрическую энергию (мощность) для 1-й ценовой категории для ЦЗ/
Средневзвешенная конечная регулируемая цена на электрическую энергию (мощность) для 1-й ценовой категории для НЦЗ, руб./МВт∙ч</t>
  </si>
  <si>
    <t>Средневзвешенный предельный уровень нерегулируемой цены на электрическую энергию (мощность) для 2-й ценовой категории для ЦЗ/ Средневзвешенная конечная регулируемая цена на электрическую энергию (мощность) для 2-й ценовой категории для НЦЗ, руб./МВт∙ч</t>
  </si>
  <si>
    <t>Средневзвешенный по категории предельный уровень нерегулируемой цены на электрическую энергию (мощность) для ЦЗ/ Средневзвешенная по категории конечная регулируемая цена на электрическую энергию (мощность) для НЦЗ, руб./МВт∙ч</t>
  </si>
  <si>
    <t>Объем потребления электрической энергии потребителями 3-й ценовой категории, МВт∙ч</t>
  </si>
  <si>
    <t>Средневзвешенный по категории предельный уровень нерегулируемой цены на электрическую энергию (мощность) для ЦЗ/
Средневзвешенная по категории конечная регулируемая цена на электрическую энергию (мощность) для НЦЗ, руб./МВт∙ч</t>
  </si>
  <si>
    <t>Объем потребления электрической энергии потребителями 4-й ценовой категории, МВт∙ч</t>
  </si>
  <si>
    <t>Объем потребления электрической энергии потребителями 5-й ценовой категории, МВт∙ч</t>
  </si>
  <si>
    <t>Объем потребления электрической энергии потребителями 6-й ценовой категории, МВт∙ч</t>
  </si>
  <si>
    <t>Средневзвешенная нерегулируемая цена на электрическую энергию (мощность) для ЦЗ/ Средневзвешенная регулируемая цена на электрическую энергию (мощность) для НЦЗ, руб./МВт∙ч</t>
  </si>
  <si>
    <t>Средневзвешенная нерегулируемая цена на электрическую энергию (мощность) для ЦЗ/
Средневзвешенная регулируемая цена на электрическую энергию (мощность) для НЦЗ, руб./МВт∙ч</t>
  </si>
  <si>
    <t>v20</t>
  </si>
  <si>
    <t>v21</t>
  </si>
  <si>
    <t>v22</t>
  </si>
  <si>
    <t>v23</t>
  </si>
  <si>
    <t>v24</t>
  </si>
  <si>
    <t>Всего по населению и приравненным к нему категориям</t>
  </si>
  <si>
    <t>в том числе:
Исполнители коммунальных услуг, оказывающие услугу по энергоснабжению по тарифу на электрическую энергию, утвержденные без учета применения понижающих коэффициентов</t>
  </si>
  <si>
    <t>Исполнители коммунальных услуг, оказывающие услугу по энергоснабжению по тарифу на электрическую энергию, утвержденные с учетом применения понижающих коэффициентов</t>
  </si>
  <si>
    <t>Содержащиеся за счет прихожан религиозные организации</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</si>
  <si>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t>
  </si>
  <si>
    <t>Для сведения
Общедомовые нужды (сверх норматива потребления)</t>
  </si>
  <si>
    <t>Поставка электрической энергии в ценовых и неценовых зонах ОРЭ гарантирующим поставщиком по группам точек поставки, по которым определена его зона деятельности</t>
  </si>
  <si>
    <t>Компенсация расхода электрической энергии на передачу сетевыми организациями (сверх балансовых показателей)</t>
  </si>
  <si>
    <t>Потребители с максимальной мощностью принадлежащих им энергопринимающих устройств до 670 кВт</t>
  </si>
  <si>
    <t>Компенсация расхода электрической энергии на передачу сетевыми организациями (в пределах балансовых показателей)</t>
  </si>
  <si>
    <t>Поставка электрической энергии в неценовых зонах ОРЭ гарантирующим поставщиком по группам точек поставки, которые не включены в его зону деятельности, а также поставка в неценовых зонах ОРЭ независимыми энергосбытовыми (энергоснабжающими) организациями</t>
  </si>
  <si>
    <t>Полезный отпуск электроэнергии и мощности, реализуемой по нерегулируемым ценам по договору купли-продажи</t>
  </si>
  <si>
    <t>Стоимость электрической энергии по 3-6 ценовой категории без учета стоимости отклонений без НДС, тыс. руб.</t>
  </si>
  <si>
    <t>Объем электрической энергии (мощности) потребителей, тыс кВт ч</t>
  </si>
  <si>
    <t>Стоимость электрической энергии (мощности) потребителей без НДС, тыс руб</t>
  </si>
  <si>
    <t>Объем электрической энергии потребителей, тыс кВт ч</t>
  </si>
  <si>
    <t>Стоимость электрической энергии потребителей без НДС, тыс руб</t>
  </si>
  <si>
    <t>Стоимость электрической мощности без НДС, тыс руб</t>
  </si>
  <si>
    <t>Объем электрической энергии, тыс кВт ч</t>
  </si>
  <si>
    <t>Стоимость электрической энергии без НДС, тыс руб</t>
  </si>
  <si>
    <t>3,46,7</t>
  </si>
  <si>
    <t>3,47,7</t>
  </si>
  <si>
    <t>3,48,7</t>
  </si>
  <si>
    <t>3,49,7</t>
  </si>
  <si>
    <t>3,50,7</t>
  </si>
  <si>
    <t>3,51,7</t>
  </si>
  <si>
    <t>Поставщик электрической энергии: ООО "НЭСКО"</t>
  </si>
  <si>
    <t>2019 год</t>
  </si>
  <si>
    <t>Январь</t>
  </si>
  <si>
    <t>Средневзвешенный тариф на э/энергию</t>
  </si>
  <si>
    <t>руб./кВтч (с НДС)</t>
  </si>
  <si>
    <t>Полезный отпуск э/энергии</t>
  </si>
  <si>
    <t>МВтч</t>
  </si>
  <si>
    <t>Сетевые организации, покупающие э/энергию для компенсации потерь э/энергии</t>
  </si>
  <si>
    <t>руб./кВтч (без НДС)</t>
  </si>
  <si>
    <t>3.1.</t>
  </si>
  <si>
    <t>Средневзвешенная цена на э/энергию, в том числе с дифференциацией по максимальной мощности энергопринимающих устройств:</t>
  </si>
  <si>
    <t>3.1.1.</t>
  </si>
  <si>
    <t>3.1.2.</t>
  </si>
  <si>
    <t>3.1.3.</t>
  </si>
  <si>
    <t>3.2.</t>
  </si>
  <si>
    <t>Полезный отпуск э/энергии, в том числе с дифференциацией по максимальной мощности энергопринимающих устройств:</t>
  </si>
  <si>
    <t>3.2.1.</t>
  </si>
  <si>
    <t>3.2.2.</t>
  </si>
  <si>
    <t>3.2.3.</t>
  </si>
  <si>
    <t>3.3.</t>
  </si>
  <si>
    <t>Необходимая валовая выручка, в том числе с дифференциацией по максимальной мощности энергопринимающих устройств:</t>
  </si>
  <si>
    <t>3.3.1.</t>
  </si>
  <si>
    <t>3.3.2.</t>
  </si>
  <si>
    <t>3.3.3.</t>
  </si>
  <si>
    <t>Исполнитель:</t>
  </si>
  <si>
    <t xml:space="preserve">Тел. </t>
  </si>
  <si>
    <t>договор 6315</t>
  </si>
  <si>
    <t>3,52,7</t>
  </si>
  <si>
    <t xml:space="preserve">договор 6315 </t>
  </si>
  <si>
    <t>3,54,7</t>
  </si>
  <si>
    <t>3,55,7</t>
  </si>
  <si>
    <t>3,53,10</t>
  </si>
  <si>
    <t>3,53,15</t>
  </si>
  <si>
    <t>3,56,10</t>
  </si>
  <si>
    <t>3,57,10</t>
  </si>
  <si>
    <t>3,56,15</t>
  </si>
  <si>
    <t>3,57,15</t>
  </si>
  <si>
    <t>3,58,7</t>
  </si>
  <si>
    <t>3,59,7</t>
  </si>
  <si>
    <t>3,60,7</t>
  </si>
  <si>
    <t>Потребители, население электроплиты дневная зона</t>
  </si>
  <si>
    <t>Потребители, население электроплиты ночная зона</t>
  </si>
  <si>
    <t xml:space="preserve"> Настоящим Общество с ограниченной ответственностью "Нижневартовская Энергосбытовая компания" (ООО "НЭСКО", ОГРН  1038601750472, ИНН 8603109926) в соответствии с п.п. "г"  п. 45 Стандартов раскрытия информации субъектами оптового и розничных рынков электрической энергии (утв. Постановлением Правительства РФ от 21.01.2004 г. № 24) сообщает, что ООО "НЭСКО" не рассчитывает и не использует в расчетах нерегулируемую составляющую ставки 
покупки потерь и коэффициент бета, долю покупки потерь по нерегулируемой цене, и предоставляет следующую информацию об объеме фактического полезного отпуска электроэнергии и мощности.
</t>
  </si>
  <si>
    <t>Форма БП-2</t>
  </si>
  <si>
    <t>Программа реализации</t>
  </si>
  <si>
    <t>пл</t>
  </si>
  <si>
    <t>1 квартал</t>
  </si>
  <si>
    <t>2 квартал</t>
  </si>
  <si>
    <t>1 полугодие</t>
  </si>
  <si>
    <t>3 квартал</t>
  </si>
  <si>
    <t>9 месяцев</t>
  </si>
  <si>
    <t>4 квартал</t>
  </si>
  <si>
    <t>Примечания</t>
  </si>
  <si>
    <t>январь факт</t>
  </si>
  <si>
    <t>февраль план</t>
  </si>
  <si>
    <t>февраль факт</t>
  </si>
  <si>
    <t>март план</t>
  </si>
  <si>
    <t>март факт</t>
  </si>
  <si>
    <t>апрель план</t>
  </si>
  <si>
    <t>апрель факт</t>
  </si>
  <si>
    <t>май план</t>
  </si>
  <si>
    <t>май факт</t>
  </si>
  <si>
    <t>июнь план</t>
  </si>
  <si>
    <t>июнь факт</t>
  </si>
  <si>
    <t>июль план</t>
  </si>
  <si>
    <t>июль факт</t>
  </si>
  <si>
    <t>август план</t>
  </si>
  <si>
    <t>август факт</t>
  </si>
  <si>
    <t>сентябрь план</t>
  </si>
  <si>
    <t>сентябрь факт</t>
  </si>
  <si>
    <t>октябрь план</t>
  </si>
  <si>
    <t>октябрь факт</t>
  </si>
  <si>
    <t>ноябрь план</t>
  </si>
  <si>
    <t>ноябрь факт</t>
  </si>
  <si>
    <t>декабрь план</t>
  </si>
  <si>
    <t>декабрь факт</t>
  </si>
  <si>
    <t xml:space="preserve">План </t>
  </si>
  <si>
    <t>Откл</t>
  </si>
  <si>
    <t>1-3.</t>
  </si>
  <si>
    <t>ЭЛЕКТРОЭНЕРГИЯ</t>
  </si>
  <si>
    <t>Генерация</t>
  </si>
  <si>
    <t>Объемы реализации</t>
  </si>
  <si>
    <t>1.1.1.</t>
  </si>
  <si>
    <t>Полезный отпуск электроэнергии, всего</t>
  </si>
  <si>
    <t>1.1.1.1.</t>
  </si>
  <si>
    <t>в результате конкурентного отбора на РСВ</t>
  </si>
  <si>
    <t>1.1.1.2.</t>
  </si>
  <si>
    <t>в результате конкурентного отбора на БР</t>
  </si>
  <si>
    <t>1.1.1.3.</t>
  </si>
  <si>
    <t>по регулируемым договорам (РД)</t>
  </si>
  <si>
    <t>1.1.1.4.</t>
  </si>
  <si>
    <t>по свободным договорам (СД)</t>
  </si>
  <si>
    <t>1.1.1.4.1.</t>
  </si>
  <si>
    <t>Контрагент 1</t>
  </si>
  <si>
    <t>1.1.1.4.2.</t>
  </si>
  <si>
    <t>Контрагент 2</t>
  </si>
  <si>
    <t>1.1.1.4.3.</t>
  </si>
  <si>
    <t>Контрагент 3</t>
  </si>
  <si>
    <t>1.1.1.4.4.</t>
  </si>
  <si>
    <t>Контрагент 4</t>
  </si>
  <si>
    <t>1.1.1.4.5.</t>
  </si>
  <si>
    <t>Контрагент 5</t>
  </si>
  <si>
    <t>1.1.1.4.6.</t>
  </si>
  <si>
    <t>Контрагент 6</t>
  </si>
  <si>
    <t>1.1.1.4.7.</t>
  </si>
  <si>
    <t>Контрагент 7</t>
  </si>
  <si>
    <t>1.1.1.4.8.</t>
  </si>
  <si>
    <t>Контрагент 8</t>
  </si>
  <si>
    <t>1.1.1.4.9.</t>
  </si>
  <si>
    <t>Контрагент 9</t>
  </si>
  <si>
    <t>1.1.1.4.10.</t>
  </si>
  <si>
    <t>Контрагент 10</t>
  </si>
  <si>
    <t>1.1.1.4.11.</t>
  </si>
  <si>
    <t>Контрагент 11</t>
  </si>
  <si>
    <t>1.1.1.4.12.</t>
  </si>
  <si>
    <t>Контрагент 12</t>
  </si>
  <si>
    <t>1.1.1.4.13.</t>
  </si>
  <si>
    <t>Контрагент 13</t>
  </si>
  <si>
    <t>1.1.1.4.14.</t>
  </si>
  <si>
    <t>Контрагент 14</t>
  </si>
  <si>
    <t>1.1.2.</t>
  </si>
  <si>
    <t>Реализация мощности, всего</t>
  </si>
  <si>
    <t>1.1.2.1.</t>
  </si>
  <si>
    <t>1.1.2.2.</t>
  </si>
  <si>
    <t xml:space="preserve">вынужденный режим </t>
  </si>
  <si>
    <t>1.1.2.2.1.</t>
  </si>
  <si>
    <t>вынужденный режим КТЭЦ, НПГЭ, КГК (ТГ - 6,7,8,9)</t>
  </si>
  <si>
    <t>1.1.2.2.2.</t>
  </si>
  <si>
    <t>вынужденный режим КГК (ТГ-5)</t>
  </si>
  <si>
    <t>1.1.2.3.</t>
  </si>
  <si>
    <t>по договорам конкурентного отбора мощности (КОМ)</t>
  </si>
  <si>
    <t>1.1.2.4.</t>
  </si>
  <si>
    <t>по договорам СДЭМ</t>
  </si>
  <si>
    <t>1.1.2.5.</t>
  </si>
  <si>
    <t>Тарифы</t>
  </si>
  <si>
    <t>1.2.1.</t>
  </si>
  <si>
    <t>Средний одноставочный тариф на электроэнергию</t>
  </si>
  <si>
    <t>руб/МВтч</t>
  </si>
  <si>
    <t>1.2.2.</t>
  </si>
  <si>
    <t>Средний тариф на электрическую энергию</t>
  </si>
  <si>
    <t>1.2.2.1.</t>
  </si>
  <si>
    <t>1.2.2.2.</t>
  </si>
  <si>
    <t>1.2.2.3.</t>
  </si>
  <si>
    <t>1.2.2.4.</t>
  </si>
  <si>
    <t>1.2.2.4.1.</t>
  </si>
  <si>
    <t>1.2.2.4.2.</t>
  </si>
  <si>
    <t>1.2.2.4.3.</t>
  </si>
  <si>
    <t>1.2.2.4.4.</t>
  </si>
  <si>
    <t>1.2.2.4.5.</t>
  </si>
  <si>
    <t>1.2.2.4.6.</t>
  </si>
  <si>
    <t>1.2.2.4.7.</t>
  </si>
  <si>
    <t>1.2.2.4.8.</t>
  </si>
  <si>
    <t>1.2.2.4.9.</t>
  </si>
  <si>
    <t>1.2.2.4.10.</t>
  </si>
  <si>
    <t>1.2.2.4.11.</t>
  </si>
  <si>
    <t>1.2.2.4.12.</t>
  </si>
  <si>
    <t>1.2.2.4.13.</t>
  </si>
  <si>
    <t>1.2.2.4.14.</t>
  </si>
  <si>
    <t>1.2.3.</t>
  </si>
  <si>
    <t>Тарифная ставка на установленную мощность</t>
  </si>
  <si>
    <t>руб/МВт/мес</t>
  </si>
  <si>
    <t>1.2.3.1.</t>
  </si>
  <si>
    <t>1.2.3.2.</t>
  </si>
  <si>
    <t>1.2.3.2.1.</t>
  </si>
  <si>
    <t>1.2.3.2.2.</t>
  </si>
  <si>
    <t>1.2.3.3.</t>
  </si>
  <si>
    <t>1.2.3.4.</t>
  </si>
  <si>
    <t>1.2.3.5.</t>
  </si>
  <si>
    <t>1.2.4.</t>
  </si>
  <si>
    <t>Коэффициент сезонности</t>
  </si>
  <si>
    <t>1.2.5.</t>
  </si>
  <si>
    <t>Тарифная ставка по вынужденному режиму с учетом коэффициента сезонности  КТЭЦ, НПГЭ, КГК (ТГ - 6,7,8,9)</t>
  </si>
  <si>
    <t>руб/МВт/меc</t>
  </si>
  <si>
    <t>1.2.6.</t>
  </si>
  <si>
    <t>Тарифная ставка по вынужденному режиму с учетом коэффициента сезонности КГК (ТГ - 5)</t>
  </si>
  <si>
    <t>1.3.1.</t>
  </si>
  <si>
    <t>Выручка от генерации, всего</t>
  </si>
  <si>
    <t>1.3.1.1.</t>
  </si>
  <si>
    <t>Выручка от электроэнергии</t>
  </si>
  <si>
    <t>1.3.1.1.1.</t>
  </si>
  <si>
    <t>1.3.1.1.2.</t>
  </si>
  <si>
    <t>1.3.1.1.3.</t>
  </si>
  <si>
    <t>по регулируемым договорам</t>
  </si>
  <si>
    <t>1.3.1.1.4.</t>
  </si>
  <si>
    <t>по свободным договорам</t>
  </si>
  <si>
    <t>1.3.1.1.4.1.</t>
  </si>
  <si>
    <t>1.3.1.1.4.2.</t>
  </si>
  <si>
    <t>1.3.1.1.4.3.</t>
  </si>
  <si>
    <t>1.3.1.1.4.4.</t>
  </si>
  <si>
    <t>1.3.1.1.4.5.</t>
  </si>
  <si>
    <t>1.3.1.1.4.6.</t>
  </si>
  <si>
    <t>1.3.1.1.4.7.</t>
  </si>
  <si>
    <t>1.3.1.1.4.8.</t>
  </si>
  <si>
    <t>1.3.1.1.4.9.</t>
  </si>
  <si>
    <t>1.3.1.1.4.10.</t>
  </si>
  <si>
    <t>1.3.1.1.4.11.</t>
  </si>
  <si>
    <t>1.3.1.1.4.12.</t>
  </si>
  <si>
    <t>1.3.1.1.4.13.</t>
  </si>
  <si>
    <t>1.3.1.1.4.14.</t>
  </si>
  <si>
    <t>1.3.1.2.</t>
  </si>
  <si>
    <t>Выручка от мощности</t>
  </si>
  <si>
    <t>1.3.1.2.1.</t>
  </si>
  <si>
    <t>1.3.1.2.2.</t>
  </si>
  <si>
    <t>1.3.1.2.2.1.</t>
  </si>
  <si>
    <t>1.3.1.2.2.2.</t>
  </si>
  <si>
    <t>1.3.1.2.3.</t>
  </si>
  <si>
    <t>1.3.1.2.4.</t>
  </si>
  <si>
    <t>1.3.1.2.5.</t>
  </si>
  <si>
    <t>Сети</t>
  </si>
  <si>
    <t>2.1.1.</t>
  </si>
  <si>
    <t>Полезный отпуск по единым (котловым) тарифам</t>
  </si>
  <si>
    <t>2.1.1.0.</t>
  </si>
  <si>
    <t>в т.ч. Нагрузочные потери</t>
  </si>
  <si>
    <t>2.1.1.1.</t>
  </si>
  <si>
    <t>Прочие потребители, всего</t>
  </si>
  <si>
    <t>2.1.1.1.0.</t>
  </si>
  <si>
    <t>в т. ч. корректировки по прочим потребителям, всего</t>
  </si>
  <si>
    <t>2.1.1.1.1.</t>
  </si>
  <si>
    <t>Прочие потребители (двухставочный тариф)</t>
  </si>
  <si>
    <t>2.1.1.1.1.1.</t>
  </si>
  <si>
    <t>Оплачиваемая мощность</t>
  </si>
  <si>
    <t>2.1.1.1.1.1.2.</t>
  </si>
  <si>
    <t>ВН (от 110 кВ)</t>
  </si>
  <si>
    <t>2.1.1.1.1.1.3.</t>
  </si>
  <si>
    <t>СН 1 (35 кВ)</t>
  </si>
  <si>
    <t>2.1.1.1.1.1.4.</t>
  </si>
  <si>
    <t>СН 2 (20-1 кВ)</t>
  </si>
  <si>
    <t>2.1.1.1.1.1.5.</t>
  </si>
  <si>
    <t>НН (0,4 кВ и ниже)</t>
  </si>
  <si>
    <t>2.1.1.1.1.1.0.</t>
  </si>
  <si>
    <t>Корректировка</t>
  </si>
  <si>
    <t>2.1.1.1.1.2.</t>
  </si>
  <si>
    <t>Полезный отпуск электроэнергии</t>
  </si>
  <si>
    <t>2.1.1.1.1.2.1.</t>
  </si>
  <si>
    <t>2.1.1.1.1.2.2.</t>
  </si>
  <si>
    <t>2.1.1.1.1.2.3.</t>
  </si>
  <si>
    <t>2.1.1.1.1.2.4.</t>
  </si>
  <si>
    <t>2.1.1.1.1.2.0.</t>
  </si>
  <si>
    <t>2.1.1.1.2.</t>
  </si>
  <si>
    <t>Прочие потребители (одноставочный тариф)</t>
  </si>
  <si>
    <t>2.1.1.1.2.1.</t>
  </si>
  <si>
    <t>2.1.1.1.2.2.</t>
  </si>
  <si>
    <t>2.1.1.1.2.3.</t>
  </si>
  <si>
    <t>2.1.1.1.2.4.</t>
  </si>
  <si>
    <t>2.1.1.1.2.0.</t>
  </si>
  <si>
    <t>2.1.1.2.</t>
  </si>
  <si>
    <t>2.1.1.2.0.</t>
  </si>
  <si>
    <t>в т.ч. Корректировки по населению, всего</t>
  </si>
  <si>
    <t>2.1.1.2.1.</t>
  </si>
  <si>
    <t>Население без коэффициента</t>
  </si>
  <si>
    <t>2.1.1.2.1.1.</t>
  </si>
  <si>
    <t>2.1.1.2.1.2.</t>
  </si>
  <si>
    <t>2.1.1.2.1.3.</t>
  </si>
  <si>
    <t>2.1.1.2.1.4.</t>
  </si>
  <si>
    <t>2.1.1.2.1.0.</t>
  </si>
  <si>
    <t>2.1.1.2.2.</t>
  </si>
  <si>
    <t xml:space="preserve">Население c понижающим коэффициентом </t>
  </si>
  <si>
    <t>2.1.1.2.2.1.</t>
  </si>
  <si>
    <t>2.1.1.2.2.2.</t>
  </si>
  <si>
    <t>2.1.1.2.2.3.</t>
  </si>
  <si>
    <t>2.1.1.2.2.4.</t>
  </si>
  <si>
    <t>2.1.1.2.2.0.</t>
  </si>
  <si>
    <t>2.1.1.3.</t>
  </si>
  <si>
    <t>АО "Горэлектросеть"</t>
  </si>
  <si>
    <t>2.1.1.3.0.</t>
  </si>
  <si>
    <t>2.1.1.3.1.</t>
  </si>
  <si>
    <t>2.1.1.3.1.1.</t>
  </si>
  <si>
    <t>2.1.1.3.1.1.1.</t>
  </si>
  <si>
    <t>2.1.1.3.1.1.2.</t>
  </si>
  <si>
    <t>2.1.1.3.1.1.3.</t>
  </si>
  <si>
    <t>2.1.1.3.1.1.4.</t>
  </si>
  <si>
    <t>2.1.1.3.1.1.0.</t>
  </si>
  <si>
    <t>2.1.1.3.1.2.1.</t>
  </si>
  <si>
    <t>2.1.1.3.1.2.2.</t>
  </si>
  <si>
    <t>2.1.1.3.1.2.3.</t>
  </si>
  <si>
    <t>2.1.1.3.1.2.4.</t>
  </si>
  <si>
    <t>2.1.1.3.1.2.5.</t>
  </si>
  <si>
    <t>2.1.1.3.1.2.0.</t>
  </si>
  <si>
    <t>2.1.1.3.2.</t>
  </si>
  <si>
    <t>2.1.1.3.2.1.</t>
  </si>
  <si>
    <t>2.1.1.3.2.2.</t>
  </si>
  <si>
    <t>2.1.1.3.2.3.</t>
  </si>
  <si>
    <t>2.1.1.3.2.4.</t>
  </si>
  <si>
    <t>2.1.1.3.2.0.</t>
  </si>
  <si>
    <t>2.1.1.3.3.</t>
  </si>
  <si>
    <t>2.1.1.3.3.1.</t>
  </si>
  <si>
    <t>2.1.1.3.3.2.</t>
  </si>
  <si>
    <t>2.1.1.3.3.3.</t>
  </si>
  <si>
    <t>2.1.1.3.3.4.</t>
  </si>
  <si>
    <t>2.1.1.3.3.0.</t>
  </si>
  <si>
    <t>2.1.1.3.4.</t>
  </si>
  <si>
    <t>2.1.1.3.4.1.</t>
  </si>
  <si>
    <t>2.1.1.3.4.2.</t>
  </si>
  <si>
    <t>2.1.1.3.4.3.</t>
  </si>
  <si>
    <t>2.1.1.3.4.4.</t>
  </si>
  <si>
    <t>2.1.1.3.4.0.</t>
  </si>
  <si>
    <t>2.1.1.4.</t>
  </si>
  <si>
    <t>2.1.1.4.0.</t>
  </si>
  <si>
    <t>2.1.1.4.1.</t>
  </si>
  <si>
    <t>2.1.1.4.1.1.</t>
  </si>
  <si>
    <t>2.1.1.4.1.1.1.</t>
  </si>
  <si>
    <t>2.1.1.4.1.1.2.</t>
  </si>
  <si>
    <t>2.1.1.4.1.1.3.</t>
  </si>
  <si>
    <t>2.1.1.4.1.1.4.</t>
  </si>
  <si>
    <t>2.1.1.4.1.1.0.</t>
  </si>
  <si>
    <t>2.1.1.4.1.2.1.</t>
  </si>
  <si>
    <t>2.1.1.4.1.2.2.</t>
  </si>
  <si>
    <t>2.1.1.4.1.2.3.</t>
  </si>
  <si>
    <t>2.1.1.4.1.2.4.</t>
  </si>
  <si>
    <t>2.1.1.4.1.2.5.</t>
  </si>
  <si>
    <t>2.1.1.4.1.2.0.</t>
  </si>
  <si>
    <t>2.1.1.4.2.</t>
  </si>
  <si>
    <t>2.1.1.4.2.1.</t>
  </si>
  <si>
    <t>2.1.1.4.2.2.</t>
  </si>
  <si>
    <t>2.1.1.4.2.3.</t>
  </si>
  <si>
    <t>2.1.1.4.2.4.</t>
  </si>
  <si>
    <t>2.1.1.4.2.0.</t>
  </si>
  <si>
    <t>2.1.1.4.3.</t>
  </si>
  <si>
    <t>2.1.1.4.3.1.</t>
  </si>
  <si>
    <t>2.1.1.4.3.2.</t>
  </si>
  <si>
    <t>2.1.1.4.3.3.</t>
  </si>
  <si>
    <t>2.1.1.4.3.4.</t>
  </si>
  <si>
    <t>2.1.1.4.3.0.</t>
  </si>
  <si>
    <t>2.1.1.4.4.</t>
  </si>
  <si>
    <t>2.1.1.4.4.1.</t>
  </si>
  <si>
    <t>2.1.1.4.4.2.</t>
  </si>
  <si>
    <t>2.1.1.4.4.3.</t>
  </si>
  <si>
    <t>2.1.1.4.4.4.</t>
  </si>
  <si>
    <t>2.1.1.4.4.0.</t>
  </si>
  <si>
    <t>2.1.1.5.</t>
  </si>
  <si>
    <t>2.1.1.5.0.</t>
  </si>
  <si>
    <t>2.1.1.5.1.</t>
  </si>
  <si>
    <t>2.1.1.5.1.1.</t>
  </si>
  <si>
    <t>2.1.1.5.1.1.1.</t>
  </si>
  <si>
    <t>2.1.1.5.1.1.2.</t>
  </si>
  <si>
    <t>2.1.1.5.1.1.3.</t>
  </si>
  <si>
    <t>2.1.1.5.1.1.4.</t>
  </si>
  <si>
    <t>2.1.1.5.1.1.0.</t>
  </si>
  <si>
    <t>2.1.1.5.1.2.1.</t>
  </si>
  <si>
    <t>2.1.1.5.1.2.2.</t>
  </si>
  <si>
    <t>2.1.1.5.1.2.3.</t>
  </si>
  <si>
    <t>2.1.1.5.1.2.4.</t>
  </si>
  <si>
    <t>2.1.1.5.1.2.5.</t>
  </si>
  <si>
    <t>2.1.1.5.1.2.0.</t>
  </si>
  <si>
    <t>2.1.1.5.2.</t>
  </si>
  <si>
    <t>2.1.1.5.2.1.</t>
  </si>
  <si>
    <t>2.1.1.5.2.2.</t>
  </si>
  <si>
    <t>2.1.1.5.2.3.</t>
  </si>
  <si>
    <t>2.1.1.5.2.4.</t>
  </si>
  <si>
    <t>2.1.1.5.2.0.</t>
  </si>
  <si>
    <t>2.1.1.5.3.</t>
  </si>
  <si>
    <t>2.1.1.5.3.1.</t>
  </si>
  <si>
    <t>2.1.1.5.3.2.</t>
  </si>
  <si>
    <t>2.1.1.5.3.3.</t>
  </si>
  <si>
    <t>2.1.1.5.3.4.</t>
  </si>
  <si>
    <t>2.1.1.5.3.0.</t>
  </si>
  <si>
    <t>2.1.1.5.4.</t>
  </si>
  <si>
    <t>2.1.1.5.4.1.</t>
  </si>
  <si>
    <t>2.1.1.5.4.2.</t>
  </si>
  <si>
    <t>2.1.1.5.4.3.</t>
  </si>
  <si>
    <t>2.1.1.5.4.4.</t>
  </si>
  <si>
    <t>2.1.1.5.4.0.</t>
  </si>
  <si>
    <t>2.1.1.6.</t>
  </si>
  <si>
    <t>2.1.1.6.0.</t>
  </si>
  <si>
    <t>2.1.1.6.1.</t>
  </si>
  <si>
    <t>2.1.1.6.1.1.</t>
  </si>
  <si>
    <t>2.1.1.6.1.1.1.</t>
  </si>
  <si>
    <t>2.1.1.6.1.1.2.</t>
  </si>
  <si>
    <t>2.1.1.6.1.1.3.</t>
  </si>
  <si>
    <t>2.1.1.6.1.1.4.</t>
  </si>
  <si>
    <t>2.1.1.6.1.1.0.</t>
  </si>
  <si>
    <t>2.1.1.6.1.2.1.</t>
  </si>
  <si>
    <t>2.1.1.6.1.2.2.</t>
  </si>
  <si>
    <t>2.1.1.6.1.2.3.</t>
  </si>
  <si>
    <t>2.1.1.6.1.2.4.</t>
  </si>
  <si>
    <t>2.1.1.6.1.2.5.</t>
  </si>
  <si>
    <t>2.1.1.6.1.2.0.</t>
  </si>
  <si>
    <t>2.1.1.6.2.</t>
  </si>
  <si>
    <t>2.1.1.6.2.1.</t>
  </si>
  <si>
    <t>2.1.1.6.2.2.</t>
  </si>
  <si>
    <t>2.1.1.6.2.3.</t>
  </si>
  <si>
    <t>2.1.1.6.2.4.</t>
  </si>
  <si>
    <t>2.1.1.6.2.0.</t>
  </si>
  <si>
    <t>2.1.1.6.3.</t>
  </si>
  <si>
    <t>2.1.1.6.3.1.</t>
  </si>
  <si>
    <t>2.1.1.6.3.2.</t>
  </si>
  <si>
    <t>2.1.1.6.3.3.</t>
  </si>
  <si>
    <t>2.1.1.6.3.4.</t>
  </si>
  <si>
    <t>2.1.1.6.3.0.</t>
  </si>
  <si>
    <t>2.1.1.6.4.</t>
  </si>
  <si>
    <t>2.1.1.6.4.1.</t>
  </si>
  <si>
    <t>2.1.1.6.4.2.</t>
  </si>
  <si>
    <t>2.1.1.6.4.3.</t>
  </si>
  <si>
    <t>2.1.1.6.4.4.</t>
  </si>
  <si>
    <t>2.1.1.6.4.0.</t>
  </si>
  <si>
    <t>2.1.1.7.</t>
  </si>
  <si>
    <t>Прочие контрагенты</t>
  </si>
  <si>
    <t>2.1.1.7.0.</t>
  </si>
  <si>
    <t>2.1.1.7.1.</t>
  </si>
  <si>
    <t>2.1.1.7.1.1.</t>
  </si>
  <si>
    <t>2.1.1.7.1.1.1.</t>
  </si>
  <si>
    <t>2.1.1.7.1.1.2.</t>
  </si>
  <si>
    <t>2.1.1.7.1.1.3.</t>
  </si>
  <si>
    <t>2.1.1.7.1.1.4.</t>
  </si>
  <si>
    <t>2.1.1.7.1.1.0.</t>
  </si>
  <si>
    <t>2.1.1.7.1.2.1.</t>
  </si>
  <si>
    <t>2.1.1.7.1.2.2.</t>
  </si>
  <si>
    <t>2.1.1.7.1.2.3.</t>
  </si>
  <si>
    <t>2.1.1.7.1.2.4.</t>
  </si>
  <si>
    <t>2.1.1.7.1.2.5.</t>
  </si>
  <si>
    <t>2.1.1.7.1.2.0.</t>
  </si>
  <si>
    <t>2.1.1.7.2.</t>
  </si>
  <si>
    <t>2.1.1.7.2.1.</t>
  </si>
  <si>
    <t>2.1.1.7.2.2.</t>
  </si>
  <si>
    <t>2.1.1.7.2.3.</t>
  </si>
  <si>
    <t>2.1.1.7.2.4.</t>
  </si>
  <si>
    <t>2.1.1.7.2.0.</t>
  </si>
  <si>
    <t>2.1.1.7.3.</t>
  </si>
  <si>
    <t>2.1.1.7.3.1.</t>
  </si>
  <si>
    <t>2.1.1.7.3.2.</t>
  </si>
  <si>
    <t>2.1.1.7.3.3.</t>
  </si>
  <si>
    <t>2.1.1.7.3.4.</t>
  </si>
  <si>
    <t>2.1.1.7.3.0.</t>
  </si>
  <si>
    <t>2.1.1.7.4.</t>
  </si>
  <si>
    <t>2.1.1.7.4.1.</t>
  </si>
  <si>
    <t>2.1.1.7.4.2.</t>
  </si>
  <si>
    <t>2.1.1.7.4.3.</t>
  </si>
  <si>
    <t>2.1.1.7.4.4.</t>
  </si>
  <si>
    <t>2.1.1.7.4.0.</t>
  </si>
  <si>
    <t>2.1.2.</t>
  </si>
  <si>
    <t>Объем услуг по индивидуальным тарифам</t>
  </si>
  <si>
    <t>2.1.2.0.</t>
  </si>
  <si>
    <t>2.1.2.1.</t>
  </si>
  <si>
    <t>Оплачиваемая мощность (двухставочный тариф)</t>
  </si>
  <si>
    <t>2.1.2.1.0.</t>
  </si>
  <si>
    <t>в т.ч. Корректировка</t>
  </si>
  <si>
    <t>2.1.2.2.</t>
  </si>
  <si>
    <t>Полезный отпуск электроэнергии (двухставочный тариф)</t>
  </si>
  <si>
    <t>2.1.2.2.0.</t>
  </si>
  <si>
    <t>2.1.2.3.</t>
  </si>
  <si>
    <t>Полезный отпуск электроэнергии (одноставочный тариф)</t>
  </si>
  <si>
    <t>2.1.2.3.0.</t>
  </si>
  <si>
    <t>2.1.2.4.</t>
  </si>
  <si>
    <t>2.1.2.4.0.</t>
  </si>
  <si>
    <t>2.1.2.4.1.</t>
  </si>
  <si>
    <t>2.1.2.4.1.0.</t>
  </si>
  <si>
    <t>2.1.2.4.2.</t>
  </si>
  <si>
    <t>2.1.2.4.2.0.</t>
  </si>
  <si>
    <t>2.1.2.4.3.</t>
  </si>
  <si>
    <t>2.1.2.4.3.0.</t>
  </si>
  <si>
    <t>2.1.2.5.</t>
  </si>
  <si>
    <t>2.1.2.5.0.</t>
  </si>
  <si>
    <t>2.1.2.5.1.</t>
  </si>
  <si>
    <t>2.1.2.5.1.0.</t>
  </si>
  <si>
    <t>2.1.2.5.2.</t>
  </si>
  <si>
    <t>2.1.2.5.2.0.</t>
  </si>
  <si>
    <t>2.1.2.5.3.</t>
  </si>
  <si>
    <t>2.1.2.5.3.0.</t>
  </si>
  <si>
    <t>2.1.2.6.</t>
  </si>
  <si>
    <t>2.1.2.6.0.</t>
  </si>
  <si>
    <t>2.1.2.6.1.</t>
  </si>
  <si>
    <t>2.1.2.6.1.0.</t>
  </si>
  <si>
    <t>2.1.2.6.2.</t>
  </si>
  <si>
    <t>2.1.2.6.2.0.</t>
  </si>
  <si>
    <t>2.1.2.6.3.</t>
  </si>
  <si>
    <t>2.1.2.6.3.0.</t>
  </si>
  <si>
    <t>2.1.2.7.</t>
  </si>
  <si>
    <t>2.1.2.7.0.</t>
  </si>
  <si>
    <t>2.1.2.7.1.</t>
  </si>
  <si>
    <t>2.1.2.7.1.0.</t>
  </si>
  <si>
    <t>2.1.2.7.2.</t>
  </si>
  <si>
    <t>2.1.2.7.2.0.</t>
  </si>
  <si>
    <t>2.1.2.7.3.</t>
  </si>
  <si>
    <t>2.1.2.7.3.0.</t>
  </si>
  <si>
    <t>2.1.2.8.</t>
  </si>
  <si>
    <t>2.1.2.8.0.</t>
  </si>
  <si>
    <t>2.1.2.8.1.</t>
  </si>
  <si>
    <t>2.1.2.8.1.0.</t>
  </si>
  <si>
    <t>2.1.2.8.2.</t>
  </si>
  <si>
    <t>2.1.2.8.2.0.</t>
  </si>
  <si>
    <t>2.1.2.8.3.</t>
  </si>
  <si>
    <t>2.1.2.8.3.0.</t>
  </si>
  <si>
    <t>2.1.3.</t>
  </si>
  <si>
    <t>Потери электроэнергии в сетях</t>
  </si>
  <si>
    <t>млн. кВтч</t>
  </si>
  <si>
    <t>2.1.3.1.</t>
  </si>
  <si>
    <t>Контрагент Потери1</t>
  </si>
  <si>
    <t>2.1.3.1.1.</t>
  </si>
  <si>
    <t>2.1.3.1.2.</t>
  </si>
  <si>
    <t>в т.ч. Корректировка потерь</t>
  </si>
  <si>
    <t>2.1.3.2.</t>
  </si>
  <si>
    <t>Контрагент Потери2</t>
  </si>
  <si>
    <t>2.1.3.2.1.</t>
  </si>
  <si>
    <t>2.1.3.2.2.</t>
  </si>
  <si>
    <t>2.1.3.3.</t>
  </si>
  <si>
    <t>Контрагент Потери3</t>
  </si>
  <si>
    <t>2.1.3.3.1.</t>
  </si>
  <si>
    <t>2.1.3.3.2.</t>
  </si>
  <si>
    <t>2.1.3.4.</t>
  </si>
  <si>
    <t>Контрагент Потери4</t>
  </si>
  <si>
    <t>2.1.3.4.1.</t>
  </si>
  <si>
    <t>2.1.3.4.2.</t>
  </si>
  <si>
    <t>2.1.3.5.</t>
  </si>
  <si>
    <t>Прочие контрагенты Потери</t>
  </si>
  <si>
    <t>2.1.3.5.1.</t>
  </si>
  <si>
    <t>2.1.3.5.2.</t>
  </si>
  <si>
    <t>2.2.1.</t>
  </si>
  <si>
    <t>Единые котловые тарифы (ЕКТ)</t>
  </si>
  <si>
    <t>2.2.1.1.</t>
  </si>
  <si>
    <t>2.2.1.1.1.</t>
  </si>
  <si>
    <t>Ставка на содержание электрических сетей</t>
  </si>
  <si>
    <t>2.2.1.1.1.1.</t>
  </si>
  <si>
    <t>руб/MВт мес</t>
  </si>
  <si>
    <t>2.2.1.1.1.2.</t>
  </si>
  <si>
    <t>2.2.1.1.1.3.</t>
  </si>
  <si>
    <t>2.2.1.1.1.4.</t>
  </si>
  <si>
    <t>2.2.1.1.1.0.</t>
  </si>
  <si>
    <t>2.2.1.1.2.</t>
  </si>
  <si>
    <t>Ставка на оплату потерь</t>
  </si>
  <si>
    <t>2.2.1.1.2.1.</t>
  </si>
  <si>
    <t>руб/MВтч</t>
  </si>
  <si>
    <t>2.2.1.1.2.2.</t>
  </si>
  <si>
    <t>2.2.1.1.2.3.</t>
  </si>
  <si>
    <t>2.2.1.1.2.4.</t>
  </si>
  <si>
    <t>2.2.1.1.2.0.</t>
  </si>
  <si>
    <t>2.2.1.2.</t>
  </si>
  <si>
    <t>2.2.1.2.1.</t>
  </si>
  <si>
    <t>2.2.1.2.2.</t>
  </si>
  <si>
    <t>2.2.1.2.3.</t>
  </si>
  <si>
    <t>2.2.1.2.4.</t>
  </si>
  <si>
    <t>2.2.1.2.0.</t>
  </si>
  <si>
    <t>2.2.1.3.</t>
  </si>
  <si>
    <t>2.2.1.3.0.</t>
  </si>
  <si>
    <t>2.2.1.4.</t>
  </si>
  <si>
    <t>Население c понижающим коэффициентом</t>
  </si>
  <si>
    <t>2.2.1.4.0.</t>
  </si>
  <si>
    <t>2.2.2.</t>
  </si>
  <si>
    <t>Индивидуальные тарифы</t>
  </si>
  <si>
    <t>2.2.2.1.</t>
  </si>
  <si>
    <t>2.2.2.1.1.</t>
  </si>
  <si>
    <t>Ставка на содержание электрических сетей (двухставочный)</t>
  </si>
  <si>
    <t>2.2.2.1.1.0.</t>
  </si>
  <si>
    <t>2.2.2.1.2.</t>
  </si>
  <si>
    <t>Ставка на оплату потерь (двухставочный)</t>
  </si>
  <si>
    <t>2.2.2.1.2.0.</t>
  </si>
  <si>
    <t>2.2.2.1.3.</t>
  </si>
  <si>
    <t>Одноставочный индивидуальный тариф</t>
  </si>
  <si>
    <t>2.2.2.1.3.0.</t>
  </si>
  <si>
    <t>2.2.2.2.</t>
  </si>
  <si>
    <t>2.2.2.2.1.</t>
  </si>
  <si>
    <t>2.2.2.2.1.0.</t>
  </si>
  <si>
    <t>2.2.2.2.2.</t>
  </si>
  <si>
    <t>2.2.2.2.2.0.</t>
  </si>
  <si>
    <t>2.2.2.2.3.</t>
  </si>
  <si>
    <t>2.2.2.2.3.0.</t>
  </si>
  <si>
    <t>2.2.2.3.</t>
  </si>
  <si>
    <t>2.2.2.3.1.</t>
  </si>
  <si>
    <t>2.2.2.3.1.0.</t>
  </si>
  <si>
    <t>2.2.2.3.2.</t>
  </si>
  <si>
    <t>2.2.2.3.2.0.</t>
  </si>
  <si>
    <t>2.2.2.3.3.</t>
  </si>
  <si>
    <t>2.2.2.3.3.0.</t>
  </si>
  <si>
    <t>2.2.2.4.</t>
  </si>
  <si>
    <t>2.2.2.4.1.</t>
  </si>
  <si>
    <t>2.2.2.4.1.0.</t>
  </si>
  <si>
    <t>2.2.2.4.2.</t>
  </si>
  <si>
    <t>2.2.2.4.2.0.</t>
  </si>
  <si>
    <t>2.2.2.4.3.</t>
  </si>
  <si>
    <t>2.2.2.4.3.0.</t>
  </si>
  <si>
    <t>2.2.2.5.</t>
  </si>
  <si>
    <t>Средний тариф по прочим контрагентам</t>
  </si>
  <si>
    <t>2.2.2.5.1.</t>
  </si>
  <si>
    <t>2.2.2.5.1.0.</t>
  </si>
  <si>
    <t>2.2.2.5.2.</t>
  </si>
  <si>
    <t>2.2.2.5.2.0.</t>
  </si>
  <si>
    <t>2.2.2.5.3.</t>
  </si>
  <si>
    <t>2.2.2.5.3.0.</t>
  </si>
  <si>
    <t>2.2.3.</t>
  </si>
  <si>
    <t>Справочно: Цена электроэнергии в целях компенсации потерь</t>
  </si>
  <si>
    <t>2.2.3.1.</t>
  </si>
  <si>
    <t>2.2.3.1.0.</t>
  </si>
  <si>
    <t>2.2.3.2.</t>
  </si>
  <si>
    <t>2.2.3.2.0.</t>
  </si>
  <si>
    <t>2.2.3.3.</t>
  </si>
  <si>
    <t>2.2.3.3.0.</t>
  </si>
  <si>
    <t>2.2.3.4.</t>
  </si>
  <si>
    <t>2.2.3.4.0.</t>
  </si>
  <si>
    <t>2.2.3.5.</t>
  </si>
  <si>
    <t>2.2.3.5.0.</t>
  </si>
  <si>
    <t>2.3.1.</t>
  </si>
  <si>
    <t>Выручка от передачи электроэнергии, всего</t>
  </si>
  <si>
    <t>тыс. руб.</t>
  </si>
  <si>
    <t>2.3.2.</t>
  </si>
  <si>
    <t>Выручка по единым (котловым) тарифам</t>
  </si>
  <si>
    <t>2.3.2.0.</t>
  </si>
  <si>
    <t>2.3.2.1.</t>
  </si>
  <si>
    <t>2.3.2.1.0.</t>
  </si>
  <si>
    <t>в т.ч. Корректировки по прочим потребителям, всего</t>
  </si>
  <si>
    <t>2.3.2.1.1.</t>
  </si>
  <si>
    <t>2.3.2.1.1.1.</t>
  </si>
  <si>
    <t>По ставке на содержание электрических сетей</t>
  </si>
  <si>
    <t>2.3.2.1.1.1.2.</t>
  </si>
  <si>
    <t>2.3.2.1.1.1.3.</t>
  </si>
  <si>
    <t>2.3.2.1.1.1.4.</t>
  </si>
  <si>
    <t>2.3.2.1.1.1.5.</t>
  </si>
  <si>
    <t>2.3.2.1.1.1.0.</t>
  </si>
  <si>
    <t>2.3.2.1.1.2.</t>
  </si>
  <si>
    <t>По ставке на оплату потерь</t>
  </si>
  <si>
    <t>2.3.2.1.1.2.1.</t>
  </si>
  <si>
    <t>2.3.2.1.1.2.2.</t>
  </si>
  <si>
    <t>2.3.2.1.1.2.3.</t>
  </si>
  <si>
    <t>2.3.2.1.1.2.4.</t>
  </si>
  <si>
    <t>2.3.2.1.1.2.0.</t>
  </si>
  <si>
    <t>2.3.2.1.2.</t>
  </si>
  <si>
    <t>2.3.2.1.2.1.</t>
  </si>
  <si>
    <t>2.3.2.1.2.2.</t>
  </si>
  <si>
    <t>2.3.2.1.2.3.</t>
  </si>
  <si>
    <t>2.3.2.1.2.4.</t>
  </si>
  <si>
    <t>2.3.2.1.2.0.</t>
  </si>
  <si>
    <t>2.3.2.2.</t>
  </si>
  <si>
    <t>2.3.2.2.0</t>
  </si>
  <si>
    <t>2.3.2.2.1.</t>
  </si>
  <si>
    <t>2.3.2.2.1.1.</t>
  </si>
  <si>
    <t>2.3.2.2.1.2.</t>
  </si>
  <si>
    <t>2.3.2.2.1.3.</t>
  </si>
  <si>
    <t>2.3.2.2.1.4.</t>
  </si>
  <si>
    <t>2.3.2.2.1.0.</t>
  </si>
  <si>
    <t>2.3.2.2.2.</t>
  </si>
  <si>
    <t>2.3.2.2.2.1.</t>
  </si>
  <si>
    <t>2.3.2.2.2.2.</t>
  </si>
  <si>
    <t>2.3.2.2.2.3.</t>
  </si>
  <si>
    <t>2.3.2.2.2.4.</t>
  </si>
  <si>
    <t>2.3.2.2.2.0.</t>
  </si>
  <si>
    <t>2.3.2.3.</t>
  </si>
  <si>
    <t>2.3.2.3.0.</t>
  </si>
  <si>
    <t>2.3.2.3.1.</t>
  </si>
  <si>
    <t>2.3.2.3.1.1.</t>
  </si>
  <si>
    <t>2.3.2.3.1.1.1.</t>
  </si>
  <si>
    <t>2.3.2.3.1.1.2.</t>
  </si>
  <si>
    <t>2.3.2.3.1.1.3.</t>
  </si>
  <si>
    <t>2.3.2.3.1.1.4.</t>
  </si>
  <si>
    <t>2.3.2.3.1.1.0.</t>
  </si>
  <si>
    <t>2.3.2.3.1.2.</t>
  </si>
  <si>
    <t>2.3.2.3.1.2.1.</t>
  </si>
  <si>
    <t>2.3.2.3.1.2.2.</t>
  </si>
  <si>
    <t>2.3.2.3.1.2.3.</t>
  </si>
  <si>
    <t>2.3.2.3.1.2.4.</t>
  </si>
  <si>
    <t>2.3.2.3.1.2.0.</t>
  </si>
  <si>
    <t>2.3.2.3.2.</t>
  </si>
  <si>
    <t>2.3.2.3.2.1.</t>
  </si>
  <si>
    <t>2.3.2.3.2.2.</t>
  </si>
  <si>
    <t>2.3.2.3.2.3.</t>
  </si>
  <si>
    <t>2.3.2.3.2.4.</t>
  </si>
  <si>
    <t>2.3.2.3.2.0.</t>
  </si>
  <si>
    <t>2.3.2.3.3.</t>
  </si>
  <si>
    <t>2.3.2.3.3.1.</t>
  </si>
  <si>
    <t>2.3.2.3.3.2.</t>
  </si>
  <si>
    <t>2.3.2.3.3.3.</t>
  </si>
  <si>
    <t>2.3.2.3.3.4.</t>
  </si>
  <si>
    <t>2.3.2.3.3.0.</t>
  </si>
  <si>
    <t>2.3.2.3.4.</t>
  </si>
  <si>
    <t>2.3.2.3.4.1.</t>
  </si>
  <si>
    <t>2.3.2.3.4.2.</t>
  </si>
  <si>
    <t>2.3.2.3.4.3.</t>
  </si>
  <si>
    <t>2.3.2.3.4.4.</t>
  </si>
  <si>
    <t>2.3.2.3.4.0.</t>
  </si>
  <si>
    <t>2.3.2.4.</t>
  </si>
  <si>
    <t>2.3.2.4.0.</t>
  </si>
  <si>
    <t>2.3.2.4.1.</t>
  </si>
  <si>
    <t>2.3.2.4.1.1.</t>
  </si>
  <si>
    <t>2.3.2.4.1.1.1.</t>
  </si>
  <si>
    <t>2.3.2.4.1.1.2.</t>
  </si>
  <si>
    <t>2.3.2.4.1.1.3.</t>
  </si>
  <si>
    <t>2.3.2.4.1.1.4.</t>
  </si>
  <si>
    <t>2.3.2.4.1.1.0.</t>
  </si>
  <si>
    <t>2.3.2.4.1.2.</t>
  </si>
  <si>
    <t>2.3.2.4.1.2.1.</t>
  </si>
  <si>
    <t>2.3.2.4.1.2.2.</t>
  </si>
  <si>
    <t>2.3.2.4.1.2.3.</t>
  </si>
  <si>
    <t>2.3.2.4.1.2.4.</t>
  </si>
  <si>
    <t>2.3.2.4.1.2.0.</t>
  </si>
  <si>
    <t>2.3.2.4.2.</t>
  </si>
  <si>
    <t>2.3.2.4.2.1.</t>
  </si>
  <si>
    <t>2.3.2.4.2.2.</t>
  </si>
  <si>
    <t>2.3.2.4.2.3.</t>
  </si>
  <si>
    <t>2.3.2.4.2.4.</t>
  </si>
  <si>
    <t>2.3.2.4.2.0.</t>
  </si>
  <si>
    <t>2.3.2.4.3.</t>
  </si>
  <si>
    <t>2.3.2.4.3.1.</t>
  </si>
  <si>
    <t>2.3.2.4.3.2.</t>
  </si>
  <si>
    <t>2.3.2.4.3.3.</t>
  </si>
  <si>
    <t>2.3.2.4.3.4.</t>
  </si>
  <si>
    <t>2.3.2.4.3.0.</t>
  </si>
  <si>
    <t>2.3.2.4.4.</t>
  </si>
  <si>
    <t>2.3.2.4.4.1.</t>
  </si>
  <si>
    <t>2.3.2.4.4.2.</t>
  </si>
  <si>
    <t>2.3.2.4.4.3.</t>
  </si>
  <si>
    <t>2.3.2.4.4.4.</t>
  </si>
  <si>
    <t>2.3.2.4.4.0.</t>
  </si>
  <si>
    <t>2.3.2.5.</t>
  </si>
  <si>
    <t>2.3.2.5.0.</t>
  </si>
  <si>
    <t>2.3.2.5.1.</t>
  </si>
  <si>
    <t>2.3.2.5.1.1.</t>
  </si>
  <si>
    <t>2.3.2.5.1.1.1.</t>
  </si>
  <si>
    <t>2.3.2.5.1.1.2.</t>
  </si>
  <si>
    <t>2.3.2.5.1.1.3.</t>
  </si>
  <si>
    <t>2.3.2.5.1.1.4.</t>
  </si>
  <si>
    <t>2.3.2.5.1.1.0.</t>
  </si>
  <si>
    <t>2.3.2.5.1.2.</t>
  </si>
  <si>
    <t>2.3.2.5.1.2.1.</t>
  </si>
  <si>
    <t>2.3.2.5.1.2.2.</t>
  </si>
  <si>
    <t>2.3.2.5.1.2.3.</t>
  </si>
  <si>
    <t>2.3.2.5.1.2.4.</t>
  </si>
  <si>
    <t>2.3.2.5.1.2.0.</t>
  </si>
  <si>
    <t>2.3.2.5.2.</t>
  </si>
  <si>
    <t>2.3.2.5.2.1.</t>
  </si>
  <si>
    <t>2.3.2.5.2.2.</t>
  </si>
  <si>
    <t>2.3.2.5.2.3.</t>
  </si>
  <si>
    <t>2.3.2.5.2.4.</t>
  </si>
  <si>
    <t>2.3.2.5.2.0.</t>
  </si>
  <si>
    <t>2.3.2.5.3.</t>
  </si>
  <si>
    <t>2.3.2.5.3.1.</t>
  </si>
  <si>
    <t>2.3.2.5.3.2.</t>
  </si>
  <si>
    <t>2.3.2.5.3.3.</t>
  </si>
  <si>
    <t>2.3.2.5.3.4.</t>
  </si>
  <si>
    <t>2.3.2.5.3.0.</t>
  </si>
  <si>
    <t>2.3.2.5.4.</t>
  </si>
  <si>
    <t>2.3.2.5.4.1.</t>
  </si>
  <si>
    <t>2.3.2.5.4.2.</t>
  </si>
  <si>
    <t>2.3.2.5.4.3.</t>
  </si>
  <si>
    <t>2.3.2.5.4.4.</t>
  </si>
  <si>
    <t>2.3.2.5.4.0.</t>
  </si>
  <si>
    <t>2.3.2.6.</t>
  </si>
  <si>
    <t>2.3.2.6.0.</t>
  </si>
  <si>
    <t>2.3.2.6.1.</t>
  </si>
  <si>
    <t>2.3.2.6.1.1.</t>
  </si>
  <si>
    <t>2.3.2.6.1.1.1.</t>
  </si>
  <si>
    <t>2.3.2.6.1.1.2.</t>
  </si>
  <si>
    <t>2.3.2.6.1.1.3.</t>
  </si>
  <si>
    <t>2.3.2.6.1.1.4.</t>
  </si>
  <si>
    <t>2.3.2.6.1.1.0.</t>
  </si>
  <si>
    <t>2.3.2.6.1.2.</t>
  </si>
  <si>
    <t>2.3.2.6.1.2.1.</t>
  </si>
  <si>
    <t>2.3.2.6.1.2.2.</t>
  </si>
  <si>
    <t>2.3.2.6.1.2.3.</t>
  </si>
  <si>
    <t>2.3.2.6.1.2.4.</t>
  </si>
  <si>
    <t>2.3.2.6.1.2.0.</t>
  </si>
  <si>
    <t>2.3.2.6.2.</t>
  </si>
  <si>
    <t>2.3.2.6.2.1.</t>
  </si>
  <si>
    <t>2.3.2.6.2.2.</t>
  </si>
  <si>
    <t>2.3.2.6.2.3.</t>
  </si>
  <si>
    <t>2.3.2.6.2.4.</t>
  </si>
  <si>
    <t>2.3.2.6.2.0.</t>
  </si>
  <si>
    <t>2.3.2.6.3.</t>
  </si>
  <si>
    <t>2.3.2.6.3.1.</t>
  </si>
  <si>
    <t>2.3.2.6.3.2.</t>
  </si>
  <si>
    <t>2.3.2.6.3.3.</t>
  </si>
  <si>
    <t>2.3.2.6.3.4.</t>
  </si>
  <si>
    <t>2.3.2.6.3.0.</t>
  </si>
  <si>
    <t>2.3.2.6.4.</t>
  </si>
  <si>
    <t>2.3.2.6.4.1.</t>
  </si>
  <si>
    <t>2.3.2.6.4.2.</t>
  </si>
  <si>
    <t>2.3.2.6.4.3.</t>
  </si>
  <si>
    <t>2.3.2.6.4.4.</t>
  </si>
  <si>
    <t>2.3.2.6.4.0.</t>
  </si>
  <si>
    <t>2.3.2.7.</t>
  </si>
  <si>
    <t>2.3.2.7.0.</t>
  </si>
  <si>
    <t>2.3.2.7.1.</t>
  </si>
  <si>
    <t>2.3.2.7.1.1.</t>
  </si>
  <si>
    <t>2.3.2.7.1.1.1.</t>
  </si>
  <si>
    <t>2.3.2.7.1.1.2.</t>
  </si>
  <si>
    <t>2.3.2.7.1.1.3.</t>
  </si>
  <si>
    <t>2.3.2.7.1.1.4.</t>
  </si>
  <si>
    <t>2.3.2.7.1.1.0.</t>
  </si>
  <si>
    <t>2.3.2.7.1.2.</t>
  </si>
  <si>
    <t>2.3.2.7.1.2.1.</t>
  </si>
  <si>
    <t>2.3.2.7.1.2.2.</t>
  </si>
  <si>
    <t>2.3.2.7.1.2.3.</t>
  </si>
  <si>
    <t>2.3.2.7.1.2.4.</t>
  </si>
  <si>
    <t>2.3.2.7.1.2.0.</t>
  </si>
  <si>
    <t>2.3.2.7.2.</t>
  </si>
  <si>
    <t>2.3.2.7.2.1.</t>
  </si>
  <si>
    <t>2.3.2.7.2.2.</t>
  </si>
  <si>
    <t>2.3.2.7.2.3.</t>
  </si>
  <si>
    <t>2.3.2.7.2.4.</t>
  </si>
  <si>
    <t>2.3.2.7.2.0.</t>
  </si>
  <si>
    <t>2.3.2.7.3.</t>
  </si>
  <si>
    <t>2.3.2.7.3.1.</t>
  </si>
  <si>
    <t>2.3.2.7.3.2.</t>
  </si>
  <si>
    <t>2.3.2.7.3.3.</t>
  </si>
  <si>
    <t>2.3.2.7.3.4.</t>
  </si>
  <si>
    <t>2.3.2.7.3.0.</t>
  </si>
  <si>
    <t>2.3.2.7.4.</t>
  </si>
  <si>
    <t>2.3.2.7.4.1.</t>
  </si>
  <si>
    <t>2.3.2.7.4.2.</t>
  </si>
  <si>
    <t>2.3.2.7.4.3.</t>
  </si>
  <si>
    <t>2.3.2.7.4.4.</t>
  </si>
  <si>
    <t>2.3.2.7.4.0.</t>
  </si>
  <si>
    <t>2.3.3.</t>
  </si>
  <si>
    <t>Выручка по индивидуальным тарифам</t>
  </si>
  <si>
    <t>2.3.3.0.1.</t>
  </si>
  <si>
    <t>2.3.3.0.2.</t>
  </si>
  <si>
    <t>По ставке на содержание сетей (двухставочный тариф)</t>
  </si>
  <si>
    <t>2.3.3.0.2.0.</t>
  </si>
  <si>
    <t>2.3.3.0.3.</t>
  </si>
  <si>
    <t>По ставке на компенсацию потерь (двухставочный тариф)</t>
  </si>
  <si>
    <t>2.3.3.0.3.0.</t>
  </si>
  <si>
    <t>2.3.3.0.4.</t>
  </si>
  <si>
    <t>По одноставочному индивидуальному тарифу</t>
  </si>
  <si>
    <t>2.3.3.0.4.0.</t>
  </si>
  <si>
    <t>2.3.3.1.</t>
  </si>
  <si>
    <t>2.3.3.1.1.</t>
  </si>
  <si>
    <t>2.3.3.1.2.</t>
  </si>
  <si>
    <t>2.3.3.1.2.0.</t>
  </si>
  <si>
    <t>2.3.3.1.3.</t>
  </si>
  <si>
    <t>2.3.3.1.3.0.</t>
  </si>
  <si>
    <t>2.3.3.1.4.</t>
  </si>
  <si>
    <t>2.3.3.1.4.0.</t>
  </si>
  <si>
    <t>2.3.3.2.</t>
  </si>
  <si>
    <t>2.3.3.2.1.</t>
  </si>
  <si>
    <t>2.3.3.2.2.</t>
  </si>
  <si>
    <t>2.3.3.2.2.0.</t>
  </si>
  <si>
    <t>2.3.3.2.3.</t>
  </si>
  <si>
    <t>2.3.3.2.3.0.</t>
  </si>
  <si>
    <t>2.3.3.2.4.</t>
  </si>
  <si>
    <t>2.3.3.2.4.0.</t>
  </si>
  <si>
    <t>2.3.3.3.</t>
  </si>
  <si>
    <t>2.3.3.3.1.</t>
  </si>
  <si>
    <t>2.3.3.3.2.</t>
  </si>
  <si>
    <t>2.3.3.3.2.0.</t>
  </si>
  <si>
    <t>2.3.3.3.3.</t>
  </si>
  <si>
    <t>2.3.3.3.3.0.</t>
  </si>
  <si>
    <t>2.3.3.3.4.</t>
  </si>
  <si>
    <t>2.3.3.3.4.0.</t>
  </si>
  <si>
    <t>2.3.3.4.</t>
  </si>
  <si>
    <t>2.3.3.4.1.</t>
  </si>
  <si>
    <t>2.3.3.4.2.</t>
  </si>
  <si>
    <t>2.3.3.4.2.0.</t>
  </si>
  <si>
    <t>2.3.3.4.3.</t>
  </si>
  <si>
    <t>2.3.3.4.3.0.</t>
  </si>
  <si>
    <t>2.3.3.4.4.</t>
  </si>
  <si>
    <t>2.3.3.4.4.0.</t>
  </si>
  <si>
    <t>2.3.3.5.</t>
  </si>
  <si>
    <t>2.3.3.5.1.</t>
  </si>
  <si>
    <t>2.3.3.5.2.</t>
  </si>
  <si>
    <t>2.3.3.5.2.0.</t>
  </si>
  <si>
    <t>2.3.3.5.3.</t>
  </si>
  <si>
    <t>2.3.3.5.3.0.</t>
  </si>
  <si>
    <t>2.3.3.5.5.</t>
  </si>
  <si>
    <t>2.3.3.5.5.0.</t>
  </si>
  <si>
    <t>2.3.4.</t>
  </si>
  <si>
    <t>Справочно: Стоимость покупной э/э на компенсацию потерь</t>
  </si>
  <si>
    <t xml:space="preserve">тыс.руб. </t>
  </si>
  <si>
    <t>2.3.4.1.</t>
  </si>
  <si>
    <t>2.3.4.1.1.</t>
  </si>
  <si>
    <t>2.3.4.1.0.</t>
  </si>
  <si>
    <t>2.3.4.2.</t>
  </si>
  <si>
    <t>2.3.4.2.1.</t>
  </si>
  <si>
    <t>2.3.4.2.0.</t>
  </si>
  <si>
    <t>2.3.4.3.</t>
  </si>
  <si>
    <t>2.3.4.3.1.</t>
  </si>
  <si>
    <t>2.3.4.3.0.</t>
  </si>
  <si>
    <t>2.3.4.4.</t>
  </si>
  <si>
    <t>2.3.4.4.1.</t>
  </si>
  <si>
    <t>2.3.4.4.0.</t>
  </si>
  <si>
    <t>2.3.4.5.</t>
  </si>
  <si>
    <t>2.3.4.5.1.</t>
  </si>
  <si>
    <t>2.3.4.5.0.</t>
  </si>
  <si>
    <t>Сбыт</t>
  </si>
  <si>
    <t>3.1.1.1.</t>
  </si>
  <si>
    <t>Полезный отпуск электроэнергии потребителям</t>
  </si>
  <si>
    <t>3.1.1.1.0.1.</t>
  </si>
  <si>
    <t>3.1.1.1.0.2.</t>
  </si>
  <si>
    <t>Бюджет</t>
  </si>
  <si>
    <t>3.1.1.1.0.3.</t>
  </si>
  <si>
    <t>3.1.1.1.1.</t>
  </si>
  <si>
    <t>АО "Городские электрические сети"</t>
  </si>
  <si>
    <t>3.1.1.1.1.1.</t>
  </si>
  <si>
    <t>3.1.1.1.1.2.</t>
  </si>
  <si>
    <t>3.1.1.1.1.3.</t>
  </si>
  <si>
    <t>3.1.1.1.2.</t>
  </si>
  <si>
    <t>3.1.1.1.2.1.</t>
  </si>
  <si>
    <t>3.1.1.1.2.2.</t>
  </si>
  <si>
    <t>3.1.1.1.2.3.</t>
  </si>
  <si>
    <t>3.1.1.1.3.</t>
  </si>
  <si>
    <t>Потребляемые в качестве ЭСК</t>
  </si>
  <si>
    <t>3.1.1.1.3.1.</t>
  </si>
  <si>
    <t>3.1.1.1.3.2.</t>
  </si>
  <si>
    <t>3.1.1.1.3.3.</t>
  </si>
  <si>
    <t>3.1.1.1.4.</t>
  </si>
  <si>
    <t>3.1.1.1.4.1.</t>
  </si>
  <si>
    <t>3.1.1.1.4.2.</t>
  </si>
  <si>
    <t>3.1.1.1.4.3.</t>
  </si>
  <si>
    <t>3.1.1.1.5.</t>
  </si>
  <si>
    <t>на сетях Контрагента 5</t>
  </si>
  <si>
    <t>3.1.1.1.5.1.</t>
  </si>
  <si>
    <t>3.1.1.1.5.2.</t>
  </si>
  <si>
    <t>3.1.1.1.5.3.</t>
  </si>
  <si>
    <t>3.1.1.1.6.</t>
  </si>
  <si>
    <t>на прочих сетях</t>
  </si>
  <si>
    <t>3.1.1.1.6.1.</t>
  </si>
  <si>
    <t>3.1.1.1.6.2.</t>
  </si>
  <si>
    <t>3.1.1.1.6.3.</t>
  </si>
  <si>
    <t>3.1.1.2.</t>
  </si>
  <si>
    <t>Объем реализации электроэнергии в целях компенсации потерь</t>
  </si>
  <si>
    <t>3.1.1.2.1.</t>
  </si>
  <si>
    <t>3.1.1.2.1.1.</t>
  </si>
  <si>
    <t>3.1.1.2.2.</t>
  </si>
  <si>
    <t>3.1.1.2.2.1.</t>
  </si>
  <si>
    <t>3.1.1.2.3.</t>
  </si>
  <si>
    <t>3.1.1.2.3.1.</t>
  </si>
  <si>
    <t>3.1.1.2.4.</t>
  </si>
  <si>
    <t>3.1.1.2.4.1.</t>
  </si>
  <si>
    <t>3.1.1.2.5.</t>
  </si>
  <si>
    <t>3.1.1.2.5.1.</t>
  </si>
  <si>
    <t>3.1.1.2.6.</t>
  </si>
  <si>
    <t>3.1.1.2.6.1.</t>
  </si>
  <si>
    <t>3.1.1.3.</t>
  </si>
  <si>
    <t>Справочно: Покупная электроэнергия</t>
  </si>
  <si>
    <t>3.1.1.3.1.</t>
  </si>
  <si>
    <t>С оптового рынка</t>
  </si>
  <si>
    <t>3.1.1.3.2.</t>
  </si>
  <si>
    <t>С розничного рынка</t>
  </si>
  <si>
    <t>Средняя цена покупки электроэнергии</t>
  </si>
  <si>
    <t>руб. / кВтч</t>
  </si>
  <si>
    <t>3.2.1.1.</t>
  </si>
  <si>
    <t>3.2.1.2.</t>
  </si>
  <si>
    <t>Средняя цена продажи электроэнергии</t>
  </si>
  <si>
    <t>3.2.2.1.</t>
  </si>
  <si>
    <t>3.2.2.3.</t>
  </si>
  <si>
    <t>Средняя цена электроэнергии в целях компенсации потерь</t>
  </si>
  <si>
    <t>3.2.3.1.</t>
  </si>
  <si>
    <t>3.2.3.2.</t>
  </si>
  <si>
    <t>3.2.3.3.</t>
  </si>
  <si>
    <t>3.2.3.4.</t>
  </si>
  <si>
    <t>3.2.3.5.</t>
  </si>
  <si>
    <t>3.2.3.6.</t>
  </si>
  <si>
    <t>3.2.4.</t>
  </si>
  <si>
    <t>Средняя сбытовая надбавка</t>
  </si>
  <si>
    <t>Выручка от реализации электроэнергии, всего</t>
  </si>
  <si>
    <t>3.3.1.1.</t>
  </si>
  <si>
    <t>Выручка от реализации электроэнергии потребителям</t>
  </si>
  <si>
    <t>3.3.1.1.0.1.</t>
  </si>
  <si>
    <t>3.3.1.1.0.2.</t>
  </si>
  <si>
    <t>3.3.1.1.0.3.</t>
  </si>
  <si>
    <t>3.3.1.1.1.</t>
  </si>
  <si>
    <t>3.3.1.1.1.1.</t>
  </si>
  <si>
    <t>3.3.1.1.1.2.</t>
  </si>
  <si>
    <t>3.3.1.1.1.3.</t>
  </si>
  <si>
    <t>3.3.1.1.2.</t>
  </si>
  <si>
    <t>3.3.1.1.2.1.</t>
  </si>
  <si>
    <t>3.3.1.1.2.2.</t>
  </si>
  <si>
    <t>3.3.1.1.2.3.</t>
  </si>
  <si>
    <t>3.3.1.1.3.</t>
  </si>
  <si>
    <t>3.3.1.1.3.1.</t>
  </si>
  <si>
    <t>3.3.1.1.3.2.</t>
  </si>
  <si>
    <t>3.3.1.1.3.3.</t>
  </si>
  <si>
    <t>3.3.1.1.4.</t>
  </si>
  <si>
    <t>от продажи э/э ОРЭМ</t>
  </si>
  <si>
    <t>3.3.1.1.4.1.</t>
  </si>
  <si>
    <t>3.3.1.1.4.2.</t>
  </si>
  <si>
    <t>3.3.1.1.4.3.</t>
  </si>
  <si>
    <t>3.3.1.1.5.</t>
  </si>
  <si>
    <t>3.3.1.1.5.1.</t>
  </si>
  <si>
    <t>3.3.1.1.5.2.</t>
  </si>
  <si>
    <t>3.3.1.1.5.3.</t>
  </si>
  <si>
    <t>3.3.1.1.6.</t>
  </si>
  <si>
    <t>3.3.1.1.6.1.</t>
  </si>
  <si>
    <t>3.3.1.1.6.2.</t>
  </si>
  <si>
    <t>3.3.1.1.6.3.</t>
  </si>
  <si>
    <t>3.3.1.2.</t>
  </si>
  <si>
    <t>Выручка от реализации электроэнергии в целях компенсации потерь</t>
  </si>
  <si>
    <t>3.3.1.2.1.</t>
  </si>
  <si>
    <t>3.3.1.2.1.1.</t>
  </si>
  <si>
    <t>3.3.1.2.2.</t>
  </si>
  <si>
    <t>3.3.1.2.2.1.</t>
  </si>
  <si>
    <t>3.3.1.2.3.</t>
  </si>
  <si>
    <t>3.3.1.2.3.1.</t>
  </si>
  <si>
    <t>3.3.1.2.4.</t>
  </si>
  <si>
    <t>3.3.1.2.4.1.</t>
  </si>
  <si>
    <t>3.3.1.2.5.</t>
  </si>
  <si>
    <t>3.3.1.2.5.1.</t>
  </si>
  <si>
    <t>3.3.1.2.6.</t>
  </si>
  <si>
    <t>3.3.1.2.6.1.</t>
  </si>
  <si>
    <t>Субсидии по электроэнергии</t>
  </si>
  <si>
    <t>Выручка от сбыта электроэнергии с субсидиями</t>
  </si>
  <si>
    <t>3.3.4.</t>
  </si>
  <si>
    <t>Справочно: Покупная электроэнергия и мощность для реализации</t>
  </si>
  <si>
    <t>3.3.4.1.</t>
  </si>
  <si>
    <t>Оптовый рынок</t>
  </si>
  <si>
    <t>3.3.4.2.</t>
  </si>
  <si>
    <t>Розничный рынок</t>
  </si>
  <si>
    <t>3.3.5.</t>
  </si>
  <si>
    <t>Справочно: Услуги инфраструктурных организаций оптового рынка (ОРЭ)</t>
  </si>
  <si>
    <t>3.3.5.1.</t>
  </si>
  <si>
    <t>НП АТС</t>
  </si>
  <si>
    <t>3.3.5.2.</t>
  </si>
  <si>
    <t>ЦФР</t>
  </si>
  <si>
    <t>3.3.5.3.</t>
  </si>
  <si>
    <t>Системный оператор ЕЭС</t>
  </si>
  <si>
    <t>3.3.5.4.</t>
  </si>
  <si>
    <t>Московская энергетическая биржа</t>
  </si>
  <si>
    <t>3.3.5.5.</t>
  </si>
  <si>
    <t xml:space="preserve">Прочие организации </t>
  </si>
  <si>
    <t>3.3.6.</t>
  </si>
  <si>
    <t>Справочно: Услуги по передаче электроэнергии (без нагрузочных потерь)</t>
  </si>
  <si>
    <t>3.3.6.1.</t>
  </si>
  <si>
    <t>ФСК ЕЭС</t>
  </si>
  <si>
    <t>3.3.6.2.</t>
  </si>
  <si>
    <t xml:space="preserve">Тюменьэнерго </t>
  </si>
  <si>
    <t>3.3.6.3.</t>
  </si>
  <si>
    <t>МРСК</t>
  </si>
  <si>
    <t>3.3.6.4.</t>
  </si>
  <si>
    <t>Прочие ТСО</t>
  </si>
  <si>
    <t>ТЕПЛОЭНЕРГИЯ</t>
  </si>
  <si>
    <t>Полезный отпуск теплоэнергии, всего</t>
  </si>
  <si>
    <t>тыс. Гкал</t>
  </si>
  <si>
    <t>4.1.1.0.1.</t>
  </si>
  <si>
    <t>4.1.1.0.1.0.</t>
  </si>
  <si>
    <t>4.1.1.0.2.</t>
  </si>
  <si>
    <t>4.1.1.0.2.0.</t>
  </si>
  <si>
    <t>4.1.1.0.3.</t>
  </si>
  <si>
    <t>4.1.1.0.3.0.</t>
  </si>
  <si>
    <t>4.1.1.1.</t>
  </si>
  <si>
    <t>Полезный отпуск теплоэнергии потребителям напрямую с коллекторов</t>
  </si>
  <si>
    <t>4.1.1.1.2.</t>
  </si>
  <si>
    <t>4.1.1.1.2.0.</t>
  </si>
  <si>
    <t>4.1.1.1.3.</t>
  </si>
  <si>
    <t>4.1.1.1.3.1.</t>
  </si>
  <si>
    <t>4.1.1.1.3.1.0.</t>
  </si>
  <si>
    <t>4.1.1.1.3.2.</t>
  </si>
  <si>
    <t>4.1.1.1.3.2.0.</t>
  </si>
  <si>
    <t>4.1.1.2.</t>
  </si>
  <si>
    <t>Полезный отпуск теплоэнергии из тепловой сети</t>
  </si>
  <si>
    <t>4.1.1.2.1.</t>
  </si>
  <si>
    <t>4.1.1.2.1.0.</t>
  </si>
  <si>
    <t>4.1.1.2.2.</t>
  </si>
  <si>
    <t>4.1.1.2.2.0.</t>
  </si>
  <si>
    <t>4.1.1.2.3.</t>
  </si>
  <si>
    <t>4.1.1.2.3.0.</t>
  </si>
  <si>
    <t>4.1.1.3.</t>
  </si>
  <si>
    <t>Передача теплоэнергии</t>
  </si>
  <si>
    <t>4.1.1.3.0.</t>
  </si>
  <si>
    <t>Полезный отпуск теплоносителя, всего</t>
  </si>
  <si>
    <t>тыс. м3</t>
  </si>
  <si>
    <t>4.1.2.1.</t>
  </si>
  <si>
    <t xml:space="preserve">Теплоноситель, поставляемый теплоснабжающей организацией, владеющей источником т/э, на котором производится теплоноситель </t>
  </si>
  <si>
    <r>
      <t>тыс. м</t>
    </r>
    <r>
      <rPr>
        <vertAlign val="superscript"/>
        <sz val="8"/>
        <color theme="1"/>
        <rFont val="Arial"/>
        <family val="2"/>
        <charset val="204"/>
      </rPr>
      <t>3</t>
    </r>
  </si>
  <si>
    <t>4.1.2.1.0.</t>
  </si>
  <si>
    <t>4.1.2.2.</t>
  </si>
  <si>
    <t>Теплоноситель, поставляемый потребителям</t>
  </si>
  <si>
    <t>4.1.2.2.0.</t>
  </si>
  <si>
    <t>Средний тариф на теплоэнергию</t>
  </si>
  <si>
    <t>руб/Гкал</t>
  </si>
  <si>
    <t>4.2.1.0.1.</t>
  </si>
  <si>
    <t>4.2.1.0.1.0.</t>
  </si>
  <si>
    <t>4.2.1.0.3.</t>
  </si>
  <si>
    <t>4.2.1.0.3.0.</t>
  </si>
  <si>
    <t>4.2.1.1.</t>
  </si>
  <si>
    <t>Средний тариф на теплоэнергию с коллекторов</t>
  </si>
  <si>
    <t>4.2.1.1.1.</t>
  </si>
  <si>
    <t>4.2.1.1.1.0.</t>
  </si>
  <si>
    <t>4.2.1.1.2.</t>
  </si>
  <si>
    <t>4.2.1.1.2.1.</t>
  </si>
  <si>
    <t>4.2.1.1.2.1.0.</t>
  </si>
  <si>
    <t>4.2.1.1.2.2.</t>
  </si>
  <si>
    <t>4.2.1.1.2.2.0.</t>
  </si>
  <si>
    <t>4.2.1.2.</t>
  </si>
  <si>
    <t>Средний тариф на теплоэнергию из тепловой сети</t>
  </si>
  <si>
    <t>4.2.1.2.1.</t>
  </si>
  <si>
    <t>4.2.1.2.1.0.</t>
  </si>
  <si>
    <t>4.2.1.2.3.</t>
  </si>
  <si>
    <t>4.2.1.2.3.0.</t>
  </si>
  <si>
    <t>4.2.1.3.</t>
  </si>
  <si>
    <t>Средний тариф на передачу теплоэнергии</t>
  </si>
  <si>
    <t>4.2.1.3.0.</t>
  </si>
  <si>
    <t>Средний тариф на теплоноситель</t>
  </si>
  <si>
    <r>
      <t>руб./м</t>
    </r>
    <r>
      <rPr>
        <b/>
        <vertAlign val="superscript"/>
        <sz val="8"/>
        <color theme="1"/>
        <rFont val="Arial"/>
        <family val="2"/>
        <charset val="204"/>
      </rPr>
      <t>3</t>
    </r>
  </si>
  <si>
    <t>4.2.2.1.</t>
  </si>
  <si>
    <t xml:space="preserve">Одноставочный тариф на теплоноситель, владеющей источникаом т/э, на котором производится теплоноситель </t>
  </si>
  <si>
    <r>
      <t>руб./м</t>
    </r>
    <r>
      <rPr>
        <vertAlign val="superscript"/>
        <sz val="8"/>
        <color theme="1"/>
        <rFont val="Arial"/>
        <family val="2"/>
        <charset val="204"/>
      </rPr>
      <t>3</t>
    </r>
  </si>
  <si>
    <t>4.2.2.1.0.</t>
  </si>
  <si>
    <t>4.2.2.2.</t>
  </si>
  <si>
    <t>Одноставочный тариф  на теплоноситель, поставляемый потребителям</t>
  </si>
  <si>
    <t>4.2.2.2.0.</t>
  </si>
  <si>
    <t>4.3.</t>
  </si>
  <si>
    <t>4.3.1.</t>
  </si>
  <si>
    <t>Выручка от реализации теплоэнергии</t>
  </si>
  <si>
    <t>4.3.1.0.1.</t>
  </si>
  <si>
    <t>4.3.1.0.1.0.</t>
  </si>
  <si>
    <t>4.3.1.0.2.</t>
  </si>
  <si>
    <t>4.3.1.0.2.0.</t>
  </si>
  <si>
    <t>4.3.1.0.3.</t>
  </si>
  <si>
    <t>4.3.1.0.3.0.</t>
  </si>
  <si>
    <t>4.3.1.1.</t>
  </si>
  <si>
    <t>Выручка от реализации теплоэнергии напрямую с коллекторов</t>
  </si>
  <si>
    <t>4.3.1.1.2.</t>
  </si>
  <si>
    <t>4.3.1.1.2.0.</t>
  </si>
  <si>
    <t>4.3.1.1.3.</t>
  </si>
  <si>
    <t>4.3.1.1.3.1.</t>
  </si>
  <si>
    <t>4.3.1.1.3.1.0.</t>
  </si>
  <si>
    <t>4.3.1.1.3.2.</t>
  </si>
  <si>
    <t>4.3.1.1.3.2.0.</t>
  </si>
  <si>
    <t>4.3.1.2.</t>
  </si>
  <si>
    <t>Выручка от реализации теплоэнергии из тепловой сети</t>
  </si>
  <si>
    <t>4.3.1.2.1.</t>
  </si>
  <si>
    <t>4.3.1.2.1.0.</t>
  </si>
  <si>
    <t>4.3.1.2.2.</t>
  </si>
  <si>
    <t>4.3.1.2.2.0.</t>
  </si>
  <si>
    <t>4.3.1.2.3.</t>
  </si>
  <si>
    <t>4.3.1.2.3.0.</t>
  </si>
  <si>
    <t>4.3.1.3.</t>
  </si>
  <si>
    <t>Выручка от передачи теплоэнергии</t>
  </si>
  <si>
    <t>4.3.1.3.0.</t>
  </si>
  <si>
    <t>4.3.2.</t>
  </si>
  <si>
    <t>Выручка от теплоносителя</t>
  </si>
  <si>
    <t>4.3.3.</t>
  </si>
  <si>
    <t>Субсидии по теплоэнергии</t>
  </si>
  <si>
    <t>4.3.4.</t>
  </si>
  <si>
    <t xml:space="preserve">Выручка от теплоэнергии с субсидиями </t>
  </si>
  <si>
    <t>ГОРЯЧЕЕ ВОДОСНАБЖЕНИЕ</t>
  </si>
  <si>
    <t>5.1.</t>
  </si>
  <si>
    <t>5.1.1.</t>
  </si>
  <si>
    <t>Полезный отпуск ГВС, всего</t>
  </si>
  <si>
    <r>
      <t>тыс. м</t>
    </r>
    <r>
      <rPr>
        <b/>
        <vertAlign val="superscript"/>
        <sz val="8"/>
        <color theme="1"/>
        <rFont val="Arial"/>
        <family val="2"/>
        <charset val="204"/>
      </rPr>
      <t>3</t>
    </r>
  </si>
  <si>
    <t>5.1.1.1.0.1.</t>
  </si>
  <si>
    <t>5.1.1.1.0.1.0.</t>
  </si>
  <si>
    <t>5.1.1.1.0.2.</t>
  </si>
  <si>
    <t>5.1.1.1.0.2.0.</t>
  </si>
  <si>
    <t>5.1.1.1.0.3.</t>
  </si>
  <si>
    <t>5.1.1.1.0.3.0.</t>
  </si>
  <si>
    <t>5.1.1.1.</t>
  </si>
  <si>
    <t>Закрытая система</t>
  </si>
  <si>
    <t>5.1.1.1.1.</t>
  </si>
  <si>
    <t>Полезный отпуск по однокомпонентному тарифу</t>
  </si>
  <si>
    <t>5.1.1.1.1.1.</t>
  </si>
  <si>
    <t>5.1.1.1.1.1.0.</t>
  </si>
  <si>
    <t>5.1.1.1.1.2.</t>
  </si>
  <si>
    <t>5.1.1.1.1.2.0.</t>
  </si>
  <si>
    <t>5.1.1.1.1.3.</t>
  </si>
  <si>
    <t>5.1.1.1.1.3.0.</t>
  </si>
  <si>
    <t>5.1.1.1.2.</t>
  </si>
  <si>
    <t>Полезный отпуск по двухкомпонентному тарифу</t>
  </si>
  <si>
    <t>5.1.1.1.2.0.1.</t>
  </si>
  <si>
    <t>Компонент на холодную воду</t>
  </si>
  <si>
    <t>5.1.1.1.2.0.1.1.</t>
  </si>
  <si>
    <t>5.1.1.1.2.0.1.1.0.</t>
  </si>
  <si>
    <t>5.1.1.1.2.0.1.2.</t>
  </si>
  <si>
    <t>5.1.1.1.2.0.1.2.0.</t>
  </si>
  <si>
    <t>5.1.1.1.2.0.1.3.</t>
  </si>
  <si>
    <t>5.1.1.1.2.0.1.3.0.</t>
  </si>
  <si>
    <t>5.1.1.1.2.0.2.</t>
  </si>
  <si>
    <t>Компонент на тепловую энергию</t>
  </si>
  <si>
    <t>5.1.1.1.2.0.2.1.</t>
  </si>
  <si>
    <t>5.1.1.1.2.0.2.1.0.</t>
  </si>
  <si>
    <t>5.1.1.1.2.0.2.2.</t>
  </si>
  <si>
    <t>5.1.1.1.2.0.2.2.0.</t>
  </si>
  <si>
    <t>5.1.1.1.2.0.2.3.</t>
  </si>
  <si>
    <t>5.1.1.1.2.0.2.3.0.</t>
  </si>
  <si>
    <t>5.1.1.1.2.1.</t>
  </si>
  <si>
    <t>С коллектора</t>
  </si>
  <si>
    <t>5.1.1.1.2.1.1.</t>
  </si>
  <si>
    <t>5.1.1.1.2.1.1.2.</t>
  </si>
  <si>
    <t>5.1.1.1.2.1.1.2.0.</t>
  </si>
  <si>
    <t>5.1.1.1.2.1.1.3.</t>
  </si>
  <si>
    <t>5.1.1.1.2.1.1.3.0.</t>
  </si>
  <si>
    <t>5.1.1.1.2.1.2.</t>
  </si>
  <si>
    <t>5.1.1.1.2.2.</t>
  </si>
  <si>
    <t>Из сети</t>
  </si>
  <si>
    <t>5.1.1.1.2.2.1.</t>
  </si>
  <si>
    <t>5.1.1.1.2.2.1.1.</t>
  </si>
  <si>
    <t>5.1.1.1.2.2.1.1.0.</t>
  </si>
  <si>
    <t>5.1.1.1.2.2.1.2.</t>
  </si>
  <si>
    <t>5.1.1.1.2.2.1.2.0.</t>
  </si>
  <si>
    <t>5.1.1.1.2.2.1.3.</t>
  </si>
  <si>
    <t>5.1.1.1.2.2.1.3.0.</t>
  </si>
  <si>
    <t>5.1.1.2.</t>
  </si>
  <si>
    <t>Открытая система</t>
  </si>
  <si>
    <t>тыс.м3</t>
  </si>
  <si>
    <t>5.1.1.2.1.</t>
  </si>
  <si>
    <t>5.1.1.2.1.1.</t>
  </si>
  <si>
    <t>5.1.1.2.1.1.0.</t>
  </si>
  <si>
    <t>5.1.1.2.1.2.</t>
  </si>
  <si>
    <t>5.1.1.2.1.2.0.</t>
  </si>
  <si>
    <t>5.1.1.2.1.3.</t>
  </si>
  <si>
    <t>5.1.1.2.1.3.0.</t>
  </si>
  <si>
    <t>5.1.1.2.2.</t>
  </si>
  <si>
    <t>5.1.1.2.2.0.1.</t>
  </si>
  <si>
    <t>Компонент на теплоноситель</t>
  </si>
  <si>
    <t>5.1.1.2.2.0.1.1.</t>
  </si>
  <si>
    <t>5.1.1.2.2.0.1.1.0.</t>
  </si>
  <si>
    <t>5.1.1.2.2.0.1.2.</t>
  </si>
  <si>
    <t>5.1.1.2.2.0.1.2.0.</t>
  </si>
  <si>
    <t>5.1.1.2.2.0.2.</t>
  </si>
  <si>
    <t>5.1.1.2.2.0.2.1.</t>
  </si>
  <si>
    <t>5.1.1.2.2.0.2.1.0.</t>
  </si>
  <si>
    <t>5.1.1.2.2.0.2.2.</t>
  </si>
  <si>
    <t>5.1.1.2.2.0.2.2.0.</t>
  </si>
  <si>
    <t>5.1.1.2.2.0.2.3.</t>
  </si>
  <si>
    <t>5.1.1.2.2.0.2.3.0.</t>
  </si>
  <si>
    <t>5.1.1.2.2.1.</t>
  </si>
  <si>
    <t>5.1.1.2.2.1.1.</t>
  </si>
  <si>
    <t>5.1.1.2.2.1.1.2.</t>
  </si>
  <si>
    <t>5.1.1.2.2.1.1.2.0.</t>
  </si>
  <si>
    <t>5.1.1.2.2.1.1.3.</t>
  </si>
  <si>
    <t>5.1.1.2.2.1.1.3.0.</t>
  </si>
  <si>
    <t>5.1.1.2.2.2.</t>
  </si>
  <si>
    <t>5.1.1.2.2.2.1.</t>
  </si>
  <si>
    <t>5.1.1.2.2.2.1.1.</t>
  </si>
  <si>
    <t>5.1.1.2.2.2.1.1.0.</t>
  </si>
  <si>
    <t>5.1.1.2.2.2.1.2.</t>
  </si>
  <si>
    <t>5.1.1.2.2.2.1.2.0.</t>
  </si>
  <si>
    <t>5.1.1.2.2.2.1.3.</t>
  </si>
  <si>
    <t>5.1.1.2.2.2.1.3.0.</t>
  </si>
  <si>
    <t>5.1.1.3.</t>
  </si>
  <si>
    <t>Объем отпущенной горячей воды (Транспортировка)</t>
  </si>
  <si>
    <t>5.1.1.3.0.</t>
  </si>
  <si>
    <t>5.2.</t>
  </si>
  <si>
    <t xml:space="preserve"> </t>
  </si>
  <si>
    <t>5.2.1.</t>
  </si>
  <si>
    <t xml:space="preserve">Средний тариф на услуги горячего водоснабжения (ГВС) </t>
  </si>
  <si>
    <t>руб./м3</t>
  </si>
  <si>
    <t>5.2.1.1.</t>
  </si>
  <si>
    <t>5.2.1.1.1.</t>
  </si>
  <si>
    <t>Средний тариф по однокомпонентному тарифу</t>
  </si>
  <si>
    <t>5.2.1.1.1.1.</t>
  </si>
  <si>
    <t>5.2.1.1.1.1.0.</t>
  </si>
  <si>
    <t>5.2.1.1.1.2.</t>
  </si>
  <si>
    <t>5.2.1.1.1.2.0.</t>
  </si>
  <si>
    <t>5.2.1.1.2.</t>
  </si>
  <si>
    <t>Средний тариф по двухкомпонентному тарифу</t>
  </si>
  <si>
    <t>5.2.1.1.2.1.</t>
  </si>
  <si>
    <t>с коллектора</t>
  </si>
  <si>
    <t>5.2.1.1.2.1.1.</t>
  </si>
  <si>
    <t>5.2.1.1.2.1.1.0.</t>
  </si>
  <si>
    <t>5.2.1.1.2.1.2.</t>
  </si>
  <si>
    <t>5.2.1.1.2.1.2.0.</t>
  </si>
  <si>
    <t>5.2.1.1.2.2.</t>
  </si>
  <si>
    <t>из сети</t>
  </si>
  <si>
    <t>5.2.1.1.2.2.1.</t>
  </si>
  <si>
    <t>5.2.1.1.2.2.1.1.</t>
  </si>
  <si>
    <t>5.2.1.1.2.2.1.1.0.</t>
  </si>
  <si>
    <t>5.2.1.1.2.2.1.2.</t>
  </si>
  <si>
    <t>5.2.1.1.2.2.1.2.0.</t>
  </si>
  <si>
    <t>5.2.1.1.2.2.2.</t>
  </si>
  <si>
    <t>5.2.1.1.2.2.2.1.</t>
  </si>
  <si>
    <t>5.2.1.1.2.2.2.1.0.</t>
  </si>
  <si>
    <t>5.2.1.1.2.2.2.2.</t>
  </si>
  <si>
    <t>5.2.1.1.2.2.2.2.0.</t>
  </si>
  <si>
    <t>5.2.1.2.</t>
  </si>
  <si>
    <t>5.2.1.2.1.</t>
  </si>
  <si>
    <t>5.2.1.2.1.1.</t>
  </si>
  <si>
    <t>5.2.1.2.1.1.0.</t>
  </si>
  <si>
    <t>5.2.1.2.1.2.</t>
  </si>
  <si>
    <t>5.2.1.2.1.2.0.</t>
  </si>
  <si>
    <t>5.2.1.2.2.1.</t>
  </si>
  <si>
    <t>5.2.1.2.2.1.1.</t>
  </si>
  <si>
    <t>5.2.1.2.2.1.1.0.</t>
  </si>
  <si>
    <t>5.2.1.2.2.1.2.</t>
  </si>
  <si>
    <t>5.2.1.2.2.1.2.0.</t>
  </si>
  <si>
    <t>5.2.1.2.2.2.</t>
  </si>
  <si>
    <t>5.2.1.2.2.2.1.</t>
  </si>
  <si>
    <t>5.2.1.2.2.2.1.1.</t>
  </si>
  <si>
    <t>5.2.1.2.2.2.1.1.0.</t>
  </si>
  <si>
    <t>5.2.1.2.2.2.1.2.</t>
  </si>
  <si>
    <t>5.2.1.2.2.2.1.2.0.</t>
  </si>
  <si>
    <t>5.2.1.2.2.2.2.</t>
  </si>
  <si>
    <t>5.2.1.2.2.2.2.1.</t>
  </si>
  <si>
    <t>5.2.1.2.2.2.2.1.0.</t>
  </si>
  <si>
    <t>5.2.1.2.2.2.2.2.</t>
  </si>
  <si>
    <t>5.2.1.2.2.2.2.2.0.</t>
  </si>
  <si>
    <t>5.2.1.3.</t>
  </si>
  <si>
    <t>Средний тариф на транспортировку ГВС</t>
  </si>
  <si>
    <t>5.2.1.3.0.</t>
  </si>
  <si>
    <t>5.3.</t>
  </si>
  <si>
    <t>5.3.1.</t>
  </si>
  <si>
    <t>Выручка от реализации услуг горячего водоснабжения</t>
  </si>
  <si>
    <t>5.3.1.1.0.1.</t>
  </si>
  <si>
    <t>5.3.1.1.0.2.</t>
  </si>
  <si>
    <t>5.3.1.1.0.3.</t>
  </si>
  <si>
    <t>5.3.1.1.</t>
  </si>
  <si>
    <t>5.3.1.1.1.</t>
  </si>
  <si>
    <t>Выручка по однокомпонентному тарифу</t>
  </si>
  <si>
    <t>5.3.1.1.1.1.</t>
  </si>
  <si>
    <t>5.3.1.1.1.2.</t>
  </si>
  <si>
    <t>5.3.1.1.1.3.</t>
  </si>
  <si>
    <t>5.3.1.1.2.</t>
  </si>
  <si>
    <t>Выручка по двухкомпонентному тарифу, всего</t>
  </si>
  <si>
    <t>5.3.1.1.2.0.1.</t>
  </si>
  <si>
    <t>5.3.1.1.2.0.1.1.</t>
  </si>
  <si>
    <t>5.3.1.1.2.0.1.2.</t>
  </si>
  <si>
    <t>5.3.1.1.2.0.1.3.</t>
  </si>
  <si>
    <t>5.3.1.1.2.1.</t>
  </si>
  <si>
    <t>5.3.1.1.2.1.1.</t>
  </si>
  <si>
    <t>компонент на холодную воду</t>
  </si>
  <si>
    <t>5.3.1.1.2.1.1.2.</t>
  </si>
  <si>
    <t>5.3.1.1.2.1.1.3.</t>
  </si>
  <si>
    <t>прочие потребители</t>
  </si>
  <si>
    <t>компонент на тепловую энергию</t>
  </si>
  <si>
    <t>5.3.1.1.2.2.</t>
  </si>
  <si>
    <t>5.3.1.1.2.2.1.</t>
  </si>
  <si>
    <t>5.3.1.1.2.2.1.1.</t>
  </si>
  <si>
    <t>5.3.1.1.2.2.1.2.</t>
  </si>
  <si>
    <t>5.3.1.1.2.2.1.3.</t>
  </si>
  <si>
    <t>5.3.1.2.</t>
  </si>
  <si>
    <t>5.3.1.2.1.</t>
  </si>
  <si>
    <t>5.3.1.2.1.1.</t>
  </si>
  <si>
    <t>5.3.1.2.1.2.</t>
  </si>
  <si>
    <t>5.3.1.2.1.3.</t>
  </si>
  <si>
    <t>5.3.1.2.2.</t>
  </si>
  <si>
    <t>Выручка по двухкомпонентному тарифу</t>
  </si>
  <si>
    <t>5.3.1.2.2.0.1.</t>
  </si>
  <si>
    <t>5.3.1.2.2.0.1.1.</t>
  </si>
  <si>
    <t>5.3.1.2.2.0.1.2.</t>
  </si>
  <si>
    <t>5.3.1.2.2.0.1.3.</t>
  </si>
  <si>
    <t>5.3.1.2.2.1.</t>
  </si>
  <si>
    <t>5.3.1.2.2.1.1.</t>
  </si>
  <si>
    <t>5.3.1.2.2.1.1.2.</t>
  </si>
  <si>
    <t>5.3.1.2.2.1.1.3.</t>
  </si>
  <si>
    <t>5.3.1.2.2.2.</t>
  </si>
  <si>
    <t>5.3.1.2.2.2.1.</t>
  </si>
  <si>
    <t>5.3.1.2.2.2.1.1.</t>
  </si>
  <si>
    <t>5.3.1.2.2.2.1.2.</t>
  </si>
  <si>
    <t>5.3.1.2.2.2.1.3.</t>
  </si>
  <si>
    <t>5.3.1.2.2.2.2.</t>
  </si>
  <si>
    <t>5.3.1.2.2.2.2.1.</t>
  </si>
  <si>
    <t>5.3.1.2.2.2.2.2.</t>
  </si>
  <si>
    <t>5.3.1.2.2.2.2.3.</t>
  </si>
  <si>
    <t>5.3.1.3.</t>
  </si>
  <si>
    <t>Выручка от транспортировки ГВС</t>
  </si>
  <si>
    <t>5.3.2.</t>
  </si>
  <si>
    <t>Субсидии</t>
  </si>
  <si>
    <t>5.3.3.</t>
  </si>
  <si>
    <t xml:space="preserve">Выручка от горячего водоснабжения с субсидиями </t>
  </si>
  <si>
    <t>ВОДОСНАБЖЕНИЕ</t>
  </si>
  <si>
    <t>6.1.</t>
  </si>
  <si>
    <t>6.1.1.</t>
  </si>
  <si>
    <t>Объем услуг водоснабжения, всего</t>
  </si>
  <si>
    <t>6.1.1.0.1.</t>
  </si>
  <si>
    <t>6.1.1.0.1.0.</t>
  </si>
  <si>
    <t>6.1.1.0.2.</t>
  </si>
  <si>
    <t>6.1.1.0.2.0.</t>
  </si>
  <si>
    <t>6.1.1.0.3.</t>
  </si>
  <si>
    <t>6.1.1.0.3.0.</t>
  </si>
  <si>
    <t>6.1.1.1.</t>
  </si>
  <si>
    <t>Полезный отпуск питьевой воды</t>
  </si>
  <si>
    <r>
      <t>тыс.м</t>
    </r>
    <r>
      <rPr>
        <b/>
        <vertAlign val="superscript"/>
        <sz val="8"/>
        <color theme="1"/>
        <rFont val="Arial"/>
        <family val="2"/>
        <charset val="204"/>
      </rPr>
      <t>3</t>
    </r>
  </si>
  <si>
    <t>6.1.1.1.1.</t>
  </si>
  <si>
    <t>6.1.1.1.1.0.</t>
  </si>
  <si>
    <t>6.1.1.1.2.</t>
  </si>
  <si>
    <t>6.1.1.1.2.0.</t>
  </si>
  <si>
    <t>6.1.1.1.3.</t>
  </si>
  <si>
    <t>6.1.1.1.3.0.</t>
  </si>
  <si>
    <t>6.1.1.2.</t>
  </si>
  <si>
    <t>Полезный отпуск технической воды</t>
  </si>
  <si>
    <t>6.1.1.2.1.</t>
  </si>
  <si>
    <t>6.1.1.2.1.0.</t>
  </si>
  <si>
    <t>6.1.1.2.2.</t>
  </si>
  <si>
    <t>6.1.1.2.2.0.</t>
  </si>
  <si>
    <t>6.1.1.2.3.</t>
  </si>
  <si>
    <t>6.1.1.2.3.0.</t>
  </si>
  <si>
    <t>6.1.1.3.</t>
  </si>
  <si>
    <t>Объем отпущенной питьевой воды (Транспортировка)</t>
  </si>
  <si>
    <t>6.1.1.3.0.</t>
  </si>
  <si>
    <t>6.1.1.4.</t>
  </si>
  <si>
    <t>Объем отпущенной технической воды (Транспортировка)</t>
  </si>
  <si>
    <t>6.1.1.4.0.</t>
  </si>
  <si>
    <t>6.2.</t>
  </si>
  <si>
    <t>6.2.1.</t>
  </si>
  <si>
    <t>Средний тариф на услуги водоснабжения</t>
  </si>
  <si>
    <t>6.2.1.0.1.</t>
  </si>
  <si>
    <t>6.2.1.0.1.0.</t>
  </si>
  <si>
    <t>6.2.1.0.3.</t>
  </si>
  <si>
    <t>6.2.1.0.3.0.</t>
  </si>
  <si>
    <t>6.2.1.1.</t>
  </si>
  <si>
    <t>Средний тариф на питьевую воду</t>
  </si>
  <si>
    <t>6.2.1.1.1.</t>
  </si>
  <si>
    <t>6.2.1.1.1.0.</t>
  </si>
  <si>
    <t>6.2.1.1.3.</t>
  </si>
  <si>
    <t>6.2.1.1.3.0.</t>
  </si>
  <si>
    <t>6.2.1.2.</t>
  </si>
  <si>
    <t xml:space="preserve">Средний тариф на техничсекую воду </t>
  </si>
  <si>
    <t>6.2.1.2.1.</t>
  </si>
  <si>
    <t>6.2.1.2.1.0.</t>
  </si>
  <si>
    <t>6.2.1.2.3.</t>
  </si>
  <si>
    <t>6.2.1.2.3.0.</t>
  </si>
  <si>
    <t>6.2.1.3.</t>
  </si>
  <si>
    <t>6.2.1.3.0.</t>
  </si>
  <si>
    <t>6.2.1.4.</t>
  </si>
  <si>
    <t>6.2.1.4.0.</t>
  </si>
  <si>
    <t>6.3.</t>
  </si>
  <si>
    <t>6.3.1.</t>
  </si>
  <si>
    <t>Выручка от реализации услуг водоснабжения</t>
  </si>
  <si>
    <t>6.3.1.0.1.</t>
  </si>
  <si>
    <t>6.3.1.0.1.0.</t>
  </si>
  <si>
    <t>6.3.1.0.2.</t>
  </si>
  <si>
    <t>6.3.1.0.2.0.</t>
  </si>
  <si>
    <t>6.3.1.0.3.</t>
  </si>
  <si>
    <t>6.3.1.0.3.0.</t>
  </si>
  <si>
    <t>6.3.1.1.</t>
  </si>
  <si>
    <t>Выручка от питьевой воды</t>
  </si>
  <si>
    <t>6.3.1.1.1.</t>
  </si>
  <si>
    <t>6.3.1.1.1.0.</t>
  </si>
  <si>
    <t>6.3.1.1.2.</t>
  </si>
  <si>
    <t>6.3.1.1.2.0.</t>
  </si>
  <si>
    <t>6.3.1.1.3.</t>
  </si>
  <si>
    <t>6.3.1.1.3.0.</t>
  </si>
  <si>
    <t>6.3.1.2.</t>
  </si>
  <si>
    <t>Выручка от технической воды</t>
  </si>
  <si>
    <t>6.3.1.2.1.</t>
  </si>
  <si>
    <t>6.3.1.2.1.0.</t>
  </si>
  <si>
    <t>6.3.1.2.2.</t>
  </si>
  <si>
    <t>6.3.1.2.2.0.</t>
  </si>
  <si>
    <t>6.3.1.2.3.</t>
  </si>
  <si>
    <t>6.3.1.2.3.0.</t>
  </si>
  <si>
    <t>6.3.1.3.</t>
  </si>
  <si>
    <t xml:space="preserve">Выручка от транспортировки питьевой воды </t>
  </si>
  <si>
    <t>6.3.1.3.0.</t>
  </si>
  <si>
    <t>6.3.1.4.</t>
  </si>
  <si>
    <t xml:space="preserve">Выручка от транспортировки технической воды </t>
  </si>
  <si>
    <t>6.3.1.4.0.</t>
  </si>
  <si>
    <t>6.3.2.</t>
  </si>
  <si>
    <t>Субсидии по водоснабжению</t>
  </si>
  <si>
    <t>6.3.3.</t>
  </si>
  <si>
    <t>Выручка от водоснабжения с субсидиями</t>
  </si>
  <si>
    <t>ВОДООТВЕДЕНИЕ</t>
  </si>
  <si>
    <t>7.1.</t>
  </si>
  <si>
    <t>7.1.1.</t>
  </si>
  <si>
    <t>Объем услуг водоотведения</t>
  </si>
  <si>
    <t>7.1.1.1.</t>
  </si>
  <si>
    <t>Объем водоотведения</t>
  </si>
  <si>
    <t>7.1.1.1.1.</t>
  </si>
  <si>
    <t>7.1.1.1.1.0.</t>
  </si>
  <si>
    <t>7.1.1.1.2.</t>
  </si>
  <si>
    <t>7.1.1.1.2.0.</t>
  </si>
  <si>
    <t>7.1.1.1.3.</t>
  </si>
  <si>
    <t>7.1.1.1.3.0.</t>
  </si>
  <si>
    <t>7.1.1.2.</t>
  </si>
  <si>
    <t>Объем транспортируемых сточных вод</t>
  </si>
  <si>
    <t>7.1.1.2.0.</t>
  </si>
  <si>
    <t>7.2.</t>
  </si>
  <si>
    <t>7.2.1.</t>
  </si>
  <si>
    <t>Средний тариф на услуги водоотведения</t>
  </si>
  <si>
    <t>7.2.1.1.</t>
  </si>
  <si>
    <t>Средний тариф на водоотведение</t>
  </si>
  <si>
    <t>7.2.1.1.1.</t>
  </si>
  <si>
    <t>7.2.1.1.1.0.</t>
  </si>
  <si>
    <t>7.2.1.1.3.</t>
  </si>
  <si>
    <t>7.2.1.1.3.0.</t>
  </si>
  <si>
    <t>7.2.1.2.</t>
  </si>
  <si>
    <t>Средний тариф на транспортировку сточных вод</t>
  </si>
  <si>
    <t>7.2.1.2.0.</t>
  </si>
  <si>
    <t>7.3.</t>
  </si>
  <si>
    <t>7.3.1.</t>
  </si>
  <si>
    <t>Выручка от услуг водоотведения</t>
  </si>
  <si>
    <t>7.3.1.1.</t>
  </si>
  <si>
    <t>Выручка от водоотведения</t>
  </si>
  <si>
    <t>7.3.1.1.1.</t>
  </si>
  <si>
    <t>7.3.1.1.1.0.</t>
  </si>
  <si>
    <t>7.3.1.1.2.</t>
  </si>
  <si>
    <t>7.3.1.1.2.0.</t>
  </si>
  <si>
    <t>7.3.1.1.3.</t>
  </si>
  <si>
    <t>7.3.1.1.3.0.</t>
  </si>
  <si>
    <t>7.3.1.2.</t>
  </si>
  <si>
    <t>Выручка от транспортировки сточных вод</t>
  </si>
  <si>
    <t>7.3.1.2.0.</t>
  </si>
  <si>
    <t>7.3.2.</t>
  </si>
  <si>
    <t>Субсидии по водоотведению</t>
  </si>
  <si>
    <t>7.3.3.</t>
  </si>
  <si>
    <t>Выручка от водоотведения с субсидиями</t>
  </si>
  <si>
    <t>ТЕХПРИСОЕДИНЕНИЕ</t>
  </si>
  <si>
    <t>8.1.</t>
  </si>
  <si>
    <t>8.1.1.</t>
  </si>
  <si>
    <t>Объем техприсоединения к электрическим сетям, всего</t>
  </si>
  <si>
    <t>8.1.1.0.1.</t>
  </si>
  <si>
    <t>8.1.1.0.2.</t>
  </si>
  <si>
    <t>8.1.1.0.3.</t>
  </si>
  <si>
    <t>8.1.1.0.4.</t>
  </si>
  <si>
    <t>8.1.1.1.</t>
  </si>
  <si>
    <t xml:space="preserve">Техприсоединение льготных заявителей </t>
  </si>
  <si>
    <t>8.1.1.2.</t>
  </si>
  <si>
    <t xml:space="preserve">Техприсоединение прочих заявителей </t>
  </si>
  <si>
    <t>8.1.1.2.1.</t>
  </si>
  <si>
    <t>По стандартизированным ставкам</t>
  </si>
  <si>
    <t>8.1.1.2.2.</t>
  </si>
  <si>
    <t>По ставкам за мощность</t>
  </si>
  <si>
    <t>8.1.1.2.3.</t>
  </si>
  <si>
    <t>По индивидуальному проекту</t>
  </si>
  <si>
    <t>8.1.2.</t>
  </si>
  <si>
    <t>Объем техприсоединения к теплоснабжению, всего</t>
  </si>
  <si>
    <t>Гкал/час</t>
  </si>
  <si>
    <t>8.1.2.1.</t>
  </si>
  <si>
    <t>8.1.2.2.</t>
  </si>
  <si>
    <t>8.1.2.2.1.</t>
  </si>
  <si>
    <t>До 0,1 Гкал</t>
  </si>
  <si>
    <t>8.1.2.2.2.</t>
  </si>
  <si>
    <t>От 0,1 до 1,5 Гкал</t>
  </si>
  <si>
    <t>8.1.2.2.3.</t>
  </si>
  <si>
    <t>Свыше 1,5 Гкал</t>
  </si>
  <si>
    <t>8.1.3.</t>
  </si>
  <si>
    <t>Объем техприсоединения к сетям водоснабжения и водоотведения</t>
  </si>
  <si>
    <r>
      <t>м</t>
    </r>
    <r>
      <rPr>
        <b/>
        <vertAlign val="superscript"/>
        <sz val="8"/>
        <color theme="1"/>
        <rFont val="Arial"/>
        <family val="2"/>
        <charset val="204"/>
      </rPr>
      <t>3</t>
    </r>
    <r>
      <rPr>
        <b/>
        <sz val="8"/>
        <color theme="1"/>
        <rFont val="Arial"/>
        <family val="2"/>
        <charset val="204"/>
      </rPr>
      <t>/сут</t>
    </r>
  </si>
  <si>
    <t>8.1.3.1.</t>
  </si>
  <si>
    <r>
      <t>м</t>
    </r>
    <r>
      <rPr>
        <vertAlign val="superscript"/>
        <sz val="8"/>
        <color theme="1"/>
        <rFont val="Arial"/>
        <family val="2"/>
        <charset val="204"/>
      </rPr>
      <t>3</t>
    </r>
    <r>
      <rPr>
        <sz val="8"/>
        <color theme="1"/>
        <rFont val="Arial"/>
        <family val="2"/>
        <charset val="204"/>
      </rPr>
      <t>/сут</t>
    </r>
  </si>
  <si>
    <t>8.1.3.2.</t>
  </si>
  <si>
    <t>8.2.</t>
  </si>
  <si>
    <t>8.2.1.</t>
  </si>
  <si>
    <t>Средняя стоимость техприсоединения к электрическим сетям</t>
  </si>
  <si>
    <t>руб/кВт</t>
  </si>
  <si>
    <t>8.2.1.0.1.</t>
  </si>
  <si>
    <t>8.2.1.0.2.</t>
  </si>
  <si>
    <t>8.2.1.0.3.</t>
  </si>
  <si>
    <t>8.2.1.0.4.</t>
  </si>
  <si>
    <t>8.2.1.1.</t>
  </si>
  <si>
    <t xml:space="preserve">Средняя стоимость присоединения льготных заявителей </t>
  </si>
  <si>
    <t>8.2.1.2.</t>
  </si>
  <si>
    <t xml:space="preserve">Средняя стоимость присоединения прочих заявителей </t>
  </si>
  <si>
    <t>8.2.1.2.1.</t>
  </si>
  <si>
    <t>8.2.1.2.2.</t>
  </si>
  <si>
    <t>8.2.1.2.3.</t>
  </si>
  <si>
    <t>8.2.2.</t>
  </si>
  <si>
    <t>Средняя стоимость присоединения к теплоснабжению, всего</t>
  </si>
  <si>
    <t>руб/ ГКал</t>
  </si>
  <si>
    <t>8.2.2.1.</t>
  </si>
  <si>
    <t>8.2.2.2.</t>
  </si>
  <si>
    <t xml:space="preserve">Средняя стоимость присоединение прочих заявителей </t>
  </si>
  <si>
    <t>8.2.2.2.1.</t>
  </si>
  <si>
    <t>8.2.2.2.2.</t>
  </si>
  <si>
    <t>8.2.2.2.3.</t>
  </si>
  <si>
    <t>8.2.3.</t>
  </si>
  <si>
    <t>Средняя стоимость техприсоединения к сетям водоснабжения и водоотведения</t>
  </si>
  <si>
    <t>8.3.</t>
  </si>
  <si>
    <t>8.3.1.</t>
  </si>
  <si>
    <t>Выручка от техприсоединения к электрическим сетям, всего</t>
  </si>
  <si>
    <t>8.3.1.0.1.</t>
  </si>
  <si>
    <t>8.3.1.0.2.</t>
  </si>
  <si>
    <t>8.3.1.0.3.</t>
  </si>
  <si>
    <t>8.3.1.0.4.</t>
  </si>
  <si>
    <t>8.3.1.1.</t>
  </si>
  <si>
    <t xml:space="preserve">Выручка от техприсоединения льготных заявителей </t>
  </si>
  <si>
    <t>8.3.1.2.</t>
  </si>
  <si>
    <t xml:space="preserve">Выручка от техприсоединения прочих заявителей </t>
  </si>
  <si>
    <t>8.3.1.2.1.</t>
  </si>
  <si>
    <t>8.3.1.2.2.</t>
  </si>
  <si>
    <t>8.3.1.2.3.</t>
  </si>
  <si>
    <t>8.3.2.</t>
  </si>
  <si>
    <t>Выручка от техприсоединения к теплоснабжению, всего</t>
  </si>
  <si>
    <t>8.3.2.1.</t>
  </si>
  <si>
    <t>8.3.2.2.</t>
  </si>
  <si>
    <t>8.3.2.2.1.</t>
  </si>
  <si>
    <t>8.3.2.2.2.</t>
  </si>
  <si>
    <t>8.3.2.2.3.</t>
  </si>
  <si>
    <t>8.3.3.</t>
  </si>
  <si>
    <t>Выручка от техприсоединения к сетям водоснабжения и водоотведения</t>
  </si>
  <si>
    <t>8.3.3.1.</t>
  </si>
  <si>
    <t>8.3.3.2.</t>
  </si>
  <si>
    <t>Получено Всего:</t>
  </si>
  <si>
    <t>Всего: в сеть АО "Горэлектросеть"</t>
  </si>
  <si>
    <t>в т.ч. ООО "Нижневартовскэнергонефть""</t>
  </si>
  <si>
    <t xml:space="preserve">Технологические потери, всего </t>
  </si>
  <si>
    <t>в сети  АО "Горэлектросеть"</t>
  </si>
  <si>
    <t>в сети  ООО "НЭН"</t>
  </si>
  <si>
    <t>в сети  АО "ЮРЭСК"</t>
  </si>
  <si>
    <t>Потребители 1 Ценовой категории</t>
  </si>
  <si>
    <t>свыше 10 МВт</t>
  </si>
  <si>
    <t>Производственные с/х потребители  и организации потребкооперации.</t>
  </si>
  <si>
    <t>Потребители 2 Ценовой категории</t>
  </si>
  <si>
    <t>Тарифы, дифференцированные по двум зонам суток*</t>
  </si>
  <si>
    <t>Потребители 3 Ценовой категории</t>
  </si>
  <si>
    <t>Потребители 4 Ценовой категории</t>
  </si>
  <si>
    <t>Потребители 5 Ценовой категории</t>
  </si>
  <si>
    <t>Потребители 6 Ценовой категории</t>
  </si>
  <si>
    <t>Население и потребители приравненные к населению</t>
  </si>
  <si>
    <t>Городское население</t>
  </si>
  <si>
    <t xml:space="preserve">Население, проживающее в домах, оборудованных газовыми плитами </t>
  </si>
  <si>
    <t xml:space="preserve">Население, проживающее в домах, оборудованных в установленном порядке стационарными электроплитами  и электроотопительными установками </t>
  </si>
  <si>
    <t>Другие ЭСО</t>
  </si>
  <si>
    <t>в.т.ч. Полезный отпуск потребителям, подключенным к сети АО "Горэлектросеть"</t>
  </si>
  <si>
    <t>в т.ч. Прочие</t>
  </si>
  <si>
    <t>в т.ч. Население</t>
  </si>
  <si>
    <t>с коэф. "0,7"</t>
  </si>
  <si>
    <t>с коэф. "1"</t>
  </si>
  <si>
    <t>в.ч. АО "ЮРЭСК"</t>
  </si>
  <si>
    <t>ИТОГО c потерями</t>
  </si>
  <si>
    <t xml:space="preserve">Потребители, приравненные к населению </t>
  </si>
  <si>
    <t>3,61,7</t>
  </si>
  <si>
    <t>3,62,7</t>
  </si>
  <si>
    <t>3,63,7</t>
  </si>
  <si>
    <t>3,64,7</t>
  </si>
  <si>
    <t>3,65,7</t>
  </si>
  <si>
    <t>3,66,7</t>
  </si>
  <si>
    <t>3,67,7</t>
  </si>
  <si>
    <t>3,67,11</t>
  </si>
  <si>
    <t>3,67,16</t>
  </si>
  <si>
    <t>договор 6914-1911 (218,219,220)</t>
  </si>
  <si>
    <t>3,70,7</t>
  </si>
  <si>
    <t>3,71,7</t>
  </si>
  <si>
    <t>3,72,7</t>
  </si>
  <si>
    <t>ООО"Нижневартовская Энергосбытовая компания"</t>
  </si>
  <si>
    <t>Согласовано:</t>
  </si>
  <si>
    <t>____________________________В.В. Эсауленко</t>
  </si>
  <si>
    <t>____________________________Ю.А. Елин</t>
  </si>
  <si>
    <t>"______"_________________2019г</t>
  </si>
  <si>
    <t xml:space="preserve">Структура полезного отпуска электрической энергии (мощности) по группам потребителей на 2020 год </t>
  </si>
  <si>
    <t>Наименование энергосбытовой организации:</t>
  </si>
  <si>
    <t>Объем полезного отпуска электроэнергии, млн.кВтч.</t>
  </si>
  <si>
    <t xml:space="preserve">Заявленная (расчетная) мощность, тыс.кВт. </t>
  </si>
  <si>
    <t xml:space="preserve">Доля потребления на разных диапазонах напряжений, % </t>
  </si>
  <si>
    <t>10.</t>
  </si>
  <si>
    <t>10.1.</t>
  </si>
  <si>
    <t>10.2.</t>
  </si>
  <si>
    <t>11.</t>
  </si>
  <si>
    <t>юр.л.</t>
  </si>
  <si>
    <t>физ.</t>
  </si>
  <si>
    <t>Наименование сетевой организации</t>
  </si>
  <si>
    <t>Всего:</t>
  </si>
  <si>
    <t>в т.ч. из сети ОАО "Горэлектросеть"</t>
  </si>
  <si>
    <t>в т.ч. у ЗАО" ЕЭСнК"</t>
  </si>
  <si>
    <t>3.4</t>
  </si>
  <si>
    <t>3.5</t>
  </si>
  <si>
    <t>3.6</t>
  </si>
  <si>
    <t>ОАО "Черогорэнерго"</t>
  </si>
  <si>
    <t>Период регулирования январь</t>
  </si>
  <si>
    <t>3.4.</t>
  </si>
  <si>
    <t>3.5.</t>
  </si>
  <si>
    <t>3.6.</t>
  </si>
  <si>
    <t xml:space="preserve">Показатели </t>
  </si>
  <si>
    <t>PNVAREK1: Распределительные сети г.Нижневартовска</t>
  </si>
  <si>
    <t>П 2014</t>
  </si>
  <si>
    <t>Ф 2014</t>
  </si>
  <si>
    <t>Покупка электроэнергии всего, в т.ч.</t>
  </si>
  <si>
    <t>с ОРЭМ, в т.ч.</t>
  </si>
  <si>
    <t>население и (или) приравненные к нему категории потребителей</t>
  </si>
  <si>
    <t>2.1.1.1</t>
  </si>
  <si>
    <t>2.1.1.2</t>
  </si>
  <si>
    <t>от розничных производителей , в т.ч.</t>
  </si>
  <si>
    <t>2.2.1</t>
  </si>
  <si>
    <t>2.2.1.1</t>
  </si>
  <si>
    <t>2.2.1.2</t>
  </si>
  <si>
    <t>Отпуск электроэнергии собственным потребителям, в т.ч.</t>
  </si>
  <si>
    <t xml:space="preserve">потери в региональных  электрических сетях </t>
  </si>
  <si>
    <t xml:space="preserve">Средняя  нагрузка потребления </t>
  </si>
  <si>
    <t>Покупка мощности с ОРЭМ</t>
  </si>
  <si>
    <t>в т.ч. население и (или) приравненные к нему категории потребителей</t>
  </si>
  <si>
    <t>5.1.1.1</t>
  </si>
  <si>
    <t>5.1.1.2</t>
  </si>
  <si>
    <t>покупка мощности от розничных производителей, в т.ч.</t>
  </si>
  <si>
    <t>5.2.1</t>
  </si>
  <si>
    <t>5.2.1.1</t>
  </si>
  <si>
    <t>5.2.1.2</t>
  </si>
  <si>
    <t>Кроме того: заявленная мощность потребителей розничного рынка, присоединенных к сетям ЕНЭС</t>
  </si>
  <si>
    <t>15.</t>
  </si>
  <si>
    <t>Поступление денежных средств ГП</t>
  </si>
  <si>
    <t>Поступление денежных средств ЭСО</t>
  </si>
  <si>
    <t>16.</t>
  </si>
  <si>
    <t>Поступление денежных средств ВСЕГО</t>
  </si>
  <si>
    <t>Исполнитель _________________________</t>
  </si>
  <si>
    <t>Разяпов Р.Г.</t>
  </si>
  <si>
    <t>Согласовано ________________________</t>
  </si>
  <si>
    <t>Стукалов А.В.</t>
  </si>
  <si>
    <t>ЧЧИМ</t>
  </si>
  <si>
    <t>(пп. «б» п. 52 Стандартов)
Информация о фактическом полезном отпуске электрической энергии (мощности) потребителям с выделением поставки населению</t>
  </si>
  <si>
    <t xml:space="preserve">(пп. «а» п. 52 Стандартов)
Информация об объемах покупки электрической энергии (мощности) на розничном рынке электроэнергии </t>
  </si>
  <si>
    <t>(пп. «г», «д»  п. 45 Стандартов)
Фактический полезный отпуск электроэнергии и мощности по группам потребителей</t>
  </si>
  <si>
    <t>Сбытовая надбавка ГП</t>
  </si>
  <si>
    <t>для Сетевых организаций</t>
  </si>
  <si>
    <t xml:space="preserve">Коэффициент параметров деятельности </t>
  </si>
  <si>
    <t>ЕКТ</t>
  </si>
  <si>
    <t>Двухставочный</t>
  </si>
  <si>
    <t>Ставка за содержание электрических сетей двухставочного тарифа на услуги по передаче электрической энергии</t>
  </si>
  <si>
    <t>Ставка на оплату технологического расхода (потерь) в электрических сетях двухставочного тарифа на услуги по передаче электрической энергии</t>
  </si>
  <si>
    <t>Население К 0,7</t>
  </si>
  <si>
    <t>Население К 1</t>
  </si>
  <si>
    <t xml:space="preserve">договор 5442 </t>
  </si>
  <si>
    <t xml:space="preserve">договор 2672 </t>
  </si>
  <si>
    <t>3,100,7</t>
  </si>
  <si>
    <t>3,101,7</t>
  </si>
  <si>
    <t>3,102,7</t>
  </si>
  <si>
    <t xml:space="preserve">ООО «НЭСКО» </t>
  </si>
  <si>
    <t>Доклад к видеоконференции ____.____._____ г.</t>
  </si>
  <si>
    <t>Отчетный период: январь 2019 г.</t>
  </si>
  <si>
    <t>План на год</t>
  </si>
  <si>
    <t>с начала года (за январь-)</t>
  </si>
  <si>
    <t>за аналогичный период предыдущего года (факт)</t>
  </si>
  <si>
    <t>за  январь- отчетного года (план)</t>
  </si>
  <si>
    <t>за  январь- отчетного года (факт)</t>
  </si>
  <si>
    <t>% факт к плану откл. (-/+)</t>
  </si>
  <si>
    <t>отчетный период (факт)</t>
  </si>
  <si>
    <t>    1. (без единого договора)</t>
  </si>
  <si>
    <t>        1.1. Промышленность</t>
  </si>
  <si>
    <t>        1.3. Бюджеты</t>
  </si>
  <si>
    <t>            Федеральный бюджет</t>
  </si>
  <si>
    <t>                образование</t>
  </si>
  <si>
    <t>                здравоохранение</t>
  </si>
  <si>
    <t>            Областной бюджет</t>
  </si>
  <si>
    <t>            Городской бюджет</t>
  </si>
  <si>
    <t>        1.4.Непром.потребители</t>
  </si>
  <si>
    <t>        1.5. Производств. сельхоз. потребители</t>
  </si>
  <si>
    <t>        1.6. Население всего</t>
  </si>
  <si>
    <t>    ПАО "Горэлектросеть"</t>
  </si>
  <si>
    <t>ПОТЕРИ всего, тыс. руб. (без НДС)</t>
  </si>
  <si>
    <t>УСЛУГИ всего, тыс. руб. (без НДС)</t>
  </si>
  <si>
    <t>тыс.руб. с НДС</t>
  </si>
  <si>
    <t>Водоснабжение</t>
  </si>
  <si>
    <t>Объём</t>
  </si>
  <si>
    <t>м3</t>
  </si>
  <si>
    <t>Водотведение</t>
  </si>
  <si>
    <t>ТКО</t>
  </si>
  <si>
    <t>2020 год ФАКТ</t>
  </si>
  <si>
    <t>Объём услуг по передаче э/э АО "ГЭС"</t>
  </si>
  <si>
    <t>Объём услуг по передаче э/э ОАО "ЮРЭСК"</t>
  </si>
  <si>
    <t>Стоимость услуг по передаче э/э АО "ГЭС"</t>
  </si>
  <si>
    <t>Стоимость услуг по передаче э/э ОАО "ЮРЭСК"</t>
  </si>
  <si>
    <t>Товарная выручка без потерь</t>
  </si>
  <si>
    <t>ВОДА</t>
  </si>
  <si>
    <t>Приложение № 1 к агентскому договору</t>
  </si>
  <si>
    <t>№ 01148.19 от 01.01.2019 г.</t>
  </si>
  <si>
    <t>Отчет по отпуску продукции</t>
  </si>
  <si>
    <t>ХВС,м3</t>
  </si>
  <si>
    <t>Сумма,руб.с НДС</t>
  </si>
  <si>
    <t>Водоотвед.,м3</t>
  </si>
  <si>
    <t>Всего отпущено за Январь 2020 г.:</t>
  </si>
  <si>
    <t>1.Население</t>
  </si>
  <si>
    <t xml:space="preserve">    в т.ч. бытовое население</t>
  </si>
  <si>
    <t xml:space="preserve">    в т.ч. исполнители КУ (ОДН)</t>
  </si>
  <si>
    <t xml:space="preserve">    в т.ч. УП "РТС" города Радужный</t>
  </si>
  <si>
    <t>2.Потребители бюджетные</t>
  </si>
  <si>
    <t>3.Потребители муниципальные</t>
  </si>
  <si>
    <t>4.Потребители промышленные</t>
  </si>
  <si>
    <t>5.Потребители непромышленные</t>
  </si>
  <si>
    <t>Генеральный директор АО «Горэлектросеть»</t>
  </si>
  <si>
    <t>________________ Ю.А. Елин</t>
  </si>
  <si>
    <t>________________ В.В. Эсауленко</t>
  </si>
  <si>
    <t>Приложение № 2 к агентскому договору</t>
  </si>
  <si>
    <t>I. Отчет по реализации (от имени ООО "НЭСКО" )</t>
  </si>
  <si>
    <t>Группа потребителей, наименование услуг</t>
  </si>
  <si>
    <t>тариф руб.</t>
  </si>
  <si>
    <t>Сальдо на начало отчетного месяца</t>
  </si>
  <si>
    <t>Отгружено</t>
  </si>
  <si>
    <t>Оплачено</t>
  </si>
  <si>
    <t>Возврат
(51 счет)</t>
  </si>
  <si>
    <t>Сальдо на конец отчетного месяца</t>
  </si>
  <si>
    <t>Дебет</t>
  </si>
  <si>
    <t>Кредит</t>
  </si>
  <si>
    <t>1. Население</t>
  </si>
  <si>
    <t>водоснабжение</t>
  </si>
  <si>
    <t>водоотведение</t>
  </si>
  <si>
    <t>2. Бюджетные потребители</t>
  </si>
  <si>
    <t>3. Потребители муниципальные</t>
  </si>
  <si>
    <t>4. Потребители промышленные</t>
  </si>
  <si>
    <t>5. Потребители непромышленные</t>
  </si>
  <si>
    <t xml:space="preserve">Отчетный период: </t>
  </si>
  <si>
    <t>2020 года</t>
  </si>
  <si>
    <t>План количественно-качественных показателей ООО "НЭСКО" на 2020 год</t>
  </si>
  <si>
    <t>Дата</t>
  </si>
  <si>
    <t>ООО "НЭСКО" в качестве ГП</t>
  </si>
  <si>
    <t>ИТОГО  ЭЭ</t>
  </si>
  <si>
    <t>Сбор по группам потребителей</t>
  </si>
  <si>
    <t>апрель 2020</t>
  </si>
  <si>
    <t>отчетный период (план)</t>
  </si>
  <si>
    <t>2020 год ПЛАН</t>
  </si>
  <si>
    <t>5.4.</t>
  </si>
  <si>
    <t>6.4.</t>
  </si>
  <si>
    <t>Сбор по ЭК ВОСТОК План ЭЭ</t>
  </si>
  <si>
    <t>Сбор по ЭК ВОСТОК План Вода</t>
  </si>
  <si>
    <t>Основные натуральные показатели деятельности ООО "НЭСКО" за 2020 год</t>
  </si>
  <si>
    <t>ОРЭМ</t>
  </si>
  <si>
    <t>Розница</t>
  </si>
  <si>
    <t>Отчет по реализации коммунальных услуг  по Агентскому договору</t>
  </si>
  <si>
    <t>договор 5099</t>
  </si>
  <si>
    <t>3,202,6</t>
  </si>
  <si>
    <t xml:space="preserve">договор </t>
  </si>
  <si>
    <t>договор 7161-2101</t>
  </si>
  <si>
    <t>3,67,6</t>
  </si>
  <si>
    <t>3,68,6</t>
  </si>
  <si>
    <t>3,69,6</t>
  </si>
  <si>
    <t>            Филиал АО "ГЭС" (теплоснабжение)</t>
  </si>
  <si>
    <t>            ООО "НКС"</t>
  </si>
  <si>
    <t xml:space="preserve">             Филиал АО "ГЭС" Тепло</t>
  </si>
  <si>
    <t xml:space="preserve">            ООО "НКС"</t>
  </si>
  <si>
    <t>Приложение</t>
  </si>
  <si>
    <t>Поставщик электрической энергии: ____________________________________________________________________________________</t>
  </si>
  <si>
    <t>Февраль</t>
  </si>
  <si>
    <t>Март</t>
  </si>
  <si>
    <t>Май</t>
  </si>
  <si>
    <t>Июнь</t>
  </si>
  <si>
    <t>Июль</t>
  </si>
  <si>
    <t>Август</t>
  </si>
  <si>
    <t>Сентябрь</t>
  </si>
  <si>
    <t>Октябрь</t>
  </si>
  <si>
    <t>Ноябрь</t>
  </si>
  <si>
    <t>Декабрь</t>
  </si>
  <si>
    <t>Сельскохозяйственные потребители</t>
  </si>
  <si>
    <t xml:space="preserve">Прочие </t>
  </si>
  <si>
    <t>Прчие</t>
  </si>
  <si>
    <t>Исполнитель: Аверкина Зоя Анатольевна</t>
  </si>
  <si>
    <t>8-3466-45-41-43</t>
  </si>
  <si>
    <t>договор 6687-1904</t>
  </si>
  <si>
    <t>3,300,7</t>
  </si>
  <si>
    <t>3,49,6</t>
  </si>
  <si>
    <t>договор 5442 (231,232,233)</t>
  </si>
  <si>
    <t>3,50,6</t>
  </si>
  <si>
    <t>3,51,6</t>
  </si>
  <si>
    <t>3,202,7</t>
  </si>
  <si>
    <t>3,202,11</t>
  </si>
  <si>
    <t>3,202,16</t>
  </si>
  <si>
    <t>3,301,7</t>
  </si>
  <si>
    <t>3,302,7</t>
  </si>
  <si>
    <t>договор 5364 (234,235)</t>
  </si>
  <si>
    <t>3,303,7</t>
  </si>
  <si>
    <t>3,304,7</t>
  </si>
  <si>
    <t>3,305,7</t>
  </si>
  <si>
    <t>3,201,15</t>
  </si>
  <si>
    <t>3,201,10</t>
  </si>
  <si>
    <t>договор 2902 (240,241,242)</t>
  </si>
  <si>
    <t>3,336,7</t>
  </si>
  <si>
    <t>договор 2098 (237,238,239)</t>
  </si>
  <si>
    <t>3,339,7</t>
  </si>
  <si>
    <t>3,342,7</t>
  </si>
  <si>
    <t>3,337,7</t>
  </si>
  <si>
    <t>3,338,7</t>
  </si>
  <si>
    <t>3,340,7</t>
  </si>
  <si>
    <t>3,341,7</t>
  </si>
  <si>
    <t>3,343,7</t>
  </si>
  <si>
    <t>3,344,7</t>
  </si>
  <si>
    <t>Макет 4.41 Сведения об объемах и стоимости электрической энергии для потребителей по видам экономической деятельности (10112)</t>
  </si>
  <si>
    <t>Объект наблюдения</t>
  </si>
  <si>
    <t>900252</t>
  </si>
  <si>
    <t>ООО "Нижневартовская энергосбытовая компания"   (Ханты-Мансийский АО - Югра [Тюменская область])</t>
  </si>
  <si>
    <t>Раздел Конфиденциальность</t>
  </si>
  <si>
    <t>Код стр.</t>
  </si>
  <si>
    <t>Варианты ответа (да/нет)</t>
  </si>
  <si>
    <t>Гр1</t>
  </si>
  <si>
    <t>Сведения, содержащиеся в форме, составляют коммерческую тайну</t>
  </si>
  <si>
    <t>ДА</t>
  </si>
  <si>
    <t>Раздел Кодовые привязки</t>
  </si>
  <si>
    <t>Значение</t>
  </si>
  <si>
    <t>Полное наименование организации, предоставляющей информацию</t>
  </si>
  <si>
    <t>Общество с ограниченной ответственностью "Нижневартовская энергосбытовая компания"</t>
  </si>
  <si>
    <t>Краткое наименование организации, предоставляющей информацию</t>
  </si>
  <si>
    <t>Почтовый адрес организации</t>
  </si>
  <si>
    <t>628611, Тюменская обл., ХМАО-Югра, г. Нижневартовск, ул. Ленина, дом 34а</t>
  </si>
  <si>
    <t>Раздел Кодовые привязки 2</t>
  </si>
  <si>
    <t>Код отчитывающейся организации по ОГРН</t>
  </si>
  <si>
    <t>1038601750472</t>
  </si>
  <si>
    <t>Раздел Кодовые привязки 3</t>
  </si>
  <si>
    <t>Код ИНН отчитывающейся организации</t>
  </si>
  <si>
    <t>Раздел Кодовые привязки 4</t>
  </si>
  <si>
    <t>Код отчитывающейся организации по ОКПО</t>
  </si>
  <si>
    <t>13512888</t>
  </si>
  <si>
    <t>Раздел 1. Полезный отпуск и стоимость электрической энергии, отпущенной на розничных рынках электрической энергии потребителям по видам экономической деятельности</t>
  </si>
  <si>
    <t>Виды деятельности</t>
  </si>
  <si>
    <t>Объем электрической энергии потребителям всего за отчетный месяц, МВтч</t>
  </si>
  <si>
    <t>Стоимость электрической энергии и мощности потребителям всего за отчетный месяц, тыс.руб.</t>
  </si>
  <si>
    <t>Цена (тариф) электрической энергии за отчетный месяц, руб/кВтч</t>
  </si>
  <si>
    <t>Объем электрической энергии потребителям всего нарастающим итогом с начала года, МВтч</t>
  </si>
  <si>
    <t>Стоимость электрической энергии и мощности потребителям всего нарастающим итогом с начала года, тыс.руб.</t>
  </si>
  <si>
    <t>Средняя цена (тариф) электрической энергии с начала года, руб/кВтч</t>
  </si>
  <si>
    <t>Объем электрической энергии бюджетным потребителям за отчетный месяц, МВтч</t>
  </si>
  <si>
    <t>Стоимость электрической энергии и мощности бюджетным потребителям за отчетный месяц, тыс.руб.</t>
  </si>
  <si>
    <t>Цена (тариф) электрической энергии бюджетным потребителям за отчетный месяц, руб/кВтч</t>
  </si>
  <si>
    <t>Объем электрической энергии бюджетным потребителям нарастающим итогом с начала года, МВтч</t>
  </si>
  <si>
    <t>Стоимость электрической энергии и мощности бюджетным потребителям нарастающим итогом с начала года, тыс.руб.</t>
  </si>
  <si>
    <t>Средняя цена (тариф) электрической энергии бюджетным потребителям с начала года, руб/кВтч</t>
  </si>
  <si>
    <t>Объем электрической энергии субъектам малого и среднего предпринимательства за отчетный месяц, МВтч</t>
  </si>
  <si>
    <t>Стоимость электрической энергии и мощности субъектам малого и среднего предпринимательства за отчетный месяц, тыс.руб.</t>
  </si>
  <si>
    <t>Цена (тариф) электрической энергии субъектам малого и среднего предпринимательства за отчетный месяц, руб/кВтч</t>
  </si>
  <si>
    <t>Объем электрической энергии субъектам малого и среднего предпринимательства нарастающим итогом с начала года, МВтч</t>
  </si>
  <si>
    <t>Стоимость электрической энергии и мощности субъектам малого и среднего предпринимательства нарастающим итогом с начала года, тыс.руб.</t>
  </si>
  <si>
    <t>Цена (тариф) электрической энергии субъектам малого и среднего предпринимательства нарастающим итогом с начала года, руб/кВтч</t>
  </si>
  <si>
    <t>Задолженность (+), переплата (-) на начало года, тыс. руб.</t>
  </si>
  <si>
    <t>Задолженность (+), переплата (-) на конец отчетного периода, тыс. руб.</t>
  </si>
  <si>
    <t>в том числе текущая</t>
  </si>
  <si>
    <t>в том числе реструктурированная</t>
  </si>
  <si>
    <t>Гр2</t>
  </si>
  <si>
    <t>Гр3</t>
  </si>
  <si>
    <t>Гр4</t>
  </si>
  <si>
    <t>Гр5</t>
  </si>
  <si>
    <t>Гр6</t>
  </si>
  <si>
    <t>Гр7</t>
  </si>
  <si>
    <t>Гр8</t>
  </si>
  <si>
    <t>Гр9</t>
  </si>
  <si>
    <t>Гр10</t>
  </si>
  <si>
    <t>Гр11</t>
  </si>
  <si>
    <t>Гр12</t>
  </si>
  <si>
    <t>Гр13</t>
  </si>
  <si>
    <t>Гр14</t>
  </si>
  <si>
    <t>Гр15</t>
  </si>
  <si>
    <t>Гр16</t>
  </si>
  <si>
    <t>Гр17</t>
  </si>
  <si>
    <t>Гр18</t>
  </si>
  <si>
    <t>Гр19</t>
  </si>
  <si>
    <t>Гр20</t>
  </si>
  <si>
    <t>Гр21</t>
  </si>
  <si>
    <t>Гр22</t>
  </si>
  <si>
    <t>Сельское хозяйство, лесное хозяйство, охота и рыболовство, всего (Раздел А, 01, 02, 03)</t>
  </si>
  <si>
    <t>сельское хозяйство (01)</t>
  </si>
  <si>
    <t>рыболовство и рыбоводство (03)</t>
  </si>
  <si>
    <t>Добыча полезных ископаемых, всего (Раздел В, 05, 06, 07, 08, 09)</t>
  </si>
  <si>
    <t>добыча угля (05)</t>
  </si>
  <si>
    <t>добыча сырой нефти и нефтяного (попутного) газа (06.1)</t>
  </si>
  <si>
    <t>добыча природного газа и газового конденсата (06.2)</t>
  </si>
  <si>
    <t>Обрабатывающие производства, всего (Раздел С, 10 - 33)</t>
  </si>
  <si>
    <t>производство бумаги и бумажных изделий (17)</t>
  </si>
  <si>
    <t>производство кокса и нефтепродуктов (19)</t>
  </si>
  <si>
    <t>производство химических веществ и химических продуктов (20)</t>
  </si>
  <si>
    <t>производство прочей неметаллической минеральной продукции (23)</t>
  </si>
  <si>
    <t>производство металлургическое, всего (24)</t>
  </si>
  <si>
    <t>из них:</t>
  </si>
  <si>
    <t>производство чугуна, стали и ферросплавов (24.1)</t>
  </si>
  <si>
    <t>производство стальных труб, полых профилей и фитингов (24.2)</t>
  </si>
  <si>
    <t>производство алюминия (24.42)</t>
  </si>
  <si>
    <t>производство готовых металлических изделий, кроме машин и оборудования (25)</t>
  </si>
  <si>
    <t>производство машин и оборудования, не включенных в другие группировки (28)</t>
  </si>
  <si>
    <t>производство автотранспортных средств, прицепов и полуприцепов (29)</t>
  </si>
  <si>
    <t>Обеспечение электрической энергией, газом и паром, кондиционирование воздуха, всего (Раздел D, 35)</t>
  </si>
  <si>
    <t>производство, передача и распределение электрической энергии (35.1)</t>
  </si>
  <si>
    <t>производство электрической энергии (35.11)</t>
  </si>
  <si>
    <t>передача, распределение электрической энергии и технологическое присоединение к распределительным электрическим сетям (35.12, 35.13)</t>
  </si>
  <si>
    <t>торговля электрической энергией (35.14)</t>
  </si>
  <si>
    <t>хозяйственные нужды гарантирующего поставщика, энергосбытовой (энергоснабжающей) организации</t>
  </si>
  <si>
    <t>производство и распределение газообразного топлива (35.2)</t>
  </si>
  <si>
    <t>производство, передача и распределение пара и горячей воды, кондиционирование воздуха (35.3)</t>
  </si>
  <si>
    <t>Водоснабжение; водоотведение, организация сбора и утилизации отходов, деятельность по ликвидации загрязнений (Раздел Е, 36 - 39)</t>
  </si>
  <si>
    <t>забор, очистка и распределение воды (36); сбор и обработка сточных вод (37)</t>
  </si>
  <si>
    <t>Строительство (Раздел F, 41, 42, 43)</t>
  </si>
  <si>
    <t>Торговля оптовая и розничная; ремонт автотранспортных средств и мотоциклов (Раздел G, 45, 46, 47)</t>
  </si>
  <si>
    <t>Транспортировка и хранение, всего (Раздел H, 49, 50, 51, 52, 53)</t>
  </si>
  <si>
    <t>деятельность железнодорожного транспорта (49.1, 49.2, 49.31.1)</t>
  </si>
  <si>
    <t>деятельность городского электрического транспорта  (49.31.22, 49.31.23, 49.31.24, 49.31.25)</t>
  </si>
  <si>
    <t>деятельность трубопроводного транспорта (49.5)</t>
  </si>
  <si>
    <t>Деятельность в области информации и связи (Раздел J, 58, 59, 60, 61, 62, 63)</t>
  </si>
  <si>
    <t>деятельность в сфере телекоммуникаций (61)</t>
  </si>
  <si>
    <t xml:space="preserve">Прочие виды экономической деятельности, не вошедшие в вышеперечисленные группировки  </t>
  </si>
  <si>
    <t>Население и приравненные к нему группы потребителей (с НДС)</t>
  </si>
  <si>
    <t>население городское</t>
  </si>
  <si>
    <t>из них с электроплитами и (или) электроотопительными установками</t>
  </si>
  <si>
    <t>население сельское</t>
  </si>
  <si>
    <t>Полезный отпуск потребителям, всего</t>
  </si>
  <si>
    <t>по договорам энергоснабжения</t>
  </si>
  <si>
    <t>по договорам купли-продажи электрической энергии</t>
  </si>
  <si>
    <t>кроме того</t>
  </si>
  <si>
    <t>Отпуск территориальным сетевым организациям (ТСО) на компенсацию потерь в электрических сетях, всего</t>
  </si>
  <si>
    <t>межрегиональным распределительным сетевым компаниям (ДО ПАО "Россети")</t>
  </si>
  <si>
    <t>иным ТСО</t>
  </si>
  <si>
    <t>из строки 10401</t>
  </si>
  <si>
    <t>Отпуск иным гарантирующим поставщикам, энергосбытовым (энергоснабжающим) организациям, всего</t>
  </si>
  <si>
    <t>АО "Газпром энергосбыт Тюмень"</t>
  </si>
  <si>
    <t>АО "ЕЭСнК"</t>
  </si>
  <si>
    <t>ОАО "ЭК "Восток"</t>
  </si>
  <si>
    <t>ООО "РГ-Энерготрейд"</t>
  </si>
  <si>
    <t>ООО  "РН-Энерго"</t>
  </si>
  <si>
    <t>АО "ЮТЭК-НВР"</t>
  </si>
  <si>
    <t>ООО "МСК Энерго"</t>
  </si>
  <si>
    <t>ООО "МагнитЭнерго"</t>
  </si>
  <si>
    <t>ООО "Юралс Актив"</t>
  </si>
  <si>
    <t>ООО "ПрофСервисТрейд"</t>
  </si>
  <si>
    <t xml:space="preserve">   Прочие</t>
  </si>
  <si>
    <t>Покупка на розничных рынках электрической энергии у иных гарантирующих поставщиков, энергосбытовых (энергоснабжающих) организаций, всего</t>
  </si>
  <si>
    <t xml:space="preserve">Покупка на розничных рынках электрической энергии у производителей электрической энергии </t>
  </si>
  <si>
    <t>из строки 10900</t>
  </si>
  <si>
    <t>Отпуск электрической энергии собственного производства конечным потребителям на розничных рынках электрической энергии</t>
  </si>
  <si>
    <t>из собственных электрических сетей</t>
  </si>
  <si>
    <t>Раздел 2. Объем потребления и стоимость электрической энергии и мощности потребителя - участника оптового рынка электрической энергии и мощности (ОРЭМ) для нужд собственного потребления по видам деятельности</t>
  </si>
  <si>
    <t>Объем потребления электрической энергии за отчетный месяц, МВтч</t>
  </si>
  <si>
    <t>Стоимость электрической энергии и мощности за отчетный месяц, тыс.руб.</t>
  </si>
  <si>
    <t>Цена электрической энергии за отчетный месяц, руб/кВтч</t>
  </si>
  <si>
    <t>Объем электрической энергии нарастающим итогом с начала года, МВтч</t>
  </si>
  <si>
    <t>Стоимость электрической энергии и мощности нарастающим итогом с начала года, тыс.руб.</t>
  </si>
  <si>
    <t>Средняя цена электрической энергии с начала года, руб/кВтч</t>
  </si>
  <si>
    <t>передача электрической энергии и технологическое присоединение к распределительным электрическим сетям (35.12, 35.13)</t>
  </si>
  <si>
    <t>Торговля оптовая и розничная; ремонт автотранспортных средств и мотоциклов (Раздел G,45, 46, 47)</t>
  </si>
  <si>
    <t>Раздел 3. Информация о расчетах гарантирующих поставщиков, энергосбытовых (энергоснабжающих) организаций и потребителей ОРЭМ с организациями технологической и коммерческой инфраструктуры ОРЭМ и субъектами розничных рынков электрической энергии</t>
  </si>
  <si>
    <t>Объем электрической энергии за отчетный месяц, МВтч</t>
  </si>
  <si>
    <t>Стоимость электрической энергии за отчетный месяц (без учета стоимости мощности), тыс.руб.</t>
  </si>
  <si>
    <t>Цена (тариф) электрической энергии за отчетный месяц (без учета стоимости мощности), руб/кВтч</t>
  </si>
  <si>
    <t>Мощность за отчетный месяц, МВт</t>
  </si>
  <si>
    <t>Стоимость мощности за отчетный месяц, тыс.руб.</t>
  </si>
  <si>
    <t>Цена мощности за отчетный месяц, руб/МВт</t>
  </si>
  <si>
    <t>Задолженность (+), переплата (-) на начало года, тыс.руб.</t>
  </si>
  <si>
    <t>Задолженность (+), переплата (-) на конец отчетного периода, тыс.руб.</t>
  </si>
  <si>
    <t>Покупка электрической энергии и мощности на ОРЭМ</t>
  </si>
  <si>
    <t>Продажа электрической энергии и мощности на ОРЭМ</t>
  </si>
  <si>
    <t>Сальдо покупки и продажи электрической энергии и мощности с ОРЭМ</t>
  </si>
  <si>
    <t>Раздел Сведения о расчетах с организациями коммерческой и технологической инфраструктуры ОРЭМ и розничных рынков электрической энергии</t>
  </si>
  <si>
    <t>Перечень услуг</t>
  </si>
  <si>
    <t>Стоимость электрической энергии  за отчетный месяц (без учета стоимости мощности), тыс.руб.</t>
  </si>
  <si>
    <t>Цена (тариф) электрической энергии нарастающим итогом с начала года, руб/кВтч</t>
  </si>
  <si>
    <t>Услуги по передаче электрической энергии</t>
  </si>
  <si>
    <t>услуги по передаче электрической энергии по ЕНЭС</t>
  </si>
  <si>
    <t>услуги по передаче электрической энергии в электрических сетях, принадлежащих на праве собственности или ином законном основании ТСО</t>
  </si>
  <si>
    <t>по одноставочным тарифам</t>
  </si>
  <si>
    <t>по двухставочным тарифам</t>
  </si>
  <si>
    <t>Cбытовая надбавка гарантирующего поставщика (без НДС)</t>
  </si>
  <si>
    <t>по группе "население и приравненные к нему группы потребителей"</t>
  </si>
  <si>
    <t>по группе "сетевые организации, покупающие электрическую энергию для компенсации потерь электрической энергии"</t>
  </si>
  <si>
    <t>по группе "прочие потребители"</t>
  </si>
  <si>
    <t>Услуги по оперативно-диспетчерскому управлению в электроэнергетике</t>
  </si>
  <si>
    <t>Услуги, оказываемые организациями коммерческой инфраструктуры ОРЭМ</t>
  </si>
  <si>
    <t>Раздел 4. Проверочный баланс</t>
  </si>
  <si>
    <t>Объем ЭЭ за отчетный месяц, тыс.кВтч</t>
  </si>
  <si>
    <t>Объем ЭЭ с начала года, тыс.кВтч</t>
  </si>
  <si>
    <t>Причина небаланса</t>
  </si>
  <si>
    <t>Продажа + собственное потребление</t>
  </si>
  <si>
    <t>Покупка + собственное производство</t>
  </si>
  <si>
    <t>Небаланс</t>
  </si>
  <si>
    <t>Раздел Контактная информация</t>
  </si>
  <si>
    <t>Контактная информация</t>
  </si>
  <si>
    <t>ФИО</t>
  </si>
  <si>
    <t>Контактный телефон (с кодом города)</t>
  </si>
  <si>
    <t>Адрес электронной почты</t>
  </si>
  <si>
    <t>83466454143</t>
  </si>
  <si>
    <t>evv@gesnv.ru</t>
  </si>
  <si>
    <t>Ответственный за заполнение макета</t>
  </si>
  <si>
    <t>экономист</t>
  </si>
  <si>
    <t>930 10 1:2</t>
  </si>
  <si>
    <t>2022 год</t>
  </si>
  <si>
    <t>Раздел I. Данные за отчетный месяц</t>
  </si>
  <si>
    <t>А</t>
  </si>
  <si>
    <t>1.1.4</t>
  </si>
  <si>
    <t xml:space="preserve"> ИТОГО по ГП (с ДКП)</t>
  </si>
  <si>
    <t>Объем электрической энергии,
тыс. кВт·ч</t>
  </si>
  <si>
    <t>Стоимость электрической энергии с НДС,
тыс. руб.</t>
  </si>
  <si>
    <t>Стоимость электрической энергии без НДС,
тыс. руб.</t>
  </si>
  <si>
    <t>Объем электрической энергии потребителей, осуществляющих оплату по одноставочному тарифу,
тыс. кВт·ч</t>
  </si>
  <si>
    <t>Объем электрической энергии потребителей, осуществляющих оплату по зонным тарифам по двум зонам суток, тыс. кВт·ч</t>
  </si>
  <si>
    <t>Стоимость электрической энергии потребителей, осуществляющих оплату по зонным тарифам
по двум зонам суток
с НДС, тыс. руб.</t>
  </si>
  <si>
    <t>Стоимость электрической энергии потребителей, осуществляющих оплату
по зонным тарифам по двум зонам суток
без НДС, тыс. руб.</t>
  </si>
  <si>
    <t>Объем электрической энергии потребителей, осуществляющих оплату
по зонным тарифам по трем зонам суток, тыс. кВт·ч</t>
  </si>
  <si>
    <t>Стоимость электрической энергии потребителей, осуществляющих оплату
по зонным тарифам по трем зонам суток с НДС,
тыс. руб.</t>
  </si>
  <si>
    <t>Стоимость электрической энергии потребителей, осуществляющих оплату
по зонным тарифам по трем зонам без НДС,
тыс. руб.</t>
  </si>
  <si>
    <t>день</t>
  </si>
  <si>
    <t>полупик</t>
  </si>
  <si>
    <t>Население, не относящееся к категории населения, проживающего в городских населенных пунктах в домах, оборудованных стационарными электроплитами и (или) электроотопительными установками, и категории населения, проживающего в сельских населенных пунктах, а также приравненные к нему категории</t>
  </si>
  <si>
    <t>Население, проживающее в городских населенных пунктах в домах, оборудованных стационарными электроплитами и электроотопительными установками, а также приравненные к нему категории</t>
  </si>
  <si>
    <t>Население, проживающее в городских населенных пунктах в домах, оборудованных стационарными электроплитами и не оборудованных электроотопительными установками</t>
  </si>
  <si>
    <t>Население, проживающее в городских населенных пунктах в домах, оборудованных электроотопительными установками и не оборудованных стационарными электроплитами</t>
  </si>
  <si>
    <t>Приравненные к населению категории потребителей, всего</t>
  </si>
  <si>
    <t>Исполнители коммунальных услуг, наймодатели</t>
  </si>
  <si>
    <t>Садоводческие или огороднические некоммерческие товарищества</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</si>
  <si>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t>
  </si>
  <si>
    <t>Некоммерческие объединения граждан (гаражно-строительные, гаражные кооперативы), объединения граждан, приобретающих электрическую энергию (мощность) для использования в принадлежащих им хозяйственных постройках</t>
  </si>
  <si>
    <t>Полезный отпуск - всего</t>
  </si>
  <si>
    <t>Полезный отпуск электроэнергии и мощности, реализуемой по нерегулируемым (в ценовых зонах ОРЭМ) и по регулируемым (в неценовых зонах ОРЭМ) ценам по договорам энергоснабжения</t>
  </si>
  <si>
    <t>1-я ценовая категория</t>
  </si>
  <si>
    <t>2-я ценовая категория</t>
  </si>
  <si>
    <t>3-я и 5-я ценовые категории</t>
  </si>
  <si>
    <t>4-я и 6-я ценовые категории</t>
  </si>
  <si>
    <t>Объем электрической энергии (мощности) потребителей, тыс. кВт·ч</t>
  </si>
  <si>
    <t>Объем электрической энергии потребителей, тыс. кВт·ч</t>
  </si>
  <si>
    <t>Поставка электрической энергии гарантирующим поставщиком потребителям по группам точек поставки, по которым определена зона деятельности гарантирующего поставщика</t>
  </si>
  <si>
    <t>Потребители электрической энергии (мощности) на территории Дальневосточного федерального округа, в отношении которых осуществляется доведение цен (тарифов) на электрическую энергию (мощность) до базовых уровней цен (тарифов) на электрическую энергию (мощность)</t>
  </si>
  <si>
    <t xml:space="preserve">    Потребители, указанные в пункте 1 критериев, утвержденных Постановлением Правительства Российской Федерации от 26 ноября 2021 г. № 2062 (далее - Постановление)</t>
  </si>
  <si>
    <t xml:space="preserve">    Потребители, указанные в пункте 2 критериев, утвержденных Постановлением</t>
  </si>
  <si>
    <t xml:space="preserve">    Потребители, указанные в пункте 3 критериев, утвержденных Постановлением</t>
  </si>
  <si>
    <t xml:space="preserve">    Потребители, указанные в пункте 4 критериев, утвержденных Постановлением</t>
  </si>
  <si>
    <t xml:space="preserve">    Потребители, указанные в пункте 5 критериев, утвержденных Постановлением</t>
  </si>
  <si>
    <t xml:space="preserve">    Потребители, указанные в пункте 6 критериев, утвержденных Постановлением</t>
  </si>
  <si>
    <t xml:space="preserve">    Потребители, указанные в пункте 7 критериев, утвержденных Постановлением</t>
  </si>
  <si>
    <t xml:space="preserve">    Потребители, указанные в пункте 8 критериев, утвержденных Постановлением</t>
  </si>
  <si>
    <t xml:space="preserve">    Потребители, указанные в пункте 9 критериев, утвержденных Постановлением</t>
  </si>
  <si>
    <t>Иные потребители (покупатели)</t>
  </si>
  <si>
    <t>Поставка электрической энергии гарантирующим поставщиком потребителям (покупателям), функционирующим вне зоны деятельности данного ГП, а также поставка электрической энергии независимыми энергосбытовыми, энергоснабжающими организациями потребителям</t>
  </si>
  <si>
    <t>Полезный отпуск - всего по организации</t>
  </si>
  <si>
    <t>Полезный отпуск электроэнергии и мощности, реализуемой по нерегулируемым (в ценовых зонах ОРЭМ) и по регулируемым (в неценовых зонах ОРЭМ) ценам по договорам купли-продажи</t>
  </si>
  <si>
    <t>Объем электрической энергии (мощности) потребителей,
тыс. кВт·ч</t>
  </si>
  <si>
    <t>Стоимость электрической 
энергии (мощности) потребителей  без НДС, тыс. руб.</t>
  </si>
  <si>
    <t>Стоимость электрической 
энергии (мощности) потребителей без НДС, тыс. руб.</t>
  </si>
  <si>
    <t>Стоимость электрической 
энергии потребителей
без НДС, тыс. руб.</t>
  </si>
  <si>
    <t>Объем электрической энергии, тыс. кВт·ч</t>
  </si>
  <si>
    <t>Стоимость электрической энергии 
без НДС, тыс. руб.</t>
  </si>
  <si>
    <t>Поставка электрической энергии сетевым организациям для целей компенсации потерь электрической энергии (мощности)</t>
  </si>
  <si>
    <t>Поставка электрической энергии сетевым организациям для целей компенсации потерь электрической энергии (мощности) в пределах балансовых показателей</t>
  </si>
  <si>
    <t>Поставка электрической энергии сетевым организациям для целей компенсации потерь электрической энергии (мощности) сверх балансовых показателей</t>
  </si>
  <si>
    <t>договор 7497</t>
  </si>
  <si>
    <t>договор 7161-2101 НН (243,244,245, СН-II (248,249,250)</t>
  </si>
  <si>
    <t>3,342,6</t>
  </si>
  <si>
    <t>3,343,6</t>
  </si>
  <si>
    <t>3,344,6</t>
  </si>
  <si>
    <t>КОММОД</t>
  </si>
  <si>
    <t>Мощность по КОММОД (покупка)</t>
  </si>
  <si>
    <t>Тариф на мощность по КОММОД</t>
  </si>
  <si>
    <t>Стоимость мощности по КОММОД (без НДС)</t>
  </si>
  <si>
    <t>Стоимость мощности по КОММОД (с НДС)</t>
  </si>
  <si>
    <t>по Агентский договор TBO-P-17 (без НДС)</t>
  </si>
  <si>
    <t>944,01</t>
  </si>
  <si>
    <t>755,05</t>
  </si>
  <si>
    <t>1007,43</t>
  </si>
  <si>
    <t xml:space="preserve"> (требуется обновление)</t>
  </si>
  <si>
    <t>Код отчёта: 46EE.STX.EIAS</t>
  </si>
  <si>
    <t>Версия отчёта: 1.0.4</t>
  </si>
  <si>
    <t>Cведения о полезном отпуске (продаже) электрической энергии и мощности отдельным категориям потребителей_x000D_
Приказ Росстата: Об утверждении формы от 24.03.2022 № 141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</si>
  <si>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</si>
  <si>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</si>
  <si>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</si>
  <si>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</si>
  <si>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</si>
  <si>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</si>
  <si>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</si>
  <si>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или наименование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</si>
  <si>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</si>
  <si>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</si>
  <si>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 xml:space="preserve">   обновление данных для проверки отчёта</t>
  </si>
  <si>
    <t>Форма № 46-ЭЭ (полезный отпуск)</t>
  </si>
  <si>
    <t>MANDATORY</t>
  </si>
  <si>
    <t>Приказ Росстата:_x000D_
Об утверждении формы от 24.03.2022 № 141</t>
  </si>
  <si>
    <t>region</t>
  </si>
  <si>
    <t>Отчётный период</t>
  </si>
  <si>
    <t>Месячная, годовая</t>
  </si>
  <si>
    <t>Сроки предоставления: _x000D_
25 числа после отчётного месяца,_x000D_
15 февраля - за отчётный год</t>
  </si>
  <si>
    <t>rptYear</t>
  </si>
  <si>
    <t>rptMonth</t>
  </si>
  <si>
    <t>Предоставляют: _x000D_
  - юридические лица, кроме субъектов малого предпринимательства - поставщики электрической энергии (мощности) оптового и розничного рынков электроэнергии (мощности);_x000D_
  - гарантирующие поставщики электрической энергии (мощности);_x000D_
  - покупатели - субъекты оптового рынка электроэнергии (мощности);_x000D_
  - энергосбытовые и энергоснабжающие организации;_x000D_
  - участники оптового рынка электроэнергии (мощности), в отношении которых не приняты балансовые решения_x000D_
Федеральной антимонопольной службе по установленному адресу</t>
  </si>
  <si>
    <t>RST_ORG_ID</t>
  </si>
  <si>
    <t>Наименование ЮЛ / ИП</t>
  </si>
  <si>
    <t>org</t>
  </si>
  <si>
    <t>inn</t>
  </si>
  <si>
    <t>kpp</t>
  </si>
  <si>
    <t>ОГРН</t>
  </si>
  <si>
    <t>ogrn</t>
  </si>
  <si>
    <t>Организационно-правовая форма</t>
  </si>
  <si>
    <t>1 23 00 | Общества с ограниченной ответственностью</t>
  </si>
  <si>
    <t>opf</t>
  </si>
  <si>
    <t>Вид(-ы) деятельности</t>
  </si>
  <si>
    <t>ГП</t>
  </si>
  <si>
    <t>activity</t>
  </si>
  <si>
    <t>Тип отчёта</t>
  </si>
  <si>
    <t>rptType</t>
  </si>
  <si>
    <t>subsidiary</t>
  </si>
  <si>
    <t>Код по ОКПО</t>
  </si>
  <si>
    <t>ОКПО - Общероссийский Классификатор Предприятий и Организаций</t>
  </si>
  <si>
    <t>okpo</t>
  </si>
  <si>
    <t>ОКАТО</t>
  </si>
  <si>
    <t>71135000000</t>
  </si>
  <si>
    <t>ОКАТО - Общероссийский Классификатор Административно-Территориальных Образований</t>
  </si>
  <si>
    <t>okato</t>
  </si>
  <si>
    <t>Генерирующая компания</t>
  </si>
  <si>
    <t>gen</t>
  </si>
  <si>
    <t>gp</t>
  </si>
  <si>
    <t>Независимый сбыт</t>
  </si>
  <si>
    <t>independentSales</t>
  </si>
  <si>
    <t>eePurchaseMethod</t>
  </si>
  <si>
    <t>Система налогообложения</t>
  </si>
  <si>
    <t>ОСН</t>
  </si>
  <si>
    <t>ОСН - общая система налогообложения_x000D_
УСН - упрощенная система налогообложения_x000D_
ПСН - патентная система налогообложения_x000D_
ЕНВД - вмененная система налогообложения или единый налог на вмененный доход_x000D_
ЕСХН - единый сельскохозяйственный налог</t>
  </si>
  <si>
    <t>taxSystem</t>
  </si>
  <si>
    <t>Контактные данные</t>
  </si>
  <si>
    <t>Юридический</t>
  </si>
  <si>
    <t>addressLegal</t>
  </si>
  <si>
    <t>Почтовый</t>
  </si>
  <si>
    <t>addressPost</t>
  </si>
  <si>
    <t>nameCEO</t>
  </si>
  <si>
    <t>phoneCEO</t>
  </si>
  <si>
    <t>nameAccountant</t>
  </si>
  <si>
    <t>phoneAccountant</t>
  </si>
  <si>
    <t>Аверкина Зоя Анатольевна</t>
  </si>
  <si>
    <t>nameReporting</t>
  </si>
  <si>
    <t>Экономист</t>
  </si>
  <si>
    <t>positionReporting</t>
  </si>
  <si>
    <t>phoneReporting</t>
  </si>
  <si>
    <t>averkina@gesnv.ru</t>
  </si>
  <si>
    <t>emailReporting</t>
  </si>
  <si>
    <t>Дата последнего обновления реестра организаций: 20.10.2022, 10:43:10</t>
  </si>
  <si>
    <t>Если срок представления отчёта за период истёк, необходимо указать URL-ссылку на пояснительную записку (документ)</t>
  </si>
  <si>
    <t>URL-ссылку на пояснительную записку (документ)  необходимо указывать только в случае, если срок представления отчёта за период истёк</t>
  </si>
  <si>
    <t>Образец пояснительной записки (документа) можно скачать по ссылке</t>
  </si>
  <si>
    <t>Дата отчёта</t>
  </si>
  <si>
    <t>17.02.2022 14:44:21</t>
  </si>
  <si>
    <t>Статус отчёта</t>
  </si>
  <si>
    <t>Принят</t>
  </si>
  <si>
    <t>18.03.2022 14:24:30</t>
  </si>
  <si>
    <t>22.04.2022 06:49:58</t>
  </si>
  <si>
    <t>17.05.2022 14:52:07</t>
  </si>
  <si>
    <t>16.06.2022 08:59:26</t>
  </si>
  <si>
    <t>18.07.2022 14:06:18</t>
  </si>
  <si>
    <t>19.08.2022 08:17:44</t>
  </si>
  <si>
    <t>20.09.2022 11:41:57</t>
  </si>
  <si>
    <t>1PC</t>
  </si>
  <si>
    <t>2PC</t>
  </si>
  <si>
    <t>35PC</t>
  </si>
  <si>
    <t>46PC</t>
  </si>
  <si>
    <t>TTL</t>
  </si>
  <si>
    <t>HV</t>
  </si>
  <si>
    <t>AV1</t>
  </si>
  <si>
    <t>AV2</t>
  </si>
  <si>
    <t>LV</t>
  </si>
  <si>
    <t>FSK</t>
  </si>
  <si>
    <t>GV</t>
  </si>
  <si>
    <t>enrVlm1pcTtl</t>
  </si>
  <si>
    <t>enrVlm1pcHv</t>
  </si>
  <si>
    <t>enrVlm1pcAv1</t>
  </si>
  <si>
    <t>enrVlm1pcAv2</t>
  </si>
  <si>
    <t>enrVlm1pcLv</t>
  </si>
  <si>
    <t>enrVlm1pcFsk</t>
  </si>
  <si>
    <t>enrVlm1pcGv</t>
  </si>
  <si>
    <t>enrCost1pcTtl</t>
  </si>
  <si>
    <t>enrCost1pcHv</t>
  </si>
  <si>
    <t>enrCost1pcAv1</t>
  </si>
  <si>
    <t>enrCost1pcAv2</t>
  </si>
  <si>
    <t>enrCost1pcLv</t>
  </si>
  <si>
    <t>enrCost1pcFsk</t>
  </si>
  <si>
    <t>enrCost1pcGv</t>
  </si>
  <si>
    <t>enrVlm2pcTtl</t>
  </si>
  <si>
    <t>enrVlm2pcHv</t>
  </si>
  <si>
    <t>enrVlm2pcAv1</t>
  </si>
  <si>
    <t>enrVlm2pcAv2</t>
  </si>
  <si>
    <t>enrVlm2pcLv</t>
  </si>
  <si>
    <t>enrVlm2pcFsk</t>
  </si>
  <si>
    <t>enrVlm2pcGv</t>
  </si>
  <si>
    <t>enrCost2pcTtl</t>
  </si>
  <si>
    <t>enrCost2pcHv</t>
  </si>
  <si>
    <t>enrCost2pcAv1</t>
  </si>
  <si>
    <t>enrCost2pcAv2</t>
  </si>
  <si>
    <t>enrCost2pcLv</t>
  </si>
  <si>
    <t>enrCost2pcFsk</t>
  </si>
  <si>
    <t>enrCost2pcGv</t>
  </si>
  <si>
    <t>enrVlm35pcTtl</t>
  </si>
  <si>
    <t>enrVlm35pcHv</t>
  </si>
  <si>
    <t>enrVlm35pcAv1</t>
  </si>
  <si>
    <t>enrVlm35pcAv2</t>
  </si>
  <si>
    <t>enrVlm35pcLv</t>
  </si>
  <si>
    <t>enrVlm35pcFsk</t>
  </si>
  <si>
    <t>enrVlm35pcGv</t>
  </si>
  <si>
    <t>enrCost35pcTtl</t>
  </si>
  <si>
    <t>enrCost35pcHv</t>
  </si>
  <si>
    <t>enrCost35pcAv1</t>
  </si>
  <si>
    <t>enrCost35pcAv2</t>
  </si>
  <si>
    <t>enrCost35pcLv</t>
  </si>
  <si>
    <t>enrCost35pcFsk</t>
  </si>
  <si>
    <t>enrCost35pcGv</t>
  </si>
  <si>
    <t>pwrVlm35pcTtl</t>
  </si>
  <si>
    <t>pwrVlm35pcHv</t>
  </si>
  <si>
    <t>pwrVlm35pcAv1</t>
  </si>
  <si>
    <t>pwrVlm35pcAv2</t>
  </si>
  <si>
    <t>pwrVlm35pcLv</t>
  </si>
  <si>
    <t>pwrVlm35pcFsk</t>
  </si>
  <si>
    <t>pwrVlm35pcGv</t>
  </si>
  <si>
    <t>pwrCost35pcTtl</t>
  </si>
  <si>
    <t>pwrCost35pcHv</t>
  </si>
  <si>
    <t>pwrCost35pcAv1</t>
  </si>
  <si>
    <t>pwrCost35pcAv2</t>
  </si>
  <si>
    <t>pwrCost35pcLv</t>
  </si>
  <si>
    <t>pwrCost35pcFsk</t>
  </si>
  <si>
    <t>pwrCost35pcGv</t>
  </si>
  <si>
    <t>enrVlm46pcTtl</t>
  </si>
  <si>
    <t>enrVlm46pcHv</t>
  </si>
  <si>
    <t>enrVlm46pcAv1</t>
  </si>
  <si>
    <t>enrVlm46pcAv2</t>
  </si>
  <si>
    <t>enrVlm46pcLv</t>
  </si>
  <si>
    <t>enrVlm46pcFsk</t>
  </si>
  <si>
    <t>enrVlm46pcGv</t>
  </si>
  <si>
    <t>enrCost46pcTtl</t>
  </si>
  <si>
    <t>enrCost46pcHv</t>
  </si>
  <si>
    <t>enrCost46pcAv1</t>
  </si>
  <si>
    <t>enrCost46pcAv2</t>
  </si>
  <si>
    <t>enrCost46pcLv</t>
  </si>
  <si>
    <t>enrCost46pcFsk</t>
  </si>
  <si>
    <t>enrCost46pcGv</t>
  </si>
  <si>
    <t>pwrVlm46pcTtl</t>
  </si>
  <si>
    <t>pwrVlm46pcHv</t>
  </si>
  <si>
    <t>pwrVlm46pcAv1</t>
  </si>
  <si>
    <t>pwrVlm46pcAv2</t>
  </si>
  <si>
    <t>pwrVlm46pcLv</t>
  </si>
  <si>
    <t>pwrVlm46pcFsk</t>
  </si>
  <si>
    <t>pwrVlm46pcGv</t>
  </si>
  <si>
    <t>pwrCost46pcTtl</t>
  </si>
  <si>
    <t>pwrCost46pcHv</t>
  </si>
  <si>
    <t>pwrCost46pcAv1</t>
  </si>
  <si>
    <t>pwrCost46pcAv2</t>
  </si>
  <si>
    <t>pwrCost46pcLv</t>
  </si>
  <si>
    <t>pwrCost46pcFsk</t>
  </si>
  <si>
    <t>pwrCost46pcGv</t>
  </si>
  <si>
    <t>pwrTrVlm46pcTtl</t>
  </si>
  <si>
    <t>pwrTrVlm46pcHv</t>
  </si>
  <si>
    <t>pwrTrVlm46pcAv1</t>
  </si>
  <si>
    <t>pwrTrVlm46pcAv2</t>
  </si>
  <si>
    <t>pwrTrVlm46pcLv</t>
  </si>
  <si>
    <t>pwrTrVlm46pcFsk</t>
  </si>
  <si>
    <t>pwrTrVlm46pcGv</t>
  </si>
  <si>
    <t>pwrTrCost46pcTtl</t>
  </si>
  <si>
    <t>pwrTrCost46pcHv</t>
  </si>
  <si>
    <t>pwrTrCost46pcAv1</t>
  </si>
  <si>
    <t>pwrTrCost46pcAv2</t>
  </si>
  <si>
    <t>pwrTrCost46pcLv</t>
  </si>
  <si>
    <t>pwrTrCost46pcFsk</t>
  </si>
  <si>
    <t>pwrTrCost46pcGv</t>
  </si>
  <si>
    <t>Раздел I. Полезный отпуск электроэнергии и мощности, реализуемой по нерегулируемым ценам в ценовых зонах оптового рынка и по регулируемым ценам (тарифа) в неценовых зонах ОРЭ</t>
  </si>
  <si>
    <t>А. Полезный отпуск электроэнергии и мощности, реализуемой по нерегулируемым (в ценовых зонах ОРЭ) и по регулируемым (в неценовых зонах ОРЭ) ценам по договорам энергоснабжения</t>
  </si>
  <si>
    <t>Коды по ОКЕИ: 1000 киловатт-часов – 245, мегаватт – 215, тысяча рублей – 384</t>
  </si>
  <si>
    <r>
      <rPr>
        <b/>
        <sz val="8"/>
        <color theme="4" tint="-0.249977111117893"/>
        <rFont val="Tahoma"/>
        <family val="2"/>
        <charset val="204"/>
      </rPr>
      <t>* Постановление</t>
    </r>
    <r>
      <rPr>
        <sz val="8"/>
        <rFont val="Tahoma"/>
        <family val="2"/>
        <charset val="204"/>
      </rPr>
      <t xml:space="preserve"> Правительства Российской Федерации от 26 ноября 2021 г. №2062</t>
    </r>
  </si>
  <si>
    <t>без НДС</t>
  </si>
  <si>
    <t>Объём электрической энергии (мощности) потребителей за отчётный месяц (год)</t>
  </si>
  <si>
    <t>Стоимость электрической энергии (мощности) потребителей за отчётный месяц (год)</t>
  </si>
  <si>
    <t>Объём электрической энергии потребителей за отчётный месяц (год)</t>
  </si>
  <si>
    <t>Стоимость электрической энергии потребителей за отчётный месяц (год)</t>
  </si>
  <si>
    <t>Объём электрической мощности за отчётный месяц (год)</t>
  </si>
  <si>
    <t>Стоимость электрической мощности за отчётный месяц (год)</t>
  </si>
  <si>
    <t>Объём мощности услуг по передаче электроэнергии потребителей за отчётный месяц (год)</t>
  </si>
  <si>
    <t>Стоимость мощности услуг по передаче электроэнергии потребителей за отчётный месяц (год)</t>
  </si>
  <si>
    <t>тыс.кВтч</t>
  </si>
  <si>
    <t>Поставка электрической энергии гарантирующим поставщиком потребителям (покупателям), функционирующим в зоне деятельности данного ГП</t>
  </si>
  <si>
    <t>100</t>
  </si>
  <si>
    <t>Потребители с максимальной мощностью принадлежащих им энергопринимающих устройств не менее 10 МВт</t>
  </si>
  <si>
    <t>200</t>
  </si>
  <si>
    <t>210</t>
  </si>
  <si>
    <r>
      <t xml:space="preserve">Потребители, указанные в пункте 1 критериев, утверждённых </t>
    </r>
    <r>
      <rPr>
        <b/>
        <sz val="8"/>
        <color theme="4" tint="-0.249977111117893"/>
        <rFont val="Tahoma"/>
        <family val="2"/>
        <charset val="204"/>
      </rPr>
      <t>Постановлением *</t>
    </r>
  </si>
  <si>
    <t>211</t>
  </si>
  <si>
    <r>
      <t xml:space="preserve">Потребители, указанные в пункте 2 критериев, утверждённых </t>
    </r>
    <r>
      <rPr>
        <b/>
        <sz val="8"/>
        <color theme="4" tint="-0.249977111117893"/>
        <rFont val="Tahoma"/>
        <family val="2"/>
        <charset val="204"/>
      </rPr>
      <t>Постановлением *</t>
    </r>
  </si>
  <si>
    <t>212</t>
  </si>
  <si>
    <r>
      <t xml:space="preserve">Потребители, указанные в пункте 3 критериев, утверждённых </t>
    </r>
    <r>
      <rPr>
        <b/>
        <sz val="8"/>
        <color theme="4" tint="-0.249977111117893"/>
        <rFont val="Tahoma"/>
        <family val="2"/>
        <charset val="204"/>
      </rPr>
      <t>Постановлением *</t>
    </r>
  </si>
  <si>
    <t>213</t>
  </si>
  <si>
    <r>
      <t xml:space="preserve">Потребители, указанные в пункте 4 критериев, утверждённых </t>
    </r>
    <r>
      <rPr>
        <b/>
        <sz val="8"/>
        <color theme="4" tint="-0.249977111117893"/>
        <rFont val="Tahoma"/>
        <family val="2"/>
        <charset val="204"/>
      </rPr>
      <t>Постановлением *</t>
    </r>
  </si>
  <si>
    <t>214</t>
  </si>
  <si>
    <r>
      <t xml:space="preserve">Потребители, указанные в пункте 5 критериев, утверждённых </t>
    </r>
    <r>
      <rPr>
        <b/>
        <sz val="8"/>
        <color theme="4" tint="-0.249977111117893"/>
        <rFont val="Tahoma"/>
        <family val="2"/>
        <charset val="204"/>
      </rPr>
      <t>Постановлением *</t>
    </r>
  </si>
  <si>
    <t>215</t>
  </si>
  <si>
    <r>
      <t xml:space="preserve">Потребители, указанные в пункте 6 критериев, утверждённых </t>
    </r>
    <r>
      <rPr>
        <b/>
        <sz val="8"/>
        <color theme="4" tint="-0.249977111117893"/>
        <rFont val="Tahoma"/>
        <family val="2"/>
        <charset val="204"/>
      </rPr>
      <t>Постановлением *</t>
    </r>
  </si>
  <si>
    <t>216</t>
  </si>
  <si>
    <r>
      <t xml:space="preserve">Потребители, указанные в пункте 7 критериев, утверждённых </t>
    </r>
    <r>
      <rPr>
        <b/>
        <sz val="8"/>
        <color theme="4" tint="-0.249977111117893"/>
        <rFont val="Tahoma"/>
        <family val="2"/>
        <charset val="204"/>
      </rPr>
      <t>Постановлением *</t>
    </r>
  </si>
  <si>
    <t>217</t>
  </si>
  <si>
    <r>
      <t xml:space="preserve">Потребители, указанные в пункте 8 критериев, утверждённых </t>
    </r>
    <r>
      <rPr>
        <b/>
        <sz val="8"/>
        <color theme="4" tint="-0.249977111117893"/>
        <rFont val="Tahoma"/>
        <family val="2"/>
        <charset val="204"/>
      </rPr>
      <t>Постановлением *</t>
    </r>
  </si>
  <si>
    <t>218</t>
  </si>
  <si>
    <r>
      <t xml:space="preserve">Потребители, указанные в пункте 9 критериев, утверждённых </t>
    </r>
    <r>
      <rPr>
        <b/>
        <sz val="8"/>
        <color theme="4" tint="-0.249977111117893"/>
        <rFont val="Tahoma"/>
        <family val="2"/>
        <charset val="204"/>
      </rPr>
      <t>Постановлением *</t>
    </r>
  </si>
  <si>
    <t>219</t>
  </si>
  <si>
    <t>220</t>
  </si>
  <si>
    <t>230</t>
  </si>
  <si>
    <t>240</t>
  </si>
  <si>
    <t>250</t>
  </si>
  <si>
    <t>260</t>
  </si>
  <si>
    <t>270</t>
  </si>
  <si>
    <t>280</t>
  </si>
  <si>
    <t>300</t>
  </si>
  <si>
    <t>310</t>
  </si>
  <si>
    <t>311</t>
  </si>
  <si>
    <t>312</t>
  </si>
  <si>
    <t>313</t>
  </si>
  <si>
    <t>314</t>
  </si>
  <si>
    <t>315</t>
  </si>
  <si>
    <t>316</t>
  </si>
  <si>
    <t>317</t>
  </si>
  <si>
    <t>318</t>
  </si>
  <si>
    <t>319</t>
  </si>
  <si>
    <t>320</t>
  </si>
  <si>
    <t>330</t>
  </si>
  <si>
    <t>340</t>
  </si>
  <si>
    <t>350</t>
  </si>
  <si>
    <t>360</t>
  </si>
  <si>
    <t>370</t>
  </si>
  <si>
    <t>380</t>
  </si>
  <si>
    <t>Потребители с максимальной мощностью принадлежащих им энергопринимающих устройств менее 670 кВт</t>
  </si>
  <si>
    <t>400</t>
  </si>
  <si>
    <t>410</t>
  </si>
  <si>
    <t>411</t>
  </si>
  <si>
    <t>412</t>
  </si>
  <si>
    <t>413</t>
  </si>
  <si>
    <t>414</t>
  </si>
  <si>
    <t>415</t>
  </si>
  <si>
    <t>416</t>
  </si>
  <si>
    <t>417</t>
  </si>
  <si>
    <t>418</t>
  </si>
  <si>
    <t>419</t>
  </si>
  <si>
    <t>420</t>
  </si>
  <si>
    <t>430</t>
  </si>
  <si>
    <t>440</t>
  </si>
  <si>
    <t>450</t>
  </si>
  <si>
    <t>460</t>
  </si>
  <si>
    <t>470</t>
  </si>
  <si>
    <t>480</t>
  </si>
  <si>
    <t>500</t>
  </si>
  <si>
    <t>510</t>
  </si>
  <si>
    <t>511</t>
  </si>
  <si>
    <t>512</t>
  </si>
  <si>
    <t>513</t>
  </si>
  <si>
    <t>514</t>
  </si>
  <si>
    <t>515</t>
  </si>
  <si>
    <t>516</t>
  </si>
  <si>
    <t>517</t>
  </si>
  <si>
    <t>518</t>
  </si>
  <si>
    <t>519</t>
  </si>
  <si>
    <t>520</t>
  </si>
  <si>
    <t>530</t>
  </si>
  <si>
    <t>540</t>
  </si>
  <si>
    <t>550</t>
  </si>
  <si>
    <t>560</t>
  </si>
  <si>
    <t>570</t>
  </si>
  <si>
    <t>580</t>
  </si>
  <si>
    <t>700</t>
  </si>
  <si>
    <t>34PC</t>
  </si>
  <si>
    <t>56PC</t>
  </si>
  <si>
    <t>enrVlm1pc</t>
  </si>
  <si>
    <t>enrCost1pc</t>
  </si>
  <si>
    <t>enrVlm2pc</t>
  </si>
  <si>
    <t>enrCost2pc</t>
  </si>
  <si>
    <t>enrVlm34pc</t>
  </si>
  <si>
    <t>enrCost34pc</t>
  </si>
  <si>
    <t>pwrVlm34pc</t>
  </si>
  <si>
    <t>pwrCost34pc</t>
  </si>
  <si>
    <t>enrVlm56pc</t>
  </si>
  <si>
    <t>enrCost56pc</t>
  </si>
  <si>
    <t>pwrVlm56pc</t>
  </si>
  <si>
    <t>pwrCost56pc</t>
  </si>
  <si>
    <t>Раздел I. Полезный отпуск электроэнергии и мощности, реализуемой по нерегулируемым ценам</t>
  </si>
  <si>
    <t>Б. Полезный отпуск электроэнергии и мощности, реализуемой по нерегулируемым (в ценовых зонах ОРЭ) и по регулируемым (в неценовых зонах ОРЭ) ценам по договорам купли-продажи</t>
  </si>
  <si>
    <t>710</t>
  </si>
  <si>
    <t>720</t>
  </si>
  <si>
    <t>ctznVlmTtl</t>
  </si>
  <si>
    <t>ctznCostTaxTtl</t>
  </si>
  <si>
    <t>ctznCostNoTaxTtl</t>
  </si>
  <si>
    <t>ctznVlm1st</t>
  </si>
  <si>
    <t>ctznCostTax1st</t>
  </si>
  <si>
    <t>ctznCostNoTax1st</t>
  </si>
  <si>
    <t>ctznVlm2znNight</t>
  </si>
  <si>
    <t>ctznVlm2znDay</t>
  </si>
  <si>
    <t>ctznCostTax2znNight</t>
  </si>
  <si>
    <t>ctznCostTax2znDay</t>
  </si>
  <si>
    <t>ctznCostNoTax2znNight</t>
  </si>
  <si>
    <t>ctznCostNoTax2znDay</t>
  </si>
  <si>
    <t>ctznVlm3znNight</t>
  </si>
  <si>
    <t>ctznVlm3znPeak</t>
  </si>
  <si>
    <t>ctznVlm3znSemiPeak</t>
  </si>
  <si>
    <t>ctznCostTax3znNight</t>
  </si>
  <si>
    <t>ctznCostTax3znPeak</t>
  </si>
  <si>
    <t>ctznCostTax3znSemiPeak</t>
  </si>
  <si>
    <t>ctznCostNoTax3znNight</t>
  </si>
  <si>
    <t>ctznCostNoTax3znPeak</t>
  </si>
  <si>
    <t>ctznCostNoTax3znSemiPeak</t>
  </si>
  <si>
    <t>с НДС</t>
  </si>
  <si>
    <t>Объём электрической энергии за отчётный месяц (год)</t>
  </si>
  <si>
    <t>Стоимость электрической энергии за отчётный месяц (год)</t>
  </si>
  <si>
    <t>Объём электрической энергии потребителей, осуществляющих оплату по одноставочному тарифу за отчётный месяц (год)</t>
  </si>
  <si>
    <t>Стоимость электрической энергии потребителей, осуществляющих оплату по одноставочному тарифу за отчётный месяц (год)</t>
  </si>
  <si>
    <t>Объём электрической энергии потребителей, осуществляющих оплату по зонным тарифам по двум зонам суток за отчётный месяц (год)</t>
  </si>
  <si>
    <t>Стоимость электрической энергии потребителей, осуществляющих оплату по зонным тарифам по двум зонам суток за отчётный месяц (год)</t>
  </si>
  <si>
    <t>Объём электрической энергии потребителей, осуществляющих оплату по зонным тарифам по трём зонам суток за отчётный месяц (год)</t>
  </si>
  <si>
    <t>Стоимость электрической энергии потребителей, осуществляющих оплату по зонным тарифам по трём зонам суток за отчётный месяц (год)</t>
  </si>
  <si>
    <t>110</t>
  </si>
  <si>
    <t>201</t>
  </si>
  <si>
    <t>202</t>
  </si>
  <si>
    <t>221</t>
  </si>
  <si>
    <t>222</t>
  </si>
  <si>
    <t>Население, проживающее в городских населенных пунктах в домах, оборудованных стационарными электроплитами и не оборудованных электроотопительными установками, а также приравненные к нему категории потребителей</t>
  </si>
  <si>
    <t>231</t>
  </si>
  <si>
    <t>232</t>
  </si>
  <si>
    <t>Население, проживающее в городских населенных пунктах в домах, оборудованных электроотопительными установками и не оборудованных стационарными электроплитами, а также приравненные к нему категории потребителей</t>
  </si>
  <si>
    <t>241</t>
  </si>
  <si>
    <t>242</t>
  </si>
  <si>
    <t>Население, проживающее в сельских населенных пунктах, а также приравненные к нему категории потребителей</t>
  </si>
  <si>
    <t>251</t>
  </si>
  <si>
    <t>252</t>
  </si>
  <si>
    <t>301</t>
  </si>
  <si>
    <t>302</t>
  </si>
  <si>
    <t>321</t>
  </si>
  <si>
    <t>322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</si>
  <si>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учёта электрической энергии для указанных помещений</t>
  </si>
  <si>
    <t>331</t>
  </si>
  <si>
    <t>332</t>
  </si>
  <si>
    <t>341</t>
  </si>
  <si>
    <t>342</t>
  </si>
  <si>
    <t>351</t>
  </si>
  <si>
    <t>352</t>
  </si>
  <si>
    <t>361</t>
  </si>
  <si>
    <t>362</t>
  </si>
  <si>
    <t>Для сведения: общедомовые нужды (сверх норматива потребления)</t>
  </si>
  <si>
    <t>enrVlm1stTtl</t>
  </si>
  <si>
    <t>enrVlm1stHv</t>
  </si>
  <si>
    <t>enrVlm1stAv1</t>
  </si>
  <si>
    <t>enrVlm1stAv2</t>
  </si>
  <si>
    <t>enrVlm1stLv</t>
  </si>
  <si>
    <t>enrVlm1stGv</t>
  </si>
  <si>
    <t>enrCost1stTtl</t>
  </si>
  <si>
    <t>enrCost1stHv</t>
  </si>
  <si>
    <t>enrCost1stAv1</t>
  </si>
  <si>
    <t>enrCost1stAv2</t>
  </si>
  <si>
    <t>enrCost1stLv</t>
  </si>
  <si>
    <t>enrCost1stGv</t>
  </si>
  <si>
    <t>enrVlmZnTtl</t>
  </si>
  <si>
    <t>enrVlmZnHv</t>
  </si>
  <si>
    <t>enrVlmZnAv1</t>
  </si>
  <si>
    <t>enrVlmZnAv2</t>
  </si>
  <si>
    <t>enrVlmZnLv</t>
  </si>
  <si>
    <t>enrVlmZnGv</t>
  </si>
  <si>
    <t>enrCostZnTtl</t>
  </si>
  <si>
    <t>enrCostZnHv</t>
  </si>
  <si>
    <t>enrCostZnAv1</t>
  </si>
  <si>
    <t>enrCostZnAv2</t>
  </si>
  <si>
    <t>enrCostZnLv</t>
  </si>
  <si>
    <t>enrCostZnGv</t>
  </si>
  <si>
    <t>enrVlm3stTtl</t>
  </si>
  <si>
    <t>enrVlm3stHv</t>
  </si>
  <si>
    <t>enrVlm3stAv1</t>
  </si>
  <si>
    <t>enrVlm3stAv2</t>
  </si>
  <si>
    <t>enrVlm3stLv</t>
  </si>
  <si>
    <t>enrVlm3stGv</t>
  </si>
  <si>
    <t>enrCost3stTtl</t>
  </si>
  <si>
    <t>enrCost3stHv</t>
  </si>
  <si>
    <t>enrCost3stAv1</t>
  </si>
  <si>
    <t>enrCost3stAv2</t>
  </si>
  <si>
    <t>enrCost3stLv</t>
  </si>
  <si>
    <t>enrCost3stGv</t>
  </si>
  <si>
    <t>pwrTrVlm2stTtl</t>
  </si>
  <si>
    <t>pwrTrVlm2stHv</t>
  </si>
  <si>
    <t>pwrTrVlm2stAv1</t>
  </si>
  <si>
    <t>pwrTrVlm2stAv2</t>
  </si>
  <si>
    <t>pwrTrVlm2stLv</t>
  </si>
  <si>
    <t>pwrTrVlm2stGv</t>
  </si>
  <si>
    <t>pwrTrCost2stTtl</t>
  </si>
  <si>
    <t>pwrTrCost2stHv</t>
  </si>
  <si>
    <t>pwrTrCost2stAv1</t>
  </si>
  <si>
    <t>pwrTrCost2stAv2</t>
  </si>
  <si>
    <t>pwrTrCost2stLv</t>
  </si>
  <si>
    <t>pwrTrCost2stGv</t>
  </si>
  <si>
    <t>ttlVlmTtl</t>
  </si>
  <si>
    <t>ttlVlmHv</t>
  </si>
  <si>
    <t>ttlVlmAv1</t>
  </si>
  <si>
    <t>ttlVlmAv2</t>
  </si>
  <si>
    <t>ttlVlmLv</t>
  </si>
  <si>
    <t>ttlVlmGv</t>
  </si>
  <si>
    <t>ttlCostTtl</t>
  </si>
  <si>
    <t>ttlCostHv</t>
  </si>
  <si>
    <t>ttlCostAv1</t>
  </si>
  <si>
    <t>ttlCostAv2</t>
  </si>
  <si>
    <t>ttlCostLv</t>
  </si>
  <si>
    <t>ttlCostGv</t>
  </si>
  <si>
    <t>Раздел II. Полезный отпуск электроэнергии и мощности, реализуемой по регулируемым тарифам (ценам)</t>
  </si>
  <si>
    <t>А. Полезный отпуск электроэнергии и мощности, реализуемой по регулируемым тарифам (ценам), по договорам энергоснабжения</t>
  </si>
  <si>
    <t>Объём электрической энергии потребителей, осуществляющих оплату по одноставочным тарифам (ценам) за отчётный месяц (год)</t>
  </si>
  <si>
    <t>Стоимость электрической энергии потребителей, осуществляющих оплату по одноставочным тарифам (ценам) за отчётный месяц (год)</t>
  </si>
  <si>
    <t>Объём электрической энергии потребителей, осуществляющих оплату по зонным тарифам (ценам) за отчётный месяц (год)</t>
  </si>
  <si>
    <t>Стоимость электрической энергии потребителей, осуществляющих оплату по зонным тарифам (ценам) за отчётный месяц (год)</t>
  </si>
  <si>
    <t>Объём электрической энергии потребителей, осуществляющих оплату по трёхставочным тарифам (ценам) за отчётный месяц (год)</t>
  </si>
  <si>
    <t>Стоимость электрической энергии потребителей, осуществляющих оплату по трёхставочным тарифам (ценам) за отчётный месяц (год)</t>
  </si>
  <si>
    <t>Объём электрической мощности потребителей, осуществляющих оплату услуг по передаче электрической энергии по двухставочным тарифам за отчётный месяц (год)</t>
  </si>
  <si>
    <t>Стоимость электрической мощности потребителей, осуществляющих оплату услуг по передаче электрической энергии по двухставочным тарифам за отчётный месяц (год)</t>
  </si>
  <si>
    <t>Стоимость электрической энергии (мощности) за отчётный месяц (год)</t>
  </si>
  <si>
    <t>111</t>
  </si>
  <si>
    <t>112</t>
  </si>
  <si>
    <t>113</t>
  </si>
  <si>
    <t>114</t>
  </si>
  <si>
    <t>115</t>
  </si>
  <si>
    <t>116</t>
  </si>
  <si>
    <t>117</t>
  </si>
  <si>
    <t>118</t>
  </si>
  <si>
    <t>119</t>
  </si>
  <si>
    <t>130</t>
  </si>
  <si>
    <t>140</t>
  </si>
  <si>
    <t>150</t>
  </si>
  <si>
    <t>160</t>
  </si>
  <si>
    <t>170</t>
  </si>
  <si>
    <t>180</t>
  </si>
  <si>
    <t>enrVlm1st</t>
  </si>
  <si>
    <t>enrCost1st</t>
  </si>
  <si>
    <t>enrVlmZn</t>
  </si>
  <si>
    <t>enrCostZn</t>
  </si>
  <si>
    <t>enrVlm3st</t>
  </si>
  <si>
    <t>enrCost3st</t>
  </si>
  <si>
    <t>ttlVlm</t>
  </si>
  <si>
    <t>ttlCost</t>
  </si>
  <si>
    <t>Б. Полезный отпуск электроэнергии и мощности, реализуемой по регулируемым тарифам (ценам) по договорам купли-продажи</t>
  </si>
  <si>
    <t>600</t>
  </si>
  <si>
    <t>enrVlmValue</t>
  </si>
  <si>
    <t>enrCostValue</t>
  </si>
  <si>
    <t>pwrVlmValue</t>
  </si>
  <si>
    <t>pwrCostValue</t>
  </si>
  <si>
    <t>Величина электрической мощности за отчётный месяц (в среднем _x000D_
за год)</t>
  </si>
  <si>
    <t>Стоимость без дифференциации на энергию и мощность за отчётный месяц (год)</t>
  </si>
  <si>
    <t>101</t>
  </si>
  <si>
    <t>102</t>
  </si>
  <si>
    <t>103</t>
  </si>
  <si>
    <t>104</t>
  </si>
  <si>
    <t>105</t>
  </si>
  <si>
    <t>По договорам купли-продажи от новых АЭС/ГЭС</t>
  </si>
  <si>
    <t>106</t>
  </si>
  <si>
    <t>107</t>
  </si>
  <si>
    <t>108</t>
  </si>
  <si>
    <t>По ценам ВР</t>
  </si>
  <si>
    <t>109</t>
  </si>
  <si>
    <t>КОМ МОД</t>
  </si>
  <si>
    <t>По ДПМ ВИЭ</t>
  </si>
  <si>
    <t>На розничном рынке по нерегулируемым ценам</t>
  </si>
  <si>
    <t>В неценовых зонах оптового рынка за исключением двусторонних договоров</t>
  </si>
  <si>
    <t>121</t>
  </si>
  <si>
    <t>В неценовых зонах оптового рынка по двусторонним договорам</t>
  </si>
  <si>
    <t>122</t>
  </si>
  <si>
    <t>По регулируемым тарифам (ценам) на розничном рынке за исключением двусторонних договоров купли-продажи электрической энергии (мощности), заключаемых в ТИТЭС</t>
  </si>
  <si>
    <t>131</t>
  </si>
  <si>
    <t>По двусторонним договорам купли-продажи электрической энергии (мощности), заключаемым в ТИТЭС</t>
  </si>
  <si>
    <t>132</t>
  </si>
  <si>
    <t>Надбавка на безопасность АЭС</t>
  </si>
  <si>
    <t>Надбавка к цене на мощность, поставляемую в ценовых зонах оптового рынка субъектами оптового рынка - производителями электрической энергии (мощности), установленная и применяемая в порядке, установленном Правительством Российской Федерации, в целях достижения в субъектах Российской Федерации, входящих в состав Дальневосточного федерального округа, планируемых на следующий период регулирования базовых уровней цен (тарифов) на электрическую энергию (мощность)</t>
  </si>
  <si>
    <t>Надбавка, прибавляемая к равновесной цене оптового рынка для определения цены электрической энергии, произведенной на функционирующих на основе использования возобновляемых источников энергии квалифицированных генерирующих объектах (в случаях и в порядке, которые предусмотрены Правительством Российской Федерации)</t>
  </si>
  <si>
    <t>800</t>
  </si>
  <si>
    <t>Надбавка к цене на мощность в целях частичной компенсации субъектам оптового рынка - производителям электрической энергии (мощности) капитальных и эксплуатационных затрат для генерирующих объектов тепловых электростанций, построенных и введенных в эксплуатацию на территориях Республики Крым и (или) г. Севастополя</t>
  </si>
  <si>
    <t>900</t>
  </si>
  <si>
    <t>Надбавка к цене на мощность, установленная и применяемая в порядке, установленном Правительством Российской Федерации, в целях частичной компенсации стоимости мощности и (или) электрической энергии субъектов оптового рынка - производителей электрической энергии (мощности), генерирующее оборудование которых расположено на территории субъекта Российской Федерации, не имеющего административных границ с другими субъектами Российской Федерации и не относящегося к территориям островов, - Калининградской области</t>
  </si>
  <si>
    <t>1000</t>
  </si>
  <si>
    <t xml:space="preserve"> Коды по ОКЕИ: 1000 киловатт-часов – 245, мегаватт – 215, тысяча рублей – 384</t>
  </si>
  <si>
    <t>Итого покупка с учётом продажи</t>
  </si>
  <si>
    <t>оказанные организацией по управлению единой национальной (общероссийской) электрической сетью</t>
  </si>
  <si>
    <t>оказанные территориальными сетевыми организациями</t>
  </si>
  <si>
    <t>3,302,6</t>
  </si>
  <si>
    <t>3,301,6</t>
  </si>
  <si>
    <t>3,300,6</t>
  </si>
  <si>
    <t>договор 6909-2201</t>
  </si>
  <si>
    <t>договор 5952</t>
  </si>
  <si>
    <t>договор 6368</t>
  </si>
  <si>
    <t>договор 5442</t>
  </si>
  <si>
    <t>договор 1117-2101</t>
  </si>
  <si>
    <t>договор 1777-2101 (236, 201)</t>
  </si>
  <si>
    <t>договор 316 (60;61)</t>
  </si>
  <si>
    <t>договор 5188 (55)</t>
  </si>
  <si>
    <t>договор 7030-2007</t>
  </si>
  <si>
    <t xml:space="preserve">договор 1522-2007 (225,226,227) </t>
  </si>
  <si>
    <t>договор 5601-2018</t>
  </si>
  <si>
    <t>договор 5364 (117)</t>
  </si>
  <si>
    <t>договор 2672-1708</t>
  </si>
  <si>
    <t>договор 7701-2301  (Тээ-100, Тм-201)</t>
  </si>
  <si>
    <t>договор 7247-2104 НН (258,259,260)</t>
  </si>
  <si>
    <t>договор 7051-2007 НН (261,262,263)</t>
  </si>
  <si>
    <t>договор 28 НН (264,265,266)</t>
  </si>
  <si>
    <t>договор 5601 НН (267,268,269)</t>
  </si>
  <si>
    <t>3,345,7</t>
  </si>
  <si>
    <t>3,345,11</t>
  </si>
  <si>
    <t>3,345,16</t>
  </si>
  <si>
    <t>3,346,11</t>
  </si>
  <si>
    <t>3,347,11</t>
  </si>
  <si>
    <t>3,346,16</t>
  </si>
  <si>
    <t>3,347,16</t>
  </si>
  <si>
    <t>3,348,7</t>
  </si>
  <si>
    <t>3,349,7</t>
  </si>
  <si>
    <t>3,350,7</t>
  </si>
  <si>
    <t>3,351,7</t>
  </si>
  <si>
    <t>3,352,7</t>
  </si>
  <si>
    <t>3,353,7</t>
  </si>
  <si>
    <t>3,354,7</t>
  </si>
  <si>
    <t>3,354,11</t>
  </si>
  <si>
    <t>3,354,16</t>
  </si>
  <si>
    <t>3,355,7</t>
  </si>
  <si>
    <t>3,356,7</t>
  </si>
  <si>
    <t>3,355,11</t>
  </si>
  <si>
    <t>3,356,11</t>
  </si>
  <si>
    <t>3,355,16</t>
  </si>
  <si>
    <t>3,356,16</t>
  </si>
  <si>
    <t>АО "ГЭС" Тепло</t>
  </si>
  <si>
    <t>договор 5270 НН (270,271,272)</t>
  </si>
  <si>
    <t>3,357,7</t>
  </si>
  <si>
    <t>3,358,7</t>
  </si>
  <si>
    <t>3,359,7</t>
  </si>
  <si>
    <t>3,359,11</t>
  </si>
  <si>
    <t>3,359,16</t>
  </si>
  <si>
    <t>договор 7775-2304 НН (273,274,275)</t>
  </si>
  <si>
    <t>3,360,7</t>
  </si>
  <si>
    <t>3,361,7</t>
  </si>
  <si>
    <t>3,362,7</t>
  </si>
  <si>
    <t>договор 6071-1704 НН (279,280,281)</t>
  </si>
  <si>
    <t>договор 7801-2305 НН (276,277,278)</t>
  </si>
  <si>
    <t>3,363,7</t>
  </si>
  <si>
    <t>3,363,11</t>
  </si>
  <si>
    <t>3,363,16</t>
  </si>
  <si>
    <t>3,364,7</t>
  </si>
  <si>
    <t>3,364,11</t>
  </si>
  <si>
    <t>3,364,16</t>
  </si>
  <si>
    <t>3,365,7</t>
  </si>
  <si>
    <t>3,365,11</t>
  </si>
  <si>
    <t>3,365,16</t>
  </si>
  <si>
    <t>3,366,7</t>
  </si>
  <si>
    <t>3,367,7</t>
  </si>
  <si>
    <t>3,368,7</t>
  </si>
  <si>
    <t>договор 7888-2309 НН (282,283,284)</t>
  </si>
  <si>
    <t>3,369,7</t>
  </si>
  <si>
    <t>3,370,7</t>
  </si>
  <si>
    <t>3,371,7</t>
  </si>
  <si>
    <t>договор 7945-2310 НН (285,286,287)</t>
  </si>
  <si>
    <t>3,372,7</t>
  </si>
  <si>
    <t>3,373,7</t>
  </si>
  <si>
    <t>3,374,7</t>
  </si>
  <si>
    <t>договор 7664-2211 НН (288,289,290)</t>
  </si>
  <si>
    <t>3,375,7</t>
  </si>
  <si>
    <t>3,376,7</t>
  </si>
  <si>
    <t>3,377,7</t>
  </si>
  <si>
    <t>3,378,7</t>
  </si>
  <si>
    <t>3,379,7</t>
  </si>
  <si>
    <t>3,380,7</t>
  </si>
  <si>
    <t>договор 5320-1707 НН (294,295,296)</t>
  </si>
  <si>
    <t>3,381,7</t>
  </si>
  <si>
    <t>3,382,7</t>
  </si>
  <si>
    <t>3,383,7</t>
  </si>
  <si>
    <t xml:space="preserve">Наименование вида товара </t>
  </si>
  <si>
    <t>Единица</t>
  </si>
  <si>
    <t>Цена за единицу</t>
  </si>
  <si>
    <t>Отгружено товара</t>
  </si>
  <si>
    <t>Код причины</t>
  </si>
  <si>
    <t xml:space="preserve">(услуги), отобранного для </t>
  </si>
  <si>
    <t>строки</t>
  </si>
  <si>
    <t>товара</t>
  </si>
  <si>
    <t>вида</t>
  </si>
  <si>
    <t>измере-</t>
  </si>
  <si>
    <t>канала</t>
  </si>
  <si>
    <t>товара (услуги)</t>
  </si>
  <si>
    <t>(услуги) в преды-</t>
  </si>
  <si>
    <t>изменения</t>
  </si>
  <si>
    <t xml:space="preserve">регистрации (марка, модель, сорт </t>
  </si>
  <si>
    <t>(услуги)</t>
  </si>
  <si>
    <t>ния</t>
  </si>
  <si>
    <t>реализа-</t>
  </si>
  <si>
    <t>в отчетном</t>
  </si>
  <si>
    <t>дущем месяце,</t>
  </si>
  <si>
    <r>
      <t>цены</t>
    </r>
    <r>
      <rPr>
        <vertAlign val="superscript"/>
        <sz val="9"/>
        <rFont val="Times New Roman"/>
        <family val="1"/>
        <charset val="204"/>
      </rPr>
      <t>1</t>
    </r>
  </si>
  <si>
    <t>объема</t>
  </si>
  <si>
    <t xml:space="preserve"> и так далее)</t>
  </si>
  <si>
    <t>по</t>
  </si>
  <si>
    <r>
      <t>(услуги)</t>
    </r>
    <r>
      <rPr>
        <vertAlign val="superscript"/>
        <sz val="9"/>
        <rFont val="Times New Roman"/>
        <family val="1"/>
        <charset val="204"/>
      </rPr>
      <t>1</t>
    </r>
  </si>
  <si>
    <r>
      <t>по ОКЕИ</t>
    </r>
    <r>
      <rPr>
        <vertAlign val="superscript"/>
        <sz val="9"/>
        <rFont val="Times New Roman"/>
        <family val="1"/>
        <charset val="204"/>
      </rPr>
      <t>1</t>
    </r>
  </si>
  <si>
    <r>
      <t>ции</t>
    </r>
    <r>
      <rPr>
        <vertAlign val="superscript"/>
        <sz val="9"/>
        <rFont val="Times New Roman"/>
        <family val="1"/>
        <charset val="204"/>
      </rPr>
      <t>1, 2</t>
    </r>
  </si>
  <si>
    <t>месяце без НДС,</t>
  </si>
  <si>
    <t>в натуральном</t>
  </si>
  <si>
    <r>
      <t>отгрузки</t>
    </r>
    <r>
      <rPr>
        <vertAlign val="superscript"/>
        <sz val="9"/>
        <rFont val="Times New Roman"/>
        <family val="1"/>
        <charset val="204"/>
      </rPr>
      <t>1</t>
    </r>
  </si>
  <si>
    <r>
      <t>ОКПД2</t>
    </r>
    <r>
      <rPr>
        <vertAlign val="superscript"/>
        <sz val="9"/>
        <rFont val="Times New Roman"/>
        <family val="1"/>
        <charset val="204"/>
      </rPr>
      <t>1</t>
    </r>
  </si>
  <si>
    <r>
      <t>руб.</t>
    </r>
    <r>
      <rPr>
        <vertAlign val="superscript"/>
        <sz val="9"/>
        <rFont val="Times New Roman"/>
        <family val="1"/>
        <charset val="204"/>
      </rPr>
      <t>3</t>
    </r>
  </si>
  <si>
    <t>выражении</t>
  </si>
  <si>
    <t>Б</t>
  </si>
  <si>
    <t>В</t>
  </si>
  <si>
    <t>Г</t>
  </si>
  <si>
    <t>Д</t>
  </si>
  <si>
    <t>Е</t>
  </si>
  <si>
    <t>Электроэнергия, отпущенная промышленным потребителям по свободным тарифам</t>
  </si>
  <si>
    <t>01</t>
  </si>
  <si>
    <t>35.13.10.005.00001</t>
  </si>
  <si>
    <t>246</t>
  </si>
  <si>
    <r>
      <rPr>
        <vertAlign val="superscript"/>
        <sz val="8"/>
        <rFont val="Times New Roman"/>
        <family val="1"/>
        <charset val="204"/>
      </rPr>
      <t>1</t>
    </r>
    <r>
      <rPr>
        <sz val="8"/>
        <rFont val="Times New Roman"/>
        <family val="1"/>
        <charset val="204"/>
      </rPr>
      <t xml:space="preserve"> Код выбирается из соответствующего справочника согласно пункту 15 Указаний по заполнению формы.</t>
    </r>
  </si>
  <si>
    <r>
      <rPr>
        <vertAlign val="superscript"/>
        <sz val="8"/>
        <rFont val="Times New Roman"/>
        <family val="1"/>
        <charset val="204"/>
      </rPr>
      <t>2</t>
    </r>
    <r>
      <rPr>
        <sz val="8"/>
        <rFont val="Times New Roman"/>
        <family val="1"/>
        <charset val="204"/>
      </rPr>
      <t xml:space="preserve"> На внутренний рынок — код 20, на экспорт — код 16.</t>
    </r>
  </si>
  <si>
    <r>
      <rPr>
        <vertAlign val="superscript"/>
        <sz val="8"/>
        <rFont val="Times New Roman"/>
        <family val="1"/>
        <charset val="204"/>
      </rPr>
      <t>3</t>
    </r>
    <r>
      <rPr>
        <sz val="8"/>
        <rFont val="Times New Roman"/>
        <family val="1"/>
        <charset val="204"/>
      </rPr>
      <t xml:space="preserve"> Цена (тариф) на электроэнергию указывается за предыдущий месяц.</t>
    </r>
  </si>
  <si>
    <t>Первая ценовая категория</t>
  </si>
  <si>
    <t>&lt;&lt; &gt;&gt;</t>
  </si>
  <si>
    <t>договор 1777-2401 НН (297,298,299)</t>
  </si>
  <si>
    <t>3,384,7</t>
  </si>
  <si>
    <t>3,385,7</t>
  </si>
  <si>
    <t>3,386,7</t>
  </si>
  <si>
    <t>договор 6856-1909   (212,213,214)</t>
  </si>
  <si>
    <t>3,387,7</t>
  </si>
  <si>
    <t>3,388,7</t>
  </si>
  <si>
    <t>3,389,7</t>
  </si>
  <si>
    <t>договор 1777-2401 (300.301.302)</t>
  </si>
  <si>
    <t>Версия admin_net - 1.0.2.70</t>
  </si>
  <si>
    <t>Версия АРМ - 12.09.2024 12.25.28</t>
  </si>
  <si>
    <t>договор 8250-2412(49,54,62)</t>
  </si>
  <si>
    <t>3,388,6</t>
  </si>
  <si>
    <t>Городское население с эл.плитами до 3,9</t>
  </si>
  <si>
    <t>Городское население с эл.плитами 3,9-6</t>
  </si>
  <si>
    <t>Городское население с эл.плитами от 6</t>
  </si>
  <si>
    <t>Городское население с эл.плитами дневная зона до 3,9</t>
  </si>
  <si>
    <t>Городское население с эл.плитами дневная зона 3,9-6</t>
  </si>
  <si>
    <t>Городское население с эл.плитами дневная зона от 6</t>
  </si>
  <si>
    <t>Городское население с эл. плитами ночная зона до 3,9</t>
  </si>
  <si>
    <t>Городское население с эл. плитами ночная зона 3,9-6</t>
  </si>
  <si>
    <t>Городское население с эл. плитами ночная зона от 6</t>
  </si>
  <si>
    <t>Городское население с газ. плитами до 3,9</t>
  </si>
  <si>
    <t>Городское население с газ. плитами 3,9-6</t>
  </si>
  <si>
    <t>Городское население с газ. плитами от 6</t>
  </si>
  <si>
    <t>Городское население с газ. плитами дневная зона до 3,9</t>
  </si>
  <si>
    <t>Городское население с газ. плитами дневная зона 3,9-6</t>
  </si>
  <si>
    <t>Городское население с газ. плитами дневная зона от 6</t>
  </si>
  <si>
    <t>Городское население с газ. плитами ночная зона до 3,9</t>
  </si>
  <si>
    <t>Городское население с газ. плитами ночная зона 3,9-6</t>
  </si>
  <si>
    <t>Городское население с газ. плитами ночная зона от 6</t>
  </si>
  <si>
    <t>Потребители, приравненные к нас. дневная зона до 3,9</t>
  </si>
  <si>
    <t>Потребители, приравненные к нас. дневная зона 3,9-6</t>
  </si>
  <si>
    <t>Потребители, приравненные к нас. дневная зона от 6</t>
  </si>
  <si>
    <t>Потребители, приравненные к нас. ночная зона до 3,9</t>
  </si>
  <si>
    <t>Потребители, приравненные к нас. ночная зона 3,9-6</t>
  </si>
  <si>
    <t>Потребители, приравненные к нас. ночная зона от 6</t>
  </si>
  <si>
    <t>Потребители, приравненные к населению до 3,9</t>
  </si>
  <si>
    <t>Потребители, приравненные к населению 3,9-6</t>
  </si>
  <si>
    <t>Потребители, приравненные к населению от 6</t>
  </si>
  <si>
    <t>2,1,6-1</t>
  </si>
  <si>
    <t>2,1,7-1</t>
  </si>
  <si>
    <t>2,1,7-2</t>
  </si>
  <si>
    <t>2,1,7-3</t>
  </si>
  <si>
    <t>2,1,10-3</t>
  </si>
  <si>
    <t>2,2,6-1</t>
  </si>
  <si>
    <t>2,2,7-1</t>
  </si>
  <si>
    <t>2,2,7-2</t>
  </si>
  <si>
    <t>2,2,7-3</t>
  </si>
  <si>
    <t>2,2,10-3</t>
  </si>
  <si>
    <t>2,3,6-1</t>
  </si>
  <si>
    <t>2,3,7-1</t>
  </si>
  <si>
    <t>2,3,7-2</t>
  </si>
  <si>
    <t>2,3,7-3</t>
  </si>
  <si>
    <t>2,3,10-3</t>
  </si>
  <si>
    <t>2,7,7-1</t>
  </si>
  <si>
    <t>2,7,7-2</t>
  </si>
  <si>
    <t>2,7,10-2</t>
  </si>
  <si>
    <t>2,7,7-3</t>
  </si>
  <si>
    <t>2,7,10-3</t>
  </si>
  <si>
    <t>2,8,7-1</t>
  </si>
  <si>
    <t>2,8,7-2</t>
  </si>
  <si>
    <t>2,8,10-2</t>
  </si>
  <si>
    <t>2,8,7-3</t>
  </si>
  <si>
    <t>2,8,10-3</t>
  </si>
  <si>
    <t>2,9,7-1</t>
  </si>
  <si>
    <t>2,9,7-2</t>
  </si>
  <si>
    <t>2,9,10-2</t>
  </si>
  <si>
    <t>2,9,7-3</t>
  </si>
  <si>
    <t>2,9,10-3</t>
  </si>
  <si>
    <t>2,10,6-1</t>
  </si>
  <si>
    <t>2,10,7-1</t>
  </si>
  <si>
    <t>2,10,6-2</t>
  </si>
  <si>
    <t>2,10,7-2</t>
  </si>
  <si>
    <t>2,10,6-3</t>
  </si>
  <si>
    <t>2,11,6-1</t>
  </si>
  <si>
    <t>2,11,7-1</t>
  </si>
  <si>
    <t>2,11,6-2</t>
  </si>
  <si>
    <t>2,11,7-2</t>
  </si>
  <si>
    <t>2,11,6-3</t>
  </si>
  <si>
    <t>2,12,6-1</t>
  </si>
  <si>
    <t>2,12,7-1</t>
  </si>
  <si>
    <t>3,390,7</t>
  </si>
  <si>
    <t>договор 8140-2409 НН (306,305,304)</t>
  </si>
  <si>
    <t>3,391,7</t>
  </si>
  <si>
    <t>3,392,7</t>
  </si>
  <si>
    <t>договор 2680-2501(менее 670)</t>
  </si>
  <si>
    <t>3,393,6</t>
  </si>
  <si>
    <t>3,357,10</t>
  </si>
  <si>
    <t>3,357,15</t>
  </si>
  <si>
    <t>3,358,10</t>
  </si>
  <si>
    <t>3,358,15</t>
  </si>
  <si>
    <t>договор 5925 шматко</t>
  </si>
  <si>
    <t>договор 5925(шматко)</t>
  </si>
  <si>
    <t>договор 8087-2405 (130. 131.132)Ковригина</t>
  </si>
  <si>
    <t>договор 7691-2212  (257,255,256) Шмалюк</t>
  </si>
  <si>
    <t>договор 7691-2212  (257,255,256)Шмалюк</t>
  </si>
  <si>
    <t>договор 7874-2308 НН (291,292,293)Надя</t>
  </si>
  <si>
    <t>Заказчик</t>
  </si>
  <si>
    <t>Исполнитель</t>
  </si>
  <si>
    <t>м.п.</t>
  </si>
  <si>
    <t>№
п/п</t>
  </si>
  <si>
    <t>Единицы 
измерения</t>
  </si>
  <si>
    <t>Объем потребления электрической энергии поставляемой прочим потребителям</t>
  </si>
  <si>
    <t>Объем потребления электрической энергии по группе "Прочие Потребители" по одноставочному тарифу на услуги по передаче:</t>
  </si>
  <si>
    <t>Объем потребления электрической энергии по группе "Прочие Потребители" по двухставочному тарифу на услуги по передаче:</t>
  </si>
  <si>
    <t>Величина мощности, по группе "Прочие Потребители" по двухставочному тарифу на услуги по передаче:</t>
  </si>
  <si>
    <t>Объем потребления электрической энергии по группе "Население и приравненные к нему категории потребителей", за исключением поставляемой исполнителями коммунальных услуг</t>
  </si>
  <si>
    <t>Объем потребления электрической энергии по группе "Население и приравненные к нему категории потребителей, за исключением населения проживающего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нему, и населения, проживающего в сельских населенных пунктах и приравненные к нему"</t>
  </si>
  <si>
    <t>I диапазон объемов потребления электрической энергии</t>
  </si>
  <si>
    <t>II диапазон объемов потребления электрической энергии</t>
  </si>
  <si>
    <t>III диапазон объемов потребления электрической энергии</t>
  </si>
  <si>
    <t xml:space="preserve">Объем потребления электрической энергии по группе "Население,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нему категории потребителей" </t>
  </si>
  <si>
    <t xml:space="preserve">Объем потребления электрической энергии по группе "Население, проживающее в сельских населенных пунктах и приравненные к нему категории потребителей" </t>
  </si>
  <si>
    <r>
      <t xml:space="preserve">Объем потребления электрической энергии по группе "Население и приравненные к населению: 
</t>
    </r>
    <r>
      <rPr>
        <sz val="10"/>
        <rFont val="Times New Roman"/>
        <family val="1"/>
        <charset val="204"/>
      </rPr>
      <t>- 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 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 Содержащиеся за счет прихожан религиозные организации.
- Объединения граждан, приобретающих электрическую энергию (мощность) для использования в принадлежащих им хозяйственных постройках (погреба, сараи).
-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r>
  </si>
  <si>
    <t>2.4.1.</t>
  </si>
  <si>
    <t>2.4.2.</t>
  </si>
  <si>
    <t>2.4.3.</t>
  </si>
  <si>
    <t>Объем потребления электрической энергии по группе "Население и приравненные к нему категории потребителей", поставляемой исполнителями коммунальных услуг</t>
  </si>
  <si>
    <t>Объем потребления электрической энергии по группе "Население и приравненные к нему категории потребителей, за исключением населения проживающего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нему, и населения, проживающего в сельских населенных пунктах и приравненные к нему":</t>
  </si>
  <si>
    <t>Объем потребления электрической энергии по группе "Население,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нему категории потребителей":</t>
  </si>
  <si>
    <t>Объем потребления электрической энергии по группе "Население, проживающее в сельских населенных пунктах и приравненные к нему категории потребителей":</t>
  </si>
  <si>
    <t>Объем безучетного потребления электрической энергии по актам о неучтенном потреблении электрической энергии:</t>
  </si>
  <si>
    <t>Объем безучетного потребления электрической энергии по актам о неучтенном потреблении электрической энергии ЮЛ                                                                        (с указанием тарифа одноставочный/двухставочный)</t>
  </si>
  <si>
    <t>Объем безучетного потребления электрической энергии по актам о неучтенном потреблении электрической энергии ФЛ                                                                         (с указанием диапазона объемов потребления электрической энергии (I,II,III))</t>
  </si>
  <si>
    <t>Объем безучетного потребления электрической энергии по актам о неучтенном потреблении электрической энергии ЮЛ приравненные к населению (с указанием диапазона объемов потребления электрической энергии (I, II, III))</t>
  </si>
  <si>
    <t>об оказании услуг по передаче электрической энергии (мощности)
 _______   20__ г.</t>
  </si>
  <si>
    <t>г. Нижневартовск                                                                                                                                                                               "___"________ 202_ г.</t>
  </si>
  <si>
    <t>составили настоящий  акт   о   нижеследующем:</t>
  </si>
  <si>
    <t>Ед-ца измерения</t>
  </si>
  <si>
    <t>Услуги по передаче электрической энергии поставляемой прочим потребителям</t>
  </si>
  <si>
    <t>Стоимость услуг по передаче электроэнергии (мощности), (без НДС) по группе "Прочие потребители" (без НДС)(п.</t>
  </si>
  <si>
    <t>в т.ч.:</t>
  </si>
  <si>
    <t>с шин ТЭЦ, ВН</t>
  </si>
  <si>
    <r>
      <t>Стоимость</t>
    </r>
    <r>
      <rPr>
        <sz val="8"/>
        <rFont val="Tahoma"/>
        <family val="2"/>
        <charset val="204"/>
      </rPr>
      <t xml:space="preserve"> услуг по передаче электроэнергии (мощности), (без НДС) по </t>
    </r>
    <r>
      <rPr>
        <b/>
        <sz val="8"/>
        <rFont val="Tahoma"/>
        <family val="2"/>
        <charset val="204"/>
      </rPr>
      <t>одноставочному</t>
    </r>
    <r>
      <rPr>
        <sz val="8"/>
        <rFont val="Tahoma"/>
        <family val="2"/>
        <charset val="204"/>
      </rPr>
      <t xml:space="preserve"> тарифу</t>
    </r>
  </si>
  <si>
    <r>
      <t>Объем</t>
    </r>
    <r>
      <rPr>
        <sz val="8"/>
        <rFont val="Tahoma"/>
        <family val="2"/>
        <charset val="204"/>
      </rPr>
      <t xml:space="preserve"> электроэнергии, переданный группе </t>
    </r>
    <r>
      <rPr>
        <b/>
        <sz val="8"/>
        <rFont val="Tahoma"/>
        <family val="2"/>
        <charset val="204"/>
      </rPr>
      <t>"Прочие потребители"</t>
    </r>
    <r>
      <rPr>
        <sz val="8"/>
        <rFont val="Tahoma"/>
        <family val="2"/>
        <charset val="204"/>
      </rPr>
      <t xml:space="preserve"> </t>
    </r>
    <r>
      <rPr>
        <b/>
        <sz val="8"/>
        <rFont val="Tahoma"/>
        <family val="2"/>
        <charset val="204"/>
      </rPr>
      <t xml:space="preserve">по одноставочному </t>
    </r>
    <r>
      <rPr>
        <sz val="8"/>
        <rFont val="Tahoma"/>
        <family val="2"/>
        <charset val="204"/>
      </rPr>
      <t>тарифу</t>
    </r>
  </si>
  <si>
    <t>МВт.ч</t>
  </si>
  <si>
    <r>
      <rPr>
        <b/>
        <sz val="8"/>
        <rFont val="Tahoma"/>
        <family val="2"/>
        <charset val="204"/>
      </rPr>
      <t>Тариф</t>
    </r>
    <r>
      <rPr>
        <sz val="8"/>
        <rFont val="Tahoma"/>
        <family val="2"/>
        <charset val="204"/>
      </rPr>
      <t xml:space="preserve"> на услуги по передаче электроэнергии для группы </t>
    </r>
    <r>
      <rPr>
        <b/>
        <sz val="8"/>
        <rFont val="Tahoma"/>
        <family val="2"/>
        <charset val="204"/>
      </rPr>
      <t>"Прочие потребители" по одноставочному</t>
    </r>
    <r>
      <rPr>
        <sz val="8"/>
        <rFont val="Tahoma"/>
        <family val="2"/>
        <charset val="204"/>
      </rPr>
      <t xml:space="preserve"> тарифу</t>
    </r>
  </si>
  <si>
    <t>руб/МВт.ч</t>
  </si>
  <si>
    <r>
      <t>Стоимость</t>
    </r>
    <r>
      <rPr>
        <sz val="8"/>
        <rFont val="Tahoma"/>
        <family val="2"/>
        <charset val="204"/>
      </rPr>
      <t xml:space="preserve"> услуг по передаче электроэнергии (мощности), (без НДС) по </t>
    </r>
    <r>
      <rPr>
        <b/>
        <sz val="8"/>
        <rFont val="Tahoma"/>
        <family val="2"/>
        <charset val="204"/>
      </rPr>
      <t>двуставочному</t>
    </r>
    <r>
      <rPr>
        <sz val="8"/>
        <rFont val="Tahoma"/>
        <family val="2"/>
        <charset val="204"/>
      </rPr>
      <t xml:space="preserve"> тарифу</t>
    </r>
  </si>
  <si>
    <r>
      <t xml:space="preserve">Объем </t>
    </r>
    <r>
      <rPr>
        <sz val="8"/>
        <rFont val="Tahoma"/>
        <family val="2"/>
        <charset val="204"/>
      </rPr>
      <t xml:space="preserve">электроэнергии, переданный группе </t>
    </r>
    <r>
      <rPr>
        <b/>
        <sz val="8"/>
        <rFont val="Tahoma"/>
        <family val="2"/>
        <charset val="204"/>
      </rPr>
      <t>"Прочие потребители" по двухставочному тарифу</t>
    </r>
  </si>
  <si>
    <r>
      <t xml:space="preserve">с шин ТЭЦ, ВН </t>
    </r>
    <r>
      <rPr>
        <sz val="12"/>
        <rFont val="Calibri"/>
        <family val="2"/>
        <charset val="204"/>
      </rPr>
      <t>²</t>
    </r>
  </si>
  <si>
    <r>
      <rPr>
        <b/>
        <sz val="8"/>
        <rFont val="Tahoma"/>
        <family val="2"/>
        <charset val="204"/>
      </rPr>
      <t>Ставка</t>
    </r>
    <r>
      <rPr>
        <sz val="8"/>
        <rFont val="Tahoma"/>
        <family val="2"/>
        <charset val="204"/>
      </rPr>
      <t xml:space="preserve"> на оплату технологического расхода (потерь) в электрических сетях</t>
    </r>
  </si>
  <si>
    <t>руб./МВт.ч</t>
  </si>
  <si>
    <r>
      <t>Величина мощности</t>
    </r>
    <r>
      <rPr>
        <sz val="8"/>
        <rFont val="Tahoma"/>
        <family val="2"/>
        <charset val="204"/>
      </rPr>
      <t xml:space="preserve">, переданной группе </t>
    </r>
    <r>
      <rPr>
        <b/>
        <sz val="8"/>
        <rFont val="Tahoma"/>
        <family val="2"/>
        <charset val="204"/>
      </rPr>
      <t>"Прочие потребители" по двухставочному тарифу</t>
    </r>
  </si>
  <si>
    <r>
      <rPr>
        <b/>
        <sz val="8"/>
        <rFont val="Tahoma"/>
        <family val="2"/>
        <charset val="204"/>
      </rPr>
      <t>Ставка</t>
    </r>
    <r>
      <rPr>
        <sz val="8"/>
        <rFont val="Tahoma"/>
        <family val="2"/>
        <charset val="204"/>
      </rPr>
      <t xml:space="preserve"> за содержание электрических сетей</t>
    </r>
  </si>
  <si>
    <t>руб./МВт мес.</t>
  </si>
  <si>
    <t>Услуги по передаче электрической энергии поставляемой населению и приравненным к нему категориям потребителей, за исключением ИКУ</t>
  </si>
  <si>
    <r>
      <rPr>
        <b/>
        <sz val="8"/>
        <rFont val="Tahoma"/>
        <family val="2"/>
        <charset val="204"/>
      </rPr>
      <t>Стоимость</t>
    </r>
    <r>
      <rPr>
        <sz val="8"/>
        <rFont val="Tahoma"/>
        <family val="2"/>
        <charset val="204"/>
      </rPr>
      <t xml:space="preserve"> услуг по передаче электроэнергии (мощности), (без НДС) по группе "</t>
    </r>
    <r>
      <rPr>
        <b/>
        <sz val="8"/>
        <rFont val="Tahoma"/>
        <family val="2"/>
        <charset val="204"/>
      </rPr>
      <t>Население и приравненные к нему категории потребителей", в том числе с шин ТЭЦ</t>
    </r>
  </si>
  <si>
    <r>
      <t>Объем</t>
    </r>
    <r>
      <rPr>
        <sz val="8"/>
        <rFont val="Tahoma"/>
        <family val="2"/>
        <charset val="204"/>
      </rPr>
      <t xml:space="preserve"> электроэнергии, переданный группе "Население и приравненные к нему  категории потребителей</t>
    </r>
    <r>
      <rPr>
        <vertAlign val="superscript"/>
        <sz val="8"/>
        <rFont val="Tahoma"/>
        <family val="2"/>
        <charset val="204"/>
      </rPr>
      <t>1</t>
    </r>
    <r>
      <rPr>
        <sz val="8"/>
        <rFont val="Tahoma"/>
        <family val="2"/>
        <charset val="204"/>
      </rPr>
      <t xml:space="preserve">, за исключением населения проживающего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нему, и населения, проживающего в сельских населенных пунктах и приравненные к нему", в том числе с шин ТЭЦ
</t>
    </r>
  </si>
  <si>
    <r>
      <t>Объем</t>
    </r>
    <r>
      <rPr>
        <sz val="8"/>
        <rFont val="Tahoma"/>
        <family val="2"/>
        <charset val="204"/>
      </rPr>
      <t xml:space="preserve"> электроэнергии, переданный группе "Население,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нему категории потребителей</t>
    </r>
    <r>
      <rPr>
        <vertAlign val="superscript"/>
        <sz val="8"/>
        <rFont val="Tahoma"/>
        <family val="2"/>
        <charset val="204"/>
      </rPr>
      <t>1</t>
    </r>
    <r>
      <rPr>
        <sz val="8"/>
        <rFont val="Tahoma"/>
        <family val="2"/>
        <charset val="204"/>
      </rPr>
      <t>" в том числе с шин ТЭЦ</t>
    </r>
  </si>
  <si>
    <r>
      <t>Объем</t>
    </r>
    <r>
      <rPr>
        <sz val="8"/>
        <rFont val="Tahoma"/>
        <family val="2"/>
        <charset val="204"/>
      </rPr>
      <t xml:space="preserve"> электроэнергии, переданный группе "Население, проживающее в сельских населенных пунктах и приравненные к нему категории потребителей</t>
    </r>
    <r>
      <rPr>
        <vertAlign val="superscript"/>
        <sz val="8"/>
        <rFont val="Tahoma"/>
        <family val="2"/>
        <charset val="204"/>
      </rPr>
      <t>1</t>
    </r>
    <r>
      <rPr>
        <sz val="8"/>
        <rFont val="Tahoma"/>
        <family val="2"/>
        <charset val="204"/>
      </rPr>
      <t>" в том числе с шин ТЭЦ</t>
    </r>
  </si>
  <si>
    <r>
      <t>Объем</t>
    </r>
    <r>
      <rPr>
        <sz val="8"/>
        <rFont val="Tahoma"/>
        <family val="2"/>
        <charset val="204"/>
      </rPr>
      <t xml:space="preserve"> электроэнергии, переданный группе ""Потребители, приравненные к населению, том числе с шин ТЭЦ: 
- 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 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 Содержащиеся за счет прихожан религиозные организации.
- Объединения граждан, приобретающих электрическую энергию (мощность) для использования в принадлежащих им хозяйственных постройках (погреба, сараи).
-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 указанным в данном пункте."</t>
    </r>
  </si>
  <si>
    <t>2.5.</t>
  </si>
  <si>
    <r>
      <t>Тариф</t>
    </r>
    <r>
      <rPr>
        <sz val="8"/>
        <rFont val="Tahoma"/>
        <family val="2"/>
        <charset val="204"/>
      </rPr>
      <t xml:space="preserve"> на услуги по передаче электроэнергии для группы"Население и приравненные к нему  категории потребителей</t>
    </r>
    <r>
      <rPr>
        <vertAlign val="superscript"/>
        <sz val="8"/>
        <rFont val="Tahoma"/>
        <family val="2"/>
        <charset val="204"/>
      </rPr>
      <t>1</t>
    </r>
    <r>
      <rPr>
        <sz val="8"/>
        <rFont val="Tahoma"/>
        <family val="2"/>
        <charset val="204"/>
      </rPr>
      <t>, за исключением населения проживающего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нему, и населения, проживающего в сельских населенных пунктах и приравненные к нему"</t>
    </r>
  </si>
  <si>
    <t>2.6.</t>
  </si>
  <si>
    <r>
      <t>Тариф</t>
    </r>
    <r>
      <rPr>
        <sz val="8"/>
        <rFont val="Tahoma"/>
        <family val="2"/>
        <charset val="204"/>
      </rPr>
      <t xml:space="preserve"> на услуги по передаче электроэнергии для группы "Население,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нему категории потребителей</t>
    </r>
    <r>
      <rPr>
        <vertAlign val="superscript"/>
        <sz val="8"/>
        <rFont val="Tahoma"/>
        <family val="2"/>
        <charset val="204"/>
      </rPr>
      <t>1</t>
    </r>
    <r>
      <rPr>
        <sz val="8"/>
        <rFont val="Tahoma"/>
        <family val="2"/>
        <charset val="204"/>
      </rPr>
      <t>"</t>
    </r>
  </si>
  <si>
    <t>2.7.</t>
  </si>
  <si>
    <r>
      <t>Тариф</t>
    </r>
    <r>
      <rPr>
        <sz val="8"/>
        <rFont val="Tahoma"/>
        <family val="2"/>
        <charset val="204"/>
      </rPr>
      <t xml:space="preserve"> на услуги по передаче электроэнергии для группы  "Население, проживающее в сельских населенных пунктах и приравненные к нему категории потребителей</t>
    </r>
    <r>
      <rPr>
        <vertAlign val="superscript"/>
        <sz val="8"/>
        <rFont val="Tahoma"/>
        <family val="2"/>
        <charset val="204"/>
      </rPr>
      <t>1</t>
    </r>
    <r>
      <rPr>
        <sz val="8"/>
        <rFont val="Tahoma"/>
        <family val="2"/>
        <charset val="204"/>
      </rPr>
      <t>"</t>
    </r>
  </si>
  <si>
    <t>2.8.</t>
  </si>
  <si>
    <r>
      <t>Тариф</t>
    </r>
    <r>
      <rPr>
        <sz val="8"/>
        <rFont val="Tahoma"/>
        <family val="2"/>
        <charset val="204"/>
      </rPr>
      <t xml:space="preserve"> на услуги по передаче электроэнергии для группы  "Потребители, приравненные к населению: 
- 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 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 Содержащиеся за счет прихожан религиозные организации.
- Объединения граждан, приобретающих электрическую энергию (мощность) для использования в принадлежащих им хозяйственных постройках (погреба, сараи).
-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 указанным в данном пункте."</t>
    </r>
  </si>
  <si>
    <t>3. Услуги по передаче электрической энергии  в отношении группы "Население и приравненные к нему категории потребителей" поставляемой ИКУ</t>
  </si>
  <si>
    <t>Стоимость услуг по передаче электроэнергии (мощности), (без НДС) по группе "Население и приравненные к нему категории потребителей"</t>
  </si>
  <si>
    <r>
      <t>Объем</t>
    </r>
    <r>
      <rPr>
        <sz val="8"/>
        <rFont val="Tahoma"/>
        <family val="2"/>
        <charset val="204"/>
      </rPr>
      <t xml:space="preserve"> электроэнергии, переданный группе "Население и приравненные к нему  категории потребителей</t>
    </r>
    <r>
      <rPr>
        <vertAlign val="superscript"/>
        <sz val="8"/>
        <rFont val="Tahoma"/>
        <family val="2"/>
        <charset val="204"/>
      </rPr>
      <t>1</t>
    </r>
    <r>
      <rPr>
        <sz val="8"/>
        <rFont val="Tahoma"/>
        <family val="2"/>
        <charset val="204"/>
      </rPr>
      <t xml:space="preserve">, за исключением населения проживающего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нему, и населения, проживающего в сельских населенных пунктах и приравненные к нему"
</t>
    </r>
  </si>
  <si>
    <r>
      <t>Объем</t>
    </r>
    <r>
      <rPr>
        <sz val="8"/>
        <rFont val="Tahoma"/>
        <family val="2"/>
        <charset val="204"/>
      </rPr>
      <t xml:space="preserve"> электроэнергии, переданный группе "Население,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нему категории потребителей</t>
    </r>
    <r>
      <rPr>
        <vertAlign val="superscript"/>
        <sz val="8"/>
        <rFont val="Tahoma"/>
        <family val="2"/>
        <charset val="204"/>
      </rPr>
      <t>1</t>
    </r>
    <r>
      <rPr>
        <sz val="8"/>
        <rFont val="Tahoma"/>
        <family val="2"/>
        <charset val="204"/>
      </rPr>
      <t>"</t>
    </r>
  </si>
  <si>
    <r>
      <t>Объем</t>
    </r>
    <r>
      <rPr>
        <sz val="8"/>
        <rFont val="Tahoma"/>
        <family val="2"/>
        <charset val="204"/>
      </rPr>
      <t xml:space="preserve"> электроэнергии, переданный группе "Население, проживающее в сельских населенных пунктах и приравненные к нему категории потребителей</t>
    </r>
    <r>
      <rPr>
        <vertAlign val="superscript"/>
        <sz val="8"/>
        <rFont val="Tahoma"/>
        <family val="2"/>
        <charset val="204"/>
      </rPr>
      <t>1</t>
    </r>
    <r>
      <rPr>
        <sz val="8"/>
        <rFont val="Tahoma"/>
        <family val="2"/>
        <charset val="204"/>
      </rPr>
      <t>"</t>
    </r>
  </si>
  <si>
    <t>4. Услуги по передаче электрической энергии  в отношении группы "Прочие потребители" поставляемой ИКУ</t>
  </si>
  <si>
    <t>Стоимость услуг по передаче электроэнергии (мощности), (без НДС) по группе "Прочие потребители"</t>
  </si>
  <si>
    <r>
      <t>Стоимость</t>
    </r>
    <r>
      <rPr>
        <sz val="8"/>
        <rFont val="Tahoma"/>
        <family val="2"/>
        <charset val="204"/>
      </rPr>
      <t xml:space="preserve"> услуг по передаче электроэнергии (мощности), (без НДС) по </t>
    </r>
    <r>
      <rPr>
        <b/>
        <sz val="8"/>
        <rFont val="Tahoma"/>
        <family val="2"/>
        <charset val="204"/>
      </rPr>
      <t>двухставочному</t>
    </r>
    <r>
      <rPr>
        <sz val="8"/>
        <rFont val="Tahoma"/>
        <family val="2"/>
        <charset val="204"/>
      </rPr>
      <t xml:space="preserve"> тарифу</t>
    </r>
  </si>
  <si>
    <t>Объем электроэнергии, переданный группе "Прочие потребители" по двухставочному тарифу</t>
  </si>
  <si>
    <t>Величина мощности, переданной группе "Прочие потребители" по двухставочному тарифу</t>
  </si>
  <si>
    <t>МВт.</t>
  </si>
  <si>
    <t>4.2.4.</t>
  </si>
  <si>
    <t>4. Итого стоимость услуг по передаче электроэнергии (мощности) по сети АО "Россети Тюмень"</t>
  </si>
  <si>
    <t>Итого стоимость услуг по передаче электроэнергии по сети АО "Россети Тюмень" (без НДС 20%)</t>
  </si>
  <si>
    <t>НДС 20%</t>
  </si>
  <si>
    <r>
      <t xml:space="preserve">Итого </t>
    </r>
    <r>
      <rPr>
        <sz val="10"/>
        <rFont val="Tahoma"/>
        <family val="2"/>
        <charset val="204"/>
      </rPr>
      <t>стоимость услуг по передаче электроэнергии по сети АО "Россети Тюмень" (с НДС 20%)</t>
    </r>
  </si>
  <si>
    <t>Заказчик претензий по оказанию услуг к Исполнителю (не) имеет.</t>
  </si>
  <si>
    <t>Примечание:</t>
  </si>
  <si>
    <t>1:</t>
  </si>
  <si>
    <t xml:space="preserve"> - 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
- 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
Гарантирующие поставщики, энергосбытовые, энергоснабжающие организации, приобретающие электрическую энергию (мощность) в целях дальнейшей продажи, соответствующей группе населения и приравненным к нему категориям потребителей в объемах фактического потребления населения и приравненных к нему категорий потребителей и объемах электроэнергии, израсходованной на места общего пользования в целях потребления на коммунально-бытовые нужды граждан и не используемой для осуществления коммерческой (профессиональной) деятельности.</t>
  </si>
  <si>
    <t>2:</t>
  </si>
  <si>
    <t>величина не используется для рассчета стоимости, указывается информативно.</t>
  </si>
  <si>
    <t>__________________ /______________</t>
  </si>
  <si>
    <t>_________________/________________</t>
  </si>
  <si>
    <t>д1</t>
  </si>
  <si>
    <t>д2</t>
  </si>
  <si>
    <t>д3</t>
  </si>
  <si>
    <t xml:space="preserve">ООО "НЭСКО" </t>
  </si>
  <si>
    <t>к договору оказания услуг по передаче электрической энергии №US04.1600.2024.523 от 25.12. 2024 года</t>
  </si>
  <si>
    <t>ИКУ</t>
  </si>
  <si>
    <t xml:space="preserve">  Акт</t>
  </si>
  <si>
    <r>
      <t xml:space="preserve">АО "Россети Тюмень", </t>
    </r>
    <r>
      <rPr>
        <sz val="10"/>
        <rFont val="Arial Cyr"/>
        <charset val="204"/>
      </rPr>
      <t>в лице заместителя директора по развитию и реализации услуг филиала АО "Россети Тюмень" Нижневартовские электрические сети Стрижака Ивана Генадьевича, действующего на основании доверенности от 21.11.2024 № 103959,  и</t>
    </r>
  </si>
  <si>
    <r>
      <t xml:space="preserve">ООО "НЭСКО",  </t>
    </r>
    <r>
      <rPr>
        <sz val="10"/>
        <rFont val="Arial Cyr"/>
        <charset val="204"/>
      </rPr>
      <t>в  лице директора Эсауленко Валерия Васильевича, действующего на основании доверенности от 28.12.2023 №Дв-Н-2023-3967</t>
    </r>
  </si>
  <si>
    <t xml:space="preserve">АО  "Россети Тюмень"  оказало  услуги  по  передаче электроэнергии в соответствии с договором №US04.1600.2024.523 от 29.11.2024 г,  в полном объеме, стоимость услуг составила: </t>
  </si>
  <si>
    <t>2.5.1.</t>
  </si>
  <si>
    <t>2.5.2.</t>
  </si>
  <si>
    <t>2.5.3.</t>
  </si>
  <si>
    <t>2.6.1.</t>
  </si>
  <si>
    <t>2.6.2.</t>
  </si>
  <si>
    <t>2.6.3.</t>
  </si>
  <si>
    <t>2.7.1.</t>
  </si>
  <si>
    <t>2.7.2.</t>
  </si>
  <si>
    <t>2.7.3.</t>
  </si>
  <si>
    <t>2.8.1.</t>
  </si>
  <si>
    <t>2.8.2.</t>
  </si>
  <si>
    <t>2.8.3.</t>
  </si>
  <si>
    <t>3.4.1.</t>
  </si>
  <si>
    <t>3.4.2.</t>
  </si>
  <si>
    <t>3.4.3.</t>
  </si>
  <si>
    <t>3.5.1.</t>
  </si>
  <si>
    <t>3.5.2.</t>
  </si>
  <si>
    <t>3.5.3.</t>
  </si>
  <si>
    <t>3.6.1.</t>
  </si>
  <si>
    <t>3.6.2.</t>
  </si>
  <si>
    <t>3.6.3.</t>
  </si>
  <si>
    <t>Cводная ведомость потребления электрической энергии Потребителей</t>
  </si>
  <si>
    <t>_______________ / В.В. Эсауленко</t>
  </si>
  <si>
    <t xml:space="preserve"> АО "Горэлектросеть"</t>
  </si>
  <si>
    <t>_______________ / Д.А. Шейнов</t>
  </si>
  <si>
    <t>бНЦЗ</t>
  </si>
  <si>
    <t>Мощность по бНЦЗ</t>
  </si>
  <si>
    <t>Тариф на мощность по бНЦЗ</t>
  </si>
  <si>
    <t>Стоимость мощности по бНЦЗ (без НДС)</t>
  </si>
  <si>
    <t>Стоимость мощности по бНЦЗ (с НДС)</t>
  </si>
  <si>
    <t>Услуги по управлению изменением режима потребления электрической энергии</t>
  </si>
  <si>
    <t>Объем снижения потребления электроэнергии</t>
  </si>
  <si>
    <t xml:space="preserve">Тариф </t>
  </si>
  <si>
    <t>Стоимость услуги (без НДС)</t>
  </si>
  <si>
    <t>Стоимость услуги (с НДС)</t>
  </si>
  <si>
    <t>договор Бурсервис</t>
  </si>
  <si>
    <t>договор 789-2503</t>
  </si>
  <si>
    <t>договор 789-2503 (менее 670)310</t>
  </si>
  <si>
    <t>3,394,6</t>
  </si>
  <si>
    <t>до 3,9</t>
  </si>
  <si>
    <t>до 3,9-6</t>
  </si>
  <si>
    <t>от 6</t>
  </si>
  <si>
    <t>vlmRangeI</t>
  </si>
  <si>
    <t>vlmRangeIIFrom</t>
  </si>
  <si>
    <t>vlmRangeIITo</t>
  </si>
  <si>
    <t>vlmRangeIII</t>
  </si>
  <si>
    <t>tfI</t>
  </si>
  <si>
    <t>tfII</t>
  </si>
  <si>
    <t>tfIII</t>
  </si>
  <si>
    <t>vlmI</t>
  </si>
  <si>
    <t>vlmII</t>
  </si>
  <si>
    <t>vlmIII</t>
  </si>
  <si>
    <t>paI</t>
  </si>
  <si>
    <t>paII</t>
  </si>
  <si>
    <t>paIII</t>
  </si>
  <si>
    <t>cstI</t>
  </si>
  <si>
    <t>cstII</t>
  </si>
  <si>
    <t>cstIII</t>
  </si>
  <si>
    <t>Диапазон.I</t>
  </si>
  <si>
    <t>Диапазон.II.от</t>
  </si>
  <si>
    <t>Диапазон.II.до</t>
  </si>
  <si>
    <t>Диапазон.III</t>
  </si>
  <si>
    <t>Тариф.I</t>
  </si>
  <si>
    <t>Тариф.II</t>
  </si>
  <si>
    <t>Тариф.III</t>
  </si>
  <si>
    <t>Объём.I</t>
  </si>
  <si>
    <t>Объём.II</t>
  </si>
  <si>
    <t>Объём.III</t>
  </si>
  <si>
    <t>ЛС.I</t>
  </si>
  <si>
    <t>ЛС.II</t>
  </si>
  <si>
    <t>ЛС.III</t>
  </si>
  <si>
    <t>Стоимость.I</t>
  </si>
  <si>
    <t>Стоимость.II</t>
  </si>
  <si>
    <t>Стоимость.III</t>
  </si>
  <si>
    <t>Информация об объёмах потребления электрической энергии населением и приравненными к нему категориями потребителей</t>
  </si>
  <si>
    <t>Категория потребителей</t>
  </si>
  <si>
    <t>Пороговое значение</t>
  </si>
  <si>
    <t>Средневзвешенный тариф на электрическую энергию за отчётный месяц</t>
  </si>
  <si>
    <t>Объём потребления электрической энергии за отчётный месяц</t>
  </si>
  <si>
    <t>Количество лицевых счетов</t>
  </si>
  <si>
    <t>Стоимость электрической энергии за отчётный месяц</t>
  </si>
  <si>
    <t>Первый диапазон</t>
  </si>
  <si>
    <t>Второй диапазон</t>
  </si>
  <si>
    <t>Третий диапазон</t>
  </si>
  <si>
    <t>включительно до:</t>
  </si>
  <si>
    <t>от:</t>
  </si>
  <si>
    <t>тыс.кВт*ч</t>
  </si>
  <si>
    <t>Население и приравненные к нему категории потребителей, предусмотренные строкой 1 таблицы 2 приложения № 3 к форме решения исполнительного органа субъекта Российской Федерации в области государственного регулирования тарифов об установлении цен (тарифов) в электроэнергетике и (или) их предельных уровней, утверждённой приказом ФАС России от 22.07.2024 № 489/24</t>
  </si>
  <si>
    <t>в отношении объёмов потребления в жилых домах</t>
  </si>
  <si>
    <r>
      <t xml:space="preserve">в отношении объёмов потребления электрической энергии в жилых и (или) садовых домах, не подключенных к централизованной системе газоснабжения, оборудованных электроотопительными установками для расчётных периодов (месяцев), </t>
    </r>
    <r>
      <rPr>
        <b/>
        <sz val="8"/>
        <color rgb="FF0070C0"/>
        <rFont val="Tahoma"/>
        <family val="2"/>
        <charset val="204"/>
      </rPr>
      <t>относящихся</t>
    </r>
    <r>
      <rPr>
        <b/>
        <sz val="8"/>
        <rFont val="Tahoma"/>
        <family val="2"/>
        <charset val="204"/>
      </rPr>
      <t xml:space="preserve"> к отопительному периоду</t>
    </r>
  </si>
  <si>
    <r>
      <t xml:space="preserve">в отношении объёмов потребления электрической энергии в жилых и (или) садовых домах, не подключенных к централизованной системе газоснабжения, оборудованных электроотопительными установками для расчётных периодов (месяцев), </t>
    </r>
    <r>
      <rPr>
        <b/>
        <sz val="8"/>
        <color rgb="FFC00000"/>
        <rFont val="Tahoma"/>
        <family val="2"/>
        <charset val="204"/>
      </rPr>
      <t>не относящихся</t>
    </r>
    <r>
      <rPr>
        <b/>
        <sz val="8"/>
        <rFont val="Tahoma"/>
        <family val="2"/>
        <charset val="204"/>
      </rPr>
      <t xml:space="preserve"> к отопительному периоду</t>
    </r>
  </si>
  <si>
    <t>в отношении объёмов потребления в многоквартирных домах</t>
  </si>
  <si>
    <r>
      <rPr>
        <b/>
        <sz val="8"/>
        <rFont val="Tahoma"/>
        <family val="2"/>
        <charset val="204"/>
      </rPr>
      <t>Справочно:</t>
    </r>
    <r>
      <rPr>
        <sz val="8"/>
        <rFont val="Tahoma"/>
        <family val="2"/>
        <charset val="204"/>
      </rPr>
      <t xml:space="preserve"> в отношении объёмов потребления в помещениях в многоквартирных домах для ИКУ расчитывающихся по одному договору </t>
    </r>
    <r>
      <rPr>
        <b/>
        <sz val="8"/>
        <color rgb="FFC00000"/>
        <rFont val="Tahoma"/>
        <family val="2"/>
        <charset val="204"/>
      </rPr>
      <t>при отсутствии</t>
    </r>
    <r>
      <rPr>
        <b/>
        <sz val="8"/>
        <rFont val="Tahoma"/>
        <family val="2"/>
        <charset val="204"/>
      </rPr>
      <t xml:space="preserve"> информации</t>
    </r>
    <r>
      <rPr>
        <sz val="8"/>
        <rFont val="Tahoma"/>
        <family val="2"/>
        <charset val="204"/>
      </rPr>
      <t xml:space="preserve"> о количестве помещений</t>
    </r>
  </si>
  <si>
    <r>
      <t xml:space="preserve">в отношении объёмов потребления в помещениях в многоквартирных домах для ИКУ расчитывающихся по одному договору </t>
    </r>
    <r>
      <rPr>
        <b/>
        <sz val="8"/>
        <color rgb="FF0070C0"/>
        <rFont val="Tahoma"/>
        <family val="2"/>
        <charset val="204"/>
      </rPr>
      <t>при наличии</t>
    </r>
    <r>
      <rPr>
        <b/>
        <sz val="8"/>
        <rFont val="Tahoma"/>
        <family val="2"/>
        <charset val="204"/>
      </rPr>
      <t xml:space="preserve"> информации</t>
    </r>
    <r>
      <rPr>
        <sz val="8"/>
        <rFont val="Tahoma"/>
        <family val="2"/>
        <charset val="204"/>
      </rPr>
      <t xml:space="preserve"> о количестве помещений</t>
    </r>
  </si>
  <si>
    <t>в иных случаях</t>
  </si>
  <si>
    <r>
      <t xml:space="preserve">Население, проживающее в </t>
    </r>
    <r>
      <rPr>
        <b/>
        <sz val="8"/>
        <rFont val="Tahoma"/>
        <family val="2"/>
        <charset val="204"/>
      </rPr>
      <t>городских</t>
    </r>
    <r>
      <rPr>
        <sz val="8"/>
        <rFont val="Tahoma"/>
        <family val="2"/>
        <charset val="204"/>
      </rPr>
      <t xml:space="preserve"> населённых пунктах в домах, </t>
    </r>
    <r>
      <rPr>
        <b/>
        <sz val="8"/>
        <rFont val="Tahoma"/>
        <family val="2"/>
        <charset val="204"/>
      </rPr>
      <t>оборудованных</t>
    </r>
    <r>
      <rPr>
        <sz val="8"/>
        <rFont val="Tahoma"/>
        <family val="2"/>
        <charset val="204"/>
      </rPr>
      <t xml:space="preserve"> стационарными электроплитами и электроотопительными установками, и приравненные к нему категории потребителей</t>
    </r>
  </si>
  <si>
    <r>
      <t xml:space="preserve">в отношении объёмов потребления электрической энергии в жилых домах для расчётных периодов (месяцев), </t>
    </r>
    <r>
      <rPr>
        <b/>
        <sz val="8"/>
        <color rgb="FF0070C0"/>
        <rFont val="Tahoma"/>
        <family val="2"/>
        <charset val="204"/>
      </rPr>
      <t>относящихся</t>
    </r>
    <r>
      <rPr>
        <b/>
        <sz val="8"/>
        <rFont val="Tahoma"/>
        <family val="2"/>
        <charset val="204"/>
      </rPr>
      <t xml:space="preserve"> к отопительному периоду</t>
    </r>
  </si>
  <si>
    <r>
      <t xml:space="preserve">в отношении объёмов потребления электрической энергии в жилых домах для расчётных периодов (месяцев), </t>
    </r>
    <r>
      <rPr>
        <b/>
        <sz val="8"/>
        <color rgb="FFC00000"/>
        <rFont val="Tahoma"/>
        <family val="2"/>
        <charset val="204"/>
      </rPr>
      <t>не относящихся</t>
    </r>
    <r>
      <rPr>
        <b/>
        <sz val="8"/>
        <rFont val="Tahoma"/>
        <family val="2"/>
        <charset val="204"/>
      </rPr>
      <t xml:space="preserve"> к отопительному периоду</t>
    </r>
  </si>
  <si>
    <r>
      <t xml:space="preserve">в отношении объёмов потребления электрической энергии в помещениях в многоквартирных домах для расчётных периодов (месяцев), </t>
    </r>
    <r>
      <rPr>
        <b/>
        <sz val="8"/>
        <color rgb="FF0070C0"/>
        <rFont val="Tahoma"/>
        <family val="2"/>
        <charset val="204"/>
      </rPr>
      <t>относящихся</t>
    </r>
    <r>
      <rPr>
        <b/>
        <sz val="8"/>
        <rFont val="Tahoma"/>
        <family val="2"/>
        <charset val="204"/>
      </rPr>
      <t xml:space="preserve"> к отопительному периоду</t>
    </r>
  </si>
  <si>
    <t>2.4</t>
  </si>
  <si>
    <r>
      <rPr>
        <b/>
        <sz val="8"/>
        <rFont val="Tahoma"/>
        <family val="2"/>
        <charset val="204"/>
      </rPr>
      <t>Справочно:</t>
    </r>
    <r>
      <rPr>
        <sz val="8"/>
        <rFont val="Tahoma"/>
        <family val="2"/>
        <charset val="204"/>
      </rPr>
      <t xml:space="preserve"> в отношении объёмов потребления электрической энергии в помещениях в многоквартирных домах для ИКУ расчитывающихся по одному договору для расчётных периодов (месяцев), </t>
    </r>
    <r>
      <rPr>
        <b/>
        <sz val="8"/>
        <color rgb="FF0070C0"/>
        <rFont val="Tahoma"/>
        <family val="2"/>
        <charset val="204"/>
      </rPr>
      <t>относящихся</t>
    </r>
    <r>
      <rPr>
        <b/>
        <sz val="8"/>
        <rFont val="Tahoma"/>
        <family val="2"/>
        <charset val="204"/>
      </rPr>
      <t xml:space="preserve"> к отопительному периоду </t>
    </r>
    <r>
      <rPr>
        <b/>
        <sz val="8"/>
        <color rgb="FFC00000"/>
        <rFont val="Tahoma"/>
        <family val="2"/>
        <charset val="204"/>
      </rPr>
      <t>при отсутствии</t>
    </r>
    <r>
      <rPr>
        <b/>
        <sz val="8"/>
        <rFont val="Tahoma"/>
        <family val="2"/>
        <charset val="204"/>
      </rPr>
      <t xml:space="preserve"> информации</t>
    </r>
    <r>
      <rPr>
        <sz val="8"/>
        <rFont val="Tahoma"/>
        <family val="2"/>
        <charset val="204"/>
      </rPr>
      <t xml:space="preserve"> о количестве помещений</t>
    </r>
  </si>
  <si>
    <t>2.5</t>
  </si>
  <si>
    <r>
      <t xml:space="preserve">в отношении объёмов потребления электрической энергии в помещениях в многоквартирных домах для ИКУ расчитывающихся по одному договору для расчётных периодов (месяцев), </t>
    </r>
    <r>
      <rPr>
        <b/>
        <sz val="8"/>
        <color rgb="FF0070C0"/>
        <rFont val="Tahoma"/>
        <family val="2"/>
        <charset val="204"/>
      </rPr>
      <t>относящихся</t>
    </r>
    <r>
      <rPr>
        <b/>
        <sz val="8"/>
        <rFont val="Tahoma"/>
        <family val="2"/>
        <charset val="204"/>
      </rPr>
      <t xml:space="preserve"> к отопительному периоду </t>
    </r>
    <r>
      <rPr>
        <b/>
        <sz val="8"/>
        <color rgb="FF0070C0"/>
        <rFont val="Tahoma"/>
        <family val="2"/>
        <charset val="204"/>
      </rPr>
      <t>при наличии</t>
    </r>
    <r>
      <rPr>
        <b/>
        <sz val="8"/>
        <rFont val="Tahoma"/>
        <family val="2"/>
        <charset val="204"/>
      </rPr>
      <t xml:space="preserve"> информации</t>
    </r>
    <r>
      <rPr>
        <sz val="8"/>
        <rFont val="Tahoma"/>
        <family val="2"/>
        <charset val="204"/>
      </rPr>
      <t xml:space="preserve"> о количестве помещений</t>
    </r>
  </si>
  <si>
    <t>2.6</t>
  </si>
  <si>
    <r>
      <t xml:space="preserve">в отношении объёмов потребления электрической энергии в помещениях в многоквартирных домах для расчётных периодов (месяцев), </t>
    </r>
    <r>
      <rPr>
        <b/>
        <sz val="8"/>
        <color rgb="FFC00000"/>
        <rFont val="Tahoma"/>
        <family val="2"/>
        <charset val="204"/>
      </rPr>
      <t>не относящихся</t>
    </r>
    <r>
      <rPr>
        <b/>
        <sz val="8"/>
        <rFont val="Tahoma"/>
        <family val="2"/>
        <charset val="204"/>
      </rPr>
      <t xml:space="preserve"> к отопительному периоду</t>
    </r>
  </si>
  <si>
    <t>2.7</t>
  </si>
  <si>
    <r>
      <rPr>
        <b/>
        <sz val="8"/>
        <rFont val="Tahoma"/>
        <family val="2"/>
        <charset val="204"/>
      </rPr>
      <t>Справочно:</t>
    </r>
    <r>
      <rPr>
        <sz val="8"/>
        <rFont val="Tahoma"/>
        <family val="2"/>
        <charset val="204"/>
      </rPr>
      <t xml:space="preserve"> в отношении объёмов потребления электрической энергии в помещениях в многоквартирных домах для ИКУ расчитывающихся по одному договору для расчётных периодов (месяцев), </t>
    </r>
    <r>
      <rPr>
        <b/>
        <sz val="8"/>
        <color rgb="FFC00000"/>
        <rFont val="Tahoma"/>
        <family val="2"/>
        <charset val="204"/>
      </rPr>
      <t>не относящихся</t>
    </r>
    <r>
      <rPr>
        <b/>
        <sz val="8"/>
        <rFont val="Tahoma"/>
        <family val="2"/>
        <charset val="204"/>
      </rPr>
      <t xml:space="preserve"> к отопительному периоду </t>
    </r>
    <r>
      <rPr>
        <b/>
        <sz val="8"/>
        <color rgb="FFC00000"/>
        <rFont val="Tahoma"/>
        <family val="2"/>
        <charset val="204"/>
      </rPr>
      <t>при отсутствии</t>
    </r>
    <r>
      <rPr>
        <b/>
        <sz val="8"/>
        <rFont val="Tahoma"/>
        <family val="2"/>
        <charset val="204"/>
      </rPr>
      <t xml:space="preserve"> информации</t>
    </r>
    <r>
      <rPr>
        <sz val="8"/>
        <rFont val="Tahoma"/>
        <family val="2"/>
        <charset val="204"/>
      </rPr>
      <t xml:space="preserve"> о количестве помещений</t>
    </r>
  </si>
  <si>
    <t>2.8</t>
  </si>
  <si>
    <r>
      <t xml:space="preserve">в отношении объёмов потребления электрической энергии в помещениях в многоквартирных домах для ИКУ расчитывающихся по одному договору для расчётных периодов (месяцев), </t>
    </r>
    <r>
      <rPr>
        <b/>
        <sz val="8"/>
        <color rgb="FFC00000"/>
        <rFont val="Tahoma"/>
        <family val="2"/>
        <charset val="204"/>
      </rPr>
      <t>не относящихся</t>
    </r>
    <r>
      <rPr>
        <b/>
        <sz val="8"/>
        <rFont val="Tahoma"/>
        <family val="2"/>
        <charset val="204"/>
      </rPr>
      <t xml:space="preserve"> к отопительному периоду </t>
    </r>
    <r>
      <rPr>
        <b/>
        <sz val="8"/>
        <color rgb="FF0070C0"/>
        <rFont val="Tahoma"/>
        <family val="2"/>
        <charset val="204"/>
      </rPr>
      <t>при наличии</t>
    </r>
    <r>
      <rPr>
        <b/>
        <sz val="8"/>
        <rFont val="Tahoma"/>
        <family val="2"/>
        <charset val="204"/>
      </rPr>
      <t xml:space="preserve"> информации</t>
    </r>
    <r>
      <rPr>
        <sz val="8"/>
        <rFont val="Tahoma"/>
        <family val="2"/>
        <charset val="204"/>
      </rPr>
      <t xml:space="preserve"> о количестве помещений</t>
    </r>
  </si>
  <si>
    <r>
      <t xml:space="preserve">Население, проживающее в </t>
    </r>
    <r>
      <rPr>
        <b/>
        <sz val="8"/>
        <rFont val="Tahoma"/>
        <family val="2"/>
        <charset val="204"/>
      </rPr>
      <t>городских</t>
    </r>
    <r>
      <rPr>
        <sz val="8"/>
        <rFont val="Tahoma"/>
        <family val="2"/>
        <charset val="204"/>
      </rPr>
      <t xml:space="preserve"> населённых пунктах в домах, </t>
    </r>
    <r>
      <rPr>
        <b/>
        <sz val="8"/>
        <rFont val="Tahoma"/>
        <family val="2"/>
        <charset val="204"/>
      </rPr>
      <t>оборудованных</t>
    </r>
    <r>
      <rPr>
        <sz val="8"/>
        <rFont val="Tahoma"/>
        <family val="2"/>
        <charset val="204"/>
      </rPr>
      <t xml:space="preserve"> стационарными электроплитами и </t>
    </r>
    <r>
      <rPr>
        <b/>
        <sz val="8"/>
        <rFont val="Tahoma"/>
        <family val="2"/>
        <charset val="204"/>
      </rPr>
      <t>не оборудованных</t>
    </r>
    <r>
      <rPr>
        <sz val="8"/>
        <rFont val="Tahoma"/>
        <family val="2"/>
        <charset val="204"/>
      </rPr>
      <t xml:space="preserve"> электроотопительными установками, и приравненные к нему категории потребителей</t>
    </r>
  </si>
  <si>
    <t>в отношении объёмов потребления электрической энергии в жилых домах</t>
  </si>
  <si>
    <t>в отношении объёмов потребления электрической энергии в помещениях в многоквартирных домах</t>
  </si>
  <si>
    <r>
      <rPr>
        <b/>
        <sz val="8"/>
        <rFont val="Tahoma"/>
        <family val="2"/>
        <charset val="204"/>
      </rPr>
      <t>Справочно:</t>
    </r>
    <r>
      <rPr>
        <sz val="8"/>
        <rFont val="Tahoma"/>
        <family val="2"/>
        <charset val="204"/>
      </rPr>
      <t xml:space="preserve"> в отношении объёмов потребления электрической энергии в помещениях в многоквартирных домах для ИКУ расчитывающихся по одному договору </t>
    </r>
    <r>
      <rPr>
        <b/>
        <sz val="8"/>
        <color rgb="FFC00000"/>
        <rFont val="Tahoma"/>
        <family val="2"/>
        <charset val="204"/>
      </rPr>
      <t>при отсутствии</t>
    </r>
    <r>
      <rPr>
        <b/>
        <sz val="8"/>
        <rFont val="Tahoma"/>
        <family val="2"/>
        <charset val="204"/>
      </rPr>
      <t xml:space="preserve"> информации</t>
    </r>
    <r>
      <rPr>
        <sz val="8"/>
        <rFont val="Tahoma"/>
        <family val="2"/>
        <charset val="204"/>
      </rPr>
      <t xml:space="preserve"> о количестве помещений </t>
    </r>
  </si>
  <si>
    <r>
      <t xml:space="preserve">в отношении объёмов потребления электрической энергии в помещениях в многоквартирных домах для ИКУ расчитывающихся по одному договору </t>
    </r>
    <r>
      <rPr>
        <b/>
        <sz val="8"/>
        <color rgb="FF0070C0"/>
        <rFont val="Tahoma"/>
        <family val="2"/>
        <charset val="204"/>
      </rPr>
      <t>при наличии</t>
    </r>
    <r>
      <rPr>
        <b/>
        <sz val="8"/>
        <rFont val="Tahoma"/>
        <family val="2"/>
        <charset val="204"/>
      </rPr>
      <t xml:space="preserve"> информации</t>
    </r>
    <r>
      <rPr>
        <sz val="8"/>
        <rFont val="Tahoma"/>
        <family val="2"/>
        <charset val="204"/>
      </rPr>
      <t xml:space="preserve"> о количестве помещений </t>
    </r>
  </si>
  <si>
    <r>
      <t xml:space="preserve">Население, проживающее в </t>
    </r>
    <r>
      <rPr>
        <b/>
        <sz val="8"/>
        <rFont val="Tahoma"/>
        <family val="2"/>
        <charset val="204"/>
      </rPr>
      <t>городских</t>
    </r>
    <r>
      <rPr>
        <sz val="8"/>
        <rFont val="Tahoma"/>
        <family val="2"/>
        <charset val="204"/>
      </rPr>
      <t xml:space="preserve"> населённых пунктах в домах, </t>
    </r>
    <r>
      <rPr>
        <b/>
        <sz val="8"/>
        <rFont val="Tahoma"/>
        <family val="2"/>
        <charset val="204"/>
      </rPr>
      <t>оборудованных</t>
    </r>
    <r>
      <rPr>
        <sz val="8"/>
        <rFont val="Tahoma"/>
        <family val="2"/>
        <charset val="204"/>
      </rPr>
      <t xml:space="preserve"> электроотопительными установками и </t>
    </r>
    <r>
      <rPr>
        <b/>
        <sz val="8"/>
        <rFont val="Tahoma"/>
        <family val="2"/>
        <charset val="204"/>
      </rPr>
      <t>не оборудованных</t>
    </r>
    <r>
      <rPr>
        <sz val="8"/>
        <rFont val="Tahoma"/>
        <family val="2"/>
        <charset val="204"/>
      </rPr>
      <t xml:space="preserve"> стационарными электроплитами, и приравненные к нему категории потребителей</t>
    </r>
  </si>
  <si>
    <t>4.3</t>
  </si>
  <si>
    <t>4.4</t>
  </si>
  <si>
    <t>4.5</t>
  </si>
  <si>
    <t>4.6</t>
  </si>
  <si>
    <t>4.7</t>
  </si>
  <si>
    <t>4.8</t>
  </si>
  <si>
    <r>
      <t xml:space="preserve">Население, проживающее в </t>
    </r>
    <r>
      <rPr>
        <b/>
        <sz val="8"/>
        <rFont val="Tahoma"/>
        <family val="2"/>
        <charset val="204"/>
      </rPr>
      <t>сельских</t>
    </r>
    <r>
      <rPr>
        <sz val="8"/>
        <rFont val="Tahoma"/>
        <family val="2"/>
        <charset val="204"/>
      </rPr>
      <t xml:space="preserve"> населённых пунктах в домах, </t>
    </r>
    <r>
      <rPr>
        <b/>
        <sz val="8"/>
        <rFont val="Tahoma"/>
        <family val="2"/>
        <charset val="204"/>
      </rPr>
      <t>оборудованных</t>
    </r>
    <r>
      <rPr>
        <sz val="8"/>
        <rFont val="Tahoma"/>
        <family val="2"/>
        <charset val="204"/>
      </rPr>
      <t xml:space="preserve"> стационарными электроплитами и электроотопительными установками, и приравненные к нему категории потребителей</t>
    </r>
  </si>
  <si>
    <r>
      <t xml:space="preserve">в отношении объёмов потребления электрической энергии в жилых домах для расчётных периодов (месяцев), </t>
    </r>
    <r>
      <rPr>
        <b/>
        <sz val="8"/>
        <color theme="3"/>
        <rFont val="Tahoma"/>
        <family val="2"/>
        <charset val="204"/>
      </rPr>
      <t>относящихся</t>
    </r>
    <r>
      <rPr>
        <b/>
        <sz val="8"/>
        <rFont val="Tahoma"/>
        <family val="2"/>
        <charset val="204"/>
      </rPr>
      <t xml:space="preserve"> к отопительному периоду</t>
    </r>
  </si>
  <si>
    <t>5.3</t>
  </si>
  <si>
    <r>
      <t xml:space="preserve">в отношении объёмов потребления электрической энергии в помещениях в многоквартирных домах для расчётных периодов (месяцев), </t>
    </r>
    <r>
      <rPr>
        <b/>
        <sz val="8"/>
        <color theme="3"/>
        <rFont val="Tahoma"/>
        <family val="2"/>
        <charset val="204"/>
      </rPr>
      <t>относящихся</t>
    </r>
    <r>
      <rPr>
        <b/>
        <sz val="8"/>
        <rFont val="Tahoma"/>
        <family val="2"/>
        <charset val="204"/>
      </rPr>
      <t xml:space="preserve"> к отопительному периоду</t>
    </r>
  </si>
  <si>
    <t>5.4</t>
  </si>
  <si>
    <t>5.5</t>
  </si>
  <si>
    <t>5.6</t>
  </si>
  <si>
    <t>5.7</t>
  </si>
  <si>
    <t>5.8</t>
  </si>
  <si>
    <r>
      <t xml:space="preserve">Население, проживающее в </t>
    </r>
    <r>
      <rPr>
        <b/>
        <sz val="8"/>
        <rFont val="Tahoma"/>
        <family val="2"/>
        <charset val="204"/>
      </rPr>
      <t>сельских</t>
    </r>
    <r>
      <rPr>
        <sz val="8"/>
        <rFont val="Tahoma"/>
        <family val="2"/>
        <charset val="204"/>
      </rPr>
      <t xml:space="preserve"> населённых пунктах в домах, </t>
    </r>
    <r>
      <rPr>
        <b/>
        <sz val="8"/>
        <rFont val="Tahoma"/>
        <family val="2"/>
        <charset val="204"/>
      </rPr>
      <t>оборудованных</t>
    </r>
    <r>
      <rPr>
        <sz val="8"/>
        <rFont val="Tahoma"/>
        <family val="2"/>
        <charset val="204"/>
      </rPr>
      <t xml:space="preserve"> стационарными электроплитами и </t>
    </r>
    <r>
      <rPr>
        <b/>
        <sz val="8"/>
        <rFont val="Tahoma"/>
        <family val="2"/>
        <charset val="204"/>
      </rPr>
      <t>не оборудованных</t>
    </r>
    <r>
      <rPr>
        <sz val="8"/>
        <rFont val="Tahoma"/>
        <family val="2"/>
        <charset val="204"/>
      </rPr>
      <t xml:space="preserve"> электроотопительными установками, и приравненные к нему категории потребителей</t>
    </r>
  </si>
  <si>
    <t>6.2</t>
  </si>
  <si>
    <t>6.3</t>
  </si>
  <si>
    <t>6.4</t>
  </si>
  <si>
    <r>
      <t xml:space="preserve">Население, проживающее в сельских населённых пунктах в домах, </t>
    </r>
    <r>
      <rPr>
        <b/>
        <sz val="8"/>
        <rFont val="Tahoma"/>
        <family val="2"/>
        <charset val="204"/>
      </rPr>
      <t>оборудованных</t>
    </r>
    <r>
      <rPr>
        <sz val="8"/>
        <rFont val="Tahoma"/>
        <family val="2"/>
        <charset val="204"/>
      </rPr>
      <t xml:space="preserve"> электроотопительными установками и </t>
    </r>
    <r>
      <rPr>
        <b/>
        <sz val="8"/>
        <rFont val="Tahoma"/>
        <family val="2"/>
        <charset val="204"/>
      </rPr>
      <t>не оборудованных</t>
    </r>
    <r>
      <rPr>
        <sz val="8"/>
        <rFont val="Tahoma"/>
        <family val="2"/>
        <charset val="204"/>
      </rPr>
      <t xml:space="preserve"> стационарными электроплитами, и приравненные к нему категории потребителей</t>
    </r>
  </si>
  <si>
    <t>7.1</t>
  </si>
  <si>
    <t>7.2</t>
  </si>
  <si>
    <t>7.3</t>
  </si>
  <si>
    <t>7.4</t>
  </si>
  <si>
    <t>7.5</t>
  </si>
  <si>
    <t>7.6</t>
  </si>
  <si>
    <t>7.7</t>
  </si>
  <si>
    <t>7.8</t>
  </si>
  <si>
    <r>
      <t xml:space="preserve">Население, проживающее в </t>
    </r>
    <r>
      <rPr>
        <b/>
        <sz val="8"/>
        <rFont val="Tahoma"/>
        <family val="2"/>
        <charset val="204"/>
      </rPr>
      <t>сельских</t>
    </r>
    <r>
      <rPr>
        <sz val="8"/>
        <rFont val="Tahoma"/>
        <family val="2"/>
        <charset val="204"/>
      </rPr>
      <t xml:space="preserve"> населённых пунктах, и приравненные к нему категории потребителей, за исключением населения и потребителей, указанных в строках 5 - 7</t>
    </r>
  </si>
  <si>
    <t>8.2</t>
  </si>
  <si>
    <t>8.3</t>
  </si>
  <si>
    <r>
      <rPr>
        <b/>
        <sz val="8"/>
        <rFont val="Tahoma"/>
        <family val="2"/>
        <charset val="204"/>
      </rPr>
      <t>Справочно:</t>
    </r>
    <r>
      <rPr>
        <sz val="8"/>
        <rFont val="Tahoma"/>
        <family val="2"/>
        <charset val="204"/>
      </rPr>
      <t xml:space="preserve"> в отношении объёмов потребления электрической энергии в помещениях в многоквартирных домах для ИКУ расчитывающихся по одному договору </t>
    </r>
    <r>
      <rPr>
        <b/>
        <sz val="8"/>
        <color rgb="FFC00000"/>
        <rFont val="Tahoma"/>
        <family val="2"/>
        <charset val="204"/>
      </rPr>
      <t>при отсутствии</t>
    </r>
    <r>
      <rPr>
        <b/>
        <sz val="8"/>
        <rFont val="Tahoma"/>
        <family val="2"/>
        <charset val="204"/>
      </rPr>
      <t xml:space="preserve"> информации</t>
    </r>
    <r>
      <rPr>
        <sz val="8"/>
        <rFont val="Tahoma"/>
        <family val="2"/>
        <charset val="204"/>
      </rPr>
      <t xml:space="preserve"> о количестве помещений</t>
    </r>
  </si>
  <si>
    <t>8.4</t>
  </si>
  <si>
    <r>
      <t xml:space="preserve">в отношении объёмов потребления электрической энергии в помещениях в многоквартирных домах для ИКУ расчитывающихся по одному договору </t>
    </r>
    <r>
      <rPr>
        <b/>
        <sz val="8"/>
        <color rgb="FF0070C0"/>
        <rFont val="Tahoma"/>
        <family val="2"/>
        <charset val="204"/>
      </rPr>
      <t>при наличии</t>
    </r>
    <r>
      <rPr>
        <b/>
        <sz val="8"/>
        <rFont val="Tahoma"/>
        <family val="2"/>
        <charset val="204"/>
      </rPr>
      <t xml:space="preserve"> информации</t>
    </r>
    <r>
      <rPr>
        <sz val="8"/>
        <rFont val="Tahoma"/>
        <family val="2"/>
        <charset val="204"/>
      </rPr>
      <t xml:space="preserve"> о количестве помещений</t>
    </r>
  </si>
  <si>
    <t>9.1</t>
  </si>
  <si>
    <t>Приравненные к населению категории потребителей, предусмотренные строкой 9.1 таблицы 2 приложения № 3 к форме решения исполнительного органа субъекта Российской Федерации в области государственного регулирования тарифов об установлении цен (тарифов) в электроэнергетике и (или) их предельных уровней, утверждённой приказом ФАС России от 22.07.2024 № 489/24</t>
  </si>
  <si>
    <t>9.1.1</t>
  </si>
  <si>
    <r>
      <rPr>
        <b/>
        <sz val="8"/>
        <rFont val="Tahoma"/>
        <family val="2"/>
        <charset val="204"/>
      </rPr>
      <t>Справочно:</t>
    </r>
    <r>
      <rPr>
        <sz val="8"/>
        <rFont val="Tahoma"/>
        <family val="2"/>
        <charset val="204"/>
      </rPr>
      <t xml:space="preserve"> приравненные к населению категории потребителей, предусмотренные строкой 9.1 таблицы 2 приложения № 3 к форме решения исполнительного органа субъекта Российской Федерации в области государственного регулирования тарифов об установлении цен (тарифов) в электроэнергетике и (или) их предельных уровней, утверждённой приказом ФАС России от 22.07.2024 № 489/24 </t>
    </r>
    <r>
      <rPr>
        <b/>
        <sz val="8"/>
        <color rgb="FFC00000"/>
        <rFont val="Tahoma"/>
        <family val="2"/>
        <charset val="204"/>
      </rPr>
      <t>при отсутствии</t>
    </r>
    <r>
      <rPr>
        <b/>
        <sz val="8"/>
        <rFont val="Tahoma"/>
        <family val="2"/>
        <charset val="204"/>
      </rPr>
      <t xml:space="preserve"> информации</t>
    </r>
    <r>
      <rPr>
        <sz val="8"/>
        <rFont val="Tahoma"/>
        <family val="2"/>
        <charset val="204"/>
      </rPr>
      <t xml:space="preserve"> о количестве помещений</t>
    </r>
  </si>
  <si>
    <t>9.1.2</t>
  </si>
  <si>
    <r>
      <t xml:space="preserve">Приравненные к населению категории потребителей, предусмотренные строкой 9.1 таблицы 2 приложения № 3 к форме решения исполнительного органа субъекта Российской Федерации в области государственного регулирования тарифов об установлении цен (тарифов) в электроэнергетике и (или) их предельных уровней, утверждённой приказом ФАС России от 22.07.2024 № 489/24 </t>
    </r>
    <r>
      <rPr>
        <b/>
        <sz val="8"/>
        <color rgb="FF0070C0"/>
        <rFont val="Tahoma"/>
        <family val="2"/>
        <charset val="204"/>
      </rPr>
      <t>при наличии</t>
    </r>
    <r>
      <rPr>
        <b/>
        <sz val="8"/>
        <rFont val="Tahoma"/>
        <family val="2"/>
        <charset val="204"/>
      </rPr>
      <t xml:space="preserve"> информации</t>
    </r>
    <r>
      <rPr>
        <sz val="8"/>
        <rFont val="Tahoma"/>
        <family val="2"/>
        <charset val="204"/>
      </rPr>
      <t xml:space="preserve"> на одно помещение</t>
    </r>
  </si>
  <si>
    <t>9.2</t>
  </si>
  <si>
    <t>Садоводческие некоммерческие товарищества и огороднические некоммерческие товарищества</t>
  </si>
  <si>
    <t>9.2.1</t>
  </si>
  <si>
    <r>
      <rPr>
        <b/>
        <sz val="8"/>
        <rFont val="Tahoma"/>
        <family val="2"/>
        <charset val="204"/>
      </rPr>
      <t>Справочно:</t>
    </r>
    <r>
      <rPr>
        <sz val="8"/>
        <rFont val="Tahoma"/>
        <family val="2"/>
        <charset val="204"/>
      </rPr>
      <t xml:space="preserve"> садоводческие некоммерческие товарищества и огороднические некоммерческие товарищества в отношении объёмов </t>
    </r>
    <r>
      <rPr>
        <b/>
        <sz val="8"/>
        <color rgb="FFC00000"/>
        <rFont val="Tahoma"/>
        <family val="2"/>
        <charset val="204"/>
      </rPr>
      <t>при отсутствии</t>
    </r>
    <r>
      <rPr>
        <b/>
        <sz val="8"/>
        <rFont val="Tahoma"/>
        <family val="2"/>
        <charset val="204"/>
      </rPr>
      <t xml:space="preserve"> информации</t>
    </r>
    <r>
      <rPr>
        <sz val="8"/>
        <rFont val="Tahoma"/>
        <family val="2"/>
        <charset val="204"/>
      </rPr>
      <t xml:space="preserve"> по количеству садовых земельных или огородных участков</t>
    </r>
  </si>
  <si>
    <t>9.2.1.1</t>
  </si>
  <si>
    <t>в отношении объёмов потребления электрической энергии садовых земельных участков или огородных участков</t>
  </si>
  <si>
    <t>9.2.1.2</t>
  </si>
  <si>
    <t>9.2.1.3</t>
  </si>
  <si>
    <t>9.2.2</t>
  </si>
  <si>
    <r>
      <t xml:space="preserve">Садоводческие некоммерческие товарищества и огороднические некоммерческие товарищества </t>
    </r>
    <r>
      <rPr>
        <b/>
        <sz val="8"/>
        <color rgb="FF0070C0"/>
        <rFont val="Tahoma"/>
        <family val="2"/>
        <charset val="204"/>
      </rPr>
      <t>при наличии</t>
    </r>
    <r>
      <rPr>
        <b/>
        <sz val="8"/>
        <rFont val="Tahoma"/>
        <family val="2"/>
        <charset val="204"/>
      </rPr>
      <t xml:space="preserve"> информации</t>
    </r>
    <r>
      <rPr>
        <sz val="8"/>
        <rFont val="Tahoma"/>
        <family val="2"/>
        <charset val="204"/>
      </rPr>
      <t xml:space="preserve"> о количестве садовых земельных участках или огородных земельных участках</t>
    </r>
  </si>
  <si>
    <t>9.2.2.1</t>
  </si>
  <si>
    <t>9.2.2.2</t>
  </si>
  <si>
    <t>9.2.2.3</t>
  </si>
  <si>
    <t>9.3</t>
  </si>
  <si>
    <t xml:space="preserve">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учёта электрической энергии для указанных помещений </t>
  </si>
  <si>
    <t>9.3.1</t>
  </si>
  <si>
    <r>
      <rPr>
        <b/>
        <sz val="8"/>
        <rFont val="Tahoma"/>
        <family val="2"/>
        <charset val="204"/>
      </rPr>
      <t>Справочно:</t>
    </r>
    <r>
      <rPr>
        <sz val="8"/>
        <rFont val="Tahoma"/>
        <family val="2"/>
        <charset val="204"/>
      </rPr>
      <t xml:space="preserve"> 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учёта электрической энергии для указанных помещений </t>
    </r>
    <r>
      <rPr>
        <b/>
        <sz val="8"/>
        <color rgb="FFC00000"/>
        <rFont val="Tahoma"/>
        <family val="2"/>
        <charset val="204"/>
      </rPr>
      <t>при отсутствии</t>
    </r>
    <r>
      <rPr>
        <b/>
        <sz val="8"/>
        <rFont val="Tahoma"/>
        <family val="2"/>
        <charset val="204"/>
      </rPr>
      <t xml:space="preserve"> информации</t>
    </r>
    <r>
      <rPr>
        <sz val="8"/>
        <rFont val="Tahoma"/>
        <family val="2"/>
        <charset val="204"/>
      </rPr>
      <t xml:space="preserve"> о количестве помещений</t>
    </r>
  </si>
  <si>
    <t>9.3.2</t>
  </si>
  <si>
    <r>
      <t xml:space="preserve">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учёта электрической энергии для указанных помещени </t>
    </r>
    <r>
      <rPr>
        <b/>
        <sz val="8"/>
        <color rgb="FF0070C0"/>
        <rFont val="Tahoma"/>
        <family val="2"/>
        <charset val="204"/>
      </rPr>
      <t>при наличии</t>
    </r>
    <r>
      <rPr>
        <b/>
        <sz val="8"/>
        <rFont val="Tahoma"/>
        <family val="2"/>
        <charset val="204"/>
      </rPr>
      <t xml:space="preserve"> информации</t>
    </r>
    <r>
      <rPr>
        <sz val="8"/>
        <rFont val="Tahoma"/>
        <family val="2"/>
        <charset val="204"/>
      </rPr>
      <t xml:space="preserve"> на одно помещение</t>
    </r>
  </si>
  <si>
    <t>9.4</t>
  </si>
  <si>
    <r>
      <rPr>
        <b/>
        <sz val="8"/>
        <rFont val="Tahoma"/>
        <family val="2"/>
        <charset val="204"/>
      </rPr>
      <t>Справочно:</t>
    </r>
    <r>
      <rPr>
        <sz val="8"/>
        <rFont val="Tahoma"/>
        <family val="2"/>
        <charset val="204"/>
      </rPr>
      <t xml:space="preserve"> юридические и физические лица, приобретающие электрическую энергию (мощность) в целях потребления на коммунально-бытовые нужды в населённых пунктах и жилых зонах при воинских частях и рассчитывающиеся по договору энергоснабжения по показаниям общего прибора учёта электрической энергии</t>
    </r>
  </si>
  <si>
    <t>9.5</t>
  </si>
  <si>
    <t>Содержащиеся за счёт прихожан религиозные организации</t>
  </si>
  <si>
    <t>9.5.1</t>
  </si>
  <si>
    <r>
      <rPr>
        <b/>
        <sz val="8"/>
        <rFont val="Tahoma"/>
        <family val="2"/>
        <charset val="204"/>
      </rPr>
      <t>Справочно:</t>
    </r>
    <r>
      <rPr>
        <sz val="8"/>
        <rFont val="Tahoma"/>
        <family val="2"/>
        <charset val="204"/>
      </rPr>
      <t xml:space="preserve"> содержащиеся за счёт прихожан религиозные организации </t>
    </r>
    <r>
      <rPr>
        <b/>
        <sz val="8"/>
        <color rgb="FFC00000"/>
        <rFont val="Tahoma"/>
        <family val="2"/>
        <charset val="204"/>
      </rPr>
      <t>при отсутствии</t>
    </r>
    <r>
      <rPr>
        <b/>
        <sz val="8"/>
        <rFont val="Tahoma"/>
        <family val="2"/>
        <charset val="204"/>
      </rPr>
      <t xml:space="preserve"> информации</t>
    </r>
    <r>
      <rPr>
        <sz val="8"/>
        <rFont val="Tahoma"/>
        <family val="2"/>
        <charset val="204"/>
      </rPr>
      <t xml:space="preserve"> на помещение</t>
    </r>
  </si>
  <si>
    <t>9.5.2</t>
  </si>
  <si>
    <r>
      <t xml:space="preserve">Содержащиеся за счёт прихожан религиозные организации </t>
    </r>
    <r>
      <rPr>
        <b/>
        <sz val="8"/>
        <color rgb="FF0070C0"/>
        <rFont val="Tahoma"/>
        <family val="2"/>
        <charset val="204"/>
      </rPr>
      <t>при наличии</t>
    </r>
    <r>
      <rPr>
        <b/>
        <sz val="8"/>
        <rFont val="Tahoma"/>
        <family val="2"/>
        <charset val="204"/>
      </rPr>
      <t xml:space="preserve"> информации</t>
    </r>
    <r>
      <rPr>
        <sz val="8"/>
        <rFont val="Tahoma"/>
        <family val="2"/>
        <charset val="204"/>
      </rPr>
      <t xml:space="preserve"> на помещение</t>
    </r>
  </si>
  <si>
    <t>9.6</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</si>
  <si>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t>
  </si>
  <si>
    <t>9.6.1</t>
  </si>
  <si>
    <r>
      <rPr>
        <b/>
        <sz val="8"/>
        <rFont val="Tahoma"/>
        <family val="2"/>
        <charset val="204"/>
      </rPr>
      <t>Справочно:</t>
    </r>
    <r>
      <rPr>
        <sz val="8"/>
        <rFont val="Tahoma"/>
        <family val="2"/>
        <charset val="204"/>
      </rPr>
      <t xml:space="preserve"> 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t>
    </r>
    <r>
      <rPr>
        <b/>
        <sz val="8"/>
        <color rgb="FFC00000"/>
        <rFont val="Tahoma"/>
        <family val="2"/>
        <charset val="204"/>
      </rPr>
      <t>при отсутствии</t>
    </r>
    <r>
      <rPr>
        <b/>
        <sz val="8"/>
        <rFont val="Tahoma"/>
        <family val="2"/>
        <charset val="204"/>
      </rPr>
      <t xml:space="preserve"> информации</t>
    </r>
    <r>
      <rPr>
        <sz val="8"/>
        <rFont val="Tahoma"/>
        <family val="2"/>
        <charset val="204"/>
      </rPr>
      <t xml:space="preserve"> на один гараж, хозяйственную постройку (сарай, погреб)</t>
    </r>
  </si>
  <si>
    <t>9.6.2</t>
  </si>
  <si>
    <r>
      <t xml:space="preserve">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t>
    </r>
    <r>
      <rPr>
        <b/>
        <sz val="8"/>
        <color rgb="FF0070C0"/>
        <rFont val="Tahoma"/>
        <family val="2"/>
        <charset val="204"/>
      </rPr>
      <t>при наличии</t>
    </r>
    <r>
      <rPr>
        <b/>
        <sz val="8"/>
        <rFont val="Tahoma"/>
        <family val="2"/>
        <charset val="204"/>
      </rPr>
      <t xml:space="preserve"> информации</t>
    </r>
    <r>
      <rPr>
        <sz val="8"/>
        <rFont val="Tahoma"/>
        <family val="2"/>
        <charset val="204"/>
      </rPr>
      <t xml:space="preserve"> на один гараж, хозяйственную постройку (сарай, погреб)</t>
    </r>
  </si>
  <si>
    <r>
      <t xml:space="preserve">Итого </t>
    </r>
    <r>
      <rPr>
        <b/>
        <sz val="8"/>
        <rFont val="Tahoma"/>
        <family val="2"/>
        <charset val="204"/>
      </rPr>
      <t>с учётом справочных объёмов</t>
    </r>
  </si>
  <si>
    <t>договор 6229-1707 НН (313,312,311)</t>
  </si>
  <si>
    <t>договор 7814-2307 НН (316,315,314)</t>
  </si>
  <si>
    <t>3,393,7</t>
  </si>
  <si>
    <t>3,394,7</t>
  </si>
  <si>
    <t>3,395,7</t>
  </si>
  <si>
    <t>3,396,7</t>
  </si>
  <si>
    <t>3,397,7</t>
  </si>
  <si>
    <t>3,398,7</t>
  </si>
  <si>
    <t>ИТОГО объем переданной электрической энергии Потребителям ООО "НЭСКО":
(п.1+п.2+п.3.+п.4)</t>
  </si>
  <si>
    <t>за __________ 2025г.</t>
  </si>
  <si>
    <t>Рыжикова Кристина Сергеевна</t>
  </si>
  <si>
    <t>ryzhikova@gesnv.ru</t>
  </si>
  <si>
    <t>договор 8429-2510 НН (319,318,317)</t>
  </si>
  <si>
    <t>3,399,7</t>
  </si>
  <si>
    <t>3,400,7</t>
  </si>
  <si>
    <t>3,401,7</t>
  </si>
  <si>
    <t>4,32,10</t>
  </si>
  <si>
    <t>Компенсация технологических потерь ОАО "ГЭС" сверх баланса</t>
  </si>
  <si>
    <t>Компенсация технологических потерь ОАО "ГЭС" в пределах баланса</t>
  </si>
  <si>
    <t>договор 8274</t>
  </si>
  <si>
    <t>электроэнергия менее 670 МВт</t>
  </si>
  <si>
    <t>МКД</t>
  </si>
  <si>
    <t>ИЖС</t>
  </si>
  <si>
    <t>СОНТ</t>
  </si>
  <si>
    <t>прихожане</t>
  </si>
  <si>
    <t>ГСК</t>
  </si>
  <si>
    <t>договор 451</t>
  </si>
  <si>
    <t>Вид объекта</t>
  </si>
  <si>
    <t>Код тарифа</t>
  </si>
  <si>
    <t>Объем</t>
  </si>
  <si>
    <t>Итого без НДС</t>
  </si>
  <si>
    <t>Май 2026 год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</si>
</sst>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7">
    <numFmt numFmtId="164" formatCode="_-* #,##0.00&quot;р.&quot;_-;\-* #,##0.00&quot;р.&quot;_-;_-* &quot;-&quot;??&quot;р.&quot;_-;_-@_-"/>
    <numFmt numFmtId="165" formatCode="_-* #,##0.00_р_._-;\-* #,##0.00_р_._-;_-* &quot;-&quot;??_р_._-;_-@_-"/>
    <numFmt numFmtId="166" formatCode="_-* #,##0_р_._-;\-* #,##0_р_._-;_-* &quot;-&quot;??_р_._-;_-@_-"/>
    <numFmt numFmtId="167" formatCode="#,##0.00_ ;\-#,##0.00\ "/>
    <numFmt numFmtId="168" formatCode="#,##0_ ;\-#,##0\ "/>
    <numFmt numFmtId="169" formatCode="#,##0.0_ ;\-#,##0.0\ "/>
    <numFmt numFmtId="170" formatCode="#,##0.0"/>
    <numFmt numFmtId="171" formatCode="#,##0.000_ ;\-#,##0.000\ "/>
    <numFmt numFmtId="172" formatCode="#,##0.000"/>
    <numFmt numFmtId="173" formatCode="0.000"/>
    <numFmt numFmtId="174" formatCode="0.0000"/>
    <numFmt numFmtId="175" formatCode="0.0"/>
    <numFmt numFmtId="176" formatCode="#,##0.0000000"/>
    <numFmt numFmtId="177" formatCode="&quot;$&quot;#,##0_);[Red]\(&quot;$&quot;#,##0\)"/>
    <numFmt numFmtId="178" formatCode="General_)"/>
    <numFmt numFmtId="179" formatCode="#,##0.00000"/>
    <numFmt numFmtId="180" formatCode="0.00000"/>
    <numFmt numFmtId="181" formatCode="_-* #,##0.00[$€-1]_-;\-* #,##0.00[$€-1]_-;_-* &quot;-&quot;??[$€-1]_-"/>
    <numFmt numFmtId="182" formatCode="#\."/>
    <numFmt numFmtId="183" formatCode="#.##0\.00"/>
    <numFmt numFmtId="184" formatCode="#\.00"/>
    <numFmt numFmtId="185" formatCode="\$#\.00"/>
    <numFmt numFmtId="186" formatCode="%#\.00"/>
    <numFmt numFmtId="187" formatCode="#,##0.0000"/>
    <numFmt numFmtId="188" formatCode="0.0%"/>
    <numFmt numFmtId="189" formatCode="0.0%_);\(0.0%\)"/>
    <numFmt numFmtId="190" formatCode="#,##0_);[Red]\(#,##0\)"/>
    <numFmt numFmtId="191" formatCode="_-* #,##0&quot;đ.&quot;_-;\-* #,##0&quot;đ.&quot;_-;_-* &quot;-&quot;&quot;đ.&quot;_-;_-@_-"/>
    <numFmt numFmtId="192" formatCode="_-* #,##0.00&quot;đ.&quot;_-;\-* #,##0.00&quot;đ.&quot;_-;_-* &quot;-&quot;??&quot;đ.&quot;_-;_-@_-"/>
    <numFmt numFmtId="193" formatCode="\$#,##0\ ;\(\$#,##0\)"/>
    <numFmt numFmtId="194" formatCode="#,##0_);[Blue]\(#,##0\)"/>
    <numFmt numFmtId="195" formatCode="_-* #,##0_đ_._-;\-* #,##0_đ_._-;_-* &quot;-&quot;_đ_._-;_-@_-"/>
    <numFmt numFmtId="196" formatCode="_-* #,##0.00_đ_._-;\-* #,##0.00_đ_._-;_-* &quot;-&quot;??_đ_._-;_-@_-"/>
    <numFmt numFmtId="197" formatCode="_-* #,##0\ _р_._-;\-* #,##0\ _р_._-;_-* &quot;-&quot;\ _р_._-;_-@_-"/>
    <numFmt numFmtId="198" formatCode="_-* #,##0.00\ _р_._-;\-* #,##0.00\ _р_._-;_-* &quot;-&quot;??\ _р_._-;_-@_-"/>
    <numFmt numFmtId="199" formatCode="0.000000"/>
    <numFmt numFmtId="200" formatCode="#,##0.000000"/>
    <numFmt numFmtId="201" formatCode="#,##0.00000000"/>
    <numFmt numFmtId="202" formatCode="#,##0.00000000000"/>
    <numFmt numFmtId="203" formatCode="0.000%"/>
    <numFmt numFmtId="204" formatCode="_-* #,##0.000_р_._-;\-* #,##0.000_р_._-;_-* &quot;-&quot;???_р_._-;_-@_-"/>
    <numFmt numFmtId="205" formatCode="_(* #,##0.00_);_(* \(#,##0.00\);_(* &quot;-&quot;??_);_(@_)"/>
    <numFmt numFmtId="206" formatCode="_(* #,##0.0_);_(* \(#,##0.0\);_(* &quot;-&quot;??_);_(@_)"/>
    <numFmt numFmtId="207" formatCode="_-* #,##0.000_р_._-;\-* #,##0.000_р_._-;_-* &quot;-&quot;?????_р_._-;_-@_-"/>
    <numFmt numFmtId="208" formatCode="_(* #,##0.000_);_(* \(#,##0.000\);_(* &quot;-&quot;??_);_(@_)"/>
    <numFmt numFmtId="209" formatCode="_-* #,##0_р_._-;\-* #,##0_р_._-;_-* &quot;-&quot;?_р_._-;_-@_-"/>
    <numFmt numFmtId="210" formatCode="_-* #,##0.000_р_._-;\-* #,##0.000_р_._-;_-* &quot;-&quot;??_р_._-;_-@_-"/>
    <numFmt numFmtId="211" formatCode="_-* #,##0.00000_р_._-;\-* #,##0.00000_р_._-;_-* &quot;-&quot;??_р_._-;_-@_-"/>
    <numFmt numFmtId="212" formatCode="_-* #,##0.0000_р_._-;\-* #,##0.0000_р_._-;_-* &quot;-&quot;?_р_._-;_-@_-"/>
    <numFmt numFmtId="213" formatCode="[$-419]mmmm\ yyyy;@"/>
    <numFmt numFmtId="214" formatCode="_-* #,##0.0000_р_._-;\-* #,##0.0000_р_._-;_-* &quot;-&quot;??_р_._-;_-@_-"/>
    <numFmt numFmtId="215" formatCode="[$-F800]dddd\,\ mmmm\ dd\,\ yyyy"/>
    <numFmt numFmtId="216" formatCode="#,##0;\-#,##0;_*\ &quot;-&quot;_-;_-@_-"/>
    <numFmt numFmtId="217" formatCode="#,##0.000;\-#,##0.000;_*\ &quot;-&quot;_-;_-@_-"/>
    <numFmt numFmtId="218" formatCode="#,##0.00;\-#,##0.00;_*\ &quot;-&quot;_-;_-@_-"/>
    <numFmt numFmtId="219" formatCode="_-* #,##0_р_._-;\-* #,##0_р_._-;_-* &quot;-&quot;_р_._-;_-@_-"/>
    <numFmt numFmtId="220" formatCode="_-* #,##0.0_р_._-;\-* #,##0.0_р_._-;_-* &quot;-&quot;?_р_._-;_-@_-"/>
    <numFmt numFmtId="221" formatCode="0.0000000"/>
    <numFmt numFmtId="222" formatCode="_-* #,##0\ &quot;руб&quot;_-;\-* #,##0\ &quot;руб&quot;_-;_-* &quot;-&quot;\ &quot;руб&quot;_-;_-@_-"/>
    <numFmt numFmtId="223" formatCode="_-* #,##0&quot;d.&quot;_-;\-* #,##0&quot;d.&quot;_-;_-* &quot;-&quot;&quot;d.&quot;_-;_-@_-"/>
    <numFmt numFmtId="224" formatCode="_(&quot;$&quot;* #,##0_);_(&quot;$&quot;* \(#,##0\);_(&quot;$&quot;* &quot;-&quot;_);_(@_)"/>
    <numFmt numFmtId="225" formatCode="_-* #,##0\ &quot;d.&quot;_-;\-* #,##0\ &quot;d.&quot;_-;_-* &quot;-&quot;\ &quot;d.&quot;_-;_-@_-"/>
    <numFmt numFmtId="226" formatCode="_-* #,##0\ &quot;đ.&quot;_-;\-* #,##0\ &quot;đ.&quot;_-;_-* &quot;-&quot;\ &quot;đ.&quot;_-;_-@_-"/>
    <numFmt numFmtId="227" formatCode="_-* #,##0.00\ &quot;d.&quot;_-;\-* #,##0.00\ &quot;d.&quot;_-;_-* &quot;-&quot;??\ &quot;d.&quot;_-;_-@_-"/>
    <numFmt numFmtId="228" formatCode="_-* #,##0.00\ &quot;đ.&quot;_-;\-* #,##0.00\ &quot;đ.&quot;_-;_-* &quot;-&quot;??\ &quot;đ.&quot;_-;_-@_-"/>
    <numFmt numFmtId="229" formatCode="_-* #,##0.00&quot;d.&quot;_-;\-* #,##0.00&quot;d.&quot;_-;_-* &quot;-&quot;??&quot;d.&quot;_-;_-@_-"/>
    <numFmt numFmtId="230" formatCode="_(&quot;$&quot;* #,##0.00_);_(&quot;$&quot;* \(#,##0.00\);_(&quot;$&quot;* &quot;-&quot;??_);_(@_)"/>
    <numFmt numFmtId="231" formatCode="#,##0_);[Red]\(#,##0\);&quot;-&quot;_);[Blue]&quot;Error-&quot;@"/>
    <numFmt numFmtId="232" formatCode="#,##0.0_);[Red]\(#,##0.0\);&quot;-&quot;_);[Blue]&quot;Error-&quot;@"/>
    <numFmt numFmtId="233" formatCode="#,##0.00_);[Red]\(#,##0.00\);&quot;-&quot;_);[Blue]&quot;Error-&quot;@"/>
    <numFmt numFmtId="234" formatCode="&quot;£&quot;* #,##0,_);[Red]&quot;£&quot;* \(#,##0,\);&quot;£&quot;* &quot;-&quot;_);[Blue]&quot;Error-&quot;@"/>
    <numFmt numFmtId="235" formatCode="&quot;£&quot;* #,##0.0,_);[Red]&quot;£&quot;* \(#,##0.0,\);&quot;£&quot;* &quot;-&quot;_);[Blue]&quot;Error-&quot;@"/>
    <numFmt numFmtId="236" formatCode="&quot;£&quot;* #,##0.00,_);[Red]&quot;£&quot;* \(#,##0.00,\);&quot;£&quot;* &quot;-&quot;_);[Blue]&quot;Error-&quot;@"/>
    <numFmt numFmtId="237" formatCode="dd\ mmm\ yyyy_)"/>
    <numFmt numFmtId="238" formatCode="dd/mm/yy_)"/>
    <numFmt numFmtId="239" formatCode="0%_);[Red]\-0%_);0%_);[Blue]&quot;Error-&quot;@"/>
    <numFmt numFmtId="240" formatCode="0.0%_);[Red]\-0.0%_);0.0%_);[Blue]&quot;Error-&quot;@"/>
    <numFmt numFmtId="241" formatCode="0.00%_);[Red]\-0.00%_);0.00%_);[Blue]&quot;Error-&quot;@"/>
    <numFmt numFmtId="242" formatCode="0.000_)"/>
    <numFmt numFmtId="243" formatCode="&quot;£&quot;* #,##0_);[Red]&quot;£&quot;* \(#,##0\);&quot;£&quot;* &quot;-&quot;_);[Blue]&quot;Error-&quot;@"/>
    <numFmt numFmtId="244" formatCode="&quot;£&quot;* #,##0.0_);[Red]&quot;£&quot;* \(#,##0.0\);&quot;£&quot;* &quot;-&quot;_);[Blue]&quot;Error-&quot;@"/>
    <numFmt numFmtId="245" formatCode="&quot;£&quot;* #,##0.00_);[Red]&quot;£&quot;* \(#,##0.00\);&quot;£&quot;* &quot;-&quot;_);[Blue]&quot;Error-&quot;@"/>
    <numFmt numFmtId="246" formatCode="000"/>
    <numFmt numFmtId="247" formatCode="_-* #,##0\ _d_._-;\-* #,##0\ _d_._-;_-* &quot;-&quot;\ _d_._-;_-@_-"/>
    <numFmt numFmtId="248" formatCode="_-* #,##0\ _đ_._-;\-* #,##0\ _đ_._-;_-* &quot;-&quot;\ _đ_._-;_-@_-"/>
    <numFmt numFmtId="249" formatCode="_-* #,##0_d_._-;\-* #,##0_d_._-;_-* &quot;-&quot;_d_._-;_-@_-"/>
    <numFmt numFmtId="250" formatCode="_(* #,##0_);_(* \(#,##0\);_(* &quot;-&quot;_);_(@_)"/>
    <numFmt numFmtId="251" formatCode="_-* #,##0.00\ _d_._-;\-* #,##0.00\ _d_._-;_-* &quot;-&quot;??\ _d_._-;_-@_-"/>
    <numFmt numFmtId="252" formatCode="_-* #,##0.00\ _đ_._-;\-* #,##0.00\ _đ_._-;_-* &quot;-&quot;??\ _đ_._-;_-@_-"/>
    <numFmt numFmtId="253" formatCode="_-* #,##0.00_d_._-;\-* #,##0.00_d_._-;_-* &quot;-&quot;??_d_._-;_-@_-"/>
    <numFmt numFmtId="254" formatCode="d/mm/yy"/>
    <numFmt numFmtId="255" formatCode="&quot;ЦS&quot;\ &quot;#&quot;\,&quot;#&quot;&quot;#&quot;0.00;[Red]\-&quot;ЦS&quot;\ &quot;#&quot;\,&quot;#&quot;&quot;#&quot;0.00"/>
    <numFmt numFmtId="256" formatCode="#,##0.00000_ ;\-#,##0.00000\ "/>
    <numFmt numFmtId="257" formatCode="_-* #,##0.00\ _р_._-;\-* #,##0.00\ _р_._-;_-* \-??\ _р_._-;_-@_-"/>
    <numFmt numFmtId="258" formatCode="_-* #,##0\ _р_._-;\-* #,##0\ _р_._-;_-* &quot;- &quot;_р_._-;_-@_-"/>
    <numFmt numFmtId="259" formatCode="###,###,###,##0.000"/>
    <numFmt numFmtId="260" formatCode="###,###,###,##0.00000"/>
  </numFmts>
  <fonts count="522">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Times New Roman Cyr"/>
      <family val="1"/>
      <charset val="204"/>
    </font>
    <font>
      <sz val="10"/>
      <name val="Helv"/>
    </font>
    <font>
      <sz val="8"/>
      <name val="Arial"/>
      <family val="2"/>
      <charset val="204"/>
    </font>
    <font>
      <sz val="8"/>
      <color indexed="12"/>
      <name val="Arial"/>
      <family val="2"/>
      <charset val="204"/>
    </font>
    <font>
      <sz val="10"/>
      <name val="Helv"/>
      <charset val="204"/>
    </font>
    <font>
      <sz val="1"/>
      <color indexed="8"/>
      <name val="Courier"/>
      <family val="1"/>
      <charset val="204"/>
    </font>
    <font>
      <b/>
      <sz val="1"/>
      <color indexed="8"/>
      <name val="Courier"/>
      <family val="1"/>
      <charset val="204"/>
    </font>
    <font>
      <sz val="11"/>
      <color indexed="8"/>
      <name val="Calibri"/>
      <family val="2"/>
      <charset val="204"/>
    </font>
    <font>
      <sz val="11"/>
      <color indexed="9"/>
      <name val="Calibri"/>
      <family val="2"/>
      <charset val="204"/>
    </font>
    <font>
      <u/>
      <sz val="10"/>
      <color indexed="12"/>
      <name val="Courier"/>
      <family val="3"/>
    </font>
    <font>
      <sz val="10"/>
      <name val="Arial Cyr"/>
      <family val="2"/>
      <charset val="204"/>
    </font>
    <font>
      <sz val="11"/>
      <color indexed="20"/>
      <name val="Calibri"/>
      <family val="2"/>
      <charset val="204"/>
    </font>
    <font>
      <b/>
      <sz val="11"/>
      <color indexed="52"/>
      <name val="Calibri"/>
      <family val="2"/>
      <charset val="204"/>
    </font>
    <font>
      <b/>
      <sz val="11"/>
      <color indexed="9"/>
      <name val="Calibri"/>
      <family val="2"/>
      <charset val="204"/>
    </font>
    <font>
      <sz val="10"/>
      <name val="Arial"/>
      <family val="2"/>
      <charset val="204"/>
    </font>
    <font>
      <sz val="10"/>
      <color indexed="24"/>
      <name val="Arial"/>
      <family val="2"/>
      <charset val="204"/>
    </font>
    <font>
      <b/>
      <sz val="10"/>
      <color indexed="12"/>
      <name val="Arial Cyr"/>
      <family val="2"/>
      <charset val="204"/>
    </font>
    <font>
      <sz val="10"/>
      <name val="MS Sans Serif"/>
      <family val="2"/>
      <charset val="204"/>
    </font>
    <font>
      <sz val="10"/>
      <name val="MS Sans Serif"/>
      <family val="2"/>
      <charset val="204"/>
    </font>
    <font>
      <sz val="8"/>
      <name val="Arial Cyr"/>
      <charset val="204"/>
    </font>
    <font>
      <u/>
      <sz val="8"/>
      <color indexed="12"/>
      <name val="Arial Cyr"/>
      <charset val="204"/>
    </font>
    <font>
      <i/>
      <sz val="11"/>
      <color indexed="23"/>
      <name val="Calibri"/>
      <family val="2"/>
      <charset val="204"/>
    </font>
    <font>
      <sz val="18"/>
      <name val="Arial"/>
      <family val="2"/>
      <charset val="204"/>
    </font>
    <font>
      <i/>
      <sz val="12"/>
      <name val="Arial"/>
      <family val="2"/>
      <charset val="204"/>
    </font>
    <font>
      <sz val="12"/>
      <name val="Symbol"/>
      <family val="1"/>
      <charset val="2"/>
    </font>
    <font>
      <sz val="18"/>
      <name val="Symbol"/>
      <family val="1"/>
      <charset val="2"/>
    </font>
    <font>
      <sz val="8"/>
      <name val="Symbol"/>
      <family val="1"/>
      <charset val="2"/>
    </font>
    <font>
      <i/>
      <sz val="12"/>
      <name val="Symbol"/>
      <family val="1"/>
      <charset val="2"/>
    </font>
    <font>
      <sz val="11"/>
      <color indexed="17"/>
      <name val="Calibri"/>
      <family val="2"/>
      <charset val="204"/>
    </font>
    <font>
      <b/>
      <sz val="10"/>
      <color indexed="18"/>
      <name val="Arial Cyr"/>
      <charset val="204"/>
    </font>
    <font>
      <b/>
      <sz val="15"/>
      <color indexed="56"/>
      <name val="Calibri"/>
      <family val="2"/>
      <charset val="204"/>
    </font>
    <font>
      <b/>
      <sz val="13"/>
      <color indexed="56"/>
      <name val="Calibri"/>
      <family val="2"/>
      <charset val="204"/>
    </font>
    <font>
      <b/>
      <sz val="11"/>
      <color indexed="56"/>
      <name val="Calibri"/>
      <family val="2"/>
      <charset val="204"/>
    </font>
    <font>
      <b/>
      <sz val="8"/>
      <name val="Arial Cyr"/>
      <charset val="204"/>
    </font>
    <font>
      <sz val="10"/>
      <name val="Courier"/>
      <family val="3"/>
    </font>
    <font>
      <u/>
      <sz val="10"/>
      <color indexed="36"/>
      <name val="Courier"/>
      <family val="3"/>
    </font>
    <font>
      <sz val="11"/>
      <color indexed="62"/>
      <name val="Calibri"/>
      <family val="2"/>
      <charset val="204"/>
    </font>
    <font>
      <sz val="11"/>
      <color indexed="52"/>
      <name val="Calibri"/>
      <family val="2"/>
      <charset val="204"/>
    </font>
    <font>
      <sz val="11"/>
      <color indexed="60"/>
      <name val="Calibri"/>
      <family val="2"/>
      <charset val="204"/>
    </font>
    <font>
      <sz val="12"/>
      <name val="Arial"/>
      <family val="2"/>
      <charset val="204"/>
    </font>
    <font>
      <sz val="8"/>
      <name val="Helv"/>
      <charset val="204"/>
    </font>
    <font>
      <sz val="9"/>
      <name val="Tahoma"/>
      <family val="2"/>
      <charset val="204"/>
    </font>
    <font>
      <b/>
      <sz val="11"/>
      <color indexed="63"/>
      <name val="Calibri"/>
      <family val="2"/>
      <charset val="204"/>
    </font>
    <font>
      <sz val="8"/>
      <name val="Helv"/>
    </font>
    <font>
      <sz val="10"/>
      <color indexed="8"/>
      <name val="Arial"/>
      <family val="2"/>
    </font>
    <font>
      <sz val="10"/>
      <color indexed="39"/>
      <name val="Arial"/>
      <family val="2"/>
    </font>
    <font>
      <b/>
      <sz val="10"/>
      <color indexed="8"/>
      <name val="Arial"/>
      <family val="2"/>
    </font>
    <font>
      <b/>
      <sz val="12"/>
      <color indexed="8"/>
      <name val="Arial"/>
      <family val="2"/>
      <charset val="204"/>
    </font>
    <font>
      <sz val="10"/>
      <color indexed="8"/>
      <name val="Arial"/>
      <family val="2"/>
      <charset val="204"/>
    </font>
    <font>
      <b/>
      <sz val="16"/>
      <color indexed="23"/>
      <name val="Arial"/>
      <family val="2"/>
      <charset val="204"/>
    </font>
    <font>
      <sz val="10"/>
      <color indexed="10"/>
      <name val="Arial"/>
      <family val="2"/>
    </font>
    <font>
      <b/>
      <sz val="8"/>
      <color indexed="9"/>
      <name val="Arial Cyr"/>
      <charset val="204"/>
    </font>
    <font>
      <b/>
      <sz val="18"/>
      <color indexed="56"/>
      <name val="Cambria"/>
      <family val="2"/>
      <charset val="204"/>
    </font>
    <font>
      <b/>
      <sz val="11"/>
      <color indexed="8"/>
      <name val="Calibri"/>
      <family val="2"/>
      <charset val="204"/>
    </font>
    <font>
      <sz val="11"/>
      <color indexed="10"/>
      <name val="Calibri"/>
      <family val="2"/>
      <charset val="204"/>
    </font>
    <font>
      <u/>
      <sz val="10"/>
      <color indexed="12"/>
      <name val="Arial Cyr"/>
      <charset val="204"/>
    </font>
    <font>
      <b/>
      <u/>
      <sz val="11"/>
      <color indexed="12"/>
      <name val="Arial"/>
      <family val="2"/>
      <charset val="204"/>
    </font>
    <font>
      <b/>
      <sz val="14"/>
      <name val="Franklin Gothic Medium"/>
      <family val="2"/>
      <charset val="204"/>
    </font>
    <font>
      <b/>
      <sz val="18"/>
      <name val="Arial"/>
      <family val="2"/>
      <charset val="204"/>
    </font>
    <font>
      <b/>
      <sz val="12"/>
      <name val="Arial"/>
      <family val="2"/>
      <charset val="204"/>
    </font>
    <font>
      <b/>
      <sz val="9"/>
      <name val="Tahoma"/>
      <family val="2"/>
      <charset val="204"/>
    </font>
    <font>
      <b/>
      <sz val="14"/>
      <name val="Arial Cyr"/>
      <family val="2"/>
      <charset val="204"/>
    </font>
    <font>
      <sz val="12"/>
      <name val="Arial"/>
      <family val="2"/>
      <charset val="204"/>
    </font>
    <font>
      <b/>
      <sz val="14"/>
      <name val="Arial"/>
      <family val="2"/>
      <charset val="204"/>
    </font>
    <font>
      <b/>
      <sz val="10"/>
      <name val="Arial Cyr"/>
      <charset val="204"/>
    </font>
    <font>
      <sz val="10"/>
      <color indexed="64"/>
      <name val="Arial"/>
      <family val="2"/>
      <charset val="204"/>
    </font>
    <font>
      <sz val="10"/>
      <name val="Arial"/>
      <family val="2"/>
      <charset val="204"/>
    </font>
    <font>
      <sz val="11"/>
      <name val="Arial"/>
      <family val="2"/>
      <charset val="204"/>
    </font>
    <font>
      <sz val="11"/>
      <name val="Times New Roman Cyr"/>
      <family val="1"/>
      <charset val="204"/>
    </font>
    <font>
      <b/>
      <i/>
      <sz val="12"/>
      <color indexed="12"/>
      <name val="Arial Cyr"/>
      <family val="2"/>
      <charset val="204"/>
    </font>
    <font>
      <sz val="12"/>
      <name val="Arial Cyr"/>
      <family val="2"/>
      <charset val="204"/>
    </font>
    <font>
      <b/>
      <sz val="14"/>
      <color indexed="10"/>
      <name val="Arial Cyr"/>
      <family val="2"/>
      <charset val="204"/>
    </font>
    <font>
      <b/>
      <i/>
      <u/>
      <sz val="14"/>
      <color indexed="10"/>
      <name val="Arial Cyr"/>
      <family val="2"/>
      <charset val="204"/>
    </font>
    <font>
      <b/>
      <sz val="13"/>
      <color indexed="8"/>
      <name val="Arial Cyr"/>
      <charset val="204"/>
    </font>
    <font>
      <b/>
      <sz val="12"/>
      <name val="Arial Cyr"/>
      <charset val="204"/>
    </font>
    <font>
      <sz val="12"/>
      <name val="Arial Cyr"/>
      <charset val="204"/>
    </font>
    <font>
      <sz val="13"/>
      <color indexed="8"/>
      <name val="Arial Cyr"/>
      <charset val="204"/>
    </font>
    <font>
      <b/>
      <sz val="10"/>
      <name val="Times New Roman CYR"/>
      <family val="1"/>
      <charset val="204"/>
    </font>
    <font>
      <b/>
      <sz val="13"/>
      <name val="Arial Cyr"/>
      <charset val="204"/>
    </font>
    <font>
      <sz val="13"/>
      <name val="Arial Cyr"/>
      <charset val="204"/>
    </font>
    <font>
      <b/>
      <sz val="12"/>
      <color indexed="8"/>
      <name val="Arial Cyr"/>
      <charset val="204"/>
    </font>
    <font>
      <sz val="12"/>
      <name val="Times New Roman CYR"/>
      <family val="1"/>
      <charset val="204"/>
    </font>
    <font>
      <i/>
      <sz val="13"/>
      <name val="Arial Cyr"/>
      <charset val="204"/>
    </font>
    <font>
      <b/>
      <i/>
      <sz val="12"/>
      <name val="Arial Cyr"/>
      <family val="2"/>
      <charset val="204"/>
    </font>
    <font>
      <b/>
      <i/>
      <sz val="9"/>
      <name val="Arial Cyr"/>
      <family val="2"/>
      <charset val="204"/>
    </font>
    <font>
      <sz val="8"/>
      <color indexed="25"/>
      <name val="Arial Cyr"/>
      <charset val="204"/>
    </font>
    <font>
      <i/>
      <sz val="11"/>
      <name val="Arial Cyr"/>
      <charset val="204"/>
    </font>
    <font>
      <sz val="11"/>
      <name val="Arial Cyr"/>
      <charset val="204"/>
    </font>
    <font>
      <sz val="18"/>
      <color indexed="25"/>
      <name val="Arial Cyr"/>
      <charset val="204"/>
    </font>
    <font>
      <sz val="14"/>
      <name val="Times New Roman CYR"/>
      <family val="1"/>
      <charset val="204"/>
    </font>
    <font>
      <i/>
      <sz val="13"/>
      <color indexed="8"/>
      <name val="Arial Cyr"/>
      <charset val="204"/>
    </font>
    <font>
      <b/>
      <sz val="12"/>
      <name val="Tahoma"/>
      <family val="2"/>
      <charset val="204"/>
    </font>
    <font>
      <sz val="10"/>
      <name val="Tahoma"/>
      <family val="2"/>
      <charset val="204"/>
    </font>
    <font>
      <sz val="8"/>
      <name val="Tahoma"/>
      <family val="2"/>
      <charset val="204"/>
    </font>
    <font>
      <b/>
      <sz val="10"/>
      <name val="Tahoma"/>
      <family val="2"/>
      <charset val="204"/>
    </font>
    <font>
      <sz val="20"/>
      <name val="Tahoma"/>
      <family val="2"/>
      <charset val="204"/>
    </font>
    <font>
      <b/>
      <sz val="11"/>
      <name val="Tahoma"/>
      <family val="2"/>
      <charset val="204"/>
    </font>
    <font>
      <i/>
      <sz val="11"/>
      <name val="Tahoma"/>
      <family val="2"/>
      <charset val="204"/>
    </font>
    <font>
      <i/>
      <sz val="11"/>
      <color indexed="10"/>
      <name val="Tahoma"/>
      <family val="2"/>
      <charset val="204"/>
    </font>
    <font>
      <b/>
      <i/>
      <sz val="12"/>
      <name val="Tahoma"/>
      <family val="2"/>
      <charset val="204"/>
    </font>
    <font>
      <sz val="12"/>
      <name val="Times New Roman"/>
      <family val="1"/>
      <charset val="204"/>
    </font>
    <font>
      <b/>
      <sz val="8"/>
      <name val="Tahoma"/>
      <family val="2"/>
      <charset val="204"/>
    </font>
    <font>
      <sz val="14"/>
      <name val="Tahoma"/>
      <family val="2"/>
      <charset val="204"/>
    </font>
    <font>
      <sz val="14"/>
      <color indexed="25"/>
      <name val="Arial Cyr"/>
      <charset val="204"/>
    </font>
    <font>
      <sz val="10"/>
      <color indexed="25"/>
      <name val="Arial Cyr"/>
      <charset val="204"/>
    </font>
    <font>
      <i/>
      <sz val="10"/>
      <color indexed="8"/>
      <name val="Tahoma"/>
      <family val="2"/>
      <charset val="204"/>
    </font>
    <font>
      <b/>
      <i/>
      <sz val="10"/>
      <color indexed="8"/>
      <name val="Tahoma"/>
      <family val="2"/>
      <charset val="204"/>
    </font>
    <font>
      <b/>
      <sz val="18"/>
      <name val="Tahoma"/>
      <family val="2"/>
      <charset val="204"/>
    </font>
    <font>
      <b/>
      <sz val="14"/>
      <name val="Tahoma"/>
      <family val="2"/>
      <charset val="204"/>
    </font>
    <font>
      <sz val="11"/>
      <name val="Tahoma"/>
      <family val="2"/>
      <charset val="204"/>
    </font>
    <font>
      <sz val="20"/>
      <name val="Arial Cyr"/>
      <charset val="204"/>
    </font>
    <font>
      <b/>
      <sz val="10"/>
      <name val="Arial"/>
      <family val="2"/>
      <charset val="204"/>
    </font>
    <font>
      <b/>
      <i/>
      <sz val="10"/>
      <name val="Tahoma"/>
      <family val="2"/>
      <charset val="204"/>
    </font>
    <font>
      <b/>
      <i/>
      <sz val="10"/>
      <name val="Arial"/>
      <family val="2"/>
      <charset val="204"/>
    </font>
    <font>
      <sz val="9"/>
      <name val="Arial Cyr"/>
      <charset val="204"/>
    </font>
    <font>
      <b/>
      <sz val="9"/>
      <name val="Arial"/>
      <family val="2"/>
      <charset val="204"/>
    </font>
    <font>
      <sz val="10"/>
      <color indexed="9"/>
      <name val="Tahoma"/>
      <family val="2"/>
      <charset val="204"/>
    </font>
    <font>
      <sz val="9"/>
      <color indexed="9"/>
      <name val="Tahoma"/>
      <family val="2"/>
      <charset val="204"/>
    </font>
    <font>
      <b/>
      <sz val="10"/>
      <color indexed="9"/>
      <name val="Tahoma"/>
      <family val="2"/>
      <charset val="204"/>
    </font>
    <font>
      <b/>
      <sz val="7"/>
      <name val="Tahoma"/>
      <family val="2"/>
      <charset val="204"/>
    </font>
    <font>
      <sz val="10"/>
      <color indexed="8"/>
      <name val="Tahoma"/>
      <family val="2"/>
      <charset val="204"/>
    </font>
    <font>
      <sz val="10"/>
      <name val="Arial Cyr"/>
      <charset val="204"/>
    </font>
    <font>
      <sz val="10"/>
      <color indexed="10"/>
      <name val="Tahoma"/>
      <family val="2"/>
      <charset val="204"/>
    </font>
    <font>
      <b/>
      <u/>
      <sz val="9"/>
      <name val="Tahoma"/>
      <family val="2"/>
      <charset val="204"/>
    </font>
    <font>
      <sz val="9"/>
      <color indexed="8"/>
      <name val="Tahoma"/>
      <family val="2"/>
      <charset val="204"/>
    </font>
    <font>
      <sz val="8"/>
      <name val="Verdana"/>
      <family val="2"/>
      <charset val="204"/>
    </font>
    <font>
      <sz val="9"/>
      <color indexed="63"/>
      <name val="Tahoma"/>
      <family val="2"/>
      <charset val="204"/>
    </font>
    <font>
      <sz val="9"/>
      <color indexed="10"/>
      <name val="Tahoma"/>
      <family val="2"/>
      <charset val="204"/>
    </font>
    <font>
      <sz val="10"/>
      <color indexed="63"/>
      <name val="Tahoma"/>
      <family val="2"/>
      <charset val="204"/>
    </font>
    <font>
      <sz val="8"/>
      <color indexed="23"/>
      <name val="Tahoma"/>
      <family val="2"/>
      <charset val="204"/>
    </font>
    <font>
      <b/>
      <sz val="9"/>
      <color indexed="63"/>
      <name val="Tahoma"/>
      <family val="2"/>
      <charset val="204"/>
    </font>
    <font>
      <u/>
      <sz val="9"/>
      <color indexed="63"/>
      <name val="Tahoma"/>
      <family val="2"/>
      <charset val="204"/>
    </font>
    <font>
      <sz val="9"/>
      <color indexed="23"/>
      <name val="Tahoma"/>
      <family val="2"/>
      <charset val="204"/>
    </font>
    <font>
      <sz val="9"/>
      <color indexed="55"/>
      <name val="Tahoma"/>
      <family val="2"/>
      <charset val="204"/>
    </font>
    <font>
      <b/>
      <sz val="9"/>
      <color indexed="81"/>
      <name val="Tahoma"/>
      <family val="2"/>
      <charset val="204"/>
    </font>
    <font>
      <sz val="12"/>
      <color indexed="10"/>
      <name val="Tahoma"/>
      <family val="2"/>
      <charset val="204"/>
    </font>
    <font>
      <u/>
      <sz val="9"/>
      <name val="Tahoma"/>
      <family val="2"/>
      <charset val="204"/>
    </font>
    <font>
      <b/>
      <u/>
      <sz val="9"/>
      <color indexed="12"/>
      <name val="Tahoma"/>
      <family val="2"/>
      <charset val="204"/>
    </font>
    <font>
      <b/>
      <sz val="9"/>
      <color indexed="55"/>
      <name val="Tahoma"/>
      <family val="2"/>
      <charset val="204"/>
    </font>
    <font>
      <b/>
      <sz val="9"/>
      <color indexed="8"/>
      <name val="Tahoma"/>
      <family val="2"/>
      <charset val="204"/>
    </font>
    <font>
      <b/>
      <sz val="10"/>
      <color indexed="10"/>
      <name val="Arial"/>
      <family val="2"/>
      <charset val="204"/>
    </font>
    <font>
      <sz val="10"/>
      <color indexed="10"/>
      <name val="Arial Cyr"/>
      <charset val="204"/>
    </font>
    <font>
      <b/>
      <sz val="10"/>
      <color indexed="12"/>
      <name val="Arial"/>
      <family val="2"/>
      <charset val="204"/>
    </font>
    <font>
      <sz val="10"/>
      <color indexed="12"/>
      <name val="Arial"/>
      <family val="2"/>
      <charset val="204"/>
    </font>
    <font>
      <b/>
      <sz val="10"/>
      <color indexed="8"/>
      <name val="Arial"/>
      <family val="2"/>
      <charset val="204"/>
    </font>
    <font>
      <b/>
      <sz val="14"/>
      <name val="Arial Cyr"/>
      <charset val="204"/>
    </font>
    <font>
      <b/>
      <sz val="8"/>
      <color indexed="81"/>
      <name val="Tahoma"/>
      <family val="2"/>
      <charset val="204"/>
    </font>
    <font>
      <sz val="8"/>
      <color indexed="81"/>
      <name val="Tahoma"/>
      <family val="2"/>
      <charset val="204"/>
    </font>
    <font>
      <sz val="10"/>
      <color indexed="12"/>
      <name val="Arial Cyr"/>
      <charset val="204"/>
    </font>
    <font>
      <b/>
      <sz val="14"/>
      <color indexed="16"/>
      <name val="Arial"/>
      <family val="2"/>
      <charset val="204"/>
    </font>
    <font>
      <sz val="10"/>
      <name val="Calibri"/>
      <family val="2"/>
      <charset val="204"/>
    </font>
    <font>
      <b/>
      <i/>
      <sz val="20"/>
      <name val="Arial Cyr"/>
      <charset val="204"/>
    </font>
    <font>
      <b/>
      <i/>
      <u/>
      <sz val="16"/>
      <color indexed="10"/>
      <name val="Arial Cyr"/>
      <family val="2"/>
      <charset val="204"/>
    </font>
    <font>
      <b/>
      <i/>
      <sz val="18"/>
      <name val="Arial Cyr"/>
      <charset val="204"/>
    </font>
    <font>
      <i/>
      <sz val="18"/>
      <name val="Arial Cyr"/>
      <family val="2"/>
      <charset val="204"/>
    </font>
    <font>
      <i/>
      <sz val="18"/>
      <name val="Times New Roman Cyr"/>
      <family val="1"/>
      <charset val="204"/>
    </font>
    <font>
      <b/>
      <sz val="12"/>
      <name val="Times New Roman CYR"/>
      <charset val="204"/>
    </font>
    <font>
      <b/>
      <i/>
      <sz val="12"/>
      <name val="Times New Roman CYR"/>
      <charset val="204"/>
    </font>
    <font>
      <b/>
      <i/>
      <sz val="18"/>
      <name val="Arial Cyr"/>
      <family val="2"/>
      <charset val="204"/>
    </font>
    <font>
      <b/>
      <i/>
      <sz val="10"/>
      <name val="Times New Roman Cyr"/>
      <family val="1"/>
      <charset val="204"/>
    </font>
    <font>
      <b/>
      <sz val="9"/>
      <name val="Arial Cyr"/>
      <family val="2"/>
      <charset val="204"/>
    </font>
    <font>
      <b/>
      <sz val="9"/>
      <name val="Arial"/>
      <family val="2"/>
    </font>
    <font>
      <sz val="14"/>
      <name val="Arial"/>
      <family val="2"/>
      <charset val="204"/>
    </font>
    <font>
      <b/>
      <sz val="11"/>
      <name val="Arial Cyr"/>
      <charset val="204"/>
    </font>
    <font>
      <b/>
      <i/>
      <sz val="18"/>
      <name val="Times New Roman CYR"/>
      <charset val="204"/>
    </font>
    <font>
      <sz val="12"/>
      <color indexed="8"/>
      <name val="Times New Roman"/>
      <family val="1"/>
      <charset val="204"/>
    </font>
    <font>
      <sz val="10"/>
      <name val="Times New Roman"/>
      <family val="1"/>
      <charset val="204"/>
    </font>
    <font>
      <b/>
      <sz val="14"/>
      <name val="Times New Roman"/>
      <family val="1"/>
      <charset val="204"/>
    </font>
    <font>
      <b/>
      <sz val="12"/>
      <name val="Times New Roman"/>
      <family val="1"/>
      <charset val="204"/>
    </font>
    <font>
      <b/>
      <sz val="10"/>
      <name val="Times New Roman"/>
      <family val="1"/>
      <charset val="204"/>
    </font>
    <font>
      <b/>
      <sz val="13"/>
      <name val="Times New Roman"/>
      <family val="1"/>
      <charset val="204"/>
    </font>
    <font>
      <b/>
      <sz val="8"/>
      <name val="Times New Roman"/>
      <family val="1"/>
      <charset val="204"/>
    </font>
    <font>
      <b/>
      <sz val="16"/>
      <name val="Times New Roman"/>
      <family val="1"/>
      <charset val="204"/>
    </font>
    <font>
      <sz val="13"/>
      <name val="Times New Roman"/>
      <family val="1"/>
      <charset val="204"/>
    </font>
    <font>
      <i/>
      <sz val="12"/>
      <name val="Times New Roman"/>
      <family val="1"/>
      <charset val="204"/>
    </font>
    <font>
      <sz val="10"/>
      <color indexed="8"/>
      <name val="Times New Roman"/>
      <family val="1"/>
      <charset val="204"/>
    </font>
    <font>
      <b/>
      <sz val="12"/>
      <color indexed="8"/>
      <name val="Times New Roman"/>
      <family val="1"/>
      <charset val="204"/>
    </font>
    <font>
      <u/>
      <sz val="12"/>
      <color indexed="8"/>
      <name val="Times New Roman"/>
      <family val="1"/>
      <charset val="204"/>
    </font>
    <font>
      <b/>
      <sz val="11"/>
      <name val="Times New Roman"/>
      <family val="1"/>
      <charset val="204"/>
    </font>
    <font>
      <b/>
      <i/>
      <sz val="12"/>
      <name val="Times New Roman"/>
      <family val="1"/>
      <charset val="204"/>
    </font>
    <font>
      <i/>
      <sz val="11"/>
      <name val="Calibri"/>
      <family val="2"/>
      <charset val="204"/>
    </font>
    <font>
      <b/>
      <sz val="11"/>
      <name val="Calibri"/>
      <family val="2"/>
      <charset val="204"/>
    </font>
    <font>
      <sz val="11"/>
      <name val="Calibri"/>
      <family val="2"/>
      <charset val="204"/>
    </font>
    <font>
      <b/>
      <sz val="14"/>
      <color indexed="12"/>
      <name val="Times New Roman"/>
      <family val="1"/>
      <charset val="204"/>
    </font>
    <font>
      <sz val="12"/>
      <color indexed="10"/>
      <name val="Times New Roman"/>
      <family val="1"/>
      <charset val="204"/>
    </font>
    <font>
      <b/>
      <sz val="12"/>
      <color indexed="12"/>
      <name val="Times New Roman"/>
      <family val="1"/>
      <charset val="204"/>
    </font>
    <font>
      <b/>
      <i/>
      <sz val="12"/>
      <color indexed="8"/>
      <name val="Times New Roman"/>
      <family val="1"/>
      <charset val="204"/>
    </font>
    <font>
      <i/>
      <sz val="9"/>
      <color indexed="8"/>
      <name val="Times New Roman"/>
      <family val="1"/>
      <charset val="204"/>
    </font>
    <font>
      <sz val="11"/>
      <color indexed="8"/>
      <name val="Times New Roman"/>
      <family val="1"/>
      <charset val="204"/>
    </font>
    <font>
      <b/>
      <sz val="8"/>
      <name val="Arial Cyr"/>
      <family val="2"/>
      <charset val="204"/>
    </font>
    <font>
      <sz val="12"/>
      <color indexed="9"/>
      <name val="Arial Cyr"/>
      <charset val="204"/>
    </font>
    <font>
      <b/>
      <i/>
      <sz val="11"/>
      <color indexed="62"/>
      <name val="Tahoma"/>
      <family val="2"/>
      <charset val="204"/>
    </font>
    <font>
      <b/>
      <sz val="12"/>
      <color indexed="62"/>
      <name val="Tahoma"/>
      <family val="2"/>
      <charset val="204"/>
    </font>
    <font>
      <b/>
      <sz val="11"/>
      <color indexed="62"/>
      <name val="Arial Cyr"/>
      <charset val="204"/>
    </font>
    <font>
      <i/>
      <sz val="11"/>
      <color indexed="62"/>
      <name val="Tahoma"/>
      <family val="2"/>
      <charset val="204"/>
    </font>
    <font>
      <i/>
      <sz val="10"/>
      <color indexed="62"/>
      <name val="Tahoma"/>
      <family val="2"/>
      <charset val="204"/>
    </font>
    <font>
      <b/>
      <i/>
      <sz val="10"/>
      <color indexed="62"/>
      <name val="Tahoma"/>
      <family val="2"/>
      <charset val="204"/>
    </font>
    <font>
      <i/>
      <sz val="11"/>
      <color indexed="8"/>
      <name val="Tahoma"/>
      <family val="2"/>
      <charset val="204"/>
    </font>
    <font>
      <b/>
      <sz val="11"/>
      <color indexed="8"/>
      <name val="Tahoma"/>
      <family val="2"/>
      <charset val="204"/>
    </font>
    <font>
      <b/>
      <i/>
      <sz val="11"/>
      <color indexed="8"/>
      <name val="Tahoma"/>
      <family val="2"/>
      <charset val="204"/>
    </font>
    <font>
      <b/>
      <sz val="12"/>
      <color indexed="8"/>
      <name val="Tahoma"/>
      <family val="2"/>
      <charset val="204"/>
    </font>
    <font>
      <b/>
      <sz val="11"/>
      <color indexed="8"/>
      <name val="Arial Cyr"/>
      <charset val="204"/>
    </font>
    <font>
      <i/>
      <sz val="10"/>
      <color indexed="8"/>
      <name val="Tahoma"/>
      <family val="2"/>
      <charset val="204"/>
    </font>
    <font>
      <sz val="12"/>
      <color indexed="8"/>
      <name val="Times New Roman"/>
      <family val="1"/>
      <charset val="204"/>
    </font>
    <font>
      <b/>
      <i/>
      <sz val="10"/>
      <color indexed="8"/>
      <name val="Tahoma"/>
      <family val="2"/>
      <charset val="204"/>
    </font>
    <font>
      <i/>
      <sz val="10"/>
      <color indexed="40"/>
      <name val="Tahoma"/>
      <family val="2"/>
      <charset val="204"/>
    </font>
    <font>
      <b/>
      <sz val="12"/>
      <color indexed="9"/>
      <name val="Arial Cyr"/>
      <charset val="204"/>
    </font>
    <font>
      <sz val="13"/>
      <color indexed="30"/>
      <name val="Arial Cyr"/>
      <charset val="204"/>
    </font>
    <font>
      <i/>
      <sz val="13"/>
      <color indexed="30"/>
      <name val="Arial Cyr"/>
      <charset val="204"/>
    </font>
    <font>
      <sz val="12"/>
      <color indexed="30"/>
      <name val="Arial Cyr"/>
      <charset val="204"/>
    </font>
    <font>
      <sz val="13"/>
      <color indexed="62"/>
      <name val="Arial Cyr"/>
      <charset val="204"/>
    </font>
    <font>
      <i/>
      <sz val="13"/>
      <color indexed="62"/>
      <name val="Arial Cyr"/>
      <charset val="204"/>
    </font>
    <font>
      <sz val="12"/>
      <color indexed="62"/>
      <name val="Arial Cyr"/>
      <charset val="204"/>
    </font>
    <font>
      <sz val="12"/>
      <color indexed="62"/>
      <name val="Times New Roman CYR"/>
      <family val="1"/>
      <charset val="204"/>
    </font>
    <font>
      <sz val="10"/>
      <color indexed="62"/>
      <name val="Times New Roman Cyr"/>
      <family val="1"/>
      <charset val="204"/>
    </font>
    <font>
      <b/>
      <sz val="11"/>
      <color indexed="62"/>
      <name val="Tahoma"/>
      <family val="2"/>
      <charset val="204"/>
    </font>
    <font>
      <b/>
      <sz val="11"/>
      <color indexed="17"/>
      <name val="Tahoma"/>
      <family val="2"/>
      <charset val="204"/>
    </font>
    <font>
      <sz val="12"/>
      <color indexed="17"/>
      <name val="Times New Roman"/>
      <family val="1"/>
      <charset val="204"/>
    </font>
    <font>
      <b/>
      <sz val="11"/>
      <color indexed="10"/>
      <name val="Tahoma"/>
      <family val="2"/>
      <charset val="204"/>
    </font>
    <font>
      <sz val="12"/>
      <color indexed="10"/>
      <name val="Times New Roman"/>
      <family val="1"/>
      <charset val="204"/>
    </font>
    <font>
      <sz val="12"/>
      <color indexed="62"/>
      <name val="Tahoma"/>
      <family val="2"/>
      <charset val="204"/>
    </font>
    <font>
      <i/>
      <sz val="10"/>
      <color indexed="10"/>
      <name val="Tahoma"/>
      <family val="2"/>
      <charset val="204"/>
    </font>
    <font>
      <sz val="11"/>
      <color indexed="8"/>
      <name val="Tahoma"/>
      <family val="2"/>
      <charset val="204"/>
    </font>
    <font>
      <b/>
      <i/>
      <sz val="16"/>
      <color indexed="10"/>
      <name val="Tahoma"/>
      <family val="2"/>
      <charset val="204"/>
    </font>
    <font>
      <sz val="10"/>
      <color indexed="8"/>
      <name val="Tahoma"/>
      <family val="2"/>
      <charset val="204"/>
    </font>
    <font>
      <b/>
      <i/>
      <sz val="11"/>
      <color indexed="17"/>
      <name val="Tahoma"/>
      <family val="2"/>
      <charset val="204"/>
    </font>
    <font>
      <b/>
      <sz val="10"/>
      <color indexed="17"/>
      <name val="Tahoma"/>
      <family val="2"/>
      <charset val="204"/>
    </font>
    <font>
      <b/>
      <sz val="10"/>
      <color indexed="17"/>
      <name val="Arial"/>
      <family val="2"/>
      <charset val="204"/>
    </font>
    <font>
      <sz val="10"/>
      <color indexed="17"/>
      <name val="Arial Cyr"/>
      <charset val="204"/>
    </font>
    <font>
      <b/>
      <i/>
      <sz val="11"/>
      <color indexed="10"/>
      <name val="Tahoma"/>
      <family val="2"/>
      <charset val="204"/>
    </font>
    <font>
      <b/>
      <sz val="10"/>
      <color indexed="10"/>
      <name val="Tahoma"/>
      <family val="2"/>
      <charset val="204"/>
    </font>
    <font>
      <b/>
      <sz val="10"/>
      <color indexed="10"/>
      <name val="Arial"/>
      <family val="2"/>
      <charset val="204"/>
    </font>
    <font>
      <sz val="10"/>
      <color indexed="10"/>
      <name val="Arial Cyr"/>
      <charset val="204"/>
    </font>
    <font>
      <sz val="9"/>
      <color indexed="10"/>
      <name val="Arial Cyr"/>
      <charset val="204"/>
    </font>
    <font>
      <b/>
      <sz val="9"/>
      <color indexed="10"/>
      <name val="Arial"/>
      <family val="2"/>
      <charset val="204"/>
    </font>
    <font>
      <sz val="12"/>
      <color indexed="10"/>
      <name val="Arial Cyr"/>
      <charset val="204"/>
    </font>
    <font>
      <b/>
      <i/>
      <sz val="10"/>
      <color indexed="40"/>
      <name val="Tahoma"/>
      <family val="2"/>
      <charset val="204"/>
    </font>
    <font>
      <b/>
      <i/>
      <sz val="10"/>
      <color indexed="40"/>
      <name val="Arial"/>
      <family val="2"/>
      <charset val="204"/>
    </font>
    <font>
      <b/>
      <sz val="10"/>
      <color indexed="30"/>
      <name val="Tahoma"/>
      <family val="2"/>
      <charset val="204"/>
    </font>
    <font>
      <b/>
      <sz val="10"/>
      <color indexed="30"/>
      <name val="Arial"/>
      <family val="2"/>
      <charset val="204"/>
    </font>
    <font>
      <sz val="10"/>
      <color indexed="9"/>
      <name val="Tahoma"/>
      <family val="2"/>
      <charset val="204"/>
    </font>
    <font>
      <b/>
      <sz val="11"/>
      <color indexed="8"/>
      <name val="Calibri"/>
      <family val="2"/>
      <charset val="204"/>
    </font>
    <font>
      <b/>
      <i/>
      <sz val="20"/>
      <color indexed="8"/>
      <name val="Calibri"/>
      <family val="2"/>
      <charset val="204"/>
    </font>
    <font>
      <b/>
      <sz val="14"/>
      <color indexed="8"/>
      <name val="Calibri"/>
      <family val="2"/>
      <charset val="204"/>
    </font>
    <font>
      <sz val="14"/>
      <color indexed="8"/>
      <name val="Calibri"/>
      <family val="2"/>
    </font>
    <font>
      <sz val="12"/>
      <color indexed="8"/>
      <name val="Calibri"/>
      <family val="2"/>
    </font>
    <font>
      <i/>
      <sz val="12"/>
      <color indexed="8"/>
      <name val="Calibri"/>
      <family val="2"/>
      <charset val="204"/>
    </font>
    <font>
      <sz val="8"/>
      <color indexed="8"/>
      <name val="Calibri"/>
      <family val="2"/>
    </font>
    <font>
      <sz val="10"/>
      <color indexed="8"/>
      <name val="Arial"/>
      <family val="2"/>
      <charset val="204"/>
    </font>
    <font>
      <sz val="10"/>
      <color indexed="8"/>
      <name val="Calibri"/>
      <family val="2"/>
      <charset val="204"/>
    </font>
    <font>
      <b/>
      <sz val="12"/>
      <color indexed="8"/>
      <name val="Calibri"/>
      <family val="2"/>
      <charset val="204"/>
    </font>
    <font>
      <sz val="12"/>
      <color indexed="9"/>
      <name val="Times New Roman"/>
      <family val="1"/>
      <charset val="204"/>
    </font>
    <font>
      <sz val="11"/>
      <color indexed="9"/>
      <name val="Calibri"/>
      <family val="2"/>
      <charset val="204"/>
    </font>
    <font>
      <sz val="12"/>
      <color indexed="8"/>
      <name val="Calibri"/>
      <family val="2"/>
      <charset val="204"/>
    </font>
    <font>
      <b/>
      <i/>
      <sz val="14"/>
      <color indexed="8"/>
      <name val="Calibri"/>
      <family val="2"/>
      <charset val="204"/>
    </font>
    <font>
      <b/>
      <i/>
      <sz val="12"/>
      <color indexed="8"/>
      <name val="Calibri"/>
      <family val="2"/>
      <charset val="204"/>
    </font>
    <font>
      <sz val="14"/>
      <color indexed="8"/>
      <name val="Times New Roman"/>
      <family val="1"/>
      <charset val="204"/>
    </font>
    <font>
      <sz val="12"/>
      <color indexed="9"/>
      <name val="Calibri"/>
      <family val="2"/>
      <charset val="204"/>
    </font>
    <font>
      <b/>
      <sz val="13.5"/>
      <color indexed="8"/>
      <name val="Verdana"/>
      <family val="2"/>
      <charset val="204"/>
    </font>
    <font>
      <sz val="7"/>
      <color indexed="8"/>
      <name val="Verdana"/>
      <family val="2"/>
      <charset val="204"/>
    </font>
    <font>
      <sz val="7.5"/>
      <color indexed="8"/>
      <name val="Verdana"/>
      <family val="2"/>
      <charset val="204"/>
    </font>
    <font>
      <b/>
      <sz val="8.5"/>
      <color indexed="8"/>
      <name val="Verdana"/>
      <family val="2"/>
      <charset val="204"/>
    </font>
    <font>
      <sz val="8.5"/>
      <color indexed="8"/>
      <name val="Verdana"/>
      <family val="2"/>
      <charset val="204"/>
    </font>
    <font>
      <sz val="8"/>
      <color indexed="8"/>
      <name val="Verdana"/>
      <family val="2"/>
      <charset val="204"/>
    </font>
    <font>
      <sz val="9"/>
      <color indexed="8"/>
      <name val="Verdana"/>
      <family val="2"/>
      <charset val="204"/>
    </font>
    <font>
      <sz val="13"/>
      <color indexed="9"/>
      <name val="Times New Roman"/>
      <family val="1"/>
      <charset val="204"/>
    </font>
    <font>
      <sz val="10"/>
      <color indexed="9"/>
      <name val="Arial Cyr"/>
      <charset val="204"/>
    </font>
    <font>
      <b/>
      <sz val="8"/>
      <name val="Arial"/>
      <family val="2"/>
      <charset val="204"/>
    </font>
    <font>
      <i/>
      <sz val="8"/>
      <name val="Arial"/>
      <family val="2"/>
      <charset val="204"/>
    </font>
    <font>
      <b/>
      <u/>
      <sz val="8"/>
      <name val="Arial"/>
      <family val="2"/>
      <charset val="204"/>
    </font>
    <font>
      <b/>
      <i/>
      <u/>
      <sz val="10"/>
      <name val="Arial"/>
      <family val="2"/>
      <charset val="204"/>
    </font>
    <font>
      <i/>
      <sz val="16"/>
      <name val="Times New Roman CYR"/>
      <charset val="204"/>
    </font>
    <font>
      <i/>
      <sz val="14"/>
      <name val="Times New Roman CYR"/>
      <charset val="204"/>
    </font>
    <font>
      <b/>
      <i/>
      <sz val="16"/>
      <name val="Times New Roman CYR"/>
      <charset val="204"/>
    </font>
    <font>
      <b/>
      <i/>
      <u/>
      <sz val="14"/>
      <name val="Arial"/>
      <family val="2"/>
      <charset val="204"/>
    </font>
    <font>
      <b/>
      <sz val="16"/>
      <name val="Arial"/>
      <family val="2"/>
      <charset val="204"/>
    </font>
    <font>
      <b/>
      <sz val="16"/>
      <name val="Tahoma"/>
      <family val="2"/>
      <charset val="204"/>
    </font>
    <font>
      <b/>
      <i/>
      <sz val="11"/>
      <name val="Tahoma"/>
      <family val="2"/>
      <charset val="204"/>
    </font>
    <font>
      <sz val="12"/>
      <color indexed="8"/>
      <name val="Arial Cyr"/>
      <charset val="204"/>
    </font>
    <font>
      <sz val="11.5"/>
      <name val="Tahoma"/>
      <family val="2"/>
      <charset val="204"/>
    </font>
    <font>
      <b/>
      <sz val="11.5"/>
      <name val="Tahoma"/>
      <family val="2"/>
      <charset val="204"/>
    </font>
    <font>
      <u/>
      <sz val="10"/>
      <color theme="10"/>
      <name val="Arial Cyr"/>
      <charset val="204"/>
    </font>
    <font>
      <sz val="11"/>
      <color theme="1"/>
      <name val="Calibri"/>
      <family val="2"/>
      <charset val="204"/>
      <scheme val="minor"/>
    </font>
    <font>
      <i/>
      <sz val="14"/>
      <color indexed="30"/>
      <name val="Arial Cyr"/>
      <charset val="204"/>
    </font>
    <font>
      <sz val="10"/>
      <color theme="0"/>
      <name val="Times New Roman"/>
      <family val="1"/>
      <charset val="204"/>
    </font>
    <font>
      <sz val="14"/>
      <name val="Times New Roman"/>
      <family val="1"/>
      <charset val="204"/>
    </font>
    <font>
      <b/>
      <i/>
      <sz val="16"/>
      <name val="Times New Roman"/>
      <family val="1"/>
      <charset val="204"/>
    </font>
    <font>
      <b/>
      <i/>
      <sz val="11"/>
      <name val="Times New Roman"/>
      <family val="1"/>
      <charset val="204"/>
    </font>
    <font>
      <b/>
      <sz val="9"/>
      <name val="Times New Roman"/>
      <family val="1"/>
      <charset val="204"/>
    </font>
    <font>
      <sz val="11"/>
      <name val="Times New Roman"/>
      <family val="1"/>
      <charset val="204"/>
    </font>
    <font>
      <b/>
      <i/>
      <sz val="10"/>
      <name val="Times New Roman"/>
      <family val="1"/>
      <charset val="204"/>
    </font>
    <font>
      <i/>
      <sz val="10"/>
      <name val="Times New Roman"/>
      <family val="1"/>
      <charset val="204"/>
    </font>
    <font>
      <i/>
      <sz val="11"/>
      <name val="Times New Roman"/>
      <family val="1"/>
      <charset val="204"/>
    </font>
    <font>
      <b/>
      <i/>
      <sz val="11"/>
      <color theme="4" tint="-0.249977111117893"/>
      <name val="Tahoma"/>
      <family val="2"/>
      <charset val="204"/>
    </font>
    <font>
      <b/>
      <sz val="12"/>
      <color theme="4" tint="-0.249977111117893"/>
      <name val="Tahoma"/>
      <family val="2"/>
      <charset val="204"/>
    </font>
    <font>
      <b/>
      <sz val="11"/>
      <color theme="4" tint="-0.249977111117893"/>
      <name val="Arial Cyr"/>
      <charset val="204"/>
    </font>
    <font>
      <i/>
      <sz val="11"/>
      <color theme="4" tint="-0.249977111117893"/>
      <name val="Tahoma"/>
      <family val="2"/>
      <charset val="204"/>
    </font>
    <font>
      <i/>
      <sz val="10"/>
      <color theme="4" tint="-0.249977111117893"/>
      <name val="Tahoma"/>
      <family val="2"/>
      <charset val="204"/>
    </font>
    <font>
      <b/>
      <sz val="11"/>
      <color theme="4" tint="-0.249977111117893"/>
      <name val="Tahoma"/>
      <family val="2"/>
      <charset val="204"/>
    </font>
    <font>
      <sz val="12"/>
      <color rgb="FF00B050"/>
      <name val="Times New Roman"/>
      <family val="1"/>
      <charset val="204"/>
    </font>
    <font>
      <b/>
      <i/>
      <sz val="11"/>
      <color rgb="FF00B050"/>
      <name val="Tahoma"/>
      <family val="2"/>
      <charset val="204"/>
    </font>
    <font>
      <sz val="12"/>
      <color rgb="FFFF0000"/>
      <name val="Times New Roman"/>
      <family val="1"/>
      <charset val="204"/>
    </font>
    <font>
      <b/>
      <i/>
      <sz val="11"/>
      <color rgb="FFFF0000"/>
      <name val="Tahoma"/>
      <family val="2"/>
      <charset val="204"/>
    </font>
    <font>
      <b/>
      <i/>
      <sz val="10"/>
      <color theme="4" tint="-0.249977111117893"/>
      <name val="Tahoma"/>
      <family val="2"/>
      <charset val="204"/>
    </font>
    <font>
      <sz val="12"/>
      <color theme="4" tint="-0.249977111117893"/>
      <name val="Tahoma"/>
      <family val="2"/>
      <charset val="204"/>
    </font>
    <font>
      <i/>
      <sz val="11"/>
      <color theme="1"/>
      <name val="Tahoma"/>
      <family val="2"/>
      <charset val="204"/>
    </font>
    <font>
      <b/>
      <i/>
      <sz val="11"/>
      <color theme="1"/>
      <name val="Tahoma"/>
      <family val="2"/>
      <charset val="204"/>
    </font>
    <font>
      <b/>
      <sz val="12"/>
      <color theme="1"/>
      <name val="Tahoma"/>
      <family val="2"/>
      <charset val="204"/>
    </font>
    <font>
      <b/>
      <sz val="11"/>
      <color theme="1"/>
      <name val="Arial Cyr"/>
      <charset val="204"/>
    </font>
    <font>
      <i/>
      <sz val="10"/>
      <color theme="1"/>
      <name val="Tahoma"/>
      <family val="2"/>
      <charset val="204"/>
    </font>
    <font>
      <sz val="12"/>
      <color theme="1"/>
      <name val="Times New Roman"/>
      <family val="1"/>
      <charset val="204"/>
    </font>
    <font>
      <b/>
      <i/>
      <sz val="10"/>
      <color theme="1"/>
      <name val="Tahoma"/>
      <family val="2"/>
      <charset val="204"/>
    </font>
    <font>
      <b/>
      <i/>
      <sz val="16"/>
      <color rgb="FFFF0000"/>
      <name val="Tahoma"/>
      <family val="2"/>
      <charset val="204"/>
    </font>
    <font>
      <i/>
      <sz val="10"/>
      <color rgb="FF00B0F0"/>
      <name val="Tahoma"/>
      <family val="2"/>
      <charset val="204"/>
    </font>
    <font>
      <sz val="11"/>
      <color theme="1"/>
      <name val="Calibri"/>
      <family val="2"/>
      <scheme val="minor"/>
    </font>
    <font>
      <b/>
      <sz val="12"/>
      <color theme="1"/>
      <name val="Garamond"/>
      <family val="1"/>
      <charset val="204"/>
    </font>
    <font>
      <b/>
      <vertAlign val="superscript"/>
      <sz val="12"/>
      <color theme="1"/>
      <name val="Garamond"/>
      <family val="1"/>
      <charset val="204"/>
    </font>
    <font>
      <i/>
      <sz val="9"/>
      <color theme="1"/>
      <name val="Garamond"/>
      <family val="1"/>
      <charset val="204"/>
    </font>
    <font>
      <b/>
      <sz val="9"/>
      <color theme="1"/>
      <name val="Garamond"/>
      <family val="1"/>
      <charset val="204"/>
    </font>
    <font>
      <sz val="9"/>
      <color theme="1"/>
      <name val="Garamond"/>
      <family val="1"/>
      <charset val="204"/>
    </font>
    <font>
      <sz val="12"/>
      <color theme="1"/>
      <name val="Garamond"/>
      <family val="1"/>
      <charset val="204"/>
    </font>
    <font>
      <i/>
      <sz val="12"/>
      <color theme="1"/>
      <name val="Garamond"/>
      <family val="1"/>
      <charset val="204"/>
    </font>
    <font>
      <i/>
      <sz val="9"/>
      <color rgb="FF243F60"/>
      <name val="Garamond"/>
      <family val="1"/>
      <charset val="204"/>
    </font>
    <font>
      <sz val="11"/>
      <color theme="1"/>
      <name val="Garamond"/>
      <family val="1"/>
      <charset val="204"/>
    </font>
    <font>
      <b/>
      <sz val="11"/>
      <color theme="1"/>
      <name val="Calibri"/>
      <family val="2"/>
      <charset val="204"/>
      <scheme val="minor"/>
    </font>
    <font>
      <sz val="10"/>
      <color theme="1"/>
      <name val="Arial"/>
      <family val="2"/>
      <charset val="204"/>
    </font>
    <font>
      <b/>
      <sz val="11"/>
      <color theme="0"/>
      <name val="Calibri"/>
      <family val="2"/>
      <charset val="204"/>
      <scheme val="minor"/>
    </font>
    <font>
      <sz val="11"/>
      <name val="Calibri"/>
      <family val="2"/>
      <scheme val="minor"/>
    </font>
    <font>
      <b/>
      <sz val="9"/>
      <color theme="1"/>
      <name val="Arial"/>
      <family val="2"/>
      <charset val="204"/>
    </font>
    <font>
      <sz val="8"/>
      <color theme="1"/>
      <name val="Arial"/>
      <family val="2"/>
      <charset val="204"/>
    </font>
    <font>
      <b/>
      <sz val="8"/>
      <color rgb="FF00B050"/>
      <name val="Arial"/>
      <family val="2"/>
      <charset val="204"/>
    </font>
    <font>
      <b/>
      <sz val="8"/>
      <color theme="0"/>
      <name val="Arial"/>
      <family val="2"/>
      <charset val="204"/>
    </font>
    <font>
      <sz val="8"/>
      <color theme="0"/>
      <name val="Arial"/>
      <family val="2"/>
      <charset val="204"/>
    </font>
    <font>
      <b/>
      <sz val="12"/>
      <color theme="1"/>
      <name val="Arial"/>
      <family val="2"/>
      <charset val="204"/>
    </font>
    <font>
      <b/>
      <sz val="8"/>
      <color theme="1"/>
      <name val="Arial"/>
      <family val="2"/>
      <charset val="204"/>
    </font>
    <font>
      <sz val="8"/>
      <color rgb="FF002060"/>
      <name val="Arial"/>
      <family val="2"/>
      <charset val="204"/>
    </font>
    <font>
      <i/>
      <sz val="8"/>
      <color theme="1"/>
      <name val="Arial"/>
      <family val="2"/>
      <charset val="204"/>
    </font>
    <font>
      <sz val="8"/>
      <color theme="0" tint="-0.34998626667073579"/>
      <name val="Arial"/>
      <family val="2"/>
      <charset val="204"/>
    </font>
    <font>
      <sz val="8"/>
      <color rgb="FF000099"/>
      <name val="Arial"/>
      <family val="2"/>
      <charset val="204"/>
    </font>
    <font>
      <b/>
      <sz val="8"/>
      <color rgb="FF000099"/>
      <name val="Arial"/>
      <family val="2"/>
      <charset val="204"/>
    </font>
    <font>
      <sz val="8"/>
      <color theme="2" tint="-0.249977111117893"/>
      <name val="Arial"/>
      <family val="2"/>
      <charset val="204"/>
    </font>
    <font>
      <sz val="8"/>
      <color rgb="FFFF0000"/>
      <name val="Arial"/>
      <family val="2"/>
      <charset val="204"/>
    </font>
    <font>
      <b/>
      <sz val="8"/>
      <color rgb="FFFF0000"/>
      <name val="Arial"/>
      <family val="2"/>
      <charset val="204"/>
    </font>
    <font>
      <vertAlign val="superscript"/>
      <sz val="8"/>
      <color theme="1"/>
      <name val="Arial"/>
      <family val="2"/>
      <charset val="204"/>
    </font>
    <font>
      <b/>
      <vertAlign val="superscript"/>
      <sz val="8"/>
      <color theme="1"/>
      <name val="Arial"/>
      <family val="2"/>
      <charset val="204"/>
    </font>
    <font>
      <sz val="8"/>
      <color theme="0" tint="-0.499984740745262"/>
      <name val="Arial"/>
      <family val="2"/>
      <charset val="204"/>
    </font>
    <font>
      <b/>
      <sz val="8"/>
      <color indexed="8"/>
      <name val="Times New Roman"/>
      <family val="1"/>
      <charset val="204"/>
    </font>
    <font>
      <b/>
      <sz val="14"/>
      <color indexed="8"/>
      <name val="Times New Roman"/>
      <family val="1"/>
      <charset val="204"/>
    </font>
    <font>
      <sz val="8"/>
      <color indexed="8"/>
      <name val="Times New Roman"/>
      <family val="1"/>
      <charset val="204"/>
    </font>
    <font>
      <b/>
      <sz val="11"/>
      <color indexed="8"/>
      <name val="Times New Roman"/>
      <family val="1"/>
      <charset val="204"/>
    </font>
    <font>
      <sz val="8"/>
      <color theme="1"/>
      <name val="Calibri"/>
      <family val="2"/>
      <charset val="204"/>
      <scheme val="minor"/>
    </font>
    <font>
      <sz val="8"/>
      <name val="Times New Roman"/>
      <family val="1"/>
      <charset val="204"/>
    </font>
    <font>
      <b/>
      <i/>
      <sz val="8"/>
      <name val="Times New Roman"/>
      <family val="1"/>
      <charset val="204"/>
    </font>
    <font>
      <sz val="16"/>
      <name val="Times New Roman"/>
      <family val="1"/>
      <charset val="204"/>
    </font>
    <font>
      <sz val="12"/>
      <name val="Tahoma"/>
      <family val="2"/>
      <charset val="204"/>
    </font>
    <font>
      <b/>
      <sz val="14"/>
      <color indexed="8"/>
      <name val="Tahoma"/>
      <family val="2"/>
      <charset val="204"/>
    </font>
    <font>
      <b/>
      <i/>
      <sz val="12"/>
      <color indexed="12"/>
      <name val="Times New Roman"/>
      <family val="1"/>
      <charset val="204"/>
    </font>
    <font>
      <b/>
      <sz val="20"/>
      <name val="Times New Roman"/>
      <family val="1"/>
      <charset val="204"/>
    </font>
    <font>
      <b/>
      <i/>
      <u/>
      <sz val="14"/>
      <color indexed="10"/>
      <name val="Times New Roman"/>
      <family val="1"/>
      <charset val="204"/>
    </font>
    <font>
      <b/>
      <i/>
      <u/>
      <sz val="12"/>
      <name val="Times New Roman"/>
      <family val="1"/>
      <charset val="204"/>
    </font>
    <font>
      <b/>
      <sz val="13"/>
      <color indexed="8"/>
      <name val="Times New Roman"/>
      <family val="1"/>
      <charset val="204"/>
    </font>
    <font>
      <sz val="13"/>
      <color indexed="8"/>
      <name val="Times New Roman"/>
      <family val="1"/>
      <charset val="204"/>
    </font>
    <font>
      <b/>
      <sz val="16"/>
      <color indexed="8"/>
      <name val="Times New Roman"/>
      <family val="1"/>
      <charset val="204"/>
    </font>
    <font>
      <sz val="9"/>
      <name val="Times New Roman"/>
      <family val="1"/>
      <charset val="204"/>
    </font>
    <font>
      <b/>
      <i/>
      <u/>
      <sz val="10"/>
      <color indexed="10"/>
      <name val="Tahoma"/>
      <family val="2"/>
      <charset val="204"/>
    </font>
    <font>
      <b/>
      <i/>
      <u/>
      <sz val="10"/>
      <color indexed="9"/>
      <name val="Tahoma"/>
      <family val="2"/>
      <charset val="204"/>
    </font>
    <font>
      <b/>
      <i/>
      <u/>
      <sz val="10"/>
      <name val="Tahoma"/>
      <family val="2"/>
      <charset val="204"/>
    </font>
    <font>
      <b/>
      <sz val="10"/>
      <color indexed="8"/>
      <name val="Tahoma"/>
      <family val="2"/>
      <charset val="204"/>
    </font>
    <font>
      <sz val="9"/>
      <color theme="0"/>
      <name val="Tahoma"/>
      <family val="2"/>
      <charset val="204"/>
    </font>
    <font>
      <b/>
      <sz val="9"/>
      <color theme="0"/>
      <name val="Tahoma"/>
      <family val="2"/>
      <charset val="204"/>
    </font>
    <font>
      <i/>
      <sz val="8"/>
      <name val="Tahoma"/>
      <family val="2"/>
      <charset val="204"/>
    </font>
    <font>
      <b/>
      <i/>
      <sz val="8"/>
      <color theme="4" tint="-0.249977111117893"/>
      <name val="Tahoma"/>
      <family val="2"/>
      <charset val="204"/>
    </font>
    <font>
      <i/>
      <sz val="8"/>
      <color theme="4" tint="-0.249977111117893"/>
      <name val="Tahoma"/>
      <family val="2"/>
      <charset val="204"/>
    </font>
    <font>
      <b/>
      <sz val="11"/>
      <color rgb="FF00B050"/>
      <name val="Tahoma"/>
      <family val="2"/>
      <charset val="204"/>
    </font>
    <font>
      <b/>
      <i/>
      <sz val="8"/>
      <color rgb="FF00B050"/>
      <name val="Tahoma"/>
      <family val="2"/>
      <charset val="204"/>
    </font>
    <font>
      <b/>
      <sz val="11"/>
      <color rgb="FFFF0000"/>
      <name val="Tahoma"/>
      <family val="2"/>
      <charset val="204"/>
    </font>
    <font>
      <b/>
      <i/>
      <sz val="8"/>
      <color rgb="FFFF0000"/>
      <name val="Tahoma"/>
      <family val="2"/>
      <charset val="204"/>
    </font>
    <font>
      <i/>
      <sz val="10"/>
      <color rgb="FFFF0000"/>
      <name val="Tahoma"/>
      <family val="2"/>
      <charset val="204"/>
    </font>
    <font>
      <i/>
      <sz val="8"/>
      <color indexed="10"/>
      <name val="Tahoma"/>
      <family val="2"/>
      <charset val="204"/>
    </font>
    <font>
      <sz val="11"/>
      <color theme="1"/>
      <name val="Tahoma"/>
      <family val="2"/>
      <charset val="204"/>
    </font>
    <font>
      <i/>
      <sz val="8"/>
      <color theme="1"/>
      <name val="Tahoma"/>
      <family val="2"/>
      <charset val="204"/>
    </font>
    <font>
      <b/>
      <sz val="11"/>
      <color theme="1"/>
      <name val="Tahoma"/>
      <family val="2"/>
      <charset val="204"/>
    </font>
    <font>
      <b/>
      <i/>
      <sz val="8"/>
      <color theme="1"/>
      <name val="Tahoma"/>
      <family val="2"/>
      <charset val="204"/>
    </font>
    <font>
      <i/>
      <sz val="8"/>
      <color indexed="8"/>
      <name val="Tahoma"/>
      <family val="2"/>
      <charset val="204"/>
    </font>
    <font>
      <b/>
      <i/>
      <sz val="8"/>
      <color indexed="8"/>
      <name val="Tahoma"/>
      <family val="2"/>
      <charset val="204"/>
    </font>
    <font>
      <i/>
      <sz val="8"/>
      <color rgb="FF00B0F0"/>
      <name val="Tahoma"/>
      <family val="2"/>
      <charset val="204"/>
    </font>
    <font>
      <sz val="10"/>
      <name val="Arial Cyr"/>
      <family val="2"/>
    </font>
    <font>
      <b/>
      <sz val="12"/>
      <name val="Tahoma"/>
      <family val="2"/>
    </font>
    <font>
      <sz val="10"/>
      <name val="Arial Cyr"/>
    </font>
    <font>
      <sz val="10"/>
      <name val="NTHarmonica"/>
      <charset val="204"/>
    </font>
    <font>
      <sz val="9"/>
      <name val="Arial Cyr"/>
      <family val="2"/>
      <charset val="204"/>
    </font>
    <font>
      <b/>
      <sz val="10"/>
      <name val="Arial Cyr"/>
      <family val="2"/>
      <charset val="204"/>
    </font>
    <font>
      <sz val="11"/>
      <name val="Tms Rmn"/>
    </font>
    <font>
      <b/>
      <i/>
      <sz val="10"/>
      <name val="Arial Cyr"/>
      <family val="2"/>
      <charset val="204"/>
    </font>
    <font>
      <u/>
      <sz val="7.5"/>
      <color indexed="36"/>
      <name val="Arial"/>
      <family val="2"/>
      <charset val="204"/>
    </font>
    <font>
      <sz val="8"/>
      <name val="Arial"/>
      <family val="2"/>
    </font>
    <font>
      <sz val="12"/>
      <color indexed="9"/>
      <name val="Arial Cyr"/>
      <family val="2"/>
      <charset val="204"/>
    </font>
    <font>
      <b/>
      <sz val="18"/>
      <name val="Times New Roman"/>
      <family val="1"/>
      <charset val="204"/>
    </font>
    <font>
      <u/>
      <sz val="7.5"/>
      <color indexed="12"/>
      <name val="Arial"/>
      <family val="2"/>
      <charset val="204"/>
    </font>
    <font>
      <sz val="12"/>
      <name val="Times New Roman Cyr"/>
      <charset val="204"/>
    </font>
    <font>
      <i/>
      <sz val="8"/>
      <color indexed="62"/>
      <name val="Arial Cyr"/>
      <family val="2"/>
      <charset val="204"/>
    </font>
    <font>
      <sz val="8"/>
      <color indexed="20"/>
      <name val="Arial Cyr"/>
      <family val="2"/>
      <charset val="204"/>
    </font>
    <font>
      <b/>
      <i/>
      <sz val="16"/>
      <name val="Helv"/>
    </font>
    <font>
      <sz val="8"/>
      <name val="Arial Cyr"/>
      <family val="2"/>
      <charset val="204"/>
    </font>
    <font>
      <sz val="8"/>
      <color indexed="8"/>
      <name val="Arial"/>
      <family val="2"/>
      <charset val="204"/>
    </font>
    <font>
      <sz val="7"/>
      <color indexed="8"/>
      <name val="Arial"/>
      <family val="2"/>
      <charset val="204"/>
    </font>
    <font>
      <sz val="6"/>
      <color indexed="8"/>
      <name val="Arial"/>
      <family val="2"/>
      <charset val="204"/>
    </font>
    <font>
      <b/>
      <sz val="8"/>
      <color indexed="8"/>
      <name val="Arial"/>
      <family val="2"/>
      <charset val="204"/>
    </font>
    <font>
      <sz val="9"/>
      <color indexed="8"/>
      <name val="Arial Cyr"/>
      <family val="2"/>
      <charset val="204"/>
    </font>
    <font>
      <sz val="7"/>
      <name val="Arial Cyr"/>
      <family val="2"/>
      <charset val="204"/>
    </font>
    <font>
      <b/>
      <i/>
      <sz val="10"/>
      <name val="Arial Cyr"/>
      <charset val="204"/>
    </font>
    <font>
      <sz val="10"/>
      <color theme="1"/>
      <name val="Arial Cyr"/>
      <family val="2"/>
      <charset val="204"/>
    </font>
    <font>
      <sz val="10"/>
      <color indexed="10"/>
      <name val="Arial Cyr"/>
      <family val="2"/>
      <charset val="204"/>
    </font>
    <font>
      <sz val="10"/>
      <color indexed="9"/>
      <name val="Arial Cyr"/>
      <family val="2"/>
      <charset val="204"/>
    </font>
    <font>
      <sz val="8.5"/>
      <color theme="0"/>
      <name val="Verdana"/>
      <family val="2"/>
      <charset val="204"/>
    </font>
    <font>
      <sz val="11"/>
      <name val="Calibri"/>
      <family val="2"/>
      <charset val="204"/>
    </font>
    <font>
      <b/>
      <sz val="12"/>
      <name val="Calibri"/>
      <family val="2"/>
      <charset val="204"/>
    </font>
    <font>
      <b/>
      <sz val="14"/>
      <name val="Calibri"/>
      <family val="2"/>
      <charset val="204"/>
    </font>
    <font>
      <b/>
      <sz val="11"/>
      <name val="Calibri"/>
      <family val="2"/>
      <charset val="204"/>
    </font>
    <font>
      <b/>
      <i/>
      <sz val="11"/>
      <name val="Calibri"/>
      <family val="2"/>
      <charset val="204"/>
    </font>
    <font>
      <i/>
      <sz val="11"/>
      <name val="Calibri"/>
      <family val="2"/>
      <charset val="204"/>
    </font>
    <font>
      <i/>
      <sz val="12"/>
      <name val="Tahoma"/>
      <family val="2"/>
      <charset val="204"/>
    </font>
    <font>
      <i/>
      <sz val="10"/>
      <name val="Tahoma"/>
      <family val="2"/>
      <charset val="204"/>
    </font>
    <font>
      <sz val="10"/>
      <color theme="1"/>
      <name val="Calibri"/>
      <family val="2"/>
      <charset val="204"/>
      <scheme val="minor"/>
    </font>
    <font>
      <sz val="12"/>
      <color theme="1"/>
      <name val="Calibri"/>
      <family val="2"/>
      <charset val="204"/>
      <scheme val="minor"/>
    </font>
    <font>
      <sz val="9"/>
      <color theme="1"/>
      <name val="Calibri"/>
      <family val="2"/>
      <charset val="204"/>
      <scheme val="minor"/>
    </font>
    <font>
      <sz val="11"/>
      <color rgb="FF000000"/>
      <name val="Arial"/>
      <family val="2"/>
      <charset val="204"/>
    </font>
    <font>
      <b/>
      <sz val="14"/>
      <color theme="1"/>
      <name val="Calibri"/>
      <family val="2"/>
      <charset val="204"/>
      <scheme val="minor"/>
    </font>
    <font>
      <b/>
      <sz val="12"/>
      <color theme="0"/>
      <name val="Arial Cyr"/>
      <charset val="204"/>
    </font>
    <font>
      <b/>
      <sz val="16"/>
      <name val="Arial Cyr"/>
      <family val="2"/>
      <charset val="204"/>
    </font>
    <font>
      <b/>
      <sz val="12"/>
      <name val="Arial Cyr"/>
      <family val="2"/>
      <charset val="204"/>
    </font>
    <font>
      <b/>
      <i/>
      <sz val="11"/>
      <name val="Arial Cyr"/>
      <charset val="204"/>
    </font>
    <font>
      <b/>
      <i/>
      <sz val="12"/>
      <name val="Arial Cyr"/>
      <charset val="204"/>
    </font>
    <font>
      <b/>
      <i/>
      <sz val="16"/>
      <name val="Calibri"/>
      <family val="2"/>
      <charset val="204"/>
    </font>
    <font>
      <b/>
      <sz val="9"/>
      <name val="Calibri"/>
      <family val="2"/>
      <charset val="204"/>
    </font>
    <font>
      <sz val="10"/>
      <name val="Arial"/>
      <family val="2"/>
    </font>
    <font>
      <b/>
      <sz val="18"/>
      <color indexed="62"/>
      <name val="Cambria"/>
      <family val="2"/>
      <charset val="204"/>
    </font>
    <font>
      <b/>
      <sz val="11"/>
      <color indexed="47"/>
      <name val="Calibri"/>
      <family val="2"/>
      <charset val="204"/>
    </font>
    <font>
      <sz val="11"/>
      <color indexed="47"/>
      <name val="Calibri"/>
      <family val="2"/>
      <charset val="204"/>
    </font>
    <font>
      <sz val="11"/>
      <color theme="1"/>
      <name val="Times New Roman"/>
      <family val="1"/>
      <charset val="204"/>
    </font>
    <font>
      <b/>
      <sz val="11"/>
      <color theme="1"/>
      <name val="Times New Roman"/>
      <family val="1"/>
      <charset val="204"/>
    </font>
    <font>
      <sz val="11"/>
      <color theme="1"/>
      <name val="Arial"/>
      <family val="2"/>
    </font>
    <font>
      <b/>
      <sz val="16"/>
      <color theme="1"/>
      <name val="Arial"/>
      <family val="2"/>
    </font>
    <font>
      <b/>
      <sz val="12"/>
      <color theme="1"/>
      <name val="Arial"/>
      <family val="2"/>
    </font>
    <font>
      <b/>
      <sz val="12"/>
      <color rgb="FF0000FF"/>
      <name val="Arial"/>
      <family val="2"/>
    </font>
    <font>
      <b/>
      <sz val="14"/>
      <color theme="1"/>
      <name val="Arial"/>
      <family val="2"/>
    </font>
    <font>
      <sz val="5"/>
      <color theme="1"/>
      <name val="Arial"/>
      <family val="2"/>
    </font>
    <font>
      <b/>
      <sz val="9"/>
      <color theme="1"/>
      <name val="Arial"/>
      <family val="2"/>
    </font>
    <font>
      <sz val="10"/>
      <color theme="1"/>
      <name val="Arial"/>
      <family val="2"/>
    </font>
    <font>
      <sz val="14"/>
      <color theme="1"/>
      <name val="Arial"/>
      <family val="2"/>
    </font>
    <font>
      <sz val="14"/>
      <color rgb="FF000000"/>
      <name val="Arial"/>
      <family val="2"/>
    </font>
    <font>
      <sz val="11"/>
      <color rgb="FFFFFFFF"/>
      <name val="Arial"/>
      <family val="2"/>
    </font>
    <font>
      <b/>
      <sz val="14"/>
      <color rgb="FFFFFFFF"/>
      <name val="Arial"/>
      <family val="2"/>
    </font>
    <font>
      <sz val="5"/>
      <color rgb="FFFFFFFF"/>
      <name val="Arial"/>
      <family val="2"/>
    </font>
    <font>
      <b/>
      <sz val="12"/>
      <color rgb="FFFFFFFF"/>
      <name val="Arial"/>
      <family val="2"/>
    </font>
    <font>
      <b/>
      <sz val="9"/>
      <color rgb="FFFFFFFF"/>
      <name val="Arial"/>
      <family val="2"/>
    </font>
    <font>
      <sz val="14"/>
      <color rgb="FFFFFFFF"/>
      <name val="Arial"/>
      <family val="2"/>
    </font>
    <font>
      <sz val="14"/>
      <color rgb="FF808080"/>
      <name val="Arial"/>
      <family val="2"/>
    </font>
    <font>
      <b/>
      <sz val="12"/>
      <color rgb="FF008000"/>
      <name val="Arial"/>
      <family val="2"/>
    </font>
    <font>
      <sz val="12"/>
      <color rgb="FF008000"/>
      <name val="Arial"/>
      <family val="2"/>
    </font>
    <font>
      <sz val="10"/>
      <color rgb="FF008000"/>
      <name val="Arial"/>
      <family val="2"/>
    </font>
    <font>
      <vertAlign val="superscript"/>
      <sz val="8"/>
      <name val="Times New Roman"/>
      <family val="1"/>
      <charset val="204"/>
    </font>
    <font>
      <b/>
      <sz val="10"/>
      <name val="Times New Roman"/>
      <family val="1"/>
      <charset val="204"/>
    </font>
    <font>
      <sz val="10"/>
      <color theme="0"/>
      <name val="Arial Cyr"/>
      <charset val="204"/>
    </font>
    <font>
      <b/>
      <sz val="12"/>
      <color indexed="81"/>
      <name val="Tahoma"/>
      <family val="2"/>
      <charset val="204"/>
    </font>
    <font>
      <sz val="12"/>
      <color indexed="81"/>
      <name val="Tahoma"/>
      <family val="2"/>
      <charset val="204"/>
    </font>
    <font>
      <b/>
      <sz val="11"/>
      <color indexed="81"/>
      <name val="Tahoma"/>
      <family val="2"/>
      <charset val="204"/>
    </font>
    <font>
      <b/>
      <sz val="11"/>
      <color rgb="FF0000FF"/>
      <name val="Tahoma"/>
      <family val="2"/>
      <charset val="204"/>
    </font>
    <font>
      <sz val="11"/>
      <color rgb="FF000000"/>
      <name val="Tahoma"/>
      <family val="2"/>
      <charset val="204"/>
    </font>
    <font>
      <sz val="11"/>
      <color rgb="FFFFFFFF"/>
      <name val="Tahoma"/>
      <family val="2"/>
      <charset val="204"/>
    </font>
    <font>
      <sz val="9"/>
      <name val="Tahoma"/>
      <family val="2"/>
      <charset val="204"/>
    </font>
    <font>
      <b/>
      <sz val="10"/>
      <name val="Tahoma"/>
      <family val="2"/>
      <charset val="204"/>
    </font>
    <font>
      <sz val="20"/>
      <color rgb="FF003366"/>
      <name val="Tahoma"/>
      <family val="2"/>
      <charset val="204"/>
    </font>
    <font>
      <sz val="10"/>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9"/>
      <color rgb="FF000000"/>
      <name val="Tahoma"/>
      <family val="2"/>
      <charset val="204"/>
    </font>
    <font>
      <sz val="8"/>
      <color theme="1"/>
      <name val="Tahoma"/>
      <family val="2"/>
      <charset val="204"/>
    </font>
    <font>
      <sz val="11"/>
      <color theme="1"/>
      <name val="Calibri"/>
      <family val="2"/>
      <charset val="204"/>
      <scheme val="minor"/>
    </font>
    <font>
      <sz val="9"/>
      <color rgb="FFCC0000"/>
      <name val="Tahoma"/>
      <family val="2"/>
      <charset val="204"/>
    </font>
    <font>
      <sz val="8"/>
      <color rgb="FF000080"/>
      <name val="Tahoma"/>
      <family val="2"/>
      <charset val="204"/>
    </font>
    <font>
      <b/>
      <sz val="9"/>
      <name val="Tahoma"/>
      <family val="2"/>
      <charset val="204"/>
    </font>
    <font>
      <sz val="9"/>
      <color theme="1"/>
      <name val="Tahoma"/>
      <family val="2"/>
      <charset val="204"/>
    </font>
    <font>
      <u/>
      <sz val="8"/>
      <color rgb="FF0000FF"/>
      <name val="Tahoma"/>
      <family val="2"/>
      <charset val="204"/>
    </font>
    <font>
      <sz val="9"/>
      <color rgb="FFFFFFFF"/>
      <name val="Tahoma"/>
      <family val="2"/>
      <charset val="204"/>
    </font>
    <font>
      <sz val="9"/>
      <color rgb="FF000080"/>
      <name val="Tahoma"/>
      <family val="2"/>
      <charset val="204"/>
    </font>
    <font>
      <sz val="9"/>
      <color rgb="FF999999"/>
      <name val="Tahoma"/>
      <family val="2"/>
      <charset val="204"/>
    </font>
    <font>
      <u/>
      <sz val="8"/>
      <color rgb="FF000080"/>
      <name val="Tahoma"/>
      <family val="2"/>
      <charset val="204"/>
    </font>
    <font>
      <sz val="8"/>
      <name val="Tahoma"/>
      <family val="2"/>
      <charset val="204"/>
    </font>
    <font>
      <sz val="8"/>
      <color theme="0"/>
      <name val="Tahoma"/>
      <family val="2"/>
      <charset val="204"/>
    </font>
    <font>
      <sz val="11"/>
      <color rgb="FF000000"/>
      <name val="Calibri"/>
      <family val="2"/>
      <charset val="204"/>
    </font>
    <font>
      <b/>
      <sz val="8"/>
      <name val="Tahoma"/>
      <family val="2"/>
      <charset val="204"/>
    </font>
    <font>
      <b/>
      <sz val="8"/>
      <color theme="4" tint="-0.249977111117893"/>
      <name val="Tahoma"/>
      <family val="2"/>
      <charset val="204"/>
    </font>
    <font>
      <sz val="8"/>
      <color theme="0" tint="-0.249977111117893"/>
      <name val="Tahoma"/>
      <family val="2"/>
      <charset val="204"/>
    </font>
    <font>
      <sz val="8"/>
      <color rgb="FFCC0000"/>
      <name val="Tahoma"/>
      <family val="2"/>
      <charset val="204"/>
    </font>
    <font>
      <vertAlign val="superscript"/>
      <sz val="9"/>
      <name val="Times New Roman"/>
      <family val="1"/>
      <charset val="204"/>
    </font>
    <font>
      <sz val="11"/>
      <color theme="1"/>
      <name val="Arial"/>
      <family val="2"/>
      <charset val="204"/>
    </font>
    <font>
      <i/>
      <sz val="13"/>
      <color rgb="FFFF0000"/>
      <name val="Arial Cyr"/>
      <charset val="204"/>
    </font>
    <font>
      <i/>
      <sz val="13"/>
      <color rgb="FF00B050"/>
      <name val="Arial Cyr"/>
      <charset val="204"/>
    </font>
    <font>
      <i/>
      <sz val="13"/>
      <color rgb="FF0070C0"/>
      <name val="Arial Cyr"/>
      <charset val="204"/>
    </font>
    <font>
      <i/>
      <sz val="13"/>
      <color theme="9" tint="-0.499984740745262"/>
      <name val="Arial Cyr"/>
      <charset val="204"/>
    </font>
    <font>
      <sz val="10"/>
      <name val="Times New Roman Cyr"/>
      <charset val="204"/>
    </font>
    <font>
      <sz val="10"/>
      <color rgb="FFFF0000"/>
      <name val="Arial"/>
      <family val="2"/>
      <charset val="204"/>
    </font>
    <font>
      <b/>
      <sz val="10"/>
      <color theme="1"/>
      <name val="Tahoma"/>
      <family val="2"/>
      <charset val="204"/>
    </font>
    <font>
      <sz val="12"/>
      <name val="Calibri"/>
      <family val="2"/>
      <charset val="204"/>
    </font>
    <font>
      <vertAlign val="superscript"/>
      <sz val="8"/>
      <name val="Tahoma"/>
      <family val="2"/>
      <charset val="204"/>
    </font>
    <font>
      <sz val="10"/>
      <color theme="1"/>
      <name val="Tahoma"/>
      <family val="2"/>
      <charset val="204"/>
    </font>
    <font>
      <sz val="8"/>
      <color rgb="FFBCBCBC"/>
      <name val="Tahoma"/>
      <family val="2"/>
      <charset val="204"/>
    </font>
    <font>
      <b/>
      <sz val="8"/>
      <color rgb="FF0070C0"/>
      <name val="Tahoma"/>
      <family val="2"/>
      <charset val="204"/>
    </font>
    <font>
      <b/>
      <sz val="8"/>
      <color rgb="FFC00000"/>
      <name val="Tahoma"/>
      <family val="2"/>
      <charset val="204"/>
    </font>
    <font>
      <b/>
      <sz val="8"/>
      <color theme="3"/>
      <name val="Tahoma"/>
      <family val="2"/>
      <charset val="204"/>
    </font>
    <font>
      <i/>
      <sz val="13"/>
      <color theme="3" tint="0.39997558519241921"/>
      <name val="Arial Cyr"/>
      <charset val="204"/>
    </font>
    <font>
      <sz val="8"/>
      <color rgb="FFFF0000"/>
      <name val="Tahoma"/>
      <family val="2"/>
      <charset val="204"/>
    </font>
  </fonts>
  <fills count="96">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7"/>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8"/>
        <bgColor indexed="64"/>
      </patternFill>
    </fill>
    <fill>
      <patternFill patternType="solid">
        <fgColor indexed="47"/>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44"/>
        <bgColor indexed="64"/>
      </patternFill>
    </fill>
    <fill>
      <patternFill patternType="lightDown">
        <fgColor indexed="22"/>
        <bgColor indexed="9"/>
      </patternFill>
    </fill>
    <fill>
      <patternFill patternType="solid">
        <fgColor indexed="62"/>
        <bgColor indexed="62"/>
      </patternFill>
    </fill>
    <fill>
      <patternFill patternType="solid">
        <fgColor theme="0" tint="-0.14999847407452621"/>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92D050"/>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FFFF"/>
        <bgColor indexed="64"/>
      </patternFill>
    </fill>
    <fill>
      <patternFill patternType="solid">
        <fgColor theme="4"/>
        <bgColor theme="4"/>
      </patternFill>
    </fill>
    <fill>
      <patternFill patternType="solid">
        <fgColor theme="5" tint="0.59999389629810485"/>
        <bgColor indexed="64"/>
      </patternFill>
    </fill>
    <fill>
      <patternFill patternType="solid">
        <fgColor theme="4"/>
        <bgColor indexed="64"/>
      </patternFill>
    </fill>
    <fill>
      <patternFill patternType="solid">
        <fgColor rgb="FFFFFFDC"/>
        <bgColor indexed="64"/>
      </patternFill>
    </fill>
    <fill>
      <patternFill patternType="solid">
        <fgColor rgb="FFFFFFE6"/>
        <bgColor indexed="64"/>
      </patternFill>
    </fill>
    <fill>
      <patternFill patternType="solid">
        <fgColor rgb="FFFFFFCC"/>
        <bgColor indexed="64"/>
      </patternFill>
    </fill>
    <fill>
      <patternFill patternType="solid">
        <fgColor rgb="FF00B050"/>
        <bgColor indexed="64"/>
      </patternFill>
    </fill>
    <fill>
      <patternFill patternType="solid">
        <fgColor rgb="FFBDFBAF"/>
        <bgColor indexed="64"/>
      </patternFill>
    </fill>
    <fill>
      <patternFill patternType="lightGray"/>
    </fill>
    <fill>
      <patternFill patternType="gray0625"/>
    </fill>
    <fill>
      <patternFill patternType="solid">
        <fgColor indexed="9"/>
      </patternFill>
    </fill>
    <fill>
      <patternFill patternType="solid">
        <fgColor indexed="46"/>
        <bgColor indexed="64"/>
      </patternFill>
    </fill>
    <fill>
      <patternFill patternType="solid">
        <fgColor theme="2" tint="-9.9978637043366805E-2"/>
        <bgColor indexed="64"/>
      </patternFill>
    </fill>
    <fill>
      <patternFill patternType="solid">
        <fgColor theme="4" tint="0.79995117038483843"/>
        <bgColor indexed="64"/>
      </patternFill>
    </fill>
    <fill>
      <patternFill patternType="solid">
        <fgColor theme="3" tint="0.79995117038483843"/>
        <bgColor indexed="64"/>
      </patternFill>
    </fill>
    <fill>
      <patternFill patternType="solid">
        <fgColor rgb="FFFF6E6E"/>
        <bgColor rgb="FFFFFFFF"/>
      </patternFill>
    </fill>
    <fill>
      <patternFill patternType="solid">
        <fgColor rgb="FF808080"/>
        <bgColor indexed="64"/>
      </patternFill>
    </fill>
    <fill>
      <patternFill patternType="solid">
        <fgColor rgb="FF00FFFF"/>
        <bgColor indexed="64"/>
      </patternFill>
    </fill>
    <fill>
      <patternFill patternType="solid">
        <fgColor rgb="FF00FFFF"/>
        <bgColor rgb="FFFF0000"/>
      </patternFill>
    </fill>
    <fill>
      <patternFill patternType="solid">
        <fgColor theme="3" tint="0.79998168889431442"/>
        <bgColor indexed="64"/>
      </patternFill>
    </fill>
    <fill>
      <patternFill patternType="solid">
        <fgColor theme="6" tint="0.59999389629810485"/>
        <bgColor indexed="64"/>
      </patternFill>
    </fill>
    <fill>
      <patternFill patternType="solid">
        <fgColor theme="6" tint="-0.249977111117893"/>
        <bgColor indexed="64"/>
      </patternFill>
    </fill>
    <fill>
      <patternFill patternType="solid">
        <fgColor theme="6"/>
        <bgColor indexed="64"/>
      </patternFill>
    </fill>
    <fill>
      <patternFill patternType="solid">
        <fgColor rgb="FFBCBCBC"/>
      </patternFill>
    </fill>
    <fill>
      <patternFill patternType="solid">
        <fgColor rgb="FFEAEBEE"/>
      </patternFill>
    </fill>
    <fill>
      <patternFill patternType="solid">
        <fgColor rgb="FFFFFFC0"/>
      </patternFill>
    </fill>
    <fill>
      <patternFill patternType="solid">
        <fgColor rgb="FFD3DBDB"/>
      </patternFill>
    </fill>
    <fill>
      <patternFill patternType="solid">
        <fgColor rgb="FFD7EAD3"/>
      </patternFill>
    </fill>
    <fill>
      <patternFill patternType="solid">
        <fgColor rgb="FFE3FAFD"/>
      </patternFill>
    </fill>
    <fill>
      <patternFill patternType="solid">
        <fgColor rgb="FFFFFFFF"/>
      </patternFill>
    </fill>
    <fill>
      <patternFill patternType="solid">
        <fgColor rgb="FFFFCC99"/>
      </patternFill>
    </fill>
    <fill>
      <patternFill patternType="solid">
        <fgColor theme="0"/>
      </patternFill>
    </fill>
    <fill>
      <patternFill patternType="solid">
        <fgColor rgb="FFFFFF00"/>
      </patternFill>
    </fill>
    <fill>
      <patternFill patternType="solid">
        <fgColor rgb="FFCCFF99"/>
      </patternFill>
    </fill>
    <fill>
      <patternFill patternType="solid">
        <fgColor theme="0" tint="-4.9989318521683403E-2"/>
        <bgColor indexed="64"/>
      </patternFill>
    </fill>
  </fills>
  <borders count="310">
    <border>
      <left/>
      <right/>
      <top/>
      <bottom/>
      <diagonal/>
    </border>
    <border>
      <left/>
      <right/>
      <top style="thin">
        <color indexed="64"/>
      </top>
      <bottom style="double">
        <color indexed="64"/>
      </bottom>
      <diagonal/>
    </border>
    <border>
      <left style="hair">
        <color indexed="64"/>
      </left>
      <right/>
      <top style="hair">
        <color indexed="64"/>
      </top>
      <bottom style="hair">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style="thin">
        <color indexed="64"/>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style="hair">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diagonal/>
    </border>
    <border>
      <left style="thin">
        <color indexed="64"/>
      </left>
      <right/>
      <top style="hair">
        <color indexed="64"/>
      </top>
      <bottom/>
      <diagonal/>
    </border>
    <border>
      <left style="medium">
        <color indexed="64"/>
      </left>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bottom style="thin">
        <color indexed="64"/>
      </bottom>
      <diagonal/>
    </border>
    <border>
      <left style="medium">
        <color indexed="64"/>
      </left>
      <right/>
      <top/>
      <bottom style="hair">
        <color indexed="64"/>
      </bottom>
      <diagonal/>
    </border>
    <border>
      <left style="thin">
        <color indexed="64"/>
      </left>
      <right style="medium">
        <color indexed="64"/>
      </right>
      <top/>
      <bottom style="hair">
        <color indexed="64"/>
      </bottom>
      <diagonal/>
    </border>
    <border>
      <left style="medium">
        <color indexed="64"/>
      </left>
      <right/>
      <top style="hair">
        <color indexed="64"/>
      </top>
      <bottom style="hair">
        <color indexed="64"/>
      </bottom>
      <diagonal/>
    </border>
    <border>
      <left style="medium">
        <color indexed="64"/>
      </left>
      <right style="thin">
        <color indexed="64"/>
      </right>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right/>
      <top style="hair">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right/>
      <top style="thin">
        <color indexed="55"/>
      </top>
      <bottom/>
      <diagonal/>
    </border>
    <border>
      <left style="thin">
        <color indexed="55"/>
      </left>
      <right/>
      <top style="thin">
        <color indexed="55"/>
      </top>
      <bottom/>
      <diagonal/>
    </border>
    <border>
      <left style="thin">
        <color indexed="55"/>
      </left>
      <right/>
      <top/>
      <bottom/>
      <diagonal/>
    </border>
    <border>
      <left/>
      <right/>
      <top style="dotted">
        <color indexed="55"/>
      </top>
      <bottom/>
      <diagonal/>
    </border>
    <border>
      <left style="thin">
        <color indexed="55"/>
      </left>
      <right style="thin">
        <color indexed="55"/>
      </right>
      <top style="thin">
        <color indexed="55"/>
      </top>
      <bottom style="thin">
        <color indexed="55"/>
      </bottom>
      <diagonal/>
    </border>
    <border>
      <left/>
      <right/>
      <top/>
      <bottom style="dotted">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style="thin">
        <color indexed="55"/>
      </left>
      <right style="thin">
        <color indexed="63"/>
      </right>
      <top style="thin">
        <color indexed="55"/>
      </top>
      <bottom style="thin">
        <color indexed="55"/>
      </bottom>
      <diagonal/>
    </border>
    <border>
      <left style="thin">
        <color indexed="55"/>
      </left>
      <right style="thin">
        <color indexed="63"/>
      </right>
      <top style="thin">
        <color indexed="55"/>
      </top>
      <bottom/>
      <diagonal/>
    </border>
    <border>
      <left/>
      <right/>
      <top style="thin">
        <color indexed="55"/>
      </top>
      <bottom style="thin">
        <color indexed="55"/>
      </bottom>
      <diagonal/>
    </border>
    <border>
      <left style="thin">
        <color indexed="63"/>
      </left>
      <right/>
      <top style="thin">
        <color indexed="55"/>
      </top>
      <bottom style="thin">
        <color indexed="55"/>
      </bottom>
      <diagonal/>
    </border>
    <border>
      <left style="thin">
        <color indexed="63"/>
      </left>
      <right/>
      <top style="thin">
        <color indexed="55"/>
      </top>
      <bottom/>
      <diagonal/>
    </border>
    <border>
      <left style="thin">
        <color indexed="55"/>
      </left>
      <right style="thin">
        <color indexed="55"/>
      </right>
      <top/>
      <bottom/>
      <diagonal/>
    </border>
    <border>
      <left style="thin">
        <color indexed="23"/>
      </left>
      <right style="thin">
        <color indexed="23"/>
      </right>
      <top style="thin">
        <color indexed="23"/>
      </top>
      <bottom/>
      <diagonal/>
    </border>
    <border>
      <left/>
      <right/>
      <top style="dotted">
        <color indexed="64"/>
      </top>
      <bottom/>
      <diagonal/>
    </border>
    <border>
      <left style="thin">
        <color indexed="23"/>
      </left>
      <right/>
      <top/>
      <bottom/>
      <diagonal/>
    </border>
    <border>
      <left style="thin">
        <color indexed="23"/>
      </left>
      <right style="thin">
        <color indexed="23"/>
      </right>
      <top/>
      <bottom/>
      <diagonal/>
    </border>
    <border>
      <left style="thin">
        <color indexed="23"/>
      </left>
      <right/>
      <top style="thin">
        <color indexed="23"/>
      </top>
      <bottom/>
      <diagonal/>
    </border>
    <border>
      <left/>
      <right/>
      <top style="thin">
        <color indexed="23"/>
      </top>
      <bottom/>
      <diagonal/>
    </border>
    <border>
      <left/>
      <right/>
      <top/>
      <bottom style="thin">
        <color indexed="23"/>
      </bottom>
      <diagonal/>
    </border>
    <border>
      <left style="thin">
        <color indexed="23"/>
      </left>
      <right/>
      <top style="thin">
        <color indexed="23"/>
      </top>
      <bottom style="thin">
        <color indexed="23"/>
      </bottom>
      <diagonal/>
    </border>
    <border>
      <left style="thin">
        <color indexed="23"/>
      </left>
      <right style="thin">
        <color indexed="23"/>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right style="thin">
        <color indexed="23"/>
      </right>
      <top/>
      <bottom style="thin">
        <color indexed="23"/>
      </bottom>
      <diagonal/>
    </border>
    <border>
      <left style="thin">
        <color indexed="63"/>
      </left>
      <right/>
      <top/>
      <bottom/>
      <diagonal/>
    </border>
    <border>
      <left style="thin">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hair">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medium">
        <color indexed="64"/>
      </top>
      <bottom style="thin">
        <color indexed="64"/>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9"/>
      </left>
      <right style="thin">
        <color indexed="9"/>
      </right>
      <top/>
      <bottom style="thick">
        <color indexed="9"/>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medium">
        <color indexed="64"/>
      </left>
      <right style="medium">
        <color indexed="64"/>
      </right>
      <top style="medium">
        <color indexed="64"/>
      </top>
      <bottom/>
      <diagonal/>
    </border>
    <border>
      <left/>
      <right/>
      <top/>
      <bottom style="thin">
        <color indexed="63"/>
      </bottom>
      <diagonal/>
    </border>
    <border>
      <left/>
      <right style="thin">
        <color indexed="23"/>
      </right>
      <top style="thin">
        <color indexed="23"/>
      </top>
      <bottom/>
      <diagonal/>
    </border>
    <border>
      <left/>
      <right/>
      <top style="thin">
        <color indexed="64"/>
      </top>
      <bottom style="thin">
        <color indexed="23"/>
      </bottom>
      <diagonal/>
    </border>
    <border>
      <left style="thin">
        <color theme="0"/>
      </left>
      <right style="thin">
        <color theme="0"/>
      </right>
      <top/>
      <bottom style="thick">
        <color theme="0"/>
      </bottom>
      <diagonal/>
    </border>
    <border>
      <left style="medium">
        <color theme="1" tint="0.34998626667073579"/>
      </left>
      <right style="thin">
        <color theme="2" tint="-0.24994659260841701"/>
      </right>
      <top style="medium">
        <color theme="1" tint="0.34998626667073579"/>
      </top>
      <bottom style="thin">
        <color theme="2" tint="-0.24994659260841701"/>
      </bottom>
      <diagonal/>
    </border>
    <border>
      <left style="thin">
        <color theme="2" tint="-0.24994659260841701"/>
      </left>
      <right style="thin">
        <color theme="2" tint="-0.24994659260841701"/>
      </right>
      <top style="medium">
        <color theme="1" tint="0.34998626667073579"/>
      </top>
      <bottom style="thin">
        <color theme="2" tint="-0.24994659260841701"/>
      </bottom>
      <diagonal/>
    </border>
    <border>
      <left style="thin">
        <color theme="2" tint="-0.24994659260841701"/>
      </left>
      <right style="medium">
        <color theme="1" tint="0.34998626667073579"/>
      </right>
      <top style="medium">
        <color theme="1" tint="0.34998626667073579"/>
      </top>
      <bottom style="thin">
        <color theme="2" tint="-0.24994659260841701"/>
      </bottom>
      <diagonal/>
    </border>
    <border>
      <left/>
      <right style="thin">
        <color theme="2" tint="-0.24994659260841701"/>
      </right>
      <top style="medium">
        <color theme="1" tint="0.34998626667073579"/>
      </top>
      <bottom style="thin">
        <color theme="2" tint="-0.24994659260841701"/>
      </bottom>
      <diagonal/>
    </border>
    <border>
      <left style="thin">
        <color theme="2" tint="-0.24994659260841701"/>
      </left>
      <right/>
      <top style="medium">
        <color theme="1" tint="0.34998626667073579"/>
      </top>
      <bottom style="thin">
        <color theme="2" tint="-0.24994659260841701"/>
      </bottom>
      <diagonal/>
    </border>
    <border>
      <left/>
      <right/>
      <top style="medium">
        <color theme="1" tint="0.34998626667073579"/>
      </top>
      <bottom style="thin">
        <color theme="2" tint="-0.24994659260841701"/>
      </bottom>
      <diagonal/>
    </border>
    <border>
      <left/>
      <right style="medium">
        <color theme="1" tint="0.34998626667073579"/>
      </right>
      <top style="medium">
        <color theme="1" tint="0.34998626667073579"/>
      </top>
      <bottom style="thin">
        <color theme="2" tint="-0.24994659260841701"/>
      </bottom>
      <diagonal/>
    </border>
    <border>
      <left style="medium">
        <color theme="1" tint="0.34998626667073579"/>
      </left>
      <right/>
      <top style="medium">
        <color theme="1" tint="0.34998626667073579"/>
      </top>
      <bottom style="thin">
        <color theme="2" tint="-0.24994659260841701"/>
      </bottom>
      <diagonal/>
    </border>
    <border>
      <left style="medium">
        <color indexed="64"/>
      </left>
      <right style="thin">
        <color theme="2" tint="-0.24994659260841701"/>
      </right>
      <top style="medium">
        <color indexed="64"/>
      </top>
      <bottom style="thin">
        <color theme="2" tint="-0.24994659260841701"/>
      </bottom>
      <diagonal/>
    </border>
    <border>
      <left style="thin">
        <color theme="2" tint="-0.24994659260841701"/>
      </left>
      <right style="thin">
        <color theme="2" tint="-0.24994659260841701"/>
      </right>
      <top style="medium">
        <color indexed="64"/>
      </top>
      <bottom style="thin">
        <color theme="2" tint="-0.24994659260841701"/>
      </bottom>
      <diagonal/>
    </border>
    <border>
      <left style="thin">
        <color theme="2" tint="-0.24994659260841701"/>
      </left>
      <right style="medium">
        <color indexed="64"/>
      </right>
      <top style="medium">
        <color indexed="64"/>
      </top>
      <bottom style="thin">
        <color theme="2" tint="-0.24994659260841701"/>
      </bottom>
      <diagonal/>
    </border>
    <border>
      <left style="medium">
        <color theme="1" tint="0.34998626667073579"/>
      </left>
      <right style="medium">
        <color theme="1" tint="0.34998626667073579"/>
      </right>
      <top style="medium">
        <color theme="1" tint="0.34998626667073579"/>
      </top>
      <bottom style="thin">
        <color theme="2" tint="-0.24994659260841701"/>
      </bottom>
      <diagonal/>
    </border>
    <border>
      <left style="medium">
        <color theme="1" tint="0.34998626667073579"/>
      </left>
      <right/>
      <top/>
      <bottom/>
      <diagonal/>
    </border>
    <border>
      <left style="medium">
        <color indexed="64"/>
      </left>
      <right style="thin">
        <color theme="2" tint="-0.24994659260841701"/>
      </right>
      <top style="medium">
        <color indexed="64"/>
      </top>
      <bottom style="medium">
        <color indexed="64"/>
      </bottom>
      <diagonal/>
    </border>
    <border>
      <left style="thin">
        <color theme="2" tint="-0.24994659260841701"/>
      </left>
      <right style="thin">
        <color theme="2" tint="-0.24994659260841701"/>
      </right>
      <top style="medium">
        <color indexed="64"/>
      </top>
      <bottom style="medium">
        <color indexed="64"/>
      </bottom>
      <diagonal/>
    </border>
    <border>
      <left style="medium">
        <color theme="1" tint="0.34998626667073579"/>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medium">
        <color theme="1" tint="0.34998626667073579"/>
      </right>
      <top style="thin">
        <color theme="2" tint="-0.24994659260841701"/>
      </top>
      <bottom style="thin">
        <color theme="2" tint="-0.24994659260841701"/>
      </bottom>
      <diagonal/>
    </border>
    <border>
      <left/>
      <right style="thin">
        <color theme="2" tint="-0.24994659260841701"/>
      </right>
      <top style="thin">
        <color theme="2" tint="-0.24994659260841701"/>
      </top>
      <bottom style="thin">
        <color theme="2" tint="-0.24994659260841701"/>
      </bottom>
      <diagonal/>
    </border>
    <border>
      <left style="thin">
        <color theme="2" tint="-0.24994659260841701"/>
      </left>
      <right/>
      <top style="thin">
        <color theme="2" tint="-0.24994659260841701"/>
      </top>
      <bottom style="thin">
        <color theme="2" tint="-0.24994659260841701"/>
      </bottom>
      <diagonal/>
    </border>
    <border>
      <left style="medium">
        <color indexed="64"/>
      </left>
      <right style="thin">
        <color theme="2" tint="-0.24994659260841701"/>
      </right>
      <top style="thin">
        <color theme="2" tint="-0.24994659260841701"/>
      </top>
      <bottom style="thin">
        <color theme="2" tint="-0.24994659260841701"/>
      </bottom>
      <diagonal/>
    </border>
    <border>
      <left style="thin">
        <color theme="2" tint="-0.24994659260841701"/>
      </left>
      <right style="medium">
        <color indexed="64"/>
      </right>
      <top style="thin">
        <color theme="2" tint="-0.24994659260841701"/>
      </top>
      <bottom style="thin">
        <color theme="2" tint="-0.24994659260841701"/>
      </bottom>
      <diagonal/>
    </border>
    <border>
      <left style="medium">
        <color theme="1" tint="0.34998626667073579"/>
      </left>
      <right style="medium">
        <color theme="1" tint="0.34998626667073579"/>
      </right>
      <top style="thin">
        <color theme="2" tint="-0.24994659260841701"/>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style="medium">
        <color theme="1" tint="0.34998626667073579"/>
      </right>
      <top/>
      <bottom style="thin">
        <color theme="2" tint="-0.24994659260841701"/>
      </bottom>
      <diagonal/>
    </border>
    <border>
      <left style="medium">
        <color indexed="64"/>
      </left>
      <right style="thin">
        <color theme="2" tint="-0.24994659260841701"/>
      </right>
      <top style="thin">
        <color theme="2" tint="-0.24994659260841701"/>
      </top>
      <bottom style="medium">
        <color indexed="64"/>
      </bottom>
      <diagonal/>
    </border>
    <border>
      <left style="thin">
        <color theme="2" tint="-0.24994659260841701"/>
      </left>
      <right style="thin">
        <color theme="2" tint="-0.24994659260841701"/>
      </right>
      <top style="thin">
        <color theme="2" tint="-0.24994659260841701"/>
      </top>
      <bottom style="medium">
        <color indexed="64"/>
      </bottom>
      <diagonal/>
    </border>
    <border>
      <left style="thin">
        <color theme="2" tint="-0.24994659260841701"/>
      </left>
      <right style="medium">
        <color indexed="64"/>
      </right>
      <top style="thin">
        <color theme="2" tint="-0.24994659260841701"/>
      </top>
      <bottom style="medium">
        <color indexed="64"/>
      </bottom>
      <diagonal/>
    </border>
    <border>
      <left/>
      <right style="thin">
        <color theme="2" tint="-0.24994659260841701"/>
      </right>
      <top/>
      <bottom style="thin">
        <color theme="2" tint="-0.24994659260841701"/>
      </bottom>
      <diagonal/>
    </border>
    <border>
      <left style="thin">
        <color theme="2" tint="-0.24994659260841701"/>
      </left>
      <right/>
      <top/>
      <bottom style="thin">
        <color theme="2" tint="-0.24994659260841701"/>
      </bottom>
      <diagonal/>
    </border>
    <border>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medium">
        <color theme="1" tint="0.34998626667073579"/>
      </left>
      <right style="thin">
        <color theme="2" tint="-0.24994659260841701"/>
      </right>
      <top style="thin">
        <color theme="2" tint="-0.24994659260841701"/>
      </top>
      <bottom/>
      <diagonal/>
    </border>
    <border>
      <left style="thin">
        <color theme="2" tint="-0.24994659260841701"/>
      </left>
      <right style="medium">
        <color theme="1" tint="0.34998626667073579"/>
      </right>
      <top style="thin">
        <color theme="2" tint="-0.24994659260841701"/>
      </top>
      <bottom/>
      <diagonal/>
    </border>
    <border>
      <left/>
      <right style="thin">
        <color theme="2" tint="-0.24994659260841701"/>
      </right>
      <top/>
      <bottom/>
      <diagonal/>
    </border>
    <border>
      <left style="thin">
        <color theme="2" tint="-0.24994659260841701"/>
      </left>
      <right style="thin">
        <color theme="2" tint="-0.24994659260841701"/>
      </right>
      <top/>
      <bottom/>
      <diagonal/>
    </border>
    <border>
      <left style="thin">
        <color theme="2" tint="-0.24994659260841701"/>
      </left>
      <right/>
      <top style="thin">
        <color theme="2" tint="-0.24994659260841701"/>
      </top>
      <bottom/>
      <diagonal/>
    </border>
    <border>
      <left style="medium">
        <color theme="1" tint="0.34998626667073579"/>
      </left>
      <right style="medium">
        <color theme="1" tint="0.34998626667073579"/>
      </right>
      <top style="thin">
        <color theme="2" tint="-0.24994659260841701"/>
      </top>
      <bottom/>
      <diagonal/>
    </border>
    <border>
      <left/>
      <right/>
      <top style="medium">
        <color theme="1" tint="0.34998626667073579"/>
      </top>
      <bottom/>
      <diagonal/>
    </border>
    <border>
      <left style="thin">
        <color indexed="64"/>
      </left>
      <right style="thin">
        <color indexed="64"/>
      </right>
      <top style="thin">
        <color indexed="64"/>
      </top>
      <bottom style="double">
        <color indexed="64"/>
      </bottom>
      <diagonal/>
    </border>
    <border>
      <left style="thick">
        <color indexed="22"/>
      </left>
      <right style="thin">
        <color indexed="22"/>
      </right>
      <top style="thin">
        <color indexed="22"/>
      </top>
      <bottom style="thin">
        <color indexed="22"/>
      </bottom>
      <diagonal/>
    </border>
    <border>
      <left style="thin">
        <color indexed="22"/>
      </left>
      <right style="thick">
        <color indexed="22"/>
      </right>
      <top style="thin">
        <color indexed="22"/>
      </top>
      <bottom style="thin">
        <color indexed="22"/>
      </bottom>
      <diagonal/>
    </border>
    <border>
      <left/>
      <right/>
      <top style="thin">
        <color indexed="55"/>
      </top>
      <bottom style="double">
        <color indexed="55"/>
      </bottom>
      <diagonal/>
    </border>
    <border>
      <left style="thin">
        <color indexed="22"/>
      </left>
      <right style="thin">
        <color indexed="22"/>
      </right>
      <top/>
      <bottom style="thin">
        <color indexed="22"/>
      </bottom>
      <diagonal/>
    </border>
    <border>
      <left style="thin">
        <color indexed="22"/>
      </left>
      <right style="thick">
        <color indexed="22"/>
      </right>
      <top/>
      <bottom style="thin">
        <color indexed="22"/>
      </bottom>
      <diagonal/>
    </border>
    <border>
      <left/>
      <right/>
      <top style="double">
        <color indexed="55"/>
      </top>
      <bottom style="thin">
        <color indexed="22"/>
      </bottom>
      <diagonal/>
    </border>
    <border>
      <left style="thick">
        <color indexed="22"/>
      </left>
      <right style="thin">
        <color indexed="22"/>
      </right>
      <top/>
      <bottom style="thin">
        <color indexed="22"/>
      </bottom>
      <diagonal/>
    </border>
    <border>
      <left/>
      <right/>
      <top style="thin">
        <color indexed="22"/>
      </top>
      <bottom style="thin">
        <color indexed="22"/>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thin">
        <color indexed="64"/>
      </top>
      <bottom style="double">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double">
        <color indexed="64"/>
      </top>
      <bottom style="double">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4"/>
      </top>
      <bottom style="thin">
        <color indexed="63"/>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49"/>
      </top>
      <bottom style="double">
        <color indexed="49"/>
      </bottom>
      <diagonal/>
    </border>
    <border>
      <left style="medium">
        <color indexed="64"/>
      </left>
      <right style="medium">
        <color indexed="64"/>
      </right>
      <top style="medium">
        <color rgb="FFD3D3D3"/>
      </top>
      <bottom style="medium">
        <color rgb="FFD3D3D3"/>
      </bottom>
      <diagonal/>
    </border>
    <border>
      <left style="medium">
        <color indexed="64"/>
      </left>
      <right style="medium">
        <color indexed="64"/>
      </right>
      <top style="medium">
        <color rgb="FFD3D3D3"/>
      </top>
      <bottom style="hair">
        <color rgb="FFD3D3D3"/>
      </bottom>
      <diagonal/>
    </border>
    <border>
      <left style="medium">
        <color indexed="64"/>
      </left>
      <right style="medium">
        <color indexed="64"/>
      </right>
      <top style="hair">
        <color rgb="FFD3D3D3"/>
      </top>
      <bottom style="hair">
        <color rgb="FFD3D3D3"/>
      </bottom>
      <diagonal/>
    </border>
    <border>
      <left style="medium">
        <color indexed="64"/>
      </left>
      <right style="medium">
        <color indexed="64"/>
      </right>
      <top style="hair">
        <color rgb="FFD3D3D3"/>
      </top>
      <bottom style="medium">
        <color rgb="FFD3D3D3"/>
      </bottom>
      <diagonal/>
    </border>
    <border>
      <left style="thin">
        <color rgb="FFFFFFFF"/>
      </left>
      <right style="thin">
        <color rgb="FFFFFFFF"/>
      </right>
      <top style="medium">
        <color rgb="FFFFFFFF"/>
      </top>
      <bottom style="thin">
        <color rgb="FFFFFFFF"/>
      </bottom>
      <diagonal/>
    </border>
    <border>
      <left style="thin">
        <color rgb="FFFFFFFF"/>
      </left>
      <right style="thin">
        <color rgb="FFFFFFFF"/>
      </right>
      <top style="thin">
        <color rgb="FFFFFFFF"/>
      </top>
      <bottom style="thin">
        <color rgb="FFFFFFFF"/>
      </bottom>
      <diagonal/>
    </border>
    <border>
      <left style="medium">
        <color rgb="FFFFFFFF"/>
      </left>
      <right style="medium">
        <color rgb="FFFFFFFF"/>
      </right>
      <top style="medium">
        <color rgb="FFFFFFFF"/>
      </top>
      <bottom style="medium">
        <color rgb="FFFFFFFF"/>
      </bottom>
      <diagonal/>
    </border>
    <border>
      <left style="medium">
        <color indexed="64"/>
      </left>
      <right style="hair">
        <color rgb="FFD3D3D3"/>
      </right>
      <top style="medium">
        <color rgb="FFD3D3D3"/>
      </top>
      <bottom style="hair">
        <color rgb="FFD3D3D3"/>
      </bottom>
      <diagonal/>
    </border>
    <border>
      <left style="hair">
        <color rgb="FFD3D3D3"/>
      </left>
      <right style="hair">
        <color rgb="FFD3D3D3"/>
      </right>
      <top style="medium">
        <color rgb="FFD3D3D3"/>
      </top>
      <bottom style="hair">
        <color rgb="FFD3D3D3"/>
      </bottom>
      <diagonal/>
    </border>
    <border>
      <left style="hair">
        <color rgb="FFD3D3D3"/>
      </left>
      <right style="medium">
        <color indexed="64"/>
      </right>
      <top style="medium">
        <color rgb="FFD3D3D3"/>
      </top>
      <bottom style="hair">
        <color rgb="FFD3D3D3"/>
      </bottom>
      <diagonal/>
    </border>
    <border>
      <left style="medium">
        <color indexed="64"/>
      </left>
      <right style="hair">
        <color rgb="FFD3D3D3"/>
      </right>
      <top style="hair">
        <color rgb="FFD3D3D3"/>
      </top>
      <bottom style="hair">
        <color rgb="FFD3D3D3"/>
      </bottom>
      <diagonal/>
    </border>
    <border>
      <left style="hair">
        <color rgb="FFD3D3D3"/>
      </left>
      <right style="hair">
        <color rgb="FFD3D3D3"/>
      </right>
      <top style="hair">
        <color rgb="FFD3D3D3"/>
      </top>
      <bottom style="hair">
        <color rgb="FFD3D3D3"/>
      </bottom>
      <diagonal/>
    </border>
    <border>
      <left style="hair">
        <color rgb="FFD3D3D3"/>
      </left>
      <right style="medium">
        <color indexed="64"/>
      </right>
      <top style="hair">
        <color rgb="FFD3D3D3"/>
      </top>
      <bottom style="hair">
        <color rgb="FFD3D3D3"/>
      </bottom>
      <diagonal/>
    </border>
    <border>
      <left style="medium">
        <color indexed="64"/>
      </left>
      <right style="hair">
        <color rgb="FFD3D3D3"/>
      </right>
      <top style="hair">
        <color rgb="FFD3D3D3"/>
      </top>
      <bottom style="medium">
        <color rgb="FFD3D3D3"/>
      </bottom>
      <diagonal/>
    </border>
    <border>
      <left style="hair">
        <color rgb="FFD3D3D3"/>
      </left>
      <right style="hair">
        <color rgb="FFD3D3D3"/>
      </right>
      <top style="hair">
        <color rgb="FFD3D3D3"/>
      </top>
      <bottom style="medium">
        <color rgb="FFD3D3D3"/>
      </bottom>
      <diagonal/>
    </border>
    <border>
      <left style="hair">
        <color rgb="FFD3D3D3"/>
      </left>
      <right style="medium">
        <color indexed="64"/>
      </right>
      <top style="hair">
        <color rgb="FFD3D3D3"/>
      </top>
      <bottom style="medium">
        <color rgb="FFD3D3D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rgb="FFBCBCBC"/>
      </left>
      <right style="thin">
        <color rgb="FFBCBCBC"/>
      </right>
      <top style="thin">
        <color rgb="FFBCBCBC"/>
      </top>
      <bottom style="thin">
        <color rgb="FFBCBCBC"/>
      </bottom>
      <diagonal/>
    </border>
    <border>
      <left style="thin">
        <color rgb="FFBCBCBC"/>
      </left>
      <right/>
      <top/>
      <bottom/>
      <diagonal/>
    </border>
    <border>
      <left/>
      <right style="thin">
        <color rgb="FFBCBCBC"/>
      </right>
      <top/>
      <bottom/>
      <diagonal/>
    </border>
    <border>
      <left style="thin">
        <color rgb="FFBCBCBC"/>
      </left>
      <right/>
      <top style="thin">
        <color rgb="FFBCBCBC"/>
      </top>
      <bottom/>
      <diagonal/>
    </border>
    <border>
      <left/>
      <right/>
      <top style="thin">
        <color rgb="FFBCBCBC"/>
      </top>
      <bottom/>
      <diagonal/>
    </border>
    <border>
      <left/>
      <right style="thin">
        <color rgb="FFBCBCBC"/>
      </right>
      <top style="thin">
        <color rgb="FFBCBCBC"/>
      </top>
      <bottom/>
      <diagonal/>
    </border>
    <border>
      <left style="thin">
        <color rgb="FFBCBCBC"/>
      </left>
      <right/>
      <top/>
      <bottom style="thin">
        <color rgb="FFBCBCBC"/>
      </bottom>
      <diagonal/>
    </border>
    <border>
      <left/>
      <right/>
      <top/>
      <bottom style="thin">
        <color rgb="FFBCBCBC"/>
      </bottom>
      <diagonal/>
    </border>
    <border>
      <left/>
      <right/>
      <top style="thin">
        <color rgb="FFD9D9D9"/>
      </top>
      <bottom style="thin">
        <color rgb="FFD9D9D9"/>
      </bottom>
      <diagonal/>
    </border>
    <border>
      <left/>
      <right/>
      <top style="thin">
        <color rgb="FFBCBCBC"/>
      </top>
      <bottom style="thin">
        <color rgb="FFBCBCBC"/>
      </bottom>
      <diagonal/>
    </border>
    <border>
      <left style="thin">
        <color rgb="FFBCBCBC"/>
      </left>
      <right style="thin">
        <color rgb="FFBCBCBC"/>
      </right>
      <top style="thin">
        <color rgb="FFBCBCBC"/>
      </top>
      <bottom/>
      <diagonal/>
    </border>
    <border>
      <left style="thin">
        <color rgb="FFBCBCBC"/>
      </left>
      <right style="thin">
        <color rgb="FFBCBCBC"/>
      </right>
      <top/>
      <bottom/>
      <diagonal/>
    </border>
    <border>
      <left style="thin">
        <color rgb="FFBCBCBC"/>
      </left>
      <right style="thin">
        <color rgb="FFBCBCBC"/>
      </right>
      <top/>
      <bottom style="thin">
        <color rgb="FFBCBCBC"/>
      </bottom>
      <diagonal/>
    </border>
    <border>
      <left/>
      <right/>
      <top style="thin">
        <color rgb="FFD9D9D9"/>
      </top>
      <bottom/>
      <diagonal/>
    </border>
    <border>
      <left/>
      <right/>
      <top style="thin">
        <color rgb="FFD9D9D9"/>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medium">
        <color indexed="64"/>
      </left>
      <right style="medium">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55"/>
      </left>
      <right/>
      <top style="thin">
        <color indexed="55"/>
      </top>
      <bottom/>
      <diagonal/>
    </border>
    <border>
      <left style="thin">
        <color indexed="64"/>
      </left>
      <right style="thin">
        <color indexed="64"/>
      </right>
      <top style="thin">
        <color indexed="64"/>
      </top>
      <bottom/>
      <diagonal/>
    </border>
    <border>
      <left style="thin">
        <color indexed="64"/>
      </left>
      <right style="dashed">
        <color indexed="64"/>
      </right>
      <top/>
      <bottom/>
      <diagonal/>
    </border>
    <border>
      <left style="thin">
        <color indexed="64"/>
      </left>
      <right style="medium">
        <color indexed="64"/>
      </right>
      <top style="thin">
        <color indexed="64"/>
      </top>
      <bottom/>
      <diagonal/>
    </border>
    <border>
      <left style="thin">
        <color indexed="64"/>
      </left>
      <right style="dashed">
        <color indexed="64"/>
      </right>
      <top/>
      <bottom style="medium">
        <color indexed="64"/>
      </bottom>
      <diagonal/>
    </border>
    <border>
      <left style="medium">
        <color indexed="64"/>
      </left>
      <right style="dashed">
        <color indexed="64"/>
      </right>
      <top/>
      <bottom/>
      <diagonal/>
    </border>
    <border>
      <left style="medium">
        <color indexed="64"/>
      </left>
      <right style="dashed">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style="dashed">
        <color indexed="64"/>
      </right>
      <top/>
      <bottom style="medium">
        <color indexed="64"/>
      </bottom>
      <diagonal/>
    </border>
    <border>
      <left/>
      <right style="medium">
        <color indexed="64"/>
      </right>
      <top style="thin">
        <color indexed="64"/>
      </top>
      <bottom style="thin">
        <color indexed="64"/>
      </bottom>
      <diagonal/>
    </border>
  </borders>
  <cellStyleXfs count="3457">
    <xf numFmtId="4" fontId="0" fillId="0" borderId="0">
      <alignment vertical="center"/>
    </xf>
    <xf numFmtId="0" fontId="9" fillId="0" borderId="0"/>
    <xf numFmtId="188" fontId="10" fillId="0" borderId="0">
      <alignment vertical="top"/>
    </xf>
    <xf numFmtId="188" fontId="11" fillId="0" borderId="0">
      <alignment vertical="top"/>
    </xf>
    <xf numFmtId="189" fontId="11" fillId="2" borderId="0">
      <alignment vertical="top"/>
    </xf>
    <xf numFmtId="188" fontId="11" fillId="3" borderId="0">
      <alignment vertical="top"/>
    </xf>
    <xf numFmtId="0" fontId="9" fillId="0" borderId="0"/>
    <xf numFmtId="0" fontId="9" fillId="0" borderId="0"/>
    <xf numFmtId="0" fontId="9" fillId="0" borderId="0"/>
    <xf numFmtId="0" fontId="9" fillId="0" borderId="0"/>
    <xf numFmtId="0" fontId="9" fillId="0" borderId="0"/>
    <xf numFmtId="0" fontId="9" fillId="0" borderId="0"/>
    <xf numFmtId="190"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190"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0" fontId="12" fillId="0" borderId="0"/>
    <xf numFmtId="0" fontId="12" fillId="0" borderId="0"/>
    <xf numFmtId="0" fontId="12" fillId="0" borderId="0"/>
    <xf numFmtId="0" fontId="12" fillId="0" borderId="0"/>
    <xf numFmtId="0" fontId="9" fillId="0" borderId="0"/>
    <xf numFmtId="190"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0" fontId="9" fillId="0" borderId="0"/>
    <xf numFmtId="0" fontId="9" fillId="0" borderId="0"/>
    <xf numFmtId="0" fontId="12" fillId="0" borderId="0"/>
    <xf numFmtId="0" fontId="12" fillId="0" borderId="0"/>
    <xf numFmtId="190"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0" fontId="12" fillId="0" borderId="0"/>
    <xf numFmtId="0" fontId="12" fillId="0" borderId="0"/>
    <xf numFmtId="0" fontId="12" fillId="0" borderId="0"/>
    <xf numFmtId="190"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190"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38" fontId="10" fillId="0" borderId="0">
      <alignment vertical="top"/>
    </xf>
    <xf numFmtId="0" fontId="12" fillId="0" borderId="0"/>
    <xf numFmtId="0" fontId="9" fillId="0" borderId="0"/>
    <xf numFmtId="0" fontId="9" fillId="0" borderId="0"/>
    <xf numFmtId="0" fontId="12" fillId="0" borderId="0"/>
    <xf numFmtId="0" fontId="9" fillId="0" borderId="0"/>
    <xf numFmtId="0" fontId="9" fillId="0" borderId="0"/>
    <xf numFmtId="0" fontId="12" fillId="0" borderId="0"/>
    <xf numFmtId="183" fontId="13" fillId="0" borderId="0">
      <protection locked="0"/>
    </xf>
    <xf numFmtId="184" fontId="13" fillId="0" borderId="0">
      <protection locked="0"/>
    </xf>
    <xf numFmtId="183" fontId="13" fillId="0" borderId="0">
      <protection locked="0"/>
    </xf>
    <xf numFmtId="184" fontId="13" fillId="0" borderId="0">
      <protection locked="0"/>
    </xf>
    <xf numFmtId="185" fontId="13" fillId="0" borderId="0">
      <protection locked="0"/>
    </xf>
    <xf numFmtId="182" fontId="13" fillId="0" borderId="1">
      <protection locked="0"/>
    </xf>
    <xf numFmtId="182" fontId="14" fillId="0" borderId="0">
      <protection locked="0"/>
    </xf>
    <xf numFmtId="182" fontId="14" fillId="0" borderId="0">
      <protection locked="0"/>
    </xf>
    <xf numFmtId="182" fontId="13" fillId="0" borderId="1">
      <protection locked="0"/>
    </xf>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6" fillId="14"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21" borderId="0" applyNumberFormat="0" applyBorder="0" applyAlignment="0" applyProtection="0"/>
    <xf numFmtId="0" fontId="17" fillId="0" borderId="0" applyNumberFormat="0" applyFill="0" applyBorder="0" applyAlignment="0" applyProtection="0">
      <alignment vertical="top"/>
      <protection locked="0"/>
    </xf>
    <xf numFmtId="178" fontId="18" fillId="0" borderId="2">
      <protection locked="0"/>
    </xf>
    <xf numFmtId="191" fontId="7" fillId="0" borderId="0" applyFont="0" applyFill="0" applyBorder="0" applyAlignment="0" applyProtection="0"/>
    <xf numFmtId="192" fontId="7" fillId="0" borderId="0" applyFont="0" applyFill="0" applyBorder="0" applyAlignment="0" applyProtection="0"/>
    <xf numFmtId="0" fontId="19" fillId="5" borderId="0" applyNumberFormat="0" applyBorder="0" applyAlignment="0" applyProtection="0"/>
    <xf numFmtId="0" fontId="20" fillId="22" borderId="3" applyNumberFormat="0" applyAlignment="0" applyProtection="0"/>
    <xf numFmtId="0" fontId="21" fillId="23" borderId="4" applyNumberFormat="0" applyAlignment="0" applyProtection="0"/>
    <xf numFmtId="3" fontId="23" fillId="0" borderId="0" applyFont="0" applyFill="0" applyBorder="0" applyAlignment="0" applyProtection="0"/>
    <xf numFmtId="178" fontId="24" fillId="24" borderId="2"/>
    <xf numFmtId="177" fontId="25"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77" fontId="26" fillId="0" borderId="0" applyFont="0" applyFill="0" applyBorder="0" applyAlignment="0" applyProtection="0"/>
    <xf numFmtId="193" fontId="23" fillId="0" borderId="0" applyFont="0" applyFill="0" applyBorder="0" applyAlignment="0" applyProtection="0"/>
    <xf numFmtId="0" fontId="23" fillId="0" borderId="0" applyFont="0" applyFill="0" applyBorder="0" applyAlignment="0" applyProtection="0"/>
    <xf numFmtId="14" fontId="27" fillId="0" borderId="0">
      <alignment vertical="top"/>
    </xf>
    <xf numFmtId="190" fontId="28" fillId="0" borderId="0">
      <alignment vertical="top"/>
    </xf>
    <xf numFmtId="181" fontId="27" fillId="0" borderId="0" applyFont="0" applyFill="0" applyBorder="0" applyAlignment="0" applyProtection="0"/>
    <xf numFmtId="0" fontId="29" fillId="0" borderId="0" applyNumberFormat="0" applyFill="0" applyBorder="0" applyAlignment="0" applyProtection="0"/>
    <xf numFmtId="175" fontId="30" fillId="0" borderId="0" applyFill="0" applyBorder="0" applyAlignment="0" applyProtection="0"/>
    <xf numFmtId="175" fontId="10" fillId="0" borderId="0" applyFill="0" applyBorder="0" applyAlignment="0" applyProtection="0"/>
    <xf numFmtId="175" fontId="31" fillId="0" borderId="0" applyFill="0" applyBorder="0" applyAlignment="0" applyProtection="0"/>
    <xf numFmtId="175" fontId="32" fillId="0" borderId="0" applyFill="0" applyBorder="0" applyAlignment="0" applyProtection="0"/>
    <xf numFmtId="175" fontId="33" fillId="0" borderId="0" applyFill="0" applyBorder="0" applyAlignment="0" applyProtection="0"/>
    <xf numFmtId="175" fontId="34" fillId="0" borderId="0" applyFill="0" applyBorder="0" applyAlignment="0" applyProtection="0"/>
    <xf numFmtId="175" fontId="35" fillId="0" borderId="0" applyFill="0" applyBorder="0" applyAlignment="0" applyProtection="0"/>
    <xf numFmtId="2" fontId="23" fillId="0" borderId="0" applyFont="0" applyFill="0" applyBorder="0" applyAlignment="0" applyProtection="0"/>
    <xf numFmtId="0" fontId="36" fillId="6" borderId="0" applyNumberFormat="0" applyBorder="0" applyAlignment="0" applyProtection="0"/>
    <xf numFmtId="0" fontId="37" fillId="0" borderId="0">
      <alignment vertical="top"/>
    </xf>
    <xf numFmtId="0" fontId="38" fillId="0" borderId="5" applyNumberFormat="0" applyFill="0" applyAlignment="0" applyProtection="0"/>
    <xf numFmtId="0" fontId="39" fillId="0" borderId="6" applyNumberFormat="0" applyFill="0" applyAlignment="0" applyProtection="0"/>
    <xf numFmtId="0" fontId="40" fillId="0" borderId="7" applyNumberFormat="0" applyFill="0" applyAlignment="0" applyProtection="0"/>
    <xf numFmtId="0" fontId="40" fillId="0" borderId="0" applyNumberFormat="0" applyFill="0" applyBorder="0" applyAlignment="0" applyProtection="0"/>
    <xf numFmtId="190" fontId="41" fillId="0" borderId="0">
      <alignment vertical="top"/>
    </xf>
    <xf numFmtId="178" fontId="42" fillId="0" borderId="0"/>
    <xf numFmtId="0" fontId="43" fillId="0" borderId="0" applyNumberFormat="0" applyFill="0" applyBorder="0" applyAlignment="0" applyProtection="0">
      <alignment vertical="top"/>
      <protection locked="0"/>
    </xf>
    <xf numFmtId="0" fontId="44" fillId="9" borderId="3" applyNumberFormat="0" applyAlignment="0" applyProtection="0"/>
    <xf numFmtId="190" fontId="11" fillId="0" borderId="0">
      <alignment vertical="top"/>
    </xf>
    <xf numFmtId="190" fontId="11" fillId="2" borderId="0">
      <alignment vertical="top"/>
    </xf>
    <xf numFmtId="194" fontId="11" fillId="3" borderId="0">
      <alignment vertical="top"/>
    </xf>
    <xf numFmtId="38" fontId="11" fillId="0" borderId="0">
      <alignment vertical="top"/>
    </xf>
    <xf numFmtId="0" fontId="45" fillId="0" borderId="8" applyNumberFormat="0" applyFill="0" applyAlignment="0" applyProtection="0"/>
    <xf numFmtId="0" fontId="46" fillId="25" borderId="0" applyNumberFormat="0" applyBorder="0" applyAlignment="0" applyProtection="0"/>
    <xf numFmtId="0" fontId="47" fillId="0" borderId="0" applyNumberFormat="0" applyFill="0" applyBorder="0" applyAlignment="0" applyProtection="0"/>
    <xf numFmtId="0" fontId="7" fillId="0" borderId="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0" borderId="0"/>
    <xf numFmtId="0" fontId="9" fillId="0" borderId="0"/>
    <xf numFmtId="0" fontId="49" fillId="26" borderId="9" applyNumberFormat="0" applyFont="0" applyAlignment="0" applyProtection="0"/>
    <xf numFmtId="195" fontId="7" fillId="0" borderId="0" applyFont="0" applyFill="0" applyBorder="0" applyAlignment="0" applyProtection="0"/>
    <xf numFmtId="196" fontId="7" fillId="0" borderId="0" applyFont="0" applyFill="0" applyBorder="0" applyAlignment="0" applyProtection="0"/>
    <xf numFmtId="0" fontId="50" fillId="22" borderId="10" applyNumberFormat="0" applyAlignment="0" applyProtection="0"/>
    <xf numFmtId="0" fontId="51" fillId="0" borderId="0" applyNumberFormat="0">
      <alignment horizontal="left"/>
    </xf>
    <xf numFmtId="4" fontId="52" fillId="27" borderId="10" applyNumberFormat="0" applyProtection="0">
      <alignment vertical="center"/>
    </xf>
    <xf numFmtId="4" fontId="53" fillId="27" borderId="10" applyNumberFormat="0" applyProtection="0">
      <alignment vertical="center"/>
    </xf>
    <xf numFmtId="4" fontId="52" fillId="27" borderId="10" applyNumberFormat="0" applyProtection="0">
      <alignment horizontal="left" vertical="center" indent="1"/>
    </xf>
    <xf numFmtId="4" fontId="52" fillId="27" borderId="10" applyNumberFormat="0" applyProtection="0">
      <alignment horizontal="left" vertical="center" indent="1"/>
    </xf>
    <xf numFmtId="0" fontId="22" fillId="28" borderId="10" applyNumberFormat="0" applyProtection="0">
      <alignment horizontal="left" vertical="center" indent="1"/>
    </xf>
    <xf numFmtId="4" fontId="52" fillId="29" borderId="10" applyNumberFormat="0" applyProtection="0">
      <alignment horizontal="right" vertical="center"/>
    </xf>
    <xf numFmtId="4" fontId="52" fillId="30" borderId="10" applyNumberFormat="0" applyProtection="0">
      <alignment horizontal="right" vertical="center"/>
    </xf>
    <xf numFmtId="4" fontId="52" fillId="31" borderId="10" applyNumberFormat="0" applyProtection="0">
      <alignment horizontal="right" vertical="center"/>
    </xf>
    <xf numFmtId="4" fontId="52" fillId="32" borderId="10" applyNumberFormat="0" applyProtection="0">
      <alignment horizontal="right" vertical="center"/>
    </xf>
    <xf numFmtId="4" fontId="52" fillId="33" borderId="10" applyNumberFormat="0" applyProtection="0">
      <alignment horizontal="right" vertical="center"/>
    </xf>
    <xf numFmtId="4" fontId="52" fillId="34" borderId="10" applyNumberFormat="0" applyProtection="0">
      <alignment horizontal="right" vertical="center"/>
    </xf>
    <xf numFmtId="4" fontId="52" fillId="35" borderId="10" applyNumberFormat="0" applyProtection="0">
      <alignment horizontal="right" vertical="center"/>
    </xf>
    <xf numFmtId="4" fontId="52" fillId="36" borderId="10" applyNumberFormat="0" applyProtection="0">
      <alignment horizontal="right" vertical="center"/>
    </xf>
    <xf numFmtId="4" fontId="52" fillId="37" borderId="10" applyNumberFormat="0" applyProtection="0">
      <alignment horizontal="right" vertical="center"/>
    </xf>
    <xf numFmtId="4" fontId="54" fillId="38" borderId="10" applyNumberFormat="0" applyProtection="0">
      <alignment horizontal="left" vertical="center" indent="1"/>
    </xf>
    <xf numFmtId="4" fontId="52" fillId="39" borderId="11" applyNumberFormat="0" applyProtection="0">
      <alignment horizontal="left" vertical="center" indent="1"/>
    </xf>
    <xf numFmtId="4" fontId="55" fillId="40" borderId="0" applyNumberFormat="0" applyProtection="0">
      <alignment horizontal="left" vertical="center" indent="1"/>
    </xf>
    <xf numFmtId="0" fontId="22" fillId="28" borderId="10" applyNumberFormat="0" applyProtection="0">
      <alignment horizontal="left" vertical="center" indent="1"/>
    </xf>
    <xf numFmtId="4" fontId="56" fillId="39" borderId="10" applyNumberFormat="0" applyProtection="0">
      <alignment horizontal="left" vertical="center" indent="1"/>
    </xf>
    <xf numFmtId="4" fontId="56" fillId="41" borderId="10" applyNumberFormat="0" applyProtection="0">
      <alignment horizontal="left" vertical="center" indent="1"/>
    </xf>
    <xf numFmtId="0" fontId="22" fillId="41" borderId="10" applyNumberFormat="0" applyProtection="0">
      <alignment horizontal="left" vertical="center" indent="1"/>
    </xf>
    <xf numFmtId="0" fontId="22" fillId="41" borderId="10" applyNumberFormat="0" applyProtection="0">
      <alignment horizontal="left" vertical="center" indent="1"/>
    </xf>
    <xf numFmtId="0" fontId="22" fillId="42" borderId="10" applyNumberFormat="0" applyProtection="0">
      <alignment horizontal="left" vertical="center" indent="1"/>
    </xf>
    <xf numFmtId="0" fontId="22" fillId="42" borderId="10" applyNumberFormat="0" applyProtection="0">
      <alignment horizontal="left" vertical="center" indent="1"/>
    </xf>
    <xf numFmtId="0" fontId="22" fillId="2" borderId="10" applyNumberFormat="0" applyProtection="0">
      <alignment horizontal="left" vertical="center" indent="1"/>
    </xf>
    <xf numFmtId="0" fontId="22" fillId="2" borderId="10" applyNumberFormat="0" applyProtection="0">
      <alignment horizontal="left" vertical="center" indent="1"/>
    </xf>
    <xf numFmtId="0" fontId="22" fillId="28" borderId="10" applyNumberFormat="0" applyProtection="0">
      <alignment horizontal="left" vertical="center" indent="1"/>
    </xf>
    <xf numFmtId="0" fontId="22" fillId="28" borderId="10" applyNumberFormat="0" applyProtection="0">
      <alignment horizontal="left" vertical="center" indent="1"/>
    </xf>
    <xf numFmtId="0" fontId="7" fillId="0" borderId="0"/>
    <xf numFmtId="4" fontId="52" fillId="43" borderId="10" applyNumberFormat="0" applyProtection="0">
      <alignment vertical="center"/>
    </xf>
    <xf numFmtId="4" fontId="53" fillId="43" borderId="10" applyNumberFormat="0" applyProtection="0">
      <alignment vertical="center"/>
    </xf>
    <xf numFmtId="4" fontId="52" fillId="43" borderId="10" applyNumberFormat="0" applyProtection="0">
      <alignment horizontal="left" vertical="center" indent="1"/>
    </xf>
    <xf numFmtId="4" fontId="52" fillId="43" borderId="10" applyNumberFormat="0" applyProtection="0">
      <alignment horizontal="left" vertical="center" indent="1"/>
    </xf>
    <xf numFmtId="4" fontId="52" fillId="39" borderId="10" applyNumberFormat="0" applyProtection="0">
      <alignment horizontal="right" vertical="center"/>
    </xf>
    <xf numFmtId="4" fontId="53" fillId="39" borderId="10" applyNumberFormat="0" applyProtection="0">
      <alignment horizontal="right" vertical="center"/>
    </xf>
    <xf numFmtId="0" fontId="22" fillId="28" borderId="10" applyNumberFormat="0" applyProtection="0">
      <alignment horizontal="left" vertical="center" indent="1"/>
    </xf>
    <xf numFmtId="0" fontId="22" fillId="28" borderId="10" applyNumberFormat="0" applyProtection="0">
      <alignment horizontal="left" vertical="center" indent="1"/>
    </xf>
    <xf numFmtId="0" fontId="57" fillId="0" borderId="0"/>
    <xf numFmtId="4" fontId="58" fillId="39" borderId="10" applyNumberFormat="0" applyProtection="0">
      <alignment horizontal="right" vertical="center"/>
    </xf>
    <xf numFmtId="0" fontId="9" fillId="0" borderId="0"/>
    <xf numFmtId="190" fontId="59" fillId="44" borderId="0">
      <alignment horizontal="right" vertical="top"/>
    </xf>
    <xf numFmtId="0" fontId="60" fillId="0" borderId="0" applyNumberFormat="0" applyFill="0" applyBorder="0" applyAlignment="0" applyProtection="0"/>
    <xf numFmtId="0" fontId="61" fillId="0" borderId="12" applyNumberFormat="0" applyFill="0" applyAlignment="0" applyProtection="0"/>
    <xf numFmtId="0" fontId="62" fillId="0" borderId="0" applyNumberFormat="0" applyFill="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178" fontId="18" fillId="0" borderId="2">
      <protection locked="0"/>
    </xf>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44" fillId="9" borderId="3"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50" fillId="22" borderId="10"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0" fontId="20" fillId="22" borderId="3" applyNumberFormat="0" applyAlignment="0" applyProtection="0"/>
    <xf numFmtId="4" fontId="289" fillId="0" borderId="0" applyNumberFormat="0" applyFill="0" applyBorder="0" applyAlignment="0" applyProtection="0">
      <alignment vertical="center"/>
    </xf>
    <xf numFmtId="0" fontId="64"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164" fontId="15" fillId="0" borderId="0" applyFont="0" applyFill="0" applyBorder="0" applyAlignment="0" applyProtection="0"/>
    <xf numFmtId="0" fontId="65" fillId="0" borderId="0" applyBorder="0">
      <alignment horizontal="center" vertical="center" wrapText="1"/>
    </xf>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8" fillId="0" borderId="5"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39" fillId="0" borderId="6"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7"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0" fontId="68" fillId="0" borderId="13" applyBorder="0">
      <alignment horizontal="center" vertical="center" wrapText="1"/>
    </xf>
    <xf numFmtId="178" fontId="24" fillId="24" borderId="2"/>
    <xf numFmtId="4" fontId="49" fillId="27" borderId="14" applyBorder="0">
      <alignment horizontal="right"/>
    </xf>
    <xf numFmtId="49" fontId="69" fillId="0" borderId="0" applyBorder="0">
      <alignment vertical="center"/>
    </xf>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3" fontId="24" fillId="0" borderId="14" applyBorder="0">
      <alignment vertical="center"/>
    </xf>
    <xf numFmtId="0" fontId="47" fillId="0" borderId="1" applyNumberFormat="0" applyFill="0" applyAlignment="0" applyProtection="0"/>
    <xf numFmtId="0" fontId="47" fillId="0" borderId="1" applyNumberFormat="0" applyFill="0" applyAlignment="0" applyProtection="0"/>
    <xf numFmtId="0" fontId="47" fillId="0" borderId="1" applyNumberFormat="0" applyFill="0" applyAlignment="0" applyProtection="0"/>
    <xf numFmtId="0" fontId="47" fillId="0" borderId="1" applyNumberFormat="0" applyFill="0" applyAlignment="0" applyProtection="0"/>
    <xf numFmtId="0" fontId="47" fillId="0" borderId="1" applyNumberFormat="0" applyFill="0" applyAlignment="0" applyProtection="0"/>
    <xf numFmtId="0" fontId="47" fillId="0" borderId="1" applyNumberFormat="0" applyFill="0" applyAlignment="0" applyProtection="0"/>
    <xf numFmtId="0" fontId="47" fillId="0" borderId="1" applyNumberFormat="0" applyFill="0" applyAlignment="0" applyProtection="0"/>
    <xf numFmtId="0" fontId="47" fillId="0" borderId="1" applyNumberFormat="0" applyFill="0" applyAlignment="0" applyProtection="0"/>
    <xf numFmtId="0" fontId="47" fillId="0" borderId="1" applyNumberFormat="0" applyFill="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21" fillId="23" borderId="4" applyNumberFormat="0" applyAlignment="0" applyProtection="0"/>
    <xf numFmtId="0" fontId="67" fillId="0" borderId="0">
      <alignment horizontal="center" vertical="top" wrapText="1"/>
    </xf>
    <xf numFmtId="0" fontId="71" fillId="0" borderId="0">
      <alignment horizontal="centerContinuous" vertical="center" wrapText="1"/>
    </xf>
    <xf numFmtId="0" fontId="70"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0" fontId="47" fillId="3" borderId="0" applyFill="0">
      <alignment wrapText="1"/>
    </xf>
    <xf numFmtId="172" fontId="72" fillId="3" borderId="14">
      <alignment wrapText="1"/>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0" fontId="46" fillId="25" borderId="0" applyNumberFormat="0" applyBorder="0" applyAlignment="0" applyProtection="0"/>
    <xf numFmtId="49" fontId="49" fillId="0" borderId="0" applyBorder="0">
      <alignment vertical="top"/>
    </xf>
    <xf numFmtId="0" fontId="73" fillId="0" borderId="0"/>
    <xf numFmtId="0" fontId="290" fillId="0" borderId="0"/>
    <xf numFmtId="0" fontId="290" fillId="0" borderId="0"/>
    <xf numFmtId="0" fontId="129" fillId="0" borderId="0"/>
    <xf numFmtId="0" fontId="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xf numFmtId="49" fontId="49" fillId="0" borderId="0" applyBorder="0">
      <alignment vertical="top"/>
    </xf>
    <xf numFmtId="0" fontId="15" fillId="0" borderId="0"/>
    <xf numFmtId="0" fontId="7" fillId="0" borderId="0"/>
    <xf numFmtId="49" fontId="49" fillId="0" borderId="0" applyBorder="0">
      <alignment vertical="top"/>
    </xf>
    <xf numFmtId="49" fontId="49" fillId="0" borderId="0" applyBorder="0">
      <alignment vertical="top"/>
    </xf>
    <xf numFmtId="49" fontId="49" fillId="0" borderId="0" applyBorder="0">
      <alignment vertical="top"/>
    </xf>
    <xf numFmtId="49" fontId="49" fillId="0" borderId="0" applyBorder="0">
      <alignment vertical="top"/>
    </xf>
    <xf numFmtId="49" fontId="49" fillId="0" borderId="0" applyBorder="0">
      <alignment vertical="top"/>
    </xf>
    <xf numFmtId="0" fontId="74" fillId="0" borderId="0" applyNumberFormat="0" applyFont="0" applyFill="0" applyBorder="0" applyAlignment="0" applyProtection="0">
      <alignment vertical="top"/>
    </xf>
    <xf numFmtId="0" fontId="129" fillId="0" borderId="0"/>
    <xf numFmtId="0" fontId="129" fillId="0" borderId="0"/>
    <xf numFmtId="0" fontId="129" fillId="0" borderId="0"/>
    <xf numFmtId="0" fontId="129" fillId="0" borderId="0"/>
    <xf numFmtId="0" fontId="129" fillId="0" borderId="0"/>
    <xf numFmtId="0" fontId="49" fillId="0" borderId="0">
      <alignment horizontal="left" vertical="center"/>
    </xf>
    <xf numFmtId="0" fontId="75" fillId="0" borderId="0"/>
    <xf numFmtId="0" fontId="129" fillId="0" borderId="0"/>
    <xf numFmtId="0" fontId="129" fillId="0" borderId="0"/>
    <xf numFmtId="0" fontId="15" fillId="0" borderId="0"/>
    <xf numFmtId="0" fontId="15" fillId="0" borderId="0"/>
    <xf numFmtId="0" fontId="9" fillId="0" borderId="0"/>
    <xf numFmtId="0" fontId="22" fillId="0" borderId="0"/>
    <xf numFmtId="0" fontId="129" fillId="0" borderId="0"/>
    <xf numFmtId="0" fontId="129" fillId="0" borderId="0"/>
    <xf numFmtId="0" fontId="129" fillId="0" borderId="0"/>
    <xf numFmtId="0" fontId="129" fillId="0" borderId="0"/>
    <xf numFmtId="0" fontId="129" fillId="0" borderId="0"/>
    <xf numFmtId="0" fontId="15" fillId="0" borderId="0"/>
    <xf numFmtId="49" fontId="49" fillId="0" borderId="0" applyBorder="0">
      <alignment vertical="top"/>
    </xf>
    <xf numFmtId="0" fontId="22" fillId="0" borderId="0"/>
    <xf numFmtId="0" fontId="133" fillId="0" borderId="0"/>
    <xf numFmtId="0" fontId="133" fillId="0" borderId="0"/>
    <xf numFmtId="0" fontId="129" fillId="0" borderId="0"/>
    <xf numFmtId="0" fontId="129" fillId="0" borderId="0"/>
    <xf numFmtId="0" fontId="15" fillId="0" borderId="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7" fillId="0" borderId="0" applyFont="0" applyFill="0" applyBorder="0" applyProtection="0">
      <alignment horizontal="center" vertical="center" wrapText="1"/>
    </xf>
    <xf numFmtId="0" fontId="7" fillId="0" borderId="0" applyNumberFormat="0" applyFont="0" applyFill="0" applyBorder="0" applyProtection="0">
      <alignment horizontal="justify" vertical="center" wrapText="1"/>
    </xf>
    <xf numFmtId="175" fontId="76" fillId="27" borderId="15" applyNumberFormat="0" applyBorder="0" applyAlignment="0">
      <alignment vertical="center"/>
      <protection locked="0"/>
    </xf>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74" fillId="26" borderId="9" applyNumberFormat="0" applyFont="0" applyAlignment="0" applyProtection="0"/>
    <xf numFmtId="0" fontId="7" fillId="26" borderId="9" applyNumberFormat="0" applyFont="0" applyAlignment="0" applyProtection="0"/>
    <xf numFmtId="0" fontId="7" fillId="26" borderId="9" applyNumberFormat="0" applyFont="0" applyAlignment="0" applyProtection="0"/>
    <xf numFmtId="0" fontId="7" fillId="26" borderId="9" applyNumberFormat="0" applyFont="0" applyAlignment="0" applyProtection="0"/>
    <xf numFmtId="0" fontId="7" fillId="26" borderId="9" applyNumberFormat="0" applyFont="0" applyAlignment="0" applyProtection="0"/>
    <xf numFmtId="0" fontId="7" fillId="26" borderId="9" applyNumberFormat="0" applyFont="0" applyAlignment="0" applyProtection="0"/>
    <xf numFmtId="0" fontId="7" fillId="26" borderId="9" applyNumberFormat="0" applyFont="0" applyAlignment="0" applyProtection="0"/>
    <xf numFmtId="0" fontId="7" fillId="26" borderId="9" applyNumberFormat="0" applyFont="0" applyAlignment="0" applyProtection="0"/>
    <xf numFmtId="0" fontId="7" fillId="26" borderId="9" applyNumberFormat="0" applyFont="0" applyAlignment="0" applyProtection="0"/>
    <xf numFmtId="0" fontId="7"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applyFont="0" applyFill="0" applyBorder="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45" fillId="0" borderId="8" applyNumberFormat="0" applyFill="0" applyAlignment="0" applyProtection="0"/>
    <xf numFmtId="0" fontId="9" fillId="0" borderId="0"/>
    <xf numFmtId="190" fontId="10" fillId="0" borderId="0">
      <alignment vertical="top"/>
    </xf>
    <xf numFmtId="175" fontId="47" fillId="0" borderId="0" applyFill="0" applyBorder="0" applyAlignment="0" applyProtection="0"/>
    <xf numFmtId="175" fontId="47" fillId="0" borderId="0" applyFill="0" applyBorder="0" applyAlignment="0" applyProtection="0"/>
    <xf numFmtId="175" fontId="47" fillId="0" borderId="0" applyFill="0" applyBorder="0" applyAlignment="0" applyProtection="0"/>
    <xf numFmtId="175" fontId="47" fillId="0" borderId="0" applyFill="0" applyBorder="0" applyAlignment="0" applyProtection="0"/>
    <xf numFmtId="175" fontId="47" fillId="0" borderId="0" applyFill="0" applyBorder="0" applyAlignment="0" applyProtection="0"/>
    <xf numFmtId="175" fontId="47" fillId="0" borderId="0" applyFill="0" applyBorder="0" applyAlignment="0" applyProtection="0"/>
    <xf numFmtId="175" fontId="47" fillId="0" borderId="0" applyFill="0" applyBorder="0" applyAlignment="0" applyProtection="0"/>
    <xf numFmtId="175" fontId="47" fillId="0" borderId="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49" fontId="47" fillId="0" borderId="0">
      <alignment horizontal="center"/>
    </xf>
    <xf numFmtId="49" fontId="47" fillId="0" borderId="0">
      <alignment horizontal="center"/>
    </xf>
    <xf numFmtId="49" fontId="47" fillId="0" borderId="0">
      <alignment horizontal="center"/>
    </xf>
    <xf numFmtId="49" fontId="47" fillId="0" borderId="0">
      <alignment horizontal="center"/>
    </xf>
    <xf numFmtId="49" fontId="47" fillId="0" borderId="0">
      <alignment horizontal="center"/>
    </xf>
    <xf numFmtId="49" fontId="47" fillId="0" borderId="0">
      <alignment horizontal="center"/>
    </xf>
    <xf numFmtId="49" fontId="47" fillId="0" borderId="0">
      <alignment horizontal="center"/>
    </xf>
    <xf numFmtId="49" fontId="47" fillId="0" borderId="0">
      <alignment horizontal="center"/>
    </xf>
    <xf numFmtId="49" fontId="47" fillId="0" borderId="0">
      <alignment horizontal="center"/>
    </xf>
    <xf numFmtId="197" fontId="7" fillId="0" borderId="0" applyFont="0" applyFill="0" applyBorder="0" applyAlignment="0" applyProtection="0"/>
    <xf numFmtId="198" fontId="7" fillId="0" borderId="0" applyFont="0" applyFill="0" applyBorder="0" applyAlignment="0" applyProtection="0"/>
    <xf numFmtId="2" fontId="47" fillId="0" borderId="0" applyFill="0" applyBorder="0" applyAlignment="0" applyProtection="0"/>
    <xf numFmtId="2" fontId="47" fillId="0" borderId="0" applyFill="0" applyBorder="0" applyAlignment="0" applyProtection="0"/>
    <xf numFmtId="2" fontId="47" fillId="0" borderId="0" applyFill="0" applyBorder="0" applyAlignment="0" applyProtection="0"/>
    <xf numFmtId="2" fontId="47" fillId="0" borderId="0" applyFill="0" applyBorder="0" applyAlignment="0" applyProtection="0"/>
    <xf numFmtId="2" fontId="47" fillId="0" borderId="0" applyFill="0" applyBorder="0" applyAlignment="0" applyProtection="0"/>
    <xf numFmtId="2" fontId="47" fillId="0" borderId="0" applyFill="0" applyBorder="0" applyAlignment="0" applyProtection="0"/>
    <xf numFmtId="2" fontId="47" fillId="0" borderId="0" applyFill="0" applyBorder="0" applyAlignment="0" applyProtection="0"/>
    <xf numFmtId="2" fontId="47" fillId="0" borderId="0" applyFill="0" applyBorder="0" applyAlignment="0" applyProtection="0"/>
    <xf numFmtId="2" fontId="47" fillId="0" borderId="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29" fillId="0" borderId="0" applyFont="0" applyFill="0" applyBorder="0" applyAlignment="0" applyProtection="0"/>
    <xf numFmtId="165" fontId="15"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205" fontId="22" fillId="0" borderId="0" applyFont="0" applyFill="0" applyBorder="0" applyAlignment="0" applyProtection="0"/>
    <xf numFmtId="4" fontId="49" fillId="3" borderId="0" applyBorder="0">
      <alignment horizontal="right"/>
    </xf>
    <xf numFmtId="4" fontId="49" fillId="3" borderId="0" applyBorder="0">
      <alignment horizontal="right"/>
    </xf>
    <xf numFmtId="4" fontId="49" fillId="3" borderId="0" applyBorder="0">
      <alignment horizontal="right"/>
    </xf>
    <xf numFmtId="4" fontId="49" fillId="45" borderId="16" applyBorder="0">
      <alignment horizontal="right"/>
    </xf>
    <xf numFmtId="4" fontId="49" fillId="3" borderId="14" applyFont="0" applyBorder="0">
      <alignment horizontal="right"/>
    </xf>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170" fontId="7" fillId="0" borderId="14" applyFont="0" applyFill="0" applyBorder="0" applyProtection="0">
      <alignment horizontal="center" vertical="center"/>
    </xf>
    <xf numFmtId="186" fontId="13" fillId="0" borderId="0">
      <protection locked="0"/>
    </xf>
    <xf numFmtId="0" fontId="18" fillId="0" borderId="14" applyBorder="0">
      <alignment horizontal="center" vertical="center" wrapText="1"/>
    </xf>
    <xf numFmtId="0" fontId="129" fillId="26" borderId="9" applyNumberFormat="0" applyFont="0" applyAlignment="0" applyProtection="0"/>
    <xf numFmtId="0" fontId="46" fillId="25" borderId="0" applyNumberFormat="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177" fontId="25" fillId="0" borderId="0" applyFont="0" applyFill="0" applyBorder="0" applyAlignment="0" applyProtection="0"/>
    <xf numFmtId="0" fontId="6" fillId="0" borderId="0"/>
    <xf numFmtId="0" fontId="6" fillId="0" borderId="0"/>
    <xf numFmtId="0" fontId="7" fillId="0" borderId="0"/>
    <xf numFmtId="0" fontId="22" fillId="26" borderId="9" applyNumberFormat="0" applyFont="0" applyAlignment="0" applyProtection="0"/>
    <xf numFmtId="165" fontId="7" fillId="0" borderId="0" applyFont="0" applyFill="0" applyBorder="0" applyAlignment="0" applyProtection="0"/>
    <xf numFmtId="0" fontId="7" fillId="26" borderId="9" applyNumberFormat="0" applyFont="0" applyAlignment="0" applyProtection="0"/>
    <xf numFmtId="0" fontId="322" fillId="0" borderId="0"/>
    <xf numFmtId="4" fontId="7" fillId="0" borderId="0">
      <alignment vertical="center"/>
    </xf>
    <xf numFmtId="4" fontId="7" fillId="0" borderId="0">
      <alignment vertical="center"/>
    </xf>
    <xf numFmtId="4" fontId="7" fillId="0" borderId="0">
      <alignment vertical="center"/>
    </xf>
    <xf numFmtId="0" fontId="15" fillId="0" borderId="0"/>
    <xf numFmtId="0" fontId="15" fillId="0" borderId="0"/>
    <xf numFmtId="0" fontId="9" fillId="0" borderId="0"/>
    <xf numFmtId="0" fontId="18" fillId="0" borderId="0"/>
    <xf numFmtId="0" fontId="7" fillId="0" borderId="0"/>
    <xf numFmtId="0" fontId="394" fillId="0" borderId="0"/>
    <xf numFmtId="197" fontId="7" fillId="0" borderId="0" applyFont="0" applyFill="0" applyBorder="0" applyAlignment="0" applyProtection="0"/>
    <xf numFmtId="0" fontId="56" fillId="0" borderId="0"/>
    <xf numFmtId="0" fontId="22" fillId="0" borderId="0" applyFont="0" applyFill="0" applyBorder="0" applyAlignment="0" applyProtection="0"/>
    <xf numFmtId="0" fontId="22" fillId="0" borderId="0" applyFont="0" applyFill="0" applyBorder="0" applyAlignment="0" applyProtection="0"/>
    <xf numFmtId="0" fontId="7" fillId="0" borderId="0"/>
    <xf numFmtId="0" fontId="18" fillId="0" borderId="0"/>
    <xf numFmtId="0" fontId="12" fillId="0" borderId="0"/>
    <xf numFmtId="0" fontId="12" fillId="0" borderId="0"/>
    <xf numFmtId="0" fontId="18" fillId="0" borderId="0"/>
    <xf numFmtId="0" fontId="396" fillId="0" borderId="0"/>
    <xf numFmtId="0" fontId="7"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9" fillId="0" borderId="0"/>
    <xf numFmtId="0" fontId="12" fillId="0" borderId="0"/>
    <xf numFmtId="0" fontId="12" fillId="0" borderId="0"/>
    <xf numFmtId="0" fontId="9"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9"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2" fillId="0" borderId="0"/>
    <xf numFmtId="0" fontId="12" fillId="0" borderId="0"/>
    <xf numFmtId="0" fontId="9" fillId="0" borderId="0"/>
    <xf numFmtId="0" fontId="12" fillId="0" borderId="0"/>
    <xf numFmtId="0" fontId="12" fillId="0" borderId="0"/>
    <xf numFmtId="0" fontId="9" fillId="0" borderId="0"/>
    <xf numFmtId="0" fontId="12" fillId="0" borderId="0"/>
    <xf numFmtId="0" fontId="12" fillId="0" borderId="0"/>
    <xf numFmtId="0" fontId="12" fillId="0" borderId="0"/>
    <xf numFmtId="0" fontId="9" fillId="0" borderId="0"/>
    <xf numFmtId="0" fontId="18" fillId="0" borderId="0"/>
    <xf numFmtId="0" fontId="9" fillId="0" borderId="0"/>
    <xf numFmtId="0" fontId="18" fillId="0" borderId="0"/>
    <xf numFmtId="0" fontId="9" fillId="0" borderId="0"/>
    <xf numFmtId="0" fontId="18" fillId="0" borderId="0"/>
    <xf numFmtId="0" fontId="9" fillId="0" borderId="0"/>
    <xf numFmtId="0" fontId="9" fillId="0" borderId="0"/>
    <xf numFmtId="0" fontId="9" fillId="0" borderId="0"/>
    <xf numFmtId="0" fontId="9" fillId="0" borderId="0"/>
    <xf numFmtId="0" fontId="18" fillId="0" borderId="0"/>
    <xf numFmtId="0" fontId="9" fillId="0" borderId="0"/>
    <xf numFmtId="0" fontId="12" fillId="0" borderId="0"/>
    <xf numFmtId="0" fontId="9" fillId="0" borderId="0"/>
    <xf numFmtId="0" fontId="1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 fillId="0" borderId="0"/>
    <xf numFmtId="0" fontId="7" fillId="0" borderId="0"/>
    <xf numFmtId="4" fontId="8" fillId="0" borderId="0">
      <alignment vertical="center"/>
    </xf>
    <xf numFmtId="0" fontId="12" fillId="0" borderId="0"/>
    <xf numFmtId="0" fontId="396" fillId="0" borderId="0"/>
    <xf numFmtId="4" fontId="8" fillId="0" borderId="0">
      <alignment vertical="center"/>
    </xf>
    <xf numFmtId="0" fontId="18" fillId="0" borderId="0"/>
    <xf numFmtId="0" fontId="18" fillId="0" borderId="0"/>
    <xf numFmtId="0" fontId="396" fillId="0" borderId="0"/>
    <xf numFmtId="0" fontId="396" fillId="0" borderId="0"/>
    <xf numFmtId="0" fontId="7" fillId="0" borderId="0"/>
    <xf numFmtId="0" fontId="9" fillId="0" borderId="0"/>
    <xf numFmtId="0" fontId="18" fillId="0" borderId="0"/>
    <xf numFmtId="0" fontId="396" fillId="0" borderId="0"/>
    <xf numFmtId="0" fontId="7"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18" fillId="0" borderId="0"/>
    <xf numFmtId="0" fontId="18" fillId="0" borderId="0"/>
    <xf numFmtId="0" fontId="18" fillId="0" borderId="0"/>
    <xf numFmtId="0" fontId="9" fillId="0" borderId="0"/>
    <xf numFmtId="0" fontId="9" fillId="0" borderId="0"/>
    <xf numFmtId="0" fontId="9" fillId="0" borderId="0"/>
    <xf numFmtId="0" fontId="9" fillId="0" borderId="0"/>
    <xf numFmtId="0" fontId="9" fillId="0" borderId="0"/>
    <xf numFmtId="0" fontId="18" fillId="0" borderId="0"/>
    <xf numFmtId="0" fontId="18" fillId="0" borderId="0"/>
    <xf numFmtId="0" fontId="9" fillId="0" borderId="0"/>
    <xf numFmtId="0" fontId="18" fillId="0" borderId="0"/>
    <xf numFmtId="0" fontId="18" fillId="0" borderId="0"/>
    <xf numFmtId="0" fontId="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 fillId="0" borderId="0"/>
    <xf numFmtId="0" fontId="9" fillId="0" borderId="0"/>
    <xf numFmtId="0" fontId="9" fillId="0" borderId="0"/>
    <xf numFmtId="0" fontId="22" fillId="0" borderId="0" applyFont="0" applyFill="0" applyBorder="0" applyAlignment="0" applyProtection="0"/>
    <xf numFmtId="0" fontId="22" fillId="0" borderId="0" applyFont="0" applyFill="0" applyBorder="0" applyAlignment="0" applyProtection="0"/>
    <xf numFmtId="0" fontId="22" fillId="0" borderId="0"/>
    <xf numFmtId="0" fontId="22" fillId="0" borderId="0"/>
    <xf numFmtId="222" fontId="7" fillId="0" borderId="0">
      <alignment horizontal="center"/>
    </xf>
    <xf numFmtId="0" fontId="7" fillId="0" borderId="14">
      <alignment horizontal="left" wrapText="1"/>
    </xf>
    <xf numFmtId="0" fontId="7" fillId="0" borderId="14">
      <alignment horizontal="left" wrapText="1"/>
    </xf>
    <xf numFmtId="0" fontId="7" fillId="0" borderId="14">
      <alignment horizontal="left" wrapText="1"/>
    </xf>
    <xf numFmtId="0" fontId="7" fillId="0" borderId="14">
      <alignment horizontal="left" wrapText="1"/>
    </xf>
    <xf numFmtId="0" fontId="396" fillId="0" borderId="0"/>
    <xf numFmtId="223" fontId="397" fillId="0" borderId="0" applyFont="0" applyFill="0" applyBorder="0" applyAlignment="0" applyProtection="0"/>
    <xf numFmtId="191" fontId="397" fillId="0" borderId="0" applyFont="0" applyFill="0" applyBorder="0" applyAlignment="0" applyProtection="0"/>
    <xf numFmtId="224" fontId="7" fillId="0" borderId="0" applyFont="0" applyFill="0" applyBorder="0" applyAlignment="0" applyProtection="0"/>
    <xf numFmtId="224" fontId="7" fillId="0" borderId="0" applyFont="0" applyFill="0" applyBorder="0" applyAlignment="0" applyProtection="0"/>
    <xf numFmtId="224" fontId="7" fillId="0" borderId="0" applyFont="0" applyFill="0" applyBorder="0" applyAlignment="0" applyProtection="0"/>
    <xf numFmtId="224" fontId="7" fillId="0" borderId="0" applyFont="0" applyFill="0" applyBorder="0" applyAlignment="0" applyProtection="0"/>
    <xf numFmtId="224" fontId="7" fillId="0" borderId="0" applyFont="0" applyFill="0" applyBorder="0" applyAlignment="0" applyProtection="0"/>
    <xf numFmtId="224" fontId="7" fillId="0" borderId="0" applyFont="0" applyFill="0" applyBorder="0" applyAlignment="0" applyProtection="0"/>
    <xf numFmtId="225" fontId="7" fillId="0" borderId="0" applyFont="0" applyFill="0" applyBorder="0" applyAlignment="0" applyProtection="0"/>
    <xf numFmtId="226" fontId="7" fillId="0" borderId="0" applyFont="0" applyFill="0" applyBorder="0" applyAlignment="0" applyProtection="0"/>
    <xf numFmtId="225" fontId="7" fillId="0" borderId="0" applyFont="0" applyFill="0" applyBorder="0" applyAlignment="0" applyProtection="0"/>
    <xf numFmtId="226" fontId="7" fillId="0" borderId="0" applyFont="0" applyFill="0" applyBorder="0" applyAlignment="0" applyProtection="0"/>
    <xf numFmtId="224" fontId="22" fillId="0" borderId="0" applyFont="0" applyFill="0" applyBorder="0" applyAlignment="0" applyProtection="0"/>
    <xf numFmtId="224" fontId="22" fillId="0" borderId="0" applyFont="0" applyFill="0" applyBorder="0" applyAlignment="0" applyProtection="0"/>
    <xf numFmtId="225" fontId="7" fillId="0" borderId="0" applyFont="0" applyFill="0" applyBorder="0" applyAlignment="0" applyProtection="0"/>
    <xf numFmtId="226" fontId="7" fillId="0" borderId="0" applyFont="0" applyFill="0" applyBorder="0" applyAlignment="0" applyProtection="0"/>
    <xf numFmtId="223" fontId="7" fillId="0" borderId="0" applyFont="0" applyFill="0" applyBorder="0" applyAlignment="0" applyProtection="0"/>
    <xf numFmtId="191" fontId="7" fillId="0" borderId="0" applyFont="0" applyFill="0" applyBorder="0" applyAlignment="0" applyProtection="0"/>
    <xf numFmtId="227" fontId="7" fillId="0" borderId="0" applyFont="0" applyFill="0" applyBorder="0" applyAlignment="0" applyProtection="0"/>
    <xf numFmtId="228" fontId="7" fillId="0" borderId="0" applyFont="0" applyFill="0" applyBorder="0" applyAlignment="0" applyProtection="0"/>
    <xf numFmtId="229" fontId="397" fillId="0" borderId="0" applyFont="0" applyFill="0" applyBorder="0" applyAlignment="0" applyProtection="0"/>
    <xf numFmtId="192" fontId="397" fillId="0" borderId="0" applyFont="0" applyFill="0" applyBorder="0" applyAlignment="0" applyProtection="0"/>
    <xf numFmtId="230" fontId="7" fillId="0" borderId="0" applyFont="0" applyFill="0" applyBorder="0" applyAlignment="0" applyProtection="0"/>
    <xf numFmtId="230" fontId="7" fillId="0" borderId="0" applyFont="0" applyFill="0" applyBorder="0" applyAlignment="0" applyProtection="0"/>
    <xf numFmtId="230" fontId="7" fillId="0" borderId="0" applyFont="0" applyFill="0" applyBorder="0" applyAlignment="0" applyProtection="0"/>
    <xf numFmtId="230" fontId="7" fillId="0" borderId="0" applyFont="0" applyFill="0" applyBorder="0" applyAlignment="0" applyProtection="0"/>
    <xf numFmtId="230" fontId="7" fillId="0" borderId="0" applyFont="0" applyFill="0" applyBorder="0" applyAlignment="0" applyProtection="0"/>
    <xf numFmtId="230" fontId="7" fillId="0" borderId="0" applyFont="0" applyFill="0" applyBorder="0" applyAlignment="0" applyProtection="0"/>
    <xf numFmtId="227" fontId="7" fillId="0" borderId="0" applyFont="0" applyFill="0" applyBorder="0" applyAlignment="0" applyProtection="0"/>
    <xf numFmtId="228" fontId="7" fillId="0" borderId="0" applyFont="0" applyFill="0" applyBorder="0" applyAlignment="0" applyProtection="0"/>
    <xf numFmtId="227" fontId="7" fillId="0" borderId="0" applyFont="0" applyFill="0" applyBorder="0" applyAlignment="0" applyProtection="0"/>
    <xf numFmtId="228" fontId="7" fillId="0" borderId="0" applyFont="0" applyFill="0" applyBorder="0" applyAlignment="0" applyProtection="0"/>
    <xf numFmtId="230" fontId="22" fillId="0" borderId="0" applyFont="0" applyFill="0" applyBorder="0" applyAlignment="0" applyProtection="0"/>
    <xf numFmtId="230" fontId="22" fillId="0" borderId="0" applyFont="0" applyFill="0" applyBorder="0" applyAlignment="0" applyProtection="0"/>
    <xf numFmtId="227" fontId="7" fillId="0" borderId="0" applyFont="0" applyFill="0" applyBorder="0" applyAlignment="0" applyProtection="0"/>
    <xf numFmtId="228" fontId="7" fillId="0" borderId="0" applyFont="0" applyFill="0" applyBorder="0" applyAlignment="0" applyProtection="0"/>
    <xf numFmtId="229" fontId="7" fillId="0" borderId="0" applyFont="0" applyFill="0" applyBorder="0" applyAlignment="0" applyProtection="0"/>
    <xf numFmtId="192" fontId="7" fillId="0" borderId="0" applyFont="0" applyFill="0" applyBorder="0" applyAlignment="0" applyProtection="0"/>
    <xf numFmtId="231" fontId="398" fillId="0" borderId="0"/>
    <xf numFmtId="232" fontId="398" fillId="0" borderId="0"/>
    <xf numFmtId="233" fontId="398" fillId="0" borderId="0"/>
    <xf numFmtId="231" fontId="398" fillId="0" borderId="66"/>
    <xf numFmtId="232" fontId="398" fillId="0" borderId="66"/>
    <xf numFmtId="233" fontId="398" fillId="0" borderId="66"/>
    <xf numFmtId="234" fontId="398" fillId="0" borderId="0"/>
    <xf numFmtId="235" fontId="398" fillId="0" borderId="0"/>
    <xf numFmtId="236" fontId="398" fillId="0" borderId="0"/>
    <xf numFmtId="234" fontId="398" fillId="0" borderId="66"/>
    <xf numFmtId="235" fontId="398" fillId="0" borderId="66"/>
    <xf numFmtId="236" fontId="398" fillId="0" borderId="66"/>
    <xf numFmtId="237" fontId="398" fillId="0" borderId="0">
      <alignment horizontal="right"/>
      <protection locked="0"/>
    </xf>
    <xf numFmtId="238" fontId="398" fillId="0" borderId="0">
      <alignment horizontal="right"/>
      <protection locked="0"/>
    </xf>
    <xf numFmtId="239" fontId="398" fillId="0" borderId="0"/>
    <xf numFmtId="240" fontId="398" fillId="0" borderId="0"/>
    <xf numFmtId="241" fontId="398" fillId="0" borderId="0"/>
    <xf numFmtId="239" fontId="398" fillId="0" borderId="66"/>
    <xf numFmtId="240" fontId="398" fillId="0" borderId="66"/>
    <xf numFmtId="241" fontId="398" fillId="0" borderId="66"/>
    <xf numFmtId="3" fontId="399" fillId="3" borderId="205" applyFill="0">
      <alignment vertical="center"/>
    </xf>
    <xf numFmtId="242" fontId="400" fillId="0" borderId="0"/>
    <xf numFmtId="242" fontId="400" fillId="0" borderId="0"/>
    <xf numFmtId="242" fontId="400" fillId="0" borderId="0"/>
    <xf numFmtId="242" fontId="400" fillId="0" borderId="0"/>
    <xf numFmtId="242" fontId="400" fillId="0" borderId="0"/>
    <xf numFmtId="242" fontId="400" fillId="0" borderId="0"/>
    <xf numFmtId="242" fontId="400" fillId="0" borderId="0"/>
    <xf numFmtId="242" fontId="400" fillId="0" borderId="0"/>
    <xf numFmtId="165" fontId="22" fillId="0" borderId="0" applyFont="0" applyFill="0" applyBorder="0" applyAlignment="0" applyProtection="0"/>
    <xf numFmtId="164" fontId="22" fillId="0" borderId="0" applyFont="0" applyFill="0" applyBorder="0" applyAlignment="0" applyProtection="0"/>
    <xf numFmtId="231" fontId="398" fillId="27" borderId="206">
      <protection locked="0"/>
    </xf>
    <xf numFmtId="232" fontId="398" fillId="27" borderId="206">
      <protection locked="0"/>
    </xf>
    <xf numFmtId="233" fontId="398" fillId="27" borderId="206">
      <protection locked="0"/>
    </xf>
    <xf numFmtId="243" fontId="398" fillId="27" borderId="206">
      <protection locked="0"/>
    </xf>
    <xf numFmtId="244" fontId="398" fillId="27" borderId="206">
      <protection locked="0"/>
    </xf>
    <xf numFmtId="245" fontId="398" fillId="27" borderId="206">
      <protection locked="0"/>
    </xf>
    <xf numFmtId="237" fontId="398" fillId="45" borderId="206">
      <alignment horizontal="right"/>
      <protection locked="0"/>
    </xf>
    <xf numFmtId="238" fontId="398" fillId="45" borderId="206">
      <alignment horizontal="right"/>
      <protection locked="0"/>
    </xf>
    <xf numFmtId="0" fontId="398" fillId="28" borderId="206">
      <alignment horizontal="left"/>
      <protection locked="0"/>
    </xf>
    <xf numFmtId="49" fontId="398" fillId="3" borderId="206">
      <alignment horizontal="left" vertical="top" wrapText="1"/>
      <protection locked="0"/>
    </xf>
    <xf numFmtId="239" fontId="398" fillId="27" borderId="206">
      <protection locked="0"/>
    </xf>
    <xf numFmtId="240" fontId="398" fillId="27" borderId="206">
      <protection locked="0"/>
    </xf>
    <xf numFmtId="241" fontId="398" fillId="27" borderId="206">
      <protection locked="0"/>
    </xf>
    <xf numFmtId="49" fontId="398" fillId="3" borderId="206">
      <alignment horizontal="left"/>
      <protection locked="0"/>
    </xf>
    <xf numFmtId="246" fontId="398" fillId="27" borderId="206">
      <alignment horizontal="left" indent="1"/>
      <protection locked="0"/>
    </xf>
    <xf numFmtId="0" fontId="401" fillId="3" borderId="207" applyFill="0">
      <alignment horizontal="center" vertical="center" wrapText="1"/>
    </xf>
    <xf numFmtId="0" fontId="179" fillId="0" borderId="0"/>
    <xf numFmtId="0" fontId="402" fillId="0" borderId="0" applyNumberFormat="0" applyFill="0" applyBorder="0" applyAlignment="0" applyProtection="0">
      <alignment vertical="top"/>
      <protection locked="0"/>
    </xf>
    <xf numFmtId="0" fontId="51" fillId="0" borderId="0"/>
    <xf numFmtId="38" fontId="403" fillId="2" borderId="0" applyNumberFormat="0" applyBorder="0" applyAlignment="0" applyProtection="0"/>
    <xf numFmtId="1" fontId="401" fillId="0" borderId="0" applyNumberFormat="0" applyAlignment="0">
      <alignment vertical="top"/>
    </xf>
    <xf numFmtId="0" fontId="404" fillId="42" borderId="0">
      <alignment vertical="center"/>
    </xf>
    <xf numFmtId="0" fontId="405" fillId="69" borderId="0"/>
    <xf numFmtId="0" fontId="175" fillId="70" borderId="0"/>
    <xf numFmtId="0" fontId="293" fillId="0" borderId="0"/>
    <xf numFmtId="0" fontId="406" fillId="0" borderId="0" applyNumberFormat="0" applyFill="0" applyBorder="0" applyAlignment="0" applyProtection="0">
      <alignment vertical="top"/>
      <protection locked="0"/>
    </xf>
    <xf numFmtId="0" fontId="397" fillId="0" borderId="0"/>
    <xf numFmtId="0" fontId="407" fillId="0" borderId="0">
      <alignment vertical="center" wrapText="1"/>
    </xf>
    <xf numFmtId="0" fontId="18" fillId="0" borderId="206" applyNumberFormat="0">
      <alignment vertical="center" wrapText="1"/>
    </xf>
    <xf numFmtId="10" fontId="403" fillId="43" borderId="14" applyNumberFormat="0" applyBorder="0" applyAlignment="0" applyProtection="0"/>
    <xf numFmtId="0" fontId="398" fillId="0" borderId="0"/>
    <xf numFmtId="0" fontId="408" fillId="0" borderId="0"/>
    <xf numFmtId="0" fontId="409" fillId="0" borderId="0">
      <alignment horizontal="center"/>
    </xf>
    <xf numFmtId="0" fontId="22" fillId="0" borderId="0" applyFont="0" applyFill="0" applyBorder="0" applyAlignment="0" applyProtection="0"/>
    <xf numFmtId="230" fontId="22" fillId="0" borderId="0" applyFont="0" applyFill="0" applyBorder="0" applyAlignment="0" applyProtection="0"/>
    <xf numFmtId="0" fontId="401" fillId="3" borderId="205" applyNumberFormat="0" applyFill="0">
      <alignment horizontal="center" vertical="center" wrapText="1"/>
    </xf>
    <xf numFmtId="0" fontId="410" fillId="0" borderId="0"/>
    <xf numFmtId="0" fontId="22" fillId="0" borderId="0"/>
    <xf numFmtId="247" fontId="7" fillId="0" borderId="0" applyFont="0" applyFill="0" applyBorder="0" applyAlignment="0" applyProtection="0"/>
    <xf numFmtId="248" fontId="7" fillId="0" borderId="0" applyFont="0" applyFill="0" applyBorder="0" applyAlignment="0" applyProtection="0"/>
    <xf numFmtId="249" fontId="397" fillId="0" borderId="0" applyFont="0" applyFill="0" applyBorder="0" applyAlignment="0" applyProtection="0"/>
    <xf numFmtId="195" fontId="39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47" fontId="7" fillId="0" borderId="0" applyFont="0" applyFill="0" applyBorder="0" applyAlignment="0" applyProtection="0"/>
    <xf numFmtId="248" fontId="7" fillId="0" borderId="0" applyFont="0" applyFill="0" applyBorder="0" applyAlignment="0" applyProtection="0"/>
    <xf numFmtId="247" fontId="7" fillId="0" borderId="0" applyFont="0" applyFill="0" applyBorder="0" applyAlignment="0" applyProtection="0"/>
    <xf numFmtId="248" fontId="7" fillId="0" borderId="0" applyFont="0" applyFill="0" applyBorder="0" applyAlignment="0" applyProtection="0"/>
    <xf numFmtId="247" fontId="7" fillId="0" borderId="0" applyFont="0" applyFill="0" applyBorder="0" applyAlignment="0" applyProtection="0"/>
    <xf numFmtId="250" fontId="22" fillId="0" borderId="0" applyFont="0" applyFill="0" applyBorder="0" applyAlignment="0" applyProtection="0"/>
    <xf numFmtId="247" fontId="7" fillId="0" borderId="0" applyFont="0" applyFill="0" applyBorder="0" applyAlignment="0" applyProtection="0"/>
    <xf numFmtId="248" fontId="7" fillId="0" borderId="0" applyFont="0" applyFill="0" applyBorder="0" applyAlignment="0" applyProtection="0"/>
    <xf numFmtId="249" fontId="7" fillId="0" borderId="0" applyFont="0" applyFill="0" applyBorder="0" applyAlignment="0" applyProtection="0"/>
    <xf numFmtId="195" fontId="7" fillId="0" borderId="0" applyFont="0" applyFill="0" applyBorder="0" applyAlignment="0" applyProtection="0"/>
    <xf numFmtId="251" fontId="7" fillId="0" borderId="0" applyFont="0" applyFill="0" applyBorder="0" applyAlignment="0" applyProtection="0"/>
    <xf numFmtId="252" fontId="7" fillId="0" borderId="0" applyFont="0" applyFill="0" applyBorder="0" applyAlignment="0" applyProtection="0"/>
    <xf numFmtId="253" fontId="397" fillId="0" borderId="0" applyFont="0" applyFill="0" applyBorder="0" applyAlignment="0" applyProtection="0"/>
    <xf numFmtId="196" fontId="39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51" fontId="7" fillId="0" borderId="0" applyFont="0" applyFill="0" applyBorder="0" applyAlignment="0" applyProtection="0"/>
    <xf numFmtId="252" fontId="7" fillId="0" borderId="0" applyFont="0" applyFill="0" applyBorder="0" applyAlignment="0" applyProtection="0"/>
    <xf numFmtId="251" fontId="7" fillId="0" borderId="0" applyFont="0" applyFill="0" applyBorder="0" applyAlignment="0" applyProtection="0"/>
    <xf numFmtId="252" fontId="7" fillId="0" borderId="0" applyFont="0" applyFill="0" applyBorder="0" applyAlignment="0" applyProtection="0"/>
    <xf numFmtId="251" fontId="7" fillId="0" borderId="0" applyFont="0" applyFill="0" applyBorder="0" applyAlignment="0" applyProtection="0"/>
    <xf numFmtId="205" fontId="22" fillId="0" borderId="0" applyFont="0" applyFill="0" applyBorder="0" applyAlignment="0" applyProtection="0"/>
    <xf numFmtId="251" fontId="7" fillId="0" borderId="0" applyFont="0" applyFill="0" applyBorder="0" applyAlignment="0" applyProtection="0"/>
    <xf numFmtId="252" fontId="7" fillId="0" borderId="0" applyFont="0" applyFill="0" applyBorder="0" applyAlignment="0" applyProtection="0"/>
    <xf numFmtId="253" fontId="7" fillId="0" borderId="0" applyFont="0" applyFill="0" applyBorder="0" applyAlignment="0" applyProtection="0"/>
    <xf numFmtId="196" fontId="7" fillId="0" borderId="0" applyFont="0" applyFill="0" applyBorder="0" applyAlignment="0" applyProtection="0"/>
    <xf numFmtId="0" fontId="22" fillId="0" borderId="0"/>
    <xf numFmtId="3" fontId="299" fillId="0" borderId="0">
      <alignment vertical="top"/>
    </xf>
    <xf numFmtId="10" fontId="22" fillId="0" borderId="0" applyFont="0" applyFill="0" applyBorder="0" applyAlignment="0" applyProtection="0"/>
    <xf numFmtId="3" fontId="411" fillId="0" borderId="206" applyNumberFormat="0" applyAlignment="0">
      <alignment vertical="top"/>
    </xf>
    <xf numFmtId="0" fontId="56" fillId="71" borderId="0">
      <alignment horizontal="left" vertical="top"/>
    </xf>
    <xf numFmtId="0" fontId="7" fillId="71" borderId="0">
      <alignment horizontal="left" vertical="top"/>
    </xf>
    <xf numFmtId="0" fontId="412" fillId="71" borderId="0">
      <alignment horizontal="left" vertical="top"/>
    </xf>
    <xf numFmtId="0" fontId="412" fillId="71" borderId="0">
      <alignment horizontal="left" vertical="top"/>
    </xf>
    <xf numFmtId="0" fontId="412" fillId="22" borderId="0">
      <alignment horizontal="left" vertical="center"/>
    </xf>
    <xf numFmtId="0" fontId="413" fillId="71" borderId="0">
      <alignment horizontal="center" vertical="center"/>
    </xf>
    <xf numFmtId="0" fontId="412" fillId="22" borderId="0">
      <alignment horizontal="center" vertical="center"/>
    </xf>
    <xf numFmtId="0" fontId="412" fillId="71" borderId="0">
      <alignment horizontal="center" vertical="center"/>
    </xf>
    <xf numFmtId="0" fontId="412" fillId="22" borderId="0">
      <alignment horizontal="left" vertical="center"/>
    </xf>
    <xf numFmtId="0" fontId="56" fillId="71" borderId="0">
      <alignment horizontal="center" vertical="center"/>
    </xf>
    <xf numFmtId="0" fontId="412" fillId="71" borderId="0">
      <alignment horizontal="center" vertical="center"/>
    </xf>
    <xf numFmtId="0" fontId="412" fillId="71" borderId="0">
      <alignment horizontal="left" vertical="center"/>
    </xf>
    <xf numFmtId="0" fontId="152" fillId="71" borderId="0">
      <alignment horizontal="center" vertical="top"/>
    </xf>
    <xf numFmtId="0" fontId="413" fillId="71" borderId="0">
      <alignment horizontal="center" vertical="center"/>
    </xf>
    <xf numFmtId="0" fontId="413" fillId="46" borderId="0">
      <alignment horizontal="center"/>
    </xf>
    <xf numFmtId="0" fontId="412" fillId="71" borderId="0">
      <alignment horizontal="left" vertical="center"/>
    </xf>
    <xf numFmtId="0" fontId="56" fillId="71" borderId="0">
      <alignment horizontal="center" vertical="center"/>
    </xf>
    <xf numFmtId="0" fontId="413" fillId="71" borderId="0">
      <alignment horizontal="center" vertical="center"/>
    </xf>
    <xf numFmtId="0" fontId="412" fillId="71" borderId="0">
      <alignment horizontal="center" vertical="center"/>
    </xf>
    <xf numFmtId="0" fontId="56" fillId="71" borderId="0">
      <alignment horizontal="center" vertical="center"/>
    </xf>
    <xf numFmtId="0" fontId="7" fillId="71" borderId="0">
      <alignment horizontal="center" vertical="center"/>
    </xf>
    <xf numFmtId="0" fontId="412" fillId="71" borderId="0">
      <alignment horizontal="left" vertical="top"/>
    </xf>
    <xf numFmtId="0" fontId="7" fillId="71" borderId="0">
      <alignment horizontal="center" vertical="top"/>
    </xf>
    <xf numFmtId="0" fontId="414" fillId="71" borderId="0">
      <alignment horizontal="center" vertical="center"/>
    </xf>
    <xf numFmtId="0" fontId="414" fillId="71" borderId="0">
      <alignment horizontal="center" vertical="center"/>
    </xf>
    <xf numFmtId="0" fontId="414" fillId="71" borderId="0">
      <alignment horizontal="center" vertical="center"/>
    </xf>
    <xf numFmtId="0" fontId="56" fillId="71" borderId="0">
      <alignment horizontal="center" vertical="center"/>
    </xf>
    <xf numFmtId="0" fontId="415" fillId="71" borderId="0">
      <alignment horizontal="left" vertical="top"/>
    </xf>
    <xf numFmtId="0" fontId="51" fillId="0" borderId="29"/>
    <xf numFmtId="0" fontId="416" fillId="2" borderId="14">
      <protection locked="0"/>
    </xf>
    <xf numFmtId="0" fontId="417" fillId="0" borderId="0">
      <alignment horizontal="center"/>
    </xf>
    <xf numFmtId="254" fontId="417" fillId="0" borderId="0">
      <alignment horizontal="center"/>
    </xf>
    <xf numFmtId="255" fontId="7" fillId="0" borderId="0">
      <alignment horizontal="left"/>
    </xf>
    <xf numFmtId="3" fontId="399" fillId="3" borderId="205" applyFill="0">
      <alignment vertical="center"/>
    </xf>
    <xf numFmtId="0" fontId="399" fillId="0" borderId="205">
      <alignment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407" fillId="0" borderId="0">
      <alignment vertical="center" wrapText="1"/>
    </xf>
    <xf numFmtId="0" fontId="18" fillId="0" borderId="206" applyNumberFormat="0">
      <alignment vertical="center" wrapText="1"/>
    </xf>
    <xf numFmtId="0" fontId="401" fillId="3" borderId="207" applyFill="0">
      <alignment horizontal="center" vertical="center" wrapText="1"/>
    </xf>
    <xf numFmtId="3" fontId="401" fillId="3" borderId="208" applyFill="0">
      <alignment wrapText="1"/>
    </xf>
    <xf numFmtId="0" fontId="418" fillId="0" borderId="209">
      <alignment horizontal="centerContinuous" vertical="center" wrapText="1"/>
    </xf>
    <xf numFmtId="0" fontId="401" fillId="3" borderId="205" applyNumberFormat="0" applyFill="0">
      <alignment horizontal="center" vertical="center" wrapText="1"/>
    </xf>
    <xf numFmtId="0" fontId="56" fillId="0" borderId="0"/>
    <xf numFmtId="3" fontId="122" fillId="0" borderId="43" applyFont="0" applyBorder="0">
      <alignment horizontal="right"/>
      <protection locked="0"/>
    </xf>
    <xf numFmtId="219" fontId="7" fillId="0" borderId="0" applyFont="0" applyFill="0" applyBorder="0" applyAlignment="0" applyProtection="0"/>
    <xf numFmtId="0" fontId="7" fillId="0" borderId="0"/>
    <xf numFmtId="4" fontId="7" fillId="0" borderId="0">
      <alignment vertical="center"/>
    </xf>
    <xf numFmtId="4" fontId="7" fillId="0" borderId="0">
      <alignment vertical="center"/>
    </xf>
    <xf numFmtId="0" fontId="22" fillId="0" borderId="0"/>
    <xf numFmtId="0" fontId="22" fillId="0" borderId="0"/>
    <xf numFmtId="0" fontId="2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0" borderId="0" applyNumberFormat="0" applyBorder="0" applyAlignment="0" applyProtection="0"/>
    <xf numFmtId="0" fontId="15" fillId="13" borderId="0" applyNumberFormat="0" applyBorder="0" applyAlignment="0" applyProtection="0"/>
    <xf numFmtId="0" fontId="16" fillId="14"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21" borderId="0" applyNumberFormat="0" applyBorder="0" applyAlignment="0" applyProtection="0"/>
    <xf numFmtId="0" fontId="44" fillId="9" borderId="3" applyNumberFormat="0" applyAlignment="0" applyProtection="0"/>
    <xf numFmtId="0" fontId="50" fillId="22" borderId="10" applyNumberFormat="0" applyAlignment="0" applyProtection="0"/>
    <xf numFmtId="0" fontId="20" fillId="22" borderId="3" applyNumberFormat="0" applyAlignment="0" applyProtection="0"/>
    <xf numFmtId="4" fontId="289" fillId="0" borderId="0" applyNumberFormat="0" applyFill="0" applyBorder="0" applyAlignment="0" applyProtection="0">
      <alignment vertical="center"/>
    </xf>
    <xf numFmtId="0" fontId="38" fillId="0" borderId="5" applyNumberFormat="0" applyFill="0" applyAlignment="0" applyProtection="0"/>
    <xf numFmtId="0" fontId="39" fillId="0" borderId="6" applyNumberFormat="0" applyFill="0" applyAlignment="0" applyProtection="0"/>
    <xf numFmtId="0" fontId="40" fillId="0" borderId="7" applyNumberFormat="0" applyFill="0" applyAlignment="0" applyProtection="0"/>
    <xf numFmtId="0" fontId="40" fillId="0" borderId="0" applyNumberFormat="0" applyFill="0" applyBorder="0" applyAlignment="0" applyProtection="0"/>
    <xf numFmtId="0" fontId="61" fillId="0" borderId="12" applyNumberFormat="0" applyFill="0" applyAlignment="0" applyProtection="0"/>
    <xf numFmtId="0" fontId="21" fillId="23" borderId="4" applyNumberFormat="0" applyAlignment="0" applyProtection="0"/>
    <xf numFmtId="0" fontId="60" fillId="0" borderId="0" applyNumberFormat="0" applyFill="0" applyBorder="0" applyAlignment="0" applyProtection="0"/>
    <xf numFmtId="0" fontId="46" fillId="25" borderId="0" applyNumberFormat="0" applyBorder="0" applyAlignment="0" applyProtection="0"/>
    <xf numFmtId="0" fontId="322" fillId="0" borderId="0"/>
    <xf numFmtId="0" fontId="7" fillId="0" borderId="0"/>
    <xf numFmtId="0" fontId="7" fillId="0" borderId="0"/>
    <xf numFmtId="0" fontId="7" fillId="0" borderId="0"/>
    <xf numFmtId="0" fontId="4" fillId="0" borderId="0"/>
    <xf numFmtId="0" fontId="4" fillId="0" borderId="0"/>
    <xf numFmtId="0" fontId="7" fillId="0" borderId="0"/>
    <xf numFmtId="0" fontId="4" fillId="0" borderId="0"/>
    <xf numFmtId="0" fontId="7" fillId="0" borderId="0"/>
    <xf numFmtId="0" fontId="419" fillId="0" borderId="0"/>
    <xf numFmtId="0" fontId="7" fillId="0" borderId="0"/>
    <xf numFmtId="0" fontId="7" fillId="0" borderId="0"/>
    <xf numFmtId="0" fontId="7" fillId="0" borderId="0"/>
    <xf numFmtId="0" fontId="333" fillId="0" borderId="0"/>
    <xf numFmtId="0" fontId="7" fillId="0" borderId="0"/>
    <xf numFmtId="0" fontId="7" fillId="0" borderId="0"/>
    <xf numFmtId="0" fontId="19" fillId="5" borderId="0" applyNumberFormat="0" applyBorder="0" applyAlignment="0" applyProtection="0"/>
    <xf numFmtId="0" fontId="29" fillId="0" borderId="0" applyNumberFormat="0" applyFill="0" applyBorder="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22" fillId="26" borderId="9" applyNumberFormat="0" applyFont="0" applyAlignment="0" applyProtection="0"/>
    <xf numFmtId="0" fontId="45" fillId="0" borderId="8" applyNumberFormat="0" applyFill="0" applyAlignment="0" applyProtection="0"/>
    <xf numFmtId="0" fontId="62" fillId="0" borderId="0" applyNumberForma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15" fillId="0" borderId="0" applyFont="0" applyFill="0" applyBorder="0" applyAlignment="0" applyProtection="0"/>
    <xf numFmtId="165" fontId="7" fillId="0" borderId="0" applyFont="0" applyFill="0" applyBorder="0" applyAlignment="0" applyProtection="0"/>
    <xf numFmtId="0" fontId="36" fillId="6" borderId="0" applyNumberFormat="0" applyBorder="0" applyAlignment="0" applyProtection="0"/>
    <xf numFmtId="0" fontId="61" fillId="0" borderId="12" applyNumberFormat="0" applyFill="0" applyAlignment="0" applyProtection="0"/>
    <xf numFmtId="0" fontId="22" fillId="0" borderId="0"/>
    <xf numFmtId="0" fontId="22" fillId="0" borderId="0"/>
    <xf numFmtId="0" fontId="22" fillId="0" borderId="0"/>
    <xf numFmtId="0" fontId="19" fillId="5" borderId="0" applyNumberFormat="0" applyBorder="0" applyAlignment="0" applyProtection="0"/>
    <xf numFmtId="0" fontId="22" fillId="0" borderId="0"/>
    <xf numFmtId="0" fontId="29" fillId="0" borderId="0" applyNumberFormat="0" applyFill="0" applyBorder="0" applyAlignment="0" applyProtection="0"/>
    <xf numFmtId="0" fontId="36" fillId="6" borderId="0" applyNumberFormat="0" applyBorder="0" applyAlignment="0" applyProtection="0"/>
    <xf numFmtId="0" fontId="60" fillId="0" borderId="0" applyNumberFormat="0" applyFill="0" applyBorder="0" applyAlignment="0" applyProtection="0"/>
    <xf numFmtId="0" fontId="61" fillId="0" borderId="12" applyNumberFormat="0" applyFill="0" applyAlignment="0" applyProtection="0"/>
    <xf numFmtId="0" fontId="7" fillId="26" borderId="9" applyNumberFormat="0" applyFont="0" applyAlignment="0" applyProtection="0"/>
    <xf numFmtId="0" fontId="44" fillId="9" borderId="3" applyNumberFormat="0" applyAlignment="0" applyProtection="0"/>
    <xf numFmtId="0" fontId="7" fillId="26" borderId="9" applyNumberFormat="0" applyFont="0" applyAlignment="0" applyProtection="0"/>
    <xf numFmtId="0" fontId="50" fillId="22" borderId="10" applyNumberFormat="0" applyAlignment="0" applyProtection="0"/>
    <xf numFmtId="0" fontId="46" fillId="25" borderId="0" applyNumberFormat="0" applyBorder="0" applyAlignment="0" applyProtection="0"/>
    <xf numFmtId="165" fontId="15" fillId="0" borderId="0" applyFont="0" applyFill="0" applyBorder="0" applyAlignment="0" applyProtection="0"/>
    <xf numFmtId="0" fontId="19" fillId="5" borderId="0" applyNumberFormat="0" applyBorder="0" applyAlignment="0" applyProtection="0"/>
    <xf numFmtId="0" fontId="15" fillId="0" borderId="0"/>
    <xf numFmtId="0" fontId="16" fillId="17" borderId="0" applyNumberFormat="0" applyBorder="0" applyAlignment="0" applyProtection="0"/>
    <xf numFmtId="165" fontId="7" fillId="0" borderId="0" applyFont="0" applyFill="0" applyBorder="0" applyAlignment="0" applyProtection="0"/>
    <xf numFmtId="0" fontId="36" fillId="6" borderId="0" applyNumberFormat="0" applyBorder="0" applyAlignment="0" applyProtection="0"/>
    <xf numFmtId="0" fontId="7" fillId="0" borderId="0"/>
    <xf numFmtId="0" fontId="45" fillId="0" borderId="8" applyNumberFormat="0" applyFill="0" applyAlignment="0" applyProtection="0"/>
    <xf numFmtId="0" fontId="60" fillId="0" borderId="0" applyNumberFormat="0" applyFill="0" applyBorder="0" applyAlignment="0" applyProtection="0"/>
    <xf numFmtId="0" fontId="21" fillId="23" borderId="4" applyNumberFormat="0" applyAlignment="0" applyProtection="0"/>
    <xf numFmtId="0" fontId="29" fillId="0" borderId="0" applyNumberFormat="0" applyFill="0" applyBorder="0" applyAlignment="0" applyProtection="0"/>
    <xf numFmtId="0" fontId="62" fillId="0" borderId="0" applyNumberFormat="0" applyFill="0" applyBorder="0" applyAlignment="0" applyProtection="0"/>
    <xf numFmtId="0" fontId="7" fillId="26" borderId="9" applyNumberFormat="0" applyFont="0" applyAlignment="0" applyProtection="0"/>
    <xf numFmtId="0" fontId="38" fillId="0" borderId="5" applyNumberFormat="0" applyFill="0" applyAlignment="0" applyProtection="0"/>
    <xf numFmtId="0" fontId="420" fillId="0" borderId="0" applyNumberFormat="0" applyFill="0" applyBorder="0" applyAlignment="0" applyProtection="0"/>
    <xf numFmtId="0" fontId="15" fillId="0" borderId="0"/>
    <xf numFmtId="9" fontId="7" fillId="0" borderId="0" applyFont="0" applyFill="0" applyBorder="0" applyAlignment="0" applyProtection="0"/>
    <xf numFmtId="165" fontId="15" fillId="0" borderId="0" applyFont="0" applyFill="0" applyBorder="0" applyAlignment="0" applyProtection="0"/>
    <xf numFmtId="0" fontId="15" fillId="4" borderId="0" applyNumberFormat="0" applyBorder="0" applyAlignment="0" applyProtection="0"/>
    <xf numFmtId="0" fontId="15" fillId="0" borderId="0"/>
    <xf numFmtId="0" fontId="16" fillId="17" borderId="0" applyNumberFormat="0" applyBorder="0" applyAlignment="0" applyProtection="0"/>
    <xf numFmtId="165" fontId="7" fillId="0" borderId="0" applyFont="0" applyFill="0" applyBorder="0" applyAlignment="0" applyProtection="0"/>
    <xf numFmtId="165" fontId="15" fillId="0" borderId="0" applyFont="0" applyFill="0" applyBorder="0" applyAlignment="0" applyProtection="0"/>
    <xf numFmtId="0" fontId="421" fillId="17" borderId="0" applyNumberFormat="0" applyBorder="0" applyAlignment="0" applyProtection="0"/>
    <xf numFmtId="0" fontId="45" fillId="0" borderId="8" applyNumberFormat="0" applyFill="0" applyAlignment="0" applyProtection="0"/>
    <xf numFmtId="0" fontId="21" fillId="23" borderId="4" applyNumberFormat="0" applyAlignment="0" applyProtection="0"/>
    <xf numFmtId="0" fontId="62" fillId="0" borderId="0" applyNumberFormat="0" applyFill="0" applyBorder="0" applyAlignment="0" applyProtection="0"/>
    <xf numFmtId="0" fontId="420" fillId="0" borderId="0" applyNumberFormat="0" applyFill="0" applyBorder="0" applyAlignment="0" applyProtection="0"/>
    <xf numFmtId="0" fontId="15" fillId="0" borderId="0"/>
    <xf numFmtId="0" fontId="423" fillId="0" borderId="0"/>
    <xf numFmtId="0" fontId="3" fillId="0" borderId="0"/>
    <xf numFmtId="0" fontId="322" fillId="0" borderId="0"/>
    <xf numFmtId="0" fontId="22" fillId="26" borderId="234" applyNumberFormat="0" applyFont="0" applyAlignment="0" applyProtection="0"/>
    <xf numFmtId="0" fontId="22" fillId="26" borderId="227" applyNumberFormat="0" applyFont="0" applyAlignment="0" applyProtection="0"/>
    <xf numFmtId="0" fontId="20" fillId="22" borderId="219" applyNumberFormat="0" applyAlignment="0" applyProtection="0"/>
    <xf numFmtId="4" fontId="52" fillId="39" borderId="237" applyNumberFormat="0" applyProtection="0">
      <alignment horizontal="left" vertical="center" indent="1"/>
    </xf>
    <xf numFmtId="0" fontId="44" fillId="9" borderId="219" applyNumberFormat="0" applyAlignment="0" applyProtection="0"/>
    <xf numFmtId="0" fontId="49" fillId="26" borderId="220" applyNumberFormat="0" applyFont="0" applyAlignment="0" applyProtection="0"/>
    <xf numFmtId="0" fontId="50" fillId="22" borderId="221" applyNumberFormat="0" applyAlignment="0" applyProtection="0"/>
    <xf numFmtId="4" fontId="52" fillId="27" borderId="221" applyNumberFormat="0" applyProtection="0">
      <alignment vertical="center"/>
    </xf>
    <xf numFmtId="4" fontId="53" fillId="27" borderId="221" applyNumberFormat="0" applyProtection="0">
      <alignment vertical="center"/>
    </xf>
    <xf numFmtId="4" fontId="52" fillId="27" borderId="221" applyNumberFormat="0" applyProtection="0">
      <alignment horizontal="left" vertical="center" indent="1"/>
    </xf>
    <xf numFmtId="4" fontId="52" fillId="27" borderId="221" applyNumberFormat="0" applyProtection="0">
      <alignment horizontal="left" vertical="center" indent="1"/>
    </xf>
    <xf numFmtId="0" fontId="22" fillId="28" borderId="221" applyNumberFormat="0" applyProtection="0">
      <alignment horizontal="left" vertical="center" indent="1"/>
    </xf>
    <xf numFmtId="4" fontId="52" fillId="29" borderId="221" applyNumberFormat="0" applyProtection="0">
      <alignment horizontal="right" vertical="center"/>
    </xf>
    <xf numFmtId="4" fontId="52" fillId="30" borderId="221" applyNumberFormat="0" applyProtection="0">
      <alignment horizontal="right" vertical="center"/>
    </xf>
    <xf numFmtId="4" fontId="52" fillId="31" borderId="221" applyNumberFormat="0" applyProtection="0">
      <alignment horizontal="right" vertical="center"/>
    </xf>
    <xf numFmtId="4" fontId="52" fillId="32" borderId="221" applyNumberFormat="0" applyProtection="0">
      <alignment horizontal="right" vertical="center"/>
    </xf>
    <xf numFmtId="4" fontId="52" fillId="33" borderId="221" applyNumberFormat="0" applyProtection="0">
      <alignment horizontal="right" vertical="center"/>
    </xf>
    <xf numFmtId="4" fontId="52" fillId="34" borderId="221" applyNumberFormat="0" applyProtection="0">
      <alignment horizontal="right" vertical="center"/>
    </xf>
    <xf numFmtId="4" fontId="52" fillId="35" borderId="221" applyNumberFormat="0" applyProtection="0">
      <alignment horizontal="right" vertical="center"/>
    </xf>
    <xf numFmtId="4" fontId="52" fillId="36" borderId="221" applyNumberFormat="0" applyProtection="0">
      <alignment horizontal="right" vertical="center"/>
    </xf>
    <xf numFmtId="4" fontId="52" fillId="37" borderId="221" applyNumberFormat="0" applyProtection="0">
      <alignment horizontal="right" vertical="center"/>
    </xf>
    <xf numFmtId="4" fontId="54" fillId="38" borderId="221" applyNumberFormat="0" applyProtection="0">
      <alignment horizontal="left" vertical="center" indent="1"/>
    </xf>
    <xf numFmtId="4" fontId="52" fillId="39" borderId="222" applyNumberFormat="0" applyProtection="0">
      <alignment horizontal="left" vertical="center" indent="1"/>
    </xf>
    <xf numFmtId="0" fontId="22" fillId="28" borderId="221" applyNumberFormat="0" applyProtection="0">
      <alignment horizontal="left" vertical="center" indent="1"/>
    </xf>
    <xf numFmtId="4" fontId="56" fillId="39" borderId="221" applyNumberFormat="0" applyProtection="0">
      <alignment horizontal="left" vertical="center" indent="1"/>
    </xf>
    <xf numFmtId="4" fontId="56" fillId="41" borderId="221" applyNumberFormat="0" applyProtection="0">
      <alignment horizontal="left" vertical="center" indent="1"/>
    </xf>
    <xf numFmtId="0" fontId="22" fillId="41" borderId="221" applyNumberFormat="0" applyProtection="0">
      <alignment horizontal="left" vertical="center" indent="1"/>
    </xf>
    <xf numFmtId="0" fontId="22" fillId="41" borderId="221" applyNumberFormat="0" applyProtection="0">
      <alignment horizontal="left" vertical="center" indent="1"/>
    </xf>
    <xf numFmtId="0" fontId="22" fillId="42" borderId="221" applyNumberFormat="0" applyProtection="0">
      <alignment horizontal="left" vertical="center" indent="1"/>
    </xf>
    <xf numFmtId="0" fontId="22" fillId="42" borderId="221" applyNumberFormat="0" applyProtection="0">
      <alignment horizontal="left" vertical="center" indent="1"/>
    </xf>
    <xf numFmtId="0" fontId="22" fillId="2" borderId="221" applyNumberFormat="0" applyProtection="0">
      <alignment horizontal="left" vertical="center" indent="1"/>
    </xf>
    <xf numFmtId="0" fontId="22" fillId="2" borderId="221" applyNumberFormat="0" applyProtection="0">
      <alignment horizontal="left" vertical="center" indent="1"/>
    </xf>
    <xf numFmtId="0" fontId="22" fillId="28" borderId="221" applyNumberFormat="0" applyProtection="0">
      <alignment horizontal="left" vertical="center" indent="1"/>
    </xf>
    <xf numFmtId="0" fontId="22" fillId="28" borderId="221" applyNumberFormat="0" applyProtection="0">
      <alignment horizontal="left" vertical="center" indent="1"/>
    </xf>
    <xf numFmtId="4" fontId="52" fillId="43" borderId="221" applyNumberFormat="0" applyProtection="0">
      <alignment vertical="center"/>
    </xf>
    <xf numFmtId="4" fontId="53" fillId="43" borderId="221" applyNumberFormat="0" applyProtection="0">
      <alignment vertical="center"/>
    </xf>
    <xf numFmtId="4" fontId="52" fillId="43" borderId="221" applyNumberFormat="0" applyProtection="0">
      <alignment horizontal="left" vertical="center" indent="1"/>
    </xf>
    <xf numFmtId="4" fontId="52" fillId="43" borderId="221" applyNumberFormat="0" applyProtection="0">
      <alignment horizontal="left" vertical="center" indent="1"/>
    </xf>
    <xf numFmtId="4" fontId="52" fillId="39" borderId="221" applyNumberFormat="0" applyProtection="0">
      <alignment horizontal="right" vertical="center"/>
    </xf>
    <xf numFmtId="4" fontId="53" fillId="39" borderId="221" applyNumberFormat="0" applyProtection="0">
      <alignment horizontal="right" vertical="center"/>
    </xf>
    <xf numFmtId="0" fontId="22" fillId="28" borderId="221" applyNumberFormat="0" applyProtection="0">
      <alignment horizontal="left" vertical="center" indent="1"/>
    </xf>
    <xf numFmtId="0" fontId="22" fillId="28" borderId="221" applyNumberFormat="0" applyProtection="0">
      <alignment horizontal="left" vertical="center" indent="1"/>
    </xf>
    <xf numFmtId="4" fontId="58" fillId="39" borderId="221" applyNumberFormat="0" applyProtection="0">
      <alignment horizontal="right" vertical="center"/>
    </xf>
    <xf numFmtId="0" fontId="61" fillId="0" borderId="223" applyNumberFormat="0" applyFill="0" applyAlignment="0" applyProtection="0"/>
    <xf numFmtId="4" fontId="52" fillId="39" borderId="230" applyNumberFormat="0" applyProtection="0">
      <alignment horizontal="left" vertical="center" indent="1"/>
    </xf>
    <xf numFmtId="0" fontId="44" fillId="9" borderId="219" applyNumberFormat="0" applyAlignment="0" applyProtection="0"/>
    <xf numFmtId="0" fontId="44" fillId="9" borderId="219" applyNumberFormat="0" applyAlignment="0" applyProtection="0"/>
    <xf numFmtId="0" fontId="44" fillId="9" borderId="219" applyNumberFormat="0" applyAlignment="0" applyProtection="0"/>
    <xf numFmtId="0" fontId="44" fillId="9" borderId="219" applyNumberFormat="0" applyAlignment="0" applyProtection="0"/>
    <xf numFmtId="0" fontId="44" fillId="9" borderId="219" applyNumberFormat="0" applyAlignment="0" applyProtection="0"/>
    <xf numFmtId="0" fontId="44" fillId="9" borderId="219" applyNumberFormat="0" applyAlignment="0" applyProtection="0"/>
    <xf numFmtId="0" fontId="44" fillId="9" borderId="219" applyNumberFormat="0" applyAlignment="0" applyProtection="0"/>
    <xf numFmtId="0" fontId="44" fillId="9" borderId="219" applyNumberFormat="0" applyAlignment="0" applyProtection="0"/>
    <xf numFmtId="0" fontId="44" fillId="9" borderId="219" applyNumberFormat="0" applyAlignment="0" applyProtection="0"/>
    <xf numFmtId="0" fontId="44" fillId="9" borderId="219" applyNumberFormat="0" applyAlignment="0" applyProtection="0"/>
    <xf numFmtId="0" fontId="44" fillId="9" borderId="219" applyNumberFormat="0" applyAlignment="0" applyProtection="0"/>
    <xf numFmtId="0" fontId="44" fillId="9" borderId="219" applyNumberFormat="0" applyAlignment="0" applyProtection="0"/>
    <xf numFmtId="0" fontId="44" fillId="9" borderId="219" applyNumberFormat="0" applyAlignment="0" applyProtection="0"/>
    <xf numFmtId="0" fontId="44" fillId="9" borderId="219" applyNumberFormat="0" applyAlignment="0" applyProtection="0"/>
    <xf numFmtId="0" fontId="44" fillId="9" borderId="219" applyNumberFormat="0" applyAlignment="0" applyProtection="0"/>
    <xf numFmtId="0" fontId="44" fillId="9" borderId="219" applyNumberFormat="0" applyAlignment="0" applyProtection="0"/>
    <xf numFmtId="0" fontId="44" fillId="9" borderId="219" applyNumberFormat="0" applyAlignment="0" applyProtection="0"/>
    <xf numFmtId="0" fontId="50" fillId="22" borderId="221" applyNumberFormat="0" applyAlignment="0" applyProtection="0"/>
    <xf numFmtId="0" fontId="50" fillId="22" borderId="221" applyNumberFormat="0" applyAlignment="0" applyProtection="0"/>
    <xf numFmtId="0" fontId="50" fillId="22" borderId="221" applyNumberFormat="0" applyAlignment="0" applyProtection="0"/>
    <xf numFmtId="0" fontId="50" fillId="22" borderId="221" applyNumberFormat="0" applyAlignment="0" applyProtection="0"/>
    <xf numFmtId="0" fontId="50" fillId="22" borderId="221" applyNumberFormat="0" applyAlignment="0" applyProtection="0"/>
    <xf numFmtId="0" fontId="50" fillId="22" borderId="221" applyNumberFormat="0" applyAlignment="0" applyProtection="0"/>
    <xf numFmtId="0" fontId="50" fillId="22" borderId="221" applyNumberFormat="0" applyAlignment="0" applyProtection="0"/>
    <xf numFmtId="0" fontId="50" fillId="22" borderId="221" applyNumberFormat="0" applyAlignment="0" applyProtection="0"/>
    <xf numFmtId="0" fontId="50" fillId="22" borderId="221" applyNumberFormat="0" applyAlignment="0" applyProtection="0"/>
    <xf numFmtId="0" fontId="50" fillId="22" borderId="221" applyNumberFormat="0" applyAlignment="0" applyProtection="0"/>
    <xf numFmtId="0" fontId="50" fillId="22" borderId="221" applyNumberFormat="0" applyAlignment="0" applyProtection="0"/>
    <xf numFmtId="0" fontId="50" fillId="22" borderId="221" applyNumberFormat="0" applyAlignment="0" applyProtection="0"/>
    <xf numFmtId="0" fontId="50" fillId="22" borderId="221" applyNumberFormat="0" applyAlignment="0" applyProtection="0"/>
    <xf numFmtId="0" fontId="50" fillId="22" borderId="221" applyNumberFormat="0" applyAlignment="0" applyProtection="0"/>
    <xf numFmtId="0" fontId="50" fillId="22" borderId="221" applyNumberFormat="0" applyAlignment="0" applyProtection="0"/>
    <xf numFmtId="0" fontId="50" fillId="22" borderId="221" applyNumberFormat="0" applyAlignment="0" applyProtection="0"/>
    <xf numFmtId="0" fontId="50" fillId="22" borderId="221" applyNumberFormat="0" applyAlignment="0" applyProtection="0"/>
    <xf numFmtId="0" fontId="20" fillId="22" borderId="219" applyNumberFormat="0" applyAlignment="0" applyProtection="0"/>
    <xf numFmtId="0" fontId="20" fillId="22" borderId="219" applyNumberFormat="0" applyAlignment="0" applyProtection="0"/>
    <xf numFmtId="0" fontId="20" fillId="22" borderId="219" applyNumberFormat="0" applyAlignment="0" applyProtection="0"/>
    <xf numFmtId="0" fontId="20" fillId="22" borderId="219" applyNumberFormat="0" applyAlignment="0" applyProtection="0"/>
    <xf numFmtId="0" fontId="20" fillId="22" borderId="219" applyNumberFormat="0" applyAlignment="0" applyProtection="0"/>
    <xf numFmtId="0" fontId="20" fillId="22" borderId="219" applyNumberFormat="0" applyAlignment="0" applyProtection="0"/>
    <xf numFmtId="0" fontId="20" fillId="22" borderId="219" applyNumberFormat="0" applyAlignment="0" applyProtection="0"/>
    <xf numFmtId="0" fontId="20" fillId="22" borderId="219" applyNumberFormat="0" applyAlignment="0" applyProtection="0"/>
    <xf numFmtId="0" fontId="20" fillId="22" borderId="219" applyNumberFormat="0" applyAlignment="0" applyProtection="0"/>
    <xf numFmtId="0" fontId="20" fillId="22" borderId="219" applyNumberFormat="0" applyAlignment="0" applyProtection="0"/>
    <xf numFmtId="0" fontId="20" fillId="22" borderId="219" applyNumberFormat="0" applyAlignment="0" applyProtection="0"/>
    <xf numFmtId="0" fontId="20" fillId="22" borderId="219" applyNumberFormat="0" applyAlignment="0" applyProtection="0"/>
    <xf numFmtId="0" fontId="20" fillId="22" borderId="219" applyNumberFormat="0" applyAlignment="0" applyProtection="0"/>
    <xf numFmtId="0" fontId="20" fillId="22" borderId="219" applyNumberFormat="0" applyAlignment="0" applyProtection="0"/>
    <xf numFmtId="0" fontId="20" fillId="22" borderId="219" applyNumberFormat="0" applyAlignment="0" applyProtection="0"/>
    <xf numFmtId="0" fontId="20" fillId="22" borderId="219" applyNumberFormat="0" applyAlignment="0" applyProtection="0"/>
    <xf numFmtId="0" fontId="20" fillId="22" borderId="219" applyNumberFormat="0" applyAlignment="0" applyProtection="0"/>
    <xf numFmtId="0" fontId="44" fillId="9" borderId="226" applyNumberFormat="0" applyAlignment="0" applyProtection="0"/>
    <xf numFmtId="4" fontId="49" fillId="27" borderId="210" applyBorder="0">
      <alignment horizontal="right"/>
    </xf>
    <xf numFmtId="0" fontId="61" fillId="0" borderId="223" applyNumberFormat="0" applyFill="0" applyAlignment="0" applyProtection="0"/>
    <xf numFmtId="0" fontId="61" fillId="0" borderId="223" applyNumberFormat="0" applyFill="0" applyAlignment="0" applyProtection="0"/>
    <xf numFmtId="0" fontId="61" fillId="0" borderId="223" applyNumberFormat="0" applyFill="0" applyAlignment="0" applyProtection="0"/>
    <xf numFmtId="0" fontId="61" fillId="0" borderId="223" applyNumberFormat="0" applyFill="0" applyAlignment="0" applyProtection="0"/>
    <xf numFmtId="0" fontId="61" fillId="0" borderId="223" applyNumberFormat="0" applyFill="0" applyAlignment="0" applyProtection="0"/>
    <xf numFmtId="0" fontId="61" fillId="0" borderId="223" applyNumberFormat="0" applyFill="0" applyAlignment="0" applyProtection="0"/>
    <xf numFmtId="0" fontId="61" fillId="0" borderId="223" applyNumberFormat="0" applyFill="0" applyAlignment="0" applyProtection="0"/>
    <xf numFmtId="0" fontId="61" fillId="0" borderId="223" applyNumberFormat="0" applyFill="0" applyAlignment="0" applyProtection="0"/>
    <xf numFmtId="0" fontId="61" fillId="0" borderId="223" applyNumberFormat="0" applyFill="0" applyAlignment="0" applyProtection="0"/>
    <xf numFmtId="0" fontId="61" fillId="0" borderId="223" applyNumberFormat="0" applyFill="0" applyAlignment="0" applyProtection="0"/>
    <xf numFmtId="0" fontId="61" fillId="0" borderId="223" applyNumberFormat="0" applyFill="0" applyAlignment="0" applyProtection="0"/>
    <xf numFmtId="0" fontId="61" fillId="0" borderId="223" applyNumberFormat="0" applyFill="0" applyAlignment="0" applyProtection="0"/>
    <xf numFmtId="0" fontId="61" fillId="0" borderId="223" applyNumberFormat="0" applyFill="0" applyAlignment="0" applyProtection="0"/>
    <xf numFmtId="0" fontId="61" fillId="0" borderId="223" applyNumberFormat="0" applyFill="0" applyAlignment="0" applyProtection="0"/>
    <xf numFmtId="0" fontId="61" fillId="0" borderId="223" applyNumberFormat="0" applyFill="0" applyAlignment="0" applyProtection="0"/>
    <xf numFmtId="0" fontId="61" fillId="0" borderId="223" applyNumberFormat="0" applyFill="0" applyAlignment="0" applyProtection="0"/>
    <xf numFmtId="0" fontId="61" fillId="0" borderId="223" applyNumberFormat="0" applyFill="0" applyAlignment="0" applyProtection="0"/>
    <xf numFmtId="3" fontId="24" fillId="0" borderId="210" applyBorder="0">
      <alignment vertical="center"/>
    </xf>
    <xf numFmtId="172" fontId="72" fillId="3" borderId="210">
      <alignment wrapText="1"/>
    </xf>
    <xf numFmtId="0" fontId="2" fillId="0" borderId="0"/>
    <xf numFmtId="0" fontId="2" fillId="0" borderId="0"/>
    <xf numFmtId="0" fontId="22" fillId="26" borderId="220" applyNumberFormat="0" applyFont="0" applyAlignment="0" applyProtection="0"/>
    <xf numFmtId="0" fontId="7" fillId="26" borderId="220" applyNumberFormat="0" applyFont="0" applyAlignment="0" applyProtection="0"/>
    <xf numFmtId="0" fontId="7" fillId="26" borderId="220" applyNumberFormat="0" applyFont="0" applyAlignment="0" applyProtection="0"/>
    <xf numFmtId="0" fontId="7" fillId="26" borderId="220" applyNumberFormat="0" applyFont="0" applyAlignment="0" applyProtection="0"/>
    <xf numFmtId="0" fontId="7" fillId="26" borderId="220" applyNumberFormat="0" applyFont="0" applyAlignment="0" applyProtection="0"/>
    <xf numFmtId="0" fontId="7" fillId="26" borderId="220" applyNumberFormat="0" applyFont="0" applyAlignment="0" applyProtection="0"/>
    <xf numFmtId="0" fontId="7"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4" fontId="49" fillId="3" borderId="210" applyFont="0" applyBorder="0">
      <alignment horizontal="right"/>
    </xf>
    <xf numFmtId="170" fontId="7" fillId="0" borderId="210" applyFont="0" applyFill="0" applyBorder="0" applyProtection="0">
      <alignment horizontal="center" vertical="center"/>
    </xf>
    <xf numFmtId="0" fontId="18" fillId="0" borderId="210" applyBorder="0">
      <alignment horizontal="center" vertical="center" wrapText="1"/>
    </xf>
    <xf numFmtId="0" fontId="7" fillId="26" borderId="220" applyNumberFormat="0" applyFont="0" applyAlignment="0" applyProtection="0"/>
    <xf numFmtId="0" fontId="2" fillId="0" borderId="0"/>
    <xf numFmtId="0" fontId="2" fillId="0" borderId="0"/>
    <xf numFmtId="0" fontId="22" fillId="26" borderId="220" applyNumberFormat="0" applyFont="0" applyAlignment="0" applyProtection="0"/>
    <xf numFmtId="0" fontId="7" fillId="26" borderId="220" applyNumberFormat="0" applyFont="0" applyAlignment="0" applyProtection="0"/>
    <xf numFmtId="239" fontId="398" fillId="0" borderId="225"/>
    <xf numFmtId="234" fontId="398" fillId="0" borderId="225"/>
    <xf numFmtId="231" fontId="398" fillId="0" borderId="225"/>
    <xf numFmtId="231" fontId="398" fillId="0" borderId="232"/>
    <xf numFmtId="234" fontId="398" fillId="0" borderId="232"/>
    <xf numFmtId="239" fontId="398" fillId="0" borderId="232"/>
    <xf numFmtId="0" fontId="7" fillId="0" borderId="210">
      <alignment horizontal="left" wrapText="1"/>
    </xf>
    <xf numFmtId="0" fontId="7" fillId="0" borderId="210">
      <alignment horizontal="left" wrapText="1"/>
    </xf>
    <xf numFmtId="0" fontId="7" fillId="0" borderId="210">
      <alignment horizontal="left" wrapText="1"/>
    </xf>
    <xf numFmtId="0" fontId="7" fillId="0" borderId="210">
      <alignment horizontal="left" wrapText="1"/>
    </xf>
    <xf numFmtId="0" fontId="44" fillId="9" borderId="233" applyNumberFormat="0" applyAlignment="0" applyProtection="0"/>
    <xf numFmtId="231" fontId="398" fillId="0" borderId="218"/>
    <xf numFmtId="232" fontId="398" fillId="0" borderId="218"/>
    <xf numFmtId="233" fontId="398" fillId="0" borderId="218"/>
    <xf numFmtId="234" fontId="398" fillId="0" borderId="218"/>
    <xf numFmtId="235" fontId="398" fillId="0" borderId="218"/>
    <xf numFmtId="236" fontId="398" fillId="0" borderId="218"/>
    <xf numFmtId="239" fontId="398" fillId="0" borderId="218"/>
    <xf numFmtId="240" fontId="398" fillId="0" borderId="218"/>
    <xf numFmtId="241" fontId="398" fillId="0" borderId="218"/>
    <xf numFmtId="10" fontId="403" fillId="43" borderId="210" applyNumberFormat="0" applyBorder="0" applyAlignment="0" applyProtection="0"/>
    <xf numFmtId="0" fontId="416" fillId="2" borderId="210">
      <protection locked="0"/>
    </xf>
    <xf numFmtId="0" fontId="44" fillId="9" borderId="219" applyNumberFormat="0" applyAlignment="0" applyProtection="0"/>
    <xf numFmtId="0" fontId="50" fillId="22" borderId="221" applyNumberFormat="0" applyAlignment="0" applyProtection="0"/>
    <xf numFmtId="0" fontId="20" fillId="22" borderId="219" applyNumberFormat="0" applyAlignment="0" applyProtection="0"/>
    <xf numFmtId="0" fontId="61" fillId="0" borderId="223" applyNumberFormat="0" applyFill="0" applyAlignment="0" applyProtection="0"/>
    <xf numFmtId="0" fontId="2" fillId="0" borderId="0"/>
    <xf numFmtId="0" fontId="2" fillId="0" borderId="0"/>
    <xf numFmtId="0" fontId="2" fillId="0" borderId="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22" fillId="26" borderId="220" applyNumberFormat="0" applyFont="0" applyAlignment="0" applyProtection="0"/>
    <xf numFmtId="0" fontId="61" fillId="0" borderId="223" applyNumberFormat="0" applyFill="0" applyAlignment="0" applyProtection="0"/>
    <xf numFmtId="0" fontId="61" fillId="0" borderId="223" applyNumberFormat="0" applyFill="0" applyAlignment="0" applyProtection="0"/>
    <xf numFmtId="0" fontId="7" fillId="26" borderId="220" applyNumberFormat="0" applyFont="0" applyAlignment="0" applyProtection="0"/>
    <xf numFmtId="0" fontId="44" fillId="9" borderId="219" applyNumberFormat="0" applyAlignment="0" applyProtection="0"/>
    <xf numFmtId="0" fontId="7" fillId="26" borderId="220" applyNumberFormat="0" applyFont="0" applyAlignment="0" applyProtection="0"/>
    <xf numFmtId="0" fontId="50" fillId="22" borderId="221" applyNumberFormat="0" applyAlignment="0" applyProtection="0"/>
    <xf numFmtId="0" fontId="7" fillId="26" borderId="220" applyNumberFormat="0" applyFont="0" applyAlignment="0" applyProtection="0"/>
    <xf numFmtId="0" fontId="190" fillId="0" borderId="0"/>
    <xf numFmtId="0" fontId="2" fillId="0" borderId="0"/>
    <xf numFmtId="0" fontId="7" fillId="0" borderId="0"/>
    <xf numFmtId="0" fontId="7" fillId="0" borderId="224">
      <alignment horizontal="left" wrapText="1"/>
    </xf>
    <xf numFmtId="0" fontId="7" fillId="0" borderId="224">
      <alignment horizontal="left" wrapText="1"/>
    </xf>
    <xf numFmtId="0" fontId="7" fillId="0" borderId="224">
      <alignment horizontal="left" wrapText="1"/>
    </xf>
    <xf numFmtId="0" fontId="7" fillId="0" borderId="224">
      <alignment horizontal="left" wrapText="1"/>
    </xf>
    <xf numFmtId="0" fontId="44" fillId="9" borderId="226" applyNumberFormat="0" applyAlignment="0" applyProtection="0"/>
    <xf numFmtId="239" fontId="398" fillId="0" borderId="225"/>
    <xf numFmtId="234" fontId="398" fillId="0" borderId="225"/>
    <xf numFmtId="231" fontId="398" fillId="0" borderId="225"/>
    <xf numFmtId="231" fontId="398" fillId="0" borderId="225"/>
    <xf numFmtId="232" fontId="398" fillId="0" borderId="225"/>
    <xf numFmtId="232" fontId="398" fillId="0" borderId="225"/>
    <xf numFmtId="233" fontId="398" fillId="0" borderId="225"/>
    <xf numFmtId="233" fontId="398" fillId="0" borderId="225"/>
    <xf numFmtId="231" fontId="398" fillId="0" borderId="225"/>
    <xf numFmtId="234" fontId="398" fillId="0" borderId="225"/>
    <xf numFmtId="235" fontId="398" fillId="0" borderId="225"/>
    <xf numFmtId="235" fontId="398" fillId="0" borderId="225"/>
    <xf numFmtId="236" fontId="398" fillId="0" borderId="225"/>
    <xf numFmtId="236" fontId="398" fillId="0" borderId="225"/>
    <xf numFmtId="234" fontId="398" fillId="0" borderId="225"/>
    <xf numFmtId="239" fontId="398" fillId="0" borderId="225"/>
    <xf numFmtId="240" fontId="398" fillId="0" borderId="225"/>
    <xf numFmtId="240" fontId="398" fillId="0" borderId="225"/>
    <xf numFmtId="241" fontId="398" fillId="0" borderId="225"/>
    <xf numFmtId="241" fontId="398" fillId="0" borderId="225"/>
    <xf numFmtId="239" fontId="398" fillId="0" borderId="225"/>
    <xf numFmtId="0" fontId="20" fillId="22" borderId="226" applyNumberFormat="0" applyAlignment="0" applyProtection="0"/>
    <xf numFmtId="0" fontId="44" fillId="9" borderId="226" applyNumberFormat="0" applyAlignment="0" applyProtection="0"/>
    <xf numFmtId="10" fontId="403" fillId="43" borderId="224" applyNumberFormat="0" applyBorder="0" applyAlignment="0" applyProtection="0"/>
    <xf numFmtId="0" fontId="49" fillId="26" borderId="227" applyNumberFormat="0" applyFont="0" applyAlignment="0" applyProtection="0"/>
    <xf numFmtId="0" fontId="50" fillId="22" borderId="228" applyNumberFormat="0" applyAlignment="0" applyProtection="0"/>
    <xf numFmtId="4" fontId="52" fillId="27" borderId="228" applyNumberFormat="0" applyProtection="0">
      <alignment vertical="center"/>
    </xf>
    <xf numFmtId="4" fontId="53" fillId="27" borderId="228" applyNumberFormat="0" applyProtection="0">
      <alignment vertical="center"/>
    </xf>
    <xf numFmtId="4" fontId="52" fillId="27" borderId="228" applyNumberFormat="0" applyProtection="0">
      <alignment horizontal="left" vertical="center" indent="1"/>
    </xf>
    <xf numFmtId="4" fontId="52" fillId="27" borderId="228" applyNumberFormat="0" applyProtection="0">
      <alignment horizontal="left" vertical="center" indent="1"/>
    </xf>
    <xf numFmtId="0" fontId="22" fillId="28" borderId="228" applyNumberFormat="0" applyProtection="0">
      <alignment horizontal="left" vertical="center" indent="1"/>
    </xf>
    <xf numFmtId="4" fontId="52" fillId="29" borderId="228" applyNumberFormat="0" applyProtection="0">
      <alignment horizontal="right" vertical="center"/>
    </xf>
    <xf numFmtId="4" fontId="52" fillId="30" borderId="228" applyNumberFormat="0" applyProtection="0">
      <alignment horizontal="right" vertical="center"/>
    </xf>
    <xf numFmtId="4" fontId="52" fillId="31" borderId="228" applyNumberFormat="0" applyProtection="0">
      <alignment horizontal="right" vertical="center"/>
    </xf>
    <xf numFmtId="4" fontId="52" fillId="32" borderId="228" applyNumberFormat="0" applyProtection="0">
      <alignment horizontal="right" vertical="center"/>
    </xf>
    <xf numFmtId="4" fontId="52" fillId="33" borderId="228" applyNumberFormat="0" applyProtection="0">
      <alignment horizontal="right" vertical="center"/>
    </xf>
    <xf numFmtId="4" fontId="52" fillId="34" borderId="228" applyNumberFormat="0" applyProtection="0">
      <alignment horizontal="right" vertical="center"/>
    </xf>
    <xf numFmtId="4" fontId="52" fillId="35" borderId="228" applyNumberFormat="0" applyProtection="0">
      <alignment horizontal="right" vertical="center"/>
    </xf>
    <xf numFmtId="4" fontId="52" fillId="36" borderId="228" applyNumberFormat="0" applyProtection="0">
      <alignment horizontal="right" vertical="center"/>
    </xf>
    <xf numFmtId="4" fontId="52" fillId="37" borderId="228" applyNumberFormat="0" applyProtection="0">
      <alignment horizontal="right" vertical="center"/>
    </xf>
    <xf numFmtId="4" fontId="54" fillId="38" borderId="228" applyNumberFormat="0" applyProtection="0">
      <alignment horizontal="left" vertical="center" indent="1"/>
    </xf>
    <xf numFmtId="0" fontId="22" fillId="28" borderId="228" applyNumberFormat="0" applyProtection="0">
      <alignment horizontal="left" vertical="center" indent="1"/>
    </xf>
    <xf numFmtId="4" fontId="56" fillId="39" borderId="228" applyNumberFormat="0" applyProtection="0">
      <alignment horizontal="left" vertical="center" indent="1"/>
    </xf>
    <xf numFmtId="4" fontId="56" fillId="41" borderId="228" applyNumberFormat="0" applyProtection="0">
      <alignment horizontal="left" vertical="center" indent="1"/>
    </xf>
    <xf numFmtId="0" fontId="22" fillId="41" borderId="228" applyNumberFormat="0" applyProtection="0">
      <alignment horizontal="left" vertical="center" indent="1"/>
    </xf>
    <xf numFmtId="0" fontId="22" fillId="41" borderId="228" applyNumberFormat="0" applyProtection="0">
      <alignment horizontal="left" vertical="center" indent="1"/>
    </xf>
    <xf numFmtId="0" fontId="22" fillId="42" borderId="228" applyNumberFormat="0" applyProtection="0">
      <alignment horizontal="left" vertical="center" indent="1"/>
    </xf>
    <xf numFmtId="0" fontId="22" fillId="42" borderId="228" applyNumberFormat="0" applyProtection="0">
      <alignment horizontal="left" vertical="center" indent="1"/>
    </xf>
    <xf numFmtId="0" fontId="22" fillId="2" borderId="228" applyNumberFormat="0" applyProtection="0">
      <alignment horizontal="left" vertical="center" indent="1"/>
    </xf>
    <xf numFmtId="0" fontId="22" fillId="2" borderId="228" applyNumberFormat="0" applyProtection="0">
      <alignment horizontal="left" vertical="center" indent="1"/>
    </xf>
    <xf numFmtId="0" fontId="22" fillId="28" borderId="228" applyNumberFormat="0" applyProtection="0">
      <alignment horizontal="left" vertical="center" indent="1"/>
    </xf>
    <xf numFmtId="0" fontId="22" fillId="28" borderId="228" applyNumberFormat="0" applyProtection="0">
      <alignment horizontal="left" vertical="center" indent="1"/>
    </xf>
    <xf numFmtId="4" fontId="52" fillId="43" borderId="228" applyNumberFormat="0" applyProtection="0">
      <alignment vertical="center"/>
    </xf>
    <xf numFmtId="4" fontId="53" fillId="43" borderId="228" applyNumberFormat="0" applyProtection="0">
      <alignment vertical="center"/>
    </xf>
    <xf numFmtId="4" fontId="52" fillId="43" borderId="228" applyNumberFormat="0" applyProtection="0">
      <alignment horizontal="left" vertical="center" indent="1"/>
    </xf>
    <xf numFmtId="4" fontId="52" fillId="43" borderId="228" applyNumberFormat="0" applyProtection="0">
      <alignment horizontal="left" vertical="center" indent="1"/>
    </xf>
    <xf numFmtId="4" fontId="52" fillId="39" borderId="228" applyNumberFormat="0" applyProtection="0">
      <alignment horizontal="right" vertical="center"/>
    </xf>
    <xf numFmtId="4" fontId="53" fillId="39" borderId="228" applyNumberFormat="0" applyProtection="0">
      <alignment horizontal="right" vertical="center"/>
    </xf>
    <xf numFmtId="0" fontId="22" fillId="28" borderId="228" applyNumberFormat="0" applyProtection="0">
      <alignment horizontal="left" vertical="center" indent="1"/>
    </xf>
    <xf numFmtId="0" fontId="22" fillId="28" borderId="228" applyNumberFormat="0" applyProtection="0">
      <alignment horizontal="left" vertical="center" indent="1"/>
    </xf>
    <xf numFmtId="4" fontId="58" fillId="39" borderId="228" applyNumberFormat="0" applyProtection="0">
      <alignment horizontal="right" vertical="center"/>
    </xf>
    <xf numFmtId="0" fontId="416" fillId="2" borderId="224">
      <protection locked="0"/>
    </xf>
    <xf numFmtId="0" fontId="61" fillId="0" borderId="229" applyNumberFormat="0" applyFill="0" applyAlignment="0" applyProtection="0"/>
    <xf numFmtId="0" fontId="44" fillId="9" borderId="226" applyNumberFormat="0" applyAlignment="0" applyProtection="0"/>
    <xf numFmtId="0" fontId="44" fillId="9" borderId="226" applyNumberFormat="0" applyAlignment="0" applyProtection="0"/>
    <xf numFmtId="0" fontId="44" fillId="9" borderId="226" applyNumberFormat="0" applyAlignment="0" applyProtection="0"/>
    <xf numFmtId="0" fontId="44" fillId="9" borderId="226" applyNumberFormat="0" applyAlignment="0" applyProtection="0"/>
    <xf numFmtId="0" fontId="44" fillId="9" borderId="226" applyNumberFormat="0" applyAlignment="0" applyProtection="0"/>
    <xf numFmtId="0" fontId="44" fillId="9" borderId="226" applyNumberFormat="0" applyAlignment="0" applyProtection="0"/>
    <xf numFmtId="0" fontId="44" fillId="9" borderId="226" applyNumberFormat="0" applyAlignment="0" applyProtection="0"/>
    <xf numFmtId="0" fontId="44" fillId="9" borderId="226" applyNumberFormat="0" applyAlignment="0" applyProtection="0"/>
    <xf numFmtId="0" fontId="44" fillId="9" borderId="226" applyNumberFormat="0" applyAlignment="0" applyProtection="0"/>
    <xf numFmtId="0" fontId="44" fillId="9" borderId="226" applyNumberFormat="0" applyAlignment="0" applyProtection="0"/>
    <xf numFmtId="0" fontId="44" fillId="9" borderId="226" applyNumberFormat="0" applyAlignment="0" applyProtection="0"/>
    <xf numFmtId="0" fontId="44" fillId="9" borderId="226" applyNumberFormat="0" applyAlignment="0" applyProtection="0"/>
    <xf numFmtId="0" fontId="44" fillId="9" borderId="226" applyNumberFormat="0" applyAlignment="0" applyProtection="0"/>
    <xf numFmtId="0" fontId="44" fillId="9" borderId="226" applyNumberFormat="0" applyAlignment="0" applyProtection="0"/>
    <xf numFmtId="0" fontId="44" fillId="9" borderId="226" applyNumberFormat="0" applyAlignment="0" applyProtection="0"/>
    <xf numFmtId="0" fontId="44" fillId="9" borderId="226" applyNumberFormat="0" applyAlignment="0" applyProtection="0"/>
    <xf numFmtId="0" fontId="44" fillId="9" borderId="226" applyNumberFormat="0" applyAlignment="0" applyProtection="0"/>
    <xf numFmtId="0" fontId="50" fillId="22" borderId="228" applyNumberFormat="0" applyAlignment="0" applyProtection="0"/>
    <xf numFmtId="0" fontId="50" fillId="22" borderId="228" applyNumberFormat="0" applyAlignment="0" applyProtection="0"/>
    <xf numFmtId="0" fontId="50" fillId="22" borderId="228" applyNumberFormat="0" applyAlignment="0" applyProtection="0"/>
    <xf numFmtId="0" fontId="50" fillId="22" borderId="228" applyNumberFormat="0" applyAlignment="0" applyProtection="0"/>
    <xf numFmtId="0" fontId="50" fillId="22" borderId="228" applyNumberFormat="0" applyAlignment="0" applyProtection="0"/>
    <xf numFmtId="0" fontId="50" fillId="22" borderId="228" applyNumberFormat="0" applyAlignment="0" applyProtection="0"/>
    <xf numFmtId="0" fontId="50" fillId="22" borderId="228" applyNumberFormat="0" applyAlignment="0" applyProtection="0"/>
    <xf numFmtId="0" fontId="50" fillId="22" borderId="228" applyNumberFormat="0" applyAlignment="0" applyProtection="0"/>
    <xf numFmtId="0" fontId="50" fillId="22" borderId="228" applyNumberFormat="0" applyAlignment="0" applyProtection="0"/>
    <xf numFmtId="0" fontId="50" fillId="22" borderId="228" applyNumberFormat="0" applyAlignment="0" applyProtection="0"/>
    <xf numFmtId="0" fontId="50" fillId="22" borderId="228" applyNumberFormat="0" applyAlignment="0" applyProtection="0"/>
    <xf numFmtId="0" fontId="50" fillId="22" borderId="228" applyNumberFormat="0" applyAlignment="0" applyProtection="0"/>
    <xf numFmtId="0" fontId="50" fillId="22" borderId="228" applyNumberFormat="0" applyAlignment="0" applyProtection="0"/>
    <xf numFmtId="0" fontId="50" fillId="22" borderId="228" applyNumberFormat="0" applyAlignment="0" applyProtection="0"/>
    <xf numFmtId="0" fontId="50" fillId="22" borderId="228" applyNumberFormat="0" applyAlignment="0" applyProtection="0"/>
    <xf numFmtId="0" fontId="50" fillId="22" borderId="228" applyNumberFormat="0" applyAlignment="0" applyProtection="0"/>
    <xf numFmtId="0" fontId="50" fillId="22" borderId="228" applyNumberFormat="0" applyAlignment="0" applyProtection="0"/>
    <xf numFmtId="0" fontId="20" fillId="22" borderId="226" applyNumberFormat="0" applyAlignment="0" applyProtection="0"/>
    <xf numFmtId="0" fontId="20" fillId="22" borderId="226" applyNumberFormat="0" applyAlignment="0" applyProtection="0"/>
    <xf numFmtId="0" fontId="20" fillId="22" borderId="226" applyNumberFormat="0" applyAlignment="0" applyProtection="0"/>
    <xf numFmtId="0" fontId="20" fillId="22" borderId="226" applyNumberFormat="0" applyAlignment="0" applyProtection="0"/>
    <xf numFmtId="0" fontId="20" fillId="22" borderId="226" applyNumberFormat="0" applyAlignment="0" applyProtection="0"/>
    <xf numFmtId="0" fontId="20" fillId="22" borderId="226" applyNumberFormat="0" applyAlignment="0" applyProtection="0"/>
    <xf numFmtId="0" fontId="20" fillId="22" borderId="226" applyNumberFormat="0" applyAlignment="0" applyProtection="0"/>
    <xf numFmtId="0" fontId="20" fillId="22" borderId="226" applyNumberFormat="0" applyAlignment="0" applyProtection="0"/>
    <xf numFmtId="0" fontId="20" fillId="22" borderId="226" applyNumberFormat="0" applyAlignment="0" applyProtection="0"/>
    <xf numFmtId="0" fontId="20" fillId="22" borderId="226" applyNumberFormat="0" applyAlignment="0" applyProtection="0"/>
    <xf numFmtId="0" fontId="20" fillId="22" borderId="226" applyNumberFormat="0" applyAlignment="0" applyProtection="0"/>
    <xf numFmtId="0" fontId="20" fillId="22" borderId="226" applyNumberFormat="0" applyAlignment="0" applyProtection="0"/>
    <xf numFmtId="0" fontId="20" fillId="22" borderId="226" applyNumberFormat="0" applyAlignment="0" applyProtection="0"/>
    <xf numFmtId="0" fontId="20" fillId="22" borderId="226" applyNumberFormat="0" applyAlignment="0" applyProtection="0"/>
    <xf numFmtId="0" fontId="20" fillId="22" borderId="226" applyNumberFormat="0" applyAlignment="0" applyProtection="0"/>
    <xf numFmtId="0" fontId="20" fillId="22" borderId="226" applyNumberFormat="0" applyAlignment="0" applyProtection="0"/>
    <xf numFmtId="0" fontId="20" fillId="22" borderId="226" applyNumberFormat="0" applyAlignment="0" applyProtection="0"/>
    <xf numFmtId="4" fontId="49" fillId="27" borderId="224" applyBorder="0">
      <alignment horizontal="right"/>
    </xf>
    <xf numFmtId="0" fontId="61" fillId="0" borderId="229" applyNumberFormat="0" applyFill="0" applyAlignment="0" applyProtection="0"/>
    <xf numFmtId="0" fontId="61" fillId="0" borderId="229" applyNumberFormat="0" applyFill="0" applyAlignment="0" applyProtection="0"/>
    <xf numFmtId="0" fontId="61" fillId="0" borderId="229" applyNumberFormat="0" applyFill="0" applyAlignment="0" applyProtection="0"/>
    <xf numFmtId="0" fontId="61" fillId="0" borderId="229" applyNumberFormat="0" applyFill="0" applyAlignment="0" applyProtection="0"/>
    <xf numFmtId="0" fontId="61" fillId="0" borderId="229" applyNumberFormat="0" applyFill="0" applyAlignment="0" applyProtection="0"/>
    <xf numFmtId="0" fontId="61" fillId="0" borderId="229" applyNumberFormat="0" applyFill="0" applyAlignment="0" applyProtection="0"/>
    <xf numFmtId="0" fontId="61" fillId="0" borderId="229" applyNumberFormat="0" applyFill="0" applyAlignment="0" applyProtection="0"/>
    <xf numFmtId="0" fontId="61" fillId="0" borderId="229" applyNumberFormat="0" applyFill="0" applyAlignment="0" applyProtection="0"/>
    <xf numFmtId="0" fontId="61" fillId="0" borderId="229" applyNumberFormat="0" applyFill="0" applyAlignment="0" applyProtection="0"/>
    <xf numFmtId="0" fontId="61" fillId="0" borderId="229" applyNumberFormat="0" applyFill="0" applyAlignment="0" applyProtection="0"/>
    <xf numFmtId="0" fontId="61" fillId="0" borderId="229" applyNumberFormat="0" applyFill="0" applyAlignment="0" applyProtection="0"/>
    <xf numFmtId="0" fontId="61" fillId="0" borderId="229" applyNumberFormat="0" applyFill="0" applyAlignment="0" applyProtection="0"/>
    <xf numFmtId="0" fontId="61" fillId="0" borderId="229" applyNumberFormat="0" applyFill="0" applyAlignment="0" applyProtection="0"/>
    <xf numFmtId="0" fontId="61" fillId="0" borderId="229" applyNumberFormat="0" applyFill="0" applyAlignment="0" applyProtection="0"/>
    <xf numFmtId="0" fontId="61" fillId="0" borderId="229" applyNumberFormat="0" applyFill="0" applyAlignment="0" applyProtection="0"/>
    <xf numFmtId="0" fontId="61" fillId="0" borderId="229" applyNumberFormat="0" applyFill="0" applyAlignment="0" applyProtection="0"/>
    <xf numFmtId="0" fontId="61" fillId="0" borderId="229" applyNumberFormat="0" applyFill="0" applyAlignment="0" applyProtection="0"/>
    <xf numFmtId="3" fontId="24" fillId="0" borderId="224" applyBorder="0">
      <alignment vertical="center"/>
    </xf>
    <xf numFmtId="172" fontId="72" fillId="3" borderId="224">
      <alignment wrapText="1"/>
    </xf>
    <xf numFmtId="4" fontId="7" fillId="0" borderId="0">
      <alignment vertical="center"/>
    </xf>
    <xf numFmtId="0" fontId="2" fillId="0" borderId="0"/>
    <xf numFmtId="4" fontId="7" fillId="0" borderId="0">
      <alignment vertical="center"/>
    </xf>
    <xf numFmtId="0" fontId="2" fillId="0" borderId="0"/>
    <xf numFmtId="4" fontId="7" fillId="0" borderId="0">
      <alignment vertical="center"/>
    </xf>
    <xf numFmtId="4" fontId="7" fillId="0" borderId="0">
      <alignment vertical="center"/>
    </xf>
    <xf numFmtId="4" fontId="7" fillId="0" borderId="0">
      <alignment vertical="center"/>
    </xf>
    <xf numFmtId="4" fontId="7" fillId="0" borderId="0">
      <alignment vertical="center"/>
    </xf>
    <xf numFmtId="0" fontId="2" fillId="0" borderId="0"/>
    <xf numFmtId="0" fontId="2" fillId="0" borderId="0"/>
    <xf numFmtId="0" fontId="2" fillId="0" borderId="0"/>
    <xf numFmtId="0" fontId="2" fillId="0" borderId="0"/>
    <xf numFmtId="0" fontId="2" fillId="0" borderId="0"/>
    <xf numFmtId="0" fontId="15" fillId="0" borderId="0"/>
    <xf numFmtId="4" fontId="7" fillId="0" borderId="0">
      <alignment vertical="center"/>
    </xf>
    <xf numFmtId="4" fontId="7" fillId="0" borderId="0">
      <alignment vertical="center"/>
    </xf>
    <xf numFmtId="0" fontId="100" fillId="0" borderId="0"/>
    <xf numFmtId="0" fontId="7" fillId="0" borderId="0"/>
    <xf numFmtId="0" fontId="73" fillId="0" borderId="0"/>
    <xf numFmtId="0" fontId="190" fillId="0" borderId="0"/>
    <xf numFmtId="4" fontId="7" fillId="0" borderId="0">
      <alignment vertical="center"/>
    </xf>
    <xf numFmtId="4" fontId="7" fillId="0" borderId="0">
      <alignment vertical="center"/>
    </xf>
    <xf numFmtId="0" fontId="7" fillId="26" borderId="227" applyNumberFormat="0" applyFont="0" applyAlignment="0" applyProtection="0"/>
    <xf numFmtId="0" fontId="7" fillId="26" borderId="227" applyNumberFormat="0" applyFont="0" applyAlignment="0" applyProtection="0"/>
    <xf numFmtId="0" fontId="7" fillId="26" borderId="227" applyNumberFormat="0" applyFont="0" applyAlignment="0" applyProtection="0"/>
    <xf numFmtId="0" fontId="7" fillId="26" borderId="227" applyNumberFormat="0" applyFont="0" applyAlignment="0" applyProtection="0"/>
    <xf numFmtId="0" fontId="7" fillId="26" borderId="227" applyNumberFormat="0" applyFont="0" applyAlignment="0" applyProtection="0"/>
    <xf numFmtId="0" fontId="7"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0" fontId="22" fillId="26" borderId="227" applyNumberFormat="0" applyFont="0" applyAlignment="0" applyProtection="0"/>
    <xf numFmtId="165" fontId="1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 fontId="49" fillId="3" borderId="224" applyFont="0" applyBorder="0">
      <alignment horizontal="right"/>
    </xf>
    <xf numFmtId="170" fontId="7" fillId="0" borderId="224" applyFont="0" applyFill="0" applyBorder="0" applyProtection="0">
      <alignment horizontal="center" vertical="center"/>
    </xf>
    <xf numFmtId="0" fontId="18" fillId="0" borderId="224" applyBorder="0">
      <alignment horizontal="center" vertical="center" wrapText="1"/>
    </xf>
    <xf numFmtId="0" fontId="61" fillId="0" borderId="229" applyNumberFormat="0" applyFill="0" applyAlignment="0" applyProtection="0"/>
    <xf numFmtId="0" fontId="61" fillId="0" borderId="229" applyNumberFormat="0" applyFill="0" applyAlignment="0" applyProtection="0"/>
    <xf numFmtId="0" fontId="15" fillId="26" borderId="227" applyNumberFormat="0" applyFont="0" applyAlignment="0" applyProtection="0"/>
    <xf numFmtId="0" fontId="15" fillId="26" borderId="227" applyNumberFormat="0" applyFont="0" applyAlignment="0" applyProtection="0"/>
    <xf numFmtId="0" fontId="7" fillId="26" borderId="227" applyNumberFormat="0" applyFont="0" applyAlignment="0" applyProtection="0"/>
    <xf numFmtId="0" fontId="44" fillId="9" borderId="226" applyNumberFormat="0" applyAlignment="0" applyProtection="0"/>
    <xf numFmtId="0" fontId="7" fillId="26" borderId="227" applyNumberFormat="0" applyFont="0" applyAlignment="0" applyProtection="0"/>
    <xf numFmtId="0" fontId="50" fillId="22" borderId="228" applyNumberFormat="0" applyAlignment="0" applyProtection="0"/>
    <xf numFmtId="0" fontId="7" fillId="0" borderId="0"/>
    <xf numFmtId="0" fontId="7" fillId="26" borderId="227" applyNumberFormat="0" applyFont="0" applyAlignment="0" applyProtection="0"/>
    <xf numFmtId="0" fontId="7" fillId="0" borderId="0"/>
    <xf numFmtId="0" fontId="7" fillId="0" borderId="231">
      <alignment horizontal="left" wrapText="1"/>
    </xf>
    <xf numFmtId="0" fontId="7" fillId="0" borderId="231">
      <alignment horizontal="left" wrapText="1"/>
    </xf>
    <xf numFmtId="0" fontId="7" fillId="0" borderId="231">
      <alignment horizontal="left" wrapText="1"/>
    </xf>
    <xf numFmtId="0" fontId="7" fillId="0" borderId="231">
      <alignment horizontal="left" wrapText="1"/>
    </xf>
    <xf numFmtId="0" fontId="44" fillId="9" borderId="233" applyNumberFormat="0" applyAlignment="0" applyProtection="0"/>
    <xf numFmtId="239" fontId="398" fillId="0" borderId="232"/>
    <xf numFmtId="234" fontId="398" fillId="0" borderId="232"/>
    <xf numFmtId="231" fontId="398" fillId="0" borderId="232"/>
    <xf numFmtId="231" fontId="398" fillId="0" borderId="232"/>
    <xf numFmtId="232" fontId="398" fillId="0" borderId="232"/>
    <xf numFmtId="232" fontId="398" fillId="0" borderId="232"/>
    <xf numFmtId="233" fontId="398" fillId="0" borderId="232"/>
    <xf numFmtId="233" fontId="398" fillId="0" borderId="232"/>
    <xf numFmtId="231" fontId="398" fillId="0" borderId="232"/>
    <xf numFmtId="234" fontId="398" fillId="0" borderId="232"/>
    <xf numFmtId="235" fontId="398" fillId="0" borderId="232"/>
    <xf numFmtId="235" fontId="398" fillId="0" borderId="232"/>
    <xf numFmtId="236" fontId="398" fillId="0" borderId="232"/>
    <xf numFmtId="236" fontId="398" fillId="0" borderId="232"/>
    <xf numFmtId="234" fontId="398" fillId="0" borderId="232"/>
    <xf numFmtId="239" fontId="398" fillId="0" borderId="232"/>
    <xf numFmtId="240" fontId="398" fillId="0" borderId="232"/>
    <xf numFmtId="240" fontId="398" fillId="0" borderId="232"/>
    <xf numFmtId="241" fontId="398" fillId="0" borderId="232"/>
    <xf numFmtId="241" fontId="398" fillId="0" borderId="232"/>
    <xf numFmtId="239" fontId="398" fillId="0" borderId="232"/>
    <xf numFmtId="0" fontId="20" fillId="22" borderId="233" applyNumberFormat="0" applyAlignment="0" applyProtection="0"/>
    <xf numFmtId="0" fontId="44" fillId="9" borderId="233" applyNumberFormat="0" applyAlignment="0" applyProtection="0"/>
    <xf numFmtId="10" fontId="403" fillId="43" borderId="231" applyNumberFormat="0" applyBorder="0" applyAlignment="0" applyProtection="0"/>
    <xf numFmtId="0" fontId="49" fillId="26" borderId="234" applyNumberFormat="0" applyFont="0" applyAlignment="0" applyProtection="0"/>
    <xf numFmtId="0" fontId="50" fillId="22" borderId="235" applyNumberFormat="0" applyAlignment="0" applyProtection="0"/>
    <xf numFmtId="4" fontId="52" fillId="27" borderId="235" applyNumberFormat="0" applyProtection="0">
      <alignment vertical="center"/>
    </xf>
    <xf numFmtId="4" fontId="53" fillId="27" borderId="235" applyNumberFormat="0" applyProtection="0">
      <alignment vertical="center"/>
    </xf>
    <xf numFmtId="4" fontId="52" fillId="27" borderId="235" applyNumberFormat="0" applyProtection="0">
      <alignment horizontal="left" vertical="center" indent="1"/>
    </xf>
    <xf numFmtId="4" fontId="52" fillId="27" borderId="235" applyNumberFormat="0" applyProtection="0">
      <alignment horizontal="left" vertical="center" indent="1"/>
    </xf>
    <xf numFmtId="0" fontId="22" fillId="28" borderId="235" applyNumberFormat="0" applyProtection="0">
      <alignment horizontal="left" vertical="center" indent="1"/>
    </xf>
    <xf numFmtId="4" fontId="52" fillId="29" borderId="235" applyNumberFormat="0" applyProtection="0">
      <alignment horizontal="right" vertical="center"/>
    </xf>
    <xf numFmtId="4" fontId="52" fillId="30" borderId="235" applyNumberFormat="0" applyProtection="0">
      <alignment horizontal="right" vertical="center"/>
    </xf>
    <xf numFmtId="4" fontId="52" fillId="31" borderId="235" applyNumberFormat="0" applyProtection="0">
      <alignment horizontal="right" vertical="center"/>
    </xf>
    <xf numFmtId="4" fontId="52" fillId="32" borderId="235" applyNumberFormat="0" applyProtection="0">
      <alignment horizontal="right" vertical="center"/>
    </xf>
    <xf numFmtId="4" fontId="52" fillId="33" borderId="235" applyNumberFormat="0" applyProtection="0">
      <alignment horizontal="right" vertical="center"/>
    </xf>
    <xf numFmtId="4" fontId="52" fillId="34" borderId="235" applyNumberFormat="0" applyProtection="0">
      <alignment horizontal="right" vertical="center"/>
    </xf>
    <xf numFmtId="4" fontId="52" fillId="35" borderId="235" applyNumberFormat="0" applyProtection="0">
      <alignment horizontal="right" vertical="center"/>
    </xf>
    <xf numFmtId="4" fontId="52" fillId="36" borderId="235" applyNumberFormat="0" applyProtection="0">
      <alignment horizontal="right" vertical="center"/>
    </xf>
    <xf numFmtId="4" fontId="52" fillId="37" borderId="235" applyNumberFormat="0" applyProtection="0">
      <alignment horizontal="right" vertical="center"/>
    </xf>
    <xf numFmtId="4" fontId="54" fillId="38" borderId="235" applyNumberFormat="0" applyProtection="0">
      <alignment horizontal="left" vertical="center" indent="1"/>
    </xf>
    <xf numFmtId="0" fontId="22" fillId="28" borderId="235" applyNumberFormat="0" applyProtection="0">
      <alignment horizontal="left" vertical="center" indent="1"/>
    </xf>
    <xf numFmtId="4" fontId="56" fillId="39" borderId="235" applyNumberFormat="0" applyProtection="0">
      <alignment horizontal="left" vertical="center" indent="1"/>
    </xf>
    <xf numFmtId="4" fontId="56" fillId="41" borderId="235" applyNumberFormat="0" applyProtection="0">
      <alignment horizontal="left" vertical="center" indent="1"/>
    </xf>
    <xf numFmtId="0" fontId="22" fillId="41" borderId="235" applyNumberFormat="0" applyProtection="0">
      <alignment horizontal="left" vertical="center" indent="1"/>
    </xf>
    <xf numFmtId="0" fontId="22" fillId="41" borderId="235" applyNumberFormat="0" applyProtection="0">
      <alignment horizontal="left" vertical="center" indent="1"/>
    </xf>
    <xf numFmtId="0" fontId="22" fillId="42" borderId="235" applyNumberFormat="0" applyProtection="0">
      <alignment horizontal="left" vertical="center" indent="1"/>
    </xf>
    <xf numFmtId="0" fontId="22" fillId="42" borderId="235" applyNumberFormat="0" applyProtection="0">
      <alignment horizontal="left" vertical="center" indent="1"/>
    </xf>
    <xf numFmtId="0" fontId="22" fillId="2" borderId="235" applyNumberFormat="0" applyProtection="0">
      <alignment horizontal="left" vertical="center" indent="1"/>
    </xf>
    <xf numFmtId="0" fontId="22" fillId="2" borderId="235" applyNumberFormat="0" applyProtection="0">
      <alignment horizontal="left" vertical="center" indent="1"/>
    </xf>
    <xf numFmtId="0" fontId="22" fillId="28" borderId="235" applyNumberFormat="0" applyProtection="0">
      <alignment horizontal="left" vertical="center" indent="1"/>
    </xf>
    <xf numFmtId="0" fontId="22" fillId="28" borderId="235" applyNumberFormat="0" applyProtection="0">
      <alignment horizontal="left" vertical="center" indent="1"/>
    </xf>
    <xf numFmtId="4" fontId="52" fillId="43" borderId="235" applyNumberFormat="0" applyProtection="0">
      <alignment vertical="center"/>
    </xf>
    <xf numFmtId="4" fontId="53" fillId="43" borderId="235" applyNumberFormat="0" applyProtection="0">
      <alignment vertical="center"/>
    </xf>
    <xf numFmtId="4" fontId="52" fillId="43" borderId="235" applyNumberFormat="0" applyProtection="0">
      <alignment horizontal="left" vertical="center" indent="1"/>
    </xf>
    <xf numFmtId="4" fontId="52" fillId="43" borderId="235" applyNumberFormat="0" applyProtection="0">
      <alignment horizontal="left" vertical="center" indent="1"/>
    </xf>
    <xf numFmtId="4" fontId="52" fillId="39" borderId="235" applyNumberFormat="0" applyProtection="0">
      <alignment horizontal="right" vertical="center"/>
    </xf>
    <xf numFmtId="4" fontId="53" fillId="39" borderId="235" applyNumberFormat="0" applyProtection="0">
      <alignment horizontal="right" vertical="center"/>
    </xf>
    <xf numFmtId="0" fontId="22" fillId="28" borderId="235" applyNumberFormat="0" applyProtection="0">
      <alignment horizontal="left" vertical="center" indent="1"/>
    </xf>
    <xf numFmtId="0" fontId="22" fillId="28" borderId="235" applyNumberFormat="0" applyProtection="0">
      <alignment horizontal="left" vertical="center" indent="1"/>
    </xf>
    <xf numFmtId="4" fontId="58" fillId="39" borderId="235" applyNumberFormat="0" applyProtection="0">
      <alignment horizontal="right" vertical="center"/>
    </xf>
    <xf numFmtId="0" fontId="416" fillId="2" borderId="231">
      <protection locked="0"/>
    </xf>
    <xf numFmtId="0" fontId="61" fillId="0" borderId="236" applyNumberFormat="0" applyFill="0" applyAlignment="0" applyProtection="0"/>
    <xf numFmtId="0" fontId="44" fillId="9" borderId="233" applyNumberFormat="0" applyAlignment="0" applyProtection="0"/>
    <xf numFmtId="0" fontId="44" fillId="9" borderId="233" applyNumberFormat="0" applyAlignment="0" applyProtection="0"/>
    <xf numFmtId="0" fontId="44" fillId="9" borderId="233" applyNumberFormat="0" applyAlignment="0" applyProtection="0"/>
    <xf numFmtId="0" fontId="44" fillId="9" borderId="233" applyNumberFormat="0" applyAlignment="0" applyProtection="0"/>
    <xf numFmtId="0" fontId="44" fillId="9" borderId="233" applyNumberFormat="0" applyAlignment="0" applyProtection="0"/>
    <xf numFmtId="0" fontId="44" fillId="9" borderId="233" applyNumberFormat="0" applyAlignment="0" applyProtection="0"/>
    <xf numFmtId="0" fontId="44" fillId="9" borderId="233" applyNumberFormat="0" applyAlignment="0" applyProtection="0"/>
    <xf numFmtId="0" fontId="44" fillId="9" borderId="233" applyNumberFormat="0" applyAlignment="0" applyProtection="0"/>
    <xf numFmtId="0" fontId="44" fillId="9" borderId="233" applyNumberFormat="0" applyAlignment="0" applyProtection="0"/>
    <xf numFmtId="0" fontId="44" fillId="9" borderId="233" applyNumberFormat="0" applyAlignment="0" applyProtection="0"/>
    <xf numFmtId="0" fontId="44" fillId="9" borderId="233" applyNumberFormat="0" applyAlignment="0" applyProtection="0"/>
    <xf numFmtId="0" fontId="44" fillId="9" borderId="233" applyNumberFormat="0" applyAlignment="0" applyProtection="0"/>
    <xf numFmtId="0" fontId="44" fillId="9" borderId="233" applyNumberFormat="0" applyAlignment="0" applyProtection="0"/>
    <xf numFmtId="0" fontId="44" fillId="9" borderId="233" applyNumberFormat="0" applyAlignment="0" applyProtection="0"/>
    <xf numFmtId="0" fontId="44" fillId="9" borderId="233" applyNumberFormat="0" applyAlignment="0" applyProtection="0"/>
    <xf numFmtId="0" fontId="44" fillId="9" borderId="233" applyNumberFormat="0" applyAlignment="0" applyProtection="0"/>
    <xf numFmtId="0" fontId="44" fillId="9" borderId="233" applyNumberFormat="0" applyAlignment="0" applyProtection="0"/>
    <xf numFmtId="0" fontId="50" fillId="22" borderId="235" applyNumberFormat="0" applyAlignment="0" applyProtection="0"/>
    <xf numFmtId="0" fontId="50" fillId="22" borderId="235" applyNumberFormat="0" applyAlignment="0" applyProtection="0"/>
    <xf numFmtId="0" fontId="50" fillId="22" borderId="235" applyNumberFormat="0" applyAlignment="0" applyProtection="0"/>
    <xf numFmtId="0" fontId="50" fillId="22" borderId="235" applyNumberFormat="0" applyAlignment="0" applyProtection="0"/>
    <xf numFmtId="0" fontId="50" fillId="22" borderId="235" applyNumberFormat="0" applyAlignment="0" applyProtection="0"/>
    <xf numFmtId="0" fontId="50" fillId="22" borderId="235" applyNumberFormat="0" applyAlignment="0" applyProtection="0"/>
    <xf numFmtId="0" fontId="50" fillId="22" borderId="235" applyNumberFormat="0" applyAlignment="0" applyProtection="0"/>
    <xf numFmtId="0" fontId="50" fillId="22" borderId="235" applyNumberFormat="0" applyAlignment="0" applyProtection="0"/>
    <xf numFmtId="0" fontId="50" fillId="22" borderId="235" applyNumberFormat="0" applyAlignment="0" applyProtection="0"/>
    <xf numFmtId="0" fontId="50" fillId="22" borderId="235" applyNumberFormat="0" applyAlignment="0" applyProtection="0"/>
    <xf numFmtId="0" fontId="50" fillId="22" borderId="235" applyNumberFormat="0" applyAlignment="0" applyProtection="0"/>
    <xf numFmtId="0" fontId="50" fillId="22" borderId="235" applyNumberFormat="0" applyAlignment="0" applyProtection="0"/>
    <xf numFmtId="0" fontId="50" fillId="22" borderId="235" applyNumberFormat="0" applyAlignment="0" applyProtection="0"/>
    <xf numFmtId="0" fontId="50" fillId="22" borderId="235" applyNumberFormat="0" applyAlignment="0" applyProtection="0"/>
    <xf numFmtId="0" fontId="50" fillId="22" borderId="235" applyNumberFormat="0" applyAlignment="0" applyProtection="0"/>
    <xf numFmtId="0" fontId="50" fillId="22" borderId="235" applyNumberFormat="0" applyAlignment="0" applyProtection="0"/>
    <xf numFmtId="0" fontId="50" fillId="22" borderId="235" applyNumberFormat="0" applyAlignment="0" applyProtection="0"/>
    <xf numFmtId="0" fontId="20" fillId="22" borderId="233" applyNumberFormat="0" applyAlignment="0" applyProtection="0"/>
    <xf numFmtId="0" fontId="20" fillId="22" borderId="233" applyNumberFormat="0" applyAlignment="0" applyProtection="0"/>
    <xf numFmtId="0" fontId="20" fillId="22" borderId="233" applyNumberFormat="0" applyAlignment="0" applyProtection="0"/>
    <xf numFmtId="0" fontId="20" fillId="22" borderId="233" applyNumberFormat="0" applyAlignment="0" applyProtection="0"/>
    <xf numFmtId="0" fontId="20" fillId="22" borderId="233" applyNumberFormat="0" applyAlignment="0" applyProtection="0"/>
    <xf numFmtId="0" fontId="20" fillId="22" borderId="233" applyNumberFormat="0" applyAlignment="0" applyProtection="0"/>
    <xf numFmtId="0" fontId="20" fillId="22" borderId="233" applyNumberFormat="0" applyAlignment="0" applyProtection="0"/>
    <xf numFmtId="0" fontId="20" fillId="22" borderId="233" applyNumberFormat="0" applyAlignment="0" applyProtection="0"/>
    <xf numFmtId="0" fontId="20" fillId="22" borderId="233" applyNumberFormat="0" applyAlignment="0" applyProtection="0"/>
    <xf numFmtId="0" fontId="20" fillId="22" borderId="233" applyNumberFormat="0" applyAlignment="0" applyProtection="0"/>
    <xf numFmtId="0" fontId="20" fillId="22" borderId="233" applyNumberFormat="0" applyAlignment="0" applyProtection="0"/>
    <xf numFmtId="0" fontId="20" fillId="22" borderId="233" applyNumberFormat="0" applyAlignment="0" applyProtection="0"/>
    <xf numFmtId="0" fontId="20" fillId="22" borderId="233" applyNumberFormat="0" applyAlignment="0" applyProtection="0"/>
    <xf numFmtId="0" fontId="20" fillId="22" borderId="233" applyNumberFormat="0" applyAlignment="0" applyProtection="0"/>
    <xf numFmtId="0" fontId="20" fillId="22" borderId="233" applyNumberFormat="0" applyAlignment="0" applyProtection="0"/>
    <xf numFmtId="0" fontId="20" fillId="22" borderId="233" applyNumberFormat="0" applyAlignment="0" applyProtection="0"/>
    <xf numFmtId="0" fontId="20" fillId="22" borderId="233" applyNumberFormat="0" applyAlignment="0" applyProtection="0"/>
    <xf numFmtId="4" fontId="49" fillId="27" borderId="231" applyBorder="0">
      <alignment horizontal="right"/>
    </xf>
    <xf numFmtId="0" fontId="61" fillId="0" borderId="236" applyNumberFormat="0" applyFill="0" applyAlignment="0" applyProtection="0"/>
    <xf numFmtId="0" fontId="61" fillId="0" borderId="236" applyNumberFormat="0" applyFill="0" applyAlignment="0" applyProtection="0"/>
    <xf numFmtId="0" fontId="61" fillId="0" borderId="236" applyNumberFormat="0" applyFill="0" applyAlignment="0" applyProtection="0"/>
    <xf numFmtId="0" fontId="61" fillId="0" borderId="236" applyNumberFormat="0" applyFill="0" applyAlignment="0" applyProtection="0"/>
    <xf numFmtId="0" fontId="61" fillId="0" borderId="236" applyNumberFormat="0" applyFill="0" applyAlignment="0" applyProtection="0"/>
    <xf numFmtId="0" fontId="61" fillId="0" borderId="236" applyNumberFormat="0" applyFill="0" applyAlignment="0" applyProtection="0"/>
    <xf numFmtId="0" fontId="61" fillId="0" borderId="236" applyNumberFormat="0" applyFill="0" applyAlignment="0" applyProtection="0"/>
    <xf numFmtId="0" fontId="61" fillId="0" borderId="236" applyNumberFormat="0" applyFill="0" applyAlignment="0" applyProtection="0"/>
    <xf numFmtId="0" fontId="61" fillId="0" borderId="236" applyNumberFormat="0" applyFill="0" applyAlignment="0" applyProtection="0"/>
    <xf numFmtId="0" fontId="61" fillId="0" borderId="236" applyNumberFormat="0" applyFill="0" applyAlignment="0" applyProtection="0"/>
    <xf numFmtId="0" fontId="61" fillId="0" borderId="236" applyNumberFormat="0" applyFill="0" applyAlignment="0" applyProtection="0"/>
    <xf numFmtId="0" fontId="61" fillId="0" borderId="236" applyNumberFormat="0" applyFill="0" applyAlignment="0" applyProtection="0"/>
    <xf numFmtId="0" fontId="61" fillId="0" borderId="236" applyNumberFormat="0" applyFill="0" applyAlignment="0" applyProtection="0"/>
    <xf numFmtId="0" fontId="61" fillId="0" borderId="236" applyNumberFormat="0" applyFill="0" applyAlignment="0" applyProtection="0"/>
    <xf numFmtId="0" fontId="61" fillId="0" borderId="236" applyNumberFormat="0" applyFill="0" applyAlignment="0" applyProtection="0"/>
    <xf numFmtId="0" fontId="61" fillId="0" borderId="236" applyNumberFormat="0" applyFill="0" applyAlignment="0" applyProtection="0"/>
    <xf numFmtId="0" fontId="61" fillId="0" borderId="236" applyNumberFormat="0" applyFill="0" applyAlignment="0" applyProtection="0"/>
    <xf numFmtId="3" fontId="24" fillId="0" borderId="231" applyBorder="0">
      <alignment vertical="center"/>
    </xf>
    <xf numFmtId="172" fontId="72" fillId="3" borderId="231">
      <alignment wrapText="1"/>
    </xf>
    <xf numFmtId="0" fontId="7" fillId="26" borderId="234" applyNumberFormat="0" applyFont="0" applyAlignment="0" applyProtection="0"/>
    <xf numFmtId="0" fontId="7" fillId="26" borderId="234" applyNumberFormat="0" applyFont="0" applyAlignment="0" applyProtection="0"/>
    <xf numFmtId="0" fontId="7" fillId="26" borderId="234" applyNumberFormat="0" applyFont="0" applyAlignment="0" applyProtection="0"/>
    <xf numFmtId="0" fontId="7" fillId="26" borderId="234" applyNumberFormat="0" applyFont="0" applyAlignment="0" applyProtection="0"/>
    <xf numFmtId="0" fontId="7" fillId="26" borderId="234" applyNumberFormat="0" applyFont="0" applyAlignment="0" applyProtection="0"/>
    <xf numFmtId="0" fontId="7"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0" fontId="22" fillId="26" borderId="234" applyNumberFormat="0" applyFont="0" applyAlignment="0" applyProtection="0"/>
    <xf numFmtId="4" fontId="49" fillId="3" borderId="231" applyFont="0" applyBorder="0">
      <alignment horizontal="right"/>
    </xf>
    <xf numFmtId="170" fontId="7" fillId="0" borderId="231" applyFont="0" applyFill="0" applyBorder="0" applyProtection="0">
      <alignment horizontal="center" vertical="center"/>
    </xf>
    <xf numFmtId="0" fontId="18" fillId="0" borderId="231" applyBorder="0">
      <alignment horizontal="center" vertical="center" wrapText="1"/>
    </xf>
    <xf numFmtId="0" fontId="61" fillId="0" borderId="236" applyNumberFormat="0" applyFill="0" applyAlignment="0" applyProtection="0"/>
    <xf numFmtId="0" fontId="61" fillId="0" borderId="236" applyNumberFormat="0" applyFill="0" applyAlignment="0" applyProtection="0"/>
    <xf numFmtId="0" fontId="15" fillId="26" borderId="234" applyNumberFormat="0" applyFont="0" applyAlignment="0" applyProtection="0"/>
    <xf numFmtId="0" fontId="15" fillId="26" borderId="234" applyNumberFormat="0" applyFont="0" applyAlignment="0" applyProtection="0"/>
    <xf numFmtId="0" fontId="7" fillId="26" borderId="234" applyNumberFormat="0" applyFont="0" applyAlignment="0" applyProtection="0"/>
    <xf numFmtId="0" fontId="44" fillId="9" borderId="233" applyNumberFormat="0" applyAlignment="0" applyProtection="0"/>
    <xf numFmtId="0" fontId="7" fillId="26" borderId="234" applyNumberFormat="0" applyFont="0" applyAlignment="0" applyProtection="0"/>
    <xf numFmtId="0" fontId="50" fillId="22" borderId="235" applyNumberFormat="0" applyAlignment="0" applyProtection="0"/>
    <xf numFmtId="0" fontId="7" fillId="26" borderId="234" applyNumberFormat="0" applyFont="0" applyAlignment="0" applyProtection="0"/>
    <xf numFmtId="0" fontId="7" fillId="0" borderId="238">
      <alignment horizontal="left" wrapText="1"/>
    </xf>
    <xf numFmtId="0" fontId="7" fillId="0" borderId="238">
      <alignment horizontal="left" wrapText="1"/>
    </xf>
    <xf numFmtId="0" fontId="7" fillId="0" borderId="238">
      <alignment horizontal="left" wrapText="1"/>
    </xf>
    <xf numFmtId="0" fontId="7" fillId="0" borderId="238">
      <alignment horizontal="left" wrapText="1"/>
    </xf>
    <xf numFmtId="0" fontId="44" fillId="9" borderId="240" applyNumberFormat="0" applyAlignment="0" applyProtection="0"/>
    <xf numFmtId="239" fontId="398" fillId="0" borderId="239"/>
    <xf numFmtId="234" fontId="398" fillId="0" borderId="239"/>
    <xf numFmtId="231" fontId="398" fillId="0" borderId="239"/>
    <xf numFmtId="231" fontId="398" fillId="0" borderId="239"/>
    <xf numFmtId="232" fontId="398" fillId="0" borderId="239"/>
    <xf numFmtId="232" fontId="398" fillId="0" borderId="239"/>
    <xf numFmtId="233" fontId="398" fillId="0" borderId="239"/>
    <xf numFmtId="233" fontId="398" fillId="0" borderId="239"/>
    <xf numFmtId="231" fontId="398" fillId="0" borderId="239"/>
    <xf numFmtId="234" fontId="398" fillId="0" borderId="239"/>
    <xf numFmtId="235" fontId="398" fillId="0" borderId="239"/>
    <xf numFmtId="235" fontId="398" fillId="0" borderId="239"/>
    <xf numFmtId="236" fontId="398" fillId="0" borderId="239"/>
    <xf numFmtId="236" fontId="398" fillId="0" borderId="239"/>
    <xf numFmtId="234" fontId="398" fillId="0" borderId="239"/>
    <xf numFmtId="239" fontId="398" fillId="0" borderId="239"/>
    <xf numFmtId="240" fontId="398" fillId="0" borderId="239"/>
    <xf numFmtId="240" fontId="398" fillId="0" borderId="239"/>
    <xf numFmtId="241" fontId="398" fillId="0" borderId="239"/>
    <xf numFmtId="241" fontId="398" fillId="0" borderId="239"/>
    <xf numFmtId="239" fontId="398" fillId="0" borderId="239"/>
    <xf numFmtId="0" fontId="20" fillId="22" borderId="240" applyNumberFormat="0" applyAlignment="0" applyProtection="0"/>
    <xf numFmtId="0" fontId="44" fillId="9" borderId="240" applyNumberFormat="0" applyAlignment="0" applyProtection="0"/>
    <xf numFmtId="10" fontId="403" fillId="43" borderId="238" applyNumberFormat="0" applyBorder="0" applyAlignment="0" applyProtection="0"/>
    <xf numFmtId="0" fontId="49" fillId="26" borderId="241" applyNumberFormat="0" applyFont="0" applyAlignment="0" applyProtection="0"/>
    <xf numFmtId="0" fontId="50" fillId="22" borderId="242" applyNumberFormat="0" applyAlignment="0" applyProtection="0"/>
    <xf numFmtId="4" fontId="52" fillId="27" borderId="242" applyNumberFormat="0" applyProtection="0">
      <alignment vertical="center"/>
    </xf>
    <xf numFmtId="4" fontId="53" fillId="27" borderId="242" applyNumberFormat="0" applyProtection="0">
      <alignment vertical="center"/>
    </xf>
    <xf numFmtId="4" fontId="52" fillId="27" borderId="242" applyNumberFormat="0" applyProtection="0">
      <alignment horizontal="left" vertical="center" indent="1"/>
    </xf>
    <xf numFmtId="4" fontId="52" fillId="27" borderId="242" applyNumberFormat="0" applyProtection="0">
      <alignment horizontal="left" vertical="center" indent="1"/>
    </xf>
    <xf numFmtId="0" fontId="22" fillId="28" borderId="242" applyNumberFormat="0" applyProtection="0">
      <alignment horizontal="left" vertical="center" indent="1"/>
    </xf>
    <xf numFmtId="4" fontId="52" fillId="29" borderId="242" applyNumberFormat="0" applyProtection="0">
      <alignment horizontal="right" vertical="center"/>
    </xf>
    <xf numFmtId="4" fontId="52" fillId="30" borderId="242" applyNumberFormat="0" applyProtection="0">
      <alignment horizontal="right" vertical="center"/>
    </xf>
    <xf numFmtId="4" fontId="52" fillId="31" borderId="242" applyNumberFormat="0" applyProtection="0">
      <alignment horizontal="right" vertical="center"/>
    </xf>
    <xf numFmtId="4" fontId="52" fillId="32" borderId="242" applyNumberFormat="0" applyProtection="0">
      <alignment horizontal="right" vertical="center"/>
    </xf>
    <xf numFmtId="4" fontId="52" fillId="33" borderId="242" applyNumberFormat="0" applyProtection="0">
      <alignment horizontal="right" vertical="center"/>
    </xf>
    <xf numFmtId="4" fontId="52" fillId="34" borderId="242" applyNumberFormat="0" applyProtection="0">
      <alignment horizontal="right" vertical="center"/>
    </xf>
    <xf numFmtId="4" fontId="52" fillId="35" borderId="242" applyNumberFormat="0" applyProtection="0">
      <alignment horizontal="right" vertical="center"/>
    </xf>
    <xf numFmtId="4" fontId="52" fillId="36" borderId="242" applyNumberFormat="0" applyProtection="0">
      <alignment horizontal="right" vertical="center"/>
    </xf>
    <xf numFmtId="4" fontId="52" fillId="37" borderId="242" applyNumberFormat="0" applyProtection="0">
      <alignment horizontal="right" vertical="center"/>
    </xf>
    <xf numFmtId="4" fontId="54" fillId="38" borderId="242" applyNumberFormat="0" applyProtection="0">
      <alignment horizontal="left" vertical="center" indent="1"/>
    </xf>
    <xf numFmtId="0" fontId="22" fillId="28" borderId="242" applyNumberFormat="0" applyProtection="0">
      <alignment horizontal="left" vertical="center" indent="1"/>
    </xf>
    <xf numFmtId="4" fontId="56" fillId="39" borderId="242" applyNumberFormat="0" applyProtection="0">
      <alignment horizontal="left" vertical="center" indent="1"/>
    </xf>
    <xf numFmtId="4" fontId="56" fillId="41" borderId="242" applyNumberFormat="0" applyProtection="0">
      <alignment horizontal="left" vertical="center" indent="1"/>
    </xf>
    <xf numFmtId="0" fontId="22" fillId="41" borderId="242" applyNumberFormat="0" applyProtection="0">
      <alignment horizontal="left" vertical="center" indent="1"/>
    </xf>
    <xf numFmtId="0" fontId="22" fillId="41" borderId="242" applyNumberFormat="0" applyProtection="0">
      <alignment horizontal="left" vertical="center" indent="1"/>
    </xf>
    <xf numFmtId="0" fontId="22" fillId="42" borderId="242" applyNumberFormat="0" applyProtection="0">
      <alignment horizontal="left" vertical="center" indent="1"/>
    </xf>
    <xf numFmtId="0" fontId="22" fillId="42" borderId="242" applyNumberFormat="0" applyProtection="0">
      <alignment horizontal="left" vertical="center" indent="1"/>
    </xf>
    <xf numFmtId="0" fontId="22" fillId="2" borderId="242" applyNumberFormat="0" applyProtection="0">
      <alignment horizontal="left" vertical="center" indent="1"/>
    </xf>
    <xf numFmtId="0" fontId="22" fillId="2" borderId="242" applyNumberFormat="0" applyProtection="0">
      <alignment horizontal="left" vertical="center" indent="1"/>
    </xf>
    <xf numFmtId="0" fontId="22" fillId="28" borderId="242" applyNumberFormat="0" applyProtection="0">
      <alignment horizontal="left" vertical="center" indent="1"/>
    </xf>
    <xf numFmtId="0" fontId="22" fillId="28" borderId="242" applyNumberFormat="0" applyProtection="0">
      <alignment horizontal="left" vertical="center" indent="1"/>
    </xf>
    <xf numFmtId="4" fontId="52" fillId="43" borderId="242" applyNumberFormat="0" applyProtection="0">
      <alignment vertical="center"/>
    </xf>
    <xf numFmtId="4" fontId="53" fillId="43" borderId="242" applyNumberFormat="0" applyProtection="0">
      <alignment vertical="center"/>
    </xf>
    <xf numFmtId="4" fontId="52" fillId="43" borderId="242" applyNumberFormat="0" applyProtection="0">
      <alignment horizontal="left" vertical="center" indent="1"/>
    </xf>
    <xf numFmtId="4" fontId="52" fillId="43" borderId="242" applyNumberFormat="0" applyProtection="0">
      <alignment horizontal="left" vertical="center" indent="1"/>
    </xf>
    <xf numFmtId="4" fontId="52" fillId="39" borderId="242" applyNumberFormat="0" applyProtection="0">
      <alignment horizontal="right" vertical="center"/>
    </xf>
    <xf numFmtId="4" fontId="53" fillId="39" borderId="242" applyNumberFormat="0" applyProtection="0">
      <alignment horizontal="right" vertical="center"/>
    </xf>
    <xf numFmtId="0" fontId="22" fillId="28" borderId="242" applyNumberFormat="0" applyProtection="0">
      <alignment horizontal="left" vertical="center" indent="1"/>
    </xf>
    <xf numFmtId="0" fontId="22" fillId="28" borderId="242" applyNumberFormat="0" applyProtection="0">
      <alignment horizontal="left" vertical="center" indent="1"/>
    </xf>
    <xf numFmtId="4" fontId="58" fillId="39" borderId="242" applyNumberFormat="0" applyProtection="0">
      <alignment horizontal="right" vertical="center"/>
    </xf>
    <xf numFmtId="0" fontId="416" fillId="2" borderId="238">
      <protection locked="0"/>
    </xf>
    <xf numFmtId="0" fontId="61" fillId="0" borderId="243" applyNumberFormat="0" applyFill="0" applyAlignment="0" applyProtection="0"/>
    <xf numFmtId="0" fontId="44" fillId="9" borderId="240" applyNumberFormat="0" applyAlignment="0" applyProtection="0"/>
    <xf numFmtId="0" fontId="44" fillId="9" borderId="240" applyNumberFormat="0" applyAlignment="0" applyProtection="0"/>
    <xf numFmtId="0" fontId="44" fillId="9" borderId="240" applyNumberFormat="0" applyAlignment="0" applyProtection="0"/>
    <xf numFmtId="0" fontId="44" fillId="9" borderId="240" applyNumberFormat="0" applyAlignment="0" applyProtection="0"/>
    <xf numFmtId="0" fontId="44" fillId="9" borderId="240" applyNumberFormat="0" applyAlignment="0" applyProtection="0"/>
    <xf numFmtId="0" fontId="44" fillId="9" borderId="240" applyNumberFormat="0" applyAlignment="0" applyProtection="0"/>
    <xf numFmtId="0" fontId="44" fillId="9" borderId="240" applyNumberFormat="0" applyAlignment="0" applyProtection="0"/>
    <xf numFmtId="0" fontId="44" fillId="9" borderId="240" applyNumberFormat="0" applyAlignment="0" applyProtection="0"/>
    <xf numFmtId="0" fontId="44" fillId="9" borderId="240" applyNumberFormat="0" applyAlignment="0" applyProtection="0"/>
    <xf numFmtId="0" fontId="44" fillId="9" borderId="240" applyNumberFormat="0" applyAlignment="0" applyProtection="0"/>
    <xf numFmtId="0" fontId="44" fillId="9" borderId="240" applyNumberFormat="0" applyAlignment="0" applyProtection="0"/>
    <xf numFmtId="0" fontId="44" fillId="9" borderId="240" applyNumberFormat="0" applyAlignment="0" applyProtection="0"/>
    <xf numFmtId="0" fontId="44" fillId="9" borderId="240" applyNumberFormat="0" applyAlignment="0" applyProtection="0"/>
    <xf numFmtId="0" fontId="44" fillId="9" borderId="240" applyNumberFormat="0" applyAlignment="0" applyProtection="0"/>
    <xf numFmtId="0" fontId="44" fillId="9" borderId="240" applyNumberFormat="0" applyAlignment="0" applyProtection="0"/>
    <xf numFmtId="0" fontId="44" fillId="9" borderId="240" applyNumberFormat="0" applyAlignment="0" applyProtection="0"/>
    <xf numFmtId="0" fontId="44" fillId="9" borderId="240" applyNumberFormat="0" applyAlignment="0" applyProtection="0"/>
    <xf numFmtId="0" fontId="50" fillId="22" borderId="242" applyNumberFormat="0" applyAlignment="0" applyProtection="0"/>
    <xf numFmtId="0" fontId="50" fillId="22" borderId="242" applyNumberFormat="0" applyAlignment="0" applyProtection="0"/>
    <xf numFmtId="0" fontId="50" fillId="22" borderId="242" applyNumberFormat="0" applyAlignment="0" applyProtection="0"/>
    <xf numFmtId="0" fontId="50" fillId="22" borderId="242" applyNumberFormat="0" applyAlignment="0" applyProtection="0"/>
    <xf numFmtId="0" fontId="50" fillId="22" borderId="242" applyNumberFormat="0" applyAlignment="0" applyProtection="0"/>
    <xf numFmtId="0" fontId="50" fillId="22" borderId="242" applyNumberFormat="0" applyAlignment="0" applyProtection="0"/>
    <xf numFmtId="0" fontId="50" fillId="22" borderId="242" applyNumberFormat="0" applyAlignment="0" applyProtection="0"/>
    <xf numFmtId="0" fontId="50" fillId="22" borderId="242" applyNumberFormat="0" applyAlignment="0" applyProtection="0"/>
    <xf numFmtId="0" fontId="50" fillId="22" borderId="242" applyNumberFormat="0" applyAlignment="0" applyProtection="0"/>
    <xf numFmtId="0" fontId="50" fillId="22" borderId="242" applyNumberFormat="0" applyAlignment="0" applyProtection="0"/>
    <xf numFmtId="0" fontId="50" fillId="22" borderId="242" applyNumberFormat="0" applyAlignment="0" applyProtection="0"/>
    <xf numFmtId="0" fontId="50" fillId="22" borderId="242" applyNumberFormat="0" applyAlignment="0" applyProtection="0"/>
    <xf numFmtId="0" fontId="50" fillId="22" borderId="242" applyNumberFormat="0" applyAlignment="0" applyProtection="0"/>
    <xf numFmtId="0" fontId="50" fillId="22" borderId="242" applyNumberFormat="0" applyAlignment="0" applyProtection="0"/>
    <xf numFmtId="0" fontId="50" fillId="22" borderId="242" applyNumberFormat="0" applyAlignment="0" applyProtection="0"/>
    <xf numFmtId="0" fontId="50" fillId="22" borderId="242" applyNumberFormat="0" applyAlignment="0" applyProtection="0"/>
    <xf numFmtId="0" fontId="50" fillId="22" borderId="242" applyNumberFormat="0" applyAlignment="0" applyProtection="0"/>
    <xf numFmtId="0" fontId="20" fillId="22" borderId="240" applyNumberFormat="0" applyAlignment="0" applyProtection="0"/>
    <xf numFmtId="0" fontId="20" fillId="22" borderId="240" applyNumberFormat="0" applyAlignment="0" applyProtection="0"/>
    <xf numFmtId="0" fontId="20" fillId="22" borderId="240" applyNumberFormat="0" applyAlignment="0" applyProtection="0"/>
    <xf numFmtId="0" fontId="20" fillId="22" borderId="240" applyNumberFormat="0" applyAlignment="0" applyProtection="0"/>
    <xf numFmtId="0" fontId="20" fillId="22" borderId="240" applyNumberFormat="0" applyAlignment="0" applyProtection="0"/>
    <xf numFmtId="0" fontId="20" fillId="22" borderId="240" applyNumberFormat="0" applyAlignment="0" applyProtection="0"/>
    <xf numFmtId="0" fontId="20" fillId="22" borderId="240" applyNumberFormat="0" applyAlignment="0" applyProtection="0"/>
    <xf numFmtId="0" fontId="20" fillId="22" borderId="240" applyNumberFormat="0" applyAlignment="0" applyProtection="0"/>
    <xf numFmtId="0" fontId="20" fillId="22" borderId="240" applyNumberFormat="0" applyAlignment="0" applyProtection="0"/>
    <xf numFmtId="0" fontId="20" fillId="22" borderId="240" applyNumberFormat="0" applyAlignment="0" applyProtection="0"/>
    <xf numFmtId="0" fontId="20" fillId="22" borderId="240" applyNumberFormat="0" applyAlignment="0" applyProtection="0"/>
    <xf numFmtId="0" fontId="20" fillId="22" borderId="240" applyNumberFormat="0" applyAlignment="0" applyProtection="0"/>
    <xf numFmtId="0" fontId="20" fillId="22" borderId="240" applyNumberFormat="0" applyAlignment="0" applyProtection="0"/>
    <xf numFmtId="0" fontId="20" fillId="22" borderId="240" applyNumberFormat="0" applyAlignment="0" applyProtection="0"/>
    <xf numFmtId="0" fontId="20" fillId="22" borderId="240" applyNumberFormat="0" applyAlignment="0" applyProtection="0"/>
    <xf numFmtId="0" fontId="20" fillId="22" borderId="240" applyNumberFormat="0" applyAlignment="0" applyProtection="0"/>
    <xf numFmtId="0" fontId="20" fillId="22" borderId="240" applyNumberFormat="0" applyAlignment="0" applyProtection="0"/>
    <xf numFmtId="4" fontId="49" fillId="27" borderId="238" applyBorder="0">
      <alignment horizontal="right"/>
    </xf>
    <xf numFmtId="0" fontId="61" fillId="0" borderId="243" applyNumberFormat="0" applyFill="0" applyAlignment="0" applyProtection="0"/>
    <xf numFmtId="0" fontId="61" fillId="0" borderId="243" applyNumberFormat="0" applyFill="0" applyAlignment="0" applyProtection="0"/>
    <xf numFmtId="0" fontId="61" fillId="0" borderId="243" applyNumberFormat="0" applyFill="0" applyAlignment="0" applyProtection="0"/>
    <xf numFmtId="0" fontId="61" fillId="0" borderId="243" applyNumberFormat="0" applyFill="0" applyAlignment="0" applyProtection="0"/>
    <xf numFmtId="0" fontId="61" fillId="0" borderId="243" applyNumberFormat="0" applyFill="0" applyAlignment="0" applyProtection="0"/>
    <xf numFmtId="0" fontId="61" fillId="0" borderId="243" applyNumberFormat="0" applyFill="0" applyAlignment="0" applyProtection="0"/>
    <xf numFmtId="0" fontId="61" fillId="0" borderId="243" applyNumberFormat="0" applyFill="0" applyAlignment="0" applyProtection="0"/>
    <xf numFmtId="0" fontId="61" fillId="0" borderId="243" applyNumberFormat="0" applyFill="0" applyAlignment="0" applyProtection="0"/>
    <xf numFmtId="0" fontId="61" fillId="0" borderId="243" applyNumberFormat="0" applyFill="0" applyAlignment="0" applyProtection="0"/>
    <xf numFmtId="0" fontId="61" fillId="0" borderId="243" applyNumberFormat="0" applyFill="0" applyAlignment="0" applyProtection="0"/>
    <xf numFmtId="0" fontId="61" fillId="0" borderId="243" applyNumberFormat="0" applyFill="0" applyAlignment="0" applyProtection="0"/>
    <xf numFmtId="0" fontId="61" fillId="0" borderId="243" applyNumberFormat="0" applyFill="0" applyAlignment="0" applyProtection="0"/>
    <xf numFmtId="0" fontId="61" fillId="0" borderId="243" applyNumberFormat="0" applyFill="0" applyAlignment="0" applyProtection="0"/>
    <xf numFmtId="0" fontId="61" fillId="0" borderId="243" applyNumberFormat="0" applyFill="0" applyAlignment="0" applyProtection="0"/>
    <xf numFmtId="0" fontId="61" fillId="0" borderId="243" applyNumberFormat="0" applyFill="0" applyAlignment="0" applyProtection="0"/>
    <xf numFmtId="0" fontId="61" fillId="0" borderId="243" applyNumberFormat="0" applyFill="0" applyAlignment="0" applyProtection="0"/>
    <xf numFmtId="0" fontId="61" fillId="0" borderId="243" applyNumberFormat="0" applyFill="0" applyAlignment="0" applyProtection="0"/>
    <xf numFmtId="3" fontId="24" fillId="0" borderId="238" applyBorder="0">
      <alignment vertical="center"/>
    </xf>
    <xf numFmtId="172" fontId="72" fillId="3" borderId="238">
      <alignment wrapText="1"/>
    </xf>
    <xf numFmtId="0" fontId="7" fillId="26" borderId="241" applyNumberFormat="0" applyFont="0" applyAlignment="0" applyProtection="0"/>
    <xf numFmtId="0" fontId="7" fillId="26" borderId="241" applyNumberFormat="0" applyFont="0" applyAlignment="0" applyProtection="0"/>
    <xf numFmtId="0" fontId="7" fillId="26" borderId="241" applyNumberFormat="0" applyFont="0" applyAlignment="0" applyProtection="0"/>
    <xf numFmtId="0" fontId="7" fillId="26" borderId="241" applyNumberFormat="0" applyFont="0" applyAlignment="0" applyProtection="0"/>
    <xf numFmtId="0" fontId="7" fillId="26" borderId="241" applyNumberFormat="0" applyFont="0" applyAlignment="0" applyProtection="0"/>
    <xf numFmtId="0" fontId="7"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0" fontId="22" fillId="26" borderId="241" applyNumberFormat="0" applyFont="0" applyAlignment="0" applyProtection="0"/>
    <xf numFmtId="4" fontId="49" fillId="3" borderId="238" applyFont="0" applyBorder="0">
      <alignment horizontal="right"/>
    </xf>
    <xf numFmtId="170" fontId="7" fillId="0" borderId="238" applyFont="0" applyFill="0" applyBorder="0" applyProtection="0">
      <alignment horizontal="center" vertical="center"/>
    </xf>
    <xf numFmtId="0" fontId="18" fillId="0" borderId="238" applyBorder="0">
      <alignment horizontal="center" vertical="center" wrapText="1"/>
    </xf>
    <xf numFmtId="0" fontId="61" fillId="0" borderId="243" applyNumberFormat="0" applyFill="0" applyAlignment="0" applyProtection="0"/>
    <xf numFmtId="0" fontId="61" fillId="0" borderId="243" applyNumberFormat="0" applyFill="0" applyAlignment="0" applyProtection="0"/>
    <xf numFmtId="0" fontId="15" fillId="26" borderId="241" applyNumberFormat="0" applyFont="0" applyAlignment="0" applyProtection="0"/>
    <xf numFmtId="0" fontId="15" fillId="26" borderId="241" applyNumberFormat="0" applyFont="0" applyAlignment="0" applyProtection="0"/>
    <xf numFmtId="0" fontId="7" fillId="26" borderId="241" applyNumberFormat="0" applyFont="0" applyAlignment="0" applyProtection="0"/>
    <xf numFmtId="0" fontId="44" fillId="9" borderId="240" applyNumberFormat="0" applyAlignment="0" applyProtection="0"/>
    <xf numFmtId="0" fontId="7" fillId="26" borderId="241" applyNumberFormat="0" applyFont="0" applyAlignment="0" applyProtection="0"/>
    <xf numFmtId="0" fontId="50" fillId="22" borderId="242" applyNumberFormat="0" applyAlignment="0" applyProtection="0"/>
    <xf numFmtId="0" fontId="7" fillId="26" borderId="241" applyNumberFormat="0" applyFont="0" applyAlignment="0" applyProtection="0"/>
    <xf numFmtId="0" fontId="190" fillId="0" borderId="0"/>
    <xf numFmtId="0" fontId="1" fillId="0" borderId="0"/>
    <xf numFmtId="0" fontId="9"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97" fontId="7"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97" fontId="7"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197" fontId="7" fillId="0" borderId="0" applyFont="0" applyFill="0" applyBorder="0" applyAlignment="0" applyProtection="0"/>
    <xf numFmtId="0" fontId="56" fillId="0" borderId="0"/>
    <xf numFmtId="197" fontId="7" fillId="0" borderId="0" applyFont="0" applyFill="0" applyBorder="0" applyAlignment="0" applyProtection="0"/>
    <xf numFmtId="0" fontId="56" fillId="0" borderId="0"/>
    <xf numFmtId="0" fontId="56" fillId="0" borderId="0"/>
    <xf numFmtId="0" fontId="56" fillId="0" borderId="0"/>
    <xf numFmtId="0" fontId="56" fillId="0" borderId="0"/>
    <xf numFmtId="0" fontId="56" fillId="0" borderId="0"/>
    <xf numFmtId="0" fontId="22" fillId="0" borderId="0"/>
    <xf numFmtId="0" fontId="36" fillId="6" borderId="0" applyNumberFormat="0" applyBorder="0" applyAlignment="0" applyProtection="0"/>
    <xf numFmtId="0" fontId="56" fillId="0" borderId="0"/>
    <xf numFmtId="0" fontId="56" fillId="0" borderId="0"/>
    <xf numFmtId="0" fontId="56" fillId="0" borderId="0"/>
    <xf numFmtId="0" fontId="56" fillId="0" borderId="0"/>
    <xf numFmtId="38" fontId="10" fillId="0" borderId="0">
      <alignment vertical="top"/>
    </xf>
    <xf numFmtId="38" fontId="10" fillId="0" borderId="0">
      <alignment vertical="top"/>
    </xf>
    <xf numFmtId="0" fontId="56" fillId="0" borderId="0"/>
    <xf numFmtId="38" fontId="10" fillId="0" borderId="0">
      <alignment vertical="top"/>
    </xf>
    <xf numFmtId="38" fontId="10" fillId="0" borderId="0">
      <alignment vertical="top"/>
    </xf>
    <xf numFmtId="38" fontId="10" fillId="0" borderId="0">
      <alignment vertical="top"/>
    </xf>
    <xf numFmtId="38" fontId="10" fillId="0" borderId="0">
      <alignment vertical="top"/>
    </xf>
    <xf numFmtId="183" fontId="13" fillId="0" borderId="0">
      <protection locked="0"/>
    </xf>
    <xf numFmtId="184" fontId="13" fillId="0" borderId="0">
      <protection locked="0"/>
    </xf>
    <xf numFmtId="185" fontId="13" fillId="0" borderId="0">
      <protection locked="0"/>
    </xf>
    <xf numFmtId="182" fontId="14" fillId="0" borderId="0">
      <protection locked="0"/>
    </xf>
    <xf numFmtId="182" fontId="14" fillId="0" borderId="0">
      <protection locked="0"/>
    </xf>
    <xf numFmtId="182" fontId="13" fillId="0" borderId="1">
      <protection locked="0"/>
    </xf>
    <xf numFmtId="0" fontId="7" fillId="0" borderId="238">
      <alignment horizontal="left" wrapText="1"/>
    </xf>
    <xf numFmtId="0" fontId="7" fillId="0" borderId="238">
      <alignment horizontal="left" wrapText="1"/>
    </xf>
    <xf numFmtId="0" fontId="7" fillId="0" borderId="238">
      <alignment horizontal="left" wrapText="1"/>
    </xf>
    <xf numFmtId="0" fontId="7" fillId="0" borderId="238">
      <alignment horizontal="left" wrapText="1"/>
    </xf>
    <xf numFmtId="165" fontId="443" fillId="0" borderId="0" applyFont="0" applyFill="0" applyBorder="0" applyAlignment="0" applyProtection="0"/>
    <xf numFmtId="219" fontId="443" fillId="0" borderId="0" applyFont="0" applyFill="0" applyBorder="0" applyAlignment="0" applyProtection="0"/>
    <xf numFmtId="164" fontId="443" fillId="0" borderId="0" applyFont="0" applyFill="0" applyBorder="0" applyAlignment="0" applyProtection="0"/>
    <xf numFmtId="38" fontId="28" fillId="0" borderId="0">
      <alignment vertical="top"/>
    </xf>
    <xf numFmtId="0" fontId="15" fillId="0" borderId="0"/>
    <xf numFmtId="38" fontId="41" fillId="0" borderId="0">
      <alignment vertical="top"/>
    </xf>
    <xf numFmtId="10" fontId="403" fillId="43" borderId="238" applyNumberFormat="0" applyBorder="0" applyAlignment="0" applyProtection="0"/>
    <xf numFmtId="38" fontId="11" fillId="2" borderId="0">
      <alignment vertical="top"/>
    </xf>
    <xf numFmtId="38" fontId="11" fillId="0" borderId="0">
      <alignment vertical="top"/>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50"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205" fontId="7" fillId="0" borderId="0" applyFont="0" applyFill="0" applyBorder="0" applyAlignment="0" applyProtection="0"/>
    <xf numFmtId="9" fontId="443" fillId="0" borderId="0" applyFont="0" applyFill="0" applyBorder="0" applyAlignment="0" applyProtection="0"/>
    <xf numFmtId="4" fontId="52" fillId="39" borderId="237" applyNumberFormat="0" applyProtection="0">
      <alignment horizontal="left" vertical="center" indent="1"/>
    </xf>
    <xf numFmtId="0" fontId="416" fillId="2" borderId="14">
      <protection locked="0"/>
    </xf>
    <xf numFmtId="38" fontId="59" fillId="44" borderId="0">
      <alignment horizontal="right" vertical="top"/>
    </xf>
    <xf numFmtId="0" fontId="22" fillId="0" borderId="0"/>
    <xf numFmtId="0" fontId="61" fillId="0" borderId="249" applyNumberFormat="0" applyFill="0" applyAlignment="0" applyProtection="0"/>
    <xf numFmtId="0" fontId="50" fillId="71" borderId="235" applyNumberFormat="0" applyAlignment="0" applyProtection="0"/>
    <xf numFmtId="0" fontId="56" fillId="0" borderId="0"/>
    <xf numFmtId="0" fontId="19" fillId="5" borderId="0" applyNumberFormat="0" applyBorder="0" applyAlignment="0" applyProtection="0"/>
    <xf numFmtId="0" fontId="36" fillId="6" borderId="0" applyNumberFormat="0" applyBorder="0" applyAlignment="0" applyProtection="0"/>
    <xf numFmtId="0" fontId="444" fillId="0" borderId="0" applyNumberFormat="0" applyFill="0" applyBorder="0" applyAlignment="0" applyProtection="0"/>
    <xf numFmtId="0" fontId="29" fillId="0" borderId="0" applyNumberFormat="0" applyFill="0" applyBorder="0" applyAlignment="0" applyProtection="0"/>
    <xf numFmtId="0" fontId="15" fillId="26" borderId="234" applyNumberFormat="0" applyFont="0" applyAlignment="0" applyProtection="0"/>
    <xf numFmtId="0" fontId="46" fillId="25" borderId="0" applyNumberFormat="0" applyBorder="0" applyAlignment="0" applyProtection="0"/>
    <xf numFmtId="0" fontId="56" fillId="0" borderId="0"/>
    <xf numFmtId="0" fontId="56" fillId="0" borderId="0"/>
    <xf numFmtId="0" fontId="56" fillId="0" borderId="0"/>
    <xf numFmtId="0" fontId="15" fillId="26" borderId="234" applyNumberFormat="0" applyFont="0" applyAlignment="0" applyProtection="0"/>
    <xf numFmtId="0" fontId="56" fillId="0" borderId="0"/>
    <xf numFmtId="0" fontId="22" fillId="0" borderId="0"/>
    <xf numFmtId="0" fontId="22" fillId="0" borderId="0"/>
    <xf numFmtId="0" fontId="45" fillId="0" borderId="8" applyNumberFormat="0" applyFill="0" applyAlignment="0" applyProtection="0"/>
    <xf numFmtId="0" fontId="22" fillId="0" borderId="0"/>
    <xf numFmtId="0" fontId="45" fillId="0" borderId="8" applyNumberFormat="0" applyFill="0" applyAlignment="0" applyProtection="0"/>
    <xf numFmtId="0" fontId="445" fillId="23" borderId="4" applyNumberFormat="0" applyAlignment="0" applyProtection="0"/>
    <xf numFmtId="0" fontId="62" fillId="0" borderId="0" applyNumberFormat="0" applyFill="0" applyBorder="0" applyAlignment="0" applyProtection="0"/>
    <xf numFmtId="4" fontId="49" fillId="27" borderId="14" applyBorder="0">
      <alignment horizontal="right"/>
    </xf>
    <xf numFmtId="4" fontId="49" fillId="27" borderId="14" applyBorder="0">
      <alignment horizontal="right"/>
    </xf>
    <xf numFmtId="3" fontId="24" fillId="0" borderId="14" applyBorder="0">
      <alignment vertical="center"/>
    </xf>
    <xf numFmtId="3" fontId="24" fillId="0" borderId="14" applyBorder="0">
      <alignment vertical="center"/>
    </xf>
    <xf numFmtId="172" fontId="72" fillId="3" borderId="14">
      <alignment wrapText="1"/>
    </xf>
    <xf numFmtId="172" fontId="72" fillId="3" borderId="14">
      <alignment wrapText="1"/>
    </xf>
    <xf numFmtId="0" fontId="73" fillId="0" borderId="0"/>
    <xf numFmtId="0" fontId="22" fillId="0" borderId="0"/>
    <xf numFmtId="0" fontId="7" fillId="0" borderId="0"/>
    <xf numFmtId="0" fontId="7" fillId="0" borderId="0"/>
    <xf numFmtId="0" fontId="10" fillId="0" borderId="0">
      <alignment horizontal="left"/>
    </xf>
    <xf numFmtId="0" fontId="22" fillId="0" borderId="0"/>
    <xf numFmtId="4" fontId="7" fillId="0" borderId="0">
      <alignment vertical="center"/>
    </xf>
    <xf numFmtId="0" fontId="22" fillId="0" borderId="0"/>
    <xf numFmtId="0" fontId="22" fillId="0" borderId="0"/>
    <xf numFmtId="0" fontId="7" fillId="0" borderId="0"/>
    <xf numFmtId="0" fontId="1" fillId="0" borderId="0"/>
    <xf numFmtId="0" fontId="1" fillId="0" borderId="0"/>
    <xf numFmtId="0" fontId="7" fillId="0" borderId="0"/>
    <xf numFmtId="0" fontId="7" fillId="0" borderId="0"/>
    <xf numFmtId="0" fontId="1" fillId="0" borderId="0"/>
    <xf numFmtId="0" fontId="7" fillId="0" borderId="0"/>
    <xf numFmtId="0" fontId="1" fillId="0" borderId="0"/>
    <xf numFmtId="0" fontId="7" fillId="0" borderId="0"/>
    <xf numFmtId="0" fontId="1" fillId="0" borderId="0"/>
    <xf numFmtId="0" fontId="1" fillId="0" borderId="0"/>
    <xf numFmtId="0" fontId="15" fillId="0" borderId="0"/>
    <xf numFmtId="0" fontId="333" fillId="0" borderId="0"/>
    <xf numFmtId="0" fontId="1" fillId="0" borderId="0"/>
    <xf numFmtId="4" fontId="7" fillId="0" borderId="0">
      <alignment vertical="center"/>
    </xf>
    <xf numFmtId="0" fontId="15" fillId="0" borderId="0"/>
    <xf numFmtId="0" fontId="15" fillId="0" borderId="0"/>
    <xf numFmtId="49" fontId="49" fillId="0" borderId="0" applyBorder="0">
      <alignment vertical="top"/>
    </xf>
    <xf numFmtId="0" fontId="22" fillId="0" borderId="0"/>
    <xf numFmtId="4" fontId="7" fillId="0" borderId="0">
      <alignment vertical="center"/>
    </xf>
    <xf numFmtId="0" fontId="1" fillId="0" borderId="0"/>
    <xf numFmtId="0" fontId="1" fillId="0" borderId="0"/>
    <xf numFmtId="0" fontId="1" fillId="0" borderId="0"/>
    <xf numFmtId="0" fontId="22" fillId="0" borderId="0"/>
    <xf numFmtId="49" fontId="49" fillId="0" borderId="0" applyBorder="0">
      <alignment vertical="top"/>
    </xf>
    <xf numFmtId="0" fontId="100" fillId="0" borderId="0"/>
    <xf numFmtId="49" fontId="49" fillId="0" borderId="0" applyBorder="0">
      <alignment vertical="top"/>
    </xf>
    <xf numFmtId="0" fontId="1" fillId="0" borderId="0"/>
    <xf numFmtId="49" fontId="49" fillId="0" borderId="0" applyBorder="0">
      <alignment vertical="top"/>
    </xf>
    <xf numFmtId="0" fontId="1" fillId="0" borderId="0"/>
    <xf numFmtId="49" fontId="49" fillId="0" borderId="0" applyBorder="0">
      <alignment vertical="top"/>
    </xf>
    <xf numFmtId="0" fontId="1" fillId="0" borderId="0"/>
    <xf numFmtId="49" fontId="49" fillId="0" borderId="0" applyBorder="0">
      <alignment vertical="top"/>
    </xf>
    <xf numFmtId="0" fontId="22" fillId="0" borderId="0"/>
    <xf numFmtId="9" fontId="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90" fontId="10" fillId="0" borderId="0">
      <alignment vertical="top"/>
    </xf>
    <xf numFmtId="38" fontId="10" fillId="0" borderId="0">
      <alignment vertical="top"/>
    </xf>
    <xf numFmtId="4" fontId="8" fillId="0" borderId="0">
      <alignment vertical="center"/>
    </xf>
    <xf numFmtId="0" fontId="15" fillId="71" borderId="0" applyNumberFormat="0" applyBorder="0" applyAlignment="0" applyProtection="0"/>
    <xf numFmtId="0" fontId="9" fillId="0" borderId="0"/>
    <xf numFmtId="0" fontId="15" fillId="71" borderId="0" applyNumberFormat="0" applyBorder="0" applyAlignment="0" applyProtection="0"/>
    <xf numFmtId="0" fontId="15" fillId="22" borderId="0" applyNumberFormat="0" applyBorder="0" applyAlignment="0" applyProtection="0"/>
    <xf numFmtId="0" fontId="15" fillId="10" borderId="0" applyNumberFormat="0" applyBorder="0" applyAlignment="0" applyProtection="0"/>
    <xf numFmtId="0" fontId="15" fillId="9" borderId="0" applyNumberFormat="0" applyBorder="0" applyAlignment="0" applyProtection="0"/>
    <xf numFmtId="0" fontId="446" fillId="16" borderId="0" applyNumberFormat="0" applyBorder="0" applyAlignment="0" applyProtection="0"/>
    <xf numFmtId="0" fontId="446" fillId="11" borderId="0" applyNumberFormat="0" applyBorder="0" applyAlignment="0" applyProtection="0"/>
    <xf numFmtId="0" fontId="446" fillId="25" borderId="0" applyNumberFormat="0" applyBorder="0" applyAlignment="0" applyProtection="0"/>
    <xf numFmtId="0" fontId="446" fillId="22" borderId="0" applyNumberFormat="0" applyBorder="0" applyAlignment="0" applyProtection="0"/>
    <xf numFmtId="0" fontId="446" fillId="16" borderId="0" applyNumberFormat="0" applyBorder="0" applyAlignment="0" applyProtection="0"/>
    <xf numFmtId="0" fontId="446" fillId="9" borderId="0" applyNumberFormat="0" applyBorder="0" applyAlignment="0" applyProtection="0"/>
    <xf numFmtId="0" fontId="56" fillId="0" borderId="0"/>
    <xf numFmtId="0" fontId="15" fillId="26" borderId="0" applyNumberFormat="0" applyBorder="0" applyAlignment="0" applyProtection="0"/>
    <xf numFmtId="0" fontId="15" fillId="71"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22" borderId="0" applyNumberFormat="0" applyBorder="0" applyAlignment="0" applyProtection="0"/>
    <xf numFmtId="0" fontId="15" fillId="11" borderId="0" applyNumberFormat="0" applyBorder="0" applyAlignment="0" applyProtection="0"/>
    <xf numFmtId="0" fontId="15" fillId="25" borderId="0" applyNumberFormat="0" applyBorder="0" applyAlignment="0" applyProtection="0"/>
    <xf numFmtId="165" fontId="1" fillId="0" borderId="0" applyFont="0" applyFill="0" applyBorder="0" applyAlignment="0" applyProtection="0"/>
    <xf numFmtId="165" fontId="15"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 fontId="49" fillId="3" borderId="14" applyFont="0" applyBorder="0">
      <alignment horizontal="right"/>
    </xf>
    <xf numFmtId="4" fontId="49" fillId="3" borderId="14" applyFont="0" applyBorder="0">
      <alignment horizontal="right"/>
    </xf>
    <xf numFmtId="170" fontId="7" fillId="0" borderId="14" applyFont="0" applyFill="0" applyBorder="0" applyProtection="0">
      <alignment horizontal="center" vertical="center"/>
    </xf>
    <xf numFmtId="170" fontId="7" fillId="0" borderId="14" applyFont="0" applyFill="0" applyBorder="0" applyProtection="0">
      <alignment horizontal="center" vertical="center"/>
    </xf>
    <xf numFmtId="186" fontId="13" fillId="0" borderId="0">
      <protection locked="0"/>
    </xf>
    <xf numFmtId="0" fontId="18" fillId="0" borderId="14" applyBorder="0">
      <alignment horizontal="center" vertical="center" wrapText="1"/>
    </xf>
    <xf numFmtId="0" fontId="18" fillId="0" borderId="14" applyBorder="0">
      <alignment horizontal="center" vertical="center" wrapText="1"/>
    </xf>
    <xf numFmtId="0" fontId="22" fillId="0" borderId="0"/>
    <xf numFmtId="0" fontId="22" fillId="0" borderId="0"/>
    <xf numFmtId="0" fontId="22" fillId="0" borderId="0"/>
    <xf numFmtId="0" fontId="22" fillId="0" borderId="0"/>
    <xf numFmtId="0" fontId="62" fillId="0" borderId="0" applyNumberFormat="0" applyFill="0" applyBorder="0" applyAlignment="0" applyProtection="0"/>
    <xf numFmtId="0" fontId="56" fillId="0" borderId="0"/>
    <xf numFmtId="197" fontId="7" fillId="0" borderId="0" applyFont="0" applyFill="0" applyBorder="0" applyAlignment="0" applyProtection="0"/>
    <xf numFmtId="0" fontId="56" fillId="0" borderId="0"/>
    <xf numFmtId="0" fontId="56" fillId="0" borderId="0"/>
    <xf numFmtId="0" fontId="60" fillId="0" borderId="0" applyNumberFormat="0" applyFill="0" applyBorder="0" applyAlignment="0" applyProtection="0"/>
    <xf numFmtId="0" fontId="29" fillId="0" borderId="0" applyNumberFormat="0" applyFill="0" applyBorder="0" applyAlignment="0" applyProtection="0"/>
    <xf numFmtId="0" fontId="46" fillId="25" borderId="0" applyNumberFormat="0" applyBorder="0" applyAlignment="0" applyProtection="0"/>
    <xf numFmtId="0" fontId="7" fillId="0" borderId="0"/>
    <xf numFmtId="165" fontId="7" fillId="0" borderId="0" applyFont="0" applyFill="0" applyBorder="0" applyAlignment="0" applyProtection="0"/>
    <xf numFmtId="0" fontId="15" fillId="0" borderId="0"/>
    <xf numFmtId="0" fontId="15" fillId="6" borderId="0" applyNumberFormat="0" applyBorder="0" applyAlignment="0" applyProtection="0"/>
    <xf numFmtId="0" fontId="22" fillId="0" borderId="0"/>
    <xf numFmtId="0" fontId="15" fillId="0" borderId="0"/>
    <xf numFmtId="257" fontId="18" fillId="0" borderId="0" applyFill="0" applyBorder="0" applyAlignment="0" applyProtection="0"/>
    <xf numFmtId="0" fontId="22" fillId="0" borderId="0"/>
    <xf numFmtId="0" fontId="16" fillId="17" borderId="0" applyNumberFormat="0" applyBorder="0" applyAlignment="0" applyProtection="0"/>
    <xf numFmtId="0" fontId="16" fillId="17" borderId="0" applyNumberFormat="0" applyBorder="0" applyAlignment="0" applyProtection="0"/>
    <xf numFmtId="0" fontId="45" fillId="0" borderId="8" applyNumberFormat="0" applyFill="0" applyAlignment="0" applyProtection="0"/>
    <xf numFmtId="0" fontId="56" fillId="0" borderId="0"/>
    <xf numFmtId="258" fontId="18" fillId="0" borderId="0" applyFill="0" applyBorder="0" applyAlignment="0" applyProtection="0"/>
    <xf numFmtId="258" fontId="18" fillId="0" borderId="0" applyFill="0" applyBorder="0" applyAlignment="0" applyProtection="0"/>
    <xf numFmtId="0" fontId="487" fillId="0" borderId="0" applyFill="0" applyBorder="0"/>
    <xf numFmtId="0" fontId="499" fillId="0" borderId="0" applyFill="0" applyBorder="0"/>
    <xf numFmtId="49" fontId="478" fillId="0" borderId="0" applyFill="0" applyBorder="0">
      <alignment vertical="top"/>
    </xf>
    <xf numFmtId="0" fontId="22" fillId="0" borderId="0"/>
    <xf numFmtId="0" fontId="7" fillId="0" borderId="0"/>
    <xf numFmtId="0" fontId="510" fillId="0" borderId="0"/>
    <xf numFmtId="0" fontId="22" fillId="0" borderId="0"/>
    <xf numFmtId="0" fontId="7" fillId="0" borderId="0"/>
    <xf numFmtId="0" fontId="7" fillId="0" borderId="0"/>
  </cellStyleXfs>
  <cellXfs count="4857">
    <xf numFmtId="0" fontId="0" fillId="0" borderId="0" xfId="0" applyNumberFormat="1" applyAlignment="1"/>
    <xf numFmtId="168" fontId="8" fillId="0" borderId="0" xfId="0" applyNumberFormat="1" applyFont="1">
      <alignment vertical="center"/>
    </xf>
    <xf numFmtId="4" fontId="8" fillId="0" borderId="0" xfId="0" applyFont="1">
      <alignment vertical="center"/>
    </xf>
    <xf numFmtId="4" fontId="78" fillId="0" borderId="0" xfId="0" applyFont="1">
      <alignment vertical="center"/>
    </xf>
    <xf numFmtId="165" fontId="78" fillId="0" borderId="0" xfId="0" applyNumberFormat="1" applyFont="1">
      <alignment vertical="center"/>
    </xf>
    <xf numFmtId="4" fontId="78" fillId="0" borderId="17" xfId="0" applyFont="1" applyBorder="1">
      <alignment vertical="center"/>
    </xf>
    <xf numFmtId="4" fontId="78" fillId="27" borderId="18" xfId="0" applyFont="1" applyFill="1" applyBorder="1" applyAlignment="1">
      <alignment horizontal="center" vertical="center"/>
    </xf>
    <xf numFmtId="4" fontId="78" fillId="27" borderId="18" xfId="0" applyFont="1" applyFill="1" applyBorder="1" applyAlignment="1">
      <alignment horizontal="center" vertical="center" wrapText="1"/>
    </xf>
    <xf numFmtId="4" fontId="78" fillId="27" borderId="19" xfId="0" applyFont="1" applyFill="1" applyBorder="1" applyAlignment="1">
      <alignment horizontal="center" vertical="center"/>
    </xf>
    <xf numFmtId="3" fontId="78" fillId="0" borderId="20" xfId="0" applyNumberFormat="1" applyFont="1" applyBorder="1" applyAlignment="1">
      <alignment horizontal="center"/>
    </xf>
    <xf numFmtId="3" fontId="78" fillId="0" borderId="21" xfId="0" applyNumberFormat="1" applyFont="1" applyBorder="1" applyAlignment="1">
      <alignment horizontal="center"/>
    </xf>
    <xf numFmtId="3" fontId="78" fillId="27" borderId="21" xfId="0" applyNumberFormat="1" applyFont="1" applyFill="1" applyBorder="1" applyAlignment="1">
      <alignment horizontal="center"/>
    </xf>
    <xf numFmtId="3" fontId="78" fillId="27" borderId="22" xfId="0" applyNumberFormat="1" applyFont="1" applyFill="1" applyBorder="1" applyAlignment="1">
      <alignment horizontal="center"/>
    </xf>
    <xf numFmtId="4" fontId="81" fillId="3" borderId="23" xfId="0" applyFont="1" applyFill="1" applyBorder="1" applyAlignment="1">
      <alignment horizontal="center" vertical="center" wrapText="1"/>
    </xf>
    <xf numFmtId="4" fontId="81" fillId="3" borderId="24" xfId="0" applyFont="1" applyFill="1" applyBorder="1" applyAlignment="1">
      <alignment horizontal="left" vertical="center" wrapText="1"/>
    </xf>
    <xf numFmtId="168" fontId="82" fillId="3" borderId="24" xfId="0" applyNumberFormat="1" applyFont="1" applyFill="1" applyBorder="1" applyAlignment="1">
      <alignment horizontal="right"/>
    </xf>
    <xf numFmtId="168" fontId="82" fillId="3" borderId="25" xfId="0" applyNumberFormat="1" applyFont="1" applyFill="1" applyBorder="1" applyAlignment="1">
      <alignment horizontal="right"/>
    </xf>
    <xf numFmtId="172" fontId="82" fillId="3" borderId="21" xfId="0" applyNumberFormat="1" applyFont="1" applyFill="1" applyBorder="1" applyAlignment="1">
      <alignment horizontal="center"/>
    </xf>
    <xf numFmtId="172" fontId="82" fillId="3" borderId="24" xfId="0" applyNumberFormat="1" applyFont="1" applyFill="1" applyBorder="1" applyAlignment="1">
      <alignment horizontal="center"/>
    </xf>
    <xf numFmtId="172" fontId="82" fillId="3" borderId="25" xfId="0" applyNumberFormat="1" applyFont="1" applyFill="1" applyBorder="1" applyAlignment="1">
      <alignment horizontal="center"/>
    </xf>
    <xf numFmtId="167" fontId="82" fillId="3" borderId="21" xfId="0" applyNumberFormat="1" applyFont="1" applyFill="1" applyBorder="1" applyAlignment="1">
      <alignment horizontal="right"/>
    </xf>
    <xf numFmtId="167" fontId="82" fillId="3" borderId="24" xfId="0" applyNumberFormat="1" applyFont="1" applyFill="1" applyBorder="1" applyAlignment="1">
      <alignment horizontal="right"/>
    </xf>
    <xf numFmtId="167" fontId="82" fillId="3" borderId="25" xfId="0" applyNumberFormat="1" applyFont="1" applyFill="1" applyBorder="1" applyAlignment="1">
      <alignment horizontal="right"/>
    </xf>
    <xf numFmtId="3" fontId="81" fillId="0" borderId="26" xfId="0" applyNumberFormat="1" applyFont="1" applyFill="1" applyBorder="1" applyAlignment="1">
      <alignment horizontal="center" vertical="center" wrapText="1"/>
    </xf>
    <xf numFmtId="4" fontId="81" fillId="46" borderId="27" xfId="0" applyFont="1" applyFill="1" applyBorder="1" applyAlignment="1">
      <alignment horizontal="left" vertical="center" wrapText="1"/>
    </xf>
    <xf numFmtId="168" fontId="82" fillId="46" borderId="27" xfId="0" applyNumberFormat="1" applyFont="1" applyFill="1" applyBorder="1" applyAlignment="1">
      <alignment horizontal="right"/>
    </xf>
    <xf numFmtId="168" fontId="82" fillId="0" borderId="28" xfId="0" applyNumberFormat="1" applyFont="1" applyFill="1" applyBorder="1" applyAlignment="1">
      <alignment horizontal="right"/>
    </xf>
    <xf numFmtId="168" fontId="83" fillId="0" borderId="28" xfId="0" applyNumberFormat="1" applyFont="1" applyFill="1" applyBorder="1" applyAlignment="1">
      <alignment horizontal="right"/>
    </xf>
    <xf numFmtId="172" fontId="82" fillId="0" borderId="28" xfId="0" applyNumberFormat="1" applyFont="1" applyFill="1" applyBorder="1" applyAlignment="1">
      <alignment horizontal="center"/>
    </xf>
    <xf numFmtId="167" fontId="82" fillId="0" borderId="27" xfId="0" applyNumberFormat="1" applyFont="1" applyBorder="1" applyAlignment="1">
      <alignment horizontal="right"/>
    </xf>
    <xf numFmtId="167" fontId="83" fillId="0" borderId="27" xfId="0" applyNumberFormat="1" applyFont="1" applyBorder="1" applyAlignment="1">
      <alignment horizontal="right"/>
    </xf>
    <xf numFmtId="4" fontId="81" fillId="0" borderId="29" xfId="0" applyFont="1" applyFill="1" applyBorder="1" applyAlignment="1">
      <alignment horizontal="center" vertical="center" wrapText="1"/>
    </xf>
    <xf numFmtId="4" fontId="84" fillId="46" borderId="27" xfId="0" applyFont="1" applyFill="1" applyBorder="1" applyAlignment="1">
      <alignment horizontal="left" vertical="center" wrapText="1"/>
    </xf>
    <xf numFmtId="168" fontId="83" fillId="46" borderId="27" xfId="0" applyNumberFormat="1" applyFont="1" applyFill="1" applyBorder="1" applyAlignment="1">
      <alignment horizontal="right"/>
    </xf>
    <xf numFmtId="168" fontId="82" fillId="0" borderId="29" xfId="0" applyNumberFormat="1" applyFont="1" applyFill="1" applyBorder="1" applyAlignment="1">
      <alignment horizontal="right"/>
    </xf>
    <xf numFmtId="180" fontId="83" fillId="0" borderId="28" xfId="0" applyNumberFormat="1" applyFont="1" applyFill="1" applyBorder="1" applyAlignment="1">
      <alignment horizontal="center"/>
    </xf>
    <xf numFmtId="180" fontId="82" fillId="0" borderId="28" xfId="0" applyNumberFormat="1" applyFont="1" applyFill="1" applyBorder="1" applyAlignment="1">
      <alignment horizontal="center"/>
    </xf>
    <xf numFmtId="167" fontId="83" fillId="0" borderId="28" xfId="0" applyNumberFormat="1" applyFont="1" applyFill="1" applyBorder="1" applyAlignment="1">
      <alignment horizontal="right"/>
    </xf>
    <xf numFmtId="167" fontId="82" fillId="0" borderId="28" xfId="0" applyNumberFormat="1" applyFont="1" applyFill="1" applyBorder="1" applyAlignment="1">
      <alignment horizontal="right"/>
    </xf>
    <xf numFmtId="167" fontId="82" fillId="0" borderId="30" xfId="0" applyNumberFormat="1" applyFont="1" applyFill="1" applyBorder="1" applyAlignment="1">
      <alignment horizontal="right"/>
    </xf>
    <xf numFmtId="4" fontId="81" fillId="0" borderId="31" xfId="0" applyFont="1" applyFill="1" applyBorder="1" applyAlignment="1">
      <alignment horizontal="center" vertical="center" wrapText="1"/>
    </xf>
    <xf numFmtId="168" fontId="83" fillId="0" borderId="27" xfId="0" applyNumberFormat="1" applyFont="1" applyFill="1" applyBorder="1" applyAlignment="1">
      <alignment horizontal="right"/>
    </xf>
    <xf numFmtId="168" fontId="82" fillId="0" borderId="27" xfId="0" applyNumberFormat="1" applyFont="1" applyFill="1" applyBorder="1" applyAlignment="1">
      <alignment horizontal="right"/>
    </xf>
    <xf numFmtId="180" fontId="83" fillId="0" borderId="27" xfId="0" applyNumberFormat="1" applyFont="1" applyFill="1" applyBorder="1" applyAlignment="1">
      <alignment horizontal="center"/>
    </xf>
    <xf numFmtId="180" fontId="82" fillId="0" borderId="27" xfId="0" applyNumberFormat="1" applyFont="1" applyFill="1" applyBorder="1" applyAlignment="1">
      <alignment horizontal="center"/>
    </xf>
    <xf numFmtId="167" fontId="83" fillId="0" borderId="27" xfId="0" applyNumberFormat="1" applyFont="1" applyFill="1" applyBorder="1" applyAlignment="1">
      <alignment horizontal="right"/>
    </xf>
    <xf numFmtId="167" fontId="82" fillId="0" borderId="27" xfId="0" applyNumberFormat="1" applyFont="1" applyFill="1" applyBorder="1" applyAlignment="1">
      <alignment horizontal="right"/>
    </xf>
    <xf numFmtId="167" fontId="82" fillId="0" borderId="32" xfId="0" applyNumberFormat="1" applyFont="1" applyFill="1" applyBorder="1" applyAlignment="1">
      <alignment horizontal="right"/>
    </xf>
    <xf numFmtId="168" fontId="83" fillId="46" borderId="28" xfId="0" applyNumberFormat="1" applyFont="1" applyFill="1" applyBorder="1" applyAlignment="1">
      <alignment horizontal="right"/>
    </xf>
    <xf numFmtId="180" fontId="83" fillId="0" borderId="28" xfId="0" applyNumberFormat="1" applyFont="1" applyBorder="1" applyAlignment="1">
      <alignment horizontal="center"/>
    </xf>
    <xf numFmtId="180" fontId="83" fillId="0" borderId="27" xfId="0" applyNumberFormat="1" applyFont="1" applyBorder="1" applyAlignment="1">
      <alignment horizontal="center"/>
    </xf>
    <xf numFmtId="167" fontId="83" fillId="0" borderId="33" xfId="0" applyNumberFormat="1" applyFont="1" applyBorder="1" applyAlignment="1">
      <alignment horizontal="right"/>
    </xf>
    <xf numFmtId="167" fontId="83" fillId="0" borderId="0" xfId="0" applyNumberFormat="1" applyFont="1" applyFill="1" applyBorder="1" applyAlignment="1">
      <alignment horizontal="right"/>
    </xf>
    <xf numFmtId="4" fontId="84" fillId="46" borderId="32" xfId="0" applyFont="1" applyFill="1" applyBorder="1" applyAlignment="1">
      <alignment horizontal="left" vertical="center" wrapText="1"/>
    </xf>
    <xf numFmtId="168" fontId="83" fillId="0" borderId="27" xfId="0" applyNumberFormat="1" applyFont="1" applyBorder="1" applyAlignment="1">
      <alignment horizontal="right"/>
    </xf>
    <xf numFmtId="167" fontId="83" fillId="0" borderId="34" xfId="0" applyNumberFormat="1" applyFont="1" applyBorder="1" applyAlignment="1">
      <alignment horizontal="right"/>
    </xf>
    <xf numFmtId="167" fontId="83" fillId="0" borderId="35" xfId="0" applyNumberFormat="1" applyFont="1" applyBorder="1" applyAlignment="1">
      <alignment horizontal="right"/>
    </xf>
    <xf numFmtId="1" fontId="81" fillId="0" borderId="26" xfId="0" applyNumberFormat="1" applyFont="1" applyBorder="1" applyAlignment="1">
      <alignment horizontal="center" vertical="center" wrapText="1"/>
    </xf>
    <xf numFmtId="4" fontId="81" fillId="46" borderId="32" xfId="0" applyFont="1" applyFill="1" applyBorder="1" applyAlignment="1">
      <alignment horizontal="left" vertical="center" wrapText="1"/>
    </xf>
    <xf numFmtId="168" fontId="82" fillId="0" borderId="27" xfId="0" applyNumberFormat="1" applyFont="1" applyBorder="1" applyAlignment="1">
      <alignment horizontal="right"/>
    </xf>
    <xf numFmtId="167" fontId="82" fillId="0" borderId="34" xfId="0" applyNumberFormat="1" applyFont="1" applyBorder="1" applyAlignment="1">
      <alignment horizontal="right"/>
    </xf>
    <xf numFmtId="175" fontId="81" fillId="0" borderId="26" xfId="0" applyNumberFormat="1" applyFont="1" applyBorder="1" applyAlignment="1">
      <alignment horizontal="center" vertical="center" wrapText="1"/>
    </xf>
    <xf numFmtId="4" fontId="81" fillId="46" borderId="0" xfId="0" applyFont="1" applyFill="1" applyBorder="1" applyAlignment="1">
      <alignment horizontal="left" vertical="center" wrapText="1"/>
    </xf>
    <xf numFmtId="180" fontId="82" fillId="0" borderId="27" xfId="0" applyNumberFormat="1" applyFont="1" applyBorder="1" applyAlignment="1">
      <alignment horizontal="center"/>
    </xf>
    <xf numFmtId="4" fontId="85" fillId="0" borderId="0" xfId="0" applyFont="1">
      <alignment vertical="center"/>
    </xf>
    <xf numFmtId="167" fontId="82" fillId="0" borderId="35" xfId="0" applyNumberFormat="1" applyFont="1" applyBorder="1" applyAlignment="1">
      <alignment horizontal="right"/>
    </xf>
    <xf numFmtId="1" fontId="81" fillId="0" borderId="36" xfId="0" applyNumberFormat="1" applyFont="1" applyBorder="1" applyAlignment="1">
      <alignment horizontal="center" vertical="center" wrapText="1"/>
    </xf>
    <xf numFmtId="4" fontId="86" fillId="0" borderId="32" xfId="0" applyFont="1" applyFill="1" applyBorder="1">
      <alignment vertical="center"/>
    </xf>
    <xf numFmtId="4" fontId="87" fillId="0" borderId="37" xfId="0" applyFont="1" applyFill="1" applyBorder="1">
      <alignment vertical="center"/>
    </xf>
    <xf numFmtId="168" fontId="83" fillId="46" borderId="38" xfId="0" applyNumberFormat="1" applyFont="1" applyFill="1" applyBorder="1" applyAlignment="1">
      <alignment horizontal="right"/>
    </xf>
    <xf numFmtId="4" fontId="81" fillId="3" borderId="20" xfId="0" applyFont="1" applyFill="1" applyBorder="1" applyAlignment="1">
      <alignment horizontal="center"/>
    </xf>
    <xf numFmtId="4" fontId="88" fillId="3" borderId="25" xfId="0" applyFont="1" applyFill="1" applyBorder="1" applyAlignment="1">
      <alignment horizontal="left" vertical="center" wrapText="1"/>
    </xf>
    <xf numFmtId="168" fontId="86" fillId="3" borderId="21" xfId="0" applyNumberFormat="1" applyFont="1" applyFill="1" applyBorder="1" applyAlignment="1">
      <alignment horizontal="right"/>
    </xf>
    <xf numFmtId="167" fontId="82" fillId="3" borderId="22" xfId="0" applyNumberFormat="1" applyFont="1" applyFill="1" applyBorder="1" applyAlignment="1">
      <alignment horizontal="right"/>
    </xf>
    <xf numFmtId="3" fontId="88" fillId="0" borderId="13" xfId="0" applyNumberFormat="1" applyFont="1" applyFill="1" applyBorder="1" applyAlignment="1">
      <alignment horizontal="center"/>
    </xf>
    <xf numFmtId="0" fontId="75" fillId="0" borderId="39" xfId="1141" applyNumberFormat="1" applyFont="1" applyFill="1" applyBorder="1" applyAlignment="1" applyProtection="1">
      <alignment horizontal="left" vertical="top"/>
    </xf>
    <xf numFmtId="168" fontId="86" fillId="0" borderId="40" xfId="0" applyNumberFormat="1" applyFont="1" applyFill="1" applyBorder="1" applyAlignment="1">
      <alignment horizontal="right"/>
    </xf>
    <xf numFmtId="168" fontId="86" fillId="0" borderId="41" xfId="0" applyNumberFormat="1" applyFont="1" applyFill="1" applyBorder="1" applyAlignment="1">
      <alignment horizontal="right"/>
    </xf>
    <xf numFmtId="167" fontId="83" fillId="0" borderId="40" xfId="0" applyNumberFormat="1" applyFont="1" applyFill="1" applyBorder="1" applyAlignment="1">
      <alignment horizontal="right"/>
    </xf>
    <xf numFmtId="167" fontId="82" fillId="0" borderId="41" xfId="0" applyNumberFormat="1" applyFont="1" applyFill="1" applyBorder="1" applyAlignment="1">
      <alignment horizontal="right"/>
    </xf>
    <xf numFmtId="167" fontId="82" fillId="0" borderId="40" xfId="0" applyNumberFormat="1" applyFont="1" applyFill="1" applyBorder="1" applyAlignment="1">
      <alignment horizontal="right"/>
    </xf>
    <xf numFmtId="167" fontId="82" fillId="0" borderId="42" xfId="0" applyNumberFormat="1" applyFont="1" applyFill="1" applyBorder="1" applyAlignment="1">
      <alignment horizontal="right"/>
    </xf>
    <xf numFmtId="3" fontId="88" fillId="0" borderId="36" xfId="0" applyNumberFormat="1" applyFont="1" applyFill="1" applyBorder="1" applyAlignment="1">
      <alignment horizontal="center"/>
    </xf>
    <xf numFmtId="0" fontId="75" fillId="0" borderId="27" xfId="1141" applyNumberFormat="1" applyFont="1" applyFill="1" applyBorder="1" applyAlignment="1" applyProtection="1">
      <alignment horizontal="left" vertical="top"/>
    </xf>
    <xf numFmtId="168" fontId="86" fillId="0" borderId="27" xfId="0" applyNumberFormat="1" applyFont="1" applyFill="1" applyBorder="1" applyAlignment="1">
      <alignment horizontal="right"/>
    </xf>
    <xf numFmtId="167" fontId="82" fillId="0" borderId="43" xfId="0" applyNumberFormat="1" applyFont="1" applyFill="1" applyBorder="1" applyAlignment="1">
      <alignment horizontal="right"/>
    </xf>
    <xf numFmtId="167" fontId="82" fillId="0" borderId="44" xfId="0" applyNumberFormat="1" applyFont="1" applyFill="1" applyBorder="1" applyAlignment="1">
      <alignment horizontal="right"/>
    </xf>
    <xf numFmtId="3" fontId="88" fillId="0" borderId="45" xfId="0" applyNumberFormat="1" applyFont="1" applyFill="1" applyBorder="1" applyAlignment="1">
      <alignment horizontal="center"/>
    </xf>
    <xf numFmtId="0" fontId="75" fillId="0" borderId="37" xfId="1141" applyNumberFormat="1" applyFont="1" applyFill="1" applyBorder="1" applyAlignment="1" applyProtection="1">
      <alignment horizontal="left" vertical="top"/>
    </xf>
    <xf numFmtId="168" fontId="86" fillId="0" borderId="43" xfId="0" applyNumberFormat="1" applyFont="1" applyFill="1" applyBorder="1" applyAlignment="1">
      <alignment horizontal="right"/>
    </xf>
    <xf numFmtId="165" fontId="86" fillId="0" borderId="43" xfId="1342" applyFont="1" applyFill="1" applyBorder="1" applyAlignment="1">
      <alignment horizontal="right"/>
    </xf>
    <xf numFmtId="176" fontId="83" fillId="0" borderId="37" xfId="0" applyNumberFormat="1" applyFont="1" applyFill="1" applyBorder="1" applyAlignment="1">
      <alignment horizontal="center"/>
    </xf>
    <xf numFmtId="176" fontId="83" fillId="0" borderId="0" xfId="0" applyNumberFormat="1" applyFont="1" applyFill="1" applyBorder="1" applyAlignment="1">
      <alignment horizontal="center"/>
    </xf>
    <xf numFmtId="176" fontId="83" fillId="0" borderId="15" xfId="0" applyNumberFormat="1" applyFont="1" applyFill="1" applyBorder="1" applyAlignment="1">
      <alignment horizontal="center"/>
    </xf>
    <xf numFmtId="167" fontId="83" fillId="0" borderId="43" xfId="0" applyNumberFormat="1" applyFont="1" applyFill="1" applyBorder="1" applyAlignment="1">
      <alignment horizontal="right"/>
    </xf>
    <xf numFmtId="167" fontId="82" fillId="0" borderId="46" xfId="0" applyNumberFormat="1" applyFont="1" applyFill="1" applyBorder="1" applyAlignment="1">
      <alignment horizontal="right"/>
    </xf>
    <xf numFmtId="4" fontId="86" fillId="3" borderId="20" xfId="0" applyFont="1" applyFill="1" applyBorder="1" applyAlignment="1">
      <alignment horizontal="center"/>
    </xf>
    <xf numFmtId="4" fontId="86" fillId="3" borderId="25" xfId="0" applyFont="1" applyFill="1" applyBorder="1">
      <alignment vertical="center"/>
    </xf>
    <xf numFmtId="168" fontId="82" fillId="3" borderId="21" xfId="0" applyNumberFormat="1" applyFont="1" applyFill="1" applyBorder="1" applyAlignment="1">
      <alignment horizontal="right"/>
    </xf>
    <xf numFmtId="172" fontId="83" fillId="3" borderId="21" xfId="0" applyNumberFormat="1" applyFont="1" applyFill="1" applyBorder="1" applyAlignment="1">
      <alignment horizontal="center"/>
    </xf>
    <xf numFmtId="4" fontId="89" fillId="0" borderId="0" xfId="0" applyFont="1">
      <alignment vertical="center"/>
    </xf>
    <xf numFmtId="170" fontId="87" fillId="0" borderId="36" xfId="0" applyNumberFormat="1" applyFont="1" applyBorder="1" applyAlignment="1">
      <alignment horizontal="center"/>
    </xf>
    <xf numFmtId="4" fontId="87" fillId="0" borderId="32" xfId="0" applyFont="1" applyFill="1" applyBorder="1">
      <alignment vertical="center"/>
    </xf>
    <xf numFmtId="168" fontId="83" fillId="0" borderId="34" xfId="0" applyNumberFormat="1" applyFont="1" applyBorder="1" applyAlignment="1">
      <alignment horizontal="right"/>
    </xf>
    <xf numFmtId="4" fontId="87" fillId="0" borderId="36" xfId="0" applyNumberFormat="1" applyFont="1" applyBorder="1" applyAlignment="1">
      <alignment horizontal="center"/>
    </xf>
    <xf numFmtId="4" fontId="87" fillId="0" borderId="27" xfId="0" applyFont="1" applyFill="1" applyBorder="1">
      <alignment vertical="center"/>
    </xf>
    <xf numFmtId="168" fontId="83" fillId="0" borderId="47" xfId="0" applyNumberFormat="1" applyFont="1" applyFill="1" applyBorder="1" applyAlignment="1">
      <alignment horizontal="right"/>
    </xf>
    <xf numFmtId="4" fontId="87" fillId="0" borderId="28" xfId="0" applyFont="1" applyFill="1" applyBorder="1">
      <alignment vertical="center"/>
    </xf>
    <xf numFmtId="168" fontId="83" fillId="0" borderId="43" xfId="0" applyNumberFormat="1" applyFont="1" applyBorder="1" applyAlignment="1">
      <alignment horizontal="right"/>
    </xf>
    <xf numFmtId="170" fontId="86" fillId="0" borderId="36" xfId="0" applyNumberFormat="1" applyFont="1" applyBorder="1" applyAlignment="1">
      <alignment horizontal="center"/>
    </xf>
    <xf numFmtId="4" fontId="86" fillId="0" borderId="31" xfId="0" applyFont="1" applyBorder="1">
      <alignment vertical="center"/>
    </xf>
    <xf numFmtId="168" fontId="86" fillId="0" borderId="27" xfId="0" applyNumberFormat="1" applyFont="1" applyBorder="1" applyAlignment="1">
      <alignment horizontal="right"/>
    </xf>
    <xf numFmtId="168" fontId="86" fillId="46" borderId="27" xfId="0" applyNumberFormat="1" applyFont="1" applyFill="1" applyBorder="1" applyAlignment="1">
      <alignment horizontal="right"/>
    </xf>
    <xf numFmtId="180" fontId="83" fillId="0" borderId="31" xfId="0" applyNumberFormat="1" applyFont="1" applyBorder="1" applyAlignment="1">
      <alignment horizontal="center"/>
    </xf>
    <xf numFmtId="170" fontId="86" fillId="0" borderId="48" xfId="0" applyNumberFormat="1" applyFont="1" applyFill="1" applyBorder="1" applyAlignment="1">
      <alignment horizontal="center"/>
    </xf>
    <xf numFmtId="4" fontId="86" fillId="0" borderId="49" xfId="0" applyFont="1" applyFill="1" applyBorder="1">
      <alignment vertical="center"/>
    </xf>
    <xf numFmtId="168" fontId="82" fillId="0" borderId="27" xfId="0" applyNumberFormat="1" applyFont="1" applyFill="1" applyBorder="1" applyAlignment="1">
      <alignment horizontal="center"/>
    </xf>
    <xf numFmtId="172" fontId="82" fillId="0" borderId="27" xfId="0" applyNumberFormat="1" applyFont="1" applyFill="1" applyBorder="1" applyAlignment="1">
      <alignment horizontal="center"/>
    </xf>
    <xf numFmtId="179" fontId="82" fillId="0" borderId="27" xfId="0" applyNumberFormat="1" applyFont="1" applyFill="1" applyBorder="1" applyAlignment="1">
      <alignment horizontal="center"/>
    </xf>
    <xf numFmtId="170" fontId="87" fillId="0" borderId="36" xfId="0" applyNumberFormat="1" applyFont="1" applyFill="1" applyBorder="1" applyAlignment="1">
      <alignment horizontal="center"/>
    </xf>
    <xf numFmtId="4" fontId="90" fillId="0" borderId="27" xfId="0" applyFont="1" applyFill="1" applyBorder="1">
      <alignment vertical="center"/>
    </xf>
    <xf numFmtId="170" fontId="87" fillId="0" borderId="48" xfId="0" applyNumberFormat="1" applyFont="1" applyFill="1" applyBorder="1" applyAlignment="1">
      <alignment horizontal="center"/>
    </xf>
    <xf numFmtId="168" fontId="83" fillId="0" borderId="43" xfId="0" applyNumberFormat="1" applyFont="1" applyFill="1" applyBorder="1" applyAlignment="1">
      <alignment horizontal="right"/>
    </xf>
    <xf numFmtId="4" fontId="82" fillId="0" borderId="27" xfId="0" applyNumberFormat="1" applyFont="1" applyBorder="1" applyAlignment="1">
      <alignment horizontal="right"/>
    </xf>
    <xf numFmtId="170" fontId="86" fillId="0" borderId="45" xfId="0" applyNumberFormat="1" applyFont="1" applyBorder="1" applyAlignment="1">
      <alignment horizontal="center"/>
    </xf>
    <xf numFmtId="165" fontId="86" fillId="3" borderId="25" xfId="0" applyNumberFormat="1" applyFont="1" applyFill="1" applyBorder="1" applyAlignment="1">
      <alignment horizontal="left"/>
    </xf>
    <xf numFmtId="165" fontId="86" fillId="46" borderId="50" xfId="0" applyNumberFormat="1" applyFont="1" applyFill="1" applyBorder="1" applyAlignment="1">
      <alignment horizontal="center"/>
    </xf>
    <xf numFmtId="165" fontId="86" fillId="46" borderId="51" xfId="0" applyNumberFormat="1" applyFont="1" applyFill="1" applyBorder="1" applyAlignment="1">
      <alignment horizontal="left"/>
    </xf>
    <xf numFmtId="168" fontId="83" fillId="46" borderId="52" xfId="0" applyNumberFormat="1" applyFont="1" applyFill="1" applyBorder="1" applyAlignment="1">
      <alignment horizontal="right"/>
    </xf>
    <xf numFmtId="180" fontId="83" fillId="0" borderId="32" xfId="0" applyNumberFormat="1" applyFont="1" applyBorder="1" applyAlignment="1">
      <alignment horizontal="center"/>
    </xf>
    <xf numFmtId="168" fontId="86" fillId="3" borderId="20" xfId="0" applyNumberFormat="1" applyFont="1" applyFill="1" applyBorder="1" applyAlignment="1">
      <alignment horizontal="center"/>
    </xf>
    <xf numFmtId="165" fontId="86" fillId="3" borderId="23" xfId="0" applyNumberFormat="1" applyFont="1" applyFill="1" applyBorder="1" applyAlignment="1">
      <alignment horizontal="center"/>
    </xf>
    <xf numFmtId="172" fontId="83" fillId="3" borderId="24" xfId="0" applyNumberFormat="1" applyFont="1" applyFill="1" applyBorder="1" applyAlignment="1">
      <alignment horizontal="center"/>
    </xf>
    <xf numFmtId="165" fontId="86" fillId="3" borderId="53" xfId="0" applyNumberFormat="1" applyFont="1" applyFill="1" applyBorder="1" applyAlignment="1">
      <alignment horizontal="center"/>
    </xf>
    <xf numFmtId="172" fontId="83" fillId="3" borderId="54" xfId="0" applyNumberFormat="1" applyFont="1" applyFill="1" applyBorder="1" applyAlignment="1">
      <alignment horizontal="center"/>
    </xf>
    <xf numFmtId="172" fontId="83" fillId="3" borderId="17" xfId="0" applyNumberFormat="1" applyFont="1" applyFill="1" applyBorder="1" applyAlignment="1">
      <alignment horizontal="center"/>
    </xf>
    <xf numFmtId="165" fontId="91" fillId="0" borderId="0" xfId="0" applyNumberFormat="1" applyFont="1" applyFill="1" applyBorder="1" applyAlignment="1">
      <alignment horizontal="center"/>
    </xf>
    <xf numFmtId="168" fontId="91" fillId="0" borderId="0" xfId="0" applyNumberFormat="1" applyFont="1" applyFill="1" applyBorder="1" applyAlignment="1">
      <alignment horizontal="left"/>
    </xf>
    <xf numFmtId="168" fontId="91" fillId="0" borderId="0" xfId="0" applyNumberFormat="1" applyFont="1" applyFill="1" applyBorder="1" applyAlignment="1">
      <alignment horizontal="center"/>
    </xf>
    <xf numFmtId="167" fontId="92" fillId="0" borderId="0" xfId="0" applyNumberFormat="1" applyFont="1" applyFill="1" applyBorder="1" applyAlignment="1">
      <alignment horizontal="center"/>
    </xf>
    <xf numFmtId="167" fontId="91" fillId="0" borderId="0" xfId="0" applyNumberFormat="1" applyFont="1" applyFill="1" applyBorder="1" applyAlignment="1">
      <alignment horizontal="center"/>
    </xf>
    <xf numFmtId="169" fontId="91" fillId="0" borderId="0" xfId="0" applyNumberFormat="1" applyFont="1" applyFill="1" applyBorder="1" applyAlignment="1">
      <alignment horizontal="center"/>
    </xf>
    <xf numFmtId="4" fontId="89" fillId="0" borderId="0" xfId="0" applyFont="1" applyFill="1">
      <alignment vertical="center"/>
    </xf>
    <xf numFmtId="4" fontId="8" fillId="0" borderId="0" xfId="0" applyFont="1" applyFill="1">
      <alignment vertical="center"/>
    </xf>
    <xf numFmtId="165" fontId="91" fillId="0" borderId="0" xfId="0" applyNumberFormat="1" applyFont="1" applyFill="1" applyBorder="1" applyAlignment="1">
      <alignment horizontal="left"/>
    </xf>
    <xf numFmtId="168" fontId="83" fillId="0" borderId="0" xfId="1342" applyNumberFormat="1" applyFont="1" applyFill="1"/>
    <xf numFmtId="1" fontId="8" fillId="0" borderId="0" xfId="0" applyNumberFormat="1" applyFont="1" applyFill="1">
      <alignment vertical="center"/>
    </xf>
    <xf numFmtId="1" fontId="91" fillId="0" borderId="0" xfId="0" applyNumberFormat="1" applyFont="1" applyFill="1" applyBorder="1" applyAlignment="1">
      <alignment horizontal="center"/>
    </xf>
    <xf numFmtId="4" fontId="8" fillId="0" borderId="0" xfId="0" applyFont="1" applyFill="1" applyBorder="1">
      <alignment vertical="center"/>
    </xf>
    <xf numFmtId="4" fontId="8" fillId="0" borderId="55" xfId="0" applyFont="1" applyFill="1" applyBorder="1">
      <alignment vertical="center"/>
    </xf>
    <xf numFmtId="4" fontId="78" fillId="0" borderId="0" xfId="0" applyFont="1" applyFill="1" applyBorder="1" applyAlignment="1">
      <alignment horizontal="center"/>
    </xf>
    <xf numFmtId="4" fontId="69" fillId="0" borderId="0" xfId="0" applyFont="1" applyFill="1" applyBorder="1" applyAlignment="1">
      <alignment horizontal="center"/>
    </xf>
    <xf numFmtId="4" fontId="93" fillId="0" borderId="0" xfId="0" applyFont="1">
      <alignment vertical="center"/>
    </xf>
    <xf numFmtId="4" fontId="78" fillId="0" borderId="0" xfId="0" applyFont="1" applyAlignment="1">
      <alignment horizontal="center"/>
    </xf>
    <xf numFmtId="170" fontId="86" fillId="27" borderId="36" xfId="0" applyNumberFormat="1" applyFont="1" applyFill="1" applyBorder="1" applyAlignment="1">
      <alignment horizontal="center"/>
    </xf>
    <xf numFmtId="4" fontId="86" fillId="27" borderId="0" xfId="0" applyFont="1" applyFill="1" applyBorder="1">
      <alignment vertical="center"/>
    </xf>
    <xf numFmtId="168" fontId="82" fillId="27" borderId="27" xfId="0" applyNumberFormat="1" applyFont="1" applyFill="1" applyBorder="1" applyAlignment="1">
      <alignment horizontal="right"/>
    </xf>
    <xf numFmtId="180" fontId="83" fillId="27" borderId="27" xfId="0" applyNumberFormat="1" applyFont="1" applyFill="1" applyBorder="1" applyAlignment="1">
      <alignment horizontal="center"/>
    </xf>
    <xf numFmtId="180" fontId="83" fillId="27" borderId="31" xfId="0" applyNumberFormat="1" applyFont="1" applyFill="1" applyBorder="1" applyAlignment="1">
      <alignment horizontal="center"/>
    </xf>
    <xf numFmtId="4" fontId="82" fillId="27" borderId="27" xfId="0" applyNumberFormat="1" applyFont="1" applyFill="1" applyBorder="1" applyAlignment="1">
      <alignment horizontal="right"/>
    </xf>
    <xf numFmtId="0" fontId="83" fillId="0" borderId="27" xfId="0" applyNumberFormat="1" applyFont="1" applyBorder="1" applyAlignment="1">
      <alignment horizontal="right"/>
    </xf>
    <xf numFmtId="0" fontId="83" fillId="0" borderId="34" xfId="0" applyNumberFormat="1" applyFont="1" applyBorder="1" applyAlignment="1">
      <alignment horizontal="right"/>
    </xf>
    <xf numFmtId="0" fontId="83" fillId="0" borderId="43" xfId="0" applyNumberFormat="1" applyFont="1" applyBorder="1" applyAlignment="1">
      <alignment horizontal="right"/>
    </xf>
    <xf numFmtId="0" fontId="83" fillId="0" borderId="27" xfId="0" applyNumberFormat="1" applyFont="1" applyFill="1" applyBorder="1" applyAlignment="1">
      <alignment horizontal="right"/>
    </xf>
    <xf numFmtId="0" fontId="83" fillId="0" borderId="43" xfId="0" applyNumberFormat="1" applyFont="1" applyFill="1" applyBorder="1" applyAlignment="1">
      <alignment horizontal="right"/>
    </xf>
    <xf numFmtId="4" fontId="82" fillId="3" borderId="25" xfId="0" applyNumberFormat="1" applyFont="1" applyFill="1" applyBorder="1" applyAlignment="1">
      <alignment horizontal="right"/>
    </xf>
    <xf numFmtId="4" fontId="82" fillId="3" borderId="21" xfId="0" applyNumberFormat="1" applyFont="1" applyFill="1" applyBorder="1" applyAlignment="1">
      <alignment horizontal="right"/>
    </xf>
    <xf numFmtId="199" fontId="83" fillId="0" borderId="27" xfId="0" applyNumberFormat="1" applyFont="1" applyFill="1" applyBorder="1" applyAlignment="1">
      <alignment horizontal="center"/>
    </xf>
    <xf numFmtId="199" fontId="83" fillId="0" borderId="31" xfId="0" applyNumberFormat="1" applyFont="1" applyFill="1" applyBorder="1" applyAlignment="1">
      <alignment horizontal="center"/>
    </xf>
    <xf numFmtId="4" fontId="94" fillId="0" borderId="29" xfId="0" applyFont="1" applyFill="1" applyBorder="1" applyAlignment="1">
      <alignment wrapText="1"/>
    </xf>
    <xf numFmtId="168" fontId="95" fillId="0" borderId="27" xfId="0" applyNumberFormat="1" applyFont="1" applyBorder="1" applyAlignment="1">
      <alignment horizontal="right"/>
    </xf>
    <xf numFmtId="168" fontId="95" fillId="0" borderId="28" xfId="0" applyNumberFormat="1" applyFont="1" applyFill="1" applyBorder="1" applyAlignment="1">
      <alignment horizontal="right"/>
    </xf>
    <xf numFmtId="180" fontId="95" fillId="0" borderId="27" xfId="0" applyNumberFormat="1" applyFont="1" applyFill="1" applyBorder="1" applyAlignment="1">
      <alignment horizontal="center"/>
    </xf>
    <xf numFmtId="180" fontId="95" fillId="0" borderId="28" xfId="0" applyNumberFormat="1" applyFont="1" applyFill="1" applyBorder="1" applyAlignment="1">
      <alignment horizontal="center"/>
    </xf>
    <xf numFmtId="180" fontId="95" fillId="0" borderId="29" xfId="0" applyNumberFormat="1" applyFont="1" applyFill="1" applyBorder="1" applyAlignment="1">
      <alignment horizontal="center"/>
    </xf>
    <xf numFmtId="4" fontId="83" fillId="0" borderId="27" xfId="0" applyNumberFormat="1" applyFont="1" applyBorder="1" applyAlignment="1">
      <alignment horizontal="right"/>
    </xf>
    <xf numFmtId="4" fontId="86" fillId="3" borderId="21" xfId="0" applyNumberFormat="1" applyFont="1" applyFill="1" applyBorder="1" applyAlignment="1">
      <alignment horizontal="right"/>
    </xf>
    <xf numFmtId="4" fontId="86" fillId="46" borderId="27" xfId="0" applyNumberFormat="1" applyFont="1" applyFill="1" applyBorder="1" applyAlignment="1">
      <alignment horizontal="right"/>
    </xf>
    <xf numFmtId="4" fontId="95" fillId="0" borderId="28" xfId="0" applyNumberFormat="1" applyFont="1" applyBorder="1" applyAlignment="1">
      <alignment horizontal="right"/>
    </xf>
    <xf numFmtId="4" fontId="95" fillId="0" borderId="27" xfId="0" applyNumberFormat="1" applyFont="1" applyBorder="1" applyAlignment="1">
      <alignment horizontal="right"/>
    </xf>
    <xf numFmtId="4" fontId="95" fillId="0" borderId="35" xfId="0" applyNumberFormat="1" applyFont="1" applyBorder="1" applyAlignment="1">
      <alignment horizontal="right"/>
    </xf>
    <xf numFmtId="4" fontId="82" fillId="0" borderId="27" xfId="0" applyNumberFormat="1" applyFont="1" applyFill="1" applyBorder="1" applyAlignment="1">
      <alignment horizontal="right"/>
    </xf>
    <xf numFmtId="4" fontId="83" fillId="0" borderId="27" xfId="0" applyNumberFormat="1" applyFont="1" applyFill="1" applyBorder="1" applyAlignment="1">
      <alignment horizontal="right"/>
    </xf>
    <xf numFmtId="4" fontId="83" fillId="0" borderId="28" xfId="0" applyNumberFormat="1" applyFont="1" applyBorder="1" applyAlignment="1">
      <alignment horizontal="right"/>
    </xf>
    <xf numFmtId="4" fontId="83" fillId="0" borderId="43" xfId="0" applyNumberFormat="1" applyFont="1" applyFill="1" applyBorder="1" applyAlignment="1">
      <alignment horizontal="right"/>
    </xf>
    <xf numFmtId="4" fontId="83" fillId="0" borderId="35" xfId="0" applyNumberFormat="1" applyFont="1" applyBorder="1" applyAlignment="1">
      <alignment horizontal="right"/>
    </xf>
    <xf numFmtId="168" fontId="95" fillId="0" borderId="27" xfId="0" applyNumberFormat="1" applyFont="1" applyFill="1" applyBorder="1" applyAlignment="1">
      <alignment horizontal="right"/>
    </xf>
    <xf numFmtId="180" fontId="83" fillId="0" borderId="27" xfId="0" applyNumberFormat="1" applyFont="1" applyFill="1" applyBorder="1" applyAlignment="1">
      <alignment horizontal="right"/>
    </xf>
    <xf numFmtId="180" fontId="83" fillId="0" borderId="27" xfId="0" applyNumberFormat="1" applyFont="1" applyBorder="1" applyAlignment="1">
      <alignment horizontal="right"/>
    </xf>
    <xf numFmtId="4" fontId="83" fillId="0" borderId="34" xfId="0" applyNumberFormat="1" applyFont="1" applyBorder="1" applyAlignment="1">
      <alignment horizontal="right"/>
    </xf>
    <xf numFmtId="4" fontId="82" fillId="3" borderId="22" xfId="0" applyNumberFormat="1" applyFont="1" applyFill="1" applyBorder="1" applyAlignment="1">
      <alignment horizontal="right"/>
    </xf>
    <xf numFmtId="4" fontId="87" fillId="46" borderId="27" xfId="0" applyNumberFormat="1" applyFont="1" applyFill="1" applyBorder="1" applyAlignment="1">
      <alignment horizontal="right"/>
    </xf>
    <xf numFmtId="4" fontId="87" fillId="46" borderId="28" xfId="0" applyNumberFormat="1" applyFont="1" applyFill="1" applyBorder="1" applyAlignment="1">
      <alignment horizontal="right"/>
    </xf>
    <xf numFmtId="168" fontId="87" fillId="46" borderId="27" xfId="0" applyNumberFormat="1" applyFont="1" applyFill="1" applyBorder="1" applyAlignment="1">
      <alignment horizontal="right"/>
    </xf>
    <xf numFmtId="180" fontId="82" fillId="0" borderId="31" xfId="0" applyNumberFormat="1" applyFont="1" applyBorder="1" applyAlignment="1">
      <alignment horizontal="center"/>
    </xf>
    <xf numFmtId="4" fontId="96" fillId="0" borderId="0" xfId="0" applyFont="1">
      <alignment vertical="center"/>
    </xf>
    <xf numFmtId="179" fontId="82" fillId="3" borderId="21" xfId="0" applyNumberFormat="1" applyFont="1" applyFill="1" applyBorder="1" applyAlignment="1">
      <alignment horizontal="center"/>
    </xf>
    <xf numFmtId="3" fontId="97" fillId="0" borderId="0" xfId="0" applyNumberFormat="1" applyFont="1">
      <alignment vertical="center"/>
    </xf>
    <xf numFmtId="4" fontId="90" fillId="0" borderId="29" xfId="0" applyFont="1" applyFill="1" applyBorder="1">
      <alignment vertical="center"/>
    </xf>
    <xf numFmtId="170" fontId="87" fillId="0" borderId="48" xfId="0" applyNumberFormat="1" applyFont="1" applyBorder="1" applyAlignment="1">
      <alignment horizontal="center"/>
    </xf>
    <xf numFmtId="167" fontId="86" fillId="46" borderId="27" xfId="0" applyNumberFormat="1" applyFont="1" applyFill="1" applyBorder="1" applyAlignment="1">
      <alignment horizontal="right"/>
    </xf>
    <xf numFmtId="180" fontId="198" fillId="0" borderId="27" xfId="0" applyNumberFormat="1" applyFont="1" applyFill="1" applyBorder="1" applyAlignment="1">
      <alignment horizontal="right"/>
    </xf>
    <xf numFmtId="167" fontId="82" fillId="0" borderId="32" xfId="0" applyNumberFormat="1" applyFont="1" applyBorder="1" applyAlignment="1">
      <alignment horizontal="right"/>
    </xf>
    <xf numFmtId="4" fontId="90" fillId="0" borderId="31" xfId="0" applyFont="1" applyBorder="1" applyAlignment="1">
      <alignment horizontal="right" vertical="center"/>
    </xf>
    <xf numFmtId="4" fontId="98" fillId="46" borderId="32" xfId="0" applyFont="1" applyFill="1" applyBorder="1" applyAlignment="1">
      <alignment horizontal="right" vertical="center" wrapText="1"/>
    </xf>
    <xf numFmtId="4" fontId="81" fillId="0" borderId="56" xfId="0" applyFont="1" applyFill="1" applyBorder="1" applyAlignment="1">
      <alignment horizontal="center" vertical="center" wrapText="1"/>
    </xf>
    <xf numFmtId="167" fontId="82" fillId="0" borderId="57" xfId="0" applyNumberFormat="1" applyFont="1" applyFill="1" applyBorder="1" applyAlignment="1">
      <alignment horizontal="right"/>
    </xf>
    <xf numFmtId="4" fontId="81" fillId="0" borderId="58" xfId="0" applyFont="1" applyFill="1" applyBorder="1" applyAlignment="1">
      <alignment horizontal="center" vertical="center" wrapText="1"/>
    </xf>
    <xf numFmtId="167" fontId="82" fillId="0" borderId="35" xfId="0" applyNumberFormat="1" applyFont="1" applyFill="1" applyBorder="1" applyAlignment="1">
      <alignment horizontal="right"/>
    </xf>
    <xf numFmtId="3" fontId="81" fillId="0" borderId="59" xfId="0" applyNumberFormat="1" applyFont="1" applyFill="1" applyBorder="1" applyAlignment="1">
      <alignment horizontal="center" vertical="center" wrapText="1"/>
    </xf>
    <xf numFmtId="1" fontId="81" fillId="0" borderId="59" xfId="0" applyNumberFormat="1" applyFont="1" applyBorder="1" applyAlignment="1">
      <alignment horizontal="center" vertical="center" wrapText="1"/>
    </xf>
    <xf numFmtId="167" fontId="82" fillId="0" borderId="60" xfId="0" applyNumberFormat="1" applyFont="1" applyBorder="1" applyAlignment="1">
      <alignment horizontal="right"/>
    </xf>
    <xf numFmtId="175" fontId="81" fillId="0" borderId="59" xfId="0" applyNumberFormat="1" applyFont="1" applyBorder="1" applyAlignment="1">
      <alignment horizontal="center" vertical="center" wrapText="1"/>
    </xf>
    <xf numFmtId="167" fontId="83" fillId="0" borderId="60" xfId="0" applyNumberFormat="1" applyFont="1" applyBorder="1" applyAlignment="1">
      <alignment horizontal="right"/>
    </xf>
    <xf numFmtId="4" fontId="86" fillId="3" borderId="22" xfId="0" applyNumberFormat="1" applyFont="1" applyFill="1" applyBorder="1" applyAlignment="1">
      <alignment horizontal="right"/>
    </xf>
    <xf numFmtId="4" fontId="86" fillId="46" borderId="35" xfId="0" applyNumberFormat="1" applyFont="1" applyFill="1" applyBorder="1" applyAlignment="1">
      <alignment horizontal="right"/>
    </xf>
    <xf numFmtId="4" fontId="87" fillId="46" borderId="57" xfId="0" applyNumberFormat="1" applyFont="1" applyFill="1" applyBorder="1" applyAlignment="1">
      <alignment horizontal="right"/>
    </xf>
    <xf numFmtId="4" fontId="82" fillId="0" borderId="35" xfId="0" applyNumberFormat="1" applyFont="1" applyFill="1" applyBorder="1" applyAlignment="1">
      <alignment horizontal="right"/>
    </xf>
    <xf numFmtId="4" fontId="83" fillId="0" borderId="35" xfId="0" applyNumberFormat="1" applyFont="1" applyFill="1" applyBorder="1" applyAlignment="1">
      <alignment horizontal="right"/>
    </xf>
    <xf numFmtId="167" fontId="83" fillId="0" borderId="35" xfId="0" applyNumberFormat="1" applyFont="1" applyFill="1" applyBorder="1" applyAlignment="1">
      <alignment horizontal="right"/>
    </xf>
    <xf numFmtId="167" fontId="83" fillId="0" borderId="28" xfId="0" applyNumberFormat="1" applyFont="1" applyBorder="1" applyAlignment="1">
      <alignment horizontal="right"/>
    </xf>
    <xf numFmtId="167" fontId="83" fillId="0" borderId="57" xfId="0" applyNumberFormat="1" applyFont="1" applyBorder="1" applyAlignment="1">
      <alignment horizontal="right"/>
    </xf>
    <xf numFmtId="4" fontId="81" fillId="46" borderId="28" xfId="0" applyFont="1" applyFill="1" applyBorder="1" applyAlignment="1">
      <alignment horizontal="left" vertical="center" wrapText="1"/>
    </xf>
    <xf numFmtId="168" fontId="82" fillId="46" borderId="28" xfId="0" applyNumberFormat="1" applyFont="1" applyFill="1" applyBorder="1" applyAlignment="1">
      <alignment horizontal="right"/>
    </xf>
    <xf numFmtId="167" fontId="82" fillId="0" borderId="28" xfId="0" applyNumberFormat="1" applyFont="1" applyBorder="1" applyAlignment="1">
      <alignment horizontal="right"/>
    </xf>
    <xf numFmtId="4" fontId="81" fillId="3" borderId="21" xfId="0" applyFont="1" applyFill="1" applyBorder="1" applyAlignment="1">
      <alignment horizontal="left" vertical="center" wrapText="1"/>
    </xf>
    <xf numFmtId="0" fontId="99" fillId="0" borderId="0" xfId="0" applyNumberFormat="1" applyFont="1" applyAlignment="1"/>
    <xf numFmtId="0" fontId="100" fillId="0" borderId="0" xfId="0" applyNumberFormat="1" applyFont="1" applyAlignment="1"/>
    <xf numFmtId="172" fontId="100" fillId="0" borderId="0" xfId="0" applyNumberFormat="1" applyFont="1" applyAlignment="1"/>
    <xf numFmtId="172" fontId="101" fillId="0" borderId="0" xfId="0" applyNumberFormat="1" applyFont="1" applyAlignment="1"/>
    <xf numFmtId="0" fontId="102" fillId="0" borderId="0" xfId="0" applyNumberFormat="1" applyFont="1" applyAlignment="1"/>
    <xf numFmtId="0" fontId="103" fillId="0" borderId="0" xfId="0" applyNumberFormat="1" applyFont="1" applyAlignment="1"/>
    <xf numFmtId="0" fontId="99" fillId="47" borderId="55" xfId="0" applyNumberFormat="1" applyFont="1" applyFill="1" applyBorder="1" applyAlignment="1"/>
    <xf numFmtId="0" fontId="99" fillId="47" borderId="61" xfId="0" applyNumberFormat="1" applyFont="1" applyFill="1" applyBorder="1" applyAlignment="1">
      <alignment horizontal="center"/>
    </xf>
    <xf numFmtId="0" fontId="105" fillId="0" borderId="62" xfId="0" applyNumberFormat="1" applyFont="1" applyFill="1" applyBorder="1" applyAlignment="1">
      <alignment horizontal="left"/>
    </xf>
    <xf numFmtId="0" fontId="105" fillId="0" borderId="61" xfId="0" applyNumberFormat="1" applyFont="1" applyFill="1" applyBorder="1" applyAlignment="1">
      <alignment horizontal="center"/>
    </xf>
    <xf numFmtId="172" fontId="105" fillId="0" borderId="63" xfId="1342" applyNumberFormat="1" applyFont="1" applyFill="1" applyBorder="1"/>
    <xf numFmtId="0" fontId="106" fillId="0" borderId="62" xfId="0" applyNumberFormat="1" applyFont="1" applyFill="1" applyBorder="1" applyAlignment="1">
      <alignment horizontal="left"/>
    </xf>
    <xf numFmtId="0" fontId="106" fillId="0" borderId="61" xfId="0" applyNumberFormat="1" applyFont="1" applyFill="1" applyBorder="1" applyAlignment="1">
      <alignment horizontal="center"/>
    </xf>
    <xf numFmtId="172" fontId="106" fillId="0" borderId="62" xfId="1342" applyNumberFormat="1" applyFont="1" applyFill="1" applyBorder="1"/>
    <xf numFmtId="172" fontId="106" fillId="0" borderId="63" xfId="1342" applyNumberFormat="1" applyFont="1" applyFill="1" applyBorder="1"/>
    <xf numFmtId="2" fontId="105" fillId="0" borderId="62" xfId="0" applyNumberFormat="1" applyFont="1" applyFill="1" applyBorder="1" applyAlignment="1">
      <alignment horizontal="left" wrapText="1"/>
    </xf>
    <xf numFmtId="0" fontId="107" fillId="24" borderId="62" xfId="0" applyNumberFormat="1" applyFont="1" applyFill="1" applyBorder="1" applyAlignment="1">
      <alignment horizontal="left"/>
    </xf>
    <xf numFmtId="0" fontId="104" fillId="24" borderId="61" xfId="0" applyNumberFormat="1" applyFont="1" applyFill="1" applyBorder="1" applyAlignment="1">
      <alignment horizontal="center"/>
    </xf>
    <xf numFmtId="172" fontId="199" fillId="24" borderId="63" xfId="1342" applyNumberFormat="1" applyFont="1" applyFill="1" applyBorder="1"/>
    <xf numFmtId="0" fontId="200" fillId="24" borderId="62" xfId="0" applyNumberFormat="1" applyFont="1" applyFill="1" applyBorder="1" applyAlignment="1"/>
    <xf numFmtId="0" fontId="201" fillId="0" borderId="14" xfId="0" applyNumberFormat="1" applyFont="1" applyBorder="1" applyAlignment="1">
      <alignment horizontal="center"/>
    </xf>
    <xf numFmtId="0" fontId="104" fillId="46" borderId="61" xfId="0" applyNumberFormat="1" applyFont="1" applyFill="1" applyBorder="1" applyAlignment="1">
      <alignment horizontal="center"/>
    </xf>
    <xf numFmtId="172" fontId="199" fillId="0" borderId="63" xfId="1342" applyNumberFormat="1" applyFont="1" applyFill="1" applyBorder="1"/>
    <xf numFmtId="0" fontId="202" fillId="0" borderId="62" xfId="0" applyNumberFormat="1" applyFont="1" applyFill="1" applyBorder="1" applyAlignment="1">
      <alignment horizontal="right"/>
    </xf>
    <xf numFmtId="0" fontId="203" fillId="0" borderId="61" xfId="0" applyNumberFormat="1" applyFont="1" applyFill="1" applyBorder="1" applyAlignment="1">
      <alignment horizontal="center"/>
    </xf>
    <xf numFmtId="172" fontId="203" fillId="0" borderId="63" xfId="1342" applyNumberFormat="1" applyFont="1" applyFill="1" applyBorder="1"/>
    <xf numFmtId="0" fontId="201" fillId="0" borderId="64" xfId="0" applyNumberFormat="1" applyFont="1" applyBorder="1" applyAlignment="1">
      <alignment horizontal="center"/>
    </xf>
    <xf numFmtId="0" fontId="104" fillId="46" borderId="65" xfId="0" applyNumberFormat="1" applyFont="1" applyFill="1" applyBorder="1" applyAlignment="1">
      <alignment horizontal="center"/>
    </xf>
    <xf numFmtId="0" fontId="108" fillId="0" borderId="64" xfId="0" applyNumberFormat="1" applyFont="1" applyFill="1" applyBorder="1" applyAlignment="1" applyProtection="1">
      <alignment horizontal="left" wrapText="1"/>
    </xf>
    <xf numFmtId="0" fontId="108" fillId="0" borderId="61" xfId="0" applyNumberFormat="1" applyFont="1" applyFill="1" applyBorder="1" applyAlignment="1" applyProtection="1">
      <alignment horizontal="center"/>
    </xf>
    <xf numFmtId="0" fontId="108" fillId="0" borderId="64" xfId="0" applyNumberFormat="1" applyFont="1" applyFill="1" applyBorder="1" applyAlignment="1" applyProtection="1">
      <alignment horizontal="right"/>
    </xf>
    <xf numFmtId="0" fontId="108" fillId="0" borderId="64" xfId="0" applyNumberFormat="1" applyFont="1" applyFill="1" applyBorder="1" applyAlignment="1" applyProtection="1">
      <alignment horizontal="right" shrinkToFit="1"/>
    </xf>
    <xf numFmtId="172" fontId="204" fillId="0" borderId="63" xfId="1342" applyNumberFormat="1" applyFont="1" applyFill="1" applyBorder="1"/>
    <xf numFmtId="0" fontId="108" fillId="0" borderId="64" xfId="0" applyNumberFormat="1" applyFont="1" applyFill="1" applyBorder="1" applyAlignment="1" applyProtection="1">
      <alignment horizontal="left"/>
    </xf>
    <xf numFmtId="0" fontId="99" fillId="47" borderId="62" xfId="0" applyNumberFormat="1" applyFont="1" applyFill="1" applyBorder="1" applyAlignment="1"/>
    <xf numFmtId="172" fontId="99" fillId="47" borderId="63" xfId="1342" applyNumberFormat="1" applyFont="1" applyFill="1" applyBorder="1"/>
    <xf numFmtId="0" fontId="104" fillId="24" borderId="62" xfId="0" applyNumberFormat="1" applyFont="1" applyFill="1" applyBorder="1" applyAlignment="1"/>
    <xf numFmtId="0" fontId="203" fillId="24" borderId="61" xfId="0" applyNumberFormat="1" applyFont="1" applyFill="1" applyBorder="1" applyAlignment="1">
      <alignment horizontal="center"/>
    </xf>
    <xf numFmtId="172" fontId="203" fillId="24" borderId="63" xfId="1342" applyNumberFormat="1" applyFont="1" applyFill="1" applyBorder="1"/>
    <xf numFmtId="172" fontId="105" fillId="46" borderId="63" xfId="1342" applyNumberFormat="1" applyFont="1" applyFill="1" applyBorder="1"/>
    <xf numFmtId="0" fontId="104" fillId="47" borderId="62" xfId="0" applyNumberFormat="1" applyFont="1" applyFill="1" applyBorder="1" applyAlignment="1"/>
    <xf numFmtId="0" fontId="104" fillId="47" borderId="61" xfId="0" applyNumberFormat="1" applyFont="1" applyFill="1" applyBorder="1" applyAlignment="1">
      <alignment horizontal="center"/>
    </xf>
    <xf numFmtId="172" fontId="104" fillId="47" borderId="63" xfId="1342" applyNumberFormat="1" applyFont="1" applyFill="1" applyBorder="1"/>
    <xf numFmtId="0" fontId="205" fillId="46" borderId="62" xfId="0" applyNumberFormat="1" applyFont="1" applyFill="1" applyBorder="1" applyAlignment="1">
      <alignment horizontal="left"/>
    </xf>
    <xf numFmtId="0" fontId="205" fillId="46" borderId="61" xfId="0" applyNumberFormat="1" applyFont="1" applyFill="1" applyBorder="1" applyAlignment="1">
      <alignment horizontal="center"/>
    </xf>
    <xf numFmtId="172" fontId="205" fillId="46" borderId="63" xfId="1342" applyNumberFormat="1" applyFont="1" applyFill="1" applyBorder="1"/>
    <xf numFmtId="0" fontId="206" fillId="24" borderId="61" xfId="0" applyNumberFormat="1" applyFont="1" applyFill="1" applyBorder="1" applyAlignment="1">
      <alignment horizontal="center"/>
    </xf>
    <xf numFmtId="172" fontId="207" fillId="24" borderId="63" xfId="1342" applyNumberFormat="1" applyFont="1" applyFill="1" applyBorder="1"/>
    <xf numFmtId="0" fontId="208" fillId="24" borderId="62" xfId="0" applyNumberFormat="1" applyFont="1" applyFill="1" applyBorder="1" applyAlignment="1"/>
    <xf numFmtId="0" fontId="209" fillId="46" borderId="14" xfId="0" applyNumberFormat="1" applyFont="1" applyFill="1" applyBorder="1" applyAlignment="1">
      <alignment horizontal="center"/>
    </xf>
    <xf numFmtId="0" fontId="206" fillId="46" borderId="61" xfId="0" applyNumberFormat="1" applyFont="1" applyFill="1" applyBorder="1" applyAlignment="1">
      <alignment horizontal="center"/>
    </xf>
    <xf numFmtId="172" fontId="207" fillId="46" borderId="63" xfId="1342" applyNumberFormat="1" applyFont="1" applyFill="1" applyBorder="1"/>
    <xf numFmtId="0" fontId="205" fillId="46" borderId="62" xfId="0" applyNumberFormat="1" applyFont="1" applyFill="1" applyBorder="1" applyAlignment="1">
      <alignment horizontal="right"/>
    </xf>
    <xf numFmtId="0" fontId="210" fillId="46" borderId="61" xfId="0" applyNumberFormat="1" applyFont="1" applyFill="1" applyBorder="1" applyAlignment="1">
      <alignment horizontal="center"/>
    </xf>
    <xf numFmtId="172" fontId="210" fillId="46" borderId="63" xfId="1342" applyNumberFormat="1" applyFont="1" applyFill="1" applyBorder="1"/>
    <xf numFmtId="0" fontId="209" fillId="46" borderId="64" xfId="0" applyNumberFormat="1" applyFont="1" applyFill="1" applyBorder="1" applyAlignment="1">
      <alignment horizontal="center"/>
    </xf>
    <xf numFmtId="0" fontId="206" fillId="46" borderId="65" xfId="0" applyNumberFormat="1" applyFont="1" applyFill="1" applyBorder="1" applyAlignment="1">
      <alignment horizontal="center"/>
    </xf>
    <xf numFmtId="0" fontId="211" fillId="46" borderId="64" xfId="0" applyNumberFormat="1" applyFont="1" applyFill="1" applyBorder="1" applyAlignment="1" applyProtection="1">
      <alignment horizontal="left" wrapText="1"/>
    </xf>
    <xf numFmtId="0" fontId="211" fillId="46" borderId="61" xfId="0" applyNumberFormat="1" applyFont="1" applyFill="1" applyBorder="1" applyAlignment="1" applyProtection="1">
      <alignment horizontal="center"/>
    </xf>
    <xf numFmtId="0" fontId="211" fillId="46" borderId="64" xfId="0" applyNumberFormat="1" applyFont="1" applyFill="1" applyBorder="1" applyAlignment="1" applyProtection="1">
      <alignment horizontal="right"/>
    </xf>
    <xf numFmtId="0" fontId="211" fillId="46" borderId="64" xfId="0" applyNumberFormat="1" applyFont="1" applyFill="1" applyBorder="1" applyAlignment="1" applyProtection="1">
      <alignment horizontal="right" shrinkToFit="1"/>
    </xf>
    <xf numFmtId="172" fontId="212" fillId="46" borderId="63" xfId="1342" applyNumberFormat="1" applyFont="1" applyFill="1" applyBorder="1"/>
    <xf numFmtId="0" fontId="211" fillId="46" borderId="64" xfId="0" applyNumberFormat="1" applyFont="1" applyFill="1" applyBorder="1" applyAlignment="1" applyProtection="1">
      <alignment horizontal="left"/>
    </xf>
    <xf numFmtId="10" fontId="104" fillId="47" borderId="63" xfId="1342" applyNumberFormat="1" applyFont="1" applyFill="1" applyBorder="1"/>
    <xf numFmtId="0" fontId="213" fillId="0" borderId="62" xfId="0" applyNumberFormat="1" applyFont="1" applyFill="1" applyBorder="1" applyAlignment="1">
      <alignment horizontal="right"/>
    </xf>
    <xf numFmtId="0" fontId="213" fillId="0" borderId="61" xfId="0" applyNumberFormat="1" applyFont="1" applyFill="1" applyBorder="1" applyAlignment="1">
      <alignment horizontal="center"/>
    </xf>
    <xf numFmtId="172" fontId="213" fillId="0" borderId="63" xfId="1342" applyNumberFormat="1" applyFont="1" applyFill="1" applyBorder="1"/>
    <xf numFmtId="0" fontId="105" fillId="48" borderId="62" xfId="0" applyNumberFormat="1" applyFont="1" applyFill="1" applyBorder="1" applyAlignment="1">
      <alignment horizontal="left"/>
    </xf>
    <xf numFmtId="0" fontId="105" fillId="48" borderId="61" xfId="0" applyNumberFormat="1" applyFont="1" applyFill="1" applyBorder="1" applyAlignment="1">
      <alignment horizontal="center"/>
    </xf>
    <xf numFmtId="172" fontId="105" fillId="48" borderId="63" xfId="1342" applyNumberFormat="1" applyFont="1" applyFill="1" applyBorder="1"/>
    <xf numFmtId="0" fontId="104" fillId="46" borderId="62" xfId="0" applyNumberFormat="1" applyFont="1" applyFill="1" applyBorder="1" applyAlignment="1"/>
    <xf numFmtId="172" fontId="104" fillId="46" borderId="63" xfId="1342" applyNumberFormat="1" applyFont="1" applyFill="1" applyBorder="1"/>
    <xf numFmtId="0" fontId="99" fillId="47" borderId="66" xfId="0" applyNumberFormat="1" applyFont="1" applyFill="1" applyBorder="1" applyAlignment="1"/>
    <xf numFmtId="0" fontId="104" fillId="47" borderId="67" xfId="0" applyNumberFormat="1" applyFont="1" applyFill="1" applyBorder="1" applyAlignment="1">
      <alignment horizontal="center"/>
    </xf>
    <xf numFmtId="172" fontId="104" fillId="47" borderId="68" xfId="1342" applyNumberFormat="1" applyFont="1" applyFill="1" applyBorder="1"/>
    <xf numFmtId="0" fontId="99" fillId="47" borderId="69" xfId="0" applyNumberFormat="1" applyFont="1" applyFill="1" applyBorder="1" applyAlignment="1"/>
    <xf numFmtId="0" fontId="104" fillId="47" borderId="70" xfId="0" applyNumberFormat="1" applyFont="1" applyFill="1" applyBorder="1" applyAlignment="1">
      <alignment horizontal="center"/>
    </xf>
    <xf numFmtId="172" fontId="104" fillId="47" borderId="71" xfId="1342" applyNumberFormat="1" applyFont="1" applyFill="1" applyBorder="1"/>
    <xf numFmtId="0" fontId="105" fillId="0" borderId="55" xfId="0" applyNumberFormat="1" applyFont="1" applyFill="1" applyBorder="1" applyAlignment="1">
      <alignment horizontal="left" indent="2"/>
    </xf>
    <xf numFmtId="0" fontId="105" fillId="0" borderId="65" xfId="0" applyNumberFormat="1" applyFont="1" applyFill="1" applyBorder="1" applyAlignment="1">
      <alignment horizontal="center"/>
    </xf>
    <xf numFmtId="172" fontId="105" fillId="0" borderId="72" xfId="1342" applyNumberFormat="1" applyFont="1" applyFill="1" applyBorder="1"/>
    <xf numFmtId="0" fontId="105" fillId="0" borderId="62" xfId="0" applyNumberFormat="1" applyFont="1" applyFill="1" applyBorder="1" applyAlignment="1">
      <alignment horizontal="left" indent="2"/>
    </xf>
    <xf numFmtId="172" fontId="104" fillId="0" borderId="63" xfId="1342" applyNumberFormat="1" applyFont="1" applyFill="1" applyBorder="1"/>
    <xf numFmtId="0" fontId="105" fillId="0" borderId="69" xfId="0" applyNumberFormat="1" applyFont="1" applyFill="1" applyBorder="1" applyAlignment="1">
      <alignment horizontal="left" indent="2"/>
    </xf>
    <xf numFmtId="0" fontId="105" fillId="0" borderId="70" xfId="0" applyNumberFormat="1" applyFont="1" applyFill="1" applyBorder="1" applyAlignment="1">
      <alignment horizontal="center"/>
    </xf>
    <xf numFmtId="172" fontId="104" fillId="0" borderId="71" xfId="1342" applyNumberFormat="1" applyFont="1" applyFill="1" applyBorder="1"/>
    <xf numFmtId="4" fontId="104" fillId="47" borderId="73" xfId="0" applyFont="1" applyFill="1" applyBorder="1">
      <alignment vertical="center"/>
    </xf>
    <xf numFmtId="4" fontId="104" fillId="47" borderId="70" xfId="0" applyFont="1" applyFill="1" applyBorder="1" applyAlignment="1">
      <alignment horizontal="center"/>
    </xf>
    <xf numFmtId="4" fontId="100" fillId="0" borderId="0" xfId="0" applyFont="1">
      <alignment vertical="center"/>
    </xf>
    <xf numFmtId="172" fontId="110" fillId="0" borderId="0" xfId="0" applyNumberFormat="1" applyFont="1">
      <alignment vertical="center"/>
    </xf>
    <xf numFmtId="4" fontId="111" fillId="0" borderId="0" xfId="0" applyFont="1" applyAlignment="1">
      <alignment horizontal="right" vertical="center"/>
    </xf>
    <xf numFmtId="3" fontId="8" fillId="0" borderId="0" xfId="0" applyNumberFormat="1" applyFont="1">
      <alignment vertical="center"/>
    </xf>
    <xf numFmtId="173" fontId="83" fillId="0" borderId="27" xfId="0" applyNumberFormat="1" applyFont="1" applyBorder="1" applyAlignment="1">
      <alignment horizontal="center"/>
    </xf>
    <xf numFmtId="0" fontId="0" fillId="0" borderId="14" xfId="0" applyNumberFormat="1" applyBorder="1" applyAlignment="1"/>
    <xf numFmtId="168" fontId="83" fillId="0" borderId="47" xfId="0" applyNumberFormat="1" applyFont="1" applyBorder="1" applyAlignment="1">
      <alignment horizontal="right"/>
    </xf>
    <xf numFmtId="4" fontId="83" fillId="0" borderId="47" xfId="0" applyNumberFormat="1" applyFont="1" applyBorder="1" applyAlignment="1">
      <alignment horizontal="right"/>
    </xf>
    <xf numFmtId="165" fontId="86" fillId="46" borderId="53" xfId="0" applyNumberFormat="1" applyFont="1" applyFill="1" applyBorder="1" applyAlignment="1">
      <alignment horizontal="center"/>
    </xf>
    <xf numFmtId="165" fontId="86" fillId="46" borderId="74" xfId="0" applyNumberFormat="1" applyFont="1" applyFill="1" applyBorder="1" applyAlignment="1">
      <alignment horizontal="left"/>
    </xf>
    <xf numFmtId="168" fontId="83" fillId="46" borderId="17" xfId="0" applyNumberFormat="1" applyFont="1" applyFill="1" applyBorder="1" applyAlignment="1">
      <alignment horizontal="right"/>
    </xf>
    <xf numFmtId="168" fontId="83" fillId="46" borderId="54" xfId="0" applyNumberFormat="1" applyFont="1" applyFill="1" applyBorder="1" applyAlignment="1">
      <alignment horizontal="right"/>
    </xf>
    <xf numFmtId="180" fontId="83" fillId="0" borderId="30" xfId="0" applyNumberFormat="1" applyFont="1" applyBorder="1" applyAlignment="1">
      <alignment horizontal="center"/>
    </xf>
    <xf numFmtId="4" fontId="83" fillId="0" borderId="57" xfId="0" applyNumberFormat="1" applyFont="1" applyBorder="1" applyAlignment="1">
      <alignment horizontal="right"/>
    </xf>
    <xf numFmtId="165" fontId="86" fillId="3" borderId="14" xfId="0" applyNumberFormat="1" applyFont="1" applyFill="1" applyBorder="1" applyAlignment="1">
      <alignment horizontal="center"/>
    </xf>
    <xf numFmtId="165" fontId="86" fillId="3" borderId="14" xfId="0" applyNumberFormat="1" applyFont="1" applyFill="1" applyBorder="1" applyAlignment="1">
      <alignment horizontal="left"/>
    </xf>
    <xf numFmtId="3" fontId="82" fillId="3" borderId="14" xfId="0" applyNumberFormat="1" applyFont="1" applyFill="1" applyBorder="1" applyAlignment="1">
      <alignment horizontal="right"/>
    </xf>
    <xf numFmtId="168" fontId="82" fillId="3" borderId="14" xfId="0" applyNumberFormat="1" applyFont="1" applyFill="1" applyBorder="1" applyAlignment="1">
      <alignment horizontal="right"/>
    </xf>
    <xf numFmtId="175" fontId="83" fillId="3" borderId="14" xfId="0" applyNumberFormat="1" applyFont="1" applyFill="1" applyBorder="1" applyAlignment="1">
      <alignment horizontal="center"/>
    </xf>
    <xf numFmtId="179" fontId="83" fillId="3" borderId="14" xfId="0" applyNumberFormat="1" applyFont="1" applyFill="1" applyBorder="1" applyAlignment="1">
      <alignment horizontal="center"/>
    </xf>
    <xf numFmtId="4" fontId="82" fillId="3" borderId="14" xfId="0" applyNumberFormat="1" applyFont="1" applyFill="1" applyBorder="1" applyAlignment="1">
      <alignment horizontal="right"/>
    </xf>
    <xf numFmtId="4" fontId="86" fillId="0" borderId="75" xfId="0" applyFont="1" applyBorder="1">
      <alignment vertical="center"/>
    </xf>
    <xf numFmtId="0" fontId="83" fillId="0" borderId="47" xfId="0" applyNumberFormat="1" applyFont="1" applyFill="1" applyBorder="1" applyAlignment="1">
      <alignment horizontal="right"/>
    </xf>
    <xf numFmtId="180" fontId="83" fillId="0" borderId="47" xfId="0" applyNumberFormat="1" applyFont="1" applyFill="1" applyBorder="1" applyAlignment="1">
      <alignment horizontal="right"/>
    </xf>
    <xf numFmtId="4" fontId="83" fillId="0" borderId="47" xfId="0" applyNumberFormat="1" applyFont="1" applyFill="1" applyBorder="1" applyAlignment="1">
      <alignment horizontal="right"/>
    </xf>
    <xf numFmtId="4" fontId="83" fillId="0" borderId="44" xfId="0" applyNumberFormat="1" applyFont="1" applyFill="1" applyBorder="1" applyAlignment="1">
      <alignment horizontal="right"/>
    </xf>
    <xf numFmtId="180" fontId="83" fillId="3" borderId="14" xfId="0" applyNumberFormat="1" applyFont="1" applyFill="1" applyBorder="1" applyAlignment="1">
      <alignment horizontal="center"/>
    </xf>
    <xf numFmtId="0" fontId="83" fillId="0" borderId="47" xfId="0" applyNumberFormat="1" applyFont="1" applyBorder="1" applyAlignment="1">
      <alignment horizontal="right"/>
    </xf>
    <xf numFmtId="168" fontId="214" fillId="3" borderId="21" xfId="0" applyNumberFormat="1" applyFont="1" applyFill="1" applyBorder="1" applyAlignment="1">
      <alignment horizontal="right"/>
    </xf>
    <xf numFmtId="172" fontId="214" fillId="3" borderId="21" xfId="0" applyNumberFormat="1" applyFont="1" applyFill="1" applyBorder="1" applyAlignment="1">
      <alignment horizontal="center"/>
    </xf>
    <xf numFmtId="4" fontId="214" fillId="3" borderId="21" xfId="0" applyNumberFormat="1" applyFont="1" applyFill="1" applyBorder="1" applyAlignment="1">
      <alignment horizontal="right"/>
    </xf>
    <xf numFmtId="4" fontId="214" fillId="3" borderId="22" xfId="0" applyNumberFormat="1" applyFont="1" applyFill="1" applyBorder="1" applyAlignment="1">
      <alignment horizontal="right"/>
    </xf>
    <xf numFmtId="168" fontId="198" fillId="0" borderId="27" xfId="0" applyNumberFormat="1" applyFont="1" applyBorder="1" applyAlignment="1">
      <alignment horizontal="right"/>
    </xf>
    <xf numFmtId="4" fontId="198" fillId="0" borderId="27" xfId="0" applyNumberFormat="1" applyFont="1" applyBorder="1" applyAlignment="1">
      <alignment horizontal="right"/>
    </xf>
    <xf numFmtId="4" fontId="112" fillId="0" borderId="0" xfId="0" applyFont="1" applyAlignment="1">
      <alignment horizontal="right" vertical="center"/>
    </xf>
    <xf numFmtId="170" fontId="215" fillId="0" borderId="48" xfId="0" applyNumberFormat="1" applyFont="1" applyFill="1" applyBorder="1" applyAlignment="1">
      <alignment horizontal="center"/>
    </xf>
    <xf numFmtId="4" fontId="217" fillId="0" borderId="27" xfId="0" applyNumberFormat="1" applyFont="1" applyBorder="1" applyAlignment="1">
      <alignment horizontal="right"/>
    </xf>
    <xf numFmtId="4" fontId="90" fillId="0" borderId="31" xfId="0" applyFont="1" applyBorder="1" applyAlignment="1">
      <alignment horizontal="right" vertical="center" wrapText="1"/>
    </xf>
    <xf numFmtId="173" fontId="83" fillId="0" borderId="47" xfId="0" applyNumberFormat="1" applyFont="1" applyBorder="1" applyAlignment="1">
      <alignment horizontal="right"/>
    </xf>
    <xf numFmtId="167" fontId="83" fillId="0" borderId="47" xfId="0" applyNumberFormat="1" applyFont="1" applyBorder="1" applyAlignment="1">
      <alignment horizontal="right"/>
    </xf>
    <xf numFmtId="171" fontId="83" fillId="0" borderId="47" xfId="0" applyNumberFormat="1" applyFont="1" applyBorder="1" applyAlignment="1">
      <alignment horizontal="right"/>
    </xf>
    <xf numFmtId="4" fontId="221" fillId="0" borderId="0" xfId="0" applyFont="1">
      <alignment vertical="center"/>
    </xf>
    <xf numFmtId="4" fontId="222" fillId="0" borderId="0" xfId="0" applyFont="1">
      <alignment vertical="center"/>
    </xf>
    <xf numFmtId="168" fontId="198" fillId="0" borderId="27" xfId="0" applyNumberFormat="1" applyFont="1" applyFill="1" applyBorder="1" applyAlignment="1">
      <alignment horizontal="right"/>
    </xf>
    <xf numFmtId="168" fontId="198" fillId="0" borderId="43" xfId="0" applyNumberFormat="1" applyFont="1" applyFill="1" applyBorder="1" applyAlignment="1">
      <alignment horizontal="right"/>
    </xf>
    <xf numFmtId="4" fontId="198" fillId="0" borderId="27" xfId="0" applyNumberFormat="1" applyFont="1" applyFill="1" applyBorder="1" applyAlignment="1">
      <alignment horizontal="right"/>
    </xf>
    <xf numFmtId="4" fontId="198" fillId="0" borderId="43" xfId="0" applyNumberFormat="1" applyFont="1" applyFill="1" applyBorder="1" applyAlignment="1">
      <alignment horizontal="right"/>
    </xf>
    <xf numFmtId="168" fontId="198" fillId="0" borderId="34" xfId="0" applyNumberFormat="1" applyFont="1" applyBorder="1" applyAlignment="1">
      <alignment horizontal="right"/>
    </xf>
    <xf numFmtId="168" fontId="198" fillId="0" borderId="43" xfId="0" applyNumberFormat="1" applyFont="1" applyBorder="1" applyAlignment="1">
      <alignment horizontal="right"/>
    </xf>
    <xf numFmtId="168" fontId="198" fillId="0" borderId="28" xfId="0" applyNumberFormat="1" applyFont="1" applyBorder="1" applyAlignment="1">
      <alignment horizontal="right"/>
    </xf>
    <xf numFmtId="4" fontId="198" fillId="0" borderId="34" xfId="0" applyNumberFormat="1" applyFont="1" applyBorder="1" applyAlignment="1">
      <alignment horizontal="right"/>
    </xf>
    <xf numFmtId="4" fontId="198" fillId="0" borderId="43" xfId="0" applyNumberFormat="1" applyFont="1" applyBorder="1" applyAlignment="1">
      <alignment horizontal="right"/>
    </xf>
    <xf numFmtId="4" fontId="198" fillId="0" borderId="47" xfId="0" applyNumberFormat="1" applyFont="1" applyBorder="1" applyAlignment="1">
      <alignment horizontal="right"/>
    </xf>
    <xf numFmtId="4" fontId="198" fillId="0" borderId="28" xfId="0" applyNumberFormat="1" applyFont="1" applyBorder="1" applyAlignment="1">
      <alignment horizontal="right"/>
    </xf>
    <xf numFmtId="0" fontId="198" fillId="0" borderId="27" xfId="0" applyNumberFormat="1" applyFont="1" applyBorder="1" applyAlignment="1">
      <alignment horizontal="right"/>
    </xf>
    <xf numFmtId="0" fontId="198" fillId="0" borderId="34" xfId="0" applyNumberFormat="1" applyFont="1" applyBorder="1" applyAlignment="1">
      <alignment horizontal="right"/>
    </xf>
    <xf numFmtId="0" fontId="115" fillId="0" borderId="0" xfId="0" applyNumberFormat="1" applyFont="1" applyAlignment="1"/>
    <xf numFmtId="200" fontId="100" fillId="0" borderId="0" xfId="0" applyNumberFormat="1" applyFont="1" applyAlignment="1">
      <alignment horizontal="center" vertical="center"/>
    </xf>
    <xf numFmtId="0" fontId="116" fillId="47" borderId="61" xfId="0" applyNumberFormat="1" applyFont="1" applyFill="1" applyBorder="1" applyAlignment="1"/>
    <xf numFmtId="0" fontId="105" fillId="0" borderId="61" xfId="0" applyNumberFormat="1" applyFont="1" applyFill="1" applyBorder="1" applyAlignment="1"/>
    <xf numFmtId="16" fontId="105" fillId="24" borderId="61" xfId="0" applyNumberFormat="1" applyFont="1" applyFill="1" applyBorder="1" applyAlignment="1"/>
    <xf numFmtId="0" fontId="104" fillId="24" borderId="61" xfId="0" applyNumberFormat="1" applyFont="1" applyFill="1" applyBorder="1" applyAlignment="1"/>
    <xf numFmtId="0" fontId="104" fillId="46" borderId="61" xfId="0" applyNumberFormat="1" applyFont="1" applyFill="1" applyBorder="1" applyAlignment="1"/>
    <xf numFmtId="0" fontId="223" fillId="24" borderId="62" xfId="0" applyNumberFormat="1" applyFont="1" applyFill="1" applyBorder="1" applyAlignment="1">
      <alignment horizontal="right"/>
    </xf>
    <xf numFmtId="0" fontId="224" fillId="46" borderId="61" xfId="0" applyNumberFormat="1" applyFont="1" applyFill="1" applyBorder="1" applyAlignment="1"/>
    <xf numFmtId="0" fontId="225" fillId="0" borderId="64" xfId="0" applyNumberFormat="1" applyFont="1" applyFill="1" applyBorder="1" applyAlignment="1" applyProtection="1">
      <alignment horizontal="left" wrapText="1"/>
    </xf>
    <xf numFmtId="0" fontId="225" fillId="0" borderId="61" xfId="0" applyNumberFormat="1" applyFont="1" applyFill="1" applyBorder="1" applyAlignment="1" applyProtection="1">
      <alignment horizontal="center"/>
    </xf>
    <xf numFmtId="0" fontId="226" fillId="46" borderId="61" xfId="0" applyNumberFormat="1" applyFont="1" applyFill="1" applyBorder="1" applyAlignment="1"/>
    <xf numFmtId="0" fontId="227" fillId="0" borderId="64" xfId="0" applyNumberFormat="1" applyFont="1" applyFill="1" applyBorder="1" applyAlignment="1" applyProtection="1">
      <alignment horizontal="left" wrapText="1"/>
    </xf>
    <xf numFmtId="0" fontId="227" fillId="0" borderId="61" xfId="0" applyNumberFormat="1" applyFont="1" applyFill="1" applyBorder="1" applyAlignment="1" applyProtection="1">
      <alignment horizontal="center"/>
    </xf>
    <xf numFmtId="0" fontId="117" fillId="0" borderId="61" xfId="0" applyNumberFormat="1" applyFont="1" applyFill="1" applyBorder="1" applyAlignment="1"/>
    <xf numFmtId="0" fontId="117" fillId="24" borderId="61" xfId="0" applyNumberFormat="1" applyFont="1" applyFill="1" applyBorder="1" applyAlignment="1"/>
    <xf numFmtId="0" fontId="228" fillId="24" borderId="62" xfId="0" applyNumberFormat="1" applyFont="1" applyFill="1" applyBorder="1" applyAlignment="1">
      <alignment horizontal="right"/>
    </xf>
    <xf numFmtId="0" fontId="117" fillId="24" borderId="61" xfId="0" applyNumberFormat="1" applyFont="1" applyFill="1" applyBorder="1" applyAlignment="1">
      <alignment horizontal="center"/>
    </xf>
    <xf numFmtId="0" fontId="229" fillId="0" borderId="61" xfId="0" applyNumberFormat="1" applyFont="1" applyFill="1" applyBorder="1" applyAlignment="1">
      <alignment horizontal="center"/>
    </xf>
    <xf numFmtId="0" fontId="230" fillId="46" borderId="61" xfId="0" applyNumberFormat="1" applyFont="1" applyFill="1" applyBorder="1" applyAlignment="1"/>
    <xf numFmtId="0" fontId="206" fillId="24" borderId="61" xfId="0" applyNumberFormat="1" applyFont="1" applyFill="1" applyBorder="1" applyAlignment="1"/>
    <xf numFmtId="0" fontId="206" fillId="46" borderId="61" xfId="0" applyNumberFormat="1" applyFont="1" applyFill="1" applyBorder="1" applyAlignment="1"/>
    <xf numFmtId="0" fontId="117" fillId="28" borderId="61" xfId="0" applyNumberFormat="1" applyFont="1" applyFill="1" applyBorder="1" applyAlignment="1"/>
    <xf numFmtId="0" fontId="231" fillId="28" borderId="62" xfId="0" applyNumberFormat="1" applyFont="1" applyFill="1" applyBorder="1" applyAlignment="1">
      <alignment horizontal="left"/>
    </xf>
    <xf numFmtId="0" fontId="105" fillId="28" borderId="61" xfId="0" applyNumberFormat="1" applyFont="1" applyFill="1" applyBorder="1" applyAlignment="1">
      <alignment horizontal="center"/>
    </xf>
    <xf numFmtId="16" fontId="104" fillId="47" borderId="61" xfId="0" applyNumberFormat="1" applyFont="1" applyFill="1" applyBorder="1" applyAlignment="1"/>
    <xf numFmtId="0" fontId="213" fillId="0" borderId="61" xfId="0" applyNumberFormat="1" applyFont="1" applyFill="1" applyBorder="1" applyAlignment="1"/>
    <xf numFmtId="0" fontId="104" fillId="47" borderId="61" xfId="0" applyNumberFormat="1" applyFont="1" applyFill="1" applyBorder="1" applyAlignment="1"/>
    <xf numFmtId="49" fontId="104" fillId="47" borderId="61" xfId="0" applyNumberFormat="1" applyFont="1" applyFill="1" applyBorder="1" applyAlignment="1"/>
    <xf numFmtId="0" fontId="116" fillId="47" borderId="62" xfId="0" applyNumberFormat="1" applyFont="1" applyFill="1" applyBorder="1" applyAlignment="1"/>
    <xf numFmtId="0" fontId="116" fillId="47" borderId="61" xfId="0" applyNumberFormat="1" applyFont="1" applyFill="1" applyBorder="1" applyAlignment="1">
      <alignment horizontal="center"/>
    </xf>
    <xf numFmtId="0" fontId="117" fillId="47" borderId="61" xfId="0" applyNumberFormat="1" applyFont="1" applyFill="1" applyBorder="1" applyAlignment="1"/>
    <xf numFmtId="0" fontId="117" fillId="47" borderId="62" xfId="0" applyNumberFormat="1" applyFont="1" applyFill="1" applyBorder="1" applyAlignment="1">
      <alignment wrapText="1"/>
    </xf>
    <xf numFmtId="0" fontId="117" fillId="47" borderId="61" xfId="0" applyNumberFormat="1" applyFont="1" applyFill="1" applyBorder="1" applyAlignment="1">
      <alignment horizontal="center"/>
    </xf>
    <xf numFmtId="0" fontId="117" fillId="46" borderId="61" xfId="0" applyNumberFormat="1" applyFont="1" applyFill="1" applyBorder="1" applyAlignment="1"/>
    <xf numFmtId="0" fontId="117" fillId="46" borderId="62" xfId="0" applyNumberFormat="1" applyFont="1" applyFill="1" applyBorder="1" applyAlignment="1"/>
    <xf numFmtId="0" fontId="117" fillId="46" borderId="61" xfId="0" applyNumberFormat="1" applyFont="1" applyFill="1" applyBorder="1" applyAlignment="1">
      <alignment horizontal="center"/>
    </xf>
    <xf numFmtId="0" fontId="99" fillId="47" borderId="61" xfId="0" applyNumberFormat="1" applyFont="1" applyFill="1" applyBorder="1" applyAlignment="1"/>
    <xf numFmtId="0" fontId="99" fillId="46" borderId="61" xfId="0" applyNumberFormat="1" applyFont="1" applyFill="1" applyBorder="1" applyAlignment="1"/>
    <xf numFmtId="0" fontId="99" fillId="46" borderId="62" xfId="0" applyNumberFormat="1" applyFont="1" applyFill="1" applyBorder="1" applyAlignment="1"/>
    <xf numFmtId="0" fontId="116" fillId="47" borderId="62" xfId="0" applyNumberFormat="1" applyFont="1" applyFill="1" applyBorder="1" applyAlignment="1">
      <alignment wrapText="1"/>
    </xf>
    <xf numFmtId="0" fontId="104" fillId="47" borderId="67" xfId="0" applyNumberFormat="1" applyFont="1" applyFill="1" applyBorder="1" applyAlignment="1"/>
    <xf numFmtId="0" fontId="105" fillId="0" borderId="65" xfId="0" applyNumberFormat="1" applyFont="1" applyFill="1" applyBorder="1" applyAlignment="1"/>
    <xf numFmtId="0" fontId="117" fillId="0" borderId="70" xfId="0" applyNumberFormat="1" applyFont="1" applyFill="1" applyBorder="1" applyAlignment="1"/>
    <xf numFmtId="0" fontId="0" fillId="0" borderId="0" xfId="0" applyNumberFormat="1" applyAlignment="1">
      <alignment horizontal="center"/>
    </xf>
    <xf numFmtId="200" fontId="100" fillId="0" borderId="0" xfId="0" applyNumberFormat="1" applyFont="1" applyAlignment="1"/>
    <xf numFmtId="3" fontId="100" fillId="0" borderId="0" xfId="0" applyNumberFormat="1" applyFont="1" applyAlignment="1"/>
    <xf numFmtId="172" fontId="232" fillId="46" borderId="0" xfId="0" applyNumberFormat="1" applyFont="1" applyFill="1" applyAlignment="1"/>
    <xf numFmtId="0" fontId="118" fillId="0" borderId="0" xfId="0" applyNumberFormat="1" applyFont="1" applyAlignment="1"/>
    <xf numFmtId="0" fontId="118" fillId="0" borderId="0" xfId="0" applyNumberFormat="1" applyFont="1" applyAlignment="1">
      <alignment horizontal="center"/>
    </xf>
    <xf numFmtId="172" fontId="99" fillId="47" borderId="76" xfId="1342" applyNumberFormat="1" applyFont="1" applyFill="1" applyBorder="1"/>
    <xf numFmtId="0" fontId="102" fillId="0" borderId="0" xfId="0" applyNumberFormat="1" applyFont="1" applyFill="1" applyAlignment="1"/>
    <xf numFmtId="0" fontId="119" fillId="0" borderId="0" xfId="0" applyNumberFormat="1" applyFont="1" applyFill="1" applyAlignment="1"/>
    <xf numFmtId="0" fontId="119" fillId="0" borderId="0" xfId="0" applyNumberFormat="1" applyFont="1" applyFill="1" applyAlignment="1">
      <alignment horizontal="center"/>
    </xf>
    <xf numFmtId="0" fontId="120" fillId="0" borderId="0" xfId="0" applyNumberFormat="1" applyFont="1" applyFill="1" applyAlignment="1"/>
    <xf numFmtId="0" fontId="121" fillId="0" borderId="0" xfId="0" applyNumberFormat="1" applyFont="1" applyFill="1" applyAlignment="1"/>
    <xf numFmtId="0" fontId="121" fillId="0" borderId="0" xfId="0" applyNumberFormat="1" applyFont="1" applyFill="1" applyAlignment="1">
      <alignment horizontal="center"/>
    </xf>
    <xf numFmtId="172" fontId="120" fillId="0" borderId="0" xfId="0" applyNumberFormat="1" applyFont="1" applyFill="1" applyAlignment="1"/>
    <xf numFmtId="172" fontId="102" fillId="46" borderId="0" xfId="0" applyNumberFormat="1" applyFont="1" applyFill="1" applyAlignment="1"/>
    <xf numFmtId="0" fontId="119" fillId="46" borderId="0" xfId="0" applyNumberFormat="1" applyFont="1" applyFill="1" applyAlignment="1"/>
    <xf numFmtId="0" fontId="119" fillId="46" borderId="0" xfId="0" applyNumberFormat="1" applyFont="1" applyFill="1" applyAlignment="1">
      <alignment horizontal="center"/>
    </xf>
    <xf numFmtId="0" fontId="102" fillId="46" borderId="0" xfId="0" applyNumberFormat="1" applyFont="1" applyFill="1" applyAlignment="1"/>
    <xf numFmtId="172" fontId="233" fillId="0" borderId="63" xfId="1342" applyNumberFormat="1" applyFont="1" applyFill="1" applyBorder="1"/>
    <xf numFmtId="0" fontId="234" fillId="0" borderId="0" xfId="0" applyNumberFormat="1" applyFont="1" applyFill="1" applyAlignment="1"/>
    <xf numFmtId="0" fontId="235" fillId="0" borderId="0" xfId="0" applyNumberFormat="1" applyFont="1" applyFill="1" applyAlignment="1"/>
    <xf numFmtId="0" fontId="235" fillId="0" borderId="0" xfId="0" applyNumberFormat="1" applyFont="1" applyFill="1" applyAlignment="1">
      <alignment horizontal="center"/>
    </xf>
    <xf numFmtId="0" fontId="236" fillId="0" borderId="0" xfId="0" applyNumberFormat="1" applyFont="1" applyAlignment="1"/>
    <xf numFmtId="172" fontId="237" fillId="0" borderId="63" xfId="1342" applyNumberFormat="1" applyFont="1" applyFill="1" applyBorder="1"/>
    <xf numFmtId="0" fontId="238" fillId="0" borderId="0" xfId="0" applyNumberFormat="1" applyFont="1" applyFill="1" applyAlignment="1"/>
    <xf numFmtId="0" fontId="239" fillId="0" borderId="0" xfId="0" applyNumberFormat="1" applyFont="1" applyFill="1" applyAlignment="1"/>
    <xf numFmtId="0" fontId="239" fillId="0" borderId="0" xfId="0" applyNumberFormat="1" applyFont="1" applyFill="1" applyAlignment="1">
      <alignment horizontal="center"/>
    </xf>
    <xf numFmtId="0" fontId="240" fillId="0" borderId="0" xfId="0" applyNumberFormat="1" applyFont="1" applyAlignment="1"/>
    <xf numFmtId="173" fontId="102" fillId="0" borderId="0" xfId="0" applyNumberFormat="1" applyFont="1" applyFill="1" applyAlignment="1"/>
    <xf numFmtId="173" fontId="102" fillId="46" borderId="0" xfId="0" applyNumberFormat="1" applyFont="1" applyFill="1" applyAlignment="1"/>
    <xf numFmtId="2" fontId="119" fillId="0" borderId="0" xfId="0" applyNumberFormat="1" applyFont="1" applyFill="1" applyAlignment="1"/>
    <xf numFmtId="172" fontId="102" fillId="0" borderId="0" xfId="0" applyNumberFormat="1" applyFont="1" applyFill="1" applyAlignment="1"/>
    <xf numFmtId="1" fontId="119" fillId="0" borderId="0" xfId="0" applyNumberFormat="1" applyFont="1" applyFill="1" applyAlignment="1"/>
    <xf numFmtId="3" fontId="102" fillId="0" borderId="0" xfId="0" applyNumberFormat="1" applyFont="1" applyFill="1" applyAlignment="1"/>
    <xf numFmtId="3" fontId="102" fillId="0" borderId="0" xfId="0" applyNumberFormat="1" applyFont="1" applyFill="1" applyAlignment="1">
      <alignment horizontal="center"/>
    </xf>
    <xf numFmtId="3" fontId="100" fillId="0" borderId="0" xfId="0" applyNumberFormat="1" applyFont="1" applyAlignment="1">
      <alignment horizontal="center"/>
    </xf>
    <xf numFmtId="3" fontId="100" fillId="0" borderId="14" xfId="0" applyNumberFormat="1" applyFont="1" applyBorder="1" applyAlignment="1"/>
    <xf numFmtId="0" fontId="100" fillId="0" borderId="0" xfId="0" applyNumberFormat="1" applyFont="1" applyFill="1" applyAlignment="1"/>
    <xf numFmtId="0" fontId="22" fillId="0" borderId="0" xfId="0" applyNumberFormat="1" applyFont="1" applyFill="1" applyAlignment="1"/>
    <xf numFmtId="0" fontId="22" fillId="0" borderId="0" xfId="0" applyNumberFormat="1" applyFont="1" applyFill="1" applyAlignment="1">
      <alignment horizontal="center"/>
    </xf>
    <xf numFmtId="4" fontId="122" fillId="0" borderId="14" xfId="0" applyFont="1" applyFill="1" applyBorder="1">
      <alignment vertical="center"/>
    </xf>
    <xf numFmtId="0" fontId="123" fillId="0" borderId="14" xfId="0" applyNumberFormat="1" applyFont="1" applyFill="1" applyBorder="1" applyAlignment="1"/>
    <xf numFmtId="168" fontId="122" fillId="0" borderId="14" xfId="0" applyNumberFormat="1" applyFont="1" applyBorder="1" applyAlignment="1">
      <alignment horizontal="center"/>
    </xf>
    <xf numFmtId="168" fontId="122" fillId="0" borderId="14" xfId="0" applyNumberFormat="1" applyFont="1" applyBorder="1" applyAlignment="1">
      <alignment horizontal="right"/>
    </xf>
    <xf numFmtId="4" fontId="241" fillId="0" borderId="14" xfId="0" applyFont="1" applyFill="1" applyBorder="1">
      <alignment vertical="center"/>
    </xf>
    <xf numFmtId="0" fontId="242" fillId="0" borderId="14" xfId="0" applyNumberFormat="1" applyFont="1" applyFill="1" applyBorder="1" applyAlignment="1"/>
    <xf numFmtId="168" fontId="241" fillId="0" borderId="14" xfId="0" applyNumberFormat="1" applyFont="1" applyBorder="1" applyAlignment="1">
      <alignment horizontal="center"/>
    </xf>
    <xf numFmtId="168" fontId="243" fillId="0" borderId="27" xfId="0" applyNumberFormat="1" applyFont="1" applyBorder="1" applyAlignment="1">
      <alignment horizontal="right"/>
    </xf>
    <xf numFmtId="168" fontId="241" fillId="0" borderId="14" xfId="0" applyNumberFormat="1" applyFont="1" applyBorder="1" applyAlignment="1">
      <alignment horizontal="right"/>
    </xf>
    <xf numFmtId="168" fontId="83" fillId="0" borderId="38" xfId="0" applyNumberFormat="1" applyFont="1" applyBorder="1" applyAlignment="1">
      <alignment horizontal="right"/>
    </xf>
    <xf numFmtId="0" fontId="119" fillId="0" borderId="14" xfId="0" applyNumberFormat="1" applyFont="1" applyFill="1" applyBorder="1" applyAlignment="1">
      <alignment horizontal="center"/>
    </xf>
    <xf numFmtId="172" fontId="119" fillId="0" borderId="0" xfId="0" applyNumberFormat="1" applyFont="1" applyFill="1" applyAlignment="1"/>
    <xf numFmtId="172" fontId="207" fillId="24" borderId="64" xfId="1342" applyNumberFormat="1" applyFont="1" applyFill="1" applyBorder="1"/>
    <xf numFmtId="172" fontId="207" fillId="46" borderId="64" xfId="1342" applyNumberFormat="1" applyFont="1" applyFill="1" applyBorder="1"/>
    <xf numFmtId="4" fontId="102" fillId="46" borderId="0" xfId="0" applyNumberFormat="1" applyFont="1" applyFill="1" applyAlignment="1"/>
    <xf numFmtId="4" fontId="102" fillId="46" borderId="0" xfId="0" applyNumberFormat="1" applyFont="1" applyFill="1" applyAlignment="1">
      <alignment horizontal="center"/>
    </xf>
    <xf numFmtId="9" fontId="119" fillId="46" borderId="0" xfId="0" applyNumberFormat="1" applyFont="1" applyFill="1" applyAlignment="1"/>
    <xf numFmtId="172" fontId="113" fillId="46" borderId="63" xfId="1342" applyNumberFormat="1" applyFont="1" applyFill="1" applyBorder="1"/>
    <xf numFmtId="188" fontId="119" fillId="46" borderId="0" xfId="0" applyNumberFormat="1" applyFont="1" applyFill="1" applyAlignment="1"/>
    <xf numFmtId="172" fontId="212" fillId="46" borderId="64" xfId="1342" applyNumberFormat="1" applyFont="1" applyFill="1" applyBorder="1"/>
    <xf numFmtId="172" fontId="114" fillId="46" borderId="63" xfId="1342" applyNumberFormat="1" applyFont="1" applyFill="1" applyBorder="1"/>
    <xf numFmtId="172" fontId="105" fillId="28" borderId="63" xfId="1342" applyNumberFormat="1" applyFont="1" applyFill="1" applyBorder="1"/>
    <xf numFmtId="0" fontId="244" fillId="0" borderId="0" xfId="0" applyNumberFormat="1" applyFont="1" applyFill="1" applyAlignment="1"/>
    <xf numFmtId="0" fontId="245" fillId="0" borderId="0" xfId="0" applyNumberFormat="1" applyFont="1" applyFill="1" applyAlignment="1"/>
    <xf numFmtId="0" fontId="245" fillId="0" borderId="0" xfId="0" applyNumberFormat="1" applyFont="1" applyFill="1" applyAlignment="1">
      <alignment horizontal="center"/>
    </xf>
    <xf numFmtId="172" fontId="116" fillId="47" borderId="63" xfId="1342" applyNumberFormat="1" applyFont="1" applyFill="1" applyBorder="1"/>
    <xf numFmtId="172" fontId="116" fillId="0" borderId="0" xfId="0" applyNumberFormat="1" applyFont="1" applyFill="1" applyAlignment="1"/>
    <xf numFmtId="0" fontId="71" fillId="0" borderId="0" xfId="0" applyNumberFormat="1" applyFont="1" applyFill="1" applyAlignment="1"/>
    <xf numFmtId="0" fontId="71" fillId="0" borderId="0" xfId="0" applyNumberFormat="1" applyFont="1" applyFill="1" applyAlignment="1">
      <alignment horizontal="center"/>
    </xf>
    <xf numFmtId="188" fontId="119" fillId="0" borderId="0" xfId="0" applyNumberFormat="1" applyFont="1" applyFill="1" applyAlignment="1"/>
    <xf numFmtId="0" fontId="99" fillId="0" borderId="0" xfId="0" applyNumberFormat="1" applyFont="1" applyFill="1" applyAlignment="1"/>
    <xf numFmtId="0" fontId="67" fillId="0" borderId="0" xfId="0" applyNumberFormat="1" applyFont="1" applyFill="1" applyAlignment="1"/>
    <xf numFmtId="0" fontId="67" fillId="0" borderId="0" xfId="0" applyNumberFormat="1" applyFont="1" applyFill="1" applyAlignment="1">
      <alignment horizontal="center"/>
    </xf>
    <xf numFmtId="188" fontId="67" fillId="0" borderId="0" xfId="0" applyNumberFormat="1" applyFont="1" applyFill="1" applyAlignment="1"/>
    <xf numFmtId="172" fontId="117" fillId="47" borderId="63" xfId="1342" applyNumberFormat="1" applyFont="1" applyFill="1" applyBorder="1"/>
    <xf numFmtId="188" fontId="22" fillId="0" borderId="0" xfId="0" applyNumberFormat="1" applyFont="1" applyFill="1" applyAlignment="1"/>
    <xf numFmtId="179" fontId="117" fillId="46" borderId="63" xfId="1342" applyNumberFormat="1" applyFont="1" applyFill="1" applyBorder="1"/>
    <xf numFmtId="0" fontId="116" fillId="0" borderId="0" xfId="0" applyNumberFormat="1" applyFont="1" applyFill="1" applyAlignment="1"/>
    <xf numFmtId="9" fontId="119" fillId="0" borderId="0" xfId="0" applyNumberFormat="1" applyFont="1" applyFill="1" applyAlignment="1"/>
    <xf numFmtId="9" fontId="22" fillId="0" borderId="0" xfId="0" applyNumberFormat="1" applyFont="1" applyFill="1" applyAlignment="1"/>
    <xf numFmtId="172" fontId="121" fillId="0" borderId="0" xfId="0" applyNumberFormat="1" applyFont="1" applyFill="1" applyAlignment="1"/>
    <xf numFmtId="4" fontId="8" fillId="0" borderId="0" xfId="0" applyFont="1" applyAlignment="1">
      <alignment horizontal="center" vertical="center"/>
    </xf>
    <xf numFmtId="4" fontId="100" fillId="46" borderId="0" xfId="0" applyFont="1" applyFill="1">
      <alignment vertical="center"/>
    </xf>
    <xf numFmtId="4" fontId="8" fillId="46" borderId="0" xfId="0" applyFont="1" applyFill="1">
      <alignment vertical="center"/>
    </xf>
    <xf numFmtId="4" fontId="8" fillId="46" borderId="0" xfId="0" applyFont="1" applyFill="1" applyAlignment="1">
      <alignment horizontal="center" vertical="center"/>
    </xf>
    <xf numFmtId="0" fontId="102" fillId="0" borderId="14" xfId="0" applyNumberFormat="1" applyFont="1" applyFill="1" applyBorder="1" applyAlignment="1"/>
    <xf numFmtId="0" fontId="119" fillId="0" borderId="14" xfId="0" applyNumberFormat="1" applyFont="1" applyFill="1" applyBorder="1" applyAlignment="1"/>
    <xf numFmtId="0" fontId="102" fillId="46" borderId="14" xfId="0" applyNumberFormat="1" applyFont="1" applyFill="1" applyBorder="1" applyAlignment="1"/>
    <xf numFmtId="0" fontId="119" fillId="46" borderId="14" xfId="0" applyNumberFormat="1" applyFont="1" applyFill="1" applyBorder="1" applyAlignment="1"/>
    <xf numFmtId="0" fontId="119" fillId="46" borderId="14" xfId="0" applyNumberFormat="1" applyFont="1" applyFill="1" applyBorder="1" applyAlignment="1">
      <alignment horizontal="center"/>
    </xf>
    <xf numFmtId="0" fontId="246" fillId="0" borderId="14" xfId="0" applyNumberFormat="1" applyFont="1" applyFill="1" applyBorder="1" applyAlignment="1"/>
    <xf numFmtId="172" fontId="247" fillId="0" borderId="14" xfId="0" applyNumberFormat="1" applyFont="1" applyFill="1" applyBorder="1" applyAlignment="1"/>
    <xf numFmtId="0" fontId="247" fillId="0" borderId="14" xfId="0" applyNumberFormat="1" applyFont="1" applyFill="1" applyBorder="1" applyAlignment="1"/>
    <xf numFmtId="0" fontId="247" fillId="0" borderId="14" xfId="0" applyNumberFormat="1" applyFont="1" applyFill="1" applyBorder="1" applyAlignment="1">
      <alignment horizontal="center"/>
    </xf>
    <xf numFmtId="0" fontId="238" fillId="0" borderId="14" xfId="0" applyNumberFormat="1" applyFont="1" applyFill="1" applyBorder="1" applyAlignment="1"/>
    <xf numFmtId="172" fontId="239" fillId="0" borderId="14" xfId="0" applyNumberFormat="1" applyFont="1" applyFill="1" applyBorder="1" applyAlignment="1"/>
    <xf numFmtId="0" fontId="239" fillId="0" borderId="14" xfId="0" applyNumberFormat="1" applyFont="1" applyFill="1" applyBorder="1" applyAlignment="1"/>
    <xf numFmtId="0" fontId="239" fillId="0" borderId="14" xfId="0" applyNumberFormat="1" applyFont="1" applyFill="1" applyBorder="1" applyAlignment="1">
      <alignment horizontal="center"/>
    </xf>
    <xf numFmtId="172" fontId="0" fillId="0" borderId="0" xfId="0" applyNumberFormat="1" applyAlignment="1"/>
    <xf numFmtId="173" fontId="0" fillId="0" borderId="0" xfId="0" applyNumberFormat="1" applyAlignment="1"/>
    <xf numFmtId="0" fontId="0" fillId="0" borderId="0" xfId="0" applyNumberFormat="1" applyAlignment="1">
      <alignment horizontal="right"/>
    </xf>
    <xf numFmtId="4" fontId="0" fillId="0" borderId="0" xfId="0" applyNumberFormat="1" applyAlignment="1"/>
    <xf numFmtId="199" fontId="0" fillId="0" borderId="0" xfId="0" applyNumberFormat="1" applyAlignment="1"/>
    <xf numFmtId="0" fontId="117" fillId="47" borderId="62" xfId="0" applyNumberFormat="1" applyFont="1" applyFill="1" applyBorder="1" applyAlignment="1">
      <alignment horizontal="right"/>
    </xf>
    <xf numFmtId="1" fontId="100" fillId="0" borderId="16" xfId="0" applyNumberFormat="1" applyFont="1" applyBorder="1" applyAlignment="1">
      <alignment horizontal="center" vertical="center" wrapText="1"/>
    </xf>
    <xf numFmtId="4" fontId="100" fillId="0" borderId="77" xfId="0" applyFont="1" applyBorder="1" applyAlignment="1">
      <alignment horizontal="center" vertical="center" wrapText="1"/>
    </xf>
    <xf numFmtId="4" fontId="100" fillId="0" borderId="78" xfId="0" applyFont="1" applyBorder="1" applyAlignment="1">
      <alignment horizontal="center" vertical="center" wrapText="1"/>
    </xf>
    <xf numFmtId="1" fontId="100" fillId="0" borderId="79" xfId="0" applyNumberFormat="1" applyFont="1" applyBorder="1" applyAlignment="1">
      <alignment horizontal="center" vertical="center" wrapText="1"/>
    </xf>
    <xf numFmtId="1" fontId="100" fillId="0" borderId="80" xfId="0" applyNumberFormat="1" applyFont="1" applyBorder="1" applyAlignment="1">
      <alignment horizontal="center" vertical="center" wrapText="1"/>
    </xf>
    <xf numFmtId="4" fontId="100" fillId="0" borderId="14" xfId="0" applyFont="1" applyBorder="1" applyAlignment="1">
      <alignment vertical="center" wrapText="1"/>
    </xf>
    <xf numFmtId="4" fontId="100" fillId="0" borderId="14" xfId="0" applyNumberFormat="1" applyFont="1" applyBorder="1" applyAlignment="1">
      <alignment horizontal="center" vertical="center" wrapText="1"/>
    </xf>
    <xf numFmtId="172" fontId="100" fillId="0" borderId="14" xfId="0" applyNumberFormat="1" applyFont="1" applyBorder="1" applyAlignment="1">
      <alignment horizontal="center" vertical="center" wrapText="1"/>
    </xf>
    <xf numFmtId="1" fontId="100" fillId="0" borderId="81" xfId="0" applyNumberFormat="1" applyFont="1" applyBorder="1" applyAlignment="1">
      <alignment horizontal="center" vertical="center" wrapText="1"/>
    </xf>
    <xf numFmtId="4" fontId="100" fillId="0" borderId="39" xfId="0" applyFont="1" applyBorder="1" applyAlignment="1">
      <alignment vertical="center" wrapText="1"/>
    </xf>
    <xf numFmtId="172" fontId="100" fillId="0" borderId="14" xfId="0" applyNumberFormat="1" applyFont="1" applyFill="1" applyBorder="1" applyAlignment="1">
      <alignment horizontal="center" vertical="center" wrapText="1"/>
    </xf>
    <xf numFmtId="172" fontId="100" fillId="0" borderId="39" xfId="0" applyNumberFormat="1" applyFont="1" applyFill="1" applyBorder="1" applyAlignment="1">
      <alignment horizontal="center" vertical="center" wrapText="1"/>
    </xf>
    <xf numFmtId="4" fontId="100" fillId="0" borderId="39" xfId="0" applyNumberFormat="1" applyFont="1" applyBorder="1" applyAlignment="1">
      <alignment horizontal="center" vertical="center" wrapText="1"/>
    </xf>
    <xf numFmtId="4" fontId="100" fillId="0" borderId="82" xfId="0" applyNumberFormat="1" applyFont="1" applyBorder="1" applyAlignment="1">
      <alignment horizontal="center" vertical="center" wrapText="1"/>
    </xf>
    <xf numFmtId="1" fontId="100" fillId="0" borderId="14" xfId="0" applyNumberFormat="1" applyFont="1" applyBorder="1" applyAlignment="1">
      <alignment horizontal="center" vertical="center" wrapText="1"/>
    </xf>
    <xf numFmtId="1" fontId="100" fillId="0" borderId="45" xfId="0" applyNumberFormat="1" applyFont="1" applyBorder="1" applyAlignment="1">
      <alignment horizontal="center" vertical="center" wrapText="1"/>
    </xf>
    <xf numFmtId="4" fontId="100" fillId="0" borderId="43" xfId="0" applyFont="1" applyBorder="1" applyAlignment="1">
      <alignment vertical="center" wrapText="1"/>
    </xf>
    <xf numFmtId="172" fontId="100" fillId="0" borderId="43" xfId="0" applyNumberFormat="1" applyFont="1" applyFill="1" applyBorder="1" applyAlignment="1">
      <alignment horizontal="center" vertical="center" wrapText="1"/>
    </xf>
    <xf numFmtId="4" fontId="100" fillId="0" borderId="43" xfId="0" applyNumberFormat="1" applyFont="1" applyBorder="1" applyAlignment="1">
      <alignment horizontal="center" vertical="center" wrapText="1"/>
    </xf>
    <xf numFmtId="1" fontId="102" fillId="0" borderId="20" xfId="0" applyNumberFormat="1" applyFont="1" applyBorder="1" applyAlignment="1">
      <alignment horizontal="center" vertical="center" wrapText="1"/>
    </xf>
    <xf numFmtId="4" fontId="102" fillId="0" borderId="21" xfId="0" applyFont="1" applyBorder="1" applyAlignment="1">
      <alignment vertical="center" wrapText="1"/>
    </xf>
    <xf numFmtId="4" fontId="102" fillId="0" borderId="21" xfId="0" applyNumberFormat="1" applyFont="1" applyBorder="1" applyAlignment="1">
      <alignment horizontal="center" vertical="center" wrapText="1"/>
    </xf>
    <xf numFmtId="172" fontId="102" fillId="0" borderId="21" xfId="0" applyNumberFormat="1" applyFont="1" applyBorder="1" applyAlignment="1">
      <alignment horizontal="center" vertical="center" wrapText="1"/>
    </xf>
    <xf numFmtId="1" fontId="124" fillId="46" borderId="79" xfId="0" applyNumberFormat="1" applyFont="1" applyFill="1" applyBorder="1" applyAlignment="1">
      <alignment horizontal="center" vertical="center" wrapText="1"/>
    </xf>
    <xf numFmtId="1" fontId="124" fillId="46" borderId="80" xfId="0" applyNumberFormat="1" applyFont="1" applyFill="1" applyBorder="1" applyAlignment="1">
      <alignment horizontal="center" vertical="center" wrapText="1"/>
    </xf>
    <xf numFmtId="4" fontId="124" fillId="46" borderId="14" xfId="0" applyFont="1" applyFill="1" applyBorder="1" applyAlignment="1">
      <alignment vertical="center" wrapText="1"/>
    </xf>
    <xf numFmtId="4" fontId="124" fillId="46" borderId="14" xfId="0" applyFont="1" applyFill="1" applyBorder="1" applyAlignment="1">
      <alignment horizontal="center" vertical="center" wrapText="1"/>
    </xf>
    <xf numFmtId="172" fontId="124" fillId="46" borderId="14" xfId="0" applyNumberFormat="1" applyFont="1" applyFill="1" applyBorder="1" applyAlignment="1">
      <alignment horizontal="center" vertical="center" wrapText="1"/>
    </xf>
    <xf numFmtId="4" fontId="125" fillId="46" borderId="14" xfId="1154" applyNumberFormat="1" applyFont="1" applyFill="1" applyBorder="1" applyAlignment="1" applyProtection="1">
      <alignment horizontal="center" vertical="center"/>
      <protection locked="0"/>
    </xf>
    <xf numFmtId="4" fontId="124" fillId="46" borderId="14" xfId="0" applyNumberFormat="1" applyFont="1" applyFill="1" applyBorder="1" applyAlignment="1">
      <alignment horizontal="center" vertical="center" wrapText="1"/>
    </xf>
    <xf numFmtId="4" fontId="124" fillId="46" borderId="83" xfId="0" applyNumberFormat="1" applyFont="1" applyFill="1" applyBorder="1" applyAlignment="1">
      <alignment horizontal="center" vertical="center" wrapText="1"/>
    </xf>
    <xf numFmtId="1" fontId="124" fillId="46" borderId="81" xfId="0" applyNumberFormat="1" applyFont="1" applyFill="1" applyBorder="1" applyAlignment="1">
      <alignment horizontal="center" vertical="center" wrapText="1"/>
    </xf>
    <xf numFmtId="4" fontId="124" fillId="46" borderId="39" xfId="0" applyFont="1" applyFill="1" applyBorder="1" applyAlignment="1">
      <alignment vertical="center" wrapText="1"/>
    </xf>
    <xf numFmtId="4" fontId="124" fillId="46" borderId="39" xfId="0" applyFont="1" applyFill="1" applyBorder="1" applyAlignment="1">
      <alignment horizontal="center" vertical="center" wrapText="1"/>
    </xf>
    <xf numFmtId="172" fontId="124" fillId="46" borderId="39" xfId="0" applyNumberFormat="1" applyFont="1" applyFill="1" applyBorder="1" applyAlignment="1">
      <alignment horizontal="center" vertical="center" wrapText="1"/>
    </xf>
    <xf numFmtId="4" fontId="124" fillId="46" borderId="39" xfId="0" applyNumberFormat="1" applyFont="1" applyFill="1" applyBorder="1" applyAlignment="1">
      <alignment horizontal="center" vertical="center" wrapText="1"/>
    </xf>
    <xf numFmtId="4" fontId="124" fillId="46" borderId="82" xfId="0" applyNumberFormat="1" applyFont="1" applyFill="1" applyBorder="1" applyAlignment="1">
      <alignment horizontal="center" vertical="center" wrapText="1"/>
    </xf>
    <xf numFmtId="1" fontId="126" fillId="46" borderId="20" xfId="0" applyNumberFormat="1" applyFont="1" applyFill="1" applyBorder="1" applyAlignment="1">
      <alignment horizontal="center" vertical="center" wrapText="1"/>
    </xf>
    <xf numFmtId="4" fontId="126" fillId="46" borderId="21" xfId="0" applyFont="1" applyFill="1" applyBorder="1" applyAlignment="1">
      <alignment vertical="center" wrapText="1"/>
    </xf>
    <xf numFmtId="4" fontId="126" fillId="46" borderId="21" xfId="0" applyFont="1" applyFill="1" applyBorder="1" applyAlignment="1">
      <alignment horizontal="center" vertical="center" wrapText="1"/>
    </xf>
    <xf numFmtId="172" fontId="126" fillId="46" borderId="21" xfId="0" applyNumberFormat="1" applyFont="1" applyFill="1" applyBorder="1" applyAlignment="1">
      <alignment horizontal="center" vertical="center" wrapText="1"/>
    </xf>
    <xf numFmtId="4" fontId="126" fillId="46" borderId="21" xfId="0" applyNumberFormat="1" applyFont="1" applyFill="1" applyBorder="1" applyAlignment="1">
      <alignment horizontal="center" vertical="center" wrapText="1"/>
    </xf>
    <xf numFmtId="4" fontId="126" fillId="46" borderId="22" xfId="0" applyNumberFormat="1" applyFont="1" applyFill="1" applyBorder="1" applyAlignment="1">
      <alignment horizontal="center" vertical="center" wrapText="1"/>
    </xf>
    <xf numFmtId="1" fontId="126" fillId="0" borderId="20" xfId="0" applyNumberFormat="1" applyFont="1" applyBorder="1" applyAlignment="1">
      <alignment horizontal="center" vertical="center" wrapText="1"/>
    </xf>
    <xf numFmtId="4" fontId="126" fillId="0" borderId="21" xfId="0" applyFont="1" applyBorder="1" applyAlignment="1">
      <alignment vertical="center" wrapText="1"/>
    </xf>
    <xf numFmtId="4" fontId="126" fillId="0" borderId="21" xfId="0" applyFont="1" applyBorder="1" applyAlignment="1">
      <alignment horizontal="center" vertical="center" wrapText="1"/>
    </xf>
    <xf numFmtId="172" fontId="126" fillId="0" borderId="21" xfId="0" applyNumberFormat="1" applyFont="1" applyBorder="1" applyAlignment="1">
      <alignment horizontal="center" vertical="center" wrapText="1"/>
    </xf>
    <xf numFmtId="4" fontId="126" fillId="0" borderId="21" xfId="0" applyNumberFormat="1" applyFont="1" applyBorder="1" applyAlignment="1">
      <alignment horizontal="center" vertical="center" wrapText="1"/>
    </xf>
    <xf numFmtId="4" fontId="126" fillId="0" borderId="22" xfId="0" applyNumberFormat="1" applyFont="1" applyBorder="1" applyAlignment="1">
      <alignment horizontal="center" vertical="center" wrapText="1"/>
    </xf>
    <xf numFmtId="4" fontId="100" fillId="0" borderId="77" xfId="0" applyNumberFormat="1" applyFont="1" applyBorder="1" applyAlignment="1">
      <alignment horizontal="left" vertical="center" wrapText="1"/>
    </xf>
    <xf numFmtId="4" fontId="100" fillId="0" borderId="77" xfId="0" applyNumberFormat="1" applyFont="1" applyBorder="1" applyAlignment="1">
      <alignment horizontal="center" vertical="center" wrapText="1"/>
    </xf>
    <xf numFmtId="172" fontId="100" fillId="0" borderId="77" xfId="0" applyNumberFormat="1" applyFont="1" applyBorder="1" applyAlignment="1">
      <alignment horizontal="center" vertical="center" wrapText="1"/>
    </xf>
    <xf numFmtId="201" fontId="100" fillId="0" borderId="77" xfId="0" applyNumberFormat="1" applyFont="1" applyBorder="1" applyAlignment="1">
      <alignment horizontal="center" vertical="center" wrapText="1"/>
    </xf>
    <xf numFmtId="4" fontId="100" fillId="0" borderId="78" xfId="0" applyNumberFormat="1" applyFont="1" applyBorder="1" applyAlignment="1">
      <alignment horizontal="center" vertical="center" wrapText="1"/>
    </xf>
    <xf numFmtId="1" fontId="100" fillId="0" borderId="84" xfId="0" applyNumberFormat="1" applyFont="1" applyBorder="1" applyAlignment="1">
      <alignment horizontal="center" vertical="center" wrapText="1"/>
    </xf>
    <xf numFmtId="4" fontId="100" fillId="0" borderId="54" xfId="0" applyNumberFormat="1" applyFont="1" applyBorder="1" applyAlignment="1">
      <alignment horizontal="left" vertical="center" wrapText="1"/>
    </xf>
    <xf numFmtId="4" fontId="100" fillId="0" borderId="54" xfId="0" applyNumberFormat="1" applyFont="1" applyBorder="1" applyAlignment="1">
      <alignment horizontal="center" vertical="center" wrapText="1"/>
    </xf>
    <xf numFmtId="172" fontId="100" fillId="0" borderId="54" xfId="0" applyNumberFormat="1" applyFont="1" applyBorder="1" applyAlignment="1">
      <alignment horizontal="center" vertical="center" wrapText="1"/>
    </xf>
    <xf numFmtId="201" fontId="100" fillId="0" borderId="85" xfId="0" applyNumberFormat="1" applyFont="1" applyBorder="1" applyAlignment="1">
      <alignment horizontal="center" vertical="center" wrapText="1"/>
    </xf>
    <xf numFmtId="4" fontId="100" fillId="0" borderId="86" xfId="0" applyNumberFormat="1" applyFont="1" applyBorder="1" applyAlignment="1">
      <alignment horizontal="center" vertical="center" wrapText="1"/>
    </xf>
    <xf numFmtId="201" fontId="100" fillId="0" borderId="21" xfId="0" applyNumberFormat="1" applyFont="1" applyBorder="1" applyAlignment="1">
      <alignment horizontal="center" vertical="center" wrapText="1"/>
    </xf>
    <xf numFmtId="4" fontId="102" fillId="0" borderId="21" xfId="0" applyNumberFormat="1" applyFont="1" applyBorder="1" applyAlignment="1">
      <alignment vertical="center" wrapText="1"/>
    </xf>
    <xf numFmtId="172" fontId="102" fillId="0" borderId="21" xfId="0" applyNumberFormat="1" applyFont="1" applyBorder="1" applyAlignment="1">
      <alignment vertical="center" wrapText="1"/>
    </xf>
    <xf numFmtId="1" fontId="102" fillId="0" borderId="87" xfId="0" applyNumberFormat="1" applyFont="1" applyBorder="1" applyAlignment="1">
      <alignment horizontal="center" vertical="center" wrapText="1"/>
    </xf>
    <xf numFmtId="4" fontId="102" fillId="0" borderId="0" xfId="0" applyNumberFormat="1" applyFont="1" applyBorder="1" applyAlignment="1">
      <alignment vertical="center" wrapText="1"/>
    </xf>
    <xf numFmtId="172" fontId="102" fillId="0" borderId="0" xfId="0" applyNumberFormat="1" applyFont="1" applyBorder="1" applyAlignment="1">
      <alignment vertical="center" wrapText="1"/>
    </xf>
    <xf numFmtId="0" fontId="102" fillId="0" borderId="21" xfId="0" applyNumberFormat="1" applyFont="1" applyBorder="1" applyAlignment="1">
      <alignment horizontal="center" vertical="center" wrapText="1"/>
    </xf>
    <xf numFmtId="3" fontId="100" fillId="0" borderId="14" xfId="0" applyNumberFormat="1" applyFont="1" applyBorder="1" applyAlignment="1">
      <alignment horizontal="center" vertical="center" wrapText="1"/>
    </xf>
    <xf numFmtId="3" fontId="100" fillId="0" borderId="83" xfId="0" applyNumberFormat="1" applyFont="1" applyBorder="1" applyAlignment="1">
      <alignment horizontal="center" vertical="center" wrapText="1"/>
    </xf>
    <xf numFmtId="3" fontId="100" fillId="0" borderId="39" xfId="0" applyNumberFormat="1" applyFont="1" applyBorder="1" applyAlignment="1">
      <alignment horizontal="center" vertical="center" wrapText="1"/>
    </xf>
    <xf numFmtId="3" fontId="100" fillId="0" borderId="82" xfId="0" applyNumberFormat="1" applyFont="1" applyBorder="1" applyAlignment="1">
      <alignment horizontal="center" vertical="center" wrapText="1"/>
    </xf>
    <xf numFmtId="3" fontId="109" fillId="0" borderId="21" xfId="0" applyNumberFormat="1" applyFont="1" applyBorder="1" applyAlignment="1">
      <alignment horizontal="center" vertical="center" wrapText="1"/>
    </xf>
    <xf numFmtId="3" fontId="109" fillId="0" borderId="0" xfId="0" applyNumberFormat="1" applyFont="1" applyBorder="1" applyAlignment="1">
      <alignment horizontal="center" vertical="center" wrapText="1"/>
    </xf>
    <xf numFmtId="3" fontId="109" fillId="0" borderId="88" xfId="0" applyNumberFormat="1" applyFont="1" applyBorder="1" applyAlignment="1">
      <alignment horizontal="center" vertical="center" wrapText="1"/>
    </xf>
    <xf numFmtId="3" fontId="127" fillId="0" borderId="21" xfId="0" applyNumberFormat="1" applyFont="1" applyBorder="1" applyAlignment="1">
      <alignment horizontal="center" vertical="center" wrapText="1"/>
    </xf>
    <xf numFmtId="3" fontId="127" fillId="0" borderId="22" xfId="0" applyNumberFormat="1" applyFont="1" applyBorder="1" applyAlignment="1">
      <alignment horizontal="center" vertical="center" wrapText="1"/>
    </xf>
    <xf numFmtId="3" fontId="49" fillId="0" borderId="14" xfId="0" applyNumberFormat="1" applyFont="1" applyBorder="1" applyAlignment="1">
      <alignment horizontal="center" vertical="center" wrapText="1"/>
    </xf>
    <xf numFmtId="3" fontId="49" fillId="0" borderId="83" xfId="0" applyNumberFormat="1" applyFont="1" applyBorder="1" applyAlignment="1">
      <alignment horizontal="center" vertical="center" wrapText="1"/>
    </xf>
    <xf numFmtId="0" fontId="99" fillId="46" borderId="61" xfId="0" applyNumberFormat="1" applyFont="1" applyFill="1" applyBorder="1" applyAlignment="1">
      <alignment horizontal="center"/>
    </xf>
    <xf numFmtId="0" fontId="104" fillId="47" borderId="62" xfId="0" applyNumberFormat="1" applyFont="1" applyFill="1" applyBorder="1" applyAlignment="1">
      <alignment wrapText="1"/>
    </xf>
    <xf numFmtId="0" fontId="104" fillId="47" borderId="62" xfId="0" applyNumberFormat="1" applyFont="1" applyFill="1" applyBorder="1" applyAlignment="1">
      <alignment horizontal="right"/>
    </xf>
    <xf numFmtId="0" fontId="99" fillId="46" borderId="62" xfId="0" applyNumberFormat="1" applyFont="1" applyFill="1" applyBorder="1" applyAlignment="1">
      <alignment wrapText="1"/>
    </xf>
    <xf numFmtId="172" fontId="99" fillId="46" borderId="63" xfId="1342" applyNumberFormat="1" applyFont="1" applyFill="1" applyBorder="1"/>
    <xf numFmtId="179" fontId="105" fillId="0" borderId="63" xfId="1342" applyNumberFormat="1" applyFont="1" applyFill="1" applyBorder="1"/>
    <xf numFmtId="0" fontId="124" fillId="0" borderId="0" xfId="1145" applyFont="1" applyFill="1" applyAlignment="1" applyProtection="1">
      <alignment vertical="center"/>
    </xf>
    <xf numFmtId="0" fontId="124" fillId="0" borderId="0" xfId="1145" applyFont="1" applyFill="1" applyAlignment="1" applyProtection="1">
      <alignment horizontal="left" vertical="center"/>
    </xf>
    <xf numFmtId="0" fontId="130" fillId="0" borderId="0" xfId="1145" applyFont="1" applyAlignment="1" applyProtection="1">
      <alignment vertical="center"/>
    </xf>
    <xf numFmtId="0" fontId="100" fillId="0" borderId="0" xfId="1145" applyFont="1" applyAlignment="1" applyProtection="1">
      <alignment vertical="center" wrapText="1"/>
    </xf>
    <xf numFmtId="0" fontId="100" fillId="0" borderId="0" xfId="1145" applyFont="1" applyAlignment="1" applyProtection="1">
      <alignment horizontal="center" vertical="center" wrapText="1"/>
    </xf>
    <xf numFmtId="0" fontId="124" fillId="0" borderId="0" xfId="1145" applyNumberFormat="1" applyFont="1" applyFill="1" applyAlignment="1" applyProtection="1">
      <alignment vertical="center"/>
    </xf>
    <xf numFmtId="0" fontId="124" fillId="0" borderId="0" xfId="1145" applyFont="1" applyAlignment="1" applyProtection="1">
      <alignment vertical="center"/>
    </xf>
    <xf numFmtId="0" fontId="124" fillId="0" borderId="0" xfId="1145" applyFont="1" applyAlignment="1" applyProtection="1">
      <alignment vertical="center" wrapText="1"/>
    </xf>
    <xf numFmtId="0" fontId="124" fillId="0" borderId="0" xfId="1145" applyFont="1" applyBorder="1" applyAlignment="1" applyProtection="1">
      <alignment vertical="center" wrapText="1"/>
    </xf>
    <xf numFmtId="0" fontId="49" fillId="0" borderId="0" xfId="1147" applyFont="1" applyBorder="1" applyAlignment="1" applyProtection="1">
      <alignment horizontal="right" vertical="center"/>
    </xf>
    <xf numFmtId="0" fontId="102" fillId="0" borderId="0" xfId="1145" applyFont="1" applyBorder="1" applyAlignment="1" applyProtection="1">
      <alignment vertical="center" wrapText="1"/>
    </xf>
    <xf numFmtId="0" fontId="102" fillId="0" borderId="0" xfId="1149" applyFont="1" applyFill="1" applyBorder="1" applyAlignment="1" applyProtection="1">
      <alignment vertical="center" wrapText="1"/>
    </xf>
    <xf numFmtId="0" fontId="68" fillId="0" borderId="89" xfId="1167" applyFont="1" applyBorder="1" applyAlignment="1">
      <alignment vertical="center"/>
    </xf>
    <xf numFmtId="0" fontId="131" fillId="0" borderId="89" xfId="1167" applyFont="1" applyBorder="1" applyAlignment="1">
      <alignment vertical="center"/>
    </xf>
    <xf numFmtId="0" fontId="100" fillId="46" borderId="0" xfId="1149" applyFont="1" applyFill="1" applyBorder="1" applyAlignment="1" applyProtection="1">
      <alignment vertical="center" wrapText="1"/>
    </xf>
    <xf numFmtId="0" fontId="100" fillId="46" borderId="89" xfId="1149" applyFont="1" applyFill="1" applyBorder="1" applyAlignment="1" applyProtection="1">
      <alignment vertical="center" wrapText="1"/>
    </xf>
    <xf numFmtId="0" fontId="102" fillId="46" borderId="0" xfId="1149" applyFont="1" applyFill="1" applyBorder="1" applyAlignment="1" applyProtection="1">
      <alignment vertical="center" wrapText="1"/>
    </xf>
    <xf numFmtId="0" fontId="49" fillId="46" borderId="0" xfId="1147" applyFont="1" applyFill="1" applyBorder="1" applyAlignment="1" applyProtection="1">
      <alignment horizontal="right" vertical="center" wrapText="1" indent="1"/>
    </xf>
    <xf numFmtId="0" fontId="132" fillId="3" borderId="90" xfId="1147" applyFont="1" applyFill="1" applyBorder="1" applyAlignment="1" applyProtection="1">
      <alignment horizontal="center" vertical="center"/>
    </xf>
    <xf numFmtId="0" fontId="102" fillId="46" borderId="91" xfId="1149" applyFont="1" applyFill="1" applyBorder="1" applyAlignment="1" applyProtection="1">
      <alignment vertical="center" wrapText="1"/>
    </xf>
    <xf numFmtId="14" fontId="124" fillId="46" borderId="0" xfId="1164" applyNumberFormat="1" applyFont="1" applyFill="1" applyBorder="1" applyAlignment="1" applyProtection="1">
      <alignment horizontal="center" vertical="center"/>
    </xf>
    <xf numFmtId="0" fontId="124" fillId="46" borderId="0" xfId="1164" applyNumberFormat="1" applyFont="1" applyFill="1" applyBorder="1" applyAlignment="1" applyProtection="1">
      <alignment horizontal="center" vertical="center" wrapText="1"/>
    </xf>
    <xf numFmtId="0" fontId="125" fillId="46" borderId="0" xfId="1164" applyNumberFormat="1" applyFont="1" applyFill="1" applyBorder="1" applyAlignment="1" applyProtection="1">
      <alignment horizontal="center" vertical="center" wrapText="1"/>
    </xf>
    <xf numFmtId="0" fontId="100" fillId="46" borderId="89" xfId="1164" applyNumberFormat="1" applyFont="1" applyFill="1" applyBorder="1" applyAlignment="1" applyProtection="1">
      <alignment horizontal="center" wrapText="1"/>
    </xf>
    <xf numFmtId="0" fontId="100" fillId="46" borderId="0" xfId="1145" applyFont="1" applyFill="1" applyBorder="1" applyAlignment="1" applyProtection="1">
      <alignment horizontal="center" vertical="center" wrapText="1"/>
    </xf>
    <xf numFmtId="0" fontId="0" fillId="46" borderId="0" xfId="1147" applyFont="1" applyFill="1" applyBorder="1" applyAlignment="1" applyProtection="1">
      <alignment horizontal="right" vertical="center" wrapText="1" indent="1"/>
    </xf>
    <xf numFmtId="0" fontId="0" fillId="47" borderId="90" xfId="1147" applyFont="1" applyFill="1" applyBorder="1" applyAlignment="1" applyProtection="1">
      <alignment horizontal="center" vertical="center"/>
      <protection locked="0"/>
    </xf>
    <xf numFmtId="0" fontId="100" fillId="46" borderId="91" xfId="1149" applyFont="1" applyFill="1" applyBorder="1" applyAlignment="1" applyProtection="1">
      <alignment horizontal="left" vertical="center" wrapText="1"/>
    </xf>
    <xf numFmtId="0" fontId="100" fillId="46" borderId="91" xfId="1149" applyFont="1" applyFill="1" applyBorder="1" applyAlignment="1" applyProtection="1">
      <alignment horizontal="center" vertical="center" wrapText="1"/>
    </xf>
    <xf numFmtId="0" fontId="134" fillId="46" borderId="0" xfId="1147" applyFont="1" applyFill="1" applyBorder="1" applyAlignment="1" applyProtection="1">
      <alignment horizontal="right" vertical="center" wrapText="1" indent="1"/>
    </xf>
    <xf numFmtId="0" fontId="134" fillId="46" borderId="90" xfId="1147" applyFont="1" applyFill="1" applyBorder="1" applyAlignment="1" applyProtection="1">
      <alignment horizontal="center" vertical="center"/>
    </xf>
    <xf numFmtId="0" fontId="134" fillId="46" borderId="90" xfId="1147" applyFont="1" applyFill="1" applyBorder="1" applyAlignment="1" applyProtection="1">
      <alignment horizontal="center" vertical="center" wrapText="1"/>
    </xf>
    <xf numFmtId="0" fontId="135" fillId="0" borderId="89" xfId="1147" applyNumberFormat="1" applyFont="1" applyFill="1" applyBorder="1" applyAlignment="1" applyProtection="1">
      <alignment horizontal="center" vertical="top" wrapText="1"/>
    </xf>
    <xf numFmtId="49" fontId="100" fillId="46" borderId="92" xfId="1164" applyNumberFormat="1" applyFont="1" applyFill="1" applyBorder="1" applyAlignment="1" applyProtection="1">
      <alignment horizontal="center" vertical="center" wrapText="1"/>
    </xf>
    <xf numFmtId="14" fontId="100" fillId="46" borderId="92" xfId="1164" applyNumberFormat="1" applyFont="1" applyFill="1" applyBorder="1" applyAlignment="1" applyProtection="1">
      <alignment horizontal="center" vertical="center" wrapText="1"/>
    </xf>
    <xf numFmtId="14" fontId="100" fillId="46" borderId="0" xfId="1164" applyNumberFormat="1" applyFont="1" applyFill="1" applyBorder="1" applyAlignment="1" applyProtection="1">
      <alignment horizontal="center" vertical="center" wrapText="1"/>
    </xf>
    <xf numFmtId="0" fontId="136" fillId="0" borderId="0" xfId="1145" applyFont="1" applyAlignment="1" applyProtection="1">
      <alignment vertical="center" wrapText="1"/>
    </xf>
    <xf numFmtId="49" fontId="130" fillId="0" borderId="0" xfId="1161" applyFont="1" applyAlignment="1" applyProtection="1">
      <alignment horizontal="center" vertical="center"/>
    </xf>
    <xf numFmtId="0" fontId="0" fillId="49" borderId="90" xfId="1149" applyNumberFormat="1" applyFont="1" applyFill="1" applyBorder="1" applyAlignment="1" applyProtection="1">
      <alignment horizontal="center" vertical="center" wrapText="1"/>
    </xf>
    <xf numFmtId="14" fontId="100" fillId="46" borderId="91" xfId="1164" applyNumberFormat="1" applyFont="1" applyFill="1" applyBorder="1" applyAlignment="1" applyProtection="1">
      <alignment horizontal="center" vertical="center" wrapText="1"/>
    </xf>
    <xf numFmtId="0" fontId="248" fillId="0" borderId="0" xfId="1145" applyFont="1" applyAlignment="1" applyProtection="1">
      <alignment vertical="center" wrapText="1"/>
    </xf>
    <xf numFmtId="49" fontId="132" fillId="3" borderId="90" xfId="1147" applyNumberFormat="1" applyFont="1" applyFill="1" applyBorder="1" applyAlignment="1" applyProtection="1">
      <alignment horizontal="center" vertical="center" wrapText="1"/>
    </xf>
    <xf numFmtId="0" fontId="100" fillId="46" borderId="91" xfId="1145" applyFont="1" applyFill="1" applyBorder="1" applyAlignment="1" applyProtection="1">
      <alignment horizontal="center" vertical="center" wrapText="1"/>
    </xf>
    <xf numFmtId="0" fontId="100" fillId="46" borderId="0" xfId="1164" applyNumberFormat="1" applyFont="1" applyFill="1" applyBorder="1" applyAlignment="1" applyProtection="1">
      <alignment horizontal="center" vertical="center" wrapText="1"/>
    </xf>
    <xf numFmtId="49" fontId="100" fillId="46" borderId="89" xfId="1164" applyNumberFormat="1" applyFont="1" applyFill="1" applyBorder="1" applyAlignment="1" applyProtection="1">
      <alignment horizontal="center" vertical="center" wrapText="1"/>
    </xf>
    <xf numFmtId="49" fontId="49" fillId="47" borderId="90" xfId="1147" applyNumberFormat="1" applyFont="1" applyFill="1" applyBorder="1" applyAlignment="1" applyProtection="1">
      <alignment horizontal="center" vertical="center" wrapText="1"/>
      <protection locked="0"/>
    </xf>
    <xf numFmtId="0" fontId="134" fillId="47" borderId="90" xfId="1147" applyFont="1" applyFill="1" applyBorder="1" applyAlignment="1" applyProtection="1">
      <alignment horizontal="center" vertical="center"/>
      <protection locked="0"/>
    </xf>
    <xf numFmtId="49" fontId="49" fillId="46" borderId="93" xfId="1147" applyNumberFormat="1" applyFont="1" applyFill="1" applyBorder="1" applyAlignment="1" applyProtection="1">
      <alignment horizontal="center" vertical="center" wrapText="1"/>
    </xf>
    <xf numFmtId="0" fontId="49" fillId="46" borderId="94" xfId="1147" applyFont="1" applyFill="1" applyBorder="1" applyAlignment="1" applyProtection="1">
      <alignment horizontal="right" vertical="center" wrapText="1" indent="1"/>
    </xf>
    <xf numFmtId="0" fontId="0" fillId="46" borderId="92" xfId="1147" applyFont="1" applyFill="1" applyBorder="1" applyAlignment="1" applyProtection="1">
      <alignment horizontal="center" vertical="center" wrapText="1"/>
    </xf>
    <xf numFmtId="0" fontId="124" fillId="0" borderId="0" xfId="1145" applyFont="1" applyFill="1" applyBorder="1" applyAlignment="1" applyProtection="1">
      <alignment vertical="center"/>
    </xf>
    <xf numFmtId="0" fontId="0" fillId="46" borderId="89" xfId="1147" applyFont="1" applyFill="1" applyBorder="1" applyAlignment="1" applyProtection="1">
      <alignment horizontal="center" vertical="center" wrapText="1"/>
    </xf>
    <xf numFmtId="49" fontId="0" fillId="46" borderId="0" xfId="1147" applyNumberFormat="1" applyFont="1" applyFill="1" applyBorder="1" applyAlignment="1" applyProtection="1">
      <alignment horizontal="right" vertical="center" wrapText="1" indent="1"/>
    </xf>
    <xf numFmtId="49" fontId="0" fillId="47" borderId="90" xfId="1147" applyNumberFormat="1" applyFont="1" applyFill="1" applyBorder="1" applyAlignment="1" applyProtection="1">
      <alignment horizontal="center" vertical="center" wrapText="1"/>
      <protection locked="0"/>
    </xf>
    <xf numFmtId="49" fontId="124" fillId="0" borderId="0" xfId="1164" applyNumberFormat="1" applyFont="1" applyFill="1" applyBorder="1" applyAlignment="1" applyProtection="1">
      <alignment horizontal="left" vertical="center"/>
    </xf>
    <xf numFmtId="49" fontId="100" fillId="46" borderId="0" xfId="1164" applyNumberFormat="1" applyFont="1" applyFill="1" applyBorder="1" applyAlignment="1" applyProtection="1">
      <alignment horizontal="center" vertical="center" wrapText="1"/>
    </xf>
    <xf numFmtId="49" fontId="49" fillId="46" borderId="0" xfId="1147" applyNumberFormat="1" applyFont="1" applyFill="1" applyBorder="1" applyAlignment="1" applyProtection="1">
      <alignment horizontal="right" vertical="center" wrapText="1" indent="1"/>
    </xf>
    <xf numFmtId="49" fontId="0" fillId="3" borderId="93" xfId="1147" applyNumberFormat="1" applyFont="1" applyFill="1" applyBorder="1" applyAlignment="1" applyProtection="1">
      <alignment horizontal="center" vertical="center" wrapText="1"/>
    </xf>
    <xf numFmtId="0" fontId="100" fillId="46" borderId="0" xfId="1149" applyFont="1" applyFill="1" applyBorder="1" applyAlignment="1" applyProtection="1">
      <alignment horizontal="center" vertical="center" wrapText="1"/>
    </xf>
    <xf numFmtId="0" fontId="100" fillId="0" borderId="0" xfId="1145" applyFont="1" applyFill="1" applyAlignment="1" applyProtection="1">
      <alignment horizontal="center" vertical="center" wrapText="1"/>
    </xf>
    <xf numFmtId="0" fontId="100" fillId="0" borderId="0" xfId="1145" applyFont="1" applyFill="1" applyAlignment="1" applyProtection="1">
      <alignment vertical="center" wrapText="1"/>
    </xf>
    <xf numFmtId="0" fontId="100" fillId="0" borderId="0" xfId="1145" applyFont="1" applyBorder="1" applyAlignment="1" applyProtection="1">
      <alignment vertical="center" wrapText="1"/>
    </xf>
    <xf numFmtId="49" fontId="137" fillId="0" borderId="92" xfId="0" applyNumberFormat="1" applyFont="1" applyFill="1" applyBorder="1" applyAlignment="1" applyProtection="1">
      <alignment horizontal="left"/>
    </xf>
    <xf numFmtId="0" fontId="100" fillId="0" borderId="92" xfId="1145" applyFont="1" applyBorder="1" applyAlignment="1" applyProtection="1">
      <alignment vertical="center" wrapText="1"/>
    </xf>
    <xf numFmtId="49" fontId="137" fillId="0" borderId="94" xfId="0" applyNumberFormat="1" applyFont="1" applyFill="1" applyBorder="1" applyAlignment="1" applyProtection="1">
      <alignment horizontal="left" vertical="center"/>
    </xf>
    <xf numFmtId="0" fontId="100" fillId="0" borderId="94" xfId="1145" applyFont="1" applyBorder="1" applyAlignment="1" applyProtection="1">
      <alignment vertical="center" wrapText="1"/>
    </xf>
    <xf numFmtId="0" fontId="134" fillId="0" borderId="0" xfId="1157" applyFont="1" applyProtection="1"/>
    <xf numFmtId="0" fontId="134" fillId="0" borderId="0" xfId="1157" applyNumberFormat="1" applyFont="1" applyProtection="1"/>
    <xf numFmtId="0" fontId="134" fillId="0" borderId="0" xfId="1156" applyFont="1" applyProtection="1"/>
    <xf numFmtId="49" fontId="134" fillId="0" borderId="0" xfId="1157" applyNumberFormat="1" applyFont="1" applyProtection="1"/>
    <xf numFmtId="0" fontId="134" fillId="0" borderId="0" xfId="1157" applyFont="1" applyBorder="1" applyProtection="1"/>
    <xf numFmtId="0" fontId="138" fillId="0" borderId="89" xfId="1167" applyFont="1" applyFill="1" applyBorder="1" applyAlignment="1" applyProtection="1">
      <alignment vertical="center"/>
    </xf>
    <xf numFmtId="0" fontId="138" fillId="0" borderId="89" xfId="1167" applyFont="1" applyFill="1" applyBorder="1" applyAlignment="1" applyProtection="1">
      <alignment vertical="center" wrapText="1"/>
    </xf>
    <xf numFmtId="0" fontId="134" fillId="0" borderId="89" xfId="1157" applyFont="1" applyFill="1" applyBorder="1" applyAlignment="1" applyProtection="1">
      <alignment vertical="center"/>
    </xf>
    <xf numFmtId="0" fontId="134" fillId="0" borderId="0" xfId="1157" applyFont="1" applyFill="1" applyBorder="1" applyAlignment="1" applyProtection="1">
      <alignment vertical="center"/>
    </xf>
    <xf numFmtId="49" fontId="134" fillId="0" borderId="0" xfId="1110" applyFont="1" applyBorder="1" applyAlignment="1">
      <alignment vertical="center"/>
    </xf>
    <xf numFmtId="0" fontId="139" fillId="0" borderId="0" xfId="1157" applyFont="1" applyBorder="1" applyProtection="1"/>
    <xf numFmtId="0" fontId="139" fillId="0" borderId="0" xfId="1157" applyFont="1" applyProtection="1"/>
    <xf numFmtId="0" fontId="134" fillId="0" borderId="0" xfId="1110" applyNumberFormat="1" applyFont="1" applyBorder="1" applyAlignment="1">
      <alignment vertical="center"/>
    </xf>
    <xf numFmtId="0" fontId="134" fillId="0" borderId="89" xfId="1157" applyFont="1" applyBorder="1" applyProtection="1"/>
    <xf numFmtId="49" fontId="134" fillId="0" borderId="0" xfId="1110" applyFont="1" applyBorder="1" applyAlignment="1">
      <alignment horizontal="right" vertical="top"/>
    </xf>
    <xf numFmtId="49" fontId="134" fillId="0" borderId="90" xfId="1110" applyFont="1" applyFill="1" applyBorder="1" applyAlignment="1" applyProtection="1">
      <alignment horizontal="center" vertical="center" wrapText="1"/>
    </xf>
    <xf numFmtId="49" fontId="134" fillId="0" borderId="95" xfId="1110" applyFont="1" applyFill="1" applyBorder="1" applyAlignment="1" applyProtection="1">
      <alignment horizontal="center" vertical="center" wrapText="1"/>
    </xf>
    <xf numFmtId="49" fontId="134" fillId="0" borderId="96" xfId="1110" applyFont="1" applyFill="1" applyBorder="1" applyAlignment="1" applyProtection="1">
      <alignment horizontal="center" vertical="center" wrapText="1"/>
    </xf>
    <xf numFmtId="49" fontId="134" fillId="0" borderId="97" xfId="1110" applyFont="1" applyFill="1" applyBorder="1" applyAlignment="1" applyProtection="1">
      <alignment horizontal="center" vertical="center" wrapText="1"/>
    </xf>
    <xf numFmtId="0" fontId="140" fillId="0" borderId="89" xfId="1157" applyFont="1" applyBorder="1" applyAlignment="1" applyProtection="1">
      <alignment horizontal="center" vertical="center" wrapText="1"/>
    </xf>
    <xf numFmtId="49" fontId="134" fillId="0" borderId="90" xfId="1110" applyFont="1" applyFill="1" applyBorder="1" applyAlignment="1" applyProtection="1">
      <alignment vertical="center" wrapText="1"/>
    </xf>
    <xf numFmtId="187" fontId="134" fillId="3" borderId="90" xfId="1157" applyNumberFormat="1" applyFont="1" applyFill="1" applyBorder="1" applyAlignment="1" applyProtection="1">
      <alignment horizontal="right" vertical="center" wrapText="1"/>
    </xf>
    <xf numFmtId="187" fontId="134" fillId="3" borderId="98" xfId="1157" applyNumberFormat="1" applyFont="1" applyFill="1" applyBorder="1" applyAlignment="1" applyProtection="1">
      <alignment horizontal="right" vertical="center" wrapText="1"/>
    </xf>
    <xf numFmtId="187" fontId="134" fillId="3" borderId="89" xfId="1157" applyNumberFormat="1" applyFont="1" applyFill="1" applyBorder="1" applyAlignment="1" applyProtection="1">
      <alignment horizontal="right" vertical="center" wrapText="1"/>
    </xf>
    <xf numFmtId="187" fontId="134" fillId="3" borderId="93" xfId="1157" applyNumberFormat="1" applyFont="1" applyFill="1" applyBorder="1" applyAlignment="1" applyProtection="1">
      <alignment horizontal="right" vertical="center" wrapText="1"/>
    </xf>
    <xf numFmtId="187" fontId="134" fillId="3" borderId="96" xfId="1157" applyNumberFormat="1" applyFont="1" applyFill="1" applyBorder="1" applyAlignment="1" applyProtection="1">
      <alignment horizontal="right" vertical="center"/>
    </xf>
    <xf numFmtId="187" fontId="134" fillId="43" borderId="90" xfId="1157" applyNumberFormat="1" applyFont="1" applyFill="1" applyBorder="1" applyAlignment="1" applyProtection="1">
      <alignment horizontal="right" vertical="center" wrapText="1"/>
      <protection locked="0"/>
    </xf>
    <xf numFmtId="187" fontId="134" fillId="43" borderId="98" xfId="1157" applyNumberFormat="1" applyFont="1" applyFill="1" applyBorder="1" applyAlignment="1" applyProtection="1">
      <alignment horizontal="right" vertical="center" wrapText="1"/>
      <protection locked="0"/>
    </xf>
    <xf numFmtId="187" fontId="134" fillId="3" borderId="97" xfId="1157" applyNumberFormat="1" applyFont="1" applyFill="1" applyBorder="1" applyAlignment="1" applyProtection="1">
      <alignment horizontal="right" vertical="center"/>
    </xf>
    <xf numFmtId="187" fontId="134" fillId="3" borderId="99" xfId="1157" applyNumberFormat="1" applyFont="1" applyFill="1" applyBorder="1" applyAlignment="1" applyProtection="1">
      <alignment horizontal="right" vertical="center"/>
    </xf>
    <xf numFmtId="187" fontId="134" fillId="43" borderId="95" xfId="1157" applyNumberFormat="1" applyFont="1" applyFill="1" applyBorder="1" applyAlignment="1" applyProtection="1">
      <alignment horizontal="right" vertical="center" wrapText="1"/>
      <protection locked="0"/>
    </xf>
    <xf numFmtId="187" fontId="134" fillId="3" borderId="95" xfId="1157" applyNumberFormat="1" applyFont="1" applyFill="1" applyBorder="1" applyAlignment="1" applyProtection="1">
      <alignment horizontal="right" vertical="center" wrapText="1"/>
    </xf>
    <xf numFmtId="187" fontId="134" fillId="43" borderId="93" xfId="1157" applyNumberFormat="1" applyFont="1" applyFill="1" applyBorder="1" applyAlignment="1" applyProtection="1">
      <alignment horizontal="right" vertical="center" wrapText="1"/>
      <protection locked="0"/>
    </xf>
    <xf numFmtId="187" fontId="134" fillId="43" borderId="90" xfId="1157" applyNumberFormat="1" applyFont="1" applyFill="1" applyBorder="1" applyAlignment="1" applyProtection="1">
      <alignment horizontal="right" vertical="center"/>
      <protection locked="0"/>
    </xf>
    <xf numFmtId="187" fontId="134" fillId="43" borderId="98" xfId="1157" applyNumberFormat="1" applyFont="1" applyFill="1" applyBorder="1" applyAlignment="1" applyProtection="1">
      <alignment horizontal="right" vertical="center"/>
      <protection locked="0"/>
    </xf>
    <xf numFmtId="187" fontId="134" fillId="43" borderId="93" xfId="1157" applyNumberFormat="1" applyFont="1" applyFill="1" applyBorder="1" applyAlignment="1" applyProtection="1">
      <alignment horizontal="right" vertical="center"/>
      <protection locked="0"/>
    </xf>
    <xf numFmtId="49" fontId="134" fillId="0" borderId="96" xfId="1110" applyFont="1" applyFill="1" applyBorder="1" applyAlignment="1" applyProtection="1">
      <alignment vertical="center" wrapText="1"/>
    </xf>
    <xf numFmtId="187" fontId="134" fillId="3" borderId="100" xfId="1157" applyNumberFormat="1" applyFont="1" applyFill="1" applyBorder="1" applyAlignment="1" applyProtection="1">
      <alignment horizontal="right" vertical="center"/>
    </xf>
    <xf numFmtId="187" fontId="134" fillId="3" borderId="93" xfId="1157" applyNumberFormat="1" applyFont="1" applyFill="1" applyBorder="1" applyAlignment="1" applyProtection="1">
      <alignment horizontal="right" vertical="center"/>
    </xf>
    <xf numFmtId="0" fontId="124" fillId="0" borderId="0" xfId="1157" applyFont="1" applyProtection="1"/>
    <xf numFmtId="0" fontId="100" fillId="0" borderId="0" xfId="1157" applyFont="1" applyProtection="1"/>
    <xf numFmtId="0" fontId="100" fillId="0" borderId="0" xfId="1157" applyFont="1" applyBorder="1" applyAlignment="1" applyProtection="1">
      <alignment horizontal="center" vertical="center"/>
    </xf>
    <xf numFmtId="0" fontId="100" fillId="0" borderId="0" xfId="1157" applyFont="1" applyBorder="1" applyProtection="1"/>
    <xf numFmtId="0" fontId="100" fillId="0" borderId="0" xfId="1157" applyFont="1" applyAlignment="1" applyProtection="1">
      <alignment horizontal="center" vertical="center"/>
    </xf>
    <xf numFmtId="0" fontId="100" fillId="0" borderId="55" xfId="1157" applyFont="1" applyBorder="1" applyProtection="1"/>
    <xf numFmtId="0" fontId="100" fillId="0" borderId="0" xfId="1157" applyFont="1" applyAlignment="1" applyProtection="1">
      <alignment horizontal="left" vertical="center"/>
    </xf>
    <xf numFmtId="0" fontId="100" fillId="0" borderId="0" xfId="1157" applyFont="1" applyAlignment="1" applyProtection="1">
      <alignment vertical="center"/>
    </xf>
    <xf numFmtId="49" fontId="134" fillId="0" borderId="90" xfId="1110" applyFont="1" applyBorder="1" applyAlignment="1">
      <alignment vertical="center" wrapText="1"/>
    </xf>
    <xf numFmtId="49" fontId="134" fillId="0" borderId="90" xfId="1110" applyFont="1" applyBorder="1" applyAlignment="1">
      <alignment horizontal="center" vertical="center" wrapText="1"/>
    </xf>
    <xf numFmtId="187" fontId="134" fillId="43" borderId="90" xfId="1157" applyNumberFormat="1" applyFont="1" applyFill="1" applyBorder="1" applyAlignment="1" applyProtection="1">
      <alignment horizontal="right"/>
      <protection locked="0"/>
    </xf>
    <xf numFmtId="187" fontId="134" fillId="43" borderId="98" xfId="1157" applyNumberFormat="1" applyFont="1" applyFill="1" applyBorder="1" applyAlignment="1" applyProtection="1">
      <alignment horizontal="right"/>
      <protection locked="0"/>
    </xf>
    <xf numFmtId="187" fontId="134" fillId="43" borderId="95" xfId="1157" applyNumberFormat="1" applyFont="1" applyFill="1" applyBorder="1" applyAlignment="1" applyProtection="1">
      <alignment horizontal="right"/>
      <protection locked="0"/>
    </xf>
    <xf numFmtId="49" fontId="134" fillId="0" borderId="96" xfId="1110" applyFont="1" applyBorder="1" applyAlignment="1">
      <alignment vertical="center" wrapText="1"/>
    </xf>
    <xf numFmtId="49" fontId="134" fillId="0" borderId="96" xfId="1110" applyFont="1" applyBorder="1" applyAlignment="1">
      <alignment horizontal="center" vertical="center" wrapText="1"/>
    </xf>
    <xf numFmtId="49" fontId="134" fillId="0" borderId="0" xfId="1110" applyFont="1" applyBorder="1">
      <alignment vertical="top"/>
    </xf>
    <xf numFmtId="49" fontId="134" fillId="0" borderId="0" xfId="1110" applyFont="1" applyBorder="1" applyAlignment="1">
      <alignment horizontal="right" vertical="center"/>
    </xf>
    <xf numFmtId="49" fontId="134" fillId="0" borderId="89" xfId="1110" applyFont="1" applyBorder="1" applyAlignment="1">
      <alignment horizontal="center" vertical="center" wrapText="1"/>
    </xf>
    <xf numFmtId="49" fontId="134" fillId="0" borderId="95" xfId="1110" applyFont="1" applyBorder="1" applyAlignment="1">
      <alignment horizontal="center" vertical="center" wrapText="1"/>
    </xf>
    <xf numFmtId="49" fontId="134" fillId="0" borderId="97" xfId="1110" applyFont="1" applyBorder="1" applyAlignment="1">
      <alignment horizontal="center" vertical="center" wrapText="1"/>
    </xf>
    <xf numFmtId="49" fontId="134" fillId="0" borderId="100" xfId="1110" applyFont="1" applyBorder="1" applyAlignment="1">
      <alignment horizontal="center" vertical="center" wrapText="1"/>
    </xf>
    <xf numFmtId="187" fontId="134" fillId="43" borderId="101" xfId="1157" applyNumberFormat="1" applyFont="1" applyFill="1" applyBorder="1" applyAlignment="1" applyProtection="1">
      <alignment horizontal="right" vertical="center" wrapText="1"/>
      <protection locked="0"/>
    </xf>
    <xf numFmtId="187" fontId="134" fillId="43" borderId="89" xfId="1157" applyNumberFormat="1" applyFont="1" applyFill="1" applyBorder="1" applyAlignment="1" applyProtection="1">
      <alignment horizontal="right" vertical="center" wrapText="1"/>
      <protection locked="0"/>
    </xf>
    <xf numFmtId="187" fontId="132" fillId="0" borderId="90" xfId="1157" applyNumberFormat="1" applyFont="1" applyFill="1" applyBorder="1" applyAlignment="1" applyProtection="1">
      <alignment horizontal="center"/>
    </xf>
    <xf numFmtId="187" fontId="134" fillId="0" borderId="90" xfId="1157" applyNumberFormat="1" applyFont="1" applyFill="1" applyBorder="1" applyAlignment="1" applyProtection="1">
      <alignment horizontal="right"/>
    </xf>
    <xf numFmtId="187" fontId="134" fillId="0" borderId="98" xfId="1157" applyNumberFormat="1" applyFont="1" applyFill="1" applyBorder="1" applyAlignment="1" applyProtection="1">
      <alignment horizontal="right"/>
    </xf>
    <xf numFmtId="187" fontId="134" fillId="0" borderId="101" xfId="1157" applyNumberFormat="1" applyFont="1" applyFill="1" applyBorder="1" applyAlignment="1" applyProtection="1">
      <alignment horizontal="right"/>
    </xf>
    <xf numFmtId="187" fontId="134" fillId="0" borderId="89" xfId="1157" applyNumberFormat="1" applyFont="1" applyFill="1" applyBorder="1" applyAlignment="1" applyProtection="1">
      <alignment horizontal="right"/>
    </xf>
    <xf numFmtId="187" fontId="134" fillId="0" borderId="95" xfId="1157" applyNumberFormat="1" applyFont="1" applyFill="1" applyBorder="1" applyAlignment="1" applyProtection="1">
      <alignment horizontal="right"/>
    </xf>
    <xf numFmtId="187" fontId="134" fillId="43" borderId="89" xfId="1157" applyNumberFormat="1" applyFont="1" applyFill="1" applyBorder="1" applyAlignment="1" applyProtection="1">
      <alignment horizontal="right"/>
      <protection locked="0"/>
    </xf>
    <xf numFmtId="187" fontId="134" fillId="43" borderId="96" xfId="1157" applyNumberFormat="1" applyFont="1" applyFill="1" applyBorder="1" applyAlignment="1" applyProtection="1">
      <alignment horizontal="right"/>
      <protection locked="0"/>
    </xf>
    <xf numFmtId="187" fontId="134" fillId="43" borderId="97" xfId="1157" applyNumberFormat="1" applyFont="1" applyFill="1" applyBorder="1" applyAlignment="1" applyProtection="1">
      <alignment horizontal="right"/>
      <protection locked="0"/>
    </xf>
    <xf numFmtId="187" fontId="134" fillId="43" borderId="99" xfId="1157" applyNumberFormat="1" applyFont="1" applyFill="1" applyBorder="1" applyAlignment="1" applyProtection="1">
      <alignment horizontal="right"/>
      <protection locked="0"/>
    </xf>
    <xf numFmtId="187" fontId="134" fillId="43" borderId="93" xfId="1157" applyNumberFormat="1" applyFont="1" applyFill="1" applyBorder="1" applyAlignment="1" applyProtection="1">
      <alignment horizontal="right"/>
      <protection locked="0"/>
    </xf>
    <xf numFmtId="0" fontId="125" fillId="0" borderId="0" xfId="1157" applyFont="1" applyProtection="1"/>
    <xf numFmtId="0" fontId="49" fillId="0" borderId="0" xfId="1157" applyFont="1" applyProtection="1"/>
    <xf numFmtId="0" fontId="125" fillId="0" borderId="0" xfId="1157" applyNumberFormat="1" applyFont="1" applyProtection="1"/>
    <xf numFmtId="0" fontId="125" fillId="0" borderId="0" xfId="1156" applyFont="1" applyProtection="1"/>
    <xf numFmtId="49" fontId="125" fillId="0" borderId="0" xfId="1157" applyNumberFormat="1" applyFont="1" applyProtection="1"/>
    <xf numFmtId="0" fontId="49" fillId="0" borderId="0" xfId="1157" applyFont="1" applyBorder="1" applyProtection="1"/>
    <xf numFmtId="0" fontId="125" fillId="0" borderId="0" xfId="1157" applyFont="1" applyBorder="1" applyProtection="1"/>
    <xf numFmtId="0" fontId="49" fillId="0" borderId="89" xfId="1157" applyFont="1" applyFill="1" applyBorder="1" applyAlignment="1" applyProtection="1">
      <alignment vertical="center"/>
    </xf>
    <xf numFmtId="0" fontId="49" fillId="0" borderId="0" xfId="1157" applyFont="1" applyFill="1" applyBorder="1" applyAlignment="1" applyProtection="1">
      <alignment vertical="center"/>
    </xf>
    <xf numFmtId="0" fontId="49" fillId="0" borderId="89" xfId="1157" applyFont="1" applyBorder="1" applyProtection="1"/>
    <xf numFmtId="49" fontId="49" fillId="0" borderId="0" xfId="1110" applyFont="1" applyBorder="1" applyAlignment="1">
      <alignment horizontal="right" vertical="top"/>
    </xf>
    <xf numFmtId="0" fontId="125" fillId="0" borderId="0" xfId="1157" applyFont="1" applyAlignment="1" applyProtection="1">
      <alignment vertical="center"/>
    </xf>
    <xf numFmtId="0" fontId="49" fillId="0" borderId="0" xfId="1157" applyFont="1" applyAlignment="1" applyProtection="1">
      <alignment vertical="center"/>
    </xf>
    <xf numFmtId="0" fontId="49" fillId="0" borderId="0" xfId="1157" applyFont="1" applyBorder="1" applyAlignment="1" applyProtection="1">
      <alignment vertical="center"/>
    </xf>
    <xf numFmtId="49" fontId="49" fillId="0" borderId="90" xfId="1110" applyFont="1" applyFill="1" applyBorder="1" applyAlignment="1" applyProtection="1">
      <alignment horizontal="center" vertical="center" wrapText="1"/>
    </xf>
    <xf numFmtId="49" fontId="49" fillId="0" borderId="90" xfId="1110" applyFont="1" applyBorder="1" applyAlignment="1">
      <alignment horizontal="center" vertical="center" wrapText="1"/>
    </xf>
    <xf numFmtId="49" fontId="49" fillId="0" borderId="95" xfId="1110" applyFont="1" applyFill="1" applyBorder="1" applyAlignment="1" applyProtection="1">
      <alignment horizontal="center" vertical="center" wrapText="1"/>
    </xf>
    <xf numFmtId="49" fontId="49" fillId="0" borderId="96" xfId="1110" applyFont="1" applyFill="1" applyBorder="1" applyAlignment="1" applyProtection="1">
      <alignment horizontal="center" vertical="center" wrapText="1"/>
    </xf>
    <xf numFmtId="49" fontId="49" fillId="0" borderId="97" xfId="1110" applyFont="1" applyFill="1" applyBorder="1" applyAlignment="1" applyProtection="1">
      <alignment horizontal="center" vertical="center" wrapText="1"/>
    </xf>
    <xf numFmtId="0" fontId="141" fillId="0" borderId="89" xfId="1157" applyFont="1" applyBorder="1" applyAlignment="1" applyProtection="1">
      <alignment horizontal="center" vertical="center" wrapText="1"/>
    </xf>
    <xf numFmtId="49" fontId="49" fillId="0" borderId="90" xfId="1110" applyFont="1" applyBorder="1" applyAlignment="1">
      <alignment vertical="center" wrapText="1"/>
    </xf>
    <xf numFmtId="49" fontId="0" fillId="0" borderId="90" xfId="1110" applyFont="1" applyBorder="1" applyAlignment="1">
      <alignment vertical="center" wrapText="1"/>
    </xf>
    <xf numFmtId="49" fontId="49" fillId="0" borderId="96" xfId="1110" applyFont="1" applyBorder="1" applyAlignment="1">
      <alignment vertical="center" wrapText="1"/>
    </xf>
    <xf numFmtId="49" fontId="49" fillId="0" borderId="96" xfId="1110" applyFont="1" applyBorder="1" applyAlignment="1">
      <alignment horizontal="center" vertical="center" wrapText="1"/>
    </xf>
    <xf numFmtId="0" fontId="134" fillId="0" borderId="0" xfId="1157" applyFont="1" applyAlignment="1" applyProtection="1">
      <alignment vertical="center"/>
    </xf>
    <xf numFmtId="0" fontId="134" fillId="0" borderId="0" xfId="1157" applyFont="1" applyBorder="1" applyAlignment="1" applyProtection="1">
      <alignment vertical="center"/>
    </xf>
    <xf numFmtId="187" fontId="134" fillId="43" borderId="95" xfId="1157" applyNumberFormat="1" applyFont="1" applyFill="1" applyBorder="1" applyAlignment="1" applyProtection="1">
      <alignment horizontal="right" vertical="center"/>
      <protection locked="0"/>
    </xf>
    <xf numFmtId="0" fontId="134" fillId="0" borderId="0" xfId="1158" applyFont="1" applyProtection="1"/>
    <xf numFmtId="49" fontId="134" fillId="0" borderId="0" xfId="1158" applyNumberFormat="1" applyFont="1" applyProtection="1"/>
    <xf numFmtId="0" fontId="134" fillId="0" borderId="0" xfId="1158" applyFont="1" applyBorder="1" applyProtection="1"/>
    <xf numFmtId="0" fontId="138" fillId="0" borderId="0" xfId="1157" applyFont="1" applyAlignment="1" applyProtection="1">
      <alignment horizontal="center" vertical="center"/>
    </xf>
    <xf numFmtId="0" fontId="134" fillId="0" borderId="89" xfId="1158" applyFont="1" applyBorder="1" applyProtection="1"/>
    <xf numFmtId="0" fontId="134" fillId="0" borderId="0" xfId="1158" applyFont="1" applyBorder="1" applyAlignment="1" applyProtection="1">
      <alignment vertical="center"/>
    </xf>
    <xf numFmtId="0" fontId="134" fillId="0" borderId="90" xfId="1158" applyFont="1" applyFill="1" applyBorder="1" applyAlignment="1" applyProtection="1">
      <alignment horizontal="center" vertical="center" wrapText="1"/>
    </xf>
    <xf numFmtId="0" fontId="134" fillId="0" borderId="95" xfId="1158" applyFont="1" applyFill="1" applyBorder="1" applyAlignment="1" applyProtection="1">
      <alignment horizontal="center" vertical="center" wrapText="1"/>
    </xf>
    <xf numFmtId="0" fontId="140" fillId="0" borderId="89" xfId="1158" applyFont="1" applyBorder="1" applyAlignment="1" applyProtection="1">
      <alignment horizontal="center" vertical="center"/>
    </xf>
    <xf numFmtId="187" fontId="134" fillId="3" borderId="90" xfId="1110" applyNumberFormat="1" applyFont="1" applyFill="1" applyBorder="1" applyAlignment="1" applyProtection="1">
      <alignment horizontal="right" vertical="center" wrapText="1"/>
    </xf>
    <xf numFmtId="187" fontId="134" fillId="3" borderId="95" xfId="1110" applyNumberFormat="1" applyFont="1" applyFill="1" applyBorder="1" applyAlignment="1" applyProtection="1">
      <alignment horizontal="right" vertical="center" wrapText="1"/>
    </xf>
    <xf numFmtId="187" fontId="134" fillId="43" borderId="90" xfId="1110" applyNumberFormat="1" applyFont="1" applyFill="1" applyBorder="1" applyAlignment="1" applyProtection="1">
      <alignment horizontal="right" vertical="center" wrapText="1"/>
      <protection locked="0"/>
    </xf>
    <xf numFmtId="4" fontId="134" fillId="0" borderId="90" xfId="1110" applyNumberFormat="1" applyFont="1" applyBorder="1" applyAlignment="1">
      <alignment horizontal="center" vertical="center" wrapText="1"/>
    </xf>
    <xf numFmtId="4" fontId="134" fillId="0" borderId="95" xfId="1110" applyNumberFormat="1" applyFont="1" applyBorder="1" applyAlignment="1">
      <alignment horizontal="center" vertical="center" wrapText="1"/>
    </xf>
    <xf numFmtId="187" fontId="134" fillId="43" borderId="93" xfId="1110" applyNumberFormat="1" applyFont="1" applyFill="1" applyBorder="1" applyAlignment="1" applyProtection="1">
      <alignment horizontal="right" vertical="center" wrapText="1"/>
      <protection locked="0"/>
    </xf>
    <xf numFmtId="187" fontId="134" fillId="43" borderId="102" xfId="1110" applyNumberFormat="1" applyFont="1" applyFill="1" applyBorder="1" applyAlignment="1" applyProtection="1">
      <alignment horizontal="right" vertical="center" wrapText="1"/>
      <protection locked="0"/>
    </xf>
    <xf numFmtId="187" fontId="134" fillId="43" borderId="95" xfId="1110" applyNumberFormat="1" applyFont="1" applyFill="1" applyBorder="1" applyAlignment="1" applyProtection="1">
      <alignment horizontal="right" vertical="center" wrapText="1"/>
      <protection locked="0"/>
    </xf>
    <xf numFmtId="4" fontId="134" fillId="0" borderId="96" xfId="1110" applyNumberFormat="1" applyFont="1" applyBorder="1" applyAlignment="1">
      <alignment horizontal="center" vertical="center" wrapText="1"/>
    </xf>
    <xf numFmtId="187" fontId="134" fillId="43" borderId="96" xfId="1110" applyNumberFormat="1" applyFont="1" applyFill="1" applyBorder="1" applyAlignment="1" applyProtection="1">
      <alignment horizontal="right" vertical="center" wrapText="1"/>
      <protection locked="0"/>
    </xf>
    <xf numFmtId="4" fontId="134" fillId="0" borderId="93" xfId="1110" applyNumberFormat="1" applyFont="1" applyBorder="1" applyAlignment="1">
      <alignment horizontal="center" vertical="center" wrapText="1"/>
    </xf>
    <xf numFmtId="0" fontId="134" fillId="0" borderId="89" xfId="1157" applyFont="1" applyBorder="1" applyAlignment="1" applyProtection="1">
      <alignment horizontal="center" vertical="center" wrapText="1"/>
    </xf>
    <xf numFmtId="0" fontId="134" fillId="0" borderId="89" xfId="1158" applyFont="1" applyBorder="1" applyAlignment="1" applyProtection="1">
      <alignment horizontal="center" vertical="center"/>
    </xf>
    <xf numFmtId="0" fontId="125" fillId="0" borderId="0" xfId="1146" applyNumberFormat="1" applyFont="1" applyFill="1" applyAlignment="1" applyProtection="1">
      <alignment vertical="center" wrapText="1"/>
    </xf>
    <xf numFmtId="0" fontId="125" fillId="0" borderId="0" xfId="1146" applyFont="1" applyFill="1" applyAlignment="1" applyProtection="1">
      <alignment horizontal="left" vertical="center" wrapText="1"/>
    </xf>
    <xf numFmtId="0" fontId="125" fillId="0" borderId="0" xfId="1146" applyFont="1" applyFill="1" applyAlignment="1" applyProtection="1">
      <alignment vertical="center" wrapText="1"/>
    </xf>
    <xf numFmtId="0" fontId="125" fillId="0" borderId="0" xfId="1146" applyFont="1" applyFill="1" applyAlignment="1" applyProtection="1">
      <alignment horizontal="center" vertical="center" wrapText="1"/>
    </xf>
    <xf numFmtId="0" fontId="135" fillId="0" borderId="0" xfId="1146" applyFont="1" applyFill="1" applyAlignment="1" applyProtection="1">
      <alignment vertical="center" wrapText="1"/>
    </xf>
    <xf numFmtId="0" fontId="49" fillId="0" borderId="0" xfId="1146" applyFont="1" applyFill="1" applyAlignment="1" applyProtection="1">
      <alignment vertical="center" wrapText="1"/>
    </xf>
    <xf numFmtId="0" fontId="49" fillId="0" borderId="0" xfId="1146" applyFont="1" applyFill="1" applyAlignment="1" applyProtection="1">
      <alignment horizontal="right" vertical="top" wrapText="1"/>
    </xf>
    <xf numFmtId="0" fontId="124" fillId="0" borderId="0" xfId="1146" applyNumberFormat="1" applyFont="1" applyFill="1" applyAlignment="1" applyProtection="1">
      <alignment vertical="center"/>
    </xf>
    <xf numFmtId="0" fontId="124" fillId="0" borderId="0" xfId="1146" applyFont="1" applyFill="1" applyAlignment="1" applyProtection="1">
      <alignment horizontal="left" vertical="center"/>
    </xf>
    <xf numFmtId="0" fontId="124" fillId="0" borderId="0" xfId="1146" applyFont="1" applyFill="1" applyAlignment="1" applyProtection="1">
      <alignment vertical="center"/>
    </xf>
    <xf numFmtId="0" fontId="124" fillId="0" borderId="0" xfId="1146" applyFont="1" applyFill="1" applyAlignment="1" applyProtection="1">
      <alignment vertical="center" wrapText="1"/>
    </xf>
    <xf numFmtId="0" fontId="130" fillId="0" borderId="0" xfId="1146" applyFont="1" applyFill="1" applyAlignment="1" applyProtection="1">
      <alignment vertical="center"/>
    </xf>
    <xf numFmtId="0" fontId="100" fillId="0" borderId="0" xfId="1146" applyFont="1" applyFill="1" applyAlignment="1" applyProtection="1">
      <alignment vertical="center" wrapText="1"/>
    </xf>
    <xf numFmtId="0" fontId="100" fillId="0" borderId="0" xfId="1150" applyFont="1" applyFill="1" applyBorder="1" applyAlignment="1" applyProtection="1">
      <alignment vertical="center" wrapText="1"/>
    </xf>
    <xf numFmtId="0" fontId="49" fillId="0" borderId="0" xfId="1150" applyFont="1" applyFill="1" applyBorder="1" applyAlignment="1" applyProtection="1">
      <alignment vertical="center" wrapText="1"/>
    </xf>
    <xf numFmtId="0" fontId="49" fillId="0" borderId="0" xfId="1150" applyFont="1" applyFill="1" applyBorder="1" applyAlignment="1" applyProtection="1">
      <alignment horizontal="right" vertical="center" wrapText="1" indent="1"/>
    </xf>
    <xf numFmtId="0" fontId="68" fillId="3" borderId="3" xfId="1150" applyFont="1" applyFill="1" applyBorder="1" applyAlignment="1" applyProtection="1">
      <alignment horizontal="center" vertical="center" wrapText="1"/>
    </xf>
    <xf numFmtId="0" fontId="125" fillId="0" borderId="0" xfId="1150" applyFont="1" applyFill="1" applyBorder="1" applyAlignment="1" applyProtection="1">
      <alignment horizontal="center" vertical="center" wrapText="1"/>
    </xf>
    <xf numFmtId="0" fontId="125" fillId="0" borderId="0" xfId="1164" applyNumberFormat="1" applyFont="1" applyFill="1" applyBorder="1" applyAlignment="1" applyProtection="1">
      <alignment horizontal="center" vertical="center" wrapText="1"/>
    </xf>
    <xf numFmtId="0" fontId="49" fillId="0" borderId="0" xfId="1164" applyNumberFormat="1" applyFont="1" applyFill="1" applyBorder="1" applyAlignment="1" applyProtection="1">
      <alignment horizontal="right" vertical="center" wrapText="1" indent="1"/>
    </xf>
    <xf numFmtId="49" fontId="135" fillId="0" borderId="0" xfId="1164" applyNumberFormat="1" applyFont="1" applyFill="1" applyBorder="1" applyAlignment="1" applyProtection="1">
      <alignment horizontal="right" vertical="center" wrapText="1"/>
    </xf>
    <xf numFmtId="0" fontId="143" fillId="0" borderId="0" xfId="1146" applyFont="1" applyFill="1" applyBorder="1" applyAlignment="1" applyProtection="1">
      <alignment horizontal="left" vertical="center" textRotation="180" wrapText="1"/>
    </xf>
    <xf numFmtId="49" fontId="100" fillId="47" borderId="3" xfId="1164" applyNumberFormat="1" applyFont="1" applyFill="1" applyBorder="1" applyAlignment="1" applyProtection="1">
      <alignment horizontal="center" vertical="center" wrapText="1"/>
      <protection locked="0"/>
    </xf>
    <xf numFmtId="49" fontId="100" fillId="3" borderId="3" xfId="1164" applyNumberFormat="1" applyFont="1" applyFill="1" applyBorder="1" applyAlignment="1" applyProtection="1">
      <alignment horizontal="center" vertical="center" wrapText="1"/>
    </xf>
    <xf numFmtId="4" fontId="100" fillId="0" borderId="0" xfId="0" applyFont="1" applyFill="1" applyAlignment="1" applyProtection="1"/>
    <xf numFmtId="49" fontId="49" fillId="0" borderId="0" xfId="1163" applyNumberFormat="1" applyFont="1" applyFill="1" applyBorder="1" applyAlignment="1" applyProtection="1">
      <alignment horizontal="right" vertical="center" wrapText="1" indent="1"/>
    </xf>
    <xf numFmtId="0" fontId="49" fillId="0" borderId="0" xfId="1164" applyNumberFormat="1" applyFont="1" applyFill="1" applyBorder="1" applyAlignment="1" applyProtection="1">
      <alignment horizontal="center" vertical="center" wrapText="1"/>
    </xf>
    <xf numFmtId="14" fontId="49" fillId="0" borderId="0" xfId="1164" applyNumberFormat="1" applyFont="1" applyFill="1" applyBorder="1" applyAlignment="1" applyProtection="1">
      <alignment horizontal="center" vertical="center" wrapText="1"/>
    </xf>
    <xf numFmtId="0" fontId="49" fillId="0" borderId="0" xfId="1146" applyFont="1" applyFill="1" applyBorder="1" applyAlignment="1" applyProtection="1">
      <alignment horizontal="center" vertical="center" wrapText="1"/>
    </xf>
    <xf numFmtId="49" fontId="135" fillId="0" borderId="0" xfId="1161" applyFont="1" applyFill="1" applyAlignment="1" applyProtection="1">
      <alignment horizontal="center" vertical="center" wrapText="1"/>
    </xf>
    <xf numFmtId="0" fontId="100" fillId="0" borderId="0" xfId="1146" applyFont="1" applyFill="1" applyBorder="1" applyAlignment="1" applyProtection="1">
      <alignment vertical="center" wrapText="1"/>
    </xf>
    <xf numFmtId="22" fontId="49" fillId="0" borderId="0" xfId="1146" applyNumberFormat="1" applyFont="1" applyFill="1" applyBorder="1" applyAlignment="1" applyProtection="1">
      <alignment vertical="center" wrapText="1"/>
    </xf>
    <xf numFmtId="0" fontId="49" fillId="0" borderId="0" xfId="1150" applyNumberFormat="1" applyFont="1" applyFill="1" applyBorder="1" applyAlignment="1" applyProtection="1">
      <alignment vertical="center" wrapText="1"/>
    </xf>
    <xf numFmtId="0" fontId="49" fillId="0" borderId="0" xfId="1146" applyFont="1" applyFill="1" applyBorder="1" applyAlignment="1" applyProtection="1">
      <alignment vertical="center" wrapText="1"/>
    </xf>
    <xf numFmtId="49" fontId="49" fillId="3" borderId="103" xfId="1164" applyNumberFormat="1" applyFont="1" applyFill="1" applyBorder="1" applyAlignment="1" applyProtection="1">
      <alignment horizontal="center" vertical="center" wrapText="1"/>
    </xf>
    <xf numFmtId="49" fontId="49" fillId="3" borderId="3" xfId="1164" applyNumberFormat="1" applyFont="1" applyFill="1" applyBorder="1" applyAlignment="1" applyProtection="1">
      <alignment horizontal="center" vertical="center" wrapText="1"/>
    </xf>
    <xf numFmtId="49" fontId="49" fillId="0" borderId="0" xfId="1164" applyNumberFormat="1" applyFont="1" applyFill="1" applyBorder="1" applyAlignment="1" applyProtection="1">
      <alignment horizontal="center" vertical="center" wrapText="1"/>
    </xf>
    <xf numFmtId="49" fontId="100" fillId="27" borderId="103" xfId="1164" applyNumberFormat="1" applyFont="1" applyFill="1" applyBorder="1" applyAlignment="1" applyProtection="1">
      <alignment horizontal="center" vertical="center" wrapText="1"/>
      <protection locked="0"/>
    </xf>
    <xf numFmtId="49" fontId="100" fillId="27" borderId="3" xfId="1164" applyNumberFormat="1" applyFont="1" applyFill="1" applyBorder="1" applyAlignment="1" applyProtection="1">
      <alignment horizontal="center" vertical="center" wrapText="1"/>
      <protection locked="0"/>
    </xf>
    <xf numFmtId="49" fontId="49" fillId="0" borderId="0" xfId="1164" applyNumberFormat="1" applyFont="1" applyFill="1" applyBorder="1" applyAlignment="1" applyProtection="1">
      <alignment horizontal="right" vertical="center" wrapText="1" indent="1"/>
    </xf>
    <xf numFmtId="0" fontId="125" fillId="0" borderId="0" xfId="1146" applyFont="1" applyFill="1" applyBorder="1" applyAlignment="1" applyProtection="1">
      <alignment vertical="center" wrapText="1"/>
    </xf>
    <xf numFmtId="49" fontId="125" fillId="0" borderId="0" xfId="1164" applyNumberFormat="1" applyFont="1" applyFill="1" applyBorder="1" applyAlignment="1" applyProtection="1">
      <alignment horizontal="left" vertical="center" wrapText="1"/>
    </xf>
    <xf numFmtId="49" fontId="49" fillId="27" borderId="3" xfId="1164" applyNumberFormat="1" applyFont="1" applyFill="1" applyBorder="1" applyAlignment="1" applyProtection="1">
      <alignment horizontal="center" vertical="center" wrapText="1"/>
      <protection locked="0"/>
    </xf>
    <xf numFmtId="0" fontId="49" fillId="0" borderId="0" xfId="1150" applyFont="1" applyFill="1" applyBorder="1" applyAlignment="1" applyProtection="1">
      <alignment horizontal="center" vertical="center" wrapText="1"/>
    </xf>
    <xf numFmtId="0" fontId="49" fillId="0" borderId="104" xfId="1150" applyFont="1" applyFill="1" applyBorder="1" applyAlignment="1" applyProtection="1">
      <alignment vertical="center" wrapText="1"/>
    </xf>
    <xf numFmtId="49" fontId="49" fillId="28" borderId="3" xfId="1164" applyNumberFormat="1" applyFont="1" applyFill="1" applyBorder="1" applyAlignment="1" applyProtection="1">
      <alignment horizontal="center" vertical="center" wrapText="1"/>
      <protection locked="0"/>
    </xf>
    <xf numFmtId="0" fontId="49" fillId="0" borderId="0" xfId="1146" applyFont="1" applyFill="1" applyAlignment="1" applyProtection="1">
      <alignment horizontal="center" vertical="center" wrapText="1"/>
    </xf>
    <xf numFmtId="4" fontId="49" fillId="0" borderId="0" xfId="0" applyFont="1" applyFill="1" applyAlignment="1" applyProtection="1"/>
    <xf numFmtId="4" fontId="0" fillId="0" borderId="0" xfId="0" applyFill="1" applyAlignment="1" applyProtection="1"/>
    <xf numFmtId="49" fontId="49" fillId="0" borderId="66" xfId="0" applyNumberFormat="1" applyFont="1" applyFill="1" applyBorder="1" applyAlignment="1" applyProtection="1">
      <alignment horizontal="center"/>
    </xf>
    <xf numFmtId="4" fontId="49" fillId="0" borderId="66" xfId="0" applyFont="1" applyFill="1" applyBorder="1" applyAlignment="1" applyProtection="1"/>
    <xf numFmtId="4" fontId="49" fillId="0" borderId="66" xfId="0" applyFont="1" applyFill="1" applyBorder="1" applyAlignment="1" applyProtection="1">
      <alignment horizontal="center"/>
    </xf>
    <xf numFmtId="4" fontId="0" fillId="0" borderId="0" xfId="0" applyAlignment="1"/>
    <xf numFmtId="49" fontId="49" fillId="0" borderId="0" xfId="0" applyNumberFormat="1" applyFont="1" applyFill="1" applyBorder="1" applyAlignment="1" applyProtection="1">
      <alignment horizontal="center"/>
    </xf>
    <xf numFmtId="4" fontId="49" fillId="0" borderId="0" xfId="0" applyFont="1" applyFill="1" applyBorder="1" applyAlignment="1" applyProtection="1"/>
    <xf numFmtId="4" fontId="49" fillId="0" borderId="0" xfId="0" applyFont="1" applyFill="1" applyBorder="1" applyAlignment="1" applyProtection="1">
      <alignment horizontal="center"/>
    </xf>
    <xf numFmtId="0" fontId="145" fillId="0" borderId="0" xfId="855" applyFont="1" applyFill="1" applyBorder="1" applyAlignment="1" applyProtection="1"/>
    <xf numFmtId="4" fontId="49" fillId="0" borderId="0" xfId="0" applyFont="1" applyFill="1" applyAlignment="1" applyProtection="1">
      <alignment vertical="center" wrapText="1"/>
    </xf>
    <xf numFmtId="4" fontId="49" fillId="0" borderId="0" xfId="0" applyFont="1" applyFill="1" applyBorder="1" applyAlignment="1" applyProtection="1">
      <alignment vertical="center" wrapText="1"/>
    </xf>
    <xf numFmtId="4" fontId="49" fillId="0" borderId="0" xfId="0" applyFont="1" applyFill="1" applyBorder="1" applyAlignment="1" applyProtection="1">
      <alignment horizontal="center" vertical="center" wrapText="1"/>
    </xf>
    <xf numFmtId="4" fontId="125" fillId="0" borderId="0" xfId="0" applyFont="1" applyFill="1" applyBorder="1" applyAlignment="1" applyProtection="1">
      <alignment horizontal="center" vertical="center" wrapText="1"/>
    </xf>
    <xf numFmtId="0" fontId="125" fillId="46" borderId="103" xfId="1152" applyFont="1" applyFill="1" applyBorder="1" applyAlignment="1" applyProtection="1">
      <alignment horizontal="center" vertical="center"/>
    </xf>
    <xf numFmtId="0" fontId="125" fillId="0" borderId="103" xfId="1152" applyFont="1" applyFill="1" applyBorder="1" applyAlignment="1" applyProtection="1">
      <alignment horizontal="center" vertical="center"/>
    </xf>
    <xf numFmtId="4" fontId="49" fillId="0" borderId="105" xfId="0" applyFont="1" applyFill="1" applyBorder="1" applyAlignment="1" applyProtection="1">
      <alignment vertical="center" wrapText="1"/>
    </xf>
    <xf numFmtId="0" fontId="132" fillId="46" borderId="106" xfId="1152" applyFont="1" applyFill="1" applyBorder="1" applyAlignment="1" applyProtection="1">
      <alignment horizontal="center" vertical="center"/>
    </xf>
    <xf numFmtId="0" fontId="132" fillId="0" borderId="106" xfId="1152" applyFont="1" applyFill="1" applyBorder="1" applyAlignment="1" applyProtection="1">
      <alignment horizontal="center" vertical="center"/>
    </xf>
    <xf numFmtId="4" fontId="49" fillId="0" borderId="0" xfId="0" applyFont="1" applyFill="1" applyAlignment="1" applyProtection="1">
      <alignment horizontal="center" vertical="center" wrapText="1"/>
    </xf>
    <xf numFmtId="4" fontId="49" fillId="0" borderId="105" xfId="0" applyFont="1" applyFill="1" applyBorder="1" applyAlignment="1" applyProtection="1">
      <alignment horizontal="center" vertical="center" wrapText="1"/>
    </xf>
    <xf numFmtId="0" fontId="146" fillId="46" borderId="107" xfId="1153" applyFont="1" applyFill="1" applyBorder="1" applyAlignment="1" applyProtection="1">
      <alignment horizontal="center" vertical="center"/>
    </xf>
    <xf numFmtId="49" fontId="68" fillId="2" borderId="107" xfId="0" applyNumberFormat="1" applyFont="1" applyFill="1" applyBorder="1" applyAlignment="1" applyProtection="1">
      <alignment horizontal="center" vertical="center" wrapText="1"/>
    </xf>
    <xf numFmtId="4" fontId="68" fillId="2" borderId="108" xfId="0" applyFont="1" applyFill="1" applyBorder="1" applyAlignment="1" applyProtection="1">
      <alignment horizontal="center" vertical="center" wrapText="1"/>
    </xf>
    <xf numFmtId="4" fontId="68" fillId="2" borderId="108" xfId="0" applyFont="1" applyFill="1" applyBorder="1" applyAlignment="1" applyProtection="1">
      <alignment vertical="center" wrapText="1"/>
    </xf>
    <xf numFmtId="0" fontId="132" fillId="50" borderId="0" xfId="1152" applyFont="1" applyFill="1" applyBorder="1" applyAlignment="1" applyProtection="1">
      <alignment horizontal="center" vertical="center"/>
    </xf>
    <xf numFmtId="0" fontId="132" fillId="50" borderId="106" xfId="1152" applyFont="1" applyFill="1" applyBorder="1" applyAlignment="1" applyProtection="1">
      <alignment horizontal="center" vertical="center"/>
    </xf>
    <xf numFmtId="4" fontId="49" fillId="0" borderId="0" xfId="0" applyFont="1" applyBorder="1" applyAlignment="1" applyProtection="1">
      <alignment vertical="center" wrapText="1"/>
    </xf>
    <xf numFmtId="4" fontId="49" fillId="0" borderId="0" xfId="0" applyFont="1" applyAlignment="1" applyProtection="1">
      <alignment vertical="center" wrapText="1"/>
    </xf>
    <xf numFmtId="49" fontId="49" fillId="0" borderId="107" xfId="0" applyNumberFormat="1" applyFont="1" applyBorder="1" applyAlignment="1" applyProtection="1">
      <alignment horizontal="center" vertical="center" wrapText="1"/>
    </xf>
    <xf numFmtId="4" fontId="49" fillId="0" borderId="107" xfId="0" applyFont="1" applyBorder="1" applyAlignment="1" applyProtection="1">
      <alignment vertical="center" wrapText="1"/>
    </xf>
    <xf numFmtId="4" fontId="49" fillId="0" borderId="107" xfId="0" applyFont="1" applyBorder="1" applyAlignment="1" applyProtection="1">
      <alignment horizontal="center" vertical="center" wrapText="1"/>
    </xf>
    <xf numFmtId="4" fontId="49" fillId="0" borderId="107" xfId="0" applyFont="1" applyBorder="1" applyAlignment="1" applyProtection="1">
      <alignment horizontal="left" vertical="center" wrapText="1" indent="1"/>
    </xf>
    <xf numFmtId="4" fontId="49" fillId="0" borderId="107" xfId="0" applyFont="1" applyBorder="1" applyAlignment="1" applyProtection="1">
      <alignment horizontal="left" vertical="center" wrapText="1" indent="2"/>
    </xf>
    <xf numFmtId="0" fontId="134" fillId="0" borderId="107" xfId="1114" applyFont="1" applyFill="1" applyBorder="1" applyAlignment="1" applyProtection="1">
      <alignment horizontal="left" vertical="center" wrapText="1" indent="2"/>
    </xf>
    <xf numFmtId="2" fontId="68" fillId="2" borderId="108" xfId="0" applyNumberFormat="1" applyFont="1" applyFill="1" applyBorder="1" applyAlignment="1" applyProtection="1">
      <alignment horizontal="center" vertical="center" wrapText="1"/>
    </xf>
    <xf numFmtId="2" fontId="68" fillId="2" borderId="109" xfId="0" applyNumberFormat="1" applyFont="1" applyFill="1" applyBorder="1" applyAlignment="1" applyProtection="1">
      <alignment horizontal="center" vertical="center" wrapText="1"/>
    </xf>
    <xf numFmtId="4" fontId="49" fillId="0" borderId="107" xfId="0" applyFont="1" applyBorder="1" applyAlignment="1" applyProtection="1">
      <alignment horizontal="left" vertical="center" wrapText="1"/>
    </xf>
    <xf numFmtId="49" fontId="49" fillId="0" borderId="110" xfId="0" applyNumberFormat="1" applyFont="1" applyBorder="1" applyAlignment="1" applyProtection="1">
      <alignment horizontal="center" vertical="center" wrapText="1"/>
    </xf>
    <xf numFmtId="4" fontId="49" fillId="0" borderId="110" xfId="0" applyFont="1" applyBorder="1" applyAlignment="1" applyProtection="1">
      <alignment vertical="center" wrapText="1"/>
    </xf>
    <xf numFmtId="4" fontId="49" fillId="0" borderId="110" xfId="0" applyFont="1" applyBorder="1" applyAlignment="1" applyProtection="1">
      <alignment horizontal="center" vertical="center" wrapText="1"/>
    </xf>
    <xf numFmtId="0" fontId="132" fillId="50" borderId="111" xfId="1152" applyFont="1" applyFill="1" applyBorder="1" applyAlignment="1" applyProtection="1">
      <alignment horizontal="center" vertical="center"/>
    </xf>
    <xf numFmtId="4" fontId="125" fillId="0" borderId="0" xfId="0" applyFont="1" applyFill="1" applyBorder="1" applyAlignment="1" applyProtection="1">
      <alignment horizontal="center" vertical="center"/>
    </xf>
    <xf numFmtId="49" fontId="49" fillId="0" borderId="0" xfId="0" applyNumberFormat="1" applyFont="1" applyFill="1" applyAlignment="1" applyProtection="1">
      <alignment horizontal="center"/>
    </xf>
    <xf numFmtId="4" fontId="49" fillId="0" borderId="0" xfId="0" applyFont="1" applyFill="1" applyAlignment="1" applyProtection="1">
      <alignment horizontal="center"/>
    </xf>
    <xf numFmtId="4" fontId="49" fillId="0" borderId="0" xfId="0" applyFont="1" applyAlignment="1" applyProtection="1"/>
    <xf numFmtId="49" fontId="49" fillId="0" borderId="0" xfId="0" applyNumberFormat="1" applyFont="1" applyAlignment="1" applyProtection="1">
      <alignment horizontal="center"/>
    </xf>
    <xf numFmtId="4" fontId="49" fillId="0" borderId="0" xfId="0" applyFont="1" applyAlignment="1" applyProtection="1">
      <alignment horizontal="center"/>
    </xf>
    <xf numFmtId="49" fontId="132" fillId="0" borderId="0" xfId="1133" applyFont="1" applyFill="1" applyBorder="1" applyAlignment="1" applyProtection="1">
      <alignment vertical="center"/>
    </xf>
    <xf numFmtId="0" fontId="49" fillId="0" borderId="3" xfId="1155" applyFont="1" applyFill="1" applyBorder="1" applyAlignment="1" applyProtection="1">
      <alignment horizontal="center" vertical="center" wrapText="1"/>
    </xf>
    <xf numFmtId="0" fontId="141" fillId="0" borderId="3" xfId="1155" applyFont="1" applyFill="1" applyBorder="1" applyAlignment="1" applyProtection="1">
      <alignment horizontal="center" vertical="center" wrapText="1"/>
    </xf>
    <xf numFmtId="49" fontId="132" fillId="0" borderId="0" xfId="1133" applyFont="1" applyFill="1" applyBorder="1" applyAlignment="1" applyProtection="1">
      <alignment horizontal="center" vertical="center"/>
    </xf>
    <xf numFmtId="49" fontId="132" fillId="0" borderId="3" xfId="1133" applyNumberFormat="1" applyFont="1" applyFill="1" applyBorder="1" applyAlignment="1" applyProtection="1">
      <alignment horizontal="center" vertical="center"/>
    </xf>
    <xf numFmtId="49" fontId="132" fillId="0" borderId="3" xfId="1133" applyFont="1" applyFill="1" applyBorder="1" applyAlignment="1" applyProtection="1">
      <alignment vertical="center"/>
    </xf>
    <xf numFmtId="49" fontId="132" fillId="0" borderId="3" xfId="1133" applyFont="1" applyFill="1" applyBorder="1" applyAlignment="1" applyProtection="1">
      <alignment horizontal="center" vertical="center"/>
    </xf>
    <xf numFmtId="4" fontId="132" fillId="3" borderId="3" xfId="1133" applyNumberFormat="1" applyFont="1" applyFill="1" applyBorder="1" applyAlignment="1" applyProtection="1">
      <alignment horizontal="center" vertical="center"/>
    </xf>
    <xf numFmtId="49" fontId="132" fillId="0" borderId="3" xfId="1133" applyNumberFormat="1" applyFont="1" applyFill="1" applyBorder="1" applyAlignment="1" applyProtection="1">
      <alignment horizontal="left" vertical="center" wrapText="1" indent="1"/>
    </xf>
    <xf numFmtId="49" fontId="49" fillId="0" borderId="3" xfId="1158" applyNumberFormat="1" applyFont="1" applyFill="1" applyBorder="1" applyAlignment="1" applyProtection="1">
      <alignment horizontal="left" vertical="center" wrapText="1" indent="1"/>
    </xf>
    <xf numFmtId="49" fontId="49" fillId="0" borderId="3" xfId="1133" applyNumberFormat="1" applyFont="1" applyFill="1" applyBorder="1" applyAlignment="1" applyProtection="1">
      <alignment horizontal="left" vertical="center" wrapText="1" indent="1"/>
    </xf>
    <xf numFmtId="49" fontId="49" fillId="0" borderId="3" xfId="1133" applyNumberFormat="1" applyFont="1" applyFill="1" applyBorder="1" applyAlignment="1" applyProtection="1">
      <alignment horizontal="left" vertical="center" wrapText="1"/>
    </xf>
    <xf numFmtId="4" fontId="49" fillId="27" borderId="3" xfId="1166" applyNumberFormat="1" applyFont="1" applyFill="1" applyBorder="1" applyAlignment="1" applyProtection="1">
      <alignment horizontal="center" vertical="center" wrapText="1"/>
      <protection locked="0"/>
    </xf>
    <xf numFmtId="4" fontId="49" fillId="27" borderId="3" xfId="1166" applyNumberFormat="1" applyFont="1" applyFill="1" applyBorder="1" applyAlignment="1" applyProtection="1">
      <alignment horizontal="center" vertical="center" wrapText="1"/>
    </xf>
    <xf numFmtId="49" fontId="49" fillId="0" borderId="0" xfId="1133" applyNumberFormat="1" applyFont="1" applyFill="1" applyBorder="1" applyAlignment="1" applyProtection="1">
      <alignment vertical="center" wrapText="1"/>
    </xf>
    <xf numFmtId="2" fontId="132" fillId="0" borderId="0" xfId="1133" applyNumberFormat="1" applyFont="1" applyFill="1" applyAlignment="1" applyProtection="1">
      <alignment vertical="center"/>
    </xf>
    <xf numFmtId="2" fontId="132" fillId="0" borderId="0" xfId="1133" applyNumberFormat="1" applyFont="1" applyFill="1" applyAlignment="1" applyProtection="1">
      <alignment horizontal="center" vertical="center"/>
    </xf>
    <xf numFmtId="2" fontId="132" fillId="0" borderId="0" xfId="1133" applyNumberFormat="1" applyFont="1" applyFill="1" applyBorder="1" applyAlignment="1" applyProtection="1">
      <alignment vertical="center"/>
    </xf>
    <xf numFmtId="2" fontId="145" fillId="0" borderId="0" xfId="855" applyNumberFormat="1" applyFont="1" applyFill="1" applyBorder="1" applyAlignment="1" applyProtection="1">
      <alignment horizontal="left" vertical="center"/>
    </xf>
    <xf numFmtId="0" fontId="49" fillId="0" borderId="3" xfId="1133" applyNumberFormat="1" applyFont="1" applyFill="1" applyBorder="1" applyAlignment="1" applyProtection="1">
      <alignment horizontal="center" vertical="center" wrapText="1"/>
    </xf>
    <xf numFmtId="0" fontId="132" fillId="0" borderId="3" xfId="1133" applyNumberFormat="1" applyFont="1" applyBorder="1" applyAlignment="1" applyProtection="1">
      <alignment horizontal="center" vertical="center"/>
    </xf>
    <xf numFmtId="0" fontId="132" fillId="0" borderId="3" xfId="1133" applyNumberFormat="1" applyFont="1" applyFill="1" applyBorder="1" applyAlignment="1" applyProtection="1">
      <alignment horizontal="center" vertical="center" wrapText="1"/>
    </xf>
    <xf numFmtId="0" fontId="125" fillId="0" borderId="3" xfId="1133" applyNumberFormat="1" applyFont="1" applyFill="1" applyBorder="1" applyAlignment="1" applyProtection="1">
      <alignment horizontal="center" vertical="center" wrapText="1"/>
    </xf>
    <xf numFmtId="0" fontId="132" fillId="0" borderId="103" xfId="1133" applyNumberFormat="1" applyFont="1" applyFill="1" applyBorder="1" applyAlignment="1" applyProtection="1">
      <alignment horizontal="center" vertical="center" wrapText="1"/>
    </xf>
    <xf numFmtId="4" fontId="100" fillId="0" borderId="0" xfId="0" applyFont="1" applyAlignment="1"/>
    <xf numFmtId="2" fontId="132" fillId="0" borderId="0" xfId="1133" applyNumberFormat="1" applyFont="1" applyAlignment="1" applyProtection="1">
      <alignment vertical="center"/>
    </xf>
    <xf numFmtId="0" fontId="132" fillId="0" borderId="106" xfId="1133" applyNumberFormat="1" applyFont="1" applyFill="1" applyBorder="1" applyAlignment="1" applyProtection="1">
      <alignment horizontal="center" vertical="center" wrapText="1"/>
    </xf>
    <xf numFmtId="0" fontId="132" fillId="0" borderId="110" xfId="1133" applyNumberFormat="1" applyFont="1" applyFill="1" applyBorder="1" applyAlignment="1" applyProtection="1">
      <alignment horizontal="center" vertical="center" wrapText="1"/>
    </xf>
    <xf numFmtId="0" fontId="132" fillId="0" borderId="3" xfId="1133" applyNumberFormat="1" applyFont="1" applyFill="1" applyBorder="1" applyAlignment="1" applyProtection="1">
      <alignment vertical="center" wrapText="1"/>
    </xf>
    <xf numFmtId="0" fontId="132" fillId="0" borderId="112" xfId="1133" applyNumberFormat="1" applyFont="1" applyFill="1" applyBorder="1" applyAlignment="1" applyProtection="1">
      <alignment horizontal="center" vertical="center" wrapText="1"/>
    </xf>
    <xf numFmtId="0" fontId="132" fillId="0" borderId="113" xfId="1133" applyNumberFormat="1" applyFont="1" applyFill="1" applyBorder="1" applyAlignment="1" applyProtection="1">
      <alignment horizontal="center" vertical="center" wrapText="1"/>
    </xf>
    <xf numFmtId="0" fontId="132" fillId="46" borderId="3" xfId="1133" applyNumberFormat="1" applyFont="1" applyFill="1" applyBorder="1" applyAlignment="1" applyProtection="1">
      <alignment horizontal="center" vertical="center" wrapText="1"/>
    </xf>
    <xf numFmtId="0" fontId="132" fillId="0" borderId="111" xfId="1133" applyNumberFormat="1" applyFont="1" applyFill="1" applyBorder="1" applyAlignment="1" applyProtection="1">
      <alignment horizontal="center" vertical="center" wrapText="1"/>
    </xf>
    <xf numFmtId="0" fontId="132" fillId="46" borderId="111" xfId="1133" applyNumberFormat="1" applyFont="1" applyFill="1" applyBorder="1" applyAlignment="1" applyProtection="1">
      <alignment horizontal="center" vertical="center" wrapText="1"/>
    </xf>
    <xf numFmtId="0" fontId="132" fillId="0" borderId="114" xfId="1133" applyNumberFormat="1" applyFont="1" applyFill="1" applyBorder="1" applyAlignment="1" applyProtection="1">
      <alignment horizontal="center" vertical="center" wrapText="1"/>
    </xf>
    <xf numFmtId="49" fontId="146" fillId="0" borderId="3" xfId="1133" applyNumberFormat="1" applyFont="1" applyFill="1" applyBorder="1" applyAlignment="1" applyProtection="1">
      <alignment horizontal="center" vertical="center" wrapText="1"/>
    </xf>
    <xf numFmtId="49" fontId="146" fillId="0" borderId="3" xfId="1133" applyNumberFormat="1" applyFont="1" applyBorder="1" applyAlignment="1" applyProtection="1">
      <alignment horizontal="center" vertical="center"/>
    </xf>
    <xf numFmtId="0" fontId="145" fillId="0" borderId="3" xfId="855" applyFont="1" applyFill="1" applyBorder="1" applyAlignment="1" applyProtection="1">
      <alignment horizontal="left" vertical="center" indent="1"/>
    </xf>
    <xf numFmtId="49" fontId="146" fillId="46" borderId="3" xfId="1133" applyNumberFormat="1" applyFont="1" applyFill="1" applyBorder="1" applyAlignment="1" applyProtection="1">
      <alignment horizontal="center" vertical="center" wrapText="1"/>
    </xf>
    <xf numFmtId="49" fontId="146" fillId="0" borderId="111" xfId="1133" applyNumberFormat="1" applyFont="1" applyFill="1" applyBorder="1" applyAlignment="1" applyProtection="1">
      <alignment horizontal="center" vertical="center" wrapText="1"/>
    </xf>
    <xf numFmtId="4" fontId="100" fillId="0" borderId="3" xfId="0" applyFont="1" applyBorder="1" applyAlignment="1"/>
    <xf numFmtId="4" fontId="100" fillId="0" borderId="3" xfId="0" applyFont="1" applyFill="1" applyBorder="1" applyAlignment="1"/>
    <xf numFmtId="4" fontId="100" fillId="0" borderId="3" xfId="0" applyFont="1" applyBorder="1" applyAlignment="1" applyProtection="1"/>
    <xf numFmtId="4" fontId="100" fillId="0" borderId="3" xfId="0" applyFont="1" applyFill="1" applyBorder="1" applyAlignment="1" applyProtection="1"/>
    <xf numFmtId="0" fontId="68" fillId="2" borderId="110" xfId="1142" applyFont="1" applyFill="1" applyBorder="1" applyAlignment="1" applyProtection="1">
      <alignment horizontal="center" vertical="center" wrapText="1"/>
    </xf>
    <xf numFmtId="0" fontId="68" fillId="2" borderId="112" xfId="1142" applyFont="1" applyFill="1" applyBorder="1" applyAlignment="1" applyProtection="1">
      <alignment horizontal="left" vertical="center" wrapText="1"/>
    </xf>
    <xf numFmtId="0" fontId="68" fillId="2" borderId="112" xfId="1142" applyFont="1" applyFill="1" applyBorder="1" applyAlignment="1" applyProtection="1">
      <alignment horizontal="center" vertical="center" wrapText="1"/>
    </xf>
    <xf numFmtId="0" fontId="68" fillId="2" borderId="113" xfId="1142" applyFont="1" applyFill="1" applyBorder="1" applyAlignment="1" applyProtection="1">
      <alignment horizontal="center" vertical="center" wrapText="1"/>
    </xf>
    <xf numFmtId="4" fontId="100" fillId="46" borderId="3" xfId="0" applyFont="1" applyFill="1" applyBorder="1" applyAlignment="1"/>
    <xf numFmtId="49" fontId="132" fillId="46" borderId="3" xfId="1133" applyNumberFormat="1" applyFont="1" applyFill="1" applyBorder="1" applyAlignment="1" applyProtection="1">
      <alignment horizontal="center" vertical="center"/>
    </xf>
    <xf numFmtId="2" fontId="132" fillId="46" borderId="3" xfId="1133" applyNumberFormat="1" applyFont="1" applyFill="1" applyBorder="1" applyAlignment="1" applyProtection="1">
      <alignment vertical="center"/>
    </xf>
    <xf numFmtId="4" fontId="132" fillId="46" borderId="3" xfId="1133" applyNumberFormat="1" applyFont="1" applyFill="1" applyBorder="1" applyAlignment="1" applyProtection="1">
      <alignment horizontal="center" vertical="center"/>
    </xf>
    <xf numFmtId="4" fontId="147" fillId="0" borderId="3" xfId="1133" applyNumberFormat="1" applyFont="1" applyFill="1" applyBorder="1" applyAlignment="1" applyProtection="1">
      <alignment horizontal="center" vertical="center"/>
    </xf>
    <xf numFmtId="4" fontId="132" fillId="0" borderId="3" xfId="1133" applyNumberFormat="1" applyFont="1" applyFill="1" applyBorder="1" applyAlignment="1" applyProtection="1">
      <alignment horizontal="center" vertical="center"/>
    </xf>
    <xf numFmtId="4" fontId="132" fillId="27" borderId="3" xfId="1133" applyNumberFormat="1" applyFont="1" applyFill="1" applyBorder="1" applyAlignment="1" applyProtection="1">
      <alignment horizontal="center" vertical="center"/>
      <protection locked="0"/>
    </xf>
    <xf numFmtId="4" fontId="132" fillId="27" borderId="110" xfId="1133" applyNumberFormat="1" applyFont="1" applyFill="1" applyBorder="1" applyAlignment="1" applyProtection="1">
      <alignment horizontal="center" vertical="center"/>
      <protection locked="0"/>
    </xf>
    <xf numFmtId="0" fontId="132" fillId="46" borderId="3" xfId="1112" applyFont="1" applyFill="1" applyBorder="1" applyAlignment="1">
      <alignment vertical="center" wrapText="1"/>
    </xf>
    <xf numFmtId="4" fontId="132" fillId="3" borderId="3" xfId="1133" applyNumberFormat="1" applyFont="1" applyFill="1" applyBorder="1" applyAlignment="1" applyProtection="1">
      <alignment horizontal="center" vertical="center"/>
      <protection locked="0"/>
    </xf>
    <xf numFmtId="4" fontId="132" fillId="46" borderId="3" xfId="1133" applyNumberFormat="1" applyFont="1" applyFill="1" applyBorder="1" applyAlignment="1" applyProtection="1">
      <alignment horizontal="center" vertical="center"/>
      <protection locked="0"/>
    </xf>
    <xf numFmtId="4" fontId="132" fillId="27" borderId="3" xfId="1133" applyNumberFormat="1" applyFont="1" applyFill="1" applyBorder="1" applyAlignment="1" applyProtection="1">
      <alignment horizontal="center" vertical="center"/>
    </xf>
    <xf numFmtId="0" fontId="132" fillId="46" borderId="3" xfId="1112" applyFont="1" applyFill="1" applyBorder="1" applyAlignment="1">
      <alignment horizontal="left" vertical="center" wrapText="1"/>
    </xf>
    <xf numFmtId="0" fontId="132" fillId="46" borderId="3" xfId="1112" applyFont="1" applyFill="1" applyBorder="1" applyAlignment="1">
      <alignment horizontal="left" vertical="center" wrapText="1" indent="1"/>
    </xf>
    <xf numFmtId="4" fontId="49" fillId="46" borderId="3" xfId="0" applyFont="1" applyFill="1" applyBorder="1" applyAlignment="1"/>
    <xf numFmtId="2" fontId="132" fillId="0" borderId="3" xfId="1133" applyNumberFormat="1" applyFont="1" applyFill="1" applyBorder="1" applyAlignment="1" applyProtection="1">
      <alignment vertical="center"/>
    </xf>
    <xf numFmtId="2" fontId="132" fillId="0" borderId="3" xfId="1133" applyNumberFormat="1" applyFont="1" applyBorder="1" applyAlignment="1" applyProtection="1">
      <alignment vertical="center"/>
    </xf>
    <xf numFmtId="2" fontId="132" fillId="0" borderId="0" xfId="1133" applyNumberFormat="1" applyFont="1" applyBorder="1" applyAlignment="1" applyProtection="1">
      <alignment vertical="center"/>
    </xf>
    <xf numFmtId="4" fontId="49" fillId="46" borderId="3" xfId="0" applyFont="1" applyFill="1" applyBorder="1" applyAlignment="1">
      <alignment horizontal="left" indent="1"/>
    </xf>
    <xf numFmtId="4" fontId="49" fillId="46" borderId="3" xfId="0" applyFont="1" applyFill="1" applyBorder="1" applyAlignment="1">
      <alignment wrapText="1"/>
    </xf>
    <xf numFmtId="4" fontId="49" fillId="46" borderId="3" xfId="0" applyFont="1" applyFill="1" applyBorder="1" applyAlignment="1">
      <alignment horizontal="left"/>
    </xf>
    <xf numFmtId="4" fontId="49" fillId="46" borderId="3" xfId="0" applyFont="1" applyFill="1" applyBorder="1" applyAlignment="1">
      <alignment horizontal="left" wrapText="1"/>
    </xf>
    <xf numFmtId="2" fontId="132" fillId="0" borderId="115" xfId="1133" applyNumberFormat="1" applyFont="1" applyFill="1" applyBorder="1" applyAlignment="1" applyProtection="1">
      <alignment vertical="center"/>
    </xf>
    <xf numFmtId="4" fontId="100" fillId="0" borderId="103" xfId="0" applyFont="1" applyFill="1" applyBorder="1" applyAlignment="1" applyProtection="1"/>
    <xf numFmtId="4" fontId="100" fillId="0" borderId="111" xfId="0" applyFont="1" applyFill="1" applyBorder="1" applyAlignment="1" applyProtection="1"/>
    <xf numFmtId="4" fontId="100" fillId="0" borderId="0" xfId="0" applyFont="1" applyFill="1" applyAlignment="1"/>
    <xf numFmtId="2" fontId="132" fillId="0" borderId="0" xfId="1133" applyNumberFormat="1" applyFont="1" applyAlignment="1" applyProtection="1">
      <alignment horizontal="center" vertical="center"/>
    </xf>
    <xf numFmtId="2" fontId="132" fillId="46" borderId="0" xfId="1133" applyNumberFormat="1" applyFont="1" applyFill="1" applyBorder="1" applyAlignment="1" applyProtection="1">
      <alignment vertical="center"/>
    </xf>
    <xf numFmtId="2" fontId="132" fillId="46" borderId="0" xfId="1133" applyNumberFormat="1" applyFont="1" applyFill="1" applyAlignment="1" applyProtection="1">
      <alignment vertical="center"/>
    </xf>
    <xf numFmtId="2" fontId="132" fillId="48" borderId="0" xfId="1133" applyNumberFormat="1" applyFont="1" applyFill="1" applyAlignment="1" applyProtection="1">
      <alignment vertical="center"/>
    </xf>
    <xf numFmtId="49" fontId="132" fillId="0" borderId="3" xfId="1133" applyFont="1" applyFill="1" applyBorder="1" applyAlignment="1" applyProtection="1">
      <alignment horizontal="left" vertical="center" indent="1"/>
    </xf>
    <xf numFmtId="0" fontId="132" fillId="0" borderId="0" xfId="1151" applyFont="1" applyAlignment="1" applyProtection="1">
      <alignment vertical="center"/>
    </xf>
    <xf numFmtId="0" fontId="132" fillId="46" borderId="116" xfId="1151" applyFont="1" applyFill="1" applyBorder="1" applyAlignment="1" applyProtection="1">
      <alignment vertical="center"/>
    </xf>
    <xf numFmtId="0" fontId="132" fillId="46" borderId="66" xfId="1151" applyFont="1" applyFill="1" applyBorder="1" applyAlignment="1" applyProtection="1">
      <alignment vertical="center"/>
    </xf>
    <xf numFmtId="0" fontId="132" fillId="46" borderId="68" xfId="1151" applyFont="1" applyFill="1" applyBorder="1" applyAlignment="1" applyProtection="1">
      <alignment vertical="center"/>
    </xf>
    <xf numFmtId="0" fontId="132" fillId="46" borderId="37" xfId="1151" applyFont="1" applyFill="1" applyBorder="1" applyAlignment="1" applyProtection="1">
      <alignment vertical="center"/>
    </xf>
    <xf numFmtId="0" fontId="132" fillId="46" borderId="15" xfId="1151" applyFont="1" applyFill="1" applyBorder="1" applyAlignment="1" applyProtection="1">
      <alignment vertical="center"/>
    </xf>
    <xf numFmtId="0" fontId="132" fillId="46" borderId="0" xfId="1151" applyFont="1" applyFill="1" applyBorder="1" applyAlignment="1" applyProtection="1">
      <alignment vertical="center"/>
    </xf>
    <xf numFmtId="0" fontId="49" fillId="0" borderId="39" xfId="1151" applyNumberFormat="1" applyFont="1" applyBorder="1" applyAlignment="1" applyProtection="1">
      <alignment horizontal="center" vertical="center" wrapText="1"/>
    </xf>
    <xf numFmtId="0" fontId="49" fillId="0" borderId="39" xfId="1151" applyFont="1" applyBorder="1" applyAlignment="1" applyProtection="1">
      <alignment horizontal="center" vertical="center" wrapText="1"/>
    </xf>
    <xf numFmtId="0" fontId="146" fillId="0" borderId="20" xfId="1151" applyFont="1" applyBorder="1" applyAlignment="1" applyProtection="1">
      <alignment horizontal="center" vertical="center"/>
    </xf>
    <xf numFmtId="0" fontId="146" fillId="0" borderId="21" xfId="1151" applyFont="1" applyBorder="1" applyAlignment="1" applyProtection="1">
      <alignment horizontal="center" vertical="center"/>
    </xf>
    <xf numFmtId="0" fontId="146" fillId="0" borderId="22" xfId="1151" applyFont="1" applyBorder="1" applyAlignment="1" applyProtection="1">
      <alignment horizontal="center" vertical="center"/>
    </xf>
    <xf numFmtId="0" fontId="146" fillId="46" borderId="117" xfId="1151" applyFont="1" applyFill="1" applyBorder="1" applyAlignment="1" applyProtection="1">
      <alignment horizontal="center" vertical="center"/>
    </xf>
    <xf numFmtId="0" fontId="146" fillId="46" borderId="55" xfId="1151" applyFont="1" applyFill="1" applyBorder="1" applyAlignment="1" applyProtection="1">
      <alignment horizontal="center" vertical="center"/>
    </xf>
    <xf numFmtId="0" fontId="132" fillId="46" borderId="55" xfId="1151" applyFont="1" applyFill="1" applyBorder="1" applyAlignment="1" applyProtection="1">
      <alignment vertical="center"/>
    </xf>
    <xf numFmtId="0" fontId="132" fillId="46" borderId="118" xfId="1151" applyFont="1" applyFill="1" applyBorder="1" applyAlignment="1" applyProtection="1">
      <alignment vertical="center"/>
    </xf>
    <xf numFmtId="0" fontId="132" fillId="46" borderId="62" xfId="1151" applyFont="1" applyFill="1" applyBorder="1" applyAlignment="1" applyProtection="1">
      <alignment vertical="center"/>
    </xf>
    <xf numFmtId="0" fontId="132" fillId="46" borderId="119" xfId="1151" applyFont="1" applyFill="1" applyBorder="1" applyAlignment="1" applyProtection="1">
      <alignment vertical="center"/>
    </xf>
    <xf numFmtId="0" fontId="125" fillId="0" borderId="80" xfId="1151" applyFont="1" applyFill="1" applyBorder="1" applyAlignment="1" applyProtection="1">
      <alignment horizontal="center" vertical="center"/>
    </xf>
    <xf numFmtId="0" fontId="68" fillId="0" borderId="14" xfId="1151" applyFont="1" applyFill="1" applyBorder="1" applyAlignment="1" applyProtection="1">
      <alignment horizontal="center" vertical="center"/>
    </xf>
    <xf numFmtId="4" fontId="132" fillId="3" borderId="14" xfId="1151" applyNumberFormat="1" applyFont="1" applyFill="1" applyBorder="1" applyAlignment="1" applyProtection="1">
      <alignment horizontal="center" vertical="center"/>
    </xf>
    <xf numFmtId="4" fontId="132" fillId="3" borderId="83" xfId="1151" applyNumberFormat="1" applyFont="1" applyFill="1" applyBorder="1" applyAlignment="1" applyProtection="1">
      <alignment horizontal="center" vertical="center"/>
    </xf>
    <xf numFmtId="0" fontId="145" fillId="46" borderId="37" xfId="855" applyFont="1" applyFill="1" applyBorder="1" applyAlignment="1" applyProtection="1">
      <alignment horizontal="center" vertical="center" wrapText="1"/>
    </xf>
    <xf numFmtId="49" fontId="132" fillId="0" borderId="80" xfId="1151" applyNumberFormat="1" applyFont="1" applyFill="1" applyBorder="1" applyAlignment="1" applyProtection="1">
      <alignment horizontal="center" vertical="center"/>
    </xf>
    <xf numFmtId="0" fontId="132" fillId="47" borderId="14" xfId="1151" applyFont="1" applyFill="1" applyBorder="1" applyAlignment="1" applyProtection="1">
      <alignment horizontal="center" vertical="center" wrapText="1"/>
      <protection locked="0"/>
    </xf>
    <xf numFmtId="4" fontId="132" fillId="27" borderId="14" xfId="1133" applyNumberFormat="1" applyFont="1" applyFill="1" applyBorder="1" applyAlignment="1" applyProtection="1">
      <alignment horizontal="center" vertical="center"/>
      <protection locked="0"/>
    </xf>
    <xf numFmtId="0" fontId="132" fillId="46" borderId="120" xfId="1151" applyFont="1" applyFill="1" applyBorder="1" applyAlignment="1" applyProtection="1">
      <alignment vertical="center"/>
    </xf>
    <xf numFmtId="0" fontId="132" fillId="46" borderId="72" xfId="1151" applyFont="1" applyFill="1" applyBorder="1" applyAlignment="1" applyProtection="1">
      <alignment vertical="center"/>
    </xf>
    <xf numFmtId="173" fontId="134" fillId="43" borderId="90" xfId="1157" applyNumberFormat="1" applyFont="1" applyFill="1" applyBorder="1" applyAlignment="1" applyProtection="1">
      <alignment horizontal="right" vertical="center" wrapText="1"/>
      <protection locked="0"/>
    </xf>
    <xf numFmtId="172" fontId="82" fillId="3" borderId="54" xfId="0" applyNumberFormat="1" applyFont="1" applyFill="1" applyBorder="1" applyAlignment="1">
      <alignment horizontal="center"/>
    </xf>
    <xf numFmtId="0" fontId="129" fillId="0" borderId="0" xfId="1159" applyNumberFormat="1" applyAlignment="1"/>
    <xf numFmtId="0" fontId="129" fillId="0" borderId="0" xfId="1159" applyNumberFormat="1" applyFill="1" applyAlignment="1"/>
    <xf numFmtId="4" fontId="129" fillId="0" borderId="0" xfId="1159" applyNumberFormat="1" applyFill="1" applyAlignment="1"/>
    <xf numFmtId="172" fontId="129" fillId="0" borderId="0" xfId="1159" applyNumberFormat="1" applyAlignment="1"/>
    <xf numFmtId="0" fontId="129" fillId="0" borderId="0" xfId="1159" applyAlignment="1"/>
    <xf numFmtId="0" fontId="129" fillId="0" borderId="0" xfId="1159" applyFill="1" applyAlignment="1"/>
    <xf numFmtId="172" fontId="129" fillId="0" borderId="0" xfId="1159" applyNumberFormat="1" applyFill="1" applyAlignment="1"/>
    <xf numFmtId="4" fontId="119" fillId="0" borderId="14" xfId="1295" applyNumberFormat="1" applyFont="1" applyBorder="1" applyAlignment="1">
      <alignment horizontal="center" vertical="center" wrapText="1"/>
    </xf>
    <xf numFmtId="4" fontId="119" fillId="0" borderId="14" xfId="1295" applyNumberFormat="1" applyFont="1" applyFill="1" applyBorder="1" applyAlignment="1">
      <alignment horizontal="center" vertical="center" wrapText="1"/>
    </xf>
    <xf numFmtId="4" fontId="119" fillId="0" borderId="14" xfId="1295" applyNumberFormat="1" applyFont="1" applyBorder="1" applyAlignment="1">
      <alignment horizontal="left" vertical="center" wrapText="1"/>
    </xf>
    <xf numFmtId="172" fontId="119" fillId="0" borderId="14" xfId="1295" applyNumberFormat="1" applyFont="1" applyBorder="1" applyAlignment="1">
      <alignment horizontal="center" vertical="center" wrapText="1"/>
    </xf>
    <xf numFmtId="4" fontId="150" fillId="0" borderId="14" xfId="1295" applyNumberFormat="1" applyFont="1" applyFill="1" applyBorder="1" applyAlignment="1">
      <alignment vertical="center" wrapText="1"/>
    </xf>
    <xf numFmtId="4" fontId="150" fillId="0" borderId="14" xfId="1295" applyNumberFormat="1" applyFont="1" applyBorder="1" applyAlignment="1">
      <alignment horizontal="center" vertical="center" wrapText="1"/>
    </xf>
    <xf numFmtId="172" fontId="150" fillId="0" borderId="14" xfId="1295" applyNumberFormat="1" applyFont="1" applyBorder="1" applyAlignment="1">
      <alignment horizontal="center" vertical="center" wrapText="1"/>
    </xf>
    <xf numFmtId="4" fontId="119" fillId="0" borderId="14" xfId="1295" applyNumberFormat="1" applyFont="1" applyBorder="1" applyAlignment="1">
      <alignment vertical="center" wrapText="1"/>
    </xf>
    <xf numFmtId="172" fontId="8" fillId="0" borderId="14" xfId="1295" applyNumberFormat="1" applyFont="1" applyFill="1" applyBorder="1" applyAlignment="1">
      <alignment vertical="center"/>
    </xf>
    <xf numFmtId="4" fontId="150" fillId="0" borderId="14" xfId="1295" applyNumberFormat="1" applyFont="1" applyBorder="1" applyAlignment="1">
      <alignment horizontal="left" vertical="center" wrapText="1"/>
    </xf>
    <xf numFmtId="4" fontId="150" fillId="0" borderId="14" xfId="1295" applyNumberFormat="1" applyFont="1" applyFill="1" applyBorder="1" applyAlignment="1">
      <alignment horizontal="center" vertical="center" wrapText="1"/>
    </xf>
    <xf numFmtId="172" fontId="150" fillId="0" borderId="14" xfId="1295" applyNumberFormat="1" applyFont="1" applyFill="1" applyBorder="1" applyAlignment="1">
      <alignment horizontal="center" vertical="center" wrapText="1"/>
    </xf>
    <xf numFmtId="4" fontId="150" fillId="0" borderId="14" xfId="1295" applyNumberFormat="1" applyFont="1" applyBorder="1" applyAlignment="1">
      <alignment vertical="center" wrapText="1"/>
    </xf>
    <xf numFmtId="4" fontId="151" fillId="0" borderId="14" xfId="1295" applyNumberFormat="1" applyFont="1" applyBorder="1" applyAlignment="1">
      <alignment vertical="center" wrapText="1"/>
    </xf>
    <xf numFmtId="0" fontId="129" fillId="0" borderId="14" xfId="1159" applyBorder="1" applyAlignment="1"/>
    <xf numFmtId="4" fontId="150" fillId="0" borderId="14" xfId="1295" applyNumberFormat="1" applyFont="1" applyFill="1" applyBorder="1" applyAlignment="1">
      <alignment horizontal="center" wrapText="1"/>
    </xf>
    <xf numFmtId="4" fontId="150" fillId="0" borderId="14" xfId="1295" applyNumberFormat="1" applyFont="1" applyBorder="1" applyAlignment="1">
      <alignment horizontal="center" wrapText="1"/>
    </xf>
    <xf numFmtId="2" fontId="150" fillId="0" borderId="14" xfId="1143" applyNumberFormat="1" applyFont="1" applyFill="1" applyBorder="1" applyAlignment="1">
      <alignment horizontal="center" vertical="center" wrapText="1"/>
    </xf>
    <xf numFmtId="0" fontId="22" fillId="0" borderId="14" xfId="1159" applyFont="1" applyFill="1" applyBorder="1" applyAlignment="1">
      <alignment vertical="center" wrapText="1"/>
    </xf>
    <xf numFmtId="2" fontId="22" fillId="0" borderId="14" xfId="1143" applyNumberFormat="1" applyFont="1" applyFill="1" applyBorder="1" applyAlignment="1">
      <alignment horizontal="center" vertical="center" wrapText="1"/>
    </xf>
    <xf numFmtId="4" fontId="22" fillId="0" borderId="14" xfId="1159" applyNumberFormat="1" applyFont="1" applyFill="1" applyBorder="1" applyAlignment="1">
      <alignment horizontal="center" vertical="center" wrapText="1"/>
    </xf>
    <xf numFmtId="4" fontId="22" fillId="0" borderId="14" xfId="1295" applyNumberFormat="1" applyFont="1" applyBorder="1" applyAlignment="1">
      <alignment vertical="center" wrapText="1"/>
    </xf>
    <xf numFmtId="4" fontId="22" fillId="0" borderId="14" xfId="1295" applyNumberFormat="1" applyFont="1" applyBorder="1" applyAlignment="1">
      <alignment horizontal="center" vertical="center" wrapText="1"/>
    </xf>
    <xf numFmtId="2" fontId="119" fillId="0" borderId="14" xfId="1143" applyNumberFormat="1" applyFont="1" applyFill="1" applyBorder="1" applyAlignment="1">
      <alignment horizontal="center" vertical="center" wrapText="1"/>
    </xf>
    <xf numFmtId="4" fontId="22" fillId="0" borderId="14" xfId="1295" applyNumberFormat="1" applyFont="1" applyBorder="1" applyAlignment="1">
      <alignment horizontal="center" vertical="center"/>
    </xf>
    <xf numFmtId="4" fontId="22" fillId="0" borderId="14" xfId="1295" applyNumberFormat="1" applyFont="1" applyFill="1" applyBorder="1" applyAlignment="1">
      <alignment horizontal="center" vertical="center" wrapText="1"/>
    </xf>
    <xf numFmtId="4" fontId="22" fillId="0" borderId="14" xfId="1295" applyNumberFormat="1" applyFont="1" applyBorder="1" applyAlignment="1">
      <alignment vertical="center"/>
    </xf>
    <xf numFmtId="4" fontId="22" fillId="0" borderId="14" xfId="1295" applyNumberFormat="1" applyFont="1" applyBorder="1" applyAlignment="1">
      <alignment horizontal="center" wrapText="1"/>
    </xf>
    <xf numFmtId="2" fontId="151" fillId="0" borderId="14" xfId="1143" applyNumberFormat="1" applyFont="1" applyFill="1" applyBorder="1" applyAlignment="1">
      <alignment horizontal="center" vertical="center" wrapText="1"/>
    </xf>
    <xf numFmtId="4" fontId="119" fillId="0" borderId="64" xfId="1295" applyNumberFormat="1" applyFont="1" applyBorder="1" applyAlignment="1">
      <alignment vertical="center" wrapText="1"/>
    </xf>
    <xf numFmtId="4" fontId="22" fillId="0" borderId="64" xfId="1295" applyNumberFormat="1" applyFont="1" applyBorder="1" applyAlignment="1">
      <alignment horizontal="left" vertical="center" wrapText="1"/>
    </xf>
    <xf numFmtId="4" fontId="22" fillId="0" borderId="64" xfId="1295" applyNumberFormat="1" applyFont="1" applyBorder="1" applyAlignment="1">
      <alignment vertical="center" wrapText="1"/>
    </xf>
    <xf numFmtId="4" fontId="119" fillId="0" borderId="14" xfId="1295" applyNumberFormat="1" applyFont="1" applyBorder="1" applyAlignment="1">
      <alignment horizontal="center" vertical="center"/>
    </xf>
    <xf numFmtId="4" fontId="119" fillId="0" borderId="14" xfId="1295" applyNumberFormat="1" applyFont="1" applyFill="1" applyBorder="1" applyAlignment="1">
      <alignment horizontal="center" vertical="center"/>
    </xf>
    <xf numFmtId="4" fontId="119" fillId="0" borderId="14" xfId="1295" applyNumberFormat="1" applyFont="1" applyFill="1" applyBorder="1" applyAlignment="1">
      <alignment vertical="center" wrapText="1"/>
    </xf>
    <xf numFmtId="4" fontId="119" fillId="0" borderId="14" xfId="1295" applyNumberFormat="1" applyFont="1" applyBorder="1" applyAlignment="1">
      <alignment horizontal="center" wrapText="1"/>
    </xf>
    <xf numFmtId="172" fontId="119" fillId="0" borderId="14" xfId="1295" applyNumberFormat="1" applyFont="1" applyFill="1" applyBorder="1" applyAlignment="1">
      <alignment horizontal="center" vertical="center" wrapText="1"/>
    </xf>
    <xf numFmtId="172" fontId="22" fillId="0" borderId="14" xfId="1295" applyNumberFormat="1" applyFont="1" applyBorder="1" applyAlignment="1">
      <alignment horizontal="center" vertical="center" wrapText="1"/>
    </xf>
    <xf numFmtId="4" fontId="119" fillId="0" borderId="14" xfId="1296" applyNumberFormat="1" applyFont="1" applyFill="1" applyBorder="1" applyAlignment="1">
      <alignment horizontal="center" vertical="center" wrapText="1"/>
    </xf>
    <xf numFmtId="4" fontId="119" fillId="0" borderId="14" xfId="1296" applyNumberFormat="1" applyFont="1" applyBorder="1" applyAlignment="1">
      <alignment horizontal="center" vertical="center" wrapText="1"/>
    </xf>
    <xf numFmtId="4" fontId="119" fillId="0" borderId="14" xfId="1143" applyNumberFormat="1" applyFont="1" applyFill="1" applyBorder="1" applyAlignment="1">
      <alignment horizontal="center" vertical="center" wrapText="1"/>
    </xf>
    <xf numFmtId="4" fontId="22" fillId="0" borderId="14" xfId="1143" applyNumberFormat="1" applyFont="1" applyFill="1" applyBorder="1" applyAlignment="1">
      <alignment horizontal="center" vertical="center" wrapText="1"/>
    </xf>
    <xf numFmtId="172" fontId="72" fillId="0" borderId="0" xfId="1159" applyNumberFormat="1" applyFont="1" applyAlignment="1">
      <alignment horizontal="center"/>
    </xf>
    <xf numFmtId="4" fontId="22" fillId="0" borderId="14" xfId="1295" applyNumberFormat="1" applyFont="1" applyFill="1" applyBorder="1" applyAlignment="1">
      <alignment vertical="center" wrapText="1"/>
    </xf>
    <xf numFmtId="172" fontId="22" fillId="0" borderId="14" xfId="1295" applyNumberFormat="1" applyFont="1" applyFill="1" applyBorder="1" applyAlignment="1">
      <alignment horizontal="center" vertical="center" wrapText="1"/>
    </xf>
    <xf numFmtId="173" fontId="22" fillId="0" borderId="14" xfId="1295" applyNumberFormat="1" applyFont="1" applyBorder="1" applyAlignment="1">
      <alignment horizontal="center" vertical="center" wrapText="1"/>
    </xf>
    <xf numFmtId="202" fontId="119" fillId="0" borderId="14" xfId="1295" applyNumberFormat="1" applyFont="1" applyBorder="1" applyAlignment="1">
      <alignment horizontal="center" vertical="center" wrapText="1"/>
    </xf>
    <xf numFmtId="4" fontId="8" fillId="0" borderId="14" xfId="1295" applyNumberFormat="1" applyFont="1" applyBorder="1" applyAlignment="1">
      <alignment vertical="center"/>
    </xf>
    <xf numFmtId="10" fontId="22" fillId="0" borderId="14" xfId="1295" applyNumberFormat="1" applyFont="1" applyBorder="1" applyAlignment="1">
      <alignment horizontal="center" vertical="center" wrapText="1"/>
    </xf>
    <xf numFmtId="10" fontId="22" fillId="48" borderId="14" xfId="1295" applyNumberFormat="1" applyFont="1" applyFill="1" applyBorder="1" applyAlignment="1">
      <alignment horizontal="center" vertical="center" wrapText="1"/>
    </xf>
    <xf numFmtId="10" fontId="22" fillId="0" borderId="14" xfId="1295" applyNumberFormat="1" applyFont="1" applyFill="1" applyBorder="1" applyAlignment="1">
      <alignment horizontal="center" vertical="center" wrapText="1"/>
    </xf>
    <xf numFmtId="4" fontId="152" fillId="0" borderId="14" xfId="1295" applyNumberFormat="1" applyFont="1" applyFill="1" applyBorder="1" applyAlignment="1">
      <alignment horizontal="center" vertical="center" wrapText="1"/>
    </xf>
    <xf numFmtId="4" fontId="56" fillId="0" borderId="14" xfId="1295" applyNumberFormat="1" applyFont="1" applyFill="1" applyBorder="1" applyAlignment="1">
      <alignment horizontal="center" vertical="center" wrapText="1"/>
    </xf>
    <xf numFmtId="4" fontId="148" fillId="0" borderId="14" xfId="1295" applyNumberFormat="1" applyFont="1" applyBorder="1" applyAlignment="1">
      <alignment vertical="center" wrapText="1"/>
    </xf>
    <xf numFmtId="4" fontId="148" fillId="0" borderId="14" xfId="1295" applyNumberFormat="1" applyFont="1" applyBorder="1" applyAlignment="1">
      <alignment horizontal="center" wrapText="1"/>
    </xf>
    <xf numFmtId="4" fontId="148" fillId="0" borderId="14" xfId="1295" applyNumberFormat="1" applyFont="1" applyBorder="1" applyAlignment="1">
      <alignment horizontal="center" vertical="center" wrapText="1"/>
    </xf>
    <xf numFmtId="0" fontId="22" fillId="0" borderId="0" xfId="1159" applyFont="1" applyBorder="1" applyAlignment="1">
      <alignment vertical="center" wrapText="1"/>
    </xf>
    <xf numFmtId="0" fontId="119" fillId="0" borderId="85" xfId="1159" applyFont="1" applyBorder="1" applyAlignment="1">
      <alignment horizontal="center" wrapText="1"/>
    </xf>
    <xf numFmtId="4" fontId="22" fillId="0" borderId="85" xfId="1159" applyNumberFormat="1" applyFont="1" applyBorder="1" applyAlignment="1">
      <alignment horizontal="center" vertical="center" wrapText="1"/>
    </xf>
    <xf numFmtId="0" fontId="22" fillId="0" borderId="0" xfId="1159" applyFont="1" applyBorder="1" applyAlignment="1">
      <alignment horizontal="center" wrapText="1"/>
    </xf>
    <xf numFmtId="4" fontId="22" fillId="0" borderId="0" xfId="1159" applyNumberFormat="1" applyFont="1" applyBorder="1" applyAlignment="1">
      <alignment horizontal="center" vertical="center" wrapText="1"/>
    </xf>
    <xf numFmtId="4" fontId="22" fillId="0" borderId="0" xfId="1159" applyNumberFormat="1" applyFont="1" applyFill="1" applyBorder="1" applyAlignment="1">
      <alignment horizontal="center" vertical="center" wrapText="1"/>
    </xf>
    <xf numFmtId="4" fontId="129" fillId="0" borderId="0" xfId="1159" applyNumberFormat="1" applyAlignment="1"/>
    <xf numFmtId="4" fontId="15" fillId="0" borderId="0" xfId="1160" applyNumberFormat="1" applyAlignment="1"/>
    <xf numFmtId="4" fontId="129" fillId="48" borderId="0" xfId="1159" applyNumberFormat="1" applyFill="1" applyAlignment="1"/>
    <xf numFmtId="10" fontId="129" fillId="0" borderId="0" xfId="1159" applyNumberFormat="1" applyAlignment="1"/>
    <xf numFmtId="0" fontId="129" fillId="0" borderId="0" xfId="1159" applyNumberFormat="1" applyAlignment="1">
      <alignment horizontal="center"/>
    </xf>
    <xf numFmtId="4" fontId="153" fillId="0" borderId="0" xfId="1159" applyNumberFormat="1" applyFont="1" applyAlignment="1"/>
    <xf numFmtId="0" fontId="156" fillId="0" borderId="0" xfId="1159" applyFont="1" applyAlignment="1"/>
    <xf numFmtId="0" fontId="156" fillId="0" borderId="0" xfId="1159" applyNumberFormat="1" applyFont="1" applyAlignment="1"/>
    <xf numFmtId="0" fontId="151" fillId="0" borderId="0" xfId="1159" applyFont="1" applyFill="1" applyAlignment="1"/>
    <xf numFmtId="0" fontId="151" fillId="0" borderId="0" xfId="1159" applyNumberFormat="1" applyFont="1" applyFill="1" applyAlignment="1"/>
    <xf numFmtId="4" fontId="151" fillId="0" borderId="0" xfId="1159" applyNumberFormat="1" applyFont="1" applyFill="1" applyAlignment="1"/>
    <xf numFmtId="173" fontId="129" fillId="0" borderId="0" xfId="1159" applyNumberFormat="1" applyAlignment="1"/>
    <xf numFmtId="4" fontId="149" fillId="0" borderId="0" xfId="1159" applyNumberFormat="1" applyFont="1" applyFill="1" applyAlignment="1"/>
    <xf numFmtId="172" fontId="22" fillId="0" borderId="37" xfId="1295" applyNumberFormat="1" applyFont="1" applyFill="1" applyBorder="1" applyAlignment="1">
      <alignment horizontal="right" vertical="center" wrapText="1"/>
    </xf>
    <xf numFmtId="173" fontId="129" fillId="0" borderId="0" xfId="1159" applyNumberFormat="1" applyFill="1" applyAlignment="1"/>
    <xf numFmtId="203" fontId="129" fillId="0" borderId="0" xfId="1159" applyNumberFormat="1" applyAlignment="1"/>
    <xf numFmtId="0" fontId="129" fillId="48" borderId="0" xfId="1159" applyFill="1" applyAlignment="1"/>
    <xf numFmtId="0" fontId="290" fillId="0" borderId="0" xfId="1113"/>
    <xf numFmtId="0" fontId="129" fillId="0" borderId="0" xfId="1159" applyFont="1" applyFill="1" applyAlignment="1"/>
    <xf numFmtId="0" fontId="129" fillId="0" borderId="0" xfId="1159" applyNumberFormat="1" applyFont="1" applyFill="1" applyAlignment="1"/>
    <xf numFmtId="0" fontId="129" fillId="43" borderId="0" xfId="1159" applyNumberFormat="1" applyFill="1" applyAlignment="1"/>
    <xf numFmtId="4" fontId="157" fillId="45" borderId="64" xfId="1295" applyNumberFormat="1" applyFont="1" applyFill="1" applyBorder="1" applyAlignment="1">
      <alignment vertical="center" wrapText="1"/>
    </xf>
    <xf numFmtId="4" fontId="157" fillId="45" borderId="62" xfId="1295" applyNumberFormat="1" applyFont="1" applyFill="1" applyBorder="1" applyAlignment="1">
      <alignment vertical="center" wrapText="1"/>
    </xf>
    <xf numFmtId="4" fontId="67" fillId="3" borderId="64" xfId="1295" applyNumberFormat="1" applyFont="1" applyFill="1" applyBorder="1" applyAlignment="1">
      <alignment vertical="center" wrapText="1"/>
    </xf>
    <xf numFmtId="4" fontId="67" fillId="3" borderId="62" xfId="1295" applyNumberFormat="1" applyFont="1" applyFill="1" applyBorder="1" applyAlignment="1">
      <alignment vertical="center" wrapText="1"/>
    </xf>
    <xf numFmtId="4" fontId="119" fillId="49" borderId="64" xfId="1295" applyNumberFormat="1" applyFont="1" applyFill="1" applyBorder="1" applyAlignment="1">
      <alignment vertical="center" wrapText="1"/>
    </xf>
    <xf numFmtId="4" fontId="119" fillId="49" borderId="62" xfId="1295" applyNumberFormat="1" applyFont="1" applyFill="1" applyBorder="1" applyAlignment="1">
      <alignment vertical="center" wrapText="1"/>
    </xf>
    <xf numFmtId="4" fontId="152" fillId="2" borderId="64" xfId="1295" applyNumberFormat="1" applyFont="1" applyFill="1" applyBorder="1" applyAlignment="1">
      <alignment vertical="center" wrapText="1"/>
    </xf>
    <xf numFmtId="4" fontId="152" fillId="2" borderId="62" xfId="1295" applyNumberFormat="1" applyFont="1" applyFill="1" applyBorder="1" applyAlignment="1">
      <alignment vertical="center" wrapText="1"/>
    </xf>
    <xf numFmtId="4" fontId="67" fillId="3" borderId="63" xfId="1295" applyNumberFormat="1" applyFont="1" applyFill="1" applyBorder="1" applyAlignment="1">
      <alignment vertical="center" wrapText="1"/>
    </xf>
    <xf numFmtId="4" fontId="119" fillId="49" borderId="63" xfId="1295" applyNumberFormat="1" applyFont="1" applyFill="1" applyBorder="1" applyAlignment="1">
      <alignment vertical="center" wrapText="1"/>
    </xf>
    <xf numFmtId="4" fontId="152" fillId="2" borderId="63" xfId="1295" applyNumberFormat="1" applyFont="1" applyFill="1" applyBorder="1" applyAlignment="1">
      <alignment vertical="center" wrapText="1"/>
    </xf>
    <xf numFmtId="4" fontId="0" fillId="47" borderId="90" xfId="1147" applyNumberFormat="1" applyFont="1" applyFill="1" applyBorder="1" applyAlignment="1" applyProtection="1">
      <alignment horizontal="center" vertical="center"/>
      <protection locked="0"/>
    </xf>
    <xf numFmtId="4" fontId="249" fillId="0" borderId="0" xfId="0" applyFont="1" applyAlignment="1">
      <alignment horizontal="center"/>
    </xf>
    <xf numFmtId="10" fontId="0" fillId="0" borderId="0" xfId="0" applyNumberFormat="1" applyAlignment="1">
      <alignment horizontal="center"/>
    </xf>
    <xf numFmtId="10" fontId="0" fillId="0" borderId="0" xfId="0" applyNumberFormat="1" applyAlignment="1"/>
    <xf numFmtId="4" fontId="250" fillId="0" borderId="0" xfId="0" applyFont="1" applyAlignment="1"/>
    <xf numFmtId="4" fontId="251" fillId="0" borderId="14" xfId="0" applyFont="1" applyBorder="1" applyAlignment="1">
      <alignment horizontal="center"/>
    </xf>
    <xf numFmtId="4" fontId="252" fillId="0" borderId="14" xfId="0" applyFont="1" applyBorder="1" applyAlignment="1"/>
    <xf numFmtId="10" fontId="253" fillId="0" borderId="14" xfId="0" applyNumberFormat="1" applyFont="1" applyBorder="1" applyAlignment="1">
      <alignment horizontal="right"/>
    </xf>
    <xf numFmtId="4" fontId="254" fillId="0" borderId="0" xfId="0" applyFont="1" applyAlignment="1">
      <alignment wrapText="1"/>
    </xf>
    <xf numFmtId="4" fontId="252" fillId="0" borderId="0" xfId="0" applyFont="1" applyAlignment="1"/>
    <xf numFmtId="10" fontId="253" fillId="0" borderId="0" xfId="0" applyNumberFormat="1" applyFont="1" applyAlignment="1">
      <alignment horizontal="center"/>
    </xf>
    <xf numFmtId="4" fontId="0" fillId="0" borderId="0" xfId="0" applyFill="1" applyAlignment="1"/>
    <xf numFmtId="10" fontId="0" fillId="0" borderId="0" xfId="0" applyNumberFormat="1" applyFill="1" applyAlignment="1"/>
    <xf numFmtId="4" fontId="0" fillId="0" borderId="0" xfId="0" applyNumberFormat="1" applyFill="1" applyAlignment="1"/>
    <xf numFmtId="200" fontId="255" fillId="0" borderId="0" xfId="0" applyNumberFormat="1" applyFont="1" applyFill="1" applyAlignment="1"/>
    <xf numFmtId="4" fontId="198" fillId="0" borderId="121" xfId="0" applyNumberFormat="1" applyFont="1" applyBorder="1" applyAlignment="1">
      <alignment horizontal="right"/>
    </xf>
    <xf numFmtId="4" fontId="132" fillId="0" borderId="0" xfId="1133" applyNumberFormat="1" applyFont="1" applyFill="1" applyBorder="1" applyAlignment="1" applyProtection="1">
      <alignment horizontal="center" vertical="center"/>
      <protection locked="0"/>
    </xf>
    <xf numFmtId="4" fontId="0" fillId="0" borderId="0" xfId="0" applyFill="1" applyBorder="1" applyAlignment="1"/>
    <xf numFmtId="4" fontId="249" fillId="0" borderId="0" xfId="0" applyFont="1" applyFill="1" applyBorder="1" applyAlignment="1">
      <alignment horizontal="center"/>
    </xf>
    <xf numFmtId="4" fontId="83" fillId="0" borderId="32" xfId="0" applyNumberFormat="1" applyFont="1" applyBorder="1" applyAlignment="1">
      <alignment horizontal="right"/>
    </xf>
    <xf numFmtId="4" fontId="198" fillId="0" borderId="32" xfId="0" applyNumberFormat="1" applyFont="1" applyBorder="1" applyAlignment="1">
      <alignment horizontal="right"/>
    </xf>
    <xf numFmtId="4" fontId="198" fillId="0" borderId="37" xfId="0" applyNumberFormat="1" applyFont="1" applyBorder="1" applyAlignment="1">
      <alignment horizontal="right"/>
    </xf>
    <xf numFmtId="4" fontId="198" fillId="0" borderId="75" xfId="0" applyNumberFormat="1" applyFont="1" applyBorder="1" applyAlignment="1">
      <alignment horizontal="right"/>
    </xf>
    <xf numFmtId="4" fontId="87" fillId="0" borderId="0" xfId="0" applyFont="1" applyFill="1" applyBorder="1" applyAlignment="1">
      <alignment vertical="center"/>
    </xf>
    <xf numFmtId="4" fontId="86" fillId="0" borderId="0" xfId="0" applyFont="1" applyFill="1" applyBorder="1" applyAlignment="1">
      <alignment horizontal="center"/>
    </xf>
    <xf numFmtId="4" fontId="86" fillId="0" borderId="0" xfId="0" applyFont="1" applyFill="1" applyBorder="1" applyAlignment="1">
      <alignment vertical="center"/>
    </xf>
    <xf numFmtId="168" fontId="86" fillId="0" borderId="0" xfId="0" applyNumberFormat="1" applyFont="1" applyFill="1" applyBorder="1" applyAlignment="1">
      <alignment horizontal="right"/>
    </xf>
    <xf numFmtId="170" fontId="87" fillId="0" borderId="0" xfId="0" applyNumberFormat="1" applyFont="1" applyFill="1" applyBorder="1" applyAlignment="1">
      <alignment horizontal="center"/>
    </xf>
    <xf numFmtId="168" fontId="83" fillId="0" borderId="0" xfId="0" applyNumberFormat="1" applyFont="1" applyFill="1" applyBorder="1" applyAlignment="1">
      <alignment horizontal="right"/>
    </xf>
    <xf numFmtId="168" fontId="198" fillId="0" borderId="0" xfId="0" applyNumberFormat="1" applyFont="1" applyFill="1" applyBorder="1" applyAlignment="1">
      <alignment horizontal="right"/>
    </xf>
    <xf numFmtId="4" fontId="87" fillId="0" borderId="0" xfId="0" applyNumberFormat="1" applyFont="1" applyFill="1" applyBorder="1" applyAlignment="1">
      <alignment horizontal="center"/>
    </xf>
    <xf numFmtId="0" fontId="198" fillId="3" borderId="27" xfId="0" applyNumberFormat="1" applyFont="1" applyFill="1" applyBorder="1" applyAlignment="1">
      <alignment horizontal="right"/>
    </xf>
    <xf numFmtId="0" fontId="83" fillId="3" borderId="27" xfId="0" applyNumberFormat="1" applyFont="1" applyFill="1" applyBorder="1" applyAlignment="1">
      <alignment horizontal="right"/>
    </xf>
    <xf numFmtId="0" fontId="198" fillId="3" borderId="34" xfId="0" applyNumberFormat="1" applyFont="1" applyFill="1" applyBorder="1" applyAlignment="1">
      <alignment horizontal="right"/>
    </xf>
    <xf numFmtId="0" fontId="83" fillId="3" borderId="34" xfId="0" applyNumberFormat="1" applyFont="1" applyFill="1" applyBorder="1" applyAlignment="1">
      <alignment horizontal="right"/>
    </xf>
    <xf numFmtId="0" fontId="198" fillId="3" borderId="43" xfId="0" applyNumberFormat="1" applyFont="1" applyFill="1" applyBorder="1" applyAlignment="1">
      <alignment horizontal="right"/>
    </xf>
    <xf numFmtId="0" fontId="83" fillId="3" borderId="43" xfId="0" applyNumberFormat="1" applyFont="1" applyFill="1" applyBorder="1" applyAlignment="1">
      <alignment horizontal="right"/>
    </xf>
    <xf numFmtId="0" fontId="198" fillId="3" borderId="47" xfId="0" applyNumberFormat="1" applyFont="1" applyFill="1" applyBorder="1" applyAlignment="1">
      <alignment horizontal="right"/>
    </xf>
    <xf numFmtId="0" fontId="83" fillId="3" borderId="47" xfId="0" applyNumberFormat="1" applyFont="1" applyFill="1" applyBorder="1" applyAlignment="1">
      <alignment horizontal="right"/>
    </xf>
    <xf numFmtId="0" fontId="198" fillId="3" borderId="28" xfId="0" applyNumberFormat="1" applyFont="1" applyFill="1" applyBorder="1" applyAlignment="1">
      <alignment horizontal="right"/>
    </xf>
    <xf numFmtId="0" fontId="83" fillId="3" borderId="121" xfId="0" applyNumberFormat="1" applyFont="1" applyFill="1" applyBorder="1" applyAlignment="1">
      <alignment horizontal="right"/>
    </xf>
    <xf numFmtId="0" fontId="198" fillId="3" borderId="121" xfId="0" applyNumberFormat="1" applyFont="1" applyFill="1" applyBorder="1" applyAlignment="1">
      <alignment horizontal="right"/>
    </xf>
    <xf numFmtId="3" fontId="251" fillId="0" borderId="0" xfId="0" applyNumberFormat="1" applyFont="1" applyAlignment="1"/>
    <xf numFmtId="3" fontId="0" fillId="0" borderId="0" xfId="0" applyNumberFormat="1" applyAlignment="1"/>
    <xf numFmtId="4" fontId="83" fillId="0" borderId="0" xfId="0" applyFont="1" applyAlignment="1">
      <alignment horizontal="left"/>
    </xf>
    <xf numFmtId="10" fontId="83" fillId="0" borderId="0" xfId="0" applyNumberFormat="1" applyFont="1" applyAlignment="1"/>
    <xf numFmtId="49" fontId="0" fillId="0" borderId="0" xfId="0" applyNumberFormat="1" applyAlignment="1"/>
    <xf numFmtId="49" fontId="249" fillId="0" borderId="0" xfId="0" applyNumberFormat="1" applyFont="1" applyAlignment="1"/>
    <xf numFmtId="4" fontId="256" fillId="0" borderId="14" xfId="0" applyFont="1" applyBorder="1" applyAlignment="1">
      <alignment wrapText="1"/>
    </xf>
    <xf numFmtId="49" fontId="0" fillId="28" borderId="14" xfId="0" applyNumberFormat="1" applyFill="1" applyBorder="1" applyAlignment="1" applyProtection="1">
      <protection locked="0"/>
    </xf>
    <xf numFmtId="0" fontId="256" fillId="28" borderId="14" xfId="0" applyNumberFormat="1" applyFont="1" applyFill="1" applyBorder="1" applyAlignment="1" applyProtection="1">
      <alignment wrapText="1"/>
      <protection locked="0"/>
    </xf>
    <xf numFmtId="4" fontId="0" fillId="0" borderId="14" xfId="0" applyBorder="1" applyAlignment="1"/>
    <xf numFmtId="4" fontId="22" fillId="2" borderId="62" xfId="0" applyFont="1" applyFill="1" applyBorder="1" applyAlignment="1">
      <alignment horizontal="center" vertical="center" wrapText="1"/>
    </xf>
    <xf numFmtId="4" fontId="22" fillId="2" borderId="14" xfId="0" applyFont="1" applyFill="1" applyBorder="1" applyAlignment="1">
      <alignment horizontal="center" vertical="center" wrapText="1"/>
    </xf>
    <xf numFmtId="4" fontId="256" fillId="0" borderId="39" xfId="0" applyFont="1" applyBorder="1" applyAlignment="1">
      <alignment horizontal="center"/>
    </xf>
    <xf numFmtId="2" fontId="0" fillId="0" borderId="0" xfId="0" applyNumberFormat="1" applyAlignment="1"/>
    <xf numFmtId="2" fontId="0" fillId="0" borderId="0" xfId="0" applyNumberFormat="1" applyBorder="1" applyAlignment="1"/>
    <xf numFmtId="3" fontId="256" fillId="0" borderId="39" xfId="0" applyNumberFormat="1" applyFont="1" applyBorder="1" applyAlignment="1">
      <alignment horizontal="center"/>
    </xf>
    <xf numFmtId="4" fontId="8" fillId="0" borderId="0" xfId="1116" applyNumberFormat="1" applyFont="1" applyAlignment="1">
      <alignment vertical="center"/>
    </xf>
    <xf numFmtId="4" fontId="78" fillId="0" borderId="0" xfId="1116" applyNumberFormat="1" applyFont="1" applyAlignment="1">
      <alignment horizontal="center"/>
    </xf>
    <xf numFmtId="4" fontId="78" fillId="0" borderId="0" xfId="1116" applyNumberFormat="1" applyFont="1" applyAlignment="1">
      <alignment vertical="center"/>
    </xf>
    <xf numFmtId="4" fontId="80" fillId="0" borderId="0" xfId="1116" applyNumberFormat="1" applyFont="1" applyBorder="1" applyAlignment="1"/>
    <xf numFmtId="4" fontId="8" fillId="0" borderId="0" xfId="1116" applyNumberFormat="1" applyFont="1" applyBorder="1" applyAlignment="1">
      <alignment vertical="center"/>
    </xf>
    <xf numFmtId="4" fontId="161" fillId="0" borderId="0" xfId="1116" applyNumberFormat="1" applyFont="1" applyAlignment="1">
      <alignment horizontal="center"/>
    </xf>
    <xf numFmtId="4" fontId="161" fillId="0" borderId="0" xfId="1116" applyNumberFormat="1" applyFont="1" applyAlignment="1">
      <alignment vertical="center"/>
    </xf>
    <xf numFmtId="4" fontId="162" fillId="0" borderId="0" xfId="1116" applyNumberFormat="1" applyFont="1" applyAlignment="1">
      <alignment vertical="center"/>
    </xf>
    <xf numFmtId="4" fontId="163" fillId="0" borderId="0" xfId="1116" applyNumberFormat="1" applyFont="1" applyAlignment="1">
      <alignment vertical="center"/>
    </xf>
    <xf numFmtId="4" fontId="78" fillId="48" borderId="18" xfId="1116" applyNumberFormat="1" applyFont="1" applyFill="1" applyBorder="1" applyAlignment="1">
      <alignment horizontal="center" vertical="center"/>
    </xf>
    <xf numFmtId="4" fontId="78" fillId="48" borderId="18" xfId="1116" applyNumberFormat="1" applyFont="1" applyFill="1" applyBorder="1" applyAlignment="1">
      <alignment horizontal="center" vertical="center" wrapText="1"/>
    </xf>
    <xf numFmtId="4" fontId="78" fillId="48" borderId="19" xfId="1116" applyNumberFormat="1" applyFont="1" applyFill="1" applyBorder="1" applyAlignment="1">
      <alignment horizontal="center" vertical="center"/>
    </xf>
    <xf numFmtId="3" fontId="78" fillId="0" borderId="20" xfId="1116" applyNumberFormat="1" applyFont="1" applyBorder="1" applyAlignment="1">
      <alignment horizontal="center"/>
    </xf>
    <xf numFmtId="3" fontId="78" fillId="0" borderId="21" xfId="1116" applyNumberFormat="1" applyFont="1" applyBorder="1" applyAlignment="1">
      <alignment horizontal="center"/>
    </xf>
    <xf numFmtId="3" fontId="78" fillId="48" borderId="21" xfId="1116" applyNumberFormat="1" applyFont="1" applyFill="1" applyBorder="1" applyAlignment="1">
      <alignment horizontal="center"/>
    </xf>
    <xf numFmtId="3" fontId="78" fillId="48" borderId="22" xfId="1116" applyNumberFormat="1" applyFont="1" applyFill="1" applyBorder="1" applyAlignment="1">
      <alignment horizontal="center"/>
    </xf>
    <xf numFmtId="4" fontId="82" fillId="3" borderId="16" xfId="1116" applyNumberFormat="1" applyFont="1" applyFill="1" applyBorder="1" applyAlignment="1">
      <alignment horizontal="center"/>
    </xf>
    <xf numFmtId="4" fontId="82" fillId="3" borderId="77" xfId="1116" applyNumberFormat="1" applyFont="1" applyFill="1" applyBorder="1" applyAlignment="1">
      <alignment vertical="center"/>
    </xf>
    <xf numFmtId="168" fontId="82" fillId="3" borderId="77" xfId="1116" applyNumberFormat="1" applyFont="1" applyFill="1" applyBorder="1" applyAlignment="1">
      <alignment horizontal="right"/>
    </xf>
    <xf numFmtId="172" fontId="83" fillId="3" borderId="77" xfId="1116" applyNumberFormat="1" applyFont="1" applyFill="1" applyBorder="1" applyAlignment="1">
      <alignment horizontal="center"/>
    </xf>
    <xf numFmtId="179" fontId="83" fillId="3" borderId="77" xfId="1116" applyNumberFormat="1" applyFont="1" applyFill="1" applyBorder="1" applyAlignment="1">
      <alignment horizontal="center"/>
    </xf>
    <xf numFmtId="167" fontId="82" fillId="3" borderId="77" xfId="1116" applyNumberFormat="1" applyFont="1" applyFill="1" applyBorder="1" applyAlignment="1">
      <alignment horizontal="right"/>
    </xf>
    <xf numFmtId="167" fontId="82" fillId="3" borderId="78" xfId="1116" applyNumberFormat="1" applyFont="1" applyFill="1" applyBorder="1" applyAlignment="1">
      <alignment horizontal="right"/>
    </xf>
    <xf numFmtId="4" fontId="89" fillId="0" borderId="0" xfId="1116" applyNumberFormat="1" applyFont="1" applyAlignment="1">
      <alignment vertical="center"/>
    </xf>
    <xf numFmtId="4" fontId="82" fillId="3" borderId="79" xfId="1116" applyNumberFormat="1" applyFont="1" applyFill="1" applyBorder="1" applyAlignment="1">
      <alignment horizontal="center"/>
    </xf>
    <xf numFmtId="4" fontId="82" fillId="3" borderId="85" xfId="1116" applyNumberFormat="1" applyFont="1" applyFill="1" applyBorder="1" applyAlignment="1">
      <alignment horizontal="right" vertical="center"/>
    </xf>
    <xf numFmtId="168" fontId="82" fillId="3" borderId="85" xfId="1116" applyNumberFormat="1" applyFont="1" applyFill="1" applyBorder="1" applyAlignment="1">
      <alignment horizontal="right"/>
    </xf>
    <xf numFmtId="172" fontId="83" fillId="3" borderId="85" xfId="1116" applyNumberFormat="1" applyFont="1" applyFill="1" applyBorder="1" applyAlignment="1">
      <alignment horizontal="center"/>
    </xf>
    <xf numFmtId="179" fontId="83" fillId="3" borderId="85" xfId="1116" applyNumberFormat="1" applyFont="1" applyFill="1" applyBorder="1" applyAlignment="1">
      <alignment horizontal="center"/>
    </xf>
    <xf numFmtId="167" fontId="82" fillId="3" borderId="85" xfId="1116" applyNumberFormat="1" applyFont="1" applyFill="1" applyBorder="1" applyAlignment="1">
      <alignment horizontal="right"/>
    </xf>
    <xf numFmtId="167" fontId="82" fillId="3" borderId="122" xfId="1116" applyNumberFormat="1" applyFont="1" applyFill="1" applyBorder="1" applyAlignment="1">
      <alignment horizontal="right"/>
    </xf>
    <xf numFmtId="4" fontId="82" fillId="28" borderId="79" xfId="1116" applyNumberFormat="1" applyFont="1" applyFill="1" applyBorder="1" applyAlignment="1">
      <alignment horizontal="center"/>
    </xf>
    <xf numFmtId="4" fontId="82" fillId="28" borderId="85" xfId="1116" applyNumberFormat="1" applyFont="1" applyFill="1" applyBorder="1" applyAlignment="1">
      <alignment horizontal="right" vertical="center"/>
    </xf>
    <xf numFmtId="168" fontId="82" fillId="28" borderId="85" xfId="1116" applyNumberFormat="1" applyFont="1" applyFill="1" applyBorder="1" applyAlignment="1">
      <alignment horizontal="right"/>
    </xf>
    <xf numFmtId="172" fontId="83" fillId="28" borderId="85" xfId="1116" applyNumberFormat="1" applyFont="1" applyFill="1" applyBorder="1" applyAlignment="1">
      <alignment horizontal="center"/>
    </xf>
    <xf numFmtId="179" fontId="83" fillId="28" borderId="85" xfId="1116" applyNumberFormat="1" applyFont="1" applyFill="1" applyBorder="1" applyAlignment="1">
      <alignment horizontal="center"/>
    </xf>
    <xf numFmtId="167" fontId="82" fillId="28" borderId="85" xfId="1116" applyNumberFormat="1" applyFont="1" applyFill="1" applyBorder="1" applyAlignment="1">
      <alignment horizontal="right"/>
    </xf>
    <xf numFmtId="167" fontId="82" fillId="28" borderId="122" xfId="1116" applyNumberFormat="1" applyFont="1" applyFill="1" applyBorder="1" applyAlignment="1">
      <alignment horizontal="right"/>
    </xf>
    <xf numFmtId="4" fontId="82" fillId="3" borderId="85" xfId="1116" applyNumberFormat="1" applyFont="1" applyFill="1" applyBorder="1" applyAlignment="1">
      <alignment horizontal="left" vertical="center" wrapText="1"/>
    </xf>
    <xf numFmtId="4" fontId="83" fillId="3" borderId="85" xfId="1116" applyNumberFormat="1" applyFont="1" applyFill="1" applyBorder="1" applyAlignment="1">
      <alignment horizontal="center"/>
    </xf>
    <xf numFmtId="4" fontId="82" fillId="3" borderId="85" xfId="1116" applyNumberFormat="1" applyFont="1" applyFill="1" applyBorder="1" applyAlignment="1">
      <alignment vertical="center"/>
    </xf>
    <xf numFmtId="4" fontId="82" fillId="3" borderId="80" xfId="1116" applyNumberFormat="1" applyFont="1" applyFill="1" applyBorder="1" applyAlignment="1">
      <alignment horizontal="center"/>
    </xf>
    <xf numFmtId="4" fontId="82" fillId="3" borderId="14" xfId="1116" applyNumberFormat="1" applyFont="1" applyFill="1" applyBorder="1" applyAlignment="1">
      <alignment vertical="center"/>
    </xf>
    <xf numFmtId="168" fontId="82" fillId="3" borderId="14" xfId="1116" applyNumberFormat="1" applyFont="1" applyFill="1" applyBorder="1" applyAlignment="1">
      <alignment horizontal="right"/>
    </xf>
    <xf numFmtId="172" fontId="83" fillId="3" borderId="14" xfId="1116" applyNumberFormat="1" applyFont="1" applyFill="1" applyBorder="1" applyAlignment="1">
      <alignment horizontal="center"/>
    </xf>
    <xf numFmtId="179" fontId="83" fillId="3" borderId="14" xfId="1116" applyNumberFormat="1" applyFont="1" applyFill="1" applyBorder="1" applyAlignment="1">
      <alignment horizontal="center"/>
    </xf>
    <xf numFmtId="167" fontId="82" fillId="3" borderId="14" xfId="1116" applyNumberFormat="1" applyFont="1" applyFill="1" applyBorder="1" applyAlignment="1">
      <alignment horizontal="right"/>
    </xf>
    <xf numFmtId="167" fontId="82" fillId="3" borderId="83" xfId="1116" applyNumberFormat="1" applyFont="1" applyFill="1" applyBorder="1" applyAlignment="1">
      <alignment horizontal="right"/>
    </xf>
    <xf numFmtId="4" fontId="83" fillId="3" borderId="123" xfId="1116" applyNumberFormat="1" applyFont="1" applyFill="1" applyBorder="1" applyAlignment="1">
      <alignment horizontal="center"/>
    </xf>
    <xf numFmtId="4" fontId="83" fillId="3" borderId="18" xfId="1116" applyNumberFormat="1" applyFont="1" applyFill="1" applyBorder="1" applyAlignment="1">
      <alignment vertical="center"/>
    </xf>
    <xf numFmtId="168" fontId="83" fillId="3" borderId="18" xfId="1116" applyNumberFormat="1" applyFont="1" applyFill="1" applyBorder="1" applyAlignment="1">
      <alignment horizontal="right"/>
    </xf>
    <xf numFmtId="172" fontId="83" fillId="3" borderId="18" xfId="1116" applyNumberFormat="1" applyFont="1" applyFill="1" applyBorder="1" applyAlignment="1">
      <alignment horizontal="center"/>
    </xf>
    <xf numFmtId="167" fontId="83" fillId="3" borderId="18" xfId="1116" applyNumberFormat="1" applyFont="1" applyFill="1" applyBorder="1" applyAlignment="1">
      <alignment horizontal="right"/>
    </xf>
    <xf numFmtId="167" fontId="83" fillId="3" borderId="19" xfId="1116" applyNumberFormat="1" applyFont="1" applyFill="1" applyBorder="1" applyAlignment="1">
      <alignment horizontal="right"/>
    </xf>
    <xf numFmtId="4" fontId="76" fillId="0" borderId="0" xfId="1116" applyNumberFormat="1" applyFont="1" applyAlignment="1">
      <alignment vertical="center"/>
    </xf>
    <xf numFmtId="4" fontId="164" fillId="0" borderId="0" xfId="1116" applyNumberFormat="1" applyFont="1" applyAlignment="1">
      <alignment vertical="center"/>
    </xf>
    <xf numFmtId="4" fontId="164" fillId="3" borderId="0" xfId="1116" applyNumberFormat="1" applyFont="1" applyFill="1" applyAlignment="1">
      <alignment vertical="center"/>
    </xf>
    <xf numFmtId="4" fontId="165" fillId="0" borderId="0" xfId="1116" applyNumberFormat="1" applyFont="1" applyAlignment="1">
      <alignment vertical="center"/>
    </xf>
    <xf numFmtId="4" fontId="166" fillId="0" borderId="0" xfId="1116" applyNumberFormat="1" applyFont="1" applyBorder="1" applyAlignment="1">
      <alignment horizontal="center"/>
    </xf>
    <xf numFmtId="4" fontId="166" fillId="0" borderId="0" xfId="1116" applyNumberFormat="1" applyFont="1" applyBorder="1" applyAlignment="1">
      <alignment horizontal="left" vertical="center"/>
    </xf>
    <xf numFmtId="4" fontId="166" fillId="0" borderId="0" xfId="1116" applyNumberFormat="1" applyFont="1" applyBorder="1" applyAlignment="1">
      <alignment vertical="center"/>
    </xf>
    <xf numFmtId="0" fontId="121" fillId="0" borderId="0" xfId="1116" applyFont="1" applyBorder="1"/>
    <xf numFmtId="4" fontId="167" fillId="0" borderId="0" xfId="1116" applyNumberFormat="1" applyFont="1" applyAlignment="1">
      <alignment vertical="center"/>
    </xf>
    <xf numFmtId="0" fontId="168" fillId="48" borderId="77" xfId="1144" applyFont="1" applyFill="1" applyBorder="1" applyAlignment="1">
      <alignment horizontal="center" vertical="center" wrapText="1"/>
    </xf>
    <xf numFmtId="0" fontId="168" fillId="48" borderId="78" xfId="1144" applyFont="1" applyFill="1" applyBorder="1" applyAlignment="1">
      <alignment horizontal="center" vertical="center" wrapText="1"/>
    </xf>
    <xf numFmtId="0" fontId="168" fillId="48" borderId="18" xfId="1144" applyFont="1" applyFill="1" applyBorder="1" applyAlignment="1">
      <alignment horizontal="center" vertical="center" wrapText="1"/>
    </xf>
    <xf numFmtId="2" fontId="169" fillId="48" borderId="18" xfId="1144" applyNumberFormat="1" applyFont="1" applyFill="1" applyBorder="1" applyAlignment="1">
      <alignment horizontal="center" vertical="center" wrapText="1"/>
    </xf>
    <xf numFmtId="0" fontId="168" fillId="48" borderId="19" xfId="1144" applyFont="1" applyFill="1" applyBorder="1" applyAlignment="1">
      <alignment horizontal="center" vertical="center" wrapText="1"/>
    </xf>
    <xf numFmtId="0" fontId="15" fillId="0" borderId="124" xfId="1116" applyBorder="1" applyAlignment="1"/>
    <xf numFmtId="0" fontId="15" fillId="0" borderId="125" xfId="1116" applyBorder="1" applyAlignment="1"/>
    <xf numFmtId="0" fontId="15" fillId="0" borderId="126" xfId="1116" applyBorder="1" applyAlignment="1"/>
    <xf numFmtId="2" fontId="169" fillId="0" borderId="40" xfId="1144" applyNumberFormat="1" applyFont="1" applyFill="1" applyBorder="1" applyAlignment="1">
      <alignment horizontal="center" vertical="center" wrapText="1"/>
    </xf>
    <xf numFmtId="2" fontId="169" fillId="0" borderId="42" xfId="1144" applyNumberFormat="1" applyFont="1" applyFill="1" applyBorder="1" applyAlignment="1">
      <alignment horizontal="center" vertical="center" wrapText="1"/>
    </xf>
    <xf numFmtId="0" fontId="18" fillId="3" borderId="14" xfId="1116" applyFont="1" applyFill="1" applyBorder="1" applyAlignment="1">
      <alignment horizontal="left"/>
    </xf>
    <xf numFmtId="3" fontId="95" fillId="3" borderId="64" xfId="1116" applyNumberFormat="1" applyFont="1" applyFill="1" applyBorder="1" applyAlignment="1"/>
    <xf numFmtId="3" fontId="95" fillId="3" borderId="63" xfId="1116" applyNumberFormat="1" applyFont="1" applyFill="1" applyBorder="1" applyAlignment="1"/>
    <xf numFmtId="180" fontId="95" fillId="3" borderId="14" xfId="1116" applyNumberFormat="1" applyFont="1" applyFill="1" applyBorder="1" applyAlignment="1">
      <alignment horizontal="right"/>
    </xf>
    <xf numFmtId="4" fontId="95" fillId="3" borderId="14" xfId="1116" applyNumberFormat="1" applyFont="1" applyFill="1" applyBorder="1" applyAlignment="1">
      <alignment horizontal="right"/>
    </xf>
    <xf numFmtId="173" fontId="95" fillId="3" borderId="64" xfId="1116" applyNumberFormat="1" applyFont="1" applyFill="1" applyBorder="1" applyAlignment="1"/>
    <xf numFmtId="173" fontId="95" fillId="3" borderId="63" xfId="1116" applyNumberFormat="1" applyFont="1" applyFill="1" applyBorder="1" applyAlignment="1"/>
    <xf numFmtId="2" fontId="129" fillId="3" borderId="14" xfId="1116" applyNumberFormat="1" applyFont="1" applyFill="1" applyBorder="1" applyAlignment="1">
      <alignment horizontal="right"/>
    </xf>
    <xf numFmtId="2" fontId="95" fillId="3" borderId="64" xfId="1116" applyNumberFormat="1" applyFont="1" applyFill="1" applyBorder="1" applyAlignment="1"/>
    <xf numFmtId="2" fontId="95" fillId="3" borderId="63" xfId="1116" applyNumberFormat="1" applyFont="1" applyFill="1" applyBorder="1" applyAlignment="1"/>
    <xf numFmtId="0" fontId="69" fillId="46" borderId="53" xfId="1116" applyFont="1" applyFill="1" applyBorder="1" applyAlignment="1"/>
    <xf numFmtId="0" fontId="71" fillId="46" borderId="17" xfId="1116" applyFont="1" applyFill="1" applyBorder="1" applyAlignment="1"/>
    <xf numFmtId="0" fontId="170" fillId="46" borderId="127" xfId="1116" applyFont="1" applyFill="1" applyBorder="1" applyAlignment="1"/>
    <xf numFmtId="1" fontId="171" fillId="46" borderId="54" xfId="1116" applyNumberFormat="1" applyFont="1" applyFill="1" applyBorder="1" applyAlignment="1">
      <alignment horizontal="right"/>
    </xf>
    <xf numFmtId="4" fontId="171" fillId="46" borderId="54" xfId="1116" applyNumberFormat="1" applyFont="1" applyFill="1" applyBorder="1" applyAlignment="1">
      <alignment horizontal="right"/>
    </xf>
    <xf numFmtId="4" fontId="171" fillId="46" borderId="86" xfId="1116" applyNumberFormat="1" applyFont="1" applyFill="1" applyBorder="1" applyAlignment="1">
      <alignment horizontal="right"/>
    </xf>
    <xf numFmtId="4" fontId="69" fillId="31" borderId="54" xfId="1116" applyNumberFormat="1" applyFont="1" applyFill="1" applyBorder="1" applyAlignment="1">
      <alignment horizontal="right" wrapText="1"/>
    </xf>
    <xf numFmtId="4" fontId="69" fillId="0" borderId="86" xfId="1116" applyNumberFormat="1" applyFont="1" applyFill="1" applyBorder="1" applyAlignment="1">
      <alignment horizontal="right"/>
    </xf>
    <xf numFmtId="10" fontId="69" fillId="0" borderId="54" xfId="1116" applyNumberFormat="1" applyFont="1" applyFill="1" applyBorder="1" applyAlignment="1">
      <alignment horizontal="right"/>
    </xf>
    <xf numFmtId="10" fontId="164" fillId="3" borderId="0" xfId="1116" applyNumberFormat="1" applyFont="1" applyFill="1" applyAlignment="1">
      <alignment vertical="center"/>
    </xf>
    <xf numFmtId="4" fontId="257" fillId="0" borderId="14" xfId="0" applyFont="1" applyBorder="1" applyAlignment="1">
      <alignment horizontal="center" vertical="center"/>
    </xf>
    <xf numFmtId="4" fontId="257" fillId="0" borderId="64" xfId="0" applyFont="1" applyBorder="1" applyAlignment="1">
      <alignment horizontal="left" vertical="center" wrapText="1"/>
    </xf>
    <xf numFmtId="4" fontId="257" fillId="0" borderId="62" xfId="0" applyFont="1" applyBorder="1" applyAlignment="1">
      <alignment vertical="center" wrapText="1"/>
    </xf>
    <xf numFmtId="49" fontId="257" fillId="0" borderId="14" xfId="0" applyNumberFormat="1" applyFont="1" applyBorder="1" applyAlignment="1">
      <alignment horizontal="center" vertical="center"/>
    </xf>
    <xf numFmtId="4" fontId="257" fillId="0" borderId="14" xfId="0" applyFont="1" applyBorder="1" applyAlignment="1">
      <alignment horizontal="left" vertical="center" wrapText="1"/>
    </xf>
    <xf numFmtId="4" fontId="257" fillId="0" borderId="14" xfId="0" applyFont="1" applyBorder="1" applyAlignment="1">
      <alignment horizontal="center" vertical="center" wrapText="1"/>
    </xf>
    <xf numFmtId="172" fontId="257" fillId="0" borderId="14" xfId="0" applyNumberFormat="1" applyFont="1" applyBorder="1" applyAlignment="1"/>
    <xf numFmtId="3" fontId="257" fillId="0" borderId="14" xfId="0" applyNumberFormat="1" applyFont="1" applyBorder="1" applyAlignment="1"/>
    <xf numFmtId="4" fontId="257" fillId="0" borderId="14" xfId="0" applyFont="1" applyBorder="1" applyAlignment="1"/>
    <xf numFmtId="4" fontId="258" fillId="0" borderId="64" xfId="0" applyFont="1" applyBorder="1" applyAlignment="1">
      <alignment horizontal="center" vertical="center"/>
    </xf>
    <xf numFmtId="4" fontId="0" fillId="0" borderId="14" xfId="0" applyBorder="1">
      <alignment vertical="center"/>
    </xf>
    <xf numFmtId="4" fontId="0" fillId="0" borderId="64" xfId="0" applyBorder="1">
      <alignment vertical="center"/>
    </xf>
    <xf numFmtId="4" fontId="0" fillId="0" borderId="14" xfId="0" applyBorder="1" applyAlignment="1">
      <alignment horizontal="center" vertical="center"/>
    </xf>
    <xf numFmtId="4" fontId="0" fillId="0" borderId="0" xfId="0" applyAlignment="1">
      <alignment horizontal="center" vertical="center"/>
    </xf>
    <xf numFmtId="4" fontId="0" fillId="0" borderId="0" xfId="0">
      <alignment vertical="center"/>
    </xf>
    <xf numFmtId="3" fontId="0" fillId="0" borderId="14" xfId="0" applyNumberFormat="1" applyBorder="1" applyAlignment="1">
      <alignment horizontal="center" vertical="center"/>
    </xf>
    <xf numFmtId="4" fontId="0" fillId="0" borderId="62" xfId="0" applyBorder="1">
      <alignment vertical="center"/>
    </xf>
    <xf numFmtId="3" fontId="0" fillId="0" borderId="14" xfId="0" applyNumberFormat="1" applyBorder="1">
      <alignment vertical="center"/>
    </xf>
    <xf numFmtId="3" fontId="0" fillId="0" borderId="63" xfId="0" applyNumberFormat="1" applyBorder="1">
      <alignment vertical="center"/>
    </xf>
    <xf numFmtId="3" fontId="0" fillId="0" borderId="39" xfId="0" applyNumberFormat="1" applyBorder="1" applyAlignment="1">
      <alignment horizontal="center" vertical="center"/>
    </xf>
    <xf numFmtId="4" fontId="0" fillId="0" borderId="66" xfId="0" applyBorder="1">
      <alignment vertical="center"/>
    </xf>
    <xf numFmtId="4" fontId="0" fillId="0" borderId="39" xfId="0" applyBorder="1" applyAlignment="1">
      <alignment horizontal="center" vertical="center"/>
    </xf>
    <xf numFmtId="3" fontId="0" fillId="0" borderId="39" xfId="0" applyNumberFormat="1" applyBorder="1">
      <alignment vertical="center"/>
    </xf>
    <xf numFmtId="3" fontId="0" fillId="0" borderId="85" xfId="0" applyNumberFormat="1" applyBorder="1" applyAlignment="1">
      <alignment horizontal="center" vertical="center"/>
    </xf>
    <xf numFmtId="4" fontId="0" fillId="0" borderId="55" xfId="0" applyBorder="1">
      <alignment vertical="center"/>
    </xf>
    <xf numFmtId="4" fontId="0" fillId="0" borderId="85" xfId="0" applyBorder="1" applyAlignment="1">
      <alignment horizontal="center" vertical="center"/>
    </xf>
    <xf numFmtId="10" fontId="0" fillId="0" borderId="85" xfId="1263" applyNumberFormat="1" applyFont="1" applyBorder="1" applyAlignment="1">
      <alignment vertical="center"/>
    </xf>
    <xf numFmtId="10" fontId="0" fillId="0" borderId="72" xfId="1263" applyNumberFormat="1" applyFont="1" applyBorder="1" applyAlignment="1">
      <alignment vertical="center"/>
    </xf>
    <xf numFmtId="3" fontId="0" fillId="0" borderId="43" xfId="0" applyNumberFormat="1" applyBorder="1" applyAlignment="1">
      <alignment horizontal="center" vertical="center"/>
    </xf>
    <xf numFmtId="49" fontId="0" fillId="0" borderId="0" xfId="0" applyNumberFormat="1" applyBorder="1">
      <alignment vertical="center"/>
    </xf>
    <xf numFmtId="4" fontId="0" fillId="0" borderId="43" xfId="0" applyBorder="1" applyAlignment="1">
      <alignment horizontal="center" vertical="center"/>
    </xf>
    <xf numFmtId="3" fontId="0" fillId="0" borderId="43" xfId="0" applyNumberFormat="1" applyBorder="1">
      <alignment vertical="center"/>
    </xf>
    <xf numFmtId="3" fontId="0" fillId="0" borderId="15" xfId="0" applyNumberFormat="1" applyBorder="1">
      <alignment vertical="center"/>
    </xf>
    <xf numFmtId="49" fontId="0" fillId="0" borderId="0" xfId="0" applyNumberFormat="1" applyBorder="1" applyAlignment="1">
      <alignment horizontal="right" vertical="center"/>
    </xf>
    <xf numFmtId="49" fontId="0" fillId="0" borderId="62" xfId="0" applyNumberFormat="1" applyBorder="1">
      <alignment vertical="center"/>
    </xf>
    <xf numFmtId="49" fontId="0" fillId="0" borderId="55" xfId="0" applyNumberFormat="1" applyBorder="1">
      <alignment vertical="center"/>
    </xf>
    <xf numFmtId="3" fontId="0" fillId="0" borderId="85" xfId="0" applyNumberFormat="1" applyBorder="1">
      <alignment vertical="center"/>
    </xf>
    <xf numFmtId="3" fontId="0" fillId="0" borderId="72" xfId="0" applyNumberFormat="1" applyBorder="1">
      <alignment vertical="center"/>
    </xf>
    <xf numFmtId="4" fontId="0" fillId="0" borderId="85" xfId="0" applyBorder="1">
      <alignment vertical="center"/>
    </xf>
    <xf numFmtId="4" fontId="174" fillId="0" borderId="0" xfId="0" applyFont="1" applyFill="1" applyBorder="1" applyAlignment="1"/>
    <xf numFmtId="4" fontId="175" fillId="0" borderId="0" xfId="0" applyFont="1" applyFill="1" applyBorder="1" applyAlignment="1">
      <alignment wrapText="1"/>
    </xf>
    <xf numFmtId="4" fontId="174" fillId="0" borderId="0" xfId="0" applyFont="1" applyBorder="1" applyAlignment="1"/>
    <xf numFmtId="4" fontId="176" fillId="0" borderId="0" xfId="0" applyFont="1" applyFill="1" applyBorder="1" applyAlignment="1"/>
    <xf numFmtId="172" fontId="174" fillId="0" borderId="0" xfId="0" applyNumberFormat="1" applyFont="1" applyFill="1" applyBorder="1" applyAlignment="1">
      <alignment horizontal="center"/>
    </xf>
    <xf numFmtId="4" fontId="108" fillId="0" borderId="14" xfId="0" applyFont="1" applyFill="1" applyBorder="1" applyAlignment="1">
      <alignment horizontal="center" vertical="center"/>
    </xf>
    <xf numFmtId="4" fontId="108" fillId="0" borderId="14" xfId="0" applyFont="1" applyFill="1" applyBorder="1" applyAlignment="1">
      <alignment horizontal="center" vertical="center" wrapText="1"/>
    </xf>
    <xf numFmtId="4" fontId="108" fillId="0" borderId="14" xfId="0" applyFont="1" applyFill="1" applyBorder="1" applyAlignment="1">
      <alignment vertical="center" wrapText="1"/>
    </xf>
    <xf numFmtId="3" fontId="108" fillId="0" borderId="14" xfId="0" applyNumberFormat="1" applyFont="1" applyFill="1" applyBorder="1" applyAlignment="1">
      <alignment horizontal="center" vertical="center"/>
    </xf>
    <xf numFmtId="179" fontId="108" fillId="0" borderId="14" xfId="0" applyNumberFormat="1" applyFont="1" applyFill="1" applyBorder="1" applyAlignment="1">
      <alignment horizontal="center" vertical="center"/>
    </xf>
    <xf numFmtId="204" fontId="176" fillId="0" borderId="0" xfId="0" applyNumberFormat="1" applyFont="1" applyFill="1" applyBorder="1" applyAlignment="1"/>
    <xf numFmtId="4" fontId="174" fillId="46" borderId="0" xfId="0" applyFont="1" applyFill="1" applyBorder="1" applyAlignment="1"/>
    <xf numFmtId="0" fontId="177" fillId="0" borderId="14" xfId="1162" applyFont="1" applyBorder="1" applyAlignment="1">
      <alignment horizontal="center" vertical="center" wrapText="1"/>
    </xf>
    <xf numFmtId="0" fontId="178" fillId="0" borderId="39" xfId="1162" applyFont="1" applyBorder="1" applyAlignment="1">
      <alignment horizontal="center" vertical="center" wrapText="1"/>
    </xf>
    <xf numFmtId="0" fontId="176" fillId="46" borderId="39" xfId="1162" applyFont="1" applyFill="1" applyBorder="1" applyAlignment="1">
      <alignment horizontal="center" vertical="center" wrapText="1"/>
    </xf>
    <xf numFmtId="206" fontId="178" fillId="0" borderId="14" xfId="1349" applyNumberFormat="1" applyFont="1" applyBorder="1" applyAlignment="1">
      <alignment horizontal="center" vertical="center" wrapText="1"/>
    </xf>
    <xf numFmtId="0" fontId="179" fillId="0" borderId="14" xfId="1162" applyFont="1" applyBorder="1" applyAlignment="1">
      <alignment horizontal="center" vertical="center" wrapText="1"/>
    </xf>
    <xf numFmtId="0" fontId="179" fillId="46" borderId="14" xfId="1162" applyFont="1" applyFill="1" applyBorder="1" applyAlignment="1">
      <alignment horizontal="center" vertical="center" wrapText="1"/>
    </xf>
    <xf numFmtId="4" fontId="180" fillId="28" borderId="62" xfId="1162" applyNumberFormat="1" applyFont="1" applyFill="1" applyBorder="1" applyAlignment="1">
      <alignment horizontal="left" vertical="center" wrapText="1"/>
    </xf>
    <xf numFmtId="207" fontId="180" fillId="28" borderId="62" xfId="1162" applyNumberFormat="1" applyFont="1" applyFill="1" applyBorder="1" applyAlignment="1">
      <alignment horizontal="left" vertical="center" wrapText="1"/>
    </xf>
    <xf numFmtId="207" fontId="180" fillId="28" borderId="63" xfId="1162" applyNumberFormat="1" applyFont="1" applyFill="1" applyBorder="1" applyAlignment="1">
      <alignment horizontal="left" vertical="center" wrapText="1"/>
    </xf>
    <xf numFmtId="4" fontId="181" fillId="3" borderId="39" xfId="1162" applyNumberFormat="1" applyFont="1" applyFill="1" applyBorder="1" applyAlignment="1">
      <alignment horizontal="right" vertical="center" wrapText="1"/>
    </xf>
    <xf numFmtId="207" fontId="181" fillId="3" borderId="128" xfId="1349" applyNumberFormat="1" applyFont="1" applyFill="1" applyBorder="1" applyAlignment="1">
      <alignment vertical="center" wrapText="1"/>
    </xf>
    <xf numFmtId="207" fontId="178" fillId="3" borderId="128" xfId="1349" applyNumberFormat="1" applyFont="1" applyFill="1" applyBorder="1" applyAlignment="1">
      <alignment vertical="center" wrapText="1"/>
    </xf>
    <xf numFmtId="4" fontId="181" fillId="3" borderId="39" xfId="1162" applyNumberFormat="1" applyFont="1" applyFill="1" applyBorder="1" applyAlignment="1">
      <alignment horizontal="left" vertical="center" wrapText="1"/>
    </xf>
    <xf numFmtId="4" fontId="181" fillId="3" borderId="47" xfId="1162" applyNumberFormat="1" applyFont="1" applyFill="1" applyBorder="1" applyAlignment="1">
      <alignment horizontal="left" vertical="center" wrapText="1"/>
    </xf>
    <xf numFmtId="207" fontId="178" fillId="3" borderId="27" xfId="1349" applyNumberFormat="1" applyFont="1" applyFill="1" applyBorder="1" applyAlignment="1">
      <alignment vertical="center" wrapText="1"/>
    </xf>
    <xf numFmtId="207" fontId="181" fillId="3" borderId="27" xfId="1349" applyNumberFormat="1" applyFont="1" applyFill="1" applyBorder="1" applyAlignment="1">
      <alignment vertical="center" wrapText="1"/>
    </xf>
    <xf numFmtId="207" fontId="178" fillId="3" borderId="47" xfId="1349" applyNumberFormat="1" applyFont="1" applyFill="1" applyBorder="1" applyAlignment="1">
      <alignment horizontal="left" vertical="center" wrapText="1"/>
    </xf>
    <xf numFmtId="207" fontId="181" fillId="3" borderId="47" xfId="1349" applyNumberFormat="1" applyFont="1" applyFill="1" applyBorder="1" applyAlignment="1">
      <alignment horizontal="left" vertical="center" wrapText="1"/>
    </xf>
    <xf numFmtId="4" fontId="181" fillId="3" borderId="129" xfId="1162" applyNumberFormat="1" applyFont="1" applyFill="1" applyBorder="1" applyAlignment="1">
      <alignment horizontal="left" vertical="center" wrapText="1"/>
    </xf>
    <xf numFmtId="207" fontId="178" fillId="3" borderId="129" xfId="1349" applyNumberFormat="1" applyFont="1" applyFill="1" applyBorder="1" applyAlignment="1">
      <alignment vertical="center" wrapText="1"/>
    </xf>
    <xf numFmtId="207" fontId="181" fillId="3" borderId="129" xfId="1349" applyNumberFormat="1" applyFont="1" applyFill="1" applyBorder="1" applyAlignment="1">
      <alignment vertical="center" wrapText="1"/>
    </xf>
    <xf numFmtId="0" fontId="174" fillId="0" borderId="0" xfId="1162" applyFont="1" applyAlignment="1">
      <alignment horizontal="center" vertical="center" wrapText="1"/>
    </xf>
    <xf numFmtId="0" fontId="181" fillId="0" borderId="0" xfId="1162" applyFont="1" applyAlignment="1">
      <alignment vertical="center" wrapText="1"/>
    </xf>
    <xf numFmtId="0" fontId="174" fillId="46" borderId="0" xfId="1162" applyFont="1" applyFill="1" applyAlignment="1">
      <alignment vertical="center" wrapText="1"/>
    </xf>
    <xf numFmtId="206" fontId="181" fillId="0" borderId="0" xfId="1349" applyNumberFormat="1" applyFont="1" applyAlignment="1">
      <alignment vertical="center" wrapText="1"/>
    </xf>
    <xf numFmtId="208" fontId="181" fillId="0" borderId="0" xfId="1349" applyNumberFormat="1" applyFont="1" applyAlignment="1">
      <alignment vertical="center" wrapText="1"/>
    </xf>
    <xf numFmtId="206" fontId="178" fillId="0" borderId="0" xfId="1349" applyNumberFormat="1" applyFont="1" applyAlignment="1">
      <alignment vertical="center" wrapText="1"/>
    </xf>
    <xf numFmtId="4" fontId="176" fillId="32" borderId="130" xfId="0" applyFont="1" applyFill="1" applyBorder="1" applyAlignment="1">
      <alignment horizontal="left" vertical="center" wrapText="1"/>
    </xf>
    <xf numFmtId="4" fontId="176" fillId="0" borderId="131" xfId="0" applyFont="1" applyFill="1" applyBorder="1" applyAlignment="1">
      <alignment horizontal="left" vertical="center" wrapText="1"/>
    </xf>
    <xf numFmtId="4" fontId="182" fillId="0" borderId="132" xfId="0" applyFont="1" applyFill="1" applyBorder="1" applyAlignment="1">
      <alignment horizontal="right" vertical="center" wrapText="1"/>
    </xf>
    <xf numFmtId="4" fontId="182" fillId="0" borderId="132" xfId="0" applyFont="1" applyFill="1" applyBorder="1" applyAlignment="1">
      <alignment horizontal="left" vertical="center" wrapText="1"/>
    </xf>
    <xf numFmtId="4" fontId="176" fillId="0" borderId="132" xfId="0" applyFont="1" applyFill="1" applyBorder="1" applyAlignment="1">
      <alignment horizontal="left" vertical="center" wrapText="1"/>
    </xf>
    <xf numFmtId="4" fontId="182" fillId="0" borderId="132" xfId="0" applyFont="1" applyFill="1" applyBorder="1" applyAlignment="1">
      <alignment vertical="center" wrapText="1"/>
    </xf>
    <xf numFmtId="4" fontId="176" fillId="0" borderId="133" xfId="0" applyFont="1" applyFill="1" applyBorder="1" applyAlignment="1">
      <alignment horizontal="left" vertical="center" wrapText="1"/>
    </xf>
    <xf numFmtId="4" fontId="108" fillId="0" borderId="0" xfId="0" applyFont="1" applyAlignment="1">
      <alignment horizontal="left" vertical="top"/>
    </xf>
    <xf numFmtId="209" fontId="259" fillId="0" borderId="0" xfId="0" applyNumberFormat="1" applyFont="1" applyAlignment="1">
      <alignment vertical="center"/>
    </xf>
    <xf numFmtId="4" fontId="183" fillId="0" borderId="0" xfId="0" applyFont="1" applyAlignment="1"/>
    <xf numFmtId="4" fontId="173" fillId="0" borderId="0" xfId="0" applyFont="1" applyFill="1" applyAlignment="1">
      <alignment vertical="center"/>
    </xf>
    <xf numFmtId="4" fontId="177" fillId="0" borderId="0" xfId="0" applyFont="1" applyAlignment="1"/>
    <xf numFmtId="4" fontId="173" fillId="0" borderId="18" xfId="0" applyFont="1" applyFill="1" applyBorder="1" applyAlignment="1">
      <alignment horizontal="center" vertical="center" wrapText="1"/>
    </xf>
    <xf numFmtId="4" fontId="174" fillId="0" borderId="0" xfId="0" applyFont="1" applyAlignment="1"/>
    <xf numFmtId="4" fontId="173" fillId="0" borderId="87" xfId="0" applyFont="1" applyFill="1" applyBorder="1" applyAlignment="1">
      <alignment horizontal="center" vertical="center" wrapText="1"/>
    </xf>
    <xf numFmtId="4" fontId="173" fillId="0" borderId="40" xfId="0" applyFont="1" applyFill="1" applyBorder="1" applyAlignment="1">
      <alignment horizontal="center" vertical="center" wrapText="1"/>
    </xf>
    <xf numFmtId="4" fontId="174" fillId="0" borderId="0" xfId="0" applyFont="1" applyAlignment="1">
      <alignment horizontal="center"/>
    </xf>
    <xf numFmtId="4" fontId="175" fillId="45" borderId="130" xfId="0" applyFont="1" applyFill="1" applyBorder="1" applyAlignment="1">
      <alignment horizontal="left" vertical="center" wrapText="1"/>
    </xf>
    <xf numFmtId="166" fontId="175" fillId="45" borderId="40" xfId="1343" applyNumberFormat="1" applyFont="1" applyFill="1" applyBorder="1" applyAlignment="1">
      <alignment horizontal="center" vertical="center" wrapText="1"/>
    </xf>
    <xf numFmtId="4" fontId="186" fillId="0" borderId="0" xfId="0" applyFont="1" applyFill="1" applyAlignment="1"/>
    <xf numFmtId="166" fontId="186" fillId="0" borderId="0" xfId="0" applyNumberFormat="1" applyFont="1" applyFill="1" applyAlignment="1"/>
    <xf numFmtId="166" fontId="176" fillId="32" borderId="22" xfId="1343" applyNumberFormat="1" applyFont="1" applyFill="1" applyBorder="1" applyAlignment="1">
      <alignment horizontal="center" vertical="center" wrapText="1"/>
    </xf>
    <xf numFmtId="166" fontId="176" fillId="3" borderId="120" xfId="1343" applyNumberFormat="1" applyFont="1" applyFill="1" applyBorder="1" applyAlignment="1">
      <alignment horizontal="center" vertical="center" wrapText="1"/>
    </xf>
    <xf numFmtId="4" fontId="186" fillId="0" borderId="0" xfId="0" applyFont="1" applyAlignment="1"/>
    <xf numFmtId="166" fontId="108" fillId="0" borderId="64" xfId="1343" applyNumberFormat="1" applyFont="1" applyFill="1" applyBorder="1" applyAlignment="1">
      <alignment horizontal="center" vertical="center" wrapText="1"/>
    </xf>
    <xf numFmtId="166" fontId="108" fillId="43" borderId="64" xfId="1343" applyNumberFormat="1" applyFont="1" applyFill="1" applyBorder="1" applyAlignment="1">
      <alignment horizontal="center" vertical="center" wrapText="1"/>
    </xf>
    <xf numFmtId="166" fontId="176" fillId="3" borderId="64" xfId="1343" applyNumberFormat="1" applyFont="1" applyFill="1" applyBorder="1" applyAlignment="1">
      <alignment horizontal="center" vertical="center" wrapText="1"/>
    </xf>
    <xf numFmtId="166" fontId="176" fillId="0" borderId="64" xfId="1343" applyNumberFormat="1" applyFont="1" applyFill="1" applyBorder="1" applyAlignment="1">
      <alignment horizontal="center" vertical="center" wrapText="1"/>
    </xf>
    <xf numFmtId="4" fontId="182" fillId="0" borderId="62" xfId="0" applyFont="1" applyFill="1" applyBorder="1" applyAlignment="1">
      <alignment vertical="center" wrapText="1"/>
    </xf>
    <xf numFmtId="165" fontId="174" fillId="0" borderId="0" xfId="0" applyNumberFormat="1" applyFont="1" applyAlignment="1"/>
    <xf numFmtId="166" fontId="176" fillId="3" borderId="116" xfId="1343" applyNumberFormat="1" applyFont="1" applyFill="1" applyBorder="1" applyAlignment="1">
      <alignment horizontal="center" vertical="center" wrapText="1"/>
    </xf>
    <xf numFmtId="1" fontId="176" fillId="32" borderId="25" xfId="0" applyNumberFormat="1" applyFont="1" applyFill="1" applyBorder="1" applyAlignment="1">
      <alignment horizontal="center" vertical="center" wrapText="1"/>
    </xf>
    <xf numFmtId="4" fontId="189" fillId="0" borderId="0" xfId="0" applyFont="1" applyAlignment="1"/>
    <xf numFmtId="4" fontId="176" fillId="0" borderId="53" xfId="0" applyFont="1" applyFill="1" applyBorder="1" applyAlignment="1">
      <alignment horizontal="left" vertical="center" wrapText="1"/>
    </xf>
    <xf numFmtId="4" fontId="176" fillId="0" borderId="24" xfId="0" applyFont="1" applyFill="1" applyBorder="1" applyAlignment="1">
      <alignment horizontal="center" vertical="center" wrapText="1"/>
    </xf>
    <xf numFmtId="166" fontId="175" fillId="45" borderId="25" xfId="0" applyNumberFormat="1" applyFont="1" applyFill="1" applyBorder="1" applyAlignment="1">
      <alignment horizontal="center" vertical="center" wrapText="1"/>
    </xf>
    <xf numFmtId="4" fontId="189" fillId="0" borderId="0" xfId="0" applyFont="1" applyFill="1" applyAlignment="1"/>
    <xf numFmtId="4" fontId="0" fillId="0" borderId="0" xfId="0" applyAlignment="1">
      <alignment horizontal="left"/>
    </xf>
    <xf numFmtId="166" fontId="0" fillId="0" borderId="0" xfId="0" applyNumberFormat="1" applyAlignment="1"/>
    <xf numFmtId="4" fontId="190" fillId="0" borderId="0" xfId="0" applyFont="1" applyFill="1" applyAlignment="1"/>
    <xf numFmtId="209" fontId="0" fillId="0" borderId="0" xfId="0" applyNumberFormat="1" applyAlignment="1"/>
    <xf numFmtId="4" fontId="260" fillId="0" borderId="0" xfId="0" applyFont="1" applyAlignment="1">
      <alignment horizontal="left"/>
    </xf>
    <xf numFmtId="4" fontId="260" fillId="0" borderId="0" xfId="0" applyFont="1" applyAlignment="1"/>
    <xf numFmtId="166" fontId="260" fillId="0" borderId="0" xfId="0" applyNumberFormat="1" applyFont="1" applyAlignment="1"/>
    <xf numFmtId="209" fontId="0" fillId="0" borderId="0" xfId="0" applyNumberFormat="1" applyAlignment="1">
      <alignment horizontal="right"/>
    </xf>
    <xf numFmtId="165" fontId="0" fillId="0" borderId="0" xfId="0" applyNumberFormat="1" applyAlignment="1"/>
    <xf numFmtId="212" fontId="0" fillId="0" borderId="0" xfId="0" applyNumberFormat="1" applyAlignment="1"/>
    <xf numFmtId="14" fontId="0" fillId="0" borderId="0" xfId="0" applyNumberFormat="1" applyAlignment="1">
      <alignment horizontal="left"/>
    </xf>
    <xf numFmtId="166" fontId="0" fillId="0" borderId="0" xfId="0" applyNumberFormat="1" applyAlignment="1">
      <alignment horizontal="right"/>
    </xf>
    <xf numFmtId="174" fontId="0" fillId="0" borderId="0" xfId="0" applyNumberFormat="1" applyAlignment="1"/>
    <xf numFmtId="4" fontId="184" fillId="0" borderId="0" xfId="0" applyFont="1" applyBorder="1" applyAlignment="1">
      <alignment horizontal="left" vertical="center" wrapText="1"/>
    </xf>
    <xf numFmtId="4" fontId="184" fillId="0" borderId="134" xfId="0" applyFont="1" applyFill="1" applyBorder="1" applyAlignment="1">
      <alignment horizontal="center" vertical="center" wrapText="1"/>
    </xf>
    <xf numFmtId="166" fontId="176" fillId="3" borderId="64" xfId="1343" applyNumberFormat="1" applyFont="1" applyFill="1" applyBorder="1" applyAlignment="1">
      <alignment vertical="center" wrapText="1"/>
    </xf>
    <xf numFmtId="3" fontId="186" fillId="0" borderId="0" xfId="0" applyNumberFormat="1" applyFont="1" applyAlignment="1"/>
    <xf numFmtId="3" fontId="174" fillId="0" borderId="0" xfId="0" applyNumberFormat="1" applyFont="1" applyAlignment="1"/>
    <xf numFmtId="0" fontId="290" fillId="0" borderId="0" xfId="1112"/>
    <xf numFmtId="0" fontId="173" fillId="0" borderId="0" xfId="1112" applyFont="1" applyAlignment="1">
      <alignment vertical="center"/>
    </xf>
    <xf numFmtId="209" fontId="259" fillId="0" borderId="0" xfId="1112" applyNumberFormat="1" applyFont="1" applyAlignment="1">
      <alignment vertical="center"/>
    </xf>
    <xf numFmtId="0" fontId="183" fillId="0" borderId="0" xfId="1112" applyFont="1"/>
    <xf numFmtId="0" fontId="173" fillId="0" borderId="0" xfId="1112" applyFont="1" applyFill="1" applyAlignment="1">
      <alignment vertical="center"/>
    </xf>
    <xf numFmtId="166" fontId="173" fillId="0" borderId="0" xfId="1112" applyNumberFormat="1" applyFont="1" applyFill="1" applyAlignment="1">
      <alignment vertical="center"/>
    </xf>
    <xf numFmtId="0" fontId="108" fillId="0" borderId="0" xfId="1112" applyFont="1" applyFill="1" applyAlignment="1">
      <alignment vertical="center"/>
    </xf>
    <xf numFmtId="0" fontId="177" fillId="0" borderId="0" xfId="1112" applyFont="1"/>
    <xf numFmtId="0" fontId="108" fillId="0" borderId="18" xfId="1112" applyFont="1" applyFill="1" applyBorder="1" applyAlignment="1">
      <alignment horizontal="center" vertical="center" wrapText="1"/>
    </xf>
    <xf numFmtId="0" fontId="173" fillId="0" borderId="18" xfId="1112" applyFont="1" applyFill="1" applyBorder="1" applyAlignment="1">
      <alignment horizontal="center" vertical="center" wrapText="1"/>
    </xf>
    <xf numFmtId="0" fontId="173" fillId="0" borderId="19" xfId="1112" applyFont="1" applyFill="1" applyBorder="1" applyAlignment="1">
      <alignment horizontal="center" vertical="center" wrapText="1"/>
    </xf>
    <xf numFmtId="0" fontId="173" fillId="0" borderId="73" xfId="1112" applyFont="1" applyFill="1" applyBorder="1" applyAlignment="1">
      <alignment horizontal="center" vertical="center" wrapText="1"/>
    </xf>
    <xf numFmtId="0" fontId="174" fillId="0" borderId="0" xfId="1112" applyFont="1"/>
    <xf numFmtId="0" fontId="173" fillId="0" borderId="87" xfId="1112" applyFont="1" applyFill="1" applyBorder="1" applyAlignment="1">
      <alignment horizontal="center" vertical="center" wrapText="1"/>
    </xf>
    <xf numFmtId="0" fontId="173" fillId="0" borderId="135" xfId="1112" applyFont="1" applyFill="1" applyBorder="1" applyAlignment="1">
      <alignment horizontal="center" vertical="center" wrapText="1"/>
    </xf>
    <xf numFmtId="0" fontId="173" fillId="0" borderId="13" xfId="1112" applyFont="1" applyFill="1" applyBorder="1" applyAlignment="1">
      <alignment horizontal="center" vertical="center" wrapText="1"/>
    </xf>
    <xf numFmtId="0" fontId="173" fillId="0" borderId="40" xfId="1112" applyFont="1" applyFill="1" applyBorder="1" applyAlignment="1">
      <alignment horizontal="center" vertical="center" wrapText="1"/>
    </xf>
    <xf numFmtId="0" fontId="173" fillId="0" borderId="42" xfId="1112" applyFont="1" applyFill="1" applyBorder="1" applyAlignment="1">
      <alignment horizontal="center" vertical="center" wrapText="1"/>
    </xf>
    <xf numFmtId="0" fontId="108" fillId="0" borderId="40" xfId="1112" applyFont="1" applyFill="1" applyBorder="1" applyAlignment="1">
      <alignment horizontal="center" vertical="center" wrapText="1"/>
    </xf>
    <xf numFmtId="0" fontId="108" fillId="0" borderId="42" xfId="1112" applyFont="1" applyFill="1" applyBorder="1" applyAlignment="1">
      <alignment horizontal="center" vertical="center" wrapText="1"/>
    </xf>
    <xf numFmtId="0" fontId="174" fillId="0" borderId="0" xfId="1112" applyFont="1" applyAlignment="1">
      <alignment horizontal="center"/>
    </xf>
    <xf numFmtId="0" fontId="175" fillId="45" borderId="130" xfId="1112" applyFont="1" applyFill="1" applyBorder="1" applyAlignment="1">
      <alignment horizontal="left" vertical="center" wrapText="1"/>
    </xf>
    <xf numFmtId="166" fontId="175" fillId="45" borderId="125" xfId="1343" applyNumberFormat="1" applyFont="1" applyFill="1" applyBorder="1" applyAlignment="1">
      <alignment horizontal="center" vertical="center" wrapText="1"/>
    </xf>
    <xf numFmtId="9" fontId="175" fillId="0" borderId="136" xfId="1269" applyNumberFormat="1" applyFont="1" applyFill="1" applyBorder="1" applyAlignment="1">
      <alignment horizontal="center" vertical="center" wrapText="1"/>
    </xf>
    <xf numFmtId="9" fontId="175" fillId="0" borderId="22" xfId="1269" applyNumberFormat="1" applyFont="1" applyFill="1" applyBorder="1" applyAlignment="1">
      <alignment horizontal="center" vertical="center" wrapText="1"/>
    </xf>
    <xf numFmtId="9" fontId="175" fillId="0" borderId="20" xfId="1269" applyFont="1" applyFill="1" applyBorder="1" applyAlignment="1">
      <alignment horizontal="center" vertical="center" wrapText="1"/>
    </xf>
    <xf numFmtId="9" fontId="175" fillId="0" borderId="22" xfId="1269" applyFont="1" applyFill="1" applyBorder="1" applyAlignment="1">
      <alignment horizontal="center" vertical="center" wrapText="1"/>
    </xf>
    <xf numFmtId="0" fontId="186" fillId="0" borderId="0" xfId="1112" applyFont="1" applyFill="1"/>
    <xf numFmtId="166" fontId="186" fillId="0" borderId="0" xfId="1112" applyNumberFormat="1" applyFont="1" applyFill="1"/>
    <xf numFmtId="0" fontId="176" fillId="32" borderId="130" xfId="1112" applyFont="1" applyFill="1" applyBorder="1" applyAlignment="1">
      <alignment horizontal="left" vertical="center" wrapText="1"/>
    </xf>
    <xf numFmtId="166" fontId="176" fillId="32" borderId="125" xfId="1343" applyNumberFormat="1" applyFont="1" applyFill="1" applyBorder="1" applyAlignment="1">
      <alignment horizontal="center" vertical="center" wrapText="1"/>
    </xf>
    <xf numFmtId="166" fontId="176" fillId="32" borderId="40" xfId="1343" applyNumberFormat="1" applyFont="1" applyFill="1" applyBorder="1" applyAlignment="1">
      <alignment horizontal="center" vertical="center" wrapText="1"/>
    </xf>
    <xf numFmtId="9" fontId="176" fillId="0" borderId="136" xfId="1269" applyNumberFormat="1" applyFont="1" applyFill="1" applyBorder="1" applyAlignment="1">
      <alignment horizontal="center" vertical="center" wrapText="1"/>
    </xf>
    <xf numFmtId="9" fontId="176" fillId="0" borderId="22" xfId="1269" applyNumberFormat="1" applyFont="1" applyFill="1" applyBorder="1" applyAlignment="1">
      <alignment horizontal="center" vertical="center" wrapText="1"/>
    </xf>
    <xf numFmtId="166" fontId="176" fillId="32" borderId="21" xfId="1343" applyNumberFormat="1" applyFont="1" applyFill="1" applyBorder="1" applyAlignment="1">
      <alignment horizontal="center" vertical="center" wrapText="1"/>
    </xf>
    <xf numFmtId="9" fontId="176" fillId="0" borderId="20" xfId="1269" applyFont="1" applyFill="1" applyBorder="1" applyAlignment="1">
      <alignment horizontal="center" vertical="center" wrapText="1"/>
    </xf>
    <xf numFmtId="166" fontId="176" fillId="32" borderId="20" xfId="1343" applyNumberFormat="1" applyFont="1" applyFill="1" applyBorder="1" applyAlignment="1">
      <alignment horizontal="center" vertical="center" wrapText="1"/>
    </xf>
    <xf numFmtId="9" fontId="176" fillId="0" borderId="22" xfId="1269" applyFont="1" applyFill="1" applyBorder="1" applyAlignment="1">
      <alignment horizontal="center" vertical="center" wrapText="1"/>
    </xf>
    <xf numFmtId="0" fontId="176" fillId="0" borderId="131" xfId="1112" applyFont="1" applyFill="1" applyBorder="1" applyAlignment="1">
      <alignment horizontal="left" vertical="center" wrapText="1"/>
    </xf>
    <xf numFmtId="166" fontId="176" fillId="3" borderId="131" xfId="1343" applyNumberFormat="1" applyFont="1" applyFill="1" applyBorder="1" applyAlignment="1">
      <alignment horizontal="center" vertical="center" wrapText="1"/>
    </xf>
    <xf numFmtId="166" fontId="176" fillId="3" borderId="16" xfId="1343" applyNumberFormat="1" applyFont="1" applyFill="1" applyBorder="1" applyAlignment="1">
      <alignment horizontal="center" vertical="center" wrapText="1"/>
    </xf>
    <xf numFmtId="166" fontId="176" fillId="3" borderId="77" xfId="1345" applyNumberFormat="1" applyFont="1" applyFill="1" applyBorder="1" applyAlignment="1">
      <alignment horizontal="center" vertical="center" wrapText="1"/>
    </xf>
    <xf numFmtId="166" fontId="176" fillId="3" borderId="137" xfId="1343" applyNumberFormat="1" applyFont="1" applyFill="1" applyBorder="1" applyAlignment="1">
      <alignment horizontal="center" vertical="center" wrapText="1"/>
    </xf>
    <xf numFmtId="9" fontId="176" fillId="0" borderId="16" xfId="1269" applyNumberFormat="1" applyFont="1" applyFill="1" applyBorder="1" applyAlignment="1">
      <alignment horizontal="center" vertical="center" wrapText="1"/>
    </xf>
    <xf numFmtId="9" fontId="176" fillId="0" borderId="78" xfId="1269" applyNumberFormat="1" applyFont="1" applyFill="1" applyBorder="1" applyAlignment="1">
      <alignment horizontal="center" vertical="center" wrapText="1"/>
    </xf>
    <xf numFmtId="166" fontId="176" fillId="3" borderId="85" xfId="1345" applyNumberFormat="1" applyFont="1" applyFill="1" applyBorder="1" applyAlignment="1">
      <alignment horizontal="center" vertical="center" wrapText="1"/>
    </xf>
    <xf numFmtId="166" fontId="176" fillId="3" borderId="77" xfId="1343" applyNumberFormat="1" applyFont="1" applyFill="1" applyBorder="1" applyAlignment="1">
      <alignment horizontal="center" vertical="center" wrapText="1"/>
    </xf>
    <xf numFmtId="9" fontId="176" fillId="0" borderId="16" xfId="1269" applyFont="1" applyFill="1" applyBorder="1" applyAlignment="1">
      <alignment horizontal="center" vertical="center" wrapText="1"/>
    </xf>
    <xf numFmtId="9" fontId="176" fillId="0" borderId="78" xfId="1269" applyFont="1" applyFill="1" applyBorder="1" applyAlignment="1">
      <alignment horizontal="center" vertical="center" wrapText="1"/>
    </xf>
    <xf numFmtId="0" fontId="186" fillId="0" borderId="0" xfId="1112" applyFont="1"/>
    <xf numFmtId="0" fontId="182" fillId="0" borderId="132" xfId="1112" applyFont="1" applyFill="1" applyBorder="1" applyAlignment="1">
      <alignment horizontal="right" vertical="center" wrapText="1"/>
    </xf>
    <xf numFmtId="166" fontId="108" fillId="0" borderId="132" xfId="1343" applyNumberFormat="1" applyFont="1" applyFill="1" applyBorder="1" applyAlignment="1">
      <alignment horizontal="center" vertical="center" wrapText="1"/>
    </xf>
    <xf numFmtId="166" fontId="108" fillId="0" borderId="80" xfId="1343" applyNumberFormat="1" applyFont="1" applyFill="1" applyBorder="1" applyAlignment="1">
      <alignment horizontal="center" vertical="center" wrapText="1"/>
    </xf>
    <xf numFmtId="166" fontId="108" fillId="0" borderId="14" xfId="1343" applyNumberFormat="1" applyFont="1" applyFill="1" applyBorder="1" applyAlignment="1">
      <alignment horizontal="center" vertical="center" wrapText="1"/>
    </xf>
    <xf numFmtId="9" fontId="108" fillId="0" borderId="80" xfId="1269" applyNumberFormat="1" applyFont="1" applyFill="1" applyBorder="1" applyAlignment="1">
      <alignment horizontal="center" vertical="center" wrapText="1"/>
    </xf>
    <xf numFmtId="9" fontId="108" fillId="0" borderId="83" xfId="1269" applyNumberFormat="1" applyFont="1" applyFill="1" applyBorder="1" applyAlignment="1">
      <alignment horizontal="center" vertical="center" wrapText="1"/>
    </xf>
    <xf numFmtId="9" fontId="108" fillId="0" borderId="80" xfId="1269" applyFont="1" applyFill="1" applyBorder="1" applyAlignment="1">
      <alignment horizontal="center" vertical="center" wrapText="1"/>
    </xf>
    <xf numFmtId="9" fontId="108" fillId="0" borderId="83" xfId="1269" applyFont="1" applyFill="1" applyBorder="1" applyAlignment="1">
      <alignment horizontal="center" vertical="center" wrapText="1"/>
    </xf>
    <xf numFmtId="0" fontId="182" fillId="0" borderId="132" xfId="1112" applyFont="1" applyFill="1" applyBorder="1" applyAlignment="1">
      <alignment horizontal="left" vertical="center" wrapText="1"/>
    </xf>
    <xf numFmtId="166" fontId="108" fillId="43" borderId="132" xfId="1343" applyNumberFormat="1" applyFont="1" applyFill="1" applyBorder="1" applyAlignment="1">
      <alignment horizontal="center" vertical="center" wrapText="1"/>
    </xf>
    <xf numFmtId="166" fontId="108" fillId="43" borderId="14" xfId="1343" applyNumberFormat="1" applyFont="1" applyFill="1" applyBorder="1" applyAlignment="1">
      <alignment horizontal="center" vertical="center" wrapText="1"/>
    </xf>
    <xf numFmtId="166" fontId="108" fillId="43" borderId="80" xfId="1343" applyNumberFormat="1" applyFont="1" applyFill="1" applyBorder="1" applyAlignment="1">
      <alignment horizontal="center" vertical="center" wrapText="1"/>
    </xf>
    <xf numFmtId="0" fontId="176" fillId="0" borderId="132" xfId="1112" applyFont="1" applyFill="1" applyBorder="1" applyAlignment="1">
      <alignment horizontal="left" vertical="center" wrapText="1"/>
    </xf>
    <xf numFmtId="166" fontId="176" fillId="3" borderId="132" xfId="1343" applyNumberFormat="1" applyFont="1" applyFill="1" applyBorder="1" applyAlignment="1">
      <alignment horizontal="center" vertical="center" wrapText="1"/>
    </xf>
    <xf numFmtId="166" fontId="176" fillId="3" borderId="80" xfId="1343" applyNumberFormat="1" applyFont="1" applyFill="1" applyBorder="1" applyAlignment="1">
      <alignment horizontal="center" vertical="center" wrapText="1"/>
    </xf>
    <xf numFmtId="166" fontId="176" fillId="3" borderId="14" xfId="1343" applyNumberFormat="1" applyFont="1" applyFill="1" applyBorder="1" applyAlignment="1">
      <alignment horizontal="center" vertical="center" wrapText="1"/>
    </xf>
    <xf numFmtId="9" fontId="176" fillId="0" borderId="80" xfId="1269" applyNumberFormat="1" applyFont="1" applyFill="1" applyBorder="1" applyAlignment="1">
      <alignment horizontal="center" vertical="center" wrapText="1"/>
    </xf>
    <xf numFmtId="9" fontId="176" fillId="0" borderId="83" xfId="1269" applyNumberFormat="1" applyFont="1" applyFill="1" applyBorder="1" applyAlignment="1">
      <alignment horizontal="center" vertical="center" wrapText="1"/>
    </xf>
    <xf numFmtId="9" fontId="176" fillId="0" borderId="80" xfId="1269" applyFont="1" applyFill="1" applyBorder="1" applyAlignment="1">
      <alignment horizontal="center" vertical="center" wrapText="1"/>
    </xf>
    <xf numFmtId="9" fontId="176" fillId="0" borderId="83" xfId="1269" applyFont="1" applyFill="1" applyBorder="1" applyAlignment="1">
      <alignment horizontal="center" vertical="center" wrapText="1"/>
    </xf>
    <xf numFmtId="166" fontId="176" fillId="0" borderId="132" xfId="1343" applyNumberFormat="1" applyFont="1" applyFill="1" applyBorder="1" applyAlignment="1">
      <alignment horizontal="center" vertical="center" wrapText="1"/>
    </xf>
    <xf numFmtId="166" fontId="176" fillId="0" borderId="14" xfId="1343" applyNumberFormat="1" applyFont="1" applyFill="1" applyBorder="1" applyAlignment="1">
      <alignment horizontal="center" vertical="center" wrapText="1"/>
    </xf>
    <xf numFmtId="166" fontId="176" fillId="0" borderId="63" xfId="1343" applyNumberFormat="1" applyFont="1" applyFill="1" applyBorder="1" applyAlignment="1">
      <alignment horizontal="center" vertical="center" wrapText="1"/>
    </xf>
    <xf numFmtId="166" fontId="176" fillId="0" borderId="80" xfId="1343" applyNumberFormat="1" applyFont="1" applyFill="1" applyBorder="1" applyAlignment="1">
      <alignment horizontal="center" vertical="center" wrapText="1"/>
    </xf>
    <xf numFmtId="166" fontId="186" fillId="0" borderId="0" xfId="1112" applyNumberFormat="1" applyFont="1"/>
    <xf numFmtId="0" fontId="182" fillId="0" borderId="132" xfId="1112" applyFont="1" applyFill="1" applyBorder="1" applyAlignment="1">
      <alignment vertical="center" wrapText="1"/>
    </xf>
    <xf numFmtId="0" fontId="182" fillId="0" borderId="62" xfId="1112" applyFont="1" applyFill="1" applyBorder="1" applyAlignment="1">
      <alignment vertical="center" wrapText="1"/>
    </xf>
    <xf numFmtId="0" fontId="182" fillId="0" borderId="119" xfId="1112" applyFont="1" applyFill="1" applyBorder="1" applyAlignment="1">
      <alignment vertical="center" wrapText="1"/>
    </xf>
    <xf numFmtId="165" fontId="174" fillId="0" borderId="0" xfId="1112" applyNumberFormat="1" applyFont="1"/>
    <xf numFmtId="166" fontId="176" fillId="3" borderId="14" xfId="1348" applyNumberFormat="1" applyFont="1" applyFill="1" applyBorder="1" applyAlignment="1">
      <alignment horizontal="center" vertical="center" wrapText="1"/>
    </xf>
    <xf numFmtId="166" fontId="108" fillId="0" borderId="14" xfId="1348" applyNumberFormat="1" applyFont="1" applyFill="1" applyBorder="1" applyAlignment="1">
      <alignment horizontal="center" vertical="center" wrapText="1"/>
    </xf>
    <xf numFmtId="166" fontId="108" fillId="0" borderId="80" xfId="1348" applyNumberFormat="1" applyFont="1" applyFill="1" applyBorder="1" applyAlignment="1">
      <alignment horizontal="center" vertical="center" wrapText="1"/>
    </xf>
    <xf numFmtId="0" fontId="176" fillId="0" borderId="133" xfId="1112" applyFont="1" applyFill="1" applyBorder="1" applyAlignment="1">
      <alignment horizontal="left" vertical="center" wrapText="1"/>
    </xf>
    <xf numFmtId="166" fontId="176" fillId="3" borderId="133" xfId="1343" applyNumberFormat="1" applyFont="1" applyFill="1" applyBorder="1" applyAlignment="1">
      <alignment horizontal="center" vertical="center" wrapText="1"/>
    </xf>
    <xf numFmtId="166" fontId="176" fillId="3" borderId="81" xfId="1343" applyNumberFormat="1" applyFont="1" applyFill="1" applyBorder="1" applyAlignment="1">
      <alignment horizontal="center" vertical="center" wrapText="1"/>
    </xf>
    <xf numFmtId="166" fontId="176" fillId="3" borderId="39" xfId="1343" applyNumberFormat="1" applyFont="1" applyFill="1" applyBorder="1" applyAlignment="1">
      <alignment horizontal="center" vertical="center" wrapText="1"/>
    </xf>
    <xf numFmtId="9" fontId="176" fillId="0" borderId="81" xfId="1269" applyNumberFormat="1" applyFont="1" applyFill="1" applyBorder="1" applyAlignment="1">
      <alignment horizontal="center" vertical="center" wrapText="1"/>
    </xf>
    <xf numFmtId="9" fontId="176" fillId="0" borderId="82" xfId="1269" applyNumberFormat="1" applyFont="1" applyFill="1" applyBorder="1" applyAlignment="1">
      <alignment horizontal="center" vertical="center" wrapText="1"/>
    </xf>
    <xf numFmtId="166" fontId="176" fillId="3" borderId="39" xfId="1348" applyNumberFormat="1" applyFont="1" applyFill="1" applyBorder="1" applyAlignment="1">
      <alignment horizontal="center" vertical="center" wrapText="1"/>
    </xf>
    <xf numFmtId="9" fontId="176" fillId="0" borderId="81" xfId="1269" applyFont="1" applyFill="1" applyBorder="1" applyAlignment="1">
      <alignment horizontal="center" vertical="center" wrapText="1"/>
    </xf>
    <xf numFmtId="9" fontId="176" fillId="0" borderId="82" xfId="1269" applyFont="1" applyFill="1" applyBorder="1" applyAlignment="1">
      <alignment horizontal="center" vertical="center" wrapText="1"/>
    </xf>
    <xf numFmtId="3" fontId="176" fillId="32" borderId="24" xfId="1112" applyNumberFormat="1" applyFont="1" applyFill="1" applyBorder="1" applyAlignment="1">
      <alignment horizontal="center" vertical="center" wrapText="1"/>
    </xf>
    <xf numFmtId="1" fontId="176" fillId="32" borderId="20" xfId="1112" applyNumberFormat="1" applyFont="1" applyFill="1" applyBorder="1" applyAlignment="1">
      <alignment horizontal="center" vertical="center" wrapText="1"/>
    </xf>
    <xf numFmtId="1" fontId="176" fillId="32" borderId="21" xfId="1112" applyNumberFormat="1" applyFont="1" applyFill="1" applyBorder="1" applyAlignment="1">
      <alignment horizontal="center" vertical="center" wrapText="1"/>
    </xf>
    <xf numFmtId="1" fontId="176" fillId="32" borderId="25" xfId="1112" applyNumberFormat="1" applyFont="1" applyFill="1" applyBorder="1" applyAlignment="1">
      <alignment horizontal="center" vertical="center" wrapText="1"/>
    </xf>
    <xf numFmtId="9" fontId="176" fillId="0" borderId="20" xfId="1269" applyNumberFormat="1" applyFont="1" applyFill="1" applyBorder="1" applyAlignment="1">
      <alignment horizontal="center" vertical="center" wrapText="1"/>
    </xf>
    <xf numFmtId="0" fontId="184" fillId="32" borderId="21" xfId="1112" applyFont="1" applyFill="1" applyBorder="1" applyAlignment="1">
      <alignment horizontal="center" vertical="center" wrapText="1"/>
    </xf>
    <xf numFmtId="166" fontId="176" fillId="32" borderId="25" xfId="1343" applyNumberFormat="1" applyFont="1" applyFill="1" applyBorder="1" applyAlignment="1">
      <alignment horizontal="center" vertical="center" wrapText="1"/>
    </xf>
    <xf numFmtId="0" fontId="189" fillId="0" borderId="0" xfId="1112" applyFont="1"/>
    <xf numFmtId="0" fontId="176" fillId="0" borderId="53" xfId="1112" applyFont="1" applyFill="1" applyBorder="1" applyAlignment="1">
      <alignment horizontal="left" vertical="center" wrapText="1"/>
    </xf>
    <xf numFmtId="0" fontId="176" fillId="0" borderId="24" xfId="1112" applyFont="1" applyFill="1" applyBorder="1" applyAlignment="1">
      <alignment horizontal="center" vertical="center" wrapText="1"/>
    </xf>
    <xf numFmtId="0" fontId="176" fillId="0" borderId="138" xfId="1112" applyFont="1" applyFill="1" applyBorder="1" applyAlignment="1">
      <alignment horizontal="center" vertical="center" wrapText="1"/>
    </xf>
    <xf numFmtId="3" fontId="175" fillId="45" borderId="130" xfId="1112" applyNumberFormat="1" applyFont="1" applyFill="1" applyBorder="1" applyAlignment="1">
      <alignment horizontal="center" vertical="center" wrapText="1"/>
    </xf>
    <xf numFmtId="209" fontId="175" fillId="45" borderId="136" xfId="1112" applyNumberFormat="1" applyFont="1" applyFill="1" applyBorder="1" applyAlignment="1">
      <alignment horizontal="center" vertical="center" wrapText="1"/>
    </xf>
    <xf numFmtId="166" fontId="175" fillId="45" borderId="25" xfId="1112" applyNumberFormat="1" applyFont="1" applyFill="1" applyBorder="1" applyAlignment="1">
      <alignment horizontal="center" vertical="center" wrapText="1"/>
    </xf>
    <xf numFmtId="166" fontId="175" fillId="45" borderId="21" xfId="1112" applyNumberFormat="1" applyFont="1" applyFill="1" applyBorder="1" applyAlignment="1">
      <alignment horizontal="center" vertical="center" wrapText="1"/>
    </xf>
    <xf numFmtId="166" fontId="175" fillId="45" borderId="81" xfId="1343" applyNumberFormat="1" applyFont="1" applyFill="1" applyBorder="1" applyAlignment="1">
      <alignment horizontal="center" vertical="center" wrapText="1"/>
    </xf>
    <xf numFmtId="166" fontId="175" fillId="45" borderId="39" xfId="1343" applyNumberFormat="1" applyFont="1" applyFill="1" applyBorder="1" applyAlignment="1">
      <alignment horizontal="center" vertical="center" wrapText="1"/>
    </xf>
    <xf numFmtId="166" fontId="175" fillId="45" borderId="116" xfId="1343" applyNumberFormat="1" applyFont="1" applyFill="1" applyBorder="1" applyAlignment="1">
      <alignment horizontal="center" vertical="center" wrapText="1"/>
    </xf>
    <xf numFmtId="0" fontId="177" fillId="0" borderId="0" xfId="1112" applyFont="1" applyFill="1"/>
    <xf numFmtId="0" fontId="189" fillId="0" borderId="0" xfId="1112" applyFont="1" applyFill="1"/>
    <xf numFmtId="166" fontId="175" fillId="45" borderId="136" xfId="1112" applyNumberFormat="1" applyFont="1" applyFill="1" applyBorder="1" applyAlignment="1">
      <alignment horizontal="center" vertical="center" wrapText="1"/>
    </xf>
    <xf numFmtId="166" fontId="175" fillId="45" borderId="20" xfId="1343" applyNumberFormat="1" applyFont="1" applyFill="1" applyBorder="1" applyAlignment="1">
      <alignment horizontal="center" vertical="center" wrapText="1"/>
    </xf>
    <xf numFmtId="166" fontId="175" fillId="45" borderId="21" xfId="1343" applyNumberFormat="1" applyFont="1" applyFill="1" applyBorder="1" applyAlignment="1">
      <alignment horizontal="center" vertical="center" wrapText="1"/>
    </xf>
    <xf numFmtId="166" fontId="175" fillId="45" borderId="25" xfId="1343" applyNumberFormat="1" applyFont="1" applyFill="1" applyBorder="1" applyAlignment="1">
      <alignment horizontal="center" vertical="center" wrapText="1"/>
    </xf>
    <xf numFmtId="0" fontId="182" fillId="0" borderId="131" xfId="1112" applyFont="1" applyFill="1" applyBorder="1" applyAlignment="1">
      <alignment vertical="center" wrapText="1"/>
    </xf>
    <xf numFmtId="0" fontId="182" fillId="0" borderId="134" xfId="1112" applyFont="1" applyFill="1" applyBorder="1" applyAlignment="1">
      <alignment vertical="center" wrapText="1"/>
    </xf>
    <xf numFmtId="0" fontId="182" fillId="0" borderId="139" xfId="1112" applyFont="1" applyFill="1" applyBorder="1" applyAlignment="1">
      <alignment vertical="center" wrapText="1"/>
    </xf>
    <xf numFmtId="0" fontId="190" fillId="0" borderId="0" xfId="1112" applyFont="1"/>
    <xf numFmtId="0" fontId="108" fillId="0" borderId="61" xfId="1112" applyFont="1" applyFill="1" applyBorder="1" applyAlignment="1">
      <alignment horizontal="right" vertical="center" wrapText="1"/>
    </xf>
    <xf numFmtId="3" fontId="108" fillId="0" borderId="62" xfId="1112" applyNumberFormat="1" applyFont="1" applyFill="1" applyBorder="1" applyAlignment="1">
      <alignment horizontal="right" vertical="center" wrapText="1"/>
    </xf>
    <xf numFmtId="166" fontId="108" fillId="0" borderId="80" xfId="1112" applyNumberFormat="1" applyFont="1" applyFill="1" applyBorder="1" applyAlignment="1">
      <alignment horizontal="center" vertical="center" wrapText="1"/>
    </xf>
    <xf numFmtId="166" fontId="108" fillId="0" borderId="14" xfId="1112" applyNumberFormat="1" applyFont="1" applyFill="1" applyBorder="1" applyAlignment="1">
      <alignment horizontal="center" vertical="center" wrapText="1"/>
    </xf>
    <xf numFmtId="166" fontId="108" fillId="0" borderId="64" xfId="1112" applyNumberFormat="1" applyFont="1" applyFill="1" applyBorder="1" applyAlignment="1">
      <alignment horizontal="center" vertical="center" wrapText="1"/>
    </xf>
    <xf numFmtId="166" fontId="108" fillId="0" borderId="64" xfId="1112" applyNumberFormat="1" applyFont="1" applyFill="1" applyBorder="1" applyAlignment="1">
      <alignment vertical="center" wrapText="1"/>
    </xf>
    <xf numFmtId="166" fontId="108" fillId="0" borderId="14" xfId="1112" applyNumberFormat="1" applyFont="1" applyFill="1" applyBorder="1" applyAlignment="1">
      <alignment vertical="center" wrapText="1"/>
    </xf>
    <xf numFmtId="1" fontId="108" fillId="0" borderId="62" xfId="1112" applyNumberFormat="1" applyFont="1" applyFill="1" applyBorder="1" applyAlignment="1">
      <alignment horizontal="right" vertical="center" wrapText="1"/>
    </xf>
    <xf numFmtId="0" fontId="108" fillId="0" borderId="123" xfId="1112" applyFont="1" applyFill="1" applyBorder="1" applyAlignment="1">
      <alignment horizontal="center" vertical="center" wrapText="1"/>
    </xf>
    <xf numFmtId="0" fontId="108" fillId="0" borderId="140" xfId="1112" applyFont="1" applyFill="1" applyBorder="1" applyAlignment="1">
      <alignment horizontal="center" vertical="center" wrapText="1"/>
    </xf>
    <xf numFmtId="0" fontId="108" fillId="0" borderId="19" xfId="1112" applyFont="1" applyFill="1" applyBorder="1" applyAlignment="1">
      <alignment horizontal="center" vertical="center" wrapText="1"/>
    </xf>
    <xf numFmtId="166" fontId="108" fillId="0" borderId="140" xfId="1112" applyNumberFormat="1" applyFont="1" applyFill="1" applyBorder="1" applyAlignment="1">
      <alignment horizontal="center" vertical="center" wrapText="1"/>
    </xf>
    <xf numFmtId="166" fontId="108" fillId="0" borderId="18" xfId="1112" applyNumberFormat="1" applyFont="1" applyFill="1" applyBorder="1" applyAlignment="1">
      <alignment horizontal="center" vertical="center" wrapText="1"/>
    </xf>
    <xf numFmtId="0" fontId="190" fillId="0" borderId="0" xfId="1112" applyFont="1" applyAlignment="1">
      <alignment horizontal="left"/>
    </xf>
    <xf numFmtId="0" fontId="174" fillId="0" borderId="0" xfId="1112" applyFont="1" applyAlignment="1">
      <alignment horizontal="center" vertical="center" wrapText="1"/>
    </xf>
    <xf numFmtId="0" fontId="174" fillId="0" borderId="0" xfId="1112" applyFont="1" applyFill="1" applyAlignment="1">
      <alignment horizontal="center" vertical="center" wrapText="1"/>
    </xf>
    <xf numFmtId="3" fontId="173" fillId="0" borderId="62" xfId="1112" applyNumberFormat="1" applyFont="1" applyFill="1" applyBorder="1" applyAlignment="1">
      <alignment horizontal="right" vertical="center" wrapText="1"/>
    </xf>
    <xf numFmtId="166" fontId="173" fillId="0" borderId="14" xfId="1112" applyNumberFormat="1" applyFont="1" applyFill="1" applyBorder="1" applyAlignment="1">
      <alignment horizontal="center" vertical="center" wrapText="1"/>
    </xf>
    <xf numFmtId="166" fontId="173" fillId="0" borderId="64" xfId="1112" applyNumberFormat="1" applyFont="1" applyFill="1" applyBorder="1" applyAlignment="1">
      <alignment horizontal="center" vertical="center" wrapText="1"/>
    </xf>
    <xf numFmtId="9" fontId="184" fillId="0" borderId="80" xfId="1269" applyNumberFormat="1" applyFont="1" applyFill="1" applyBorder="1" applyAlignment="1">
      <alignment horizontal="center" vertical="center" wrapText="1"/>
    </xf>
    <xf numFmtId="9" fontId="184" fillId="0" borderId="83" xfId="1269" applyNumberFormat="1" applyFont="1" applyFill="1" applyBorder="1" applyAlignment="1">
      <alignment horizontal="center" vertical="center" wrapText="1"/>
    </xf>
    <xf numFmtId="9" fontId="184" fillId="0" borderId="80" xfId="1269" applyFont="1" applyFill="1" applyBorder="1" applyAlignment="1">
      <alignment horizontal="center" vertical="center" wrapText="1"/>
    </xf>
    <xf numFmtId="9" fontId="184" fillId="0" borderId="83" xfId="1269" applyFont="1" applyFill="1" applyBorder="1" applyAlignment="1">
      <alignment horizontal="center" vertical="center" wrapText="1"/>
    </xf>
    <xf numFmtId="166" fontId="184" fillId="0" borderId="80" xfId="1343" applyNumberFormat="1" applyFont="1" applyFill="1" applyBorder="1" applyAlignment="1">
      <alignment horizontal="center" vertical="center" wrapText="1"/>
    </xf>
    <xf numFmtId="166" fontId="184" fillId="0" borderId="14" xfId="1343" applyNumberFormat="1" applyFont="1" applyFill="1" applyBorder="1" applyAlignment="1">
      <alignment horizontal="center" vertical="center" wrapText="1"/>
    </xf>
    <xf numFmtId="166" fontId="184" fillId="0" borderId="64" xfId="1343" applyNumberFormat="1" applyFont="1" applyFill="1" applyBorder="1" applyAlignment="1">
      <alignment horizontal="center" vertical="center" wrapText="1"/>
    </xf>
    <xf numFmtId="3" fontId="173" fillId="0" borderId="66" xfId="1112" applyNumberFormat="1" applyFont="1" applyFill="1" applyBorder="1" applyAlignment="1">
      <alignment horizontal="right" vertical="center" wrapText="1"/>
    </xf>
    <xf numFmtId="166" fontId="173" fillId="0" borderId="81" xfId="1112" applyNumberFormat="1" applyFont="1" applyFill="1" applyBorder="1" applyAlignment="1">
      <alignment horizontal="center" vertical="center" wrapText="1"/>
    </xf>
    <xf numFmtId="166" fontId="173" fillId="0" borderId="39" xfId="1112" applyNumberFormat="1" applyFont="1" applyFill="1" applyBorder="1" applyAlignment="1">
      <alignment horizontal="center" vertical="center" wrapText="1"/>
    </xf>
    <xf numFmtId="166" fontId="173" fillId="0" borderId="83" xfId="1112" applyNumberFormat="1" applyFont="1" applyFill="1" applyBorder="1" applyAlignment="1">
      <alignment horizontal="center" vertical="center" wrapText="1"/>
    </xf>
    <xf numFmtId="9" fontId="184" fillId="0" borderId="82" xfId="1269" applyNumberFormat="1" applyFont="1" applyFill="1" applyBorder="1" applyAlignment="1">
      <alignment horizontal="center" vertical="center" wrapText="1"/>
    </xf>
    <xf numFmtId="166" fontId="108" fillId="0" borderId="83" xfId="1112" applyNumberFormat="1" applyFont="1" applyFill="1" applyBorder="1" applyAlignment="1">
      <alignment vertical="center" wrapText="1"/>
    </xf>
    <xf numFmtId="9" fontId="184" fillId="0" borderId="81" xfId="1269" applyFont="1" applyFill="1" applyBorder="1" applyAlignment="1">
      <alignment horizontal="center" vertical="center" wrapText="1"/>
    </xf>
    <xf numFmtId="166" fontId="108" fillId="0" borderId="116" xfId="1112" applyNumberFormat="1" applyFont="1" applyFill="1" applyBorder="1" applyAlignment="1">
      <alignment vertical="center" wrapText="1"/>
    </xf>
    <xf numFmtId="166" fontId="108" fillId="0" borderId="39" xfId="1112" applyNumberFormat="1" applyFont="1" applyFill="1" applyBorder="1" applyAlignment="1">
      <alignment vertical="center" wrapText="1"/>
    </xf>
    <xf numFmtId="9" fontId="184" fillId="0" borderId="82" xfId="1269" applyFont="1" applyFill="1" applyBorder="1" applyAlignment="1">
      <alignment horizontal="center" vertical="center" wrapText="1"/>
    </xf>
    <xf numFmtId="166" fontId="184" fillId="0" borderId="116" xfId="1343" applyNumberFormat="1" applyFont="1" applyFill="1" applyBorder="1" applyAlignment="1">
      <alignment horizontal="center" vertical="center" wrapText="1"/>
    </xf>
    <xf numFmtId="3" fontId="173" fillId="0" borderId="70" xfId="1112" applyNumberFormat="1" applyFont="1" applyFill="1" applyBorder="1" applyAlignment="1">
      <alignment horizontal="right" vertical="center" wrapText="1"/>
    </xf>
    <xf numFmtId="166" fontId="173" fillId="0" borderId="123" xfId="1112" applyNumberFormat="1" applyFont="1" applyFill="1" applyBorder="1" applyAlignment="1">
      <alignment horizontal="center" vertical="center" wrapText="1"/>
    </xf>
    <xf numFmtId="166" fontId="173" fillId="0" borderId="18" xfId="1112" applyNumberFormat="1" applyFont="1" applyFill="1" applyBorder="1" applyAlignment="1">
      <alignment horizontal="center" vertical="center" wrapText="1"/>
    </xf>
    <xf numFmtId="166" fontId="173" fillId="0" borderId="74" xfId="1112" applyNumberFormat="1" applyFont="1" applyFill="1" applyBorder="1" applyAlignment="1">
      <alignment horizontal="center" vertical="center" wrapText="1"/>
    </xf>
    <xf numFmtId="9" fontId="184" fillId="0" borderId="84" xfId="1269" applyNumberFormat="1" applyFont="1" applyFill="1" applyBorder="1" applyAlignment="1">
      <alignment horizontal="center" vertical="center" wrapText="1"/>
    </xf>
    <xf numFmtId="9" fontId="184" fillId="0" borderId="19" xfId="1269" applyNumberFormat="1" applyFont="1" applyFill="1" applyBorder="1" applyAlignment="1">
      <alignment horizontal="center" vertical="center" wrapText="1"/>
    </xf>
    <xf numFmtId="210" fontId="108" fillId="0" borderId="74" xfId="1112" applyNumberFormat="1" applyFont="1" applyFill="1" applyBorder="1" applyAlignment="1">
      <alignment vertical="center" wrapText="1"/>
    </xf>
    <xf numFmtId="166" fontId="108" fillId="0" borderId="18" xfId="1112" applyNumberFormat="1" applyFont="1" applyFill="1" applyBorder="1" applyAlignment="1">
      <alignment vertical="center" wrapText="1"/>
    </xf>
    <xf numFmtId="9" fontId="184" fillId="0" borderId="123" xfId="1269" applyFont="1" applyFill="1" applyBorder="1" applyAlignment="1">
      <alignment horizontal="center" vertical="center" wrapText="1"/>
    </xf>
    <xf numFmtId="9" fontId="184" fillId="0" borderId="86" xfId="1269" applyFont="1" applyFill="1" applyBorder="1" applyAlignment="1">
      <alignment horizontal="center" vertical="center" wrapText="1"/>
    </xf>
    <xf numFmtId="210" fontId="108" fillId="0" borderId="19" xfId="1112" applyNumberFormat="1" applyFont="1" applyFill="1" applyBorder="1" applyAlignment="1">
      <alignment vertical="center" wrapText="1"/>
    </xf>
    <xf numFmtId="9" fontId="184" fillId="0" borderId="19" xfId="1269" applyFont="1" applyFill="1" applyBorder="1" applyAlignment="1">
      <alignment horizontal="center" vertical="center" wrapText="1"/>
    </xf>
    <xf numFmtId="9" fontId="184" fillId="0" borderId="84" xfId="1269" applyFont="1" applyFill="1" applyBorder="1" applyAlignment="1">
      <alignment horizontal="center" vertical="center" wrapText="1"/>
    </xf>
    <xf numFmtId="166" fontId="108" fillId="0" borderId="19" xfId="1112" applyNumberFormat="1" applyFont="1" applyFill="1" applyBorder="1" applyAlignment="1">
      <alignment vertical="center" wrapText="1"/>
    </xf>
    <xf numFmtId="166" fontId="108" fillId="0" borderId="54" xfId="1112" applyNumberFormat="1" applyFont="1" applyFill="1" applyBorder="1" applyAlignment="1">
      <alignment vertical="center" wrapText="1"/>
    </xf>
    <xf numFmtId="166" fontId="108" fillId="0" borderId="74" xfId="1112" applyNumberFormat="1" applyFont="1" applyFill="1" applyBorder="1" applyAlignment="1">
      <alignment vertical="center" wrapText="1"/>
    </xf>
    <xf numFmtId="166" fontId="184" fillId="0" borderId="84" xfId="1343" applyNumberFormat="1" applyFont="1" applyFill="1" applyBorder="1" applyAlignment="1">
      <alignment horizontal="center" vertical="center" wrapText="1"/>
    </xf>
    <xf numFmtId="166" fontId="184" fillId="0" borderId="54" xfId="1343" applyNumberFormat="1" applyFont="1" applyFill="1" applyBorder="1" applyAlignment="1">
      <alignment horizontal="center" vertical="center" wrapText="1"/>
    </xf>
    <xf numFmtId="166" fontId="184" fillId="0" borderId="19" xfId="1343" applyNumberFormat="1" applyFont="1" applyFill="1" applyBorder="1" applyAlignment="1">
      <alignment horizontal="center" vertical="center" wrapText="1"/>
    </xf>
    <xf numFmtId="9" fontId="176" fillId="0" borderId="123" xfId="1269" applyFont="1" applyFill="1" applyBorder="1" applyAlignment="1">
      <alignment horizontal="center" vertical="center" wrapText="1"/>
    </xf>
    <xf numFmtId="9" fontId="176" fillId="0" borderId="19" xfId="1269" applyFont="1" applyFill="1" applyBorder="1" applyAlignment="1">
      <alignment horizontal="center" vertical="center" wrapText="1"/>
    </xf>
    <xf numFmtId="0" fontId="290" fillId="0" borderId="0" xfId="1112" applyAlignment="1">
      <alignment horizontal="left"/>
    </xf>
    <xf numFmtId="0" fontId="290" fillId="0" borderId="0" xfId="1112" applyFill="1"/>
    <xf numFmtId="166" fontId="290" fillId="0" borderId="0" xfId="1112" applyNumberFormat="1"/>
    <xf numFmtId="0" fontId="190" fillId="0" borderId="0" xfId="1112" applyFont="1" applyFill="1"/>
    <xf numFmtId="0" fontId="175" fillId="48" borderId="130" xfId="1112" applyFont="1" applyFill="1" applyBorder="1" applyAlignment="1">
      <alignment horizontal="left" vertical="center" wrapText="1"/>
    </xf>
    <xf numFmtId="3" fontId="175" fillId="48" borderId="130" xfId="1112" applyNumberFormat="1" applyFont="1" applyFill="1" applyBorder="1" applyAlignment="1">
      <alignment horizontal="center" vertical="center" wrapText="1"/>
    </xf>
    <xf numFmtId="166" fontId="175" fillId="48" borderId="136" xfId="1112" applyNumberFormat="1" applyFont="1" applyFill="1" applyBorder="1" applyAlignment="1">
      <alignment horizontal="center" vertical="center" wrapText="1"/>
    </xf>
    <xf numFmtId="166" fontId="175" fillId="48" borderId="21" xfId="1112" applyNumberFormat="1" applyFont="1" applyFill="1" applyBorder="1" applyAlignment="1">
      <alignment horizontal="center" vertical="center" wrapText="1"/>
    </xf>
    <xf numFmtId="166" fontId="175" fillId="48" borderId="25" xfId="1112" applyNumberFormat="1" applyFont="1" applyFill="1" applyBorder="1" applyAlignment="1">
      <alignment horizontal="center" vertical="center" wrapText="1"/>
    </xf>
    <xf numFmtId="166" fontId="175" fillId="48" borderId="20" xfId="1343" applyNumberFormat="1" applyFont="1" applyFill="1" applyBorder="1" applyAlignment="1">
      <alignment horizontal="center" vertical="center" wrapText="1"/>
    </xf>
    <xf numFmtId="166" fontId="175" fillId="48" borderId="21" xfId="1343" applyNumberFormat="1" applyFont="1" applyFill="1" applyBorder="1" applyAlignment="1">
      <alignment horizontal="center" vertical="center" wrapText="1"/>
    </xf>
    <xf numFmtId="166" fontId="175" fillId="48" borderId="25" xfId="1343" applyNumberFormat="1" applyFont="1" applyFill="1" applyBorder="1" applyAlignment="1">
      <alignment horizontal="center" vertical="center" wrapText="1"/>
    </xf>
    <xf numFmtId="9" fontId="184" fillId="0" borderId="81" xfId="1269" applyNumberFormat="1" applyFont="1" applyFill="1" applyBorder="1" applyAlignment="1">
      <alignment horizontal="center" vertical="center" wrapText="1"/>
    </xf>
    <xf numFmtId="166" fontId="184" fillId="0" borderId="39" xfId="1343" applyNumberFormat="1" applyFont="1" applyFill="1" applyBorder="1" applyAlignment="1">
      <alignment horizontal="center" vertical="center" wrapText="1"/>
    </xf>
    <xf numFmtId="166" fontId="173" fillId="0" borderId="54" xfId="1112" applyNumberFormat="1" applyFont="1" applyFill="1" applyBorder="1" applyAlignment="1">
      <alignment horizontal="center" vertical="center" wrapText="1"/>
    </xf>
    <xf numFmtId="9" fontId="184" fillId="0" borderId="123" xfId="1269" applyNumberFormat="1" applyFont="1" applyFill="1" applyBorder="1" applyAlignment="1">
      <alignment horizontal="center" vertical="center" wrapText="1"/>
    </xf>
    <xf numFmtId="9" fontId="184" fillId="0" borderId="86" xfId="1269" applyNumberFormat="1" applyFont="1" applyFill="1" applyBorder="1" applyAlignment="1">
      <alignment horizontal="center" vertical="center" wrapText="1"/>
    </xf>
    <xf numFmtId="211" fontId="108" fillId="0" borderId="140" xfId="1112" applyNumberFormat="1" applyFont="1" applyFill="1" applyBorder="1" applyAlignment="1">
      <alignment vertical="center" wrapText="1"/>
    </xf>
    <xf numFmtId="211" fontId="108" fillId="0" borderId="19" xfId="1112" applyNumberFormat="1" applyFont="1" applyFill="1" applyBorder="1" applyAlignment="1">
      <alignment vertical="center" wrapText="1"/>
    </xf>
    <xf numFmtId="211" fontId="108" fillId="0" borderId="74" xfId="1112" applyNumberFormat="1" applyFont="1" applyFill="1" applyBorder="1" applyAlignment="1">
      <alignment vertical="center" wrapText="1"/>
    </xf>
    <xf numFmtId="166" fontId="184" fillId="0" borderId="18" xfId="1343" applyNumberFormat="1" applyFont="1" applyFill="1" applyBorder="1" applyAlignment="1">
      <alignment horizontal="center" vertical="center" wrapText="1"/>
    </xf>
    <xf numFmtId="9" fontId="176" fillId="0" borderId="86" xfId="1269" applyFont="1" applyFill="1" applyBorder="1" applyAlignment="1">
      <alignment horizontal="center" vertical="center" wrapText="1"/>
    </xf>
    <xf numFmtId="209" fontId="290" fillId="0" borderId="0" xfId="1112" applyNumberFormat="1"/>
    <xf numFmtId="0" fontId="260" fillId="0" borderId="0" xfId="1112" applyFont="1" applyAlignment="1">
      <alignment horizontal="left"/>
    </xf>
    <xf numFmtId="0" fontId="260" fillId="0" borderId="0" xfId="1112" applyFont="1"/>
    <xf numFmtId="166" fontId="260" fillId="0" borderId="0" xfId="1112" applyNumberFormat="1" applyFont="1"/>
    <xf numFmtId="0" fontId="290" fillId="0" borderId="0" xfId="1112" applyAlignment="1">
      <alignment horizontal="right"/>
    </xf>
    <xf numFmtId="209" fontId="290" fillId="0" borderId="0" xfId="1112" applyNumberFormat="1" applyAlignment="1">
      <alignment horizontal="right"/>
    </xf>
    <xf numFmtId="0" fontId="290" fillId="0" borderId="0" xfId="1112" applyFill="1" applyAlignment="1">
      <alignment horizontal="right"/>
    </xf>
    <xf numFmtId="165" fontId="290" fillId="0" borderId="0" xfId="1112" applyNumberFormat="1"/>
    <xf numFmtId="212" fontId="290" fillId="0" borderId="0" xfId="1112" applyNumberFormat="1"/>
    <xf numFmtId="14" fontId="290" fillId="0" borderId="0" xfId="1112" applyNumberFormat="1" applyAlignment="1">
      <alignment horizontal="left"/>
    </xf>
    <xf numFmtId="166" fontId="290" fillId="0" borderId="0" xfId="1112" applyNumberFormat="1" applyAlignment="1">
      <alignment horizontal="right"/>
    </xf>
    <xf numFmtId="174" fontId="290" fillId="0" borderId="0" xfId="1112" applyNumberFormat="1"/>
    <xf numFmtId="0" fontId="62" fillId="0" borderId="0" xfId="1112" applyFont="1" applyAlignment="1"/>
    <xf numFmtId="0" fontId="62" fillId="0" borderId="0" xfId="1112" applyFont="1"/>
    <xf numFmtId="17" fontId="62" fillId="0" borderId="0" xfId="1112" applyNumberFormat="1" applyFont="1"/>
    <xf numFmtId="0" fontId="108" fillId="0" borderId="0" xfId="1112" applyFont="1" applyFill="1" applyAlignment="1">
      <alignment horizontal="right" vertical="center"/>
    </xf>
    <xf numFmtId="0" fontId="173" fillId="0" borderId="0" xfId="1112" applyFont="1" applyAlignment="1">
      <alignment horizontal="right" vertical="center" wrapText="1"/>
    </xf>
    <xf numFmtId="0" fontId="173" fillId="0" borderId="0" xfId="1112" applyFont="1" applyAlignment="1">
      <alignment wrapText="1"/>
    </xf>
    <xf numFmtId="0" fontId="290" fillId="0" borderId="0" xfId="1112" applyAlignment="1">
      <alignment wrapText="1"/>
    </xf>
    <xf numFmtId="0" fontId="173" fillId="0" borderId="13" xfId="1112" applyFont="1" applyBorder="1" applyAlignment="1">
      <alignment horizontal="center" vertical="center" wrapText="1"/>
    </xf>
    <xf numFmtId="0" fontId="173" fillId="0" borderId="40" xfId="1112" applyFont="1" applyBorder="1" applyAlignment="1">
      <alignment horizontal="center" vertical="center" wrapText="1"/>
    </xf>
    <xf numFmtId="0" fontId="173" fillId="0" borderId="42" xfId="1112" applyFont="1" applyBorder="1" applyAlignment="1">
      <alignment horizontal="center" vertical="center" wrapText="1"/>
    </xf>
    <xf numFmtId="0" fontId="173" fillId="0" borderId="39" xfId="1112" applyFont="1" applyBorder="1" applyAlignment="1">
      <alignment horizontal="center" vertical="center" wrapText="1"/>
    </xf>
    <xf numFmtId="213" fontId="184" fillId="0" borderId="16" xfId="1112" applyNumberFormat="1" applyFont="1" applyBorder="1" applyAlignment="1">
      <alignment horizontal="center" vertical="center" wrapText="1"/>
    </xf>
    <xf numFmtId="166" fontId="108" fillId="0" borderId="77" xfId="1343" applyNumberFormat="1" applyFont="1" applyBorder="1" applyAlignment="1">
      <alignment horizontal="center" vertical="center"/>
    </xf>
    <xf numFmtId="166" fontId="173" fillId="3" borderId="77" xfId="1343" applyNumberFormat="1" applyFont="1" applyFill="1" applyBorder="1" applyAlignment="1">
      <alignment horizontal="center" vertical="center"/>
    </xf>
    <xf numFmtId="9" fontId="173" fillId="0" borderId="77" xfId="1269" applyNumberFormat="1" applyFont="1" applyFill="1" applyBorder="1" applyAlignment="1">
      <alignment horizontal="center" vertical="center"/>
    </xf>
    <xf numFmtId="166" fontId="173" fillId="3" borderId="77" xfId="1345" applyNumberFormat="1" applyFont="1" applyFill="1" applyBorder="1" applyAlignment="1">
      <alignment horizontal="center" vertical="center"/>
    </xf>
    <xf numFmtId="166" fontId="173" fillId="0" borderId="77" xfId="1343" applyNumberFormat="1" applyFont="1" applyBorder="1" applyAlignment="1">
      <alignment horizontal="center" vertical="center"/>
    </xf>
    <xf numFmtId="166" fontId="173" fillId="3" borderId="78" xfId="1345" applyNumberFormat="1" applyFont="1" applyFill="1" applyBorder="1" applyAlignment="1">
      <alignment horizontal="center" vertical="center"/>
    </xf>
    <xf numFmtId="213" fontId="184" fillId="0" borderId="80" xfId="1112" applyNumberFormat="1" applyFont="1" applyBorder="1" applyAlignment="1">
      <alignment horizontal="center" vertical="center" wrapText="1"/>
    </xf>
    <xf numFmtId="166" fontId="108" fillId="0" borderId="14" xfId="1343" applyNumberFormat="1" applyFont="1" applyBorder="1" applyAlignment="1">
      <alignment horizontal="center" vertical="center"/>
    </xf>
    <xf numFmtId="166" fontId="173" fillId="3" borderId="14" xfId="1343" applyNumberFormat="1" applyFont="1" applyFill="1" applyBorder="1" applyAlignment="1">
      <alignment horizontal="center" vertical="center"/>
    </xf>
    <xf numFmtId="9" fontId="173" fillId="0" borderId="14" xfId="1269" applyNumberFormat="1" applyFont="1" applyFill="1" applyBorder="1" applyAlignment="1">
      <alignment horizontal="center" vertical="center"/>
    </xf>
    <xf numFmtId="166" fontId="173" fillId="3" borderId="14" xfId="1345" applyNumberFormat="1" applyFont="1" applyFill="1" applyBorder="1" applyAlignment="1">
      <alignment horizontal="center" vertical="center"/>
    </xf>
    <xf numFmtId="9" fontId="173" fillId="0" borderId="85" xfId="1269" applyNumberFormat="1" applyFont="1" applyFill="1" applyBorder="1" applyAlignment="1">
      <alignment horizontal="center" vertical="center"/>
    </xf>
    <xf numFmtId="166" fontId="173" fillId="0" borderId="14" xfId="1343" applyNumberFormat="1" applyFont="1" applyBorder="1" applyAlignment="1">
      <alignment horizontal="center" vertical="center"/>
    </xf>
    <xf numFmtId="166" fontId="173" fillId="3" borderId="82" xfId="1345" applyNumberFormat="1" applyFont="1" applyFill="1" applyBorder="1" applyAlignment="1">
      <alignment horizontal="center" vertical="center"/>
    </xf>
    <xf numFmtId="166" fontId="108" fillId="3" borderId="14" xfId="1345" applyNumberFormat="1" applyFont="1" applyFill="1" applyBorder="1" applyAlignment="1">
      <alignment horizontal="center" vertical="center"/>
    </xf>
    <xf numFmtId="166" fontId="108" fillId="3" borderId="14" xfId="1343" applyNumberFormat="1" applyFont="1" applyFill="1" applyBorder="1" applyAlignment="1">
      <alignment horizontal="center" vertical="center"/>
    </xf>
    <xf numFmtId="166" fontId="108" fillId="3" borderId="82" xfId="1343" applyNumberFormat="1" applyFont="1" applyFill="1" applyBorder="1" applyAlignment="1">
      <alignment horizontal="center" vertical="center"/>
    </xf>
    <xf numFmtId="166" fontId="173" fillId="3" borderId="82" xfId="1343" applyNumberFormat="1" applyFont="1" applyFill="1" applyBorder="1" applyAlignment="1">
      <alignment horizontal="center" vertical="center"/>
    </xf>
    <xf numFmtId="166" fontId="173" fillId="0" borderId="39" xfId="1343" applyNumberFormat="1" applyFont="1" applyBorder="1" applyAlignment="1">
      <alignment horizontal="center" vertical="center"/>
    </xf>
    <xf numFmtId="166" fontId="108" fillId="0" borderId="39" xfId="1343" applyNumberFormat="1" applyFont="1" applyBorder="1" applyAlignment="1">
      <alignment horizontal="center" vertical="center"/>
    </xf>
    <xf numFmtId="166" fontId="173" fillId="3" borderId="39" xfId="1343" applyNumberFormat="1" applyFont="1" applyFill="1" applyBorder="1" applyAlignment="1">
      <alignment horizontal="center" vertical="center"/>
    </xf>
    <xf numFmtId="9" fontId="173" fillId="0" borderId="39" xfId="1269" applyNumberFormat="1" applyFont="1" applyFill="1" applyBorder="1" applyAlignment="1">
      <alignment horizontal="center" vertical="center"/>
    </xf>
    <xf numFmtId="166" fontId="108" fillId="3" borderId="39" xfId="1343" applyNumberFormat="1" applyFont="1" applyFill="1" applyBorder="1" applyAlignment="1">
      <alignment horizontal="center" vertical="center"/>
    </xf>
    <xf numFmtId="166" fontId="108" fillId="46" borderId="39" xfId="1343" applyNumberFormat="1" applyFont="1" applyFill="1" applyBorder="1" applyAlignment="1">
      <alignment horizontal="center" vertical="center"/>
    </xf>
    <xf numFmtId="0" fontId="173" fillId="0" borderId="20" xfId="1112" applyFont="1" applyBorder="1" applyAlignment="1">
      <alignment horizontal="center" vertical="center" wrapText="1"/>
    </xf>
    <xf numFmtId="166" fontId="173" fillId="0" borderId="21" xfId="1343" applyNumberFormat="1" applyFont="1" applyBorder="1" applyAlignment="1">
      <alignment horizontal="center" vertical="center"/>
    </xf>
    <xf numFmtId="166" fontId="173" fillId="3" borderId="21" xfId="1343" applyNumberFormat="1" applyFont="1" applyFill="1" applyBorder="1" applyAlignment="1">
      <alignment horizontal="center" vertical="center"/>
    </xf>
    <xf numFmtId="9" fontId="173" fillId="0" borderId="21" xfId="1269" applyNumberFormat="1" applyFont="1" applyFill="1" applyBorder="1" applyAlignment="1">
      <alignment horizontal="center" vertical="center"/>
    </xf>
    <xf numFmtId="166" fontId="108" fillId="46" borderId="21" xfId="1343" applyNumberFormat="1" applyFont="1" applyFill="1" applyBorder="1" applyAlignment="1">
      <alignment horizontal="center" vertical="center"/>
    </xf>
    <xf numFmtId="166" fontId="173" fillId="3" borderId="22" xfId="1343" applyNumberFormat="1" applyFont="1" applyFill="1" applyBorder="1" applyAlignment="1">
      <alignment horizontal="center" vertical="center"/>
    </xf>
    <xf numFmtId="0" fontId="261" fillId="0" borderId="0" xfId="1112" applyFont="1"/>
    <xf numFmtId="214" fontId="290" fillId="0" borderId="0" xfId="1112" applyNumberFormat="1"/>
    <xf numFmtId="9" fontId="173" fillId="0" borderId="0" xfId="1269" applyNumberFormat="1" applyFont="1" applyFill="1" applyBorder="1" applyAlignment="1">
      <alignment horizontal="center" vertical="center"/>
    </xf>
    <xf numFmtId="3" fontId="290" fillId="0" borderId="0" xfId="1112" applyNumberFormat="1" applyAlignment="1">
      <alignment horizontal="right" wrapText="1"/>
    </xf>
    <xf numFmtId="9" fontId="290" fillId="0" borderId="0" xfId="1112" applyNumberFormat="1" applyAlignment="1">
      <alignment horizontal="center"/>
    </xf>
    <xf numFmtId="9" fontId="290" fillId="0" borderId="0" xfId="1112" applyNumberFormat="1" applyAlignment="1">
      <alignment horizontal="left"/>
    </xf>
    <xf numFmtId="166" fontId="192" fillId="0" borderId="77" xfId="1343" applyNumberFormat="1" applyFont="1" applyBorder="1" applyAlignment="1">
      <alignment horizontal="center" vertical="center"/>
    </xf>
    <xf numFmtId="166" fontId="173" fillId="3" borderId="42" xfId="1345" applyNumberFormat="1" applyFont="1" applyFill="1" applyBorder="1" applyAlignment="1">
      <alignment horizontal="center" vertical="center"/>
    </xf>
    <xf numFmtId="213" fontId="173" fillId="0" borderId="80" xfId="1112" applyNumberFormat="1" applyFont="1" applyBorder="1" applyAlignment="1">
      <alignment horizontal="center" vertical="center" wrapText="1"/>
    </xf>
    <xf numFmtId="166" fontId="108" fillId="46" borderId="14" xfId="1343" applyNumberFormat="1" applyFont="1" applyFill="1" applyBorder="1" applyAlignment="1">
      <alignment horizontal="center" vertical="center"/>
    </xf>
    <xf numFmtId="0" fontId="173" fillId="0" borderId="84" xfId="1112" applyFont="1" applyBorder="1" applyAlignment="1">
      <alignment horizontal="center" vertical="center" wrapText="1"/>
    </xf>
    <xf numFmtId="166" fontId="173" fillId="0" borderId="18" xfId="1343" applyNumberFormat="1" applyFont="1" applyBorder="1" applyAlignment="1">
      <alignment horizontal="center" vertical="center"/>
    </xf>
    <xf numFmtId="166" fontId="173" fillId="3" borderId="54" xfId="1343" applyNumberFormat="1" applyFont="1" applyFill="1" applyBorder="1" applyAlignment="1">
      <alignment horizontal="center" vertical="center"/>
    </xf>
    <xf numFmtId="9" fontId="173" fillId="0" borderId="54" xfId="1269" applyNumberFormat="1" applyFont="1" applyFill="1" applyBorder="1" applyAlignment="1">
      <alignment horizontal="center" vertical="center"/>
    </xf>
    <xf numFmtId="166" fontId="108" fillId="46" borderId="18" xfId="1343" applyNumberFormat="1" applyFont="1" applyFill="1" applyBorder="1" applyAlignment="1">
      <alignment horizontal="center" vertical="center"/>
    </xf>
    <xf numFmtId="166" fontId="173" fillId="3" borderId="19" xfId="1343" applyNumberFormat="1" applyFont="1" applyFill="1" applyBorder="1" applyAlignment="1">
      <alignment horizontal="center" vertical="center"/>
    </xf>
    <xf numFmtId="4" fontId="108" fillId="0" borderId="0" xfId="1112" applyNumberFormat="1" applyFont="1" applyAlignment="1">
      <alignment horizontal="left" vertical="top"/>
    </xf>
    <xf numFmtId="0" fontId="15" fillId="0" borderId="0" xfId="1116" applyFill="1" applyBorder="1" applyAlignment="1">
      <alignment vertical="center"/>
    </xf>
    <xf numFmtId="49" fontId="67" fillId="0" borderId="0" xfId="1136" applyFont="1" applyFill="1" applyBorder="1" applyAlignment="1">
      <alignment vertical="center"/>
    </xf>
    <xf numFmtId="172" fontId="15" fillId="0" borderId="0" xfId="1116" applyNumberFormat="1" applyFill="1" applyAlignment="1">
      <alignment vertical="center"/>
    </xf>
    <xf numFmtId="0" fontId="15" fillId="0" borderId="0" xfId="1116" applyFill="1" applyAlignment="1">
      <alignment vertical="center"/>
    </xf>
    <xf numFmtId="0" fontId="197" fillId="0" borderId="0" xfId="1116" applyFont="1" applyFill="1" applyBorder="1" applyAlignment="1">
      <alignment horizontal="center" vertical="center"/>
    </xf>
    <xf numFmtId="0" fontId="82" fillId="0" borderId="0" xfId="1116" applyFont="1" applyFill="1" applyBorder="1" applyAlignment="1">
      <alignment horizontal="left" vertical="center"/>
    </xf>
    <xf numFmtId="0" fontId="83" fillId="0" borderId="0" xfId="1116" applyFont="1" applyFill="1" applyAlignment="1">
      <alignment vertical="center"/>
    </xf>
    <xf numFmtId="0" fontId="82" fillId="0" borderId="0" xfId="1116" applyFont="1" applyFill="1" applyAlignment="1">
      <alignment horizontal="left" vertical="center"/>
    </xf>
    <xf numFmtId="49" fontId="174" fillId="0" borderId="0" xfId="1116" applyNumberFormat="1" applyFont="1" applyFill="1" applyBorder="1" applyAlignment="1">
      <alignment horizontal="center" vertical="center" wrapText="1"/>
    </xf>
    <xf numFmtId="0" fontId="174" fillId="0" borderId="0" xfId="1116" applyFont="1" applyFill="1" applyBorder="1" applyAlignment="1">
      <alignment horizontal="center" vertical="center" wrapText="1"/>
    </xf>
    <xf numFmtId="0" fontId="174" fillId="0" borderId="14" xfId="1116" applyFont="1" applyFill="1" applyBorder="1" applyAlignment="1">
      <alignment horizontal="center" vertical="center"/>
    </xf>
    <xf numFmtId="0" fontId="174" fillId="0" borderId="14" xfId="1116" applyFont="1" applyFill="1" applyBorder="1" applyAlignment="1">
      <alignment horizontal="center" vertical="center" wrapText="1"/>
    </xf>
    <xf numFmtId="0" fontId="174" fillId="0" borderId="39" xfId="1116" applyFont="1" applyFill="1" applyBorder="1" applyAlignment="1">
      <alignment horizontal="center" vertical="center" wrapText="1"/>
    </xf>
    <xf numFmtId="0" fontId="174" fillId="0" borderId="85" xfId="1116" applyFont="1" applyFill="1" applyBorder="1" applyAlignment="1">
      <alignment horizontal="center" vertical="center" wrapText="1"/>
    </xf>
    <xf numFmtId="0" fontId="174" fillId="0" borderId="0" xfId="1116" applyFont="1" applyFill="1" applyBorder="1" applyAlignment="1">
      <alignment horizontal="center" vertical="center"/>
    </xf>
    <xf numFmtId="0" fontId="174" fillId="0" borderId="39" xfId="1116" applyFont="1" applyFill="1" applyBorder="1" applyAlignment="1">
      <alignment horizontal="center" vertical="center"/>
    </xf>
    <xf numFmtId="4" fontId="21" fillId="51" borderId="0" xfId="0" applyFont="1" applyFill="1" applyBorder="1" applyAlignment="1"/>
    <xf numFmtId="4" fontId="21" fillId="51" borderId="141" xfId="0" applyFont="1" applyFill="1" applyBorder="1" applyAlignment="1"/>
    <xf numFmtId="0" fontId="174" fillId="0" borderId="0" xfId="1116" applyFont="1" applyFill="1" applyBorder="1" applyAlignment="1" applyProtection="1">
      <alignment horizontal="center" vertical="center"/>
      <protection hidden="1"/>
    </xf>
    <xf numFmtId="0" fontId="174" fillId="0" borderId="0" xfId="1116" applyFont="1" applyFill="1" applyAlignment="1" applyProtection="1">
      <alignment horizontal="center" vertical="center"/>
      <protection hidden="1"/>
    </xf>
    <xf numFmtId="0" fontId="177" fillId="0" borderId="14" xfId="1116" applyFont="1" applyFill="1" applyBorder="1" applyAlignment="1" applyProtection="1">
      <alignment vertical="center" wrapText="1"/>
      <protection locked="0"/>
    </xf>
    <xf numFmtId="0" fontId="177" fillId="0" borderId="14" xfId="1116" applyFont="1" applyFill="1" applyBorder="1" applyAlignment="1">
      <alignment horizontal="center" vertical="center"/>
    </xf>
    <xf numFmtId="0" fontId="72" fillId="0" borderId="0" xfId="1116" applyFont="1" applyFill="1" applyAlignment="1">
      <alignment vertical="center"/>
    </xf>
    <xf numFmtId="0" fontId="174" fillId="0" borderId="14" xfId="1116" applyFont="1" applyFill="1" applyBorder="1" applyAlignment="1" applyProtection="1">
      <alignment vertical="center" wrapText="1"/>
      <protection locked="0"/>
    </xf>
    <xf numFmtId="0" fontId="82" fillId="0" borderId="0" xfId="1116" applyFont="1" applyFill="1" applyAlignment="1">
      <alignment vertical="center"/>
    </xf>
    <xf numFmtId="0" fontId="174" fillId="0" borderId="0" xfId="1116" applyFont="1" applyFill="1" applyAlignment="1">
      <alignment vertical="center"/>
    </xf>
    <xf numFmtId="0" fontId="174" fillId="0" borderId="0" xfId="1116" applyFont="1" applyFill="1" applyBorder="1" applyAlignment="1">
      <alignment horizontal="right" vertical="center"/>
    </xf>
    <xf numFmtId="0" fontId="174" fillId="0" borderId="0" xfId="1116" applyFont="1" applyFill="1" applyBorder="1" applyAlignment="1">
      <alignment horizontal="right" vertical="center" wrapText="1"/>
    </xf>
    <xf numFmtId="172" fontId="174" fillId="0" borderId="0" xfId="1116" applyNumberFormat="1" applyFont="1" applyFill="1" applyBorder="1" applyAlignment="1">
      <alignment horizontal="right" vertical="center"/>
    </xf>
    <xf numFmtId="0" fontId="174" fillId="0" borderId="63" xfId="1116" applyFont="1" applyFill="1" applyBorder="1" applyAlignment="1">
      <alignment horizontal="center" vertical="center" wrapText="1"/>
    </xf>
    <xf numFmtId="0" fontId="177" fillId="0" borderId="14" xfId="1116" applyFont="1" applyFill="1" applyBorder="1" applyAlignment="1">
      <alignment vertical="center" wrapText="1"/>
    </xf>
    <xf numFmtId="0" fontId="177" fillId="0" borderId="14" xfId="1116" applyFont="1" applyFill="1" applyBorder="1" applyAlignment="1">
      <alignment horizontal="center" vertical="center" wrapText="1"/>
    </xf>
    <xf numFmtId="0" fontId="174" fillId="0" borderId="14" xfId="1116" applyFont="1" applyFill="1" applyBorder="1" applyAlignment="1">
      <alignment vertical="center" wrapText="1"/>
    </xf>
    <xf numFmtId="0" fontId="267" fillId="0" borderId="0" xfId="0" applyNumberFormat="1" applyFont="1" applyAlignment="1">
      <alignment vertical="center"/>
    </xf>
    <xf numFmtId="0" fontId="289" fillId="0" borderId="0" xfId="854" applyNumberFormat="1" applyAlignment="1">
      <alignment vertical="center"/>
    </xf>
    <xf numFmtId="0" fontId="269" fillId="0" borderId="0" xfId="0" applyNumberFormat="1" applyFont="1" applyAlignment="1">
      <alignment horizontal="center" vertical="center"/>
    </xf>
    <xf numFmtId="0" fontId="269" fillId="0" borderId="130" xfId="0" applyNumberFormat="1" applyFont="1" applyBorder="1" applyAlignment="1">
      <alignment horizontal="center" vertical="center" wrapText="1"/>
    </xf>
    <xf numFmtId="0" fontId="269" fillId="0" borderId="142" xfId="0" applyNumberFormat="1" applyFont="1" applyBorder="1" applyAlignment="1">
      <alignment horizontal="center" vertical="center" wrapText="1"/>
    </xf>
    <xf numFmtId="0" fontId="270" fillId="0" borderId="88" xfId="0" applyNumberFormat="1" applyFont="1" applyBorder="1" applyAlignment="1">
      <alignment horizontal="center" vertical="center" wrapText="1"/>
    </xf>
    <xf numFmtId="0" fontId="270" fillId="0" borderId="143" xfId="0" applyNumberFormat="1" applyFont="1" applyBorder="1" applyAlignment="1">
      <alignment horizontal="center" vertical="center" wrapText="1"/>
    </xf>
    <xf numFmtId="0" fontId="270" fillId="0" borderId="138" xfId="0" applyNumberFormat="1" applyFont="1" applyBorder="1" applyAlignment="1">
      <alignment horizontal="center" vertical="center" wrapText="1"/>
    </xf>
    <xf numFmtId="0" fontId="271" fillId="0" borderId="138" xfId="0" applyNumberFormat="1" applyFont="1" applyBorder="1" applyAlignment="1">
      <alignment horizontal="center" vertical="center" wrapText="1"/>
    </xf>
    <xf numFmtId="0" fontId="272" fillId="0" borderId="138" xfId="0" applyNumberFormat="1" applyFont="1" applyBorder="1" applyAlignment="1">
      <alignment horizontal="center" vertical="center" wrapText="1"/>
    </xf>
    <xf numFmtId="0" fontId="270" fillId="0" borderId="138" xfId="0" applyNumberFormat="1" applyFont="1" applyBorder="1" applyAlignment="1">
      <alignment horizontal="left" vertical="center" wrapText="1"/>
    </xf>
    <xf numFmtId="173" fontId="108" fillId="0" borderId="138" xfId="0" applyNumberFormat="1" applyFont="1" applyBorder="1" applyAlignment="1">
      <alignment vertical="center" wrapText="1"/>
    </xf>
    <xf numFmtId="208" fontId="273" fillId="0" borderId="0" xfId="1349" applyNumberFormat="1" applyFont="1" applyAlignment="1">
      <alignment vertical="center" wrapText="1"/>
    </xf>
    <xf numFmtId="4" fontId="259" fillId="0" borderId="130" xfId="0" applyFont="1" applyBorder="1" applyAlignment="1">
      <alignment vertical="center" wrapText="1"/>
    </xf>
    <xf numFmtId="4" fontId="259" fillId="0" borderId="142" xfId="0" applyFont="1" applyBorder="1" applyAlignment="1">
      <alignment vertical="center" wrapText="1"/>
    </xf>
    <xf numFmtId="4" fontId="274" fillId="0" borderId="0" xfId="0" applyFont="1" applyAlignment="1"/>
    <xf numFmtId="4" fontId="259" fillId="0" borderId="143" xfId="0" applyFont="1" applyBorder="1" applyAlignment="1">
      <alignment vertical="center" wrapText="1"/>
    </xf>
    <xf numFmtId="4" fontId="259" fillId="0" borderId="138" xfId="0" applyFont="1" applyBorder="1" applyAlignment="1">
      <alignment vertical="center" wrapText="1"/>
    </xf>
    <xf numFmtId="204" fontId="259" fillId="0" borderId="130" xfId="0" applyNumberFormat="1" applyFont="1" applyBorder="1" applyAlignment="1">
      <alignment vertical="center" wrapText="1"/>
    </xf>
    <xf numFmtId="0" fontId="275" fillId="0" borderId="0" xfId="0" applyNumberFormat="1" applyFont="1" applyFill="1" applyBorder="1" applyAlignment="1" applyProtection="1">
      <alignment vertical="top"/>
    </xf>
    <xf numFmtId="0" fontId="22" fillId="0" borderId="0" xfId="0" applyNumberFormat="1" applyFont="1" applyFill="1" applyBorder="1" applyAlignment="1" applyProtection="1">
      <alignment vertical="top"/>
    </xf>
    <xf numFmtId="1" fontId="22" fillId="0" borderId="0" xfId="0" applyNumberFormat="1" applyFont="1" applyFill="1" applyBorder="1" applyAlignment="1" applyProtection="1">
      <alignment vertical="top"/>
    </xf>
    <xf numFmtId="0" fontId="10" fillId="0" borderId="14" xfId="0" applyNumberFormat="1" applyFont="1" applyFill="1" applyBorder="1" applyAlignment="1" applyProtection="1">
      <alignment horizontal="left" vertical="top"/>
    </xf>
    <xf numFmtId="0" fontId="10" fillId="0" borderId="14" xfId="0" applyNumberFormat="1" applyFont="1" applyFill="1" applyBorder="1" applyAlignment="1" applyProtection="1">
      <alignment horizontal="left" vertical="top" wrapText="1"/>
    </xf>
    <xf numFmtId="0" fontId="10" fillId="0" borderId="14" xfId="0" applyNumberFormat="1" applyFont="1" applyFill="1" applyBorder="1" applyAlignment="1" applyProtection="1">
      <alignment horizontal="left" vertical="top" wrapText="1" indent="1"/>
    </xf>
    <xf numFmtId="0" fontId="10" fillId="0" borderId="14" xfId="0" applyNumberFormat="1" applyFont="1" applyFill="1" applyBorder="1" applyAlignment="1" applyProtection="1">
      <alignment horizontal="right" vertical="top" wrapText="1"/>
    </xf>
    <xf numFmtId="0" fontId="10" fillId="0" borderId="14" xfId="0" applyNumberFormat="1" applyFont="1" applyFill="1" applyBorder="1" applyAlignment="1" applyProtection="1">
      <alignment horizontal="left" vertical="top" indent="1"/>
    </xf>
    <xf numFmtId="1" fontId="10" fillId="0" borderId="14" xfId="0" applyNumberFormat="1" applyFont="1" applyFill="1" applyBorder="1" applyAlignment="1" applyProtection="1">
      <alignment horizontal="left" vertical="top" indent="1"/>
    </xf>
    <xf numFmtId="0" fontId="275" fillId="0" borderId="64" xfId="0" applyNumberFormat="1" applyFont="1" applyFill="1" applyBorder="1" applyAlignment="1" applyProtection="1">
      <alignment horizontal="left" vertical="top"/>
    </xf>
    <xf numFmtId="0" fontId="10" fillId="0" borderId="14" xfId="0" applyNumberFormat="1" applyFont="1" applyFill="1" applyBorder="1" applyAlignment="1" applyProtection="1">
      <alignment horizontal="left" vertical="top" indent="2"/>
    </xf>
    <xf numFmtId="0" fontId="22" fillId="0" borderId="14" xfId="0" applyNumberFormat="1" applyFont="1" applyFill="1" applyBorder="1" applyAlignment="1" applyProtection="1">
      <alignment horizontal="left" vertical="top"/>
    </xf>
    <xf numFmtId="0" fontId="22" fillId="0" borderId="64" xfId="0" applyNumberFormat="1" applyFont="1" applyFill="1" applyBorder="1" applyAlignment="1" applyProtection="1">
      <alignment horizontal="left" vertical="top"/>
    </xf>
    <xf numFmtId="0" fontId="22" fillId="0" borderId="63" xfId="0" applyNumberFormat="1" applyFont="1" applyFill="1" applyBorder="1" applyAlignment="1" applyProtection="1">
      <alignment horizontal="left" vertical="top"/>
    </xf>
    <xf numFmtId="1" fontId="22" fillId="0" borderId="14" xfId="0" applyNumberFormat="1" applyFont="1" applyFill="1" applyBorder="1" applyAlignment="1" applyProtection="1">
      <alignment horizontal="left" vertical="top"/>
    </xf>
    <xf numFmtId="175" fontId="10" fillId="0" borderId="14" xfId="0" applyNumberFormat="1" applyFont="1" applyFill="1" applyBorder="1" applyAlignment="1" applyProtection="1">
      <alignment horizontal="right" vertical="top"/>
    </xf>
    <xf numFmtId="0" fontId="10" fillId="0" borderId="14" xfId="0" applyNumberFormat="1" applyFont="1" applyFill="1" applyBorder="1" applyAlignment="1" applyProtection="1">
      <alignment horizontal="right" vertical="top"/>
    </xf>
    <xf numFmtId="1" fontId="10" fillId="0" borderId="14" xfId="0" applyNumberFormat="1" applyFont="1" applyFill="1" applyBorder="1" applyAlignment="1" applyProtection="1">
      <alignment horizontal="right" vertical="top"/>
    </xf>
    <xf numFmtId="3" fontId="10" fillId="0" borderId="14" xfId="0" applyNumberFormat="1" applyFont="1" applyFill="1" applyBorder="1" applyAlignment="1" applyProtection="1">
      <alignment horizontal="right" vertical="top"/>
    </xf>
    <xf numFmtId="10" fontId="22" fillId="0" borderId="0" xfId="0" applyNumberFormat="1" applyFont="1" applyFill="1" applyBorder="1" applyAlignment="1" applyProtection="1">
      <alignment vertical="top"/>
    </xf>
    <xf numFmtId="0" fontId="22" fillId="0" borderId="62" xfId="0" applyNumberFormat="1" applyFont="1" applyFill="1" applyBorder="1" applyAlignment="1" applyProtection="1">
      <alignment vertical="top"/>
    </xf>
    <xf numFmtId="0" fontId="22" fillId="0" borderId="14" xfId="0" applyNumberFormat="1" applyFont="1" applyFill="1" applyBorder="1" applyAlignment="1" applyProtection="1">
      <alignment vertical="top"/>
    </xf>
    <xf numFmtId="0" fontId="275" fillId="0" borderId="62" xfId="0" applyNumberFormat="1" applyFont="1" applyFill="1" applyBorder="1" applyAlignment="1" applyProtection="1">
      <alignment vertical="top"/>
    </xf>
    <xf numFmtId="3" fontId="275" fillId="0" borderId="14" xfId="0" applyNumberFormat="1" applyFont="1" applyFill="1" applyBorder="1" applyAlignment="1" applyProtection="1">
      <alignment horizontal="right" vertical="top"/>
    </xf>
    <xf numFmtId="0" fontId="275" fillId="0" borderId="14" xfId="0" applyNumberFormat="1" applyFont="1" applyFill="1" applyBorder="1" applyAlignment="1" applyProtection="1">
      <alignment horizontal="left" vertical="top"/>
    </xf>
    <xf numFmtId="3" fontId="22" fillId="0" borderId="14" xfId="0" applyNumberFormat="1" applyFont="1" applyFill="1" applyBorder="1" applyAlignment="1" applyProtection="1">
      <alignment vertical="top"/>
    </xf>
    <xf numFmtId="3" fontId="22" fillId="0" borderId="14" xfId="0" applyNumberFormat="1" applyFont="1" applyFill="1" applyBorder="1" applyAlignment="1" applyProtection="1">
      <alignment horizontal="left" vertical="top"/>
    </xf>
    <xf numFmtId="3" fontId="275" fillId="0" borderId="62" xfId="0" applyNumberFormat="1" applyFont="1" applyFill="1" applyBorder="1" applyAlignment="1" applyProtection="1">
      <alignment horizontal="right" vertical="top"/>
    </xf>
    <xf numFmtId="0" fontId="10" fillId="0" borderId="62" xfId="0" applyNumberFormat="1" applyFont="1" applyFill="1" applyBorder="1" applyAlignment="1" applyProtection="1">
      <alignment horizontal="center" vertical="top"/>
    </xf>
    <xf numFmtId="0" fontId="10" fillId="0" borderId="62" xfId="0" applyNumberFormat="1" applyFont="1" applyFill="1" applyBorder="1" applyAlignment="1" applyProtection="1">
      <alignment vertical="top"/>
    </xf>
    <xf numFmtId="0" fontId="10" fillId="0" borderId="14" xfId="0" applyNumberFormat="1" applyFont="1" applyFill="1" applyBorder="1" applyAlignment="1" applyProtection="1">
      <alignment vertical="top"/>
    </xf>
    <xf numFmtId="0" fontId="10" fillId="0" borderId="63" xfId="0" applyNumberFormat="1" applyFont="1" applyFill="1" applyBorder="1" applyAlignment="1" applyProtection="1">
      <alignment vertical="top"/>
    </xf>
    <xf numFmtId="0" fontId="10" fillId="0" borderId="64" xfId="0" applyNumberFormat="1" applyFont="1" applyFill="1" applyBorder="1" applyAlignment="1" applyProtection="1">
      <alignment horizontal="left" vertical="top" indent="2"/>
    </xf>
    <xf numFmtId="0" fontId="276" fillId="0" borderId="62" xfId="0" applyNumberFormat="1" applyFont="1" applyFill="1" applyBorder="1" applyAlignment="1" applyProtection="1">
      <alignment vertical="top"/>
    </xf>
    <xf numFmtId="0" fontId="276" fillId="0" borderId="14" xfId="0" applyNumberFormat="1" applyFont="1" applyFill="1" applyBorder="1" applyAlignment="1" applyProtection="1">
      <alignment vertical="top"/>
    </xf>
    <xf numFmtId="0" fontId="277" fillId="0" borderId="0" xfId="0" applyNumberFormat="1" applyFont="1" applyFill="1" applyBorder="1" applyAlignment="1" applyProtection="1">
      <alignment vertical="top"/>
    </xf>
    <xf numFmtId="0" fontId="119" fillId="0" borderId="0" xfId="0" applyNumberFormat="1" applyFont="1" applyFill="1" applyBorder="1" applyAlignment="1" applyProtection="1">
      <alignment vertical="top"/>
    </xf>
    <xf numFmtId="0" fontId="10" fillId="0" borderId="14" xfId="0" applyNumberFormat="1" applyFont="1" applyFill="1" applyBorder="1" applyAlignment="1" applyProtection="1">
      <alignment horizontal="center" vertical="top" wrapText="1"/>
    </xf>
    <xf numFmtId="0" fontId="10" fillId="0" borderId="63" xfId="0" applyNumberFormat="1" applyFont="1" applyFill="1" applyBorder="1" applyAlignment="1" applyProtection="1">
      <alignment horizontal="right" vertical="top"/>
    </xf>
    <xf numFmtId="0" fontId="10" fillId="0" borderId="14" xfId="0" applyNumberFormat="1" applyFont="1" applyFill="1" applyBorder="1" applyAlignment="1" applyProtection="1">
      <alignment horizontal="center" vertical="top"/>
    </xf>
    <xf numFmtId="0" fontId="275" fillId="0" borderId="14" xfId="0" applyNumberFormat="1" applyFont="1" applyFill="1" applyBorder="1" applyAlignment="1" applyProtection="1">
      <alignment horizontal="left" vertical="top" indent="6"/>
    </xf>
    <xf numFmtId="1" fontId="10" fillId="0" borderId="14" xfId="0" applyNumberFormat="1" applyFont="1" applyFill="1" applyBorder="1" applyAlignment="1" applyProtection="1">
      <alignment vertical="top"/>
    </xf>
    <xf numFmtId="1" fontId="22" fillId="0" borderId="14" xfId="0" applyNumberFormat="1" applyFont="1" applyFill="1" applyBorder="1" applyAlignment="1" applyProtection="1">
      <alignment vertical="top"/>
    </xf>
    <xf numFmtId="3" fontId="10" fillId="0" borderId="14" xfId="0" applyNumberFormat="1" applyFont="1" applyFill="1" applyBorder="1" applyAlignment="1" applyProtection="1">
      <alignment horizontal="left" vertical="top" indent="5"/>
    </xf>
    <xf numFmtId="3" fontId="275" fillId="0" borderId="14" xfId="0" applyNumberFormat="1" applyFont="1" applyFill="1" applyBorder="1" applyAlignment="1" applyProtection="1">
      <alignment vertical="top"/>
    </xf>
    <xf numFmtId="175" fontId="22" fillId="0" borderId="14" xfId="0" applyNumberFormat="1" applyFont="1" applyFill="1" applyBorder="1" applyAlignment="1" applyProtection="1">
      <alignment horizontal="left" vertical="top"/>
    </xf>
    <xf numFmtId="0" fontId="22" fillId="0" borderId="14" xfId="0" applyNumberFormat="1" applyFont="1" applyFill="1" applyBorder="1" applyAlignment="1" applyProtection="1">
      <alignment horizontal="center" vertical="top"/>
    </xf>
    <xf numFmtId="0" fontId="22" fillId="0" borderId="64" xfId="0" applyNumberFormat="1" applyFont="1" applyFill="1" applyBorder="1" applyAlignment="1" applyProtection="1">
      <alignment vertical="top"/>
    </xf>
    <xf numFmtId="1" fontId="22" fillId="0" borderId="62" xfId="0" applyNumberFormat="1" applyFont="1" applyFill="1" applyBorder="1" applyAlignment="1" applyProtection="1">
      <alignment vertical="top"/>
    </xf>
    <xf numFmtId="3" fontId="22" fillId="0" borderId="63" xfId="0" applyNumberFormat="1" applyFont="1" applyFill="1" applyBorder="1" applyAlignment="1" applyProtection="1">
      <alignment vertical="top"/>
    </xf>
    <xf numFmtId="0" fontId="275" fillId="0" borderId="64" xfId="0" applyNumberFormat="1" applyFont="1" applyFill="1" applyBorder="1" applyAlignment="1" applyProtection="1">
      <alignment vertical="top"/>
    </xf>
    <xf numFmtId="1" fontId="275" fillId="0" borderId="62" xfId="0" applyNumberFormat="1" applyFont="1" applyFill="1" applyBorder="1" applyAlignment="1" applyProtection="1">
      <alignment vertical="top"/>
    </xf>
    <xf numFmtId="3" fontId="275" fillId="0" borderId="63" xfId="0" applyNumberFormat="1" applyFont="1" applyFill="1" applyBorder="1" applyAlignment="1" applyProtection="1">
      <alignment vertical="top"/>
    </xf>
    <xf numFmtId="3" fontId="10" fillId="0" borderId="14" xfId="0" applyNumberFormat="1" applyFont="1" applyFill="1" applyBorder="1" applyAlignment="1" applyProtection="1">
      <alignment horizontal="left" vertical="top" indent="4"/>
    </xf>
    <xf numFmtId="0" fontId="22" fillId="0" borderId="120" xfId="0" applyNumberFormat="1" applyFont="1" applyFill="1" applyBorder="1" applyAlignment="1" applyProtection="1">
      <alignment horizontal="left" vertical="top"/>
    </xf>
    <xf numFmtId="0" fontId="22" fillId="0" borderId="72" xfId="0" applyNumberFormat="1" applyFont="1" applyFill="1" applyBorder="1" applyAlignment="1" applyProtection="1">
      <alignment horizontal="left" vertical="top"/>
    </xf>
    <xf numFmtId="3" fontId="275" fillId="0" borderId="63" xfId="0" applyNumberFormat="1" applyFont="1" applyFill="1" applyBorder="1" applyAlignment="1" applyProtection="1">
      <alignment horizontal="right" vertical="top"/>
    </xf>
    <xf numFmtId="0" fontId="10" fillId="0" borderId="0" xfId="0" applyNumberFormat="1" applyFont="1" applyFill="1" applyBorder="1" applyAlignment="1" applyProtection="1">
      <alignment vertical="top"/>
    </xf>
    <xf numFmtId="1" fontId="275" fillId="0" borderId="0" xfId="0" applyNumberFormat="1" applyFont="1" applyFill="1" applyBorder="1" applyAlignment="1" applyProtection="1">
      <alignment horizontal="left" vertical="top" indent="15"/>
    </xf>
    <xf numFmtId="0" fontId="278" fillId="0" borderId="0" xfId="0" applyNumberFormat="1" applyFont="1" applyFill="1" applyBorder="1" applyAlignment="1" applyProtection="1">
      <alignment vertical="top"/>
    </xf>
    <xf numFmtId="4" fontId="96" fillId="0" borderId="14" xfId="0" applyFont="1" applyBorder="1" applyAlignment="1">
      <alignment vertical="center"/>
    </xf>
    <xf numFmtId="4" fontId="111" fillId="0" borderId="14" xfId="0" applyFont="1" applyBorder="1" applyAlignment="1">
      <alignment horizontal="right" vertical="center"/>
    </xf>
    <xf numFmtId="3" fontId="22" fillId="0" borderId="0" xfId="0" applyNumberFormat="1" applyFont="1" applyFill="1" applyBorder="1" applyAlignment="1" applyProtection="1">
      <alignment vertical="top"/>
    </xf>
    <xf numFmtId="0" fontId="282" fillId="0" borderId="0" xfId="0" applyNumberFormat="1" applyFont="1" applyFill="1" applyBorder="1" applyAlignment="1" applyProtection="1">
      <alignment horizontal="right" vertical="top"/>
    </xf>
    <xf numFmtId="3" fontId="283" fillId="0" borderId="66" xfId="0" applyNumberFormat="1" applyFont="1" applyFill="1" applyBorder="1" applyAlignment="1" applyProtection="1">
      <alignment vertical="top"/>
    </xf>
    <xf numFmtId="0" fontId="283" fillId="0" borderId="66" xfId="0" applyNumberFormat="1" applyFont="1" applyFill="1" applyBorder="1" applyAlignment="1" applyProtection="1">
      <alignment vertical="top"/>
    </xf>
    <xf numFmtId="0" fontId="170" fillId="0" borderId="0" xfId="0" applyNumberFormat="1" applyFont="1" applyFill="1" applyBorder="1" applyAlignment="1" applyProtection="1">
      <alignment vertical="top"/>
    </xf>
    <xf numFmtId="3" fontId="97" fillId="0" borderId="0" xfId="1112" applyNumberFormat="1" applyFont="1" applyAlignment="1">
      <alignment vertical="center"/>
    </xf>
    <xf numFmtId="172" fontId="108" fillId="0" borderId="14" xfId="0" applyNumberFormat="1" applyFont="1" applyFill="1" applyBorder="1" applyAlignment="1">
      <alignment horizontal="center" vertical="center"/>
    </xf>
    <xf numFmtId="0" fontId="284" fillId="0" borderId="0" xfId="0" applyNumberFormat="1" applyFont="1" applyAlignment="1"/>
    <xf numFmtId="0" fontId="116" fillId="0" borderId="0" xfId="0" applyNumberFormat="1" applyFont="1" applyAlignment="1"/>
    <xf numFmtId="172" fontId="99" fillId="46" borderId="144" xfId="1342" applyNumberFormat="1" applyFont="1" applyFill="1" applyBorder="1"/>
    <xf numFmtId="172" fontId="105" fillId="46" borderId="61" xfId="1342" applyNumberFormat="1" applyFont="1" applyFill="1" applyBorder="1"/>
    <xf numFmtId="10" fontId="105" fillId="46" borderId="61" xfId="1342" applyNumberFormat="1" applyFont="1" applyFill="1" applyBorder="1"/>
    <xf numFmtId="172" fontId="104" fillId="46" borderId="143" xfId="1342" applyNumberFormat="1" applyFont="1" applyFill="1" applyBorder="1"/>
    <xf numFmtId="0" fontId="104" fillId="46" borderId="134" xfId="0" applyNumberFormat="1" applyFont="1" applyFill="1" applyBorder="1" applyAlignment="1"/>
    <xf numFmtId="0" fontId="105" fillId="46" borderId="62" xfId="0" applyNumberFormat="1" applyFont="1" applyFill="1" applyBorder="1" applyAlignment="1">
      <alignment horizontal="left"/>
    </xf>
    <xf numFmtId="0" fontId="105" fillId="46" borderId="62" xfId="0" applyNumberFormat="1" applyFont="1" applyFill="1" applyBorder="1" applyAlignment="1">
      <alignment horizontal="right"/>
    </xf>
    <xf numFmtId="172" fontId="107" fillId="46" borderId="61" xfId="1342" applyNumberFormat="1" applyFont="1" applyFill="1" applyBorder="1"/>
    <xf numFmtId="0" fontId="285" fillId="46" borderId="62" xfId="0" applyNumberFormat="1" applyFont="1" applyFill="1" applyBorder="1" applyAlignment="1"/>
    <xf numFmtId="172" fontId="104" fillId="46" borderId="61" xfId="1342" applyNumberFormat="1" applyFont="1" applyFill="1" applyBorder="1"/>
    <xf numFmtId="0" fontId="100" fillId="46" borderId="0" xfId="0" applyNumberFormat="1" applyFont="1" applyFill="1" applyBorder="1" applyAlignment="1"/>
    <xf numFmtId="4" fontId="110" fillId="46" borderId="135" xfId="0" applyFont="1" applyFill="1" applyBorder="1">
      <alignment vertical="center"/>
    </xf>
    <xf numFmtId="0" fontId="104" fillId="46" borderId="17" xfId="0" applyNumberFormat="1" applyFont="1" applyFill="1" applyBorder="1" applyAlignment="1"/>
    <xf numFmtId="0" fontId="116" fillId="46" borderId="17" xfId="0" applyNumberFormat="1" applyFont="1" applyFill="1" applyBorder="1" applyAlignment="1"/>
    <xf numFmtId="0" fontId="104" fillId="46" borderId="144" xfId="0" applyNumberFormat="1" applyFont="1" applyFill="1" applyBorder="1" applyAlignment="1"/>
    <xf numFmtId="0" fontId="100" fillId="46" borderId="87" xfId="0" applyNumberFormat="1" applyFont="1" applyFill="1" applyBorder="1" applyAlignment="1"/>
    <xf numFmtId="0" fontId="104" fillId="46" borderId="143" xfId="0" applyNumberFormat="1" applyFont="1" applyFill="1" applyBorder="1" applyAlignment="1"/>
    <xf numFmtId="0" fontId="104" fillId="46" borderId="131" xfId="0" applyNumberFormat="1" applyFont="1" applyFill="1" applyBorder="1" applyAlignment="1">
      <alignment horizontal="center"/>
    </xf>
    <xf numFmtId="0" fontId="105" fillId="46" borderId="132" xfId="0" applyNumberFormat="1" applyFont="1" applyFill="1" applyBorder="1" applyAlignment="1">
      <alignment horizontal="center"/>
    </xf>
    <xf numFmtId="0" fontId="285" fillId="46" borderId="132" xfId="0" applyNumberFormat="1" applyFont="1" applyFill="1" applyBorder="1" applyAlignment="1">
      <alignment horizontal="center"/>
    </xf>
    <xf numFmtId="0" fontId="104" fillId="46" borderId="132" xfId="0" applyNumberFormat="1" applyFont="1" applyFill="1" applyBorder="1" applyAlignment="1">
      <alignment horizontal="center"/>
    </xf>
    <xf numFmtId="0" fontId="102" fillId="46" borderId="132" xfId="0" applyNumberFormat="1" applyFont="1" applyFill="1" applyBorder="1" applyAlignment="1">
      <alignment horizontal="center"/>
    </xf>
    <xf numFmtId="0" fontId="102" fillId="46" borderId="73" xfId="0" applyNumberFormat="1" applyFont="1" applyFill="1" applyBorder="1" applyAlignment="1">
      <alignment horizontal="center"/>
    </xf>
    <xf numFmtId="0" fontId="104" fillId="46" borderId="73" xfId="0" applyNumberFormat="1" applyFont="1" applyFill="1" applyBorder="1" applyAlignment="1">
      <alignment horizontal="center"/>
    </xf>
    <xf numFmtId="167" fontId="83" fillId="0" borderId="31" xfId="0" applyNumberFormat="1" applyFont="1" applyBorder="1" applyAlignment="1">
      <alignment horizontal="right"/>
    </xf>
    <xf numFmtId="167" fontId="82" fillId="0" borderId="121" xfId="0" applyNumberFormat="1" applyFont="1" applyBorder="1" applyAlignment="1">
      <alignment horizontal="right"/>
    </xf>
    <xf numFmtId="167" fontId="83" fillId="0" borderId="26" xfId="0" applyNumberFormat="1" applyFont="1" applyBorder="1" applyAlignment="1">
      <alignment horizontal="right"/>
    </xf>
    <xf numFmtId="167" fontId="82" fillId="0" borderId="14" xfId="0" applyNumberFormat="1" applyFont="1" applyBorder="1" applyAlignment="1">
      <alignment horizontal="right"/>
    </xf>
    <xf numFmtId="180" fontId="286" fillId="3" borderId="21" xfId="0" applyNumberFormat="1" applyFont="1" applyFill="1" applyBorder="1" applyAlignment="1">
      <alignment horizontal="right"/>
    </xf>
    <xf numFmtId="180" fontId="286" fillId="3" borderId="21" xfId="0" applyNumberFormat="1" applyFont="1" applyFill="1" applyBorder="1" applyAlignment="1">
      <alignment horizontal="center"/>
    </xf>
    <xf numFmtId="0" fontId="100" fillId="0" borderId="0" xfId="1115" applyFont="1" applyAlignment="1">
      <alignment vertical="center" wrapText="1"/>
    </xf>
    <xf numFmtId="0" fontId="288" fillId="0" borderId="0" xfId="1115" applyNumberFormat="1" applyFont="1" applyAlignment="1">
      <alignment horizontal="center" vertical="center" wrapText="1"/>
    </xf>
    <xf numFmtId="1" fontId="100" fillId="0" borderId="0" xfId="1115" applyNumberFormat="1" applyFont="1" applyAlignment="1">
      <alignment horizontal="center" vertical="center" wrapText="1"/>
    </xf>
    <xf numFmtId="0" fontId="100" fillId="0" borderId="0" xfId="1115" applyFont="1" applyAlignment="1">
      <alignment horizontal="center" vertical="center" wrapText="1"/>
    </xf>
    <xf numFmtId="4" fontId="100" fillId="0" borderId="0" xfId="1115" applyNumberFormat="1" applyFont="1" applyAlignment="1">
      <alignment vertical="center" wrapText="1"/>
    </xf>
    <xf numFmtId="0" fontId="124" fillId="46" borderId="0" xfId="1115" applyFont="1" applyFill="1" applyAlignment="1">
      <alignment horizontal="center" vertical="center" wrapText="1"/>
    </xf>
    <xf numFmtId="0" fontId="124" fillId="46" borderId="0" xfId="1115" applyFont="1" applyFill="1" applyAlignment="1">
      <alignment vertical="center" wrapText="1"/>
    </xf>
    <xf numFmtId="4" fontId="100" fillId="0" borderId="62" xfId="1115" applyNumberFormat="1" applyFont="1" applyBorder="1" applyAlignment="1">
      <alignment vertical="center" wrapText="1"/>
    </xf>
    <xf numFmtId="4" fontId="117" fillId="0" borderId="0" xfId="1115" applyNumberFormat="1" applyFont="1" applyAlignment="1">
      <alignment vertical="center" wrapText="1"/>
    </xf>
    <xf numFmtId="4" fontId="117" fillId="0" borderId="0" xfId="1115" applyNumberFormat="1" applyFont="1" applyAlignment="1">
      <alignment horizontal="right" vertical="center" wrapText="1"/>
    </xf>
    <xf numFmtId="4" fontId="100" fillId="0" borderId="0" xfId="1115" applyNumberFormat="1" applyFont="1" applyAlignment="1">
      <alignment horizontal="right" vertical="center" wrapText="1"/>
    </xf>
    <xf numFmtId="171" fontId="83" fillId="0" borderId="43" xfId="0" applyNumberFormat="1" applyFont="1" applyBorder="1" applyAlignment="1">
      <alignment horizontal="right"/>
    </xf>
    <xf numFmtId="170" fontId="215" fillId="0" borderId="48" xfId="0" applyNumberFormat="1" applyFont="1" applyBorder="1" applyAlignment="1">
      <alignment horizontal="center"/>
    </xf>
    <xf numFmtId="4" fontId="90" fillId="0" borderId="29" xfId="0" applyFont="1" applyBorder="1" applyAlignment="1">
      <alignment horizontal="right" vertical="center"/>
    </xf>
    <xf numFmtId="168" fontId="217" fillId="0" borderId="47" xfId="0" applyNumberFormat="1" applyFont="1" applyBorder="1" applyAlignment="1">
      <alignment horizontal="right"/>
    </xf>
    <xf numFmtId="0" fontId="217" fillId="0" borderId="47" xfId="0" applyNumberFormat="1" applyFont="1" applyBorder="1" applyAlignment="1">
      <alignment horizontal="right"/>
    </xf>
    <xf numFmtId="0" fontId="217" fillId="0" borderId="43" xfId="0" applyNumberFormat="1" applyFont="1" applyBorder="1" applyAlignment="1">
      <alignment horizontal="right"/>
    </xf>
    <xf numFmtId="170" fontId="218" fillId="53" borderId="36" xfId="0" applyNumberFormat="1" applyFont="1" applyFill="1" applyBorder="1" applyAlignment="1">
      <alignment horizontal="center"/>
    </xf>
    <xf numFmtId="4" fontId="219" fillId="53" borderId="31" xfId="0" applyFont="1" applyFill="1" applyBorder="1" applyAlignment="1">
      <alignment horizontal="right" vertical="center"/>
    </xf>
    <xf numFmtId="168" fontId="220" fillId="53" borderId="27" xfId="0" applyNumberFormat="1" applyFont="1" applyFill="1" applyBorder="1" applyAlignment="1">
      <alignment horizontal="right"/>
    </xf>
    <xf numFmtId="168" fontId="217" fillId="53" borderId="27" xfId="0" applyNumberFormat="1" applyFont="1" applyFill="1" applyBorder="1" applyAlignment="1">
      <alignment horizontal="right"/>
    </xf>
    <xf numFmtId="0" fontId="220" fillId="53" borderId="27" xfId="0" applyNumberFormat="1" applyFont="1" applyFill="1" applyBorder="1" applyAlignment="1">
      <alignment horizontal="right"/>
    </xf>
    <xf numFmtId="4" fontId="220" fillId="53" borderId="27" xfId="0" applyNumberFormat="1" applyFont="1" applyFill="1" applyBorder="1" applyAlignment="1">
      <alignment horizontal="right"/>
    </xf>
    <xf numFmtId="167" fontId="220" fillId="53" borderId="27" xfId="0" applyNumberFormat="1" applyFont="1" applyFill="1" applyBorder="1" applyAlignment="1">
      <alignment horizontal="right"/>
    </xf>
    <xf numFmtId="170" fontId="215" fillId="53" borderId="48" xfId="0" applyNumberFormat="1" applyFont="1" applyFill="1" applyBorder="1" applyAlignment="1">
      <alignment horizontal="center"/>
    </xf>
    <xf numFmtId="4" fontId="216" fillId="53" borderId="29" xfId="0" applyFont="1" applyFill="1" applyBorder="1" applyAlignment="1">
      <alignment horizontal="right" vertical="center"/>
    </xf>
    <xf numFmtId="0" fontId="217" fillId="53" borderId="27" xfId="0" applyNumberFormat="1" applyFont="1" applyFill="1" applyBorder="1" applyAlignment="1">
      <alignment horizontal="right"/>
    </xf>
    <xf numFmtId="4" fontId="83" fillId="53" borderId="27" xfId="0" applyNumberFormat="1" applyFont="1" applyFill="1" applyBorder="1" applyAlignment="1">
      <alignment horizontal="right"/>
    </xf>
    <xf numFmtId="4" fontId="217" fillId="53" borderId="27" xfId="0" applyNumberFormat="1" applyFont="1" applyFill="1" applyBorder="1" applyAlignment="1">
      <alignment horizontal="right"/>
    </xf>
    <xf numFmtId="170" fontId="215" fillId="53" borderId="36" xfId="0" applyNumberFormat="1" applyFont="1" applyFill="1" applyBorder="1" applyAlignment="1">
      <alignment horizontal="center"/>
    </xf>
    <xf numFmtId="4" fontId="291" fillId="53" borderId="31" xfId="0" applyFont="1" applyFill="1" applyBorder="1" applyAlignment="1">
      <alignment horizontal="right" vertical="center"/>
    </xf>
    <xf numFmtId="167" fontId="217" fillId="53" borderId="27" xfId="0" applyNumberFormat="1" applyFont="1" applyFill="1" applyBorder="1" applyAlignment="1">
      <alignment horizontal="right"/>
    </xf>
    <xf numFmtId="4" fontId="291" fillId="53" borderId="29" xfId="0" applyFont="1" applyFill="1" applyBorder="1" applyAlignment="1">
      <alignment horizontal="right" vertical="center"/>
    </xf>
    <xf numFmtId="4" fontId="90" fillId="54" borderId="29" xfId="0" applyFont="1" applyFill="1" applyBorder="1" applyAlignment="1">
      <alignment horizontal="right" vertical="center"/>
    </xf>
    <xf numFmtId="170" fontId="215" fillId="54" borderId="48" xfId="0" applyNumberFormat="1" applyFont="1" applyFill="1" applyBorder="1" applyAlignment="1">
      <alignment horizontal="center"/>
    </xf>
    <xf numFmtId="168" fontId="83" fillId="54" borderId="27" xfId="0" applyNumberFormat="1" applyFont="1" applyFill="1" applyBorder="1" applyAlignment="1">
      <alignment horizontal="right"/>
    </xf>
    <xf numFmtId="168" fontId="217" fillId="54" borderId="27" xfId="0" applyNumberFormat="1" applyFont="1" applyFill="1" applyBorder="1" applyAlignment="1">
      <alignment horizontal="right"/>
    </xf>
    <xf numFmtId="0" fontId="217" fillId="54" borderId="27" xfId="0" applyNumberFormat="1" applyFont="1" applyFill="1" applyBorder="1" applyAlignment="1">
      <alignment horizontal="right"/>
    </xf>
    <xf numFmtId="4" fontId="83" fillId="54" borderId="27" xfId="0" applyNumberFormat="1" applyFont="1" applyFill="1" applyBorder="1" applyAlignment="1">
      <alignment horizontal="right"/>
    </xf>
    <xf numFmtId="167" fontId="217" fillId="54" borderId="27" xfId="0" applyNumberFormat="1" applyFont="1" applyFill="1" applyBorder="1" applyAlignment="1">
      <alignment horizontal="right"/>
    </xf>
    <xf numFmtId="170" fontId="87" fillId="54" borderId="48" xfId="0" applyNumberFormat="1" applyFont="1" applyFill="1" applyBorder="1" applyAlignment="1">
      <alignment horizontal="center"/>
    </xf>
    <xf numFmtId="4" fontId="90" fillId="54" borderId="31" xfId="0" applyFont="1" applyFill="1" applyBorder="1" applyAlignment="1">
      <alignment horizontal="right" vertical="center"/>
    </xf>
    <xf numFmtId="172" fontId="83" fillId="0" borderId="27" xfId="0" applyNumberFormat="1" applyFont="1" applyBorder="1" applyAlignment="1">
      <alignment horizontal="right"/>
    </xf>
    <xf numFmtId="4" fontId="0" fillId="0" borderId="0" xfId="0" applyAlignment="1"/>
    <xf numFmtId="0" fontId="177" fillId="0" borderId="14" xfId="1162" applyFont="1" applyBorder="1" applyAlignment="1">
      <alignment horizontal="center" vertical="center" wrapText="1"/>
    </xf>
    <xf numFmtId="0" fontId="178" fillId="0" borderId="39" xfId="1162" applyFont="1" applyBorder="1" applyAlignment="1">
      <alignment horizontal="center" vertical="center" wrapText="1"/>
    </xf>
    <xf numFmtId="0" fontId="176" fillId="46" borderId="39" xfId="1162" applyFont="1" applyFill="1" applyBorder="1" applyAlignment="1">
      <alignment horizontal="center" vertical="center" wrapText="1"/>
    </xf>
    <xf numFmtId="206" fontId="178" fillId="0" borderId="14" xfId="1349" applyNumberFormat="1" applyFont="1" applyBorder="1" applyAlignment="1">
      <alignment horizontal="center" vertical="center" wrapText="1"/>
    </xf>
    <xf numFmtId="0" fontId="179" fillId="0" borderId="14" xfId="1162" applyFont="1" applyBorder="1" applyAlignment="1">
      <alignment horizontal="center" vertical="center" wrapText="1"/>
    </xf>
    <xf numFmtId="0" fontId="179" fillId="46" borderId="14" xfId="1162" applyFont="1" applyFill="1" applyBorder="1" applyAlignment="1">
      <alignment horizontal="center" vertical="center" wrapText="1"/>
    </xf>
    <xf numFmtId="4" fontId="180" fillId="28" borderId="62" xfId="1162" applyNumberFormat="1" applyFont="1" applyFill="1" applyBorder="1" applyAlignment="1">
      <alignment horizontal="left" vertical="center" wrapText="1"/>
    </xf>
    <xf numFmtId="207" fontId="180" fillId="28" borderId="62" xfId="1162" applyNumberFormat="1" applyFont="1" applyFill="1" applyBorder="1" applyAlignment="1">
      <alignment horizontal="left" vertical="center" wrapText="1"/>
    </xf>
    <xf numFmtId="207" fontId="180" fillId="28" borderId="63" xfId="1162" applyNumberFormat="1" applyFont="1" applyFill="1" applyBorder="1" applyAlignment="1">
      <alignment horizontal="left" vertical="center" wrapText="1"/>
    </xf>
    <xf numFmtId="4" fontId="181" fillId="3" borderId="39" xfId="1162" applyNumberFormat="1" applyFont="1" applyFill="1" applyBorder="1" applyAlignment="1">
      <alignment horizontal="right" vertical="center" wrapText="1"/>
    </xf>
    <xf numFmtId="207" fontId="181" fillId="3" borderId="128" xfId="1349" applyNumberFormat="1" applyFont="1" applyFill="1" applyBorder="1" applyAlignment="1">
      <alignment vertical="center" wrapText="1"/>
    </xf>
    <xf numFmtId="207" fontId="178" fillId="3" borderId="128" xfId="1349" applyNumberFormat="1" applyFont="1" applyFill="1" applyBorder="1" applyAlignment="1">
      <alignment vertical="center" wrapText="1"/>
    </xf>
    <xf numFmtId="4" fontId="181" fillId="3" borderId="39" xfId="1162" applyNumberFormat="1" applyFont="1" applyFill="1" applyBorder="1" applyAlignment="1">
      <alignment horizontal="left" vertical="center" wrapText="1"/>
    </xf>
    <xf numFmtId="4" fontId="181" fillId="3" borderId="47" xfId="1162" applyNumberFormat="1" applyFont="1" applyFill="1" applyBorder="1" applyAlignment="1">
      <alignment horizontal="left" vertical="center" wrapText="1"/>
    </xf>
    <xf numFmtId="207" fontId="178" fillId="3" borderId="27" xfId="1349" applyNumberFormat="1" applyFont="1" applyFill="1" applyBorder="1" applyAlignment="1">
      <alignment vertical="center" wrapText="1"/>
    </xf>
    <xf numFmtId="207" fontId="181" fillId="3" borderId="27" xfId="1349" applyNumberFormat="1" applyFont="1" applyFill="1" applyBorder="1" applyAlignment="1">
      <alignment vertical="center" wrapText="1"/>
    </xf>
    <xf numFmtId="207" fontId="178" fillId="3" borderId="47" xfId="1349" applyNumberFormat="1" applyFont="1" applyFill="1" applyBorder="1" applyAlignment="1">
      <alignment horizontal="left" vertical="center" wrapText="1"/>
    </xf>
    <xf numFmtId="207" fontId="181" fillId="3" borderId="47" xfId="1349" applyNumberFormat="1" applyFont="1" applyFill="1" applyBorder="1" applyAlignment="1">
      <alignment horizontal="left" vertical="center" wrapText="1"/>
    </xf>
    <xf numFmtId="4" fontId="181" fillId="3" borderId="129" xfId="1162" applyNumberFormat="1" applyFont="1" applyFill="1" applyBorder="1" applyAlignment="1">
      <alignment horizontal="left" vertical="center" wrapText="1"/>
    </xf>
    <xf numFmtId="167" fontId="83" fillId="54" borderId="27" xfId="0" applyNumberFormat="1" applyFont="1" applyFill="1" applyBorder="1" applyAlignment="1">
      <alignment horizontal="right"/>
    </xf>
    <xf numFmtId="4" fontId="292" fillId="0" borderId="0" xfId="0" applyFont="1" applyBorder="1" applyAlignment="1"/>
    <xf numFmtId="4" fontId="292" fillId="0" borderId="0" xfId="0" applyFont="1" applyFill="1" applyBorder="1" applyAlignment="1"/>
    <xf numFmtId="10" fontId="8" fillId="0" borderId="0" xfId="0" applyNumberFormat="1" applyFont="1" applyAlignment="1">
      <alignment horizontal="center" vertical="center"/>
    </xf>
    <xf numFmtId="4" fontId="293" fillId="0" borderId="0" xfId="0" applyFont="1" applyFill="1" applyAlignment="1"/>
    <xf numFmtId="4" fontId="174" fillId="0" borderId="0" xfId="0" applyFont="1" applyFill="1" applyAlignment="1"/>
    <xf numFmtId="4" fontId="294" fillId="0" borderId="0" xfId="0" applyFont="1" applyFill="1" applyAlignment="1">
      <alignment horizontal="left"/>
    </xf>
    <xf numFmtId="4" fontId="293" fillId="0" borderId="0" xfId="0" applyFont="1" applyFill="1" applyAlignment="1">
      <alignment horizontal="center"/>
    </xf>
    <xf numFmtId="14" fontId="174" fillId="0" borderId="0" xfId="0" applyNumberFormat="1" applyFont="1" applyFill="1" applyAlignment="1"/>
    <xf numFmtId="49" fontId="177" fillId="55" borderId="152" xfId="0" applyNumberFormat="1" applyFont="1" applyFill="1" applyBorder="1" applyAlignment="1">
      <alignment horizontal="center" vertical="center" wrapText="1"/>
    </xf>
    <xf numFmtId="4" fontId="176" fillId="0" borderId="0" xfId="0" applyFont="1" applyFill="1" applyAlignment="1">
      <alignment horizontal="center" vertical="center"/>
    </xf>
    <xf numFmtId="1" fontId="296" fillId="55" borderId="23" xfId="0" applyNumberFormat="1" applyFont="1" applyFill="1" applyBorder="1" applyAlignment="1">
      <alignment horizontal="center"/>
    </xf>
    <xf numFmtId="1" fontId="296" fillId="55" borderId="130" xfId="0" applyNumberFormat="1" applyFont="1" applyFill="1" applyBorder="1" applyAlignment="1">
      <alignment horizontal="center"/>
    </xf>
    <xf numFmtId="1" fontId="296" fillId="55" borderId="24" xfId="0" applyNumberFormat="1" applyFont="1" applyFill="1" applyBorder="1" applyAlignment="1">
      <alignment horizontal="center" vertical="center" wrapText="1"/>
    </xf>
    <xf numFmtId="1" fontId="296" fillId="55" borderId="130" xfId="0" applyNumberFormat="1" applyFont="1" applyFill="1" applyBorder="1" applyAlignment="1">
      <alignment horizontal="center" vertical="center" wrapText="1"/>
    </xf>
    <xf numFmtId="4" fontId="186" fillId="0" borderId="117" xfId="0" applyFont="1" applyFill="1" applyBorder="1" applyAlignment="1">
      <alignment horizontal="center"/>
    </xf>
    <xf numFmtId="4" fontId="186" fillId="0" borderId="65" xfId="0" applyFont="1" applyFill="1" applyBorder="1" applyAlignment="1"/>
    <xf numFmtId="4" fontId="186" fillId="0" borderId="55" xfId="0" applyFont="1" applyFill="1" applyBorder="1" applyAlignment="1">
      <alignment horizontal="center"/>
    </xf>
    <xf numFmtId="170" fontId="186" fillId="56" borderId="65" xfId="0" applyNumberFormat="1" applyFont="1" applyFill="1" applyBorder="1" applyAlignment="1">
      <alignment vertical="center"/>
    </xf>
    <xf numFmtId="4" fontId="186" fillId="0" borderId="132" xfId="0" applyFont="1" applyFill="1" applyBorder="1" applyAlignment="1">
      <alignment horizontal="center"/>
    </xf>
    <xf numFmtId="4" fontId="186" fillId="0" borderId="61" xfId="0" applyFont="1" applyFill="1" applyBorder="1" applyAlignment="1"/>
    <xf numFmtId="170" fontId="297" fillId="56" borderId="65" xfId="0" applyNumberFormat="1" applyFont="1" applyFill="1" applyBorder="1" applyAlignment="1">
      <alignment vertical="center"/>
    </xf>
    <xf numFmtId="4" fontId="298" fillId="0" borderId="132" xfId="0" applyFont="1" applyFill="1" applyBorder="1" applyAlignment="1">
      <alignment horizontal="center"/>
    </xf>
    <xf numFmtId="4" fontId="295" fillId="0" borderId="61" xfId="0" applyFont="1" applyFill="1" applyBorder="1" applyAlignment="1"/>
    <xf numFmtId="4" fontId="295" fillId="0" borderId="55" xfId="0" applyFont="1" applyFill="1" applyBorder="1" applyAlignment="1">
      <alignment horizontal="center"/>
    </xf>
    <xf numFmtId="170" fontId="299" fillId="56" borderId="65" xfId="0" applyNumberFormat="1" applyFont="1" applyFill="1" applyBorder="1" applyAlignment="1">
      <alignment vertical="center"/>
    </xf>
    <xf numFmtId="4" fontId="299" fillId="0" borderId="0" xfId="0" applyFont="1" applyFill="1" applyAlignment="1"/>
    <xf numFmtId="170" fontId="299" fillId="56" borderId="118" xfId="0" applyNumberFormat="1" applyFont="1" applyFill="1" applyBorder="1" applyAlignment="1">
      <alignment vertical="center"/>
    </xf>
    <xf numFmtId="4" fontId="297" fillId="0" borderId="132" xfId="0" applyFont="1" applyFill="1" applyBorder="1" applyAlignment="1">
      <alignment horizontal="center"/>
    </xf>
    <xf numFmtId="4" fontId="297" fillId="0" borderId="61" xfId="0" applyFont="1" applyFill="1" applyBorder="1" applyAlignment="1">
      <alignment horizontal="center"/>
    </xf>
    <xf numFmtId="4" fontId="297" fillId="0" borderId="55" xfId="0" applyFont="1" applyFill="1" applyBorder="1" applyAlignment="1">
      <alignment horizontal="center"/>
    </xf>
    <xf numFmtId="4" fontId="186" fillId="0" borderId="61" xfId="0" applyFont="1" applyFill="1" applyBorder="1" applyAlignment="1">
      <alignment wrapText="1"/>
    </xf>
    <xf numFmtId="4" fontId="300" fillId="0" borderId="132" xfId="0" applyFont="1" applyFill="1" applyBorder="1" applyAlignment="1">
      <alignment horizontal="center"/>
    </xf>
    <xf numFmtId="4" fontId="297" fillId="0" borderId="61" xfId="0" applyFont="1" applyFill="1" applyBorder="1" applyAlignment="1"/>
    <xf numFmtId="4" fontId="297" fillId="0" borderId="61" xfId="0" applyFont="1" applyFill="1" applyBorder="1" applyAlignment="1">
      <alignment horizontal="center" wrapText="1"/>
    </xf>
    <xf numFmtId="170" fontId="299" fillId="56" borderId="65" xfId="0" applyNumberFormat="1" applyFont="1" applyFill="1" applyBorder="1" applyAlignment="1"/>
    <xf numFmtId="4" fontId="297" fillId="0" borderId="55" xfId="0" applyFont="1" applyFill="1" applyBorder="1" applyAlignment="1">
      <alignment horizontal="center" wrapText="1"/>
    </xf>
    <xf numFmtId="170" fontId="297" fillId="56" borderId="65" xfId="0" applyNumberFormat="1" applyFont="1" applyFill="1" applyBorder="1" applyAlignment="1"/>
    <xf numFmtId="4" fontId="297" fillId="0" borderId="0" xfId="0" applyFont="1" applyFill="1" applyAlignment="1"/>
    <xf numFmtId="4" fontId="186" fillId="0" borderId="62" xfId="0" applyFont="1" applyFill="1" applyBorder="1" applyAlignment="1">
      <alignment horizontal="center" wrapText="1"/>
    </xf>
    <xf numFmtId="170" fontId="186" fillId="56" borderId="61" xfId="0" applyNumberFormat="1" applyFont="1" applyFill="1" applyBorder="1" applyAlignment="1"/>
    <xf numFmtId="4" fontId="186" fillId="0" borderId="73" xfId="0" applyFont="1" applyFill="1" applyBorder="1" applyAlignment="1">
      <alignment horizontal="center"/>
    </xf>
    <xf numFmtId="4" fontId="186" fillId="0" borderId="70" xfId="0" applyFont="1" applyFill="1" applyBorder="1" applyAlignment="1">
      <alignment wrapText="1"/>
    </xf>
    <xf numFmtId="4" fontId="186" fillId="0" borderId="69" xfId="0" applyFont="1" applyFill="1" applyBorder="1" applyAlignment="1">
      <alignment horizontal="center" wrapText="1"/>
    </xf>
    <xf numFmtId="170" fontId="186" fillId="56" borderId="70" xfId="0" applyNumberFormat="1" applyFont="1" applyFill="1" applyBorder="1" applyAlignment="1"/>
    <xf numFmtId="1" fontId="174" fillId="0" borderId="0" xfId="0" applyNumberFormat="1" applyFont="1" applyFill="1" applyAlignment="1"/>
    <xf numFmtId="4" fontId="174" fillId="0" borderId="0" xfId="0" applyNumberFormat="1" applyFont="1" applyFill="1" applyAlignment="1"/>
    <xf numFmtId="0" fontId="104" fillId="0" borderId="125" xfId="0" applyNumberFormat="1" applyFont="1" applyBorder="1" applyAlignment="1">
      <alignment horizontal="center" vertical="center" wrapText="1"/>
    </xf>
    <xf numFmtId="0" fontId="104" fillId="0" borderId="17" xfId="0" applyNumberFormat="1" applyFont="1" applyBorder="1" applyAlignment="1">
      <alignment horizontal="center" vertical="center" wrapText="1"/>
    </xf>
    <xf numFmtId="172" fontId="105" fillId="0" borderId="62" xfId="1342" applyNumberFormat="1" applyFont="1" applyFill="1" applyBorder="1"/>
    <xf numFmtId="0" fontId="107" fillId="53" borderId="62" xfId="0" applyNumberFormat="1" applyFont="1" applyFill="1" applyBorder="1" applyAlignment="1">
      <alignment horizontal="left"/>
    </xf>
    <xf numFmtId="172" fontId="301" fillId="53" borderId="63" xfId="1342" applyNumberFormat="1" applyFont="1" applyFill="1" applyBorder="1"/>
    <xf numFmtId="0" fontId="302" fillId="53" borderId="62" xfId="0" applyNumberFormat="1" applyFont="1" applyFill="1" applyBorder="1" applyAlignment="1"/>
    <xf numFmtId="0" fontId="303" fillId="0" borderId="14" xfId="0" applyNumberFormat="1" applyFont="1" applyBorder="1" applyAlignment="1">
      <alignment horizontal="center"/>
    </xf>
    <xf numFmtId="172" fontId="301" fillId="0" borderId="63" xfId="1342" applyNumberFormat="1" applyFont="1" applyFill="1" applyBorder="1"/>
    <xf numFmtId="0" fontId="304" fillId="0" borderId="62" xfId="0" applyNumberFormat="1" applyFont="1" applyFill="1" applyBorder="1" applyAlignment="1">
      <alignment horizontal="right"/>
    </xf>
    <xf numFmtId="172" fontId="305" fillId="0" borderId="63" xfId="1342" applyNumberFormat="1" applyFont="1" applyFill="1" applyBorder="1"/>
    <xf numFmtId="0" fontId="303" fillId="0" borderId="64" xfId="0" applyNumberFormat="1" applyFont="1" applyBorder="1" applyAlignment="1">
      <alignment horizontal="center"/>
    </xf>
    <xf numFmtId="0" fontId="306" fillId="53" borderId="62" xfId="0" applyNumberFormat="1" applyFont="1" applyFill="1" applyBorder="1" applyAlignment="1">
      <alignment horizontal="right"/>
    </xf>
    <xf numFmtId="0" fontId="307" fillId="0" borderId="64" xfId="0" applyNumberFormat="1" applyFont="1" applyFill="1" applyBorder="1" applyAlignment="1" applyProtection="1">
      <alignment horizontal="left" wrapText="1"/>
    </xf>
    <xf numFmtId="172" fontId="308" fillId="0" borderId="63" xfId="1342" applyNumberFormat="1" applyFont="1" applyFill="1" applyBorder="1"/>
    <xf numFmtId="0" fontId="309" fillId="0" borderId="64" xfId="0" applyNumberFormat="1" applyFont="1" applyFill="1" applyBorder="1" applyAlignment="1" applyProtection="1">
      <alignment horizontal="left" wrapText="1"/>
    </xf>
    <xf numFmtId="172" fontId="310" fillId="0" borderId="63" xfId="1342" applyNumberFormat="1" applyFont="1" applyFill="1" applyBorder="1"/>
    <xf numFmtId="172" fontId="311" fillId="0" borderId="63" xfId="1342" applyNumberFormat="1" applyFont="1" applyFill="1" applyBorder="1"/>
    <xf numFmtId="0" fontId="312" fillId="53" borderId="62" xfId="0" applyNumberFormat="1" applyFont="1" applyFill="1" applyBorder="1" applyAlignment="1">
      <alignment horizontal="right"/>
    </xf>
    <xf numFmtId="0" fontId="104" fillId="53" borderId="62" xfId="0" applyNumberFormat="1" applyFont="1" applyFill="1" applyBorder="1" applyAlignment="1"/>
    <xf numFmtId="172" fontId="305" fillId="53" borderId="63" xfId="1342" applyNumberFormat="1" applyFont="1" applyFill="1" applyBorder="1"/>
    <xf numFmtId="0" fontId="313" fillId="57" borderId="62" xfId="0" applyNumberFormat="1" applyFont="1" applyFill="1" applyBorder="1" applyAlignment="1">
      <alignment horizontal="left"/>
    </xf>
    <xf numFmtId="172" fontId="313" fillId="57" borderId="63" xfId="1342" applyNumberFormat="1" applyFont="1" applyFill="1" applyBorder="1"/>
    <xf numFmtId="172" fontId="314" fillId="53" borderId="64" xfId="1342" applyNumberFormat="1" applyFont="1" applyFill="1" applyBorder="1"/>
    <xf numFmtId="0" fontId="315" fillId="53" borderId="62" xfId="0" applyNumberFormat="1" applyFont="1" applyFill="1" applyBorder="1" applyAlignment="1"/>
    <xf numFmtId="0" fontId="316" fillId="57" borderId="14" xfId="0" applyNumberFormat="1" applyFont="1" applyFill="1" applyBorder="1" applyAlignment="1">
      <alignment horizontal="center"/>
    </xf>
    <xf numFmtId="172" fontId="314" fillId="57" borderId="64" xfId="1342" applyNumberFormat="1" applyFont="1" applyFill="1" applyBorder="1"/>
    <xf numFmtId="0" fontId="313" fillId="57" borderId="62" xfId="0" applyNumberFormat="1" applyFont="1" applyFill="1" applyBorder="1" applyAlignment="1">
      <alignment horizontal="right"/>
    </xf>
    <xf numFmtId="172" fontId="317" fillId="57" borderId="63" xfId="1342" applyNumberFormat="1" applyFont="1" applyFill="1" applyBorder="1"/>
    <xf numFmtId="172" fontId="314" fillId="57" borderId="63" xfId="1342" applyNumberFormat="1" applyFont="1" applyFill="1" applyBorder="1"/>
    <xf numFmtId="0" fontId="316" fillId="57" borderId="64" xfId="0" applyNumberFormat="1" applyFont="1" applyFill="1" applyBorder="1" applyAlignment="1">
      <alignment horizontal="center"/>
    </xf>
    <xf numFmtId="0" fontId="318" fillId="57" borderId="64" xfId="0" applyNumberFormat="1" applyFont="1" applyFill="1" applyBorder="1" applyAlignment="1" applyProtection="1">
      <alignment horizontal="left" wrapText="1"/>
    </xf>
    <xf numFmtId="172" fontId="319" fillId="57" borderId="63" xfId="1342" applyNumberFormat="1" applyFont="1" applyFill="1" applyBorder="1"/>
    <xf numFmtId="172" fontId="319" fillId="57" borderId="64" xfId="1342" applyNumberFormat="1" applyFont="1" applyFill="1" applyBorder="1"/>
    <xf numFmtId="0" fontId="318" fillId="57" borderId="64" xfId="0" applyNumberFormat="1" applyFont="1" applyFill="1" applyBorder="1" applyAlignment="1" applyProtection="1">
      <alignment horizontal="right"/>
    </xf>
    <xf numFmtId="0" fontId="318" fillId="57" borderId="64" xfId="0" applyNumberFormat="1" applyFont="1" applyFill="1" applyBorder="1" applyAlignment="1" applyProtection="1">
      <alignment horizontal="right" shrinkToFit="1"/>
    </xf>
    <xf numFmtId="0" fontId="318" fillId="57" borderId="64" xfId="0" applyNumberFormat="1" applyFont="1" applyFill="1" applyBorder="1" applyAlignment="1" applyProtection="1">
      <alignment horizontal="left"/>
    </xf>
    <xf numFmtId="172" fontId="314" fillId="53" borderId="63" xfId="1342" applyNumberFormat="1" applyFont="1" applyFill="1" applyBorder="1"/>
    <xf numFmtId="0" fontId="320" fillId="58" borderId="62" xfId="0" applyNumberFormat="1" applyFont="1" applyFill="1" applyBorder="1" applyAlignment="1">
      <alignment horizontal="left"/>
    </xf>
    <xf numFmtId="172" fontId="105" fillId="58" borderId="63" xfId="1342" applyNumberFormat="1" applyFont="1" applyFill="1" applyBorder="1"/>
    <xf numFmtId="0" fontId="321" fillId="0" borderId="62" xfId="0" applyNumberFormat="1" applyFont="1" applyFill="1" applyBorder="1" applyAlignment="1">
      <alignment horizontal="right"/>
    </xf>
    <xf numFmtId="172" fontId="321" fillId="0" borderId="63" xfId="1342" applyNumberFormat="1" applyFont="1" applyFill="1" applyBorder="1"/>
    <xf numFmtId="0" fontId="105" fillId="59" borderId="62" xfId="0" applyNumberFormat="1" applyFont="1" applyFill="1" applyBorder="1" applyAlignment="1">
      <alignment horizontal="left"/>
    </xf>
    <xf numFmtId="172" fontId="105" fillId="59" borderId="63" xfId="1342" applyNumberFormat="1" applyFont="1" applyFill="1" applyBorder="1"/>
    <xf numFmtId="0" fontId="117" fillId="57" borderId="62" xfId="0" applyNumberFormat="1" applyFont="1" applyFill="1" applyBorder="1" applyAlignment="1"/>
    <xf numFmtId="179" fontId="117" fillId="57" borderId="63" xfId="1342" applyNumberFormat="1" applyFont="1" applyFill="1" applyBorder="1"/>
    <xf numFmtId="0" fontId="104" fillId="57" borderId="62" xfId="0" applyNumberFormat="1" applyFont="1" applyFill="1" applyBorder="1" applyAlignment="1"/>
    <xf numFmtId="172" fontId="104" fillId="57" borderId="63" xfId="1342" applyNumberFormat="1" applyFont="1" applyFill="1" applyBorder="1"/>
    <xf numFmtId="0" fontId="99" fillId="57" borderId="62" xfId="0" applyNumberFormat="1" applyFont="1" applyFill="1" applyBorder="1" applyAlignment="1"/>
    <xf numFmtId="4" fontId="104" fillId="47" borderId="73" xfId="0" applyFont="1" applyFill="1" applyBorder="1" applyAlignment="1">
      <alignment vertical="center"/>
    </xf>
    <xf numFmtId="4" fontId="0" fillId="55" borderId="24" xfId="0" applyFill="1" applyBorder="1" applyAlignment="1"/>
    <xf numFmtId="0" fontId="322" fillId="0" borderId="0" xfId="1421"/>
    <xf numFmtId="0" fontId="326" fillId="0" borderId="152" xfId="1421" applyFont="1" applyBorder="1" applyAlignment="1">
      <alignment horizontal="center" vertical="center" wrapText="1"/>
    </xf>
    <xf numFmtId="0" fontId="326" fillId="0" borderId="146" xfId="1421" applyFont="1" applyBorder="1" applyAlignment="1">
      <alignment horizontal="center" vertical="center" wrapText="1"/>
    </xf>
    <xf numFmtId="0" fontId="326" fillId="0" borderId="143" xfId="1421" applyFont="1" applyBorder="1" applyAlignment="1">
      <alignment horizontal="center" vertical="center" wrapText="1"/>
    </xf>
    <xf numFmtId="0" fontId="326" fillId="0" borderId="138" xfId="1421" applyFont="1" applyBorder="1" applyAlignment="1">
      <alignment horizontal="center" vertical="center" wrapText="1"/>
    </xf>
    <xf numFmtId="0" fontId="327" fillId="0" borderId="143" xfId="1421" applyFont="1" applyBorder="1" applyAlignment="1">
      <alignment horizontal="center" vertical="center" wrapText="1"/>
    </xf>
    <xf numFmtId="0" fontId="327" fillId="0" borderId="138" xfId="1421" applyFont="1" applyBorder="1" applyAlignment="1">
      <alignment horizontal="center" vertical="center" wrapText="1"/>
    </xf>
    <xf numFmtId="0" fontId="327" fillId="0" borderId="138" xfId="1421" applyFont="1" applyBorder="1" applyAlignment="1">
      <alignment horizontal="center" vertical="center"/>
    </xf>
    <xf numFmtId="0" fontId="326" fillId="0" borderId="88" xfId="1421" applyFont="1" applyBorder="1" applyAlignment="1">
      <alignment horizontal="center" vertical="center" wrapText="1"/>
    </xf>
    <xf numFmtId="0" fontId="327" fillId="0" borderId="143" xfId="1421" applyFont="1" applyBorder="1" applyAlignment="1">
      <alignment vertical="center" wrapText="1"/>
    </xf>
    <xf numFmtId="0" fontId="326" fillId="0" borderId="138" xfId="1421" applyFont="1" applyBorder="1" applyAlignment="1">
      <alignment horizontal="center" vertical="center"/>
    </xf>
    <xf numFmtId="0" fontId="327" fillId="0" borderId="138" xfId="1421" applyFont="1" applyBorder="1" applyAlignment="1">
      <alignment vertical="center" wrapText="1"/>
    </xf>
    <xf numFmtId="16" fontId="326" fillId="0" borderId="138" xfId="1421" applyNumberFormat="1" applyFont="1" applyBorder="1" applyAlignment="1">
      <alignment horizontal="center" vertical="center" wrapText="1"/>
    </xf>
    <xf numFmtId="0" fontId="327" fillId="0" borderId="135" xfId="1421" applyFont="1" applyBorder="1" applyAlignment="1">
      <alignment horizontal="right" vertical="center" wrapText="1"/>
    </xf>
    <xf numFmtId="0" fontId="327" fillId="0" borderId="143" xfId="1421" applyFont="1" applyBorder="1" applyAlignment="1">
      <alignment horizontal="right" vertical="center" wrapText="1"/>
    </xf>
    <xf numFmtId="0" fontId="327" fillId="60" borderId="138" xfId="1421" applyFont="1" applyFill="1" applyBorder="1" applyAlignment="1">
      <alignment horizontal="center" vertical="center" wrapText="1"/>
    </xf>
    <xf numFmtId="0" fontId="5" fillId="60" borderId="138" xfId="1421" applyFont="1" applyFill="1" applyBorder="1" applyAlignment="1">
      <alignment vertical="center"/>
    </xf>
    <xf numFmtId="0" fontId="326" fillId="60" borderId="88" xfId="1421" applyFont="1" applyFill="1" applyBorder="1" applyAlignment="1">
      <alignment horizontal="center" vertical="center" wrapText="1"/>
    </xf>
    <xf numFmtId="17" fontId="326" fillId="60" borderId="138" xfId="1421" applyNumberFormat="1" applyFont="1" applyFill="1" applyBorder="1" applyAlignment="1">
      <alignment horizontal="center" vertical="center" wrapText="1"/>
    </xf>
    <xf numFmtId="0" fontId="327" fillId="60" borderId="138" xfId="1421" applyFont="1" applyFill="1" applyBorder="1" applyAlignment="1">
      <alignment horizontal="center" vertical="center"/>
    </xf>
    <xf numFmtId="0" fontId="327" fillId="0" borderId="135" xfId="1421" applyFont="1" applyBorder="1" applyAlignment="1">
      <alignment vertical="center" wrapText="1"/>
    </xf>
    <xf numFmtId="0" fontId="327" fillId="60" borderId="88" xfId="1421" applyFont="1" applyFill="1" applyBorder="1" applyAlignment="1">
      <alignment horizontal="center" vertical="center"/>
    </xf>
    <xf numFmtId="0" fontId="322" fillId="0" borderId="143" xfId="1421" applyBorder="1" applyAlignment="1">
      <alignment vertical="center" wrapText="1"/>
    </xf>
    <xf numFmtId="0" fontId="327" fillId="0" borderId="135" xfId="1421" applyFont="1" applyBorder="1" applyAlignment="1">
      <alignment horizontal="justify" vertical="center" wrapText="1"/>
    </xf>
    <xf numFmtId="0" fontId="327" fillId="0" borderId="143" xfId="1421" applyFont="1" applyBorder="1" applyAlignment="1">
      <alignment horizontal="justify" vertical="center" wrapText="1"/>
    </xf>
    <xf numFmtId="0" fontId="326" fillId="0" borderId="135" xfId="1421" applyFont="1" applyBorder="1" applyAlignment="1">
      <alignment vertical="center" wrapText="1"/>
    </xf>
    <xf numFmtId="0" fontId="326" fillId="60" borderId="88" xfId="1421" applyFont="1" applyFill="1" applyBorder="1" applyAlignment="1">
      <alignment horizontal="center" vertical="center"/>
    </xf>
    <xf numFmtId="0" fontId="326" fillId="60" borderId="146" xfId="1421" applyFont="1" applyFill="1" applyBorder="1" applyAlignment="1">
      <alignment horizontal="center" vertical="center" wrapText="1"/>
    </xf>
    <xf numFmtId="0" fontId="326" fillId="60" borderId="138" xfId="1421" applyFont="1" applyFill="1" applyBorder="1" applyAlignment="1">
      <alignment horizontal="center" vertical="center" wrapText="1"/>
    </xf>
    <xf numFmtId="0" fontId="326" fillId="60" borderId="146" xfId="1421" applyFont="1" applyFill="1" applyBorder="1" applyAlignment="1">
      <alignment horizontal="center" vertical="center"/>
    </xf>
    <xf numFmtId="0" fontId="322" fillId="0" borderId="17" xfId="1421" applyBorder="1"/>
    <xf numFmtId="0" fontId="322" fillId="60" borderId="138" xfId="1421" applyFill="1" applyBorder="1" applyAlignment="1">
      <alignment vertical="center"/>
    </xf>
    <xf numFmtId="0" fontId="326" fillId="0" borderId="130" xfId="1421" applyFont="1" applyBorder="1" applyAlignment="1">
      <alignment vertical="center" wrapText="1"/>
    </xf>
    <xf numFmtId="0" fontId="326" fillId="0" borderId="142" xfId="1421" applyFont="1" applyBorder="1" applyAlignment="1">
      <alignment horizontal="center" vertical="center" wrapText="1"/>
    </xf>
    <xf numFmtId="0" fontId="326" fillId="0" borderId="142" xfId="1421" applyFont="1" applyBorder="1" applyAlignment="1">
      <alignment horizontal="center" vertical="center"/>
    </xf>
    <xf numFmtId="0" fontId="326" fillId="0" borderId="143" xfId="1421" applyFont="1" applyBorder="1" applyAlignment="1">
      <alignment vertical="center" wrapText="1"/>
    </xf>
    <xf numFmtId="0" fontId="322" fillId="0" borderId="0" xfId="1421" applyBorder="1"/>
    <xf numFmtId="0" fontId="322" fillId="0" borderId="0" xfId="1421" applyAlignment="1"/>
    <xf numFmtId="4" fontId="327" fillId="0" borderId="130" xfId="1421" applyNumberFormat="1" applyFont="1" applyBorder="1" applyAlignment="1"/>
    <xf numFmtId="4" fontId="327" fillId="0" borderId="138" xfId="1421" applyNumberFormat="1" applyFont="1" applyBorder="1" applyAlignment="1">
      <alignment vertical="center" wrapText="1"/>
    </xf>
    <xf numFmtId="4" fontId="22" fillId="52" borderId="14" xfId="0" applyFont="1" applyFill="1" applyBorder="1" applyAlignment="1">
      <alignment horizontal="center" vertical="center" wrapText="1"/>
    </xf>
    <xf numFmtId="0" fontId="174" fillId="0" borderId="14" xfId="1116" applyFont="1" applyFill="1" applyBorder="1" applyAlignment="1">
      <alignment horizontal="center" vertical="center" wrapText="1"/>
    </xf>
    <xf numFmtId="0" fontId="174" fillId="0" borderId="14" xfId="1116" applyFont="1" applyFill="1" applyBorder="1" applyAlignment="1">
      <alignment horizontal="center" vertical="center"/>
    </xf>
    <xf numFmtId="0" fontId="174" fillId="0" borderId="39" xfId="1116" applyFont="1" applyFill="1" applyBorder="1" applyAlignment="1">
      <alignment horizontal="center" vertical="center" wrapText="1"/>
    </xf>
    <xf numFmtId="0" fontId="174" fillId="0" borderId="85" xfId="1116" applyFont="1" applyFill="1" applyBorder="1" applyAlignment="1">
      <alignment horizontal="center" vertical="center" wrapText="1"/>
    </xf>
    <xf numFmtId="0" fontId="174" fillId="0" borderId="63" xfId="1116" applyFont="1" applyFill="1" applyBorder="1" applyAlignment="1">
      <alignment horizontal="center" vertical="center" wrapText="1"/>
    </xf>
    <xf numFmtId="49" fontId="332" fillId="0" borderId="0" xfId="0" applyNumberFormat="1" applyFont="1" applyAlignment="1"/>
    <xf numFmtId="4" fontId="333" fillId="0" borderId="14" xfId="0" applyFont="1" applyBorder="1" applyAlignment="1">
      <alignment wrapText="1"/>
    </xf>
    <xf numFmtId="49" fontId="7" fillId="28" borderId="14" xfId="1422" applyNumberFormat="1" applyFill="1" applyBorder="1" applyAlignment="1" applyProtection="1">
      <protection locked="0"/>
    </xf>
    <xf numFmtId="0" fontId="56" fillId="28" borderId="14" xfId="1422" applyNumberFormat="1" applyFont="1" applyFill="1" applyBorder="1" applyAlignment="1" applyProtection="1">
      <alignment wrapText="1"/>
      <protection locked="0"/>
    </xf>
    <xf numFmtId="4" fontId="333" fillId="0" borderId="39" xfId="0" applyFont="1" applyBorder="1" applyAlignment="1"/>
    <xf numFmtId="4" fontId="333" fillId="0" borderId="0" xfId="0" applyFont="1" applyAlignment="1"/>
    <xf numFmtId="49" fontId="56" fillId="28" borderId="0" xfId="0" applyNumberFormat="1" applyFont="1" applyFill="1" applyAlignment="1" applyProtection="1">
      <protection locked="0"/>
    </xf>
    <xf numFmtId="4" fontId="333" fillId="0" borderId="0" xfId="0" applyFont="1" applyAlignment="1">
      <alignment wrapText="1"/>
    </xf>
    <xf numFmtId="4" fontId="67" fillId="0" borderId="0" xfId="0" applyFont="1" applyFill="1" applyBorder="1" applyAlignment="1">
      <alignment vertical="center"/>
    </xf>
    <xf numFmtId="4" fontId="67" fillId="0" borderId="0" xfId="0" applyFont="1" applyFill="1" applyBorder="1" applyAlignment="1">
      <alignment vertical="center" wrapText="1"/>
    </xf>
    <xf numFmtId="4" fontId="333" fillId="0" borderId="39" xfId="0" applyFont="1" applyBorder="1" applyAlignment="1">
      <alignment horizontal="center"/>
    </xf>
    <xf numFmtId="4" fontId="333" fillId="0" borderId="43" xfId="0" applyFont="1" applyBorder="1" applyAlignment="1">
      <alignment horizontal="center"/>
    </xf>
    <xf numFmtId="4" fontId="333" fillId="0" borderId="43" xfId="0" applyFont="1" applyFill="1" applyBorder="1" applyAlignment="1">
      <alignment horizontal="center"/>
    </xf>
    <xf numFmtId="2" fontId="7" fillId="62" borderId="0" xfId="1423" applyNumberFormat="1" applyFill="1" applyAlignment="1"/>
    <xf numFmtId="2" fontId="7" fillId="53" borderId="0" xfId="1424" applyNumberFormat="1" applyFill="1" applyAlignment="1"/>
    <xf numFmtId="173" fontId="7" fillId="53" borderId="0" xfId="1424" applyNumberFormat="1" applyFill="1" applyAlignment="1"/>
    <xf numFmtId="2" fontId="7" fillId="53" borderId="0" xfId="1424" applyNumberFormat="1" applyFill="1" applyBorder="1" applyAlignment="1"/>
    <xf numFmtId="49" fontId="174" fillId="0" borderId="0" xfId="1136" applyFont="1" applyFill="1" applyBorder="1" applyAlignment="1">
      <alignment vertical="center"/>
    </xf>
    <xf numFmtId="4" fontId="334" fillId="61" borderId="0" xfId="0" applyFont="1" applyFill="1" applyBorder="1" applyAlignment="1"/>
    <xf numFmtId="4" fontId="334" fillId="61" borderId="156" xfId="0" applyFont="1" applyFill="1" applyBorder="1" applyAlignment="1"/>
    <xf numFmtId="200" fontId="174" fillId="3" borderId="14" xfId="1425" applyNumberFormat="1" applyFont="1" applyFill="1" applyBorder="1" applyAlignment="1" applyProtection="1">
      <alignment horizontal="right" vertical="center"/>
      <protection locked="0"/>
    </xf>
    <xf numFmtId="200" fontId="174" fillId="27" borderId="14" xfId="1425" applyNumberFormat="1" applyFont="1" applyFill="1" applyBorder="1" applyAlignment="1" applyProtection="1">
      <alignment horizontal="right" vertical="center"/>
      <protection locked="0"/>
    </xf>
    <xf numFmtId="200" fontId="134" fillId="3" borderId="90" xfId="1157" applyNumberFormat="1" applyFont="1" applyFill="1" applyBorder="1" applyAlignment="1" applyProtection="1">
      <alignment horizontal="right" vertical="center" wrapText="1"/>
      <protection locked="0"/>
    </xf>
    <xf numFmtId="200" fontId="134" fillId="3" borderId="96" xfId="1157" applyNumberFormat="1" applyFont="1" applyFill="1" applyBorder="1" applyAlignment="1" applyProtection="1">
      <alignment horizontal="right" vertical="center"/>
      <protection locked="0"/>
    </xf>
    <xf numFmtId="200" fontId="174" fillId="27" borderId="14" xfId="1426" applyNumberFormat="1" applyFont="1" applyFill="1" applyBorder="1" applyAlignment="1" applyProtection="1">
      <alignment horizontal="right" vertical="center"/>
      <protection locked="0"/>
    </xf>
    <xf numFmtId="200" fontId="177" fillId="0" borderId="14" xfId="1117" applyNumberFormat="1" applyFont="1" applyFill="1" applyBorder="1" applyAlignment="1" applyProtection="1">
      <alignment horizontal="right" vertical="center"/>
      <protection locked="0"/>
    </xf>
    <xf numFmtId="200" fontId="174" fillId="0" borderId="14" xfId="1117" applyNumberFormat="1" applyFont="1" applyFill="1" applyBorder="1" applyAlignment="1" applyProtection="1">
      <alignment horizontal="right" vertical="center"/>
      <protection locked="0"/>
    </xf>
    <xf numFmtId="200" fontId="177" fillId="27" borderId="14" xfId="1426" applyNumberFormat="1" applyFont="1" applyFill="1" applyBorder="1" applyAlignment="1" applyProtection="1">
      <alignment horizontal="right" vertical="center"/>
      <protection locked="0"/>
    </xf>
    <xf numFmtId="0" fontId="83" fillId="0" borderId="0" xfId="1116" applyFont="1" applyFill="1" applyBorder="1" applyAlignment="1">
      <alignment vertical="center"/>
    </xf>
    <xf numFmtId="200" fontId="174" fillId="0" borderId="0" xfId="1116" applyNumberFormat="1" applyFont="1" applyFill="1" applyBorder="1" applyAlignment="1">
      <alignment horizontal="right" vertical="center"/>
    </xf>
    <xf numFmtId="200" fontId="36" fillId="0" borderId="0" xfId="1356" applyNumberFormat="1" applyFill="1" applyBorder="1" applyAlignment="1">
      <alignment horizontal="right" vertical="center"/>
    </xf>
    <xf numFmtId="187" fontId="134" fillId="3" borderId="90" xfId="1157" applyNumberFormat="1" applyFont="1" applyFill="1" applyBorder="1" applyAlignment="1" applyProtection="1">
      <alignment horizontal="right" vertical="center" wrapText="1"/>
      <protection locked="0"/>
    </xf>
    <xf numFmtId="200" fontId="177" fillId="0" borderId="14" xfId="1116" applyNumberFormat="1" applyFont="1" applyFill="1" applyBorder="1" applyAlignment="1" applyProtection="1">
      <alignment horizontal="right" vertical="center" wrapText="1"/>
      <protection locked="0"/>
    </xf>
    <xf numFmtId="200" fontId="177" fillId="0" borderId="14" xfId="1116" applyNumberFormat="1" applyFont="1" applyFill="1" applyBorder="1" applyAlignment="1" applyProtection="1">
      <alignment horizontal="center" vertical="center" wrapText="1"/>
      <protection locked="0"/>
    </xf>
    <xf numFmtId="200" fontId="177" fillId="0" borderId="14" xfId="1116" applyNumberFormat="1" applyFont="1" applyFill="1" applyBorder="1" applyAlignment="1" applyProtection="1">
      <alignment vertical="center"/>
      <protection locked="0"/>
    </xf>
    <xf numFmtId="4" fontId="0" fillId="0" borderId="0" xfId="0" applyAlignment="1">
      <alignment wrapText="1"/>
    </xf>
    <xf numFmtId="4" fontId="0" fillId="0" borderId="0" xfId="0" applyAlignment="1">
      <alignment horizontal="center"/>
    </xf>
    <xf numFmtId="4" fontId="0" fillId="0" borderId="0" xfId="0" applyAlignment="1">
      <alignment vertical="center"/>
    </xf>
    <xf numFmtId="4" fontId="0" fillId="0" borderId="0" xfId="0" applyAlignment="1">
      <alignment horizontal="left" vertical="center"/>
    </xf>
    <xf numFmtId="4" fontId="0" fillId="0" borderId="152" xfId="0" applyBorder="1" applyAlignment="1">
      <alignment vertical="center"/>
    </xf>
    <xf numFmtId="4" fontId="0" fillId="0" borderId="13" xfId="0" applyBorder="1" applyAlignment="1">
      <alignment wrapText="1"/>
    </xf>
    <xf numFmtId="4" fontId="0" fillId="0" borderId="40" xfId="0" applyBorder="1" applyAlignment="1"/>
    <xf numFmtId="4" fontId="332" fillId="0" borderId="137" xfId="0" applyFont="1" applyBorder="1" applyAlignment="1"/>
    <xf numFmtId="4" fontId="0" fillId="0" borderId="65" xfId="0" applyBorder="1" applyAlignment="1">
      <alignment vertical="center"/>
    </xf>
    <xf numFmtId="4" fontId="0" fillId="0" borderId="79" xfId="0" applyBorder="1" applyAlignment="1">
      <alignment wrapText="1"/>
    </xf>
    <xf numFmtId="4" fontId="0" fillId="0" borderId="85" xfId="0" applyBorder="1" applyAlignment="1"/>
    <xf numFmtId="4" fontId="332" fillId="0" borderId="132" xfId="0" applyFont="1" applyBorder="1" applyAlignment="1">
      <alignment horizontal="center" vertical="center"/>
    </xf>
    <xf numFmtId="4" fontId="332" fillId="0" borderId="132" xfId="0" applyFont="1" applyBorder="1" applyAlignment="1">
      <alignment wrapText="1"/>
    </xf>
    <xf numFmtId="4" fontId="332" fillId="0" borderId="62" xfId="0" applyFont="1" applyBorder="1" applyAlignment="1">
      <alignment wrapText="1"/>
    </xf>
    <xf numFmtId="4" fontId="332" fillId="0" borderId="0" xfId="0" applyFont="1" applyFill="1" applyAlignment="1"/>
    <xf numFmtId="4" fontId="332" fillId="0" borderId="0" xfId="0" applyFont="1" applyAlignment="1"/>
    <xf numFmtId="4" fontId="0" fillId="0" borderId="132" xfId="0" applyFill="1" applyBorder="1" applyAlignment="1">
      <alignment horizontal="center" vertical="center"/>
    </xf>
    <xf numFmtId="172" fontId="0" fillId="0" borderId="80" xfId="0" applyNumberFormat="1" applyFill="1" applyBorder="1" applyAlignment="1">
      <alignment wrapText="1"/>
    </xf>
    <xf numFmtId="172" fontId="0" fillId="0" borderId="14" xfId="0" applyNumberFormat="1" applyFill="1" applyBorder="1" applyAlignment="1">
      <alignment horizontal="center"/>
    </xf>
    <xf numFmtId="4" fontId="0" fillId="58" borderId="0" xfId="0" applyFill="1" applyAlignment="1"/>
    <xf numFmtId="3" fontId="0" fillId="0" borderId="14" xfId="0" applyNumberFormat="1" applyFill="1" applyBorder="1" applyAlignment="1">
      <alignment horizontal="center"/>
    </xf>
    <xf numFmtId="4" fontId="332" fillId="0" borderId="132" xfId="0" applyFont="1" applyFill="1" applyBorder="1" applyAlignment="1">
      <alignment horizontal="center" vertical="center"/>
    </xf>
    <xf numFmtId="172" fontId="332" fillId="0" borderId="132" xfId="0" applyNumberFormat="1" applyFont="1" applyFill="1" applyBorder="1" applyAlignment="1">
      <alignment wrapText="1"/>
    </xf>
    <xf numFmtId="172" fontId="332" fillId="0" borderId="62" xfId="0" applyNumberFormat="1" applyFont="1" applyFill="1" applyBorder="1" applyAlignment="1">
      <alignment wrapText="1"/>
    </xf>
    <xf numFmtId="4" fontId="0" fillId="0" borderId="132" xfId="0" applyFont="1" applyFill="1" applyBorder="1" applyAlignment="1">
      <alignment horizontal="center" vertical="center"/>
    </xf>
    <xf numFmtId="172" fontId="0" fillId="0" borderId="80" xfId="0" applyNumberFormat="1" applyFont="1" applyFill="1" applyBorder="1" applyAlignment="1">
      <alignment wrapText="1"/>
    </xf>
    <xf numFmtId="172" fontId="0" fillId="0" borderId="14" xfId="0" applyNumberFormat="1" applyFont="1" applyFill="1" applyBorder="1" applyAlignment="1">
      <alignment horizontal="center"/>
    </xf>
    <xf numFmtId="172" fontId="0" fillId="0" borderId="14" xfId="0" applyNumberFormat="1" applyFont="1" applyFill="1" applyBorder="1" applyAlignment="1">
      <alignment horizontal="center" vertical="center" wrapText="1"/>
    </xf>
    <xf numFmtId="4" fontId="0" fillId="0" borderId="0" xfId="0" applyFont="1" applyFill="1" applyAlignment="1"/>
    <xf numFmtId="10" fontId="0" fillId="0" borderId="0" xfId="0" applyNumberFormat="1" applyFont="1" applyFill="1" applyAlignment="1"/>
    <xf numFmtId="4" fontId="0" fillId="58" borderId="0" xfId="0" applyFont="1" applyFill="1" applyAlignment="1"/>
    <xf numFmtId="3" fontId="335" fillId="0" borderId="14" xfId="0" applyNumberFormat="1" applyFont="1" applyFill="1" applyBorder="1" applyAlignment="1">
      <alignment horizontal="center" vertical="center" wrapText="1"/>
    </xf>
    <xf numFmtId="3" fontId="335" fillId="0" borderId="14" xfId="0" applyNumberFormat="1" applyFont="1" applyFill="1" applyBorder="1" applyAlignment="1">
      <alignment horizontal="center"/>
    </xf>
    <xf numFmtId="4" fontId="0" fillId="0" borderId="73" xfId="0" applyFill="1" applyBorder="1" applyAlignment="1">
      <alignment horizontal="center" vertical="center"/>
    </xf>
    <xf numFmtId="172" fontId="0" fillId="0" borderId="123" xfId="0" applyNumberFormat="1" applyFill="1" applyBorder="1" applyAlignment="1">
      <alignment wrapText="1"/>
    </xf>
    <xf numFmtId="172" fontId="0" fillId="0" borderId="18" xfId="0" applyNumberFormat="1" applyFill="1" applyBorder="1" applyAlignment="1">
      <alignment horizontal="center"/>
    </xf>
    <xf numFmtId="3" fontId="335" fillId="0" borderId="18" xfId="0" applyNumberFormat="1" applyFont="1" applyFill="1" applyBorder="1" applyAlignment="1">
      <alignment horizontal="center"/>
    </xf>
    <xf numFmtId="2" fontId="0" fillId="0" borderId="0" xfId="0" applyNumberFormat="1" applyAlignment="1">
      <alignment horizontal="center" vertical="center"/>
    </xf>
    <xf numFmtId="2" fontId="83" fillId="0" borderId="27" xfId="0" applyNumberFormat="1" applyFont="1" applyBorder="1" applyAlignment="1">
      <alignment horizontal="center"/>
    </xf>
    <xf numFmtId="168" fontId="81" fillId="3" borderId="21" xfId="0" applyNumberFormat="1" applyFont="1" applyFill="1" applyBorder="1" applyAlignment="1">
      <alignment horizontal="right"/>
    </xf>
    <xf numFmtId="4" fontId="88" fillId="3" borderId="21" xfId="0" applyNumberFormat="1" applyFont="1" applyFill="1" applyBorder="1" applyAlignment="1">
      <alignment horizontal="right"/>
    </xf>
    <xf numFmtId="4" fontId="336" fillId="0" borderId="0" xfId="0" applyFont="1" applyFill="1" applyAlignment="1" applyProtection="1">
      <alignment vertical="center"/>
    </xf>
    <xf numFmtId="4" fontId="337" fillId="0" borderId="0" xfId="0" applyFont="1" applyAlignment="1" applyProtection="1">
      <protection locked="0"/>
    </xf>
    <xf numFmtId="4" fontId="337" fillId="0" borderId="0" xfId="0" applyFont="1" applyAlignment="1" applyProtection="1">
      <alignment horizontal="center"/>
      <protection locked="0"/>
    </xf>
    <xf numFmtId="4" fontId="337" fillId="0" borderId="0" xfId="0" applyFont="1" applyFill="1" applyAlignment="1" applyProtection="1">
      <protection locked="0"/>
    </xf>
    <xf numFmtId="0" fontId="338" fillId="0" borderId="0" xfId="1427" applyFont="1" applyFill="1" applyAlignment="1" applyProtection="1">
      <protection locked="0"/>
    </xf>
    <xf numFmtId="4" fontId="338" fillId="0" borderId="0" xfId="0" applyFont="1" applyAlignment="1" applyProtection="1">
      <protection locked="0"/>
    </xf>
    <xf numFmtId="4" fontId="339" fillId="0" borderId="0" xfId="1427" applyNumberFormat="1" applyFont="1" applyFill="1" applyAlignment="1" applyProtection="1">
      <alignment wrapText="1"/>
      <protection locked="0"/>
    </xf>
    <xf numFmtId="217" fontId="340" fillId="0" borderId="0" xfId="0" applyNumberFormat="1" applyFont="1" applyAlignment="1" applyProtection="1">
      <protection locked="0"/>
    </xf>
    <xf numFmtId="4" fontId="340" fillId="0" borderId="0" xfId="0" applyFont="1" applyAlignment="1" applyProtection="1">
      <protection locked="0"/>
    </xf>
    <xf numFmtId="171" fontId="340" fillId="0" borderId="0" xfId="0" applyNumberFormat="1" applyFont="1" applyAlignment="1" applyProtection="1">
      <protection locked="0"/>
    </xf>
    <xf numFmtId="216" fontId="340" fillId="0" borderId="0" xfId="0" applyNumberFormat="1" applyFont="1" applyAlignment="1" applyProtection="1">
      <protection locked="0"/>
    </xf>
    <xf numFmtId="4" fontId="340" fillId="0" borderId="0" xfId="0" applyFont="1" applyAlignment="1" applyProtection="1">
      <alignment wrapText="1"/>
      <protection locked="0"/>
    </xf>
    <xf numFmtId="4" fontId="341" fillId="0" borderId="0" xfId="0" applyFont="1" applyFill="1" applyBorder="1" applyAlignment="1" applyProtection="1"/>
    <xf numFmtId="4" fontId="342" fillId="0" borderId="0" xfId="0" applyFont="1" applyFill="1" applyBorder="1" applyAlignment="1" applyProtection="1">
      <alignment horizontal="left" vertical="center" wrapText="1"/>
      <protection locked="0"/>
    </xf>
    <xf numFmtId="4" fontId="337" fillId="0" borderId="0" xfId="0" applyFont="1" applyFill="1" applyBorder="1" applyAlignment="1" applyProtection="1">
      <alignment horizontal="center" vertical="center" wrapText="1"/>
      <protection locked="0"/>
    </xf>
    <xf numFmtId="167" fontId="337" fillId="0" borderId="0" xfId="1427" applyNumberFormat="1" applyFont="1" applyFill="1" applyAlignment="1" applyProtection="1">
      <alignment wrapText="1"/>
      <protection locked="0"/>
    </xf>
    <xf numFmtId="171" fontId="343" fillId="0" borderId="0" xfId="1427" applyNumberFormat="1" applyFont="1" applyFill="1" applyAlignment="1" applyProtection="1">
      <alignment wrapText="1"/>
      <protection locked="0"/>
    </xf>
    <xf numFmtId="171" fontId="339" fillId="0" borderId="0" xfId="0" applyNumberFormat="1" applyFont="1" applyFill="1" applyAlignment="1" applyProtection="1">
      <protection locked="0"/>
    </xf>
    <xf numFmtId="171" fontId="340" fillId="0" borderId="0" xfId="1427" applyNumberFormat="1" applyFont="1" applyFill="1" applyAlignment="1" applyProtection="1">
      <alignment wrapText="1"/>
      <protection locked="0"/>
    </xf>
    <xf numFmtId="0" fontId="340" fillId="0" borderId="0" xfId="1427" applyFont="1" applyFill="1" applyAlignment="1" applyProtection="1">
      <alignment wrapText="1"/>
      <protection locked="0"/>
    </xf>
    <xf numFmtId="216" fontId="340" fillId="0" borderId="0" xfId="1427" applyNumberFormat="1" applyFont="1" applyFill="1" applyAlignment="1" applyProtection="1">
      <alignment wrapText="1"/>
      <protection locked="0"/>
    </xf>
    <xf numFmtId="168" fontId="340" fillId="0" borderId="0" xfId="1427" applyNumberFormat="1" applyFont="1" applyFill="1" applyAlignment="1" applyProtection="1">
      <alignment wrapText="1"/>
      <protection locked="0"/>
    </xf>
    <xf numFmtId="4" fontId="339" fillId="0" borderId="0" xfId="0" applyFont="1" applyAlignment="1" applyProtection="1">
      <alignment horizontal="right"/>
      <protection locked="0"/>
    </xf>
    <xf numFmtId="4" fontId="344" fillId="0" borderId="0" xfId="0" applyFont="1" applyFill="1" applyBorder="1" applyAlignment="1" applyProtection="1">
      <alignment vertical="center"/>
      <protection locked="0"/>
    </xf>
    <xf numFmtId="0" fontId="337" fillId="0" borderId="0" xfId="1427" applyFont="1" applyFill="1" applyAlignment="1" applyProtection="1">
      <alignment wrapText="1"/>
      <protection locked="0"/>
    </xf>
    <xf numFmtId="0" fontId="343" fillId="0" borderId="0" xfId="1427" applyFont="1" applyFill="1" applyAlignment="1" applyProtection="1">
      <alignment wrapText="1"/>
      <protection locked="0"/>
    </xf>
    <xf numFmtId="171" fontId="339" fillId="0" borderId="0" xfId="1427" applyNumberFormat="1" applyFont="1" applyFill="1" applyAlignment="1" applyProtection="1">
      <alignment wrapText="1"/>
      <protection locked="0"/>
    </xf>
    <xf numFmtId="217" fontId="340" fillId="0" borderId="0" xfId="1427" applyNumberFormat="1" applyFont="1" applyFill="1" applyAlignment="1" applyProtection="1">
      <alignment wrapText="1"/>
      <protection locked="0"/>
    </xf>
    <xf numFmtId="0" fontId="340" fillId="0" borderId="0" xfId="1427" applyFont="1" applyFill="1" applyProtection="1">
      <protection locked="0"/>
    </xf>
    <xf numFmtId="4" fontId="342" fillId="0" borderId="160" xfId="0" applyFont="1" applyFill="1" applyBorder="1" applyAlignment="1" applyProtection="1">
      <alignment horizontal="center" vertical="center"/>
    </xf>
    <xf numFmtId="4" fontId="337" fillId="0" borderId="169" xfId="0" applyFont="1" applyFill="1" applyBorder="1" applyAlignment="1" applyProtection="1">
      <protection locked="0"/>
    </xf>
    <xf numFmtId="4" fontId="342" fillId="0" borderId="170" xfId="0" applyFont="1" applyFill="1" applyBorder="1" applyAlignment="1" applyProtection="1">
      <alignment horizontal="center" vertical="center" wrapText="1"/>
      <protection locked="0"/>
    </xf>
    <xf numFmtId="4" fontId="342" fillId="0" borderId="171" xfId="0" applyFont="1" applyFill="1" applyBorder="1" applyAlignment="1" applyProtection="1">
      <alignment horizontal="center" vertical="center" wrapText="1"/>
      <protection locked="0"/>
    </xf>
    <xf numFmtId="4" fontId="337" fillId="0" borderId="142" xfId="0" applyFont="1" applyFill="1" applyBorder="1" applyAlignment="1" applyProtection="1">
      <protection locked="0"/>
    </xf>
    <xf numFmtId="4" fontId="342" fillId="0" borderId="175" xfId="0" applyFont="1" applyFill="1" applyBorder="1" applyAlignment="1" applyProtection="1">
      <alignment horizontal="center" vertical="center"/>
    </xf>
    <xf numFmtId="4" fontId="342" fillId="0" borderId="173" xfId="0" applyFont="1" applyFill="1" applyBorder="1" applyAlignment="1" applyProtection="1">
      <alignment horizontal="center" vertical="center"/>
    </xf>
    <xf numFmtId="4" fontId="342" fillId="0" borderId="174" xfId="0" applyFont="1" applyFill="1" applyBorder="1" applyAlignment="1" applyProtection="1">
      <alignment horizontal="center" vertical="center"/>
    </xf>
    <xf numFmtId="4" fontId="342" fillId="0" borderId="173" xfId="0" applyFont="1" applyFill="1" applyBorder="1" applyAlignment="1" applyProtection="1">
      <alignment horizontal="center" vertical="center" wrapText="1"/>
    </xf>
    <xf numFmtId="4" fontId="342" fillId="0" borderId="174" xfId="0" applyFont="1" applyFill="1" applyBorder="1" applyAlignment="1" applyProtection="1">
      <alignment horizontal="center" vertical="center" wrapText="1"/>
    </xf>
    <xf numFmtId="4" fontId="342" fillId="0" borderId="175" xfId="0" applyFont="1" applyFill="1" applyBorder="1" applyAlignment="1" applyProtection="1">
      <alignment horizontal="center" vertical="center" wrapText="1"/>
    </xf>
    <xf numFmtId="4" fontId="342" fillId="0" borderId="176" xfId="0" applyFont="1" applyFill="1" applyBorder="1" applyAlignment="1" applyProtection="1">
      <alignment horizontal="center" vertical="center" wrapText="1"/>
    </xf>
    <xf numFmtId="4" fontId="342" fillId="0" borderId="172" xfId="0" applyFont="1" applyFill="1" applyBorder="1" applyAlignment="1" applyProtection="1">
      <alignment horizontal="center" vertical="center" wrapText="1"/>
    </xf>
    <xf numFmtId="4" fontId="342" fillId="0" borderId="177" xfId="0" applyFont="1" applyFill="1" applyBorder="1" applyAlignment="1" applyProtection="1">
      <alignment horizontal="center" vertical="center" wrapText="1"/>
    </xf>
    <xf numFmtId="4" fontId="342" fillId="0" borderId="178" xfId="0" applyFont="1" applyFill="1" applyBorder="1" applyAlignment="1" applyProtection="1">
      <alignment horizontal="center" vertical="center" wrapText="1"/>
    </xf>
    <xf numFmtId="4" fontId="342" fillId="0" borderId="180" xfId="0" applyFont="1" applyFill="1" applyBorder="1" applyAlignment="1" applyProtection="1">
      <alignment horizontal="center" vertical="center" wrapText="1"/>
      <protection locked="0"/>
    </xf>
    <xf numFmtId="4" fontId="342" fillId="0" borderId="181" xfId="0" applyFont="1" applyFill="1" applyBorder="1" applyAlignment="1" applyProtection="1">
      <alignment horizontal="center" vertical="center" wrapText="1"/>
      <protection locked="0"/>
    </xf>
    <xf numFmtId="4" fontId="342" fillId="0" borderId="173" xfId="0" applyFont="1" applyFill="1" applyBorder="1" applyAlignment="1" applyProtection="1">
      <alignment horizontal="center" vertical="center" wrapText="1"/>
      <protection locked="0"/>
    </xf>
    <xf numFmtId="4" fontId="337" fillId="0" borderId="169" xfId="0" applyFont="1" applyFill="1" applyBorder="1" applyAlignment="1" applyProtection="1">
      <alignment wrapText="1"/>
      <protection locked="0"/>
    </xf>
    <xf numFmtId="4" fontId="342" fillId="0" borderId="174" xfId="0" applyFont="1" applyFill="1" applyBorder="1" applyAlignment="1" applyProtection="1">
      <alignment horizontal="center" vertical="center" wrapText="1"/>
      <protection locked="0"/>
    </xf>
    <xf numFmtId="4" fontId="337" fillId="0" borderId="0" xfId="0" applyFont="1" applyFill="1" applyAlignment="1" applyProtection="1">
      <alignment wrapText="1"/>
      <protection locked="0"/>
    </xf>
    <xf numFmtId="49" fontId="339" fillId="63" borderId="172" xfId="0" applyNumberFormat="1" applyFont="1" applyFill="1" applyBorder="1" applyAlignment="1" applyProtection="1">
      <alignment vertical="center"/>
    </xf>
    <xf numFmtId="4" fontId="339" fillId="63" borderId="173" xfId="0" applyFont="1" applyFill="1" applyBorder="1" applyAlignment="1" applyProtection="1">
      <alignment horizontal="left" vertical="center" wrapText="1"/>
    </xf>
    <xf numFmtId="4" fontId="339" fillId="63" borderId="174" xfId="0" applyFont="1" applyFill="1" applyBorder="1" applyAlignment="1" applyProtection="1">
      <alignment horizontal="center" vertical="center" wrapText="1"/>
      <protection locked="0"/>
    </xf>
    <xf numFmtId="216" fontId="337" fillId="63" borderId="175" xfId="0" applyNumberFormat="1" applyFont="1" applyFill="1" applyBorder="1" applyAlignment="1" applyProtection="1">
      <alignment horizontal="right" vertical="center"/>
      <protection locked="0"/>
    </xf>
    <xf numFmtId="216" fontId="337" fillId="63" borderId="173" xfId="0" applyNumberFormat="1" applyFont="1" applyFill="1" applyBorder="1" applyAlignment="1" applyProtection="1">
      <alignment horizontal="right" vertical="center"/>
      <protection locked="0"/>
    </xf>
    <xf numFmtId="216" fontId="337" fillId="63" borderId="174" xfId="0" applyNumberFormat="1" applyFont="1" applyFill="1" applyBorder="1" applyAlignment="1" applyProtection="1">
      <alignment horizontal="right" vertical="center"/>
      <protection locked="0"/>
    </xf>
    <xf numFmtId="216" fontId="337" fillId="63" borderId="176" xfId="0" applyNumberFormat="1" applyFont="1" applyFill="1" applyBorder="1" applyAlignment="1" applyProtection="1">
      <alignment horizontal="right" vertical="center"/>
      <protection locked="0"/>
    </xf>
    <xf numFmtId="216" fontId="337" fillId="63" borderId="172" xfId="0" applyNumberFormat="1" applyFont="1" applyFill="1" applyBorder="1" applyAlignment="1" applyProtection="1">
      <alignment horizontal="right" vertical="center"/>
      <protection locked="0"/>
    </xf>
    <xf numFmtId="216" fontId="337" fillId="63" borderId="177" xfId="0" applyNumberFormat="1" applyFont="1" applyFill="1" applyBorder="1" applyAlignment="1" applyProtection="1">
      <alignment horizontal="right" vertical="center"/>
      <protection locked="0"/>
    </xf>
    <xf numFmtId="216" fontId="337" fillId="63" borderId="178" xfId="0" applyNumberFormat="1" applyFont="1" applyFill="1" applyBorder="1" applyAlignment="1" applyProtection="1">
      <alignment horizontal="right" vertical="center"/>
      <protection locked="0"/>
    </xf>
    <xf numFmtId="4" fontId="337" fillId="63" borderId="179" xfId="0" applyFont="1" applyFill="1" applyBorder="1" applyAlignment="1" applyProtection="1">
      <alignment horizontal="center" vertical="center" wrapText="1"/>
      <protection locked="0"/>
    </xf>
    <xf numFmtId="4" fontId="337" fillId="0" borderId="169" xfId="0" applyFont="1" applyBorder="1" applyAlignment="1" applyProtection="1">
      <protection locked="0"/>
    </xf>
    <xf numFmtId="4" fontId="339" fillId="63" borderId="173" xfId="0" applyFont="1" applyFill="1" applyBorder="1" applyAlignment="1" applyProtection="1">
      <alignment horizontal="left" vertical="center" wrapText="1" indent="1"/>
    </xf>
    <xf numFmtId="49" fontId="342" fillId="58" borderId="172" xfId="0" applyNumberFormat="1" applyFont="1" applyFill="1" applyBorder="1" applyAlignment="1" applyProtection="1">
      <alignment horizontal="left" vertical="center"/>
    </xf>
    <xf numFmtId="4" fontId="342" fillId="58" borderId="173" xfId="0" applyFont="1" applyFill="1" applyBorder="1" applyAlignment="1" applyProtection="1">
      <alignment horizontal="left" vertical="center" wrapText="1" indent="1"/>
    </xf>
    <xf numFmtId="4" fontId="342" fillId="58" borderId="174" xfId="0" applyFont="1" applyFill="1" applyBorder="1" applyAlignment="1" applyProtection="1">
      <alignment horizontal="center" vertical="center"/>
      <protection locked="0"/>
    </xf>
    <xf numFmtId="216" fontId="342" fillId="58" borderId="175" xfId="0" applyNumberFormat="1" applyFont="1" applyFill="1" applyBorder="1" applyAlignment="1" applyProtection="1">
      <alignment horizontal="right" vertical="center"/>
      <protection locked="0"/>
    </xf>
    <xf numFmtId="216" fontId="342" fillId="58" borderId="173" xfId="0" applyNumberFormat="1" applyFont="1" applyFill="1" applyBorder="1" applyAlignment="1" applyProtection="1">
      <alignment horizontal="right" vertical="center"/>
      <protection locked="0"/>
    </xf>
    <xf numFmtId="216" fontId="342" fillId="58" borderId="174" xfId="0" applyNumberFormat="1" applyFont="1" applyFill="1" applyBorder="1" applyAlignment="1" applyProtection="1">
      <alignment horizontal="right" vertical="center"/>
      <protection locked="0"/>
    </xf>
    <xf numFmtId="216" fontId="342" fillId="58" borderId="176" xfId="0" applyNumberFormat="1" applyFont="1" applyFill="1" applyBorder="1" applyAlignment="1" applyProtection="1">
      <alignment horizontal="right" vertical="center"/>
      <protection locked="0"/>
    </xf>
    <xf numFmtId="216" fontId="342" fillId="58" borderId="172" xfId="0" applyNumberFormat="1" applyFont="1" applyFill="1" applyBorder="1" applyAlignment="1" applyProtection="1">
      <alignment horizontal="right" vertical="center"/>
      <protection locked="0"/>
    </xf>
    <xf numFmtId="216" fontId="342" fillId="58" borderId="177" xfId="0" applyNumberFormat="1" applyFont="1" applyFill="1" applyBorder="1" applyAlignment="1" applyProtection="1">
      <alignment horizontal="right" vertical="center"/>
      <protection locked="0"/>
    </xf>
    <xf numFmtId="216" fontId="342" fillId="58" borderId="178" xfId="0" applyNumberFormat="1" applyFont="1" applyFill="1" applyBorder="1" applyAlignment="1" applyProtection="1">
      <alignment horizontal="right" vertical="center"/>
      <protection locked="0"/>
    </xf>
    <xf numFmtId="4" fontId="342" fillId="58" borderId="179" xfId="0" applyFont="1" applyFill="1" applyBorder="1" applyAlignment="1" applyProtection="1">
      <alignment horizontal="center" vertical="center" wrapText="1"/>
      <protection locked="0"/>
    </xf>
    <xf numFmtId="4" fontId="342" fillId="0" borderId="169" xfId="0" applyFont="1" applyFill="1" applyBorder="1" applyAlignment="1" applyProtection="1">
      <protection locked="0"/>
    </xf>
    <xf numFmtId="4" fontId="342" fillId="0" borderId="0" xfId="0" applyFont="1" applyFill="1" applyAlignment="1" applyProtection="1">
      <protection locked="0"/>
    </xf>
    <xf numFmtId="4" fontId="342" fillId="0" borderId="172" xfId="0" applyFont="1" applyFill="1" applyBorder="1" applyAlignment="1" applyProtection="1">
      <alignment vertical="center"/>
    </xf>
    <xf numFmtId="4" fontId="342" fillId="0" borderId="173" xfId="0" applyFont="1" applyFill="1" applyBorder="1" applyAlignment="1" applyProtection="1">
      <alignment horizontal="left" vertical="center" wrapText="1" indent="1"/>
    </xf>
    <xf numFmtId="216" fontId="342" fillId="64" borderId="175" xfId="0" applyNumberFormat="1" applyFont="1" applyFill="1" applyBorder="1" applyAlignment="1" applyProtection="1">
      <alignment horizontal="right" vertical="center"/>
      <protection locked="0"/>
    </xf>
    <xf numFmtId="216" fontId="342" fillId="0" borderId="173" xfId="0" applyNumberFormat="1" applyFont="1" applyFill="1" applyBorder="1" applyAlignment="1" applyProtection="1">
      <alignment horizontal="right" vertical="center"/>
    </xf>
    <xf numFmtId="216" fontId="342" fillId="0" borderId="174" xfId="0" applyNumberFormat="1" applyFont="1" applyFill="1" applyBorder="1" applyAlignment="1" applyProtection="1">
      <alignment horizontal="right" vertical="center"/>
    </xf>
    <xf numFmtId="216" fontId="342" fillId="0" borderId="175" xfId="0" applyNumberFormat="1" applyFont="1" applyFill="1" applyBorder="1" applyAlignment="1" applyProtection="1">
      <alignment horizontal="right" vertical="center"/>
    </xf>
    <xf numFmtId="216" fontId="342" fillId="0" borderId="176" xfId="0" applyNumberFormat="1" applyFont="1" applyFill="1" applyBorder="1" applyAlignment="1" applyProtection="1">
      <alignment horizontal="right" vertical="center"/>
    </xf>
    <xf numFmtId="216" fontId="342" fillId="0" borderId="172" xfId="0" applyNumberFormat="1" applyFont="1" applyFill="1" applyBorder="1" applyAlignment="1" applyProtection="1">
      <alignment horizontal="right" vertical="center"/>
    </xf>
    <xf numFmtId="216" fontId="342" fillId="0" borderId="177" xfId="0" applyNumberFormat="1" applyFont="1" applyFill="1" applyBorder="1" applyAlignment="1" applyProtection="1">
      <alignment horizontal="right" vertical="center"/>
    </xf>
    <xf numFmtId="216" fontId="342" fillId="0" borderId="178" xfId="0" applyNumberFormat="1" applyFont="1" applyFill="1" applyBorder="1" applyAlignment="1" applyProtection="1">
      <alignment horizontal="right" vertical="center"/>
    </xf>
    <xf numFmtId="4" fontId="342" fillId="0" borderId="179" xfId="0" applyFont="1" applyFill="1" applyBorder="1" applyAlignment="1" applyProtection="1">
      <alignment horizontal="left" vertical="center"/>
      <protection locked="0"/>
    </xf>
    <xf numFmtId="216" fontId="342" fillId="0" borderId="173" xfId="0" applyNumberFormat="1" applyFont="1" applyFill="1" applyBorder="1" applyAlignment="1" applyProtection="1">
      <alignment horizontal="right" vertical="center"/>
      <protection locked="0"/>
    </xf>
    <xf numFmtId="216" fontId="342" fillId="0" borderId="174" xfId="0" applyNumberFormat="1" applyFont="1" applyFill="1" applyBorder="1" applyAlignment="1" applyProtection="1">
      <alignment horizontal="right" vertical="center"/>
      <protection locked="0"/>
    </xf>
    <xf numFmtId="49" fontId="337" fillId="0" borderId="172" xfId="0" applyNumberFormat="1" applyFont="1" applyFill="1" applyBorder="1" applyAlignment="1" applyProtection="1">
      <alignment horizontal="left" vertical="center"/>
    </xf>
    <xf numFmtId="4" fontId="337" fillId="0" borderId="173" xfId="0" applyFont="1" applyFill="1" applyBorder="1" applyAlignment="1" applyProtection="1">
      <alignment horizontal="left" vertical="center" wrapText="1" indent="3"/>
    </xf>
    <xf numFmtId="170" fontId="337" fillId="0" borderId="174" xfId="0" applyNumberFormat="1" applyFont="1" applyFill="1" applyBorder="1" applyAlignment="1" applyProtection="1">
      <alignment horizontal="center" vertical="center" wrapText="1"/>
    </xf>
    <xf numFmtId="216" fontId="337" fillId="64" borderId="175" xfId="0" applyNumberFormat="1" applyFont="1" applyFill="1" applyBorder="1" applyAlignment="1" applyProtection="1">
      <alignment horizontal="right" vertical="center"/>
      <protection locked="0"/>
    </xf>
    <xf numFmtId="216" fontId="337" fillId="64" borderId="173" xfId="0" applyNumberFormat="1" applyFont="1" applyFill="1" applyBorder="1" applyAlignment="1" applyProtection="1">
      <alignment horizontal="right" vertical="center"/>
      <protection locked="0"/>
    </xf>
    <xf numFmtId="216" fontId="337" fillId="0" borderId="174" xfId="0" applyNumberFormat="1" applyFont="1" applyFill="1" applyBorder="1" applyAlignment="1" applyProtection="1">
      <alignment horizontal="right" vertical="center"/>
    </xf>
    <xf numFmtId="216" fontId="337" fillId="0" borderId="173" xfId="0" applyNumberFormat="1" applyFont="1" applyFill="1" applyBorder="1" applyAlignment="1" applyProtection="1">
      <alignment horizontal="right" vertical="center"/>
    </xf>
    <xf numFmtId="216" fontId="337" fillId="0" borderId="176" xfId="0" applyNumberFormat="1" applyFont="1" applyFill="1" applyBorder="1" applyAlignment="1" applyProtection="1">
      <alignment horizontal="right" vertical="center"/>
    </xf>
    <xf numFmtId="216" fontId="337" fillId="0" borderId="172" xfId="0" applyNumberFormat="1" applyFont="1" applyFill="1" applyBorder="1" applyAlignment="1" applyProtection="1">
      <alignment horizontal="right" vertical="center"/>
    </xf>
    <xf numFmtId="216" fontId="337" fillId="64" borderId="177" xfId="0" applyNumberFormat="1" applyFont="1" applyFill="1" applyBorder="1" applyAlignment="1" applyProtection="1">
      <alignment horizontal="right" vertical="center"/>
      <protection locked="0"/>
    </xf>
    <xf numFmtId="216" fontId="337" fillId="0" borderId="178" xfId="0" applyNumberFormat="1" applyFont="1" applyFill="1" applyBorder="1" applyAlignment="1" applyProtection="1">
      <alignment horizontal="right" vertical="center"/>
    </xf>
    <xf numFmtId="216" fontId="337" fillId="0" borderId="175" xfId="0" applyNumberFormat="1" applyFont="1" applyFill="1" applyBorder="1" applyAlignment="1" applyProtection="1">
      <alignment horizontal="right" vertical="center"/>
    </xf>
    <xf numFmtId="4" fontId="337" fillId="0" borderId="179" xfId="0" applyFont="1" applyFill="1" applyBorder="1" applyAlignment="1" applyProtection="1">
      <alignment horizontal="center" vertical="center" wrapText="1"/>
      <protection locked="0"/>
    </xf>
    <xf numFmtId="216" fontId="337" fillId="0" borderId="174" xfId="0" applyNumberFormat="1" applyFont="1" applyFill="1" applyBorder="1" applyAlignment="1" applyProtection="1">
      <alignment horizontal="right" vertical="center"/>
      <protection locked="0"/>
    </xf>
    <xf numFmtId="216" fontId="337" fillId="0" borderId="177" xfId="0" applyNumberFormat="1" applyFont="1" applyFill="1" applyBorder="1" applyAlignment="1" applyProtection="1">
      <alignment horizontal="right" vertical="center"/>
    </xf>
    <xf numFmtId="216" fontId="337" fillId="0" borderId="173" xfId="0" applyNumberFormat="1" applyFont="1" applyFill="1" applyBorder="1" applyAlignment="1" applyProtection="1">
      <alignment horizontal="right" vertical="center"/>
      <protection locked="0"/>
    </xf>
    <xf numFmtId="49" fontId="345" fillId="0" borderId="172" xfId="0" applyNumberFormat="1" applyFont="1" applyFill="1" applyBorder="1" applyAlignment="1" applyProtection="1">
      <alignment horizontal="left" vertical="center"/>
    </xf>
    <xf numFmtId="4" fontId="337" fillId="65" borderId="173" xfId="0" applyFont="1" applyFill="1" applyBorder="1" applyAlignment="1" applyProtection="1">
      <alignment horizontal="left" vertical="center" wrapText="1" indent="5"/>
      <protection locked="0"/>
    </xf>
    <xf numFmtId="4" fontId="337" fillId="0" borderId="179" xfId="0" applyFont="1" applyFill="1" applyBorder="1" applyAlignment="1" applyProtection="1">
      <alignment horizontal="left" vertical="center" wrapText="1"/>
      <protection locked="0"/>
    </xf>
    <xf numFmtId="4" fontId="346" fillId="0" borderId="169" xfId="0" applyFont="1" applyBorder="1" applyAlignment="1" applyProtection="1">
      <protection locked="0"/>
    </xf>
    <xf numFmtId="4" fontId="346" fillId="0" borderId="0" xfId="0" applyFont="1" applyAlignment="1" applyProtection="1">
      <protection locked="0"/>
    </xf>
    <xf numFmtId="49" fontId="345" fillId="57" borderId="172" xfId="0" applyNumberFormat="1" applyFont="1" applyFill="1" applyBorder="1" applyAlignment="1" applyProtection="1">
      <alignment horizontal="left" vertical="center"/>
    </xf>
    <xf numFmtId="4" fontId="337" fillId="56" borderId="173" xfId="0" applyFont="1" applyFill="1" applyBorder="1" applyAlignment="1" applyProtection="1">
      <alignment horizontal="left" vertical="center" wrapText="1" indent="5"/>
      <protection locked="0"/>
    </xf>
    <xf numFmtId="4" fontId="342" fillId="57" borderId="172" xfId="0" applyFont="1" applyFill="1" applyBorder="1" applyAlignment="1" applyProtection="1">
      <alignment vertical="center"/>
    </xf>
    <xf numFmtId="4" fontId="337" fillId="0" borderId="174" xfId="0" applyFont="1" applyFill="1" applyBorder="1" applyAlignment="1" applyProtection="1">
      <alignment horizontal="center" vertical="center" wrapText="1"/>
    </xf>
    <xf numFmtId="1" fontId="337" fillId="0" borderId="179" xfId="0" applyNumberFormat="1" applyFont="1" applyFill="1" applyBorder="1" applyAlignment="1" applyProtection="1">
      <alignment horizontal="center" vertical="center" wrapText="1"/>
      <protection locked="0"/>
    </xf>
    <xf numFmtId="4" fontId="337" fillId="65" borderId="173" xfId="0" applyFont="1" applyFill="1" applyBorder="1" applyAlignment="1" applyProtection="1">
      <alignment horizontal="left" vertical="center" wrapText="1" indent="4"/>
      <protection locked="0"/>
    </xf>
    <xf numFmtId="4" fontId="337" fillId="65" borderId="173" xfId="0" applyFont="1" applyFill="1" applyBorder="1" applyAlignment="1" applyProtection="1">
      <alignment horizontal="left" vertical="center" wrapText="1" indent="3"/>
      <protection locked="0"/>
    </xf>
    <xf numFmtId="49" fontId="275" fillId="0" borderId="172" xfId="0" applyNumberFormat="1" applyFont="1" applyFill="1" applyBorder="1" applyAlignment="1" applyProtection="1">
      <alignment horizontal="left" vertical="center"/>
    </xf>
    <xf numFmtId="4" fontId="275" fillId="0" borderId="173" xfId="0" applyFont="1" applyFill="1" applyBorder="1" applyAlignment="1" applyProtection="1">
      <alignment horizontal="left" vertical="center" wrapText="1" indent="1"/>
    </xf>
    <xf numFmtId="4" fontId="275" fillId="0" borderId="174" xfId="0" applyFont="1" applyFill="1" applyBorder="1" applyAlignment="1" applyProtection="1">
      <alignment horizontal="center" vertical="center" wrapText="1"/>
    </xf>
    <xf numFmtId="4" fontId="342" fillId="0" borderId="179" xfId="0" applyFont="1" applyFill="1" applyBorder="1" applyAlignment="1" applyProtection="1">
      <alignment horizontal="center" vertical="center" wrapText="1"/>
      <protection locked="0"/>
    </xf>
    <xf numFmtId="4" fontId="275" fillId="0" borderId="174" xfId="0" applyFont="1" applyBorder="1" applyAlignment="1" applyProtection="1">
      <alignment horizontal="center" vertical="center" wrapText="1"/>
    </xf>
    <xf numFmtId="4" fontId="342" fillId="0" borderId="169" xfId="0" applyFont="1" applyBorder="1" applyAlignment="1" applyProtection="1">
      <protection locked="0"/>
    </xf>
    <xf numFmtId="4" fontId="342" fillId="0" borderId="0" xfId="0" applyFont="1" applyAlignment="1" applyProtection="1">
      <protection locked="0"/>
    </xf>
    <xf numFmtId="49" fontId="10" fillId="0" borderId="172" xfId="0" applyNumberFormat="1" applyFont="1" applyFill="1" applyBorder="1" applyAlignment="1" applyProtection="1">
      <alignment horizontal="left" vertical="center"/>
    </xf>
    <xf numFmtId="4" fontId="10" fillId="0" borderId="173" xfId="0" applyFont="1" applyFill="1" applyBorder="1" applyAlignment="1" applyProtection="1">
      <alignment horizontal="left" vertical="center" wrapText="1" indent="3"/>
    </xf>
    <xf numFmtId="4" fontId="10" fillId="0" borderId="174" xfId="0" applyFont="1" applyBorder="1" applyAlignment="1" applyProtection="1">
      <alignment horizontal="center" vertical="center" wrapText="1"/>
    </xf>
    <xf numFmtId="4" fontId="342" fillId="0" borderId="179" xfId="0" applyFont="1" applyFill="1" applyBorder="1" applyAlignment="1" applyProtection="1">
      <alignment horizontal="left" vertical="center" wrapText="1"/>
      <protection locked="0"/>
    </xf>
    <xf numFmtId="49" fontId="275" fillId="57" borderId="172" xfId="0" applyNumberFormat="1" applyFont="1" applyFill="1" applyBorder="1" applyAlignment="1" applyProtection="1">
      <alignment horizontal="left" vertical="center"/>
    </xf>
    <xf numFmtId="4" fontId="275" fillId="0" borderId="174" xfId="0" applyFont="1" applyFill="1" applyBorder="1" applyAlignment="1" applyProtection="1">
      <alignment horizontal="center" vertical="center"/>
    </xf>
    <xf numFmtId="4" fontId="10" fillId="0" borderId="174" xfId="0" applyFont="1" applyBorder="1" applyAlignment="1" applyProtection="1">
      <alignment horizontal="center" vertical="center"/>
    </xf>
    <xf numFmtId="4" fontId="337" fillId="0" borderId="173" xfId="0" applyFont="1" applyFill="1" applyBorder="1" applyAlignment="1" applyProtection="1">
      <alignment horizontal="left" vertical="center" wrapText="1" indent="3"/>
      <protection locked="0"/>
    </xf>
    <xf numFmtId="216" fontId="337" fillId="64" borderId="172" xfId="0" applyNumberFormat="1" applyFont="1" applyFill="1" applyBorder="1" applyAlignment="1" applyProtection="1">
      <alignment horizontal="right" vertical="center"/>
      <protection locked="0"/>
    </xf>
    <xf numFmtId="4" fontId="275" fillId="0" borderId="174" xfId="0" applyFont="1" applyBorder="1" applyAlignment="1" applyProtection="1">
      <alignment horizontal="center" vertical="center"/>
      <protection locked="0"/>
    </xf>
    <xf numFmtId="216" fontId="342" fillId="64" borderId="173" xfId="0" applyNumberFormat="1" applyFont="1" applyFill="1" applyBorder="1" applyAlignment="1" applyProtection="1">
      <alignment horizontal="right" vertical="center"/>
      <protection locked="0"/>
    </xf>
    <xf numFmtId="216" fontId="342" fillId="64" borderId="172" xfId="0" applyNumberFormat="1" applyFont="1" applyFill="1" applyBorder="1" applyAlignment="1" applyProtection="1">
      <alignment horizontal="right" vertical="center"/>
      <protection locked="0"/>
    </xf>
    <xf numFmtId="216" fontId="342" fillId="64" borderId="177" xfId="0" applyNumberFormat="1" applyFont="1" applyFill="1" applyBorder="1" applyAlignment="1" applyProtection="1">
      <alignment horizontal="right" vertical="center"/>
      <protection locked="0"/>
    </xf>
    <xf numFmtId="4" fontId="337" fillId="65" borderId="173" xfId="0" applyFont="1" applyFill="1" applyBorder="1" applyAlignment="1" applyProtection="1">
      <alignment horizontal="left" vertical="center" wrapText="1" indent="7"/>
      <protection locked="0"/>
    </xf>
    <xf numFmtId="4" fontId="10" fillId="0" borderId="174" xfId="0" applyFont="1" applyFill="1" applyBorder="1" applyAlignment="1" applyProtection="1">
      <alignment horizontal="center" vertical="center" wrapText="1"/>
    </xf>
    <xf numFmtId="4" fontId="10" fillId="0" borderId="173" xfId="0" applyFont="1" applyFill="1" applyBorder="1" applyAlignment="1" applyProtection="1">
      <alignment horizontal="left" vertical="center" wrapText="1" indent="4"/>
    </xf>
    <xf numFmtId="216" fontId="342" fillId="63" borderId="175" xfId="0" applyNumberFormat="1" applyFont="1" applyFill="1" applyBorder="1" applyAlignment="1" applyProtection="1">
      <alignment horizontal="right" vertical="center"/>
      <protection locked="0"/>
    </xf>
    <xf numFmtId="216" fontId="342" fillId="63" borderId="173" xfId="0" applyNumberFormat="1" applyFont="1" applyFill="1" applyBorder="1" applyAlignment="1" applyProtection="1">
      <alignment horizontal="right" vertical="center"/>
      <protection locked="0"/>
    </xf>
    <xf numFmtId="216" fontId="342" fillId="63" borderId="174" xfId="0" applyNumberFormat="1" applyFont="1" applyFill="1" applyBorder="1" applyAlignment="1" applyProtection="1">
      <alignment horizontal="right" vertical="center"/>
      <protection locked="0"/>
    </xf>
    <xf numFmtId="216" fontId="342" fillId="63" borderId="176" xfId="0" applyNumberFormat="1" applyFont="1" applyFill="1" applyBorder="1" applyAlignment="1" applyProtection="1">
      <alignment horizontal="right" vertical="center"/>
      <protection locked="0"/>
    </xf>
    <xf numFmtId="216" fontId="342" fillId="63" borderId="172" xfId="0" applyNumberFormat="1" applyFont="1" applyFill="1" applyBorder="1" applyAlignment="1" applyProtection="1">
      <alignment horizontal="right" vertical="center"/>
      <protection locked="0"/>
    </xf>
    <xf numFmtId="216" fontId="342" fillId="63" borderId="177" xfId="0" applyNumberFormat="1" applyFont="1" applyFill="1" applyBorder="1" applyAlignment="1" applyProtection="1">
      <alignment horizontal="right" vertical="center"/>
      <protection locked="0"/>
    </xf>
    <xf numFmtId="216" fontId="342" fillId="63" borderId="178" xfId="0" applyNumberFormat="1" applyFont="1" applyFill="1" applyBorder="1" applyAlignment="1" applyProtection="1">
      <alignment horizontal="right" vertical="center"/>
      <protection locked="0"/>
    </xf>
    <xf numFmtId="4" fontId="342" fillId="63" borderId="179" xfId="0" applyFont="1" applyFill="1" applyBorder="1" applyAlignment="1" applyProtection="1">
      <alignment horizontal="center" vertical="center" wrapText="1"/>
      <protection locked="0"/>
    </xf>
    <xf numFmtId="49" fontId="347" fillId="0" borderId="172" xfId="0" applyNumberFormat="1" applyFont="1" applyFill="1" applyBorder="1" applyAlignment="1" applyProtection="1">
      <alignment horizontal="left" vertical="center"/>
    </xf>
    <xf numFmtId="4" fontId="347" fillId="0" borderId="173" xfId="0" applyFont="1" applyFill="1" applyBorder="1" applyAlignment="1" applyProtection="1">
      <alignment horizontal="left" vertical="center" wrapText="1" indent="1"/>
    </xf>
    <xf numFmtId="4" fontId="347" fillId="0" borderId="174" xfId="0" applyFont="1" applyFill="1" applyBorder="1" applyAlignment="1" applyProtection="1">
      <alignment horizontal="center" vertical="center"/>
    </xf>
    <xf numFmtId="216" fontId="347" fillId="64" borderId="175" xfId="0" applyNumberFormat="1" applyFont="1" applyFill="1" applyBorder="1" applyAlignment="1" applyProtection="1">
      <alignment horizontal="right" vertical="center"/>
      <protection locked="0"/>
    </xf>
    <xf numFmtId="216" fontId="347" fillId="0" borderId="173" xfId="0" applyNumberFormat="1" applyFont="1" applyFill="1" applyBorder="1" applyAlignment="1" applyProtection="1">
      <alignment horizontal="right" vertical="center"/>
    </xf>
    <xf numFmtId="216" fontId="347" fillId="0" borderId="174" xfId="0" applyNumberFormat="1" applyFont="1" applyFill="1" applyBorder="1" applyAlignment="1" applyProtection="1">
      <alignment horizontal="right" vertical="center"/>
    </xf>
    <xf numFmtId="216" fontId="347" fillId="0" borderId="176" xfId="0" applyNumberFormat="1" applyFont="1" applyFill="1" applyBorder="1" applyAlignment="1" applyProtection="1">
      <alignment horizontal="right" vertical="center"/>
    </xf>
    <xf numFmtId="216" fontId="347" fillId="57" borderId="172" xfId="0" applyNumberFormat="1" applyFont="1" applyFill="1" applyBorder="1" applyAlignment="1" applyProtection="1">
      <alignment horizontal="right" vertical="center"/>
    </xf>
    <xf numFmtId="216" fontId="347" fillId="57" borderId="173" xfId="0" applyNumberFormat="1" applyFont="1" applyFill="1" applyBorder="1" applyAlignment="1" applyProtection="1">
      <alignment horizontal="right" vertical="center"/>
    </xf>
    <xf numFmtId="216" fontId="347" fillId="57" borderId="176" xfId="0" applyNumberFormat="1" applyFont="1" applyFill="1" applyBorder="1" applyAlignment="1" applyProtection="1">
      <alignment horizontal="right" vertical="center"/>
    </xf>
    <xf numFmtId="216" fontId="347" fillId="0" borderId="177" xfId="0" applyNumberFormat="1" applyFont="1" applyFill="1" applyBorder="1" applyAlignment="1" applyProtection="1">
      <alignment horizontal="right" vertical="center"/>
    </xf>
    <xf numFmtId="216" fontId="347" fillId="0" borderId="178" xfId="0" applyNumberFormat="1" applyFont="1" applyFill="1" applyBorder="1" applyAlignment="1" applyProtection="1">
      <alignment horizontal="right" vertical="center"/>
    </xf>
    <xf numFmtId="216" fontId="347" fillId="57" borderId="175" xfId="0" applyNumberFormat="1" applyFont="1" applyFill="1" applyBorder="1" applyAlignment="1" applyProtection="1">
      <alignment horizontal="right" vertical="center"/>
    </xf>
    <xf numFmtId="216" fontId="347" fillId="57" borderId="174" xfId="0" applyNumberFormat="1" applyFont="1" applyFill="1" applyBorder="1" applyAlignment="1" applyProtection="1">
      <alignment horizontal="right" vertical="center"/>
    </xf>
    <xf numFmtId="4" fontId="347" fillId="0" borderId="179" xfId="0" applyFont="1" applyFill="1" applyBorder="1" applyAlignment="1" applyProtection="1">
      <alignment horizontal="left" vertical="center"/>
      <protection locked="0"/>
    </xf>
    <xf numFmtId="4" fontId="347" fillId="0" borderId="169" xfId="0" applyFont="1" applyFill="1" applyBorder="1" applyAlignment="1" applyProtection="1">
      <protection locked="0"/>
    </xf>
    <xf numFmtId="216" fontId="347" fillId="0" borderId="173" xfId="0" applyNumberFormat="1" applyFont="1" applyFill="1" applyBorder="1" applyAlignment="1" applyProtection="1">
      <alignment horizontal="right" vertical="center"/>
      <protection locked="0"/>
    </xf>
    <xf numFmtId="216" fontId="347" fillId="0" borderId="174" xfId="0" applyNumberFormat="1" applyFont="1" applyFill="1" applyBorder="1" applyAlignment="1" applyProtection="1">
      <alignment horizontal="right" vertical="center"/>
      <protection locked="0"/>
    </xf>
    <xf numFmtId="4" fontId="337" fillId="0" borderId="174" xfId="0" applyFont="1" applyFill="1" applyBorder="1" applyAlignment="1" applyProtection="1">
      <alignment horizontal="center" vertical="center"/>
    </xf>
    <xf numFmtId="216" fontId="337" fillId="57" borderId="172" xfId="0" applyNumberFormat="1" applyFont="1" applyFill="1" applyBorder="1" applyAlignment="1" applyProtection="1">
      <alignment horizontal="right" vertical="center"/>
    </xf>
    <xf numFmtId="216" fontId="337" fillId="57" borderId="173" xfId="0" applyNumberFormat="1" applyFont="1" applyFill="1" applyBorder="1" applyAlignment="1" applyProtection="1">
      <alignment horizontal="right" vertical="center"/>
    </xf>
    <xf numFmtId="216" fontId="337" fillId="57" borderId="176" xfId="0" applyNumberFormat="1" applyFont="1" applyFill="1" applyBorder="1" applyAlignment="1" applyProtection="1">
      <alignment horizontal="right" vertical="center"/>
    </xf>
    <xf numFmtId="216" fontId="337" fillId="57" borderId="175" xfId="0" applyNumberFormat="1" applyFont="1" applyFill="1" applyBorder="1" applyAlignment="1" applyProtection="1">
      <alignment horizontal="right" vertical="center"/>
    </xf>
    <xf numFmtId="216" fontId="337" fillId="57" borderId="174" xfId="0" applyNumberFormat="1" applyFont="1" applyFill="1" applyBorder="1" applyAlignment="1" applyProtection="1">
      <alignment horizontal="right" vertical="center"/>
    </xf>
    <xf numFmtId="49" fontId="342" fillId="0" borderId="172" xfId="0" applyNumberFormat="1" applyFont="1" applyFill="1" applyBorder="1" applyAlignment="1" applyProtection="1">
      <alignment horizontal="left" vertical="center"/>
    </xf>
    <xf numFmtId="4" fontId="275" fillId="0" borderId="173" xfId="0" applyFont="1" applyFill="1" applyBorder="1" applyAlignment="1" applyProtection="1">
      <alignment horizontal="left" vertical="center" wrapText="1" indent="2"/>
    </xf>
    <xf numFmtId="216" fontId="342" fillId="57" borderId="172" xfId="0" applyNumberFormat="1" applyFont="1" applyFill="1" applyBorder="1" applyAlignment="1" applyProtection="1">
      <alignment horizontal="right" vertical="center"/>
    </xf>
    <xf numFmtId="216" fontId="342" fillId="57" borderId="173" xfId="0" applyNumberFormat="1" applyFont="1" applyFill="1" applyBorder="1" applyAlignment="1" applyProtection="1">
      <alignment horizontal="right" vertical="center"/>
    </xf>
    <xf numFmtId="216" fontId="342" fillId="57" borderId="176" xfId="0" applyNumberFormat="1" applyFont="1" applyFill="1" applyBorder="1" applyAlignment="1" applyProtection="1">
      <alignment horizontal="right" vertical="center"/>
    </xf>
    <xf numFmtId="216" fontId="342" fillId="57" borderId="175" xfId="0" applyNumberFormat="1" applyFont="1" applyFill="1" applyBorder="1" applyAlignment="1" applyProtection="1">
      <alignment horizontal="right" vertical="center"/>
    </xf>
    <xf numFmtId="216" fontId="342" fillId="57" borderId="174" xfId="0" applyNumberFormat="1" applyFont="1" applyFill="1" applyBorder="1" applyAlignment="1" applyProtection="1">
      <alignment horizontal="right" vertical="center"/>
    </xf>
    <xf numFmtId="4" fontId="337" fillId="0" borderId="173" xfId="0" applyFont="1" applyFill="1" applyBorder="1" applyAlignment="1" applyProtection="1">
      <alignment horizontal="left" vertical="center" wrapText="1" indent="2"/>
    </xf>
    <xf numFmtId="4" fontId="337" fillId="0" borderId="174" xfId="0" applyFont="1" applyFill="1" applyBorder="1" applyAlignment="1" applyProtection="1">
      <alignment horizontal="center"/>
      <protection locked="0"/>
    </xf>
    <xf numFmtId="216" fontId="337" fillId="0" borderId="175" xfId="0" applyNumberFormat="1" applyFont="1" applyFill="1" applyBorder="1" applyAlignment="1" applyProtection="1">
      <alignment horizontal="right" vertical="center"/>
      <protection locked="0"/>
    </xf>
    <xf numFmtId="216" fontId="337" fillId="0" borderId="176" xfId="0" applyNumberFormat="1" applyFont="1" applyFill="1" applyBorder="1" applyAlignment="1" applyProtection="1">
      <alignment horizontal="right" vertical="center"/>
      <protection locked="0"/>
    </xf>
    <xf numFmtId="216" fontId="337" fillId="57" borderId="172" xfId="0" applyNumberFormat="1" applyFont="1" applyFill="1" applyBorder="1" applyAlignment="1" applyProtection="1">
      <alignment horizontal="right" vertical="center"/>
      <protection locked="0"/>
    </xf>
    <xf numFmtId="216" fontId="337" fillId="57" borderId="173" xfId="0" applyNumberFormat="1" applyFont="1" applyFill="1" applyBorder="1" applyAlignment="1" applyProtection="1">
      <alignment horizontal="right" vertical="center"/>
      <protection locked="0"/>
    </xf>
    <xf numFmtId="216" fontId="337" fillId="57" borderId="176" xfId="0" applyNumberFormat="1" applyFont="1" applyFill="1" applyBorder="1" applyAlignment="1" applyProtection="1">
      <alignment horizontal="right" vertical="center"/>
      <protection locked="0"/>
    </xf>
    <xf numFmtId="216" fontId="337" fillId="0" borderId="177" xfId="0" applyNumberFormat="1" applyFont="1" applyFill="1" applyBorder="1" applyAlignment="1" applyProtection="1">
      <alignment horizontal="right" vertical="center"/>
      <protection locked="0"/>
    </xf>
    <xf numFmtId="216" fontId="337" fillId="0" borderId="178" xfId="0" applyNumberFormat="1" applyFont="1" applyFill="1" applyBorder="1" applyAlignment="1" applyProtection="1">
      <alignment horizontal="right" vertical="center"/>
      <protection locked="0"/>
    </xf>
    <xf numFmtId="216" fontId="337" fillId="57" borderId="175" xfId="0" applyNumberFormat="1" applyFont="1" applyFill="1" applyBorder="1" applyAlignment="1" applyProtection="1">
      <alignment horizontal="right" vertical="center"/>
      <protection locked="0"/>
    </xf>
    <xf numFmtId="216" fontId="337" fillId="57" borderId="174" xfId="0" applyNumberFormat="1" applyFont="1" applyFill="1" applyBorder="1" applyAlignment="1" applyProtection="1">
      <alignment horizontal="right" vertical="center"/>
      <protection locked="0"/>
    </xf>
    <xf numFmtId="4" fontId="337" fillId="0" borderId="174" xfId="0" applyFont="1" applyFill="1" applyBorder="1" applyAlignment="1" applyProtection="1">
      <alignment horizontal="center"/>
    </xf>
    <xf numFmtId="4" fontId="337" fillId="0" borderId="173" xfId="0" applyFont="1" applyFill="1" applyBorder="1" applyAlignment="1" applyProtection="1">
      <alignment horizontal="left" vertical="center" wrapText="1" indent="6"/>
    </xf>
    <xf numFmtId="4" fontId="337" fillId="0" borderId="179" xfId="0" applyFont="1" applyFill="1" applyBorder="1" applyAlignment="1" applyProtection="1">
      <alignment horizontal="left" vertical="center"/>
      <protection locked="0"/>
    </xf>
    <xf numFmtId="170" fontId="337" fillId="0" borderId="179" xfId="0" applyNumberFormat="1" applyFont="1" applyFill="1" applyBorder="1" applyAlignment="1" applyProtection="1">
      <alignment horizontal="right" vertical="center" wrapText="1"/>
      <protection locked="0"/>
    </xf>
    <xf numFmtId="4" fontId="346" fillId="0" borderId="169" xfId="0" applyFont="1" applyFill="1" applyBorder="1" applyAlignment="1" applyProtection="1">
      <protection locked="0"/>
    </xf>
    <xf numFmtId="4" fontId="346" fillId="0" borderId="0" xfId="0" applyFont="1" applyFill="1" applyAlignment="1" applyProtection="1">
      <protection locked="0"/>
    </xf>
    <xf numFmtId="4" fontId="342" fillId="64" borderId="173" xfId="0" applyFont="1" applyFill="1" applyBorder="1" applyAlignment="1" applyProtection="1">
      <alignment horizontal="left" vertical="center" wrapText="1" indent="2"/>
      <protection locked="0"/>
    </xf>
    <xf numFmtId="170" fontId="342" fillId="0" borderId="179" xfId="0" applyNumberFormat="1" applyFont="1" applyFill="1" applyBorder="1" applyAlignment="1" applyProtection="1">
      <alignment horizontal="right" vertical="center" wrapText="1"/>
      <protection locked="0"/>
    </xf>
    <xf numFmtId="216" fontId="337" fillId="57" borderId="177" xfId="0" applyNumberFormat="1" applyFont="1" applyFill="1" applyBorder="1" applyAlignment="1" applyProtection="1">
      <alignment horizontal="right" vertical="center"/>
    </xf>
    <xf numFmtId="4" fontId="337" fillId="57" borderId="173" xfId="0" applyFont="1" applyFill="1" applyBorder="1" applyAlignment="1" applyProtection="1">
      <alignment horizontal="left" vertical="center" wrapText="1" indent="6"/>
    </xf>
    <xf numFmtId="4" fontId="337" fillId="57" borderId="174" xfId="0" applyFont="1" applyFill="1" applyBorder="1" applyAlignment="1" applyProtection="1">
      <alignment horizontal="center"/>
    </xf>
    <xf numFmtId="49" fontId="337" fillId="57" borderId="172" xfId="0" applyNumberFormat="1" applyFont="1" applyFill="1" applyBorder="1" applyAlignment="1" applyProtection="1">
      <alignment horizontal="left" vertical="center"/>
    </xf>
    <xf numFmtId="4" fontId="337" fillId="57" borderId="173" xfId="0" applyFont="1" applyFill="1" applyBorder="1" applyAlignment="1" applyProtection="1">
      <alignment horizontal="left" vertical="center" wrapText="1" indent="3"/>
    </xf>
    <xf numFmtId="4" fontId="337" fillId="57" borderId="173" xfId="0" applyFont="1" applyFill="1" applyBorder="1" applyAlignment="1" applyProtection="1">
      <alignment horizontal="left" vertical="center" wrapText="1" indent="2"/>
    </xf>
    <xf numFmtId="200" fontId="337" fillId="0" borderId="0" xfId="0" applyNumberFormat="1" applyFont="1" applyFill="1" applyAlignment="1" applyProtection="1">
      <protection locked="0"/>
    </xf>
    <xf numFmtId="4" fontId="10" fillId="57" borderId="173" xfId="0" applyFont="1" applyFill="1" applyBorder="1" applyAlignment="1" applyProtection="1">
      <alignment horizontal="left" vertical="center" wrapText="1" indent="3"/>
    </xf>
    <xf numFmtId="4" fontId="337" fillId="57" borderId="174" xfId="0" applyFont="1" applyFill="1" applyBorder="1" applyAlignment="1" applyProtection="1">
      <alignment horizontal="center" vertical="center"/>
    </xf>
    <xf numFmtId="4" fontId="337" fillId="57" borderId="174" xfId="0" applyFont="1" applyFill="1" applyBorder="1" applyAlignment="1" applyProtection="1">
      <alignment horizontal="center"/>
      <protection locked="0"/>
    </xf>
    <xf numFmtId="4" fontId="337" fillId="57" borderId="173" xfId="0" applyFont="1" applyFill="1" applyBorder="1" applyAlignment="1" applyProtection="1">
      <alignment horizontal="left" vertical="center" indent="2"/>
    </xf>
    <xf numFmtId="49" fontId="342" fillId="57" borderId="172" xfId="0" applyNumberFormat="1" applyFont="1" applyFill="1" applyBorder="1" applyAlignment="1" applyProtection="1">
      <alignment horizontal="left" vertical="center"/>
    </xf>
    <xf numFmtId="4" fontId="342" fillId="64" borderId="173" xfId="0" applyFont="1" applyFill="1" applyBorder="1" applyAlignment="1" applyProtection="1">
      <alignment horizontal="left" vertical="center" indent="2"/>
      <protection locked="0"/>
    </xf>
    <xf numFmtId="4" fontId="342" fillId="57" borderId="174" xfId="0" applyFont="1" applyFill="1" applyBorder="1" applyAlignment="1" applyProtection="1">
      <alignment horizontal="center"/>
    </xf>
    <xf numFmtId="4" fontId="10" fillId="57" borderId="173" xfId="0" applyFont="1" applyFill="1" applyBorder="1" applyAlignment="1" applyProtection="1">
      <alignment horizontal="left" vertical="center" indent="3"/>
    </xf>
    <xf numFmtId="4" fontId="342" fillId="0" borderId="174" xfId="0" applyFont="1" applyFill="1" applyBorder="1" applyAlignment="1" applyProtection="1">
      <alignment horizontal="center"/>
    </xf>
    <xf numFmtId="4" fontId="10" fillId="0" borderId="173" xfId="0" applyFont="1" applyFill="1" applyBorder="1" applyAlignment="1" applyProtection="1">
      <alignment horizontal="left" vertical="center" wrapText="1" indent="2"/>
    </xf>
    <xf numFmtId="216" fontId="337" fillId="64" borderId="172" xfId="1263" applyNumberFormat="1" applyFont="1" applyFill="1" applyBorder="1" applyAlignment="1" applyProtection="1">
      <alignment horizontal="right" vertical="center"/>
      <protection locked="0"/>
    </xf>
    <xf numFmtId="217" fontId="337" fillId="0" borderId="173" xfId="0" applyNumberFormat="1" applyFont="1" applyFill="1" applyBorder="1" applyAlignment="1" applyProtection="1">
      <alignment horizontal="right" vertical="center"/>
    </xf>
    <xf numFmtId="217" fontId="337" fillId="0" borderId="176" xfId="0" applyNumberFormat="1" applyFont="1" applyFill="1" applyBorder="1" applyAlignment="1" applyProtection="1">
      <alignment horizontal="right" vertical="center"/>
    </xf>
    <xf numFmtId="217" fontId="337" fillId="64" borderId="172" xfId="1263" applyNumberFormat="1" applyFont="1" applyFill="1" applyBorder="1" applyAlignment="1" applyProtection="1">
      <alignment horizontal="right" vertical="center"/>
      <protection locked="0"/>
    </xf>
    <xf numFmtId="217" fontId="337" fillId="0" borderId="174" xfId="0" applyNumberFormat="1" applyFont="1" applyFill="1" applyBorder="1" applyAlignment="1" applyProtection="1">
      <alignment horizontal="right" vertical="center"/>
    </xf>
    <xf numFmtId="217" fontId="337" fillId="0" borderId="172" xfId="0" applyNumberFormat="1" applyFont="1" applyFill="1" applyBorder="1" applyAlignment="1" applyProtection="1">
      <alignment horizontal="right" vertical="center"/>
    </xf>
    <xf numFmtId="217" fontId="337" fillId="0" borderId="177" xfId="0" applyNumberFormat="1" applyFont="1" applyFill="1" applyBorder="1" applyAlignment="1" applyProtection="1">
      <alignment horizontal="right" vertical="center"/>
    </xf>
    <xf numFmtId="217" fontId="337" fillId="0" borderId="178" xfId="0" applyNumberFormat="1" applyFont="1" applyFill="1" applyBorder="1" applyAlignment="1" applyProtection="1">
      <alignment horizontal="right" vertical="center"/>
    </xf>
    <xf numFmtId="217" fontId="337" fillId="0" borderId="175" xfId="0" applyNumberFormat="1" applyFont="1" applyFill="1" applyBorder="1" applyAlignment="1" applyProtection="1">
      <alignment horizontal="right" vertical="center"/>
    </xf>
    <xf numFmtId="9" fontId="337" fillId="0" borderId="179" xfId="1263" applyFont="1" applyFill="1" applyBorder="1" applyAlignment="1" applyProtection="1">
      <alignment horizontal="left" vertical="center"/>
      <protection locked="0"/>
    </xf>
    <xf numFmtId="217" fontId="337" fillId="0" borderId="173" xfId="0" applyNumberFormat="1" applyFont="1" applyFill="1" applyBorder="1" applyAlignment="1" applyProtection="1">
      <alignment horizontal="right" vertical="center"/>
      <protection locked="0"/>
    </xf>
    <xf numFmtId="217" fontId="337" fillId="0" borderId="174" xfId="0" applyNumberFormat="1" applyFont="1" applyFill="1" applyBorder="1" applyAlignment="1" applyProtection="1">
      <alignment horizontal="right" vertical="center"/>
      <protection locked="0"/>
    </xf>
    <xf numFmtId="4" fontId="337" fillId="64" borderId="173" xfId="0" applyFont="1" applyFill="1" applyBorder="1" applyAlignment="1" applyProtection="1">
      <alignment horizontal="left" vertical="center" wrapText="1" indent="3"/>
      <protection locked="0"/>
    </xf>
    <xf numFmtId="217" fontId="337" fillId="65" borderId="173" xfId="0" applyNumberFormat="1" applyFont="1" applyFill="1" applyBorder="1" applyAlignment="1" applyProtection="1">
      <alignment horizontal="right" vertical="center"/>
      <protection locked="0"/>
    </xf>
    <xf numFmtId="217" fontId="337" fillId="64" borderId="172" xfId="0" applyNumberFormat="1" applyFont="1" applyFill="1" applyBorder="1" applyAlignment="1" applyProtection="1">
      <alignment horizontal="right" vertical="center"/>
      <protection locked="0"/>
    </xf>
    <xf numFmtId="217" fontId="337" fillId="65" borderId="177" xfId="0" applyNumberFormat="1" applyFont="1" applyFill="1" applyBorder="1" applyAlignment="1" applyProtection="1">
      <alignment horizontal="right" vertical="center"/>
      <protection locked="0"/>
    </xf>
    <xf numFmtId="4" fontId="337" fillId="0" borderId="173" xfId="0" applyFont="1" applyFill="1" applyBorder="1" applyAlignment="1" applyProtection="1">
      <alignment horizontal="left" vertical="center" wrapText="1" indent="4"/>
    </xf>
    <xf numFmtId="217" fontId="337" fillId="64" borderId="173" xfId="0" applyNumberFormat="1" applyFont="1" applyFill="1" applyBorder="1" applyAlignment="1" applyProtection="1">
      <alignment horizontal="right" vertical="center"/>
      <protection locked="0"/>
    </xf>
    <xf numFmtId="217" fontId="337" fillId="64" borderId="177" xfId="0" applyNumberFormat="1" applyFont="1" applyFill="1" applyBorder="1" applyAlignment="1" applyProtection="1">
      <alignment horizontal="right" vertical="center"/>
      <protection locked="0"/>
    </xf>
    <xf numFmtId="4" fontId="275" fillId="0" borderId="172" xfId="0" applyFont="1" applyFill="1" applyBorder="1" applyAlignment="1" applyProtection="1">
      <alignment vertical="center"/>
    </xf>
    <xf numFmtId="4" fontId="275" fillId="0" borderId="174" xfId="0" applyFont="1" applyFill="1" applyBorder="1" applyAlignment="1" applyProtection="1">
      <alignment horizontal="center" vertical="center"/>
      <protection locked="0"/>
    </xf>
    <xf numFmtId="216" fontId="342" fillId="0" borderId="175" xfId="0" applyNumberFormat="1" applyFont="1" applyFill="1" applyBorder="1" applyAlignment="1" applyProtection="1">
      <alignment horizontal="right" vertical="center"/>
      <protection locked="0"/>
    </xf>
    <xf numFmtId="216" fontId="342" fillId="57" borderId="173" xfId="0" applyNumberFormat="1" applyFont="1" applyFill="1" applyBorder="1" applyAlignment="1" applyProtection="1">
      <alignment horizontal="right" vertical="center"/>
      <protection locked="0"/>
    </xf>
    <xf numFmtId="216" fontId="342" fillId="57" borderId="174" xfId="0" applyNumberFormat="1" applyFont="1" applyFill="1" applyBorder="1" applyAlignment="1" applyProtection="1">
      <alignment horizontal="right" vertical="center"/>
      <protection locked="0"/>
    </xf>
    <xf numFmtId="216" fontId="342" fillId="0" borderId="176" xfId="0" applyNumberFormat="1" applyFont="1" applyFill="1" applyBorder="1" applyAlignment="1" applyProtection="1">
      <alignment horizontal="right" vertical="center"/>
      <protection locked="0"/>
    </xf>
    <xf numFmtId="216" fontId="342" fillId="57" borderId="172" xfId="0" applyNumberFormat="1" applyFont="1" applyFill="1" applyBorder="1" applyAlignment="1" applyProtection="1">
      <alignment horizontal="right" vertical="center"/>
      <protection locked="0"/>
    </xf>
    <xf numFmtId="216" fontId="342" fillId="57" borderId="176" xfId="0" applyNumberFormat="1" applyFont="1" applyFill="1" applyBorder="1" applyAlignment="1" applyProtection="1">
      <alignment horizontal="right" vertical="center"/>
      <protection locked="0"/>
    </xf>
    <xf numFmtId="216" fontId="342" fillId="0" borderId="177" xfId="0" applyNumberFormat="1" applyFont="1" applyFill="1" applyBorder="1" applyAlignment="1" applyProtection="1">
      <alignment horizontal="right" vertical="center"/>
      <protection locked="0"/>
    </xf>
    <xf numFmtId="216" fontId="342" fillId="0" borderId="178" xfId="0" applyNumberFormat="1" applyFont="1" applyFill="1" applyBorder="1" applyAlignment="1" applyProtection="1">
      <alignment horizontal="right" vertical="center"/>
      <protection locked="0"/>
    </xf>
    <xf numFmtId="216" fontId="342" fillId="57" borderId="175" xfId="0" applyNumberFormat="1" applyFont="1" applyFill="1" applyBorder="1" applyAlignment="1" applyProtection="1">
      <alignment horizontal="right" vertical="center"/>
      <protection locked="0"/>
    </xf>
    <xf numFmtId="4" fontId="275" fillId="0" borderId="172" xfId="0" applyFont="1" applyBorder="1" applyAlignment="1" applyProtection="1">
      <alignment vertical="center"/>
    </xf>
    <xf numFmtId="4" fontId="342" fillId="0" borderId="173" xfId="0" applyFont="1" applyFill="1" applyBorder="1" applyAlignment="1" applyProtection="1">
      <alignment horizontal="left" vertical="center" wrapText="1" indent="3"/>
    </xf>
    <xf numFmtId="4" fontId="10" fillId="57" borderId="172" xfId="0" applyFont="1" applyFill="1" applyBorder="1" applyAlignment="1" applyProtection="1">
      <alignment vertical="center"/>
    </xf>
    <xf numFmtId="4" fontId="10" fillId="57" borderId="174" xfId="0" applyFont="1" applyFill="1" applyBorder="1" applyAlignment="1" applyProtection="1">
      <alignment horizontal="center" vertical="center"/>
      <protection locked="0"/>
    </xf>
    <xf numFmtId="4" fontId="345" fillId="57" borderId="172" xfId="0" applyFont="1" applyFill="1" applyBorder="1" applyAlignment="1" applyProtection="1">
      <alignment vertical="center"/>
    </xf>
    <xf numFmtId="4" fontId="337" fillId="57" borderId="173" xfId="0" applyFont="1" applyFill="1" applyBorder="1" applyAlignment="1" applyProtection="1">
      <alignment horizontal="left" vertical="center" wrapText="1" indent="7"/>
    </xf>
    <xf numFmtId="4" fontId="10" fillId="57" borderId="174" xfId="0" applyFont="1" applyFill="1" applyBorder="1" applyAlignment="1" applyProtection="1">
      <alignment horizontal="center" vertical="center"/>
    </xf>
    <xf numFmtId="218" fontId="337" fillId="57" borderId="173" xfId="0" applyNumberFormat="1" applyFont="1" applyFill="1" applyBorder="1" applyAlignment="1" applyProtection="1">
      <alignment horizontal="right" vertical="center"/>
    </xf>
    <xf numFmtId="218" fontId="337" fillId="0" borderId="174" xfId="0" applyNumberFormat="1" applyFont="1" applyFill="1" applyBorder="1" applyAlignment="1" applyProtection="1">
      <alignment horizontal="right" vertical="center"/>
    </xf>
    <xf numFmtId="218" fontId="337" fillId="64" borderId="175" xfId="0" applyNumberFormat="1" applyFont="1" applyFill="1" applyBorder="1" applyAlignment="1" applyProtection="1">
      <alignment horizontal="right" vertical="center"/>
      <protection locked="0"/>
    </xf>
    <xf numFmtId="218" fontId="337" fillId="0" borderId="173" xfId="0" applyNumberFormat="1" applyFont="1" applyFill="1" applyBorder="1" applyAlignment="1" applyProtection="1">
      <alignment horizontal="right" vertical="center"/>
    </xf>
    <xf numFmtId="218" fontId="337" fillId="0" borderId="172" xfId="0" applyNumberFormat="1" applyFont="1" applyFill="1" applyBorder="1" applyAlignment="1" applyProtection="1">
      <alignment horizontal="right" vertical="center"/>
    </xf>
    <xf numFmtId="218" fontId="337" fillId="0" borderId="176" xfId="0" applyNumberFormat="1" applyFont="1" applyFill="1" applyBorder="1" applyAlignment="1" applyProtection="1">
      <alignment horizontal="right" vertical="center"/>
    </xf>
    <xf numFmtId="218" fontId="337" fillId="0" borderId="177" xfId="0" applyNumberFormat="1" applyFont="1" applyFill="1" applyBorder="1" applyAlignment="1" applyProtection="1">
      <alignment horizontal="right" vertical="center"/>
    </xf>
    <xf numFmtId="218" fontId="337" fillId="0" borderId="178" xfId="0" applyNumberFormat="1" applyFont="1" applyFill="1" applyBorder="1" applyAlignment="1" applyProtection="1">
      <alignment horizontal="right" vertical="center"/>
    </xf>
    <xf numFmtId="218" fontId="337" fillId="0" borderId="175" xfId="0" applyNumberFormat="1" applyFont="1" applyFill="1" applyBorder="1" applyAlignment="1" applyProtection="1">
      <alignment horizontal="right" vertical="center"/>
    </xf>
    <xf numFmtId="218" fontId="337" fillId="0" borderId="173" xfId="0" applyNumberFormat="1" applyFont="1" applyFill="1" applyBorder="1" applyAlignment="1" applyProtection="1">
      <alignment horizontal="right" vertical="center"/>
      <protection locked="0"/>
    </xf>
    <xf numFmtId="218" fontId="337" fillId="0" borderId="174" xfId="0" applyNumberFormat="1" applyFont="1" applyFill="1" applyBorder="1" applyAlignment="1" applyProtection="1">
      <alignment horizontal="right" vertical="center"/>
      <protection locked="0"/>
    </xf>
    <xf numFmtId="4" fontId="10" fillId="57" borderId="174" xfId="0" applyFont="1" applyFill="1" applyBorder="1" applyAlignment="1" applyProtection="1">
      <alignment horizontal="center" vertical="center" wrapText="1"/>
    </xf>
    <xf numFmtId="4" fontId="337" fillId="0" borderId="173" xfId="0" applyFont="1" applyFill="1" applyBorder="1" applyAlignment="1" applyProtection="1">
      <alignment horizontal="left" vertical="center" indent="3"/>
    </xf>
    <xf numFmtId="4" fontId="337" fillId="0" borderId="174" xfId="0" applyFont="1" applyBorder="1" applyAlignment="1" applyProtection="1">
      <alignment horizontal="center" vertical="center"/>
    </xf>
    <xf numFmtId="4" fontId="337" fillId="57" borderId="173" xfId="0" applyFont="1" applyFill="1" applyBorder="1" applyAlignment="1" applyProtection="1">
      <alignment horizontal="left" vertical="center" indent="3"/>
    </xf>
    <xf numFmtId="4" fontId="337" fillId="57" borderId="174" xfId="0" applyFont="1" applyFill="1" applyBorder="1" applyAlignment="1" applyProtection="1">
      <alignment horizontal="center" vertical="center" wrapText="1"/>
    </xf>
    <xf numFmtId="4" fontId="342" fillId="0" borderId="172" xfId="0" applyFont="1" applyBorder="1" applyAlignment="1" applyProtection="1">
      <alignment vertical="center"/>
    </xf>
    <xf numFmtId="4" fontId="342" fillId="0" borderId="173" xfId="0" applyFont="1" applyFill="1" applyBorder="1" applyAlignment="1" applyProtection="1">
      <alignment horizontal="left" vertical="center" indent="1"/>
    </xf>
    <xf numFmtId="4" fontId="342" fillId="0" borderId="174" xfId="0" applyFont="1" applyBorder="1" applyAlignment="1" applyProtection="1">
      <alignment horizontal="center" vertical="center"/>
    </xf>
    <xf numFmtId="4" fontId="337" fillId="0" borderId="172" xfId="0" applyFont="1" applyBorder="1" applyAlignment="1" applyProtection="1">
      <alignment vertical="center"/>
    </xf>
    <xf numFmtId="4" fontId="337" fillId="0" borderId="174" xfId="0" applyFont="1" applyBorder="1" applyAlignment="1" applyProtection="1">
      <alignment horizontal="center" vertical="center" wrapText="1"/>
    </xf>
    <xf numFmtId="4" fontId="337" fillId="57" borderId="172" xfId="0" applyFont="1" applyFill="1" applyBorder="1" applyAlignment="1" applyProtection="1">
      <alignment vertical="center"/>
    </xf>
    <xf numFmtId="216" fontId="337" fillId="0" borderId="172" xfId="0" applyNumberFormat="1" applyFont="1" applyFill="1" applyBorder="1" applyAlignment="1" applyProtection="1">
      <alignment horizontal="right" vertical="center"/>
      <protection locked="0"/>
    </xf>
    <xf numFmtId="216" fontId="342" fillId="0" borderId="169" xfId="0" applyNumberFormat="1" applyFont="1" applyFill="1" applyBorder="1" applyAlignment="1" applyProtection="1">
      <protection locked="0"/>
    </xf>
    <xf numFmtId="4" fontId="275" fillId="57" borderId="173" xfId="0" applyFont="1" applyFill="1" applyBorder="1" applyAlignment="1" applyProtection="1">
      <alignment horizontal="left" vertical="center" wrapText="1" indent="2"/>
    </xf>
    <xf numFmtId="4" fontId="342" fillId="57" borderId="174" xfId="0" applyFont="1" applyFill="1" applyBorder="1" applyAlignment="1" applyProtection="1">
      <alignment horizontal="center" vertical="center"/>
    </xf>
    <xf numFmtId="4" fontId="337" fillId="64" borderId="173" xfId="0" applyFont="1" applyFill="1" applyBorder="1" applyAlignment="1" applyProtection="1">
      <alignment horizontal="left" vertical="center" wrapText="1" indent="2"/>
      <protection locked="0"/>
    </xf>
    <xf numFmtId="217" fontId="342" fillId="64" borderId="175" xfId="0" applyNumberFormat="1" applyFont="1" applyFill="1" applyBorder="1" applyAlignment="1" applyProtection="1">
      <alignment horizontal="right" vertical="center"/>
      <protection locked="0"/>
    </xf>
    <xf numFmtId="217" fontId="342" fillId="0" borderId="173" xfId="0" applyNumberFormat="1" applyFont="1" applyFill="1" applyBorder="1" applyAlignment="1" applyProtection="1">
      <alignment horizontal="right" vertical="center"/>
    </xf>
    <xf numFmtId="217" fontId="342" fillId="0" borderId="174" xfId="0" applyNumberFormat="1" applyFont="1" applyFill="1" applyBorder="1" applyAlignment="1" applyProtection="1">
      <alignment horizontal="right" vertical="center"/>
    </xf>
    <xf numFmtId="217" fontId="342" fillId="0" borderId="175" xfId="0" applyNumberFormat="1" applyFont="1" applyFill="1" applyBorder="1" applyAlignment="1" applyProtection="1">
      <alignment horizontal="right" vertical="center"/>
    </xf>
    <xf numFmtId="217" fontId="342" fillId="0" borderId="176" xfId="0" applyNumberFormat="1" applyFont="1" applyFill="1" applyBorder="1" applyAlignment="1" applyProtection="1">
      <alignment horizontal="right" vertical="center"/>
    </xf>
    <xf numFmtId="217" fontId="342" fillId="0" borderId="172" xfId="0" applyNumberFormat="1" applyFont="1" applyFill="1" applyBorder="1" applyAlignment="1" applyProtection="1">
      <alignment horizontal="right" vertical="center"/>
    </xf>
    <xf numFmtId="217" fontId="342" fillId="0" borderId="177" xfId="0" applyNumberFormat="1" applyFont="1" applyFill="1" applyBorder="1" applyAlignment="1" applyProtection="1">
      <alignment horizontal="right" vertical="center"/>
    </xf>
    <xf numFmtId="217" fontId="342" fillId="0" borderId="178" xfId="0" applyNumberFormat="1" applyFont="1" applyFill="1" applyBorder="1" applyAlignment="1" applyProtection="1">
      <alignment horizontal="right" vertical="center"/>
    </xf>
    <xf numFmtId="217" fontId="342" fillId="0" borderId="179" xfId="0" applyNumberFormat="1" applyFont="1" applyFill="1" applyBorder="1" applyAlignment="1" applyProtection="1">
      <alignment horizontal="center" vertical="center"/>
      <protection locked="0"/>
    </xf>
    <xf numFmtId="217" fontId="342" fillId="0" borderId="173" xfId="0" applyNumberFormat="1" applyFont="1" applyFill="1" applyBorder="1" applyAlignment="1" applyProtection="1">
      <alignment horizontal="right" vertical="center"/>
      <protection locked="0"/>
    </xf>
    <xf numFmtId="217" fontId="342" fillId="0" borderId="174" xfId="0" applyNumberFormat="1" applyFont="1" applyFill="1" applyBorder="1" applyAlignment="1" applyProtection="1">
      <alignment horizontal="right" vertical="center"/>
      <protection locked="0"/>
    </xf>
    <xf numFmtId="4" fontId="348" fillId="0" borderId="172" xfId="0" applyFont="1" applyFill="1" applyBorder="1" applyAlignment="1" applyProtection="1">
      <alignment horizontal="left" vertical="center"/>
    </xf>
    <xf numFmtId="4" fontId="337" fillId="0" borderId="173" xfId="0" applyFont="1" applyFill="1" applyBorder="1" applyAlignment="1" applyProtection="1">
      <alignment horizontal="left" vertical="center" wrapText="1" indent="5"/>
    </xf>
    <xf numFmtId="217" fontId="337" fillId="64" borderId="175" xfId="0" applyNumberFormat="1" applyFont="1" applyFill="1" applyBorder="1" applyAlignment="1" applyProtection="1">
      <alignment horizontal="right" vertical="center"/>
      <protection locked="0"/>
    </xf>
    <xf numFmtId="217" fontId="337" fillId="0" borderId="179" xfId="0" applyNumberFormat="1" applyFont="1" applyFill="1" applyBorder="1" applyAlignment="1" applyProtection="1">
      <alignment horizontal="center" vertical="center"/>
      <protection locked="0"/>
    </xf>
    <xf numFmtId="4" fontId="337" fillId="0" borderId="172" xfId="0" applyFont="1" applyFill="1" applyBorder="1" applyAlignment="1" applyProtection="1">
      <alignment horizontal="left" vertical="center"/>
    </xf>
    <xf numFmtId="217" fontId="349" fillId="0" borderId="179" xfId="0" applyNumberFormat="1" applyFont="1" applyFill="1" applyBorder="1" applyAlignment="1" applyProtection="1">
      <alignment horizontal="center" vertical="center"/>
      <protection locked="0"/>
    </xf>
    <xf numFmtId="217" fontId="337" fillId="0" borderId="179" xfId="0" applyNumberFormat="1" applyFont="1" applyFill="1" applyBorder="1" applyAlignment="1" applyProtection="1">
      <alignment horizontal="center" vertical="center" wrapText="1"/>
      <protection locked="0"/>
    </xf>
    <xf numFmtId="217" fontId="342" fillId="0" borderId="179" xfId="0" applyNumberFormat="1" applyFont="1" applyFill="1" applyBorder="1" applyAlignment="1" applyProtection="1">
      <alignment horizontal="center" vertical="center" wrapText="1"/>
      <protection locked="0"/>
    </xf>
    <xf numFmtId="217" fontId="349" fillId="0" borderId="179" xfId="0" applyNumberFormat="1" applyFont="1" applyFill="1" applyBorder="1" applyAlignment="1" applyProtection="1">
      <alignment horizontal="center" vertical="center" wrapText="1"/>
      <protection locked="0"/>
    </xf>
    <xf numFmtId="4" fontId="10" fillId="0" borderId="173" xfId="0" applyFont="1" applyFill="1" applyBorder="1" applyAlignment="1" applyProtection="1">
      <alignment horizontal="left" vertical="center" wrapText="1" indent="5"/>
    </xf>
    <xf numFmtId="4" fontId="10" fillId="0" borderId="174" xfId="0" applyFont="1" applyFill="1" applyBorder="1" applyAlignment="1" applyProtection="1">
      <alignment horizontal="center" vertical="center"/>
    </xf>
    <xf numFmtId="217" fontId="342" fillId="58" borderId="175" xfId="0" applyNumberFormat="1" applyFont="1" applyFill="1" applyBorder="1" applyAlignment="1" applyProtection="1">
      <alignment horizontal="right" vertical="center"/>
      <protection locked="0"/>
    </xf>
    <xf numFmtId="217" fontId="342" fillId="58" borderId="173" xfId="0" applyNumberFormat="1" applyFont="1" applyFill="1" applyBorder="1" applyAlignment="1" applyProtection="1">
      <alignment horizontal="right" vertical="center"/>
      <protection locked="0"/>
    </xf>
    <xf numFmtId="217" fontId="342" fillId="58" borderId="174" xfId="0" applyNumberFormat="1" applyFont="1" applyFill="1" applyBorder="1" applyAlignment="1" applyProtection="1">
      <alignment horizontal="right" vertical="center"/>
      <protection locked="0"/>
    </xf>
    <xf numFmtId="217" fontId="342" fillId="58" borderId="176" xfId="0" applyNumberFormat="1" applyFont="1" applyFill="1" applyBorder="1" applyAlignment="1" applyProtection="1">
      <alignment horizontal="right" vertical="center"/>
      <protection locked="0"/>
    </xf>
    <xf numFmtId="217" fontId="342" fillId="58" borderId="172" xfId="0" applyNumberFormat="1" applyFont="1" applyFill="1" applyBorder="1" applyAlignment="1" applyProtection="1">
      <alignment horizontal="right" vertical="center"/>
      <protection locked="0"/>
    </xf>
    <xf numFmtId="217" fontId="342" fillId="58" borderId="177" xfId="0" applyNumberFormat="1" applyFont="1" applyFill="1" applyBorder="1" applyAlignment="1" applyProtection="1">
      <alignment horizontal="right" vertical="center"/>
      <protection locked="0"/>
    </xf>
    <xf numFmtId="217" fontId="342" fillId="58" borderId="178" xfId="0" applyNumberFormat="1" applyFont="1" applyFill="1" applyBorder="1" applyAlignment="1" applyProtection="1">
      <alignment horizontal="right" vertical="center"/>
      <protection locked="0"/>
    </xf>
    <xf numFmtId="217" fontId="342" fillId="58" borderId="179" xfId="0" applyNumberFormat="1" applyFont="1" applyFill="1" applyBorder="1" applyAlignment="1" applyProtection="1">
      <alignment horizontal="center" vertical="center" wrapText="1"/>
      <protection locked="0"/>
    </xf>
    <xf numFmtId="49" fontId="342" fillId="0" borderId="172" xfId="0" applyNumberFormat="1" applyFont="1" applyFill="1" applyBorder="1" applyAlignment="1" applyProtection="1">
      <alignment vertical="center"/>
    </xf>
    <xf numFmtId="217" fontId="342" fillId="0" borderId="179" xfId="0" applyNumberFormat="1" applyFont="1" applyFill="1" applyBorder="1" applyAlignment="1" applyProtection="1">
      <alignment vertical="center" wrapText="1"/>
      <protection locked="0"/>
    </xf>
    <xf numFmtId="4" fontId="342" fillId="0" borderId="169" xfId="0" applyFont="1" applyFill="1" applyBorder="1" applyAlignment="1" applyProtection="1">
      <alignment vertical="center"/>
      <protection locked="0"/>
    </xf>
    <xf numFmtId="4" fontId="342" fillId="0" borderId="0" xfId="0" applyFont="1" applyFill="1" applyAlignment="1" applyProtection="1">
      <alignment vertical="center"/>
      <protection locked="0"/>
    </xf>
    <xf numFmtId="49" fontId="337" fillId="0" borderId="172" xfId="0" applyNumberFormat="1" applyFont="1" applyFill="1" applyBorder="1" applyAlignment="1" applyProtection="1"/>
    <xf numFmtId="4" fontId="347" fillId="0" borderId="169" xfId="0" applyFont="1" applyFill="1" applyBorder="1" applyAlignment="1" applyProtection="1">
      <alignment vertical="center"/>
      <protection locked="0"/>
    </xf>
    <xf numFmtId="4" fontId="347" fillId="0" borderId="0" xfId="0" applyFont="1" applyFill="1" applyAlignment="1" applyProtection="1">
      <alignment vertical="center"/>
      <protection locked="0"/>
    </xf>
    <xf numFmtId="217" fontId="342" fillId="0" borderId="179" xfId="0" applyNumberFormat="1" applyFont="1" applyFill="1" applyBorder="1" applyAlignment="1" applyProtection="1">
      <alignment horizontal="right" vertical="center"/>
    </xf>
    <xf numFmtId="4" fontId="342" fillId="0" borderId="179" xfId="0" applyNumberFormat="1" applyFont="1" applyFill="1" applyBorder="1" applyAlignment="1" applyProtection="1">
      <alignment horizontal="center" vertical="center" wrapText="1"/>
      <protection locked="0"/>
    </xf>
    <xf numFmtId="187" fontId="342" fillId="0" borderId="0" xfId="0" applyNumberFormat="1" applyFont="1" applyFill="1" applyAlignment="1" applyProtection="1">
      <protection locked="0"/>
    </xf>
    <xf numFmtId="4" fontId="337" fillId="0" borderId="179" xfId="0" applyNumberFormat="1" applyFont="1" applyFill="1" applyBorder="1" applyAlignment="1" applyProtection="1">
      <alignment horizontal="center" vertical="center" wrapText="1"/>
      <protection locked="0"/>
    </xf>
    <xf numFmtId="216" fontId="337" fillId="59" borderId="175" xfId="0" applyNumberFormat="1" applyFont="1" applyFill="1" applyBorder="1" applyAlignment="1" applyProtection="1">
      <alignment horizontal="right" vertical="center"/>
      <protection locked="0"/>
    </xf>
    <xf numFmtId="216" fontId="350" fillId="64" borderId="175" xfId="0" applyNumberFormat="1" applyFont="1" applyFill="1" applyBorder="1" applyAlignment="1" applyProtection="1">
      <alignment horizontal="right" vertical="center"/>
      <protection locked="0"/>
    </xf>
    <xf numFmtId="216" fontId="337" fillId="64" borderId="176" xfId="0" applyNumberFormat="1" applyFont="1" applyFill="1" applyBorder="1" applyAlignment="1" applyProtection="1">
      <alignment horizontal="right" vertical="center"/>
      <protection locked="0"/>
    </xf>
    <xf numFmtId="216" fontId="337" fillId="64" borderId="178" xfId="0" applyNumberFormat="1" applyFont="1" applyFill="1" applyBorder="1" applyAlignment="1" applyProtection="1">
      <alignment horizontal="right" vertical="center"/>
      <protection locked="0"/>
    </xf>
    <xf numFmtId="216" fontId="337" fillId="64" borderId="174" xfId="0" applyNumberFormat="1" applyFont="1" applyFill="1" applyBorder="1" applyAlignment="1" applyProtection="1">
      <alignment horizontal="right" vertical="center"/>
      <protection locked="0"/>
    </xf>
    <xf numFmtId="4" fontId="342" fillId="0" borderId="179" xfId="0" applyNumberFormat="1" applyFont="1" applyFill="1" applyBorder="1" applyAlignment="1" applyProtection="1">
      <alignment horizontal="center" vertical="center"/>
      <protection locked="0"/>
    </xf>
    <xf numFmtId="4" fontId="337" fillId="0" borderId="179" xfId="0" applyNumberFormat="1" applyFont="1" applyFill="1" applyBorder="1" applyAlignment="1" applyProtection="1">
      <alignment horizontal="center" vertical="center"/>
      <protection locked="0"/>
    </xf>
    <xf numFmtId="217" fontId="342" fillId="64" borderId="173" xfId="0" applyNumberFormat="1" applyFont="1" applyFill="1" applyBorder="1" applyAlignment="1" applyProtection="1">
      <alignment horizontal="right" vertical="center"/>
      <protection locked="0"/>
    </xf>
    <xf numFmtId="216" fontId="342" fillId="64" borderId="182" xfId="0" applyNumberFormat="1" applyFont="1" applyFill="1" applyBorder="1" applyAlignment="1" applyProtection="1">
      <alignment horizontal="right" vertical="center"/>
      <protection locked="0"/>
    </xf>
    <xf numFmtId="216" fontId="342" fillId="64" borderId="183" xfId="0" applyNumberFormat="1" applyFont="1" applyFill="1" applyBorder="1" applyAlignment="1" applyProtection="1">
      <alignment horizontal="right" vertical="center"/>
      <protection locked="0"/>
    </xf>
    <xf numFmtId="216" fontId="342" fillId="0" borderId="184" xfId="0" applyNumberFormat="1" applyFont="1" applyFill="1" applyBorder="1" applyAlignment="1" applyProtection="1">
      <alignment horizontal="right" vertical="center"/>
    </xf>
    <xf numFmtId="216" fontId="342" fillId="63" borderId="185" xfId="0" applyNumberFormat="1" applyFont="1" applyFill="1" applyBorder="1" applyAlignment="1" applyProtection="1">
      <alignment horizontal="right" vertical="center"/>
      <protection locked="0"/>
    </xf>
    <xf numFmtId="216" fontId="342" fillId="63" borderId="180" xfId="0" applyNumberFormat="1" applyFont="1" applyFill="1" applyBorder="1" applyAlignment="1" applyProtection="1">
      <alignment horizontal="right" vertical="center"/>
      <protection locked="0"/>
    </xf>
    <xf numFmtId="216" fontId="342" fillId="63" borderId="186" xfId="0" applyNumberFormat="1" applyFont="1" applyFill="1" applyBorder="1" applyAlignment="1" applyProtection="1">
      <alignment horizontal="right" vertical="center"/>
      <protection locked="0"/>
    </xf>
    <xf numFmtId="4" fontId="10" fillId="57" borderId="173" xfId="0" applyFont="1" applyFill="1" applyBorder="1" applyAlignment="1" applyProtection="1">
      <alignment horizontal="left" vertical="center" wrapText="1" indent="5"/>
    </xf>
    <xf numFmtId="4" fontId="337" fillId="0" borderId="169" xfId="0" applyFont="1" applyFill="1" applyBorder="1" applyAlignment="1" applyProtection="1">
      <alignment vertical="center"/>
      <protection locked="0"/>
    </xf>
    <xf numFmtId="4" fontId="337" fillId="0" borderId="0" xfId="0" applyFont="1" applyFill="1" applyAlignment="1" applyProtection="1">
      <alignment vertical="center"/>
      <protection locked="0"/>
    </xf>
    <xf numFmtId="4" fontId="337" fillId="57" borderId="173" xfId="0" applyFont="1" applyFill="1" applyBorder="1" applyAlignment="1" applyProtection="1">
      <alignment horizontal="left" vertical="center" wrapText="1" indent="5"/>
    </xf>
    <xf numFmtId="4" fontId="275" fillId="57" borderId="173" xfId="0" applyFont="1" applyFill="1" applyBorder="1" applyAlignment="1" applyProtection="1">
      <alignment horizontal="left" vertical="center" indent="3"/>
    </xf>
    <xf numFmtId="49" fontId="337" fillId="57" borderId="172" xfId="0" applyNumberFormat="1" applyFont="1" applyFill="1" applyBorder="1" applyAlignment="1" applyProtection="1">
      <alignment vertical="center"/>
    </xf>
    <xf numFmtId="49" fontId="337" fillId="0" borderId="172" xfId="0" applyNumberFormat="1" applyFont="1" applyFill="1" applyBorder="1" applyAlignment="1" applyProtection="1">
      <alignment vertical="center"/>
    </xf>
    <xf numFmtId="4" fontId="337" fillId="66" borderId="173" xfId="0" applyFont="1" applyFill="1" applyBorder="1" applyAlignment="1" applyProtection="1">
      <alignment horizontal="left" vertical="center" wrapText="1" indent="7"/>
      <protection locked="0"/>
    </xf>
    <xf numFmtId="4" fontId="275" fillId="0" borderId="173" xfId="0" applyFont="1" applyFill="1" applyBorder="1" applyAlignment="1" applyProtection="1">
      <alignment horizontal="left" vertical="center" wrapText="1" indent="3"/>
    </xf>
    <xf numFmtId="216" fontId="337" fillId="64" borderId="187" xfId="0" applyNumberFormat="1" applyFont="1" applyFill="1" applyBorder="1" applyAlignment="1" applyProtection="1">
      <alignment horizontal="right" vertical="center"/>
      <protection locked="0"/>
    </xf>
    <xf numFmtId="216" fontId="337" fillId="64" borderId="188" xfId="0" applyNumberFormat="1" applyFont="1" applyFill="1" applyBorder="1" applyAlignment="1" applyProtection="1">
      <alignment horizontal="right" vertical="center"/>
      <protection locked="0"/>
    </xf>
    <xf numFmtId="4" fontId="342" fillId="0" borderId="189" xfId="0" applyFont="1" applyFill="1" applyBorder="1" applyAlignment="1" applyProtection="1">
      <alignment vertical="center"/>
    </xf>
    <xf numFmtId="4" fontId="275" fillId="0" borderId="188" xfId="0" applyFont="1" applyFill="1" applyBorder="1" applyAlignment="1" applyProtection="1">
      <alignment horizontal="left" vertical="center" wrapText="1" indent="3"/>
    </xf>
    <xf numFmtId="4" fontId="342" fillId="0" borderId="190" xfId="0" applyFont="1" applyFill="1" applyBorder="1" applyAlignment="1" applyProtection="1">
      <alignment horizontal="center" vertical="center"/>
    </xf>
    <xf numFmtId="216" fontId="342" fillId="64" borderId="187" xfId="0" applyNumberFormat="1" applyFont="1" applyFill="1" applyBorder="1" applyAlignment="1" applyProtection="1">
      <alignment horizontal="right" vertical="center"/>
      <protection locked="0"/>
    </xf>
    <xf numFmtId="216" fontId="342" fillId="64" borderId="188" xfId="0" applyNumberFormat="1" applyFont="1" applyFill="1" applyBorder="1" applyAlignment="1" applyProtection="1">
      <alignment horizontal="right" vertical="center"/>
      <protection locked="0"/>
    </xf>
    <xf numFmtId="4" fontId="337" fillId="57" borderId="189" xfId="0" applyFont="1" applyFill="1" applyBorder="1" applyAlignment="1" applyProtection="1">
      <alignment vertical="center"/>
    </xf>
    <xf numFmtId="4" fontId="337" fillId="57" borderId="188" xfId="0" applyFont="1" applyFill="1" applyBorder="1" applyAlignment="1" applyProtection="1">
      <alignment horizontal="left" vertical="center" wrapText="1" indent="3"/>
    </xf>
    <xf numFmtId="4" fontId="10" fillId="57" borderId="190" xfId="0" applyFont="1" applyFill="1" applyBorder="1" applyAlignment="1" applyProtection="1">
      <alignment horizontal="center" vertical="center"/>
    </xf>
    <xf numFmtId="216" fontId="337" fillId="64" borderId="191" xfId="0" applyNumberFormat="1" applyFont="1" applyFill="1" applyBorder="1" applyAlignment="1" applyProtection="1">
      <alignment horizontal="right" vertical="center"/>
      <protection locked="0"/>
    </xf>
    <xf numFmtId="216" fontId="337" fillId="64" borderId="192" xfId="0" applyNumberFormat="1" applyFont="1" applyFill="1" applyBorder="1" applyAlignment="1" applyProtection="1">
      <alignment horizontal="right" vertical="center"/>
      <protection locked="0"/>
    </xf>
    <xf numFmtId="216" fontId="337" fillId="0" borderId="190" xfId="0" applyNumberFormat="1" applyFont="1" applyFill="1" applyBorder="1" applyAlignment="1" applyProtection="1">
      <alignment horizontal="right" vertical="center"/>
    </xf>
    <xf numFmtId="216" fontId="337" fillId="0" borderId="188" xfId="0" applyNumberFormat="1" applyFont="1" applyFill="1" applyBorder="1" applyAlignment="1" applyProtection="1">
      <alignment horizontal="right" vertical="center"/>
    </xf>
    <xf numFmtId="216" fontId="337" fillId="0" borderId="193" xfId="0" applyNumberFormat="1" applyFont="1" applyFill="1" applyBorder="1" applyAlignment="1" applyProtection="1">
      <alignment horizontal="right" vertical="center"/>
    </xf>
    <xf numFmtId="216" fontId="337" fillId="0" borderId="189" xfId="0" applyNumberFormat="1" applyFont="1" applyFill="1" applyBorder="1" applyAlignment="1" applyProtection="1">
      <alignment horizontal="right" vertical="center"/>
    </xf>
    <xf numFmtId="4" fontId="342" fillId="0" borderId="194" xfId="0" applyFont="1" applyFill="1" applyBorder="1" applyAlignment="1" applyProtection="1">
      <alignment horizontal="center" vertical="center" wrapText="1"/>
      <protection locked="0"/>
    </xf>
    <xf numFmtId="216" fontId="337" fillId="0" borderId="190" xfId="0" applyNumberFormat="1" applyFont="1" applyFill="1" applyBorder="1" applyAlignment="1" applyProtection="1">
      <alignment horizontal="right" vertical="center"/>
      <protection locked="0"/>
    </xf>
    <xf numFmtId="1" fontId="342" fillId="64" borderId="175" xfId="0" applyNumberFormat="1" applyFont="1" applyFill="1" applyBorder="1" applyAlignment="1" applyProtection="1">
      <alignment horizontal="right" vertical="center"/>
      <protection locked="0"/>
    </xf>
    <xf numFmtId="4" fontId="275" fillId="0" borderId="174" xfId="0" applyFont="1" applyBorder="1" applyAlignment="1" applyProtection="1">
      <alignment horizontal="center" vertical="center"/>
    </xf>
    <xf numFmtId="4" fontId="342" fillId="0" borderId="179" xfId="0" applyFont="1" applyFill="1" applyBorder="1" applyAlignment="1" applyProtection="1">
      <alignment horizontal="left" vertical="center" wrapText="1" indent="1"/>
      <protection locked="0"/>
    </xf>
    <xf numFmtId="4" fontId="342" fillId="0" borderId="169" xfId="0" applyFont="1" applyBorder="1" applyAlignment="1" applyProtection="1">
      <alignment horizontal="left" vertical="center" indent="1"/>
      <protection locked="0"/>
    </xf>
    <xf numFmtId="4" fontId="342" fillId="0" borderId="0" xfId="0" applyFont="1" applyAlignment="1" applyProtection="1">
      <alignment horizontal="left" vertical="center" indent="1"/>
      <protection locked="0"/>
    </xf>
    <xf numFmtId="4" fontId="337" fillId="0" borderId="172" xfId="0" applyFont="1" applyFill="1" applyBorder="1" applyAlignment="1" applyProtection="1">
      <alignment vertical="center"/>
    </xf>
    <xf numFmtId="4" fontId="342" fillId="0" borderId="190" xfId="0" applyFont="1" applyBorder="1" applyAlignment="1" applyProtection="1">
      <alignment horizontal="center" vertical="center"/>
    </xf>
    <xf numFmtId="216" fontId="342" fillId="0" borderId="188" xfId="0" applyNumberFormat="1" applyFont="1" applyFill="1" applyBorder="1" applyAlignment="1" applyProtection="1">
      <alignment horizontal="right" vertical="center"/>
    </xf>
    <xf numFmtId="216" fontId="342" fillId="0" borderId="188" xfId="0" applyNumberFormat="1" applyFont="1" applyFill="1" applyBorder="1" applyAlignment="1" applyProtection="1">
      <alignment horizontal="right" vertical="center"/>
      <protection locked="0"/>
    </xf>
    <xf numFmtId="218" fontId="342" fillId="64" borderId="175" xfId="0" applyNumberFormat="1" applyFont="1" applyFill="1" applyBorder="1" applyAlignment="1" applyProtection="1">
      <alignment horizontal="right" vertical="center"/>
      <protection locked="0"/>
    </xf>
    <xf numFmtId="218" fontId="342" fillId="0" borderId="173" xfId="0" applyNumberFormat="1" applyFont="1" applyFill="1" applyBorder="1" applyAlignment="1" applyProtection="1">
      <alignment horizontal="right" vertical="center"/>
    </xf>
    <xf numFmtId="218" fontId="342" fillId="0" borderId="175" xfId="0" applyNumberFormat="1" applyFont="1" applyFill="1" applyBorder="1" applyAlignment="1" applyProtection="1">
      <alignment horizontal="right" vertical="center"/>
    </xf>
    <xf numFmtId="218" fontId="342" fillId="0" borderId="172" xfId="0" applyNumberFormat="1" applyFont="1" applyFill="1" applyBorder="1" applyAlignment="1" applyProtection="1">
      <alignment horizontal="right" vertical="center"/>
    </xf>
    <xf numFmtId="218" fontId="342" fillId="0" borderId="173" xfId="0" applyNumberFormat="1" applyFont="1" applyFill="1" applyBorder="1" applyAlignment="1" applyProtection="1">
      <alignment horizontal="right" vertical="center"/>
      <protection locked="0"/>
    </xf>
    <xf numFmtId="49" fontId="10" fillId="0" borderId="172" xfId="0" applyNumberFormat="1" applyFont="1" applyFill="1" applyBorder="1" applyAlignment="1" applyProtection="1">
      <alignment vertical="center"/>
    </xf>
    <xf numFmtId="4" fontId="337" fillId="0" borderId="169" xfId="0" applyFont="1" applyBorder="1" applyAlignment="1" applyProtection="1">
      <alignment wrapText="1"/>
      <protection locked="0"/>
    </xf>
    <xf numFmtId="4" fontId="337" fillId="0" borderId="0" xfId="0" applyFont="1" applyAlignment="1" applyProtection="1">
      <alignment wrapText="1"/>
      <protection locked="0"/>
    </xf>
    <xf numFmtId="49" fontId="10" fillId="57" borderId="172" xfId="0" applyNumberFormat="1" applyFont="1" applyFill="1" applyBorder="1" applyAlignment="1" applyProtection="1">
      <alignment vertical="center"/>
    </xf>
    <xf numFmtId="4" fontId="275" fillId="0" borderId="173" xfId="0" applyFont="1" applyFill="1" applyBorder="1" applyAlignment="1" applyProtection="1">
      <alignment horizontal="left" vertical="center" indent="3"/>
    </xf>
    <xf numFmtId="49" fontId="342" fillId="0" borderId="189" xfId="0" applyNumberFormat="1" applyFont="1" applyFill="1" applyBorder="1" applyAlignment="1" applyProtection="1">
      <alignment vertical="center"/>
    </xf>
    <xf numFmtId="49" fontId="337" fillId="57" borderId="189" xfId="0" applyNumberFormat="1" applyFont="1" applyFill="1" applyBorder="1" applyAlignment="1" applyProtection="1">
      <alignment vertical="center"/>
    </xf>
    <xf numFmtId="4" fontId="342" fillId="0" borderId="194" xfId="0" applyFont="1" applyFill="1" applyBorder="1" applyAlignment="1" applyProtection="1">
      <alignment horizontal="left" vertical="center" wrapText="1"/>
      <protection locked="0"/>
    </xf>
    <xf numFmtId="3" fontId="342" fillId="64" borderId="175" xfId="0" applyNumberFormat="1" applyFont="1" applyFill="1" applyBorder="1" applyAlignment="1" applyProtection="1">
      <alignment horizontal="right" vertical="center"/>
      <protection locked="0"/>
    </xf>
    <xf numFmtId="49" fontId="353" fillId="57" borderId="172" xfId="0" applyNumberFormat="1" applyFont="1" applyFill="1" applyBorder="1" applyAlignment="1" applyProtection="1">
      <alignment horizontal="left" vertical="center"/>
    </xf>
    <xf numFmtId="4" fontId="342" fillId="0" borderId="173" xfId="0" applyFont="1" applyFill="1" applyBorder="1" applyAlignment="1" applyProtection="1">
      <alignment horizontal="left" vertical="center" wrapText="1" indent="2"/>
    </xf>
    <xf numFmtId="216" fontId="337" fillId="56" borderId="173" xfId="0" applyNumberFormat="1" applyFont="1" applyFill="1" applyBorder="1" applyAlignment="1" applyProtection="1">
      <alignment horizontal="right" vertical="center"/>
      <protection locked="0"/>
    </xf>
    <xf numFmtId="4" fontId="342" fillId="0" borderId="174" xfId="0" applyFont="1" applyFill="1" applyBorder="1" applyAlignment="1" applyProtection="1">
      <alignment horizontal="center" vertical="center"/>
      <protection locked="0"/>
    </xf>
    <xf numFmtId="216" fontId="342" fillId="0" borderId="172" xfId="0" applyNumberFormat="1" applyFont="1" applyFill="1" applyBorder="1" applyAlignment="1" applyProtection="1">
      <alignment horizontal="right" vertical="center"/>
      <protection locked="0"/>
    </xf>
    <xf numFmtId="49" fontId="345" fillId="57" borderId="172" xfId="0" applyNumberFormat="1" applyFont="1" applyFill="1" applyBorder="1" applyAlignment="1" applyProtection="1">
      <alignment vertical="center"/>
    </xf>
    <xf numFmtId="49" fontId="342" fillId="57" borderId="172" xfId="0" applyNumberFormat="1" applyFont="1" applyFill="1" applyBorder="1" applyAlignment="1" applyProtection="1">
      <alignment vertical="center"/>
    </xf>
    <xf numFmtId="4" fontId="342" fillId="57" borderId="173" xfId="0" applyFont="1" applyFill="1" applyBorder="1" applyAlignment="1" applyProtection="1">
      <alignment horizontal="left" vertical="center" wrapText="1" indent="4"/>
    </xf>
    <xf numFmtId="4" fontId="342" fillId="57" borderId="173" xfId="0" applyFont="1" applyFill="1" applyBorder="1" applyAlignment="1" applyProtection="1">
      <alignment horizontal="left" vertical="center" wrapText="1" indent="3"/>
    </xf>
    <xf numFmtId="4" fontId="342" fillId="57" borderId="173" xfId="0" applyFont="1" applyFill="1" applyBorder="1" applyAlignment="1" applyProtection="1">
      <alignment horizontal="left" vertical="center" wrapText="1" indent="2"/>
    </xf>
    <xf numFmtId="4" fontId="342" fillId="57" borderId="173" xfId="0" applyFont="1" applyFill="1" applyBorder="1" applyAlignment="1" applyProtection="1">
      <alignment horizontal="left" vertical="center" indent="1"/>
    </xf>
    <xf numFmtId="218" fontId="342" fillId="0" borderId="174" xfId="0" applyNumberFormat="1" applyFont="1" applyFill="1" applyBorder="1" applyAlignment="1" applyProtection="1">
      <alignment horizontal="right" vertical="center"/>
    </xf>
    <xf numFmtId="218" fontId="342" fillId="0" borderId="174" xfId="0" applyNumberFormat="1" applyFont="1" applyFill="1" applyBorder="1" applyAlignment="1" applyProtection="1">
      <alignment horizontal="right" vertical="center"/>
      <protection locked="0"/>
    </xf>
    <xf numFmtId="218" fontId="342" fillId="0" borderId="175" xfId="0" applyNumberFormat="1" applyFont="1" applyFill="1" applyBorder="1" applyAlignment="1" applyProtection="1">
      <alignment horizontal="right" vertical="center"/>
      <protection locked="0"/>
    </xf>
    <xf numFmtId="218" fontId="342" fillId="0" borderId="172" xfId="0" applyNumberFormat="1" applyFont="1" applyFill="1" applyBorder="1" applyAlignment="1" applyProtection="1">
      <alignment horizontal="right" vertical="center"/>
      <protection locked="0"/>
    </xf>
    <xf numFmtId="218" fontId="337" fillId="0" borderId="175" xfId="0" applyNumberFormat="1" applyFont="1" applyFill="1" applyBorder="1" applyAlignment="1" applyProtection="1">
      <alignment horizontal="right" vertical="center"/>
      <protection locked="0"/>
    </xf>
    <xf numFmtId="218" fontId="337" fillId="0" borderId="172" xfId="0" applyNumberFormat="1" applyFont="1" applyFill="1" applyBorder="1" applyAlignment="1" applyProtection="1">
      <alignment horizontal="right" vertical="center"/>
      <protection locked="0"/>
    </xf>
    <xf numFmtId="4" fontId="342" fillId="57" borderId="173" xfId="0" applyFont="1" applyFill="1" applyBorder="1" applyAlignment="1" applyProtection="1">
      <alignment horizontal="left" vertical="center" wrapText="1" indent="1"/>
    </xf>
    <xf numFmtId="49" fontId="353" fillId="57" borderId="172" xfId="0" applyNumberFormat="1" applyFont="1" applyFill="1" applyBorder="1" applyAlignment="1" applyProtection="1">
      <alignment vertical="center"/>
    </xf>
    <xf numFmtId="4" fontId="342" fillId="57" borderId="173" xfId="0" applyFont="1" applyFill="1" applyBorder="1" applyAlignment="1" applyProtection="1">
      <alignment horizontal="left" vertical="center" indent="3"/>
    </xf>
    <xf numFmtId="49" fontId="10" fillId="57" borderId="172" xfId="0" applyNumberFormat="1" applyFont="1" applyFill="1" applyBorder="1" applyAlignment="1" applyProtection="1">
      <alignment horizontal="left" vertical="center"/>
    </xf>
    <xf numFmtId="49" fontId="337" fillId="0" borderId="172" xfId="0" applyNumberFormat="1" applyFont="1" applyFill="1" applyBorder="1" applyAlignment="1" applyProtection="1">
      <alignment horizontal="left"/>
    </xf>
    <xf numFmtId="4" fontId="337" fillId="0" borderId="173" xfId="0" applyFont="1" applyBorder="1" applyAlignment="1" applyProtection="1">
      <alignment horizontal="left" indent="5"/>
    </xf>
    <xf numFmtId="49" fontId="337" fillId="0" borderId="189" xfId="0" applyNumberFormat="1" applyFont="1" applyFill="1" applyBorder="1" applyAlignment="1" applyProtection="1">
      <alignment horizontal="left" vertical="center"/>
    </xf>
    <xf numFmtId="4" fontId="337" fillId="0" borderId="190" xfId="0" applyFont="1" applyFill="1" applyBorder="1" applyAlignment="1" applyProtection="1">
      <alignment horizontal="center" vertical="center"/>
    </xf>
    <xf numFmtId="4" fontId="337" fillId="0" borderId="195" xfId="0" applyFont="1" applyBorder="1" applyAlignment="1" applyProtection="1">
      <protection locked="0"/>
    </xf>
    <xf numFmtId="4" fontId="337" fillId="0" borderId="195" xfId="0" applyFont="1" applyBorder="1" applyAlignment="1" applyProtection="1">
      <alignment horizontal="center"/>
      <protection locked="0"/>
    </xf>
    <xf numFmtId="4" fontId="337" fillId="0" borderId="195" xfId="0" applyFont="1" applyFill="1" applyBorder="1" applyAlignment="1" applyProtection="1">
      <protection locked="0"/>
    </xf>
    <xf numFmtId="171" fontId="337" fillId="0" borderId="195" xfId="0" applyNumberFormat="1" applyFont="1" applyBorder="1" applyAlignment="1" applyProtection="1">
      <protection locked="0"/>
    </xf>
    <xf numFmtId="4" fontId="337" fillId="0" borderId="195" xfId="0" applyNumberFormat="1" applyFont="1" applyBorder="1" applyAlignment="1" applyProtection="1">
      <protection locked="0"/>
    </xf>
    <xf numFmtId="4" fontId="337" fillId="0" borderId="195" xfId="0" applyFont="1" applyBorder="1" applyAlignment="1" applyProtection="1">
      <alignment wrapText="1"/>
      <protection locked="0"/>
    </xf>
    <xf numFmtId="0" fontId="354" fillId="47" borderId="77" xfId="0" applyNumberFormat="1" applyFont="1" applyFill="1" applyBorder="1" applyAlignment="1" applyProtection="1">
      <alignment horizontal="left" vertical="center" wrapText="1"/>
      <protection locked="0"/>
    </xf>
    <xf numFmtId="0" fontId="355" fillId="47" borderId="16" xfId="0" applyNumberFormat="1" applyFont="1" applyFill="1" applyBorder="1" applyAlignment="1" applyProtection="1">
      <alignment horizontal="center" vertical="center" wrapText="1"/>
      <protection locked="0"/>
    </xf>
    <xf numFmtId="2" fontId="176" fillId="47" borderId="77" xfId="0" applyNumberFormat="1" applyFont="1" applyFill="1" applyBorder="1" applyAlignment="1" applyProtection="1">
      <alignment horizontal="center"/>
      <protection locked="0"/>
    </xf>
    <xf numFmtId="0" fontId="356" fillId="0" borderId="14" xfId="0" applyNumberFormat="1" applyFont="1" applyFill="1" applyBorder="1" applyAlignment="1" applyProtection="1">
      <alignment horizontal="left" vertical="center" wrapText="1"/>
      <protection locked="0"/>
    </xf>
    <xf numFmtId="16" fontId="108" fillId="0" borderId="80" xfId="0" applyNumberFormat="1" applyFont="1" applyFill="1" applyBorder="1" applyAlignment="1" applyProtection="1">
      <alignment horizontal="center"/>
      <protection locked="0"/>
    </xf>
    <xf numFmtId="2" fontId="176" fillId="3" borderId="14" xfId="0" applyNumberFormat="1" applyFont="1" applyFill="1" applyBorder="1" applyAlignment="1" applyProtection="1">
      <alignment horizontal="center"/>
      <protection locked="0"/>
    </xf>
    <xf numFmtId="0" fontId="354" fillId="47" borderId="14" xfId="0" applyNumberFormat="1" applyFont="1" applyFill="1" applyBorder="1" applyAlignment="1" applyProtection="1">
      <alignment horizontal="left" vertical="center" wrapText="1"/>
      <protection locked="0"/>
    </xf>
    <xf numFmtId="0" fontId="355" fillId="47" borderId="80" xfId="0" applyNumberFormat="1" applyFont="1" applyFill="1" applyBorder="1" applyAlignment="1" applyProtection="1">
      <alignment horizontal="center"/>
      <protection locked="0"/>
    </xf>
    <xf numFmtId="2" fontId="176" fillId="47" borderId="14" xfId="0" applyNumberFormat="1" applyFont="1" applyFill="1" applyBorder="1" applyAlignment="1" applyProtection="1">
      <alignment horizontal="center"/>
      <protection locked="0"/>
    </xf>
    <xf numFmtId="0" fontId="356" fillId="47" borderId="14" xfId="0" applyNumberFormat="1" applyFont="1" applyFill="1" applyBorder="1" applyAlignment="1" applyProtection="1">
      <alignment horizontal="left" vertical="center" wrapText="1"/>
      <protection locked="0"/>
    </xf>
    <xf numFmtId="0" fontId="354" fillId="3" borderId="14" xfId="0" applyNumberFormat="1" applyFont="1" applyFill="1" applyBorder="1" applyAlignment="1" applyProtection="1">
      <alignment horizontal="left" vertical="center" wrapText="1"/>
      <protection locked="0"/>
    </xf>
    <xf numFmtId="14" fontId="355" fillId="3" borderId="80" xfId="0" applyNumberFormat="1" applyFont="1" applyFill="1" applyBorder="1" applyAlignment="1" applyProtection="1">
      <alignment horizontal="center"/>
      <protection locked="0"/>
    </xf>
    <xf numFmtId="2" fontId="357" fillId="3" borderId="14" xfId="0" applyNumberFormat="1" applyFont="1" applyFill="1" applyBorder="1" applyAlignment="1" applyProtection="1">
      <alignment horizontal="center" vertical="center" wrapText="1"/>
      <protection locked="0"/>
    </xf>
    <xf numFmtId="0" fontId="358" fillId="0" borderId="14" xfId="0" applyNumberFormat="1" applyFont="1" applyBorder="1" applyAlignment="1" applyProtection="1">
      <alignment horizontal="left" indent="3"/>
      <protection locked="0"/>
    </xf>
    <xf numFmtId="0" fontId="355" fillId="46" borderId="80" xfId="0" applyNumberFormat="1" applyFont="1" applyFill="1" applyBorder="1" applyAlignment="1" applyProtection="1">
      <alignment horizontal="center"/>
      <protection locked="0"/>
    </xf>
    <xf numFmtId="2" fontId="176" fillId="46" borderId="14" xfId="0" applyNumberFormat="1" applyFont="1" applyFill="1" applyBorder="1" applyAlignment="1" applyProtection="1">
      <alignment horizontal="center"/>
      <protection locked="0"/>
    </xf>
    <xf numFmtId="0" fontId="179" fillId="46" borderId="14" xfId="0" applyNumberFormat="1" applyFont="1" applyFill="1" applyBorder="1" applyAlignment="1" applyProtection="1">
      <protection locked="0"/>
    </xf>
    <xf numFmtId="16" fontId="176" fillId="46" borderId="80" xfId="0" applyNumberFormat="1" applyFont="1" applyFill="1" applyBorder="1" applyAlignment="1" applyProtection="1">
      <alignment horizontal="center"/>
      <protection locked="0"/>
    </xf>
    <xf numFmtId="0" fontId="176" fillId="46" borderId="80" xfId="0" applyNumberFormat="1" applyFont="1" applyFill="1" applyBorder="1" applyAlignment="1" applyProtection="1">
      <alignment horizontal="center"/>
      <protection locked="0"/>
    </xf>
    <xf numFmtId="0" fontId="179" fillId="46" borderId="14" xfId="0" applyNumberFormat="1" applyFont="1" applyFill="1" applyBorder="1" applyAlignment="1" applyProtection="1">
      <alignment wrapText="1"/>
      <protection locked="0"/>
    </xf>
    <xf numFmtId="0" fontId="176" fillId="46" borderId="80" xfId="0" applyNumberFormat="1" applyFont="1" applyFill="1" applyBorder="1" applyAlignment="1" applyProtection="1">
      <alignment horizontal="center" vertical="center"/>
      <protection locked="0"/>
    </xf>
    <xf numFmtId="0" fontId="355" fillId="3" borderId="80" xfId="0" applyNumberFormat="1" applyFont="1" applyFill="1" applyBorder="1" applyAlignment="1" applyProtection="1">
      <alignment horizontal="center"/>
      <protection locked="0"/>
    </xf>
    <xf numFmtId="0" fontId="359" fillId="0" borderId="14" xfId="0" applyNumberFormat="1" applyFont="1" applyFill="1" applyBorder="1" applyAlignment="1" applyProtection="1">
      <alignment shrinkToFit="1"/>
      <protection locked="0"/>
    </xf>
    <xf numFmtId="0" fontId="108" fillId="0" borderId="80" xfId="0" applyNumberFormat="1" applyFont="1" applyFill="1" applyBorder="1" applyAlignment="1" applyProtection="1">
      <alignment horizontal="center"/>
      <protection locked="0"/>
    </xf>
    <xf numFmtId="49" fontId="359" fillId="0" borderId="14" xfId="0" applyNumberFormat="1" applyFont="1" applyFill="1" applyBorder="1" applyAlignment="1" applyProtection="1">
      <protection locked="0"/>
    </xf>
    <xf numFmtId="0" fontId="108" fillId="46" borderId="81" xfId="0" applyNumberFormat="1" applyFont="1" applyFill="1" applyBorder="1" applyAlignment="1" applyProtection="1">
      <alignment horizontal="center"/>
      <protection locked="0"/>
    </xf>
    <xf numFmtId="0" fontId="108" fillId="46" borderId="79" xfId="0" applyNumberFormat="1" applyFont="1" applyFill="1" applyBorder="1" applyAlignment="1" applyProtection="1">
      <alignment horizontal="center"/>
      <protection locked="0"/>
    </xf>
    <xf numFmtId="0" fontId="179" fillId="47" borderId="14" xfId="0" applyNumberFormat="1" applyFont="1" applyFill="1" applyBorder="1" applyAlignment="1" applyProtection="1">
      <alignment wrapText="1"/>
      <protection locked="0"/>
    </xf>
    <xf numFmtId="0" fontId="176" fillId="47" borderId="80" xfId="0" applyNumberFormat="1" applyFont="1" applyFill="1" applyBorder="1" applyAlignment="1" applyProtection="1">
      <alignment horizontal="center" vertical="center"/>
      <protection locked="0"/>
    </xf>
    <xf numFmtId="0" fontId="179" fillId="3" borderId="14" xfId="0" applyNumberFormat="1" applyFont="1" applyFill="1" applyBorder="1" applyAlignment="1" applyProtection="1">
      <protection locked="0"/>
    </xf>
    <xf numFmtId="0" fontId="176" fillId="3" borderId="80" xfId="0" applyNumberFormat="1" applyFont="1" applyFill="1" applyBorder="1" applyAlignment="1" applyProtection="1">
      <alignment horizontal="center"/>
      <protection locked="0"/>
    </xf>
    <xf numFmtId="0" fontId="359" fillId="0" borderId="14" xfId="0" applyNumberFormat="1" applyFont="1" applyFill="1" applyBorder="1" applyAlignment="1" applyProtection="1">
      <alignment wrapText="1"/>
      <protection locked="0"/>
    </xf>
    <xf numFmtId="14" fontId="108" fillId="0" borderId="80" xfId="0" applyNumberFormat="1" applyFont="1" applyFill="1" applyBorder="1" applyAlignment="1" applyProtection="1">
      <alignment horizontal="center" vertical="center"/>
      <protection locked="0"/>
    </xf>
    <xf numFmtId="0" fontId="359" fillId="0" borderId="14" xfId="0" applyNumberFormat="1" applyFont="1" applyFill="1" applyBorder="1" applyAlignment="1" applyProtection="1">
      <protection locked="0"/>
    </xf>
    <xf numFmtId="0" fontId="108" fillId="46" borderId="45" xfId="0" applyNumberFormat="1" applyFont="1" applyFill="1" applyBorder="1" applyAlignment="1" applyProtection="1">
      <alignment horizontal="center"/>
      <protection locked="0"/>
    </xf>
    <xf numFmtId="0" fontId="108" fillId="0" borderId="80" xfId="0" applyNumberFormat="1" applyFont="1" applyFill="1" applyBorder="1" applyAlignment="1" applyProtection="1">
      <alignment horizontal="center" vertical="center"/>
      <protection locked="0"/>
    </xf>
    <xf numFmtId="14" fontId="108" fillId="0" borderId="80" xfId="0" applyNumberFormat="1" applyFont="1" applyFill="1" applyBorder="1" applyAlignment="1" applyProtection="1">
      <alignment horizontal="center"/>
      <protection locked="0"/>
    </xf>
    <xf numFmtId="0" fontId="179" fillId="3" borderId="14" xfId="0" applyNumberFormat="1" applyFont="1" applyFill="1" applyBorder="1" applyAlignment="1" applyProtection="1">
      <alignment wrapText="1"/>
      <protection locked="0"/>
    </xf>
    <xf numFmtId="0" fontId="179" fillId="47" borderId="39" xfId="0" applyNumberFormat="1" applyFont="1" applyFill="1" applyBorder="1" applyAlignment="1" applyProtection="1">
      <alignment wrapText="1"/>
      <protection locked="0"/>
    </xf>
    <xf numFmtId="0" fontId="176" fillId="47" borderId="81" xfId="0" applyNumberFormat="1" applyFont="1" applyFill="1" applyBorder="1" applyAlignment="1" applyProtection="1">
      <alignment horizontal="center"/>
      <protection locked="0"/>
    </xf>
    <xf numFmtId="2" fontId="176" fillId="47" borderId="39" xfId="0" applyNumberFormat="1" applyFont="1" applyFill="1" applyBorder="1" applyAlignment="1" applyProtection="1">
      <alignment horizontal="center"/>
      <protection locked="0"/>
    </xf>
    <xf numFmtId="0" fontId="360" fillId="0" borderId="39" xfId="0" applyNumberFormat="1" applyFont="1" applyFill="1" applyBorder="1" applyAlignment="1" applyProtection="1">
      <alignment wrapText="1"/>
      <protection locked="0"/>
    </xf>
    <xf numFmtId="49" fontId="108" fillId="0" borderId="81" xfId="0" applyNumberFormat="1" applyFont="1" applyFill="1" applyBorder="1" applyAlignment="1" applyProtection="1">
      <alignment horizontal="center" vertical="center"/>
      <protection locked="0"/>
    </xf>
    <xf numFmtId="0" fontId="359" fillId="0" borderId="39" xfId="0" applyNumberFormat="1" applyFont="1" applyFill="1" applyBorder="1" applyAlignment="1" applyProtection="1">
      <alignment wrapText="1"/>
      <protection locked="0"/>
    </xf>
    <xf numFmtId="2" fontId="176" fillId="3" borderId="39" xfId="0" applyNumberFormat="1" applyFont="1" applyFill="1" applyBorder="1" applyAlignment="1" applyProtection="1">
      <alignment horizontal="center"/>
      <protection locked="0"/>
    </xf>
    <xf numFmtId="0" fontId="179" fillId="47" borderId="18" xfId="0" applyNumberFormat="1" applyFont="1" applyFill="1" applyBorder="1" applyAlignment="1" applyProtection="1">
      <alignment wrapText="1"/>
      <protection locked="0"/>
    </xf>
    <xf numFmtId="0" fontId="176" fillId="47" borderId="123" xfId="0" applyNumberFormat="1" applyFont="1" applyFill="1" applyBorder="1" applyAlignment="1" applyProtection="1">
      <alignment horizontal="center"/>
      <protection locked="0"/>
    </xf>
    <xf numFmtId="2" fontId="176" fillId="47" borderId="18" xfId="0" applyNumberFormat="1" applyFont="1" applyFill="1" applyBorder="1" applyAlignment="1" applyProtection="1">
      <alignment horizontal="center"/>
      <protection locked="0"/>
    </xf>
    <xf numFmtId="171" fontId="337" fillId="0" borderId="0" xfId="0" applyNumberFormat="1" applyFont="1" applyFill="1" applyAlignment="1" applyProtection="1">
      <protection locked="0"/>
    </xf>
    <xf numFmtId="4" fontId="337" fillId="0" borderId="0" xfId="0" applyNumberFormat="1" applyFont="1" applyAlignment="1" applyProtection="1">
      <protection locked="0"/>
    </xf>
    <xf numFmtId="217" fontId="337" fillId="0" borderId="0" xfId="0" applyNumberFormat="1" applyFont="1" applyAlignment="1" applyProtection="1">
      <protection locked="0"/>
    </xf>
    <xf numFmtId="4" fontId="116" fillId="0" borderId="0" xfId="0" applyFont="1" applyFill="1" applyAlignment="1">
      <alignment horizontal="left" vertical="center"/>
    </xf>
    <xf numFmtId="0" fontId="108" fillId="0" borderId="0" xfId="0" applyNumberFormat="1" applyFont="1" applyAlignment="1" applyProtection="1"/>
    <xf numFmtId="165" fontId="108" fillId="0" borderId="0" xfId="0" applyNumberFormat="1" applyFont="1" applyAlignment="1" applyProtection="1"/>
    <xf numFmtId="219" fontId="180" fillId="0" borderId="0" xfId="0" applyNumberFormat="1" applyFont="1" applyAlignment="1" applyProtection="1"/>
    <xf numFmtId="0" fontId="108" fillId="46" borderId="0" xfId="0" applyNumberFormat="1" applyFont="1" applyFill="1" applyAlignment="1" applyProtection="1"/>
    <xf numFmtId="4" fontId="110" fillId="0" borderId="0" xfId="0" applyFont="1" applyFill="1" applyAlignment="1">
      <alignment horizontal="left" vertical="center"/>
    </xf>
    <xf numFmtId="219" fontId="361" fillId="0" borderId="0" xfId="0" applyNumberFormat="1" applyFont="1" applyAlignment="1" applyProtection="1"/>
    <xf numFmtId="4" fontId="362" fillId="0" borderId="0" xfId="0" applyFont="1" applyFill="1" applyAlignment="1">
      <alignment horizontal="left" vertical="center"/>
    </xf>
    <xf numFmtId="219" fontId="108" fillId="0" borderId="0" xfId="0" applyNumberFormat="1" applyFont="1" applyAlignment="1" applyProtection="1"/>
    <xf numFmtId="165" fontId="174" fillId="0" borderId="0" xfId="0" applyNumberFormat="1" applyFont="1" applyAlignment="1" applyProtection="1"/>
    <xf numFmtId="2" fontId="108" fillId="0" borderId="0" xfId="0" applyNumberFormat="1" applyFont="1" applyAlignment="1" applyProtection="1"/>
    <xf numFmtId="211" fontId="297" fillId="0" borderId="0" xfId="0" applyNumberFormat="1" applyFont="1" applyAlignment="1" applyProtection="1"/>
    <xf numFmtId="0" fontId="363" fillId="0" borderId="0" xfId="1148" applyFont="1" applyFill="1" applyAlignment="1">
      <alignment horizontal="left" vertical="center"/>
    </xf>
    <xf numFmtId="0" fontId="364" fillId="46" borderId="0" xfId="1148" applyFont="1" applyFill="1" applyBorder="1" applyAlignment="1" applyProtection="1">
      <alignment horizontal="left" vertical="center" wrapText="1"/>
    </xf>
    <xf numFmtId="210" fontId="108" fillId="0" borderId="0" xfId="0" applyNumberFormat="1" applyFont="1" applyAlignment="1" applyProtection="1"/>
    <xf numFmtId="0" fontId="174" fillId="46" borderId="0" xfId="0" applyNumberFormat="1" applyFont="1" applyFill="1" applyAlignment="1" applyProtection="1"/>
    <xf numFmtId="0" fontId="174" fillId="0" borderId="0" xfId="0" applyNumberFormat="1" applyFont="1" applyAlignment="1" applyProtection="1"/>
    <xf numFmtId="0" fontId="364" fillId="46" borderId="0" xfId="1148" applyFont="1" applyFill="1" applyBorder="1" applyAlignment="1" applyProtection="1">
      <alignment horizontal="center" vertical="center" wrapText="1"/>
    </xf>
    <xf numFmtId="2" fontId="108" fillId="46" borderId="0" xfId="0" applyNumberFormat="1" applyFont="1" applyFill="1" applyBorder="1" applyAlignment="1" applyProtection="1"/>
    <xf numFmtId="0" fontId="108" fillId="46" borderId="0" xfId="0" applyNumberFormat="1" applyFont="1" applyFill="1" applyBorder="1" applyAlignment="1" applyProtection="1"/>
    <xf numFmtId="0" fontId="174" fillId="46" borderId="0" xfId="0" applyNumberFormat="1" applyFont="1" applyFill="1" applyBorder="1" applyAlignment="1" applyProtection="1"/>
    <xf numFmtId="0" fontId="108" fillId="46" borderId="0" xfId="0" applyNumberFormat="1" applyFont="1" applyFill="1" applyAlignment="1" applyProtection="1">
      <alignment horizontal="center" vertical="center"/>
    </xf>
    <xf numFmtId="0" fontId="108" fillId="0" borderId="0" xfId="0" applyNumberFormat="1" applyFont="1" applyFill="1" applyAlignment="1" applyProtection="1">
      <alignment horizontal="center" vertical="center"/>
    </xf>
    <xf numFmtId="2" fontId="108" fillId="0" borderId="14" xfId="0" applyNumberFormat="1" applyFont="1" applyFill="1" applyBorder="1" applyAlignment="1" applyProtection="1">
      <alignment horizontal="center" vertical="center"/>
    </xf>
    <xf numFmtId="2" fontId="108" fillId="0" borderId="14" xfId="0" applyNumberFormat="1" applyFont="1" applyFill="1" applyBorder="1" applyAlignment="1" applyProtection="1">
      <alignment horizontal="center" vertical="center" wrapText="1"/>
    </xf>
    <xf numFmtId="0" fontId="108" fillId="0" borderId="14" xfId="0" applyNumberFormat="1" applyFont="1" applyFill="1" applyBorder="1" applyAlignment="1" applyProtection="1">
      <alignment horizontal="center" vertical="center"/>
    </xf>
    <xf numFmtId="0" fontId="108" fillId="0" borderId="14" xfId="0" applyNumberFormat="1" applyFont="1" applyFill="1" applyBorder="1" applyAlignment="1" applyProtection="1">
      <alignment horizontal="center" vertical="center" wrapText="1"/>
    </xf>
    <xf numFmtId="1" fontId="108" fillId="0" borderId="196" xfId="0" applyNumberFormat="1" applyFont="1" applyFill="1" applyBorder="1" applyAlignment="1" applyProtection="1">
      <alignment horizontal="center"/>
    </xf>
    <xf numFmtId="1" fontId="108" fillId="46" borderId="0" xfId="0" applyNumberFormat="1" applyFont="1" applyFill="1" applyAlignment="1" applyProtection="1"/>
    <xf numFmtId="1" fontId="108" fillId="0" borderId="0" xfId="0" applyNumberFormat="1" applyFont="1" applyFill="1" applyAlignment="1" applyProtection="1"/>
    <xf numFmtId="0" fontId="367" fillId="46" borderId="0" xfId="0" applyNumberFormat="1" applyFont="1" applyFill="1" applyAlignment="1" applyProtection="1"/>
    <xf numFmtId="0" fontId="355" fillId="47" borderId="16" xfId="0" applyNumberFormat="1" applyFont="1" applyFill="1" applyBorder="1" applyAlignment="1" applyProtection="1">
      <alignment horizontal="center" vertical="center" wrapText="1"/>
    </xf>
    <xf numFmtId="0" fontId="368" fillId="47" borderId="77" xfId="0" applyNumberFormat="1" applyFont="1" applyFill="1" applyBorder="1" applyAlignment="1" applyProtection="1">
      <alignment horizontal="left" vertical="center" wrapText="1"/>
    </xf>
    <xf numFmtId="2" fontId="176" fillId="47" borderId="77" xfId="0" applyNumberFormat="1" applyFont="1" applyFill="1" applyBorder="1" applyAlignment="1" applyProtection="1">
      <alignment horizontal="center"/>
    </xf>
    <xf numFmtId="1" fontId="176" fillId="47" borderId="77" xfId="1263" applyNumberFormat="1" applyFont="1" applyFill="1" applyBorder="1" applyAlignment="1" applyProtection="1">
      <alignment horizontal="center"/>
    </xf>
    <xf numFmtId="2" fontId="176" fillId="47" borderId="77" xfId="1263" applyNumberFormat="1" applyFont="1" applyFill="1" applyBorder="1" applyAlignment="1" applyProtection="1">
      <alignment horizontal="center"/>
    </xf>
    <xf numFmtId="2" fontId="176" fillId="47" borderId="78" xfId="1263" applyNumberFormat="1" applyFont="1" applyFill="1" applyBorder="1" applyAlignment="1" applyProtection="1">
      <alignment horizontal="center"/>
    </xf>
    <xf numFmtId="220" fontId="293" fillId="46" borderId="0" xfId="0" applyNumberFormat="1" applyFont="1" applyFill="1" applyBorder="1" applyAlignment="1" applyProtection="1"/>
    <xf numFmtId="0" fontId="293" fillId="0" borderId="0" xfId="0" applyNumberFormat="1" applyFont="1" applyFill="1" applyBorder="1" applyAlignment="1" applyProtection="1"/>
    <xf numFmtId="0" fontId="293" fillId="46" borderId="0" xfId="0" applyNumberFormat="1" applyFont="1" applyFill="1" applyBorder="1" applyAlignment="1" applyProtection="1"/>
    <xf numFmtId="16" fontId="108" fillId="0" borderId="80" xfId="0" applyNumberFormat="1" applyFont="1" applyFill="1" applyBorder="1" applyAlignment="1" applyProtection="1">
      <alignment horizontal="center"/>
    </xf>
    <xf numFmtId="0" fontId="173" fillId="0" borderId="14" xfId="0" applyNumberFormat="1" applyFont="1" applyFill="1" applyBorder="1" applyAlignment="1" applyProtection="1">
      <alignment horizontal="left" vertical="center" wrapText="1"/>
    </xf>
    <xf numFmtId="2" fontId="176" fillId="3" borderId="14" xfId="0" applyNumberFormat="1" applyFont="1" applyFill="1" applyBorder="1" applyAlignment="1" applyProtection="1">
      <alignment horizontal="center"/>
    </xf>
    <xf numFmtId="2" fontId="108" fillId="27" borderId="14" xfId="0" applyNumberFormat="1" applyFont="1" applyFill="1" applyBorder="1" applyAlignment="1" applyProtection="1">
      <alignment horizontal="center"/>
    </xf>
    <xf numFmtId="2" fontId="108" fillId="27" borderId="14" xfId="0" applyNumberFormat="1" applyFont="1" applyFill="1" applyBorder="1" applyAlignment="1" applyProtection="1">
      <alignment horizontal="center"/>
      <protection locked="0"/>
    </xf>
    <xf numFmtId="1" fontId="176" fillId="3" borderId="14" xfId="1263" applyNumberFormat="1" applyFont="1" applyFill="1" applyBorder="1" applyAlignment="1" applyProtection="1">
      <alignment horizontal="center"/>
    </xf>
    <xf numFmtId="2" fontId="176" fillId="3" borderId="14" xfId="1263" applyNumberFormat="1" applyFont="1" applyFill="1" applyBorder="1" applyAlignment="1" applyProtection="1">
      <alignment horizontal="center"/>
    </xf>
    <xf numFmtId="2" fontId="176" fillId="3" borderId="83" xfId="1263" applyNumberFormat="1" applyFont="1" applyFill="1" applyBorder="1" applyAlignment="1" applyProtection="1">
      <alignment horizontal="center"/>
    </xf>
    <xf numFmtId="2" fontId="108" fillId="27" borderId="64" xfId="0" applyNumberFormat="1" applyFont="1" applyFill="1" applyBorder="1" applyAlignment="1" applyProtection="1">
      <alignment horizontal="center"/>
    </xf>
    <xf numFmtId="0" fontId="355" fillId="47" borderId="80" xfId="0" applyNumberFormat="1" applyFont="1" applyFill="1" applyBorder="1" applyAlignment="1" applyProtection="1">
      <alignment horizontal="center"/>
    </xf>
    <xf numFmtId="0" fontId="368" fillId="47" borderId="14" xfId="0" applyNumberFormat="1" applyFont="1" applyFill="1" applyBorder="1" applyAlignment="1" applyProtection="1">
      <alignment horizontal="left" vertical="center" wrapText="1"/>
    </xf>
    <xf numFmtId="2" fontId="176" fillId="47" borderId="14" xfId="0" applyNumberFormat="1" applyFont="1" applyFill="1" applyBorder="1" applyAlignment="1" applyProtection="1">
      <alignment horizontal="center"/>
    </xf>
    <xf numFmtId="1" fontId="176" fillId="47" borderId="14" xfId="1263" applyNumberFormat="1" applyFont="1" applyFill="1" applyBorder="1" applyAlignment="1" applyProtection="1">
      <alignment horizontal="center"/>
    </xf>
    <xf numFmtId="2" fontId="176" fillId="47" borderId="14" xfId="1263" applyNumberFormat="1" applyFont="1" applyFill="1" applyBorder="1" applyAlignment="1" applyProtection="1">
      <alignment horizontal="center"/>
    </xf>
    <xf numFmtId="2" fontId="176" fillId="47" borderId="83" xfId="1263" applyNumberFormat="1" applyFont="1" applyFill="1" applyBorder="1" applyAlignment="1" applyProtection="1">
      <alignment horizontal="center"/>
    </xf>
    <xf numFmtId="0" fontId="369" fillId="47" borderId="14" xfId="0" applyNumberFormat="1" applyFont="1" applyFill="1" applyBorder="1" applyAlignment="1" applyProtection="1">
      <alignment horizontal="left" vertical="center" wrapText="1"/>
    </xf>
    <xf numFmtId="173" fontId="176" fillId="47" borderId="14" xfId="0" applyNumberFormat="1" applyFont="1" applyFill="1" applyBorder="1" applyAlignment="1" applyProtection="1">
      <alignment horizontal="center"/>
    </xf>
    <xf numFmtId="0" fontId="370" fillId="47" borderId="14" xfId="0" applyNumberFormat="1" applyFont="1" applyFill="1" applyBorder="1" applyAlignment="1" applyProtection="1">
      <alignment horizontal="left" vertical="center" wrapText="1"/>
    </xf>
    <xf numFmtId="14" fontId="355" fillId="3" borderId="80" xfId="0" applyNumberFormat="1" applyFont="1" applyFill="1" applyBorder="1" applyAlignment="1" applyProtection="1">
      <alignment horizontal="center"/>
    </xf>
    <xf numFmtId="0" fontId="355" fillId="3" borderId="14" xfId="0" applyNumberFormat="1" applyFont="1" applyFill="1" applyBorder="1" applyAlignment="1" applyProtection="1">
      <alignment horizontal="left" vertical="center" wrapText="1"/>
    </xf>
    <xf numFmtId="0" fontId="355" fillId="46" borderId="80" xfId="0" applyNumberFormat="1" applyFont="1" applyFill="1" applyBorder="1" applyAlignment="1" applyProtection="1">
      <alignment horizontal="center"/>
    </xf>
    <xf numFmtId="0" fontId="0" fillId="0" borderId="14" xfId="0" applyNumberFormat="1" applyBorder="1" applyAlignment="1">
      <alignment horizontal="left" indent="3"/>
    </xf>
    <xf numFmtId="2" fontId="176" fillId="46" borderId="14" xfId="0" applyNumberFormat="1" applyFont="1" applyFill="1" applyBorder="1" applyAlignment="1" applyProtection="1">
      <alignment horizontal="center"/>
    </xf>
    <xf numFmtId="2" fontId="293" fillId="0" borderId="0" xfId="0" applyNumberFormat="1" applyFont="1" applyFill="1" applyBorder="1" applyAlignment="1" applyProtection="1"/>
    <xf numFmtId="16" fontId="176" fillId="46" borderId="80" xfId="0" applyNumberFormat="1" applyFont="1" applyFill="1" applyBorder="1" applyAlignment="1" applyProtection="1">
      <alignment horizontal="center"/>
    </xf>
    <xf numFmtId="0" fontId="176" fillId="46" borderId="14" xfId="0" applyNumberFormat="1" applyFont="1" applyFill="1" applyBorder="1" applyAlignment="1" applyProtection="1"/>
    <xf numFmtId="1" fontId="176" fillId="46" borderId="14" xfId="1263" applyNumberFormat="1" applyFont="1" applyFill="1" applyBorder="1" applyAlignment="1" applyProtection="1">
      <alignment horizontal="center"/>
    </xf>
    <xf numFmtId="2" fontId="176" fillId="46" borderId="14" xfId="1263" applyNumberFormat="1" applyFont="1" applyFill="1" applyBorder="1" applyAlignment="1" applyProtection="1">
      <alignment horizontal="center"/>
    </xf>
    <xf numFmtId="2" fontId="176" fillId="46" borderId="83" xfId="1263" applyNumberFormat="1" applyFont="1" applyFill="1" applyBorder="1" applyAlignment="1" applyProtection="1">
      <alignment horizontal="center"/>
    </xf>
    <xf numFmtId="0" fontId="176" fillId="46" borderId="80" xfId="0" applyNumberFormat="1" applyFont="1" applyFill="1" applyBorder="1" applyAlignment="1" applyProtection="1">
      <alignment horizontal="center"/>
    </xf>
    <xf numFmtId="0" fontId="176" fillId="46" borderId="0" xfId="0" applyNumberFormat="1" applyFont="1" applyFill="1" applyBorder="1" applyAlignment="1" applyProtection="1"/>
    <xf numFmtId="0" fontId="176" fillId="0" borderId="0" xfId="0" applyNumberFormat="1" applyFont="1" applyFill="1" applyBorder="1" applyAlignment="1" applyProtection="1"/>
    <xf numFmtId="0" fontId="176" fillId="46" borderId="80" xfId="0" applyNumberFormat="1" applyFont="1" applyFill="1" applyBorder="1" applyAlignment="1" applyProtection="1">
      <alignment horizontal="center" vertical="center"/>
    </xf>
    <xf numFmtId="0" fontId="176" fillId="46" borderId="14" xfId="0" applyNumberFormat="1" applyFont="1" applyFill="1" applyBorder="1" applyAlignment="1" applyProtection="1">
      <alignment wrapText="1"/>
    </xf>
    <xf numFmtId="0" fontId="355" fillId="3" borderId="80" xfId="0" applyNumberFormat="1" applyFont="1" applyFill="1" applyBorder="1" applyAlignment="1" applyProtection="1">
      <alignment horizontal="center"/>
    </xf>
    <xf numFmtId="0" fontId="108" fillId="0" borderId="80" xfId="0" applyNumberFormat="1" applyFont="1" applyFill="1" applyBorder="1" applyAlignment="1" applyProtection="1">
      <alignment horizontal="center"/>
    </xf>
    <xf numFmtId="0" fontId="108" fillId="0" borderId="14" xfId="0" applyNumberFormat="1" applyFont="1" applyFill="1" applyBorder="1" applyAlignment="1" applyProtection="1">
      <alignment shrinkToFit="1"/>
    </xf>
    <xf numFmtId="2" fontId="108" fillId="3" borderId="14" xfId="0" applyNumberFormat="1" applyFont="1" applyFill="1" applyBorder="1" applyAlignment="1" applyProtection="1">
      <alignment horizontal="center"/>
    </xf>
    <xf numFmtId="0" fontId="108" fillId="46" borderId="81" xfId="0" applyNumberFormat="1" applyFont="1" applyFill="1" applyBorder="1" applyAlignment="1" applyProtection="1">
      <alignment horizontal="center"/>
    </xf>
    <xf numFmtId="49" fontId="108" fillId="0" borderId="14" xfId="0" applyNumberFormat="1" applyFont="1" applyFill="1" applyBorder="1" applyAlignment="1" applyProtection="1"/>
    <xf numFmtId="0" fontId="108" fillId="46" borderId="79" xfId="0" applyNumberFormat="1" applyFont="1" applyFill="1" applyBorder="1" applyAlignment="1" applyProtection="1">
      <alignment horizontal="center"/>
    </xf>
    <xf numFmtId="0" fontId="176" fillId="47" borderId="80" xfId="0" applyNumberFormat="1" applyFont="1" applyFill="1" applyBorder="1" applyAlignment="1" applyProtection="1">
      <alignment horizontal="center" vertical="center"/>
    </xf>
    <xf numFmtId="0" fontId="176" fillId="47" borderId="14" xfId="0" applyNumberFormat="1" applyFont="1" applyFill="1" applyBorder="1" applyAlignment="1" applyProtection="1">
      <alignment wrapText="1"/>
    </xf>
    <xf numFmtId="0" fontId="176" fillId="3" borderId="80" xfId="0" applyNumberFormat="1" applyFont="1" applyFill="1" applyBorder="1" applyAlignment="1" applyProtection="1">
      <alignment horizontal="center"/>
    </xf>
    <xf numFmtId="0" fontId="176" fillId="3" borderId="14" xfId="0" applyNumberFormat="1" applyFont="1" applyFill="1" applyBorder="1" applyAlignment="1" applyProtection="1"/>
    <xf numFmtId="2" fontId="176" fillId="3" borderId="64" xfId="0" applyNumberFormat="1" applyFont="1" applyFill="1" applyBorder="1" applyAlignment="1" applyProtection="1">
      <alignment horizontal="center"/>
    </xf>
    <xf numFmtId="14" fontId="108" fillId="0" borderId="80" xfId="0" applyNumberFormat="1" applyFont="1" applyFill="1" applyBorder="1" applyAlignment="1" applyProtection="1">
      <alignment horizontal="center" vertical="center"/>
    </xf>
    <xf numFmtId="0" fontId="108" fillId="0" borderId="14" xfId="0" applyNumberFormat="1" applyFont="1" applyFill="1" applyBorder="1" applyAlignment="1" applyProtection="1">
      <alignment wrapText="1"/>
    </xf>
    <xf numFmtId="0" fontId="108" fillId="0" borderId="14" xfId="0" applyNumberFormat="1" applyFont="1" applyFill="1" applyBorder="1" applyAlignment="1" applyProtection="1"/>
    <xf numFmtId="2" fontId="176" fillId="27" borderId="14" xfId="0" applyNumberFormat="1" applyFont="1" applyFill="1" applyBorder="1" applyAlignment="1" applyProtection="1">
      <alignment horizontal="center"/>
      <protection locked="0"/>
    </xf>
    <xf numFmtId="2" fontId="176" fillId="27" borderId="14" xfId="0" applyNumberFormat="1" applyFont="1" applyFill="1" applyBorder="1" applyAlignment="1" applyProtection="1">
      <alignment horizontal="center"/>
    </xf>
    <xf numFmtId="0" fontId="108" fillId="46" borderId="45" xfId="0" applyNumberFormat="1" applyFont="1" applyFill="1" applyBorder="1" applyAlignment="1" applyProtection="1">
      <alignment horizontal="center"/>
    </xf>
    <xf numFmtId="0" fontId="108" fillId="0" borderId="80" xfId="0" applyNumberFormat="1" applyFont="1" applyFill="1" applyBorder="1" applyAlignment="1" applyProtection="1">
      <alignment horizontal="center" vertical="center"/>
    </xf>
    <xf numFmtId="0" fontId="174" fillId="0" borderId="14" xfId="0" applyNumberFormat="1" applyFont="1" applyFill="1" applyBorder="1" applyAlignment="1" applyProtection="1">
      <alignment wrapText="1"/>
    </xf>
    <xf numFmtId="14" fontId="108" fillId="0" borderId="80" xfId="0" applyNumberFormat="1" applyFont="1" applyFill="1" applyBorder="1" applyAlignment="1" applyProtection="1">
      <alignment horizontal="center"/>
    </xf>
    <xf numFmtId="2" fontId="108" fillId="3" borderId="64" xfId="0" applyNumberFormat="1" applyFont="1" applyFill="1" applyBorder="1" applyAlignment="1" applyProtection="1">
      <alignment horizontal="center"/>
    </xf>
    <xf numFmtId="0" fontId="176" fillId="47" borderId="81" xfId="0" applyNumberFormat="1" applyFont="1" applyFill="1" applyBorder="1" applyAlignment="1" applyProtection="1">
      <alignment horizontal="center"/>
    </xf>
    <xf numFmtId="0" fontId="176" fillId="47" borderId="39" xfId="0" applyNumberFormat="1" applyFont="1" applyFill="1" applyBorder="1" applyAlignment="1" applyProtection="1">
      <alignment wrapText="1"/>
    </xf>
    <xf numFmtId="2" fontId="176" fillId="47" borderId="39" xfId="0" applyNumberFormat="1" applyFont="1" applyFill="1" applyBorder="1" applyAlignment="1" applyProtection="1">
      <alignment horizontal="center"/>
    </xf>
    <xf numFmtId="1" fontId="176" fillId="47" borderId="39" xfId="1263" applyNumberFormat="1" applyFont="1" applyFill="1" applyBorder="1" applyAlignment="1" applyProtection="1">
      <alignment horizontal="center"/>
    </xf>
    <xf numFmtId="2" fontId="176" fillId="47" borderId="39" xfId="1263" applyNumberFormat="1" applyFont="1" applyFill="1" applyBorder="1" applyAlignment="1" applyProtection="1">
      <alignment horizontal="center"/>
    </xf>
    <xf numFmtId="2" fontId="176" fillId="47" borderId="82" xfId="1263" applyNumberFormat="1" applyFont="1" applyFill="1" applyBorder="1" applyAlignment="1" applyProtection="1">
      <alignment horizontal="center"/>
    </xf>
    <xf numFmtId="49" fontId="108" fillId="0" borderId="81" xfId="0" applyNumberFormat="1" applyFont="1" applyFill="1" applyBorder="1" applyAlignment="1" applyProtection="1">
      <alignment horizontal="center" vertical="center"/>
    </xf>
    <xf numFmtId="0" fontId="187" fillId="0" borderId="39" xfId="0" applyNumberFormat="1" applyFont="1" applyFill="1" applyBorder="1" applyAlignment="1" applyProtection="1">
      <alignment wrapText="1"/>
    </xf>
    <xf numFmtId="2" fontId="176" fillId="27" borderId="39" xfId="0" applyNumberFormat="1" applyFont="1" applyFill="1" applyBorder="1" applyAlignment="1" applyProtection="1">
      <alignment horizontal="center"/>
    </xf>
    <xf numFmtId="0" fontId="108" fillId="0" borderId="39" xfId="0" applyNumberFormat="1" applyFont="1" applyFill="1" applyBorder="1" applyAlignment="1" applyProtection="1">
      <alignment wrapText="1"/>
    </xf>
    <xf numFmtId="2" fontId="182" fillId="27" borderId="14" xfId="0" applyNumberFormat="1" applyFont="1" applyFill="1" applyBorder="1" applyAlignment="1" applyProtection="1">
      <alignment horizontal="center"/>
      <protection locked="0"/>
    </xf>
    <xf numFmtId="2" fontId="108" fillId="27" borderId="39" xfId="0" applyNumberFormat="1" applyFont="1" applyFill="1" applyBorder="1" applyAlignment="1" applyProtection="1">
      <alignment horizontal="center"/>
      <protection locked="0"/>
    </xf>
    <xf numFmtId="2" fontId="176" fillId="27" borderId="39" xfId="0" applyNumberFormat="1" applyFont="1" applyFill="1" applyBorder="1" applyAlignment="1" applyProtection="1">
      <alignment horizontal="center"/>
      <protection locked="0"/>
    </xf>
    <xf numFmtId="2" fontId="108" fillId="27" borderId="39" xfId="0" applyNumberFormat="1" applyFont="1" applyFill="1" applyBorder="1" applyAlignment="1" applyProtection="1">
      <alignment horizontal="center"/>
    </xf>
    <xf numFmtId="0" fontId="176" fillId="47" borderId="123" xfId="0" applyNumberFormat="1" applyFont="1" applyFill="1" applyBorder="1" applyAlignment="1" applyProtection="1">
      <alignment horizontal="center"/>
    </xf>
    <xf numFmtId="0" fontId="176" fillId="47" borderId="18" xfId="0" applyNumberFormat="1" applyFont="1" applyFill="1" applyBorder="1" applyAlignment="1" applyProtection="1">
      <alignment wrapText="1"/>
    </xf>
    <xf numFmtId="2" fontId="176" fillId="47" borderId="18" xfId="0" applyNumberFormat="1" applyFont="1" applyFill="1" applyBorder="1" applyAlignment="1" applyProtection="1">
      <alignment horizontal="center"/>
    </xf>
    <xf numFmtId="1" fontId="176" fillId="47" borderId="18" xfId="1263" applyNumberFormat="1" applyFont="1" applyFill="1" applyBorder="1" applyAlignment="1" applyProtection="1">
      <alignment horizontal="center"/>
    </xf>
    <xf numFmtId="2" fontId="176" fillId="47" borderId="18" xfId="1263" applyNumberFormat="1" applyFont="1" applyFill="1" applyBorder="1" applyAlignment="1" applyProtection="1">
      <alignment horizontal="center"/>
    </xf>
    <xf numFmtId="2" fontId="176" fillId="47" borderId="19" xfId="1263" applyNumberFormat="1" applyFont="1" applyFill="1" applyBorder="1" applyAlignment="1" applyProtection="1">
      <alignment horizontal="center"/>
    </xf>
    <xf numFmtId="0" fontId="361" fillId="46" borderId="0" xfId="0" applyNumberFormat="1" applyFont="1" applyFill="1" applyAlignment="1" applyProtection="1">
      <alignment horizontal="center"/>
    </xf>
    <xf numFmtId="0" fontId="361" fillId="46" borderId="0" xfId="0" applyNumberFormat="1" applyFont="1" applyFill="1" applyAlignment="1" applyProtection="1"/>
    <xf numFmtId="2" fontId="361" fillId="46" borderId="0" xfId="0" applyNumberFormat="1" applyFont="1" applyFill="1" applyAlignment="1" applyProtection="1"/>
    <xf numFmtId="0" fontId="108" fillId="46" borderId="0" xfId="0" applyNumberFormat="1" applyFont="1" applyFill="1" applyAlignment="1" applyProtection="1">
      <alignment horizontal="center"/>
    </xf>
    <xf numFmtId="221" fontId="174" fillId="46" borderId="0" xfId="0" applyNumberFormat="1" applyFont="1" applyFill="1" applyAlignment="1" applyProtection="1"/>
    <xf numFmtId="2" fontId="174" fillId="46" borderId="0" xfId="0" applyNumberFormat="1" applyFont="1" applyFill="1" applyAlignment="1" applyProtection="1"/>
    <xf numFmtId="180" fontId="174" fillId="46" borderId="0" xfId="0" applyNumberFormat="1" applyFont="1" applyFill="1" applyAlignment="1" applyProtection="1"/>
    <xf numFmtId="199" fontId="174" fillId="46" borderId="0" xfId="0" applyNumberFormat="1" applyFont="1" applyFill="1" applyAlignment="1" applyProtection="1"/>
    <xf numFmtId="2" fontId="108" fillId="46" borderId="0" xfId="0" applyNumberFormat="1" applyFont="1" applyFill="1" applyAlignment="1" applyProtection="1"/>
    <xf numFmtId="0" fontId="108" fillId="0" borderId="0" xfId="0" applyNumberFormat="1" applyFont="1" applyAlignment="1" applyProtection="1">
      <alignment horizontal="center"/>
    </xf>
    <xf numFmtId="188" fontId="108" fillId="46" borderId="0" xfId="0" applyNumberFormat="1" applyFont="1" applyFill="1" applyAlignment="1" applyProtection="1"/>
    <xf numFmtId="180" fontId="371" fillId="0" borderId="0" xfId="1428" applyNumberFormat="1" applyFont="1" applyAlignment="1">
      <alignment vertical="center"/>
    </xf>
    <xf numFmtId="0" fontId="108" fillId="57" borderId="0" xfId="0" applyNumberFormat="1" applyFont="1" applyFill="1" applyBorder="1" applyAlignment="1" applyProtection="1">
      <alignment horizontal="center"/>
    </xf>
    <xf numFmtId="0" fontId="200" fillId="57" borderId="0" xfId="0" applyNumberFormat="1" applyFont="1" applyFill="1" applyBorder="1" applyAlignment="1"/>
    <xf numFmtId="188" fontId="108" fillId="46" borderId="0" xfId="1263" applyNumberFormat="1" applyFont="1" applyFill="1" applyAlignment="1" applyProtection="1"/>
    <xf numFmtId="2" fontId="108" fillId="57" borderId="0" xfId="0" applyNumberFormat="1" applyFont="1" applyFill="1" applyBorder="1" applyAlignment="1" applyProtection="1"/>
    <xf numFmtId="174" fontId="108" fillId="57" borderId="0" xfId="0" applyNumberFormat="1" applyFont="1" applyFill="1" applyBorder="1" applyAlignment="1" applyProtection="1"/>
    <xf numFmtId="172" fontId="199" fillId="57" borderId="0" xfId="1342" applyNumberFormat="1" applyFont="1" applyFill="1" applyBorder="1"/>
    <xf numFmtId="0" fontId="108" fillId="57" borderId="0" xfId="0" applyNumberFormat="1" applyFont="1" applyFill="1" applyBorder="1" applyAlignment="1" applyProtection="1"/>
    <xf numFmtId="0" fontId="108" fillId="0" borderId="0" xfId="0" applyNumberFormat="1" applyFont="1" applyBorder="1" applyAlignment="1" applyProtection="1">
      <alignment horizontal="center"/>
    </xf>
    <xf numFmtId="0" fontId="108" fillId="0" borderId="0" xfId="0" applyNumberFormat="1" applyFont="1" applyFill="1" applyBorder="1" applyAlignment="1" applyProtection="1">
      <alignment horizontal="left" wrapText="1"/>
    </xf>
    <xf numFmtId="2" fontId="108" fillId="0" borderId="0" xfId="0" applyNumberFormat="1" applyFont="1" applyBorder="1" applyAlignment="1" applyProtection="1"/>
    <xf numFmtId="0" fontId="108" fillId="0" borderId="0" xfId="0" applyNumberFormat="1" applyFont="1" applyBorder="1" applyAlignment="1" applyProtection="1"/>
    <xf numFmtId="0" fontId="108" fillId="0" borderId="0" xfId="0" applyNumberFormat="1" applyFont="1" applyFill="1" applyBorder="1" applyAlignment="1" applyProtection="1">
      <alignment horizontal="right"/>
    </xf>
    <xf numFmtId="172" fontId="204" fillId="0" borderId="0" xfId="1342" applyNumberFormat="1" applyFont="1" applyFill="1" applyBorder="1"/>
    <xf numFmtId="0" fontId="108" fillId="0" borderId="0" xfId="0" applyNumberFormat="1" applyFont="1" applyFill="1" applyBorder="1" applyAlignment="1" applyProtection="1">
      <alignment horizontal="right" shrinkToFit="1"/>
    </xf>
    <xf numFmtId="0" fontId="202" fillId="0" borderId="0" xfId="0" applyNumberFormat="1" applyFont="1" applyFill="1" applyBorder="1" applyAlignment="1">
      <alignment horizontal="right"/>
    </xf>
    <xf numFmtId="10" fontId="108" fillId="0" borderId="0" xfId="0" applyNumberFormat="1" applyFont="1" applyBorder="1" applyAlignment="1" applyProtection="1"/>
    <xf numFmtId="172" fontId="203" fillId="0" borderId="0" xfId="1342" applyNumberFormat="1" applyFont="1" applyFill="1" applyBorder="1"/>
    <xf numFmtId="172" fontId="199" fillId="0" borderId="0" xfId="1342" applyNumberFormat="1" applyFont="1" applyFill="1" applyBorder="1"/>
    <xf numFmtId="0" fontId="108" fillId="0" borderId="0" xfId="0" applyNumberFormat="1" applyFont="1" applyFill="1" applyBorder="1" applyAlignment="1" applyProtection="1">
      <alignment horizontal="left"/>
    </xf>
    <xf numFmtId="10" fontId="108" fillId="0" borderId="0" xfId="0" applyNumberFormat="1" applyFont="1" applyAlignment="1" applyProtection="1"/>
    <xf numFmtId="199" fontId="108" fillId="0" borderId="0" xfId="0" applyNumberFormat="1" applyFont="1" applyAlignment="1" applyProtection="1"/>
    <xf numFmtId="0" fontId="100" fillId="33" borderId="0" xfId="0" applyNumberFormat="1" applyFont="1" applyFill="1" applyAlignment="1" applyProtection="1"/>
    <xf numFmtId="0" fontId="100" fillId="0" borderId="0" xfId="0" applyNumberFormat="1" applyFont="1" applyAlignment="1" applyProtection="1"/>
    <xf numFmtId="0" fontId="100" fillId="46" borderId="0" xfId="0" applyNumberFormat="1" applyFont="1" applyFill="1" applyAlignment="1" applyProtection="1"/>
    <xf numFmtId="0" fontId="124" fillId="33" borderId="0" xfId="0" applyNumberFormat="1" applyFont="1" applyFill="1" applyAlignment="1" applyProtection="1">
      <alignment horizontal="center" vertical="center"/>
    </xf>
    <xf numFmtId="0" fontId="100" fillId="0" borderId="0" xfId="0" applyNumberFormat="1" applyFont="1" applyFill="1" applyAlignment="1" applyProtection="1">
      <alignment horizontal="center" vertical="center"/>
    </xf>
    <xf numFmtId="0" fontId="100" fillId="46" borderId="0" xfId="0" applyNumberFormat="1" applyFont="1" applyFill="1" applyAlignment="1" applyProtection="1">
      <alignment horizontal="center" vertical="center"/>
    </xf>
    <xf numFmtId="2" fontId="100" fillId="0" borderId="14" xfId="0" applyNumberFormat="1" applyFont="1" applyFill="1" applyBorder="1" applyAlignment="1" applyProtection="1">
      <alignment horizontal="center" vertical="center"/>
    </xf>
    <xf numFmtId="2" fontId="100" fillId="0" borderId="14" xfId="0" applyNumberFormat="1" applyFont="1" applyFill="1" applyBorder="1" applyAlignment="1" applyProtection="1">
      <alignment horizontal="center" vertical="center" wrapText="1"/>
    </xf>
    <xf numFmtId="0" fontId="100" fillId="0" borderId="14" xfId="0" applyNumberFormat="1" applyFont="1" applyFill="1" applyBorder="1" applyAlignment="1" applyProtection="1">
      <alignment horizontal="center" vertical="center"/>
    </xf>
    <xf numFmtId="0" fontId="100" fillId="0" borderId="14" xfId="0" applyNumberFormat="1" applyFont="1" applyFill="1" applyBorder="1" applyAlignment="1" applyProtection="1">
      <alignment horizontal="center" vertical="center" wrapText="1"/>
    </xf>
    <xf numFmtId="0" fontId="100" fillId="0" borderId="83" xfId="0" applyNumberFormat="1" applyFont="1" applyFill="1" applyBorder="1" applyAlignment="1" applyProtection="1">
      <alignment horizontal="center" vertical="center"/>
    </xf>
    <xf numFmtId="0" fontId="124" fillId="33" borderId="0" xfId="0" applyNumberFormat="1" applyFont="1" applyFill="1" applyAlignment="1" applyProtection="1">
      <alignment horizontal="right" vertical="center"/>
    </xf>
    <xf numFmtId="0" fontId="100" fillId="27" borderId="0" xfId="0" applyNumberFormat="1" applyFont="1" applyFill="1" applyAlignment="1" applyProtection="1">
      <alignment horizontal="center" vertical="center"/>
    </xf>
    <xf numFmtId="1" fontId="100" fillId="0" borderId="80" xfId="0" applyNumberFormat="1" applyFont="1" applyFill="1" applyBorder="1" applyAlignment="1" applyProtection="1">
      <alignment horizontal="center"/>
    </xf>
    <xf numFmtId="1" fontId="100" fillId="0" borderId="14" xfId="0" applyNumberFormat="1" applyFont="1" applyFill="1" applyBorder="1" applyAlignment="1" applyProtection="1">
      <alignment horizontal="center"/>
    </xf>
    <xf numFmtId="1" fontId="100" fillId="0" borderId="83" xfId="0" applyNumberFormat="1" applyFont="1" applyFill="1" applyBorder="1" applyAlignment="1" applyProtection="1">
      <alignment horizontal="center"/>
    </xf>
    <xf numFmtId="1" fontId="124" fillId="33" borderId="0" xfId="0" applyNumberFormat="1" applyFont="1" applyFill="1" applyAlignment="1" applyProtection="1">
      <alignment horizontal="right"/>
    </xf>
    <xf numFmtId="1" fontId="100" fillId="27" borderId="0" xfId="0" applyNumberFormat="1" applyFont="1" applyFill="1" applyAlignment="1" applyProtection="1"/>
    <xf numFmtId="0" fontId="373" fillId="33" borderId="0" xfId="0" applyNumberFormat="1" applyFont="1" applyFill="1" applyAlignment="1" applyProtection="1"/>
    <xf numFmtId="0" fontId="374" fillId="27" borderId="0" xfId="0" applyNumberFormat="1" applyFont="1" applyFill="1" applyAlignment="1" applyProtection="1"/>
    <xf numFmtId="49" fontId="375" fillId="3" borderId="80" xfId="0" applyNumberFormat="1" applyFont="1" applyFill="1" applyBorder="1" applyAlignment="1" applyProtection="1">
      <alignment horizontal="center" vertical="center" wrapText="1"/>
    </xf>
    <xf numFmtId="0" fontId="375" fillId="3" borderId="14" xfId="0" applyNumberFormat="1" applyFont="1" applyFill="1" applyBorder="1" applyAlignment="1" applyProtection="1">
      <alignment horizontal="left" vertical="center" wrapText="1"/>
    </xf>
    <xf numFmtId="173" fontId="102" fillId="3" borderId="14" xfId="0" applyNumberFormat="1" applyFont="1" applyFill="1" applyBorder="1" applyAlignment="1" applyProtection="1">
      <alignment horizontal="center"/>
    </xf>
    <xf numFmtId="1" fontId="102" fillId="3" borderId="14" xfId="1264" applyNumberFormat="1" applyFont="1" applyFill="1" applyBorder="1" applyAlignment="1" applyProtection="1">
      <alignment horizontal="center"/>
    </xf>
    <xf numFmtId="2" fontId="102" fillId="3" borderId="14" xfId="1264" applyNumberFormat="1" applyFont="1" applyFill="1" applyBorder="1" applyAlignment="1" applyProtection="1">
      <alignment horizontal="center"/>
    </xf>
    <xf numFmtId="2" fontId="102" fillId="3" borderId="83" xfId="1264" applyNumberFormat="1" applyFont="1" applyFill="1" applyBorder="1" applyAlignment="1" applyProtection="1">
      <alignment horizontal="center"/>
    </xf>
    <xf numFmtId="0" fontId="124" fillId="33" borderId="0" xfId="0" applyNumberFormat="1" applyFont="1" applyFill="1" applyBorder="1" applyAlignment="1" applyProtection="1"/>
    <xf numFmtId="0" fontId="100" fillId="0" borderId="0" xfId="0" applyNumberFormat="1" applyFont="1" applyFill="1" applyBorder="1" applyAlignment="1" applyProtection="1"/>
    <xf numFmtId="0" fontId="100" fillId="46" borderId="0" xfId="0" applyNumberFormat="1" applyFont="1" applyFill="1" applyBorder="1" applyAlignment="1" applyProtection="1"/>
    <xf numFmtId="49" fontId="100" fillId="0" borderId="80" xfId="0" applyNumberFormat="1" applyFont="1" applyFill="1" applyBorder="1" applyAlignment="1" applyProtection="1">
      <alignment horizontal="center"/>
    </xf>
    <xf numFmtId="0" fontId="128" fillId="0" borderId="14" xfId="0" applyNumberFormat="1" applyFont="1" applyFill="1" applyBorder="1" applyAlignment="1" applyProtection="1">
      <alignment horizontal="left" vertical="center" wrapText="1"/>
    </xf>
    <xf numFmtId="173" fontId="102" fillId="0" borderId="14" xfId="0" applyNumberFormat="1" applyFont="1" applyFill="1" applyBorder="1" applyAlignment="1" applyProtection="1">
      <alignment horizontal="center"/>
    </xf>
    <xf numFmtId="173" fontId="100" fillId="0" borderId="14" xfId="0" applyNumberFormat="1" applyFont="1" applyFill="1" applyBorder="1" applyAlignment="1" applyProtection="1">
      <alignment horizontal="center"/>
    </xf>
    <xf numFmtId="173" fontId="100" fillId="0" borderId="14" xfId="0" applyNumberFormat="1" applyFont="1" applyFill="1" applyBorder="1" applyAlignment="1" applyProtection="1">
      <alignment horizontal="center"/>
      <protection locked="0"/>
    </xf>
    <xf numFmtId="1" fontId="102" fillId="0" borderId="14" xfId="1264" applyNumberFormat="1" applyFont="1" applyFill="1" applyBorder="1" applyAlignment="1" applyProtection="1">
      <alignment horizontal="center"/>
    </xf>
    <xf numFmtId="2" fontId="102" fillId="0" borderId="14" xfId="1264" applyNumberFormat="1" applyFont="1" applyFill="1" applyBorder="1" applyAlignment="1" applyProtection="1">
      <alignment horizontal="center"/>
    </xf>
    <xf numFmtId="2" fontId="102" fillId="0" borderId="83" xfId="1264" applyNumberFormat="1" applyFont="1" applyFill="1" applyBorder="1" applyAlignment="1" applyProtection="1">
      <alignment horizontal="center"/>
    </xf>
    <xf numFmtId="173" fontId="102" fillId="0" borderId="14" xfId="0" applyNumberFormat="1" applyFont="1" applyFill="1" applyBorder="1" applyAlignment="1" applyProtection="1">
      <alignment horizontal="center"/>
      <protection locked="0"/>
    </xf>
    <xf numFmtId="0" fontId="100" fillId="33" borderId="0" xfId="0" applyNumberFormat="1" applyFont="1" applyFill="1" applyBorder="1" applyAlignment="1" applyProtection="1"/>
    <xf numFmtId="49" fontId="375" fillId="3" borderId="80" xfId="0" applyNumberFormat="1" applyFont="1" applyFill="1" applyBorder="1" applyAlignment="1" applyProtection="1">
      <alignment horizontal="center"/>
    </xf>
    <xf numFmtId="49" fontId="375" fillId="47" borderId="80" xfId="0" applyNumberFormat="1" applyFont="1" applyFill="1" applyBorder="1" applyAlignment="1" applyProtection="1">
      <alignment horizontal="center"/>
    </xf>
    <xf numFmtId="0" fontId="375" fillId="47" borderId="14" xfId="0" applyNumberFormat="1" applyFont="1" applyFill="1" applyBorder="1" applyAlignment="1" applyProtection="1">
      <alignment horizontal="left" vertical="center" wrapText="1"/>
    </xf>
    <xf numFmtId="173" fontId="102" fillId="47" borderId="14" xfId="0" applyNumberFormat="1" applyFont="1" applyFill="1" applyBorder="1" applyAlignment="1" applyProtection="1">
      <alignment horizontal="center"/>
    </xf>
    <xf numFmtId="1" fontId="102" fillId="47" borderId="14" xfId="1264" applyNumberFormat="1" applyFont="1" applyFill="1" applyBorder="1" applyAlignment="1" applyProtection="1">
      <alignment horizontal="center"/>
    </xf>
    <xf numFmtId="2" fontId="102" fillId="47" borderId="14" xfId="1264" applyNumberFormat="1" applyFont="1" applyFill="1" applyBorder="1" applyAlignment="1" applyProtection="1">
      <alignment horizontal="center"/>
    </xf>
    <xf numFmtId="2" fontId="102" fillId="47" borderId="83" xfId="1264" applyNumberFormat="1" applyFont="1" applyFill="1" applyBorder="1" applyAlignment="1" applyProtection="1">
      <alignment horizontal="center"/>
    </xf>
    <xf numFmtId="49" fontId="375" fillId="0" borderId="80" xfId="0" applyNumberFormat="1" applyFont="1" applyFill="1" applyBorder="1" applyAlignment="1" applyProtection="1">
      <alignment horizontal="center"/>
    </xf>
    <xf numFmtId="0" fontId="100" fillId="0" borderId="14" xfId="0" applyNumberFormat="1" applyFont="1" applyFill="1" applyBorder="1" applyAlignment="1">
      <alignment horizontal="left" indent="3"/>
    </xf>
    <xf numFmtId="173" fontId="100" fillId="0" borderId="14" xfId="0" applyNumberFormat="1" applyFont="1" applyFill="1" applyBorder="1" applyAlignment="1" applyProtection="1"/>
    <xf numFmtId="0" fontId="375" fillId="0" borderId="14" xfId="0" applyNumberFormat="1" applyFont="1" applyFill="1" applyBorder="1" applyAlignment="1" applyProtection="1">
      <alignment horizontal="left" vertical="center" wrapText="1"/>
    </xf>
    <xf numFmtId="49" fontId="102" fillId="0" borderId="80" xfId="0" applyNumberFormat="1" applyFont="1" applyFill="1" applyBorder="1" applyAlignment="1" applyProtection="1">
      <alignment horizontal="center"/>
    </xf>
    <xf numFmtId="0" fontId="102" fillId="0" borderId="14" xfId="0" applyNumberFormat="1" applyFont="1" applyFill="1" applyBorder="1" applyAlignment="1" applyProtection="1"/>
    <xf numFmtId="0" fontId="102" fillId="33" borderId="0" xfId="0" applyNumberFormat="1" applyFont="1" applyFill="1" applyBorder="1" applyAlignment="1" applyProtection="1"/>
    <xf numFmtId="0" fontId="102" fillId="0" borderId="0" xfId="0" applyNumberFormat="1" applyFont="1" applyFill="1" applyBorder="1" applyAlignment="1" applyProtection="1"/>
    <xf numFmtId="0" fontId="102" fillId="46" borderId="0" xfId="0" applyNumberFormat="1" applyFont="1" applyFill="1" applyBorder="1" applyAlignment="1" applyProtection="1"/>
    <xf numFmtId="49" fontId="102" fillId="0" borderId="80" xfId="0" applyNumberFormat="1" applyFont="1" applyFill="1" applyBorder="1" applyAlignment="1" applyProtection="1">
      <alignment horizontal="center" vertical="center"/>
    </xf>
    <xf numFmtId="0" fontId="102" fillId="0" borderId="14" xfId="0" applyNumberFormat="1" applyFont="1" applyFill="1" applyBorder="1" applyAlignment="1" applyProtection="1">
      <alignment wrapText="1"/>
    </xf>
    <xf numFmtId="0" fontId="100" fillId="0" borderId="14" xfId="0" applyNumberFormat="1" applyFont="1" applyFill="1" applyBorder="1" applyAlignment="1" applyProtection="1">
      <alignment shrinkToFit="1"/>
    </xf>
    <xf numFmtId="49" fontId="100" fillId="0" borderId="14" xfId="0" applyNumberFormat="1" applyFont="1" applyFill="1" applyBorder="1" applyAlignment="1" applyProtection="1"/>
    <xf numFmtId="49" fontId="102" fillId="3" borderId="80" xfId="0" applyNumberFormat="1" applyFont="1" applyFill="1" applyBorder="1" applyAlignment="1" applyProtection="1">
      <alignment horizontal="center" vertical="center"/>
    </xf>
    <xf numFmtId="0" fontId="102" fillId="3" borderId="14" xfId="0" applyNumberFormat="1" applyFont="1" applyFill="1" applyBorder="1" applyAlignment="1" applyProtection="1">
      <alignment wrapText="1"/>
    </xf>
    <xf numFmtId="49" fontId="102" fillId="47" borderId="80" xfId="0" applyNumberFormat="1" applyFont="1" applyFill="1" applyBorder="1" applyAlignment="1" applyProtection="1">
      <alignment horizontal="center"/>
    </xf>
    <xf numFmtId="0" fontId="102" fillId="47" borderId="14" xfId="0" applyNumberFormat="1" applyFont="1" applyFill="1" applyBorder="1" applyAlignment="1" applyProtection="1"/>
    <xf numFmtId="49" fontId="100" fillId="0" borderId="80" xfId="0" applyNumberFormat="1" applyFont="1" applyFill="1" applyBorder="1" applyAlignment="1" applyProtection="1">
      <alignment horizontal="center" vertical="center"/>
    </xf>
    <xf numFmtId="0" fontId="100" fillId="0" borderId="14" xfId="0" applyNumberFormat="1" applyFont="1" applyFill="1" applyBorder="1" applyAlignment="1" applyProtection="1">
      <alignment wrapText="1"/>
    </xf>
    <xf numFmtId="0" fontId="100" fillId="0" borderId="14" xfId="0" applyNumberFormat="1" applyFont="1" applyFill="1" applyBorder="1" applyAlignment="1" applyProtection="1"/>
    <xf numFmtId="49" fontId="102" fillId="3" borderId="80" xfId="0" applyNumberFormat="1" applyFont="1" applyFill="1" applyBorder="1" applyAlignment="1" applyProtection="1">
      <alignment horizontal="center"/>
    </xf>
    <xf numFmtId="173" fontId="102" fillId="3" borderId="14" xfId="0" applyNumberFormat="1" applyFont="1" applyFill="1" applyBorder="1" applyAlignment="1" applyProtection="1">
      <alignment horizontal="center"/>
      <protection locked="0"/>
    </xf>
    <xf numFmtId="173" fontId="100" fillId="3" borderId="14" xfId="0" applyNumberFormat="1" applyFont="1" applyFill="1" applyBorder="1" applyAlignment="1" applyProtection="1">
      <alignment horizontal="center"/>
    </xf>
    <xf numFmtId="49" fontId="102" fillId="3" borderId="123" xfId="0" applyNumberFormat="1" applyFont="1" applyFill="1" applyBorder="1" applyAlignment="1" applyProtection="1">
      <alignment horizontal="center"/>
    </xf>
    <xf numFmtId="0" fontId="102" fillId="3" borderId="18" xfId="0" applyNumberFormat="1" applyFont="1" applyFill="1" applyBorder="1" applyAlignment="1" applyProtection="1">
      <alignment wrapText="1"/>
    </xf>
    <xf numFmtId="173" fontId="102" fillId="3" borderId="18" xfId="0" applyNumberFormat="1" applyFont="1" applyFill="1" applyBorder="1" applyAlignment="1" applyProtection="1">
      <alignment horizontal="center"/>
    </xf>
    <xf numFmtId="1" fontId="102" fillId="3" borderId="18" xfId="1264" applyNumberFormat="1" applyFont="1" applyFill="1" applyBorder="1" applyAlignment="1" applyProtection="1">
      <alignment horizontal="center"/>
    </xf>
    <xf numFmtId="1" fontId="102" fillId="3" borderId="19" xfId="1264" applyNumberFormat="1" applyFont="1" applyFill="1" applyBorder="1" applyAlignment="1" applyProtection="1">
      <alignment horizontal="center"/>
    </xf>
    <xf numFmtId="0" fontId="100" fillId="46" borderId="0" xfId="0" applyNumberFormat="1" applyFont="1" applyFill="1" applyAlignment="1" applyProtection="1">
      <alignment horizontal="center"/>
    </xf>
    <xf numFmtId="2" fontId="100" fillId="46" borderId="0" xfId="0" applyNumberFormat="1" applyFont="1" applyFill="1" applyAlignment="1" applyProtection="1"/>
    <xf numFmtId="0" fontId="124" fillId="0" borderId="0" xfId="0" applyNumberFormat="1" applyFont="1" applyFill="1" applyAlignment="1" applyProtection="1">
      <alignment horizontal="center" vertical="center"/>
    </xf>
    <xf numFmtId="0" fontId="100" fillId="0" borderId="0" xfId="0" applyNumberFormat="1" applyFont="1" applyFill="1" applyAlignment="1" applyProtection="1">
      <alignment horizontal="right" vertical="center"/>
    </xf>
    <xf numFmtId="1" fontId="100" fillId="0" borderId="0" xfId="0" applyNumberFormat="1" applyFont="1" applyFill="1" applyAlignment="1" applyProtection="1">
      <alignment horizontal="right"/>
    </xf>
    <xf numFmtId="0" fontId="374" fillId="0" borderId="0" xfId="0" applyNumberFormat="1" applyFont="1" applyFill="1" applyAlignment="1" applyProtection="1"/>
    <xf numFmtId="2" fontId="102" fillId="3" borderId="14" xfId="0" applyNumberFormat="1" applyFont="1" applyFill="1" applyBorder="1" applyAlignment="1" applyProtection="1">
      <alignment horizontal="center"/>
    </xf>
    <xf numFmtId="2" fontId="100" fillId="0" borderId="14" xfId="0" applyNumberFormat="1" applyFont="1" applyFill="1" applyBorder="1" applyAlignment="1" applyProtection="1">
      <alignment horizontal="center"/>
    </xf>
    <xf numFmtId="0" fontId="124" fillId="0" borderId="0" xfId="0" applyNumberFormat="1" applyFont="1" applyFill="1" applyBorder="1" applyAlignment="1" applyProtection="1"/>
    <xf numFmtId="2" fontId="102" fillId="0" borderId="14" xfId="0" applyNumberFormat="1" applyFont="1" applyFill="1" applyBorder="1" applyAlignment="1" applyProtection="1">
      <alignment horizontal="center"/>
    </xf>
    <xf numFmtId="173" fontId="100" fillId="67" borderId="14" xfId="0" applyNumberFormat="1" applyFont="1" applyFill="1" applyBorder="1" applyAlignment="1" applyProtection="1">
      <alignment horizontal="center"/>
    </xf>
    <xf numFmtId="2" fontId="102" fillId="47" borderId="14" xfId="0" applyNumberFormat="1" applyFont="1" applyFill="1" applyBorder="1" applyAlignment="1" applyProtection="1">
      <alignment horizontal="center"/>
    </xf>
    <xf numFmtId="2" fontId="102" fillId="0" borderId="14" xfId="0" applyNumberFormat="1" applyFont="1" applyFill="1" applyBorder="1" applyAlignment="1" applyProtection="1">
      <alignment horizontal="center"/>
      <protection locked="0"/>
    </xf>
    <xf numFmtId="2" fontId="100" fillId="3" borderId="14" xfId="0" applyNumberFormat="1" applyFont="1" applyFill="1" applyBorder="1" applyAlignment="1" applyProtection="1">
      <alignment horizontal="center"/>
    </xf>
    <xf numFmtId="2" fontId="102" fillId="3" borderId="18" xfId="0" applyNumberFormat="1" applyFont="1" applyFill="1" applyBorder="1" applyAlignment="1" applyProtection="1">
      <alignment horizontal="center"/>
    </xf>
    <xf numFmtId="2" fontId="108" fillId="59" borderId="0" xfId="0" applyNumberFormat="1" applyFont="1" applyFill="1" applyAlignment="1" applyProtection="1"/>
    <xf numFmtId="0" fontId="49" fillId="0" borderId="99" xfId="1429" applyFont="1" applyFill="1" applyBorder="1" applyAlignment="1" applyProtection="1">
      <alignment horizontal="center" vertical="center" wrapText="1"/>
    </xf>
    <xf numFmtId="0" fontId="376" fillId="57" borderId="9" xfId="1429" applyFont="1" applyFill="1" applyBorder="1" applyAlignment="1" applyProtection="1">
      <alignment horizontal="center" vertical="center" wrapText="1"/>
    </xf>
    <xf numFmtId="0" fontId="49" fillId="0" borderId="199" xfId="1429" applyFont="1" applyFill="1" applyBorder="1" applyAlignment="1" applyProtection="1">
      <alignment horizontal="center" vertical="center" wrapText="1"/>
    </xf>
    <xf numFmtId="0" fontId="49" fillId="0" borderId="197" xfId="1429" applyFont="1" applyFill="1" applyBorder="1" applyAlignment="1" applyProtection="1">
      <alignment horizontal="center" vertical="center" wrapText="1"/>
    </xf>
    <xf numFmtId="0" fontId="49" fillId="0" borderId="9" xfId="1429" applyFont="1" applyFill="1" applyBorder="1" applyAlignment="1" applyProtection="1">
      <alignment horizontal="center" vertical="center" wrapText="1"/>
    </xf>
    <xf numFmtId="0" fontId="49" fillId="0" borderId="198" xfId="1429" applyFont="1" applyFill="1" applyBorder="1" applyAlignment="1" applyProtection="1">
      <alignment horizontal="center" vertical="center" wrapText="1"/>
    </xf>
    <xf numFmtId="0" fontId="68" fillId="2" borderId="200" xfId="1429" applyFont="1" applyFill="1" applyBorder="1" applyAlignment="1" applyProtection="1">
      <alignment horizontal="center" vertical="center" wrapText="1"/>
    </xf>
    <xf numFmtId="0" fontId="68" fillId="2" borderId="200" xfId="1429" applyFont="1" applyFill="1" applyBorder="1" applyAlignment="1" applyProtection="1"/>
    <xf numFmtId="0" fontId="377" fillId="57" borderId="200" xfId="1429" applyFont="1" applyFill="1" applyBorder="1" applyAlignment="1" applyProtection="1"/>
    <xf numFmtId="0" fontId="377" fillId="57" borderId="201" xfId="1429" applyFont="1" applyFill="1" applyBorder="1" applyAlignment="1" applyProtection="1"/>
    <xf numFmtId="0" fontId="68" fillId="0" borderId="202" xfId="1429" applyFont="1" applyFill="1" applyBorder="1" applyAlignment="1" applyProtection="1"/>
    <xf numFmtId="0" fontId="68" fillId="2" borderId="203" xfId="1429" applyFont="1" applyFill="1" applyBorder="1" applyAlignment="1" applyProtection="1"/>
    <xf numFmtId="0" fontId="68" fillId="2" borderId="201" xfId="1429" applyFont="1" applyFill="1" applyBorder="1" applyAlignment="1" applyProtection="1"/>
    <xf numFmtId="49" fontId="49" fillId="0" borderId="9" xfId="1429" applyNumberFormat="1" applyFont="1" applyBorder="1" applyAlignment="1" applyProtection="1">
      <alignment horizontal="center" vertical="center" wrapText="1"/>
    </xf>
    <xf numFmtId="0" fontId="49" fillId="0" borderId="9" xfId="1429" applyFont="1" applyBorder="1" applyAlignment="1" applyProtection="1">
      <alignment horizontal="left" vertical="center" wrapText="1"/>
    </xf>
    <xf numFmtId="0" fontId="49" fillId="0" borderId="9" xfId="1429" applyFont="1" applyBorder="1" applyAlignment="1" applyProtection="1">
      <alignment horizontal="center" vertical="center" wrapText="1"/>
    </xf>
    <xf numFmtId="4" fontId="377" fillId="57" borderId="9" xfId="1429" applyNumberFormat="1" applyFont="1" applyFill="1" applyBorder="1" applyAlignment="1" applyProtection="1">
      <alignment horizontal="right" vertical="center" wrapText="1"/>
    </xf>
    <xf numFmtId="4" fontId="377" fillId="57" borderId="198" xfId="1429" applyNumberFormat="1" applyFont="1" applyFill="1" applyBorder="1" applyAlignment="1" applyProtection="1">
      <alignment horizontal="right" vertical="center" wrapText="1"/>
    </xf>
    <xf numFmtId="4" fontId="49" fillId="0" borderId="204" xfId="1429" applyNumberFormat="1" applyFont="1" applyFill="1" applyBorder="1" applyAlignment="1" applyProtection="1">
      <alignment horizontal="right" vertical="center" wrapText="1"/>
    </xf>
    <xf numFmtId="4" fontId="49" fillId="27" borderId="9" xfId="1429" applyNumberFormat="1" applyFont="1" applyFill="1" applyBorder="1" applyAlignment="1" applyProtection="1">
      <alignment horizontal="right" vertical="center" wrapText="1"/>
      <protection locked="0"/>
    </xf>
    <xf numFmtId="4" fontId="49" fillId="27" borderId="198" xfId="1429" applyNumberFormat="1" applyFont="1" applyFill="1" applyBorder="1" applyAlignment="1" applyProtection="1">
      <alignment horizontal="right" vertical="center" wrapText="1"/>
      <protection locked="0"/>
    </xf>
    <xf numFmtId="4" fontId="49" fillId="3" borderId="9" xfId="1429" applyNumberFormat="1" applyFont="1" applyFill="1" applyBorder="1" applyAlignment="1" applyProtection="1">
      <alignment horizontal="right" vertical="center" wrapText="1"/>
    </xf>
    <xf numFmtId="4" fontId="49" fillId="3" borderId="198" xfId="1429" applyNumberFormat="1" applyFont="1" applyFill="1" applyBorder="1" applyAlignment="1" applyProtection="1">
      <alignment horizontal="right" vertical="center" wrapText="1"/>
    </xf>
    <xf numFmtId="0" fontId="49" fillId="0" borderId="9" xfId="1429" applyFont="1" applyBorder="1" applyAlignment="1" applyProtection="1">
      <alignment horizontal="left" vertical="center" wrapText="1" indent="1"/>
    </xf>
    <xf numFmtId="0" fontId="49" fillId="0" borderId="9" xfId="1429" applyFont="1" applyBorder="1" applyAlignment="1" applyProtection="1">
      <alignment horizontal="left" vertical="center" wrapText="1" indent="2"/>
    </xf>
    <xf numFmtId="0" fontId="49" fillId="0" borderId="9" xfId="1429" applyFont="1" applyBorder="1" applyAlignment="1" applyProtection="1">
      <alignment horizontal="left" vertical="center" wrapText="1" indent="3"/>
    </xf>
    <xf numFmtId="0" fontId="49" fillId="0" borderId="9" xfId="1429" applyFont="1" applyFill="1" applyBorder="1" applyAlignment="1" applyProtection="1">
      <alignment horizontal="left" vertical="center" wrapText="1" indent="1"/>
    </xf>
    <xf numFmtId="0" fontId="49" fillId="0" borderId="9" xfId="1429" applyFont="1" applyFill="1" applyBorder="1" applyAlignment="1" applyProtection="1">
      <alignment horizontal="left" vertical="center" wrapText="1" indent="2"/>
    </xf>
    <xf numFmtId="0" fontId="49" fillId="0" borderId="9" xfId="1429" applyFont="1" applyFill="1" applyBorder="1" applyAlignment="1" applyProtection="1">
      <alignment horizontal="left" vertical="center" wrapText="1" indent="3"/>
    </xf>
    <xf numFmtId="4" fontId="108" fillId="0" borderId="0" xfId="0" applyNumberFormat="1" applyFont="1" applyAlignment="1" applyProtection="1"/>
    <xf numFmtId="49" fontId="68" fillId="2" borderId="9" xfId="1429" applyNumberFormat="1" applyFont="1" applyFill="1" applyBorder="1" applyAlignment="1" applyProtection="1">
      <alignment horizontal="center" vertical="center" wrapText="1"/>
    </xf>
    <xf numFmtId="0" fontId="147" fillId="2" borderId="9" xfId="1429" applyFont="1" applyFill="1" applyBorder="1" applyAlignment="1" applyProtection="1">
      <alignment vertical="center" wrapText="1"/>
    </xf>
    <xf numFmtId="0" fontId="377" fillId="57" borderId="9" xfId="1429" applyFont="1" applyFill="1" applyBorder="1" applyAlignment="1" applyProtection="1">
      <alignment vertical="center" wrapText="1"/>
    </xf>
    <xf numFmtId="0" fontId="377" fillId="57" borderId="198" xfId="1429" applyFont="1" applyFill="1" applyBorder="1" applyAlignment="1" applyProtection="1">
      <alignment vertical="center" wrapText="1"/>
    </xf>
    <xf numFmtId="0" fontId="147" fillId="0" borderId="204" xfId="1429" applyFont="1" applyFill="1" applyBorder="1" applyAlignment="1" applyProtection="1">
      <alignment vertical="center" wrapText="1"/>
    </xf>
    <xf numFmtId="0" fontId="147" fillId="2" borderId="198" xfId="1429" applyFont="1" applyFill="1" applyBorder="1" applyAlignment="1" applyProtection="1">
      <alignment vertical="center" wrapText="1"/>
    </xf>
    <xf numFmtId="49" fontId="49" fillId="0" borderId="9" xfId="1429" applyNumberFormat="1" applyFont="1" applyFill="1" applyBorder="1" applyAlignment="1" applyProtection="1">
      <alignment horizontal="center" vertical="center" wrapText="1"/>
    </xf>
    <xf numFmtId="0" fontId="49" fillId="0" borderId="9" xfId="1429" applyFont="1" applyFill="1" applyBorder="1" applyAlignment="1" applyProtection="1">
      <alignment horizontal="left" vertical="center" wrapText="1"/>
    </xf>
    <xf numFmtId="173" fontId="0" fillId="68" borderId="85" xfId="0" applyNumberFormat="1" applyFill="1" applyBorder="1" applyAlignment="1"/>
    <xf numFmtId="173" fontId="0" fillId="66" borderId="14" xfId="0" applyNumberFormat="1" applyFill="1" applyBorder="1" applyAlignment="1"/>
    <xf numFmtId="173" fontId="0" fillId="68" borderId="14" xfId="0" applyNumberFormat="1" applyFill="1" applyBorder="1" applyAlignment="1"/>
    <xf numFmtId="172" fontId="378" fillId="0" borderId="62" xfId="1419" applyNumberFormat="1" applyFont="1" applyFill="1" applyBorder="1"/>
    <xf numFmtId="172" fontId="378" fillId="0" borderId="63" xfId="1419" applyNumberFormat="1" applyFont="1" applyFill="1" applyBorder="1"/>
    <xf numFmtId="16" fontId="105" fillId="53" borderId="61" xfId="0" applyNumberFormat="1" applyFont="1" applyFill="1" applyBorder="1" applyAlignment="1"/>
    <xf numFmtId="0" fontId="104" fillId="53" borderId="61" xfId="0" applyNumberFormat="1" applyFont="1" applyFill="1" applyBorder="1" applyAlignment="1">
      <alignment horizontal="center"/>
    </xf>
    <xf numFmtId="172" fontId="379" fillId="53" borderId="63" xfId="1419" applyNumberFormat="1" applyFont="1" applyFill="1" applyBorder="1"/>
    <xf numFmtId="0" fontId="104" fillId="53" borderId="61" xfId="0" applyNumberFormat="1" applyFont="1" applyFill="1" applyBorder="1" applyAlignment="1"/>
    <xf numFmtId="0" fontId="104" fillId="57" borderId="61" xfId="0" applyNumberFormat="1" applyFont="1" applyFill="1" applyBorder="1" applyAlignment="1"/>
    <xf numFmtId="0" fontId="104" fillId="57" borderId="61" xfId="0" applyNumberFormat="1" applyFont="1" applyFill="1" applyBorder="1" applyAlignment="1">
      <alignment horizontal="center"/>
    </xf>
    <xf numFmtId="172" fontId="379" fillId="0" borderId="63" xfId="1419" applyNumberFormat="1" applyFont="1" applyFill="1" applyBorder="1"/>
    <xf numFmtId="0" fontId="305" fillId="0" borderId="61" xfId="0" applyNumberFormat="1" applyFont="1" applyFill="1" applyBorder="1" applyAlignment="1">
      <alignment horizontal="center"/>
    </xf>
    <xf numFmtId="172" fontId="380" fillId="0" borderId="63" xfId="1419" applyNumberFormat="1" applyFont="1" applyFill="1" applyBorder="1"/>
    <xf numFmtId="0" fontId="104" fillId="57" borderId="65" xfId="0" applyNumberFormat="1" applyFont="1" applyFill="1" applyBorder="1" applyAlignment="1">
      <alignment horizontal="center"/>
    </xf>
    <xf numFmtId="0" fontId="381" fillId="57" borderId="61" xfId="0" applyNumberFormat="1" applyFont="1" applyFill="1" applyBorder="1" applyAlignment="1"/>
    <xf numFmtId="0" fontId="307" fillId="0" borderId="61" xfId="0" applyNumberFormat="1" applyFont="1" applyFill="1" applyBorder="1" applyAlignment="1" applyProtection="1">
      <alignment horizontal="center"/>
    </xf>
    <xf numFmtId="172" fontId="382" fillId="0" borderId="63" xfId="1419" applyNumberFormat="1" applyFont="1" applyFill="1" applyBorder="1"/>
    <xf numFmtId="0" fontId="383" fillId="57" borderId="61" xfId="0" applyNumberFormat="1" applyFont="1" applyFill="1" applyBorder="1" applyAlignment="1"/>
    <xf numFmtId="0" fontId="309" fillId="0" borderId="61" xfId="0" applyNumberFormat="1" applyFont="1" applyFill="1" applyBorder="1" applyAlignment="1" applyProtection="1">
      <alignment horizontal="center"/>
    </xf>
    <xf numFmtId="172" fontId="384" fillId="0" borderId="63" xfId="1419" applyNumberFormat="1" applyFont="1" applyFill="1" applyBorder="1"/>
    <xf numFmtId="172" fontId="109" fillId="47" borderId="63" xfId="1419" applyNumberFormat="1" applyFont="1" applyFill="1" applyBorder="1"/>
    <xf numFmtId="0" fontId="117" fillId="53" borderId="61" xfId="0" applyNumberFormat="1" applyFont="1" applyFill="1" applyBorder="1" applyAlignment="1"/>
    <xf numFmtId="0" fontId="117" fillId="53" borderId="61" xfId="0" applyNumberFormat="1" applyFont="1" applyFill="1" applyBorder="1" applyAlignment="1">
      <alignment horizontal="center"/>
    </xf>
    <xf numFmtId="0" fontId="385" fillId="0" borderId="61" xfId="0" applyNumberFormat="1" applyFont="1" applyFill="1" applyBorder="1" applyAlignment="1">
      <alignment horizontal="center"/>
    </xf>
    <xf numFmtId="0" fontId="305" fillId="53" borderId="61" xfId="0" applyNumberFormat="1" applyFont="1" applyFill="1" applyBorder="1" applyAlignment="1">
      <alignment horizontal="center"/>
    </xf>
    <xf numFmtId="172" fontId="380" fillId="53" borderId="63" xfId="1419" applyNumberFormat="1" applyFont="1" applyFill="1" applyBorder="1"/>
    <xf numFmtId="172" fontId="378" fillId="46" borderId="63" xfId="1419" applyNumberFormat="1" applyFont="1" applyFill="1" applyBorder="1"/>
    <xf numFmtId="172" fontId="386" fillId="0" borderId="63" xfId="1419" applyNumberFormat="1" applyFont="1" applyFill="1" applyBorder="1"/>
    <xf numFmtId="0" fontId="387" fillId="57" borderId="61" xfId="0" applyNumberFormat="1" applyFont="1" applyFill="1" applyBorder="1" applyAlignment="1"/>
    <xf numFmtId="0" fontId="313" fillId="57" borderId="61" xfId="0" applyNumberFormat="1" applyFont="1" applyFill="1" applyBorder="1" applyAlignment="1">
      <alignment horizontal="center"/>
    </xf>
    <xf numFmtId="172" fontId="388" fillId="57" borderId="63" xfId="1419" applyNumberFormat="1" applyFont="1" applyFill="1" applyBorder="1"/>
    <xf numFmtId="0" fontId="389" fillId="53" borderId="61" xfId="0" applyNumberFormat="1" applyFont="1" applyFill="1" applyBorder="1" applyAlignment="1"/>
    <xf numFmtId="0" fontId="389" fillId="53" borderId="61" xfId="0" applyNumberFormat="1" applyFont="1" applyFill="1" applyBorder="1" applyAlignment="1">
      <alignment horizontal="center"/>
    </xf>
    <xf numFmtId="172" fontId="390" fillId="53" borderId="64" xfId="1419" applyNumberFormat="1" applyFont="1" applyFill="1" applyBorder="1"/>
    <xf numFmtId="0" fontId="389" fillId="57" borderId="61" xfId="0" applyNumberFormat="1" applyFont="1" applyFill="1" applyBorder="1" applyAlignment="1"/>
    <xf numFmtId="0" fontId="389" fillId="57" borderId="61" xfId="0" applyNumberFormat="1" applyFont="1" applyFill="1" applyBorder="1" applyAlignment="1">
      <alignment horizontal="center"/>
    </xf>
    <xf numFmtId="172" fontId="390" fillId="57" borderId="64" xfId="1419" applyNumberFormat="1" applyFont="1" applyFill="1" applyBorder="1"/>
    <xf numFmtId="0" fontId="317" fillId="57" borderId="61" xfId="0" applyNumberFormat="1" applyFont="1" applyFill="1" applyBorder="1" applyAlignment="1">
      <alignment horizontal="center"/>
    </xf>
    <xf numFmtId="172" fontId="390" fillId="57" borderId="63" xfId="1419" applyNumberFormat="1" applyFont="1" applyFill="1" applyBorder="1"/>
    <xf numFmtId="0" fontId="389" fillId="57" borderId="65" xfId="0" applyNumberFormat="1" applyFont="1" applyFill="1" applyBorder="1" applyAlignment="1">
      <alignment horizontal="center"/>
    </xf>
    <xf numFmtId="0" fontId="318" fillId="57" borderId="61" xfId="0" applyNumberFormat="1" applyFont="1" applyFill="1" applyBorder="1" applyAlignment="1" applyProtection="1">
      <alignment horizontal="center"/>
    </xf>
    <xf numFmtId="172" fontId="391" fillId="46" borderId="63" xfId="1419" applyNumberFormat="1" applyFont="1" applyFill="1" applyBorder="1"/>
    <xf numFmtId="172" fontId="392" fillId="46" borderId="63" xfId="1419" applyNumberFormat="1" applyFont="1" applyFill="1" applyBorder="1"/>
    <xf numFmtId="172" fontId="390" fillId="53" borderId="63" xfId="1419" applyNumberFormat="1" applyFont="1" applyFill="1" applyBorder="1"/>
    <xf numFmtId="0" fontId="117" fillId="58" borderId="61" xfId="0" applyNumberFormat="1" applyFont="1" applyFill="1" applyBorder="1" applyAlignment="1"/>
    <xf numFmtId="0" fontId="105" fillId="58" borderId="61" xfId="0" applyNumberFormat="1" applyFont="1" applyFill="1" applyBorder="1" applyAlignment="1">
      <alignment horizontal="center"/>
    </xf>
    <xf numFmtId="172" fontId="378" fillId="58" borderId="63" xfId="1419" applyNumberFormat="1" applyFont="1" applyFill="1" applyBorder="1"/>
    <xf numFmtId="10" fontId="109" fillId="47" borderId="63" xfId="1419" applyNumberFormat="1" applyFont="1" applyFill="1" applyBorder="1"/>
    <xf numFmtId="0" fontId="321" fillId="0" borderId="61" xfId="0" applyNumberFormat="1" applyFont="1" applyFill="1" applyBorder="1" applyAlignment="1"/>
    <xf numFmtId="0" fontId="321" fillId="0" borderId="61" xfId="0" applyNumberFormat="1" applyFont="1" applyFill="1" applyBorder="1" applyAlignment="1">
      <alignment horizontal="center"/>
    </xf>
    <xf numFmtId="172" fontId="393" fillId="0" borderId="63" xfId="1419" applyNumberFormat="1" applyFont="1" applyFill="1" applyBorder="1"/>
    <xf numFmtId="0" fontId="105" fillId="59" borderId="61" xfId="0" applyNumberFormat="1" applyFont="1" applyFill="1" applyBorder="1" applyAlignment="1">
      <alignment horizontal="center"/>
    </xf>
    <xf numFmtId="172" fontId="378" fillId="59" borderId="63" xfId="1419" applyNumberFormat="1" applyFont="1" applyFill="1" applyBorder="1"/>
    <xf numFmtId="172" fontId="101" fillId="47" borderId="63" xfId="1419" applyNumberFormat="1" applyFont="1" applyFill="1" applyBorder="1"/>
    <xf numFmtId="0" fontId="117" fillId="57" borderId="61" xfId="0" applyNumberFormat="1" applyFont="1" applyFill="1" applyBorder="1" applyAlignment="1"/>
    <xf numFmtId="0" fontId="117" fillId="57" borderId="61" xfId="0" applyNumberFormat="1" applyFont="1" applyFill="1" applyBorder="1" applyAlignment="1">
      <alignment horizontal="center"/>
    </xf>
    <xf numFmtId="179" fontId="101" fillId="57" borderId="63" xfId="1419" applyNumberFormat="1" applyFont="1" applyFill="1" applyBorder="1"/>
    <xf numFmtId="0" fontId="99" fillId="57" borderId="61" xfId="0" applyNumberFormat="1" applyFont="1" applyFill="1" applyBorder="1" applyAlignment="1"/>
    <xf numFmtId="0" fontId="99" fillId="57" borderId="61" xfId="0" applyNumberFormat="1" applyFont="1" applyFill="1" applyBorder="1" applyAlignment="1">
      <alignment horizontal="center"/>
    </xf>
    <xf numFmtId="172" fontId="109" fillId="57" borderId="63" xfId="1419" applyNumberFormat="1" applyFont="1" applyFill="1" applyBorder="1"/>
    <xf numFmtId="179" fontId="378" fillId="0" borderId="63" xfId="1419" applyNumberFormat="1" applyFont="1" applyFill="1" applyBorder="1"/>
    <xf numFmtId="0" fontId="99" fillId="57" borderId="62" xfId="0" applyNumberFormat="1" applyFont="1" applyFill="1" applyBorder="1" applyAlignment="1">
      <alignment wrapText="1"/>
    </xf>
    <xf numFmtId="172" fontId="109" fillId="47" borderId="68" xfId="1419" applyNumberFormat="1" applyFont="1" applyFill="1" applyBorder="1"/>
    <xf numFmtId="172" fontId="109" fillId="47" borderId="71" xfId="1419" applyNumberFormat="1" applyFont="1" applyFill="1" applyBorder="1"/>
    <xf numFmtId="172" fontId="378" fillId="0" borderId="72" xfId="1419" applyNumberFormat="1" applyFont="1" applyFill="1" applyBorder="1"/>
    <xf numFmtId="172" fontId="109" fillId="0" borderId="63" xfId="1419" applyNumberFormat="1" applyFont="1" applyFill="1" applyBorder="1"/>
    <xf numFmtId="172" fontId="109" fillId="0" borderId="71" xfId="1419" applyNumberFormat="1" applyFont="1" applyFill="1" applyBorder="1"/>
    <xf numFmtId="0" fontId="104" fillId="47" borderId="66" xfId="0" applyNumberFormat="1" applyFont="1" applyFill="1" applyBorder="1" applyAlignment="1"/>
    <xf numFmtId="4" fontId="109" fillId="47" borderId="67" xfId="0" applyFont="1" applyFill="1" applyBorder="1" applyAlignment="1">
      <alignment horizontal="center"/>
    </xf>
    <xf numFmtId="172" fontId="109" fillId="47" borderId="81" xfId="1419" applyNumberFormat="1" applyFont="1" applyFill="1" applyBorder="1"/>
    <xf numFmtId="4" fontId="102" fillId="46" borderId="20" xfId="0" applyFont="1" applyFill="1" applyBorder="1">
      <alignment vertical="center"/>
    </xf>
    <xf numFmtId="0" fontId="105" fillId="0" borderId="25" xfId="0" applyNumberFormat="1" applyFont="1" applyFill="1" applyBorder="1" applyAlignment="1">
      <alignment horizontal="left"/>
    </xf>
    <xf numFmtId="4" fontId="100" fillId="46" borderId="130" xfId="0" applyFont="1" applyFill="1" applyBorder="1" applyAlignment="1">
      <alignment horizontal="center"/>
    </xf>
    <xf numFmtId="173" fontId="109" fillId="46" borderId="20" xfId="1419" applyNumberFormat="1" applyFont="1" applyFill="1" applyBorder="1"/>
    <xf numFmtId="0" fontId="104" fillId="47" borderId="152" xfId="0" applyNumberFormat="1" applyFont="1" applyFill="1" applyBorder="1" applyAlignment="1"/>
    <xf numFmtId="0" fontId="104" fillId="47" borderId="125" xfId="0" applyNumberFormat="1" applyFont="1" applyFill="1" applyBorder="1" applyAlignment="1"/>
    <xf numFmtId="4" fontId="109" fillId="47" borderId="152" xfId="0" applyFont="1" applyFill="1" applyBorder="1" applyAlignment="1">
      <alignment horizontal="center"/>
    </xf>
    <xf numFmtId="172" fontId="109" fillId="47" borderId="13" xfId="1419" applyNumberFormat="1" applyFont="1" applyFill="1" applyBorder="1"/>
    <xf numFmtId="0" fontId="104" fillId="47" borderId="70" xfId="0" applyNumberFormat="1" applyFont="1" applyFill="1" applyBorder="1" applyAlignment="1"/>
    <xf numFmtId="0" fontId="104" fillId="47" borderId="69" xfId="0" applyNumberFormat="1" applyFont="1" applyFill="1" applyBorder="1" applyAlignment="1"/>
    <xf numFmtId="4" fontId="109" fillId="47" borderId="70" xfId="0" applyFont="1" applyFill="1" applyBorder="1" applyAlignment="1">
      <alignment horizontal="center"/>
    </xf>
    <xf numFmtId="172" fontId="109" fillId="47" borderId="123" xfId="1419" applyNumberFormat="1" applyFont="1" applyFill="1" applyBorder="1"/>
    <xf numFmtId="4" fontId="99" fillId="0" borderId="0" xfId="0" applyFont="1">
      <alignment vertical="center"/>
    </xf>
    <xf numFmtId="3" fontId="100" fillId="0" borderId="0" xfId="0" applyNumberFormat="1" applyFont="1">
      <alignment vertical="center"/>
    </xf>
    <xf numFmtId="172" fontId="117" fillId="0" borderId="0" xfId="0" applyNumberFormat="1" applyFont="1">
      <alignment vertical="center"/>
    </xf>
    <xf numFmtId="4" fontId="110" fillId="0" borderId="0" xfId="0" applyFont="1">
      <alignment vertical="center"/>
    </xf>
    <xf numFmtId="200" fontId="101" fillId="0" borderId="0" xfId="0" applyNumberFormat="1" applyFont="1">
      <alignment vertical="center"/>
    </xf>
    <xf numFmtId="0" fontId="105" fillId="0" borderId="0" xfId="0" applyNumberFormat="1" applyFont="1" applyFill="1" applyBorder="1" applyAlignment="1">
      <alignment horizontal="left" indent="2"/>
    </xf>
    <xf numFmtId="200" fontId="117" fillId="0" borderId="0" xfId="0" applyNumberFormat="1" applyFont="1">
      <alignment vertical="center"/>
    </xf>
    <xf numFmtId="179" fontId="110" fillId="0" borderId="0" xfId="0" applyNumberFormat="1" applyFont="1">
      <alignment vertical="center"/>
    </xf>
    <xf numFmtId="200" fontId="110" fillId="0" borderId="0" xfId="0" applyNumberFormat="1" applyFont="1">
      <alignment vertical="center"/>
    </xf>
    <xf numFmtId="200" fontId="117" fillId="57" borderId="0" xfId="0" applyNumberFormat="1" applyFont="1" applyFill="1">
      <alignment vertical="center"/>
    </xf>
    <xf numFmtId="187" fontId="110" fillId="0" borderId="0" xfId="0" applyNumberFormat="1" applyFont="1">
      <alignment vertical="center"/>
    </xf>
    <xf numFmtId="4" fontId="110" fillId="0" borderId="0" xfId="0" applyFont="1" applyBorder="1">
      <alignment vertical="center"/>
    </xf>
    <xf numFmtId="4" fontId="116" fillId="0" borderId="0" xfId="0" applyFont="1" applyBorder="1">
      <alignment vertical="center"/>
    </xf>
    <xf numFmtId="4" fontId="100" fillId="0" borderId="0" xfId="0" applyNumberFormat="1" applyFont="1" applyAlignment="1"/>
    <xf numFmtId="4" fontId="395" fillId="0" borderId="0" xfId="1430" applyNumberFormat="1" applyFont="1"/>
    <xf numFmtId="0" fontId="174" fillId="0" borderId="0" xfId="0" applyNumberFormat="1" applyFont="1" applyAlignment="1" applyProtection="1">
      <alignment horizontal="center"/>
    </xf>
    <xf numFmtId="1" fontId="108" fillId="0" borderId="0" xfId="0" applyNumberFormat="1" applyFont="1" applyFill="1" applyAlignment="1" applyProtection="1">
      <alignment horizontal="center"/>
    </xf>
    <xf numFmtId="0" fontId="367" fillId="46" borderId="0" xfId="0" applyNumberFormat="1" applyFont="1" applyFill="1" applyAlignment="1" applyProtection="1">
      <alignment horizontal="center"/>
    </xf>
    <xf numFmtId="0" fontId="293" fillId="0" borderId="0" xfId="0" applyNumberFormat="1" applyFont="1" applyFill="1" applyBorder="1" applyAlignment="1" applyProtection="1">
      <alignment horizontal="center"/>
    </xf>
    <xf numFmtId="0" fontId="176" fillId="0" borderId="0" xfId="0" applyNumberFormat="1" applyFont="1" applyFill="1" applyBorder="1" applyAlignment="1" applyProtection="1">
      <alignment horizontal="center"/>
    </xf>
    <xf numFmtId="0" fontId="108" fillId="46" borderId="0" xfId="0" applyNumberFormat="1" applyFont="1" applyFill="1" applyBorder="1" applyAlignment="1" applyProtection="1">
      <alignment horizontal="center"/>
    </xf>
    <xf numFmtId="0" fontId="100" fillId="0" borderId="0" xfId="0" applyNumberFormat="1" applyFont="1" applyAlignment="1" applyProtection="1">
      <alignment horizontal="center"/>
    </xf>
    <xf numFmtId="1" fontId="100" fillId="27" borderId="0" xfId="0" applyNumberFormat="1" applyFont="1" applyFill="1" applyAlignment="1" applyProtection="1">
      <alignment horizontal="center"/>
    </xf>
    <xf numFmtId="0" fontId="374" fillId="27" borderId="0" xfId="0" applyNumberFormat="1" applyFont="1" applyFill="1" applyAlignment="1" applyProtection="1">
      <alignment horizontal="center"/>
    </xf>
    <xf numFmtId="0" fontId="100" fillId="0" borderId="0" xfId="0" applyNumberFormat="1" applyFont="1" applyFill="1" applyBorder="1" applyAlignment="1" applyProtection="1">
      <alignment horizontal="center"/>
    </xf>
    <xf numFmtId="0" fontId="102" fillId="0" borderId="0" xfId="0" applyNumberFormat="1" applyFont="1" applyFill="1" applyBorder="1" applyAlignment="1" applyProtection="1">
      <alignment horizontal="center"/>
    </xf>
    <xf numFmtId="4" fontId="87" fillId="57" borderId="32" xfId="0" applyFont="1" applyFill="1" applyBorder="1">
      <alignment vertical="center"/>
    </xf>
    <xf numFmtId="0" fontId="7" fillId="0" borderId="0" xfId="2185"/>
    <xf numFmtId="0" fontId="7" fillId="46" borderId="0" xfId="2185" applyFill="1"/>
    <xf numFmtId="4" fontId="87" fillId="0" borderId="31" xfId="2185" applyNumberFormat="1" applyFont="1" applyBorder="1" applyAlignment="1">
      <alignment vertical="center"/>
    </xf>
    <xf numFmtId="4" fontId="7" fillId="0" borderId="0" xfId="2185" applyNumberFormat="1"/>
    <xf numFmtId="4" fontId="90" fillId="48" borderId="31" xfId="2185" applyNumberFormat="1" applyFont="1" applyFill="1" applyBorder="1" applyAlignment="1">
      <alignment vertical="center"/>
    </xf>
    <xf numFmtId="2" fontId="7" fillId="36" borderId="0" xfId="2185" applyNumberFormat="1" applyFill="1"/>
    <xf numFmtId="4" fontId="90" fillId="0" borderId="31" xfId="2185" applyNumberFormat="1" applyFont="1" applyBorder="1" applyAlignment="1">
      <alignment vertical="center"/>
    </xf>
    <xf numFmtId="10" fontId="7" fillId="0" borderId="0" xfId="2185" applyNumberFormat="1"/>
    <xf numFmtId="174" fontId="7" fillId="0" borderId="0" xfId="2185" applyNumberFormat="1"/>
    <xf numFmtId="4" fontId="90" fillId="48" borderId="0" xfId="2185" applyNumberFormat="1" applyFont="1" applyFill="1" applyBorder="1" applyAlignment="1">
      <alignment vertical="center"/>
    </xf>
    <xf numFmtId="4" fontId="90" fillId="48" borderId="0" xfId="2185" applyNumberFormat="1" applyFont="1" applyFill="1" applyBorder="1" applyAlignment="1">
      <alignment vertical="center" wrapText="1"/>
    </xf>
    <xf numFmtId="0" fontId="7" fillId="0" borderId="0" xfId="2185" applyAlignment="1">
      <alignment horizontal="center"/>
    </xf>
    <xf numFmtId="179" fontId="7" fillId="0" borderId="0" xfId="2185" applyNumberFormat="1"/>
    <xf numFmtId="4" fontId="90" fillId="72" borderId="0" xfId="2185" applyNumberFormat="1" applyFont="1" applyFill="1" applyBorder="1" applyAlignment="1">
      <alignment vertical="center" wrapText="1"/>
    </xf>
    <xf numFmtId="170" fontId="87" fillId="57" borderId="48" xfId="0" applyNumberFormat="1" applyFont="1" applyFill="1" applyBorder="1" applyAlignment="1">
      <alignment horizontal="center"/>
    </xf>
    <xf numFmtId="168" fontId="83" fillId="57" borderId="47" xfId="0" applyNumberFormat="1" applyFont="1" applyFill="1" applyBorder="1" applyAlignment="1">
      <alignment horizontal="right"/>
    </xf>
    <xf numFmtId="168" fontId="83" fillId="57" borderId="43" xfId="0" applyNumberFormat="1" applyFont="1" applyFill="1" applyBorder="1" applyAlignment="1">
      <alignment horizontal="right"/>
    </xf>
    <xf numFmtId="168" fontId="83" fillId="57" borderId="27" xfId="0" applyNumberFormat="1" applyFont="1" applyFill="1" applyBorder="1" applyAlignment="1">
      <alignment horizontal="right"/>
    </xf>
    <xf numFmtId="0" fontId="422" fillId="0" borderId="138" xfId="0" applyNumberFormat="1" applyFont="1" applyBorder="1" applyAlignment="1">
      <alignment horizontal="center" vertical="center" wrapText="1"/>
    </xf>
    <xf numFmtId="0" fontId="423" fillId="0" borderId="0" xfId="2308" applyNumberFormat="1" applyFont="1" applyProtection="1"/>
    <xf numFmtId="0" fontId="426" fillId="0" borderId="210" xfId="2308" applyNumberFormat="1" applyFont="1" applyBorder="1" applyAlignment="1" applyProtection="1">
      <alignment horizontal="center" vertical="center"/>
    </xf>
    <xf numFmtId="0" fontId="426" fillId="0" borderId="210" xfId="2308" applyNumberFormat="1" applyFont="1" applyBorder="1" applyAlignment="1" applyProtection="1">
      <alignment horizontal="center" vertical="center" wrapText="1"/>
    </xf>
    <xf numFmtId="0" fontId="426" fillId="58" borderId="210" xfId="2308" applyNumberFormat="1" applyFont="1" applyFill="1" applyBorder="1" applyProtection="1"/>
    <xf numFmtId="4" fontId="426" fillId="58" borderId="210" xfId="2308" applyNumberFormat="1" applyFont="1" applyFill="1" applyBorder="1" applyProtection="1"/>
    <xf numFmtId="3" fontId="426" fillId="58" borderId="210" xfId="2308" applyNumberFormat="1" applyFont="1" applyFill="1" applyBorder="1" applyProtection="1"/>
    <xf numFmtId="4" fontId="426" fillId="0" borderId="210" xfId="2308" applyNumberFormat="1" applyFont="1" applyBorder="1" applyProtection="1"/>
    <xf numFmtId="4" fontId="426" fillId="0" borderId="210" xfId="2308" applyNumberFormat="1" applyFont="1" applyBorder="1" applyAlignment="1" applyProtection="1">
      <alignment wrapText="1"/>
    </xf>
    <xf numFmtId="0" fontId="427" fillId="58" borderId="210" xfId="2308" applyNumberFormat="1" applyFont="1" applyFill="1" applyBorder="1" applyProtection="1"/>
    <xf numFmtId="3" fontId="423" fillId="0" borderId="0" xfId="2308" applyNumberFormat="1" applyFont="1" applyProtection="1"/>
    <xf numFmtId="0" fontId="427" fillId="0" borderId="210" xfId="2308" applyNumberFormat="1" applyFont="1" applyBorder="1" applyProtection="1"/>
    <xf numFmtId="3" fontId="426" fillId="0" borderId="210" xfId="2308" applyNumberFormat="1" applyFont="1" applyBorder="1" applyProtection="1"/>
    <xf numFmtId="0" fontId="428" fillId="0" borderId="210" xfId="2308" applyNumberFormat="1" applyFont="1" applyBorder="1" applyProtection="1"/>
    <xf numFmtId="4" fontId="423" fillId="0" borderId="210" xfId="2308" applyNumberFormat="1" applyFont="1" applyBorder="1" applyProtection="1"/>
    <xf numFmtId="3" fontId="423" fillId="0" borderId="210" xfId="2308" applyNumberFormat="1" applyFont="1" applyBorder="1" applyProtection="1"/>
    <xf numFmtId="4" fontId="423" fillId="0" borderId="210" xfId="2308" applyNumberFormat="1" applyFont="1" applyBorder="1" applyAlignment="1" applyProtection="1">
      <alignment wrapText="1"/>
    </xf>
    <xf numFmtId="187" fontId="423" fillId="0" borderId="0" xfId="2308" applyNumberFormat="1" applyFont="1" applyProtection="1"/>
    <xf numFmtId="0" fontId="428" fillId="58" borderId="210" xfId="2308" applyNumberFormat="1" applyFont="1" applyFill="1" applyBorder="1" applyProtection="1"/>
    <xf numFmtId="4" fontId="423" fillId="58" borderId="210" xfId="2308" applyNumberFormat="1" applyFont="1" applyFill="1" applyBorder="1" applyProtection="1"/>
    <xf numFmtId="3" fontId="423" fillId="58" borderId="210" xfId="2308" applyNumberFormat="1" applyFont="1" applyFill="1" applyBorder="1" applyProtection="1"/>
    <xf numFmtId="0" fontId="189" fillId="59" borderId="210" xfId="2308" applyNumberFormat="1" applyFont="1" applyFill="1" applyBorder="1" applyProtection="1"/>
    <xf numFmtId="4" fontId="189" fillId="59" borderId="210" xfId="2308" applyNumberFormat="1" applyFont="1" applyFill="1" applyBorder="1" applyProtection="1"/>
    <xf numFmtId="3" fontId="189" fillId="59" borderId="210" xfId="2308" applyNumberFormat="1" applyFont="1" applyFill="1" applyBorder="1" applyProtection="1"/>
    <xf numFmtId="172" fontId="99" fillId="46" borderId="144" xfId="2259" applyNumberFormat="1" applyFont="1" applyFill="1" applyBorder="1"/>
    <xf numFmtId="188" fontId="99" fillId="46" borderId="144" xfId="2259" applyNumberFormat="1" applyFont="1" applyFill="1" applyBorder="1"/>
    <xf numFmtId="172" fontId="105" fillId="46" borderId="61" xfId="2259" applyNumberFormat="1" applyFont="1" applyFill="1" applyBorder="1"/>
    <xf numFmtId="188" fontId="105" fillId="46" borderId="61" xfId="2259" applyNumberFormat="1" applyFont="1" applyFill="1" applyBorder="1"/>
    <xf numFmtId="10" fontId="105" fillId="46" borderId="61" xfId="2259" applyNumberFormat="1" applyFont="1" applyFill="1" applyBorder="1"/>
    <xf numFmtId="172" fontId="107" fillId="57" borderId="83" xfId="2259" applyNumberFormat="1" applyFont="1" applyFill="1" applyBorder="1"/>
    <xf numFmtId="188" fontId="285" fillId="57" borderId="61" xfId="2259" applyNumberFormat="1" applyFont="1" applyFill="1" applyBorder="1"/>
    <xf numFmtId="172" fontId="105" fillId="57" borderId="132" xfId="2259" applyNumberFormat="1" applyFont="1" applyFill="1" applyBorder="1"/>
    <xf numFmtId="188" fontId="105" fillId="57" borderId="61" xfId="2259" applyNumberFormat="1" applyFont="1" applyFill="1" applyBorder="1"/>
    <xf numFmtId="172" fontId="104" fillId="46" borderId="61" xfId="2259" applyNumberFormat="1" applyFont="1" applyFill="1" applyBorder="1"/>
    <xf numFmtId="188" fontId="104" fillId="57" borderId="61" xfId="2259" applyNumberFormat="1" applyFont="1" applyFill="1" applyBorder="1"/>
    <xf numFmtId="172" fontId="117" fillId="46" borderId="61" xfId="2259" applyNumberFormat="1" applyFont="1" applyFill="1" applyBorder="1"/>
    <xf numFmtId="172" fontId="104" fillId="46" borderId="143" xfId="2259" applyNumberFormat="1" applyFont="1" applyFill="1" applyBorder="1"/>
    <xf numFmtId="188" fontId="104" fillId="46" borderId="143" xfId="2259" applyNumberFormat="1" applyFont="1" applyFill="1" applyBorder="1"/>
    <xf numFmtId="0" fontId="3" fillId="0" borderId="0" xfId="2309"/>
    <xf numFmtId="0" fontId="3" fillId="0" borderId="0" xfId="2309" applyAlignment="1">
      <alignment horizontal="center" wrapText="1"/>
    </xf>
    <xf numFmtId="0" fontId="3" fillId="0" borderId="0" xfId="2309" applyAlignment="1">
      <alignment horizontal="center"/>
    </xf>
    <xf numFmtId="0" fontId="3" fillId="0" borderId="14" xfId="2309" applyBorder="1"/>
    <xf numFmtId="0" fontId="433" fillId="0" borderId="14" xfId="2309" applyFont="1" applyBorder="1" applyAlignment="1">
      <alignment horizontal="center" wrapText="1"/>
    </xf>
    <xf numFmtId="0" fontId="3" fillId="0" borderId="14" xfId="2309" applyBorder="1" applyAlignment="1">
      <alignment horizontal="center" wrapText="1"/>
    </xf>
    <xf numFmtId="0" fontId="3" fillId="0" borderId="0" xfId="2309" applyBorder="1"/>
    <xf numFmtId="0" fontId="3" fillId="0" borderId="14" xfId="2309" applyBorder="1" applyAlignment="1">
      <alignment horizontal="right"/>
    </xf>
    <xf numFmtId="0" fontId="332" fillId="0" borderId="0" xfId="2309" applyFont="1"/>
    <xf numFmtId="0" fontId="3" fillId="0" borderId="124" xfId="2309" applyBorder="1"/>
    <xf numFmtId="0" fontId="3" fillId="0" borderId="40" xfId="2309" applyBorder="1"/>
    <xf numFmtId="0" fontId="3" fillId="0" borderId="125" xfId="2309" applyBorder="1"/>
    <xf numFmtId="0" fontId="3" fillId="0" borderId="146" xfId="2309" applyBorder="1"/>
    <xf numFmtId="0" fontId="3" fillId="0" borderId="53" xfId="2309" applyBorder="1"/>
    <xf numFmtId="0" fontId="3" fillId="0" borderId="54" xfId="2309" applyBorder="1"/>
    <xf numFmtId="0" fontId="3" fillId="0" borderId="17" xfId="2309" applyBorder="1"/>
    <xf numFmtId="0" fontId="3" fillId="0" borderId="138" xfId="2309" applyBorder="1"/>
    <xf numFmtId="0" fontId="3" fillId="0" borderId="87" xfId="2309" applyBorder="1"/>
    <xf numFmtId="0" fontId="3" fillId="0" borderId="0" xfId="2309" applyAlignment="1">
      <alignment horizontal="left"/>
    </xf>
    <xf numFmtId="0" fontId="332" fillId="0" borderId="0" xfId="2309" applyFont="1" applyAlignment="1">
      <alignment horizontal="center" wrapText="1"/>
    </xf>
    <xf numFmtId="0" fontId="337" fillId="0" borderId="0" xfId="2310" applyFont="1" applyAlignment="1">
      <alignment horizontal="right"/>
    </xf>
    <xf numFmtId="0" fontId="3" fillId="0" borderId="0" xfId="2309" applyAlignment="1">
      <alignment vertical="top" wrapText="1"/>
    </xf>
    <xf numFmtId="0" fontId="434" fillId="0" borderId="0" xfId="2309" applyFont="1" applyAlignment="1">
      <alignment horizontal="left" vertical="center" wrapText="1"/>
    </xf>
    <xf numFmtId="0" fontId="435" fillId="0" borderId="0" xfId="2309" applyFont="1"/>
    <xf numFmtId="0" fontId="337" fillId="0" borderId="0" xfId="2310" applyFont="1" applyAlignment="1">
      <alignment horizontal="right" vertical="center"/>
    </xf>
    <xf numFmtId="4" fontId="3" fillId="0" borderId="88" xfId="2309" applyNumberFormat="1" applyBorder="1"/>
    <xf numFmtId="4" fontId="3" fillId="0" borderId="138" xfId="2309" applyNumberFormat="1" applyBorder="1"/>
    <xf numFmtId="4" fontId="3" fillId="0" borderId="0" xfId="2309" applyNumberFormat="1" applyBorder="1"/>
    <xf numFmtId="4" fontId="3" fillId="0" borderId="17" xfId="2309" applyNumberFormat="1" applyBorder="1"/>
    <xf numFmtId="172" fontId="3" fillId="0" borderId="43" xfId="2309" applyNumberFormat="1" applyBorder="1"/>
    <xf numFmtId="172" fontId="3" fillId="0" borderId="54" xfId="2309" applyNumberFormat="1" applyBorder="1"/>
    <xf numFmtId="4" fontId="3" fillId="0" borderId="14" xfId="2309" applyNumberFormat="1" applyBorder="1" applyAlignment="1">
      <alignment horizontal="center"/>
    </xf>
    <xf numFmtId="4" fontId="3" fillId="0" borderId="43" xfId="2309" applyNumberFormat="1" applyBorder="1"/>
    <xf numFmtId="0" fontId="3" fillId="0" borderId="14" xfId="2309" applyBorder="1" applyAlignment="1">
      <alignment horizontal="left"/>
    </xf>
    <xf numFmtId="0" fontId="3" fillId="0" borderId="87" xfId="2309" applyBorder="1" applyAlignment="1">
      <alignment horizontal="left"/>
    </xf>
    <xf numFmtId="0" fontId="3" fillId="0" borderId="14" xfId="2309" applyBorder="1" applyAlignment="1">
      <alignment horizontal="left" wrapText="1"/>
    </xf>
    <xf numFmtId="4" fontId="3" fillId="0" borderId="0" xfId="2309" applyNumberFormat="1"/>
    <xf numFmtId="256" fontId="83" fillId="0" borderId="27" xfId="0" applyNumberFormat="1" applyFont="1" applyBorder="1" applyAlignment="1">
      <alignment horizontal="right"/>
    </xf>
    <xf numFmtId="3" fontId="436" fillId="3" borderId="14" xfId="0" applyNumberFormat="1" applyFont="1" applyFill="1" applyBorder="1" applyAlignment="1">
      <alignment horizontal="right"/>
    </xf>
    <xf numFmtId="179" fontId="436" fillId="3" borderId="14" xfId="0" applyNumberFormat="1" applyFont="1" applyFill="1" applyBorder="1" applyAlignment="1">
      <alignment horizontal="right"/>
    </xf>
    <xf numFmtId="4" fontId="171" fillId="73" borderId="23" xfId="0" applyFont="1" applyFill="1" applyBorder="1" applyAlignment="1" applyProtection="1">
      <alignment horizontal="center" vertical="center"/>
      <protection locked="0"/>
    </xf>
    <xf numFmtId="2" fontId="171" fillId="73" borderId="130" xfId="0" applyNumberFormat="1" applyFont="1" applyFill="1" applyBorder="1" applyAlignment="1" applyProtection="1">
      <alignment horizontal="center" vertical="center" wrapText="1"/>
      <protection locked="0"/>
    </xf>
    <xf numFmtId="4" fontId="171" fillId="73" borderId="142" xfId="0" applyFont="1" applyFill="1" applyBorder="1" applyAlignment="1" applyProtection="1">
      <alignment horizontal="center" vertical="center"/>
      <protection locked="0"/>
    </xf>
    <xf numFmtId="4" fontId="171" fillId="58" borderId="130" xfId="0" applyFont="1" applyFill="1" applyBorder="1" applyAlignment="1" applyProtection="1">
      <alignment horizontal="center" vertical="center"/>
      <protection locked="0"/>
    </xf>
    <xf numFmtId="2" fontId="171" fillId="58" borderId="24" xfId="0" applyNumberFormat="1" applyFont="1" applyFill="1" applyBorder="1" applyAlignment="1" applyProtection="1">
      <alignment horizontal="center" vertical="center" wrapText="1"/>
      <protection locked="0"/>
    </xf>
    <xf numFmtId="1" fontId="171" fillId="58" borderId="130" xfId="0" applyNumberFormat="1" applyFont="1" applyFill="1" applyBorder="1" applyAlignment="1" applyProtection="1">
      <alignment horizontal="center" vertical="center" wrapText="1"/>
      <protection locked="0"/>
    </xf>
    <xf numFmtId="4" fontId="418" fillId="73" borderId="85" xfId="0" applyFont="1" applyFill="1" applyBorder="1" applyAlignment="1">
      <alignment horizontal="right" vertical="center"/>
    </xf>
    <xf numFmtId="4" fontId="439" fillId="73" borderId="120" xfId="0" applyNumberFormat="1" applyFont="1" applyFill="1" applyBorder="1" applyAlignment="1">
      <alignment horizontal="right" vertical="center"/>
    </xf>
    <xf numFmtId="4" fontId="440" fillId="73" borderId="144" xfId="0" applyNumberFormat="1" applyFont="1" applyFill="1" applyBorder="1" applyAlignment="1">
      <alignment horizontal="right" vertical="center"/>
    </xf>
    <xf numFmtId="4" fontId="418" fillId="58" borderId="85" xfId="0" applyFont="1" applyFill="1" applyBorder="1" applyAlignment="1">
      <alignment horizontal="right" vertical="center"/>
    </xf>
    <xf numFmtId="4" fontId="439" fillId="58" borderId="85" xfId="0" applyNumberFormat="1" applyFont="1" applyFill="1" applyBorder="1" applyAlignment="1">
      <alignment horizontal="right" vertical="center"/>
    </xf>
    <xf numFmtId="4" fontId="418" fillId="73" borderId="210" xfId="0" applyFont="1" applyFill="1" applyBorder="1" applyAlignment="1">
      <alignment horizontal="left" vertical="center"/>
    </xf>
    <xf numFmtId="4" fontId="439" fillId="73" borderId="211" xfId="0" applyNumberFormat="1" applyFont="1" applyFill="1" applyBorder="1" applyAlignment="1">
      <alignment horizontal="right"/>
    </xf>
    <xf numFmtId="4" fontId="440" fillId="57" borderId="61" xfId="0" applyNumberFormat="1" applyFont="1" applyFill="1" applyBorder="1" applyAlignment="1">
      <alignment horizontal="right"/>
    </xf>
    <xf numFmtId="4" fontId="418" fillId="58" borderId="210" xfId="0" applyFont="1" applyFill="1" applyBorder="1" applyAlignment="1">
      <alignment horizontal="left" vertical="center"/>
    </xf>
    <xf numFmtId="4" fontId="94" fillId="58" borderId="210" xfId="0" applyNumberFormat="1" applyFont="1" applyFill="1" applyBorder="1" applyAlignment="1">
      <alignment horizontal="right" vertical="center"/>
    </xf>
    <xf numFmtId="4" fontId="418" fillId="73" borderId="212" xfId="0" applyFont="1" applyFill="1" applyBorder="1" applyAlignment="1">
      <alignment horizontal="left" vertical="center"/>
    </xf>
    <xf numFmtId="4" fontId="439" fillId="73" borderId="213" xfId="0" applyNumberFormat="1" applyFont="1" applyFill="1" applyBorder="1" applyAlignment="1">
      <alignment horizontal="right"/>
    </xf>
    <xf numFmtId="4" fontId="418" fillId="58" borderId="212" xfId="0" applyFont="1" applyFill="1" applyBorder="1" applyAlignment="1">
      <alignment horizontal="left" vertical="center"/>
    </xf>
    <xf numFmtId="4" fontId="438" fillId="73" borderId="77" xfId="0" applyFont="1" applyFill="1" applyBorder="1" applyAlignment="1" applyProtection="1">
      <alignment horizontal="center"/>
      <protection locked="0"/>
    </xf>
    <xf numFmtId="2" fontId="82" fillId="73" borderId="140" xfId="0" applyNumberFormat="1" applyFont="1" applyFill="1" applyBorder="1" applyAlignment="1" applyProtection="1">
      <alignment horizontal="center" vertical="center" wrapText="1"/>
      <protection locked="0"/>
    </xf>
    <xf numFmtId="3" fontId="72" fillId="73" borderId="20" xfId="0" applyNumberFormat="1" applyFont="1" applyFill="1" applyBorder="1" applyAlignment="1" applyProtection="1">
      <alignment horizontal="center" vertical="center"/>
      <protection locked="0"/>
    </xf>
    <xf numFmtId="3" fontId="72" fillId="58" borderId="20" xfId="0" applyNumberFormat="1" applyFont="1" applyFill="1" applyBorder="1" applyAlignment="1" applyProtection="1">
      <alignment horizontal="center" vertical="center"/>
      <protection locked="0"/>
    </xf>
    <xf numFmtId="0" fontId="429" fillId="46" borderId="117" xfId="1116" applyNumberFormat="1" applyFont="1" applyFill="1" applyBorder="1" applyAlignment="1">
      <alignment horizontal="left"/>
    </xf>
    <xf numFmtId="0" fontId="0" fillId="0" borderId="0" xfId="0" applyNumberFormat="1" applyFont="1" applyBorder="1" applyAlignment="1" applyProtection="1"/>
    <xf numFmtId="0" fontId="430" fillId="46" borderId="65" xfId="1116" applyNumberFormat="1" applyFont="1" applyFill="1" applyBorder="1" applyAlignment="1">
      <alignment horizontal="center"/>
    </xf>
    <xf numFmtId="3" fontId="105" fillId="46" borderId="117" xfId="2259" applyNumberFormat="1" applyFont="1" applyFill="1" applyBorder="1"/>
    <xf numFmtId="3" fontId="105" fillId="57" borderId="65" xfId="2259" applyNumberFormat="1" applyFont="1" applyFill="1" applyBorder="1"/>
    <xf numFmtId="0" fontId="429" fillId="46" borderId="132" xfId="1116" applyNumberFormat="1" applyFont="1" applyFill="1" applyBorder="1" applyAlignment="1">
      <alignment horizontal="left"/>
    </xf>
    <xf numFmtId="0" fontId="430" fillId="46" borderId="61" xfId="1116" applyNumberFormat="1" applyFont="1" applyFill="1" applyBorder="1" applyAlignment="1">
      <alignment horizontal="center"/>
    </xf>
    <xf numFmtId="3" fontId="105" fillId="59" borderId="61" xfId="2259" applyNumberFormat="1" applyFont="1" applyFill="1" applyBorder="1"/>
    <xf numFmtId="3" fontId="105" fillId="46" borderId="61" xfId="2259" applyNumberFormat="1" applyFont="1" applyFill="1" applyBorder="1"/>
    <xf numFmtId="0" fontId="429" fillId="46" borderId="216" xfId="1116" applyNumberFormat="1" applyFont="1" applyFill="1" applyBorder="1" applyAlignment="1">
      <alignment horizontal="left"/>
    </xf>
    <xf numFmtId="0" fontId="430" fillId="46" borderId="214" xfId="1116" applyNumberFormat="1" applyFont="1" applyFill="1" applyBorder="1" applyAlignment="1">
      <alignment horizontal="center"/>
    </xf>
    <xf numFmtId="3" fontId="105" fillId="46" borderId="214" xfId="2259" applyNumberFormat="1" applyFont="1" applyFill="1" applyBorder="1"/>
    <xf numFmtId="0" fontId="429" fillId="46" borderId="73" xfId="1116" applyNumberFormat="1" applyFont="1" applyFill="1" applyBorder="1" applyAlignment="1">
      <alignment horizontal="left"/>
    </xf>
    <xf numFmtId="0" fontId="0" fillId="0" borderId="17" xfId="0" applyNumberFormat="1" applyFont="1" applyBorder="1" applyAlignment="1" applyProtection="1"/>
    <xf numFmtId="0" fontId="430" fillId="46" borderId="70" xfId="1116" applyNumberFormat="1" applyFont="1" applyFill="1" applyBorder="1" applyAlignment="1">
      <alignment horizontal="center"/>
    </xf>
    <xf numFmtId="3" fontId="105" fillId="59" borderId="70" xfId="2259" applyNumberFormat="1" applyFont="1" applyFill="1" applyBorder="1"/>
    <xf numFmtId="3" fontId="105" fillId="46" borderId="70" xfId="2259" applyNumberFormat="1" applyFont="1" applyFill="1" applyBorder="1"/>
    <xf numFmtId="3" fontId="105" fillId="59" borderId="144" xfId="2259" applyNumberFormat="1" applyFont="1" applyFill="1" applyBorder="1"/>
    <xf numFmtId="0" fontId="0" fillId="0" borderId="0" xfId="0" applyNumberFormat="1" applyFont="1" applyAlignment="1" applyProtection="1"/>
    <xf numFmtId="0" fontId="99" fillId="57" borderId="20" xfId="1116" applyNumberFormat="1" applyFont="1" applyFill="1" applyBorder="1" applyAlignment="1"/>
    <xf numFmtId="0" fontId="0" fillId="0" borderId="21" xfId="0" applyNumberFormat="1" applyFont="1" applyBorder="1" applyAlignment="1" applyProtection="1"/>
    <xf numFmtId="4" fontId="427" fillId="0" borderId="25" xfId="0" applyNumberFormat="1" applyFont="1" applyBorder="1" applyAlignment="1" applyProtection="1">
      <alignment horizontal="center"/>
    </xf>
    <xf numFmtId="3" fontId="189" fillId="0" borderId="20" xfId="0" applyNumberFormat="1" applyFont="1" applyBorder="1" applyAlignment="1" applyProtection="1"/>
    <xf numFmtId="3" fontId="189" fillId="0" borderId="21" xfId="0" applyNumberFormat="1" applyFont="1" applyBorder="1" applyAlignment="1" applyProtection="1"/>
    <xf numFmtId="3" fontId="189" fillId="0" borderId="22" xfId="0" applyNumberFormat="1" applyFont="1" applyBorder="1" applyAlignment="1" applyProtection="1"/>
    <xf numFmtId="4" fontId="427" fillId="0" borderId="21" xfId="0" applyNumberFormat="1" applyFont="1" applyBorder="1" applyAlignment="1" applyProtection="1">
      <alignment horizontal="center"/>
    </xf>
    <xf numFmtId="0" fontId="429" fillId="46" borderId="0" xfId="1116" applyNumberFormat="1" applyFont="1" applyFill="1" applyBorder="1" applyAlignment="1">
      <alignment horizontal="left"/>
    </xf>
    <xf numFmtId="0" fontId="430" fillId="46" borderId="0" xfId="1116" applyNumberFormat="1" applyFont="1" applyFill="1" applyBorder="1" applyAlignment="1">
      <alignment horizontal="center"/>
    </xf>
    <xf numFmtId="172" fontId="105" fillId="57" borderId="0" xfId="2259" applyNumberFormat="1" applyFont="1" applyFill="1" applyBorder="1"/>
    <xf numFmtId="172" fontId="105" fillId="46" borderId="0" xfId="2259" applyNumberFormat="1" applyFont="1" applyFill="1" applyBorder="1"/>
    <xf numFmtId="3" fontId="0" fillId="0" borderId="0" xfId="0" applyNumberFormat="1" applyFont="1" applyAlignment="1" applyProtection="1"/>
    <xf numFmtId="0" fontId="189" fillId="0" borderId="210" xfId="0" applyNumberFormat="1" applyFont="1" applyBorder="1" applyAlignment="1" applyProtection="1">
      <alignment horizontal="center" vertical="center"/>
    </xf>
    <xf numFmtId="0" fontId="189" fillId="0" borderId="210" xfId="0" applyNumberFormat="1" applyFont="1" applyBorder="1" applyAlignment="1" applyProtection="1">
      <alignment horizontal="center" vertical="center" wrapText="1"/>
    </xf>
    <xf numFmtId="0" fontId="99" fillId="57" borderId="210" xfId="1116" applyNumberFormat="1" applyFont="1" applyFill="1" applyBorder="1" applyAlignment="1"/>
    <xf numFmtId="4" fontId="0" fillId="0" borderId="210" xfId="0" applyNumberFormat="1" applyFont="1" applyBorder="1" applyAlignment="1" applyProtection="1"/>
    <xf numFmtId="4" fontId="190" fillId="0" borderId="210" xfId="0" applyNumberFormat="1" applyFont="1" applyBorder="1" applyAlignment="1" applyProtection="1">
      <alignment horizontal="center"/>
    </xf>
    <xf numFmtId="4" fontId="189" fillId="0" borderId="210" xfId="0" applyNumberFormat="1" applyFont="1" applyBorder="1" applyAlignment="1" applyProtection="1"/>
    <xf numFmtId="4" fontId="0" fillId="0" borderId="215" xfId="0" applyNumberFormat="1" applyFont="1" applyBorder="1" applyAlignment="1" applyProtection="1"/>
    <xf numFmtId="4" fontId="0" fillId="0" borderId="210" xfId="0" applyNumberFormat="1" applyFont="1" applyBorder="1" applyAlignment="1" applyProtection="1">
      <alignment wrapText="1"/>
    </xf>
    <xf numFmtId="0" fontId="429" fillId="46" borderId="210" xfId="1116" applyNumberFormat="1" applyFont="1" applyFill="1" applyBorder="1" applyAlignment="1">
      <alignment horizontal="left"/>
    </xf>
    <xf numFmtId="4" fontId="0" fillId="59" borderId="210" xfId="0" applyNumberFormat="1" applyFont="1" applyFill="1" applyBorder="1" applyAlignment="1" applyProtection="1"/>
    <xf numFmtId="4" fontId="0" fillId="0" borderId="0" xfId="0" applyNumberFormat="1" applyFont="1" applyBorder="1" applyAlignment="1" applyProtection="1"/>
    <xf numFmtId="4" fontId="0" fillId="0" borderId="0" xfId="0" applyNumberFormat="1" applyFont="1" applyBorder="1" applyAlignment="1" applyProtection="1">
      <alignment wrapText="1"/>
    </xf>
    <xf numFmtId="0" fontId="99" fillId="57" borderId="0" xfId="1116" applyNumberFormat="1" applyFont="1" applyFill="1" applyBorder="1" applyAlignment="1"/>
    <xf numFmtId="4" fontId="190" fillId="0" borderId="0" xfId="0" applyNumberFormat="1" applyFont="1" applyBorder="1" applyAlignment="1" applyProtection="1">
      <alignment horizontal="center"/>
    </xf>
    <xf numFmtId="0" fontId="441" fillId="0" borderId="0" xfId="0" applyNumberFormat="1" applyFont="1" applyAlignment="1" applyProtection="1"/>
    <xf numFmtId="0" fontId="104" fillId="24" borderId="152" xfId="1116" applyNumberFormat="1" applyFont="1" applyFill="1" applyBorder="1" applyAlignment="1">
      <alignment horizontal="center" vertical="center" wrapText="1"/>
    </xf>
    <xf numFmtId="0" fontId="284" fillId="24" borderId="152" xfId="1116" applyNumberFormat="1" applyFont="1" applyFill="1" applyBorder="1" applyAlignment="1">
      <alignment horizontal="left" vertical="center"/>
    </xf>
    <xf numFmtId="0" fontId="102" fillId="24" borderId="152" xfId="1116" applyNumberFormat="1" applyFont="1" applyFill="1" applyBorder="1" applyAlignment="1">
      <alignment horizontal="center" vertical="center"/>
    </xf>
    <xf numFmtId="0" fontId="104" fillId="24" borderId="135" xfId="1116" applyNumberFormat="1" applyFont="1" applyFill="1" applyBorder="1" applyAlignment="1">
      <alignment horizontal="center" vertical="center" wrapText="1"/>
    </xf>
    <xf numFmtId="0" fontId="104" fillId="24" borderId="152" xfId="1116" applyNumberFormat="1" applyFont="1" applyFill="1" applyBorder="1" applyAlignment="1">
      <alignment horizontal="center" vertical="center" textRotation="90" wrapText="1"/>
    </xf>
    <xf numFmtId="0" fontId="99" fillId="57" borderId="144" xfId="1116" applyNumberFormat="1" applyFont="1" applyFill="1" applyBorder="1" applyAlignment="1"/>
    <xf numFmtId="0" fontId="99" fillId="46" borderId="134" xfId="1116" applyNumberFormat="1" applyFont="1" applyFill="1" applyBorder="1" applyAlignment="1"/>
    <xf numFmtId="0" fontId="0" fillId="0" borderId="125" xfId="0" applyNumberFormat="1" applyFont="1" applyBorder="1" applyAlignment="1" applyProtection="1"/>
    <xf numFmtId="0" fontId="102" fillId="46" borderId="144" xfId="1116" applyNumberFormat="1" applyFont="1" applyFill="1" applyBorder="1" applyAlignment="1">
      <alignment horizontal="center"/>
    </xf>
    <xf numFmtId="0" fontId="362" fillId="57" borderId="61" xfId="1116" applyNumberFormat="1" applyFont="1" applyFill="1" applyBorder="1" applyAlignment="1"/>
    <xf numFmtId="0" fontId="429" fillId="46" borderId="217" xfId="1116" applyNumberFormat="1" applyFont="1" applyFill="1" applyBorder="1" applyAlignment="1">
      <alignment horizontal="left"/>
    </xf>
    <xf numFmtId="0" fontId="429" fillId="46" borderId="217" xfId="1116" applyNumberFormat="1" applyFont="1" applyFill="1" applyBorder="1" applyAlignment="1">
      <alignment horizontal="right"/>
    </xf>
    <xf numFmtId="172" fontId="107" fillId="46" borderId="61" xfId="2259" applyNumberFormat="1" applyFont="1" applyFill="1" applyBorder="1"/>
    <xf numFmtId="172" fontId="107" fillId="46" borderId="83" xfId="2259" applyNumberFormat="1" applyFont="1" applyFill="1" applyBorder="1"/>
    <xf numFmtId="0" fontId="107" fillId="46" borderId="217" xfId="1116" applyNumberFormat="1" applyFont="1" applyFill="1" applyBorder="1" applyAlignment="1"/>
    <xf numFmtId="0" fontId="120" fillId="46" borderId="61" xfId="1116" applyNumberFormat="1" applyFont="1" applyFill="1" applyBorder="1" applyAlignment="1">
      <alignment horizontal="center"/>
    </xf>
    <xf numFmtId="172" fontId="105" fillId="46" borderId="132" xfId="2259" applyNumberFormat="1" applyFont="1" applyFill="1" applyBorder="1"/>
    <xf numFmtId="0" fontId="99" fillId="57" borderId="61" xfId="1116" applyNumberFormat="1" applyFont="1" applyFill="1" applyBorder="1" applyAlignment="1"/>
    <xf numFmtId="0" fontId="99" fillId="57" borderId="217" xfId="1116" applyNumberFormat="1" applyFont="1" applyFill="1" applyBorder="1" applyAlignment="1"/>
    <xf numFmtId="0" fontId="102" fillId="57" borderId="61" xfId="1116" applyNumberFormat="1" applyFont="1" applyFill="1" applyBorder="1" applyAlignment="1">
      <alignment horizontal="center"/>
    </xf>
    <xf numFmtId="0" fontId="362" fillId="57" borderId="70" xfId="1116" applyNumberFormat="1" applyFont="1" applyFill="1" applyBorder="1" applyAlignment="1"/>
    <xf numFmtId="0" fontId="362" fillId="46" borderId="69" xfId="1116" applyNumberFormat="1" applyFont="1" applyFill="1" applyBorder="1" applyAlignment="1"/>
    <xf numFmtId="0" fontId="100" fillId="46" borderId="70" xfId="1116" applyNumberFormat="1" applyFont="1" applyFill="1" applyBorder="1" applyAlignment="1">
      <alignment horizontal="center"/>
    </xf>
    <xf numFmtId="172" fontId="117" fillId="46" borderId="123" xfId="2259" applyNumberFormat="1" applyFont="1" applyFill="1" applyBorder="1"/>
    <xf numFmtId="188" fontId="117" fillId="57" borderId="70" xfId="2259" applyNumberFormat="1" applyFont="1" applyFill="1" applyBorder="1"/>
    <xf numFmtId="0" fontId="362" fillId="57" borderId="65" xfId="1116" applyNumberFormat="1" applyFont="1" applyFill="1" applyBorder="1" applyAlignment="1"/>
    <xf numFmtId="0" fontId="362" fillId="46" borderId="55" xfId="1116" applyNumberFormat="1" applyFont="1" applyFill="1" applyBorder="1" applyAlignment="1"/>
    <xf numFmtId="0" fontId="100" fillId="46" borderId="65" xfId="1116" applyNumberFormat="1" applyFont="1" applyFill="1" applyBorder="1" applyAlignment="1">
      <alignment horizontal="center"/>
    </xf>
    <xf numFmtId="172" fontId="117" fillId="46" borderId="79" xfId="2259" applyNumberFormat="1" applyFont="1" applyFill="1" applyBorder="1"/>
    <xf numFmtId="188" fontId="117" fillId="57" borderId="65" xfId="2259" applyNumberFormat="1" applyFont="1" applyFill="1" applyBorder="1"/>
    <xf numFmtId="0" fontId="362" fillId="57" borderId="87" xfId="1116" applyNumberFormat="1" applyFont="1" applyFill="1" applyBorder="1" applyAlignment="1"/>
    <xf numFmtId="0" fontId="362" fillId="46" borderId="0" xfId="1116" applyNumberFormat="1" applyFont="1" applyFill="1" applyBorder="1" applyAlignment="1"/>
    <xf numFmtId="0" fontId="100" fillId="46" borderId="0" xfId="1116" applyNumberFormat="1" applyFont="1" applyFill="1" applyBorder="1" applyAlignment="1"/>
    <xf numFmtId="0" fontId="110" fillId="46" borderId="135" xfId="1116" applyFont="1" applyFill="1" applyBorder="1" applyAlignment="1">
      <alignment vertical="center"/>
    </xf>
    <xf numFmtId="0" fontId="110" fillId="46" borderId="88" xfId="1116" applyFont="1" applyFill="1" applyBorder="1" applyAlignment="1">
      <alignment vertical="center"/>
    </xf>
    <xf numFmtId="0" fontId="110" fillId="57" borderId="88" xfId="1116" applyFont="1" applyFill="1" applyBorder="1" applyAlignment="1">
      <alignment vertical="center"/>
    </xf>
    <xf numFmtId="0" fontId="110" fillId="57" borderId="135" xfId="1116" applyFont="1" applyFill="1" applyBorder="1" applyAlignment="1">
      <alignment vertical="center"/>
    </xf>
    <xf numFmtId="0" fontId="99" fillId="57" borderId="134" xfId="1116" applyNumberFormat="1" applyFont="1" applyFill="1" applyBorder="1" applyAlignment="1"/>
    <xf numFmtId="172" fontId="104" fillId="46" borderId="144" xfId="2259" applyNumberFormat="1" applyFont="1" applyFill="1" applyBorder="1"/>
    <xf numFmtId="172" fontId="104" fillId="46" borderId="78" xfId="2259" applyNumberFormat="1" applyFont="1" applyFill="1" applyBorder="1"/>
    <xf numFmtId="172" fontId="104" fillId="57" borderId="78" xfId="2259" applyNumberFormat="1" applyFont="1" applyFill="1" applyBorder="1"/>
    <xf numFmtId="188" fontId="104" fillId="57" borderId="144" xfId="2259" applyNumberFormat="1" applyFont="1" applyFill="1" applyBorder="1"/>
    <xf numFmtId="0" fontId="102" fillId="46" borderId="61" xfId="1116" applyNumberFormat="1" applyFont="1" applyFill="1" applyBorder="1" applyAlignment="1">
      <alignment horizontal="center"/>
    </xf>
    <xf numFmtId="0" fontId="362" fillId="46" borderId="217" xfId="1116" applyNumberFormat="1" applyFont="1" applyFill="1" applyBorder="1" applyAlignment="1"/>
    <xf numFmtId="0" fontId="100" fillId="46" borderId="61" xfId="1116" applyNumberFormat="1" applyFont="1" applyFill="1" applyBorder="1" applyAlignment="1">
      <alignment horizontal="center"/>
    </xf>
    <xf numFmtId="0" fontId="99" fillId="57" borderId="143" xfId="1116" applyNumberFormat="1" applyFont="1" applyFill="1" applyBorder="1" applyAlignment="1"/>
    <xf numFmtId="0" fontId="99" fillId="46" borderId="17" xfId="1116" applyNumberFormat="1" applyFont="1" applyFill="1" applyBorder="1" applyAlignment="1"/>
    <xf numFmtId="0" fontId="102" fillId="46" borderId="70" xfId="1116" applyNumberFormat="1" applyFont="1" applyFill="1" applyBorder="1" applyAlignment="1">
      <alignment horizontal="center"/>
    </xf>
    <xf numFmtId="0" fontId="362" fillId="57" borderId="214" xfId="1116" applyNumberFormat="1" applyFont="1" applyFill="1" applyBorder="1" applyAlignment="1"/>
    <xf numFmtId="0" fontId="429" fillId="46" borderId="218" xfId="1116" applyNumberFormat="1" applyFont="1" applyFill="1" applyBorder="1" applyAlignment="1">
      <alignment horizontal="left"/>
    </xf>
    <xf numFmtId="0" fontId="120" fillId="46" borderId="214" xfId="1116" applyNumberFormat="1" applyFont="1" applyFill="1" applyBorder="1" applyAlignment="1">
      <alignment horizontal="center"/>
    </xf>
    <xf numFmtId="172" fontId="105" fillId="46" borderId="216" xfId="2259" applyNumberFormat="1" applyFont="1" applyFill="1" applyBorder="1"/>
    <xf numFmtId="172" fontId="105" fillId="46" borderId="214" xfId="2259" applyNumberFormat="1" applyFont="1" applyFill="1" applyBorder="1"/>
    <xf numFmtId="188" fontId="105" fillId="57" borderId="214" xfId="2259" applyNumberFormat="1" applyFont="1" applyFill="1" applyBorder="1"/>
    <xf numFmtId="0" fontId="99" fillId="57" borderId="130" xfId="1116" applyNumberFormat="1" applyFont="1" applyFill="1" applyBorder="1" applyAlignment="1"/>
    <xf numFmtId="0" fontId="99" fillId="46" borderId="24" xfId="1116" applyNumberFormat="1" applyFont="1" applyFill="1" applyBorder="1" applyAlignment="1"/>
    <xf numFmtId="0" fontId="0" fillId="0" borderId="24" xfId="0" applyNumberFormat="1" applyFont="1" applyBorder="1" applyAlignment="1" applyProtection="1"/>
    <xf numFmtId="0" fontId="102" fillId="46" borderId="130" xfId="1116" applyNumberFormat="1" applyFont="1" applyFill="1" applyBorder="1" applyAlignment="1">
      <alignment horizontal="center"/>
    </xf>
    <xf numFmtId="172" fontId="104" fillId="46" borderId="130" xfId="2259" applyNumberFormat="1" applyFont="1" applyFill="1" applyBorder="1"/>
    <xf numFmtId="188" fontId="104" fillId="46" borderId="130" xfId="2259" applyNumberFormat="1" applyFont="1" applyFill="1" applyBorder="1"/>
    <xf numFmtId="0" fontId="362" fillId="57" borderId="144" xfId="1116" applyNumberFormat="1" applyFont="1" applyFill="1" applyBorder="1" applyAlignment="1"/>
    <xf numFmtId="0" fontId="429" fillId="46" borderId="134" xfId="1116" applyNumberFormat="1" applyFont="1" applyFill="1" applyBorder="1" applyAlignment="1">
      <alignment horizontal="left"/>
    </xf>
    <xf numFmtId="0" fontId="120" fillId="46" borderId="144" xfId="1116" applyNumberFormat="1" applyFont="1" applyFill="1" applyBorder="1" applyAlignment="1">
      <alignment horizontal="center"/>
    </xf>
    <xf numFmtId="172" fontId="105" fillId="46" borderId="131" xfId="2259" applyNumberFormat="1" applyFont="1" applyFill="1" applyBorder="1"/>
    <xf numFmtId="172" fontId="105" fillId="57" borderId="131" xfId="2259" applyNumberFormat="1" applyFont="1" applyFill="1" applyBorder="1"/>
    <xf numFmtId="188" fontId="105" fillId="57" borderId="144" xfId="2259" applyNumberFormat="1" applyFont="1" applyFill="1" applyBorder="1"/>
    <xf numFmtId="0" fontId="429" fillId="46" borderId="69" xfId="1116" applyNumberFormat="1" applyFont="1" applyFill="1" applyBorder="1" applyAlignment="1">
      <alignment horizontal="left"/>
    </xf>
    <xf numFmtId="0" fontId="120" fillId="46" borderId="70" xfId="1116" applyNumberFormat="1" applyFont="1" applyFill="1" applyBorder="1" applyAlignment="1">
      <alignment horizontal="center"/>
    </xf>
    <xf numFmtId="172" fontId="105" fillId="46" borderId="143" xfId="2259" applyNumberFormat="1" applyFont="1" applyFill="1" applyBorder="1"/>
    <xf numFmtId="188" fontId="105" fillId="57" borderId="143" xfId="2259" applyNumberFormat="1" applyFont="1" applyFill="1" applyBorder="1"/>
    <xf numFmtId="0" fontId="99" fillId="46" borderId="0" xfId="1116" applyNumberFormat="1" applyFont="1" applyFill="1" applyBorder="1" applyAlignment="1"/>
    <xf numFmtId="0" fontId="102" fillId="46" borderId="0" xfId="1116" applyNumberFormat="1" applyFont="1" applyFill="1" applyBorder="1" applyAlignment="1">
      <alignment horizontal="center"/>
    </xf>
    <xf numFmtId="172" fontId="104" fillId="46" borderId="0" xfId="2259" applyNumberFormat="1" applyFont="1" applyFill="1" applyBorder="1"/>
    <xf numFmtId="188" fontId="104" fillId="46" borderId="0" xfId="2259" applyNumberFormat="1" applyFont="1" applyFill="1" applyBorder="1"/>
    <xf numFmtId="0" fontId="432" fillId="0" borderId="212" xfId="1116" applyNumberFormat="1" applyFont="1" applyBorder="1" applyAlignment="1"/>
    <xf numFmtId="0" fontId="99" fillId="53" borderId="212" xfId="1116" applyNumberFormat="1" applyFont="1" applyFill="1" applyBorder="1" applyAlignment="1"/>
    <xf numFmtId="0" fontId="431" fillId="0" borderId="23" xfId="1116" applyNumberFormat="1" applyFont="1" applyBorder="1" applyAlignment="1"/>
    <xf numFmtId="0" fontId="15" fillId="0" borderId="24" xfId="1116" applyNumberFormat="1" applyBorder="1" applyAlignment="1"/>
    <xf numFmtId="0" fontId="15" fillId="0" borderId="142" xfId="1116" applyNumberFormat="1" applyBorder="1" applyAlignment="1"/>
    <xf numFmtId="0" fontId="99" fillId="57" borderId="136" xfId="1116" applyNumberFormat="1" applyFont="1" applyFill="1" applyBorder="1" applyAlignment="1"/>
    <xf numFmtId="0" fontId="102" fillId="57" borderId="130" xfId="1116" applyNumberFormat="1" applyFont="1" applyFill="1" applyBorder="1" applyAlignment="1">
      <alignment horizontal="center"/>
    </xf>
    <xf numFmtId="172" fontId="104" fillId="46" borderId="24" xfId="2259" applyNumberFormat="1" applyFont="1" applyFill="1" applyBorder="1"/>
    <xf numFmtId="188" fontId="104" fillId="46" borderId="22" xfId="2259" applyNumberFormat="1" applyFont="1" applyFill="1" applyBorder="1"/>
    <xf numFmtId="16" fontId="99" fillId="57" borderId="130" xfId="1116" applyNumberFormat="1" applyFont="1" applyFill="1" applyBorder="1" applyAlignment="1"/>
    <xf numFmtId="16" fontId="99" fillId="57" borderId="144" xfId="1116" applyNumberFormat="1" applyFont="1" applyFill="1" applyBorder="1" applyAlignment="1"/>
    <xf numFmtId="0" fontId="430" fillId="46" borderId="144" xfId="1116" applyNumberFormat="1" applyFont="1" applyFill="1" applyBorder="1" applyAlignment="1">
      <alignment horizontal="center"/>
    </xf>
    <xf numFmtId="172" fontId="105" fillId="46" borderId="144" xfId="2259" applyNumberFormat="1" applyFont="1" applyFill="1" applyBorder="1"/>
    <xf numFmtId="16" fontId="99" fillId="57" borderId="61" xfId="1116" applyNumberFormat="1" applyFont="1" applyFill="1" applyBorder="1" applyAlignment="1"/>
    <xf numFmtId="16" fontId="99" fillId="57" borderId="70" xfId="1116" applyNumberFormat="1" applyFont="1" applyFill="1" applyBorder="1" applyAlignment="1"/>
    <xf numFmtId="172" fontId="105" fillId="46" borderId="70" xfId="2259" applyNumberFormat="1" applyFont="1" applyFill="1" applyBorder="1"/>
    <xf numFmtId="188" fontId="105" fillId="57" borderId="70" xfId="2259" applyNumberFormat="1" applyFont="1" applyFill="1" applyBorder="1"/>
    <xf numFmtId="16" fontId="99" fillId="57" borderId="143" xfId="1116" applyNumberFormat="1" applyFont="1" applyFill="1" applyBorder="1" applyAlignment="1"/>
    <xf numFmtId="0" fontId="99" fillId="57" borderId="127" xfId="1116" applyNumberFormat="1" applyFont="1" applyFill="1" applyBorder="1" applyAlignment="1"/>
    <xf numFmtId="0" fontId="102" fillId="46" borderId="143" xfId="1116" applyNumberFormat="1" applyFont="1" applyFill="1" applyBorder="1" applyAlignment="1">
      <alignment horizontal="center"/>
    </xf>
    <xf numFmtId="172" fontId="104" fillId="46" borderId="17" xfId="2259" applyNumberFormat="1" applyFont="1" applyFill="1" applyBorder="1"/>
    <xf numFmtId="188" fontId="104" fillId="46" borderId="86" xfId="2259" applyNumberFormat="1" applyFont="1" applyFill="1" applyBorder="1"/>
    <xf numFmtId="0" fontId="99" fillId="57" borderId="70" xfId="1116" applyNumberFormat="1" applyFont="1" applyFill="1" applyBorder="1" applyAlignment="1"/>
    <xf numFmtId="0" fontId="99" fillId="57" borderId="23" xfId="1116" applyNumberFormat="1" applyFont="1" applyFill="1" applyBorder="1" applyAlignment="1"/>
    <xf numFmtId="0" fontId="99" fillId="57" borderId="24" xfId="1116" applyNumberFormat="1" applyFont="1" applyFill="1" applyBorder="1" applyAlignment="1"/>
    <xf numFmtId="0" fontId="99" fillId="57" borderId="142" xfId="1116" applyNumberFormat="1" applyFont="1" applyFill="1" applyBorder="1" applyAlignment="1"/>
    <xf numFmtId="0" fontId="99" fillId="57" borderId="76" xfId="1116" applyNumberFormat="1" applyFont="1" applyFill="1" applyBorder="1" applyAlignment="1"/>
    <xf numFmtId="172" fontId="104" fillId="46" borderId="134" xfId="2259" applyNumberFormat="1" applyFont="1" applyFill="1" applyBorder="1"/>
    <xf numFmtId="188" fontId="104" fillId="46" borderId="78" xfId="2259" applyNumberFormat="1" applyFont="1" applyFill="1" applyBorder="1"/>
    <xf numFmtId="0" fontId="432" fillId="0" borderId="0" xfId="1116" applyNumberFormat="1" applyFont="1" applyAlignment="1"/>
    <xf numFmtId="0" fontId="431" fillId="0" borderId="0" xfId="1116" applyNumberFormat="1" applyFont="1" applyAlignment="1"/>
    <xf numFmtId="0" fontId="15" fillId="0" borderId="0" xfId="1116" applyNumberFormat="1" applyAlignment="1"/>
    <xf numFmtId="0" fontId="99" fillId="53" borderId="210" xfId="1116" applyNumberFormat="1" applyFont="1" applyFill="1" applyBorder="1" applyAlignment="1"/>
    <xf numFmtId="0" fontId="102" fillId="57" borderId="210" xfId="1116" applyNumberFormat="1" applyFont="1" applyFill="1" applyBorder="1" applyAlignment="1">
      <alignment horizontal="center"/>
    </xf>
    <xf numFmtId="172" fontId="104" fillId="46" borderId="210" xfId="2259" applyNumberFormat="1" applyFont="1" applyFill="1" applyBorder="1"/>
    <xf numFmtId="188" fontId="104" fillId="46" borderId="210" xfId="2259" applyNumberFormat="1" applyFont="1" applyFill="1" applyBorder="1"/>
    <xf numFmtId="16" fontId="99" fillId="57" borderId="210" xfId="1116" applyNumberFormat="1" applyFont="1" applyFill="1" applyBorder="1" applyAlignment="1"/>
    <xf numFmtId="0" fontId="102" fillId="46" borderId="210" xfId="1116" applyNumberFormat="1" applyFont="1" applyFill="1" applyBorder="1" applyAlignment="1">
      <alignment horizontal="center"/>
    </xf>
    <xf numFmtId="188" fontId="104" fillId="46" borderId="212" xfId="2259" applyNumberFormat="1" applyFont="1" applyFill="1" applyBorder="1"/>
    <xf numFmtId="172" fontId="104" fillId="46" borderId="152" xfId="2259" applyNumberFormat="1" applyFont="1" applyFill="1" applyBorder="1"/>
    <xf numFmtId="172" fontId="105" fillId="57" borderId="144" xfId="2259" applyNumberFormat="1" applyFont="1" applyFill="1" applyBorder="1"/>
    <xf numFmtId="188" fontId="105" fillId="57" borderId="0" xfId="2259" applyNumberFormat="1" applyFont="1" applyFill="1" applyBorder="1"/>
    <xf numFmtId="172" fontId="105" fillId="57" borderId="61" xfId="2259" applyNumberFormat="1" applyFont="1" applyFill="1" applyBorder="1"/>
    <xf numFmtId="172" fontId="105" fillId="57" borderId="70" xfId="2259" applyNumberFormat="1" applyFont="1" applyFill="1" applyBorder="1"/>
    <xf numFmtId="0" fontId="99" fillId="57" borderId="65" xfId="1116" applyNumberFormat="1" applyFont="1" applyFill="1" applyBorder="1" applyAlignment="1"/>
    <xf numFmtId="0" fontId="102" fillId="46" borderId="65" xfId="1116" applyNumberFormat="1" applyFont="1" applyFill="1" applyBorder="1" applyAlignment="1">
      <alignment horizontal="center"/>
    </xf>
    <xf numFmtId="172" fontId="104" fillId="46" borderId="118" xfId="2259" applyNumberFormat="1" applyFont="1" applyFill="1" applyBorder="1"/>
    <xf numFmtId="172" fontId="104" fillId="57" borderId="118" xfId="2259" applyNumberFormat="1" applyFont="1" applyFill="1" applyBorder="1"/>
    <xf numFmtId="188" fontId="104" fillId="57" borderId="65" xfId="2259" applyNumberFormat="1" applyFont="1" applyFill="1" applyBorder="1"/>
    <xf numFmtId="0" fontId="100" fillId="57" borderId="55" xfId="1116" applyNumberFormat="1" applyFont="1" applyFill="1" applyBorder="1" applyAlignment="1">
      <alignment horizontal="right"/>
    </xf>
    <xf numFmtId="172" fontId="100" fillId="46" borderId="65" xfId="2259" applyNumberFormat="1" applyFont="1" applyFill="1" applyBorder="1"/>
    <xf numFmtId="179" fontId="8" fillId="0" borderId="0" xfId="0" applyNumberFormat="1" applyFont="1">
      <alignment vertical="center"/>
    </xf>
    <xf numFmtId="4" fontId="90" fillId="57" borderId="29" xfId="0" applyFont="1" applyFill="1" applyBorder="1">
      <alignment vertical="center"/>
    </xf>
    <xf numFmtId="0" fontId="7" fillId="36" borderId="0" xfId="2185" applyFill="1"/>
    <xf numFmtId="4" fontId="7" fillId="36" borderId="0" xfId="2185" applyNumberFormat="1" applyFill="1" applyAlignment="1">
      <alignment horizontal="center"/>
    </xf>
    <xf numFmtId="4" fontId="0" fillId="56" borderId="0" xfId="0" applyNumberFormat="1" applyFill="1" applyAlignment="1">
      <alignment horizontal="center"/>
    </xf>
    <xf numFmtId="179" fontId="7" fillId="56" borderId="0" xfId="2772" applyNumberFormat="1" applyFill="1"/>
    <xf numFmtId="0" fontId="7" fillId="56" borderId="0" xfId="2772" applyFill="1"/>
    <xf numFmtId="0" fontId="190" fillId="0" borderId="0" xfId="3195" applyNumberFormat="1" applyFont="1" applyProtection="1"/>
    <xf numFmtId="0" fontId="189" fillId="0" borderId="244" xfId="3195" applyNumberFormat="1" applyFont="1" applyBorder="1" applyAlignment="1" applyProtection="1">
      <alignment horizontal="center" vertical="center"/>
    </xf>
    <xf numFmtId="0" fontId="189" fillId="0" borderId="244" xfId="3195" applyNumberFormat="1" applyFont="1" applyBorder="1" applyAlignment="1" applyProtection="1">
      <alignment horizontal="center" vertical="center" wrapText="1"/>
    </xf>
    <xf numFmtId="0" fontId="189" fillId="58" borderId="244" xfId="3195" applyNumberFormat="1" applyFont="1" applyFill="1" applyBorder="1" applyProtection="1"/>
    <xf numFmtId="4" fontId="189" fillId="58" borderId="244" xfId="3195" applyNumberFormat="1" applyFont="1" applyFill="1" applyBorder="1" applyProtection="1"/>
    <xf numFmtId="3" fontId="189" fillId="58" borderId="244" xfId="3195" applyNumberFormat="1" applyFont="1" applyFill="1" applyBorder="1" applyProtection="1"/>
    <xf numFmtId="4" fontId="189" fillId="0" borderId="244" xfId="3195" applyNumberFormat="1" applyFont="1" applyBorder="1" applyProtection="1"/>
    <xf numFmtId="4" fontId="189" fillId="0" borderId="244" xfId="3195" applyNumberFormat="1" applyFont="1" applyBorder="1" applyAlignment="1" applyProtection="1">
      <alignment wrapText="1"/>
    </xf>
    <xf numFmtId="3" fontId="190" fillId="0" borderId="0" xfId="3195" applyNumberFormat="1" applyFont="1" applyProtection="1"/>
    <xf numFmtId="0" fontId="427" fillId="58" borderId="244" xfId="3195" applyNumberFormat="1" applyFont="1" applyFill="1" applyBorder="1" applyProtection="1"/>
    <xf numFmtId="0" fontId="427" fillId="0" borderId="244" xfId="3195" applyNumberFormat="1" applyFont="1" applyBorder="1" applyProtection="1"/>
    <xf numFmtId="3" fontId="189" fillId="0" borderId="244" xfId="3195" applyNumberFormat="1" applyFont="1" applyBorder="1" applyProtection="1"/>
    <xf numFmtId="0" fontId="188" fillId="0" borderId="244" xfId="3195" applyNumberFormat="1" applyFont="1" applyBorder="1" applyProtection="1"/>
    <xf numFmtId="4" fontId="190" fillId="0" borderId="244" xfId="3195" applyNumberFormat="1" applyFont="1" applyBorder="1" applyProtection="1"/>
    <xf numFmtId="3" fontId="190" fillId="0" borderId="244" xfId="3195" applyNumberFormat="1" applyFont="1" applyBorder="1" applyProtection="1"/>
    <xf numFmtId="4" fontId="190" fillId="0" borderId="244" xfId="3195" applyNumberFormat="1" applyFont="1" applyBorder="1" applyAlignment="1" applyProtection="1">
      <alignment wrapText="1"/>
    </xf>
    <xf numFmtId="187" fontId="190" fillId="0" borderId="0" xfId="3195" applyNumberFormat="1" applyFont="1" applyProtection="1"/>
    <xf numFmtId="0" fontId="188" fillId="58" borderId="244" xfId="3195" applyNumberFormat="1" applyFont="1" applyFill="1" applyBorder="1" applyProtection="1"/>
    <xf numFmtId="4" fontId="190" fillId="58" borderId="244" xfId="3195" applyNumberFormat="1" applyFont="1" applyFill="1" applyBorder="1" applyProtection="1"/>
    <xf numFmtId="3" fontId="190" fillId="58" borderId="244" xfId="3195" applyNumberFormat="1" applyFont="1" applyFill="1" applyBorder="1" applyProtection="1"/>
    <xf numFmtId="0" fontId="189" fillId="59" borderId="244" xfId="3195" applyNumberFormat="1" applyFont="1" applyFill="1" applyBorder="1" applyProtection="1"/>
    <xf numFmtId="4" fontId="189" fillId="59" borderId="244" xfId="3195" applyNumberFormat="1" applyFont="1" applyFill="1" applyBorder="1" applyProtection="1"/>
    <xf numFmtId="3" fontId="189" fillId="59" borderId="244" xfId="3195" applyNumberFormat="1" applyFont="1" applyFill="1" applyBorder="1" applyProtection="1"/>
    <xf numFmtId="0" fontId="99" fillId="57" borderId="20" xfId="3196" applyNumberFormat="1" applyFont="1" applyFill="1" applyBorder="1" applyAlignment="1"/>
    <xf numFmtId="0" fontId="190" fillId="0" borderId="21" xfId="3195" applyNumberFormat="1" applyFont="1" applyBorder="1" applyProtection="1"/>
    <xf numFmtId="4" fontId="427" fillId="0" borderId="25" xfId="3195" applyNumberFormat="1" applyFont="1" applyBorder="1" applyAlignment="1" applyProtection="1">
      <alignment horizontal="center"/>
    </xf>
    <xf numFmtId="3" fontId="189" fillId="0" borderId="20" xfId="3195" applyNumberFormat="1" applyFont="1" applyBorder="1" applyProtection="1"/>
    <xf numFmtId="3" fontId="189" fillId="0" borderId="21" xfId="3195" applyNumberFormat="1" applyFont="1" applyBorder="1" applyProtection="1"/>
    <xf numFmtId="3" fontId="189" fillId="0" borderId="22" xfId="3195" applyNumberFormat="1" applyFont="1" applyBorder="1" applyProtection="1"/>
    <xf numFmtId="0" fontId="429" fillId="46" borderId="117" xfId="3196" applyNumberFormat="1" applyFont="1" applyFill="1" applyBorder="1" applyAlignment="1">
      <alignment horizontal="left"/>
    </xf>
    <xf numFmtId="0" fontId="190" fillId="0" borderId="0" xfId="3195" applyNumberFormat="1" applyFont="1" applyBorder="1" applyProtection="1"/>
    <xf numFmtId="0" fontId="430" fillId="46" borderId="65" xfId="3196" applyNumberFormat="1" applyFont="1" applyFill="1" applyBorder="1" applyAlignment="1">
      <alignment horizontal="center"/>
    </xf>
    <xf numFmtId="3" fontId="105" fillId="59" borderId="117" xfId="2259" applyNumberFormat="1" applyFont="1" applyFill="1" applyBorder="1"/>
    <xf numFmtId="0" fontId="429" fillId="46" borderId="132" xfId="3196" applyNumberFormat="1" applyFont="1" applyFill="1" applyBorder="1" applyAlignment="1">
      <alignment horizontal="left"/>
    </xf>
    <xf numFmtId="0" fontId="430" fillId="46" borderId="61" xfId="3196" applyNumberFormat="1" applyFont="1" applyFill="1" applyBorder="1" applyAlignment="1">
      <alignment horizontal="center"/>
    </xf>
    <xf numFmtId="0" fontId="429" fillId="46" borderId="245" xfId="3196" applyNumberFormat="1" applyFont="1" applyFill="1" applyBorder="1" applyAlignment="1">
      <alignment horizontal="left"/>
    </xf>
    <xf numFmtId="0" fontId="430" fillId="46" borderId="246" xfId="3196" applyNumberFormat="1" applyFont="1" applyFill="1" applyBorder="1" applyAlignment="1">
      <alignment horizontal="center"/>
    </xf>
    <xf numFmtId="3" fontId="105" fillId="59" borderId="246" xfId="2259" applyNumberFormat="1" applyFont="1" applyFill="1" applyBorder="1"/>
    <xf numFmtId="3" fontId="105" fillId="46" borderId="246" xfId="2259" applyNumberFormat="1" applyFont="1" applyFill="1" applyBorder="1"/>
    <xf numFmtId="4" fontId="427" fillId="0" borderId="21" xfId="3195" applyNumberFormat="1" applyFont="1" applyBorder="1" applyAlignment="1" applyProtection="1">
      <alignment horizontal="center"/>
    </xf>
    <xf numFmtId="0" fontId="429" fillId="46" borderId="131" xfId="3196" applyNumberFormat="1" applyFont="1" applyFill="1" applyBorder="1" applyAlignment="1">
      <alignment horizontal="left"/>
    </xf>
    <xf numFmtId="0" fontId="190" fillId="0" borderId="125" xfId="3195" applyNumberFormat="1" applyFont="1" applyBorder="1" applyProtection="1"/>
    <xf numFmtId="0" fontId="430" fillId="46" borderId="144" xfId="3196" applyNumberFormat="1" applyFont="1" applyFill="1" applyBorder="1" applyAlignment="1">
      <alignment horizontal="center"/>
    </xf>
    <xf numFmtId="3" fontId="105" fillId="59" borderId="131" xfId="2259" applyNumberFormat="1" applyFont="1" applyFill="1" applyBorder="1"/>
    <xf numFmtId="3" fontId="105" fillId="46" borderId="124" xfId="2259" applyNumberFormat="1" applyFont="1" applyFill="1" applyBorder="1"/>
    <xf numFmtId="3" fontId="105" fillId="57" borderId="144" xfId="2259" applyNumberFormat="1" applyFont="1" applyFill="1" applyBorder="1"/>
    <xf numFmtId="3" fontId="105" fillId="59" borderId="132" xfId="2259" applyNumberFormat="1" applyFont="1" applyFill="1" applyBorder="1"/>
    <xf numFmtId="3" fontId="105" fillId="46" borderId="238" xfId="2259" applyNumberFormat="1" applyFont="1" applyFill="1" applyBorder="1"/>
    <xf numFmtId="3" fontId="105" fillId="46" borderId="247" xfId="2259" applyNumberFormat="1" applyFont="1" applyFill="1" applyBorder="1"/>
    <xf numFmtId="0" fontId="429" fillId="46" borderId="73" xfId="3196" applyNumberFormat="1" applyFont="1" applyFill="1" applyBorder="1" applyAlignment="1">
      <alignment horizontal="left"/>
    </xf>
    <xf numFmtId="0" fontId="190" fillId="0" borderId="17" xfId="3195" applyNumberFormat="1" applyFont="1" applyBorder="1" applyProtection="1"/>
    <xf numFmtId="0" fontId="430" fillId="46" borderId="70" xfId="3196" applyNumberFormat="1" applyFont="1" applyFill="1" applyBorder="1" applyAlignment="1">
      <alignment horizontal="center"/>
    </xf>
    <xf numFmtId="3" fontId="105" fillId="59" borderId="73" xfId="2259" applyNumberFormat="1" applyFont="1" applyFill="1" applyBorder="1"/>
    <xf numFmtId="3" fontId="105" fillId="46" borderId="18" xfId="2259" applyNumberFormat="1" applyFont="1" applyFill="1" applyBorder="1"/>
    <xf numFmtId="3" fontId="105" fillId="46" borderId="248" xfId="2259" applyNumberFormat="1" applyFont="1" applyFill="1" applyBorder="1"/>
    <xf numFmtId="0" fontId="429" fillId="46" borderId="0" xfId="3196" applyNumberFormat="1" applyFont="1" applyFill="1" applyBorder="1" applyAlignment="1">
      <alignment horizontal="left"/>
    </xf>
    <xf numFmtId="0" fontId="430" fillId="46" borderId="0" xfId="3196" applyNumberFormat="1" applyFont="1" applyFill="1" applyBorder="1" applyAlignment="1">
      <alignment horizontal="center"/>
    </xf>
    <xf numFmtId="0" fontId="447" fillId="0" borderId="0" xfId="1421" applyFont="1" applyAlignment="1">
      <alignment horizontal="center" vertical="center"/>
    </xf>
    <xf numFmtId="0" fontId="447" fillId="0" borderId="0" xfId="1421" applyFont="1" applyAlignment="1">
      <alignment wrapText="1"/>
    </xf>
    <xf numFmtId="0" fontId="447" fillId="0" borderId="0" xfId="1421" applyFont="1" applyAlignment="1">
      <alignment horizontal="center"/>
    </xf>
    <xf numFmtId="173" fontId="447" fillId="0" borderId="0" xfId="1421" applyNumberFormat="1" applyFont="1"/>
    <xf numFmtId="0" fontId="447" fillId="0" borderId="0" xfId="1421" applyFont="1"/>
    <xf numFmtId="0" fontId="447" fillId="0" borderId="0" xfId="1421" applyFont="1" applyAlignment="1">
      <alignment horizontal="left" vertical="center"/>
    </xf>
    <xf numFmtId="4" fontId="447" fillId="0" borderId="244" xfId="1421" applyNumberFormat="1" applyFont="1" applyBorder="1" applyAlignment="1">
      <alignment horizontal="center" vertical="center"/>
    </xf>
    <xf numFmtId="0" fontId="447" fillId="0" borderId="244" xfId="1421" applyFont="1" applyFill="1" applyBorder="1" applyAlignment="1">
      <alignment horizontal="center" vertical="center"/>
    </xf>
    <xf numFmtId="0" fontId="447" fillId="0" borderId="0" xfId="1421" applyFont="1" applyFill="1"/>
    <xf numFmtId="0" fontId="448" fillId="0" borderId="244" xfId="1421" applyFont="1" applyBorder="1" applyAlignment="1">
      <alignment horizontal="center" vertical="center"/>
    </xf>
    <xf numFmtId="0" fontId="448" fillId="0" borderId="244" xfId="1421" applyFont="1" applyBorder="1"/>
    <xf numFmtId="0" fontId="448" fillId="0" borderId="0" xfId="1421" applyFont="1" applyFill="1"/>
    <xf numFmtId="0" fontId="448" fillId="0" borderId="0" xfId="1421" applyFont="1"/>
    <xf numFmtId="172" fontId="447" fillId="0" borderId="244" xfId="1421" applyNumberFormat="1" applyFont="1" applyFill="1" applyBorder="1" applyAlignment="1">
      <alignment wrapText="1"/>
    </xf>
    <xf numFmtId="172" fontId="447" fillId="0" borderId="244" xfId="1421" applyNumberFormat="1" applyFont="1" applyFill="1" applyBorder="1" applyAlignment="1">
      <alignment horizontal="center"/>
    </xf>
    <xf numFmtId="172" fontId="447" fillId="0" borderId="244" xfId="1421" applyNumberFormat="1" applyFont="1" applyFill="1" applyBorder="1" applyAlignment="1">
      <alignment horizontal="center" vertical="center"/>
    </xf>
    <xf numFmtId="0" fontId="447" fillId="74" borderId="0" xfId="1421" applyFont="1" applyFill="1"/>
    <xf numFmtId="3" fontId="447" fillId="0" borderId="244" xfId="1421" applyNumberFormat="1" applyFont="1" applyFill="1" applyBorder="1" applyAlignment="1">
      <alignment horizontal="center"/>
    </xf>
    <xf numFmtId="3" fontId="447" fillId="0" borderId="244" xfId="1421" applyNumberFormat="1" applyFont="1" applyFill="1" applyBorder="1" applyAlignment="1">
      <alignment horizontal="center" vertical="center"/>
    </xf>
    <xf numFmtId="0" fontId="448" fillId="0" borderId="244" xfId="1421" applyFont="1" applyFill="1" applyBorder="1" applyAlignment="1">
      <alignment horizontal="center" vertical="center"/>
    </xf>
    <xf numFmtId="0" fontId="448" fillId="0" borderId="244" xfId="1421" applyFont="1" applyFill="1" applyBorder="1"/>
    <xf numFmtId="4" fontId="447" fillId="0" borderId="244" xfId="1421" applyNumberFormat="1" applyFont="1" applyFill="1" applyBorder="1" applyAlignment="1">
      <alignment horizontal="center"/>
    </xf>
    <xf numFmtId="172" fontId="447" fillId="0" borderId="244" xfId="1421" applyNumberFormat="1" applyFont="1" applyFill="1" applyBorder="1" applyAlignment="1">
      <alignment vertical="center"/>
    </xf>
    <xf numFmtId="172" fontId="447" fillId="0" borderId="244" xfId="1421" applyNumberFormat="1" applyFont="1" applyFill="1" applyBorder="1"/>
    <xf numFmtId="0" fontId="447" fillId="75" borderId="244" xfId="1421" applyFont="1" applyFill="1" applyBorder="1" applyAlignment="1">
      <alignment horizontal="center" vertical="center"/>
    </xf>
    <xf numFmtId="172" fontId="448" fillId="75" borderId="244" xfId="1421" applyNumberFormat="1" applyFont="1" applyFill="1" applyBorder="1" applyAlignment="1">
      <alignment vertical="center" wrapText="1"/>
    </xf>
    <xf numFmtId="172" fontId="447" fillId="75" borderId="244" xfId="1421" applyNumberFormat="1" applyFont="1" applyFill="1" applyBorder="1" applyAlignment="1">
      <alignment horizontal="center" vertical="center"/>
    </xf>
    <xf numFmtId="172" fontId="447" fillId="75" borderId="244" xfId="1421" applyNumberFormat="1" applyFont="1" applyFill="1" applyBorder="1" applyAlignment="1">
      <alignment horizontal="center" vertical="center" wrapText="1"/>
    </xf>
    <xf numFmtId="10" fontId="447" fillId="0" borderId="0" xfId="1421" applyNumberFormat="1" applyFont="1" applyFill="1"/>
    <xf numFmtId="172" fontId="448" fillId="0" borderId="244" xfId="1421" applyNumberFormat="1" applyFont="1" applyFill="1" applyBorder="1" applyAlignment="1">
      <alignment wrapText="1"/>
    </xf>
    <xf numFmtId="172" fontId="447" fillId="0" borderId="244" xfId="1421" applyNumberFormat="1" applyFont="1" applyFill="1" applyBorder="1" applyAlignment="1">
      <alignment horizontal="center" vertical="center" wrapText="1"/>
    </xf>
    <xf numFmtId="0" fontId="448" fillId="75" borderId="244" xfId="1421" applyFont="1" applyFill="1" applyBorder="1" applyAlignment="1">
      <alignment horizontal="center" vertical="center"/>
    </xf>
    <xf numFmtId="172" fontId="448" fillId="75" borderId="244" xfId="1421" applyNumberFormat="1" applyFont="1" applyFill="1" applyBorder="1" applyAlignment="1">
      <alignment wrapText="1"/>
    </xf>
    <xf numFmtId="3" fontId="297" fillId="75" borderId="244" xfId="1421" applyNumberFormat="1" applyFont="1" applyFill="1" applyBorder="1" applyAlignment="1">
      <alignment horizontal="center" vertical="center" wrapText="1"/>
    </xf>
    <xf numFmtId="3" fontId="297" fillId="0" borderId="244" xfId="1421" applyNumberFormat="1" applyFont="1" applyFill="1" applyBorder="1" applyAlignment="1">
      <alignment horizontal="center"/>
    </xf>
    <xf numFmtId="3" fontId="447" fillId="0" borderId="244" xfId="1421" applyNumberFormat="1" applyFont="1" applyFill="1" applyBorder="1"/>
    <xf numFmtId="0" fontId="447" fillId="0" borderId="244" xfId="1421" applyFont="1" applyBorder="1" applyAlignment="1">
      <alignment horizontal="left" vertical="center"/>
    </xf>
    <xf numFmtId="0" fontId="447" fillId="0" borderId="244" xfId="1421" applyFont="1" applyBorder="1"/>
    <xf numFmtId="3" fontId="447" fillId="0" borderId="0" xfId="1421" applyNumberFormat="1" applyFont="1"/>
    <xf numFmtId="170" fontId="87" fillId="0" borderId="15" xfId="0" applyNumberFormat="1" applyFont="1" applyFill="1" applyBorder="1" applyAlignment="1">
      <alignment horizontal="center"/>
    </xf>
    <xf numFmtId="4" fontId="449" fillId="0" borderId="0" xfId="0" applyFont="1" applyAlignment="1">
      <alignment vertical="center"/>
    </xf>
    <xf numFmtId="4" fontId="451" fillId="0" borderId="0" xfId="0" applyFont="1" applyAlignment="1">
      <alignment horizontal="right" vertical="center"/>
    </xf>
    <xf numFmtId="4" fontId="452" fillId="0" borderId="0" xfId="0" applyNumberFormat="1" applyFont="1" applyAlignment="1">
      <alignment horizontal="left" vertical="center"/>
    </xf>
    <xf numFmtId="49" fontId="452" fillId="0" borderId="0" xfId="0" applyNumberFormat="1" applyFont="1" applyAlignment="1">
      <alignment horizontal="left" vertical="center"/>
    </xf>
    <xf numFmtId="4" fontId="452" fillId="0" borderId="0" xfId="0" applyFont="1" applyAlignment="1">
      <alignment horizontal="left" vertical="center"/>
    </xf>
    <xf numFmtId="4" fontId="454" fillId="0" borderId="0" xfId="0" applyFont="1" applyAlignment="1">
      <alignment vertical="center"/>
    </xf>
    <xf numFmtId="4" fontId="451" fillId="0" borderId="130" xfId="0" applyFont="1" applyBorder="1" applyAlignment="1">
      <alignment horizontal="center" vertical="center" wrapText="1"/>
    </xf>
    <xf numFmtId="4" fontId="451" fillId="0" borderId="0" xfId="0" applyFont="1" applyAlignment="1">
      <alignment horizontal="center" vertical="center" wrapText="1"/>
    </xf>
    <xf numFmtId="4" fontId="455" fillId="0" borderId="130" xfId="0" applyFont="1" applyBorder="1" applyAlignment="1">
      <alignment horizontal="center" vertical="center"/>
    </xf>
    <xf numFmtId="4" fontId="455" fillId="0" borderId="0" xfId="0" applyFont="1" applyAlignment="1">
      <alignment horizontal="center" vertical="center"/>
    </xf>
    <xf numFmtId="4" fontId="449" fillId="0" borderId="250" xfId="0" applyFont="1" applyBorder="1" applyAlignment="1">
      <alignment vertical="center"/>
    </xf>
    <xf numFmtId="4" fontId="451" fillId="0" borderId="250" xfId="0" applyFont="1" applyBorder="1" applyAlignment="1">
      <alignment vertical="center" wrapText="1"/>
    </xf>
    <xf numFmtId="4" fontId="456" fillId="0" borderId="250" xfId="0" applyFont="1" applyBorder="1" applyAlignment="1">
      <alignment horizontal="left" vertical="center"/>
    </xf>
    <xf numFmtId="49" fontId="457" fillId="76" borderId="250" xfId="0" applyNumberFormat="1" applyFont="1" applyFill="1" applyBorder="1" applyAlignment="1" applyProtection="1">
      <alignment vertical="center" wrapText="1"/>
      <protection locked="0"/>
    </xf>
    <xf numFmtId="4" fontId="449" fillId="0" borderId="125" xfId="0" applyFont="1" applyBorder="1" applyAlignment="1">
      <alignment vertical="center"/>
    </xf>
    <xf numFmtId="4" fontId="449" fillId="0" borderId="251" xfId="0" applyFont="1" applyBorder="1" applyAlignment="1">
      <alignment vertical="center"/>
    </xf>
    <xf numFmtId="4" fontId="451" fillId="0" borderId="251" xfId="0" applyFont="1" applyBorder="1" applyAlignment="1">
      <alignment vertical="center" wrapText="1"/>
    </xf>
    <xf numFmtId="4" fontId="456" fillId="0" borderId="251" xfId="0" applyFont="1" applyBorder="1" applyAlignment="1">
      <alignment horizontal="left" vertical="center"/>
    </xf>
    <xf numFmtId="49" fontId="458" fillId="59" borderId="251" xfId="0" applyNumberFormat="1" applyFont="1" applyFill="1" applyBorder="1" applyAlignment="1" applyProtection="1">
      <alignment vertical="center" wrapText="1"/>
      <protection locked="0"/>
    </xf>
    <xf numFmtId="4" fontId="449" fillId="0" borderId="252" xfId="0" applyFont="1" applyBorder="1" applyAlignment="1">
      <alignment vertical="center"/>
    </xf>
    <xf numFmtId="4" fontId="451" fillId="0" borderId="252" xfId="0" applyFont="1" applyBorder="1" applyAlignment="1">
      <alignment vertical="center" wrapText="1"/>
    </xf>
    <xf numFmtId="4" fontId="456" fillId="0" borderId="252" xfId="0" applyFont="1" applyBorder="1" applyAlignment="1">
      <alignment horizontal="left" vertical="center"/>
    </xf>
    <xf numFmtId="49" fontId="458" fillId="59" borderId="252" xfId="0" applyNumberFormat="1" applyFont="1" applyFill="1" applyBorder="1" applyAlignment="1" applyProtection="1">
      <alignment vertical="center" wrapText="1"/>
      <protection locked="0"/>
    </xf>
    <xf numFmtId="4" fontId="449" fillId="0" borderId="253" xfId="0" applyFont="1" applyBorder="1" applyAlignment="1">
      <alignment vertical="center"/>
    </xf>
    <xf numFmtId="4" fontId="451" fillId="0" borderId="253" xfId="0" applyFont="1" applyBorder="1" applyAlignment="1">
      <alignment vertical="center" wrapText="1"/>
    </xf>
    <xf numFmtId="4" fontId="456" fillId="0" borderId="253" xfId="0" applyFont="1" applyBorder="1" applyAlignment="1">
      <alignment horizontal="left" vertical="center"/>
    </xf>
    <xf numFmtId="49" fontId="458" fillId="59" borderId="253" xfId="0" applyNumberFormat="1" applyFont="1" applyFill="1" applyBorder="1" applyAlignment="1" applyProtection="1">
      <alignment vertical="center" wrapText="1"/>
      <protection locked="0"/>
    </xf>
    <xf numFmtId="4" fontId="459" fillId="0" borderId="254" xfId="0" applyFont="1" applyBorder="1" applyAlignment="1">
      <alignment vertical="center"/>
    </xf>
    <xf numFmtId="4" fontId="459" fillId="0" borderId="255" xfId="0" applyFont="1" applyBorder="1" applyAlignment="1">
      <alignment vertical="center"/>
    </xf>
    <xf numFmtId="4" fontId="460" fillId="0" borderId="255" xfId="0" applyFont="1" applyBorder="1" applyAlignment="1">
      <alignment vertical="top"/>
    </xf>
    <xf numFmtId="4" fontId="461" fillId="0" borderId="255" xfId="0" applyFont="1" applyBorder="1" applyAlignment="1">
      <alignment vertical="center"/>
    </xf>
    <xf numFmtId="4" fontId="462" fillId="0" borderId="256" xfId="0" applyFont="1" applyBorder="1" applyAlignment="1">
      <alignment horizontal="center" vertical="center" wrapText="1"/>
    </xf>
    <xf numFmtId="4" fontId="462" fillId="0" borderId="255" xfId="0" applyFont="1" applyBorder="1" applyAlignment="1">
      <alignment horizontal="center" vertical="center" wrapText="1"/>
    </xf>
    <xf numFmtId="4" fontId="463" fillId="0" borderId="256" xfId="0" applyFont="1" applyBorder="1" applyAlignment="1">
      <alignment horizontal="center" vertical="center"/>
    </xf>
    <xf numFmtId="4" fontId="463" fillId="0" borderId="255" xfId="0" applyFont="1" applyBorder="1" applyAlignment="1">
      <alignment horizontal="center" vertical="center"/>
    </xf>
    <xf numFmtId="49" fontId="457" fillId="59" borderId="250" xfId="0" applyNumberFormat="1" applyFont="1" applyFill="1" applyBorder="1" applyAlignment="1" applyProtection="1">
      <alignment vertical="center" wrapText="1"/>
      <protection locked="0"/>
    </xf>
    <xf numFmtId="259" fontId="457" fillId="59" borderId="257" xfId="0" applyNumberFormat="1" applyFont="1" applyFill="1" applyBorder="1" applyAlignment="1" applyProtection="1">
      <alignment vertical="center" wrapText="1"/>
      <protection locked="0"/>
    </xf>
    <xf numFmtId="260" fontId="457" fillId="59" borderId="258" xfId="0" applyNumberFormat="1" applyFont="1" applyFill="1" applyBorder="1" applyAlignment="1" applyProtection="1">
      <alignment vertical="center" wrapText="1"/>
      <protection locked="0"/>
    </xf>
    <xf numFmtId="260" fontId="464" fillId="77" borderId="258" xfId="0" applyNumberFormat="1" applyFont="1" applyFill="1" applyBorder="1" applyAlignment="1" applyProtection="1">
      <alignment vertical="center" wrapText="1"/>
    </xf>
    <xf numFmtId="259" fontId="458" fillId="78" borderId="258" xfId="0" applyNumberFormat="1" applyFont="1" applyFill="1" applyBorder="1" applyAlignment="1" applyProtection="1">
      <alignment vertical="center" wrapText="1"/>
      <protection locked="0"/>
    </xf>
    <xf numFmtId="260" fontId="458" fillId="78" borderId="258" xfId="0" applyNumberFormat="1" applyFont="1" applyFill="1" applyBorder="1" applyAlignment="1" applyProtection="1">
      <alignment vertical="center" wrapText="1"/>
      <protection locked="0"/>
    </xf>
    <xf numFmtId="259" fontId="457" fillId="59" borderId="258" xfId="0" applyNumberFormat="1" applyFont="1" applyFill="1" applyBorder="1" applyAlignment="1" applyProtection="1">
      <alignment vertical="center" wrapText="1"/>
      <protection locked="0"/>
    </xf>
    <xf numFmtId="259" fontId="457" fillId="78" borderId="258" xfId="0" applyNumberFormat="1" applyFont="1" applyFill="1" applyBorder="1" applyAlignment="1" applyProtection="1">
      <alignment vertical="center" wrapText="1"/>
      <protection locked="0"/>
    </xf>
    <xf numFmtId="260" fontId="457" fillId="78" borderId="258" xfId="0" applyNumberFormat="1" applyFont="1" applyFill="1" applyBorder="1" applyAlignment="1" applyProtection="1">
      <alignment vertical="center" wrapText="1"/>
      <protection locked="0"/>
    </xf>
    <xf numFmtId="259" fontId="457" fillId="0" borderId="258" xfId="0" applyNumberFormat="1" applyFont="1" applyBorder="1" applyAlignment="1" applyProtection="1">
      <alignment vertical="center" wrapText="1"/>
      <protection locked="0"/>
    </xf>
    <xf numFmtId="259" fontId="457" fillId="0" borderId="259" xfId="0" applyNumberFormat="1" applyFont="1" applyBorder="1" applyAlignment="1" applyProtection="1">
      <alignment vertical="center" wrapText="1"/>
      <protection locked="0"/>
    </xf>
    <xf numFmtId="259" fontId="457" fillId="60" borderId="260" xfId="0" applyNumberFormat="1" applyFont="1" applyFill="1" applyBorder="1" applyAlignment="1" applyProtection="1">
      <alignment vertical="center" wrapText="1"/>
    </xf>
    <xf numFmtId="260" fontId="457" fillId="60" borderId="261" xfId="0" applyNumberFormat="1" applyFont="1" applyFill="1" applyBorder="1" applyAlignment="1" applyProtection="1">
      <alignment vertical="center" wrapText="1"/>
    </xf>
    <xf numFmtId="259" fontId="457" fillId="60" borderId="261" xfId="0" applyNumberFormat="1" applyFont="1" applyFill="1" applyBorder="1" applyAlignment="1" applyProtection="1">
      <alignment vertical="center" wrapText="1"/>
    </xf>
    <xf numFmtId="259" fontId="457" fillId="60" borderId="262" xfId="0" applyNumberFormat="1" applyFont="1" applyFill="1" applyBorder="1" applyAlignment="1" applyProtection="1">
      <alignment vertical="center" wrapText="1"/>
    </xf>
    <xf numFmtId="259" fontId="457" fillId="59" borderId="260" xfId="0" applyNumberFormat="1" applyFont="1" applyFill="1" applyBorder="1" applyAlignment="1" applyProtection="1">
      <alignment vertical="center" wrapText="1"/>
      <protection locked="0"/>
    </xf>
    <xf numFmtId="260" fontId="457" fillId="59" borderId="261" xfId="0" applyNumberFormat="1" applyFont="1" applyFill="1" applyBorder="1" applyAlignment="1" applyProtection="1">
      <alignment vertical="center" wrapText="1"/>
      <protection locked="0"/>
    </xf>
    <xf numFmtId="260" fontId="464" fillId="77" borderId="261" xfId="0" applyNumberFormat="1" applyFont="1" applyFill="1" applyBorder="1" applyAlignment="1" applyProtection="1">
      <alignment vertical="center" wrapText="1"/>
    </xf>
    <xf numFmtId="259" fontId="458" fillId="78" borderId="261" xfId="0" applyNumberFormat="1" applyFont="1" applyFill="1" applyBorder="1" applyAlignment="1" applyProtection="1">
      <alignment vertical="center" wrapText="1"/>
      <protection locked="0"/>
    </xf>
    <xf numFmtId="260" fontId="458" fillId="78" borderId="261" xfId="0" applyNumberFormat="1" applyFont="1" applyFill="1" applyBorder="1" applyAlignment="1" applyProtection="1">
      <alignment vertical="center" wrapText="1"/>
      <protection locked="0"/>
    </xf>
    <xf numFmtId="259" fontId="457" fillId="0" borderId="261" xfId="0" applyNumberFormat="1" applyFont="1" applyBorder="1" applyAlignment="1" applyProtection="1">
      <alignment vertical="center" wrapText="1"/>
      <protection locked="0"/>
    </xf>
    <xf numFmtId="260" fontId="457" fillId="0" borderId="261" xfId="0" applyNumberFormat="1" applyFont="1" applyBorder="1" applyAlignment="1" applyProtection="1">
      <alignment vertical="center" wrapText="1"/>
      <protection locked="0"/>
    </xf>
    <xf numFmtId="259" fontId="457" fillId="78" borderId="261" xfId="0" applyNumberFormat="1" applyFont="1" applyFill="1" applyBorder="1" applyAlignment="1" applyProtection="1">
      <alignment vertical="center" wrapText="1"/>
      <protection locked="0"/>
    </xf>
    <xf numFmtId="260" fontId="457" fillId="78" borderId="261" xfId="0" applyNumberFormat="1" applyFont="1" applyFill="1" applyBorder="1" applyAlignment="1" applyProtection="1">
      <alignment vertical="center" wrapText="1"/>
      <protection locked="0"/>
    </xf>
    <xf numFmtId="259" fontId="457" fillId="59" borderId="261" xfId="0" applyNumberFormat="1" applyFont="1" applyFill="1" applyBorder="1" applyAlignment="1" applyProtection="1">
      <alignment vertical="center" wrapText="1"/>
      <protection locked="0"/>
    </xf>
    <xf numFmtId="259" fontId="457" fillId="0" borderId="262" xfId="0" applyNumberFormat="1" applyFont="1" applyBorder="1" applyAlignment="1" applyProtection="1">
      <alignment vertical="center" wrapText="1"/>
      <protection locked="0"/>
    </xf>
    <xf numFmtId="259" fontId="464" fillId="77" borderId="260" xfId="0" applyNumberFormat="1" applyFont="1" applyFill="1" applyBorder="1" applyAlignment="1" applyProtection="1">
      <alignment vertical="center" wrapText="1"/>
    </xf>
    <xf numFmtId="259" fontId="464" fillId="77" borderId="261" xfId="0" applyNumberFormat="1" applyFont="1" applyFill="1" applyBorder="1" applyAlignment="1" applyProtection="1">
      <alignment vertical="center" wrapText="1"/>
    </xf>
    <xf numFmtId="259" fontId="464" fillId="77" borderId="262" xfId="0" applyNumberFormat="1" applyFont="1" applyFill="1" applyBorder="1" applyAlignment="1" applyProtection="1">
      <alignment vertical="center" wrapText="1"/>
    </xf>
    <xf numFmtId="259" fontId="465" fillId="77" borderId="261" xfId="0" applyNumberFormat="1" applyFont="1" applyFill="1" applyBorder="1" applyAlignment="1" applyProtection="1">
      <alignment vertical="center" wrapText="1"/>
    </xf>
    <xf numFmtId="260" fontId="465" fillId="77" borderId="261" xfId="0" applyNumberFormat="1" applyFont="1" applyFill="1" applyBorder="1" applyAlignment="1" applyProtection="1">
      <alignment vertical="center" wrapText="1"/>
    </xf>
    <xf numFmtId="259" fontId="465" fillId="77" borderId="262" xfId="0" applyNumberFormat="1" applyFont="1" applyFill="1" applyBorder="1" applyAlignment="1" applyProtection="1">
      <alignment vertical="center" wrapText="1"/>
    </xf>
    <xf numFmtId="4" fontId="466" fillId="0" borderId="252" xfId="0" applyFont="1" applyBorder="1" applyAlignment="1">
      <alignment vertical="center" wrapText="1"/>
    </xf>
    <xf numFmtId="259" fontId="458" fillId="79" borderId="260" xfId="0" applyNumberFormat="1" applyFont="1" applyFill="1" applyBorder="1" applyAlignment="1" applyProtection="1">
      <alignment vertical="center" wrapText="1"/>
      <protection locked="0"/>
    </xf>
    <xf numFmtId="260" fontId="457" fillId="79" borderId="261" xfId="0" applyNumberFormat="1" applyFont="1" applyFill="1" applyBorder="1" applyAlignment="1" applyProtection="1">
      <alignment vertical="center" wrapText="1"/>
      <protection locked="0"/>
    </xf>
    <xf numFmtId="259" fontId="457" fillId="79" borderId="261" xfId="0" applyNumberFormat="1" applyFont="1" applyFill="1" applyBorder="1" applyAlignment="1" applyProtection="1">
      <alignment vertical="center" wrapText="1"/>
      <protection locked="0"/>
    </xf>
    <xf numFmtId="259" fontId="457" fillId="79" borderId="262" xfId="0" applyNumberFormat="1" applyFont="1" applyFill="1" applyBorder="1" applyAlignment="1" applyProtection="1">
      <alignment vertical="center" wrapText="1"/>
      <protection locked="0"/>
    </xf>
    <xf numFmtId="49" fontId="467" fillId="60" borderId="252" xfId="0" applyNumberFormat="1" applyFont="1" applyFill="1" applyBorder="1" applyAlignment="1" applyProtection="1">
      <alignment vertical="center" wrapText="1"/>
      <protection locked="0"/>
    </xf>
    <xf numFmtId="4" fontId="468" fillId="0" borderId="252" xfId="0" applyFont="1" applyBorder="1" applyAlignment="1">
      <alignment horizontal="right" vertical="center"/>
    </xf>
    <xf numFmtId="259" fontId="458" fillId="0" borderId="260" xfId="0" applyNumberFormat="1" applyFont="1" applyBorder="1" applyAlignment="1" applyProtection="1">
      <alignment vertical="center" wrapText="1"/>
      <protection locked="0"/>
    </xf>
    <xf numFmtId="259" fontId="457" fillId="0" borderId="260" xfId="0" applyNumberFormat="1" applyFont="1" applyBorder="1" applyAlignment="1" applyProtection="1">
      <alignment vertical="center" wrapText="1"/>
      <protection locked="0"/>
    </xf>
    <xf numFmtId="49" fontId="467" fillId="0" borderId="252" xfId="0" applyNumberFormat="1" applyFont="1" applyBorder="1" applyAlignment="1" applyProtection="1">
      <alignment vertical="center" wrapText="1"/>
      <protection locked="0"/>
    </xf>
    <xf numFmtId="49" fontId="467" fillId="0" borderId="252" xfId="0" applyNumberFormat="1" applyFont="1" applyBorder="1" applyAlignment="1">
      <alignment vertical="center" wrapText="1"/>
    </xf>
    <xf numFmtId="259" fontId="457" fillId="79" borderId="260" xfId="0" applyNumberFormat="1" applyFont="1" applyFill="1" applyBorder="1" applyAlignment="1" applyProtection="1">
      <alignment vertical="center" wrapText="1"/>
      <protection locked="0"/>
    </xf>
    <xf numFmtId="259" fontId="457" fillId="59" borderId="263" xfId="0" applyNumberFormat="1" applyFont="1" applyFill="1" applyBorder="1" applyAlignment="1" applyProtection="1">
      <alignment vertical="center" wrapText="1"/>
      <protection locked="0"/>
    </xf>
    <xf numFmtId="260" fontId="457" fillId="59" borderId="264" xfId="0" applyNumberFormat="1" applyFont="1" applyFill="1" applyBorder="1" applyAlignment="1" applyProtection="1">
      <alignment vertical="center" wrapText="1"/>
      <protection locked="0"/>
    </xf>
    <xf numFmtId="260" fontId="464" fillId="77" borderId="264" xfId="0" applyNumberFormat="1" applyFont="1" applyFill="1" applyBorder="1" applyAlignment="1" applyProtection="1">
      <alignment vertical="center" wrapText="1"/>
    </xf>
    <xf numFmtId="259" fontId="457" fillId="78" borderId="264" xfId="0" applyNumberFormat="1" applyFont="1" applyFill="1" applyBorder="1" applyAlignment="1" applyProtection="1">
      <alignment vertical="center" wrapText="1"/>
      <protection locked="0"/>
    </xf>
    <xf numFmtId="260" fontId="457" fillId="78" borderId="264" xfId="0" applyNumberFormat="1" applyFont="1" applyFill="1" applyBorder="1" applyAlignment="1" applyProtection="1">
      <alignment vertical="center" wrapText="1"/>
      <protection locked="0"/>
    </xf>
    <xf numFmtId="259" fontId="457" fillId="0" borderId="264" xfId="0" applyNumberFormat="1" applyFont="1" applyBorder="1" applyAlignment="1" applyProtection="1">
      <alignment vertical="center" wrapText="1"/>
      <protection locked="0"/>
    </xf>
    <xf numFmtId="260" fontId="457" fillId="0" borderId="264" xfId="0" applyNumberFormat="1" applyFont="1" applyBorder="1" applyAlignment="1" applyProtection="1">
      <alignment vertical="center" wrapText="1"/>
      <protection locked="0"/>
    </xf>
    <xf numFmtId="259" fontId="457" fillId="0" borderId="265" xfId="0" applyNumberFormat="1" applyFont="1" applyBorder="1" applyAlignment="1" applyProtection="1">
      <alignment vertical="center" wrapText="1"/>
      <protection locked="0"/>
    </xf>
    <xf numFmtId="260" fontId="464" fillId="77" borderId="259" xfId="0" applyNumberFormat="1" applyFont="1" applyFill="1" applyBorder="1" applyAlignment="1" applyProtection="1">
      <alignment vertical="center" wrapText="1"/>
    </xf>
    <xf numFmtId="260" fontId="457" fillId="60" borderId="262" xfId="0" applyNumberFormat="1" applyFont="1" applyFill="1" applyBorder="1" applyAlignment="1" applyProtection="1">
      <alignment vertical="center" wrapText="1"/>
    </xf>
    <xf numFmtId="260" fontId="464" fillId="77" borderId="262" xfId="0" applyNumberFormat="1" applyFont="1" applyFill="1" applyBorder="1" applyAlignment="1" applyProtection="1">
      <alignment vertical="center" wrapText="1"/>
    </xf>
    <xf numFmtId="259" fontId="464" fillId="77" borderId="263" xfId="0" applyNumberFormat="1" applyFont="1" applyFill="1" applyBorder="1" applyAlignment="1" applyProtection="1">
      <alignment vertical="center" wrapText="1"/>
    </xf>
    <xf numFmtId="259" fontId="464" fillId="77" borderId="264" xfId="0" applyNumberFormat="1" applyFont="1" applyFill="1" applyBorder="1" applyAlignment="1" applyProtection="1">
      <alignment vertical="center" wrapText="1"/>
    </xf>
    <xf numFmtId="260" fontId="464" fillId="77" borderId="265" xfId="0" applyNumberFormat="1" applyFont="1" applyFill="1" applyBorder="1" applyAlignment="1" applyProtection="1">
      <alignment vertical="center" wrapText="1"/>
    </xf>
    <xf numFmtId="259" fontId="457" fillId="0" borderId="257" xfId="0" applyNumberFormat="1" applyFont="1" applyBorder="1" applyAlignment="1" applyProtection="1">
      <alignment vertical="center" wrapText="1"/>
      <protection locked="0"/>
    </xf>
    <xf numFmtId="260" fontId="457" fillId="0" borderId="258" xfId="0" applyNumberFormat="1" applyFont="1" applyBorder="1" applyAlignment="1" applyProtection="1">
      <alignment vertical="center" wrapText="1"/>
      <protection locked="0"/>
    </xf>
    <xf numFmtId="260" fontId="457" fillId="57" borderId="261" xfId="0" applyNumberFormat="1" applyFont="1" applyFill="1" applyBorder="1" applyAlignment="1" applyProtection="1">
      <alignment vertical="center" wrapText="1"/>
      <protection locked="0"/>
    </xf>
    <xf numFmtId="259" fontId="464" fillId="77" borderId="265" xfId="0" applyNumberFormat="1" applyFont="1" applyFill="1" applyBorder="1" applyAlignment="1" applyProtection="1">
      <alignment vertical="center" wrapText="1"/>
    </xf>
    <xf numFmtId="259" fontId="464" fillId="77" borderId="257" xfId="0" applyNumberFormat="1" applyFont="1" applyFill="1" applyBorder="1" applyAlignment="1" applyProtection="1">
      <alignment vertical="center" wrapText="1"/>
    </xf>
    <xf numFmtId="259" fontId="464" fillId="77" borderId="258" xfId="0" applyNumberFormat="1" applyFont="1" applyFill="1" applyBorder="1" applyAlignment="1" applyProtection="1">
      <alignment vertical="center" wrapText="1"/>
    </xf>
    <xf numFmtId="259" fontId="464" fillId="77" borderId="259" xfId="0" applyNumberFormat="1" applyFont="1" applyFill="1" applyBorder="1" applyAlignment="1" applyProtection="1">
      <alignment vertical="center" wrapText="1"/>
    </xf>
    <xf numFmtId="259" fontId="457" fillId="57" borderId="260" xfId="0" applyNumberFormat="1" applyFont="1" applyFill="1" applyBorder="1" applyAlignment="1" applyProtection="1">
      <alignment vertical="center" wrapText="1"/>
      <protection locked="0"/>
    </xf>
    <xf numFmtId="259" fontId="465" fillId="77" borderId="260" xfId="0" applyNumberFormat="1" applyFont="1" applyFill="1" applyBorder="1" applyAlignment="1" applyProtection="1">
      <alignment vertical="center" wrapText="1"/>
    </xf>
    <xf numFmtId="259" fontId="465" fillId="77" borderId="263" xfId="0" applyNumberFormat="1" applyFont="1" applyFill="1" applyBorder="1" applyAlignment="1" applyProtection="1">
      <alignment vertical="center" wrapText="1"/>
    </xf>
    <xf numFmtId="259" fontId="465" fillId="77" borderId="264" xfId="0" applyNumberFormat="1" applyFont="1" applyFill="1" applyBorder="1" applyAlignment="1" applyProtection="1">
      <alignment vertical="center" wrapText="1"/>
    </xf>
    <xf numFmtId="260" fontId="465" fillId="77" borderId="264" xfId="0" applyNumberFormat="1" applyFont="1" applyFill="1" applyBorder="1" applyAlignment="1" applyProtection="1">
      <alignment vertical="center" wrapText="1"/>
    </xf>
    <xf numFmtId="259" fontId="458" fillId="78" borderId="264" xfId="0" applyNumberFormat="1" applyFont="1" applyFill="1" applyBorder="1" applyAlignment="1" applyProtection="1">
      <alignment vertical="center" wrapText="1"/>
      <protection locked="0"/>
    </xf>
    <xf numFmtId="49" fontId="465" fillId="77" borderId="259" xfId="0" applyNumberFormat="1" applyFont="1" applyFill="1" applyBorder="1" applyAlignment="1" applyProtection="1">
      <alignment vertical="center" wrapText="1"/>
    </xf>
    <xf numFmtId="49" fontId="465" fillId="77" borderId="262" xfId="0" applyNumberFormat="1" applyFont="1" applyFill="1" applyBorder="1" applyAlignment="1" applyProtection="1">
      <alignment vertical="center" wrapText="1"/>
    </xf>
    <xf numFmtId="49" fontId="457" fillId="0" borderId="265" xfId="0" applyNumberFormat="1" applyFont="1" applyBorder="1" applyAlignment="1" applyProtection="1">
      <alignment vertical="center" wrapText="1"/>
      <protection locked="0"/>
    </xf>
    <xf numFmtId="49" fontId="457" fillId="59" borderId="257" xfId="0" applyNumberFormat="1" applyFont="1" applyFill="1" applyBorder="1" applyAlignment="1" applyProtection="1">
      <alignment vertical="center" wrapText="1"/>
      <protection locked="0"/>
    </xf>
    <xf numFmtId="49" fontId="457" fillId="59" borderId="258" xfId="0" applyNumberFormat="1" applyFont="1" applyFill="1" applyBorder="1" applyAlignment="1" applyProtection="1">
      <alignment vertical="center" wrapText="1"/>
      <protection locked="0"/>
    </xf>
    <xf numFmtId="49" fontId="457" fillId="59" borderId="259" xfId="0" applyNumberFormat="1" applyFont="1" applyFill="1" applyBorder="1" applyAlignment="1" applyProtection="1">
      <alignment vertical="center" wrapText="1"/>
      <protection locked="0"/>
    </xf>
    <xf numFmtId="49" fontId="457" fillId="59" borderId="263" xfId="0" applyNumberFormat="1" applyFont="1" applyFill="1" applyBorder="1" applyAlignment="1" applyProtection="1">
      <alignment vertical="center" wrapText="1"/>
      <protection locked="0"/>
    </xf>
    <xf numFmtId="49" fontId="457" fillId="59" borderId="264" xfId="0" applyNumberFormat="1" applyFont="1" applyFill="1" applyBorder="1" applyAlignment="1" applyProtection="1">
      <alignment vertical="center" wrapText="1"/>
      <protection locked="0"/>
    </xf>
    <xf numFmtId="49" fontId="449" fillId="0" borderId="0" xfId="0" applyNumberFormat="1" applyFont="1" applyAlignment="1">
      <alignment vertical="center"/>
    </xf>
    <xf numFmtId="0" fontId="447" fillId="0" borderId="244" xfId="1421" applyFont="1" applyBorder="1" applyAlignment="1">
      <alignment horizontal="center" vertical="center"/>
    </xf>
    <xf numFmtId="0" fontId="447" fillId="0" borderId="0" xfId="1421" applyFont="1" applyAlignment="1"/>
    <xf numFmtId="0" fontId="447" fillId="0" borderId="0" xfId="1421" applyFont="1" applyBorder="1" applyAlignment="1">
      <alignment vertical="center"/>
    </xf>
    <xf numFmtId="0" fontId="447" fillId="0" borderId="244" xfId="1421" applyFont="1" applyBorder="1" applyAlignment="1">
      <alignment vertical="center"/>
    </xf>
    <xf numFmtId="0" fontId="447" fillId="0" borderId="244" xfId="1421" applyFont="1" applyBorder="1" applyAlignment="1">
      <alignment wrapText="1"/>
    </xf>
    <xf numFmtId="0" fontId="447" fillId="0" borderId="244" xfId="1421" applyFont="1" applyBorder="1" applyAlignment="1"/>
    <xf numFmtId="0" fontId="448" fillId="0" borderId="244" xfId="1421" applyFont="1" applyBorder="1" applyAlignment="1"/>
    <xf numFmtId="0" fontId="448" fillId="0" borderId="244" xfId="1421" applyFont="1" applyBorder="1" applyAlignment="1">
      <alignment wrapText="1"/>
    </xf>
    <xf numFmtId="4" fontId="0" fillId="0" borderId="0" xfId="0" applyFont="1" applyAlignment="1"/>
    <xf numFmtId="2" fontId="0" fillId="53" borderId="0" xfId="1424" applyNumberFormat="1" applyFont="1" applyFill="1" applyAlignment="1"/>
    <xf numFmtId="4" fontId="333" fillId="0" borderId="210" xfId="0" applyFont="1" applyBorder="1" applyAlignment="1">
      <alignment wrapText="1"/>
    </xf>
    <xf numFmtId="0" fontId="0" fillId="80" borderId="210" xfId="0" applyNumberFormat="1" applyFill="1" applyBorder="1" applyAlignment="1" applyProtection="1">
      <protection locked="0"/>
    </xf>
    <xf numFmtId="49" fontId="0" fillId="80" borderId="210" xfId="0" applyNumberFormat="1" applyFill="1" applyBorder="1" applyAlignment="1" applyProtection="1">
      <protection locked="0"/>
    </xf>
    <xf numFmtId="0" fontId="333" fillId="80" borderId="210" xfId="0" applyNumberFormat="1" applyFont="1" applyFill="1" applyBorder="1" applyAlignment="1" applyProtection="1">
      <alignment wrapText="1"/>
      <protection locked="0"/>
    </xf>
    <xf numFmtId="4" fontId="333" fillId="0" borderId="266" xfId="0" applyFont="1" applyBorder="1" applyAlignment="1"/>
    <xf numFmtId="49" fontId="333" fillId="80" borderId="0" xfId="0" applyNumberFormat="1" applyFont="1" applyFill="1" applyAlignment="1" applyProtection="1">
      <protection locked="0"/>
    </xf>
    <xf numFmtId="4" fontId="333" fillId="0" borderId="238" xfId="0" applyFont="1" applyBorder="1" applyAlignment="1">
      <alignment wrapText="1"/>
    </xf>
    <xf numFmtId="4" fontId="0" fillId="0" borderId="238" xfId="0" applyBorder="1" applyAlignment="1"/>
    <xf numFmtId="4" fontId="22" fillId="52" borderId="238" xfId="0" applyFont="1" applyFill="1" applyBorder="1" applyAlignment="1">
      <alignment horizontal="center" vertical="center" wrapText="1"/>
    </xf>
    <xf numFmtId="4" fontId="333" fillId="0" borderId="266" xfId="0" applyFont="1" applyBorder="1" applyAlignment="1">
      <alignment horizontal="center"/>
    </xf>
    <xf numFmtId="0" fontId="7" fillId="0" borderId="0" xfId="2048" applyFill="1" applyBorder="1" applyAlignment="1">
      <alignment vertical="center"/>
    </xf>
    <xf numFmtId="0" fontId="82" fillId="0" borderId="0" xfId="2048" applyFont="1" applyFill="1" applyAlignment="1">
      <alignment horizontal="left" vertical="center"/>
    </xf>
    <xf numFmtId="172" fontId="7" fillId="0" borderId="0" xfId="2048" applyNumberFormat="1" applyFill="1" applyAlignment="1">
      <alignment vertical="center"/>
    </xf>
    <xf numFmtId="0" fontId="7" fillId="0" borderId="0" xfId="2048" applyFill="1" applyAlignment="1">
      <alignment vertical="center"/>
    </xf>
    <xf numFmtId="0" fontId="197" fillId="0" borderId="0" xfId="2048" applyFont="1" applyFill="1" applyBorder="1" applyAlignment="1">
      <alignment horizontal="center" vertical="center"/>
    </xf>
    <xf numFmtId="49" fontId="174" fillId="0" borderId="0" xfId="2048" applyNumberFormat="1" applyFont="1" applyFill="1" applyBorder="1" applyAlignment="1">
      <alignment horizontal="center" vertical="center" wrapText="1"/>
    </xf>
    <xf numFmtId="0" fontId="174" fillId="0" borderId="0" xfId="2048" applyFont="1" applyFill="1" applyBorder="1" applyAlignment="1">
      <alignment horizontal="center" vertical="center" wrapText="1"/>
    </xf>
    <xf numFmtId="0" fontId="174" fillId="0" borderId="210" xfId="2048" applyFont="1" applyFill="1" applyBorder="1" applyAlignment="1">
      <alignment horizontal="center" vertical="center" wrapText="1"/>
    </xf>
    <xf numFmtId="0" fontId="174" fillId="0" borderId="0" xfId="2048" applyFont="1" applyFill="1" applyBorder="1" applyAlignment="1">
      <alignment horizontal="center" vertical="center"/>
    </xf>
    <xf numFmtId="0" fontId="174" fillId="0" borderId="210" xfId="2048" applyFont="1" applyFill="1" applyBorder="1" applyAlignment="1">
      <alignment horizontal="center" vertical="center"/>
    </xf>
    <xf numFmtId="0" fontId="174" fillId="0" borderId="270" xfId="2048" applyFont="1" applyFill="1" applyBorder="1" applyAlignment="1">
      <alignment horizontal="center" vertical="center"/>
    </xf>
    <xf numFmtId="0" fontId="174" fillId="0" borderId="270" xfId="2048" applyFont="1" applyFill="1" applyBorder="1" applyAlignment="1">
      <alignment horizontal="center" vertical="center" wrapText="1"/>
    </xf>
    <xf numFmtId="0" fontId="174" fillId="0" borderId="0" xfId="2048" applyFont="1" applyFill="1" applyBorder="1" applyAlignment="1" applyProtection="1">
      <alignment horizontal="center" vertical="center"/>
      <protection hidden="1"/>
    </xf>
    <xf numFmtId="0" fontId="174" fillId="0" borderId="0" xfId="2048" applyFont="1" applyFill="1" applyAlignment="1" applyProtection="1">
      <alignment horizontal="center" vertical="center"/>
      <protection hidden="1"/>
    </xf>
    <xf numFmtId="0" fontId="177" fillId="0" borderId="210" xfId="2048" applyFont="1" applyFill="1" applyBorder="1" applyAlignment="1" applyProtection="1">
      <alignment vertical="center" wrapText="1"/>
      <protection locked="0"/>
    </xf>
    <xf numFmtId="0" fontId="177" fillId="0" borderId="210" xfId="2048" applyFont="1" applyFill="1" applyBorder="1" applyAlignment="1">
      <alignment horizontal="center" vertical="center"/>
    </xf>
    <xf numFmtId="200" fontId="174" fillId="0" borderId="210" xfId="2048" applyNumberFormat="1" applyFont="1" applyFill="1" applyBorder="1" applyAlignment="1" applyProtection="1">
      <alignment horizontal="right" vertical="center"/>
      <protection locked="0"/>
    </xf>
    <xf numFmtId="0" fontId="72" fillId="0" borderId="0" xfId="2048" applyFont="1" applyFill="1" applyAlignment="1">
      <alignment vertical="center"/>
    </xf>
    <xf numFmtId="0" fontId="174" fillId="0" borderId="210" xfId="2048" applyFont="1" applyFill="1" applyBorder="1" applyAlignment="1" applyProtection="1">
      <alignment vertical="center" wrapText="1"/>
      <protection locked="0"/>
    </xf>
    <xf numFmtId="200" fontId="470" fillId="0" borderId="210" xfId="2048" applyNumberFormat="1" applyFont="1" applyFill="1" applyBorder="1" applyAlignment="1" applyProtection="1">
      <alignment horizontal="right" vertical="center"/>
      <protection locked="0"/>
    </xf>
    <xf numFmtId="0" fontId="83" fillId="0" borderId="0" xfId="2048" applyFont="1" applyFill="1" applyAlignment="1">
      <alignment vertical="center"/>
    </xf>
    <xf numFmtId="0" fontId="82" fillId="0" borderId="0" xfId="2048" applyFont="1" applyFill="1" applyAlignment="1">
      <alignment vertical="center"/>
    </xf>
    <xf numFmtId="0" fontId="174" fillId="0" borderId="0" xfId="2048" applyFont="1" applyFill="1" applyBorder="1" applyAlignment="1">
      <alignment horizontal="right" vertical="center"/>
    </xf>
    <xf numFmtId="0" fontId="174" fillId="0" borderId="0" xfId="2048" applyFont="1" applyFill="1" applyBorder="1" applyAlignment="1">
      <alignment horizontal="right" vertical="center" wrapText="1"/>
    </xf>
    <xf numFmtId="0" fontId="174" fillId="0" borderId="269" xfId="2048" applyFont="1" applyFill="1" applyBorder="1" applyAlignment="1">
      <alignment horizontal="center" vertical="center" wrapText="1"/>
    </xf>
    <xf numFmtId="0" fontId="174" fillId="0" borderId="85" xfId="2048" applyFont="1" applyFill="1" applyBorder="1" applyAlignment="1">
      <alignment horizontal="center" vertical="center" wrapText="1"/>
    </xf>
    <xf numFmtId="0" fontId="177" fillId="0" borderId="210" xfId="2048" applyFont="1" applyFill="1" applyBorder="1" applyAlignment="1">
      <alignment vertical="center" wrapText="1"/>
    </xf>
    <xf numFmtId="0" fontId="177" fillId="0" borderId="210" xfId="2048" applyFont="1" applyFill="1" applyBorder="1" applyAlignment="1">
      <alignment horizontal="center" vertical="center" wrapText="1"/>
    </xf>
    <xf numFmtId="200" fontId="177" fillId="81" borderId="210" xfId="2048" applyNumberFormat="1" applyFont="1" applyFill="1" applyBorder="1" applyAlignment="1" applyProtection="1">
      <alignment horizontal="right" vertical="center"/>
      <protection locked="0"/>
    </xf>
    <xf numFmtId="200" fontId="177" fillId="82" borderId="210" xfId="2048" applyNumberFormat="1" applyFont="1" applyFill="1" applyBorder="1" applyAlignment="1" applyProtection="1">
      <alignment horizontal="right" vertical="center"/>
      <protection locked="0"/>
    </xf>
    <xf numFmtId="0" fontId="174" fillId="0" borderId="210" xfId="2048" applyFont="1" applyFill="1" applyBorder="1" applyAlignment="1">
      <alignment vertical="center" wrapText="1"/>
    </xf>
    <xf numFmtId="200" fontId="177" fillId="83" borderId="210" xfId="2048" applyNumberFormat="1" applyFont="1" applyFill="1" applyBorder="1" applyAlignment="1" applyProtection="1">
      <alignment horizontal="right" vertical="center"/>
      <protection locked="0"/>
    </xf>
    <xf numFmtId="200" fontId="174" fillId="83" borderId="210" xfId="2048" applyNumberFormat="1" applyFont="1" applyFill="1" applyBorder="1" applyAlignment="1" applyProtection="1">
      <alignment horizontal="right" vertical="center"/>
      <protection locked="0"/>
    </xf>
    <xf numFmtId="200" fontId="177" fillId="0" borderId="210" xfId="2048" applyNumberFormat="1" applyFont="1" applyFill="1" applyBorder="1" applyAlignment="1" applyProtection="1">
      <alignment horizontal="right" vertical="center"/>
      <protection locked="0"/>
    </xf>
    <xf numFmtId="0" fontId="83" fillId="0" borderId="0" xfId="2048" applyFont="1" applyFill="1" applyBorder="1" applyAlignment="1">
      <alignment vertical="center"/>
    </xf>
    <xf numFmtId="0" fontId="174" fillId="0" borderId="272" xfId="2048" applyFont="1" applyFill="1" applyBorder="1" applyAlignment="1">
      <alignment horizontal="center" vertical="center" wrapText="1"/>
    </xf>
    <xf numFmtId="0" fontId="177" fillId="0" borderId="14" xfId="2048" applyFont="1" applyFill="1" applyBorder="1" applyAlignment="1">
      <alignment vertical="center" wrapText="1"/>
    </xf>
    <xf numFmtId="0" fontId="177" fillId="0" borderId="14" xfId="2048" applyFont="1" applyFill="1" applyBorder="1" applyAlignment="1">
      <alignment horizontal="center" vertical="center" wrapText="1"/>
    </xf>
    <xf numFmtId="0" fontId="174" fillId="0" borderId="14" xfId="2048" applyFont="1" applyFill="1" applyBorder="1" applyAlignment="1">
      <alignment vertical="center" wrapText="1"/>
    </xf>
    <xf numFmtId="0" fontId="174" fillId="0" borderId="14" xfId="2048" applyFont="1" applyFill="1" applyBorder="1" applyAlignment="1">
      <alignment horizontal="center" vertical="center" wrapText="1"/>
    </xf>
    <xf numFmtId="200" fontId="174" fillId="0" borderId="210" xfId="2048" applyNumberFormat="1" applyFont="1" applyFill="1" applyBorder="1" applyAlignment="1" applyProtection="1">
      <alignment horizontal="right" vertical="center" wrapText="1"/>
      <protection locked="0"/>
    </xf>
    <xf numFmtId="200" fontId="174" fillId="0" borderId="14" xfId="2048" applyNumberFormat="1" applyFont="1" applyFill="1" applyBorder="1" applyAlignment="1" applyProtection="1">
      <alignment horizontal="right" vertical="center" wrapText="1"/>
      <protection locked="0"/>
    </xf>
    <xf numFmtId="200" fontId="177" fillId="0" borderId="14" xfId="2048" applyNumberFormat="1" applyFont="1" applyFill="1" applyBorder="1" applyAlignment="1" applyProtection="1">
      <alignment horizontal="right" vertical="center" wrapText="1"/>
      <protection locked="0"/>
    </xf>
    <xf numFmtId="4" fontId="0" fillId="57" borderId="0" xfId="0" applyFill="1" applyAlignment="1"/>
    <xf numFmtId="4" fontId="471" fillId="0" borderId="0" xfId="0" applyFont="1" applyAlignment="1"/>
    <xf numFmtId="4" fontId="471" fillId="57" borderId="0" xfId="0" applyFont="1" applyFill="1" applyAlignment="1"/>
    <xf numFmtId="4" fontId="67" fillId="3" borderId="238" xfId="1295" applyNumberFormat="1" applyFont="1" applyFill="1" applyBorder="1" applyAlignment="1">
      <alignment vertical="center" wrapText="1"/>
    </xf>
    <xf numFmtId="4" fontId="152" fillId="2" borderId="238" xfId="1295" applyNumberFormat="1" applyFont="1" applyFill="1" applyBorder="1" applyAlignment="1">
      <alignment vertical="center" wrapText="1"/>
    </xf>
    <xf numFmtId="4" fontId="119" fillId="0" borderId="238" xfId="1295" applyNumberFormat="1" applyFont="1" applyBorder="1" applyAlignment="1">
      <alignment vertical="center" wrapText="1"/>
    </xf>
    <xf numFmtId="4" fontId="119" fillId="0" borderId="238" xfId="1295" applyNumberFormat="1" applyFont="1" applyBorder="1" applyAlignment="1">
      <alignment horizontal="center" wrapText="1"/>
    </xf>
    <xf numFmtId="4" fontId="22" fillId="0" borderId="238" xfId="1295" applyNumberFormat="1" applyFont="1" applyBorder="1" applyAlignment="1">
      <alignment vertical="center" wrapText="1"/>
    </xf>
    <xf numFmtId="4" fontId="22" fillId="0" borderId="238" xfId="1295" applyNumberFormat="1" applyFont="1" applyBorder="1" applyAlignment="1">
      <alignment horizontal="center" wrapText="1"/>
    </xf>
    <xf numFmtId="4" fontId="119" fillId="0" borderId="238" xfId="1295" applyNumberFormat="1" applyFont="1" applyFill="1" applyBorder="1" applyAlignment="1">
      <alignment vertical="center" wrapText="1"/>
    </xf>
    <xf numFmtId="4" fontId="119" fillId="0" borderId="238" xfId="1295" applyNumberFormat="1" applyFont="1" applyFill="1" applyBorder="1" applyAlignment="1">
      <alignment horizontal="center" wrapText="1"/>
    </xf>
    <xf numFmtId="4" fontId="22" fillId="0" borderId="238" xfId="1295" applyNumberFormat="1" applyFont="1" applyFill="1" applyBorder="1" applyAlignment="1">
      <alignment vertical="center" wrapText="1"/>
    </xf>
    <xf numFmtId="4" fontId="22" fillId="0" borderId="238" xfId="1295" applyNumberFormat="1" applyFont="1" applyFill="1" applyBorder="1" applyAlignment="1">
      <alignment horizontal="center" vertical="center" wrapText="1"/>
    </xf>
    <xf numFmtId="4" fontId="22" fillId="0" borderId="238" xfId="1295" applyNumberFormat="1" applyFont="1" applyBorder="1" applyAlignment="1">
      <alignment horizontal="center" vertical="center" wrapText="1"/>
    </xf>
    <xf numFmtId="4" fontId="150" fillId="0" borderId="238" xfId="1295" applyNumberFormat="1" applyFont="1" applyBorder="1" applyAlignment="1">
      <alignment vertical="center" wrapText="1"/>
    </xf>
    <xf numFmtId="4" fontId="150" fillId="0" borderId="238" xfId="1295" applyNumberFormat="1" applyFont="1" applyBorder="1" applyAlignment="1">
      <alignment horizontal="center" wrapText="1"/>
    </xf>
    <xf numFmtId="4" fontId="8" fillId="0" borderId="238" xfId="1295" applyNumberFormat="1" applyFont="1" applyBorder="1" applyAlignment="1">
      <alignment vertical="center" wrapText="1"/>
    </xf>
    <xf numFmtId="4" fontId="22" fillId="0" borderId="238" xfId="1295" applyNumberFormat="1" applyFont="1" applyBorder="1" applyAlignment="1">
      <alignment wrapText="1"/>
    </xf>
    <xf numFmtId="4" fontId="119" fillId="0" borderId="238" xfId="1295" applyNumberFormat="1" applyFont="1" applyBorder="1" applyAlignment="1">
      <alignment horizontal="center" vertical="center" wrapText="1"/>
    </xf>
    <xf numFmtId="4" fontId="119" fillId="0" borderId="238" xfId="1295" applyNumberFormat="1" applyFont="1" applyBorder="1" applyAlignment="1">
      <alignment horizontal="center" vertical="center"/>
    </xf>
    <xf numFmtId="0" fontId="67" fillId="3" borderId="238" xfId="1159" applyFont="1" applyFill="1" applyBorder="1" applyAlignment="1">
      <alignment vertical="center" wrapText="1"/>
    </xf>
    <xf numFmtId="0" fontId="150" fillId="0" borderId="238" xfId="1159" applyFont="1" applyBorder="1" applyAlignment="1">
      <alignment vertical="center" wrapText="1"/>
    </xf>
    <xf numFmtId="0" fontId="150" fillId="0" borderId="238" xfId="1159" applyFont="1" applyBorder="1" applyAlignment="1">
      <alignment horizontal="center" wrapText="1"/>
    </xf>
    <xf numFmtId="0" fontId="22" fillId="0" borderId="238" xfId="1159" applyFont="1" applyBorder="1" applyAlignment="1">
      <alignment vertical="center" wrapText="1"/>
    </xf>
    <xf numFmtId="0" fontId="22" fillId="0" borderId="238" xfId="1159" applyFont="1" applyBorder="1" applyAlignment="1">
      <alignment horizontal="center" wrapText="1"/>
    </xf>
    <xf numFmtId="0" fontId="119" fillId="0" borderId="238" xfId="1159" applyFont="1" applyBorder="1" applyAlignment="1">
      <alignment vertical="center" wrapText="1"/>
    </xf>
    <xf numFmtId="0" fontId="119" fillId="0" borderId="238" xfId="1159" applyFont="1" applyBorder="1" applyAlignment="1">
      <alignment horizontal="center" wrapText="1"/>
    </xf>
    <xf numFmtId="0" fontId="22" fillId="0" borderId="85" xfId="1159" applyFont="1" applyBorder="1" applyAlignment="1">
      <alignment horizontal="center" wrapText="1"/>
    </xf>
    <xf numFmtId="4" fontId="22" fillId="0" borderId="270" xfId="1295" applyNumberFormat="1" applyFont="1" applyBorder="1" applyAlignment="1">
      <alignment vertical="center" wrapText="1"/>
    </xf>
    <xf numFmtId="4" fontId="22" fillId="0" borderId="270" xfId="1295" applyNumberFormat="1" applyFont="1" applyBorder="1" applyAlignment="1">
      <alignment horizontal="center" wrapText="1"/>
    </xf>
    <xf numFmtId="0" fontId="129" fillId="0" borderId="238" xfId="1159" applyNumberFormat="1" applyBorder="1" applyAlignment="1"/>
    <xf numFmtId="0" fontId="22" fillId="0" borderId="238" xfId="1159" applyFont="1" applyFill="1" applyBorder="1" applyAlignment="1">
      <alignment horizontal="center" wrapText="1"/>
    </xf>
    <xf numFmtId="172" fontId="119" fillId="27" borderId="238" xfId="1295" applyNumberFormat="1" applyFont="1" applyFill="1" applyBorder="1" applyAlignment="1">
      <alignment horizontal="center" vertical="center" wrapText="1"/>
    </xf>
    <xf numFmtId="172" fontId="119" fillId="0" borderId="238" xfId="1295" applyNumberFormat="1" applyFont="1" applyFill="1" applyBorder="1" applyAlignment="1">
      <alignment horizontal="center" vertical="center" wrapText="1"/>
    </xf>
    <xf numFmtId="173" fontId="22" fillId="0" borderId="238" xfId="1295" applyNumberFormat="1" applyFont="1" applyFill="1" applyBorder="1" applyAlignment="1">
      <alignment horizontal="center" vertical="center" wrapText="1"/>
    </xf>
    <xf numFmtId="172" fontId="22" fillId="0" borderId="238" xfId="1295" applyNumberFormat="1" applyFont="1" applyFill="1" applyBorder="1" applyAlignment="1">
      <alignment horizontal="center" vertical="center" wrapText="1"/>
    </xf>
    <xf numFmtId="172" fontId="22" fillId="27" borderId="238" xfId="1295" applyNumberFormat="1" applyFont="1" applyFill="1" applyBorder="1" applyAlignment="1">
      <alignment horizontal="center" vertical="center" wrapText="1"/>
    </xf>
    <xf numFmtId="4" fontId="150" fillId="0" borderId="238" xfId="1295" applyNumberFormat="1" applyFont="1" applyBorder="1" applyAlignment="1">
      <alignment horizontal="center" vertical="center" wrapText="1"/>
    </xf>
    <xf numFmtId="4" fontId="8" fillId="0" borderId="238" xfId="1295" applyNumberFormat="1" applyFont="1" applyFill="1" applyBorder="1" applyAlignment="1">
      <alignment vertical="center"/>
    </xf>
    <xf numFmtId="172" fontId="119" fillId="0" borderId="238" xfId="1295" applyNumberFormat="1" applyFont="1" applyBorder="1" applyAlignment="1">
      <alignment horizontal="center" vertical="center" wrapText="1"/>
    </xf>
    <xf numFmtId="4" fontId="119" fillId="0" borderId="238" xfId="1295" applyNumberFormat="1" applyFont="1" applyFill="1" applyBorder="1" applyAlignment="1">
      <alignment horizontal="center" vertical="center" wrapText="1"/>
    </xf>
    <xf numFmtId="4" fontId="150" fillId="0" borderId="238" xfId="1295" applyNumberFormat="1" applyFont="1" applyFill="1" applyBorder="1" applyAlignment="1">
      <alignment horizontal="center" vertical="center" wrapText="1"/>
    </xf>
    <xf numFmtId="4" fontId="150" fillId="0" borderId="238" xfId="1159" applyNumberFormat="1" applyFont="1" applyBorder="1" applyAlignment="1">
      <alignment horizontal="center" vertical="center" wrapText="1"/>
    </xf>
    <xf numFmtId="4" fontId="22" fillId="0" borderId="238" xfId="1159" applyNumberFormat="1" applyFont="1" applyBorder="1" applyAlignment="1">
      <alignment horizontal="center" vertical="center" wrapText="1"/>
    </xf>
    <xf numFmtId="4" fontId="22" fillId="0" borderId="238" xfId="1159" applyNumberFormat="1" applyFont="1" applyFill="1" applyBorder="1" applyAlignment="1">
      <alignment horizontal="center" vertical="center" wrapText="1"/>
    </xf>
    <xf numFmtId="4" fontId="119" fillId="0" borderId="238" xfId="1159" applyNumberFormat="1" applyFont="1" applyBorder="1" applyAlignment="1">
      <alignment horizontal="center" vertical="center" wrapText="1"/>
    </xf>
    <xf numFmtId="4" fontId="22" fillId="0" borderId="270" xfId="1159" applyNumberFormat="1" applyFont="1" applyBorder="1" applyAlignment="1">
      <alignment horizontal="center" vertical="center" wrapText="1"/>
    </xf>
    <xf numFmtId="0" fontId="15" fillId="0" borderId="0" xfId="1116"/>
    <xf numFmtId="0" fontId="475" fillId="0" borderId="0" xfId="3448" applyNumberFormat="1" applyFont="1"/>
    <xf numFmtId="0" fontId="476" fillId="0" borderId="0" xfId="3448" applyNumberFormat="1" applyFont="1"/>
    <xf numFmtId="0" fontId="477" fillId="0" borderId="0" xfId="3448" applyNumberFormat="1" applyFont="1" applyAlignment="1">
      <alignment wrapText="1"/>
    </xf>
    <xf numFmtId="0" fontId="487" fillId="0" borderId="0" xfId="3448" applyNumberFormat="1" applyFont="1"/>
    <xf numFmtId="0" fontId="479" fillId="0" borderId="0" xfId="3448" applyNumberFormat="1" applyFont="1"/>
    <xf numFmtId="0" fontId="480" fillId="0" borderId="0" xfId="3448" applyNumberFormat="1" applyFont="1"/>
    <xf numFmtId="0" fontId="477" fillId="0" borderId="0" xfId="3448" applyNumberFormat="1" applyFont="1"/>
    <xf numFmtId="0" fontId="481" fillId="0" borderId="0" xfId="3448" applyNumberFormat="1" applyFont="1" applyAlignment="1">
      <alignment horizontal="left" vertical="top" wrapText="1"/>
    </xf>
    <xf numFmtId="0" fontId="476" fillId="0" borderId="0" xfId="3448" applyNumberFormat="1" applyFont="1" applyAlignment="1">
      <alignment wrapText="1"/>
    </xf>
    <xf numFmtId="0" fontId="480" fillId="0" borderId="0" xfId="3448" applyNumberFormat="1" applyFont="1" applyAlignment="1">
      <alignment wrapText="1"/>
    </xf>
    <xf numFmtId="0" fontId="478" fillId="0" borderId="0" xfId="3448" applyNumberFormat="1" applyFont="1" applyAlignment="1">
      <alignment vertical="top" wrapText="1"/>
    </xf>
    <xf numFmtId="0" fontId="478" fillId="0" borderId="0" xfId="3448" applyNumberFormat="1" applyFont="1"/>
    <xf numFmtId="0" fontId="482" fillId="0" borderId="0" xfId="3448" applyNumberFormat="1" applyFont="1" applyAlignment="1">
      <alignment horizontal="left" vertical="center" wrapText="1"/>
    </xf>
    <xf numFmtId="0" fontId="483" fillId="0" borderId="0" xfId="3448" applyNumberFormat="1" applyFont="1" applyAlignment="1">
      <alignment vertical="center" wrapText="1"/>
    </xf>
    <xf numFmtId="0" fontId="476" fillId="0" borderId="274" xfId="3448" applyNumberFormat="1" applyFont="1" applyBorder="1" applyAlignment="1">
      <alignment wrapText="1"/>
    </xf>
    <xf numFmtId="0" fontId="482" fillId="0" borderId="0" xfId="3448" applyNumberFormat="1" applyFont="1"/>
    <xf numFmtId="0" fontId="484" fillId="0" borderId="0" xfId="3448" applyNumberFormat="1" applyFont="1" applyAlignment="1">
      <alignment wrapText="1"/>
    </xf>
    <xf numFmtId="0" fontId="485" fillId="86" borderId="276" xfId="3448" applyNumberFormat="1" applyFont="1" applyFill="1" applyBorder="1" applyAlignment="1">
      <alignment horizontal="center" vertical="center" wrapText="1"/>
    </xf>
    <xf numFmtId="0" fontId="485" fillId="87" borderId="276" xfId="3448" applyNumberFormat="1" applyFont="1" applyFill="1" applyBorder="1" applyAlignment="1">
      <alignment horizontal="center" vertical="center" wrapText="1"/>
    </xf>
    <xf numFmtId="0" fontId="485" fillId="88" borderId="276" xfId="3448" applyNumberFormat="1" applyFont="1" applyFill="1" applyBorder="1" applyAlignment="1">
      <alignment horizontal="center" vertical="center" wrapText="1"/>
    </xf>
    <xf numFmtId="0" fontId="485" fillId="89" borderId="276" xfId="3448" applyNumberFormat="1" applyFont="1" applyFill="1" applyBorder="1" applyAlignment="1">
      <alignment horizontal="center" vertical="center" wrapText="1"/>
    </xf>
    <xf numFmtId="0" fontId="482" fillId="0" borderId="274" xfId="3448" applyNumberFormat="1" applyFont="1" applyBorder="1" applyAlignment="1">
      <alignment horizontal="left" vertical="center" wrapText="1"/>
    </xf>
    <xf numFmtId="0" fontId="482" fillId="0" borderId="277" xfId="3448" applyNumberFormat="1" applyFont="1" applyBorder="1" applyAlignment="1">
      <alignment horizontal="left" vertical="center" wrapText="1"/>
    </xf>
    <xf numFmtId="0" fontId="484" fillId="0" borderId="0" xfId="3448" applyNumberFormat="1" applyFont="1"/>
    <xf numFmtId="0" fontId="484" fillId="0" borderId="274" xfId="3448" applyNumberFormat="1" applyFont="1" applyBorder="1" applyAlignment="1">
      <alignment wrapText="1"/>
    </xf>
    <xf numFmtId="0" fontId="476" fillId="0" borderId="279" xfId="3448" applyNumberFormat="1" applyFont="1" applyBorder="1" applyAlignment="1">
      <alignment wrapText="1"/>
    </xf>
    <xf numFmtId="0" fontId="476" fillId="0" borderId="280" xfId="3448" applyNumberFormat="1" applyFont="1" applyBorder="1" applyAlignment="1">
      <alignment wrapText="1"/>
    </xf>
    <xf numFmtId="0" fontId="476" fillId="0" borderId="280" xfId="3448" applyNumberFormat="1" applyFont="1" applyBorder="1" applyAlignment="1">
      <alignment vertical="center" wrapText="1"/>
    </xf>
    <xf numFmtId="0" fontId="486" fillId="0" borderId="0" xfId="3448" applyNumberFormat="1" applyFont="1"/>
    <xf numFmtId="0" fontId="488" fillId="0" borderId="281" xfId="3448" applyNumberFormat="1" applyFont="1" applyBorder="1"/>
    <xf numFmtId="0" fontId="488" fillId="0" borderId="0" xfId="3448" applyNumberFormat="1" applyFont="1"/>
    <xf numFmtId="0" fontId="489" fillId="0" borderId="0" xfId="3448" applyNumberFormat="1" applyFont="1" applyAlignment="1">
      <alignment horizontal="left" vertical="center" indent="4"/>
    </xf>
    <xf numFmtId="0" fontId="478" fillId="0" borderId="0" xfId="3448" applyNumberFormat="1" applyFont="1" applyAlignment="1">
      <alignment vertical="center" wrapText="1"/>
    </xf>
    <xf numFmtId="0" fontId="478" fillId="0" borderId="273" xfId="3448" applyNumberFormat="1" applyFont="1" applyBorder="1" applyAlignment="1">
      <alignment horizontal="left" vertical="center" wrapText="1" indent="1"/>
    </xf>
    <xf numFmtId="0" fontId="478" fillId="0" borderId="277" xfId="3448" applyNumberFormat="1" applyFont="1" applyBorder="1" applyAlignment="1">
      <alignment vertical="top"/>
    </xf>
    <xf numFmtId="0" fontId="490" fillId="0" borderId="277" xfId="3448" applyNumberFormat="1" applyFont="1" applyBorder="1" applyAlignment="1">
      <alignment vertical="center" wrapText="1"/>
    </xf>
    <xf numFmtId="0" fontId="491" fillId="0" borderId="0" xfId="3448" applyNumberFormat="1" applyFont="1"/>
    <xf numFmtId="0" fontId="490" fillId="0" borderId="0" xfId="3448" applyNumberFormat="1" applyFont="1" applyAlignment="1">
      <alignment vertical="center" wrapText="1"/>
    </xf>
    <xf numFmtId="0" fontId="478" fillId="88" borderId="276" xfId="3448" applyNumberFormat="1" applyFont="1" applyFill="1" applyBorder="1" applyAlignment="1">
      <alignment horizontal="left" vertical="center" wrapText="1" indent="1"/>
    </xf>
    <xf numFmtId="0" fontId="478" fillId="0" borderId="274" xfId="3448" applyNumberFormat="1" applyFont="1" applyBorder="1" applyAlignment="1">
      <alignment vertical="center" wrapText="1"/>
    </xf>
    <xf numFmtId="0" fontId="478" fillId="0" borderId="0" xfId="3448" applyNumberFormat="1" applyFont="1" applyAlignment="1">
      <alignment horizontal="center" vertical="center"/>
    </xf>
    <xf numFmtId="0" fontId="478" fillId="91" borderId="283" xfId="3448" applyNumberFormat="1" applyFont="1" applyFill="1" applyBorder="1" applyAlignment="1">
      <alignment horizontal="center" vertical="center" wrapText="1"/>
    </xf>
    <xf numFmtId="0" fontId="486" fillId="0" borderId="273" xfId="3448" applyNumberFormat="1" applyFont="1" applyBorder="1" applyAlignment="1">
      <alignment horizontal="center" vertical="center"/>
    </xf>
    <xf numFmtId="0" fontId="478" fillId="0" borderId="0" xfId="3448" applyNumberFormat="1" applyFont="1" applyAlignment="1">
      <alignment horizontal="right" vertical="top" indent="1"/>
    </xf>
    <xf numFmtId="0" fontId="478" fillId="0" borderId="0" xfId="3448" applyNumberFormat="1" applyFont="1" applyAlignment="1">
      <alignment horizontal="right" vertical="center" wrapText="1" indent="1"/>
    </xf>
    <xf numFmtId="0" fontId="490" fillId="0" borderId="0" xfId="3448" applyNumberFormat="1" applyFont="1"/>
    <xf numFmtId="0" fontId="478" fillId="0" borderId="277" xfId="3448" applyNumberFormat="1" applyFont="1" applyBorder="1" applyAlignment="1">
      <alignment vertical="center" wrapText="1"/>
    </xf>
    <xf numFmtId="0" fontId="486" fillId="0" borderId="0" xfId="3448" applyNumberFormat="1" applyFont="1" applyAlignment="1">
      <alignment horizontal="center" vertical="center"/>
    </xf>
    <xf numFmtId="0" fontId="492" fillId="0" borderId="0" xfId="3448" applyNumberFormat="1" applyFont="1" applyAlignment="1">
      <alignment horizontal="center" vertical="center" wrapText="1"/>
    </xf>
    <xf numFmtId="0" fontId="478" fillId="0" borderId="0" xfId="3448" applyNumberFormat="1" applyFont="1" applyAlignment="1">
      <alignment horizontal="center" vertical="center" wrapText="1"/>
    </xf>
    <xf numFmtId="0" fontId="478" fillId="0" borderId="0" xfId="3448" applyNumberFormat="1" applyFont="1" applyAlignment="1">
      <alignment vertical="top"/>
    </xf>
    <xf numFmtId="0" fontId="490" fillId="0" borderId="280" xfId="3448" applyNumberFormat="1" applyFont="1" applyBorder="1" applyAlignment="1">
      <alignment vertical="center" wrapText="1"/>
    </xf>
    <xf numFmtId="0" fontId="478" fillId="0" borderId="280" xfId="3448" applyNumberFormat="1" applyFont="1" applyBorder="1" applyAlignment="1">
      <alignment vertical="center" wrapText="1"/>
    </xf>
    <xf numFmtId="0" fontId="478" fillId="88" borderId="276" xfId="3448" applyNumberFormat="1" applyFont="1" applyFill="1" applyBorder="1" applyAlignment="1">
      <alignment horizontal="left" vertical="center" indent="1"/>
    </xf>
    <xf numFmtId="0" fontId="478" fillId="89" borderId="276" xfId="3448" applyNumberFormat="1" applyFont="1" applyFill="1" applyBorder="1" applyAlignment="1" applyProtection="1">
      <alignment horizontal="left" vertical="center" indent="1"/>
      <protection locked="0"/>
    </xf>
    <xf numFmtId="0" fontId="486" fillId="91" borderId="273" xfId="3448" applyNumberFormat="1" applyFont="1" applyFill="1" applyBorder="1" applyAlignment="1">
      <alignment horizontal="center" vertical="center"/>
    </xf>
    <xf numFmtId="0" fontId="493" fillId="0" borderId="0" xfId="3448" applyNumberFormat="1" applyFont="1" applyAlignment="1">
      <alignment vertical="center" wrapText="1"/>
    </xf>
    <xf numFmtId="0" fontId="493" fillId="0" borderId="276" xfId="3448" applyNumberFormat="1" applyFont="1" applyBorder="1" applyAlignment="1">
      <alignment horizontal="left" vertical="center" wrapText="1" indent="1"/>
    </xf>
    <xf numFmtId="0" fontId="493" fillId="0" borderId="0" xfId="3448" applyNumberFormat="1" applyFont="1"/>
    <xf numFmtId="0" fontId="478" fillId="90" borderId="0" xfId="3448" applyNumberFormat="1" applyFont="1" applyFill="1" applyAlignment="1">
      <alignment vertical="center" wrapText="1"/>
    </xf>
    <xf numFmtId="0" fontId="478" fillId="90" borderId="0" xfId="3448" applyNumberFormat="1" applyFont="1" applyFill="1" applyAlignment="1">
      <alignment vertical="center"/>
    </xf>
    <xf numFmtId="0" fontId="478" fillId="90" borderId="277" xfId="3448" applyNumberFormat="1" applyFont="1" applyFill="1" applyBorder="1" applyAlignment="1">
      <alignment vertical="center" wrapText="1"/>
    </xf>
    <xf numFmtId="49" fontId="478" fillId="88" borderId="276" xfId="3448" applyNumberFormat="1" applyFont="1" applyFill="1" applyBorder="1" applyAlignment="1">
      <alignment horizontal="left" vertical="center" wrapText="1" indent="1"/>
    </xf>
    <xf numFmtId="0" fontId="478" fillId="89" borderId="276" xfId="3448" applyNumberFormat="1" applyFont="1" applyFill="1" applyBorder="1" applyAlignment="1" applyProtection="1">
      <alignment horizontal="left" vertical="center" wrapText="1" indent="1"/>
      <protection locked="0"/>
    </xf>
    <xf numFmtId="0" fontId="486" fillId="91" borderId="285" xfId="3448" applyNumberFormat="1" applyFont="1" applyFill="1" applyBorder="1" applyAlignment="1">
      <alignment horizontal="center" vertical="center"/>
    </xf>
    <xf numFmtId="0" fontId="478" fillId="88" borderId="273" xfId="3448" applyNumberFormat="1" applyFont="1" applyFill="1" applyBorder="1" applyAlignment="1">
      <alignment horizontal="left" vertical="center" wrapText="1" indent="1"/>
    </xf>
    <xf numFmtId="0" fontId="478" fillId="91" borderId="273" xfId="3448" applyNumberFormat="1" applyFont="1" applyFill="1" applyBorder="1" applyAlignment="1">
      <alignment horizontal="center" vertical="center" wrapText="1"/>
    </xf>
    <xf numFmtId="49" fontId="478" fillId="89" borderId="273" xfId="3448" applyNumberFormat="1" applyFont="1" applyFill="1" applyBorder="1" applyAlignment="1" applyProtection="1">
      <alignment horizontal="left" vertical="center" wrapText="1" indent="1"/>
      <protection locked="0"/>
    </xf>
    <xf numFmtId="0" fontId="478" fillId="0" borderId="0" xfId="3448" applyNumberFormat="1" applyFont="1" applyAlignment="1">
      <alignment horizontal="left" vertical="center" wrapText="1" indent="1"/>
    </xf>
    <xf numFmtId="0" fontId="478" fillId="89" borderId="273" xfId="3448" applyNumberFormat="1" applyFont="1" applyFill="1" applyBorder="1" applyAlignment="1" applyProtection="1">
      <alignment horizontal="left" vertical="center" wrapText="1" indent="1"/>
      <protection locked="0"/>
    </xf>
    <xf numFmtId="0" fontId="478" fillId="0" borderId="280" xfId="3448" applyNumberFormat="1" applyFont="1" applyBorder="1" applyAlignment="1">
      <alignment horizontal="left" vertical="center" wrapText="1" indent="1"/>
    </xf>
    <xf numFmtId="0" fontId="478" fillId="0" borderId="277" xfId="3448" applyNumberFormat="1" applyFont="1" applyBorder="1" applyAlignment="1">
      <alignment horizontal="left" vertical="center" wrapText="1" indent="1"/>
    </xf>
    <xf numFmtId="0" fontId="494" fillId="0" borderId="0" xfId="3448" applyNumberFormat="1" applyFont="1" applyAlignment="1">
      <alignment vertical="center" wrapText="1"/>
    </xf>
    <xf numFmtId="0" fontId="478" fillId="90" borderId="0" xfId="3448" applyNumberFormat="1" applyFont="1" applyFill="1" applyAlignment="1">
      <alignment horizontal="right" vertical="center" wrapText="1" indent="1"/>
    </xf>
    <xf numFmtId="0" fontId="496" fillId="85" borderId="273" xfId="3448" applyNumberFormat="1" applyFont="1" applyFill="1" applyBorder="1" applyAlignment="1">
      <alignment horizontal="left" vertical="center" wrapText="1" indent="1"/>
    </xf>
    <xf numFmtId="0" fontId="492" fillId="0" borderId="273" xfId="3448" applyNumberFormat="1" applyFont="1" applyBorder="1" applyAlignment="1">
      <alignment horizontal="left" vertical="center" wrapText="1" indent="1"/>
    </xf>
    <xf numFmtId="0" fontId="486" fillId="0" borderId="273" xfId="3448" applyNumberFormat="1" applyFont="1" applyBorder="1" applyAlignment="1">
      <alignment horizontal="right" vertical="center" indent="1"/>
    </xf>
    <xf numFmtId="0" fontId="486" fillId="0" borderId="284" xfId="3448" applyNumberFormat="1" applyFont="1" applyBorder="1"/>
    <xf numFmtId="0" fontId="497" fillId="85" borderId="273" xfId="3448" applyNumberFormat="1" applyFont="1" applyFill="1" applyBorder="1" applyAlignment="1">
      <alignment horizontal="left" vertical="center" wrapText="1" indent="1"/>
    </xf>
    <xf numFmtId="0" fontId="497" fillId="84" borderId="273" xfId="3448" applyNumberFormat="1" applyFont="1" applyFill="1" applyBorder="1" applyAlignment="1">
      <alignment horizontal="left" vertical="center" wrapText="1" indent="1"/>
    </xf>
    <xf numFmtId="0" fontId="497" fillId="0" borderId="0" xfId="3448" applyNumberFormat="1" applyFont="1"/>
    <xf numFmtId="0" fontId="497" fillId="92" borderId="0" xfId="3448" applyNumberFormat="1" applyFont="1" applyFill="1"/>
    <xf numFmtId="0" fontId="498" fillId="93" borderId="0" xfId="3448" applyNumberFormat="1" applyFont="1" applyFill="1" applyAlignment="1">
      <alignment horizontal="center" vertical="center"/>
    </xf>
    <xf numFmtId="0" fontId="497" fillId="0" borderId="273" xfId="3448" applyNumberFormat="1" applyFont="1" applyBorder="1" applyAlignment="1">
      <alignment horizontal="center" vertical="center"/>
    </xf>
    <xf numFmtId="0" fontId="497" fillId="91" borderId="273" xfId="3448" applyNumberFormat="1" applyFont="1" applyFill="1" applyBorder="1" applyAlignment="1">
      <alignment horizontal="center" vertical="center"/>
    </xf>
    <xf numFmtId="49" fontId="497" fillId="0" borderId="0" xfId="3448" applyNumberFormat="1" applyFont="1"/>
    <xf numFmtId="0" fontId="500" fillId="92" borderId="286" xfId="3449" applyNumberFormat="1" applyFont="1" applyFill="1" applyBorder="1" applyAlignment="1">
      <alignment vertical="center"/>
    </xf>
    <xf numFmtId="0" fontId="497" fillId="0" borderId="0" xfId="3448" applyNumberFormat="1" applyFont="1" applyAlignment="1">
      <alignment vertical="center"/>
    </xf>
    <xf numFmtId="49" fontId="497" fillId="92" borderId="0" xfId="3450" applyNumberFormat="1" applyFont="1" applyFill="1" applyAlignment="1">
      <alignment vertical="center"/>
    </xf>
    <xf numFmtId="0" fontId="497" fillId="0" borderId="0" xfId="3450" applyNumberFormat="1" applyFont="1" applyAlignment="1">
      <alignment vertical="center"/>
    </xf>
    <xf numFmtId="49" fontId="497" fillId="0" borderId="0" xfId="3450" applyNumberFormat="1" applyFont="1" applyAlignment="1">
      <alignment horizontal="right" vertical="center" indent="1"/>
    </xf>
    <xf numFmtId="0" fontId="497" fillId="0" borderId="287" xfId="3448" applyNumberFormat="1" applyFont="1" applyBorder="1" applyAlignment="1">
      <alignment horizontal="left" vertical="center"/>
    </xf>
    <xf numFmtId="49" fontId="497" fillId="0" borderId="273" xfId="3450" applyNumberFormat="1" applyFont="1" applyBorder="1" applyAlignment="1">
      <alignment horizontal="center" vertical="center" wrapText="1"/>
    </xf>
    <xf numFmtId="0" fontId="502" fillId="0" borderId="277" xfId="3448" applyNumberFormat="1" applyFont="1" applyBorder="1" applyAlignment="1">
      <alignment horizontal="center" vertical="center" wrapText="1"/>
    </xf>
    <xf numFmtId="0" fontId="502" fillId="0" borderId="0" xfId="3448" applyNumberFormat="1" applyFont="1" applyAlignment="1">
      <alignment horizontal="center" vertical="center" wrapText="1"/>
    </xf>
    <xf numFmtId="0" fontId="500" fillId="0" borderId="0" xfId="3448" applyNumberFormat="1" applyFont="1"/>
    <xf numFmtId="0" fontId="497" fillId="94" borderId="273" xfId="3448" applyNumberFormat="1" applyFont="1" applyFill="1" applyBorder="1" applyAlignment="1">
      <alignment horizontal="left" vertical="center" wrapText="1" indent="1"/>
    </xf>
    <xf numFmtId="0" fontId="497" fillId="94" borderId="273" xfId="3448" applyNumberFormat="1" applyFont="1" applyFill="1" applyBorder="1" applyAlignment="1">
      <alignment horizontal="center" vertical="center" wrapText="1"/>
    </xf>
    <xf numFmtId="172" fontId="497" fillId="88" borderId="273" xfId="3448" applyNumberFormat="1" applyFont="1" applyFill="1" applyBorder="1" applyAlignment="1">
      <alignment horizontal="right" vertical="center"/>
    </xf>
    <xf numFmtId="0" fontId="497" fillId="85" borderId="273" xfId="3448" applyNumberFormat="1" applyFont="1" applyFill="1" applyBorder="1" applyAlignment="1">
      <alignment horizontal="left" vertical="center" wrapText="1" indent="2"/>
    </xf>
    <xf numFmtId="0" fontId="497" fillId="85" borderId="273" xfId="3448" applyNumberFormat="1" applyFont="1" applyFill="1" applyBorder="1" applyAlignment="1">
      <alignment horizontal="center" vertical="center" wrapText="1"/>
    </xf>
    <xf numFmtId="172" fontId="497" fillId="88" borderId="273" xfId="3448" applyNumberFormat="1" applyFont="1" applyFill="1" applyBorder="1" applyAlignment="1">
      <alignment horizontal="right" vertical="center" wrapText="1"/>
    </xf>
    <xf numFmtId="0" fontId="497" fillId="92" borderId="273" xfId="3450" applyNumberFormat="1" applyFont="1" applyFill="1" applyBorder="1" applyAlignment="1">
      <alignment horizontal="left" vertical="center" wrapText="1" indent="3"/>
    </xf>
    <xf numFmtId="0" fontId="497" fillId="92" borderId="273" xfId="3450" applyNumberFormat="1" applyFont="1" applyFill="1" applyBorder="1" applyAlignment="1">
      <alignment horizontal="left" vertical="center" wrapText="1" indent="4"/>
    </xf>
    <xf numFmtId="172" fontId="497" fillId="86" borderId="273" xfId="3448" applyNumberFormat="1" applyFont="1" applyFill="1" applyBorder="1" applyAlignment="1" applyProtection="1">
      <alignment horizontal="right" vertical="center" wrapText="1"/>
      <protection locked="0"/>
    </xf>
    <xf numFmtId="0" fontId="497" fillId="92" borderId="273" xfId="3450" applyNumberFormat="1" applyFont="1" applyFill="1" applyBorder="1" applyAlignment="1">
      <alignment horizontal="left" vertical="center" wrapText="1" indent="2"/>
    </xf>
    <xf numFmtId="0" fontId="497" fillId="84" borderId="273" xfId="3448" applyNumberFormat="1" applyFont="1" applyFill="1" applyBorder="1"/>
    <xf numFmtId="0" fontId="500" fillId="0" borderId="286" xfId="3449" applyNumberFormat="1" applyFont="1" applyBorder="1" applyAlignment="1">
      <alignment vertical="center"/>
    </xf>
    <xf numFmtId="49" fontId="497" fillId="0" borderId="0" xfId="3450" applyNumberFormat="1" applyFont="1" applyAlignment="1">
      <alignment vertical="center"/>
    </xf>
    <xf numFmtId="0" fontId="497" fillId="0" borderId="286" xfId="3448" applyNumberFormat="1" applyFont="1" applyBorder="1" applyAlignment="1">
      <alignment horizontal="left" vertical="center"/>
    </xf>
    <xf numFmtId="49" fontId="497" fillId="84" borderId="273" xfId="3450" applyNumberFormat="1" applyFont="1" applyFill="1" applyBorder="1" applyAlignment="1">
      <alignment vertical="center" wrapText="1"/>
    </xf>
    <xf numFmtId="49" fontId="497" fillId="0" borderId="0" xfId="3450" applyNumberFormat="1" applyFont="1">
      <alignment vertical="top"/>
    </xf>
    <xf numFmtId="49" fontId="497" fillId="0" borderId="283" xfId="3450" applyNumberFormat="1" applyFont="1" applyBorder="1" applyAlignment="1">
      <alignment horizontal="center" vertical="center" wrapText="1"/>
    </xf>
    <xf numFmtId="0" fontId="497" fillId="0" borderId="0" xfId="3448" applyNumberFormat="1" applyFont="1" applyAlignment="1">
      <alignment horizontal="left" vertical="center"/>
    </xf>
    <xf numFmtId="49" fontId="497" fillId="84" borderId="273" xfId="3450" applyNumberFormat="1" applyFont="1" applyFill="1" applyBorder="1" applyAlignment="1">
      <alignment horizontal="center" vertical="center" wrapText="1"/>
    </xf>
    <xf numFmtId="0" fontId="489" fillId="0" borderId="273" xfId="3450" applyNumberFormat="1" applyFont="1" applyBorder="1" applyAlignment="1">
      <alignment horizontal="left" vertical="center" wrapText="1" indent="2"/>
    </xf>
    <xf numFmtId="0" fontId="503" fillId="0" borderId="273" xfId="3450" applyNumberFormat="1" applyFont="1" applyBorder="1" applyAlignment="1">
      <alignment horizontal="left" vertical="center" wrapText="1" indent="2"/>
    </xf>
    <xf numFmtId="0" fontId="489" fillId="0" borderId="273" xfId="3450" applyNumberFormat="1" applyFont="1" applyBorder="1" applyAlignment="1">
      <alignment horizontal="left" vertical="center" wrapText="1" indent="3"/>
    </xf>
    <xf numFmtId="0" fontId="503" fillId="0" borderId="273" xfId="3450" applyNumberFormat="1" applyFont="1" applyBorder="1" applyAlignment="1">
      <alignment horizontal="left" vertical="center" wrapText="1" indent="3"/>
    </xf>
    <xf numFmtId="172" fontId="497" fillId="86" borderId="273" xfId="3448" applyNumberFormat="1" applyFont="1" applyFill="1" applyBorder="1" applyAlignment="1" applyProtection="1">
      <alignment horizontal="right" vertical="center"/>
      <protection locked="0"/>
    </xf>
    <xf numFmtId="0" fontId="497" fillId="0" borderId="273" xfId="3450" applyNumberFormat="1" applyFont="1" applyBorder="1" applyAlignment="1">
      <alignment horizontal="left" vertical="center" wrapText="1" indent="2"/>
    </xf>
    <xf numFmtId="49" fontId="497" fillId="0" borderId="0" xfId="3450" applyNumberFormat="1" applyFont="1" applyAlignment="1">
      <alignment horizontal="right" vertical="center" indent="2"/>
    </xf>
    <xf numFmtId="0" fontId="500" fillId="0" borderId="0" xfId="3448" applyNumberFormat="1" applyFont="1" applyAlignment="1">
      <alignment horizontal="center" vertical="center"/>
    </xf>
    <xf numFmtId="0" fontId="500" fillId="0" borderId="0" xfId="3449" applyNumberFormat="1" applyFont="1" applyAlignment="1">
      <alignment vertical="center"/>
    </xf>
    <xf numFmtId="0" fontId="497" fillId="0" borderId="273" xfId="3448" applyNumberFormat="1" applyFont="1" applyBorder="1" applyAlignment="1">
      <alignment horizontal="center" vertical="center" wrapText="1"/>
    </xf>
    <xf numFmtId="0" fontId="502" fillId="0" borderId="280" xfId="3448" applyNumberFormat="1" applyFont="1" applyBorder="1" applyAlignment="1">
      <alignment horizontal="center" vertical="center" wrapText="1"/>
    </xf>
    <xf numFmtId="172" fontId="497" fillId="88" borderId="273" xfId="3450" applyNumberFormat="1" applyFont="1" applyFill="1" applyBorder="1" applyAlignment="1">
      <alignment horizontal="right" vertical="center" wrapText="1"/>
    </xf>
    <xf numFmtId="172" fontId="497" fillId="86" borderId="273" xfId="3450" applyNumberFormat="1" applyFont="1" applyFill="1" applyBorder="1" applyAlignment="1" applyProtection="1">
      <alignment horizontal="right" vertical="center" wrapText="1"/>
      <protection locked="0"/>
    </xf>
    <xf numFmtId="172" fontId="497" fillId="84" borderId="273" xfId="3450" applyNumberFormat="1" applyFont="1" applyFill="1" applyBorder="1" applyAlignment="1">
      <alignment horizontal="right" vertical="center" wrapText="1"/>
    </xf>
    <xf numFmtId="0" fontId="502" fillId="0" borderId="282" xfId="3448" applyNumberFormat="1" applyFont="1" applyBorder="1" applyAlignment="1">
      <alignment horizontal="center" vertical="center" wrapText="1"/>
    </xf>
    <xf numFmtId="172" fontId="489" fillId="88" borderId="273" xfId="3450" applyNumberFormat="1" applyFont="1" applyFill="1" applyBorder="1" applyAlignment="1">
      <alignment horizontal="right" vertical="center" wrapText="1"/>
    </xf>
    <xf numFmtId="4" fontId="90" fillId="57" borderId="31" xfId="0" applyFont="1" applyFill="1" applyBorder="1" applyAlignment="1">
      <alignment horizontal="right" vertical="center" wrapText="1"/>
    </xf>
    <xf numFmtId="4" fontId="439" fillId="73" borderId="272" xfId="0" applyNumberFormat="1" applyFont="1" applyFill="1" applyBorder="1" applyAlignment="1">
      <alignment horizontal="right"/>
    </xf>
    <xf numFmtId="4" fontId="418" fillId="58" borderId="270" xfId="0" applyFont="1" applyFill="1" applyBorder="1" applyAlignment="1">
      <alignment horizontal="left" vertical="center"/>
    </xf>
    <xf numFmtId="4" fontId="94" fillId="58" borderId="238" xfId="0" applyNumberFormat="1" applyFont="1" applyFill="1" applyBorder="1" applyAlignment="1">
      <alignment horizontal="right" vertical="center"/>
    </xf>
    <xf numFmtId="4" fontId="418" fillId="73" borderId="290" xfId="0" applyFont="1" applyFill="1" applyBorder="1" applyAlignment="1">
      <alignment horizontal="left" vertical="center"/>
    </xf>
    <xf numFmtId="4" fontId="108" fillId="0" borderId="0" xfId="0" applyFont="1" applyAlignment="1">
      <alignment vertical="center"/>
    </xf>
    <xf numFmtId="4" fontId="174" fillId="0" borderId="0" xfId="0" applyFont="1" applyAlignment="1">
      <alignment vertical="center"/>
    </xf>
    <xf numFmtId="49" fontId="174" fillId="0" borderId="0" xfId="0" applyNumberFormat="1" applyFont="1" applyAlignment="1">
      <alignment vertical="center"/>
    </xf>
    <xf numFmtId="4" fontId="371" fillId="0" borderId="0" xfId="0" applyFont="1" applyAlignment="1"/>
    <xf numFmtId="4" fontId="371" fillId="0" borderId="0" xfId="0" applyFont="1" applyAlignment="1">
      <alignment vertical="center"/>
    </xf>
    <xf numFmtId="4" fontId="359" fillId="0" borderId="291" xfId="0" applyFont="1" applyBorder="1" applyAlignment="1">
      <alignment horizontal="left" vertical="center"/>
    </xf>
    <xf numFmtId="4" fontId="359" fillId="0" borderId="0" xfId="0" applyFont="1" applyBorder="1" applyAlignment="1">
      <alignment horizontal="left" vertical="center"/>
    </xf>
    <xf numFmtId="49" fontId="359" fillId="0" borderId="0" xfId="0" applyNumberFormat="1" applyFont="1" applyBorder="1" applyAlignment="1">
      <alignment horizontal="left" vertical="center"/>
    </xf>
    <xf numFmtId="4" fontId="359" fillId="0" borderId="0" xfId="0" applyFont="1" applyBorder="1" applyAlignment="1">
      <alignment vertical="center"/>
    </xf>
    <xf numFmtId="4" fontId="359" fillId="0" borderId="0" xfId="0" applyFont="1" applyAlignment="1">
      <alignment vertical="center"/>
    </xf>
    <xf numFmtId="49" fontId="359" fillId="0" borderId="0" xfId="0" applyNumberFormat="1" applyFont="1" applyAlignment="1">
      <alignment vertical="center"/>
    </xf>
    <xf numFmtId="4" fontId="505" fillId="0" borderId="0" xfId="0" applyFont="1" applyAlignment="1">
      <alignment vertical="center"/>
    </xf>
    <xf numFmtId="4" fontId="505" fillId="0" borderId="124" xfId="0" applyFont="1" applyBorder="1" applyAlignment="1">
      <alignment vertical="center"/>
    </xf>
    <xf numFmtId="4" fontId="505" fillId="0" borderId="125" xfId="0" applyFont="1" applyBorder="1" applyAlignment="1">
      <alignment vertical="center"/>
    </xf>
    <xf numFmtId="4" fontId="505" fillId="0" borderId="146" xfId="0" applyFont="1" applyBorder="1" applyAlignment="1">
      <alignment vertical="center"/>
    </xf>
    <xf numFmtId="4" fontId="505" fillId="0" borderId="87" xfId="0" applyFont="1" applyBorder="1" applyAlignment="1">
      <alignment vertical="center"/>
    </xf>
    <xf numFmtId="4" fontId="505" fillId="0" borderId="88" xfId="0" applyFont="1" applyBorder="1" applyAlignment="1">
      <alignment vertical="center"/>
    </xf>
    <xf numFmtId="4" fontId="505" fillId="0" borderId="53" xfId="0" applyFont="1" applyBorder="1" applyAlignment="1">
      <alignment vertical="center"/>
    </xf>
    <xf numFmtId="4" fontId="505" fillId="0" borderId="17" xfId="0" applyFont="1" applyBorder="1" applyAlignment="1">
      <alignment vertical="center"/>
    </xf>
    <xf numFmtId="4" fontId="505" fillId="0" borderId="138" xfId="0" applyFont="1" applyBorder="1" applyAlignment="1">
      <alignment vertical="center"/>
    </xf>
    <xf numFmtId="187" fontId="134" fillId="3" borderId="294" xfId="1157" applyNumberFormat="1" applyFont="1" applyFill="1" applyBorder="1" applyAlignment="1" applyProtection="1">
      <alignment horizontal="right" vertical="center" wrapText="1"/>
      <protection locked="0"/>
    </xf>
    <xf numFmtId="4" fontId="87" fillId="53" borderId="32" xfId="0" applyFont="1" applyFill="1" applyBorder="1">
      <alignment vertical="center"/>
    </xf>
    <xf numFmtId="168" fontId="83" fillId="53" borderId="27" xfId="0" applyNumberFormat="1" applyFont="1" applyFill="1" applyBorder="1" applyAlignment="1">
      <alignment horizontal="right"/>
    </xf>
    <xf numFmtId="168" fontId="198" fillId="53" borderId="27" xfId="0" applyNumberFormat="1" applyFont="1" applyFill="1" applyBorder="1" applyAlignment="1">
      <alignment horizontal="right"/>
    </xf>
    <xf numFmtId="0" fontId="198" fillId="53" borderId="27" xfId="0" applyNumberFormat="1" applyFont="1" applyFill="1" applyBorder="1" applyAlignment="1">
      <alignment horizontal="right"/>
    </xf>
    <xf numFmtId="0" fontId="83" fillId="53" borderId="27" xfId="0" applyNumberFormat="1" applyFont="1" applyFill="1" applyBorder="1" applyAlignment="1">
      <alignment horizontal="right"/>
    </xf>
    <xf numFmtId="4" fontId="198" fillId="53" borderId="27" xfId="0" applyNumberFormat="1" applyFont="1" applyFill="1" applyBorder="1" applyAlignment="1">
      <alignment horizontal="right"/>
    </xf>
    <xf numFmtId="4" fontId="87" fillId="54" borderId="32" xfId="0" applyFont="1" applyFill="1" applyBorder="1">
      <alignment vertical="center"/>
    </xf>
    <xf numFmtId="168" fontId="198" fillId="54" borderId="27" xfId="0" applyNumberFormat="1" applyFont="1" applyFill="1" applyBorder="1" applyAlignment="1">
      <alignment horizontal="right"/>
    </xf>
    <xf numFmtId="0" fontId="198" fillId="54" borderId="27" xfId="0" applyNumberFormat="1" applyFont="1" applyFill="1" applyBorder="1" applyAlignment="1">
      <alignment horizontal="right"/>
    </xf>
    <xf numFmtId="0" fontId="83" fillId="54" borderId="27" xfId="0" applyNumberFormat="1" applyFont="1" applyFill="1" applyBorder="1" applyAlignment="1">
      <alignment horizontal="right"/>
    </xf>
    <xf numFmtId="4" fontId="198" fillId="54" borderId="27" xfId="0" applyNumberFormat="1" applyFont="1" applyFill="1" applyBorder="1" applyAlignment="1">
      <alignment horizontal="right"/>
    </xf>
    <xf numFmtId="168" fontId="198" fillId="54" borderId="34" xfId="0" applyNumberFormat="1" applyFont="1" applyFill="1" applyBorder="1" applyAlignment="1">
      <alignment horizontal="right"/>
    </xf>
    <xf numFmtId="168" fontId="83" fillId="54" borderId="34" xfId="0" applyNumberFormat="1" applyFont="1" applyFill="1" applyBorder="1" applyAlignment="1">
      <alignment horizontal="right"/>
    </xf>
    <xf numFmtId="0" fontId="198" fillId="54" borderId="34" xfId="0" applyNumberFormat="1" applyFont="1" applyFill="1" applyBorder="1" applyAlignment="1">
      <alignment horizontal="right"/>
    </xf>
    <xf numFmtId="0" fontId="83" fillId="54" borderId="34" xfId="0" applyNumberFormat="1" applyFont="1" applyFill="1" applyBorder="1" applyAlignment="1">
      <alignment horizontal="right"/>
    </xf>
    <xf numFmtId="4" fontId="198" fillId="54" borderId="34" xfId="0" applyNumberFormat="1" applyFont="1" applyFill="1" applyBorder="1" applyAlignment="1">
      <alignment horizontal="right"/>
    </xf>
    <xf numFmtId="4" fontId="83" fillId="54" borderId="34" xfId="0" applyNumberFormat="1" applyFont="1" applyFill="1" applyBorder="1" applyAlignment="1">
      <alignment horizontal="right"/>
    </xf>
    <xf numFmtId="4" fontId="87" fillId="55" borderId="27" xfId="0" applyFont="1" applyFill="1" applyBorder="1">
      <alignment vertical="center"/>
    </xf>
    <xf numFmtId="168" fontId="83" fillId="55" borderId="27" xfId="0" applyNumberFormat="1" applyFont="1" applyFill="1" applyBorder="1" applyAlignment="1">
      <alignment horizontal="right"/>
    </xf>
    <xf numFmtId="168" fontId="198" fillId="55" borderId="27" xfId="0" applyNumberFormat="1" applyFont="1" applyFill="1" applyBorder="1" applyAlignment="1">
      <alignment horizontal="right"/>
    </xf>
    <xf numFmtId="0" fontId="198" fillId="55" borderId="27" xfId="0" applyNumberFormat="1" applyFont="1" applyFill="1" applyBorder="1" applyAlignment="1">
      <alignment horizontal="right"/>
    </xf>
    <xf numFmtId="0" fontId="83" fillId="55" borderId="27" xfId="0" applyNumberFormat="1" applyFont="1" applyFill="1" applyBorder="1" applyAlignment="1">
      <alignment horizontal="right"/>
    </xf>
    <xf numFmtId="4" fontId="83" fillId="55" borderId="27" xfId="0" applyNumberFormat="1" applyFont="1" applyFill="1" applyBorder="1" applyAlignment="1">
      <alignment horizontal="right"/>
    </xf>
    <xf numFmtId="4" fontId="198" fillId="55" borderId="27" xfId="0" applyNumberFormat="1" applyFont="1" applyFill="1" applyBorder="1" applyAlignment="1">
      <alignment horizontal="right"/>
    </xf>
    <xf numFmtId="168" fontId="198" fillId="55" borderId="43" xfId="0" applyNumberFormat="1" applyFont="1" applyFill="1" applyBorder="1" applyAlignment="1">
      <alignment horizontal="right"/>
    </xf>
    <xf numFmtId="168" fontId="83" fillId="55" borderId="43" xfId="0" applyNumberFormat="1" applyFont="1" applyFill="1" applyBorder="1" applyAlignment="1">
      <alignment horizontal="right"/>
    </xf>
    <xf numFmtId="0" fontId="198" fillId="55" borderId="43" xfId="0" applyNumberFormat="1" applyFont="1" applyFill="1" applyBorder="1" applyAlignment="1">
      <alignment horizontal="right"/>
    </xf>
    <xf numFmtId="0" fontId="83" fillId="55" borderId="43" xfId="0" applyNumberFormat="1" applyFont="1" applyFill="1" applyBorder="1" applyAlignment="1">
      <alignment horizontal="right"/>
    </xf>
    <xf numFmtId="4" fontId="198" fillId="55" borderId="43" xfId="0" applyNumberFormat="1" applyFont="1" applyFill="1" applyBorder="1" applyAlignment="1">
      <alignment horizontal="right"/>
    </xf>
    <xf numFmtId="4" fontId="83" fillId="55" borderId="43" xfId="0" applyNumberFormat="1" applyFont="1" applyFill="1" applyBorder="1" applyAlignment="1">
      <alignment horizontal="right"/>
    </xf>
    <xf numFmtId="4" fontId="87" fillId="55" borderId="28" xfId="0" applyFont="1" applyFill="1" applyBorder="1">
      <alignment vertical="center"/>
    </xf>
    <xf numFmtId="4" fontId="87" fillId="55" borderId="37" xfId="0" applyFont="1" applyFill="1" applyBorder="1">
      <alignment vertical="center"/>
    </xf>
    <xf numFmtId="168" fontId="83" fillId="55" borderId="47" xfId="0" applyNumberFormat="1" applyFont="1" applyFill="1" applyBorder="1" applyAlignment="1">
      <alignment horizontal="right"/>
    </xf>
    <xf numFmtId="0" fontId="198" fillId="55" borderId="47" xfId="0" applyNumberFormat="1" applyFont="1" applyFill="1" applyBorder="1" applyAlignment="1">
      <alignment horizontal="right"/>
    </xf>
    <xf numFmtId="0" fontId="83" fillId="55" borderId="47" xfId="0" applyNumberFormat="1" applyFont="1" applyFill="1" applyBorder="1" applyAlignment="1">
      <alignment horizontal="right"/>
    </xf>
    <xf numFmtId="4" fontId="198" fillId="55" borderId="47" xfId="0" applyNumberFormat="1" applyFont="1" applyFill="1" applyBorder="1" applyAlignment="1">
      <alignment horizontal="right"/>
    </xf>
    <xf numFmtId="4" fontId="83" fillId="55" borderId="47" xfId="0" applyNumberFormat="1" applyFont="1" applyFill="1" applyBorder="1" applyAlignment="1">
      <alignment horizontal="right"/>
    </xf>
    <xf numFmtId="168" fontId="198" fillId="55" borderId="28" xfId="0" applyNumberFormat="1" applyFont="1" applyFill="1" applyBorder="1" applyAlignment="1">
      <alignment horizontal="right"/>
    </xf>
    <xf numFmtId="168" fontId="83" fillId="55" borderId="28" xfId="0" applyNumberFormat="1" applyFont="1" applyFill="1" applyBorder="1" applyAlignment="1">
      <alignment horizontal="right"/>
    </xf>
    <xf numFmtId="0" fontId="198" fillId="55" borderId="28" xfId="0" applyNumberFormat="1" applyFont="1" applyFill="1" applyBorder="1" applyAlignment="1">
      <alignment horizontal="right"/>
    </xf>
    <xf numFmtId="0" fontId="83" fillId="55" borderId="28" xfId="0" applyNumberFormat="1" applyFont="1" applyFill="1" applyBorder="1" applyAlignment="1">
      <alignment horizontal="right"/>
    </xf>
    <xf numFmtId="4" fontId="198" fillId="55" borderId="28" xfId="0" applyNumberFormat="1" applyFont="1" applyFill="1" applyBorder="1" applyAlignment="1">
      <alignment horizontal="right"/>
    </xf>
    <xf numFmtId="4" fontId="83" fillId="55" borderId="28" xfId="0" applyNumberFormat="1" applyFont="1" applyFill="1" applyBorder="1" applyAlignment="1">
      <alignment horizontal="right"/>
    </xf>
    <xf numFmtId="4" fontId="506" fillId="57" borderId="29" xfId="0" applyFont="1" applyFill="1" applyBorder="1">
      <alignment vertical="center"/>
    </xf>
    <xf numFmtId="4" fontId="506" fillId="57" borderId="31" xfId="0" applyFont="1" applyFill="1" applyBorder="1" applyAlignment="1">
      <alignment horizontal="right" vertical="center" wrapText="1"/>
    </xf>
    <xf numFmtId="4" fontId="507" fillId="57" borderId="29" xfId="0" applyFont="1" applyFill="1" applyBorder="1">
      <alignment vertical="center"/>
    </xf>
    <xf numFmtId="4" fontId="507" fillId="57" borderId="31" xfId="0" applyFont="1" applyFill="1" applyBorder="1" applyAlignment="1">
      <alignment horizontal="right" vertical="center" wrapText="1"/>
    </xf>
    <xf numFmtId="4" fontId="508" fillId="57" borderId="29" xfId="0" applyFont="1" applyFill="1" applyBorder="1">
      <alignment vertical="center"/>
    </xf>
    <xf numFmtId="4" fontId="508" fillId="57" borderId="31" xfId="0" applyFont="1" applyFill="1" applyBorder="1" applyAlignment="1">
      <alignment horizontal="right" vertical="center" wrapText="1"/>
    </xf>
    <xf numFmtId="4" fontId="509" fillId="57" borderId="29" xfId="0" applyFont="1" applyFill="1" applyBorder="1">
      <alignment vertical="center"/>
    </xf>
    <xf numFmtId="4" fontId="509" fillId="0" borderId="31" xfId="0" applyFont="1" applyBorder="1" applyAlignment="1">
      <alignment horizontal="right" vertical="center" wrapText="1"/>
    </xf>
    <xf numFmtId="0" fontId="359" fillId="0" borderId="0" xfId="3452" applyFont="1" applyAlignment="1">
      <alignment vertical="center"/>
    </xf>
    <xf numFmtId="0" fontId="174" fillId="0" borderId="0" xfId="3452" applyFont="1" applyAlignment="1">
      <alignment vertical="center"/>
    </xf>
    <xf numFmtId="0" fontId="174" fillId="0" borderId="0" xfId="3452" applyFont="1" applyAlignment="1">
      <alignment horizontal="center" vertical="center"/>
    </xf>
    <xf numFmtId="0" fontId="174" fillId="0" borderId="0" xfId="3453" applyNumberFormat="1" applyFont="1" applyFill="1" applyAlignment="1">
      <alignment horizontal="left" vertical="center"/>
    </xf>
    <xf numFmtId="0" fontId="297" fillId="0" borderId="0" xfId="3452" applyFont="1" applyAlignment="1">
      <alignment vertical="center"/>
    </xf>
    <xf numFmtId="0" fontId="177" fillId="0" borderId="238" xfId="3452" applyNumberFormat="1" applyFont="1" applyBorder="1" applyAlignment="1">
      <alignment horizontal="center" vertical="center" wrapText="1"/>
    </xf>
    <xf numFmtId="0" fontId="174" fillId="0" borderId="238" xfId="3452" applyNumberFormat="1" applyFont="1" applyBorder="1" applyAlignment="1">
      <alignment horizontal="center" vertical="center" wrapText="1"/>
    </xf>
    <xf numFmtId="0" fontId="177" fillId="0" borderId="0" xfId="3452" applyFont="1" applyAlignment="1">
      <alignment vertical="center"/>
    </xf>
    <xf numFmtId="0" fontId="177" fillId="0" borderId="238" xfId="3452" applyNumberFormat="1" applyFont="1" applyFill="1" applyBorder="1" applyAlignment="1">
      <alignment horizontal="center" vertical="center" wrapText="1"/>
    </xf>
    <xf numFmtId="0" fontId="174" fillId="0" borderId="238" xfId="3452" applyNumberFormat="1" applyFont="1" applyFill="1" applyBorder="1" applyAlignment="1">
      <alignment horizontal="center" vertical="center" wrapText="1"/>
    </xf>
    <xf numFmtId="0" fontId="174" fillId="0" borderId="0" xfId="3452" applyFont="1" applyFill="1" applyAlignment="1">
      <alignment vertical="center"/>
    </xf>
    <xf numFmtId="0" fontId="177" fillId="0" borderId="0" xfId="3452" applyNumberFormat="1" applyFont="1" applyFill="1" applyBorder="1" applyAlignment="1">
      <alignment horizontal="center" vertical="top" wrapText="1"/>
    </xf>
    <xf numFmtId="0" fontId="177" fillId="0" borderId="0" xfId="3452" applyNumberFormat="1" applyFont="1" applyFill="1" applyBorder="1" applyAlignment="1">
      <alignment horizontal="left" vertical="center" wrapText="1"/>
    </xf>
    <xf numFmtId="0" fontId="179" fillId="0" borderId="0" xfId="3452" applyNumberFormat="1" applyFont="1" applyFill="1" applyBorder="1" applyAlignment="1">
      <alignment horizontal="center" vertical="center" wrapText="1"/>
    </xf>
    <xf numFmtId="1" fontId="179" fillId="0" borderId="0" xfId="3452" applyNumberFormat="1" applyFont="1" applyFill="1" applyBorder="1" applyAlignment="1">
      <alignment horizontal="center" vertical="center" wrapText="1"/>
    </xf>
    <xf numFmtId="0" fontId="177" fillId="0" borderId="0" xfId="3452" applyNumberFormat="1" applyFont="1" applyBorder="1" applyAlignment="1">
      <alignment horizontal="center" vertical="center" wrapText="1"/>
    </xf>
    <xf numFmtId="0" fontId="174" fillId="0" borderId="0" xfId="3452" applyNumberFormat="1" applyFont="1" applyBorder="1" applyAlignment="1">
      <alignment horizontal="center" vertical="center" wrapText="1"/>
    </xf>
    <xf numFmtId="0" fontId="177" fillId="0" borderId="0" xfId="3452" applyNumberFormat="1" applyFont="1" applyAlignment="1">
      <alignment vertical="center"/>
    </xf>
    <xf numFmtId="0" fontId="177" fillId="0" borderId="0" xfId="3452" applyNumberFormat="1" applyFont="1" applyAlignment="1">
      <alignment horizontal="left" vertical="center"/>
    </xf>
    <xf numFmtId="0" fontId="183" fillId="0" borderId="0" xfId="3454" applyFont="1" applyFill="1" applyBorder="1" applyAlignment="1">
      <alignment vertical="center"/>
    </xf>
    <xf numFmtId="0" fontId="183" fillId="0" borderId="0" xfId="3454" applyFont="1" applyFill="1" applyBorder="1" applyAlignment="1">
      <alignment horizontal="left" vertical="center"/>
    </xf>
    <xf numFmtId="0" fontId="371" fillId="0" borderId="0" xfId="3452" applyFont="1" applyAlignment="1">
      <alignment vertical="center"/>
    </xf>
    <xf numFmtId="0" fontId="371" fillId="0" borderId="0" xfId="3452" applyNumberFormat="1" applyFont="1" applyAlignment="1">
      <alignment horizontal="left" vertical="center"/>
    </xf>
    <xf numFmtId="0" fontId="100" fillId="0" borderId="0" xfId="1417" applyFont="1" applyFill="1" applyAlignment="1">
      <alignment horizontal="center" vertical="center"/>
    </xf>
    <xf numFmtId="0" fontId="100" fillId="0" borderId="0" xfId="1417" applyFont="1" applyFill="1" applyBorder="1" applyAlignment="1">
      <alignment vertical="top"/>
    </xf>
    <xf numFmtId="0" fontId="100" fillId="0" borderId="0" xfId="1417" applyFont="1" applyFill="1" applyAlignment="1">
      <alignment vertical="top"/>
    </xf>
    <xf numFmtId="4" fontId="22" fillId="0" borderId="0" xfId="1417" applyNumberFormat="1" applyFont="1" applyFill="1" applyBorder="1" applyAlignment="1" applyProtection="1">
      <alignment vertical="top"/>
    </xf>
    <xf numFmtId="0" fontId="22" fillId="0" borderId="0" xfId="1417" applyNumberFormat="1" applyFont="1" applyFill="1" applyBorder="1" applyAlignment="1" applyProtection="1">
      <alignment vertical="top"/>
    </xf>
    <xf numFmtId="0" fontId="7" fillId="0" borderId="0" xfId="1417"/>
    <xf numFmtId="4" fontId="7" fillId="0" borderId="0" xfId="1417" applyNumberFormat="1"/>
    <xf numFmtId="0" fontId="0" fillId="0" borderId="0" xfId="1417" applyFont="1" applyAlignment="1">
      <alignment horizontal="left"/>
    </xf>
    <xf numFmtId="4" fontId="0" fillId="0" borderId="0" xfId="1417" applyNumberFormat="1" applyFont="1"/>
    <xf numFmtId="0" fontId="72" fillId="0" borderId="0" xfId="1417" applyFont="1" applyAlignment="1">
      <alignment horizontal="left" wrapText="1"/>
    </xf>
    <xf numFmtId="0" fontId="100" fillId="0" borderId="13" xfId="1417" applyFont="1" applyFill="1" applyBorder="1" applyAlignment="1">
      <alignment horizontal="center" vertical="center" wrapText="1"/>
    </xf>
    <xf numFmtId="0" fontId="100" fillId="0" borderId="125" xfId="1417" applyFont="1" applyFill="1" applyBorder="1" applyAlignment="1">
      <alignment vertical="center" wrapText="1"/>
    </xf>
    <xf numFmtId="0" fontId="100" fillId="0" borderId="125" xfId="1417" applyFont="1" applyFill="1" applyBorder="1" applyAlignment="1">
      <alignment horizontal="center" vertical="center"/>
    </xf>
    <xf numFmtId="0" fontId="100" fillId="0" borderId="40" xfId="1417" applyFont="1" applyFill="1" applyBorder="1" applyAlignment="1">
      <alignment horizontal="center" vertical="center" wrapText="1"/>
    </xf>
    <xf numFmtId="4" fontId="100" fillId="0" borderId="42" xfId="1417" applyNumberFormat="1" applyFont="1" applyFill="1" applyBorder="1" applyAlignment="1">
      <alignment horizontal="center" vertical="center"/>
    </xf>
    <xf numFmtId="4" fontId="119" fillId="0" borderId="0" xfId="1417" applyNumberFormat="1" applyFont="1" applyFill="1" applyBorder="1" applyAlignment="1" applyProtection="1">
      <alignment vertical="center"/>
    </xf>
    <xf numFmtId="4" fontId="22" fillId="0" borderId="0" xfId="1417" applyNumberFormat="1" applyFont="1" applyFill="1" applyBorder="1" applyAlignment="1" applyProtection="1">
      <alignment vertical="center"/>
    </xf>
    <xf numFmtId="0" fontId="22" fillId="0" borderId="0" xfId="1417" applyNumberFormat="1" applyFont="1" applyFill="1" applyBorder="1" applyAlignment="1" applyProtection="1">
      <alignment vertical="center"/>
    </xf>
    <xf numFmtId="0" fontId="102" fillId="0" borderId="45" xfId="1417" applyFont="1" applyFill="1" applyBorder="1" applyAlignment="1">
      <alignment horizontal="center" vertical="center"/>
    </xf>
    <xf numFmtId="0" fontId="102" fillId="0" borderId="85" xfId="1417" applyFont="1" applyFill="1" applyBorder="1" applyAlignment="1">
      <alignment horizontal="center" vertical="top"/>
    </xf>
    <xf numFmtId="4" fontId="102" fillId="0" borderId="122" xfId="1417" applyNumberFormat="1" applyFont="1" applyFill="1" applyBorder="1" applyAlignment="1">
      <alignment horizontal="right" vertical="top"/>
    </xf>
    <xf numFmtId="4" fontId="119" fillId="0" borderId="0" xfId="1417" applyNumberFormat="1" applyFont="1" applyFill="1" applyBorder="1" applyAlignment="1" applyProtection="1">
      <alignment vertical="top"/>
    </xf>
    <xf numFmtId="0" fontId="119" fillId="0" borderId="0" xfId="1417" applyNumberFormat="1" applyFont="1" applyFill="1" applyBorder="1" applyAlignment="1" applyProtection="1">
      <alignment vertical="top"/>
    </xf>
    <xf numFmtId="0" fontId="102" fillId="0" borderId="87" xfId="1417" applyFont="1" applyFill="1" applyBorder="1" applyAlignment="1">
      <alignment horizontal="center" vertical="center"/>
    </xf>
    <xf numFmtId="0" fontId="100" fillId="0" borderId="296" xfId="1417" applyFont="1" applyFill="1" applyBorder="1" applyAlignment="1">
      <alignment vertical="top"/>
    </xf>
    <xf numFmtId="0" fontId="100" fillId="0" borderId="269" xfId="1417" applyFont="1" applyFill="1" applyBorder="1" applyAlignment="1">
      <alignment horizontal="right" vertical="top"/>
    </xf>
    <xf numFmtId="0" fontId="100" fillId="0" borderId="238" xfId="1417" applyFont="1" applyFill="1" applyBorder="1" applyAlignment="1">
      <alignment horizontal="center" vertical="top"/>
    </xf>
    <xf numFmtId="4" fontId="100" fillId="0" borderId="83" xfId="1417" applyNumberFormat="1" applyFont="1" applyFill="1" applyBorder="1" applyAlignment="1">
      <alignment horizontal="right" vertical="top"/>
    </xf>
    <xf numFmtId="0" fontId="100" fillId="0" borderId="292" xfId="1417" applyFont="1" applyFill="1" applyBorder="1" applyAlignment="1">
      <alignment horizontal="right" vertical="top"/>
    </xf>
    <xf numFmtId="0" fontId="100" fillId="0" borderId="295" xfId="1417" applyFont="1" applyFill="1" applyBorder="1" applyAlignment="1">
      <alignment horizontal="center" vertical="top"/>
    </xf>
    <xf numFmtId="4" fontId="100" fillId="0" borderId="297" xfId="1417" applyNumberFormat="1" applyFont="1" applyFill="1" applyBorder="1" applyAlignment="1">
      <alignment horizontal="right" vertical="top"/>
    </xf>
    <xf numFmtId="49" fontId="102" fillId="0" borderId="13" xfId="1417" applyNumberFormat="1" applyFont="1" applyFill="1" applyBorder="1" applyAlignment="1">
      <alignment horizontal="center" vertical="center"/>
    </xf>
    <xf numFmtId="0" fontId="100" fillId="0" borderId="77" xfId="1417" applyFont="1" applyFill="1" applyBorder="1" applyAlignment="1">
      <alignment horizontal="center" vertical="top"/>
    </xf>
    <xf numFmtId="4" fontId="102" fillId="0" borderId="78" xfId="1342" applyNumberFormat="1" applyFont="1" applyFill="1" applyBorder="1" applyAlignment="1">
      <alignment horizontal="right" vertical="top"/>
    </xf>
    <xf numFmtId="0" fontId="100" fillId="0" borderId="45" xfId="1417" applyFont="1" applyFill="1" applyBorder="1" applyAlignment="1">
      <alignment horizontal="center" vertical="center"/>
    </xf>
    <xf numFmtId="4" fontId="100" fillId="0" borderId="83" xfId="1342" applyNumberFormat="1" applyFont="1" applyFill="1" applyBorder="1" applyAlignment="1">
      <alignment horizontal="right" vertical="top"/>
    </xf>
    <xf numFmtId="4" fontId="511" fillId="0" borderId="0" xfId="1417" applyNumberFormat="1" applyFont="1" applyFill="1" applyBorder="1" applyAlignment="1" applyProtection="1">
      <alignment vertical="top"/>
    </xf>
    <xf numFmtId="0" fontId="100" fillId="0" borderId="84" xfId="1417" applyFont="1" applyFill="1" applyBorder="1" applyAlignment="1">
      <alignment horizontal="center" vertical="center"/>
    </xf>
    <xf numFmtId="0" fontId="100" fillId="0" borderId="298" xfId="1417" applyFont="1" applyFill="1" applyBorder="1" applyAlignment="1">
      <alignment vertical="top"/>
    </xf>
    <xf numFmtId="0" fontId="100" fillId="0" borderId="71" xfId="1417" applyFont="1" applyFill="1" applyBorder="1" applyAlignment="1">
      <alignment horizontal="right" vertical="top"/>
    </xf>
    <xf numFmtId="0" fontId="100" fillId="0" borderId="18" xfId="1417" applyFont="1" applyFill="1" applyBorder="1" applyAlignment="1">
      <alignment horizontal="center" vertical="top"/>
    </xf>
    <xf numFmtId="4" fontId="100" fillId="0" borderId="19" xfId="1342" applyNumberFormat="1" applyFont="1" applyFill="1" applyBorder="1" applyAlignment="1">
      <alignment horizontal="right" vertical="top"/>
    </xf>
    <xf numFmtId="14" fontId="100" fillId="0" borderId="45" xfId="1417" applyNumberFormat="1" applyFont="1" applyFill="1" applyBorder="1" applyAlignment="1">
      <alignment horizontal="center" vertical="center"/>
    </xf>
    <xf numFmtId="0" fontId="109" fillId="0" borderId="37" xfId="1417" applyFont="1" applyFill="1" applyBorder="1" applyAlignment="1">
      <alignment horizontal="left" vertical="top"/>
    </xf>
    <xf numFmtId="0" fontId="100" fillId="0" borderId="0" xfId="1417" applyFont="1" applyFill="1" applyBorder="1" applyAlignment="1">
      <alignment horizontal="right" vertical="top"/>
    </xf>
    <xf numFmtId="0" fontId="100" fillId="0" borderId="43" xfId="1417" applyFont="1" applyFill="1" applyBorder="1" applyAlignment="1">
      <alignment horizontal="center" vertical="top"/>
    </xf>
    <xf numFmtId="172" fontId="512" fillId="0" borderId="46" xfId="1342" applyNumberFormat="1" applyFont="1" applyFill="1" applyBorder="1" applyAlignment="1">
      <alignment vertical="top"/>
    </xf>
    <xf numFmtId="172" fontId="100" fillId="0" borderId="83" xfId="3455" applyNumberFormat="1" applyFont="1" applyBorder="1" applyAlignment="1">
      <alignment vertical="center"/>
    </xf>
    <xf numFmtId="14" fontId="100" fillId="57" borderId="13" xfId="1417" applyNumberFormat="1" applyFont="1" applyFill="1" applyBorder="1" applyAlignment="1">
      <alignment horizontal="center" vertical="center"/>
    </xf>
    <xf numFmtId="0" fontId="100" fillId="57" borderId="45" xfId="1417" applyFont="1" applyFill="1" applyBorder="1" applyAlignment="1">
      <alignment horizontal="center" vertical="center"/>
    </xf>
    <xf numFmtId="0" fontId="100" fillId="57" borderId="296" xfId="1417" applyFont="1" applyFill="1" applyBorder="1" applyAlignment="1">
      <alignment vertical="top"/>
    </xf>
    <xf numFmtId="0" fontId="100" fillId="57" borderId="269" xfId="1417" applyFont="1" applyFill="1" applyBorder="1" applyAlignment="1">
      <alignment horizontal="right" vertical="top"/>
    </xf>
    <xf numFmtId="0" fontId="100" fillId="57" borderId="238" xfId="1417" applyFont="1" applyFill="1" applyBorder="1" applyAlignment="1">
      <alignment horizontal="center" vertical="top"/>
    </xf>
    <xf numFmtId="4" fontId="100" fillId="57" borderId="83" xfId="1342" applyNumberFormat="1" applyFont="1" applyFill="1" applyBorder="1" applyAlignment="1">
      <alignment horizontal="right" vertical="top"/>
    </xf>
    <xf numFmtId="0" fontId="100" fillId="57" borderId="84" xfId="1417" applyFont="1" applyFill="1" applyBorder="1" applyAlignment="1">
      <alignment horizontal="center" vertical="center"/>
    </xf>
    <xf numFmtId="0" fontId="100" fillId="57" borderId="298" xfId="1417" applyFont="1" applyFill="1" applyBorder="1" applyAlignment="1">
      <alignment vertical="top"/>
    </xf>
    <xf numFmtId="0" fontId="100" fillId="57" borderId="71" xfId="1417" applyFont="1" applyFill="1" applyBorder="1" applyAlignment="1">
      <alignment horizontal="right" vertical="top"/>
    </xf>
    <xf numFmtId="0" fontId="100" fillId="57" borderId="18" xfId="1417" applyFont="1" applyFill="1" applyBorder="1" applyAlignment="1">
      <alignment horizontal="center" vertical="top"/>
    </xf>
    <xf numFmtId="4" fontId="100" fillId="57" borderId="19" xfId="1342" applyNumberFormat="1" applyFont="1" applyFill="1" applyBorder="1" applyAlignment="1">
      <alignment horizontal="right" vertical="top"/>
    </xf>
    <xf numFmtId="49" fontId="102" fillId="0" borderId="45" xfId="1417" applyNumberFormat="1" applyFont="1" applyFill="1" applyBorder="1" applyAlignment="1">
      <alignment horizontal="center" vertical="center"/>
    </xf>
    <xf numFmtId="0" fontId="100" fillId="0" borderId="85" xfId="1417" applyFont="1" applyFill="1" applyBorder="1" applyAlignment="1">
      <alignment horizontal="center" vertical="top"/>
    </xf>
    <xf numFmtId="4" fontId="102" fillId="0" borderId="122" xfId="1342" applyNumberFormat="1" applyFont="1" applyFill="1" applyBorder="1" applyAlignment="1">
      <alignment horizontal="right" vertical="top"/>
    </xf>
    <xf numFmtId="49" fontId="100" fillId="0" borderId="45" xfId="1417" applyNumberFormat="1" applyFont="1" applyFill="1" applyBorder="1" applyAlignment="1">
      <alignment horizontal="center" vertical="center"/>
    </xf>
    <xf numFmtId="4" fontId="100" fillId="0" borderId="83" xfId="1342" applyNumberFormat="1" applyFont="1" applyFill="1" applyBorder="1" applyAlignment="1">
      <alignment vertical="top"/>
    </xf>
    <xf numFmtId="4" fontId="100" fillId="0" borderId="297" xfId="1342" applyNumberFormat="1" applyFont="1" applyFill="1" applyBorder="1" applyAlignment="1">
      <alignment vertical="top"/>
    </xf>
    <xf numFmtId="49" fontId="100" fillId="0" borderId="13" xfId="1417" applyNumberFormat="1" applyFont="1" applyFill="1" applyBorder="1" applyAlignment="1">
      <alignment horizontal="center" vertical="center"/>
    </xf>
    <xf numFmtId="172" fontId="512" fillId="0" borderId="78" xfId="1342" applyNumberFormat="1" applyFont="1" applyFill="1" applyBorder="1" applyAlignment="1">
      <alignment horizontal="right" vertical="top"/>
    </xf>
    <xf numFmtId="172" fontId="100" fillId="0" borderId="122" xfId="1342" applyNumberFormat="1" applyFont="1" applyFill="1" applyBorder="1" applyAlignment="1">
      <alignment vertical="top"/>
    </xf>
    <xf numFmtId="0" fontId="22" fillId="95" borderId="0" xfId="1417" applyNumberFormat="1" applyFont="1" applyFill="1" applyBorder="1" applyAlignment="1" applyProtection="1">
      <alignment vertical="top"/>
    </xf>
    <xf numFmtId="49" fontId="100" fillId="57" borderId="13" xfId="1417" applyNumberFormat="1" applyFont="1" applyFill="1" applyBorder="1" applyAlignment="1">
      <alignment horizontal="center" vertical="center"/>
    </xf>
    <xf numFmtId="4" fontId="22" fillId="95" borderId="0" xfId="1417" applyNumberFormat="1" applyFont="1" applyFill="1" applyBorder="1" applyAlignment="1" applyProtection="1">
      <alignment vertical="top"/>
    </xf>
    <xf numFmtId="49" fontId="100" fillId="57" borderId="45" xfId="1417" applyNumberFormat="1" applyFont="1" applyFill="1" applyBorder="1" applyAlignment="1">
      <alignment horizontal="center" vertical="center"/>
    </xf>
    <xf numFmtId="0" fontId="100" fillId="57" borderId="238" xfId="1417" applyFont="1" applyFill="1" applyBorder="1" applyAlignment="1">
      <alignment horizontal="center" vertical="top" wrapText="1"/>
    </xf>
    <xf numFmtId="4" fontId="100" fillId="57" borderId="83" xfId="1342" applyNumberFormat="1" applyFont="1" applyFill="1" applyBorder="1" applyAlignment="1">
      <alignment vertical="top"/>
    </xf>
    <xf numFmtId="0" fontId="100" fillId="57" borderId="18" xfId="1417" applyFont="1" applyFill="1" applyBorder="1" applyAlignment="1">
      <alignment horizontal="center" vertical="top" wrapText="1"/>
    </xf>
    <xf numFmtId="4" fontId="100" fillId="57" borderId="19" xfId="1342" applyNumberFormat="1" applyFont="1" applyFill="1" applyBorder="1" applyAlignment="1">
      <alignment vertical="top"/>
    </xf>
    <xf numFmtId="0" fontId="100" fillId="57" borderId="77" xfId="1417" applyFont="1" applyFill="1" applyBorder="1" applyAlignment="1">
      <alignment horizontal="center" vertical="top"/>
    </xf>
    <xf numFmtId="172" fontId="512" fillId="57" borderId="78" xfId="1342" applyNumberFormat="1" applyFont="1" applyFill="1" applyBorder="1" applyAlignment="1">
      <alignment horizontal="right" vertical="top"/>
    </xf>
    <xf numFmtId="172" fontId="100" fillId="57" borderId="83" xfId="3455" applyNumberFormat="1" applyFont="1" applyFill="1" applyBorder="1" applyAlignment="1">
      <alignment vertical="center"/>
    </xf>
    <xf numFmtId="172" fontId="100" fillId="57" borderId="83" xfId="1342" applyNumberFormat="1" applyFont="1" applyFill="1" applyBorder="1" applyAlignment="1">
      <alignment vertical="top"/>
    </xf>
    <xf numFmtId="0" fontId="100" fillId="57" borderId="292" xfId="1417" applyFont="1" applyFill="1" applyBorder="1" applyAlignment="1">
      <alignment horizontal="right" vertical="top"/>
    </xf>
    <xf numFmtId="0" fontId="100" fillId="57" borderId="295" xfId="1417" applyFont="1" applyFill="1" applyBorder="1" applyAlignment="1">
      <alignment horizontal="center" vertical="top"/>
    </xf>
    <xf numFmtId="172" fontId="100" fillId="57" borderId="297" xfId="3455" applyNumberFormat="1" applyFont="1" applyFill="1" applyBorder="1" applyAlignment="1">
      <alignment vertical="center"/>
    </xf>
    <xf numFmtId="4" fontId="22" fillId="57" borderId="0" xfId="1417" applyNumberFormat="1" applyFont="1" applyFill="1" applyBorder="1" applyAlignment="1" applyProtection="1">
      <alignment vertical="top"/>
    </xf>
    <xf numFmtId="172" fontId="22" fillId="57" borderId="0" xfId="1417" applyNumberFormat="1" applyFont="1" applyFill="1" applyBorder="1" applyAlignment="1" applyProtection="1">
      <alignment vertical="top" wrapText="1"/>
    </xf>
    <xf numFmtId="4" fontId="22" fillId="57" borderId="0" xfId="1417" applyNumberFormat="1" applyFont="1" applyFill="1" applyBorder="1" applyAlignment="1" applyProtection="1">
      <alignment vertical="top" wrapText="1"/>
    </xf>
    <xf numFmtId="0" fontId="22" fillId="0" borderId="0" xfId="1417" applyNumberFormat="1" applyFont="1" applyFill="1" applyBorder="1" applyAlignment="1" applyProtection="1">
      <alignment vertical="top" wrapText="1"/>
    </xf>
    <xf numFmtId="0" fontId="102" fillId="57" borderId="45" xfId="1417" applyFont="1" applyFill="1" applyBorder="1" applyAlignment="1">
      <alignment horizontal="center" vertical="center"/>
    </xf>
    <xf numFmtId="0" fontId="100" fillId="57" borderId="85" xfId="1417" applyFont="1" applyFill="1" applyBorder="1" applyAlignment="1">
      <alignment horizontal="center" vertical="top"/>
    </xf>
    <xf numFmtId="4" fontId="102" fillId="57" borderId="122" xfId="1417" applyNumberFormat="1" applyFont="1" applyFill="1" applyBorder="1" applyAlignment="1">
      <alignment horizontal="right" vertical="top"/>
    </xf>
    <xf numFmtId="4" fontId="119" fillId="57" borderId="0" xfId="1417" applyNumberFormat="1" applyFont="1" applyFill="1" applyBorder="1" applyAlignment="1" applyProtection="1">
      <alignment vertical="top"/>
    </xf>
    <xf numFmtId="0" fontId="102" fillId="57" borderId="87" xfId="1417" applyFont="1" applyFill="1" applyBorder="1" applyAlignment="1">
      <alignment horizontal="center" vertical="center"/>
    </xf>
    <xf numFmtId="4" fontId="100" fillId="57" borderId="83" xfId="1417" applyNumberFormat="1" applyFont="1" applyFill="1" applyBorder="1" applyAlignment="1">
      <alignment horizontal="right" vertical="top"/>
    </xf>
    <xf numFmtId="4" fontId="100" fillId="57" borderId="297" xfId="1417" applyNumberFormat="1" applyFont="1" applyFill="1" applyBorder="1" applyAlignment="1">
      <alignment horizontal="right" vertical="top"/>
    </xf>
    <xf numFmtId="0" fontId="109" fillId="57" borderId="37" xfId="1417" applyFont="1" applyFill="1" applyBorder="1" applyAlignment="1">
      <alignment horizontal="left" vertical="top" wrapText="1"/>
    </xf>
    <xf numFmtId="172" fontId="512" fillId="57" borderId="83" xfId="1342" applyNumberFormat="1" applyFont="1" applyFill="1" applyBorder="1" applyAlignment="1">
      <alignment vertical="top"/>
    </xf>
    <xf numFmtId="172" fontId="22" fillId="0" borderId="0" xfId="1417" applyNumberFormat="1" applyFont="1" applyFill="1" applyBorder="1" applyAlignment="1" applyProtection="1">
      <alignment vertical="top"/>
    </xf>
    <xf numFmtId="172" fontId="100" fillId="57" borderId="297" xfId="1342" applyNumberFormat="1" applyFont="1" applyFill="1" applyBorder="1" applyAlignment="1">
      <alignment vertical="top"/>
    </xf>
    <xf numFmtId="172" fontId="100" fillId="57" borderId="19" xfId="1342" applyNumberFormat="1" applyFont="1" applyFill="1" applyBorder="1" applyAlignment="1">
      <alignment vertical="top"/>
    </xf>
    <xf numFmtId="172" fontId="515" fillId="57" borderId="83" xfId="1342" applyNumberFormat="1" applyFont="1" applyFill="1" applyBorder="1" applyAlignment="1">
      <alignment vertical="top"/>
    </xf>
    <xf numFmtId="0" fontId="100" fillId="57" borderId="20" xfId="1417" applyFont="1" applyFill="1" applyBorder="1" applyAlignment="1">
      <alignment horizontal="left" vertical="top"/>
    </xf>
    <xf numFmtId="0" fontId="100" fillId="57" borderId="21" xfId="1417" applyFont="1" applyFill="1" applyBorder="1" applyAlignment="1">
      <alignment horizontal="center" vertical="top"/>
    </xf>
    <xf numFmtId="4" fontId="515" fillId="57" borderId="142" xfId="1342" applyNumberFormat="1" applyFont="1" applyFill="1" applyBorder="1" applyAlignment="1">
      <alignment vertical="top"/>
    </xf>
    <xf numFmtId="0" fontId="100" fillId="57" borderId="45" xfId="1417" applyFont="1" applyFill="1" applyBorder="1" applyAlignment="1">
      <alignment horizontal="left" vertical="top"/>
    </xf>
    <xf numFmtId="0" fontId="100" fillId="57" borderId="43" xfId="1417" applyFont="1" applyFill="1" applyBorder="1" applyAlignment="1">
      <alignment horizontal="center" vertical="top"/>
    </xf>
    <xf numFmtId="4" fontId="515" fillId="57" borderId="88" xfId="1342" applyNumberFormat="1" applyFont="1" applyFill="1" applyBorder="1" applyAlignment="1">
      <alignment vertical="top"/>
    </xf>
    <xf numFmtId="172" fontId="22" fillId="57" borderId="0" xfId="1417" applyNumberFormat="1" applyFont="1" applyFill="1" applyBorder="1" applyAlignment="1" applyProtection="1">
      <alignment vertical="top"/>
    </xf>
    <xf numFmtId="0" fontId="102" fillId="57" borderId="85" xfId="1417" applyFont="1" applyFill="1" applyBorder="1" applyAlignment="1">
      <alignment horizontal="center" vertical="top"/>
    </xf>
    <xf numFmtId="0" fontId="22" fillId="52" borderId="0" xfId="1417" applyNumberFormat="1" applyFont="1" applyFill="1" applyBorder="1" applyAlignment="1" applyProtection="1">
      <alignment vertical="top"/>
    </xf>
    <xf numFmtId="4" fontId="101" fillId="57" borderId="0" xfId="1417" applyNumberFormat="1" applyFont="1" applyFill="1" applyAlignment="1">
      <alignment vertical="top"/>
    </xf>
    <xf numFmtId="0" fontId="101" fillId="0" borderId="0" xfId="1417" applyFont="1" applyAlignment="1">
      <alignment vertical="top"/>
    </xf>
    <xf numFmtId="4" fontId="100" fillId="57" borderId="0" xfId="1417" applyNumberFormat="1" applyFont="1" applyFill="1" applyAlignment="1">
      <alignment vertical="top"/>
    </xf>
    <xf numFmtId="0" fontId="101" fillId="0" borderId="0" xfId="1417" applyFont="1" applyFill="1" applyAlignment="1">
      <alignment vertical="top"/>
    </xf>
    <xf numFmtId="0" fontId="100" fillId="0" borderId="0" xfId="1417" applyFont="1" applyAlignment="1">
      <alignment vertical="top"/>
    </xf>
    <xf numFmtId="0" fontId="100" fillId="57" borderId="45" xfId="1417" applyFont="1" applyFill="1" applyBorder="1" applyAlignment="1">
      <alignment horizontal="center" vertical="top"/>
    </xf>
    <xf numFmtId="0" fontId="100" fillId="57" borderId="21" xfId="1417" applyFont="1" applyFill="1" applyBorder="1" applyAlignment="1">
      <alignment horizontal="center" vertical="center"/>
    </xf>
    <xf numFmtId="4" fontId="100" fillId="57" borderId="142" xfId="1342" applyNumberFormat="1" applyFont="1" applyFill="1" applyBorder="1" applyAlignment="1">
      <alignment vertical="top"/>
    </xf>
    <xf numFmtId="0" fontId="100" fillId="57" borderId="20" xfId="1417" applyFont="1" applyFill="1" applyBorder="1" applyAlignment="1">
      <alignment horizontal="center" vertical="top"/>
    </xf>
    <xf numFmtId="0" fontId="100" fillId="57" borderId="43" xfId="1417" applyFont="1" applyFill="1" applyBorder="1" applyAlignment="1">
      <alignment horizontal="center" vertical="center"/>
    </xf>
    <xf numFmtId="4" fontId="100" fillId="57" borderId="88" xfId="1342" applyNumberFormat="1" applyFont="1" applyFill="1" applyBorder="1" applyAlignment="1">
      <alignment vertical="top"/>
    </xf>
    <xf numFmtId="49" fontId="102" fillId="57" borderId="13" xfId="1417" applyNumberFormat="1" applyFont="1" applyFill="1" applyBorder="1" applyAlignment="1">
      <alignment horizontal="center" vertical="center"/>
    </xf>
    <xf numFmtId="4" fontId="102" fillId="57" borderId="78" xfId="1342" applyNumberFormat="1" applyFont="1" applyFill="1" applyBorder="1" applyAlignment="1">
      <alignment horizontal="right" vertical="top"/>
    </xf>
    <xf numFmtId="4" fontId="100" fillId="57" borderId="297" xfId="1342" applyNumberFormat="1" applyFont="1" applyFill="1" applyBorder="1" applyAlignment="1">
      <alignment horizontal="right" vertical="top"/>
    </xf>
    <xf numFmtId="0" fontId="109" fillId="57" borderId="147" xfId="1417" applyFont="1" applyFill="1" applyBorder="1" applyAlignment="1">
      <alignment horizontal="left" vertical="top"/>
    </xf>
    <xf numFmtId="0" fontId="100" fillId="57" borderId="125" xfId="1417" applyFont="1" applyFill="1" applyBorder="1" applyAlignment="1">
      <alignment horizontal="right" vertical="top"/>
    </xf>
    <xf numFmtId="0" fontId="100" fillId="57" borderId="40" xfId="1417" applyFont="1" applyFill="1" applyBorder="1" applyAlignment="1">
      <alignment horizontal="center" vertical="top"/>
    </xf>
    <xf numFmtId="172" fontId="102" fillId="57" borderId="78" xfId="1342" applyNumberFormat="1" applyFont="1" applyFill="1" applyBorder="1" applyAlignment="1">
      <alignment vertical="top"/>
    </xf>
    <xf numFmtId="172" fontId="100" fillId="57" borderId="83" xfId="1342" applyNumberFormat="1" applyFont="1" applyFill="1" applyBorder="1" applyAlignment="1">
      <alignment horizontal="right" vertical="top"/>
    </xf>
    <xf numFmtId="172" fontId="100" fillId="57" borderId="19" xfId="1342" applyNumberFormat="1" applyFont="1" applyFill="1" applyBorder="1" applyAlignment="1">
      <alignment horizontal="right" vertical="top"/>
    </xf>
    <xf numFmtId="0" fontId="102" fillId="57" borderId="77" xfId="1417" applyFont="1" applyFill="1" applyBorder="1" applyAlignment="1">
      <alignment horizontal="center" vertical="top"/>
    </xf>
    <xf numFmtId="172" fontId="102" fillId="57" borderId="78" xfId="1342" applyNumberFormat="1" applyFont="1" applyFill="1" applyBorder="1" applyAlignment="1">
      <alignment horizontal="right" vertical="top"/>
    </xf>
    <xf numFmtId="0" fontId="430" fillId="57" borderId="269" xfId="1417" applyFont="1" applyFill="1" applyBorder="1" applyAlignment="1">
      <alignment horizontal="right" vertical="top"/>
    </xf>
    <xf numFmtId="172" fontId="430" fillId="57" borderId="83" xfId="3455" applyNumberFormat="1" applyFont="1" applyFill="1" applyBorder="1" applyAlignment="1">
      <alignment vertical="center"/>
    </xf>
    <xf numFmtId="49" fontId="102" fillId="57" borderId="124" xfId="1417" applyNumberFormat="1" applyFont="1" applyFill="1" applyBorder="1" applyAlignment="1">
      <alignment horizontal="center" vertical="center"/>
    </xf>
    <xf numFmtId="49" fontId="100" fillId="57" borderId="87" xfId="1417" applyNumberFormat="1" applyFont="1" applyFill="1" applyBorder="1" applyAlignment="1">
      <alignment horizontal="center" vertical="center"/>
    </xf>
    <xf numFmtId="0" fontId="100" fillId="57" borderId="299" xfId="1417" applyFont="1" applyFill="1" applyBorder="1" applyAlignment="1">
      <alignment vertical="top"/>
    </xf>
    <xf numFmtId="0" fontId="100" fillId="57" borderId="87" xfId="1417" applyFont="1" applyFill="1" applyBorder="1" applyAlignment="1">
      <alignment horizontal="center" vertical="center"/>
    </xf>
    <xf numFmtId="0" fontId="100" fillId="57" borderId="53" xfId="1417" applyFont="1" applyFill="1" applyBorder="1" applyAlignment="1">
      <alignment horizontal="center" vertical="center"/>
    </xf>
    <xf numFmtId="0" fontId="100" fillId="57" borderId="300" xfId="1417" applyFont="1" applyFill="1" applyBorder="1" applyAlignment="1">
      <alignment vertical="top"/>
    </xf>
    <xf numFmtId="172" fontId="100" fillId="57" borderId="19" xfId="3455" applyNumberFormat="1" applyFont="1" applyFill="1" applyBorder="1" applyAlignment="1">
      <alignment vertical="center"/>
    </xf>
    <xf numFmtId="0" fontId="100" fillId="57" borderId="295" xfId="1417" applyFont="1" applyFill="1" applyBorder="1" applyAlignment="1">
      <alignment horizontal="center" vertical="top" wrapText="1"/>
    </xf>
    <xf numFmtId="0" fontId="102" fillId="57" borderId="23" xfId="1417" applyFont="1" applyFill="1" applyBorder="1" applyAlignment="1">
      <alignment horizontal="left" vertical="center"/>
    </xf>
    <xf numFmtId="0" fontId="102" fillId="57" borderId="24" xfId="1417" applyFont="1" applyFill="1" applyBorder="1" applyAlignment="1">
      <alignment vertical="top" wrapText="1"/>
    </xf>
    <xf numFmtId="0" fontId="100" fillId="57" borderId="23" xfId="1417" applyFont="1" applyFill="1" applyBorder="1" applyAlignment="1">
      <alignment vertical="top"/>
    </xf>
    <xf numFmtId="0" fontId="100" fillId="57" borderId="24" xfId="1417" applyFont="1" applyFill="1" applyBorder="1" applyAlignment="1">
      <alignment horizontal="center" vertical="top"/>
    </xf>
    <xf numFmtId="2" fontId="100" fillId="57" borderId="142" xfId="1417" applyNumberFormat="1" applyFont="1" applyFill="1" applyBorder="1" applyAlignment="1">
      <alignment vertical="top"/>
    </xf>
    <xf numFmtId="0" fontId="100" fillId="57" borderId="16" xfId="1417" applyFont="1" applyFill="1" applyBorder="1" applyAlignment="1">
      <alignment horizontal="center" vertical="center"/>
    </xf>
    <xf numFmtId="4" fontId="100" fillId="57" borderId="78" xfId="1417" applyNumberFormat="1" applyFont="1" applyFill="1" applyBorder="1" applyAlignment="1">
      <alignment vertical="top"/>
    </xf>
    <xf numFmtId="0" fontId="100" fillId="57" borderId="43" xfId="1417" applyFont="1" applyFill="1" applyBorder="1" applyAlignment="1">
      <alignment horizontal="center" vertical="top" wrapText="1"/>
    </xf>
    <xf numFmtId="4" fontId="100" fillId="57" borderId="46" xfId="1417" applyNumberFormat="1" applyFont="1" applyFill="1" applyBorder="1" applyAlignment="1">
      <alignment vertical="top"/>
    </xf>
    <xf numFmtId="0" fontId="100" fillId="57" borderId="123" xfId="1417" applyFont="1" applyFill="1" applyBorder="1" applyAlignment="1">
      <alignment horizontal="center" vertical="center"/>
    </xf>
    <xf numFmtId="0" fontId="102" fillId="57" borderId="140" xfId="1417" applyFont="1" applyFill="1" applyBorder="1" applyAlignment="1">
      <alignment horizontal="left" vertical="center"/>
    </xf>
    <xf numFmtId="0" fontId="100" fillId="57" borderId="71" xfId="1417" applyFont="1" applyFill="1" applyBorder="1" applyAlignment="1">
      <alignment horizontal="left" vertical="center"/>
    </xf>
    <xf numFmtId="4" fontId="102" fillId="57" borderId="19" xfId="1417" applyNumberFormat="1" applyFont="1" applyFill="1" applyBorder="1" applyAlignment="1">
      <alignment vertical="top"/>
    </xf>
    <xf numFmtId="0" fontId="101" fillId="0" borderId="0" xfId="1417" applyFont="1" applyAlignment="1">
      <alignment horizontal="left" vertical="center"/>
    </xf>
    <xf numFmtId="0" fontId="101" fillId="0" borderId="0" xfId="1417" applyFont="1" applyBorder="1" applyAlignment="1">
      <alignment horizontal="left" vertical="top"/>
    </xf>
    <xf numFmtId="0" fontId="101" fillId="0" borderId="0" xfId="1417" applyFont="1" applyAlignment="1">
      <alignment horizontal="left" vertical="top"/>
    </xf>
    <xf numFmtId="0" fontId="101" fillId="0" borderId="0" xfId="1417" applyFont="1" applyFill="1" applyAlignment="1">
      <alignment horizontal="left" vertical="center"/>
    </xf>
    <xf numFmtId="0" fontId="109" fillId="0" borderId="0" xfId="1417" applyFont="1" applyFill="1" applyAlignment="1">
      <alignment horizontal="left" vertical="top"/>
    </xf>
    <xf numFmtId="0" fontId="101" fillId="0" borderId="0" xfId="1417" applyFont="1" applyFill="1" applyAlignment="1">
      <alignment horizontal="left" vertical="top"/>
    </xf>
    <xf numFmtId="0" fontId="100" fillId="0" borderId="0" xfId="1417" applyFont="1" applyAlignment="1">
      <alignment horizontal="left" vertical="center"/>
    </xf>
    <xf numFmtId="0" fontId="100" fillId="0" borderId="0" xfId="1417" applyFont="1" applyBorder="1" applyAlignment="1">
      <alignment horizontal="left" vertical="top"/>
    </xf>
    <xf numFmtId="0" fontId="100" fillId="0" borderId="0" xfId="1417" applyFont="1" applyAlignment="1">
      <alignment horizontal="left" vertical="top"/>
    </xf>
    <xf numFmtId="20" fontId="101" fillId="0" borderId="0" xfId="1417" quotePrefix="1" applyNumberFormat="1" applyFont="1" applyAlignment="1">
      <alignment horizontal="right" vertical="top" wrapText="1"/>
    </xf>
    <xf numFmtId="20" fontId="101" fillId="0" borderId="0" xfId="1417" quotePrefix="1" applyNumberFormat="1" applyFont="1" applyFill="1" applyAlignment="1">
      <alignment horizontal="right" vertical="top" wrapText="1"/>
    </xf>
    <xf numFmtId="0" fontId="101" fillId="0" borderId="0" xfId="1417" applyFont="1" applyFill="1" applyBorder="1" applyAlignment="1">
      <alignment vertical="top"/>
    </xf>
    <xf numFmtId="0" fontId="101" fillId="0" borderId="0" xfId="1417" applyFont="1" applyFill="1" applyAlignment="1">
      <alignment horizontal="left" vertical="top" wrapText="1"/>
    </xf>
    <xf numFmtId="0" fontId="100" fillId="0" borderId="0" xfId="1417" applyFont="1" applyAlignment="1">
      <alignment horizontal="center" vertical="center"/>
    </xf>
    <xf numFmtId="0" fontId="102" fillId="0" borderId="0" xfId="1417" applyFont="1" applyAlignment="1">
      <alignment horizontal="left"/>
    </xf>
    <xf numFmtId="0" fontId="100" fillId="0" borderId="0" xfId="1417" applyFont="1" applyAlignment="1">
      <alignment horizontal="left"/>
    </xf>
    <xf numFmtId="0" fontId="102" fillId="0" borderId="0" xfId="1417" applyFont="1" applyAlignment="1">
      <alignment horizontal="right" vertical="top"/>
    </xf>
    <xf numFmtId="2" fontId="22" fillId="0" borderId="0" xfId="1417" applyNumberFormat="1" applyFont="1" applyFill="1" applyBorder="1" applyAlignment="1" applyProtection="1">
      <alignment vertical="top"/>
    </xf>
    <xf numFmtId="0" fontId="102" fillId="0" borderId="0" xfId="1417" applyFont="1" applyAlignment="1"/>
    <xf numFmtId="0" fontId="100" fillId="0" borderId="0" xfId="1417" applyFont="1" applyAlignment="1">
      <alignment horizontal="right" vertical="top"/>
    </xf>
    <xf numFmtId="0" fontId="100" fillId="0" borderId="0" xfId="1417" applyFont="1" applyFill="1" applyAlignment="1">
      <alignment horizontal="left" vertical="top"/>
    </xf>
    <xf numFmtId="0" fontId="100" fillId="0" borderId="0" xfId="1417" applyFont="1" applyFill="1" applyAlignment="1">
      <alignment horizontal="right" vertical="top"/>
    </xf>
    <xf numFmtId="1" fontId="100" fillId="0" borderId="301" xfId="0" applyNumberFormat="1" applyFont="1" applyBorder="1" applyAlignment="1">
      <alignment horizontal="center" vertical="center" wrapText="1"/>
    </xf>
    <xf numFmtId="4" fontId="100" fillId="0" borderId="270" xfId="0" applyFont="1" applyBorder="1" applyAlignment="1">
      <alignment vertical="center" wrapText="1"/>
    </xf>
    <xf numFmtId="4" fontId="100" fillId="0" borderId="238" xfId="0" applyNumberFormat="1" applyFont="1" applyBorder="1" applyAlignment="1">
      <alignment horizontal="center" vertical="center" wrapText="1"/>
    </xf>
    <xf numFmtId="172" fontId="100" fillId="0" borderId="270" xfId="0" applyNumberFormat="1" applyFont="1" applyFill="1" applyBorder="1" applyAlignment="1">
      <alignment horizontal="center" vertical="center" wrapText="1"/>
    </xf>
    <xf numFmtId="4" fontId="100" fillId="0" borderId="270" xfId="0" applyNumberFormat="1" applyFont="1" applyBorder="1" applyAlignment="1">
      <alignment horizontal="center" vertical="center" wrapText="1"/>
    </xf>
    <xf numFmtId="1" fontId="100" fillId="0" borderId="292" xfId="0" applyNumberFormat="1" applyFont="1" applyBorder="1" applyAlignment="1">
      <alignment horizontal="center" vertical="center" wrapText="1"/>
    </xf>
    <xf numFmtId="4" fontId="100" fillId="0" borderId="293" xfId="0" applyFont="1" applyBorder="1" applyAlignment="1">
      <alignment vertical="center" wrapText="1"/>
    </xf>
    <xf numFmtId="4" fontId="100" fillId="0" borderId="291" xfId="0" applyNumberFormat="1" applyFont="1" applyBorder="1" applyAlignment="1">
      <alignment horizontal="center" vertical="center" wrapText="1"/>
    </xf>
    <xf numFmtId="172" fontId="100" fillId="0" borderId="291" xfId="0" applyNumberFormat="1" applyFont="1" applyFill="1" applyBorder="1" applyAlignment="1">
      <alignment horizontal="center" vertical="center" wrapText="1"/>
    </xf>
    <xf numFmtId="3" fontId="177" fillId="0" borderId="238" xfId="3452" applyNumberFormat="1" applyFont="1" applyBorder="1" applyAlignment="1">
      <alignment horizontal="center" vertical="center" wrapText="1"/>
    </xf>
    <xf numFmtId="3" fontId="174" fillId="0" borderId="238" xfId="3452" applyNumberFormat="1" applyFont="1" applyBorder="1" applyAlignment="1">
      <alignment horizontal="center" vertical="center" wrapText="1"/>
    </xf>
    <xf numFmtId="3" fontId="174" fillId="0" borderId="238" xfId="3452" applyNumberFormat="1" applyFont="1" applyFill="1" applyBorder="1" applyAlignment="1">
      <alignment horizontal="center" vertical="center" wrapText="1"/>
    </xf>
    <xf numFmtId="3" fontId="8" fillId="59" borderId="0" xfId="0" applyNumberFormat="1" applyFont="1" applyFill="1">
      <alignment vertical="center"/>
    </xf>
    <xf numFmtId="4" fontId="100" fillId="57" borderId="45" xfId="0" applyFont="1" applyFill="1" applyBorder="1" applyAlignment="1">
      <alignment horizontal="center" vertical="center"/>
    </xf>
    <xf numFmtId="4" fontId="109" fillId="57" borderId="291" xfId="0" applyFont="1" applyFill="1" applyBorder="1" applyAlignment="1">
      <alignment vertical="top"/>
    </xf>
    <xf numFmtId="4" fontId="100" fillId="57" borderId="291" xfId="0" applyFont="1" applyFill="1" applyBorder="1" applyAlignment="1">
      <alignment horizontal="right" vertical="top"/>
    </xf>
    <xf numFmtId="4" fontId="100" fillId="57" borderId="291" xfId="0" applyFont="1" applyFill="1" applyBorder="1" applyAlignment="1">
      <alignment horizontal="center" vertical="top"/>
    </xf>
    <xf numFmtId="172" fontId="100" fillId="57" borderId="303" xfId="1342" applyNumberFormat="1" applyFont="1" applyFill="1" applyBorder="1" applyAlignment="1">
      <alignment vertical="top"/>
    </xf>
    <xf numFmtId="172" fontId="100" fillId="0" borderId="0" xfId="0" applyNumberFormat="1" applyFont="1" applyFill="1" applyBorder="1" applyAlignment="1" applyProtection="1">
      <alignment vertical="top"/>
    </xf>
    <xf numFmtId="0" fontId="100" fillId="0" borderId="0" xfId="0" applyNumberFormat="1" applyFont="1" applyFill="1" applyBorder="1" applyAlignment="1" applyProtection="1">
      <alignment vertical="top"/>
    </xf>
    <xf numFmtId="49" fontId="100" fillId="57" borderId="301" xfId="0" applyNumberFormat="1" applyFont="1" applyFill="1" applyBorder="1" applyAlignment="1">
      <alignment horizontal="center" vertical="center"/>
    </xf>
    <xf numFmtId="4" fontId="100" fillId="57" borderId="304" xfId="0" applyFont="1" applyFill="1" applyBorder="1" applyAlignment="1">
      <alignment vertical="top"/>
    </xf>
    <xf numFmtId="4" fontId="109" fillId="57" borderId="269" xfId="0" applyFont="1" applyFill="1" applyBorder="1" applyAlignment="1">
      <alignment horizontal="left" vertical="center"/>
    </xf>
    <xf numFmtId="4" fontId="100" fillId="57" borderId="238" xfId="0" applyFont="1" applyFill="1" applyBorder="1" applyAlignment="1">
      <alignment horizontal="center" vertical="top"/>
    </xf>
    <xf numFmtId="4" fontId="101" fillId="57" borderId="305" xfId="0" applyFont="1" applyFill="1" applyBorder="1" applyAlignment="1">
      <alignment vertical="center"/>
    </xf>
    <xf numFmtId="4" fontId="100" fillId="57" borderId="269" xfId="0" applyFont="1" applyFill="1" applyBorder="1" applyAlignment="1">
      <alignment horizontal="right" vertical="top"/>
    </xf>
    <xf numFmtId="4" fontId="100" fillId="57" borderId="305" xfId="0" applyFont="1" applyFill="1" applyBorder="1" applyAlignment="1">
      <alignment vertical="top"/>
    </xf>
    <xf numFmtId="4" fontId="100" fillId="57" borderId="79" xfId="0" applyFont="1" applyFill="1" applyBorder="1" applyAlignment="1">
      <alignment horizontal="center" vertical="center"/>
    </xf>
    <xf numFmtId="4" fontId="100" fillId="57" borderId="306" xfId="0" applyFont="1" applyFill="1" applyBorder="1" applyAlignment="1">
      <alignment vertical="top"/>
    </xf>
    <xf numFmtId="4" fontId="100" fillId="57" borderId="307" xfId="0" applyFont="1" applyFill="1" applyBorder="1" applyAlignment="1">
      <alignment horizontal="right" vertical="top"/>
    </xf>
    <xf numFmtId="4" fontId="100" fillId="57" borderId="84" xfId="0" applyFont="1" applyFill="1" applyBorder="1" applyAlignment="1">
      <alignment horizontal="center" vertical="center"/>
    </xf>
    <xf numFmtId="4" fontId="100" fillId="57" borderId="308" xfId="0" applyFont="1" applyFill="1" applyBorder="1" applyAlignment="1">
      <alignment vertical="top"/>
    </xf>
    <xf numFmtId="4" fontId="100" fillId="57" borderId="71" xfId="0" applyFont="1" applyFill="1" applyBorder="1" applyAlignment="1">
      <alignment horizontal="right" vertical="top"/>
    </xf>
    <xf numFmtId="4" fontId="100" fillId="57" borderId="18" xfId="0" applyFont="1" applyFill="1" applyBorder="1" applyAlignment="1">
      <alignment horizontal="center" vertical="top"/>
    </xf>
    <xf numFmtId="4" fontId="109" fillId="0" borderId="268" xfId="0" applyFont="1" applyFill="1" applyBorder="1" applyAlignment="1">
      <alignment vertical="top"/>
    </xf>
    <xf numFmtId="4" fontId="100" fillId="0" borderId="268" xfId="0" applyFont="1" applyFill="1" applyBorder="1" applyAlignment="1">
      <alignment horizontal="right" vertical="top"/>
    </xf>
    <xf numFmtId="4" fontId="100" fillId="0" borderId="268" xfId="0" applyFont="1" applyFill="1" applyBorder="1" applyAlignment="1">
      <alignment horizontal="center" vertical="top"/>
    </xf>
    <xf numFmtId="172" fontId="100" fillId="0" borderId="309" xfId="1342" applyNumberFormat="1" applyFont="1" applyFill="1" applyBorder="1" applyAlignment="1">
      <alignment vertical="top"/>
    </xf>
    <xf numFmtId="49" fontId="100" fillId="57" borderId="45" xfId="0" applyNumberFormat="1" applyFont="1" applyFill="1" applyBorder="1" applyAlignment="1">
      <alignment horizontal="center" vertical="center"/>
    </xf>
    <xf numFmtId="4" fontId="100" fillId="0" borderId="304" xfId="0" applyFont="1" applyFill="1" applyBorder="1" applyAlignment="1">
      <alignment vertical="top"/>
    </xf>
    <xf numFmtId="4" fontId="109" fillId="0" borderId="269" xfId="0" applyFont="1" applyFill="1" applyBorder="1" applyAlignment="1">
      <alignment horizontal="left" vertical="center"/>
    </xf>
    <xf numFmtId="4" fontId="100" fillId="0" borderId="238" xfId="0" applyFont="1" applyFill="1" applyBorder="1" applyAlignment="1">
      <alignment horizontal="center" vertical="top"/>
    </xf>
    <xf numFmtId="172" fontId="512" fillId="0" borderId="83" xfId="1342" applyNumberFormat="1" applyFont="1" applyFill="1" applyBorder="1" applyAlignment="1">
      <alignment vertical="top"/>
    </xf>
    <xf numFmtId="4" fontId="101" fillId="0" borderId="305" xfId="0" applyFont="1" applyFill="1" applyBorder="1" applyAlignment="1">
      <alignment vertical="center"/>
    </xf>
    <xf numFmtId="4" fontId="100" fillId="0" borderId="269" xfId="0" applyFont="1" applyFill="1" applyBorder="1" applyAlignment="1">
      <alignment horizontal="right" vertical="top"/>
    </xf>
    <xf numFmtId="172" fontId="100" fillId="0" borderId="83" xfId="1342" applyNumberFormat="1" applyFont="1" applyFill="1" applyBorder="1" applyAlignment="1">
      <alignment vertical="top"/>
    </xf>
    <xf numFmtId="4" fontId="100" fillId="0" borderId="305" xfId="0" applyFont="1" applyFill="1" applyBorder="1" applyAlignment="1">
      <alignment vertical="top"/>
    </xf>
    <xf numFmtId="4" fontId="100" fillId="0" borderId="306" xfId="0" applyFont="1" applyFill="1" applyBorder="1" applyAlignment="1">
      <alignment vertical="top"/>
    </xf>
    <xf numFmtId="4" fontId="100" fillId="0" borderId="307" xfId="0" applyFont="1" applyFill="1" applyBorder="1" applyAlignment="1">
      <alignment horizontal="right" vertical="top"/>
    </xf>
    <xf numFmtId="4" fontId="100" fillId="0" borderId="308" xfId="0" applyFont="1" applyFill="1" applyBorder="1" applyAlignment="1">
      <alignment vertical="top"/>
    </xf>
    <xf numFmtId="4" fontId="100" fillId="0" borderId="71" xfId="0" applyFont="1" applyFill="1" applyBorder="1" applyAlignment="1">
      <alignment horizontal="right" vertical="top"/>
    </xf>
    <xf numFmtId="4" fontId="100" fillId="0" borderId="18" xfId="0" applyFont="1" applyFill="1" applyBorder="1" applyAlignment="1">
      <alignment horizontal="center" vertical="top"/>
    </xf>
    <xf numFmtId="172" fontId="100" fillId="0" borderId="19" xfId="1342" applyNumberFormat="1" applyFont="1" applyFill="1" applyBorder="1" applyAlignment="1">
      <alignment vertical="top"/>
    </xf>
    <xf numFmtId="4" fontId="100" fillId="0" borderId="79" xfId="0" applyFont="1" applyFill="1" applyBorder="1" applyAlignment="1">
      <alignment horizontal="center" vertical="center"/>
    </xf>
    <xf numFmtId="4" fontId="109" fillId="0" borderId="291" xfId="0" applyFont="1" applyFill="1" applyBorder="1" applyAlignment="1">
      <alignment vertical="top"/>
    </xf>
    <xf numFmtId="4" fontId="100" fillId="0" borderId="291" xfId="0" applyFont="1" applyFill="1" applyBorder="1" applyAlignment="1">
      <alignment horizontal="right" vertical="top"/>
    </xf>
    <xf numFmtId="4" fontId="100" fillId="0" borderId="291" xfId="0" applyFont="1" applyFill="1" applyBorder="1" applyAlignment="1">
      <alignment horizontal="center" vertical="top"/>
    </xf>
    <xf numFmtId="172" fontId="100" fillId="0" borderId="303" xfId="1342" applyNumberFormat="1" applyFont="1" applyFill="1" applyBorder="1" applyAlignment="1">
      <alignment vertical="top"/>
    </xf>
    <xf numFmtId="49" fontId="100" fillId="0" borderId="301" xfId="0" applyNumberFormat="1" applyFont="1" applyFill="1" applyBorder="1" applyAlignment="1">
      <alignment horizontal="center" vertical="center"/>
    </xf>
    <xf numFmtId="4" fontId="100" fillId="0" borderId="45" xfId="0" applyFont="1" applyFill="1" applyBorder="1" applyAlignment="1">
      <alignment horizontal="center" vertical="center"/>
    </xf>
    <xf numFmtId="4" fontId="100" fillId="0" borderId="84" xfId="0" applyFont="1" applyFill="1" applyBorder="1" applyAlignment="1">
      <alignment horizontal="center" vertical="center"/>
    </xf>
    <xf numFmtId="4" fontId="100" fillId="0" borderId="292" xfId="0" applyFont="1" applyFill="1" applyBorder="1" applyAlignment="1">
      <alignment horizontal="right" vertical="top"/>
    </xf>
    <xf numFmtId="4" fontId="100" fillId="0" borderId="295" xfId="0" applyFont="1" applyFill="1" applyBorder="1" applyAlignment="1">
      <alignment horizontal="center" vertical="top"/>
    </xf>
    <xf numFmtId="172" fontId="100" fillId="0" borderId="302" xfId="1342" applyNumberFormat="1" applyFont="1" applyFill="1" applyBorder="1" applyAlignment="1">
      <alignment vertical="top"/>
    </xf>
    <xf numFmtId="4" fontId="109" fillId="0" borderId="72" xfId="0" applyFont="1" applyFill="1" applyBorder="1" applyAlignment="1">
      <alignment horizontal="left" vertical="center"/>
    </xf>
    <xf numFmtId="4" fontId="100" fillId="0" borderId="85" xfId="0" applyFont="1" applyFill="1" applyBorder="1" applyAlignment="1">
      <alignment horizontal="center" vertical="top"/>
    </xf>
    <xf numFmtId="172" fontId="512" fillId="0" borderId="122" xfId="1342" applyNumberFormat="1" applyFont="1" applyFill="1" applyBorder="1" applyAlignment="1">
      <alignment vertical="top"/>
    </xf>
    <xf numFmtId="172" fontId="177" fillId="0" borderId="238" xfId="3452" applyNumberFormat="1" applyFont="1" applyBorder="1" applyAlignment="1">
      <alignment horizontal="center" vertical="center" wrapText="1"/>
    </xf>
    <xf numFmtId="172" fontId="174" fillId="0" borderId="238" xfId="3452" applyNumberFormat="1" applyFont="1" applyBorder="1" applyAlignment="1">
      <alignment horizontal="center" vertical="center" wrapText="1"/>
    </xf>
    <xf numFmtId="4" fontId="90" fillId="59" borderId="29" xfId="0" applyFont="1" applyFill="1" applyBorder="1">
      <alignment vertical="center"/>
    </xf>
    <xf numFmtId="0" fontId="108" fillId="0" borderId="238" xfId="0" applyNumberFormat="1" applyFont="1" applyFill="1" applyBorder="1" applyAlignment="1" applyProtection="1"/>
    <xf numFmtId="2" fontId="176" fillId="3" borderId="238" xfId="0" applyNumberFormat="1" applyFont="1" applyFill="1" applyBorder="1" applyAlignment="1" applyProtection="1">
      <alignment horizontal="center"/>
    </xf>
    <xf numFmtId="2" fontId="176" fillId="27" borderId="238" xfId="0" applyNumberFormat="1" applyFont="1" applyFill="1" applyBorder="1" applyAlignment="1" applyProtection="1">
      <alignment horizontal="center"/>
      <protection locked="0"/>
    </xf>
    <xf numFmtId="2" fontId="176" fillId="27" borderId="238" xfId="0" applyNumberFormat="1" applyFont="1" applyFill="1" applyBorder="1" applyAlignment="1" applyProtection="1">
      <alignment horizontal="center"/>
    </xf>
    <xf numFmtId="1" fontId="176" fillId="3" borderId="238" xfId="1263" applyNumberFormat="1" applyFont="1" applyFill="1" applyBorder="1" applyAlignment="1" applyProtection="1">
      <alignment horizontal="center"/>
    </xf>
    <xf numFmtId="2" fontId="176" fillId="3" borderId="238" xfId="1263" applyNumberFormat="1" applyFont="1" applyFill="1" applyBorder="1" applyAlignment="1" applyProtection="1">
      <alignment horizontal="center"/>
    </xf>
    <xf numFmtId="49" fontId="108" fillId="0" borderId="238" xfId="0" applyNumberFormat="1" applyFont="1" applyFill="1" applyBorder="1" applyAlignment="1" applyProtection="1"/>
    <xf numFmtId="2" fontId="108" fillId="27" borderId="238" xfId="0" applyNumberFormat="1" applyFont="1" applyFill="1" applyBorder="1" applyAlignment="1" applyProtection="1">
      <alignment horizontal="center"/>
      <protection locked="0"/>
    </xf>
    <xf numFmtId="2" fontId="108" fillId="27" borderId="238" xfId="0" applyNumberFormat="1" applyFont="1" applyFill="1" applyBorder="1" applyAlignment="1" applyProtection="1">
      <alignment horizontal="center"/>
    </xf>
    <xf numFmtId="0" fontId="176" fillId="47" borderId="238" xfId="0" applyNumberFormat="1" applyFont="1" applyFill="1" applyBorder="1" applyAlignment="1" applyProtection="1">
      <alignment wrapText="1"/>
    </xf>
    <xf numFmtId="2" fontId="176" fillId="47" borderId="238" xfId="0" applyNumberFormat="1" applyFont="1" applyFill="1" applyBorder="1" applyAlignment="1" applyProtection="1">
      <alignment horizontal="center"/>
    </xf>
    <xf numFmtId="0" fontId="176" fillId="3" borderId="238" xfId="0" applyNumberFormat="1" applyFont="1" applyFill="1" applyBorder="1" applyAlignment="1" applyProtection="1"/>
    <xf numFmtId="2" fontId="176" fillId="3" borderId="267" xfId="0" applyNumberFormat="1" applyFont="1" applyFill="1" applyBorder="1" applyAlignment="1" applyProtection="1">
      <alignment horizontal="center"/>
    </xf>
    <xf numFmtId="0" fontId="108" fillId="0" borderId="238" xfId="0" applyNumberFormat="1" applyFont="1" applyFill="1" applyBorder="1" applyAlignment="1" applyProtection="1">
      <alignment wrapText="1"/>
    </xf>
    <xf numFmtId="0" fontId="108" fillId="0" borderId="238" xfId="0" applyNumberFormat="1" applyFont="1" applyFill="1" applyBorder="1" applyAlignment="1" applyProtection="1">
      <alignment horizontal="right"/>
    </xf>
    <xf numFmtId="0" fontId="108" fillId="0" borderId="238" xfId="0" applyNumberFormat="1" applyFont="1" applyFill="1" applyBorder="1" applyAlignment="1" applyProtection="1">
      <alignment shrinkToFit="1"/>
    </xf>
    <xf numFmtId="2" fontId="108" fillId="3" borderId="238" xfId="0" applyNumberFormat="1" applyFont="1" applyFill="1" applyBorder="1" applyAlignment="1" applyProtection="1">
      <alignment horizontal="center"/>
    </xf>
    <xf numFmtId="0" fontId="174" fillId="0" borderId="238" xfId="0" applyNumberFormat="1" applyFont="1" applyFill="1" applyBorder="1" applyAlignment="1" applyProtection="1">
      <alignment wrapText="1"/>
    </xf>
    <xf numFmtId="2" fontId="108" fillId="3" borderId="267" xfId="0" applyNumberFormat="1" applyFont="1" applyFill="1" applyBorder="1" applyAlignment="1" applyProtection="1">
      <alignment horizontal="center"/>
    </xf>
    <xf numFmtId="2" fontId="108" fillId="27" borderId="267" xfId="0" applyNumberFormat="1" applyFont="1" applyFill="1" applyBorder="1" applyAlignment="1" applyProtection="1">
      <alignment horizontal="center"/>
    </xf>
    <xf numFmtId="0" fontId="176" fillId="3" borderId="238" xfId="0" applyNumberFormat="1" applyFont="1" applyFill="1" applyBorder="1" applyAlignment="1" applyProtection="1">
      <alignment wrapText="1"/>
    </xf>
    <xf numFmtId="2" fontId="176" fillId="3" borderId="238" xfId="0" applyNumberFormat="1" applyFont="1" applyFill="1" applyBorder="1" applyAlignment="1" applyProtection="1">
      <alignment horizontal="center"/>
      <protection locked="0"/>
    </xf>
    <xf numFmtId="4" fontId="101" fillId="0" borderId="0" xfId="0" applyFont="1" applyAlignment="1"/>
    <xf numFmtId="4" fontId="101" fillId="91" borderId="273" xfId="0" applyFont="1" applyFill="1" applyBorder="1" applyAlignment="1">
      <alignment horizontal="center" vertical="center"/>
    </xf>
    <xf numFmtId="4" fontId="101" fillId="0" borderId="273" xfId="0" applyFont="1" applyBorder="1" applyAlignment="1">
      <alignment horizontal="center" vertical="center"/>
    </xf>
    <xf numFmtId="0" fontId="101" fillId="0" borderId="0" xfId="3456" applyFont="1"/>
    <xf numFmtId="49" fontId="101" fillId="0" borderId="0" xfId="0" applyNumberFormat="1" applyFont="1" applyAlignment="1"/>
    <xf numFmtId="4" fontId="101" fillId="0" borderId="0" xfId="0" applyFont="1" applyAlignment="1">
      <alignment horizontal="center" vertical="center"/>
    </xf>
    <xf numFmtId="0" fontId="109" fillId="0" borderId="277" xfId="3449" applyFont="1" applyBorder="1" applyAlignment="1">
      <alignment vertical="center"/>
    </xf>
    <xf numFmtId="4" fontId="101" fillId="0" borderId="277" xfId="0" applyFont="1" applyBorder="1" applyAlignment="1">
      <alignment vertical="center"/>
    </xf>
    <xf numFmtId="4" fontId="101" fillId="0" borderId="0" xfId="0" applyFont="1" applyAlignment="1">
      <alignment vertical="center"/>
    </xf>
    <xf numFmtId="49" fontId="101" fillId="0" borderId="0" xfId="1110" applyNumberFormat="1" applyFont="1">
      <alignment vertical="top"/>
    </xf>
    <xf numFmtId="0" fontId="101" fillId="0" borderId="280" xfId="1110" applyNumberFormat="1" applyFont="1" applyBorder="1" applyAlignment="1">
      <alignment vertical="center"/>
    </xf>
    <xf numFmtId="4" fontId="101" fillId="0" borderId="280" xfId="0" applyFont="1" applyBorder="1" applyAlignment="1"/>
    <xf numFmtId="4" fontId="101" fillId="0" borderId="0" xfId="0" applyFont="1" applyAlignment="1">
      <alignment horizontal="left" vertical="center"/>
    </xf>
    <xf numFmtId="49" fontId="101" fillId="0" borderId="0" xfId="1110" applyNumberFormat="1" applyFont="1" applyAlignment="1">
      <alignment horizontal="center" vertical="center" wrapText="1"/>
    </xf>
    <xf numFmtId="49" fontId="101" fillId="0" borderId="285" xfId="1110" applyNumberFormat="1" applyFont="1" applyBorder="1" applyAlignment="1">
      <alignment horizontal="center" vertical="center" wrapText="1"/>
    </xf>
    <xf numFmtId="49" fontId="101" fillId="0" borderId="279" xfId="1110" applyNumberFormat="1" applyFont="1" applyBorder="1" applyAlignment="1">
      <alignment horizontal="center" vertical="center" wrapText="1"/>
    </xf>
    <xf numFmtId="49" fontId="101" fillId="84" borderId="273" xfId="1110" applyNumberFormat="1" applyFont="1" applyFill="1" applyBorder="1" applyAlignment="1">
      <alignment horizontal="center" vertical="center" wrapText="1"/>
    </xf>
    <xf numFmtId="49" fontId="101" fillId="84" borderId="285" xfId="1110" applyNumberFormat="1" applyFont="1" applyFill="1" applyBorder="1" applyAlignment="1">
      <alignment horizontal="center" vertical="center" wrapText="1"/>
    </xf>
    <xf numFmtId="49" fontId="101" fillId="0" borderId="273" xfId="1110" applyNumberFormat="1" applyFont="1" applyBorder="1" applyAlignment="1">
      <alignment horizontal="center" vertical="center" wrapText="1"/>
    </xf>
    <xf numFmtId="4" fontId="502" fillId="0" borderId="0" xfId="0" applyFont="1" applyAlignment="1">
      <alignment horizontal="center" vertical="center" wrapText="1"/>
    </xf>
    <xf numFmtId="49" fontId="101" fillId="85" borderId="273" xfId="0" applyNumberFormat="1" applyFont="1" applyFill="1" applyBorder="1" applyAlignment="1">
      <alignment horizontal="left" vertical="center" wrapText="1" indent="1"/>
    </xf>
    <xf numFmtId="4" fontId="101" fillId="85" borderId="273" xfId="0" applyFont="1" applyFill="1" applyBorder="1" applyAlignment="1">
      <alignment horizontal="left" vertical="center" wrapText="1" indent="1"/>
    </xf>
    <xf numFmtId="3" fontId="516" fillId="84" borderId="273" xfId="0" applyNumberFormat="1" applyFont="1" applyFill="1" applyBorder="1" applyAlignment="1">
      <alignment horizontal="right" vertical="center"/>
    </xf>
    <xf numFmtId="176" fontId="101" fillId="88" borderId="273" xfId="0" applyNumberFormat="1" applyFont="1" applyFill="1" applyBorder="1" applyAlignment="1">
      <alignment horizontal="right" vertical="center"/>
    </xf>
    <xf numFmtId="4" fontId="101" fillId="88" borderId="273" xfId="0" applyNumberFormat="1" applyFont="1" applyFill="1" applyBorder="1" applyAlignment="1">
      <alignment horizontal="right" vertical="center"/>
    </xf>
    <xf numFmtId="3" fontId="101" fillId="88" borderId="273" xfId="0" applyNumberFormat="1" applyFont="1" applyFill="1" applyBorder="1" applyAlignment="1">
      <alignment horizontal="right" vertical="center"/>
    </xf>
    <xf numFmtId="49" fontId="101" fillId="0" borderId="273" xfId="1110" applyNumberFormat="1" applyFont="1" applyBorder="1" applyAlignment="1">
      <alignment horizontal="left" vertical="center" wrapText="1" indent="1"/>
    </xf>
    <xf numFmtId="0" fontId="101" fillId="0" borderId="273" xfId="1110" applyNumberFormat="1" applyFont="1" applyBorder="1" applyAlignment="1">
      <alignment horizontal="left" vertical="center" wrapText="1" indent="2"/>
    </xf>
    <xf numFmtId="0" fontId="101" fillId="0" borderId="273" xfId="1110" applyNumberFormat="1" applyFont="1" applyBorder="1" applyAlignment="1">
      <alignment horizontal="center" vertical="center" wrapText="1"/>
    </xf>
    <xf numFmtId="3" fontId="101" fillId="89" borderId="273" xfId="0" applyNumberFormat="1" applyFont="1" applyFill="1" applyBorder="1" applyAlignment="1" applyProtection="1">
      <alignment horizontal="right" vertical="center"/>
      <protection locked="0"/>
    </xf>
    <xf numFmtId="4" fontId="101" fillId="89" borderId="273" xfId="0" applyNumberFormat="1" applyFont="1" applyFill="1" applyBorder="1" applyAlignment="1" applyProtection="1">
      <alignment horizontal="right" vertical="center"/>
      <protection locked="0"/>
    </xf>
    <xf numFmtId="0" fontId="101" fillId="0" borderId="273" xfId="1110" applyNumberFormat="1" applyFont="1" applyBorder="1" applyAlignment="1">
      <alignment horizontal="left" vertical="center" wrapText="1" indent="1"/>
    </xf>
    <xf numFmtId="3" fontId="101" fillId="84" borderId="273" xfId="0" applyNumberFormat="1" applyFont="1" applyFill="1" applyBorder="1" applyAlignment="1">
      <alignment horizontal="right" vertical="center"/>
    </xf>
    <xf numFmtId="0" fontId="101" fillId="0" borderId="273" xfId="1110" applyNumberFormat="1" applyFont="1" applyBorder="1" applyAlignment="1">
      <alignment horizontal="left" vertical="center" wrapText="1" indent="3"/>
    </xf>
    <xf numFmtId="0" fontId="101" fillId="0" borderId="273" xfId="1110" applyNumberFormat="1" applyFont="1" applyBorder="1" applyAlignment="1">
      <alignment horizontal="left" vertical="center" wrapText="1" indent="4"/>
    </xf>
    <xf numFmtId="171" fontId="83" fillId="56" borderId="47" xfId="0" applyNumberFormat="1" applyFont="1" applyFill="1" applyBorder="1" applyAlignment="1">
      <alignment horizontal="right"/>
    </xf>
    <xf numFmtId="168" fontId="83" fillId="56" borderId="47" xfId="0" applyNumberFormat="1" applyFont="1" applyFill="1" applyBorder="1" applyAlignment="1">
      <alignment horizontal="right"/>
    </xf>
    <xf numFmtId="4" fontId="83" fillId="56" borderId="27" xfId="0" applyNumberFormat="1" applyFont="1" applyFill="1" applyBorder="1" applyAlignment="1">
      <alignment horizontal="right"/>
    </xf>
    <xf numFmtId="171" fontId="83" fillId="0" borderId="47" xfId="0" applyNumberFormat="1" applyFont="1" applyFill="1" applyBorder="1" applyAlignment="1">
      <alignment horizontal="right"/>
    </xf>
    <xf numFmtId="4" fontId="520" fillId="57" borderId="29" xfId="0" applyFont="1" applyFill="1" applyBorder="1">
      <alignment vertical="center"/>
    </xf>
    <xf numFmtId="4" fontId="520" fillId="0" borderId="31" xfId="0" applyFont="1" applyBorder="1" applyAlignment="1">
      <alignment horizontal="right" vertical="center" wrapText="1"/>
    </xf>
    <xf numFmtId="171" fontId="83" fillId="57" borderId="47" xfId="0" applyNumberFormat="1" applyFont="1" applyFill="1" applyBorder="1" applyAlignment="1">
      <alignment horizontal="right"/>
    </xf>
    <xf numFmtId="4" fontId="83" fillId="57" borderId="27" xfId="0" applyNumberFormat="1" applyFont="1" applyFill="1" applyBorder="1" applyAlignment="1">
      <alignment horizontal="right"/>
    </xf>
    <xf numFmtId="4" fontId="8" fillId="59" borderId="0" xfId="0" applyFont="1" applyFill="1">
      <alignment vertical="center"/>
    </xf>
    <xf numFmtId="4" fontId="101" fillId="0" borderId="0" xfId="0" applyFont="1" applyAlignment="1">
      <alignment horizontal="right"/>
    </xf>
    <xf numFmtId="200" fontId="521" fillId="0" borderId="0" xfId="0" applyNumberFormat="1" applyFont="1" applyAlignment="1"/>
    <xf numFmtId="0" fontId="0" fillId="0" borderId="0" xfId="0" applyNumberFormat="1" applyAlignment="1">
      <alignment wrapText="1"/>
    </xf>
    <xf numFmtId="0" fontId="72" fillId="0" borderId="238" xfId="0" applyNumberFormat="1" applyFont="1" applyBorder="1" applyAlignment="1">
      <alignment horizontal="center" vertical="center" wrapText="1"/>
    </xf>
    <xf numFmtId="4" fontId="79" fillId="0" borderId="0" xfId="0" applyFont="1" applyAlignment="1">
      <alignment horizontal="center"/>
    </xf>
    <xf numFmtId="4" fontId="78" fillId="0" borderId="16" xfId="0" applyFont="1" applyBorder="1" applyAlignment="1">
      <alignment horizontal="center" vertical="center" wrapText="1"/>
    </xf>
    <xf numFmtId="4" fontId="78" fillId="0" borderId="123" xfId="0" applyFont="1" applyBorder="1" applyAlignment="1">
      <alignment horizontal="center" vertical="center" wrapText="1"/>
    </xf>
    <xf numFmtId="4" fontId="78" fillId="0" borderId="77" xfId="0" applyFont="1" applyBorder="1" applyAlignment="1">
      <alignment horizontal="center" vertical="center" wrapText="1"/>
    </xf>
    <xf numFmtId="4" fontId="78" fillId="0" borderId="18" xfId="0" applyFont="1" applyBorder="1" applyAlignment="1">
      <alignment horizontal="center" vertical="center" wrapText="1"/>
    </xf>
    <xf numFmtId="4" fontId="78" fillId="27" borderId="77" xfId="0" applyFont="1" applyFill="1" applyBorder="1" applyAlignment="1">
      <alignment horizontal="center" vertical="center" wrapText="1"/>
    </xf>
    <xf numFmtId="4" fontId="78" fillId="27" borderId="78" xfId="0" applyFont="1" applyFill="1" applyBorder="1" applyAlignment="1">
      <alignment horizontal="center" vertical="center" wrapText="1"/>
    </xf>
    <xf numFmtId="4" fontId="78" fillId="27" borderId="137" xfId="0" applyFont="1" applyFill="1" applyBorder="1" applyAlignment="1">
      <alignment horizontal="center" vertical="center" wrapText="1"/>
    </xf>
    <xf numFmtId="4" fontId="78" fillId="27" borderId="134" xfId="0" applyFont="1" applyFill="1" applyBorder="1" applyAlignment="1">
      <alignment horizontal="center" vertical="center" wrapText="1"/>
    </xf>
    <xf numFmtId="4" fontId="78" fillId="27" borderId="76" xfId="0" applyFont="1" applyFill="1" applyBorder="1" applyAlignment="1">
      <alignment horizontal="center" vertical="center" wrapText="1"/>
    </xf>
    <xf numFmtId="0" fontId="77" fillId="0" borderId="0" xfId="1148" applyFont="1" applyAlignment="1">
      <alignment horizontal="left" vertical="center" wrapText="1"/>
    </xf>
    <xf numFmtId="0" fontId="77" fillId="0" borderId="17" xfId="1148" applyFont="1" applyBorder="1" applyAlignment="1">
      <alignment horizontal="left" vertical="center" wrapText="1"/>
    </xf>
    <xf numFmtId="4" fontId="69" fillId="0" borderId="0" xfId="0" applyFont="1" applyAlignment="1">
      <alignment horizontal="center"/>
    </xf>
    <xf numFmtId="4" fontId="100" fillId="0" borderId="116" xfId="0" applyFont="1" applyBorder="1" applyAlignment="1">
      <alignment horizontal="left" vertical="center" wrapText="1"/>
    </xf>
    <xf numFmtId="4" fontId="100" fillId="0" borderId="66" xfId="0" applyFont="1" applyBorder="1" applyAlignment="1">
      <alignment horizontal="left" vertical="center" wrapText="1"/>
    </xf>
    <xf numFmtId="4" fontId="100" fillId="0" borderId="62" xfId="0" applyFont="1" applyBorder="1" applyAlignment="1">
      <alignment horizontal="left" vertical="center" wrapText="1"/>
    </xf>
    <xf numFmtId="4" fontId="100" fillId="0" borderId="119" xfId="0" applyFont="1" applyBorder="1" applyAlignment="1">
      <alignment horizontal="left" vertical="center" wrapText="1"/>
    </xf>
    <xf numFmtId="4" fontId="100" fillId="0" borderId="145" xfId="0" applyFont="1" applyBorder="1" applyAlignment="1">
      <alignment horizontal="left" vertical="center" wrapText="1"/>
    </xf>
    <xf numFmtId="4" fontId="124" fillId="46" borderId="120" xfId="0" applyFont="1" applyFill="1" applyBorder="1" applyAlignment="1">
      <alignment horizontal="left" vertical="center" wrapText="1"/>
    </xf>
    <xf numFmtId="4" fontId="124" fillId="46" borderId="55" xfId="0" applyFont="1" applyFill="1" applyBorder="1" applyAlignment="1">
      <alignment horizontal="left" vertical="center" wrapText="1"/>
    </xf>
    <xf numFmtId="4" fontId="124" fillId="46" borderId="118" xfId="0" applyFont="1" applyFill="1" applyBorder="1" applyAlignment="1">
      <alignment horizontal="left" vertical="center" wrapText="1"/>
    </xf>
    <xf numFmtId="4" fontId="80" fillId="0" borderId="124" xfId="0" applyFont="1" applyBorder="1" applyAlignment="1">
      <alignment horizontal="center"/>
    </xf>
    <xf numFmtId="4" fontId="80" fillId="0" borderId="125" xfId="0" applyFont="1" applyBorder="1" applyAlignment="1">
      <alignment horizontal="center"/>
    </xf>
    <xf numFmtId="4" fontId="80" fillId="0" borderId="146" xfId="0" applyFont="1" applyBorder="1" applyAlignment="1">
      <alignment horizontal="center"/>
    </xf>
    <xf numFmtId="172" fontId="82" fillId="3" borderId="147" xfId="0" applyNumberFormat="1" applyFont="1" applyFill="1" applyBorder="1" applyAlignment="1">
      <alignment horizontal="center"/>
    </xf>
    <xf numFmtId="172" fontId="82" fillId="3" borderId="125" xfId="0" applyNumberFormat="1" applyFont="1" applyFill="1" applyBorder="1" applyAlignment="1">
      <alignment horizontal="center"/>
    </xf>
    <xf numFmtId="172" fontId="82" fillId="3" borderId="126" xfId="0" applyNumberFormat="1" applyFont="1" applyFill="1" applyBorder="1" applyAlignment="1">
      <alignment horizontal="center"/>
    </xf>
    <xf numFmtId="176" fontId="83" fillId="0" borderId="116" xfId="0" applyNumberFormat="1" applyFont="1" applyFill="1" applyBorder="1" applyAlignment="1">
      <alignment horizontal="center"/>
    </xf>
    <xf numFmtId="176" fontId="83" fillId="0" borderId="66" xfId="0" applyNumberFormat="1" applyFont="1" applyFill="1" applyBorder="1" applyAlignment="1">
      <alignment horizontal="center"/>
    </xf>
    <xf numFmtId="176" fontId="83" fillId="0" borderId="68" xfId="0" applyNumberFormat="1" applyFont="1" applyFill="1" applyBorder="1" applyAlignment="1">
      <alignment horizontal="center"/>
    </xf>
    <xf numFmtId="176" fontId="83" fillId="0" borderId="120" xfId="0" applyNumberFormat="1" applyFont="1" applyFill="1" applyBorder="1" applyAlignment="1">
      <alignment horizontal="center"/>
    </xf>
    <xf numFmtId="176" fontId="83" fillId="0" borderId="55" xfId="0" applyNumberFormat="1" applyFont="1" applyFill="1" applyBorder="1" applyAlignment="1">
      <alignment horizontal="center"/>
    </xf>
    <xf numFmtId="176" fontId="83" fillId="0" borderId="72" xfId="0" applyNumberFormat="1" applyFont="1" applyFill="1" applyBorder="1" applyAlignment="1">
      <alignment horizontal="center"/>
    </xf>
    <xf numFmtId="172" fontId="82" fillId="0" borderId="147" xfId="0" applyNumberFormat="1" applyFont="1" applyFill="1" applyBorder="1" applyAlignment="1">
      <alignment horizontal="center"/>
    </xf>
    <xf numFmtId="172" fontId="82" fillId="0" borderId="125" xfId="0" applyNumberFormat="1" applyFont="1" applyFill="1" applyBorder="1" applyAlignment="1">
      <alignment horizontal="center"/>
    </xf>
    <xf numFmtId="172" fontId="82" fillId="0" borderId="126" xfId="0" applyNumberFormat="1" applyFont="1" applyFill="1" applyBorder="1" applyAlignment="1">
      <alignment horizontal="center"/>
    </xf>
    <xf numFmtId="172" fontId="82" fillId="0" borderId="37" xfId="0" applyNumberFormat="1" applyFont="1" applyFill="1" applyBorder="1" applyAlignment="1">
      <alignment horizontal="center"/>
    </xf>
    <xf numFmtId="172" fontId="82" fillId="0" borderId="0" xfId="0" applyNumberFormat="1" applyFont="1" applyFill="1" applyBorder="1" applyAlignment="1">
      <alignment horizontal="center"/>
    </xf>
    <xf numFmtId="172" fontId="82" fillId="0" borderId="15" xfId="0" applyNumberFormat="1" applyFont="1" applyFill="1" applyBorder="1" applyAlignment="1">
      <alignment horizontal="center"/>
    </xf>
    <xf numFmtId="172" fontId="82" fillId="0" borderId="30" xfId="0" applyNumberFormat="1" applyFont="1" applyFill="1" applyBorder="1" applyAlignment="1">
      <alignment horizontal="center"/>
    </xf>
    <xf numFmtId="172" fontId="82" fillId="0" borderId="29" xfId="0" applyNumberFormat="1" applyFont="1" applyFill="1" applyBorder="1" applyAlignment="1">
      <alignment horizontal="center"/>
    </xf>
    <xf numFmtId="172" fontId="82" fillId="0" borderId="26" xfId="0" applyNumberFormat="1" applyFont="1" applyFill="1" applyBorder="1" applyAlignment="1">
      <alignment horizontal="center"/>
    </xf>
    <xf numFmtId="172" fontId="82" fillId="3" borderId="25" xfId="0" applyNumberFormat="1" applyFont="1" applyFill="1" applyBorder="1" applyAlignment="1">
      <alignment horizontal="center"/>
    </xf>
    <xf numFmtId="172" fontId="82" fillId="3" borderId="24" xfId="0" applyNumberFormat="1" applyFont="1" applyFill="1" applyBorder="1" applyAlignment="1">
      <alignment horizontal="center"/>
    </xf>
    <xf numFmtId="172" fontId="82" fillId="3" borderId="136" xfId="0" applyNumberFormat="1" applyFont="1" applyFill="1" applyBorder="1" applyAlignment="1">
      <alignment horizontal="center"/>
    </xf>
    <xf numFmtId="176" fontId="83" fillId="0" borderId="148" xfId="0" applyNumberFormat="1" applyFont="1" applyFill="1" applyBorder="1" applyAlignment="1">
      <alignment horizontal="center"/>
    </xf>
    <xf numFmtId="176" fontId="83" fillId="0" borderId="149" xfId="0" applyNumberFormat="1" applyFont="1" applyFill="1" applyBorder="1" applyAlignment="1">
      <alignment horizontal="center"/>
    </xf>
    <xf numFmtId="176" fontId="83" fillId="0" borderId="150" xfId="0" applyNumberFormat="1" applyFont="1" applyFill="1" applyBorder="1" applyAlignment="1">
      <alignment horizontal="center"/>
    </xf>
    <xf numFmtId="176" fontId="83" fillId="0" borderId="51" xfId="0" applyNumberFormat="1" applyFont="1" applyFill="1" applyBorder="1" applyAlignment="1">
      <alignment horizontal="center"/>
    </xf>
    <xf numFmtId="176" fontId="83" fillId="0" borderId="52" xfId="0" applyNumberFormat="1" applyFont="1" applyFill="1" applyBorder="1" applyAlignment="1">
      <alignment horizontal="center"/>
    </xf>
    <xf numFmtId="176" fontId="83" fillId="0" borderId="151" xfId="0" applyNumberFormat="1" applyFont="1" applyFill="1" applyBorder="1" applyAlignment="1">
      <alignment horizontal="center"/>
    </xf>
    <xf numFmtId="0" fontId="104" fillId="0" borderId="13" xfId="0" applyNumberFormat="1" applyFont="1" applyBorder="1" applyAlignment="1">
      <alignment horizontal="center" vertical="center" wrapText="1"/>
    </xf>
    <xf numFmtId="0" fontId="104" fillId="0" borderId="84" xfId="0" applyNumberFormat="1" applyFont="1" applyBorder="1" applyAlignment="1">
      <alignment horizontal="center" vertical="center" wrapText="1"/>
    </xf>
    <xf numFmtId="0" fontId="104" fillId="0" borderId="152" xfId="0" applyNumberFormat="1" applyFont="1" applyBorder="1" applyAlignment="1">
      <alignment horizontal="center" vertical="center" wrapText="1"/>
    </xf>
    <xf numFmtId="0" fontId="104" fillId="0" borderId="143" xfId="0" applyNumberFormat="1" applyFont="1" applyBorder="1" applyAlignment="1">
      <alignment horizontal="center" vertical="center" wrapText="1"/>
    </xf>
    <xf numFmtId="0" fontId="104" fillId="0" borderId="152" xfId="0" applyNumberFormat="1" applyFont="1" applyBorder="1" applyAlignment="1">
      <alignment horizontal="center" vertical="center"/>
    </xf>
    <xf numFmtId="0" fontId="104" fillId="0" borderId="143" xfId="0" applyNumberFormat="1" applyFont="1" applyBorder="1" applyAlignment="1">
      <alignment horizontal="center" vertical="center"/>
    </xf>
    <xf numFmtId="4" fontId="342" fillId="0" borderId="168" xfId="0" applyFont="1" applyFill="1" applyBorder="1" applyAlignment="1" applyProtection="1">
      <alignment horizontal="center" vertical="center"/>
    </xf>
    <xf numFmtId="4" fontId="342" fillId="0" borderId="179" xfId="0" applyFont="1" applyFill="1" applyBorder="1" applyAlignment="1" applyProtection="1">
      <alignment horizontal="center" vertical="center"/>
    </xf>
    <xf numFmtId="49" fontId="342" fillId="0" borderId="157" xfId="0" applyNumberFormat="1" applyFont="1" applyFill="1" applyBorder="1" applyAlignment="1" applyProtection="1">
      <alignment horizontal="center" vertical="center"/>
    </xf>
    <xf numFmtId="49" fontId="342" fillId="0" borderId="172" xfId="0" applyNumberFormat="1" applyFont="1" applyFill="1" applyBorder="1" applyAlignment="1" applyProtection="1">
      <alignment horizontal="center" vertical="center"/>
    </xf>
    <xf numFmtId="4" fontId="342" fillId="0" borderId="158" xfId="0" applyFont="1" applyFill="1" applyBorder="1" applyAlignment="1" applyProtection="1">
      <alignment horizontal="center" vertical="center" wrapText="1"/>
    </xf>
    <xf numFmtId="4" fontId="342" fillId="0" borderId="173" xfId="0" applyFont="1" applyFill="1" applyBorder="1" applyAlignment="1" applyProtection="1">
      <alignment horizontal="center" vertical="center" wrapText="1"/>
    </xf>
    <xf numFmtId="4" fontId="342" fillId="0" borderId="159" xfId="0" applyFont="1" applyFill="1" applyBorder="1" applyAlignment="1" applyProtection="1">
      <alignment horizontal="center" vertical="center" wrapText="1"/>
    </xf>
    <xf numFmtId="4" fontId="342" fillId="0" borderId="174" xfId="0" applyFont="1" applyFill="1" applyBorder="1" applyAlignment="1" applyProtection="1">
      <alignment horizontal="center" vertical="center" wrapText="1"/>
    </xf>
    <xf numFmtId="4" fontId="342" fillId="0" borderId="161" xfId="0" applyFont="1" applyFill="1" applyBorder="1" applyAlignment="1" applyProtection="1">
      <alignment horizontal="center" vertical="center"/>
    </xf>
    <xf numFmtId="4" fontId="342" fillId="0" borderId="162" xfId="0" applyFont="1" applyFill="1" applyBorder="1" applyAlignment="1" applyProtection="1">
      <alignment horizontal="center" vertical="center"/>
    </xf>
    <xf numFmtId="4" fontId="342" fillId="0" borderId="163" xfId="0" applyFont="1" applyFill="1" applyBorder="1" applyAlignment="1" applyProtection="1">
      <alignment horizontal="center" vertical="center"/>
    </xf>
    <xf numFmtId="4" fontId="342" fillId="0" borderId="164" xfId="0" applyFont="1" applyFill="1" applyBorder="1" applyAlignment="1" applyProtection="1">
      <alignment horizontal="center" vertical="center" wrapText="1"/>
    </xf>
    <xf numFmtId="4" fontId="342" fillId="0" borderId="162" xfId="0" applyFont="1" applyFill="1" applyBorder="1" applyAlignment="1" applyProtection="1">
      <alignment horizontal="center" vertical="center" wrapText="1"/>
    </xf>
    <xf numFmtId="4" fontId="342" fillId="0" borderId="165" xfId="0" applyFont="1" applyFill="1" applyBorder="1" applyAlignment="1" applyProtection="1">
      <alignment horizontal="center" vertical="center" wrapText="1"/>
    </xf>
    <xf numFmtId="4" fontId="342" fillId="0" borderId="166" xfId="0" applyFont="1" applyFill="1" applyBorder="1" applyAlignment="1" applyProtection="1">
      <alignment horizontal="center" vertical="center" wrapText="1"/>
    </xf>
    <xf numFmtId="4" fontId="342" fillId="0" borderId="167" xfId="0" applyFont="1" applyFill="1" applyBorder="1" applyAlignment="1" applyProtection="1">
      <alignment horizontal="center" vertical="center" wrapText="1"/>
    </xf>
    <xf numFmtId="4" fontId="342" fillId="0" borderId="163" xfId="0" applyFont="1" applyFill="1" applyBorder="1" applyAlignment="1" applyProtection="1">
      <alignment horizontal="center" vertical="center" wrapText="1"/>
    </xf>
    <xf numFmtId="0" fontId="134" fillId="0" borderId="89" xfId="1157" applyFont="1" applyBorder="1" applyAlignment="1" applyProtection="1">
      <alignment horizontal="left" vertical="center"/>
    </xf>
    <xf numFmtId="49" fontId="134" fillId="0" borderId="90" xfId="1110" applyFont="1" applyFill="1" applyBorder="1" applyAlignment="1" applyProtection="1">
      <alignment horizontal="center" vertical="center" wrapText="1"/>
    </xf>
    <xf numFmtId="49" fontId="134" fillId="0" borderId="98" xfId="1110" applyFont="1" applyFill="1" applyBorder="1" applyAlignment="1" applyProtection="1">
      <alignment horizontal="center" vertical="center" wrapText="1"/>
    </xf>
    <xf numFmtId="49" fontId="134" fillId="0" borderId="101" xfId="1110" applyFont="1" applyFill="1" applyBorder="1" applyAlignment="1" applyProtection="1">
      <alignment horizontal="center" vertical="center" wrapText="1"/>
    </xf>
    <xf numFmtId="49" fontId="134" fillId="0" borderId="96" xfId="1110" applyFont="1" applyFill="1" applyBorder="1" applyAlignment="1" applyProtection="1">
      <alignment horizontal="center" vertical="center" wrapText="1"/>
    </xf>
    <xf numFmtId="49" fontId="134" fillId="0" borderId="100" xfId="1110" applyFont="1" applyFill="1" applyBorder="1" applyAlignment="1" applyProtection="1">
      <alignment horizontal="center" vertical="center" wrapText="1"/>
    </xf>
    <xf numFmtId="49" fontId="134" fillId="0" borderId="89" xfId="1110" applyFont="1" applyFill="1" applyBorder="1" applyAlignment="1" applyProtection="1">
      <alignment horizontal="center" vertical="center" wrapText="1"/>
    </xf>
    <xf numFmtId="49" fontId="134" fillId="0" borderId="95" xfId="1110" applyFont="1" applyFill="1" applyBorder="1" applyAlignment="1" applyProtection="1">
      <alignment horizontal="center" vertical="center" wrapText="1"/>
    </xf>
    <xf numFmtId="0" fontId="100" fillId="0" borderId="55" xfId="1157" applyNumberFormat="1" applyFont="1" applyBorder="1" applyAlignment="1" applyProtection="1">
      <alignment horizontal="center" vertical="center"/>
    </xf>
    <xf numFmtId="0" fontId="100" fillId="0" borderId="55" xfId="1157" applyFont="1" applyBorder="1" applyAlignment="1" applyProtection="1">
      <alignment horizontal="center" vertical="center" wrapText="1"/>
    </xf>
    <xf numFmtId="0" fontId="100" fillId="0" borderId="55" xfId="1157" applyFont="1" applyBorder="1" applyAlignment="1" applyProtection="1">
      <alignment horizontal="center" vertical="center"/>
    </xf>
    <xf numFmtId="49" fontId="134" fillId="0" borderId="99" xfId="1110" applyFont="1" applyFill="1" applyBorder="1" applyAlignment="1" applyProtection="1">
      <alignment horizontal="center" vertical="center" wrapText="1"/>
    </xf>
    <xf numFmtId="0" fontId="100" fillId="0" borderId="0" xfId="1157" applyFont="1" applyAlignment="1" applyProtection="1">
      <alignment horizontal="center" vertical="center"/>
    </xf>
    <xf numFmtId="0" fontId="100" fillId="0" borderId="66" xfId="1157" applyFont="1" applyBorder="1" applyAlignment="1" applyProtection="1">
      <alignment horizontal="center" vertical="center"/>
    </xf>
    <xf numFmtId="0" fontId="100" fillId="0" borderId="0" xfId="1157" applyFont="1" applyBorder="1" applyAlignment="1" applyProtection="1">
      <alignment horizontal="center" vertical="center"/>
    </xf>
    <xf numFmtId="0" fontId="100" fillId="0" borderId="0" xfId="1157" applyFont="1" applyBorder="1" applyAlignment="1" applyProtection="1">
      <alignment horizontal="center" vertical="center" wrapText="1"/>
    </xf>
    <xf numFmtId="49" fontId="134" fillId="0" borderId="101" xfId="1110" applyFont="1" applyBorder="1" applyAlignment="1">
      <alignment horizontal="center" vertical="center" wrapText="1"/>
    </xf>
    <xf numFmtId="49" fontId="134" fillId="0" borderId="90" xfId="1110" applyFont="1" applyBorder="1" applyAlignment="1">
      <alignment horizontal="center" vertical="center" wrapText="1"/>
    </xf>
    <xf numFmtId="49" fontId="134" fillId="0" borderId="98" xfId="1110" applyFont="1" applyBorder="1" applyAlignment="1">
      <alignment horizontal="center" vertical="center" wrapText="1"/>
    </xf>
    <xf numFmtId="49" fontId="134" fillId="0" borderId="89" xfId="1110" applyFont="1" applyBorder="1" applyAlignment="1">
      <alignment horizontal="center" vertical="center" wrapText="1"/>
    </xf>
    <xf numFmtId="49" fontId="134" fillId="0" borderId="95" xfId="1110" applyFont="1" applyBorder="1" applyAlignment="1">
      <alignment horizontal="center" vertical="center" wrapText="1"/>
    </xf>
    <xf numFmtId="0" fontId="134" fillId="0" borderId="0" xfId="1157" applyFont="1" applyBorder="1" applyAlignment="1" applyProtection="1">
      <alignment horizontal="left" vertical="center"/>
    </xf>
    <xf numFmtId="49" fontId="134" fillId="0" borderId="96" xfId="1110" applyFont="1" applyBorder="1" applyAlignment="1">
      <alignment horizontal="center" vertical="center" wrapText="1"/>
    </xf>
    <xf numFmtId="49" fontId="134" fillId="0" borderId="97" xfId="1110" applyFont="1" applyBorder="1" applyAlignment="1">
      <alignment horizontal="center" vertical="center" wrapText="1"/>
    </xf>
    <xf numFmtId="49" fontId="49" fillId="0" borderId="90" xfId="1110" applyFont="1" applyFill="1" applyBorder="1" applyAlignment="1" applyProtection="1">
      <alignment horizontal="center" vertical="center" wrapText="1"/>
    </xf>
    <xf numFmtId="49" fontId="49" fillId="0" borderId="98" xfId="1110" applyFont="1" applyFill="1" applyBorder="1" applyAlignment="1" applyProtection="1">
      <alignment horizontal="center" vertical="center" wrapText="1"/>
    </xf>
    <xf numFmtId="49" fontId="49" fillId="0" borderId="89" xfId="1110" applyFont="1" applyFill="1" applyBorder="1" applyAlignment="1" applyProtection="1">
      <alignment horizontal="center" vertical="center" wrapText="1"/>
    </xf>
    <xf numFmtId="49" fontId="49" fillId="0" borderId="101" xfId="1110" applyFont="1" applyFill="1" applyBorder="1" applyAlignment="1" applyProtection="1">
      <alignment horizontal="center" vertical="center" wrapText="1"/>
    </xf>
    <xf numFmtId="49" fontId="49" fillId="0" borderId="100" xfId="1110" applyFont="1" applyFill="1" applyBorder="1" applyAlignment="1" applyProtection="1">
      <alignment horizontal="center" vertical="center" wrapText="1"/>
    </xf>
    <xf numFmtId="49" fontId="49" fillId="0" borderId="99" xfId="1110" applyFont="1" applyFill="1" applyBorder="1" applyAlignment="1" applyProtection="1">
      <alignment horizontal="center" vertical="center" wrapText="1"/>
    </xf>
    <xf numFmtId="0" fontId="49" fillId="0" borderId="89" xfId="1157" applyFont="1" applyBorder="1" applyAlignment="1" applyProtection="1">
      <alignment horizontal="left" vertical="center"/>
    </xf>
    <xf numFmtId="49" fontId="49" fillId="0" borderId="90" xfId="1110" applyFont="1" applyBorder="1" applyAlignment="1">
      <alignment horizontal="center" vertical="center"/>
    </xf>
    <xf numFmtId="49" fontId="49" fillId="0" borderId="98" xfId="1110" applyFont="1" applyBorder="1" applyAlignment="1">
      <alignment horizontal="center" vertical="center"/>
    </xf>
    <xf numFmtId="49" fontId="49" fillId="0" borderId="89" xfId="1110" applyFont="1" applyBorder="1" applyAlignment="1">
      <alignment horizontal="center" vertical="center"/>
    </xf>
    <xf numFmtId="49" fontId="49" fillId="0" borderId="96" xfId="1110" applyFont="1" applyFill="1" applyBorder="1" applyAlignment="1" applyProtection="1">
      <alignment horizontal="center" vertical="center" wrapText="1"/>
    </xf>
    <xf numFmtId="0" fontId="49" fillId="0" borderId="89" xfId="1157" applyFont="1" applyBorder="1" applyAlignment="1" applyProtection="1">
      <alignment horizontal="center" vertical="center"/>
    </xf>
    <xf numFmtId="0" fontId="49" fillId="0" borderId="90" xfId="1157" applyFont="1" applyBorder="1" applyAlignment="1" applyProtection="1">
      <alignment horizontal="center" vertical="center"/>
    </xf>
    <xf numFmtId="0" fontId="49" fillId="0" borderId="98" xfId="1157" applyFont="1" applyBorder="1" applyAlignment="1" applyProtection="1">
      <alignment horizontal="center" vertical="center"/>
    </xf>
    <xf numFmtId="49" fontId="0" fillId="0" borderId="89" xfId="1110" applyFont="1" applyBorder="1" applyAlignment="1">
      <alignment horizontal="center" vertical="center" wrapText="1"/>
    </xf>
    <xf numFmtId="49" fontId="49" fillId="0" borderId="90" xfId="1110" applyFont="1" applyBorder="1" applyAlignment="1">
      <alignment horizontal="center" vertical="center" wrapText="1"/>
    </xf>
    <xf numFmtId="49" fontId="49" fillId="0" borderId="95" xfId="1110" applyFont="1" applyBorder="1" applyAlignment="1">
      <alignment horizontal="center" vertical="center" wrapText="1"/>
    </xf>
    <xf numFmtId="49" fontId="49" fillId="0" borderId="89" xfId="1110" applyFont="1" applyBorder="1" applyAlignment="1">
      <alignment horizontal="center" vertical="center" wrapText="1"/>
    </xf>
    <xf numFmtId="49" fontId="49" fillId="0" borderId="98" xfId="1110" applyFont="1" applyBorder="1" applyAlignment="1">
      <alignment horizontal="center" vertical="center" wrapText="1"/>
    </xf>
    <xf numFmtId="49" fontId="49" fillId="0" borderId="101" xfId="1110" applyFont="1" applyBorder="1" applyAlignment="1">
      <alignment horizontal="center" vertical="center" wrapText="1"/>
    </xf>
    <xf numFmtId="49" fontId="49" fillId="0" borderId="95" xfId="1110" applyFont="1" applyFill="1" applyBorder="1" applyAlignment="1" applyProtection="1">
      <alignment horizontal="center" vertical="center" wrapText="1"/>
    </xf>
    <xf numFmtId="49" fontId="134" fillId="0" borderId="90" xfId="1110" applyFont="1" applyBorder="1" applyAlignment="1">
      <alignment horizontal="center" vertical="center"/>
    </xf>
    <xf numFmtId="49" fontId="134" fillId="0" borderId="98" xfId="1110" applyFont="1" applyBorder="1" applyAlignment="1">
      <alignment horizontal="center" vertical="center"/>
    </xf>
    <xf numFmtId="49" fontId="134" fillId="0" borderId="89" xfId="1110" applyFont="1" applyBorder="1" applyAlignment="1">
      <alignment horizontal="center" vertical="center"/>
    </xf>
    <xf numFmtId="49" fontId="134" fillId="0" borderId="101" xfId="1110" applyFont="1" applyBorder="1" applyAlignment="1">
      <alignment horizontal="center" vertical="center"/>
    </xf>
    <xf numFmtId="0" fontId="134" fillId="0" borderId="89" xfId="1157" applyFont="1" applyBorder="1" applyAlignment="1" applyProtection="1">
      <alignment horizontal="center" vertical="center"/>
    </xf>
    <xf numFmtId="0" fontId="134" fillId="0" borderId="90" xfId="1157" applyFont="1" applyBorder="1" applyAlignment="1" applyProtection="1">
      <alignment horizontal="center" vertical="center"/>
    </xf>
    <xf numFmtId="0" fontId="134" fillId="0" borderId="98" xfId="1157" applyFont="1" applyBorder="1" applyAlignment="1" applyProtection="1">
      <alignment horizontal="center" vertical="center"/>
    </xf>
    <xf numFmtId="0" fontId="144" fillId="0" borderId="0" xfId="1150" applyFont="1" applyFill="1" applyBorder="1" applyAlignment="1" applyProtection="1">
      <alignment horizontal="center" vertical="center" wrapText="1"/>
    </xf>
    <xf numFmtId="0" fontId="100" fillId="0" borderId="0" xfId="1146" applyFont="1" applyFill="1" applyBorder="1" applyAlignment="1" applyProtection="1">
      <alignment horizontal="right" vertical="center" wrapText="1"/>
    </xf>
    <xf numFmtId="0" fontId="100" fillId="0" borderId="63" xfId="1150" applyFont="1" applyFill="1" applyBorder="1" applyAlignment="1" applyProtection="1">
      <alignment horizontal="center" vertical="center" wrapText="1"/>
    </xf>
    <xf numFmtId="0" fontId="100" fillId="0" borderId="64" xfId="1150" applyFont="1" applyFill="1" applyBorder="1" applyAlignment="1" applyProtection="1">
      <alignment horizontal="center" vertical="center" wrapText="1"/>
    </xf>
    <xf numFmtId="0" fontId="100" fillId="0" borderId="0" xfId="1150" applyFont="1" applyFill="1" applyBorder="1" applyAlignment="1" applyProtection="1">
      <alignment horizontal="right" vertical="center" wrapText="1"/>
    </xf>
    <xf numFmtId="4" fontId="49" fillId="0" borderId="0" xfId="0" applyFont="1" applyFill="1" applyBorder="1" applyAlignment="1" applyProtection="1">
      <alignment horizontal="center" vertical="center"/>
    </xf>
    <xf numFmtId="4" fontId="49" fillId="0" borderId="153" xfId="0" applyFont="1" applyFill="1" applyBorder="1" applyAlignment="1" applyProtection="1">
      <alignment horizontal="center" vertical="center"/>
    </xf>
    <xf numFmtId="4" fontId="49" fillId="3" borderId="110" xfId="0" applyNumberFormat="1" applyFont="1" applyFill="1" applyBorder="1" applyAlignment="1" applyProtection="1">
      <alignment horizontal="center" vertical="center" wrapText="1"/>
    </xf>
    <xf numFmtId="4" fontId="49" fillId="3" borderId="112" xfId="0" applyNumberFormat="1" applyFont="1" applyFill="1" applyBorder="1" applyAlignment="1" applyProtection="1">
      <alignment horizontal="center" vertical="center" wrapText="1"/>
    </xf>
    <xf numFmtId="4" fontId="49" fillId="3" borderId="113" xfId="0" applyNumberFormat="1" applyFont="1" applyFill="1" applyBorder="1" applyAlignment="1" applyProtection="1">
      <alignment horizontal="center" vertical="center" wrapText="1"/>
    </xf>
    <xf numFmtId="4" fontId="49" fillId="27" borderId="110" xfId="1165" applyNumberFormat="1" applyFont="1" applyFill="1" applyBorder="1" applyAlignment="1" applyProtection="1">
      <alignment horizontal="center" vertical="center" wrapText="1"/>
      <protection locked="0"/>
    </xf>
    <xf numFmtId="4" fontId="49" fillId="27" borderId="112" xfId="1165" applyNumberFormat="1" applyFont="1" applyFill="1" applyBorder="1" applyAlignment="1" applyProtection="1">
      <alignment horizontal="center" vertical="center" wrapText="1"/>
      <protection locked="0"/>
    </xf>
    <xf numFmtId="4" fontId="49" fillId="27" borderId="113" xfId="1165" applyNumberFormat="1" applyFont="1" applyFill="1" applyBorder="1" applyAlignment="1" applyProtection="1">
      <alignment horizontal="center" vertical="center" wrapText="1"/>
      <protection locked="0"/>
    </xf>
    <xf numFmtId="4" fontId="49" fillId="3" borderId="110" xfId="1166" applyNumberFormat="1" applyFont="1" applyFill="1" applyBorder="1" applyAlignment="1" applyProtection="1">
      <alignment horizontal="center" vertical="center" wrapText="1"/>
    </xf>
    <xf numFmtId="4" fontId="49" fillId="3" borderId="112" xfId="1166" applyNumberFormat="1" applyFont="1" applyFill="1" applyBorder="1" applyAlignment="1" applyProtection="1">
      <alignment horizontal="center" vertical="center" wrapText="1"/>
    </xf>
    <xf numFmtId="4" fontId="49" fillId="3" borderId="113" xfId="1166" applyNumberFormat="1" applyFont="1" applyFill="1" applyBorder="1" applyAlignment="1" applyProtection="1">
      <alignment horizontal="center" vertical="center" wrapText="1"/>
    </xf>
    <xf numFmtId="4" fontId="49" fillId="46" borderId="110" xfId="0" applyFont="1" applyFill="1" applyBorder="1" applyAlignment="1" applyProtection="1">
      <alignment horizontal="center" vertical="center" wrapText="1"/>
    </xf>
    <xf numFmtId="4" fontId="49" fillId="46" borderId="112" xfId="0" applyFont="1" applyFill="1" applyBorder="1" applyAlignment="1" applyProtection="1">
      <alignment horizontal="center" vertical="center" wrapText="1"/>
    </xf>
    <xf numFmtId="4" fontId="49" fillId="46" borderId="113" xfId="0" applyFont="1" applyFill="1" applyBorder="1" applyAlignment="1" applyProtection="1">
      <alignment horizontal="center" vertical="center" wrapText="1"/>
    </xf>
    <xf numFmtId="0" fontId="146" fillId="46" borderId="110" xfId="1153" applyFont="1" applyFill="1" applyBorder="1" applyAlignment="1" applyProtection="1">
      <alignment horizontal="center" vertical="center"/>
    </xf>
    <xf numFmtId="0" fontId="146" fillId="46" borderId="112" xfId="1153" applyFont="1" applyFill="1" applyBorder="1" applyAlignment="1" applyProtection="1">
      <alignment horizontal="center" vertical="center"/>
    </xf>
    <xf numFmtId="0" fontId="146" fillId="46" borderId="113" xfId="1153" applyFont="1" applyFill="1" applyBorder="1" applyAlignment="1" applyProtection="1">
      <alignment horizontal="center" vertical="center"/>
    </xf>
    <xf numFmtId="0" fontId="100" fillId="0" borderId="63" xfId="0" applyNumberFormat="1" applyFont="1" applyFill="1" applyBorder="1" applyAlignment="1" applyProtection="1">
      <alignment horizontal="left" vertical="center" indent="4"/>
    </xf>
    <xf numFmtId="0" fontId="100" fillId="0" borderId="14" xfId="0" applyNumberFormat="1" applyFont="1" applyFill="1" applyBorder="1" applyAlignment="1" applyProtection="1">
      <alignment horizontal="left" vertical="center" indent="4"/>
    </xf>
    <xf numFmtId="0" fontId="100" fillId="0" borderId="64" xfId="0" applyNumberFormat="1" applyFont="1" applyFill="1" applyBorder="1" applyAlignment="1" applyProtection="1">
      <alignment horizontal="left" vertical="center" indent="4"/>
    </xf>
    <xf numFmtId="49" fontId="68" fillId="0" borderId="0" xfId="0" applyNumberFormat="1" applyFont="1" applyFill="1" applyBorder="1" applyAlignment="1" applyProtection="1">
      <alignment horizontal="center" vertical="center" wrapText="1"/>
    </xf>
    <xf numFmtId="4" fontId="125" fillId="46" borderId="112" xfId="0" applyFont="1" applyFill="1" applyBorder="1" applyAlignment="1" applyProtection="1">
      <alignment horizontal="center" vertical="center" wrapText="1"/>
    </xf>
    <xf numFmtId="49" fontId="49" fillId="46" borderId="107" xfId="0" applyNumberFormat="1" applyFont="1" applyFill="1" applyBorder="1" applyAlignment="1" applyProtection="1">
      <alignment horizontal="center" vertical="center" wrapText="1"/>
    </xf>
    <xf numFmtId="49" fontId="49" fillId="46" borderId="105" xfId="0" applyNumberFormat="1" applyFont="1" applyFill="1" applyBorder="1" applyAlignment="1" applyProtection="1">
      <alignment horizontal="center" vertical="center" wrapText="1"/>
    </xf>
    <xf numFmtId="4" fontId="49" fillId="46" borderId="107" xfId="0" applyFont="1" applyFill="1" applyBorder="1" applyAlignment="1" applyProtection="1">
      <alignment horizontal="center" vertical="center" wrapText="1"/>
    </xf>
    <xf numFmtId="4" fontId="49" fillId="46" borderId="105" xfId="0" applyFont="1" applyFill="1" applyBorder="1" applyAlignment="1" applyProtection="1">
      <alignment horizontal="center" vertical="center" wrapText="1"/>
    </xf>
    <xf numFmtId="4" fontId="49" fillId="46" borderId="103" xfId="0" applyFont="1" applyFill="1" applyBorder="1" applyAlignment="1" applyProtection="1">
      <alignment horizontal="center" vertical="center" wrapText="1"/>
    </xf>
    <xf numFmtId="4" fontId="49" fillId="46" borderId="106" xfId="0" applyFont="1" applyFill="1" applyBorder="1" applyAlignment="1" applyProtection="1">
      <alignment horizontal="center" vertical="center" wrapText="1"/>
    </xf>
    <xf numFmtId="4" fontId="49" fillId="46" borderId="108" xfId="0" applyFont="1" applyFill="1" applyBorder="1" applyAlignment="1" applyProtection="1">
      <alignment horizontal="center" vertical="center" wrapText="1"/>
    </xf>
    <xf numFmtId="4" fontId="49" fillId="46" borderId="0" xfId="0" applyFont="1" applyFill="1" applyBorder="1" applyAlignment="1" applyProtection="1">
      <alignment horizontal="center" vertical="center" wrapText="1"/>
    </xf>
    <xf numFmtId="4" fontId="49" fillId="46" borderId="154" xfId="0" applyFont="1" applyFill="1" applyBorder="1" applyAlignment="1" applyProtection="1">
      <alignment horizontal="center" vertical="center" wrapText="1"/>
    </xf>
    <xf numFmtId="4" fontId="49" fillId="3" borderId="107" xfId="0" applyFont="1" applyFill="1" applyBorder="1" applyAlignment="1" applyProtection="1">
      <alignment horizontal="center" vertical="center" wrapText="1"/>
    </xf>
    <xf numFmtId="4" fontId="49" fillId="3" borderId="108" xfId="0" applyFont="1" applyFill="1" applyBorder="1" applyAlignment="1" applyProtection="1">
      <alignment horizontal="center" vertical="center" wrapText="1"/>
    </xf>
    <xf numFmtId="4" fontId="49" fillId="3" borderId="154" xfId="0" applyFont="1" applyFill="1" applyBorder="1" applyAlignment="1" applyProtection="1">
      <alignment horizontal="center" vertical="center" wrapText="1"/>
    </xf>
    <xf numFmtId="49" fontId="49" fillId="3" borderId="107" xfId="0" applyNumberFormat="1" applyFont="1" applyFill="1" applyBorder="1" applyAlignment="1" applyProtection="1">
      <alignment horizontal="center" vertical="center" wrapText="1"/>
    </xf>
    <xf numFmtId="0" fontId="49" fillId="3" borderId="108" xfId="0" applyNumberFormat="1" applyFont="1" applyFill="1" applyBorder="1" applyAlignment="1" applyProtection="1">
      <alignment horizontal="center" vertical="center" wrapText="1"/>
    </xf>
    <xf numFmtId="4" fontId="49" fillId="3" borderId="154" xfId="0" applyNumberFormat="1" applyFont="1" applyFill="1" applyBorder="1" applyAlignment="1" applyProtection="1">
      <alignment horizontal="center" vertical="center" wrapText="1"/>
    </xf>
    <xf numFmtId="49" fontId="132" fillId="0" borderId="0" xfId="1133" applyFont="1" applyFill="1" applyBorder="1" applyAlignment="1" applyProtection="1">
      <alignment horizontal="center" vertical="center"/>
    </xf>
    <xf numFmtId="0" fontId="49" fillId="2" borderId="3" xfId="1155" applyFont="1" applyFill="1" applyBorder="1" applyAlignment="1" applyProtection="1">
      <alignment horizontal="left" vertical="center" wrapText="1" indent="5"/>
    </xf>
    <xf numFmtId="49" fontId="128" fillId="0" borderId="63" xfId="1133" applyFont="1" applyFill="1" applyBorder="1" applyAlignment="1" applyProtection="1">
      <alignment horizontal="center" vertical="center"/>
    </xf>
    <xf numFmtId="49" fontId="128" fillId="0" borderId="14" xfId="1133" applyFont="1" applyFill="1" applyBorder="1" applyAlignment="1" applyProtection="1">
      <alignment horizontal="center" vertical="center"/>
    </xf>
    <xf numFmtId="49" fontId="128" fillId="0" borderId="64" xfId="1133" applyFont="1" applyFill="1" applyBorder="1" applyAlignment="1" applyProtection="1">
      <alignment horizontal="center" vertical="center"/>
    </xf>
    <xf numFmtId="49" fontId="49" fillId="0" borderId="0" xfId="1133" applyNumberFormat="1" applyFont="1" applyFill="1" applyBorder="1" applyAlignment="1" applyProtection="1">
      <alignment horizontal="left" vertical="center" wrapText="1" indent="1"/>
    </xf>
    <xf numFmtId="2" fontId="128" fillId="0" borderId="62" xfId="1133" applyNumberFormat="1" applyFont="1" applyFill="1" applyBorder="1" applyAlignment="1" applyProtection="1">
      <alignment horizontal="left" vertical="center" indent="4"/>
    </xf>
    <xf numFmtId="4" fontId="100" fillId="0" borderId="155" xfId="0" applyFont="1" applyFill="1" applyBorder="1" applyAlignment="1" applyProtection="1">
      <alignment horizontal="center"/>
    </xf>
    <xf numFmtId="0" fontId="49" fillId="0" borderId="3" xfId="1133" applyNumberFormat="1" applyFont="1" applyFill="1" applyBorder="1" applyAlignment="1" applyProtection="1">
      <alignment horizontal="center" vertical="center" wrapText="1"/>
    </xf>
    <xf numFmtId="0" fontId="132" fillId="0" borderId="3" xfId="1133" applyNumberFormat="1" applyFont="1" applyBorder="1" applyAlignment="1" applyProtection="1">
      <alignment horizontal="center" vertical="center"/>
    </xf>
    <xf numFmtId="0" fontId="125" fillId="0" borderId="3" xfId="1133" applyNumberFormat="1" applyFont="1" applyFill="1" applyBorder="1" applyAlignment="1" applyProtection="1">
      <alignment horizontal="center" vertical="center"/>
    </xf>
    <xf numFmtId="0" fontId="132" fillId="0" borderId="3" xfId="1133" applyNumberFormat="1" applyFont="1" applyFill="1" applyBorder="1" applyAlignment="1" applyProtection="1">
      <alignment horizontal="center" vertical="center" wrapText="1"/>
    </xf>
    <xf numFmtId="0" fontId="132" fillId="0" borderId="110" xfId="1133" applyNumberFormat="1" applyFont="1" applyFill="1" applyBorder="1" applyAlignment="1" applyProtection="1">
      <alignment horizontal="center" vertical="center" wrapText="1"/>
    </xf>
    <xf numFmtId="0" fontId="132" fillId="0" borderId="113" xfId="1133" applyNumberFormat="1" applyFont="1" applyFill="1" applyBorder="1" applyAlignment="1" applyProtection="1">
      <alignment horizontal="center" vertical="center" wrapText="1"/>
    </xf>
    <xf numFmtId="0" fontId="125" fillId="0" borderId="113" xfId="1133" applyNumberFormat="1" applyFont="1" applyFill="1" applyBorder="1" applyAlignment="1" applyProtection="1">
      <alignment horizontal="center" vertical="center"/>
    </xf>
    <xf numFmtId="0" fontId="132" fillId="0" borderId="3" xfId="1133" applyNumberFormat="1" applyFont="1" applyFill="1" applyBorder="1" applyAlignment="1" applyProtection="1">
      <alignment horizontal="center" vertical="center"/>
    </xf>
    <xf numFmtId="0" fontId="132" fillId="0" borderId="113" xfId="1133" applyNumberFormat="1" applyFont="1" applyFill="1" applyBorder="1" applyAlignment="1" applyProtection="1">
      <alignment horizontal="center" vertical="center"/>
    </xf>
    <xf numFmtId="4" fontId="132" fillId="47" borderId="103" xfId="1133" applyNumberFormat="1" applyFont="1" applyFill="1" applyBorder="1" applyAlignment="1" applyProtection="1">
      <alignment horizontal="center" vertical="center"/>
    </xf>
    <xf numFmtId="4" fontId="132" fillId="3" borderId="154" xfId="1133" applyNumberFormat="1" applyFont="1" applyFill="1" applyBorder="1" applyAlignment="1" applyProtection="1">
      <alignment horizontal="center" vertical="center"/>
    </xf>
    <xf numFmtId="4" fontId="132" fillId="3" borderId="103" xfId="1133" applyNumberFormat="1" applyFont="1" applyFill="1" applyBorder="1" applyAlignment="1" applyProtection="1">
      <alignment horizontal="center" vertical="center"/>
    </xf>
    <xf numFmtId="49" fontId="132" fillId="0" borderId="3" xfId="1133" applyFont="1" applyFill="1" applyBorder="1" applyAlignment="1" applyProtection="1">
      <alignment horizontal="center" vertical="center"/>
    </xf>
    <xf numFmtId="0" fontId="68" fillId="2" borderId="132" xfId="1151" applyFont="1" applyFill="1" applyBorder="1" applyAlignment="1" applyProtection="1">
      <alignment horizontal="center" vertical="center"/>
    </xf>
    <xf numFmtId="0" fontId="68" fillId="2" borderId="62" xfId="1151" applyFont="1" applyFill="1" applyBorder="1" applyAlignment="1" applyProtection="1">
      <alignment horizontal="center" vertical="center"/>
    </xf>
    <xf numFmtId="0" fontId="68" fillId="2" borderId="119" xfId="1151" applyFont="1" applyFill="1" applyBorder="1" applyAlignment="1" applyProtection="1">
      <alignment horizontal="center" vertical="center"/>
    </xf>
    <xf numFmtId="0" fontId="49" fillId="0" borderId="14" xfId="1151" applyFont="1" applyBorder="1" applyAlignment="1" applyProtection="1">
      <alignment horizontal="center" vertical="center" wrapText="1"/>
    </xf>
    <xf numFmtId="0" fontId="49" fillId="0" borderId="39" xfId="1151" applyFont="1" applyBorder="1" applyAlignment="1" applyProtection="1">
      <alignment horizontal="center" vertical="center" wrapText="1"/>
    </xf>
    <xf numFmtId="0" fontId="147" fillId="45" borderId="14" xfId="1151" applyFont="1" applyFill="1" applyBorder="1" applyAlignment="1" applyProtection="1">
      <alignment horizontal="center" vertical="center"/>
    </xf>
    <xf numFmtId="0" fontId="132" fillId="0" borderId="16" xfId="1151" applyFont="1" applyBorder="1" applyAlignment="1" applyProtection="1">
      <alignment horizontal="center" vertical="center"/>
    </xf>
    <xf numFmtId="0" fontId="132" fillId="0" borderId="80" xfId="1151" applyFont="1" applyBorder="1" applyAlignment="1" applyProtection="1">
      <alignment horizontal="center" vertical="center"/>
    </xf>
    <xf numFmtId="0" fontId="132" fillId="0" borderId="81" xfId="1151" applyFont="1" applyBorder="1" applyAlignment="1" applyProtection="1">
      <alignment horizontal="center" vertical="center"/>
    </xf>
    <xf numFmtId="0" fontId="132" fillId="0" borderId="77" xfId="1151" applyNumberFormat="1" applyFont="1" applyBorder="1" applyAlignment="1" applyProtection="1">
      <alignment horizontal="center" vertical="center" wrapText="1"/>
    </xf>
    <xf numFmtId="0" fontId="132" fillId="0" borderId="14" xfId="1151" applyNumberFormat="1" applyFont="1" applyBorder="1" applyAlignment="1" applyProtection="1">
      <alignment horizontal="center" vertical="center" wrapText="1"/>
    </xf>
    <xf numFmtId="0" fontId="132" fillId="0" borderId="39" xfId="1151" applyNumberFormat="1" applyFont="1" applyBorder="1" applyAlignment="1" applyProtection="1">
      <alignment horizontal="center" vertical="center" wrapText="1"/>
    </xf>
    <xf numFmtId="0" fontId="49" fillId="0" borderId="77" xfId="1151" applyFont="1" applyBorder="1" applyAlignment="1" applyProtection="1">
      <alignment horizontal="center" vertical="center" wrapText="1"/>
    </xf>
    <xf numFmtId="0" fontId="49" fillId="0" borderId="40" xfId="1151" applyFont="1" applyBorder="1" applyAlignment="1" applyProtection="1">
      <alignment horizontal="center" vertical="center" wrapText="1"/>
    </xf>
    <xf numFmtId="0" fontId="49" fillId="0" borderId="43" xfId="1151" applyFont="1" applyBorder="1" applyAlignment="1" applyProtection="1">
      <alignment horizontal="center" vertical="center" wrapText="1"/>
    </xf>
    <xf numFmtId="0" fontId="49" fillId="0" borderId="42" xfId="1151" applyFont="1" applyBorder="1" applyAlignment="1" applyProtection="1">
      <alignment horizontal="center" vertical="center" wrapText="1"/>
    </xf>
    <xf numFmtId="0" fontId="49" fillId="0" borderId="46" xfId="1151" applyFont="1" applyBorder="1" applyAlignment="1" applyProtection="1">
      <alignment horizontal="center" vertical="center" wrapText="1"/>
    </xf>
    <xf numFmtId="3" fontId="251" fillId="0" borderId="14" xfId="0" applyNumberFormat="1" applyFont="1" applyBorder="1" applyAlignment="1">
      <alignment horizontal="center"/>
    </xf>
    <xf numFmtId="4" fontId="262" fillId="0" borderId="0" xfId="0" applyFont="1" applyAlignment="1">
      <alignment horizontal="left" wrapText="1"/>
    </xf>
    <xf numFmtId="4" fontId="251" fillId="0" borderId="14" xfId="0" applyFont="1" applyBorder="1" applyAlignment="1">
      <alignment horizontal="center" vertical="center"/>
    </xf>
    <xf numFmtId="4" fontId="262" fillId="0" borderId="14" xfId="0" applyFont="1" applyBorder="1" applyAlignment="1">
      <alignment horizontal="center" wrapText="1"/>
    </xf>
    <xf numFmtId="4" fontId="251" fillId="0" borderId="14" xfId="0" applyFont="1" applyBorder="1" applyAlignment="1">
      <alignment horizontal="center"/>
    </xf>
    <xf numFmtId="4" fontId="252" fillId="0" borderId="14" xfId="0" applyFont="1" applyBorder="1" applyAlignment="1">
      <alignment horizontal="center"/>
    </xf>
    <xf numFmtId="4" fontId="22" fillId="2" borderId="39" xfId="0" applyFont="1" applyFill="1" applyBorder="1" applyAlignment="1">
      <alignment horizontal="center" vertical="center" wrapText="1"/>
    </xf>
    <xf numFmtId="4" fontId="22" fillId="2" borderId="85" xfId="0" applyFont="1" applyFill="1" applyBorder="1" applyAlignment="1">
      <alignment horizontal="center" vertical="center" wrapText="1"/>
    </xf>
    <xf numFmtId="4" fontId="67" fillId="0" borderId="0" xfId="0" applyFont="1" applyFill="1" applyBorder="1" applyAlignment="1">
      <alignment horizontal="left" vertical="center" wrapText="1"/>
    </xf>
    <xf numFmtId="4" fontId="22" fillId="2" borderId="43" xfId="0" applyFont="1" applyFill="1" applyBorder="1" applyAlignment="1">
      <alignment horizontal="center" vertical="center" wrapText="1"/>
    </xf>
    <xf numFmtId="4" fontId="22" fillId="2" borderId="14" xfId="0" applyFont="1" applyFill="1" applyBorder="1" applyAlignment="1">
      <alignment horizontal="center" vertical="center" wrapText="1"/>
    </xf>
    <xf numFmtId="4" fontId="22" fillId="52" borderId="39" xfId="0" applyFont="1" applyFill="1" applyBorder="1" applyAlignment="1">
      <alignment horizontal="center" vertical="center" wrapText="1"/>
    </xf>
    <xf numFmtId="4" fontId="22" fillId="52" borderId="43" xfId="0" applyFont="1" applyFill="1" applyBorder="1" applyAlignment="1">
      <alignment horizontal="center" vertical="center" wrapText="1"/>
    </xf>
    <xf numFmtId="4" fontId="22" fillId="52" borderId="85" xfId="0" applyFont="1" applyFill="1" applyBorder="1" applyAlignment="1">
      <alignment horizontal="center" vertical="center" wrapText="1"/>
    </xf>
    <xf numFmtId="4" fontId="22" fillId="52" borderId="14" xfId="0" applyFont="1" applyFill="1" applyBorder="1" applyAlignment="1">
      <alignment horizontal="center" vertical="center" wrapText="1"/>
    </xf>
    <xf numFmtId="4" fontId="22" fillId="2" borderId="64" xfId="0" applyFont="1" applyFill="1" applyBorder="1" applyAlignment="1">
      <alignment horizontal="center" vertical="center" wrapText="1"/>
    </xf>
    <xf numFmtId="4" fontId="22" fillId="2" borderId="62" xfId="0" applyFont="1" applyFill="1" applyBorder="1" applyAlignment="1">
      <alignment horizontal="center" vertical="center" wrapText="1"/>
    </xf>
    <xf numFmtId="0" fontId="174" fillId="0" borderId="14" xfId="1116" applyFont="1" applyFill="1" applyBorder="1" applyAlignment="1">
      <alignment horizontal="center" vertical="center" wrapText="1"/>
    </xf>
    <xf numFmtId="0" fontId="174" fillId="0" borderId="14" xfId="1116" applyFont="1" applyFill="1" applyBorder="1" applyAlignment="1">
      <alignment horizontal="center" vertical="center"/>
    </xf>
    <xf numFmtId="0" fontId="174" fillId="0" borderId="39" xfId="1116" applyFont="1" applyFill="1" applyBorder="1" applyAlignment="1">
      <alignment horizontal="center" vertical="center" wrapText="1"/>
    </xf>
    <xf numFmtId="0" fontId="174" fillId="0" borderId="85" xfId="1116" applyFont="1" applyFill="1" applyBorder="1" applyAlignment="1">
      <alignment horizontal="center" vertical="center" wrapText="1"/>
    </xf>
    <xf numFmtId="0" fontId="174" fillId="0" borderId="63" xfId="1116" applyFont="1" applyFill="1" applyBorder="1" applyAlignment="1">
      <alignment horizontal="center" vertical="center" wrapText="1"/>
    </xf>
    <xf numFmtId="4" fontId="22" fillId="52" borderId="64" xfId="0" applyFont="1" applyFill="1" applyBorder="1" applyAlignment="1">
      <alignment horizontal="center" vertical="center" wrapText="1"/>
    </xf>
    <xf numFmtId="4" fontId="22" fillId="52" borderId="62" xfId="0" applyFont="1" applyFill="1" applyBorder="1" applyAlignment="1">
      <alignment horizontal="center" vertical="center" wrapText="1"/>
    </xf>
    <xf numFmtId="4" fontId="22" fillId="52" borderId="63" xfId="0" applyFont="1" applyFill="1" applyBorder="1" applyAlignment="1">
      <alignment horizontal="center" vertical="center" wrapText="1"/>
    </xf>
    <xf numFmtId="0" fontId="174" fillId="0" borderId="116" xfId="1116" applyFont="1" applyFill="1" applyBorder="1" applyAlignment="1">
      <alignment horizontal="center" vertical="center" wrapText="1"/>
    </xf>
    <xf numFmtId="0" fontId="174" fillId="0" borderId="66" xfId="1116" applyFont="1" applyFill="1" applyBorder="1" applyAlignment="1">
      <alignment horizontal="center" vertical="center" wrapText="1"/>
    </xf>
    <xf numFmtId="0" fontId="174" fillId="0" borderId="68" xfId="1116" applyFont="1" applyFill="1" applyBorder="1" applyAlignment="1">
      <alignment horizontal="center" vertical="center" wrapText="1"/>
    </xf>
    <xf numFmtId="0" fontId="174" fillId="0" borderId="37" xfId="1116" applyFont="1" applyFill="1" applyBorder="1" applyAlignment="1">
      <alignment horizontal="center" vertical="center" wrapText="1"/>
    </xf>
    <xf numFmtId="0" fontId="174" fillId="0" borderId="0" xfId="1116" applyFont="1" applyFill="1" applyBorder="1" applyAlignment="1">
      <alignment horizontal="center" vertical="center" wrapText="1"/>
    </xf>
    <xf numFmtId="0" fontId="174" fillId="0" borderId="15" xfId="1116" applyFont="1" applyFill="1" applyBorder="1" applyAlignment="1">
      <alignment horizontal="center" vertical="center" wrapText="1"/>
    </xf>
    <xf numFmtId="0" fontId="174" fillId="0" borderId="120" xfId="1116" applyFont="1" applyFill="1" applyBorder="1" applyAlignment="1">
      <alignment horizontal="center" vertical="center" wrapText="1"/>
    </xf>
    <xf numFmtId="0" fontId="174" fillId="0" borderId="55" xfId="1116" applyFont="1" applyFill="1" applyBorder="1" applyAlignment="1">
      <alignment horizontal="center" vertical="center" wrapText="1"/>
    </xf>
    <xf numFmtId="0" fontId="174" fillId="0" borderId="72" xfId="1116" applyFont="1" applyFill="1" applyBorder="1" applyAlignment="1">
      <alignment horizontal="center" vertical="center" wrapText="1"/>
    </xf>
    <xf numFmtId="0" fontId="174" fillId="0" borderId="64" xfId="1116" applyFont="1" applyFill="1" applyBorder="1" applyAlignment="1">
      <alignment horizontal="center" vertical="center" wrapText="1"/>
    </xf>
    <xf numFmtId="0" fontId="174" fillId="0" borderId="62" xfId="1116" applyFont="1" applyFill="1" applyBorder="1" applyAlignment="1">
      <alignment horizontal="center" vertical="center" wrapText="1"/>
    </xf>
    <xf numFmtId="4" fontId="159" fillId="0" borderId="0" xfId="1116" applyNumberFormat="1" applyFont="1" applyAlignment="1">
      <alignment horizontal="center" vertical="center"/>
    </xf>
    <xf numFmtId="4" fontId="160" fillId="0" borderId="0" xfId="1116" applyNumberFormat="1" applyFont="1" applyBorder="1" applyAlignment="1">
      <alignment horizontal="center"/>
    </xf>
    <xf numFmtId="4" fontId="78" fillId="0" borderId="16" xfId="1116" applyNumberFormat="1" applyFont="1" applyBorder="1" applyAlignment="1">
      <alignment horizontal="center" vertical="center" wrapText="1"/>
    </xf>
    <xf numFmtId="4" fontId="78" fillId="0" borderId="123" xfId="1116" applyNumberFormat="1" applyFont="1" applyBorder="1" applyAlignment="1">
      <alignment horizontal="center" vertical="center" wrapText="1"/>
    </xf>
    <xf numFmtId="4" fontId="78" fillId="0" borderId="77" xfId="1116" applyNumberFormat="1" applyFont="1" applyBorder="1" applyAlignment="1">
      <alignment horizontal="center" vertical="center" wrapText="1"/>
    </xf>
    <xf numFmtId="4" fontId="78" fillId="0" borderId="18" xfId="1116" applyNumberFormat="1" applyFont="1" applyBorder="1" applyAlignment="1">
      <alignment horizontal="center" vertical="center" wrapText="1"/>
    </xf>
    <xf numFmtId="4" fontId="78" fillId="48" borderId="77" xfId="1116" applyNumberFormat="1" applyFont="1" applyFill="1" applyBorder="1" applyAlignment="1">
      <alignment horizontal="center" vertical="center" wrapText="1"/>
    </xf>
    <xf numFmtId="4" fontId="78" fillId="48" borderId="137" xfId="1116" applyNumberFormat="1" applyFont="1" applyFill="1" applyBorder="1" applyAlignment="1">
      <alignment horizontal="center" vertical="center" wrapText="1"/>
    </xf>
    <xf numFmtId="4" fontId="78" fillId="48" borderId="134" xfId="1116" applyNumberFormat="1" applyFont="1" applyFill="1" applyBorder="1" applyAlignment="1">
      <alignment horizontal="center" vertical="center" wrapText="1"/>
    </xf>
    <xf numFmtId="4" fontId="78" fillId="48" borderId="76" xfId="1116" applyNumberFormat="1" applyFont="1" applyFill="1" applyBorder="1" applyAlignment="1">
      <alignment horizontal="center" vertical="center" wrapText="1"/>
    </xf>
    <xf numFmtId="4" fontId="78" fillId="48" borderId="78" xfId="1116" applyNumberFormat="1" applyFont="1" applyFill="1" applyBorder="1" applyAlignment="1">
      <alignment horizontal="center" vertical="center" wrapText="1"/>
    </xf>
    <xf numFmtId="4" fontId="80" fillId="0" borderId="124" xfId="1116" applyNumberFormat="1" applyFont="1" applyBorder="1" applyAlignment="1">
      <alignment horizontal="center"/>
    </xf>
    <xf numFmtId="4" fontId="80" fillId="0" borderId="125" xfId="1116" applyNumberFormat="1" applyFont="1" applyBorder="1" applyAlignment="1">
      <alignment horizontal="center"/>
    </xf>
    <xf numFmtId="4" fontId="80" fillId="0" borderId="146" xfId="1116" applyNumberFormat="1" applyFont="1" applyBorder="1" applyAlignment="1">
      <alignment horizontal="center"/>
    </xf>
    <xf numFmtId="4" fontId="80" fillId="0" borderId="87" xfId="1116" applyNumberFormat="1" applyFont="1" applyBorder="1" applyAlignment="1">
      <alignment horizontal="center"/>
    </xf>
    <xf numFmtId="4" fontId="80" fillId="0" borderId="0" xfId="1116" applyNumberFormat="1" applyFont="1" applyBorder="1" applyAlignment="1">
      <alignment horizontal="center"/>
    </xf>
    <xf numFmtId="4" fontId="80" fillId="0" borderId="88" xfId="1116" applyNumberFormat="1" applyFont="1" applyBorder="1" applyAlignment="1">
      <alignment horizontal="center"/>
    </xf>
    <xf numFmtId="0" fontId="168" fillId="0" borderId="16" xfId="1144" applyFont="1" applyFill="1" applyBorder="1" applyAlignment="1">
      <alignment horizontal="center" vertical="center" wrapText="1"/>
    </xf>
    <xf numFmtId="0" fontId="168" fillId="0" borderId="123" xfId="1144" applyFont="1" applyFill="1" applyBorder="1" applyAlignment="1">
      <alignment horizontal="center" vertical="center" wrapText="1"/>
    </xf>
    <xf numFmtId="0" fontId="168" fillId="0" borderId="147" xfId="1144" applyFont="1" applyFill="1" applyBorder="1" applyAlignment="1">
      <alignment horizontal="center" vertical="center" wrapText="1"/>
    </xf>
    <xf numFmtId="0" fontId="168" fillId="0" borderId="74" xfId="1144" applyFont="1" applyFill="1" applyBorder="1" applyAlignment="1">
      <alignment horizontal="center" vertical="center" wrapText="1"/>
    </xf>
    <xf numFmtId="0" fontId="168" fillId="48" borderId="77" xfId="1144" applyFont="1" applyFill="1" applyBorder="1" applyAlignment="1">
      <alignment horizontal="center" vertical="center" wrapText="1"/>
    </xf>
    <xf numFmtId="0" fontId="168" fillId="48" borderId="18" xfId="1144" applyFont="1" applyFill="1" applyBorder="1" applyAlignment="1">
      <alignment horizontal="center" vertical="center" wrapText="1"/>
    </xf>
    <xf numFmtId="0" fontId="168" fillId="48" borderId="147" xfId="1144" applyFont="1" applyFill="1" applyBorder="1" applyAlignment="1">
      <alignment horizontal="center" vertical="center" wrapText="1"/>
    </xf>
    <xf numFmtId="0" fontId="168" fillId="48" borderId="126" xfId="1144" applyFont="1" applyFill="1" applyBorder="1" applyAlignment="1">
      <alignment horizontal="center" vertical="center" wrapText="1"/>
    </xf>
    <xf numFmtId="0" fontId="168" fillId="48" borderId="74" xfId="1144" applyFont="1" applyFill="1" applyBorder="1" applyAlignment="1">
      <alignment horizontal="center" vertical="center" wrapText="1"/>
    </xf>
    <xf numFmtId="0" fontId="168" fillId="48" borderId="127" xfId="1144" applyFont="1" applyFill="1" applyBorder="1" applyAlignment="1">
      <alignment horizontal="center" vertical="center" wrapText="1"/>
    </xf>
    <xf numFmtId="0" fontId="168" fillId="48" borderId="77" xfId="1144" applyFont="1" applyFill="1" applyBorder="1" applyAlignment="1">
      <alignment horizontal="center" vertical="center"/>
    </xf>
    <xf numFmtId="0" fontId="168" fillId="48" borderId="137" xfId="1144" applyFont="1" applyFill="1" applyBorder="1" applyAlignment="1">
      <alignment horizontal="center" vertical="center"/>
    </xf>
    <xf numFmtId="0" fontId="168" fillId="48" borderId="134" xfId="1144" applyFont="1" applyFill="1" applyBorder="1" applyAlignment="1">
      <alignment horizontal="center" vertical="center"/>
    </xf>
    <xf numFmtId="0" fontId="168" fillId="48" borderId="76" xfId="1144" applyFont="1" applyFill="1" applyBorder="1" applyAlignment="1">
      <alignment horizontal="center" vertical="center"/>
    </xf>
    <xf numFmtId="2" fontId="169" fillId="48" borderId="140" xfId="1144" applyNumberFormat="1" applyFont="1" applyFill="1" applyBorder="1" applyAlignment="1">
      <alignment horizontal="center" vertical="center" wrapText="1"/>
    </xf>
    <xf numFmtId="2" fontId="169" fillId="48" borderId="71" xfId="1144" applyNumberFormat="1" applyFont="1" applyFill="1" applyBorder="1" applyAlignment="1">
      <alignment horizontal="center" vertical="center" wrapText="1"/>
    </xf>
    <xf numFmtId="0" fontId="69" fillId="0" borderId="23" xfId="1116" applyFont="1" applyFill="1" applyBorder="1" applyAlignment="1">
      <alignment horizontal="right"/>
    </xf>
    <xf numFmtId="0" fontId="69" fillId="0" borderId="24" xfId="1116" applyFont="1" applyFill="1" applyBorder="1" applyAlignment="1">
      <alignment horizontal="right"/>
    </xf>
    <xf numFmtId="0" fontId="69" fillId="0" borderId="136" xfId="1116" applyFont="1" applyFill="1" applyBorder="1" applyAlignment="1">
      <alignment horizontal="right"/>
    </xf>
    <xf numFmtId="4" fontId="172" fillId="0" borderId="0" xfId="1116" applyNumberFormat="1" applyFont="1" applyAlignment="1">
      <alignment horizontal="center" vertical="center"/>
    </xf>
    <xf numFmtId="0" fontId="168" fillId="0" borderId="126" xfId="1144" applyFont="1" applyFill="1" applyBorder="1" applyAlignment="1">
      <alignment horizontal="center" vertical="center" wrapText="1"/>
    </xf>
    <xf numFmtId="2" fontId="169" fillId="0" borderId="147" xfId="1144" applyNumberFormat="1" applyFont="1" applyFill="1" applyBorder="1" applyAlignment="1">
      <alignment horizontal="center" vertical="center" wrapText="1"/>
    </xf>
    <xf numFmtId="2" fontId="169" fillId="0" borderId="126" xfId="1144" applyNumberFormat="1" applyFont="1" applyFill="1" applyBorder="1" applyAlignment="1">
      <alignment horizontal="center" vertical="center" wrapText="1"/>
    </xf>
    <xf numFmtId="3" fontId="171" fillId="46" borderId="74" xfId="1116" applyNumberFormat="1" applyFont="1" applyFill="1" applyBorder="1" applyAlignment="1">
      <alignment horizontal="center"/>
    </xf>
    <xf numFmtId="3" fontId="171" fillId="46" borderId="127" xfId="1116" applyNumberFormat="1" applyFont="1" applyFill="1" applyBorder="1" applyAlignment="1">
      <alignment horizontal="center"/>
    </xf>
    <xf numFmtId="173" fontId="171" fillId="46" borderId="85" xfId="1116" applyNumberFormat="1" applyFont="1" applyFill="1" applyBorder="1" applyAlignment="1">
      <alignment horizontal="center"/>
    </xf>
    <xf numFmtId="4" fontId="171" fillId="46" borderId="74" xfId="1116" applyNumberFormat="1" applyFont="1" applyFill="1" applyBorder="1" applyAlignment="1">
      <alignment horizontal="center"/>
    </xf>
    <xf numFmtId="4" fontId="171" fillId="46" borderId="127" xfId="1116" applyNumberFormat="1" applyFont="1" applyFill="1" applyBorder="1" applyAlignment="1">
      <alignment horizontal="center"/>
    </xf>
    <xf numFmtId="4" fontId="257" fillId="0" borderId="62" xfId="0" applyFont="1" applyBorder="1" applyAlignment="1">
      <alignment horizontal="center" vertical="center" wrapText="1"/>
    </xf>
    <xf numFmtId="4" fontId="263" fillId="0" borderId="55" xfId="0" applyFont="1" applyBorder="1" applyAlignment="1">
      <alignment horizontal="center"/>
    </xf>
    <xf numFmtId="4" fontId="257" fillId="0" borderId="14" xfId="0" applyFont="1" applyBorder="1" applyAlignment="1">
      <alignment horizontal="center" vertical="center"/>
    </xf>
    <xf numFmtId="4" fontId="257" fillId="0" borderId="14" xfId="0" applyFont="1" applyBorder="1" applyAlignment="1">
      <alignment horizontal="center" vertical="center" wrapText="1"/>
    </xf>
    <xf numFmtId="4" fontId="0" fillId="0" borderId="116" xfId="0" applyBorder="1" applyAlignment="1">
      <alignment horizontal="left" vertical="center"/>
    </xf>
    <xf numFmtId="4" fontId="0" fillId="0" borderId="66" xfId="0" applyBorder="1" applyAlignment="1">
      <alignment horizontal="left" vertical="center"/>
    </xf>
    <xf numFmtId="4" fontId="0" fillId="0" borderId="68" xfId="0" applyBorder="1" applyAlignment="1">
      <alignment horizontal="left" vertical="center"/>
    </xf>
    <xf numFmtId="4" fontId="0" fillId="0" borderId="120" xfId="0" applyBorder="1" applyAlignment="1">
      <alignment horizontal="left" vertical="center"/>
    </xf>
    <xf numFmtId="4" fontId="0" fillId="0" borderId="55" xfId="0" applyBorder="1" applyAlignment="1">
      <alignment horizontal="left" vertical="center"/>
    </xf>
    <xf numFmtId="4" fontId="0" fillId="0" borderId="72" xfId="0" applyBorder="1" applyAlignment="1">
      <alignment horizontal="left" vertical="center"/>
    </xf>
    <xf numFmtId="4" fontId="108" fillId="0" borderId="64" xfId="0" applyFont="1" applyFill="1" applyBorder="1" applyAlignment="1">
      <alignment horizontal="center" vertical="center"/>
    </xf>
    <xf numFmtId="4" fontId="108" fillId="0" borderId="62" xfId="0" applyFont="1" applyFill="1" applyBorder="1" applyAlignment="1">
      <alignment horizontal="center" vertical="center"/>
    </xf>
    <xf numFmtId="4" fontId="108" fillId="0" borderId="63" xfId="0" applyFont="1" applyFill="1" applyBorder="1" applyAlignment="1">
      <alignment horizontal="center" vertical="center"/>
    </xf>
    <xf numFmtId="4" fontId="176" fillId="0" borderId="0" xfId="0" applyFont="1" applyFill="1" applyBorder="1" applyAlignment="1">
      <alignment horizontal="center"/>
    </xf>
    <xf numFmtId="4" fontId="175" fillId="49" borderId="0" xfId="0" applyFont="1" applyFill="1" applyBorder="1" applyAlignment="1">
      <alignment horizontal="center" wrapText="1"/>
    </xf>
    <xf numFmtId="172" fontId="174" fillId="0" borderId="55" xfId="0" applyNumberFormat="1" applyFont="1" applyFill="1" applyBorder="1" applyAlignment="1">
      <alignment horizontal="center"/>
    </xf>
    <xf numFmtId="4" fontId="176" fillId="24" borderId="64" xfId="0" applyFont="1" applyFill="1" applyBorder="1" applyAlignment="1">
      <alignment horizontal="left" wrapText="1"/>
    </xf>
    <xf numFmtId="4" fontId="176" fillId="24" borderId="62" xfId="0" applyFont="1" applyFill="1" applyBorder="1" applyAlignment="1">
      <alignment horizontal="left" wrapText="1"/>
    </xf>
    <xf numFmtId="4" fontId="176" fillId="24" borderId="63" xfId="0" applyFont="1" applyFill="1" applyBorder="1" applyAlignment="1">
      <alignment horizontal="left" wrapText="1"/>
    </xf>
    <xf numFmtId="4" fontId="0" fillId="0" borderId="55" xfId="0" applyBorder="1" applyAlignment="1">
      <alignment horizontal="center"/>
    </xf>
    <xf numFmtId="172" fontId="174" fillId="0" borderId="0" xfId="0" applyNumberFormat="1" applyFont="1" applyFill="1" applyBorder="1" applyAlignment="1">
      <alignment horizontal="center"/>
    </xf>
    <xf numFmtId="4" fontId="0" fillId="0" borderId="0" xfId="0" applyBorder="1" applyAlignment="1">
      <alignment horizontal="center"/>
    </xf>
    <xf numFmtId="4" fontId="176" fillId="24" borderId="64" xfId="0" applyFont="1" applyFill="1" applyBorder="1" applyAlignment="1">
      <alignment horizontal="left" vertical="center" wrapText="1"/>
    </xf>
    <xf numFmtId="4" fontId="176" fillId="24" borderId="62" xfId="0" applyFont="1" applyFill="1" applyBorder="1" applyAlignment="1">
      <alignment horizontal="left" vertical="center" wrapText="1"/>
    </xf>
    <xf numFmtId="4" fontId="176" fillId="24" borderId="63" xfId="0" applyFont="1" applyFill="1" applyBorder="1" applyAlignment="1">
      <alignment horizontal="left" vertical="center" wrapText="1"/>
    </xf>
    <xf numFmtId="4" fontId="176" fillId="46" borderId="64" xfId="0" applyFont="1" applyFill="1" applyBorder="1" applyAlignment="1">
      <alignment horizontal="center" wrapText="1"/>
    </xf>
    <xf numFmtId="4" fontId="176" fillId="46" borderId="62" xfId="0" applyFont="1" applyFill="1" applyBorder="1" applyAlignment="1">
      <alignment horizontal="center" wrapText="1"/>
    </xf>
    <xf numFmtId="4" fontId="176" fillId="46" borderId="63" xfId="0" applyFont="1" applyFill="1" applyBorder="1" applyAlignment="1">
      <alignment horizontal="center" wrapText="1"/>
    </xf>
    <xf numFmtId="4" fontId="180" fillId="28" borderId="64" xfId="1162" applyNumberFormat="1" applyFont="1" applyFill="1" applyBorder="1" applyAlignment="1">
      <alignment horizontal="center" vertical="center" wrapText="1"/>
    </xf>
    <xf numFmtId="4" fontId="180" fillId="28" borderId="62" xfId="1162" applyNumberFormat="1" applyFont="1" applyFill="1" applyBorder="1" applyAlignment="1">
      <alignment horizontal="center" vertical="center" wrapText="1"/>
    </xf>
    <xf numFmtId="4" fontId="180" fillId="28" borderId="64" xfId="1162" applyNumberFormat="1" applyFont="1" applyFill="1" applyBorder="1" applyAlignment="1">
      <alignment horizontal="left" vertical="center" wrapText="1"/>
    </xf>
    <xf numFmtId="4" fontId="180" fillId="28" borderId="62" xfId="1162" applyNumberFormat="1" applyFont="1" applyFill="1" applyBorder="1" applyAlignment="1">
      <alignment horizontal="left" vertical="center" wrapText="1"/>
    </xf>
    <xf numFmtId="0" fontId="174" fillId="0" borderId="39" xfId="1162" applyFont="1" applyBorder="1" applyAlignment="1">
      <alignment horizontal="center" vertical="center" textRotation="90" wrapText="1"/>
    </xf>
    <xf numFmtId="0" fontId="174" fillId="0" borderId="43" xfId="1162" applyFont="1" applyBorder="1" applyAlignment="1">
      <alignment horizontal="center" vertical="center" textRotation="90" wrapText="1"/>
    </xf>
    <xf numFmtId="0" fontId="174" fillId="0" borderId="85" xfId="1162" applyFont="1" applyBorder="1" applyAlignment="1">
      <alignment horizontal="center" vertical="center" textRotation="90" wrapText="1"/>
    </xf>
    <xf numFmtId="0" fontId="174" fillId="46" borderId="39" xfId="1162" applyFont="1" applyFill="1" applyBorder="1" applyAlignment="1">
      <alignment horizontal="center" vertical="center" wrapText="1"/>
    </xf>
    <xf numFmtId="0" fontId="174" fillId="46" borderId="43" xfId="1162" applyFont="1" applyFill="1" applyBorder="1" applyAlignment="1">
      <alignment horizontal="center" vertical="center" wrapText="1"/>
    </xf>
    <xf numFmtId="0" fontId="174" fillId="46" borderId="85" xfId="1162" applyFont="1" applyFill="1" applyBorder="1" applyAlignment="1">
      <alignment horizontal="center" vertical="center" wrapText="1"/>
    </xf>
    <xf numFmtId="0" fontId="174" fillId="0" borderId="28" xfId="1162" applyFont="1" applyBorder="1" applyAlignment="1">
      <alignment horizontal="center" vertical="center" textRotation="90" wrapText="1"/>
    </xf>
    <xf numFmtId="0" fontId="174" fillId="46" borderId="28" xfId="1162" applyFont="1" applyFill="1" applyBorder="1" applyAlignment="1">
      <alignment horizontal="center" vertical="center" wrapText="1"/>
    </xf>
    <xf numFmtId="4" fontId="187" fillId="0" borderId="23" xfId="0" applyFont="1" applyFill="1" applyBorder="1" applyAlignment="1">
      <alignment horizontal="left" vertical="center" wrapText="1"/>
    </xf>
    <xf numFmtId="4" fontId="188" fillId="0" borderId="24" xfId="0" applyFont="1" applyBorder="1" applyAlignment="1">
      <alignment horizontal="left"/>
    </xf>
    <xf numFmtId="4" fontId="264" fillId="0" borderId="0" xfId="0" applyFont="1" applyAlignment="1">
      <alignment horizontal="center"/>
    </xf>
    <xf numFmtId="4" fontId="173" fillId="0" borderId="0" xfId="0" applyFont="1" applyAlignment="1">
      <alignment horizontal="right" vertical="center"/>
    </xf>
    <xf numFmtId="4" fontId="184" fillId="0" borderId="0" xfId="0" applyFont="1" applyAlignment="1">
      <alignment horizontal="center" vertical="center"/>
    </xf>
    <xf numFmtId="4" fontId="185" fillId="0" borderId="0" xfId="0" applyFont="1" applyAlignment="1">
      <alignment horizontal="center" vertical="center"/>
    </xf>
    <xf numFmtId="4" fontId="173" fillId="0" borderId="131" xfId="0" applyFont="1" applyFill="1" applyBorder="1" applyAlignment="1">
      <alignment horizontal="left" vertical="center" wrapText="1"/>
    </xf>
    <xf numFmtId="4" fontId="173" fillId="0" borderId="73" xfId="0" applyFont="1" applyFill="1" applyBorder="1" applyAlignment="1">
      <alignment horizontal="left" vertical="center" wrapText="1"/>
    </xf>
    <xf numFmtId="0" fontId="184" fillId="0" borderId="16" xfId="1112" applyFont="1" applyFill="1" applyBorder="1" applyAlignment="1">
      <alignment horizontal="center" vertical="center" wrapText="1"/>
    </xf>
    <xf numFmtId="0" fontId="184" fillId="0" borderId="77" xfId="1112" applyFont="1" applyFill="1" applyBorder="1" applyAlignment="1">
      <alignment horizontal="center" vertical="center" wrapText="1"/>
    </xf>
    <xf numFmtId="0" fontId="184" fillId="0" borderId="78" xfId="1112" applyFont="1" applyFill="1" applyBorder="1" applyAlignment="1">
      <alignment horizontal="center" vertical="center" wrapText="1"/>
    </xf>
    <xf numFmtId="0" fontId="264" fillId="0" borderId="0" xfId="1112" applyFont="1" applyAlignment="1">
      <alignment horizontal="center"/>
    </xf>
    <xf numFmtId="0" fontId="173" fillId="0" borderId="0" xfId="1112" applyFont="1" applyAlignment="1">
      <alignment horizontal="right" vertical="center"/>
    </xf>
    <xf numFmtId="0" fontId="184" fillId="0" borderId="0" xfId="1112" applyFont="1" applyAlignment="1">
      <alignment horizontal="center" vertical="center"/>
    </xf>
    <xf numFmtId="0" fontId="185" fillId="0" borderId="0" xfId="1112" applyFont="1" applyAlignment="1">
      <alignment horizontal="center" vertical="center"/>
    </xf>
    <xf numFmtId="0" fontId="184" fillId="0" borderId="0" xfId="1112" applyFont="1" applyBorder="1" applyAlignment="1">
      <alignment horizontal="left" vertical="center" wrapText="1"/>
    </xf>
    <xf numFmtId="0" fontId="187" fillId="0" borderId="23" xfId="1112" applyFont="1" applyFill="1" applyBorder="1" applyAlignment="1">
      <alignment horizontal="left" vertical="center" wrapText="1"/>
    </xf>
    <xf numFmtId="0" fontId="188" fillId="0" borderId="24" xfId="1112" applyFont="1" applyBorder="1" applyAlignment="1">
      <alignment horizontal="left"/>
    </xf>
    <xf numFmtId="0" fontId="188" fillId="0" borderId="142" xfId="1112" applyFont="1" applyBorder="1" applyAlignment="1">
      <alignment horizontal="left"/>
    </xf>
    <xf numFmtId="0" fontId="184" fillId="0" borderId="144" xfId="1112" applyFont="1" applyFill="1" applyBorder="1" applyAlignment="1">
      <alignment horizontal="center" vertical="center" wrapText="1"/>
    </xf>
    <xf numFmtId="0" fontId="184" fillId="0" borderId="70" xfId="1112" applyFont="1" applyFill="1" applyBorder="1" applyAlignment="1">
      <alignment horizontal="center" vertical="center" wrapText="1"/>
    </xf>
    <xf numFmtId="0" fontId="173" fillId="0" borderId="131" xfId="1112" applyFont="1" applyFill="1" applyBorder="1" applyAlignment="1">
      <alignment horizontal="left" vertical="center" wrapText="1"/>
    </xf>
    <xf numFmtId="0" fontId="173" fillId="0" borderId="73" xfId="1112" applyFont="1" applyFill="1" applyBorder="1" applyAlignment="1">
      <alignment horizontal="left" vertical="center" wrapText="1"/>
    </xf>
    <xf numFmtId="0" fontId="173" fillId="0" borderId="40" xfId="1112" applyFont="1" applyBorder="1" applyAlignment="1">
      <alignment horizontal="center" vertical="center" wrapText="1"/>
    </xf>
    <xf numFmtId="0" fontId="173" fillId="0" borderId="43" xfId="1112" applyFont="1" applyBorder="1" applyAlignment="1">
      <alignment horizontal="center" vertical="center" wrapText="1"/>
    </xf>
    <xf numFmtId="0" fontId="173" fillId="0" borderId="42" xfId="1112" applyFont="1" applyBorder="1" applyAlignment="1">
      <alignment horizontal="center" vertical="center" wrapText="1"/>
    </xf>
    <xf numFmtId="0" fontId="173" fillId="0" borderId="46" xfId="1112" applyFont="1" applyBorder="1" applyAlignment="1">
      <alignment horizontal="center" vertical="center" wrapText="1"/>
    </xf>
    <xf numFmtId="0" fontId="196" fillId="0" borderId="40" xfId="1112" applyFont="1" applyBorder="1" applyAlignment="1">
      <alignment horizontal="center" vertical="center" wrapText="1"/>
    </xf>
    <xf numFmtId="0" fontId="196" fillId="0" borderId="43" xfId="1112" applyFont="1" applyBorder="1" applyAlignment="1">
      <alignment horizontal="center" vertical="center" wrapText="1"/>
    </xf>
    <xf numFmtId="0" fontId="62" fillId="0" borderId="0" xfId="1112" applyFont="1" applyAlignment="1">
      <alignment horizontal="center"/>
    </xf>
    <xf numFmtId="0" fontId="174" fillId="0" borderId="0" xfId="1112" applyFont="1" applyAlignment="1">
      <alignment horizontal="right"/>
    </xf>
    <xf numFmtId="0" fontId="194" fillId="0" borderId="0" xfId="1112" applyFont="1" applyBorder="1" applyAlignment="1">
      <alignment horizontal="left" vertical="center" wrapText="1"/>
    </xf>
    <xf numFmtId="0" fontId="173" fillId="0" borderId="13" xfId="1112" applyFont="1" applyBorder="1" applyAlignment="1">
      <alignment horizontal="center" vertical="center" wrapText="1"/>
    </xf>
    <xf numFmtId="0" fontId="173" fillId="0" borderId="45" xfId="1112" applyFont="1" applyBorder="1" applyAlignment="1">
      <alignment horizontal="center" vertical="center" wrapText="1"/>
    </xf>
    <xf numFmtId="0" fontId="265" fillId="0" borderId="0" xfId="1112" applyFont="1" applyAlignment="1">
      <alignment horizontal="center" wrapText="1"/>
    </xf>
    <xf numFmtId="0" fontId="261" fillId="0" borderId="0" xfId="1112" applyFont="1" applyAlignment="1">
      <alignment horizontal="left" wrapText="1"/>
    </xf>
    <xf numFmtId="0" fontId="173" fillId="0" borderId="0" xfId="1112" applyFont="1" applyAlignment="1">
      <alignment horizontal="left" vertical="center" wrapText="1"/>
    </xf>
    <xf numFmtId="0" fontId="173" fillId="0" borderId="77" xfId="1112" applyFont="1" applyBorder="1" applyAlignment="1">
      <alignment horizontal="center" vertical="center" wrapText="1"/>
    </xf>
    <xf numFmtId="0" fontId="424" fillId="0" borderId="0" xfId="3195" applyNumberFormat="1" applyFont="1" applyAlignment="1" applyProtection="1">
      <alignment horizontal="center" vertical="center"/>
    </xf>
    <xf numFmtId="0" fontId="425" fillId="0" borderId="0" xfId="3195" applyNumberFormat="1" applyFont="1" applyProtection="1"/>
    <xf numFmtId="0" fontId="189" fillId="0" borderId="244" xfId="3195" applyNumberFormat="1" applyFont="1" applyBorder="1" applyAlignment="1" applyProtection="1">
      <alignment horizontal="center" vertical="center"/>
    </xf>
    <xf numFmtId="0" fontId="189" fillId="0" borderId="244" xfId="3195" applyNumberFormat="1" applyFont="1" applyBorder="1" applyAlignment="1" applyProtection="1">
      <alignment horizontal="center" vertical="center" wrapText="1"/>
    </xf>
    <xf numFmtId="4" fontId="442" fillId="0" borderId="244" xfId="3195" applyNumberFormat="1" applyFont="1" applyBorder="1" applyAlignment="1" applyProtection="1">
      <alignment horizontal="center" vertical="center"/>
    </xf>
    <xf numFmtId="0" fontId="442" fillId="0" borderId="244" xfId="3195" applyNumberFormat="1" applyFont="1" applyBorder="1" applyAlignment="1" applyProtection="1">
      <alignment horizontal="center" vertical="center"/>
    </xf>
    <xf numFmtId="0" fontId="266" fillId="0" borderId="0" xfId="0" applyNumberFormat="1" applyFont="1" applyAlignment="1">
      <alignment horizontal="center" vertical="center" wrapText="1"/>
    </xf>
    <xf numFmtId="0" fontId="271" fillId="0" borderId="0" xfId="0" applyNumberFormat="1" applyFont="1" applyAlignment="1">
      <alignment horizontal="justify" vertical="center" wrapText="1"/>
    </xf>
    <xf numFmtId="0" fontId="269" fillId="0" borderId="0" xfId="0" applyNumberFormat="1" applyFont="1" applyAlignment="1">
      <alignment horizontal="center" vertical="center"/>
    </xf>
    <xf numFmtId="4" fontId="269" fillId="0" borderId="0" xfId="0" applyNumberFormat="1" applyFont="1" applyAlignment="1">
      <alignment horizontal="center" vertical="center"/>
    </xf>
    <xf numFmtId="0" fontId="271" fillId="0" borderId="152" xfId="0" applyNumberFormat="1" applyFont="1" applyBorder="1" applyAlignment="1">
      <alignment horizontal="center" vertical="center" wrapText="1"/>
    </xf>
    <xf numFmtId="0" fontId="271" fillId="0" borderId="143" xfId="0" applyNumberFormat="1" applyFont="1" applyBorder="1" applyAlignment="1">
      <alignment horizontal="center" vertical="center" wrapText="1"/>
    </xf>
    <xf numFmtId="0" fontId="270" fillId="0" borderId="152" xfId="0" applyNumberFormat="1" applyFont="1" applyBorder="1" applyAlignment="1">
      <alignment horizontal="center" vertical="center" wrapText="1"/>
    </xf>
    <xf numFmtId="0" fontId="270" fillId="0" borderId="143" xfId="0" applyNumberFormat="1" applyFont="1" applyBorder="1" applyAlignment="1">
      <alignment horizontal="center" vertical="center" wrapText="1"/>
    </xf>
    <xf numFmtId="0" fontId="22" fillId="0" borderId="39" xfId="0" applyNumberFormat="1" applyFont="1" applyFill="1" applyBorder="1" applyAlignment="1" applyProtection="1">
      <alignment horizontal="left" vertical="top"/>
    </xf>
    <xf numFmtId="0" fontId="22" fillId="0" borderId="43" xfId="0" applyNumberFormat="1" applyFont="1" applyFill="1" applyBorder="1" applyAlignment="1" applyProtection="1">
      <alignment horizontal="left" vertical="top"/>
    </xf>
    <xf numFmtId="0" fontId="22" fillId="0" borderId="85" xfId="0" applyNumberFormat="1" applyFont="1" applyFill="1" applyBorder="1" applyAlignment="1" applyProtection="1">
      <alignment horizontal="left" vertical="top"/>
    </xf>
    <xf numFmtId="0" fontId="10" fillId="0" borderId="64" xfId="0" applyNumberFormat="1" applyFont="1" applyFill="1" applyBorder="1" applyAlignment="1" applyProtection="1">
      <alignment horizontal="left" vertical="top" indent="1"/>
    </xf>
    <xf numFmtId="0" fontId="10" fillId="0" borderId="62" xfId="0" applyNumberFormat="1" applyFont="1" applyFill="1" applyBorder="1" applyAlignment="1" applyProtection="1">
      <alignment horizontal="left" vertical="top" indent="1"/>
    </xf>
    <xf numFmtId="0" fontId="10" fillId="0" borderId="64" xfId="0" applyNumberFormat="1" applyFont="1" applyFill="1" applyBorder="1" applyAlignment="1" applyProtection="1">
      <alignment horizontal="left" vertical="top" indent="5"/>
    </xf>
    <xf numFmtId="0" fontId="10" fillId="0" borderId="62" xfId="0" applyNumberFormat="1" applyFont="1" applyFill="1" applyBorder="1" applyAlignment="1" applyProtection="1">
      <alignment horizontal="left" vertical="top" indent="5"/>
    </xf>
    <xf numFmtId="0" fontId="22" fillId="0" borderId="64" xfId="0" applyNumberFormat="1" applyFont="1" applyFill="1" applyBorder="1" applyAlignment="1" applyProtection="1">
      <alignment horizontal="left" vertical="top"/>
    </xf>
    <xf numFmtId="0" fontId="22" fillId="0" borderId="62" xfId="0" applyNumberFormat="1" applyFont="1" applyFill="1" applyBorder="1" applyAlignment="1" applyProtection="1">
      <alignment horizontal="left" vertical="top"/>
    </xf>
    <xf numFmtId="0" fontId="22" fillId="0" borderId="116" xfId="0" applyNumberFormat="1" applyFont="1" applyFill="1" applyBorder="1" applyAlignment="1" applyProtection="1">
      <alignment horizontal="left" vertical="top"/>
    </xf>
    <xf numFmtId="0" fontId="22" fillId="0" borderId="37" xfId="0" applyNumberFormat="1" applyFont="1" applyFill="1" applyBorder="1" applyAlignment="1" applyProtection="1">
      <alignment horizontal="left" vertical="top"/>
    </xf>
    <xf numFmtId="0" fontId="22" fillId="0" borderId="120" xfId="0" applyNumberFormat="1" applyFont="1" applyFill="1" applyBorder="1" applyAlignment="1" applyProtection="1">
      <alignment horizontal="left" vertical="top"/>
    </xf>
    <xf numFmtId="0" fontId="22" fillId="0" borderId="68" xfId="0" applyNumberFormat="1" applyFont="1" applyFill="1" applyBorder="1" applyAlignment="1" applyProtection="1">
      <alignment horizontal="left" vertical="top"/>
    </xf>
    <xf numFmtId="0" fontId="22" fillId="0" borderId="15" xfId="0" applyNumberFormat="1" applyFont="1" applyFill="1" applyBorder="1" applyAlignment="1" applyProtection="1">
      <alignment horizontal="left" vertical="top"/>
    </xf>
    <xf numFmtId="0" fontId="22" fillId="0" borderId="72" xfId="0" applyNumberFormat="1" applyFont="1" applyFill="1" applyBorder="1" applyAlignment="1" applyProtection="1">
      <alignment horizontal="left" vertical="top"/>
    </xf>
    <xf numFmtId="0" fontId="276" fillId="0" borderId="64" xfId="0" applyNumberFormat="1" applyFont="1" applyFill="1" applyBorder="1" applyAlignment="1" applyProtection="1">
      <alignment horizontal="left" vertical="top"/>
    </xf>
    <xf numFmtId="0" fontId="276" fillId="0" borderId="62" xfId="0" applyNumberFormat="1" applyFont="1" applyFill="1" applyBorder="1" applyAlignment="1" applyProtection="1">
      <alignment horizontal="left" vertical="top"/>
    </xf>
    <xf numFmtId="0" fontId="67" fillId="0" borderId="0" xfId="0" applyNumberFormat="1" applyFont="1" applyFill="1" applyBorder="1" applyAlignment="1" applyProtection="1">
      <alignment horizontal="center" vertical="top"/>
    </xf>
    <xf numFmtId="4" fontId="119" fillId="0" borderId="0" xfId="0" applyNumberFormat="1" applyFont="1" applyFill="1" applyBorder="1" applyAlignment="1" applyProtection="1">
      <alignment horizontal="center" vertical="top"/>
    </xf>
    <xf numFmtId="0" fontId="119" fillId="0" borderId="0" xfId="0" applyNumberFormat="1" applyFont="1" applyFill="1" applyBorder="1" applyAlignment="1" applyProtection="1">
      <alignment horizontal="center" vertical="top"/>
    </xf>
    <xf numFmtId="0" fontId="10" fillId="0" borderId="64" xfId="0" applyNumberFormat="1" applyFont="1" applyFill="1" applyBorder="1" applyAlignment="1" applyProtection="1">
      <alignment horizontal="left" vertical="top" wrapText="1"/>
    </xf>
    <xf numFmtId="0" fontId="10" fillId="0" borderId="63" xfId="0" applyNumberFormat="1" applyFont="1" applyFill="1" applyBorder="1" applyAlignment="1" applyProtection="1">
      <alignment horizontal="left" vertical="top" wrapText="1"/>
    </xf>
    <xf numFmtId="0" fontId="22" fillId="0" borderId="63" xfId="0" applyNumberFormat="1" applyFont="1" applyFill="1" applyBorder="1" applyAlignment="1" applyProtection="1">
      <alignment horizontal="left" vertical="top"/>
    </xf>
    <xf numFmtId="4" fontId="279" fillId="0" borderId="14" xfId="0" applyFont="1" applyBorder="1" applyAlignment="1">
      <alignment horizontal="center" vertical="center"/>
    </xf>
    <xf numFmtId="3" fontId="280" fillId="0" borderId="14" xfId="0" applyNumberFormat="1" applyFont="1" applyBorder="1" applyAlignment="1">
      <alignment horizontal="center" vertical="center"/>
    </xf>
    <xf numFmtId="3" fontId="281" fillId="0" borderId="14" xfId="0" applyNumberFormat="1" applyFont="1" applyBorder="1" applyAlignment="1">
      <alignment horizontal="center" vertical="center"/>
    </xf>
    <xf numFmtId="3" fontId="97" fillId="0" borderId="14" xfId="0" applyNumberFormat="1" applyFont="1" applyBorder="1" applyAlignment="1">
      <alignment horizontal="center" vertical="center"/>
    </xf>
    <xf numFmtId="0" fontId="275" fillId="0" borderId="64" xfId="0" applyNumberFormat="1" applyFont="1" applyFill="1" applyBorder="1" applyAlignment="1" applyProtection="1">
      <alignment horizontal="left" vertical="top"/>
    </xf>
    <xf numFmtId="0" fontId="275" fillId="0" borderId="62" xfId="0" applyNumberFormat="1" applyFont="1" applyFill="1" applyBorder="1" applyAlignment="1" applyProtection="1">
      <alignment horizontal="left" vertical="top"/>
    </xf>
    <xf numFmtId="0" fontId="275" fillId="0" borderId="63" xfId="0" applyNumberFormat="1" applyFont="1" applyFill="1" applyBorder="1" applyAlignment="1" applyProtection="1">
      <alignment horizontal="left" vertical="top"/>
    </xf>
    <xf numFmtId="3" fontId="279" fillId="0" borderId="14" xfId="0" applyNumberFormat="1" applyFont="1" applyBorder="1" applyAlignment="1">
      <alignment horizontal="center" vertical="center"/>
    </xf>
    <xf numFmtId="0" fontId="22" fillId="0" borderId="66" xfId="0" applyNumberFormat="1" applyFont="1" applyFill="1" applyBorder="1" applyAlignment="1" applyProtection="1">
      <alignment horizontal="left" vertical="top"/>
    </xf>
    <xf numFmtId="0" fontId="22" fillId="0" borderId="55" xfId="0" applyNumberFormat="1" applyFont="1" applyFill="1" applyBorder="1" applyAlignment="1" applyProtection="1">
      <alignment horizontal="left" vertical="top"/>
    </xf>
    <xf numFmtId="4" fontId="22" fillId="52" borderId="266" xfId="0" applyFont="1" applyFill="1" applyBorder="1" applyAlignment="1">
      <alignment horizontal="center" vertical="center" wrapText="1"/>
    </xf>
    <xf numFmtId="4" fontId="22" fillId="52" borderId="238" xfId="0" applyFont="1" applyFill="1" applyBorder="1" applyAlignment="1">
      <alignment horizontal="center" vertical="center" wrapText="1"/>
    </xf>
    <xf numFmtId="4" fontId="22" fillId="52" borderId="267" xfId="0" applyFont="1" applyFill="1" applyBorder="1" applyAlignment="1">
      <alignment horizontal="center" vertical="center" wrapText="1"/>
    </xf>
    <xf numFmtId="4" fontId="22" fillId="52" borderId="268" xfId="0" applyFont="1" applyFill="1" applyBorder="1" applyAlignment="1">
      <alignment horizontal="center" vertical="center" wrapText="1"/>
    </xf>
    <xf numFmtId="4" fontId="22" fillId="52" borderId="269" xfId="0" applyFont="1" applyFill="1" applyBorder="1" applyAlignment="1">
      <alignment horizontal="center" vertical="center" wrapText="1"/>
    </xf>
    <xf numFmtId="0" fontId="174" fillId="0" borderId="270" xfId="2048" applyFont="1" applyFill="1" applyBorder="1" applyAlignment="1">
      <alignment horizontal="center" vertical="center" wrapText="1"/>
    </xf>
    <xf numFmtId="0" fontId="174" fillId="0" borderId="85" xfId="2048" applyFont="1" applyFill="1" applyBorder="1" applyAlignment="1">
      <alignment horizontal="center" vertical="center" wrapText="1"/>
    </xf>
    <xf numFmtId="0" fontId="174" fillId="0" borderId="210" xfId="2048" applyFont="1" applyFill="1" applyBorder="1" applyAlignment="1">
      <alignment horizontal="center" vertical="center"/>
    </xf>
    <xf numFmtId="0" fontId="174" fillId="0" borderId="210" xfId="2048" applyFont="1" applyFill="1" applyBorder="1" applyAlignment="1">
      <alignment horizontal="center" vertical="center" wrapText="1"/>
    </xf>
    <xf numFmtId="0" fontId="174" fillId="0" borderId="267" xfId="2048" applyFont="1" applyFill="1" applyBorder="1" applyAlignment="1">
      <alignment horizontal="center" vertical="center" wrapText="1"/>
    </xf>
    <xf numFmtId="0" fontId="174" fillId="0" borderId="269" xfId="2048" applyFont="1" applyFill="1" applyBorder="1" applyAlignment="1">
      <alignment horizontal="center" vertical="center" wrapText="1"/>
    </xf>
    <xf numFmtId="0" fontId="174" fillId="0" borderId="271" xfId="2048" applyFont="1" applyFill="1" applyBorder="1" applyAlignment="1">
      <alignment horizontal="center" vertical="center" wrapText="1"/>
    </xf>
    <xf numFmtId="0" fontId="174" fillId="0" borderId="72" xfId="2048" applyFont="1" applyFill="1" applyBorder="1" applyAlignment="1">
      <alignment horizontal="center" vertical="center" wrapText="1"/>
    </xf>
    <xf numFmtId="0" fontId="104" fillId="24" borderId="144" xfId="0" applyNumberFormat="1" applyFont="1" applyFill="1" applyBorder="1" applyAlignment="1">
      <alignment horizontal="center" vertical="center" wrapText="1"/>
    </xf>
    <xf numFmtId="0" fontId="104" fillId="24" borderId="70" xfId="0" applyNumberFormat="1" applyFont="1" applyFill="1" applyBorder="1" applyAlignment="1">
      <alignment horizontal="center" vertical="center" wrapText="1"/>
    </xf>
    <xf numFmtId="0" fontId="104" fillId="24" borderId="134" xfId="0" applyNumberFormat="1" applyFont="1" applyFill="1" applyBorder="1" applyAlignment="1">
      <alignment horizontal="center" vertical="center" wrapText="1"/>
    </xf>
    <xf numFmtId="0" fontId="104" fillId="24" borderId="69" xfId="0" applyNumberFormat="1" applyFont="1" applyFill="1" applyBorder="1" applyAlignment="1">
      <alignment horizontal="center" vertical="center" wrapText="1"/>
    </xf>
    <xf numFmtId="0" fontId="104" fillId="24" borderId="131" xfId="0" applyNumberFormat="1" applyFont="1" applyFill="1" applyBorder="1" applyAlignment="1">
      <alignment horizontal="center" vertical="center"/>
    </xf>
    <xf numFmtId="0" fontId="104" fillId="24" borderId="73" xfId="0" applyNumberFormat="1" applyFont="1" applyFill="1" applyBorder="1" applyAlignment="1">
      <alignment horizontal="center" vertical="center"/>
    </xf>
    <xf numFmtId="0" fontId="104" fillId="24" borderId="152" xfId="0" applyNumberFormat="1" applyFont="1" applyFill="1" applyBorder="1" applyAlignment="1">
      <alignment horizontal="center" vertical="center" wrapText="1"/>
    </xf>
    <xf numFmtId="0" fontId="104" fillId="24" borderId="143" xfId="0" applyNumberFormat="1" applyFont="1" applyFill="1" applyBorder="1" applyAlignment="1">
      <alignment horizontal="center" vertical="center" wrapText="1"/>
    </xf>
    <xf numFmtId="4" fontId="100" fillId="0" borderId="0" xfId="1115" applyNumberFormat="1" applyFont="1" applyAlignment="1">
      <alignment horizontal="left" vertical="center" wrapText="1"/>
    </xf>
    <xf numFmtId="4" fontId="100" fillId="0" borderId="0" xfId="1115" applyNumberFormat="1" applyFont="1" applyAlignment="1">
      <alignment horizontal="right" vertical="center" wrapText="1"/>
    </xf>
    <xf numFmtId="0" fontId="102" fillId="0" borderId="0" xfId="1115" applyFont="1" applyAlignment="1">
      <alignment horizontal="left" wrapText="1"/>
    </xf>
    <xf numFmtId="0" fontId="100" fillId="0" borderId="17" xfId="1115" applyFont="1" applyBorder="1" applyAlignment="1">
      <alignment horizontal="left" wrapText="1"/>
    </xf>
    <xf numFmtId="4" fontId="100" fillId="0" borderId="55" xfId="1115" applyNumberFormat="1" applyFont="1" applyBorder="1" applyAlignment="1">
      <alignment horizontal="center" vertical="center" wrapText="1"/>
    </xf>
    <xf numFmtId="4" fontId="104" fillId="0" borderId="0" xfId="1115" applyNumberFormat="1" applyFont="1" applyAlignment="1">
      <alignment horizontal="left" vertical="center" wrapText="1"/>
    </xf>
    <xf numFmtId="4" fontId="104" fillId="0" borderId="0" xfId="1115" applyNumberFormat="1" applyFont="1" applyAlignment="1">
      <alignment horizontal="right" vertical="center" wrapText="1"/>
    </xf>
    <xf numFmtId="4" fontId="117" fillId="0" borderId="0" xfId="1115" applyNumberFormat="1" applyFont="1" applyAlignment="1">
      <alignment horizontal="left" vertical="center" wrapText="1"/>
    </xf>
    <xf numFmtId="4" fontId="117" fillId="0" borderId="0" xfId="1115" applyNumberFormat="1" applyFont="1" applyAlignment="1">
      <alignment horizontal="right" vertical="center" wrapText="1"/>
    </xf>
    <xf numFmtId="4" fontId="101" fillId="0" borderId="0" xfId="1115" applyNumberFormat="1" applyFont="1" applyAlignment="1">
      <alignment horizontal="left" vertical="center" wrapText="1"/>
    </xf>
    <xf numFmtId="0" fontId="287" fillId="0" borderId="0" xfId="1115" applyFont="1" applyAlignment="1">
      <alignment horizontal="center" vertical="center"/>
    </xf>
    <xf numFmtId="0" fontId="287" fillId="0" borderId="0" xfId="1115" applyFont="1" applyAlignment="1">
      <alignment horizontal="center" vertical="center" wrapText="1"/>
    </xf>
    <xf numFmtId="4" fontId="287" fillId="0" borderId="0" xfId="1115" applyNumberFormat="1" applyFont="1" applyAlignment="1">
      <alignment horizontal="center" vertical="center" wrapText="1"/>
    </xf>
    <xf numFmtId="0" fontId="287" fillId="0" borderId="0" xfId="1115" applyNumberFormat="1" applyFont="1" applyAlignment="1">
      <alignment horizontal="center" vertical="center" wrapText="1"/>
    </xf>
    <xf numFmtId="0" fontId="100" fillId="0" borderId="0" xfId="1115" applyNumberFormat="1" applyFont="1" applyAlignment="1">
      <alignment horizontal="left" vertical="center" wrapText="1"/>
    </xf>
    <xf numFmtId="215" fontId="100" fillId="0" borderId="0" xfId="1115" applyNumberFormat="1" applyFont="1" applyAlignment="1">
      <alignment horizontal="right" vertical="center" wrapText="1"/>
    </xf>
    <xf numFmtId="0" fontId="104" fillId="0" borderId="134" xfId="0" applyNumberFormat="1" applyFont="1" applyBorder="1" applyAlignment="1">
      <alignment horizontal="center" vertical="center" wrapText="1"/>
    </xf>
    <xf numFmtId="0" fontId="104" fillId="0" borderId="69" xfId="0" applyNumberFormat="1" applyFont="1" applyBorder="1" applyAlignment="1">
      <alignment horizontal="center" vertical="center" wrapText="1"/>
    </xf>
    <xf numFmtId="4" fontId="177" fillId="55" borderId="124" xfId="0" applyFont="1" applyFill="1" applyBorder="1" applyAlignment="1">
      <alignment horizontal="center" vertical="center" wrapText="1"/>
    </xf>
    <xf numFmtId="4" fontId="0" fillId="55" borderId="87" xfId="0" applyFill="1" applyBorder="1" applyAlignment="1"/>
    <xf numFmtId="4" fontId="177" fillId="55" borderId="152" xfId="0" applyFont="1" applyFill="1" applyBorder="1" applyAlignment="1">
      <alignment horizontal="center" vertical="center" wrapText="1"/>
    </xf>
    <xf numFmtId="4" fontId="0" fillId="55" borderId="135" xfId="0" applyFill="1" applyBorder="1" applyAlignment="1"/>
    <xf numFmtId="4" fontId="177" fillId="55" borderId="87" xfId="0" applyFont="1" applyFill="1" applyBorder="1" applyAlignment="1">
      <alignment horizontal="center" vertical="center" wrapText="1"/>
    </xf>
    <xf numFmtId="0" fontId="331" fillId="0" borderId="53" xfId="1421" applyFont="1" applyBorder="1" applyAlignment="1">
      <alignment horizontal="justify" vertical="center" wrapText="1"/>
    </xf>
    <xf numFmtId="0" fontId="331" fillId="0" borderId="17" xfId="1421" applyFont="1" applyBorder="1" applyAlignment="1">
      <alignment horizontal="justify" vertical="center" wrapText="1"/>
    </xf>
    <xf numFmtId="0" fontId="331" fillId="0" borderId="138" xfId="1421" applyFont="1" applyBorder="1" applyAlignment="1">
      <alignment horizontal="justify" vertical="center" wrapText="1"/>
    </xf>
    <xf numFmtId="0" fontId="326" fillId="0" borderId="152" xfId="1421" applyFont="1" applyBorder="1" applyAlignment="1">
      <alignment horizontal="center" vertical="center" wrapText="1"/>
    </xf>
    <xf numFmtId="0" fontId="326" fillId="0" borderId="143" xfId="1421" applyFont="1" applyBorder="1" applyAlignment="1">
      <alignment horizontal="center" vertical="center" wrapText="1"/>
    </xf>
    <xf numFmtId="0" fontId="326" fillId="0" borderId="152" xfId="1421" applyFont="1" applyBorder="1" applyAlignment="1">
      <alignment horizontal="center" vertical="center"/>
    </xf>
    <xf numFmtId="0" fontId="326" fillId="0" borderId="143" xfId="1421" applyFont="1" applyBorder="1" applyAlignment="1">
      <alignment horizontal="center" vertical="center"/>
    </xf>
    <xf numFmtId="4" fontId="327" fillId="0" borderId="152" xfId="1421" applyNumberFormat="1" applyFont="1" applyBorder="1" applyAlignment="1">
      <alignment vertical="center" wrapText="1"/>
    </xf>
    <xf numFmtId="4" fontId="327" fillId="0" borderId="143" xfId="1421" applyNumberFormat="1" applyFont="1" applyBorder="1" applyAlignment="1">
      <alignment vertical="center" wrapText="1"/>
    </xf>
    <xf numFmtId="0" fontId="327" fillId="0" borderId="0" xfId="1421" applyFont="1" applyBorder="1" applyAlignment="1">
      <alignment horizontal="center" vertical="center" wrapText="1"/>
    </xf>
    <xf numFmtId="0" fontId="328" fillId="0" borderId="124" xfId="1421" applyFont="1" applyBorder="1" applyAlignment="1">
      <alignment vertical="center" wrapText="1"/>
    </xf>
    <xf numFmtId="0" fontId="328" fillId="0" borderId="125" xfId="1421" applyFont="1" applyBorder="1" applyAlignment="1">
      <alignment vertical="center" wrapText="1"/>
    </xf>
    <xf numFmtId="0" fontId="328" fillId="0" borderId="146" xfId="1421" applyFont="1" applyBorder="1" applyAlignment="1">
      <alignment vertical="center" wrapText="1"/>
    </xf>
    <xf numFmtId="0" fontId="327" fillId="0" borderId="87" xfId="1421" applyFont="1" applyBorder="1" applyAlignment="1">
      <alignment vertical="center" wrapText="1"/>
    </xf>
    <xf numFmtId="0" fontId="327" fillId="0" borderId="0" xfId="1421" applyFont="1" applyBorder="1" applyAlignment="1">
      <alignment vertical="center" wrapText="1"/>
    </xf>
    <xf numFmtId="0" fontId="327" fillId="0" borderId="88" xfId="1421" applyFont="1" applyBorder="1" applyAlignment="1">
      <alignment vertical="center" wrapText="1"/>
    </xf>
    <xf numFmtId="0" fontId="328" fillId="0" borderId="87" xfId="1421" applyFont="1" applyBorder="1" applyAlignment="1">
      <alignment vertical="center" wrapText="1"/>
    </xf>
    <xf numFmtId="0" fontId="328" fillId="0" borderId="0" xfId="1421" applyFont="1" applyBorder="1" applyAlignment="1">
      <alignment vertical="center" wrapText="1"/>
    </xf>
    <xf numFmtId="0" fontId="328" fillId="0" borderId="88" xfId="1421" applyFont="1" applyBorder="1" applyAlignment="1">
      <alignment vertical="center" wrapText="1"/>
    </xf>
    <xf numFmtId="0" fontId="329" fillId="0" borderId="87" xfId="1421" applyFont="1" applyBorder="1" applyAlignment="1">
      <alignment vertical="center" wrapText="1"/>
    </xf>
    <xf numFmtId="0" fontId="329" fillId="0" borderId="0" xfId="1421" applyFont="1" applyBorder="1" applyAlignment="1">
      <alignment vertical="center" wrapText="1"/>
    </xf>
    <xf numFmtId="0" fontId="329" fillId="0" borderId="88" xfId="1421" applyFont="1" applyBorder="1" applyAlignment="1">
      <alignment vertical="center" wrapText="1"/>
    </xf>
    <xf numFmtId="0" fontId="330" fillId="0" borderId="87" xfId="1421" applyFont="1" applyBorder="1" applyAlignment="1">
      <alignment vertical="center" wrapText="1"/>
    </xf>
    <xf numFmtId="0" fontId="330" fillId="0" borderId="0" xfId="1421" applyFont="1" applyBorder="1" applyAlignment="1">
      <alignment vertical="center" wrapText="1"/>
    </xf>
    <xf numFmtId="0" fontId="330" fillId="0" borderId="88" xfId="1421" applyFont="1" applyBorder="1" applyAlignment="1">
      <alignment vertical="center" wrapText="1"/>
    </xf>
    <xf numFmtId="0" fontId="327" fillId="60" borderId="152" xfId="1421" applyFont="1" applyFill="1" applyBorder="1" applyAlignment="1">
      <alignment horizontal="center" vertical="center" wrapText="1"/>
    </xf>
    <xf numFmtId="0" fontId="327" fillId="60" borderId="143" xfId="1421" applyFont="1" applyFill="1" applyBorder="1" applyAlignment="1">
      <alignment horizontal="center" vertical="center" wrapText="1"/>
    </xf>
    <xf numFmtId="0" fontId="5" fillId="60" borderId="152" xfId="1421" applyFont="1" applyFill="1" applyBorder="1" applyAlignment="1">
      <alignment vertical="center"/>
    </xf>
    <xf numFmtId="0" fontId="5" fillId="60" borderId="143" xfId="1421" applyFont="1" applyFill="1" applyBorder="1" applyAlignment="1">
      <alignment vertical="center"/>
    </xf>
    <xf numFmtId="0" fontId="327" fillId="0" borderId="152" xfId="1421" applyFont="1" applyBorder="1" applyAlignment="1">
      <alignment vertical="center" wrapText="1"/>
    </xf>
    <xf numFmtId="0" fontId="327" fillId="0" borderId="143" xfId="1421" applyFont="1" applyBorder="1" applyAlignment="1">
      <alignment vertical="center" wrapText="1"/>
    </xf>
    <xf numFmtId="0" fontId="326" fillId="0" borderId="152" xfId="1421" applyFont="1" applyBorder="1" applyAlignment="1">
      <alignment horizontal="left" vertical="center" wrapText="1"/>
    </xf>
    <xf numFmtId="0" fontId="326" fillId="0" borderId="143" xfId="1421" applyFont="1" applyBorder="1" applyAlignment="1">
      <alignment horizontal="left" vertical="center" wrapText="1"/>
    </xf>
    <xf numFmtId="0" fontId="326" fillId="0" borderId="135" xfId="1421" applyFont="1" applyBorder="1" applyAlignment="1">
      <alignment horizontal="center" vertical="center" wrapText="1"/>
    </xf>
    <xf numFmtId="0" fontId="326" fillId="0" borderId="135" xfId="1421" applyFont="1" applyBorder="1" applyAlignment="1">
      <alignment horizontal="center" vertical="center"/>
    </xf>
    <xf numFmtId="0" fontId="327" fillId="0" borderId="135" xfId="1421" applyFont="1" applyBorder="1" applyAlignment="1">
      <alignment vertical="center" wrapText="1"/>
    </xf>
    <xf numFmtId="0" fontId="327" fillId="57" borderId="152" xfId="1421" applyFont="1" applyFill="1" applyBorder="1" applyAlignment="1">
      <alignment vertical="center" wrapText="1"/>
    </xf>
    <xf numFmtId="0" fontId="327" fillId="57" borderId="143" xfId="1421" applyFont="1" applyFill="1" applyBorder="1" applyAlignment="1">
      <alignment vertical="center" wrapText="1"/>
    </xf>
    <xf numFmtId="0" fontId="326" fillId="60" borderId="152" xfId="1421" applyFont="1" applyFill="1" applyBorder="1" applyAlignment="1">
      <alignment horizontal="center" vertical="center" wrapText="1"/>
    </xf>
    <xf numFmtId="0" fontId="326" fillId="60" borderId="143" xfId="1421" applyFont="1" applyFill="1" applyBorder="1" applyAlignment="1">
      <alignment horizontal="center" vertical="center" wrapText="1"/>
    </xf>
    <xf numFmtId="0" fontId="326" fillId="60" borderId="152" xfId="1421" applyFont="1" applyFill="1" applyBorder="1" applyAlignment="1">
      <alignment horizontal="center" vertical="center"/>
    </xf>
    <xf numFmtId="0" fontId="326" fillId="60" borderId="143" xfId="1421" applyFont="1" applyFill="1" applyBorder="1" applyAlignment="1">
      <alignment horizontal="center" vertical="center"/>
    </xf>
    <xf numFmtId="0" fontId="326" fillId="0" borderId="152" xfId="1421" applyFont="1" applyBorder="1" applyAlignment="1">
      <alignment vertical="center" wrapText="1"/>
    </xf>
    <xf numFmtId="0" fontId="326" fillId="0" borderId="143" xfId="1421" applyFont="1" applyBorder="1" applyAlignment="1">
      <alignment vertical="center" wrapText="1"/>
    </xf>
    <xf numFmtId="0" fontId="327" fillId="60" borderId="152" xfId="1421" applyFont="1" applyFill="1" applyBorder="1" applyAlignment="1">
      <alignment horizontal="center" vertical="center"/>
    </xf>
    <xf numFmtId="0" fontId="327" fillId="60" borderId="143" xfId="1421" applyFont="1" applyFill="1" applyBorder="1" applyAlignment="1">
      <alignment horizontal="center" vertical="center"/>
    </xf>
    <xf numFmtId="0" fontId="327" fillId="60" borderId="135" xfId="1421" applyFont="1" applyFill="1" applyBorder="1" applyAlignment="1">
      <alignment horizontal="center" vertical="center" wrapText="1"/>
    </xf>
    <xf numFmtId="0" fontId="323" fillId="0" borderId="87" xfId="1421" applyFont="1" applyBorder="1" applyAlignment="1">
      <alignment horizontal="center" vertical="center" wrapText="1"/>
    </xf>
    <xf numFmtId="0" fontId="323" fillId="0" borderId="0" xfId="1421" applyFont="1" applyBorder="1" applyAlignment="1">
      <alignment horizontal="center" vertical="center" wrapText="1"/>
    </xf>
    <xf numFmtId="0" fontId="323" fillId="0" borderId="88" xfId="1421" applyFont="1" applyBorder="1" applyAlignment="1">
      <alignment horizontal="center" vertical="center" wrapText="1"/>
    </xf>
    <xf numFmtId="0" fontId="324" fillId="0" borderId="87" xfId="1421" applyFont="1" applyBorder="1" applyAlignment="1">
      <alignment horizontal="center" vertical="center" wrapText="1"/>
    </xf>
    <xf numFmtId="0" fontId="324" fillId="0" borderId="0" xfId="1421" applyFont="1" applyBorder="1" applyAlignment="1">
      <alignment horizontal="center" vertical="center" wrapText="1"/>
    </xf>
    <xf numFmtId="0" fontId="324" fillId="0" borderId="88" xfId="1421" applyFont="1" applyBorder="1" applyAlignment="1">
      <alignment horizontal="center" vertical="center" wrapText="1"/>
    </xf>
    <xf numFmtId="4" fontId="323" fillId="0" borderId="87" xfId="1421" applyNumberFormat="1" applyFont="1" applyBorder="1" applyAlignment="1">
      <alignment horizontal="center" vertical="center" wrapText="1"/>
    </xf>
    <xf numFmtId="0" fontId="325" fillId="0" borderId="53" xfId="1421" applyFont="1" applyBorder="1" applyAlignment="1">
      <alignment horizontal="center" vertical="center" wrapText="1"/>
    </xf>
    <xf numFmtId="0" fontId="325" fillId="0" borderId="17" xfId="1421" applyFont="1" applyBorder="1" applyAlignment="1">
      <alignment horizontal="center" vertical="center" wrapText="1"/>
    </xf>
    <xf numFmtId="0" fontId="325" fillId="0" borderId="138" xfId="1421" applyFont="1" applyBorder="1" applyAlignment="1">
      <alignment horizontal="center" vertical="center" wrapText="1"/>
    </xf>
    <xf numFmtId="0" fontId="372" fillId="0" borderId="80" xfId="0" applyNumberFormat="1" applyFont="1" applyBorder="1" applyAlignment="1" applyProtection="1">
      <alignment horizontal="center"/>
    </xf>
    <xf numFmtId="0" fontId="372" fillId="0" borderId="14" xfId="0" applyNumberFormat="1" applyFont="1" applyBorder="1" applyAlignment="1" applyProtection="1">
      <alignment horizontal="center"/>
    </xf>
    <xf numFmtId="0" fontId="372" fillId="0" borderId="83" xfId="0" applyNumberFormat="1" applyFont="1" applyBorder="1" applyAlignment="1" applyProtection="1">
      <alignment horizontal="center"/>
    </xf>
    <xf numFmtId="0" fontId="100" fillId="46" borderId="0" xfId="0" applyNumberFormat="1" applyFont="1" applyFill="1" applyAlignment="1" applyProtection="1">
      <alignment horizontal="center"/>
    </xf>
    <xf numFmtId="0" fontId="49" fillId="0" borderId="9" xfId="1429" applyFont="1" applyFill="1" applyBorder="1" applyAlignment="1" applyProtection="1">
      <alignment horizontal="center" vertical="center" wrapText="1"/>
    </xf>
    <xf numFmtId="0" fontId="376" fillId="57" borderId="9" xfId="1429" applyFont="1" applyFill="1" applyBorder="1" applyAlignment="1" applyProtection="1">
      <alignment horizontal="center" vertical="center" wrapText="1"/>
    </xf>
    <xf numFmtId="0" fontId="49" fillId="0" borderId="197" xfId="1429" applyFont="1" applyFill="1" applyBorder="1" applyAlignment="1" applyProtection="1">
      <alignment horizontal="center" vertical="center" wrapText="1"/>
    </xf>
    <xf numFmtId="0" fontId="49" fillId="0" borderId="198" xfId="1429" applyFont="1" applyFill="1" applyBorder="1" applyAlignment="1" applyProtection="1">
      <alignment horizontal="center" vertical="center" wrapText="1"/>
    </xf>
    <xf numFmtId="0" fontId="120" fillId="3" borderId="16" xfId="1148" applyFont="1" applyFill="1" applyBorder="1" applyAlignment="1" applyProtection="1">
      <alignment horizontal="left" vertical="center"/>
    </xf>
    <xf numFmtId="0" fontId="120" fillId="3" borderId="77" xfId="1148" applyFont="1" applyFill="1" applyBorder="1" applyAlignment="1" applyProtection="1">
      <alignment horizontal="left" vertical="center"/>
    </xf>
    <xf numFmtId="165" fontId="102" fillId="3" borderId="77" xfId="0" applyNumberFormat="1" applyFont="1" applyFill="1" applyBorder="1" applyAlignment="1" applyProtection="1">
      <alignment horizontal="left" vertical="center"/>
      <protection hidden="1"/>
    </xf>
    <xf numFmtId="165" fontId="102" fillId="3" borderId="78" xfId="0" applyNumberFormat="1" applyFont="1" applyFill="1" applyBorder="1" applyAlignment="1" applyProtection="1">
      <alignment horizontal="left" vertical="center"/>
      <protection hidden="1"/>
    </xf>
    <xf numFmtId="0" fontId="120" fillId="3" borderId="80" xfId="1148" applyFont="1" applyFill="1" applyBorder="1" applyAlignment="1" applyProtection="1">
      <alignment horizontal="left" vertical="center" wrapText="1"/>
    </xf>
    <xf numFmtId="0" fontId="120" fillId="3" borderId="14" xfId="1148" applyFont="1" applyFill="1" applyBorder="1" applyAlignment="1" applyProtection="1">
      <alignment horizontal="left" vertical="center" wrapText="1"/>
    </xf>
    <xf numFmtId="2" fontId="102" fillId="3" borderId="14" xfId="0" applyNumberFormat="1" applyFont="1" applyFill="1" applyBorder="1" applyAlignment="1" applyProtection="1">
      <alignment horizontal="left" vertical="center"/>
    </xf>
    <xf numFmtId="2" fontId="102" fillId="3" borderId="83" xfId="0" applyNumberFormat="1" applyFont="1" applyFill="1" applyBorder="1" applyAlignment="1" applyProtection="1">
      <alignment horizontal="left" vertical="center"/>
    </xf>
    <xf numFmtId="0" fontId="100" fillId="0" borderId="80" xfId="0" applyNumberFormat="1" applyFont="1" applyFill="1" applyBorder="1" applyAlignment="1" applyProtection="1">
      <alignment horizontal="center" vertical="center" wrapText="1"/>
    </xf>
    <xf numFmtId="0" fontId="100" fillId="0" borderId="14" xfId="0" applyNumberFormat="1" applyFont="1" applyFill="1" applyBorder="1" applyAlignment="1" applyProtection="1">
      <alignment horizontal="center" vertical="center" wrapText="1"/>
    </xf>
    <xf numFmtId="2" fontId="100" fillId="0" borderId="14" xfId="0" applyNumberFormat="1" applyFont="1" applyFill="1" applyBorder="1" applyAlignment="1" applyProtection="1">
      <alignment horizontal="center" vertical="center" wrapText="1"/>
    </xf>
    <xf numFmtId="0" fontId="100" fillId="0" borderId="83" xfId="0" applyNumberFormat="1" applyFont="1" applyFill="1" applyBorder="1" applyAlignment="1" applyProtection="1">
      <alignment horizontal="center" vertical="center" wrapText="1"/>
    </xf>
    <xf numFmtId="4" fontId="366" fillId="0" borderId="43" xfId="0" applyNumberFormat="1" applyFont="1" applyBorder="1" applyAlignment="1" applyProtection="1">
      <alignment horizontal="center"/>
    </xf>
    <xf numFmtId="0" fontId="366" fillId="0" borderId="43" xfId="0" applyNumberFormat="1" applyFont="1" applyBorder="1" applyAlignment="1" applyProtection="1">
      <alignment horizontal="center"/>
    </xf>
    <xf numFmtId="0" fontId="361" fillId="46" borderId="0" xfId="0" applyNumberFormat="1" applyFont="1" applyFill="1" applyAlignment="1" applyProtection="1">
      <alignment horizontal="center"/>
    </xf>
    <xf numFmtId="0" fontId="365" fillId="46" borderId="0" xfId="0" applyNumberFormat="1" applyFont="1" applyFill="1" applyBorder="1" applyAlignment="1" applyProtection="1">
      <alignment horizontal="center"/>
    </xf>
    <xf numFmtId="0" fontId="176" fillId="3" borderId="14" xfId="1148" applyFont="1" applyFill="1" applyBorder="1" applyAlignment="1" applyProtection="1">
      <alignment horizontal="center" vertical="center"/>
    </xf>
    <xf numFmtId="165" fontId="176" fillId="3" borderId="64" xfId="0" applyNumberFormat="1" applyFont="1" applyFill="1" applyBorder="1" applyAlignment="1" applyProtection="1">
      <alignment horizontal="left" vertical="center"/>
      <protection hidden="1"/>
    </xf>
    <xf numFmtId="165" fontId="176" fillId="3" borderId="62" xfId="0" applyNumberFormat="1" applyFont="1" applyFill="1" applyBorder="1" applyAlignment="1" applyProtection="1">
      <alignment horizontal="left" vertical="center"/>
      <protection hidden="1"/>
    </xf>
    <xf numFmtId="165" fontId="176" fillId="3" borderId="63" xfId="0" applyNumberFormat="1" applyFont="1" applyFill="1" applyBorder="1" applyAlignment="1" applyProtection="1">
      <alignment horizontal="left" vertical="center"/>
      <protection hidden="1"/>
    </xf>
    <xf numFmtId="0" fontId="108" fillId="0" borderId="14" xfId="0" applyNumberFormat="1" applyFont="1" applyFill="1" applyBorder="1" applyAlignment="1" applyProtection="1">
      <alignment horizontal="center" vertical="center" wrapText="1"/>
    </xf>
    <xf numFmtId="2" fontId="108" fillId="0" borderId="14" xfId="0" applyNumberFormat="1" applyFont="1" applyFill="1" applyBorder="1" applyAlignment="1" applyProtection="1">
      <alignment horizontal="center" vertical="center" wrapText="1"/>
    </xf>
    <xf numFmtId="0" fontId="116" fillId="0" borderId="210" xfId="1116" applyFont="1" applyBorder="1" applyAlignment="1">
      <alignment horizontal="center" vertical="center"/>
    </xf>
    <xf numFmtId="0" fontId="424" fillId="0" borderId="0" xfId="0" applyNumberFormat="1" applyFont="1" applyAlignment="1" applyProtection="1">
      <alignment horizontal="center" vertical="center"/>
    </xf>
    <xf numFmtId="0" fontId="425" fillId="0" borderId="0" xfId="0" applyNumberFormat="1" applyFont="1" applyAlignment="1" applyProtection="1"/>
    <xf numFmtId="0" fontId="189" fillId="0" borderId="210" xfId="0" applyNumberFormat="1" applyFont="1" applyBorder="1" applyAlignment="1" applyProtection="1">
      <alignment horizontal="center" vertical="center"/>
    </xf>
    <xf numFmtId="0" fontId="189" fillId="0" borderId="210" xfId="0" applyNumberFormat="1" applyFont="1" applyBorder="1" applyAlignment="1" applyProtection="1">
      <alignment horizontal="center" vertical="center" wrapText="1"/>
    </xf>
    <xf numFmtId="0" fontId="424" fillId="0" borderId="0" xfId="2308" applyNumberFormat="1" applyFont="1" applyAlignment="1" applyProtection="1">
      <alignment horizontal="center" vertical="center"/>
    </xf>
    <xf numFmtId="0" fontId="425" fillId="0" borderId="0" xfId="2308" applyNumberFormat="1" applyFont="1" applyProtection="1"/>
    <xf numFmtId="0" fontId="426" fillId="0" borderId="210" xfId="2308" applyNumberFormat="1" applyFont="1" applyBorder="1" applyAlignment="1" applyProtection="1">
      <alignment horizontal="center" vertical="center"/>
    </xf>
    <xf numFmtId="0" fontId="426" fillId="0" borderId="210" xfId="2308" applyNumberFormat="1" applyFont="1" applyBorder="1" applyAlignment="1" applyProtection="1">
      <alignment horizontal="center" vertical="center" wrapText="1"/>
    </xf>
    <xf numFmtId="0" fontId="3" fillId="0" borderId="13" xfId="2309" applyBorder="1" applyAlignment="1">
      <alignment horizontal="left" wrapText="1"/>
    </xf>
    <xf numFmtId="0" fontId="3" fillId="0" borderId="84" xfId="2309" applyBorder="1" applyAlignment="1">
      <alignment horizontal="left" wrapText="1"/>
    </xf>
    <xf numFmtId="0" fontId="434" fillId="0" borderId="0" xfId="2309" applyFont="1" applyAlignment="1">
      <alignment horizontal="left" vertical="center" wrapText="1"/>
    </xf>
    <xf numFmtId="0" fontId="435" fillId="0" borderId="0" xfId="2309" applyFont="1" applyAlignment="1">
      <alignment horizontal="center" wrapText="1"/>
    </xf>
    <xf numFmtId="0" fontId="433" fillId="0" borderId="39" xfId="2309" applyFont="1" applyBorder="1" applyAlignment="1">
      <alignment horizontal="center" vertical="center"/>
    </xf>
    <xf numFmtId="0" fontId="433" fillId="0" borderId="85" xfId="2309" applyFont="1" applyBorder="1" applyAlignment="1">
      <alignment horizontal="center" vertical="center"/>
    </xf>
    <xf numFmtId="0" fontId="433" fillId="0" borderId="39" xfId="2309" applyFont="1" applyBorder="1" applyAlignment="1">
      <alignment horizontal="center" vertical="center" wrapText="1"/>
    </xf>
    <xf numFmtId="0" fontId="433" fillId="0" borderId="85" xfId="2309" applyFont="1" applyBorder="1" applyAlignment="1">
      <alignment horizontal="center" vertical="center" wrapText="1"/>
    </xf>
    <xf numFmtId="0" fontId="433" fillId="0" borderId="14" xfId="2309" applyFont="1" applyBorder="1" applyAlignment="1">
      <alignment horizontal="center" wrapText="1"/>
    </xf>
    <xf numFmtId="0" fontId="433" fillId="0" borderId="14" xfId="2309" applyFont="1" applyBorder="1" applyAlignment="1">
      <alignment horizontal="center" vertical="center" wrapText="1"/>
    </xf>
    <xf numFmtId="0" fontId="433" fillId="0" borderId="64" xfId="2309" applyFont="1" applyBorder="1" applyAlignment="1">
      <alignment horizontal="center" vertical="center" wrapText="1"/>
    </xf>
    <xf numFmtId="0" fontId="433" fillId="0" borderId="63" xfId="2309" applyFont="1" applyBorder="1" applyAlignment="1">
      <alignment horizontal="center" vertical="center" wrapText="1"/>
    </xf>
    <xf numFmtId="2" fontId="82" fillId="58" borderId="140" xfId="0" applyNumberFormat="1" applyFont="1" applyFill="1" applyBorder="1" applyAlignment="1" applyProtection="1">
      <alignment horizontal="center" vertical="center" wrapText="1"/>
      <protection locked="0"/>
    </xf>
    <xf numFmtId="2" fontId="82" fillId="58" borderId="69" xfId="0" applyNumberFormat="1" applyFont="1" applyFill="1" applyBorder="1" applyAlignment="1" applyProtection="1">
      <alignment horizontal="center" vertical="center" wrapText="1"/>
      <protection locked="0"/>
    </xf>
    <xf numFmtId="4" fontId="418" fillId="73" borderId="43" xfId="0" applyFont="1" applyFill="1" applyBorder="1" applyAlignment="1" applyProtection="1">
      <alignment horizontal="center" vertical="center"/>
      <protection locked="0"/>
    </xf>
    <xf numFmtId="4" fontId="418" fillId="58" borderId="15" xfId="0" applyFont="1" applyFill="1" applyBorder="1" applyAlignment="1" applyProtection="1">
      <alignment horizontal="center" vertical="center"/>
      <protection locked="0"/>
    </xf>
    <xf numFmtId="4" fontId="437" fillId="0" borderId="0" xfId="0" applyFont="1" applyBorder="1" applyAlignment="1" applyProtection="1">
      <alignment horizontal="center"/>
      <protection locked="0"/>
    </xf>
    <xf numFmtId="4" fontId="437" fillId="73" borderId="23" xfId="0" applyFont="1" applyFill="1" applyBorder="1" applyAlignment="1" applyProtection="1">
      <alignment horizontal="center"/>
      <protection locked="0"/>
    </xf>
    <xf numFmtId="4" fontId="437" fillId="73" borderId="24" xfId="0" applyFont="1" applyFill="1" applyBorder="1" applyAlignment="1" applyProtection="1">
      <alignment horizontal="center"/>
      <protection locked="0"/>
    </xf>
    <xf numFmtId="4" fontId="437" fillId="0" borderId="152" xfId="0" applyFont="1" applyBorder="1" applyAlignment="1" applyProtection="1">
      <alignment horizontal="center" vertical="center" wrapText="1"/>
      <protection locked="0"/>
    </xf>
    <xf numFmtId="4" fontId="437" fillId="0" borderId="135" xfId="0" applyFont="1" applyBorder="1" applyAlignment="1" applyProtection="1">
      <alignment horizontal="center" vertical="center" wrapText="1"/>
      <protection locked="0"/>
    </xf>
    <xf numFmtId="4" fontId="437" fillId="0" borderId="143" xfId="0" applyFont="1" applyBorder="1" applyAlignment="1" applyProtection="1">
      <alignment horizontal="center" vertical="center" wrapText="1"/>
      <protection locked="0"/>
    </xf>
    <xf numFmtId="4" fontId="437" fillId="58" borderId="24" xfId="0" applyFont="1" applyFill="1" applyBorder="1" applyAlignment="1" applyProtection="1">
      <alignment horizontal="center"/>
      <protection locked="0"/>
    </xf>
    <xf numFmtId="4" fontId="171" fillId="73" borderId="13" xfId="0" applyFont="1" applyFill="1" applyBorder="1" applyAlignment="1" applyProtection="1">
      <alignment horizontal="center" vertical="center"/>
      <protection locked="0"/>
    </xf>
    <xf numFmtId="4" fontId="171" fillId="73" borderId="84" xfId="0" applyFont="1" applyFill="1" applyBorder="1" applyAlignment="1" applyProtection="1">
      <alignment horizontal="center" vertical="center"/>
      <protection locked="0"/>
    </xf>
    <xf numFmtId="4" fontId="171" fillId="73" borderId="42" xfId="0" applyFont="1" applyFill="1" applyBorder="1" applyAlignment="1" applyProtection="1">
      <alignment horizontal="center" vertical="center" wrapText="1"/>
      <protection locked="0"/>
    </xf>
    <xf numFmtId="4" fontId="171" fillId="73" borderId="86" xfId="0" applyFont="1" applyFill="1" applyBorder="1" applyAlignment="1" applyProtection="1">
      <alignment horizontal="center" vertical="center" wrapText="1"/>
      <protection locked="0"/>
    </xf>
    <xf numFmtId="4" fontId="171" fillId="58" borderId="13" xfId="0" applyFont="1" applyFill="1" applyBorder="1" applyAlignment="1" applyProtection="1">
      <alignment horizontal="center" vertical="center"/>
      <protection locked="0"/>
    </xf>
    <xf numFmtId="4" fontId="171" fillId="58" borderId="84" xfId="0" applyFont="1" applyFill="1" applyBorder="1" applyAlignment="1" applyProtection="1">
      <alignment horizontal="center" vertical="center"/>
      <protection locked="0"/>
    </xf>
    <xf numFmtId="4" fontId="438" fillId="58" borderId="77" xfId="0" applyFont="1" applyFill="1" applyBorder="1" applyAlignment="1" applyProtection="1">
      <alignment horizontal="center"/>
      <protection locked="0"/>
    </xf>
    <xf numFmtId="4" fontId="453" fillId="0" borderId="0" xfId="0" applyFont="1" applyAlignment="1">
      <alignment vertical="top" wrapText="1"/>
    </xf>
    <xf numFmtId="4" fontId="450" fillId="0" borderId="0" xfId="0" applyFont="1" applyAlignment="1">
      <alignment vertical="top" wrapText="1"/>
    </xf>
    <xf numFmtId="0" fontId="174" fillId="0" borderId="238" xfId="0" applyNumberFormat="1" applyFont="1" applyBorder="1" applyAlignment="1">
      <alignment horizontal="right"/>
    </xf>
    <xf numFmtId="0" fontId="174" fillId="0" borderId="238" xfId="0" applyNumberFormat="1" applyFont="1" applyBorder="1" applyAlignment="1">
      <alignment horizontal="left"/>
    </xf>
    <xf numFmtId="49" fontId="174" fillId="0" borderId="267" xfId="0" applyNumberFormat="1" applyFont="1" applyBorder="1" applyAlignment="1">
      <alignment horizontal="left"/>
    </xf>
    <xf numFmtId="49" fontId="174" fillId="0" borderId="268" xfId="0" applyNumberFormat="1" applyFont="1" applyBorder="1" applyAlignment="1">
      <alignment horizontal="left"/>
    </xf>
    <xf numFmtId="49" fontId="174" fillId="0" borderId="269" xfId="0" applyNumberFormat="1" applyFont="1" applyBorder="1" applyAlignment="1">
      <alignment horizontal="left"/>
    </xf>
    <xf numFmtId="49" fontId="174" fillId="0" borderId="238" xfId="0" applyNumberFormat="1" applyFont="1" applyBorder="1" applyAlignment="1">
      <alignment horizontal="left"/>
    </xf>
    <xf numFmtId="0" fontId="174" fillId="0" borderId="267" xfId="0" applyNumberFormat="1" applyFont="1" applyBorder="1" applyAlignment="1">
      <alignment horizontal="right"/>
    </xf>
    <xf numFmtId="0" fontId="174" fillId="0" borderId="268" xfId="0" applyNumberFormat="1" applyFont="1" applyBorder="1" applyAlignment="1">
      <alignment horizontal="right"/>
    </xf>
    <xf numFmtId="0" fontId="174" fillId="0" borderId="269" xfId="0" applyNumberFormat="1" applyFont="1" applyBorder="1" applyAlignment="1">
      <alignment horizontal="right"/>
    </xf>
    <xf numFmtId="0" fontId="174" fillId="0" borderId="267" xfId="0" applyNumberFormat="1" applyFont="1" applyBorder="1" applyAlignment="1">
      <alignment horizontal="left"/>
    </xf>
    <xf numFmtId="0" fontId="174" fillId="0" borderId="268" xfId="0" applyNumberFormat="1" applyFont="1" applyBorder="1" applyAlignment="1">
      <alignment horizontal="left"/>
    </xf>
    <xf numFmtId="0" fontId="174" fillId="0" borderId="269" xfId="0" applyNumberFormat="1" applyFont="1" applyBorder="1" applyAlignment="1">
      <alignment horizontal="left"/>
    </xf>
    <xf numFmtId="49" fontId="371" fillId="0" borderId="238" xfId="0" applyNumberFormat="1" applyFont="1" applyBorder="1" applyAlignment="1">
      <alignment horizontal="center" vertical="center"/>
    </xf>
    <xf numFmtId="0" fontId="174" fillId="0" borderId="238" xfId="0" applyNumberFormat="1" applyFont="1" applyBorder="1" applyAlignment="1">
      <alignment horizontal="center" vertical="center" wrapText="1"/>
    </xf>
    <xf numFmtId="49" fontId="174" fillId="0" borderId="267" xfId="0" applyNumberFormat="1" applyFont="1" applyBorder="1" applyAlignment="1">
      <alignment horizontal="center" vertical="center"/>
    </xf>
    <xf numFmtId="49" fontId="174" fillId="0" borderId="268" xfId="0" applyNumberFormat="1" applyFont="1" applyBorder="1" applyAlignment="1">
      <alignment horizontal="center" vertical="center"/>
    </xf>
    <xf numFmtId="49" fontId="174" fillId="0" borderId="269" xfId="0" applyNumberFormat="1" applyFont="1" applyBorder="1" applyAlignment="1">
      <alignment horizontal="center" vertical="center"/>
    </xf>
    <xf numFmtId="49" fontId="174" fillId="0" borderId="238" xfId="0" applyNumberFormat="1" applyFont="1" applyBorder="1" applyAlignment="1">
      <alignment horizontal="center" vertical="center"/>
    </xf>
    <xf numFmtId="0" fontId="174" fillId="0" borderId="238" xfId="0" applyNumberFormat="1" applyFont="1" applyBorder="1" applyAlignment="1">
      <alignment horizontal="center" vertical="center"/>
    </xf>
    <xf numFmtId="4" fontId="371" fillId="0" borderId="238" xfId="0" applyFont="1" applyBorder="1" applyAlignment="1">
      <alignment horizontal="center" vertical="center"/>
    </xf>
    <xf numFmtId="4" fontId="371" fillId="0" borderId="267" xfId="0" applyFont="1" applyBorder="1" applyAlignment="1">
      <alignment horizontal="center" vertical="center"/>
    </xf>
    <xf numFmtId="4" fontId="371" fillId="0" borderId="268" xfId="0" applyFont="1" applyBorder="1" applyAlignment="1">
      <alignment horizontal="center" vertical="center"/>
    </xf>
    <xf numFmtId="4" fontId="371" fillId="0" borderId="269" xfId="0" applyFont="1" applyBorder="1" applyAlignment="1">
      <alignment horizontal="center" vertical="center"/>
    </xf>
    <xf numFmtId="49" fontId="371" fillId="0" borderId="37" xfId="0" applyNumberFormat="1" applyFont="1" applyBorder="1" applyAlignment="1">
      <alignment horizontal="center"/>
    </xf>
    <xf numFmtId="49" fontId="371" fillId="0" borderId="0" xfId="0" applyNumberFormat="1" applyFont="1" applyBorder="1" applyAlignment="1">
      <alignment horizontal="center"/>
    </xf>
    <xf numFmtId="49" fontId="371" fillId="0" borderId="15" xfId="0" applyNumberFormat="1" applyFont="1" applyBorder="1" applyAlignment="1">
      <alignment horizontal="center"/>
    </xf>
    <xf numFmtId="4" fontId="371" fillId="0" borderId="37" xfId="0" applyFont="1" applyBorder="1" applyAlignment="1">
      <alignment horizontal="center" wrapText="1"/>
    </xf>
    <xf numFmtId="4" fontId="371" fillId="0" borderId="0" xfId="0" applyFont="1" applyBorder="1" applyAlignment="1">
      <alignment horizontal="center" wrapText="1"/>
    </xf>
    <xf numFmtId="4" fontId="371" fillId="0" borderId="15" xfId="0" applyFont="1" applyBorder="1" applyAlignment="1">
      <alignment horizontal="center" wrapText="1"/>
    </xf>
    <xf numFmtId="4" fontId="371" fillId="0" borderId="37" xfId="0" applyFont="1" applyBorder="1" applyAlignment="1">
      <alignment horizontal="center"/>
    </xf>
    <xf numFmtId="4" fontId="371" fillId="0" borderId="0" xfId="0" applyFont="1" applyBorder="1" applyAlignment="1">
      <alignment horizontal="center"/>
    </xf>
    <xf numFmtId="4" fontId="371" fillId="0" borderId="15" xfId="0" applyFont="1" applyBorder="1" applyAlignment="1">
      <alignment horizontal="center"/>
    </xf>
    <xf numFmtId="49" fontId="371" fillId="0" borderId="120" xfId="0" applyNumberFormat="1" applyFont="1" applyBorder="1" applyAlignment="1">
      <alignment horizontal="center"/>
    </xf>
    <xf numFmtId="49" fontId="371" fillId="0" borderId="55" xfId="0" applyNumberFormat="1" applyFont="1" applyBorder="1" applyAlignment="1">
      <alignment horizontal="center"/>
    </xf>
    <xf numFmtId="49" fontId="371" fillId="0" borderId="72" xfId="0" applyNumberFormat="1" applyFont="1" applyBorder="1" applyAlignment="1">
      <alignment horizontal="center"/>
    </xf>
    <xf numFmtId="4" fontId="176" fillId="0" borderId="0" xfId="0" applyFont="1" applyAlignment="1">
      <alignment horizontal="center" vertical="center"/>
    </xf>
    <xf numFmtId="4" fontId="371" fillId="0" borderId="272" xfId="0" applyFont="1" applyBorder="1" applyAlignment="1">
      <alignment horizontal="center" wrapText="1"/>
    </xf>
    <xf numFmtId="4" fontId="371" fillId="0" borderId="291" xfId="0" applyFont="1" applyBorder="1" applyAlignment="1">
      <alignment horizontal="center" wrapText="1"/>
    </xf>
    <xf numFmtId="4" fontId="371" fillId="0" borderId="292" xfId="0" applyFont="1" applyBorder="1" applyAlignment="1">
      <alignment horizontal="center" wrapText="1"/>
    </xf>
    <xf numFmtId="4" fontId="371" fillId="0" borderId="293" xfId="0" applyFont="1" applyBorder="1" applyAlignment="1">
      <alignment horizontal="center"/>
    </xf>
    <xf numFmtId="4" fontId="371" fillId="0" borderId="291" xfId="0" applyFont="1" applyBorder="1" applyAlignment="1">
      <alignment horizontal="center"/>
    </xf>
    <xf numFmtId="4" fontId="371" fillId="0" borderId="293" xfId="0" applyFont="1" applyBorder="1" applyAlignment="1">
      <alignment horizontal="center" wrapText="1"/>
    </xf>
    <xf numFmtId="49" fontId="371" fillId="0" borderId="293" xfId="0" applyNumberFormat="1" applyFont="1" applyBorder="1" applyAlignment="1">
      <alignment horizontal="center"/>
    </xf>
    <xf numFmtId="49" fontId="371" fillId="0" borderId="291" xfId="0" applyNumberFormat="1" applyFont="1" applyBorder="1" applyAlignment="1">
      <alignment horizontal="center"/>
    </xf>
    <xf numFmtId="49" fontId="371" fillId="0" borderId="292" xfId="0" applyNumberFormat="1" applyFont="1" applyBorder="1" applyAlignment="1">
      <alignment horizontal="center"/>
    </xf>
    <xf numFmtId="0" fontId="481" fillId="85" borderId="276" xfId="3448" applyNumberFormat="1" applyFont="1" applyFill="1" applyBorder="1" applyAlignment="1">
      <alignment horizontal="right" vertical="center" wrapText="1" indent="1"/>
    </xf>
    <xf numFmtId="0" fontId="481" fillId="85" borderId="278" xfId="3448" applyNumberFormat="1" applyFont="1" applyFill="1" applyBorder="1" applyAlignment="1">
      <alignment horizontal="right" vertical="center" wrapText="1" indent="1"/>
    </xf>
    <xf numFmtId="0" fontId="481" fillId="85" borderId="274" xfId="3448" applyNumberFormat="1" applyFont="1" applyFill="1" applyBorder="1" applyAlignment="1">
      <alignment horizontal="right" vertical="center" wrapText="1" indent="1"/>
    </xf>
    <xf numFmtId="0" fontId="481" fillId="85" borderId="0" xfId="3448" applyNumberFormat="1" applyFont="1" applyFill="1" applyAlignment="1">
      <alignment horizontal="right" vertical="center" wrapText="1" indent="1"/>
    </xf>
    <xf numFmtId="0" fontId="484" fillId="0" borderId="0" xfId="3448" applyNumberFormat="1" applyFont="1" applyAlignment="1">
      <alignment vertical="center" wrapText="1"/>
    </xf>
    <xf numFmtId="0" fontId="481" fillId="85" borderId="275" xfId="3448" applyNumberFormat="1" applyFont="1" applyFill="1" applyBorder="1" applyAlignment="1">
      <alignment horizontal="right" vertical="center" wrapText="1" indent="1"/>
    </xf>
    <xf numFmtId="0" fontId="481" fillId="85" borderId="279" xfId="3448" applyNumberFormat="1" applyFont="1" applyFill="1" applyBorder="1" applyAlignment="1">
      <alignment horizontal="right" vertical="center" wrapText="1" indent="1"/>
    </xf>
    <xf numFmtId="0" fontId="481" fillId="85" borderId="280" xfId="3448" applyNumberFormat="1" applyFont="1" applyFill="1" applyBorder="1" applyAlignment="1">
      <alignment horizontal="right" vertical="center" wrapText="1" indent="1"/>
    </xf>
    <xf numFmtId="0" fontId="484" fillId="0" borderId="0" xfId="3448" applyNumberFormat="1" applyFont="1" applyAlignment="1">
      <alignment vertical="top" wrapText="1"/>
    </xf>
    <xf numFmtId="0" fontId="478" fillId="0" borderId="0" xfId="3448" applyNumberFormat="1" applyFont="1" applyAlignment="1">
      <alignment horizontal="left" vertical="center" wrapText="1"/>
    </xf>
    <xf numFmtId="0" fontId="478" fillId="0" borderId="0" xfId="3448" applyNumberFormat="1" applyFont="1" applyAlignment="1">
      <alignment vertical="center"/>
    </xf>
    <xf numFmtId="0" fontId="481" fillId="84" borderId="273" xfId="3448" applyNumberFormat="1" applyFont="1" applyFill="1" applyBorder="1" applyAlignment="1">
      <alignment horizontal="center" vertical="center" wrapText="1"/>
    </xf>
    <xf numFmtId="0" fontId="484" fillId="0" borderId="274" xfId="3448" applyNumberFormat="1" applyFont="1" applyBorder="1" applyAlignment="1">
      <alignment vertical="center" wrapText="1"/>
    </xf>
    <xf numFmtId="0" fontId="484" fillId="0" borderId="274" xfId="3448" applyNumberFormat="1" applyFont="1" applyBorder="1" applyAlignment="1">
      <alignment horizontal="left" vertical="center" wrapText="1"/>
    </xf>
    <xf numFmtId="0" fontId="484" fillId="0" borderId="0" xfId="3448" applyNumberFormat="1" applyFont="1" applyAlignment="1">
      <alignment horizontal="left" vertical="center" wrapText="1"/>
    </xf>
    <xf numFmtId="0" fontId="478" fillId="0" borderId="283" xfId="3448" applyNumberFormat="1" applyFont="1" applyBorder="1" applyAlignment="1">
      <alignment horizontal="left" vertical="top" wrapText="1" indent="1"/>
    </xf>
    <xf numFmtId="0" fontId="478" fillId="0" borderId="284" xfId="3448" applyNumberFormat="1" applyFont="1" applyBorder="1" applyAlignment="1">
      <alignment horizontal="left" vertical="top" wrapText="1" indent="1"/>
    </xf>
    <xf numFmtId="0" fontId="478" fillId="0" borderId="285" xfId="3448" applyNumberFormat="1" applyFont="1" applyBorder="1" applyAlignment="1">
      <alignment horizontal="left" vertical="top" wrapText="1" indent="1"/>
    </xf>
    <xf numFmtId="0" fontId="493" fillId="90" borderId="0" xfId="3448" applyNumberFormat="1" applyFont="1" applyFill="1" applyAlignment="1">
      <alignment horizontal="right" vertical="center" wrapText="1" indent="1"/>
    </xf>
    <xf numFmtId="0" fontId="478" fillId="90" borderId="0" xfId="3448" applyNumberFormat="1" applyFont="1" applyFill="1" applyAlignment="1">
      <alignment horizontal="right" vertical="center" wrapText="1" indent="1"/>
    </xf>
    <xf numFmtId="0" fontId="481" fillId="90" borderId="282" xfId="3448" applyNumberFormat="1" applyFont="1" applyFill="1" applyBorder="1" applyAlignment="1">
      <alignment horizontal="left" vertical="center" indent="5"/>
    </xf>
    <xf numFmtId="0" fontId="478" fillId="0" borderId="283" xfId="3448" applyNumberFormat="1" applyFont="1" applyBorder="1" applyAlignment="1">
      <alignment horizontal="left" vertical="center" wrapText="1" indent="1"/>
    </xf>
    <xf numFmtId="0" fontId="478" fillId="0" borderId="284" xfId="3448" applyNumberFormat="1" applyFont="1" applyBorder="1" applyAlignment="1">
      <alignment horizontal="left" vertical="center" wrapText="1" indent="1"/>
    </xf>
    <xf numFmtId="0" fontId="478" fillId="0" borderId="285" xfId="3448" applyNumberFormat="1" applyFont="1" applyBorder="1" applyAlignment="1">
      <alignment horizontal="left" vertical="center" wrapText="1" indent="1"/>
    </xf>
    <xf numFmtId="0" fontId="486" fillId="0" borderId="273" xfId="3448" applyNumberFormat="1" applyFont="1" applyBorder="1" applyAlignment="1">
      <alignment horizontal="right" vertical="center" indent="1"/>
    </xf>
    <xf numFmtId="0" fontId="494" fillId="0" borderId="0" xfId="3448" applyNumberFormat="1" applyFont="1" applyAlignment="1">
      <alignment horizontal="center" vertical="center" wrapText="1"/>
    </xf>
    <xf numFmtId="0" fontId="495" fillId="0" borderId="0" xfId="3448" applyNumberFormat="1" applyFont="1" applyAlignment="1">
      <alignment horizontal="left" vertical="center" wrapText="1"/>
    </xf>
    <xf numFmtId="49" fontId="497" fillId="0" borderId="273" xfId="3450" applyNumberFormat="1" applyFont="1" applyBorder="1" applyAlignment="1">
      <alignment horizontal="center" vertical="center" wrapText="1"/>
    </xf>
    <xf numFmtId="49" fontId="497" fillId="92" borderId="273" xfId="3450" applyNumberFormat="1" applyFont="1" applyFill="1" applyBorder="1" applyAlignment="1">
      <alignment horizontal="center" vertical="center" wrapText="1"/>
    </xf>
    <xf numFmtId="49" fontId="497" fillId="0" borderId="288" xfId="3450" applyNumberFormat="1" applyFont="1" applyBorder="1" applyAlignment="1">
      <alignment horizontal="center" vertical="center" wrapText="1"/>
    </xf>
    <xf numFmtId="49" fontId="497" fillId="0" borderId="273" xfId="3450" applyNumberFormat="1" applyFont="1" applyBorder="1" applyAlignment="1">
      <alignment horizontal="center" vertical="center"/>
    </xf>
    <xf numFmtId="0" fontId="497" fillId="0" borderId="273" xfId="3448" applyNumberFormat="1" applyFont="1" applyBorder="1" applyAlignment="1">
      <alignment horizontal="center" vertical="center"/>
    </xf>
    <xf numFmtId="0" fontId="497" fillId="0" borderId="285" xfId="3448" applyNumberFormat="1" applyFont="1" applyBorder="1" applyAlignment="1">
      <alignment horizontal="center" vertical="center"/>
    </xf>
    <xf numFmtId="49" fontId="497" fillId="0" borderId="283" xfId="3450" applyNumberFormat="1" applyFont="1" applyBorder="1" applyAlignment="1">
      <alignment horizontal="center" vertical="center" wrapText="1"/>
    </xf>
    <xf numFmtId="49" fontId="497" fillId="0" borderId="285" xfId="3450" applyNumberFormat="1" applyFont="1" applyBorder="1" applyAlignment="1">
      <alignment horizontal="center" vertical="center" wrapText="1"/>
    </xf>
    <xf numFmtId="49" fontId="497" fillId="0" borderId="282" xfId="3450" applyNumberFormat="1" applyFont="1" applyBorder="1" applyAlignment="1">
      <alignment horizontal="center" vertical="center" wrapText="1"/>
    </xf>
    <xf numFmtId="49" fontId="497" fillId="0" borderId="289" xfId="3450" applyNumberFormat="1" applyFont="1" applyBorder="1" applyAlignment="1">
      <alignment horizontal="center" vertical="center" wrapText="1"/>
    </xf>
    <xf numFmtId="0" fontId="497" fillId="0" borderId="273" xfId="3448" applyNumberFormat="1" applyFont="1" applyBorder="1" applyAlignment="1">
      <alignment horizontal="center" vertical="center" wrapText="1"/>
    </xf>
    <xf numFmtId="0" fontId="497" fillId="0" borderId="283" xfId="3448" applyNumberFormat="1" applyFont="1" applyBorder="1" applyAlignment="1">
      <alignment horizontal="center" vertical="center" wrapText="1"/>
    </xf>
    <xf numFmtId="0" fontId="497" fillId="0" borderId="284" xfId="3448" applyNumberFormat="1" applyFont="1" applyBorder="1" applyAlignment="1">
      <alignment horizontal="center" vertical="center" wrapText="1"/>
    </xf>
    <xf numFmtId="0" fontId="497" fillId="0" borderId="285" xfId="3448" applyNumberFormat="1" applyFont="1" applyBorder="1" applyAlignment="1">
      <alignment horizontal="center" vertical="center" wrapText="1"/>
    </xf>
    <xf numFmtId="0" fontId="359" fillId="0" borderId="0" xfId="3452" applyFont="1" applyAlignment="1">
      <alignment horizontal="left" vertical="center"/>
    </xf>
    <xf numFmtId="0" fontId="177" fillId="0" borderId="238" xfId="3452" applyNumberFormat="1" applyFont="1" applyFill="1" applyBorder="1" applyAlignment="1">
      <alignment horizontal="right" vertical="top" wrapText="1"/>
    </xf>
    <xf numFmtId="0" fontId="177" fillId="0" borderId="238" xfId="3452" applyNumberFormat="1" applyFont="1" applyFill="1" applyBorder="1" applyAlignment="1">
      <alignment horizontal="left" vertical="top" wrapText="1"/>
    </xf>
    <xf numFmtId="0" fontId="174" fillId="0" borderId="238" xfId="3452" applyNumberFormat="1" applyFont="1" applyFill="1" applyBorder="1" applyAlignment="1">
      <alignment horizontal="right" vertical="center" wrapText="1"/>
    </xf>
    <xf numFmtId="0" fontId="177" fillId="0" borderId="238" xfId="3452" applyFont="1" applyFill="1" applyBorder="1" applyAlignment="1">
      <alignment horizontal="right" vertical="top"/>
    </xf>
    <xf numFmtId="0" fontId="174" fillId="0" borderId="238" xfId="3452" applyNumberFormat="1" applyFont="1" applyFill="1" applyBorder="1" applyAlignment="1">
      <alignment horizontal="left" vertical="top" wrapText="1"/>
    </xf>
    <xf numFmtId="0" fontId="174" fillId="0" borderId="238" xfId="3452" applyNumberFormat="1" applyFont="1" applyBorder="1" applyAlignment="1">
      <alignment horizontal="right" vertical="center" wrapText="1"/>
    </xf>
    <xf numFmtId="0" fontId="177" fillId="0" borderId="238" xfId="3452" applyNumberFormat="1" applyFont="1" applyBorder="1" applyAlignment="1">
      <alignment horizontal="left" vertical="top" wrapText="1"/>
    </xf>
    <xf numFmtId="0" fontId="177" fillId="0" borderId="238" xfId="3452" applyFont="1" applyBorder="1" applyAlignment="1">
      <alignment horizontal="left" vertical="center"/>
    </xf>
    <xf numFmtId="0" fontId="177" fillId="0" borderId="295" xfId="3452" applyNumberFormat="1" applyFont="1" applyFill="1" applyBorder="1" applyAlignment="1">
      <alignment horizontal="right" vertical="top" wrapText="1"/>
    </xf>
    <xf numFmtId="0" fontId="177" fillId="0" borderId="43" xfId="3452" applyNumberFormat="1" applyFont="1" applyFill="1" applyBorder="1" applyAlignment="1">
      <alignment horizontal="right" vertical="top" wrapText="1"/>
    </xf>
    <xf numFmtId="0" fontId="177" fillId="0" borderId="85" xfId="3452" applyNumberFormat="1" applyFont="1" applyFill="1" applyBorder="1" applyAlignment="1">
      <alignment horizontal="right" vertical="top" wrapText="1"/>
    </xf>
    <xf numFmtId="0" fontId="177" fillId="0" borderId="238" xfId="3452" applyFont="1" applyBorder="1" applyAlignment="1">
      <alignment horizontal="right" vertical="top"/>
    </xf>
    <xf numFmtId="0" fontId="177" fillId="0" borderId="295" xfId="3452" applyNumberFormat="1" applyFont="1" applyBorder="1" applyAlignment="1">
      <alignment horizontal="right" vertical="top" wrapText="1"/>
    </xf>
    <xf numFmtId="0" fontId="177" fillId="0" borderId="43" xfId="3452" applyNumberFormat="1" applyFont="1" applyBorder="1" applyAlignment="1">
      <alignment horizontal="right" vertical="top" wrapText="1"/>
    </xf>
    <xf numFmtId="0" fontId="177" fillId="0" borderId="85" xfId="3452" applyNumberFormat="1" applyFont="1" applyBorder="1" applyAlignment="1">
      <alignment horizontal="right" vertical="top" wrapText="1"/>
    </xf>
    <xf numFmtId="0" fontId="186" fillId="0" borderId="0" xfId="3452" applyNumberFormat="1" applyFont="1" applyAlignment="1">
      <alignment horizontal="center" vertical="center"/>
    </xf>
    <xf numFmtId="0" fontId="174" fillId="0" borderId="0" xfId="3452" applyNumberFormat="1" applyFont="1" applyAlignment="1">
      <alignment horizontal="center" vertical="center"/>
    </xf>
    <xf numFmtId="0" fontId="177" fillId="0" borderId="238" xfId="3452" applyNumberFormat="1" applyFont="1" applyBorder="1" applyAlignment="1">
      <alignment horizontal="center" vertical="center" wrapText="1"/>
    </xf>
    <xf numFmtId="0" fontId="177" fillId="0" borderId="238" xfId="3452" applyNumberFormat="1" applyFont="1" applyBorder="1" applyAlignment="1">
      <alignment horizontal="right" vertical="top" wrapText="1"/>
    </xf>
    <xf numFmtId="0" fontId="101" fillId="0" borderId="0" xfId="1417" applyFont="1" applyAlignment="1">
      <alignment horizontal="left" vertical="top" wrapText="1"/>
    </xf>
    <xf numFmtId="0" fontId="109" fillId="57" borderId="147" xfId="1417" applyFont="1" applyFill="1" applyBorder="1" applyAlignment="1">
      <alignment horizontal="left" vertical="top"/>
    </xf>
    <xf numFmtId="0" fontId="109" fillId="57" borderId="134" xfId="1417" applyFont="1" applyFill="1" applyBorder="1" applyAlignment="1">
      <alignment horizontal="left" vertical="top"/>
    </xf>
    <xf numFmtId="0" fontId="109" fillId="57" borderId="124" xfId="1417" applyFont="1" applyFill="1" applyBorder="1" applyAlignment="1">
      <alignment horizontal="left" vertical="top"/>
    </xf>
    <xf numFmtId="0" fontId="101" fillId="57" borderId="147" xfId="1417" applyFont="1" applyFill="1" applyBorder="1" applyAlignment="1">
      <alignment horizontal="left" vertical="top"/>
    </xf>
    <xf numFmtId="0" fontId="101" fillId="57" borderId="125" xfId="1417" applyFont="1" applyFill="1" applyBorder="1" applyAlignment="1">
      <alignment horizontal="left" vertical="top"/>
    </xf>
    <xf numFmtId="0" fontId="101" fillId="57" borderId="146" xfId="1417" applyFont="1" applyFill="1" applyBorder="1" applyAlignment="1">
      <alignment horizontal="left" vertical="top"/>
    </xf>
    <xf numFmtId="0" fontId="101" fillId="57" borderId="37" xfId="1417" applyFont="1" applyFill="1" applyBorder="1" applyAlignment="1">
      <alignment horizontal="left" vertical="top"/>
    </xf>
    <xf numFmtId="0" fontId="101" fillId="57" borderId="0" xfId="1417" applyFont="1" applyFill="1" applyBorder="1" applyAlignment="1">
      <alignment horizontal="left" vertical="top"/>
    </xf>
    <xf numFmtId="0" fontId="101" fillId="57" borderId="88" xfId="1417" applyFont="1" applyFill="1" applyBorder="1" applyAlignment="1">
      <alignment horizontal="left" vertical="top"/>
    </xf>
    <xf numFmtId="0" fontId="100" fillId="57" borderId="137" xfId="1417" applyFont="1" applyFill="1" applyBorder="1" applyAlignment="1">
      <alignment horizontal="left" vertical="center" wrapText="1"/>
    </xf>
    <xf numFmtId="0" fontId="100" fillId="57" borderId="76" xfId="1417" applyFont="1" applyFill="1" applyBorder="1" applyAlignment="1">
      <alignment horizontal="left" vertical="center" wrapText="1"/>
    </xf>
    <xf numFmtId="0" fontId="100" fillId="57" borderId="267" xfId="1417" applyFont="1" applyFill="1" applyBorder="1" applyAlignment="1">
      <alignment horizontal="left" vertical="center"/>
    </xf>
    <xf numFmtId="0" fontId="100" fillId="57" borderId="269" xfId="1417" applyFont="1" applyFill="1" applyBorder="1" applyAlignment="1">
      <alignment horizontal="left" vertical="center"/>
    </xf>
    <xf numFmtId="0" fontId="101" fillId="57" borderId="134" xfId="1417" applyFont="1" applyFill="1" applyBorder="1" applyAlignment="1">
      <alignment horizontal="left" vertical="top"/>
    </xf>
    <xf numFmtId="0" fontId="109" fillId="57" borderId="0" xfId="1417" applyFont="1" applyFill="1" applyBorder="1" applyAlignment="1">
      <alignment horizontal="left" vertical="top" wrapText="1"/>
    </xf>
    <xf numFmtId="0" fontId="109" fillId="57" borderId="15" xfId="1417" applyFont="1" applyFill="1" applyBorder="1" applyAlignment="1">
      <alignment horizontal="left" vertical="top" wrapText="1"/>
    </xf>
    <xf numFmtId="0" fontId="109" fillId="57" borderId="137" xfId="1417" applyFont="1" applyFill="1" applyBorder="1" applyAlignment="1">
      <alignment horizontal="left" vertical="top" wrapText="1"/>
    </xf>
    <xf numFmtId="0" fontId="109" fillId="57" borderId="134" xfId="1417" applyFont="1" applyFill="1" applyBorder="1" applyAlignment="1">
      <alignment horizontal="left" vertical="top" wrapText="1"/>
    </xf>
    <xf numFmtId="0" fontId="109" fillId="57" borderId="139" xfId="1417" applyFont="1" applyFill="1" applyBorder="1" applyAlignment="1">
      <alignment horizontal="left" vertical="top" wrapText="1"/>
    </xf>
    <xf numFmtId="0" fontId="109" fillId="57" borderId="37" xfId="1417" applyFont="1" applyFill="1" applyBorder="1" applyAlignment="1">
      <alignment horizontal="left" vertical="center" wrapText="1"/>
    </xf>
    <xf numFmtId="0" fontId="109" fillId="57" borderId="15" xfId="1417" applyFont="1" applyFill="1" applyBorder="1" applyAlignment="1">
      <alignment horizontal="left" vertical="center" wrapText="1"/>
    </xf>
    <xf numFmtId="0" fontId="109" fillId="57" borderId="25" xfId="1417" applyFont="1" applyFill="1" applyBorder="1" applyAlignment="1">
      <alignment horizontal="left" vertical="center" wrapText="1"/>
    </xf>
    <xf numFmtId="0" fontId="109" fillId="57" borderId="136" xfId="1417" applyFont="1" applyFill="1" applyBorder="1" applyAlignment="1">
      <alignment horizontal="left" vertical="center" wrapText="1"/>
    </xf>
    <xf numFmtId="0" fontId="102" fillId="57" borderId="23" xfId="1417" applyFont="1" applyFill="1" applyBorder="1" applyAlignment="1">
      <alignment horizontal="left" vertical="top"/>
    </xf>
    <xf numFmtId="0" fontId="102" fillId="57" borderId="24" xfId="1417" applyFont="1" applyFill="1" applyBorder="1" applyAlignment="1">
      <alignment horizontal="left" vertical="top"/>
    </xf>
    <xf numFmtId="0" fontId="102" fillId="57" borderId="142" xfId="1417" applyFont="1" applyFill="1" applyBorder="1" applyAlignment="1">
      <alignment horizontal="left" vertical="top"/>
    </xf>
    <xf numFmtId="0" fontId="109" fillId="57" borderId="37" xfId="1417" applyFont="1" applyFill="1" applyBorder="1" applyAlignment="1">
      <alignment horizontal="left" vertical="top" wrapText="1"/>
    </xf>
    <xf numFmtId="0" fontId="101" fillId="57" borderId="126" xfId="1417" applyFont="1" applyFill="1" applyBorder="1" applyAlignment="1">
      <alignment horizontal="left" vertical="top"/>
    </xf>
    <xf numFmtId="0" fontId="68" fillId="57" borderId="23" xfId="1417" applyFont="1" applyFill="1" applyBorder="1" applyAlignment="1">
      <alignment horizontal="left" vertical="top" wrapText="1"/>
    </xf>
    <xf numFmtId="0" fontId="68" fillId="57" borderId="24" xfId="1417" applyFont="1" applyFill="1" applyBorder="1" applyAlignment="1">
      <alignment horizontal="left" vertical="top" wrapText="1"/>
    </xf>
    <xf numFmtId="0" fontId="68" fillId="57" borderId="142" xfId="1417" applyFont="1" applyFill="1" applyBorder="1" applyAlignment="1">
      <alignment horizontal="left" vertical="top" wrapText="1"/>
    </xf>
    <xf numFmtId="0" fontId="102" fillId="57" borderId="23" xfId="1417" applyFont="1" applyFill="1" applyBorder="1" applyAlignment="1">
      <alignment horizontal="center" vertical="top" wrapText="1"/>
    </xf>
    <xf numFmtId="0" fontId="102" fillId="57" borderId="24" xfId="1417" applyFont="1" applyFill="1" applyBorder="1" applyAlignment="1">
      <alignment horizontal="center" vertical="top" wrapText="1"/>
    </xf>
    <xf numFmtId="0" fontId="102" fillId="57" borderId="142" xfId="1417" applyFont="1" applyFill="1" applyBorder="1" applyAlignment="1">
      <alignment horizontal="center" vertical="top" wrapText="1"/>
    </xf>
    <xf numFmtId="0" fontId="101" fillId="57" borderId="0" xfId="1417" applyFont="1" applyFill="1" applyBorder="1" applyAlignment="1">
      <alignment horizontal="left" vertical="top" wrapText="1"/>
    </xf>
    <xf numFmtId="0" fontId="101" fillId="57" borderId="15" xfId="1417" applyFont="1" applyFill="1" applyBorder="1" applyAlignment="1">
      <alignment horizontal="left" vertical="top" wrapText="1"/>
    </xf>
    <xf numFmtId="0" fontId="109" fillId="57" borderId="25" xfId="1417" applyFont="1" applyFill="1" applyBorder="1" applyAlignment="1">
      <alignment horizontal="left" vertical="top" wrapText="1"/>
    </xf>
    <xf numFmtId="0" fontId="109" fillId="57" borderId="24" xfId="1417" applyFont="1" applyFill="1" applyBorder="1" applyAlignment="1">
      <alignment horizontal="left" vertical="top" wrapText="1"/>
    </xf>
    <xf numFmtId="0" fontId="0" fillId="0" borderId="0" xfId="1417" applyFont="1" applyAlignment="1">
      <alignment horizontal="left"/>
    </xf>
    <xf numFmtId="0" fontId="102" fillId="0" borderId="0" xfId="1417" applyFont="1" applyFill="1" applyAlignment="1">
      <alignment horizontal="center" vertical="top"/>
    </xf>
    <xf numFmtId="0" fontId="102" fillId="0" borderId="0" xfId="1417" applyFont="1" applyFill="1" applyAlignment="1">
      <alignment horizontal="center" vertical="top" wrapText="1"/>
    </xf>
    <xf numFmtId="0" fontId="72" fillId="0" borderId="0" xfId="1417" applyFont="1" applyAlignment="1">
      <alignment horizontal="left" vertical="center" wrapText="1"/>
    </xf>
    <xf numFmtId="0" fontId="7" fillId="0" borderId="0" xfId="1417" applyAlignment="1">
      <alignment horizontal="left" vertical="center" wrapText="1"/>
    </xf>
    <xf numFmtId="0" fontId="0" fillId="0" borderId="0" xfId="1417" applyFont="1" applyAlignment="1">
      <alignment vertical="center" wrapText="1"/>
    </xf>
    <xf numFmtId="0" fontId="7" fillId="0" borderId="0" xfId="1417" applyAlignment="1">
      <alignment wrapText="1"/>
    </xf>
    <xf numFmtId="0" fontId="0" fillId="0" borderId="0" xfId="1417" applyFont="1" applyAlignment="1">
      <alignment horizontal="left" vertical="center" wrapText="1"/>
    </xf>
    <xf numFmtId="0" fontId="102" fillId="0" borderId="23" xfId="1417" applyFont="1" applyFill="1" applyBorder="1" applyAlignment="1">
      <alignment horizontal="center" vertical="top"/>
    </xf>
    <xf numFmtId="0" fontId="102" fillId="0" borderId="24" xfId="1417" applyFont="1" applyFill="1" applyBorder="1" applyAlignment="1">
      <alignment horizontal="center" vertical="top"/>
    </xf>
    <xf numFmtId="0" fontId="102" fillId="0" borderId="142" xfId="1417" applyFont="1" applyFill="1" applyBorder="1" applyAlignment="1">
      <alignment horizontal="center" vertical="top"/>
    </xf>
    <xf numFmtId="0" fontId="109" fillId="0" borderId="37" xfId="1417" applyFont="1" applyFill="1" applyBorder="1" applyAlignment="1">
      <alignment horizontal="left" vertical="top" wrapText="1"/>
    </xf>
    <xf numFmtId="0" fontId="109" fillId="0" borderId="15" xfId="1417" applyFont="1" applyFill="1" applyBorder="1" applyAlignment="1">
      <alignment horizontal="left" vertical="top" wrapText="1"/>
    </xf>
    <xf numFmtId="0" fontId="109" fillId="0" borderId="147" xfId="1417" applyFont="1" applyFill="1" applyBorder="1" applyAlignment="1">
      <alignment horizontal="left" vertical="top"/>
    </xf>
    <xf numFmtId="0" fontId="101" fillId="0" borderId="126" xfId="1417" applyFont="1" applyFill="1" applyBorder="1" applyAlignment="1">
      <alignment horizontal="left" vertical="top"/>
    </xf>
    <xf numFmtId="0" fontId="109" fillId="0" borderId="37" xfId="1417" applyFont="1" applyFill="1" applyBorder="1" applyAlignment="1">
      <alignment horizontal="left" vertical="top"/>
    </xf>
    <xf numFmtId="0" fontId="101" fillId="0" borderId="55" xfId="1417" applyFont="1" applyFill="1" applyBorder="1" applyAlignment="1">
      <alignment horizontal="left" vertical="top"/>
    </xf>
    <xf numFmtId="0" fontId="101" fillId="0" borderId="134" xfId="1417" applyFont="1" applyFill="1" applyBorder="1" applyAlignment="1">
      <alignment horizontal="left" vertical="top"/>
    </xf>
    <xf numFmtId="0" fontId="101" fillId="95" borderId="147" xfId="1417" applyFont="1" applyFill="1" applyBorder="1" applyAlignment="1">
      <alignment horizontal="left" vertical="top"/>
    </xf>
    <xf numFmtId="0" fontId="101" fillId="95" borderId="125" xfId="1417" applyFont="1" applyFill="1" applyBorder="1" applyAlignment="1">
      <alignment horizontal="left" vertical="top"/>
    </xf>
    <xf numFmtId="0" fontId="101" fillId="95" borderId="146" xfId="1417" applyFont="1" applyFill="1" applyBorder="1" applyAlignment="1">
      <alignment horizontal="left" vertical="top"/>
    </xf>
    <xf numFmtId="49" fontId="101" fillId="0" borderId="273" xfId="1110" applyNumberFormat="1" applyFont="1" applyBorder="1" applyAlignment="1">
      <alignment horizontal="center" vertical="center" wrapText="1"/>
    </xf>
    <xf numFmtId="49" fontId="101" fillId="0" borderId="285" xfId="1110" applyNumberFormat="1" applyFont="1" applyBorder="1" applyAlignment="1">
      <alignment horizontal="center" vertical="center" wrapText="1"/>
    </xf>
    <xf numFmtId="49" fontId="101" fillId="0" borderId="288" xfId="1110" applyNumberFormat="1" applyFont="1" applyBorder="1" applyAlignment="1">
      <alignment horizontal="center" vertical="center" wrapText="1"/>
    </xf>
  </cellXfs>
  <cellStyles count="3457">
    <cellStyle name="_x0004_" xfId="1431"/>
    <cellStyle name="_x0004__x0004_" xfId="1432"/>
    <cellStyle name=" 1" xfId="1"/>
    <cellStyle name=" 1 2" xfId="3197"/>
    <cellStyle name="_x0004__x0004_ 10" xfId="3198"/>
    <cellStyle name="_x0004__x0004_ 11" xfId="3199"/>
    <cellStyle name="_x0004__x0004_ 12" xfId="3200"/>
    <cellStyle name="_x0004__x0004_ 13" xfId="3201"/>
    <cellStyle name="_x0004__x0004_ 14" xfId="3202"/>
    <cellStyle name="_x0004__x0004_ 15" xfId="3203"/>
    <cellStyle name="_x0004__x0004_ 16" xfId="3204"/>
    <cellStyle name="_x0004__x0004_ 17" xfId="3205"/>
    <cellStyle name="_x0004__x0004_ 18" xfId="3206"/>
    <cellStyle name="_x0004__x0004_ 19" xfId="3207"/>
    <cellStyle name="_x0004_ 2" xfId="3208"/>
    <cellStyle name="_x0004__x0004_ 2" xfId="3209"/>
    <cellStyle name="_x0004__x0004_ 20" xfId="3210"/>
    <cellStyle name="_x0004__x0004_ 21" xfId="3211"/>
    <cellStyle name="_x0004__x0004_ 22" xfId="3212"/>
    <cellStyle name="_x0004__x0004_ 23" xfId="3213"/>
    <cellStyle name="_x0004__x0004_ 24" xfId="3214"/>
    <cellStyle name="_x0004__x0004_ 25" xfId="3215"/>
    <cellStyle name="_x0004__x0004_ 26" xfId="3216"/>
    <cellStyle name="_x0004__x0004_ 27" xfId="3217"/>
    <cellStyle name="_x0004__x0004_ 28" xfId="3218"/>
    <cellStyle name="_x0004__x0004_ 29" xfId="3219"/>
    <cellStyle name="_x0004_ 3" xfId="3220"/>
    <cellStyle name="_x0004__x0004_ 3" xfId="3221"/>
    <cellStyle name="_x0004__x0004_ 30" xfId="3222"/>
    <cellStyle name="_x0004__x0004_ 31" xfId="3223"/>
    <cellStyle name="_x0004__x0004_ 32" xfId="3224"/>
    <cellStyle name="_x0004__x0004_ 33" xfId="3225"/>
    <cellStyle name="_x0004__x0004_ 34" xfId="3226"/>
    <cellStyle name="_x0004__x0004_ 35" xfId="3227"/>
    <cellStyle name="_x0004__x0004_ 36" xfId="3228"/>
    <cellStyle name="_x0004_ 4" xfId="3229"/>
    <cellStyle name="_x0004__x0004_ 4" xfId="3230"/>
    <cellStyle name="_x0004_ 5" xfId="3231"/>
    <cellStyle name="_x0004__x0004_ 5" xfId="3232"/>
    <cellStyle name="_x0004__x0004_ 6" xfId="3233"/>
    <cellStyle name="_x0004__x0004_ 7" xfId="3234"/>
    <cellStyle name="_x0004__x0004_ 8" xfId="3235"/>
    <cellStyle name="_x0004__x0004_ 9" xfId="3236"/>
    <cellStyle name="%" xfId="2"/>
    <cellStyle name="%_Inputs" xfId="3"/>
    <cellStyle name="%_Inputs (const)" xfId="4"/>
    <cellStyle name="%_Inputs Co" xfId="5"/>
    <cellStyle name="?" xfId="2188"/>
    <cellStyle name="? 2" xfId="2189"/>
    <cellStyle name="? 3" xfId="2190"/>
    <cellStyle name="? 4" xfId="3237"/>
    <cellStyle name="? 5" xfId="3238"/>
    <cellStyle name="? 6" xfId="3239"/>
    <cellStyle name="_x0004__x0004_???????????" xfId="3240"/>
    <cellStyle name="?_РАСЧЕТЫ ПО ОПЛАТЕ 2010" xfId="3241"/>
    <cellStyle name="?_РАСЧЕТЫ ПО ОПЛАТЕ 2010_1" xfId="3242"/>
    <cellStyle name="?…‹?ђO‚e [0.00]_laroux" xfId="1433"/>
    <cellStyle name="?…‹?ђO‚e_laroux" xfId="1434"/>
    <cellStyle name="]_x000d__x000a_Zoomed=1_x000d__x000a_Row=0_x000d__x000a_Column=0_x000d__x000a_Height=0_x000d__x000a_Width=0_x000d__x000a_FontName=FoxFont_x000d__x000a_FontStyle=0_x000d__x000a_FontSize=9_x000d__x000a_PrtFontName=FoxPrin" xfId="1435"/>
    <cellStyle name="____Исполнение Бюджета НВ филиала май к отправке" xfId="1436"/>
    <cellStyle name="____Отчёт НВ филиала апрель2003" xfId="1437"/>
    <cellStyle name="____Отчёт НВ филиала июнь 2003" xfId="1438"/>
    <cellStyle name="_~3185235" xfId="1439"/>
    <cellStyle name="_~7107767" xfId="1440"/>
    <cellStyle name="_~7107767_прил 2 (2008)" xfId="1441"/>
    <cellStyle name="_10 мес.факт" xfId="1442"/>
    <cellStyle name="_2004 исправ ФОТ" xfId="1443"/>
    <cellStyle name="_2004 исправ.10.38xls" xfId="1444"/>
    <cellStyle name="_2004.08.09п  Производственная программа информатизации и связи на 2004 - 2009 г.г." xfId="1445"/>
    <cellStyle name="_46EE- я Peredacha" xfId="6"/>
    <cellStyle name="_46EE.032011" xfId="7"/>
    <cellStyle name="_46EE-нерег. тариф" xfId="8"/>
    <cellStyle name="_46EE-покупка" xfId="9"/>
    <cellStyle name="_46EE-продажа" xfId="10"/>
    <cellStyle name="_46EE-рег. я тариф" xfId="11"/>
    <cellStyle name="_5-year Plan (2006-2010) Assumptions v06.05.05_12мая" xfId="1446"/>
    <cellStyle name="_9мес.факт" xfId="1447"/>
    <cellStyle name="_Compensation analysis format" xfId="1448"/>
    <cellStyle name="_Cost forms - presentation2" xfId="1449"/>
    <cellStyle name="_Downstream_Refining_Ryazan_2006_GFOZero" xfId="1450"/>
    <cellStyle name="_FFF" xfId="1451"/>
    <cellStyle name="_FFF_Capex-new" xfId="1452"/>
    <cellStyle name="_FFF_Financial Plan - final_2" xfId="1453"/>
    <cellStyle name="_FFF_Form 01(MB)" xfId="1454"/>
    <cellStyle name="_FFF_Links_NK" xfId="1455"/>
    <cellStyle name="_FFF_N20_5" xfId="1456"/>
    <cellStyle name="_FFF_N20_6" xfId="1457"/>
    <cellStyle name="_FFF_New Form10_2" xfId="1458"/>
    <cellStyle name="_FFF_Nsi" xfId="1459"/>
    <cellStyle name="_FFF_Nsi - last version" xfId="1460"/>
    <cellStyle name="_FFF_Nsi - last version for programming" xfId="1461"/>
    <cellStyle name="_FFF_Nsi - next_last version" xfId="1462"/>
    <cellStyle name="_FFF_Nsi - plan - final" xfId="1463"/>
    <cellStyle name="_FFF_Nsi -super_ last version" xfId="1464"/>
    <cellStyle name="_FFF_Nsi(2)" xfId="1465"/>
    <cellStyle name="_FFF_Nsi_1" xfId="1466"/>
    <cellStyle name="_FFF_Nsi_139" xfId="1467"/>
    <cellStyle name="_FFF_Nsi_140" xfId="1468"/>
    <cellStyle name="_FFF_Nsi_140(Зах)" xfId="1469"/>
    <cellStyle name="_FFF_Nsi_140_mod" xfId="1470"/>
    <cellStyle name="_FFF_Nsi_158" xfId="1471"/>
    <cellStyle name="_FFF_Nsi_Express" xfId="1472"/>
    <cellStyle name="_FFF_Nsi_Jan1" xfId="1473"/>
    <cellStyle name="_FFF_Nsi_test" xfId="1474"/>
    <cellStyle name="_FFF_Nsi2" xfId="1475"/>
    <cellStyle name="_FFF_Nsi-Services" xfId="1476"/>
    <cellStyle name="_FFF_P&amp;L" xfId="1477"/>
    <cellStyle name="_FFF_S0400" xfId="1478"/>
    <cellStyle name="_FFF_S13001" xfId="1479"/>
    <cellStyle name="_FFF_Sheet1" xfId="1480"/>
    <cellStyle name="_FFF_sofi - plan_AP270202ii" xfId="1481"/>
    <cellStyle name="_FFF_sofi - plan_AP270202iii" xfId="1482"/>
    <cellStyle name="_FFF_sofi - plan_AP270202iv" xfId="1483"/>
    <cellStyle name="_FFF_Sofi vs Sobi" xfId="1484"/>
    <cellStyle name="_FFF_Sofi_PBD 27-11-01" xfId="1485"/>
    <cellStyle name="_FFF_SOFI_TEPs_AOK_130902" xfId="1486"/>
    <cellStyle name="_FFF_Sofi145a" xfId="1487"/>
    <cellStyle name="_FFF_Sofi153" xfId="1488"/>
    <cellStyle name="_FFF_Summary" xfId="1489"/>
    <cellStyle name="_FFF_SXXXX_Express_c Links" xfId="1490"/>
    <cellStyle name="_FFF_Tax_form_1кв_3" xfId="1491"/>
    <cellStyle name="_FFF_test_11" xfId="1492"/>
    <cellStyle name="_FFF_БКЭ" xfId="1493"/>
    <cellStyle name="_FFF_для вставки в пакет за 2001" xfId="1494"/>
    <cellStyle name="_FFF_дляГалиныВ" xfId="1495"/>
    <cellStyle name="_FFF_Книга7" xfId="1496"/>
    <cellStyle name="_FFF_Лист1" xfId="1497"/>
    <cellStyle name="_FFF_ОСН. ДЕЯТ." xfId="1498"/>
    <cellStyle name="_FFF_Подразделения" xfId="1499"/>
    <cellStyle name="_FFF_Список тиражирования" xfId="1500"/>
    <cellStyle name="_FFF_Форма 12 last" xfId="1501"/>
    <cellStyle name="_Final_Book_010301" xfId="1502"/>
    <cellStyle name="_Final_Book_010301_Capex-new" xfId="1503"/>
    <cellStyle name="_Final_Book_010301_Financial Plan - final_2" xfId="1504"/>
    <cellStyle name="_Final_Book_010301_Form 01(MB)" xfId="1505"/>
    <cellStyle name="_Final_Book_010301_Links_NK" xfId="1506"/>
    <cellStyle name="_Final_Book_010301_N20_5" xfId="1507"/>
    <cellStyle name="_Final_Book_010301_N20_6" xfId="1508"/>
    <cellStyle name="_Final_Book_010301_New Form10_2" xfId="1509"/>
    <cellStyle name="_Final_Book_010301_Nsi" xfId="1510"/>
    <cellStyle name="_Final_Book_010301_Nsi - last version" xfId="1511"/>
    <cellStyle name="_Final_Book_010301_Nsi - last version for programming" xfId="1512"/>
    <cellStyle name="_Final_Book_010301_Nsi - next_last version" xfId="1513"/>
    <cellStyle name="_Final_Book_010301_Nsi - plan - final" xfId="1514"/>
    <cellStyle name="_Final_Book_010301_Nsi -super_ last version" xfId="1515"/>
    <cellStyle name="_Final_Book_010301_Nsi(2)" xfId="1516"/>
    <cellStyle name="_Final_Book_010301_Nsi_1" xfId="1517"/>
    <cellStyle name="_Final_Book_010301_Nsi_139" xfId="1518"/>
    <cellStyle name="_Final_Book_010301_Nsi_140" xfId="1519"/>
    <cellStyle name="_Final_Book_010301_Nsi_140(Зах)" xfId="1520"/>
    <cellStyle name="_Final_Book_010301_Nsi_140_mod" xfId="1521"/>
    <cellStyle name="_Final_Book_010301_Nsi_158" xfId="1522"/>
    <cellStyle name="_Final_Book_010301_Nsi_Express" xfId="1523"/>
    <cellStyle name="_Final_Book_010301_Nsi_Jan1" xfId="1524"/>
    <cellStyle name="_Final_Book_010301_Nsi_test" xfId="1525"/>
    <cellStyle name="_Final_Book_010301_Nsi2" xfId="1526"/>
    <cellStyle name="_Final_Book_010301_Nsi-Services" xfId="1527"/>
    <cellStyle name="_Final_Book_010301_P&amp;L" xfId="1528"/>
    <cellStyle name="_Final_Book_010301_S0400" xfId="1529"/>
    <cellStyle name="_Final_Book_010301_S13001" xfId="1530"/>
    <cellStyle name="_Final_Book_010301_Sheet1" xfId="1531"/>
    <cellStyle name="_Final_Book_010301_sofi - plan_AP270202ii" xfId="1532"/>
    <cellStyle name="_Final_Book_010301_sofi - plan_AP270202iii" xfId="1533"/>
    <cellStyle name="_Final_Book_010301_sofi - plan_AP270202iv" xfId="1534"/>
    <cellStyle name="_Final_Book_010301_Sofi vs Sobi" xfId="1535"/>
    <cellStyle name="_Final_Book_010301_Sofi_PBD 27-11-01" xfId="1536"/>
    <cellStyle name="_Final_Book_010301_SOFI_TEPs_AOK_130902" xfId="1537"/>
    <cellStyle name="_Final_Book_010301_Sofi145a" xfId="1538"/>
    <cellStyle name="_Final_Book_010301_Sofi153" xfId="1539"/>
    <cellStyle name="_Final_Book_010301_Summary" xfId="1540"/>
    <cellStyle name="_Final_Book_010301_SXXXX_Express_c Links" xfId="1541"/>
    <cellStyle name="_Final_Book_010301_Tax_form_1кв_3" xfId="1542"/>
    <cellStyle name="_Final_Book_010301_test_11" xfId="1543"/>
    <cellStyle name="_Final_Book_010301_БКЭ" xfId="1544"/>
    <cellStyle name="_Final_Book_010301_для вставки в пакет за 2001" xfId="1545"/>
    <cellStyle name="_Final_Book_010301_дляГалиныВ" xfId="1546"/>
    <cellStyle name="_Final_Book_010301_Книга7" xfId="1547"/>
    <cellStyle name="_Final_Book_010301_Лист1" xfId="1548"/>
    <cellStyle name="_Final_Book_010301_ОСН. ДЕЯТ." xfId="1549"/>
    <cellStyle name="_Final_Book_010301_Подразделения" xfId="1550"/>
    <cellStyle name="_Final_Book_010301_Список тиражирования" xfId="1551"/>
    <cellStyle name="_Final_Book_010301_Форма 12 last" xfId="1552"/>
    <cellStyle name="_KPI-5" xfId="1553"/>
    <cellStyle name="_KPI-5_10 мес.факт" xfId="1554"/>
    <cellStyle name="_KPI-5_9мес.факт" xfId="1555"/>
    <cellStyle name="_KPI-5_Compensation analysis format" xfId="1556"/>
    <cellStyle name="_KPI-5_Downstream_Refining_Ryazan_2006_GFOZero" xfId="1557"/>
    <cellStyle name="_KPI-5_Form 01(MB)" xfId="1558"/>
    <cellStyle name="_KPI-5_Links_NK" xfId="1559"/>
    <cellStyle name="_KPI-5_Nsi" xfId="1560"/>
    <cellStyle name="_KPI-5_Nsi(2)" xfId="1561"/>
    <cellStyle name="_KPI-5_Nsi_158" xfId="1562"/>
    <cellStyle name="_KPI-5_Nsi_Express" xfId="1563"/>
    <cellStyle name="_KPI-5_Nsi_test" xfId="1564"/>
    <cellStyle name="_KPI-5_Nsi-Services" xfId="1565"/>
    <cellStyle name="_KPI-5_Ref_KPI" xfId="1566"/>
    <cellStyle name="_KPI-5_S0400" xfId="1567"/>
    <cellStyle name="_KPI-5_S13001" xfId="1568"/>
    <cellStyle name="_KPI-5_S17301" xfId="1569"/>
    <cellStyle name="_KPI-5_SOFI_TEPs_AOK_130902" xfId="1570"/>
    <cellStyle name="_KPI-5_SOFI_TEPs_AOK_130902_Dogovora" xfId="1571"/>
    <cellStyle name="_KPI-5_SOFI_TEPs_AOK_130902_S14206_Akt_sverki" xfId="1572"/>
    <cellStyle name="_KPI-5_SOFI_TEPs_AOK_130902_S14206_Akt_sverki_S11111_Akt_sverki" xfId="1573"/>
    <cellStyle name="_KPI-5_SOFI_TEPs_AOK_130902_S14206_Akt_sverki_Договора_Express_4m2003_new" xfId="1574"/>
    <cellStyle name="_KPI-5_SOFI_TEPs_AOK_130902_S15202_Akt_sverki" xfId="1575"/>
    <cellStyle name="_KPI-5_SOFI_TEPs_AOK_130902_S15202_Akt_sverki_S11111_Akt_sverki" xfId="1576"/>
    <cellStyle name="_KPI-5_SOFI_TEPs_AOK_130902_S15202_Akt_sverki_Договора_Express_4m2003_new" xfId="1577"/>
    <cellStyle name="_KPI-5_SOFI_TEPs_AOK_130902_Договора_Express_4m2003_new" xfId="1578"/>
    <cellStyle name="_KPI-5_SOFI_TEPs_AOK_130902_Книга1" xfId="1579"/>
    <cellStyle name="_KPI-5_Sofi145a" xfId="1580"/>
    <cellStyle name="_KPI-5_Sofi153" xfId="1581"/>
    <cellStyle name="_KPI-5_SXXXX_Express_c Links" xfId="1582"/>
    <cellStyle name="_KPI-5_test_11" xfId="1583"/>
    <cellStyle name="_KPI-5_баланс  " xfId="1584"/>
    <cellStyle name="_KPI-5_для вставки в пакет за 2001" xfId="1585"/>
    <cellStyle name="_KPI-5_дляГалиныВ" xfId="1586"/>
    <cellStyle name="_KPI-5_Затраты-ПЕРСОНАЛ-2007" xfId="1587"/>
    <cellStyle name="_KPI-5_Книга11" xfId="1588"/>
    <cellStyle name="_KPI-5_Лист1" xfId="1589"/>
    <cellStyle name="_KPI-5_ПЕРСОНАЛ-06.09.06" xfId="1590"/>
    <cellStyle name="_KPI-5_ПЕРСОНАЛ-22.08.06" xfId="1591"/>
    <cellStyle name="_KPI-5_Подразделения" xfId="1592"/>
    <cellStyle name="_KPI-5_СВОД-ЗАТРАТЫ-2007-авг18" xfId="1593"/>
    <cellStyle name="_KPI-5_Список тиражирования" xfId="1594"/>
    <cellStyle name="_KPI-5_Факторный анализ" xfId="1595"/>
    <cellStyle name="_KPI-5_Факторный анализ-ПЕРСОНАЛ" xfId="1596"/>
    <cellStyle name="_KPI-5_Факторный анализ-ПЕРСОНАЛ (5)" xfId="1597"/>
    <cellStyle name="_KPI-5_Форма 12 last" xfId="1598"/>
    <cellStyle name="_KPI-5_Формы на 2004_1 (бюджетн) " xfId="1599"/>
    <cellStyle name="_Model_RAB Мой" xfId="12"/>
    <cellStyle name="_Model_RAB Мой 2" xfId="3243"/>
    <cellStyle name="_Model_RAB Мой_46EE.2011(v1.0)" xfId="13"/>
    <cellStyle name="_Model_RAB Мой_BALANCE.WARM.2011YEAR.NEW.UPDATE.SCHEME" xfId="14"/>
    <cellStyle name="_Model_RAB Мой_NADB.JNVLS.APTEKA.2011(v1.3.3)" xfId="15"/>
    <cellStyle name="_Model_RAB Мой_NADB.JNVLS.APTEKA.2011(v1.3.4)" xfId="16"/>
    <cellStyle name="_Model_RAB Мой_PREDEL.JKH.UTV.2011(v1.0.1)" xfId="17"/>
    <cellStyle name="_Model_RAB Мой_UPDATE.46EE.2011.TO.1.1" xfId="18"/>
    <cellStyle name="_Model_RAB Мой_UPDATE.BALANCE.WARM.2011YEAR.TO.1.1" xfId="19"/>
    <cellStyle name="_Model_RAB_MRSK_svod" xfId="20"/>
    <cellStyle name="_Model_RAB_MRSK_svod 2" xfId="3244"/>
    <cellStyle name="_Model_RAB_MRSK_svod_46EE.2011(v1.0)" xfId="21"/>
    <cellStyle name="_Model_RAB_MRSK_svod_BALANCE.WARM.2011YEAR.NEW.UPDATE.SCHEME" xfId="22"/>
    <cellStyle name="_Model_RAB_MRSK_svod_NADB.JNVLS.APTEKA.2011(v1.3.3)" xfId="23"/>
    <cellStyle name="_Model_RAB_MRSK_svod_NADB.JNVLS.APTEKA.2011(v1.3.4)" xfId="24"/>
    <cellStyle name="_Model_RAB_MRSK_svod_PREDEL.JKH.UTV.2011(v1.0.1)" xfId="25"/>
    <cellStyle name="_Model_RAB_MRSK_svod_UPDATE.46EE.2011.TO.1.1" xfId="26"/>
    <cellStyle name="_Model_RAB_MRSK_svod_UPDATE.BALANCE.WARM.2011YEAR.TO.1.1" xfId="27"/>
    <cellStyle name="_New_Sofi" xfId="1600"/>
    <cellStyle name="_New_Sofi_Capex-new" xfId="1601"/>
    <cellStyle name="_New_Sofi_FFF" xfId="1602"/>
    <cellStyle name="_New_Sofi_Financial Plan - final_2" xfId="1603"/>
    <cellStyle name="_New_Sofi_Form 01(MB)" xfId="1604"/>
    <cellStyle name="_New_Sofi_Links_NK" xfId="1605"/>
    <cellStyle name="_New_Sofi_N20_5" xfId="1606"/>
    <cellStyle name="_New_Sofi_N20_6" xfId="1607"/>
    <cellStyle name="_New_Sofi_New Form10_2" xfId="1608"/>
    <cellStyle name="_New_Sofi_Nsi" xfId="1609"/>
    <cellStyle name="_New_Sofi_Nsi - last version" xfId="1610"/>
    <cellStyle name="_New_Sofi_Nsi - last version for programming" xfId="1611"/>
    <cellStyle name="_New_Sofi_Nsi - next_last version" xfId="1612"/>
    <cellStyle name="_New_Sofi_Nsi - plan - final" xfId="1613"/>
    <cellStyle name="_New_Sofi_Nsi -super_ last version" xfId="1614"/>
    <cellStyle name="_New_Sofi_Nsi(2)" xfId="1615"/>
    <cellStyle name="_New_Sofi_Nsi_1" xfId="1616"/>
    <cellStyle name="_New_Sofi_Nsi_139" xfId="1617"/>
    <cellStyle name="_New_Sofi_Nsi_140" xfId="1618"/>
    <cellStyle name="_New_Sofi_Nsi_140(Зах)" xfId="1619"/>
    <cellStyle name="_New_Sofi_Nsi_140_mod" xfId="1620"/>
    <cellStyle name="_New_Sofi_Nsi_158" xfId="1621"/>
    <cellStyle name="_New_Sofi_Nsi_Express" xfId="1622"/>
    <cellStyle name="_New_Sofi_Nsi_Jan1" xfId="1623"/>
    <cellStyle name="_New_Sofi_Nsi_test" xfId="1624"/>
    <cellStyle name="_New_Sofi_Nsi2" xfId="1625"/>
    <cellStyle name="_New_Sofi_Nsi-Services" xfId="1626"/>
    <cellStyle name="_New_Sofi_P&amp;L" xfId="1627"/>
    <cellStyle name="_New_Sofi_S0400" xfId="1628"/>
    <cellStyle name="_New_Sofi_S13001" xfId="1629"/>
    <cellStyle name="_New_Sofi_Sheet1" xfId="1630"/>
    <cellStyle name="_New_Sofi_sofi - plan_AP270202ii" xfId="1631"/>
    <cellStyle name="_New_Sofi_sofi - plan_AP270202iii" xfId="1632"/>
    <cellStyle name="_New_Sofi_sofi - plan_AP270202iv" xfId="1633"/>
    <cellStyle name="_New_Sofi_Sofi vs Sobi" xfId="1634"/>
    <cellStyle name="_New_Sofi_Sofi_PBD 27-11-01" xfId="1635"/>
    <cellStyle name="_New_Sofi_SOFI_TEPs_AOK_130902" xfId="1636"/>
    <cellStyle name="_New_Sofi_Sofi145a" xfId="1637"/>
    <cellStyle name="_New_Sofi_Sofi153" xfId="1638"/>
    <cellStyle name="_New_Sofi_Summary" xfId="1639"/>
    <cellStyle name="_New_Sofi_SXXXX_Express_c Links" xfId="1640"/>
    <cellStyle name="_New_Sofi_Tax_form_1кв_3" xfId="1641"/>
    <cellStyle name="_New_Sofi_test_11" xfId="1642"/>
    <cellStyle name="_New_Sofi_БКЭ" xfId="1643"/>
    <cellStyle name="_New_Sofi_для вставки в пакет за 2001" xfId="1644"/>
    <cellStyle name="_New_Sofi_дляГалиныВ" xfId="1645"/>
    <cellStyle name="_New_Sofi_Книга7" xfId="1646"/>
    <cellStyle name="_New_Sofi_Лист1" xfId="1647"/>
    <cellStyle name="_New_Sofi_ОСН. ДЕЯТ." xfId="1648"/>
    <cellStyle name="_New_Sofi_Подразделения" xfId="1649"/>
    <cellStyle name="_New_Sofi_Список тиражирования" xfId="1650"/>
    <cellStyle name="_New_Sofi_Форма 12 last" xfId="1651"/>
    <cellStyle name="_Nsi" xfId="1652"/>
    <cellStyle name="_x0004__x0004__OOONESKO_E_RDFinOblig-c_12_20120214" xfId="3245"/>
    <cellStyle name="_Prilozhenie_k_484-e_5" xfId="1653"/>
    <cellStyle name="_Ref_KPI" xfId="1654"/>
    <cellStyle name="_S0110" xfId="1655"/>
    <cellStyle name="_S0279" xfId="1656"/>
    <cellStyle name="_S11401+++" xfId="1657"/>
    <cellStyle name="_S17301" xfId="1658"/>
    <cellStyle name="_SMC" xfId="1659"/>
    <cellStyle name="_sobi_020807_blank_ds" xfId="1660"/>
    <cellStyle name="_sobi_rf_020715_blank" xfId="1661"/>
    <cellStyle name="_SOFI_TEPs_AOK_130902" xfId="1662"/>
    <cellStyle name="_SOFI_TEPs_AOK_130902_Dogovora" xfId="1663"/>
    <cellStyle name="_SOFI_TEPs_AOK_130902_S14206_Akt_sverki" xfId="1664"/>
    <cellStyle name="_SOFI_TEPs_AOK_130902_S14206_Akt_sverki_S11111_Akt_sverki" xfId="1665"/>
    <cellStyle name="_SOFI_TEPs_AOK_130902_S14206_Akt_sverki_Договора_Express_4m2003_new" xfId="1666"/>
    <cellStyle name="_SOFI_TEPs_AOK_130902_S15202_Akt_sverki" xfId="1667"/>
    <cellStyle name="_SOFI_TEPs_AOK_130902_S15202_Akt_sverki_S11111_Akt_sverki" xfId="1668"/>
    <cellStyle name="_SOFI_TEPs_AOK_130902_S15202_Akt_sverki_Договора_Express_4m2003_new" xfId="1669"/>
    <cellStyle name="_SOFI_TEPs_AOK_130902_Договора_Express_4m2003_new" xfId="1670"/>
    <cellStyle name="_SOFI_TEPs_AOK_130902_Книга1" xfId="1671"/>
    <cellStyle name="_Анализ БП2007(13) к презентации от 230906" xfId="1672"/>
    <cellStyle name="_АСУ сравнить" xfId="1673"/>
    <cellStyle name="_Б.план 2003 г.изм.6, 26.09.02" xfId="1674"/>
    <cellStyle name="_ББК" xfId="1675"/>
    <cellStyle name="_ББК  5.08.02" xfId="1676"/>
    <cellStyle name="_ББК 25.08" xfId="1677"/>
    <cellStyle name="_БИЗНЕС   2003" xfId="1678"/>
    <cellStyle name="_бизнес-план по труду 2004год(ТНК)уточн.(посл)" xfId="1679"/>
    <cellStyle name="_Вариант 1 24.05.02 электр.наш" xfId="1680"/>
    <cellStyle name="_ВО ОП ТЭС-ОТ- 2007" xfId="28"/>
    <cellStyle name="_ВФ ОАО ТЭС-ОТ- 2009" xfId="29"/>
    <cellStyle name="_выручка по присоединениям2" xfId="30"/>
    <cellStyle name="_годовой отчет  2001" xfId="1681"/>
    <cellStyle name="_Договор аренды ЯЭ с разбивкой" xfId="31"/>
    <cellStyle name="_Договорные велечины 2011 ЕЭСнК" xfId="1682"/>
    <cellStyle name="_Затраты-ПЕРСОНАЛ-2007" xfId="1683"/>
    <cellStyle name="_Инвестпрограмма на 2007 г." xfId="1684"/>
    <cellStyle name="_Исходные данные для модели" xfId="32"/>
    <cellStyle name="_Капы с расшифровками" xfId="1685"/>
    <cellStyle name="_Книга11" xfId="1686"/>
    <cellStyle name="_Книга2" xfId="1687"/>
    <cellStyle name="_Книга3" xfId="1688"/>
    <cellStyle name="_Книга3_Capex-new" xfId="1689"/>
    <cellStyle name="_Книга3_Financial Plan - final_2" xfId="1690"/>
    <cellStyle name="_Книга3_Form 01(MB)" xfId="1691"/>
    <cellStyle name="_Книга3_Links_NK" xfId="1692"/>
    <cellStyle name="_Книга3_N20_5" xfId="1693"/>
    <cellStyle name="_Книга3_N20_6" xfId="1694"/>
    <cellStyle name="_Книга3_New Form10_2" xfId="1695"/>
    <cellStyle name="_Книга3_Nsi" xfId="1696"/>
    <cellStyle name="_Книга3_Nsi - last version" xfId="1697"/>
    <cellStyle name="_Книга3_Nsi - last version for programming" xfId="1698"/>
    <cellStyle name="_Книга3_Nsi - next_last version" xfId="1699"/>
    <cellStyle name="_Книга3_Nsi - plan - final" xfId="1700"/>
    <cellStyle name="_Книга3_Nsi -super_ last version" xfId="1701"/>
    <cellStyle name="_Книга3_Nsi(2)" xfId="1702"/>
    <cellStyle name="_Книга3_Nsi_1" xfId="1703"/>
    <cellStyle name="_Книга3_Nsi_139" xfId="1704"/>
    <cellStyle name="_Книга3_Nsi_140" xfId="1705"/>
    <cellStyle name="_Книга3_Nsi_140(Зах)" xfId="1706"/>
    <cellStyle name="_Книга3_Nsi_140_mod" xfId="1707"/>
    <cellStyle name="_Книга3_Nsi_158" xfId="1708"/>
    <cellStyle name="_Книга3_Nsi_Express" xfId="1709"/>
    <cellStyle name="_Книга3_Nsi_Jan1" xfId="1710"/>
    <cellStyle name="_Книга3_Nsi_test" xfId="1711"/>
    <cellStyle name="_Книга3_Nsi2" xfId="1712"/>
    <cellStyle name="_Книга3_Nsi-Services" xfId="1713"/>
    <cellStyle name="_Книга3_P&amp;L" xfId="1714"/>
    <cellStyle name="_Книга3_S0400" xfId="1715"/>
    <cellStyle name="_Книга3_S13001" xfId="1716"/>
    <cellStyle name="_Книга3_Sheet1" xfId="1717"/>
    <cellStyle name="_Книга3_sofi - plan_AP270202ii" xfId="1718"/>
    <cellStyle name="_Книга3_sofi - plan_AP270202iii" xfId="1719"/>
    <cellStyle name="_Книга3_sofi - plan_AP270202iv" xfId="1720"/>
    <cellStyle name="_Книга3_Sofi vs Sobi" xfId="1721"/>
    <cellStyle name="_Книга3_Sofi_PBD 27-11-01" xfId="1722"/>
    <cellStyle name="_Книга3_SOFI_TEPs_AOK_130902" xfId="1723"/>
    <cellStyle name="_Книга3_Sofi145a" xfId="1724"/>
    <cellStyle name="_Книга3_Sofi153" xfId="1725"/>
    <cellStyle name="_Книга3_Summary" xfId="1726"/>
    <cellStyle name="_Книга3_SXXXX_Express_c Links" xfId="1727"/>
    <cellStyle name="_Книга3_Tax_form_1кв_3" xfId="1728"/>
    <cellStyle name="_Книга3_test_11" xfId="1729"/>
    <cellStyle name="_Книга3_БКЭ" xfId="1730"/>
    <cellStyle name="_Книга3_для вставки в пакет за 2001" xfId="1731"/>
    <cellStyle name="_Книга3_дляГалиныВ" xfId="1732"/>
    <cellStyle name="_Книга3_Книга7" xfId="1733"/>
    <cellStyle name="_Книга3_Лист1" xfId="1734"/>
    <cellStyle name="_Книга3_ОСН. ДЕЯТ." xfId="1735"/>
    <cellStyle name="_Книга3_Подразделения" xfId="1736"/>
    <cellStyle name="_Книга3_Список тиражирования" xfId="1737"/>
    <cellStyle name="_Книга3_Форма 12 last" xfId="1738"/>
    <cellStyle name="_Книга7" xfId="1739"/>
    <cellStyle name="_Книга7_Capex-new" xfId="1740"/>
    <cellStyle name="_Книга7_Financial Plan - final_2" xfId="1741"/>
    <cellStyle name="_Книга7_Form 01(MB)" xfId="1742"/>
    <cellStyle name="_Книга7_Links_NK" xfId="1743"/>
    <cellStyle name="_Книга7_N20_5" xfId="1744"/>
    <cellStyle name="_Книга7_N20_6" xfId="1745"/>
    <cellStyle name="_Книга7_New Form10_2" xfId="1746"/>
    <cellStyle name="_Книга7_Nsi" xfId="1747"/>
    <cellStyle name="_Книга7_Nsi - last version" xfId="1748"/>
    <cellStyle name="_Книга7_Nsi - last version for programming" xfId="1749"/>
    <cellStyle name="_Книга7_Nsi - next_last version" xfId="1750"/>
    <cellStyle name="_Книга7_Nsi - plan - final" xfId="1751"/>
    <cellStyle name="_Книга7_Nsi -super_ last version" xfId="1752"/>
    <cellStyle name="_Книга7_Nsi(2)" xfId="1753"/>
    <cellStyle name="_Книга7_Nsi_1" xfId="1754"/>
    <cellStyle name="_Книга7_Nsi_139" xfId="1755"/>
    <cellStyle name="_Книга7_Nsi_140" xfId="1756"/>
    <cellStyle name="_Книга7_Nsi_140(Зах)" xfId="1757"/>
    <cellStyle name="_Книга7_Nsi_140_mod" xfId="1758"/>
    <cellStyle name="_Книга7_Nsi_158" xfId="1759"/>
    <cellStyle name="_Книга7_Nsi_Express" xfId="1760"/>
    <cellStyle name="_Книга7_Nsi_Jan1" xfId="1761"/>
    <cellStyle name="_Книга7_Nsi_test" xfId="1762"/>
    <cellStyle name="_Книга7_Nsi2" xfId="1763"/>
    <cellStyle name="_Книга7_Nsi-Services" xfId="1764"/>
    <cellStyle name="_Книга7_P&amp;L" xfId="1765"/>
    <cellStyle name="_Книга7_S0400" xfId="1766"/>
    <cellStyle name="_Книга7_S13001" xfId="1767"/>
    <cellStyle name="_Книга7_Sheet1" xfId="1768"/>
    <cellStyle name="_Книга7_sofi - plan_AP270202ii" xfId="1769"/>
    <cellStyle name="_Книга7_sofi - plan_AP270202iii" xfId="1770"/>
    <cellStyle name="_Книга7_sofi - plan_AP270202iv" xfId="1771"/>
    <cellStyle name="_Книга7_Sofi vs Sobi" xfId="1772"/>
    <cellStyle name="_Книга7_Sofi_PBD 27-11-01" xfId="1773"/>
    <cellStyle name="_Книга7_SOFI_TEPs_AOK_130902" xfId="1774"/>
    <cellStyle name="_Книга7_Sofi145a" xfId="1775"/>
    <cellStyle name="_Книга7_Sofi153" xfId="1776"/>
    <cellStyle name="_Книга7_Summary" xfId="1777"/>
    <cellStyle name="_Книга7_SXXXX_Express_c Links" xfId="1778"/>
    <cellStyle name="_Книга7_Tax_form_1кв_3" xfId="1779"/>
    <cellStyle name="_Книга7_test_11" xfId="1780"/>
    <cellStyle name="_Книга7_БКЭ" xfId="1781"/>
    <cellStyle name="_Книга7_для вставки в пакет за 2001" xfId="1782"/>
    <cellStyle name="_Книга7_дляГалиныВ" xfId="1783"/>
    <cellStyle name="_Книга7_Книга7" xfId="1784"/>
    <cellStyle name="_Книга7_Лист1" xfId="1785"/>
    <cellStyle name="_Книга7_ОСН. ДЕЯТ." xfId="1786"/>
    <cellStyle name="_Книга7_Подразделения" xfId="1787"/>
    <cellStyle name="_Книга7_Список тиражирования" xfId="1788"/>
    <cellStyle name="_Книга7_Форма 12 last" xfId="1789"/>
    <cellStyle name="_Копия расчет выпадающих по НЭН_немичев (2)" xfId="1790"/>
    <cellStyle name="_МОДЕЛЬ_1 (2)" xfId="33"/>
    <cellStyle name="_МОДЕЛЬ_1 (2) 2" xfId="3246"/>
    <cellStyle name="_МОДЕЛЬ_1 (2)_46EE.2011(v1.0)" xfId="34"/>
    <cellStyle name="_МОДЕЛЬ_1 (2)_BALANCE.WARM.2011YEAR.NEW.UPDATE.SCHEME" xfId="35"/>
    <cellStyle name="_МОДЕЛЬ_1 (2)_NADB.JNVLS.APTEKA.2011(v1.3.3)" xfId="36"/>
    <cellStyle name="_МОДЕЛЬ_1 (2)_NADB.JNVLS.APTEKA.2011(v1.3.4)" xfId="37"/>
    <cellStyle name="_МОДЕЛЬ_1 (2)_PREDEL.JKH.UTV.2011(v1.0.1)" xfId="38"/>
    <cellStyle name="_МОДЕЛЬ_1 (2)_UPDATE.46EE.2011.TO.1.1" xfId="39"/>
    <cellStyle name="_МОДЕЛЬ_1 (2)_UPDATE.BALANCE.WARM.2011YEAR.TO.1.1" xfId="40"/>
    <cellStyle name="_НВВ 2009 постатейно свод по филиалам_09_02_09" xfId="41"/>
    <cellStyle name="_НВВ 2009 постатейно свод по филиалам_для Валентина" xfId="42"/>
    <cellStyle name="_Омск" xfId="43"/>
    <cellStyle name="_ОНОС_180803" xfId="1791"/>
    <cellStyle name="_ООТИЗ" xfId="1792"/>
    <cellStyle name="_ОТ и Э Тула 2003 г." xfId="1793"/>
    <cellStyle name="_ОТ ИД 2009" xfId="44"/>
    <cellStyle name="_охрана труда цел. прогр." xfId="1794"/>
    <cellStyle name="_ПЕРСОНАЛ-06.09.06" xfId="1795"/>
    <cellStyle name="_ПЕРСОНАЛ-22.08.06" xfId="1796"/>
    <cellStyle name="_Подг и разв персонала 2003" xfId="1797"/>
    <cellStyle name="_пр 5 тариф RAB" xfId="45"/>
    <cellStyle name="_пр 5 тариф RAB 2" xfId="3247"/>
    <cellStyle name="_пр 5 тариф RAB_46EE.2011(v1.0)" xfId="46"/>
    <cellStyle name="_пр 5 тариф RAB_BALANCE.WARM.2011YEAR.NEW.UPDATE.SCHEME" xfId="47"/>
    <cellStyle name="_пр 5 тариф RAB_NADB.JNVLS.APTEKA.2011(v1.3.3)" xfId="48"/>
    <cellStyle name="_пр 5 тариф RAB_NADB.JNVLS.APTEKA.2011(v1.3.4)" xfId="49"/>
    <cellStyle name="_пр 5 тариф RAB_PREDEL.JKH.UTV.2011(v1.0.1)" xfId="50"/>
    <cellStyle name="_пр 5 тариф RAB_UPDATE.46EE.2011.TO.1.1" xfId="51"/>
    <cellStyle name="_пр 5 тариф RAB_UPDATE.BALANCE.WARM.2011YEAR.TO.1.1" xfId="52"/>
    <cellStyle name="_Предожение _ДБП_2009 г ( согласованные БП)  (2)" xfId="53"/>
    <cellStyle name="_Прил" xfId="1798"/>
    <cellStyle name="_прил 2 (2008)" xfId="1799"/>
    <cellStyle name="_Прил 7 (акт снятия показ)" xfId="1800"/>
    <cellStyle name="_Прил_прил 2 (2008)" xfId="1801"/>
    <cellStyle name="_Прил-2 (к договору)" xfId="1802"/>
    <cellStyle name="_Приложение 5 (форма интервального акта)" xfId="1803"/>
    <cellStyle name="_Приложение к письму с объемами на 2011 от 30_сен" xfId="1804"/>
    <cellStyle name="_Приложение МТС-3-КС" xfId="54"/>
    <cellStyle name="_Приложение_1_2_план_ДАО" xfId="1805"/>
    <cellStyle name="_Приложение-МТС--2-1" xfId="55"/>
    <cellStyle name="_Приложения 12-13" xfId="1806"/>
    <cellStyle name="_Приложения(отправка)" xfId="1807"/>
    <cellStyle name="_Приложения(отправка)_прил 2 (2008)" xfId="1808"/>
    <cellStyle name="_Прогр. труд. рес. 1 раздел" xfId="1809"/>
    <cellStyle name="_Программы по  экологии на 2003 г." xfId="1810"/>
    <cellStyle name="_Пурнефтегаз Приложения к договору на 2007 г" xfId="1811"/>
    <cellStyle name="_Пурнефтегаз Приложения к договору на 2007 г_прил 2 (2008)" xfId="1812"/>
    <cellStyle name="_Расчет RAB_22072008" xfId="56"/>
    <cellStyle name="_Расчет RAB_22072008 2" xfId="3248"/>
    <cellStyle name="_Расчет RAB_22072008_46EE.2011(v1.0)" xfId="57"/>
    <cellStyle name="_Расчет RAB_22072008_BALANCE.WARM.2011YEAR.NEW.UPDATE.SCHEME" xfId="58"/>
    <cellStyle name="_Расчет RAB_22072008_NADB.JNVLS.APTEKA.2011(v1.3.3)" xfId="59"/>
    <cellStyle name="_Расчет RAB_22072008_NADB.JNVLS.APTEKA.2011(v1.3.4)" xfId="60"/>
    <cellStyle name="_Расчет RAB_22072008_PREDEL.JKH.UTV.2011(v1.0.1)" xfId="61"/>
    <cellStyle name="_Расчет RAB_22072008_UPDATE.46EE.2011.TO.1.1" xfId="62"/>
    <cellStyle name="_Расчет RAB_22072008_UPDATE.BALANCE.WARM.2011YEAR.TO.1.1" xfId="63"/>
    <cellStyle name="_Расчет RAB_Лен и МОЭСК_с 2010 года_14.04.2009_со сглаж_version 3.0_без ФСК" xfId="64"/>
    <cellStyle name="_Расчет RAB_Лен и МОЭСК_с 2010 года_14.04.2009_со сглаж_version 3.0_без ФСК 2" xfId="3249"/>
    <cellStyle name="_Расчет RAB_Лен и МОЭСК_с 2010 года_14.04.2009_со сглаж_version 3.0_без ФСК_46EE.2011(v1.0)" xfId="65"/>
    <cellStyle name="_Расчет RAB_Лен и МОЭСК_с 2010 года_14.04.2009_со сглаж_version 3.0_без ФСК_BALANCE.WARM.2011YEAR.NEW.UPDATE.SCHEME" xfId="66"/>
    <cellStyle name="_Расчет RAB_Лен и МОЭСК_с 2010 года_14.04.2009_со сглаж_version 3.0_без ФСК_NADB.JNVLS.APTEKA.2011(v1.3.3)" xfId="67"/>
    <cellStyle name="_Расчет RAB_Лен и МОЭСК_с 2010 года_14.04.2009_со сглаж_version 3.0_без ФСК_NADB.JNVLS.APTEKA.2011(v1.3.4)" xfId="68"/>
    <cellStyle name="_Расчет RAB_Лен и МОЭСК_с 2010 года_14.04.2009_со сглаж_version 3.0_без ФСК_PREDEL.JKH.UTV.2011(v1.0.1)" xfId="69"/>
    <cellStyle name="_Расчет RAB_Лен и МОЭСК_с 2010 года_14.04.2009_со сглаж_version 3.0_без ФСК_UPDATE.46EE.2011.TO.1.1" xfId="70"/>
    <cellStyle name="_Расчет RAB_Лен и МОЭСК_с 2010 года_14.04.2009_со сглаж_version 3.0_без ФСК_UPDATE.BALANCE.WARM.2011YEAR.TO.1.1" xfId="71"/>
    <cellStyle name="_Расчет бонусов в 2004 году" xfId="1813"/>
    <cellStyle name="_Расчет соц.прогр.2002_2003" xfId="1814"/>
    <cellStyle name="_Расчет соц.прогр.от 15.08.02" xfId="1815"/>
    <cellStyle name="_Расчет соц.прогр.от 5.08.02" xfId="1816"/>
    <cellStyle name="_Расчет соц.прогр.от 9.08.02" xfId="1817"/>
    <cellStyle name="_Свод 2003  " xfId="1818"/>
    <cellStyle name="_Свод по ИПР (2)" xfId="72"/>
    <cellStyle name="_СВОД-ЗАТРАТЫ-2007-авг18" xfId="1819"/>
    <cellStyle name="_Сводик" xfId="1820"/>
    <cellStyle name="_таблицы для расчетов28-04-08_2006-2009_прибыль корр_по ИА" xfId="73"/>
    <cellStyle name="_таблицы для расчетов28-04-08_2006-2009с ИА" xfId="74"/>
    <cellStyle name="_ТНГ ТЭП-1 (ТЭП 2003-6)" xfId="1821"/>
    <cellStyle name="_трудовые ресурсы" xfId="1822"/>
    <cellStyle name="_ТЭП-1 Сиданко (9 мес)" xfId="1823"/>
    <cellStyle name="_Факторный анализ" xfId="1824"/>
    <cellStyle name="_Факторный анализ-ПЕРСОНАЛ" xfId="1825"/>
    <cellStyle name="_Факторный анализ-ПЕРСОНАЛ (5)" xfId="1826"/>
    <cellStyle name="_ФЗП 2003 свод" xfId="1827"/>
    <cellStyle name="_Форма 6  РТК.xls(отчет по Адр пр. ЛО)" xfId="75"/>
    <cellStyle name="_Форма для безопасности_3" xfId="1828"/>
    <cellStyle name="_Форма_01.16_UpstreamForm_05_FINPLAN_САнгл" xfId="1829"/>
    <cellStyle name="_Форма_01.16_UpstreamForm_05_SMETA_САнгл" xfId="1830"/>
    <cellStyle name="_Форма_01.16_UpstreamForm_13_TEP_САнгл" xfId="1831"/>
    <cellStyle name="_Формат КВ БП НПЗ свод_new" xfId="1832"/>
    <cellStyle name="_Формат КВ БП РНПК" xfId="1833"/>
    <cellStyle name="_Формат разбивки по МРСК_РСК" xfId="76"/>
    <cellStyle name="_Формат трудовые ресурсы" xfId="1834"/>
    <cellStyle name="_Формат целевых программ на 2003 год оконат" xfId="1835"/>
    <cellStyle name="_Формат целевых программ на 2003 год окончат1" xfId="1836"/>
    <cellStyle name="_Формат_для Согласования" xfId="77"/>
    <cellStyle name="_Формы АСУ для БП на 2003год" xfId="1837"/>
    <cellStyle name="_Формы АСУ для БП на 2003год_ егор в кис " xfId="1838"/>
    <cellStyle name="_Формы2003" xfId="1839"/>
    <cellStyle name="_цел.программы 26.09" xfId="1840"/>
    <cellStyle name="_Цел.формы 2003г" xfId="1841"/>
    <cellStyle name="_Целевые 20.09.02" xfId="1842"/>
    <cellStyle name="_Целевые программы - свод" xfId="1843"/>
    <cellStyle name="_ЦП2007_HSE-11.08" xfId="1844"/>
    <cellStyle name="_ЦП2007_ОOC-11.08" xfId="1845"/>
    <cellStyle name="_Шаяхметов" xfId="1846"/>
    <cellStyle name="_экон.форм-т ВО 1 с разбивкой" xfId="78"/>
    <cellStyle name="_Энергетика-10 10" xfId="1847"/>
    <cellStyle name="_Энергия 2008 для ГФО Zero увелич тарифов по эл энергии на 175 %" xfId="1848"/>
    <cellStyle name="’E‰Y [0.00]_laroux" xfId="1849"/>
    <cellStyle name="’E‰Y_laroux" xfId="1850"/>
    <cellStyle name="”€ќђќ‘ћ‚›‰" xfId="79"/>
    <cellStyle name="”€љ‘€ђћ‚ђќќ›‰" xfId="80"/>
    <cellStyle name="”ќђќ‘ћ‚›‰" xfId="81"/>
    <cellStyle name="”ќђќ‘ћ‚›‰ 2" xfId="3250"/>
    <cellStyle name="”љ‘ђћ‚ђќќ›‰" xfId="82"/>
    <cellStyle name="”љ‘ђћ‚ђќќ›‰ 2" xfId="3251"/>
    <cellStyle name="„…ќ…†ќ›‰" xfId="83"/>
    <cellStyle name="„…ќ…†ќ›‰ 2" xfId="3252"/>
    <cellStyle name="€’ћѓћ‚›‰" xfId="84"/>
    <cellStyle name="=C:\WINNT35\SYSTEM32\COMMAND.COM" xfId="1851"/>
    <cellStyle name="‡ђѓћ‹ћ‚ћљ1" xfId="85"/>
    <cellStyle name="‡ђѓћ‹ћ‚ћљ1 2" xfId="3253"/>
    <cellStyle name="‡ђѓћ‹ћ‚ћљ2" xfId="86"/>
    <cellStyle name="‡ђѓћ‹ћ‚ћљ2 2" xfId="3254"/>
    <cellStyle name="•WЏЂ_laroux" xfId="1852"/>
    <cellStyle name="’ћѓћ‚›‰" xfId="87"/>
    <cellStyle name="’ћѓћ‚›‰ 2" xfId="3255"/>
    <cellStyle name="0,00;0;" xfId="1853"/>
    <cellStyle name="1Итоги" xfId="1854"/>
    <cellStyle name="1Итоги 2" xfId="2535"/>
    <cellStyle name="1Итоги 2 2" xfId="2773"/>
    <cellStyle name="1Итоги 2 3" xfId="2984"/>
    <cellStyle name="1Итоги 3" xfId="2491"/>
    <cellStyle name="1Итоги 4" xfId="3256"/>
    <cellStyle name="1Основа таблицы" xfId="1855"/>
    <cellStyle name="1Основа таблицы 2" xfId="2536"/>
    <cellStyle name="1Основа таблицы 2 2" xfId="2774"/>
    <cellStyle name="1Основа таблицы 2 3" xfId="2985"/>
    <cellStyle name="1Основа таблицы 3" xfId="2492"/>
    <cellStyle name="1Основа таблицы 4" xfId="3257"/>
    <cellStyle name="1Подзаголовок" xfId="1856"/>
    <cellStyle name="1Подзаголовок 2" xfId="2537"/>
    <cellStyle name="1Подзаголовок 2 2" xfId="2775"/>
    <cellStyle name="1Подзаголовок 2 3" xfId="2986"/>
    <cellStyle name="1Подзаголовок 3" xfId="2493"/>
    <cellStyle name="1Подзаголовок 4" xfId="3258"/>
    <cellStyle name="1Сложный заголовок" xfId="1857"/>
    <cellStyle name="1Сложный заголовок 2" xfId="2538"/>
    <cellStyle name="1Сложный заголовок 2 2" xfId="2776"/>
    <cellStyle name="1Сложный заголовок 2 3" xfId="2987"/>
    <cellStyle name="1Сложный заголовок 3" xfId="2494"/>
    <cellStyle name="1Сложный заголовок 4" xfId="3259"/>
    <cellStyle name="20% - Accent1" xfId="88"/>
    <cellStyle name="20% - Accent1 2" xfId="89"/>
    <cellStyle name="20% - Accent1_46EE.2011(v1.0)" xfId="90"/>
    <cellStyle name="20% - Accent2" xfId="91"/>
    <cellStyle name="20% - Accent2 2" xfId="92"/>
    <cellStyle name="20% - Accent2_46EE.2011(v1.0)" xfId="93"/>
    <cellStyle name="20% - Accent3" xfId="94"/>
    <cellStyle name="20% - Accent3 2" xfId="95"/>
    <cellStyle name="20% - Accent3_46EE.2011(v1.0)" xfId="96"/>
    <cellStyle name="20% - Accent4" xfId="97"/>
    <cellStyle name="20% - Accent4 2" xfId="98"/>
    <cellStyle name="20% - Accent4_46EE.2011(v1.0)" xfId="99"/>
    <cellStyle name="20% - Accent5" xfId="100"/>
    <cellStyle name="20% - Accent5 2" xfId="101"/>
    <cellStyle name="20% - Accent5_46EE.2011(v1.0)" xfId="102"/>
    <cellStyle name="20% - Accent6" xfId="103"/>
    <cellStyle name="20% - Accent6 2" xfId="104"/>
    <cellStyle name="20% - Accent6_46EE.2011(v1.0)" xfId="105"/>
    <cellStyle name="20% — акцент1" xfId="106" builtinId="30" customBuiltin="1"/>
    <cellStyle name="20% - Акцент1 10" xfId="2191"/>
    <cellStyle name="20% - Акцент1 2" xfId="107"/>
    <cellStyle name="20% - Акцент1 2 2" xfId="108"/>
    <cellStyle name="20% - Акцент1 2_46EE.2011(v1.0)" xfId="109"/>
    <cellStyle name="20% - Акцент1 3" xfId="110"/>
    <cellStyle name="20% - Акцент1 3 2" xfId="111"/>
    <cellStyle name="20% - Акцент1 3_46EE.2011(v1.0)" xfId="112"/>
    <cellStyle name="20% - Акцент1 4" xfId="113"/>
    <cellStyle name="20% - Акцент1 4 2" xfId="114"/>
    <cellStyle name="20% - Акцент1 4_46EE.2011(v1.0)" xfId="115"/>
    <cellStyle name="20% - Акцент1 5" xfId="116"/>
    <cellStyle name="20% - Акцент1 5 2" xfId="117"/>
    <cellStyle name="20% - Акцент1 5_46EE.2011(v1.0)" xfId="118"/>
    <cellStyle name="20% - Акцент1 6" xfId="119"/>
    <cellStyle name="20% - Акцент1 6 2" xfId="120"/>
    <cellStyle name="20% - Акцент1 6_46EE.2011(v1.0)" xfId="121"/>
    <cellStyle name="20% - Акцент1 7" xfId="122"/>
    <cellStyle name="20% - Акцент1 7 2" xfId="123"/>
    <cellStyle name="20% - Акцент1 7_46EE.2011(v1.0)" xfId="124"/>
    <cellStyle name="20% - Акцент1 8" xfId="125"/>
    <cellStyle name="20% - Акцент1 8 2" xfId="126"/>
    <cellStyle name="20% - Акцент1 8_46EE.2011(v1.0)" xfId="127"/>
    <cellStyle name="20% - Акцент1 9" xfId="128"/>
    <cellStyle name="20% - Акцент1 9 2" xfId="129"/>
    <cellStyle name="20% - Акцент1 9_46EE.2011(v1.0)" xfId="130"/>
    <cellStyle name="20% — акцент2" xfId="131" builtinId="34" customBuiltin="1"/>
    <cellStyle name="20% - Акцент2 10" xfId="2192"/>
    <cellStyle name="20% - Акцент2 2" xfId="132"/>
    <cellStyle name="20% - Акцент2 2 2" xfId="133"/>
    <cellStyle name="20% - Акцент2 2_46EE.2011(v1.0)" xfId="134"/>
    <cellStyle name="20% - Акцент2 3" xfId="135"/>
    <cellStyle name="20% - Акцент2 3 2" xfId="136"/>
    <cellStyle name="20% - Акцент2 3_46EE.2011(v1.0)" xfId="137"/>
    <cellStyle name="20% - Акцент2 4" xfId="138"/>
    <cellStyle name="20% - Акцент2 4 2" xfId="139"/>
    <cellStyle name="20% - Акцент2 4_46EE.2011(v1.0)" xfId="140"/>
    <cellStyle name="20% - Акцент2 5" xfId="141"/>
    <cellStyle name="20% - Акцент2 5 2" xfId="142"/>
    <cellStyle name="20% - Акцент2 5_46EE.2011(v1.0)" xfId="143"/>
    <cellStyle name="20% - Акцент2 6" xfId="144"/>
    <cellStyle name="20% - Акцент2 6 2" xfId="145"/>
    <cellStyle name="20% - Акцент2 6_46EE.2011(v1.0)" xfId="146"/>
    <cellStyle name="20% - Акцент2 7" xfId="147"/>
    <cellStyle name="20% - Акцент2 7 2" xfId="148"/>
    <cellStyle name="20% - Акцент2 7_46EE.2011(v1.0)" xfId="149"/>
    <cellStyle name="20% - Акцент2 8" xfId="150"/>
    <cellStyle name="20% - Акцент2 8 2" xfId="151"/>
    <cellStyle name="20% - Акцент2 8_46EE.2011(v1.0)" xfId="152"/>
    <cellStyle name="20% - Акцент2 9" xfId="153"/>
    <cellStyle name="20% - Акцент2 9 2" xfId="154"/>
    <cellStyle name="20% - Акцент2 9_46EE.2011(v1.0)" xfId="155"/>
    <cellStyle name="20% — акцент3" xfId="156" builtinId="38" customBuiltin="1"/>
    <cellStyle name="20% - Акцент3 10" xfId="2193"/>
    <cellStyle name="20% - Акцент3 2" xfId="157"/>
    <cellStyle name="20% - Акцент3 2 2" xfId="158"/>
    <cellStyle name="20% - Акцент3 2_46EE.2011(v1.0)" xfId="159"/>
    <cellStyle name="20% - Акцент3 3" xfId="160"/>
    <cellStyle name="20% - Акцент3 3 2" xfId="161"/>
    <cellStyle name="20% - Акцент3 3_46EE.2011(v1.0)" xfId="162"/>
    <cellStyle name="20% - Акцент3 4" xfId="163"/>
    <cellStyle name="20% - Акцент3 4 2" xfId="164"/>
    <cellStyle name="20% - Акцент3 4_46EE.2011(v1.0)" xfId="165"/>
    <cellStyle name="20% - Акцент3 5" xfId="166"/>
    <cellStyle name="20% - Акцент3 5 2" xfId="167"/>
    <cellStyle name="20% - Акцент3 5_46EE.2011(v1.0)" xfId="168"/>
    <cellStyle name="20% - Акцент3 6" xfId="169"/>
    <cellStyle name="20% - Акцент3 6 2" xfId="170"/>
    <cellStyle name="20% - Акцент3 6_46EE.2011(v1.0)" xfId="171"/>
    <cellStyle name="20% - Акцент3 7" xfId="172"/>
    <cellStyle name="20% - Акцент3 7 2" xfId="173"/>
    <cellStyle name="20% - Акцент3 7_46EE.2011(v1.0)" xfId="174"/>
    <cellStyle name="20% - Акцент3 8" xfId="175"/>
    <cellStyle name="20% - Акцент3 8 2" xfId="176"/>
    <cellStyle name="20% - Акцент3 8_46EE.2011(v1.0)" xfId="177"/>
    <cellStyle name="20% - Акцент3 9" xfId="178"/>
    <cellStyle name="20% - Акцент3 9 2" xfId="179"/>
    <cellStyle name="20% - Акцент3 9_46EE.2011(v1.0)" xfId="180"/>
    <cellStyle name="20% — акцент4" xfId="181" builtinId="42" customBuiltin="1"/>
    <cellStyle name="20% - Акцент4 10" xfId="2194"/>
    <cellStyle name="20% - Акцент4 2" xfId="182"/>
    <cellStyle name="20% - Акцент4 2 2" xfId="183"/>
    <cellStyle name="20% - Акцент4 2_46EE.2011(v1.0)" xfId="184"/>
    <cellStyle name="20% - Акцент4 3" xfId="185"/>
    <cellStyle name="20% - Акцент4 3 2" xfId="186"/>
    <cellStyle name="20% - Акцент4 3_46EE.2011(v1.0)" xfId="187"/>
    <cellStyle name="20% - Акцент4 4" xfId="188"/>
    <cellStyle name="20% - Акцент4 4 2" xfId="189"/>
    <cellStyle name="20% - Акцент4 4_46EE.2011(v1.0)" xfId="190"/>
    <cellStyle name="20% - Акцент4 5" xfId="191"/>
    <cellStyle name="20% - Акцент4 5 2" xfId="192"/>
    <cellStyle name="20% - Акцент4 5_46EE.2011(v1.0)" xfId="193"/>
    <cellStyle name="20% - Акцент4 6" xfId="194"/>
    <cellStyle name="20% - Акцент4 6 2" xfId="195"/>
    <cellStyle name="20% - Акцент4 6_46EE.2011(v1.0)" xfId="196"/>
    <cellStyle name="20% - Акцент4 7" xfId="197"/>
    <cellStyle name="20% - Акцент4 7 2" xfId="198"/>
    <cellStyle name="20% - Акцент4 7_46EE.2011(v1.0)" xfId="199"/>
    <cellStyle name="20% - Акцент4 8" xfId="200"/>
    <cellStyle name="20% - Акцент4 8 2" xfId="201"/>
    <cellStyle name="20% - Акцент4 8_46EE.2011(v1.0)" xfId="202"/>
    <cellStyle name="20% - Акцент4 9" xfId="203"/>
    <cellStyle name="20% - Акцент4 9 2" xfId="204"/>
    <cellStyle name="20% - Акцент4 9_46EE.2011(v1.0)" xfId="205"/>
    <cellStyle name="20% — акцент5" xfId="206" builtinId="46" customBuiltin="1"/>
    <cellStyle name="20% - Акцент5 10" xfId="2195"/>
    <cellStyle name="20% - Акцент5 2" xfId="207"/>
    <cellStyle name="20% - Акцент5 2 2" xfId="208"/>
    <cellStyle name="20% - Акцент5 2_46EE.2011(v1.0)" xfId="209"/>
    <cellStyle name="20% - Акцент5 3" xfId="210"/>
    <cellStyle name="20% - Акцент5 3 2" xfId="211"/>
    <cellStyle name="20% - Акцент5 3_46EE.2011(v1.0)" xfId="212"/>
    <cellStyle name="20% - Акцент5 4" xfId="213"/>
    <cellStyle name="20% - Акцент5 4 2" xfId="214"/>
    <cellStyle name="20% - Акцент5 4_46EE.2011(v1.0)" xfId="215"/>
    <cellStyle name="20% - Акцент5 5" xfId="216"/>
    <cellStyle name="20% - Акцент5 5 2" xfId="217"/>
    <cellStyle name="20% - Акцент5 5_46EE.2011(v1.0)" xfId="218"/>
    <cellStyle name="20% - Акцент5 6" xfId="219"/>
    <cellStyle name="20% - Акцент5 6 2" xfId="220"/>
    <cellStyle name="20% - Акцент5 6_46EE.2011(v1.0)" xfId="221"/>
    <cellStyle name="20% - Акцент5 7" xfId="222"/>
    <cellStyle name="20% - Акцент5 7 2" xfId="223"/>
    <cellStyle name="20% - Акцент5 7_46EE.2011(v1.0)" xfId="224"/>
    <cellStyle name="20% - Акцент5 8" xfId="225"/>
    <cellStyle name="20% - Акцент5 8 2" xfId="226"/>
    <cellStyle name="20% - Акцент5 8_46EE.2011(v1.0)" xfId="227"/>
    <cellStyle name="20% - Акцент5 9" xfId="228"/>
    <cellStyle name="20% - Акцент5 9 2" xfId="229"/>
    <cellStyle name="20% - Акцент5 9_46EE.2011(v1.0)" xfId="230"/>
    <cellStyle name="20% — акцент6" xfId="231" builtinId="50" customBuiltin="1"/>
    <cellStyle name="20% - Акцент6 10" xfId="2196"/>
    <cellStyle name="20% - Акцент6 2" xfId="232"/>
    <cellStyle name="20% - Акцент6 2 2" xfId="233"/>
    <cellStyle name="20% - Акцент6 2_46EE.2011(v1.0)" xfId="234"/>
    <cellStyle name="20% - Акцент6 3" xfId="235"/>
    <cellStyle name="20% - Акцент6 3 2" xfId="236"/>
    <cellStyle name="20% - Акцент6 3_46EE.2011(v1.0)" xfId="237"/>
    <cellStyle name="20% - Акцент6 4" xfId="238"/>
    <cellStyle name="20% - Акцент6 4 2" xfId="239"/>
    <cellStyle name="20% - Акцент6 4_46EE.2011(v1.0)" xfId="240"/>
    <cellStyle name="20% - Акцент6 5" xfId="241"/>
    <cellStyle name="20% - Акцент6 5 2" xfId="242"/>
    <cellStyle name="20% - Акцент6 5_46EE.2011(v1.0)" xfId="243"/>
    <cellStyle name="20% - Акцент6 6" xfId="244"/>
    <cellStyle name="20% - Акцент6 6 2" xfId="245"/>
    <cellStyle name="20% - Акцент6 6_46EE.2011(v1.0)" xfId="246"/>
    <cellStyle name="20% - Акцент6 7" xfId="247"/>
    <cellStyle name="20% - Акцент6 7 2" xfId="248"/>
    <cellStyle name="20% - Акцент6 7_46EE.2011(v1.0)" xfId="249"/>
    <cellStyle name="20% - Акцент6 8" xfId="250"/>
    <cellStyle name="20% - Акцент6 8 2" xfId="251"/>
    <cellStyle name="20% - Акцент6 8_46EE.2011(v1.0)" xfId="252"/>
    <cellStyle name="20% - Акцент6 9" xfId="253"/>
    <cellStyle name="20% - Акцент6 9 2" xfId="254"/>
    <cellStyle name="20% - Акцент6 9_46EE.2011(v1.0)" xfId="255"/>
    <cellStyle name="40% - Accent1" xfId="256"/>
    <cellStyle name="40% - Accent1 2" xfId="257"/>
    <cellStyle name="40% - Accent1_46EE.2011(v1.0)" xfId="258"/>
    <cellStyle name="40% - Accent2" xfId="259"/>
    <cellStyle name="40% - Accent2 2" xfId="260"/>
    <cellStyle name="40% - Accent2_46EE.2011(v1.0)" xfId="261"/>
    <cellStyle name="40% - Accent3" xfId="262"/>
    <cellStyle name="40% - Accent3 2" xfId="263"/>
    <cellStyle name="40% - Accent3_46EE.2011(v1.0)" xfId="264"/>
    <cellStyle name="40% - Accent4" xfId="265"/>
    <cellStyle name="40% - Accent4 2" xfId="266"/>
    <cellStyle name="40% - Accent4_46EE.2011(v1.0)" xfId="267"/>
    <cellStyle name="40% - Accent5" xfId="268"/>
    <cellStyle name="40% - Accent5 2" xfId="269"/>
    <cellStyle name="40% - Accent5_46EE.2011(v1.0)" xfId="270"/>
    <cellStyle name="40% - Accent6" xfId="271"/>
    <cellStyle name="40% - Accent6 2" xfId="272"/>
    <cellStyle name="40% - Accent6_46EE.2011(v1.0)" xfId="273"/>
    <cellStyle name="40% — акцент1" xfId="274" builtinId="31" customBuiltin="1"/>
    <cellStyle name="40% - Акцент1 10" xfId="2197"/>
    <cellStyle name="40% - Акцент1 2" xfId="275"/>
    <cellStyle name="40% - Акцент1 2 2" xfId="276"/>
    <cellStyle name="40% - Акцент1 2_46EE.2011(v1.0)" xfId="277"/>
    <cellStyle name="40% - Акцент1 3" xfId="278"/>
    <cellStyle name="40% - Акцент1 3 2" xfId="279"/>
    <cellStyle name="40% - Акцент1 3_46EE.2011(v1.0)" xfId="280"/>
    <cellStyle name="40% - Акцент1 4" xfId="281"/>
    <cellStyle name="40% - Акцент1 4 2" xfId="282"/>
    <cellStyle name="40% - Акцент1 4_46EE.2011(v1.0)" xfId="283"/>
    <cellStyle name="40% - Акцент1 5" xfId="284"/>
    <cellStyle name="40% - Акцент1 5 2" xfId="285"/>
    <cellStyle name="40% - Акцент1 5_46EE.2011(v1.0)" xfId="286"/>
    <cellStyle name="40% - Акцент1 6" xfId="287"/>
    <cellStyle name="40% - Акцент1 6 2" xfId="288"/>
    <cellStyle name="40% - Акцент1 6_46EE.2011(v1.0)" xfId="289"/>
    <cellStyle name="40% - Акцент1 7" xfId="290"/>
    <cellStyle name="40% - Акцент1 7 2" xfId="291"/>
    <cellStyle name="40% - Акцент1 7_46EE.2011(v1.0)" xfId="292"/>
    <cellStyle name="40% - Акцент1 8" xfId="293"/>
    <cellStyle name="40% - Акцент1 8 2" xfId="294"/>
    <cellStyle name="40% - Акцент1 8_46EE.2011(v1.0)" xfId="295"/>
    <cellStyle name="40% - Акцент1 9" xfId="296"/>
    <cellStyle name="40% - Акцент1 9 2" xfId="297"/>
    <cellStyle name="40% - Акцент1 9_46EE.2011(v1.0)" xfId="298"/>
    <cellStyle name="40% — акцент2" xfId="299" builtinId="35" customBuiltin="1"/>
    <cellStyle name="40% - Акцент2 10" xfId="2198"/>
    <cellStyle name="40% - Акцент2 2" xfId="300"/>
    <cellStyle name="40% - Акцент2 2 2" xfId="301"/>
    <cellStyle name="40% - Акцент2 2_46EE.2011(v1.0)" xfId="302"/>
    <cellStyle name="40% - Акцент2 3" xfId="303"/>
    <cellStyle name="40% - Акцент2 3 2" xfId="304"/>
    <cellStyle name="40% - Акцент2 3_46EE.2011(v1.0)" xfId="305"/>
    <cellStyle name="40% - Акцент2 4" xfId="306"/>
    <cellStyle name="40% - Акцент2 4 2" xfId="307"/>
    <cellStyle name="40% - Акцент2 4_46EE.2011(v1.0)" xfId="308"/>
    <cellStyle name="40% - Акцент2 5" xfId="309"/>
    <cellStyle name="40% - Акцент2 5 2" xfId="310"/>
    <cellStyle name="40% - Акцент2 5_46EE.2011(v1.0)" xfId="311"/>
    <cellStyle name="40% - Акцент2 6" xfId="312"/>
    <cellStyle name="40% - Акцент2 6 2" xfId="313"/>
    <cellStyle name="40% - Акцент2 6_46EE.2011(v1.0)" xfId="314"/>
    <cellStyle name="40% - Акцент2 7" xfId="315"/>
    <cellStyle name="40% - Акцент2 7 2" xfId="316"/>
    <cellStyle name="40% - Акцент2 7_46EE.2011(v1.0)" xfId="317"/>
    <cellStyle name="40% - Акцент2 8" xfId="318"/>
    <cellStyle name="40% - Акцент2 8 2" xfId="319"/>
    <cellStyle name="40% - Акцент2 8_46EE.2011(v1.0)" xfId="320"/>
    <cellStyle name="40% - Акцент2 9" xfId="321"/>
    <cellStyle name="40% - Акцент2 9 2" xfId="322"/>
    <cellStyle name="40% - Акцент2 9_46EE.2011(v1.0)" xfId="323"/>
    <cellStyle name="40% — акцент3" xfId="324" builtinId="39" customBuiltin="1"/>
    <cellStyle name="40% - Акцент3 10" xfId="2199"/>
    <cellStyle name="40% - Акцент3 2" xfId="325"/>
    <cellStyle name="40% - Акцент3 2 2" xfId="326"/>
    <cellStyle name="40% - Акцент3 2_46EE.2011(v1.0)" xfId="327"/>
    <cellStyle name="40% - Акцент3 3" xfId="328"/>
    <cellStyle name="40% - Акцент3 3 2" xfId="329"/>
    <cellStyle name="40% - Акцент3 3_46EE.2011(v1.0)" xfId="330"/>
    <cellStyle name="40% - Акцент3 4" xfId="331"/>
    <cellStyle name="40% - Акцент3 4 2" xfId="332"/>
    <cellStyle name="40% - Акцент3 4_46EE.2011(v1.0)" xfId="333"/>
    <cellStyle name="40% - Акцент3 5" xfId="334"/>
    <cellStyle name="40% - Акцент3 5 2" xfId="335"/>
    <cellStyle name="40% - Акцент3 5_46EE.2011(v1.0)" xfId="336"/>
    <cellStyle name="40% - Акцент3 6" xfId="337"/>
    <cellStyle name="40% - Акцент3 6 2" xfId="338"/>
    <cellStyle name="40% - Акцент3 6_46EE.2011(v1.0)" xfId="339"/>
    <cellStyle name="40% - Акцент3 7" xfId="340"/>
    <cellStyle name="40% - Акцент3 7 2" xfId="341"/>
    <cellStyle name="40% - Акцент3 7_46EE.2011(v1.0)" xfId="342"/>
    <cellStyle name="40% - Акцент3 8" xfId="343"/>
    <cellStyle name="40% - Акцент3 8 2" xfId="344"/>
    <cellStyle name="40% - Акцент3 8_46EE.2011(v1.0)" xfId="345"/>
    <cellStyle name="40% - Акцент3 9" xfId="346"/>
    <cellStyle name="40% - Акцент3 9 2" xfId="347"/>
    <cellStyle name="40% - Акцент3 9_46EE.2011(v1.0)" xfId="348"/>
    <cellStyle name="40% — акцент4" xfId="349" builtinId="43" customBuiltin="1"/>
    <cellStyle name="40% - Акцент4 10" xfId="2200"/>
    <cellStyle name="40% - Акцент4 2" xfId="350"/>
    <cellStyle name="40% - Акцент4 2 2" xfId="351"/>
    <cellStyle name="40% - Акцент4 2_46EE.2011(v1.0)" xfId="352"/>
    <cellStyle name="40% - Акцент4 3" xfId="353"/>
    <cellStyle name="40% - Акцент4 3 2" xfId="354"/>
    <cellStyle name="40% - Акцент4 3_46EE.2011(v1.0)" xfId="355"/>
    <cellStyle name="40% - Акцент4 4" xfId="356"/>
    <cellStyle name="40% - Акцент4 4 2" xfId="357"/>
    <cellStyle name="40% - Акцент4 4_46EE.2011(v1.0)" xfId="358"/>
    <cellStyle name="40% - Акцент4 5" xfId="359"/>
    <cellStyle name="40% - Акцент4 5 2" xfId="360"/>
    <cellStyle name="40% - Акцент4 5_46EE.2011(v1.0)" xfId="361"/>
    <cellStyle name="40% - Акцент4 6" xfId="362"/>
    <cellStyle name="40% - Акцент4 6 2" xfId="363"/>
    <cellStyle name="40% - Акцент4 6_46EE.2011(v1.0)" xfId="364"/>
    <cellStyle name="40% - Акцент4 7" xfId="365"/>
    <cellStyle name="40% - Акцент4 7 2" xfId="366"/>
    <cellStyle name="40% - Акцент4 7_46EE.2011(v1.0)" xfId="367"/>
    <cellStyle name="40% - Акцент4 8" xfId="368"/>
    <cellStyle name="40% - Акцент4 8 2" xfId="369"/>
    <cellStyle name="40% - Акцент4 8_46EE.2011(v1.0)" xfId="370"/>
    <cellStyle name="40% - Акцент4 9" xfId="371"/>
    <cellStyle name="40% - Акцент4 9 2" xfId="372"/>
    <cellStyle name="40% - Акцент4 9_46EE.2011(v1.0)" xfId="373"/>
    <cellStyle name="40% — акцент5" xfId="374" builtinId="47" customBuiltin="1"/>
    <cellStyle name="40% - Акцент5 10" xfId="2201"/>
    <cellStyle name="40% - Акцент5 2" xfId="375"/>
    <cellStyle name="40% - Акцент5 2 2" xfId="376"/>
    <cellStyle name="40% - Акцент5 2_46EE.2011(v1.0)" xfId="377"/>
    <cellStyle name="40% - Акцент5 3" xfId="378"/>
    <cellStyle name="40% - Акцент5 3 2" xfId="379"/>
    <cellStyle name="40% - Акцент5 3_46EE.2011(v1.0)" xfId="380"/>
    <cellStyle name="40% - Акцент5 4" xfId="381"/>
    <cellStyle name="40% - Акцент5 4 2" xfId="382"/>
    <cellStyle name="40% - Акцент5 4_46EE.2011(v1.0)" xfId="383"/>
    <cellStyle name="40% - Акцент5 5" xfId="384"/>
    <cellStyle name="40% - Акцент5 5 2" xfId="385"/>
    <cellStyle name="40% - Акцент5 5_46EE.2011(v1.0)" xfId="386"/>
    <cellStyle name="40% - Акцент5 6" xfId="387"/>
    <cellStyle name="40% - Акцент5 6 2" xfId="388"/>
    <cellStyle name="40% - Акцент5 6_46EE.2011(v1.0)" xfId="389"/>
    <cellStyle name="40% - Акцент5 7" xfId="390"/>
    <cellStyle name="40% - Акцент5 7 2" xfId="391"/>
    <cellStyle name="40% - Акцент5 7_46EE.2011(v1.0)" xfId="392"/>
    <cellStyle name="40% - Акцент5 8" xfId="393"/>
    <cellStyle name="40% - Акцент5 8 2" xfId="394"/>
    <cellStyle name="40% - Акцент5 8_46EE.2011(v1.0)" xfId="395"/>
    <cellStyle name="40% - Акцент5 9" xfId="396"/>
    <cellStyle name="40% - Акцент5 9 2" xfId="397"/>
    <cellStyle name="40% - Акцент5 9_46EE.2011(v1.0)" xfId="398"/>
    <cellStyle name="40% — акцент6" xfId="399" builtinId="51" customBuiltin="1"/>
    <cellStyle name="40% - Акцент6 10" xfId="2202"/>
    <cellStyle name="40% - Акцент6 2" xfId="400"/>
    <cellStyle name="40% - Акцент6 2 2" xfId="401"/>
    <cellStyle name="40% - Акцент6 2_46EE.2011(v1.0)" xfId="402"/>
    <cellStyle name="40% - Акцент6 3" xfId="403"/>
    <cellStyle name="40% - Акцент6 3 2" xfId="404"/>
    <cellStyle name="40% - Акцент6 3_46EE.2011(v1.0)" xfId="405"/>
    <cellStyle name="40% - Акцент6 4" xfId="406"/>
    <cellStyle name="40% - Акцент6 4 2" xfId="407"/>
    <cellStyle name="40% - Акцент6 4_46EE.2011(v1.0)" xfId="408"/>
    <cellStyle name="40% - Акцент6 5" xfId="409"/>
    <cellStyle name="40% - Акцент6 5 2" xfId="410"/>
    <cellStyle name="40% - Акцент6 5_46EE.2011(v1.0)" xfId="411"/>
    <cellStyle name="40% - Акцент6 6" xfId="412"/>
    <cellStyle name="40% - Акцент6 6 2" xfId="413"/>
    <cellStyle name="40% - Акцент6 6_46EE.2011(v1.0)" xfId="414"/>
    <cellStyle name="40% - Акцент6 7" xfId="415"/>
    <cellStyle name="40% - Акцент6 7 2" xfId="416"/>
    <cellStyle name="40% - Акцент6 7_46EE.2011(v1.0)" xfId="417"/>
    <cellStyle name="40% - Акцент6 8" xfId="418"/>
    <cellStyle name="40% - Акцент6 8 2" xfId="419"/>
    <cellStyle name="40% - Акцент6 8_46EE.2011(v1.0)" xfId="420"/>
    <cellStyle name="40% - Акцент6 9" xfId="421"/>
    <cellStyle name="40% - Акцент6 9 2" xfId="422"/>
    <cellStyle name="40% - Акцент6 9_46EE.2011(v1.0)" xfId="423"/>
    <cellStyle name="60% - Accent1" xfId="424"/>
    <cellStyle name="60% - Accent2" xfId="425"/>
    <cellStyle name="60% - Accent3" xfId="426"/>
    <cellStyle name="60% - Accent4" xfId="427"/>
    <cellStyle name="60% - Accent5" xfId="428"/>
    <cellStyle name="60% - Accent6" xfId="429"/>
    <cellStyle name="60% — акцент1" xfId="430" builtinId="32" customBuiltin="1"/>
    <cellStyle name="60% - Акцент1 10" xfId="2203"/>
    <cellStyle name="60% - Акцент1 2" xfId="431"/>
    <cellStyle name="60% - Акцент1 2 2" xfId="432"/>
    <cellStyle name="60% - Акцент1 3" xfId="433"/>
    <cellStyle name="60% - Акцент1 3 2" xfId="434"/>
    <cellStyle name="60% - Акцент1 4" xfId="435"/>
    <cellStyle name="60% - Акцент1 4 2" xfId="436"/>
    <cellStyle name="60% - Акцент1 5" xfId="437"/>
    <cellStyle name="60% - Акцент1 5 2" xfId="438"/>
    <cellStyle name="60% - Акцент1 6" xfId="439"/>
    <cellStyle name="60% - Акцент1 6 2" xfId="440"/>
    <cellStyle name="60% - Акцент1 7" xfId="441"/>
    <cellStyle name="60% - Акцент1 7 2" xfId="442"/>
    <cellStyle name="60% - Акцент1 8" xfId="443"/>
    <cellStyle name="60% - Акцент1 8 2" xfId="444"/>
    <cellStyle name="60% - Акцент1 9" xfId="445"/>
    <cellStyle name="60% - Акцент1 9 2" xfId="446"/>
    <cellStyle name="60% — акцент2" xfId="447" builtinId="36" customBuiltin="1"/>
    <cellStyle name="60% - Акцент2 10" xfId="2204"/>
    <cellStyle name="60% - Акцент2 2" xfId="448"/>
    <cellStyle name="60% - Акцент2 2 2" xfId="449"/>
    <cellStyle name="60% - Акцент2 3" xfId="450"/>
    <cellStyle name="60% - Акцент2 3 2" xfId="451"/>
    <cellStyle name="60% - Акцент2 4" xfId="452"/>
    <cellStyle name="60% - Акцент2 4 2" xfId="453"/>
    <cellStyle name="60% - Акцент2 5" xfId="454"/>
    <cellStyle name="60% - Акцент2 5 2" xfId="455"/>
    <cellStyle name="60% - Акцент2 6" xfId="456"/>
    <cellStyle name="60% - Акцент2 6 2" xfId="457"/>
    <cellStyle name="60% - Акцент2 7" xfId="458"/>
    <cellStyle name="60% - Акцент2 7 2" xfId="459"/>
    <cellStyle name="60% - Акцент2 8" xfId="460"/>
    <cellStyle name="60% - Акцент2 8 2" xfId="461"/>
    <cellStyle name="60% - Акцент2 9" xfId="462"/>
    <cellStyle name="60% - Акцент2 9 2" xfId="463"/>
    <cellStyle name="60% — акцент3" xfId="464" builtinId="40" customBuiltin="1"/>
    <cellStyle name="60% - Акцент3 10" xfId="2205"/>
    <cellStyle name="60% - Акцент3 2" xfId="465"/>
    <cellStyle name="60% - Акцент3 2 2" xfId="466"/>
    <cellStyle name="60% - Акцент3 3" xfId="467"/>
    <cellStyle name="60% - Акцент3 3 2" xfId="468"/>
    <cellStyle name="60% - Акцент3 4" xfId="469"/>
    <cellStyle name="60% - Акцент3 4 2" xfId="470"/>
    <cellStyle name="60% - Акцент3 5" xfId="471"/>
    <cellStyle name="60% - Акцент3 5 2" xfId="472"/>
    <cellStyle name="60% - Акцент3 6" xfId="473"/>
    <cellStyle name="60% - Акцент3 6 2" xfId="474"/>
    <cellStyle name="60% - Акцент3 7" xfId="475"/>
    <cellStyle name="60% - Акцент3 7 2" xfId="476"/>
    <cellStyle name="60% - Акцент3 8" xfId="477"/>
    <cellStyle name="60% - Акцент3 8 2" xfId="478"/>
    <cellStyle name="60% - Акцент3 9" xfId="479"/>
    <cellStyle name="60% - Акцент3 9 2" xfId="480"/>
    <cellStyle name="60% — акцент4" xfId="481" builtinId="44" customBuiltin="1"/>
    <cellStyle name="60% - Акцент4 10" xfId="2206"/>
    <cellStyle name="60% - Акцент4 2" xfId="482"/>
    <cellStyle name="60% - Акцент4 2 2" xfId="483"/>
    <cellStyle name="60% - Акцент4 3" xfId="484"/>
    <cellStyle name="60% - Акцент4 3 2" xfId="485"/>
    <cellStyle name="60% - Акцент4 4" xfId="486"/>
    <cellStyle name="60% - Акцент4 4 2" xfId="487"/>
    <cellStyle name="60% - Акцент4 5" xfId="488"/>
    <cellStyle name="60% - Акцент4 5 2" xfId="489"/>
    <cellStyle name="60% - Акцент4 6" xfId="490"/>
    <cellStyle name="60% - Акцент4 6 2" xfId="491"/>
    <cellStyle name="60% - Акцент4 7" xfId="492"/>
    <cellStyle name="60% - Акцент4 7 2" xfId="493"/>
    <cellStyle name="60% - Акцент4 8" xfId="494"/>
    <cellStyle name="60% - Акцент4 8 2" xfId="495"/>
    <cellStyle name="60% - Акцент4 9" xfId="496"/>
    <cellStyle name="60% - Акцент4 9 2" xfId="497"/>
    <cellStyle name="60% — акцент5" xfId="498" builtinId="48" customBuiltin="1"/>
    <cellStyle name="60% - Акцент5 10" xfId="2207"/>
    <cellStyle name="60% - Акцент5 2" xfId="499"/>
    <cellStyle name="60% - Акцент5 2 2" xfId="500"/>
    <cellStyle name="60% - Акцент5 3" xfId="501"/>
    <cellStyle name="60% - Акцент5 3 2" xfId="502"/>
    <cellStyle name="60% - Акцент5 4" xfId="503"/>
    <cellStyle name="60% - Акцент5 4 2" xfId="504"/>
    <cellStyle name="60% - Акцент5 5" xfId="505"/>
    <cellStyle name="60% - Акцент5 5 2" xfId="506"/>
    <cellStyle name="60% - Акцент5 6" xfId="507"/>
    <cellStyle name="60% - Акцент5 6 2" xfId="508"/>
    <cellStyle name="60% - Акцент5 7" xfId="509"/>
    <cellStyle name="60% - Акцент5 7 2" xfId="510"/>
    <cellStyle name="60% - Акцент5 8" xfId="511"/>
    <cellStyle name="60% - Акцент5 8 2" xfId="512"/>
    <cellStyle name="60% - Акцент5 9" xfId="513"/>
    <cellStyle name="60% - Акцент5 9 2" xfId="514"/>
    <cellStyle name="60% — акцент6" xfId="515" builtinId="52" customBuiltin="1"/>
    <cellStyle name="60% - Акцент6 10" xfId="2208"/>
    <cellStyle name="60% - Акцент6 2" xfId="516"/>
    <cellStyle name="60% - Акцент6 2 2" xfId="517"/>
    <cellStyle name="60% - Акцент6 3" xfId="518"/>
    <cellStyle name="60% - Акцент6 3 2" xfId="519"/>
    <cellStyle name="60% - Акцент6 4" xfId="520"/>
    <cellStyle name="60% - Акцент6 4 2" xfId="521"/>
    <cellStyle name="60% - Акцент6 5" xfId="522"/>
    <cellStyle name="60% - Акцент6 5 2" xfId="523"/>
    <cellStyle name="60% - Акцент6 6" xfId="524"/>
    <cellStyle name="60% - Акцент6 6 2" xfId="525"/>
    <cellStyle name="60% - Акцент6 7" xfId="526"/>
    <cellStyle name="60% - Акцент6 7 2" xfId="527"/>
    <cellStyle name="60% - Акцент6 8" xfId="528"/>
    <cellStyle name="60% - Акцент6 8 2" xfId="529"/>
    <cellStyle name="60% - Акцент6 9" xfId="530"/>
    <cellStyle name="60% - Акцент6 9 2" xfId="531"/>
    <cellStyle name="Accent1" xfId="532"/>
    <cellStyle name="Accent2" xfId="533"/>
    <cellStyle name="Accent3" xfId="534"/>
    <cellStyle name="Accent4" xfId="535"/>
    <cellStyle name="Accent5" xfId="536"/>
    <cellStyle name="Accent6" xfId="537"/>
    <cellStyle name="Ăčďĺđńńűëęŕ" xfId="538"/>
    <cellStyle name="AFE" xfId="1858"/>
    <cellStyle name="Áĺççŕůčňíűé" xfId="539"/>
    <cellStyle name="Äĺíĺćíűé [0]_(ňŕá 3č)" xfId="540"/>
    <cellStyle name="Alilciue [0]_13F1_330" xfId="1859"/>
    <cellStyle name="Äĺíĺćíűé [0]_13F1_330" xfId="1860"/>
    <cellStyle name="Alilciue [0]_14F1_520" xfId="1861"/>
    <cellStyle name="Äĺíĺćíűé [0]_14F1_520" xfId="1862"/>
    <cellStyle name="Alilciue [0]_17F1_626" xfId="1863"/>
    <cellStyle name="Äĺíĺćíűé [0]_17F1_626" xfId="1864"/>
    <cellStyle name="Alilciue [0]_19F1_628" xfId="1865"/>
    <cellStyle name="Äĺíĺćíűé [0]_19F1_628" xfId="1866"/>
    <cellStyle name="Alilciue [0]_240_60_7" xfId="1867"/>
    <cellStyle name="Äĺíĺćíűé [0]_240_60_7" xfId="1868"/>
    <cellStyle name="Alilciue [0]_240_61DB" xfId="1869"/>
    <cellStyle name="Äĺíĺćíűé [0]_240_61DB" xfId="1870"/>
    <cellStyle name="Alilciue [0]_5F1_140" xfId="1871"/>
    <cellStyle name="Äĺíĺćíűé [0]_5F1_140" xfId="1872"/>
    <cellStyle name="Alilciue [0]_620_60_7" xfId="1873"/>
    <cellStyle name="Äĺíĺćíűé [0]_620_60_7" xfId="1874"/>
    <cellStyle name="Alilciue [0]_TMP626" xfId="1875"/>
    <cellStyle name="Äĺíĺćíűé [0]_TMP626" xfId="1876"/>
    <cellStyle name="Äĺíĺćíűé_(ňŕá 3č)" xfId="541"/>
    <cellStyle name="Alilciue_10F1_250" xfId="1877"/>
    <cellStyle name="Äĺíĺćíűé_10F1_250" xfId="1878"/>
    <cellStyle name="Alilciue_13F1_330" xfId="1879"/>
    <cellStyle name="Äĺíĺćíűé_13F1_330" xfId="1880"/>
    <cellStyle name="Alilciue_14F1_520" xfId="1881"/>
    <cellStyle name="Äĺíĺćíűé_14F1_520" xfId="1882"/>
    <cellStyle name="Alilciue_17F1_626" xfId="1883"/>
    <cellStyle name="Äĺíĺćíűé_17F1_626" xfId="1884"/>
    <cellStyle name="Alilciue_19F1_628" xfId="1885"/>
    <cellStyle name="Äĺíĺćíűé_19F1_628" xfId="1886"/>
    <cellStyle name="Alilciue_240_60_7" xfId="1887"/>
    <cellStyle name="Äĺíĺćíűé_240_60_7" xfId="1888"/>
    <cellStyle name="Alilciue_240_61DB" xfId="1889"/>
    <cellStyle name="Äĺíĺćíűé_240_61DB" xfId="1890"/>
    <cellStyle name="Alilciue_5F1_140" xfId="1891"/>
    <cellStyle name="Äĺíĺćíűé_5F1_140" xfId="1892"/>
    <cellStyle name="Alilciue_620_60_7" xfId="1893"/>
    <cellStyle name="Äĺíĺćíűé_620_60_7" xfId="1894"/>
    <cellStyle name="Alilciue_TMP626" xfId="1895"/>
    <cellStyle name="Äĺíĺćíűé_TMP626" xfId="1896"/>
    <cellStyle name="Bad" xfId="542"/>
    <cellStyle name="CALC Amount" xfId="1897"/>
    <cellStyle name="CALC Amount [1]" xfId="1898"/>
    <cellStyle name="CALC Amount [2]" xfId="1899"/>
    <cellStyle name="CALC Amount Total" xfId="1900"/>
    <cellStyle name="CALC Amount Total [1]" xfId="1901"/>
    <cellStyle name="CALC Amount Total [1] 2" xfId="2545"/>
    <cellStyle name="CALC Amount Total [1] 2 2" xfId="2783"/>
    <cellStyle name="CALC Amount Total [1] 2 3" xfId="2994"/>
    <cellStyle name="CALC Amount Total [1] 3" xfId="2544"/>
    <cellStyle name="CALC Amount Total [1] 3 2" xfId="2782"/>
    <cellStyle name="CALC Amount Total [1] 3 3" xfId="2993"/>
    <cellStyle name="CALC Amount Total [1] 4" xfId="2497"/>
    <cellStyle name="CALC Amount Total [2]" xfId="1902"/>
    <cellStyle name="CALC Amount Total [2] 2" xfId="2547"/>
    <cellStyle name="CALC Amount Total [2] 2 2" xfId="2785"/>
    <cellStyle name="CALC Amount Total [2] 2 3" xfId="2996"/>
    <cellStyle name="CALC Amount Total [2] 3" xfId="2546"/>
    <cellStyle name="CALC Amount Total [2] 3 2" xfId="2784"/>
    <cellStyle name="CALC Amount Total [2] 3 3" xfId="2995"/>
    <cellStyle name="CALC Amount Total [2] 4" xfId="2498"/>
    <cellStyle name="CALC Amount Total 2" xfId="2548"/>
    <cellStyle name="CALC Amount Total 2 2" xfId="2786"/>
    <cellStyle name="CALC Amount Total 2 3" xfId="2997"/>
    <cellStyle name="CALC Amount Total 3" xfId="2543"/>
    <cellStyle name="CALC Amount Total 3 2" xfId="2781"/>
    <cellStyle name="CALC Amount Total 3 3" xfId="2992"/>
    <cellStyle name="CALC Amount Total 4" xfId="2542"/>
    <cellStyle name="CALC Amount Total 4 2" xfId="2780"/>
    <cellStyle name="CALC Amount Total 4 3" xfId="2991"/>
    <cellStyle name="CALC Amount Total 5" xfId="2496"/>
    <cellStyle name="CALC Amount Total 6" xfId="2487"/>
    <cellStyle name="CALC Amount Total 7" xfId="2488"/>
    <cellStyle name="CALC Currency" xfId="1903"/>
    <cellStyle name="CALC Currency [1]" xfId="1904"/>
    <cellStyle name="CALC Currency [2]" xfId="1905"/>
    <cellStyle name="CALC Currency Total" xfId="1906"/>
    <cellStyle name="CALC Currency Total [1]" xfId="1907"/>
    <cellStyle name="CALC Currency Total [1] 2" xfId="2551"/>
    <cellStyle name="CALC Currency Total [1] 2 2" xfId="2789"/>
    <cellStyle name="CALC Currency Total [1] 2 3" xfId="3000"/>
    <cellStyle name="CALC Currency Total [1] 3" xfId="2550"/>
    <cellStyle name="CALC Currency Total [1] 3 2" xfId="2788"/>
    <cellStyle name="CALC Currency Total [1] 3 3" xfId="2999"/>
    <cellStyle name="CALC Currency Total [1] 4" xfId="2500"/>
    <cellStyle name="CALC Currency Total [2]" xfId="1908"/>
    <cellStyle name="CALC Currency Total [2] 2" xfId="2553"/>
    <cellStyle name="CALC Currency Total [2] 2 2" xfId="2791"/>
    <cellStyle name="CALC Currency Total [2] 2 3" xfId="3002"/>
    <cellStyle name="CALC Currency Total [2] 3" xfId="2552"/>
    <cellStyle name="CALC Currency Total [2] 3 2" xfId="2790"/>
    <cellStyle name="CALC Currency Total [2] 3 3" xfId="3001"/>
    <cellStyle name="CALC Currency Total [2] 4" xfId="2501"/>
    <cellStyle name="CALC Currency Total 2" xfId="2554"/>
    <cellStyle name="CALC Currency Total 2 2" xfId="2792"/>
    <cellStyle name="CALC Currency Total 2 3" xfId="3003"/>
    <cellStyle name="CALC Currency Total 3" xfId="2549"/>
    <cellStyle name="CALC Currency Total 3 2" xfId="2787"/>
    <cellStyle name="CALC Currency Total 3 3" xfId="2998"/>
    <cellStyle name="CALC Currency Total 4" xfId="2541"/>
    <cellStyle name="CALC Currency Total 4 2" xfId="2779"/>
    <cellStyle name="CALC Currency Total 4 3" xfId="2990"/>
    <cellStyle name="CALC Currency Total 5" xfId="2499"/>
    <cellStyle name="CALC Currency Total 6" xfId="2486"/>
    <cellStyle name="CALC Currency Total 7" xfId="2489"/>
    <cellStyle name="CALC Date Long" xfId="1909"/>
    <cellStyle name="CALC Date Short" xfId="1910"/>
    <cellStyle name="CALC Percent" xfId="1911"/>
    <cellStyle name="CALC Percent [1]" xfId="1912"/>
    <cellStyle name="CALC Percent [2]" xfId="1913"/>
    <cellStyle name="CALC Percent Total" xfId="1914"/>
    <cellStyle name="CALC Percent Total [1]" xfId="1915"/>
    <cellStyle name="CALC Percent Total [1] 2" xfId="2557"/>
    <cellStyle name="CALC Percent Total [1] 2 2" xfId="2795"/>
    <cellStyle name="CALC Percent Total [1] 2 3" xfId="3006"/>
    <cellStyle name="CALC Percent Total [1] 3" xfId="2556"/>
    <cellStyle name="CALC Percent Total [1] 3 2" xfId="2794"/>
    <cellStyle name="CALC Percent Total [1] 3 3" xfId="3005"/>
    <cellStyle name="CALC Percent Total [1] 4" xfId="2503"/>
    <cellStyle name="CALC Percent Total [2]" xfId="1916"/>
    <cellStyle name="CALC Percent Total [2] 2" xfId="2559"/>
    <cellStyle name="CALC Percent Total [2] 2 2" xfId="2797"/>
    <cellStyle name="CALC Percent Total [2] 2 3" xfId="3008"/>
    <cellStyle name="CALC Percent Total [2] 3" xfId="2558"/>
    <cellStyle name="CALC Percent Total [2] 3 2" xfId="2796"/>
    <cellStyle name="CALC Percent Total [2] 3 3" xfId="3007"/>
    <cellStyle name="CALC Percent Total [2] 4" xfId="2504"/>
    <cellStyle name="CALC Percent Total 2" xfId="2560"/>
    <cellStyle name="CALC Percent Total 2 2" xfId="2798"/>
    <cellStyle name="CALC Percent Total 2 3" xfId="3009"/>
    <cellStyle name="CALC Percent Total 3" xfId="2555"/>
    <cellStyle name="CALC Percent Total 3 2" xfId="2793"/>
    <cellStyle name="CALC Percent Total 3 3" xfId="3004"/>
    <cellStyle name="CALC Percent Total 4" xfId="2540"/>
    <cellStyle name="CALC Percent Total 4 2" xfId="2778"/>
    <cellStyle name="CALC Percent Total 4 3" xfId="2989"/>
    <cellStyle name="CALC Percent Total 5" xfId="2502"/>
    <cellStyle name="CALC Percent Total 6" xfId="2485"/>
    <cellStyle name="CALC Percent Total 7" xfId="2490"/>
    <cellStyle name="Calculation" xfId="543"/>
    <cellStyle name="Calculation 2" xfId="2561"/>
    <cellStyle name="Calculation 2 2" xfId="2799"/>
    <cellStyle name="Calculation 2 3" xfId="3010"/>
    <cellStyle name="Calculation 3" xfId="2313"/>
    <cellStyle name="Check Cell" xfId="544"/>
    <cellStyle name="Cniac" xfId="1917"/>
    <cellStyle name="Comma" xfId="3260"/>
    <cellStyle name="Comma  - Style1" xfId="1918"/>
    <cellStyle name="Comma  - Style2" xfId="1919"/>
    <cellStyle name="Comma  - Style3" xfId="1920"/>
    <cellStyle name="Comma  - Style4" xfId="1921"/>
    <cellStyle name="Comma  - Style5" xfId="1922"/>
    <cellStyle name="Comma  - Style6" xfId="1923"/>
    <cellStyle name="Comma  - Style7" xfId="1924"/>
    <cellStyle name="Comma  - Style8" xfId="1925"/>
    <cellStyle name="Comma [0]" xfId="3261"/>
    <cellStyle name="Comma_0_Cash" xfId="1926"/>
    <cellStyle name="Comma0" xfId="545"/>
    <cellStyle name="Çŕůčňíűé" xfId="546"/>
    <cellStyle name="Currency" xfId="3262"/>
    <cellStyle name="Currency [0]" xfId="547"/>
    <cellStyle name="Currency [0] 2" xfId="548"/>
    <cellStyle name="Currency [0] 2 2" xfId="549"/>
    <cellStyle name="Currency [0] 2 2 2" xfId="1378"/>
    <cellStyle name="Currency [0] 2 3" xfId="550"/>
    <cellStyle name="Currency [0] 2 3 2" xfId="1379"/>
    <cellStyle name="Currency [0] 2 4" xfId="551"/>
    <cellStyle name="Currency [0] 2 4 2" xfId="1380"/>
    <cellStyle name="Currency [0] 2 5" xfId="552"/>
    <cellStyle name="Currency [0] 2 5 2" xfId="1381"/>
    <cellStyle name="Currency [0] 2 6" xfId="553"/>
    <cellStyle name="Currency [0] 2 6 2" xfId="1382"/>
    <cellStyle name="Currency [0] 2 7" xfId="554"/>
    <cellStyle name="Currency [0] 2 7 2" xfId="1383"/>
    <cellStyle name="Currency [0] 2 8" xfId="555"/>
    <cellStyle name="Currency [0] 2 8 2" xfId="1384"/>
    <cellStyle name="Currency [0] 2 9" xfId="1377"/>
    <cellStyle name="Currency [0] 3" xfId="556"/>
    <cellStyle name="Currency [0] 3 2" xfId="557"/>
    <cellStyle name="Currency [0] 3 2 2" xfId="1386"/>
    <cellStyle name="Currency [0] 3 3" xfId="558"/>
    <cellStyle name="Currency [0] 3 3 2" xfId="1387"/>
    <cellStyle name="Currency [0] 3 4" xfId="559"/>
    <cellStyle name="Currency [0] 3 4 2" xfId="1388"/>
    <cellStyle name="Currency [0] 3 5" xfId="560"/>
    <cellStyle name="Currency [0] 3 5 2" xfId="1389"/>
    <cellStyle name="Currency [0] 3 6" xfId="561"/>
    <cellStyle name="Currency [0] 3 6 2" xfId="1390"/>
    <cellStyle name="Currency [0] 3 7" xfId="562"/>
    <cellStyle name="Currency [0] 3 7 2" xfId="1391"/>
    <cellStyle name="Currency [0] 3 8" xfId="563"/>
    <cellStyle name="Currency [0] 3 8 2" xfId="1392"/>
    <cellStyle name="Currency [0] 3 9" xfId="1385"/>
    <cellStyle name="Currency [0] 4" xfId="564"/>
    <cellStyle name="Currency [0] 4 2" xfId="565"/>
    <cellStyle name="Currency [0] 4 2 2" xfId="1394"/>
    <cellStyle name="Currency [0] 4 3" xfId="566"/>
    <cellStyle name="Currency [0] 4 3 2" xfId="1395"/>
    <cellStyle name="Currency [0] 4 4" xfId="567"/>
    <cellStyle name="Currency [0] 4 4 2" xfId="1396"/>
    <cellStyle name="Currency [0] 4 5" xfId="568"/>
    <cellStyle name="Currency [0] 4 5 2" xfId="1397"/>
    <cellStyle name="Currency [0] 4 6" xfId="569"/>
    <cellStyle name="Currency [0] 4 6 2" xfId="1398"/>
    <cellStyle name="Currency [0] 4 7" xfId="570"/>
    <cellStyle name="Currency [0] 4 7 2" xfId="1399"/>
    <cellStyle name="Currency [0] 4 8" xfId="571"/>
    <cellStyle name="Currency [0] 4 8 2" xfId="1400"/>
    <cellStyle name="Currency [0] 4 9" xfId="1393"/>
    <cellStyle name="Currency [0] 5" xfId="572"/>
    <cellStyle name="Currency [0] 5 2" xfId="573"/>
    <cellStyle name="Currency [0] 5 2 2" xfId="1402"/>
    <cellStyle name="Currency [0] 5 3" xfId="574"/>
    <cellStyle name="Currency [0] 5 3 2" xfId="1403"/>
    <cellStyle name="Currency [0] 5 4" xfId="575"/>
    <cellStyle name="Currency [0] 5 4 2" xfId="1404"/>
    <cellStyle name="Currency [0] 5 5" xfId="576"/>
    <cellStyle name="Currency [0] 5 5 2" xfId="1405"/>
    <cellStyle name="Currency [0] 5 6" xfId="577"/>
    <cellStyle name="Currency [0] 5 6 2" xfId="1406"/>
    <cellStyle name="Currency [0] 5 7" xfId="578"/>
    <cellStyle name="Currency [0] 5 7 2" xfId="1407"/>
    <cellStyle name="Currency [0] 5 8" xfId="579"/>
    <cellStyle name="Currency [0] 5 8 2" xfId="1408"/>
    <cellStyle name="Currency [0] 5 9" xfId="1401"/>
    <cellStyle name="Currency [0] 6" xfId="580"/>
    <cellStyle name="Currency [0] 6 2" xfId="581"/>
    <cellStyle name="Currency [0] 6 2 2" xfId="1410"/>
    <cellStyle name="Currency [0] 6 3" xfId="1409"/>
    <cellStyle name="Currency [0] 7" xfId="582"/>
    <cellStyle name="Currency [0] 7 2" xfId="583"/>
    <cellStyle name="Currency [0] 7 2 2" xfId="1412"/>
    <cellStyle name="Currency [0] 7 3" xfId="1411"/>
    <cellStyle name="Currency [0] 8" xfId="584"/>
    <cellStyle name="Currency [0] 8 2" xfId="585"/>
    <cellStyle name="Currency [0] 8 2 2" xfId="1414"/>
    <cellStyle name="Currency [0] 8 3" xfId="1413"/>
    <cellStyle name="Currency_0_Cash" xfId="1927"/>
    <cellStyle name="Currency0" xfId="586"/>
    <cellStyle name="DATA Amount" xfId="1928"/>
    <cellStyle name="DATA Amount [1]" xfId="1929"/>
    <cellStyle name="DATA Amount [2]" xfId="1930"/>
    <cellStyle name="DATA Currency" xfId="1931"/>
    <cellStyle name="DATA Currency [1]" xfId="1932"/>
    <cellStyle name="DATA Currency [2]" xfId="1933"/>
    <cellStyle name="DATA Date Long" xfId="1934"/>
    <cellStyle name="DATA Date Short" xfId="1935"/>
    <cellStyle name="DATA List" xfId="1936"/>
    <cellStyle name="DATA Memo" xfId="1937"/>
    <cellStyle name="DATA Percent" xfId="1938"/>
    <cellStyle name="DATA Percent [1]" xfId="1939"/>
    <cellStyle name="DATA Percent [2]" xfId="1940"/>
    <cellStyle name="DATA Text" xfId="1941"/>
    <cellStyle name="DATA Version" xfId="1942"/>
    <cellStyle name="Date" xfId="587"/>
    <cellStyle name="Dates" xfId="588"/>
    <cellStyle name="Diacraieiaie" xfId="1943"/>
    <cellStyle name="E-mail" xfId="589"/>
    <cellStyle name="E-mail 2" xfId="3263"/>
    <cellStyle name="Euro" xfId="590"/>
    <cellStyle name="Excel Built-in Normal" xfId="3264"/>
    <cellStyle name="Explanatory Text" xfId="591"/>
    <cellStyle name="F2" xfId="592"/>
    <cellStyle name="F3" xfId="593"/>
    <cellStyle name="F4" xfId="594"/>
    <cellStyle name="F5" xfId="595"/>
    <cellStyle name="F6" xfId="596"/>
    <cellStyle name="F7" xfId="597"/>
    <cellStyle name="F8" xfId="598"/>
    <cellStyle name="Fixed" xfId="599"/>
    <cellStyle name="Flag" xfId="1944"/>
    <cellStyle name="Followed Hyperlink" xfId="1945"/>
    <cellStyle name="form" xfId="1946"/>
    <cellStyle name="Good" xfId="600"/>
    <cellStyle name="Grey" xfId="1947"/>
    <cellStyle name="Group1" xfId="1948"/>
    <cellStyle name="Heading" xfId="601"/>
    <cellStyle name="Heading 1" xfId="602"/>
    <cellStyle name="HEADING 1 REPORT" xfId="1949"/>
    <cellStyle name="Heading 2" xfId="603"/>
    <cellStyle name="Heading 3" xfId="604"/>
    <cellStyle name="Heading 4" xfId="605"/>
    <cellStyle name="Heading2" xfId="606"/>
    <cellStyle name="Heading2 2" xfId="3265"/>
    <cellStyle name="Headline I" xfId="1950"/>
    <cellStyle name="Headline II" xfId="1951"/>
    <cellStyle name="Headline III" xfId="1952"/>
    <cellStyle name="Hyperlink" xfId="1953"/>
    <cellStyle name="Iau?iue_0_SODERJ" xfId="1954"/>
    <cellStyle name="Iau?iue1" xfId="1955"/>
    <cellStyle name="Îáű÷íűé__FES" xfId="607"/>
    <cellStyle name="Îňęđűâŕâřŕ˙ń˙ ăčďĺđńńűëęŕ" xfId="608"/>
    <cellStyle name="Iniiar nraecou" xfId="1956"/>
    <cellStyle name="Input" xfId="609"/>
    <cellStyle name="Input [yellow]" xfId="1957"/>
    <cellStyle name="Input [yellow] 2" xfId="2563"/>
    <cellStyle name="Input [yellow] 2 2" xfId="2801"/>
    <cellStyle name="Input [yellow] 2 3" xfId="3012"/>
    <cellStyle name="Input [yellow] 3" xfId="2505"/>
    <cellStyle name="Input [yellow] 4" xfId="3266"/>
    <cellStyle name="Input 2" xfId="2562"/>
    <cellStyle name="Input 2 2" xfId="2800"/>
    <cellStyle name="Input 2 3" xfId="3011"/>
    <cellStyle name="Input 3" xfId="2539"/>
    <cellStyle name="Input 3 2" xfId="2777"/>
    <cellStyle name="Input 3 3" xfId="2988"/>
    <cellStyle name="Input 4" xfId="2315"/>
    <cellStyle name="Input 5" xfId="2407"/>
    <cellStyle name="Input 6" xfId="2495"/>
    <cellStyle name="Inputs" xfId="610"/>
    <cellStyle name="Inputs (const)" xfId="611"/>
    <cellStyle name="Inputs (const) 2" xfId="3267"/>
    <cellStyle name="Inputs 2" xfId="3268"/>
    <cellStyle name="Inputs Co" xfId="612"/>
    <cellStyle name="Inputs_46EE.2011(v1.0)" xfId="613"/>
    <cellStyle name="LABEL Normal" xfId="1958"/>
    <cellStyle name="LABEL Note" xfId="1959"/>
    <cellStyle name="LABEL Units" xfId="1960"/>
    <cellStyle name="Linked Cell" xfId="614"/>
    <cellStyle name="Moneda [0]_VERA" xfId="1961"/>
    <cellStyle name="Moneda_VERA" xfId="1962"/>
    <cellStyle name="Neiciue craieiaie" xfId="1963"/>
    <cellStyle name="Neutral" xfId="615"/>
    <cellStyle name="normal" xfId="616"/>
    <cellStyle name="Normal - Style1" xfId="1964"/>
    <cellStyle name="Normal 10" xfId="1430"/>
    <cellStyle name="normal 11" xfId="3269"/>
    <cellStyle name="normal 12" xfId="3270"/>
    <cellStyle name="normal 13" xfId="3271"/>
    <cellStyle name="normal 14" xfId="3272"/>
    <cellStyle name="Normal 2" xfId="617"/>
    <cellStyle name="normal 3" xfId="618"/>
    <cellStyle name="normal 4" xfId="619"/>
    <cellStyle name="normal 5" xfId="620"/>
    <cellStyle name="normal 6" xfId="621"/>
    <cellStyle name="normal 7" xfId="622"/>
    <cellStyle name="normal 8" xfId="623"/>
    <cellStyle name="normal 9" xfId="624"/>
    <cellStyle name="Normal_~0058959" xfId="1965"/>
    <cellStyle name="Normal1" xfId="625"/>
    <cellStyle name="normбlnм_laroux" xfId="626"/>
    <cellStyle name="Note" xfId="627"/>
    <cellStyle name="Note 2" xfId="2564"/>
    <cellStyle name="Note 2 2" xfId="2802"/>
    <cellStyle name="Note 2 3" xfId="3013"/>
    <cellStyle name="Note 3" xfId="2316"/>
    <cellStyle name="Ôčíŕíńîâűé [0]_(ňŕá 3č)" xfId="628"/>
    <cellStyle name="Ociriniaue [0]_10F1_250" xfId="1966"/>
    <cellStyle name="Ôčíŕíńîâűé [0]_10F1_250" xfId="1967"/>
    <cellStyle name="Ociriniaue [0]_13F1_330" xfId="1968"/>
    <cellStyle name="Ôčíŕíńîâűé [0]_13F1_330" xfId="1969"/>
    <cellStyle name="Ociriniaue [0]_14F1_520" xfId="1970"/>
    <cellStyle name="Ôčíŕíńîâűé [0]_14F1_520" xfId="1971"/>
    <cellStyle name="Ociriniaue [0]_14F1_520 2" xfId="3273"/>
    <cellStyle name="Ôčíŕíńîâűé [0]_14F1_520 2" xfId="3274"/>
    <cellStyle name="Ociriniaue [0]_14F1_520 3" xfId="3275"/>
    <cellStyle name="Ôčíŕíńîâűé [0]_14F1_520 3" xfId="3276"/>
    <cellStyle name="Ociriniaue [0]_14F1_520 4" xfId="3277"/>
    <cellStyle name="Ôčíŕíńîâűé [0]_14F1_520 4" xfId="3278"/>
    <cellStyle name="Ociriniaue [0]_17F1_626" xfId="1972"/>
    <cellStyle name="Ôčíŕíńîâűé [0]_17F1_626" xfId="1973"/>
    <cellStyle name="Ociriniaue [0]_17F1_626 2" xfId="3279"/>
    <cellStyle name="Ôčíŕíńîâűé [0]_17F1_626 2" xfId="3280"/>
    <cellStyle name="Ociriniaue [0]_17F1_626 3" xfId="3281"/>
    <cellStyle name="Ôčíŕíńîâűé [0]_17F1_626 3" xfId="3282"/>
    <cellStyle name="Ociriniaue [0]_17F1_626 4" xfId="3283"/>
    <cellStyle name="Ôčíŕíńîâűé [0]_17F1_626 4" xfId="3284"/>
    <cellStyle name="Ociriniaue [0]_19F1_628" xfId="1974"/>
    <cellStyle name="Ôčíŕíńîâűé [0]_19F1_628" xfId="1975"/>
    <cellStyle name="Ociriniaue [0]_19F1_628 2" xfId="3285"/>
    <cellStyle name="Ôčíŕíńîâűé [0]_19F1_628 2" xfId="3286"/>
    <cellStyle name="Ociriniaue [0]_19F1_628 3" xfId="3287"/>
    <cellStyle name="Ôčíŕíńîâűé [0]_19F1_628 3" xfId="3288"/>
    <cellStyle name="Ociriniaue [0]_19F1_628 4" xfId="3289"/>
    <cellStyle name="Ôčíŕíńîâűé [0]_19F1_628 4" xfId="3290"/>
    <cellStyle name="Ociriniaue [0]_240_60_7" xfId="1976"/>
    <cellStyle name="Ôčíŕíńîâűé [0]_240_60_7" xfId="1977"/>
    <cellStyle name="Ociriniaue [0]_240_61DB" xfId="1978"/>
    <cellStyle name="Ôčíŕíńîâűé [0]_240_61DB" xfId="1979"/>
    <cellStyle name="Ociriniaue [0]_5-C" xfId="1980"/>
    <cellStyle name="Ôčíŕíńîâűé [0]_5F1_140" xfId="1981"/>
    <cellStyle name="Ociriniaue [0]_620_60_7" xfId="1982"/>
    <cellStyle name="Ôčíŕíńîâűé [0]_620_60_7" xfId="1983"/>
    <cellStyle name="Ociriniaue [0]_TMP626" xfId="1984"/>
    <cellStyle name="Ôčíŕíńîâűé [0]_TMP626" xfId="1985"/>
    <cellStyle name="Ôčíŕíńîâűé_(ňŕá 3č)" xfId="629"/>
    <cellStyle name="Ociriniaue_10F1_250" xfId="1986"/>
    <cellStyle name="Ôčíŕíńîâűé_10F1_250" xfId="1987"/>
    <cellStyle name="Ociriniaue_13F1_330" xfId="1988"/>
    <cellStyle name="Ôčíŕíńîâűé_13F1_330" xfId="1989"/>
    <cellStyle name="Ociriniaue_14F1_520" xfId="1990"/>
    <cellStyle name="Ôčíŕíńîâűé_14F1_520" xfId="1991"/>
    <cellStyle name="Ociriniaue_14F1_520 2" xfId="3291"/>
    <cellStyle name="Ôčíŕíńîâűé_14F1_520 2" xfId="3292"/>
    <cellStyle name="Ociriniaue_14F1_520 3" xfId="3293"/>
    <cellStyle name="Ôčíŕíńîâűé_14F1_520 3" xfId="3294"/>
    <cellStyle name="Ociriniaue_14F1_520 4" xfId="3295"/>
    <cellStyle name="Ôčíŕíńîâűé_14F1_520 4" xfId="3296"/>
    <cellStyle name="Ociriniaue_17F1_626" xfId="1992"/>
    <cellStyle name="Ôčíŕíńîâűé_17F1_626" xfId="1993"/>
    <cellStyle name="Ociriniaue_17F1_626 2" xfId="3297"/>
    <cellStyle name="Ôčíŕíńîâűé_17F1_626 2" xfId="3298"/>
    <cellStyle name="Ociriniaue_17F1_626 3" xfId="3299"/>
    <cellStyle name="Ôčíŕíńîâűé_17F1_626 3" xfId="3300"/>
    <cellStyle name="Ociriniaue_17F1_626 4" xfId="3301"/>
    <cellStyle name="Ôčíŕíńîâűé_17F1_626 4" xfId="3302"/>
    <cellStyle name="Ociriniaue_19F1_628" xfId="1994"/>
    <cellStyle name="Ôčíŕíńîâűé_19F1_628" xfId="1995"/>
    <cellStyle name="Ociriniaue_19F1_628 2" xfId="3303"/>
    <cellStyle name="Ôčíŕíńîâűé_19F1_628 2" xfId="3304"/>
    <cellStyle name="Ociriniaue_19F1_628 3" xfId="3305"/>
    <cellStyle name="Ôčíŕíńîâűé_19F1_628 3" xfId="3306"/>
    <cellStyle name="Ociriniaue_19F1_628 4" xfId="3307"/>
    <cellStyle name="Ôčíŕíńîâűé_19F1_628 4" xfId="3308"/>
    <cellStyle name="Ociriniaue_240_60_7" xfId="1996"/>
    <cellStyle name="Ôčíŕíńîâűé_240_60_7" xfId="1997"/>
    <cellStyle name="Ociriniaue_240_61DB" xfId="1998"/>
    <cellStyle name="Ôčíŕíńîâűé_240_61DB" xfId="1999"/>
    <cellStyle name="Ociriniaue_5-C" xfId="2000"/>
    <cellStyle name="Ôčíŕíńîâűé_5F1_140" xfId="2001"/>
    <cellStyle name="Ociriniaue_620_60_7" xfId="2002"/>
    <cellStyle name="Ôčíŕíńîâűé_620_60_7" xfId="2003"/>
    <cellStyle name="Ociriniaue_TMP626" xfId="2004"/>
    <cellStyle name="Ôčíŕíńîâűé_TMP626" xfId="2005"/>
    <cellStyle name="Option" xfId="2006"/>
    <cellStyle name="OptionHeading" xfId="2007"/>
    <cellStyle name="Output" xfId="630"/>
    <cellStyle name="Output 2" xfId="2565"/>
    <cellStyle name="Output 2 2" xfId="2803"/>
    <cellStyle name="Output 2 3" xfId="3014"/>
    <cellStyle name="Output 3" xfId="2317"/>
    <cellStyle name="Percent" xfId="3309"/>
    <cellStyle name="Percent [2]" xfId="2008"/>
    <cellStyle name="Price_Body" xfId="631"/>
    <cellStyle name="Product" xfId="2009"/>
    <cellStyle name="S0" xfId="2010"/>
    <cellStyle name="S1" xfId="2011"/>
    <cellStyle name="S10" xfId="2012"/>
    <cellStyle name="S11" xfId="2013"/>
    <cellStyle name="S12" xfId="2014"/>
    <cellStyle name="S13" xfId="2015"/>
    <cellStyle name="S14" xfId="2016"/>
    <cellStyle name="S15" xfId="2017"/>
    <cellStyle name="S16" xfId="2018"/>
    <cellStyle name="S17" xfId="2019"/>
    <cellStyle name="S18" xfId="2020"/>
    <cellStyle name="S19" xfId="2021"/>
    <cellStyle name="S2" xfId="2022"/>
    <cellStyle name="S20" xfId="2023"/>
    <cellStyle name="S21" xfId="2024"/>
    <cellStyle name="S22" xfId="2025"/>
    <cellStyle name="S23" xfId="2026"/>
    <cellStyle name="S24" xfId="2027"/>
    <cellStyle name="S25" xfId="2028"/>
    <cellStyle name="S26" xfId="2029"/>
    <cellStyle name="S27" xfId="2030"/>
    <cellStyle name="S3" xfId="2031"/>
    <cellStyle name="S4" xfId="2032"/>
    <cellStyle name="S5" xfId="2033"/>
    <cellStyle name="S6" xfId="2034"/>
    <cellStyle name="S7" xfId="2035"/>
    <cellStyle name="S8" xfId="2036"/>
    <cellStyle name="S9" xfId="2037"/>
    <cellStyle name="SAPBEXaggData" xfId="632"/>
    <cellStyle name="SAPBEXaggData 2" xfId="2566"/>
    <cellStyle name="SAPBEXaggData 2 2" xfId="2804"/>
    <cellStyle name="SAPBEXaggData 2 3" xfId="3015"/>
    <cellStyle name="SAPBEXaggData 3" xfId="2318"/>
    <cellStyle name="SAPBEXaggDataEmph" xfId="633"/>
    <cellStyle name="SAPBEXaggDataEmph 2" xfId="2567"/>
    <cellStyle name="SAPBEXaggDataEmph 2 2" xfId="2805"/>
    <cellStyle name="SAPBEXaggDataEmph 2 3" xfId="3016"/>
    <cellStyle name="SAPBEXaggDataEmph 3" xfId="2319"/>
    <cellStyle name="SAPBEXaggItem" xfId="634"/>
    <cellStyle name="SAPBEXaggItem 2" xfId="2568"/>
    <cellStyle name="SAPBEXaggItem 2 2" xfId="2806"/>
    <cellStyle name="SAPBEXaggItem 2 3" xfId="3017"/>
    <cellStyle name="SAPBEXaggItem 3" xfId="2320"/>
    <cellStyle name="SAPBEXaggItemX" xfId="635"/>
    <cellStyle name="SAPBEXaggItemX 2" xfId="2569"/>
    <cellStyle name="SAPBEXaggItemX 2 2" xfId="2807"/>
    <cellStyle name="SAPBEXaggItemX 2 3" xfId="3018"/>
    <cellStyle name="SAPBEXaggItemX 3" xfId="2321"/>
    <cellStyle name="SAPBEXchaText" xfId="636"/>
    <cellStyle name="SAPBEXchaText 2" xfId="2570"/>
    <cellStyle name="SAPBEXchaText 2 2" xfId="2808"/>
    <cellStyle name="SAPBEXchaText 2 3" xfId="3019"/>
    <cellStyle name="SAPBEXchaText 3" xfId="2322"/>
    <cellStyle name="SAPBEXexcBad7" xfId="637"/>
    <cellStyle name="SAPBEXexcBad7 2" xfId="2571"/>
    <cellStyle name="SAPBEXexcBad7 2 2" xfId="2809"/>
    <cellStyle name="SAPBEXexcBad7 2 3" xfId="3020"/>
    <cellStyle name="SAPBEXexcBad7 3" xfId="2323"/>
    <cellStyle name="SAPBEXexcBad8" xfId="638"/>
    <cellStyle name="SAPBEXexcBad8 2" xfId="2572"/>
    <cellStyle name="SAPBEXexcBad8 2 2" xfId="2810"/>
    <cellStyle name="SAPBEXexcBad8 2 3" xfId="3021"/>
    <cellStyle name="SAPBEXexcBad8 3" xfId="2324"/>
    <cellStyle name="SAPBEXexcBad9" xfId="639"/>
    <cellStyle name="SAPBEXexcBad9 2" xfId="2573"/>
    <cellStyle name="SAPBEXexcBad9 2 2" xfId="2811"/>
    <cellStyle name="SAPBEXexcBad9 2 3" xfId="3022"/>
    <cellStyle name="SAPBEXexcBad9 3" xfId="2325"/>
    <cellStyle name="SAPBEXexcCritical4" xfId="640"/>
    <cellStyle name="SAPBEXexcCritical4 2" xfId="2574"/>
    <cellStyle name="SAPBEXexcCritical4 2 2" xfId="2812"/>
    <cellStyle name="SAPBEXexcCritical4 2 3" xfId="3023"/>
    <cellStyle name="SAPBEXexcCritical4 3" xfId="2326"/>
    <cellStyle name="SAPBEXexcCritical5" xfId="641"/>
    <cellStyle name="SAPBEXexcCritical5 2" xfId="2575"/>
    <cellStyle name="SAPBEXexcCritical5 2 2" xfId="2813"/>
    <cellStyle name="SAPBEXexcCritical5 2 3" xfId="3024"/>
    <cellStyle name="SAPBEXexcCritical5 3" xfId="2327"/>
    <cellStyle name="SAPBEXexcCritical6" xfId="642"/>
    <cellStyle name="SAPBEXexcCritical6 2" xfId="2576"/>
    <cellStyle name="SAPBEXexcCritical6 2 2" xfId="2814"/>
    <cellStyle name="SAPBEXexcCritical6 2 3" xfId="3025"/>
    <cellStyle name="SAPBEXexcCritical6 3" xfId="2328"/>
    <cellStyle name="SAPBEXexcGood1" xfId="643"/>
    <cellStyle name="SAPBEXexcGood1 2" xfId="2577"/>
    <cellStyle name="SAPBEXexcGood1 2 2" xfId="2815"/>
    <cellStyle name="SAPBEXexcGood1 2 3" xfId="3026"/>
    <cellStyle name="SAPBEXexcGood1 3" xfId="2329"/>
    <cellStyle name="SAPBEXexcGood2" xfId="644"/>
    <cellStyle name="SAPBEXexcGood2 2" xfId="2578"/>
    <cellStyle name="SAPBEXexcGood2 2 2" xfId="2816"/>
    <cellStyle name="SAPBEXexcGood2 2 3" xfId="3027"/>
    <cellStyle name="SAPBEXexcGood2 3" xfId="2330"/>
    <cellStyle name="SAPBEXexcGood3" xfId="645"/>
    <cellStyle name="SAPBEXexcGood3 2" xfId="2579"/>
    <cellStyle name="SAPBEXexcGood3 2 2" xfId="2817"/>
    <cellStyle name="SAPBEXexcGood3 2 3" xfId="3028"/>
    <cellStyle name="SAPBEXexcGood3 3" xfId="2331"/>
    <cellStyle name="SAPBEXfilterDrill" xfId="646"/>
    <cellStyle name="SAPBEXfilterDrill 2" xfId="2580"/>
    <cellStyle name="SAPBEXfilterDrill 2 2" xfId="2818"/>
    <cellStyle name="SAPBEXfilterDrill 2 3" xfId="3029"/>
    <cellStyle name="SAPBEXfilterDrill 3" xfId="2332"/>
    <cellStyle name="SAPBEXfilterItem" xfId="647"/>
    <cellStyle name="SAPBEXfilterItem 2" xfId="2333"/>
    <cellStyle name="SAPBEXfilterItem 3" xfId="2355"/>
    <cellStyle name="SAPBEXfilterItem 4" xfId="2314"/>
    <cellStyle name="SAPBEXfilterItem 5" xfId="3310"/>
    <cellStyle name="SAPBEXfilterText" xfId="648"/>
    <cellStyle name="SAPBEXformats" xfId="649"/>
    <cellStyle name="SAPBEXformats 2" xfId="2581"/>
    <cellStyle name="SAPBEXformats 2 2" xfId="2819"/>
    <cellStyle name="SAPBEXformats 2 3" xfId="3030"/>
    <cellStyle name="SAPBEXformats 3" xfId="2334"/>
    <cellStyle name="SAPBEXheaderItem" xfId="650"/>
    <cellStyle name="SAPBEXheaderItem 2" xfId="2582"/>
    <cellStyle name="SAPBEXheaderItem 2 2" xfId="2820"/>
    <cellStyle name="SAPBEXheaderItem 2 3" xfId="3031"/>
    <cellStyle name="SAPBEXheaderItem 3" xfId="2335"/>
    <cellStyle name="SAPBEXheaderText" xfId="651"/>
    <cellStyle name="SAPBEXheaderText 2" xfId="2583"/>
    <cellStyle name="SAPBEXheaderText 2 2" xfId="2821"/>
    <cellStyle name="SAPBEXheaderText 2 3" xfId="3032"/>
    <cellStyle name="SAPBEXheaderText 3" xfId="2336"/>
    <cellStyle name="SAPBEXHLevel0" xfId="652"/>
    <cellStyle name="SAPBEXHLevel0 2" xfId="2584"/>
    <cellStyle name="SAPBEXHLevel0 2 2" xfId="2822"/>
    <cellStyle name="SAPBEXHLevel0 2 3" xfId="3033"/>
    <cellStyle name="SAPBEXHLevel0 3" xfId="2337"/>
    <cellStyle name="SAPBEXHLevel0X" xfId="653"/>
    <cellStyle name="SAPBEXHLevel0X 2" xfId="2585"/>
    <cellStyle name="SAPBEXHLevel0X 2 2" xfId="2823"/>
    <cellStyle name="SAPBEXHLevel0X 2 3" xfId="3034"/>
    <cellStyle name="SAPBEXHLevel0X 3" xfId="2338"/>
    <cellStyle name="SAPBEXHLevel1" xfId="654"/>
    <cellStyle name="SAPBEXHLevel1 2" xfId="2586"/>
    <cellStyle name="SAPBEXHLevel1 2 2" xfId="2824"/>
    <cellStyle name="SAPBEXHLevel1 2 3" xfId="3035"/>
    <cellStyle name="SAPBEXHLevel1 3" xfId="2339"/>
    <cellStyle name="SAPBEXHLevel1X" xfId="655"/>
    <cellStyle name="SAPBEXHLevel1X 2" xfId="2587"/>
    <cellStyle name="SAPBEXHLevel1X 2 2" xfId="2825"/>
    <cellStyle name="SAPBEXHLevel1X 2 3" xfId="3036"/>
    <cellStyle name="SAPBEXHLevel1X 3" xfId="2340"/>
    <cellStyle name="SAPBEXHLevel2" xfId="656"/>
    <cellStyle name="SAPBEXHLevel2 2" xfId="2588"/>
    <cellStyle name="SAPBEXHLevel2 2 2" xfId="2826"/>
    <cellStyle name="SAPBEXHLevel2 2 3" xfId="3037"/>
    <cellStyle name="SAPBEXHLevel2 3" xfId="2341"/>
    <cellStyle name="SAPBEXHLevel2X" xfId="657"/>
    <cellStyle name="SAPBEXHLevel2X 2" xfId="2589"/>
    <cellStyle name="SAPBEXHLevel2X 2 2" xfId="2827"/>
    <cellStyle name="SAPBEXHLevel2X 2 3" xfId="3038"/>
    <cellStyle name="SAPBEXHLevel2X 3" xfId="2342"/>
    <cellStyle name="SAPBEXHLevel3" xfId="658"/>
    <cellStyle name="SAPBEXHLevel3 2" xfId="2590"/>
    <cellStyle name="SAPBEXHLevel3 2 2" xfId="2828"/>
    <cellStyle name="SAPBEXHLevel3 2 3" xfId="3039"/>
    <cellStyle name="SAPBEXHLevel3 3" xfId="2343"/>
    <cellStyle name="SAPBEXHLevel3X" xfId="659"/>
    <cellStyle name="SAPBEXHLevel3X 2" xfId="2591"/>
    <cellStyle name="SAPBEXHLevel3X 2 2" xfId="2829"/>
    <cellStyle name="SAPBEXHLevel3X 2 3" xfId="3040"/>
    <cellStyle name="SAPBEXHLevel3X 3" xfId="2344"/>
    <cellStyle name="SAPBEXinputData" xfId="660"/>
    <cellStyle name="SAPBEXresData" xfId="661"/>
    <cellStyle name="SAPBEXresData 2" xfId="2592"/>
    <cellStyle name="SAPBEXresData 2 2" xfId="2830"/>
    <cellStyle name="SAPBEXresData 2 3" xfId="3041"/>
    <cellStyle name="SAPBEXresData 3" xfId="2345"/>
    <cellStyle name="SAPBEXresDataEmph" xfId="662"/>
    <cellStyle name="SAPBEXresDataEmph 2" xfId="2593"/>
    <cellStyle name="SAPBEXresDataEmph 2 2" xfId="2831"/>
    <cellStyle name="SAPBEXresDataEmph 2 3" xfId="3042"/>
    <cellStyle name="SAPBEXresDataEmph 3" xfId="2346"/>
    <cellStyle name="SAPBEXresItem" xfId="663"/>
    <cellStyle name="SAPBEXresItem 2" xfId="2594"/>
    <cellStyle name="SAPBEXresItem 2 2" xfId="2832"/>
    <cellStyle name="SAPBEXresItem 2 3" xfId="3043"/>
    <cellStyle name="SAPBEXresItem 3" xfId="2347"/>
    <cellStyle name="SAPBEXresItemX" xfId="664"/>
    <cellStyle name="SAPBEXresItemX 2" xfId="2595"/>
    <cellStyle name="SAPBEXresItemX 2 2" xfId="2833"/>
    <cellStyle name="SAPBEXresItemX 2 3" xfId="3044"/>
    <cellStyle name="SAPBEXresItemX 3" xfId="2348"/>
    <cellStyle name="SAPBEXstdData" xfId="665"/>
    <cellStyle name="SAPBEXstdData 2" xfId="2596"/>
    <cellStyle name="SAPBEXstdData 2 2" xfId="2834"/>
    <cellStyle name="SAPBEXstdData 2 3" xfId="3045"/>
    <cellStyle name="SAPBEXstdData 3" xfId="2349"/>
    <cellStyle name="SAPBEXstdDataEmph" xfId="666"/>
    <cellStyle name="SAPBEXstdDataEmph 2" xfId="2597"/>
    <cellStyle name="SAPBEXstdDataEmph 2 2" xfId="2835"/>
    <cellStyle name="SAPBEXstdDataEmph 2 3" xfId="3046"/>
    <cellStyle name="SAPBEXstdDataEmph 3" xfId="2350"/>
    <cellStyle name="SAPBEXstdItem" xfId="667"/>
    <cellStyle name="SAPBEXstdItem 2" xfId="2598"/>
    <cellStyle name="SAPBEXstdItem 2 2" xfId="2836"/>
    <cellStyle name="SAPBEXstdItem 2 3" xfId="3047"/>
    <cellStyle name="SAPBEXstdItem 3" xfId="2351"/>
    <cellStyle name="SAPBEXstdItemX" xfId="668"/>
    <cellStyle name="SAPBEXstdItemX 2" xfId="2599"/>
    <cellStyle name="SAPBEXstdItemX 2 2" xfId="2837"/>
    <cellStyle name="SAPBEXstdItemX 2 3" xfId="3048"/>
    <cellStyle name="SAPBEXstdItemX 3" xfId="2352"/>
    <cellStyle name="SAPBEXtitle" xfId="669"/>
    <cellStyle name="SAPBEXundefined" xfId="670"/>
    <cellStyle name="SAPBEXundefined 2" xfId="2600"/>
    <cellStyle name="SAPBEXundefined 2 2" xfId="2838"/>
    <cellStyle name="SAPBEXundefined 2 3" xfId="3049"/>
    <cellStyle name="SAPBEXundefined 3" xfId="2353"/>
    <cellStyle name="Shell" xfId="2038"/>
    <cellStyle name="Style 1" xfId="671"/>
    <cellStyle name="SYSTEM" xfId="2039"/>
    <cellStyle name="SYSTEM 2" xfId="2601"/>
    <cellStyle name="SYSTEM 2 2" xfId="2839"/>
    <cellStyle name="SYSTEM 2 3" xfId="3050"/>
    <cellStyle name="SYSTEM 3" xfId="2506"/>
    <cellStyle name="SYSTEM 4" xfId="3311"/>
    <cellStyle name="Table Heading" xfId="672"/>
    <cellStyle name="Table Heading 2" xfId="3312"/>
    <cellStyle name="TIME Detail" xfId="2040"/>
    <cellStyle name="TIME Period Start" xfId="2041"/>
    <cellStyle name="Title" xfId="673"/>
    <cellStyle name="Total" xfId="674"/>
    <cellStyle name="Total 2" xfId="2602"/>
    <cellStyle name="Total 2 2" xfId="2840"/>
    <cellStyle name="Total 2 3" xfId="3051"/>
    <cellStyle name="Total 3" xfId="2354"/>
    <cellStyle name="Unit" xfId="2042"/>
    <cellStyle name="Warning Text" xfId="675"/>
    <cellStyle name="Акцент1" xfId="676" builtinId="29" customBuiltin="1"/>
    <cellStyle name="Акцент1 10" xfId="2209"/>
    <cellStyle name="Акцент1 2" xfId="677"/>
    <cellStyle name="Акцент1 2 2" xfId="678"/>
    <cellStyle name="Акцент1 3" xfId="679"/>
    <cellStyle name="Акцент1 3 2" xfId="680"/>
    <cellStyle name="Акцент1 4" xfId="681"/>
    <cellStyle name="Акцент1 4 2" xfId="682"/>
    <cellStyle name="Акцент1 5" xfId="683"/>
    <cellStyle name="Акцент1 5 2" xfId="684"/>
    <cellStyle name="Акцент1 6" xfId="685"/>
    <cellStyle name="Акцент1 6 2" xfId="686"/>
    <cellStyle name="Акцент1 7" xfId="687"/>
    <cellStyle name="Акцент1 7 2" xfId="688"/>
    <cellStyle name="Акцент1 8" xfId="689"/>
    <cellStyle name="Акцент1 8 2" xfId="690"/>
    <cellStyle name="Акцент1 9" xfId="691"/>
    <cellStyle name="Акцент1 9 2" xfId="692"/>
    <cellStyle name="Акцент2" xfId="693" builtinId="33" customBuiltin="1"/>
    <cellStyle name="Акцент2 10" xfId="2210"/>
    <cellStyle name="Акцент2 2" xfId="694"/>
    <cellStyle name="Акцент2 2 2" xfId="695"/>
    <cellStyle name="Акцент2 3" xfId="696"/>
    <cellStyle name="Акцент2 3 2" xfId="697"/>
    <cellStyle name="Акцент2 4" xfId="698"/>
    <cellStyle name="Акцент2 4 2" xfId="699"/>
    <cellStyle name="Акцент2 5" xfId="700"/>
    <cellStyle name="Акцент2 5 2" xfId="701"/>
    <cellStyle name="Акцент2 6" xfId="702"/>
    <cellStyle name="Акцент2 6 2" xfId="703"/>
    <cellStyle name="Акцент2 7" xfId="704"/>
    <cellStyle name="Акцент2 7 2" xfId="705"/>
    <cellStyle name="Акцент2 8" xfId="706"/>
    <cellStyle name="Акцент2 8 2" xfId="707"/>
    <cellStyle name="Акцент2 9" xfId="708"/>
    <cellStyle name="Акцент2 9 2" xfId="709"/>
    <cellStyle name="Акцент3" xfId="710" builtinId="37" customBuiltin="1"/>
    <cellStyle name="Акцент3 10" xfId="2211"/>
    <cellStyle name="Акцент3 2" xfId="711"/>
    <cellStyle name="Акцент3 2 2" xfId="712"/>
    <cellStyle name="Акцент3 3" xfId="713"/>
    <cellStyle name="Акцент3 3 2" xfId="714"/>
    <cellStyle name="Акцент3 4" xfId="715"/>
    <cellStyle name="Акцент3 4 2" xfId="716"/>
    <cellStyle name="Акцент3 5" xfId="717"/>
    <cellStyle name="Акцент3 5 2" xfId="718"/>
    <cellStyle name="Акцент3 6" xfId="719"/>
    <cellStyle name="Акцент3 6 2" xfId="720"/>
    <cellStyle name="Акцент3 7" xfId="721"/>
    <cellStyle name="Акцент3 7 2" xfId="722"/>
    <cellStyle name="Акцент3 8" xfId="723"/>
    <cellStyle name="Акцент3 8 2" xfId="724"/>
    <cellStyle name="Акцент3 9" xfId="725"/>
    <cellStyle name="Акцент3 9 2" xfId="726"/>
    <cellStyle name="Акцент4" xfId="727" builtinId="41" customBuiltin="1"/>
    <cellStyle name="Акцент4 10" xfId="2212"/>
    <cellStyle name="Акцент4 2" xfId="728"/>
    <cellStyle name="Акцент4 2 2" xfId="729"/>
    <cellStyle name="Акцент4 3" xfId="730"/>
    <cellStyle name="Акцент4 3 2" xfId="731"/>
    <cellStyle name="Акцент4 4" xfId="732"/>
    <cellStyle name="Акцент4 4 2" xfId="733"/>
    <cellStyle name="Акцент4 5" xfId="734"/>
    <cellStyle name="Акцент4 5 2" xfId="735"/>
    <cellStyle name="Акцент4 6" xfId="736"/>
    <cellStyle name="Акцент4 6 2" xfId="737"/>
    <cellStyle name="Акцент4 7" xfId="738"/>
    <cellStyle name="Акцент4 7 2" xfId="739"/>
    <cellStyle name="Акцент4 8" xfId="740"/>
    <cellStyle name="Акцент4 8 2" xfId="741"/>
    <cellStyle name="Акцент4 9" xfId="742"/>
    <cellStyle name="Акцент4 9 2" xfId="743"/>
    <cellStyle name="Акцент5" xfId="744" builtinId="45" customBuiltin="1"/>
    <cellStyle name="Акцент5 10" xfId="2213"/>
    <cellStyle name="Акцент5 2" xfId="745"/>
    <cellStyle name="Акцент5 2 2" xfId="746"/>
    <cellStyle name="Акцент5 3" xfId="747"/>
    <cellStyle name="Акцент5 3 2" xfId="748"/>
    <cellStyle name="Акцент5 4" xfId="749"/>
    <cellStyle name="Акцент5 4 2" xfId="750"/>
    <cellStyle name="Акцент5 5" xfId="751"/>
    <cellStyle name="Акцент5 5 2" xfId="752"/>
    <cellStyle name="Акцент5 6" xfId="753"/>
    <cellStyle name="Акцент5 6 2" xfId="754"/>
    <cellStyle name="Акцент5 7" xfId="755"/>
    <cellStyle name="Акцент5 7 2" xfId="756"/>
    <cellStyle name="Акцент5 8" xfId="757"/>
    <cellStyle name="Акцент5 8 2" xfId="758"/>
    <cellStyle name="Акцент5 9" xfId="759"/>
    <cellStyle name="Акцент5 9 2" xfId="760"/>
    <cellStyle name="Акцент6" xfId="761" builtinId="49" customBuiltin="1"/>
    <cellStyle name="Акцент6 10" xfId="2214"/>
    <cellStyle name="Акцент6 2" xfId="762"/>
    <cellStyle name="Акцент6 2 2" xfId="763"/>
    <cellStyle name="Акцент6 3" xfId="764"/>
    <cellStyle name="Акцент6 3 2" xfId="765"/>
    <cellStyle name="Акцент6 4" xfId="766"/>
    <cellStyle name="Акцент6 4 2" xfId="767"/>
    <cellStyle name="Акцент6 5" xfId="768"/>
    <cellStyle name="Акцент6 5 2" xfId="769"/>
    <cellStyle name="Акцент6 6" xfId="770"/>
    <cellStyle name="Акцент6 6 2" xfId="771"/>
    <cellStyle name="Акцент6 7" xfId="772"/>
    <cellStyle name="Акцент6 7 2" xfId="773"/>
    <cellStyle name="Акцент6 8" xfId="774"/>
    <cellStyle name="Акцент6 8 2" xfId="775"/>
    <cellStyle name="Акцент6 9" xfId="776"/>
    <cellStyle name="Акцент6 9 2" xfId="777"/>
    <cellStyle name="Беззащитный" xfId="778"/>
    <cellStyle name="Ввод " xfId="779" builtinId="20" customBuiltin="1"/>
    <cellStyle name="Ввод  10" xfId="2215"/>
    <cellStyle name="Ввод  10 2" xfId="2603"/>
    <cellStyle name="Ввод  10 2 2" xfId="2841"/>
    <cellStyle name="Ввод  10 2 3" xfId="3052"/>
    <cellStyle name="Ввод  10 3" xfId="2507"/>
    <cellStyle name="Ввод  11" xfId="2356"/>
    <cellStyle name="Ввод  2" xfId="780"/>
    <cellStyle name="Ввод  2 2" xfId="781"/>
    <cellStyle name="Ввод  2 2 2" xfId="2605"/>
    <cellStyle name="Ввод  2 2 2 2" xfId="2843"/>
    <cellStyle name="Ввод  2 2 2 3" xfId="3054"/>
    <cellStyle name="Ввод  2 2 3" xfId="2358"/>
    <cellStyle name="Ввод  2 3" xfId="2604"/>
    <cellStyle name="Ввод  2 3 2" xfId="2842"/>
    <cellStyle name="Ввод  2 3 3" xfId="3053"/>
    <cellStyle name="Ввод  2 4" xfId="2357"/>
    <cellStyle name="Ввод  2_46EE.2011(v1.0)" xfId="782"/>
    <cellStyle name="Ввод  3" xfId="783"/>
    <cellStyle name="Ввод  3 2" xfId="784"/>
    <cellStyle name="Ввод  3 2 2" xfId="2607"/>
    <cellStyle name="Ввод  3 2 2 2" xfId="2845"/>
    <cellStyle name="Ввод  3 2 2 3" xfId="3056"/>
    <cellStyle name="Ввод  3 2 3" xfId="2360"/>
    <cellStyle name="Ввод  3 3" xfId="2606"/>
    <cellStyle name="Ввод  3 3 2" xfId="2844"/>
    <cellStyle name="Ввод  3 3 3" xfId="3055"/>
    <cellStyle name="Ввод  3 4" xfId="2359"/>
    <cellStyle name="Ввод  3_46EE.2011(v1.0)" xfId="785"/>
    <cellStyle name="Ввод  4" xfId="786"/>
    <cellStyle name="Ввод  4 2" xfId="787"/>
    <cellStyle name="Ввод  4 2 2" xfId="2609"/>
    <cellStyle name="Ввод  4 2 2 2" xfId="2847"/>
    <cellStyle name="Ввод  4 2 2 3" xfId="3058"/>
    <cellStyle name="Ввод  4 2 3" xfId="2362"/>
    <cellStyle name="Ввод  4 3" xfId="2608"/>
    <cellStyle name="Ввод  4 3 2" xfId="2846"/>
    <cellStyle name="Ввод  4 3 3" xfId="3057"/>
    <cellStyle name="Ввод  4 4" xfId="2361"/>
    <cellStyle name="Ввод  4_46EE.2011(v1.0)" xfId="788"/>
    <cellStyle name="Ввод  5" xfId="789"/>
    <cellStyle name="Ввод  5 2" xfId="790"/>
    <cellStyle name="Ввод  5 2 2" xfId="2611"/>
    <cellStyle name="Ввод  5 2 2 2" xfId="2849"/>
    <cellStyle name="Ввод  5 2 2 3" xfId="3060"/>
    <cellStyle name="Ввод  5 2 3" xfId="2364"/>
    <cellStyle name="Ввод  5 3" xfId="2610"/>
    <cellStyle name="Ввод  5 3 2" xfId="2848"/>
    <cellStyle name="Ввод  5 3 3" xfId="3059"/>
    <cellStyle name="Ввод  5 4" xfId="2363"/>
    <cellStyle name="Ввод  5_46EE.2011(v1.0)" xfId="791"/>
    <cellStyle name="Ввод  6" xfId="792"/>
    <cellStyle name="Ввод  6 2" xfId="793"/>
    <cellStyle name="Ввод  6 2 2" xfId="2613"/>
    <cellStyle name="Ввод  6 2 2 2" xfId="2851"/>
    <cellStyle name="Ввод  6 2 2 3" xfId="3062"/>
    <cellStyle name="Ввод  6 2 3" xfId="2366"/>
    <cellStyle name="Ввод  6 3" xfId="2612"/>
    <cellStyle name="Ввод  6 3 2" xfId="2850"/>
    <cellStyle name="Ввод  6 3 3" xfId="3061"/>
    <cellStyle name="Ввод  6 4" xfId="2365"/>
    <cellStyle name="Ввод  6_46EE.2011(v1.0)" xfId="794"/>
    <cellStyle name="Ввод  7" xfId="795"/>
    <cellStyle name="Ввод  7 2" xfId="796"/>
    <cellStyle name="Ввод  7 2 2" xfId="2615"/>
    <cellStyle name="Ввод  7 2 2 2" xfId="2853"/>
    <cellStyle name="Ввод  7 2 2 3" xfId="3064"/>
    <cellStyle name="Ввод  7 2 3" xfId="2368"/>
    <cellStyle name="Ввод  7 3" xfId="2614"/>
    <cellStyle name="Ввод  7 3 2" xfId="2852"/>
    <cellStyle name="Ввод  7 3 3" xfId="3063"/>
    <cellStyle name="Ввод  7 4" xfId="2367"/>
    <cellStyle name="Ввод  7_46EE.2011(v1.0)" xfId="797"/>
    <cellStyle name="Ввод  8" xfId="798"/>
    <cellStyle name="Ввод  8 2" xfId="799"/>
    <cellStyle name="Ввод  8 2 2" xfId="2617"/>
    <cellStyle name="Ввод  8 2 2 2" xfId="2855"/>
    <cellStyle name="Ввод  8 2 2 3" xfId="3066"/>
    <cellStyle name="Ввод  8 2 3" xfId="2370"/>
    <cellStyle name="Ввод  8 3" xfId="2616"/>
    <cellStyle name="Ввод  8 3 2" xfId="2854"/>
    <cellStyle name="Ввод  8 3 3" xfId="3065"/>
    <cellStyle name="Ввод  8 4" xfId="2369"/>
    <cellStyle name="Ввод  8_46EE.2011(v1.0)" xfId="800"/>
    <cellStyle name="Ввод  9" xfId="801"/>
    <cellStyle name="Ввод  9 2" xfId="802"/>
    <cellStyle name="Ввод  9 2 2" xfId="2619"/>
    <cellStyle name="Ввод  9 2 2 2" xfId="2857"/>
    <cellStyle name="Ввод  9 2 2 3" xfId="3068"/>
    <cellStyle name="Ввод  9 2 3" xfId="2372"/>
    <cellStyle name="Ввод  9 3" xfId="2618"/>
    <cellStyle name="Ввод  9 3 2" xfId="2856"/>
    <cellStyle name="Ввод  9 3 3" xfId="3067"/>
    <cellStyle name="Ввод  9 4" xfId="2371"/>
    <cellStyle name="Ввод  9_46EE.2011(v1.0)" xfId="803"/>
    <cellStyle name="Вывод" xfId="804" builtinId="21" customBuiltin="1"/>
    <cellStyle name="Вывод 10" xfId="2216"/>
    <cellStyle name="Вывод 10 2" xfId="2620"/>
    <cellStyle name="Вывод 10 2 2" xfId="2858"/>
    <cellStyle name="Вывод 10 2 3" xfId="3069"/>
    <cellStyle name="Вывод 10 3" xfId="2508"/>
    <cellStyle name="Вывод 11" xfId="2373"/>
    <cellStyle name="Вывод 2" xfId="805"/>
    <cellStyle name="Вывод 2 2" xfId="806"/>
    <cellStyle name="Вывод 2 2 2" xfId="2622"/>
    <cellStyle name="Вывод 2 2 2 2" xfId="2860"/>
    <cellStyle name="Вывод 2 2 2 3" xfId="3071"/>
    <cellStyle name="Вывод 2 2 3" xfId="2375"/>
    <cellStyle name="Вывод 2 3" xfId="2621"/>
    <cellStyle name="Вывод 2 3 2" xfId="2859"/>
    <cellStyle name="Вывод 2 3 3" xfId="3070"/>
    <cellStyle name="Вывод 2 4" xfId="2374"/>
    <cellStyle name="Вывод 2_46EE.2011(v1.0)" xfId="807"/>
    <cellStyle name="Вывод 3" xfId="808"/>
    <cellStyle name="Вывод 3 2" xfId="809"/>
    <cellStyle name="Вывод 3 2 2" xfId="2624"/>
    <cellStyle name="Вывод 3 2 2 2" xfId="2862"/>
    <cellStyle name="Вывод 3 2 2 3" xfId="3073"/>
    <cellStyle name="Вывод 3 2 3" xfId="2377"/>
    <cellStyle name="Вывод 3 3" xfId="2623"/>
    <cellStyle name="Вывод 3 3 2" xfId="2861"/>
    <cellStyle name="Вывод 3 3 3" xfId="3072"/>
    <cellStyle name="Вывод 3 4" xfId="2376"/>
    <cellStyle name="Вывод 3_46EE.2011(v1.0)" xfId="810"/>
    <cellStyle name="Вывод 4" xfId="811"/>
    <cellStyle name="Вывод 4 2" xfId="812"/>
    <cellStyle name="Вывод 4 2 2" xfId="2626"/>
    <cellStyle name="Вывод 4 2 2 2" xfId="2864"/>
    <cellStyle name="Вывод 4 2 2 3" xfId="3075"/>
    <cellStyle name="Вывод 4 2 3" xfId="2379"/>
    <cellStyle name="Вывод 4 3" xfId="2625"/>
    <cellStyle name="Вывод 4 3 2" xfId="2863"/>
    <cellStyle name="Вывод 4 3 3" xfId="3074"/>
    <cellStyle name="Вывод 4 4" xfId="2378"/>
    <cellStyle name="Вывод 4_46EE.2011(v1.0)" xfId="813"/>
    <cellStyle name="Вывод 5" xfId="814"/>
    <cellStyle name="Вывод 5 2" xfId="815"/>
    <cellStyle name="Вывод 5 2 2" xfId="2628"/>
    <cellStyle name="Вывод 5 2 2 2" xfId="2866"/>
    <cellStyle name="Вывод 5 2 2 3" xfId="3077"/>
    <cellStyle name="Вывод 5 2 3" xfId="2381"/>
    <cellStyle name="Вывод 5 3" xfId="2627"/>
    <cellStyle name="Вывод 5 3 2" xfId="2865"/>
    <cellStyle name="Вывод 5 3 3" xfId="3076"/>
    <cellStyle name="Вывод 5 4" xfId="2380"/>
    <cellStyle name="Вывод 5_46EE.2011(v1.0)" xfId="816"/>
    <cellStyle name="Вывод 6" xfId="817"/>
    <cellStyle name="Вывод 6 2" xfId="818"/>
    <cellStyle name="Вывод 6 2 2" xfId="2630"/>
    <cellStyle name="Вывод 6 2 2 2" xfId="2868"/>
    <cellStyle name="Вывод 6 2 2 3" xfId="3079"/>
    <cellStyle name="Вывод 6 2 3" xfId="2383"/>
    <cellStyle name="Вывод 6 3" xfId="2629"/>
    <cellStyle name="Вывод 6 3 2" xfId="2867"/>
    <cellStyle name="Вывод 6 3 3" xfId="3078"/>
    <cellStyle name="Вывод 6 4" xfId="2382"/>
    <cellStyle name="Вывод 6_46EE.2011(v1.0)" xfId="819"/>
    <cellStyle name="Вывод 7" xfId="820"/>
    <cellStyle name="Вывод 7 2" xfId="821"/>
    <cellStyle name="Вывод 7 2 2" xfId="2632"/>
    <cellStyle name="Вывод 7 2 2 2" xfId="2870"/>
    <cellStyle name="Вывод 7 2 2 3" xfId="3081"/>
    <cellStyle name="Вывод 7 2 3" xfId="2385"/>
    <cellStyle name="Вывод 7 3" xfId="2631"/>
    <cellStyle name="Вывод 7 3 2" xfId="2869"/>
    <cellStyle name="Вывод 7 3 3" xfId="3080"/>
    <cellStyle name="Вывод 7 4" xfId="2384"/>
    <cellStyle name="Вывод 7_46EE.2011(v1.0)" xfId="822"/>
    <cellStyle name="Вывод 8" xfId="823"/>
    <cellStyle name="Вывод 8 2" xfId="824"/>
    <cellStyle name="Вывод 8 2 2" xfId="2634"/>
    <cellStyle name="Вывод 8 2 2 2" xfId="2872"/>
    <cellStyle name="Вывод 8 2 2 3" xfId="3083"/>
    <cellStyle name="Вывод 8 2 3" xfId="2387"/>
    <cellStyle name="Вывод 8 3" xfId="2633"/>
    <cellStyle name="Вывод 8 3 2" xfId="2871"/>
    <cellStyle name="Вывод 8 3 3" xfId="3082"/>
    <cellStyle name="Вывод 8 4" xfId="2386"/>
    <cellStyle name="Вывод 8_46EE.2011(v1.0)" xfId="825"/>
    <cellStyle name="Вывод 9" xfId="826"/>
    <cellStyle name="Вывод 9 2" xfId="827"/>
    <cellStyle name="Вывод 9 2 2" xfId="2636"/>
    <cellStyle name="Вывод 9 2 2 2" xfId="2874"/>
    <cellStyle name="Вывод 9 2 2 3" xfId="3085"/>
    <cellStyle name="Вывод 9 2 3" xfId="2389"/>
    <cellStyle name="Вывод 9 3" xfId="2635"/>
    <cellStyle name="Вывод 9 3 2" xfId="2873"/>
    <cellStyle name="Вывод 9 3 3" xfId="3084"/>
    <cellStyle name="Вывод 9 4" xfId="2388"/>
    <cellStyle name="Вывод 9_46EE.2011(v1.0)" xfId="828"/>
    <cellStyle name="Вычисление" xfId="829" builtinId="22" customBuiltin="1"/>
    <cellStyle name="Вычисление 10" xfId="2217"/>
    <cellStyle name="Вычисление 10 2" xfId="2637"/>
    <cellStyle name="Вычисление 10 2 2" xfId="2875"/>
    <cellStyle name="Вычисление 10 2 3" xfId="3086"/>
    <cellStyle name="Вычисление 10 3" xfId="2509"/>
    <cellStyle name="Вычисление 11" xfId="2390"/>
    <cellStyle name="Вычисление 2" xfId="830"/>
    <cellStyle name="Вычисление 2 2" xfId="831"/>
    <cellStyle name="Вычисление 2 2 2" xfId="2639"/>
    <cellStyle name="Вычисление 2 2 2 2" xfId="2877"/>
    <cellStyle name="Вычисление 2 2 2 3" xfId="3088"/>
    <cellStyle name="Вычисление 2 2 3" xfId="2392"/>
    <cellStyle name="Вычисление 2 3" xfId="2638"/>
    <cellStyle name="Вычисление 2 3 2" xfId="2876"/>
    <cellStyle name="Вычисление 2 3 3" xfId="3087"/>
    <cellStyle name="Вычисление 2 4" xfId="2391"/>
    <cellStyle name="Вычисление 2_46EE.2011(v1.0)" xfId="832"/>
    <cellStyle name="Вычисление 3" xfId="833"/>
    <cellStyle name="Вычисление 3 2" xfId="834"/>
    <cellStyle name="Вычисление 3 2 2" xfId="2641"/>
    <cellStyle name="Вычисление 3 2 2 2" xfId="2879"/>
    <cellStyle name="Вычисление 3 2 2 3" xfId="3090"/>
    <cellStyle name="Вычисление 3 2 3" xfId="2394"/>
    <cellStyle name="Вычисление 3 3" xfId="2640"/>
    <cellStyle name="Вычисление 3 3 2" xfId="2878"/>
    <cellStyle name="Вычисление 3 3 3" xfId="3089"/>
    <cellStyle name="Вычисление 3 4" xfId="2393"/>
    <cellStyle name="Вычисление 3_46EE.2011(v1.0)" xfId="835"/>
    <cellStyle name="Вычисление 4" xfId="836"/>
    <cellStyle name="Вычисление 4 2" xfId="837"/>
    <cellStyle name="Вычисление 4 2 2" xfId="2643"/>
    <cellStyle name="Вычисление 4 2 2 2" xfId="2881"/>
    <cellStyle name="Вычисление 4 2 2 3" xfId="3092"/>
    <cellStyle name="Вычисление 4 2 3" xfId="2396"/>
    <cellStyle name="Вычисление 4 3" xfId="2642"/>
    <cellStyle name="Вычисление 4 3 2" xfId="2880"/>
    <cellStyle name="Вычисление 4 3 3" xfId="3091"/>
    <cellStyle name="Вычисление 4 4" xfId="2395"/>
    <cellStyle name="Вычисление 4_46EE.2011(v1.0)" xfId="838"/>
    <cellStyle name="Вычисление 5" xfId="839"/>
    <cellStyle name="Вычисление 5 2" xfId="840"/>
    <cellStyle name="Вычисление 5 2 2" xfId="2645"/>
    <cellStyle name="Вычисление 5 2 2 2" xfId="2883"/>
    <cellStyle name="Вычисление 5 2 2 3" xfId="3094"/>
    <cellStyle name="Вычисление 5 2 3" xfId="2398"/>
    <cellStyle name="Вычисление 5 3" xfId="2644"/>
    <cellStyle name="Вычисление 5 3 2" xfId="2882"/>
    <cellStyle name="Вычисление 5 3 3" xfId="3093"/>
    <cellStyle name="Вычисление 5 4" xfId="2397"/>
    <cellStyle name="Вычисление 5_46EE.2011(v1.0)" xfId="841"/>
    <cellStyle name="Вычисление 6" xfId="842"/>
    <cellStyle name="Вычисление 6 2" xfId="843"/>
    <cellStyle name="Вычисление 6 2 2" xfId="2647"/>
    <cellStyle name="Вычисление 6 2 2 2" xfId="2885"/>
    <cellStyle name="Вычисление 6 2 2 3" xfId="3096"/>
    <cellStyle name="Вычисление 6 2 3" xfId="2400"/>
    <cellStyle name="Вычисление 6 3" xfId="2646"/>
    <cellStyle name="Вычисление 6 3 2" xfId="2884"/>
    <cellStyle name="Вычисление 6 3 3" xfId="3095"/>
    <cellStyle name="Вычисление 6 4" xfId="2399"/>
    <cellStyle name="Вычисление 6_46EE.2011(v1.0)" xfId="844"/>
    <cellStyle name="Вычисление 7" xfId="845"/>
    <cellStyle name="Вычисление 7 2" xfId="846"/>
    <cellStyle name="Вычисление 7 2 2" xfId="2649"/>
    <cellStyle name="Вычисление 7 2 2 2" xfId="2887"/>
    <cellStyle name="Вычисление 7 2 2 3" xfId="3098"/>
    <cellStyle name="Вычисление 7 2 3" xfId="2402"/>
    <cellStyle name="Вычисление 7 3" xfId="2648"/>
    <cellStyle name="Вычисление 7 3 2" xfId="2886"/>
    <cellStyle name="Вычисление 7 3 3" xfId="3097"/>
    <cellStyle name="Вычисление 7 4" xfId="2401"/>
    <cellStyle name="Вычисление 7_46EE.2011(v1.0)" xfId="847"/>
    <cellStyle name="Вычисление 8" xfId="848"/>
    <cellStyle name="Вычисление 8 2" xfId="849"/>
    <cellStyle name="Вычисление 8 2 2" xfId="2651"/>
    <cellStyle name="Вычисление 8 2 2 2" xfId="2889"/>
    <cellStyle name="Вычисление 8 2 2 3" xfId="3100"/>
    <cellStyle name="Вычисление 8 2 3" xfId="2404"/>
    <cellStyle name="Вычисление 8 3" xfId="2650"/>
    <cellStyle name="Вычисление 8 3 2" xfId="2888"/>
    <cellStyle name="Вычисление 8 3 3" xfId="3099"/>
    <cellStyle name="Вычисление 8 4" xfId="2403"/>
    <cellStyle name="Вычисление 8_46EE.2011(v1.0)" xfId="850"/>
    <cellStyle name="Вычисление 9" xfId="851"/>
    <cellStyle name="Вычисление 9 2" xfId="852"/>
    <cellStyle name="Вычисление 9 2 2" xfId="2653"/>
    <cellStyle name="Вычисление 9 2 2 2" xfId="2891"/>
    <cellStyle name="Вычисление 9 2 2 3" xfId="3102"/>
    <cellStyle name="Вычисление 9 2 3" xfId="2406"/>
    <cellStyle name="Вычисление 9 3" xfId="2652"/>
    <cellStyle name="Вычисление 9 3 2" xfId="2890"/>
    <cellStyle name="Вычисление 9 3 3" xfId="3101"/>
    <cellStyle name="Вычисление 9 4" xfId="2405"/>
    <cellStyle name="Вычисление 9_46EE.2011(v1.0)" xfId="853"/>
    <cellStyle name="Гиперссылка" xfId="854" builtinId="8"/>
    <cellStyle name="Гиперссылка 2" xfId="855"/>
    <cellStyle name="Гиперссылка 3" xfId="856"/>
    <cellStyle name="Гиперссылка 4" xfId="2218"/>
    <cellStyle name="ДАТА" xfId="857"/>
    <cellStyle name="ДАТА 2" xfId="858"/>
    <cellStyle name="ДАТА 3" xfId="859"/>
    <cellStyle name="ДАТА 4" xfId="860"/>
    <cellStyle name="ДАТА 5" xfId="861"/>
    <cellStyle name="ДАТА 6" xfId="862"/>
    <cellStyle name="ДАТА 7" xfId="863"/>
    <cellStyle name="ДАТА 8" xfId="864"/>
    <cellStyle name="ДАТА_1" xfId="865"/>
    <cellStyle name="Денежный 2" xfId="866"/>
    <cellStyle name="ЀЄ" xfId="3313"/>
    <cellStyle name="ЄЄ" xfId="3314"/>
    <cellStyle name="ЄЄ_x0004_" xfId="3315"/>
    <cellStyle name="Є_x0004_Є" xfId="3316"/>
    <cellStyle name="ЄЄЄ" xfId="3317"/>
    <cellStyle name="ЄЄЄ_x0004_" xfId="3318"/>
    <cellStyle name="ЄЄЄЄ" xfId="3319"/>
    <cellStyle name="ЄЄЄЄ_x0004_" xfId="3320"/>
    <cellStyle name="ЄЄЄЄЄ" xfId="3321"/>
    <cellStyle name="ЄЄЄЄЄ_x0004_" xfId="3322"/>
    <cellStyle name="ЄЄЄ_x0004_ЄЄ" xfId="3323"/>
    <cellStyle name="ЄЄЄ_x0004_ЄЄ 2" xfId="3324"/>
    <cellStyle name="ЄЄЄ_x0004_ЄЄ 2 2" xfId="3325"/>
    <cellStyle name="ЄЄЄЄЄ_OOONESKO_ZONE1_FRSVR_AVANS2_BUY_20120201_E" xfId="3326"/>
    <cellStyle name="ЄЄЄ_x0004_ЄЄ_Отчеты_МППМ_ДФР_v015 (2)" xfId="3327"/>
    <cellStyle name="ЄЄЄ_x0004_ЄЄЄЀЄЄЄЄЄ_x0004_ЄЄЄЄЄ" xfId="3328"/>
    <cellStyle name="ЄЄЄ_x0004_ЄЄЄЀЄЄЄЄЄ_x0004_ЄЄЄЄЄ 2" xfId="3329"/>
    <cellStyle name="ЄЄЄЄ_x0004_ЄЄЄ" xfId="3330"/>
    <cellStyle name="Є_x0004_ЄЄЄЄ_x0004_ЄЄ_x0004_" xfId="3331"/>
    <cellStyle name="ЄЄЄЄ_x0004_ЄЄЄ_OOONESKO_ZONE1_FRSVR_AVANS2_BUY_20120201_E" xfId="3332"/>
    <cellStyle name="ЄЄЄЄЄ_x0004_ЄЄЄ" xfId="3333"/>
    <cellStyle name="ЄЄ_x0004_ЄЄЄЄЄЄЄ" xfId="3334"/>
    <cellStyle name="Заголовок" xfId="867"/>
    <cellStyle name="Заголовок 1" xfId="868" builtinId="16" customBuiltin="1"/>
    <cellStyle name="Заголовок 1 10" xfId="2219"/>
    <cellStyle name="Заголовок 1 2" xfId="869"/>
    <cellStyle name="Заголовок 1 2 2" xfId="870"/>
    <cellStyle name="Заголовок 1 2_46EE.2011(v1.0)" xfId="871"/>
    <cellStyle name="Заголовок 1 3" xfId="872"/>
    <cellStyle name="Заголовок 1 3 2" xfId="873"/>
    <cellStyle name="Заголовок 1 3_46EE.2011(v1.0)" xfId="874"/>
    <cellStyle name="Заголовок 1 4" xfId="875"/>
    <cellStyle name="Заголовок 1 4 2" xfId="876"/>
    <cellStyle name="Заголовок 1 4_46EE.2011(v1.0)" xfId="877"/>
    <cellStyle name="Заголовок 1 5" xfId="878"/>
    <cellStyle name="Заголовок 1 5 2" xfId="879"/>
    <cellStyle name="Заголовок 1 5_46EE.2011(v1.0)" xfId="880"/>
    <cellStyle name="Заголовок 1 6" xfId="881"/>
    <cellStyle name="Заголовок 1 6 2" xfId="882"/>
    <cellStyle name="Заголовок 1 6_46EE.2011(v1.0)" xfId="883"/>
    <cellStyle name="Заголовок 1 7" xfId="884"/>
    <cellStyle name="Заголовок 1 7 2" xfId="885"/>
    <cellStyle name="Заголовок 1 7_46EE.2011(v1.0)" xfId="886"/>
    <cellStyle name="Заголовок 1 8" xfId="887"/>
    <cellStyle name="Заголовок 1 8 2" xfId="888"/>
    <cellStyle name="Заголовок 1 8_46EE.2011(v1.0)" xfId="889"/>
    <cellStyle name="Заголовок 1 9" xfId="890"/>
    <cellStyle name="Заголовок 1 9 2" xfId="891"/>
    <cellStyle name="Заголовок 1 9_46EE.2011(v1.0)" xfId="892"/>
    <cellStyle name="Заголовок 2" xfId="893" builtinId="17" customBuiltin="1"/>
    <cellStyle name="Заголовок 2 10" xfId="2220"/>
    <cellStyle name="Заголовок 2 2" xfId="894"/>
    <cellStyle name="Заголовок 2 2 2" xfId="895"/>
    <cellStyle name="Заголовок 2 2_46EE.2011(v1.0)" xfId="896"/>
    <cellStyle name="Заголовок 2 3" xfId="897"/>
    <cellStyle name="Заголовок 2 3 2" xfId="898"/>
    <cellStyle name="Заголовок 2 3_46EE.2011(v1.0)" xfId="899"/>
    <cellStyle name="Заголовок 2 4" xfId="900"/>
    <cellStyle name="Заголовок 2 4 2" xfId="901"/>
    <cellStyle name="Заголовок 2 4_46EE.2011(v1.0)" xfId="902"/>
    <cellStyle name="Заголовок 2 5" xfId="903"/>
    <cellStyle name="Заголовок 2 5 2" xfId="904"/>
    <cellStyle name="Заголовок 2 5_46EE.2011(v1.0)" xfId="905"/>
    <cellStyle name="Заголовок 2 6" xfId="906"/>
    <cellStyle name="Заголовок 2 6 2" xfId="907"/>
    <cellStyle name="Заголовок 2 6_46EE.2011(v1.0)" xfId="908"/>
    <cellStyle name="Заголовок 2 7" xfId="909"/>
    <cellStyle name="Заголовок 2 7 2" xfId="910"/>
    <cellStyle name="Заголовок 2 7_46EE.2011(v1.0)" xfId="911"/>
    <cellStyle name="Заголовок 2 8" xfId="912"/>
    <cellStyle name="Заголовок 2 8 2" xfId="913"/>
    <cellStyle name="Заголовок 2 8_46EE.2011(v1.0)" xfId="914"/>
    <cellStyle name="Заголовок 2 9" xfId="915"/>
    <cellStyle name="Заголовок 2 9 2" xfId="916"/>
    <cellStyle name="Заголовок 2 9_46EE.2011(v1.0)" xfId="917"/>
    <cellStyle name="Заголовок 3" xfId="918" builtinId="18" customBuiltin="1"/>
    <cellStyle name="Заголовок 3 10" xfId="2221"/>
    <cellStyle name="Заголовок 3 2" xfId="919"/>
    <cellStyle name="Заголовок 3 2 2" xfId="920"/>
    <cellStyle name="Заголовок 3 2_46EE.2011(v1.0)" xfId="921"/>
    <cellStyle name="Заголовок 3 3" xfId="922"/>
    <cellStyle name="Заголовок 3 3 2" xfId="923"/>
    <cellStyle name="Заголовок 3 3_46EE.2011(v1.0)" xfId="924"/>
    <cellStyle name="Заголовок 3 4" xfId="925"/>
    <cellStyle name="Заголовок 3 4 2" xfId="926"/>
    <cellStyle name="Заголовок 3 4_46EE.2011(v1.0)" xfId="927"/>
    <cellStyle name="Заголовок 3 5" xfId="928"/>
    <cellStyle name="Заголовок 3 5 2" xfId="929"/>
    <cellStyle name="Заголовок 3 5_46EE.2011(v1.0)" xfId="930"/>
    <cellStyle name="Заголовок 3 6" xfId="931"/>
    <cellStyle name="Заголовок 3 6 2" xfId="932"/>
    <cellStyle name="Заголовок 3 6_46EE.2011(v1.0)" xfId="933"/>
    <cellStyle name="Заголовок 3 7" xfId="934"/>
    <cellStyle name="Заголовок 3 7 2" xfId="935"/>
    <cellStyle name="Заголовок 3 7_46EE.2011(v1.0)" xfId="936"/>
    <cellStyle name="Заголовок 3 8" xfId="937"/>
    <cellStyle name="Заголовок 3 8 2" xfId="938"/>
    <cellStyle name="Заголовок 3 8_46EE.2011(v1.0)" xfId="939"/>
    <cellStyle name="Заголовок 3 9" xfId="940"/>
    <cellStyle name="Заголовок 3 9 2" xfId="941"/>
    <cellStyle name="Заголовок 3 9_46EE.2011(v1.0)" xfId="942"/>
    <cellStyle name="Заголовок 4" xfId="943" builtinId="19" customBuiltin="1"/>
    <cellStyle name="Заголовок 4 10" xfId="2222"/>
    <cellStyle name="Заголовок 4 2" xfId="944"/>
    <cellStyle name="Заголовок 4 2 2" xfId="945"/>
    <cellStyle name="Заголовок 4 3" xfId="946"/>
    <cellStyle name="Заголовок 4 3 2" xfId="947"/>
    <cellStyle name="Заголовок 4 4" xfId="948"/>
    <cellStyle name="Заголовок 4 4 2" xfId="949"/>
    <cellStyle name="Заголовок 4 5" xfId="950"/>
    <cellStyle name="Заголовок 4 5 2" xfId="951"/>
    <cellStyle name="Заголовок 4 6" xfId="952"/>
    <cellStyle name="Заголовок 4 6 2" xfId="953"/>
    <cellStyle name="Заголовок 4 7" xfId="954"/>
    <cellStyle name="Заголовок 4 7 2" xfId="955"/>
    <cellStyle name="Заголовок 4 8" xfId="956"/>
    <cellStyle name="Заголовок 4 8 2" xfId="957"/>
    <cellStyle name="Заголовок 4 9" xfId="958"/>
    <cellStyle name="Заголовок 4 9 2" xfId="959"/>
    <cellStyle name="ЗАГОЛОВОК1" xfId="960"/>
    <cellStyle name="ЗАГОЛОВОК2" xfId="961"/>
    <cellStyle name="ЗаголовокСтолбца" xfId="962"/>
    <cellStyle name="Защитный" xfId="963"/>
    <cellStyle name="Значение" xfId="964"/>
    <cellStyle name="Значение 2" xfId="2654"/>
    <cellStyle name="Значение 2 2" xfId="2892"/>
    <cellStyle name="Значение 2 3" xfId="3103"/>
    <cellStyle name="Значение 3" xfId="2408"/>
    <cellStyle name="Значение 4" xfId="3335"/>
    <cellStyle name="Значение 5" xfId="3336"/>
    <cellStyle name="Зоголовок" xfId="965"/>
    <cellStyle name="Итог" xfId="966" builtinId="25" customBuiltin="1"/>
    <cellStyle name="Итог 10" xfId="2223"/>
    <cellStyle name="Итог 10 2" xfId="2655"/>
    <cellStyle name="Итог 10 2 2" xfId="2893"/>
    <cellStyle name="Итог 10 2 3" xfId="3104"/>
    <cellStyle name="Итог 10 3" xfId="2510"/>
    <cellStyle name="Итог 11" xfId="2409"/>
    <cellStyle name="Итог 2" xfId="967"/>
    <cellStyle name="Итог 2 2" xfId="968"/>
    <cellStyle name="Итог 2 2 2" xfId="2657"/>
    <cellStyle name="Итог 2 2 2 2" xfId="2895"/>
    <cellStyle name="Итог 2 2 2 3" xfId="3106"/>
    <cellStyle name="Итог 2 2 3" xfId="2411"/>
    <cellStyle name="Итог 2 3" xfId="2656"/>
    <cellStyle name="Итог 2 3 2" xfId="2894"/>
    <cellStyle name="Итог 2 3 3" xfId="3105"/>
    <cellStyle name="Итог 2 4" xfId="2410"/>
    <cellStyle name="Итог 2_46EE.2011(v1.0)" xfId="969"/>
    <cellStyle name="Итог 3" xfId="970"/>
    <cellStyle name="Итог 3 2" xfId="971"/>
    <cellStyle name="Итог 3 2 2" xfId="2659"/>
    <cellStyle name="Итог 3 2 2 2" xfId="2897"/>
    <cellStyle name="Итог 3 2 2 3" xfId="3108"/>
    <cellStyle name="Итог 3 2 3" xfId="2413"/>
    <cellStyle name="Итог 3 3" xfId="2658"/>
    <cellStyle name="Итог 3 3 2" xfId="2896"/>
    <cellStyle name="Итог 3 3 3" xfId="3107"/>
    <cellStyle name="Итог 3 4" xfId="2412"/>
    <cellStyle name="Итог 3_46EE.2011(v1.0)" xfId="972"/>
    <cellStyle name="Итог 4" xfId="973"/>
    <cellStyle name="Итог 4 2" xfId="974"/>
    <cellStyle name="Итог 4 2 2" xfId="2661"/>
    <cellStyle name="Итог 4 2 2 2" xfId="2899"/>
    <cellStyle name="Итог 4 2 2 3" xfId="3110"/>
    <cellStyle name="Итог 4 2 3" xfId="2415"/>
    <cellStyle name="Итог 4 3" xfId="2660"/>
    <cellStyle name="Итог 4 3 2" xfId="2898"/>
    <cellStyle name="Итог 4 3 3" xfId="3109"/>
    <cellStyle name="Итог 4 4" xfId="2414"/>
    <cellStyle name="Итог 4_46EE.2011(v1.0)" xfId="975"/>
    <cellStyle name="Итог 5" xfId="976"/>
    <cellStyle name="Итог 5 2" xfId="977"/>
    <cellStyle name="Итог 5 2 2" xfId="2663"/>
    <cellStyle name="Итог 5 2 2 2" xfId="2901"/>
    <cellStyle name="Итог 5 2 2 3" xfId="3112"/>
    <cellStyle name="Итог 5 2 3" xfId="2417"/>
    <cellStyle name="Итог 5 3" xfId="2662"/>
    <cellStyle name="Итог 5 3 2" xfId="2900"/>
    <cellStyle name="Итог 5 3 3" xfId="3111"/>
    <cellStyle name="Итог 5 4" xfId="2416"/>
    <cellStyle name="Итог 5_46EE.2011(v1.0)" xfId="978"/>
    <cellStyle name="Итог 6" xfId="979"/>
    <cellStyle name="Итог 6 2" xfId="980"/>
    <cellStyle name="Итог 6 2 2" xfId="2665"/>
    <cellStyle name="Итог 6 2 2 2" xfId="2903"/>
    <cellStyle name="Итог 6 2 2 3" xfId="3114"/>
    <cellStyle name="Итог 6 2 3" xfId="2419"/>
    <cellStyle name="Итог 6 3" xfId="2664"/>
    <cellStyle name="Итог 6 3 2" xfId="2902"/>
    <cellStyle name="Итог 6 3 3" xfId="3113"/>
    <cellStyle name="Итог 6 4" xfId="2418"/>
    <cellStyle name="Итог 6_46EE.2011(v1.0)" xfId="981"/>
    <cellStyle name="Итог 7" xfId="982"/>
    <cellStyle name="Итог 7 2" xfId="983"/>
    <cellStyle name="Итог 7 2 2" xfId="2667"/>
    <cellStyle name="Итог 7 2 2 2" xfId="2905"/>
    <cellStyle name="Итог 7 2 2 3" xfId="3116"/>
    <cellStyle name="Итог 7 2 3" xfId="2421"/>
    <cellStyle name="Итог 7 3" xfId="2666"/>
    <cellStyle name="Итог 7 3 2" xfId="2904"/>
    <cellStyle name="Итог 7 3 3" xfId="3115"/>
    <cellStyle name="Итог 7 4" xfId="2420"/>
    <cellStyle name="Итог 7_46EE.2011(v1.0)" xfId="984"/>
    <cellStyle name="Итог 8" xfId="985"/>
    <cellStyle name="Итог 8 2" xfId="986"/>
    <cellStyle name="Итог 8 2 2" xfId="2669"/>
    <cellStyle name="Итог 8 2 2 2" xfId="2907"/>
    <cellStyle name="Итог 8 2 2 3" xfId="3118"/>
    <cellStyle name="Итог 8 2 3" xfId="2423"/>
    <cellStyle name="Итог 8 3" xfId="2668"/>
    <cellStyle name="Итог 8 3 2" xfId="2906"/>
    <cellStyle name="Итог 8 3 3" xfId="3117"/>
    <cellStyle name="Итог 8 4" xfId="2422"/>
    <cellStyle name="Итог 8_46EE.2011(v1.0)" xfId="987"/>
    <cellStyle name="Итог 9" xfId="988"/>
    <cellStyle name="Итог 9 2" xfId="989"/>
    <cellStyle name="Итог 9 2 2" xfId="2671"/>
    <cellStyle name="Итог 9 2 2 2" xfId="2909"/>
    <cellStyle name="Итог 9 2 2 3" xfId="3120"/>
    <cellStyle name="Итог 9 2 3" xfId="2425"/>
    <cellStyle name="Итог 9 3" xfId="2670"/>
    <cellStyle name="Итог 9 3 2" xfId="2908"/>
    <cellStyle name="Итог 9 3 3" xfId="3119"/>
    <cellStyle name="Итог 9 4" xfId="2424"/>
    <cellStyle name="Итог 9_46EE.2011(v1.0)" xfId="990"/>
    <cellStyle name="Итоги" xfId="2043"/>
    <cellStyle name="Итого" xfId="991"/>
    <cellStyle name="Итого 2" xfId="2672"/>
    <cellStyle name="Итого 2 2" xfId="2910"/>
    <cellStyle name="Итого 2 3" xfId="3121"/>
    <cellStyle name="Итого 3" xfId="2426"/>
    <cellStyle name="Итого 4" xfId="3337"/>
    <cellStyle name="Итого 5" xfId="3338"/>
    <cellStyle name="Итого по строке" xfId="2044"/>
    <cellStyle name="ИТОГОВЫЙ" xfId="992"/>
    <cellStyle name="ИТОГОВЫЙ 2" xfId="993"/>
    <cellStyle name="ИТОГОВЫЙ 3" xfId="994"/>
    <cellStyle name="ИТОГОВЫЙ 4" xfId="995"/>
    <cellStyle name="ИТОГОВЫЙ 5" xfId="996"/>
    <cellStyle name="ИТОГОВЫЙ 6" xfId="997"/>
    <cellStyle name="ИТОГОВЫЙ 7" xfId="998"/>
    <cellStyle name="ИТОГОВЫЙ 8" xfId="999"/>
    <cellStyle name="ИТОГОВЫЙ_1" xfId="1000"/>
    <cellStyle name="Контрольная ячейка" xfId="1001" builtinId="23" customBuiltin="1"/>
    <cellStyle name="Контрольная ячейка 10" xfId="2224"/>
    <cellStyle name="Контрольная ячейка 2" xfId="1002"/>
    <cellStyle name="Контрольная ячейка 2 2" xfId="1003"/>
    <cellStyle name="Контрольная ячейка 2_46EE.2011(v1.0)" xfId="1004"/>
    <cellStyle name="Контрольная ячейка 3" xfId="1005"/>
    <cellStyle name="Контрольная ячейка 3 2" xfId="1006"/>
    <cellStyle name="Контрольная ячейка 3_46EE.2011(v1.0)" xfId="1007"/>
    <cellStyle name="Контрольная ячейка 4" xfId="1008"/>
    <cellStyle name="Контрольная ячейка 4 2" xfId="1009"/>
    <cellStyle name="Контрольная ячейка 4_46EE.2011(v1.0)" xfId="1010"/>
    <cellStyle name="Контрольная ячейка 5" xfId="1011"/>
    <cellStyle name="Контрольная ячейка 5 2" xfId="1012"/>
    <cellStyle name="Контрольная ячейка 5_46EE.2011(v1.0)" xfId="1013"/>
    <cellStyle name="Контрольная ячейка 6" xfId="1014"/>
    <cellStyle name="Контрольная ячейка 6 2" xfId="1015"/>
    <cellStyle name="Контрольная ячейка 6_46EE.2011(v1.0)" xfId="1016"/>
    <cellStyle name="Контрольная ячейка 7" xfId="1017"/>
    <cellStyle name="Контрольная ячейка 7 2" xfId="1018"/>
    <cellStyle name="Контрольная ячейка 7_46EE.2011(v1.0)" xfId="1019"/>
    <cellStyle name="Контрольная ячейка 8" xfId="1020"/>
    <cellStyle name="Контрольная ячейка 8 2" xfId="1021"/>
    <cellStyle name="Контрольная ячейка 8_46EE.2011(v1.0)" xfId="1022"/>
    <cellStyle name="Контрольная ячейка 9" xfId="1023"/>
    <cellStyle name="Контрольная ячейка 9 2" xfId="1024"/>
    <cellStyle name="Контрольная ячейка 9_46EE.2011(v1.0)" xfId="1025"/>
    <cellStyle name="Мои наименования показателей" xfId="1028"/>
    <cellStyle name="Мои наименования показателей 2" xfId="1029"/>
    <cellStyle name="Мои наименования показателей 2 2" xfId="1030"/>
    <cellStyle name="Мои наименования показателей 2 3" xfId="1031"/>
    <cellStyle name="Мои наименования показателей 2 4" xfId="1032"/>
    <cellStyle name="Мои наименования показателей 2 5" xfId="1033"/>
    <cellStyle name="Мои наименования показателей 2 6" xfId="1034"/>
    <cellStyle name="Мои наименования показателей 2 7" xfId="1035"/>
    <cellStyle name="Мои наименования показателей 2 8" xfId="1036"/>
    <cellStyle name="Мои наименования показателей 2_1" xfId="1037"/>
    <cellStyle name="Мои наименования показателей 3" xfId="1038"/>
    <cellStyle name="Мои наименования показателей 3 2" xfId="1039"/>
    <cellStyle name="Мои наименования показателей 3 3" xfId="1040"/>
    <cellStyle name="Мои наименования показателей 3 4" xfId="1041"/>
    <cellStyle name="Мои наименования показателей 3 5" xfId="1042"/>
    <cellStyle name="Мои наименования показателей 3 6" xfId="1043"/>
    <cellStyle name="Мои наименования показателей 3 7" xfId="1044"/>
    <cellStyle name="Мои наименования показателей 3 8" xfId="1045"/>
    <cellStyle name="Мои наименования показателей 3_1" xfId="1046"/>
    <cellStyle name="Мои наименования показателей 4" xfId="1047"/>
    <cellStyle name="Мои наименования показателей 4 2" xfId="1048"/>
    <cellStyle name="Мои наименования показателей 4 3" xfId="1049"/>
    <cellStyle name="Мои наименования показателей 4 4" xfId="1050"/>
    <cellStyle name="Мои наименования показателей 4 5" xfId="1051"/>
    <cellStyle name="Мои наименования показателей 4 6" xfId="1052"/>
    <cellStyle name="Мои наименования показателей 4 7" xfId="1053"/>
    <cellStyle name="Мои наименования показателей 4 8" xfId="1054"/>
    <cellStyle name="Мои наименования показателей 4_1" xfId="1055"/>
    <cellStyle name="Мои наименования показателей 5" xfId="1056"/>
    <cellStyle name="Мои наименования показателей 5 2" xfId="1057"/>
    <cellStyle name="Мои наименования показателей 5 3" xfId="1058"/>
    <cellStyle name="Мои наименования показателей 5 4" xfId="1059"/>
    <cellStyle name="Мои наименования показателей 5 5" xfId="1060"/>
    <cellStyle name="Мои наименования показателей 5 6" xfId="1061"/>
    <cellStyle name="Мои наименования показателей 5 7" xfId="1062"/>
    <cellStyle name="Мои наименования показателей 5 8" xfId="1063"/>
    <cellStyle name="Мои наименования показателей 5_1" xfId="1064"/>
    <cellStyle name="Мои наименования показателей 6" xfId="1065"/>
    <cellStyle name="Мои наименования показателей 6 2" xfId="1066"/>
    <cellStyle name="Мои наименования показателей 6_46EE.2011(v1.0)" xfId="1067"/>
    <cellStyle name="Мои наименования показателей 7" xfId="1068"/>
    <cellStyle name="Мои наименования показателей 7 2" xfId="1069"/>
    <cellStyle name="Мои наименования показателей 7_46EE.2011(v1.0)" xfId="1070"/>
    <cellStyle name="Мои наименования показателей 8" xfId="1071"/>
    <cellStyle name="Мои наименования показателей 8 2" xfId="1072"/>
    <cellStyle name="Мои наименования показателей 8_46EE.2011(v1.0)" xfId="1073"/>
    <cellStyle name="Мои наименования показателей_46EE.032011" xfId="1074"/>
    <cellStyle name="Мой заголовок" xfId="1026"/>
    <cellStyle name="Мой заголовок листа" xfId="1027"/>
    <cellStyle name="назв фил" xfId="1075"/>
    <cellStyle name="назв фил 2" xfId="2673"/>
    <cellStyle name="назв фил 2 2" xfId="2911"/>
    <cellStyle name="назв фил 2 3" xfId="3122"/>
    <cellStyle name="назв фил 3" xfId="2427"/>
    <cellStyle name="назв фил 4" xfId="3339"/>
    <cellStyle name="назв фил 5" xfId="3340"/>
    <cellStyle name="Название" xfId="1076" builtinId="15" customBuiltin="1"/>
    <cellStyle name="Название 10" xfId="2225"/>
    <cellStyle name="Название 2" xfId="1077"/>
    <cellStyle name="Название 2 2" xfId="1078"/>
    <cellStyle name="Название 3" xfId="1079"/>
    <cellStyle name="Название 3 2" xfId="1080"/>
    <cellStyle name="Название 4" xfId="1081"/>
    <cellStyle name="Название 4 2" xfId="1082"/>
    <cellStyle name="Название 5" xfId="1083"/>
    <cellStyle name="Название 5 2" xfId="1084"/>
    <cellStyle name="Название 6" xfId="1085"/>
    <cellStyle name="Название 6 2" xfId="1086"/>
    <cellStyle name="Название 7" xfId="1087"/>
    <cellStyle name="Название 7 2" xfId="1088"/>
    <cellStyle name="Название 8" xfId="1089"/>
    <cellStyle name="Название 8 2" xfId="1090"/>
    <cellStyle name="Название 9" xfId="1091"/>
    <cellStyle name="Название 9 2" xfId="1092"/>
    <cellStyle name="Нейтральный" xfId="1093" builtinId="28" customBuiltin="1"/>
    <cellStyle name="Нейтральный 10" xfId="2226"/>
    <cellStyle name="Нейтральный 2" xfId="1094"/>
    <cellStyle name="Нейтральный 2 2" xfId="1095"/>
    <cellStyle name="Нейтральный 3" xfId="1096"/>
    <cellStyle name="Нейтральный 3 2" xfId="1097"/>
    <cellStyle name="Нейтральный 4" xfId="1098"/>
    <cellStyle name="Нейтральный 4 2" xfId="1099"/>
    <cellStyle name="Нейтральный 5" xfId="1100"/>
    <cellStyle name="Нейтральный 5 2" xfId="1101"/>
    <cellStyle name="Нейтральный 6" xfId="1102"/>
    <cellStyle name="Нейтральный 6 2" xfId="1103"/>
    <cellStyle name="Нейтральный 7" xfId="1104"/>
    <cellStyle name="Нейтральный 7 2" xfId="1105"/>
    <cellStyle name="Нейтральный 8" xfId="1106"/>
    <cellStyle name="Нейтральный 8 2" xfId="1107"/>
    <cellStyle name="Нейтральный 9" xfId="1108"/>
    <cellStyle name="Нейтральный 9 2" xfId="1109"/>
    <cellStyle name="Обычный" xfId="0" builtinId="0"/>
    <cellStyle name="Обычный 10" xfId="1110"/>
    <cellStyle name="Обычный 10 2" xfId="3450"/>
    <cellStyle name="Обычный 11" xfId="1111"/>
    <cellStyle name="Обычный 11 2" xfId="3341"/>
    <cellStyle name="Обычный 11 3" xfId="3342"/>
    <cellStyle name="Обычный 12" xfId="1112"/>
    <cellStyle name="Обычный 12 2" xfId="1415"/>
    <cellStyle name="Обычный 12 2 2" xfId="2675"/>
    <cellStyle name="Обычный 12 2 3" xfId="2481"/>
    <cellStyle name="Обычный 12 3" xfId="2674"/>
    <cellStyle name="Обычный 12 4" xfId="2428"/>
    <cellStyle name="Обычный 13" xfId="1113"/>
    <cellStyle name="Обычный 13 2" xfId="1114"/>
    <cellStyle name="Обычный 13 2 2" xfId="1417"/>
    <cellStyle name="Обычный 13 2 3" xfId="3343"/>
    <cellStyle name="Обычный 13 3" xfId="1416"/>
    <cellStyle name="Обычный 13 3 2" xfId="2677"/>
    <cellStyle name="Обычный 13 3 3" xfId="2482"/>
    <cellStyle name="Обычный 13 4" xfId="2676"/>
    <cellStyle name="Обычный 13 5" xfId="2429"/>
    <cellStyle name="Обычный 14" xfId="1115"/>
    <cellStyle name="Обычный 14 2" xfId="3344"/>
    <cellStyle name="Обычный 14 3" xfId="3345"/>
    <cellStyle name="Обычный 15" xfId="1421"/>
    <cellStyle name="Обычный 15 2" xfId="2227"/>
    <cellStyle name="Обычный 15 3" xfId="2678"/>
    <cellStyle name="Обычный 15 4" xfId="3346"/>
    <cellStyle name="Обычный 16" xfId="1423"/>
    <cellStyle name="Обычный 16 2" xfId="3347"/>
    <cellStyle name="Обычный 16 3" xfId="3348"/>
    <cellStyle name="Обычный 17" xfId="2045"/>
    <cellStyle name="Обычный 17 2" xfId="2228"/>
    <cellStyle name="Обычный 17 3" xfId="2679"/>
    <cellStyle name="Обычный 17 4" xfId="3349"/>
    <cellStyle name="Обычный 18" xfId="2046"/>
    <cellStyle name="Обычный 18 2" xfId="2229"/>
    <cellStyle name="Обычный 18 3" xfId="2680"/>
    <cellStyle name="Обычный 19" xfId="2047"/>
    <cellStyle name="Обычный 19 2" xfId="2230"/>
    <cellStyle name="Обычный 19 3" xfId="2681"/>
    <cellStyle name="Обычный 2" xfId="1116"/>
    <cellStyle name="Обычный 2 10" xfId="2048"/>
    <cellStyle name="Обычный 2 10 2" xfId="3350"/>
    <cellStyle name="Обычный 2 10 3" xfId="3351"/>
    <cellStyle name="Обычный 2 100" xfId="2049"/>
    <cellStyle name="Обычный 2 101" xfId="2050"/>
    <cellStyle name="Обычный 2 102" xfId="2051"/>
    <cellStyle name="Обычный 2 103" xfId="2052"/>
    <cellStyle name="Обычный 2 104" xfId="2053"/>
    <cellStyle name="Обычный 2 105" xfId="2054"/>
    <cellStyle name="Обычный 2 106" xfId="2055"/>
    <cellStyle name="Обычный 2 107" xfId="2056"/>
    <cellStyle name="Обычный 2 108" xfId="2057"/>
    <cellStyle name="Обычный 2 109" xfId="2058"/>
    <cellStyle name="Обычный 2 11" xfId="2059"/>
    <cellStyle name="Обычный 2 110" xfId="2060"/>
    <cellStyle name="Обычный 2 111" xfId="2309"/>
    <cellStyle name="Обычный 2 111 2" xfId="2683"/>
    <cellStyle name="Обычный 2 111 3" xfId="2533"/>
    <cellStyle name="Обычный 2 112" xfId="2310"/>
    <cellStyle name="Обычный 2 113" xfId="2682"/>
    <cellStyle name="Обычный 2 114" xfId="3196"/>
    <cellStyle name="Обычный 2 12" xfId="2061"/>
    <cellStyle name="Обычный 2 13" xfId="2062"/>
    <cellStyle name="Обычный 2 14" xfId="2063"/>
    <cellStyle name="Обычный 2 15" xfId="2064"/>
    <cellStyle name="Обычный 2 16" xfId="2065"/>
    <cellStyle name="Обычный 2 17" xfId="2066"/>
    <cellStyle name="Обычный 2 18" xfId="2067"/>
    <cellStyle name="Обычный 2 19" xfId="2068"/>
    <cellStyle name="Обычный 2 2" xfId="1117"/>
    <cellStyle name="Обычный 2 2 2" xfId="1118"/>
    <cellStyle name="Обычный 2 2 2 2" xfId="2231"/>
    <cellStyle name="Обычный 2 2 2 2 2" xfId="2684"/>
    <cellStyle name="Обычный 2 2 2 2 3" xfId="2511"/>
    <cellStyle name="Обычный 2 2 2 3" xfId="3352"/>
    <cellStyle name="Обычный 2 2 3" xfId="2232"/>
    <cellStyle name="Обычный 2 2 3 2" xfId="2685"/>
    <cellStyle name="Обычный 2 2 3 3" xfId="2512"/>
    <cellStyle name="Обычный 2 2 4" xfId="2233"/>
    <cellStyle name="Обычный 2 2 5" xfId="3353"/>
    <cellStyle name="Обычный 2 2_46EE.2011(v1.0)" xfId="1119"/>
    <cellStyle name="Обычный 2 20" xfId="2069"/>
    <cellStyle name="Обычный 2 21" xfId="2070"/>
    <cellStyle name="Обычный 2 22" xfId="2071"/>
    <cellStyle name="Обычный 2 23" xfId="2072"/>
    <cellStyle name="Обычный 2 24" xfId="2073"/>
    <cellStyle name="Обычный 2 25" xfId="2074"/>
    <cellStyle name="Обычный 2 26" xfId="2075"/>
    <cellStyle name="Обычный 2 27" xfId="2076"/>
    <cellStyle name="Обычный 2 28" xfId="2077"/>
    <cellStyle name="Обычный 2 29" xfId="2078"/>
    <cellStyle name="Обычный 2 3" xfId="1120"/>
    <cellStyle name="Обычный 2 3 2" xfId="1121"/>
    <cellStyle name="Обычный 2 3 3" xfId="2234"/>
    <cellStyle name="Обычный 2 3 3 2" xfId="2686"/>
    <cellStyle name="Обычный 2 3 3 3" xfId="2513"/>
    <cellStyle name="Обычный 2 3 4" xfId="3354"/>
    <cellStyle name="Обычный 2 3 5" xfId="3355"/>
    <cellStyle name="Обычный 2 3_46EE.2011(v1.0)" xfId="1122"/>
    <cellStyle name="Обычный 2 30" xfId="2079"/>
    <cellStyle name="Обычный 2 31" xfId="2080"/>
    <cellStyle name="Обычный 2 32" xfId="2081"/>
    <cellStyle name="Обычный 2 33" xfId="2082"/>
    <cellStyle name="Обычный 2 34" xfId="2083"/>
    <cellStyle name="Обычный 2 35" xfId="2084"/>
    <cellStyle name="Обычный 2 36" xfId="2085"/>
    <cellStyle name="Обычный 2 37" xfId="2086"/>
    <cellStyle name="Обычный 2 38" xfId="2087"/>
    <cellStyle name="Обычный 2 39" xfId="2088"/>
    <cellStyle name="Обычный 2 4" xfId="1123"/>
    <cellStyle name="Обычный 2 4 2" xfId="1124"/>
    <cellStyle name="Обычный 2 4 3" xfId="2235"/>
    <cellStyle name="Обычный 2 4_46EE.2011(v1.0)" xfId="1125"/>
    <cellStyle name="Обычный 2 40" xfId="2089"/>
    <cellStyle name="Обычный 2 41" xfId="2090"/>
    <cellStyle name="Обычный 2 42" xfId="2091"/>
    <cellStyle name="Обычный 2 43" xfId="2092"/>
    <cellStyle name="Обычный 2 44" xfId="2093"/>
    <cellStyle name="Обычный 2 45" xfId="2094"/>
    <cellStyle name="Обычный 2 46" xfId="2095"/>
    <cellStyle name="Обычный 2 47" xfId="2096"/>
    <cellStyle name="Обычный 2 48" xfId="2097"/>
    <cellStyle name="Обычный 2 49" xfId="2098"/>
    <cellStyle name="Обычный 2 5" xfId="1126"/>
    <cellStyle name="Обычный 2 5 2" xfId="1127"/>
    <cellStyle name="Обычный 2 5 3" xfId="2236"/>
    <cellStyle name="Обычный 2 5_46EE.2011(v1.0)" xfId="1128"/>
    <cellStyle name="Обычный 2 50" xfId="2099"/>
    <cellStyle name="Обычный 2 51" xfId="2100"/>
    <cellStyle name="Обычный 2 52" xfId="2101"/>
    <cellStyle name="Обычный 2 53" xfId="2102"/>
    <cellStyle name="Обычный 2 54" xfId="2103"/>
    <cellStyle name="Обычный 2 55" xfId="2104"/>
    <cellStyle name="Обычный 2 56" xfId="2105"/>
    <cellStyle name="Обычный 2 57" xfId="2106"/>
    <cellStyle name="Обычный 2 58" xfId="2107"/>
    <cellStyle name="Обычный 2 59" xfId="2108"/>
    <cellStyle name="Обычный 2 6" xfId="1129"/>
    <cellStyle name="Обычный 2 6 2" xfId="1130"/>
    <cellStyle name="Обычный 2 6_46EE.2011(v1.0)" xfId="1131"/>
    <cellStyle name="Обычный 2 60" xfId="2109"/>
    <cellStyle name="Обычный 2 61" xfId="2110"/>
    <cellStyle name="Обычный 2 62" xfId="2111"/>
    <cellStyle name="Обычный 2 63" xfId="2112"/>
    <cellStyle name="Обычный 2 64" xfId="2113"/>
    <cellStyle name="Обычный 2 65" xfId="2114"/>
    <cellStyle name="Обычный 2 66" xfId="2115"/>
    <cellStyle name="Обычный 2 67" xfId="2116"/>
    <cellStyle name="Обычный 2 68" xfId="2117"/>
    <cellStyle name="Обычный 2 69" xfId="2118"/>
    <cellStyle name="Обычный 2 7" xfId="2119"/>
    <cellStyle name="Обычный 2 7 2" xfId="2237"/>
    <cellStyle name="Обычный 2 7 3" xfId="2687"/>
    <cellStyle name="Обычный 2 70" xfId="2120"/>
    <cellStyle name="Обычный 2 71" xfId="2121"/>
    <cellStyle name="Обычный 2 72" xfId="2122"/>
    <cellStyle name="Обычный 2 73" xfId="2123"/>
    <cellStyle name="Обычный 2 74" xfId="2124"/>
    <cellStyle name="Обычный 2 75" xfId="2125"/>
    <cellStyle name="Обычный 2 76" xfId="2126"/>
    <cellStyle name="Обычный 2 77" xfId="2127"/>
    <cellStyle name="Обычный 2 78" xfId="2128"/>
    <cellStyle name="Обычный 2 79" xfId="2129"/>
    <cellStyle name="Обычный 2 8" xfId="2130"/>
    <cellStyle name="Обычный 2 8 2" xfId="3356"/>
    <cellStyle name="Обычный 2 8 3" xfId="3357"/>
    <cellStyle name="Обычный 2 80" xfId="2131"/>
    <cellStyle name="Обычный 2 81" xfId="2132"/>
    <cellStyle name="Обычный 2 82" xfId="2133"/>
    <cellStyle name="Обычный 2 83" xfId="2134"/>
    <cellStyle name="Обычный 2 84" xfId="2135"/>
    <cellStyle name="Обычный 2 85" xfId="2136"/>
    <cellStyle name="Обычный 2 86" xfId="2137"/>
    <cellStyle name="Обычный 2 87" xfId="2138"/>
    <cellStyle name="Обычный 2 88" xfId="2139"/>
    <cellStyle name="Обычный 2 89" xfId="2140"/>
    <cellStyle name="Обычный 2 9" xfId="2141"/>
    <cellStyle name="Обычный 2 9 2" xfId="3358"/>
    <cellStyle name="Обычный 2 9 3" xfId="3359"/>
    <cellStyle name="Обычный 2 90" xfId="2142"/>
    <cellStyle name="Обычный 2 91" xfId="2143"/>
    <cellStyle name="Обычный 2 92" xfId="2144"/>
    <cellStyle name="Обычный 2 93" xfId="2145"/>
    <cellStyle name="Обычный 2 94" xfId="2146"/>
    <cellStyle name="Обычный 2 95" xfId="2147"/>
    <cellStyle name="Обычный 2 96" xfId="2148"/>
    <cellStyle name="Обычный 2 97" xfId="2149"/>
    <cellStyle name="Обычный 2 98" xfId="2150"/>
    <cellStyle name="Обычный 2 99" xfId="2151"/>
    <cellStyle name="Обычный 2_%D0%90%D0%BA%D1%82%20%D0%93%D0%AD%D0%A1%20%D0%9D%D0%92%20%D0%B8%D1%8E%D0%BB%D1%8C100(1)" xfId="2152"/>
    <cellStyle name="Обычный 2_134" xfId="1425"/>
    <cellStyle name="Обычный 2_135" xfId="1426"/>
    <cellStyle name="Обычный 20" xfId="2153"/>
    <cellStyle name="Обычный 20 2" xfId="2238"/>
    <cellStyle name="Обычный 20 3" xfId="2688"/>
    <cellStyle name="Обычный 21" xfId="2154"/>
    <cellStyle name="Обычный 21 2" xfId="2239"/>
    <cellStyle name="Обычный 21 3" xfId="2689"/>
    <cellStyle name="Обычный 22" xfId="2155"/>
    <cellStyle name="Обычный 23" xfId="2156"/>
    <cellStyle name="Обычный 24" xfId="2157"/>
    <cellStyle name="Обычный 25" xfId="2158"/>
    <cellStyle name="Обычный 26" xfId="2159"/>
    <cellStyle name="Обычный 27" xfId="2160"/>
    <cellStyle name="Обычный 28" xfId="2161"/>
    <cellStyle name="Обычный 29" xfId="2162"/>
    <cellStyle name="Обычный 3" xfId="1132"/>
    <cellStyle name="Обычный 3 2" xfId="2163"/>
    <cellStyle name="Обычный 3 2 2" xfId="2164"/>
    <cellStyle name="Обычный 3 2 2 2" xfId="2165"/>
    <cellStyle name="Обычный 3 2 3" xfId="3360"/>
    <cellStyle name="Обычный 3 2 4" xfId="3361"/>
    <cellStyle name="Обычный 3 3" xfId="2240"/>
    <cellStyle name="Обычный 3 3 2" xfId="3362"/>
    <cellStyle name="Обычный 3 3 3" xfId="3363"/>
    <cellStyle name="Обычный 3 4" xfId="2690"/>
    <cellStyle name="Обычный 3 5" xfId="3364"/>
    <cellStyle name="Обычный 3_OOONESKO_ZONE1_FRSVR_AVANS2_BUY_20120201_E" xfId="3365"/>
    <cellStyle name="Обычный 30" xfId="2166"/>
    <cellStyle name="Обычный 31" xfId="2167"/>
    <cellStyle name="Обычный 32" xfId="2168"/>
    <cellStyle name="Обычный 33" xfId="2169"/>
    <cellStyle name="Обычный 34" xfId="2170"/>
    <cellStyle name="Обычный 35" xfId="2171"/>
    <cellStyle name="Обычный 36" xfId="2172"/>
    <cellStyle name="Обычный 37" xfId="2173"/>
    <cellStyle name="Обычный 38" xfId="2174"/>
    <cellStyle name="Обычный 39" xfId="2185"/>
    <cellStyle name="Обычный 39 2" xfId="2187"/>
    <cellStyle name="Обычный 39 3" xfId="2691"/>
    <cellStyle name="Обычный 4" xfId="1133"/>
    <cellStyle name="Обычный 4 2" xfId="1134"/>
    <cellStyle name="Обычный 4 2 2" xfId="3366"/>
    <cellStyle name="Обычный 4 2 3" xfId="3454"/>
    <cellStyle name="Обычный 4 3" xfId="2175"/>
    <cellStyle name="Обычный 4 3 2" xfId="2241"/>
    <cellStyle name="Обычный 4 3 3" xfId="2692"/>
    <cellStyle name="Обычный 4 3 4" xfId="3367"/>
    <cellStyle name="Обычный 4 4" xfId="3368"/>
    <cellStyle name="Обычный 4_EE.20.MET.SVOD.2.73_v0.1" xfId="1135"/>
    <cellStyle name="Обычный 40" xfId="2186"/>
    <cellStyle name="Обычный 40 2" xfId="3369"/>
    <cellStyle name="Обычный 41" xfId="2242"/>
    <cellStyle name="Обычный 42" xfId="2308"/>
    <cellStyle name="Обычный 42 2" xfId="2693"/>
    <cellStyle name="Обычный 42 3" xfId="2532"/>
    <cellStyle name="Обычный 43" xfId="2694"/>
    <cellStyle name="Обычный 43 2" xfId="3370"/>
    <cellStyle name="Обычный 44" xfId="2695"/>
    <cellStyle name="Обычный 44 2" xfId="3371"/>
    <cellStyle name="Обычный 45" xfId="2534"/>
    <cellStyle name="Обычный 45 2" xfId="3372"/>
    <cellStyle name="Обычный 46" xfId="2772"/>
    <cellStyle name="Обычный 47" xfId="3195"/>
    <cellStyle name="Обычный 48" xfId="3373"/>
    <cellStyle name="Обычный 49" xfId="3448"/>
    <cellStyle name="Обычный 5" xfId="1136"/>
    <cellStyle name="Обычный 5 2" xfId="3374"/>
    <cellStyle name="Обычный 5 2 2" xfId="3451"/>
    <cellStyle name="Обычный 5 3" xfId="3375"/>
    <cellStyle name="Обычный 50" xfId="3452"/>
    <cellStyle name="Обычный 6" xfId="1137"/>
    <cellStyle name="Обычный 6 2" xfId="3376"/>
    <cellStyle name="Обычный 6 3" xfId="3377"/>
    <cellStyle name="Обычный 7" xfId="1138"/>
    <cellStyle name="Обычный 7 2" xfId="3378"/>
    <cellStyle name="Обычный 7 3" xfId="3379"/>
    <cellStyle name="Обычный 8" xfId="1139"/>
    <cellStyle name="Обычный 8 2" xfId="3380"/>
    <cellStyle name="Обычный 8 3" xfId="3381"/>
    <cellStyle name="Обычный 9" xfId="1140"/>
    <cellStyle name="Обычный 9 2" xfId="3382"/>
    <cellStyle name="Обычный 9 3" xfId="3383"/>
    <cellStyle name="Обычный_101" xfId="1424"/>
    <cellStyle name="Обычный_1234" xfId="1141"/>
    <cellStyle name="Обычный_FORM3.1" xfId="1142"/>
    <cellStyle name="Обычный_OOONESKO_E_RDFinOblig-c_12_20090218" xfId="1143"/>
    <cellStyle name="Обычный_OOONESKO_E_RDFinOblig-c_12_20130212" xfId="1144"/>
    <cellStyle name="Обычный_PRIL1.ELECTR" xfId="1145"/>
    <cellStyle name="Обычный_PRIL1.ELECTR 2" xfId="1146"/>
    <cellStyle name="Обычный_prom_control1" xfId="3453"/>
    <cellStyle name="Обычный_SIMPLE_1_massive2" xfId="1147"/>
    <cellStyle name="Обычный_struktura elektro" xfId="1148"/>
    <cellStyle name="Обычный_БП  " xfId="1427"/>
    <cellStyle name="Обычный_ЖКУ_проект3" xfId="1149"/>
    <cellStyle name="Обычный_ЖКУ_проект3 2" xfId="1150"/>
    <cellStyle name="Обычный_Котёл потребление Сетей(шаблон)" xfId="1151"/>
    <cellStyle name="Обычный_Котёл Сбыты" xfId="1152"/>
    <cellStyle name="Обычный_Общая" xfId="1422"/>
    <cellStyle name="Обычный_оконч.на 72042,78" xfId="1153"/>
    <cellStyle name="Обычный_Отчет Бизнес-план ОАО _План-факт-новый" xfId="1154"/>
    <cellStyle name="Обычный_Первоуральск 2004-окончат" xfId="1428"/>
    <cellStyle name="Обычный_Покупка" xfId="1155"/>
    <cellStyle name="Обычный_Полезный отпуск электроэнергии и мощности, реализуемой по нерегулируемым ценам" xfId="1156"/>
    <cellStyle name="Обычный_Полезный отпуск электроэнергии и мощности, реализуемой по нерегулируемым ценам 2" xfId="3456"/>
    <cellStyle name="Обычный_Полезный отпуск электроэнергии и мощности, реализуемой по регулируемым ценам" xfId="1157"/>
    <cellStyle name="Обычный_Приложение_все 2" xfId="3455"/>
    <cellStyle name="Обычный_Продажа" xfId="1158"/>
    <cellStyle name="Обычный_РАСЧЕТЫ ПО ОПЛАТЕ 2011" xfId="1159"/>
    <cellStyle name="Обычный_РАСЧЕТЫ ПО ОПЛАТЕ 2012" xfId="1160"/>
    <cellStyle name="Обычный_Стандарт(v0.3)" xfId="1161"/>
    <cellStyle name="Обычный_Услуги_по передаче" xfId="1162"/>
    <cellStyle name="Обычный_форма 1 водопровод для орг" xfId="1163"/>
    <cellStyle name="Обычный_форма 1 водопровод для орг_CALC.KV.4.78(v1.0)" xfId="1164"/>
    <cellStyle name="Обычный_Форма3" xfId="1165"/>
    <cellStyle name="Обычный_Форма3 2" xfId="1166"/>
    <cellStyle name="Обычный_Форма3 3" xfId="1429"/>
    <cellStyle name="Обычный_Шаблон по источникам для Модуля Реестр (2)" xfId="1167"/>
    <cellStyle name="Обычный_Шаблон по источникам для Модуля Реестр (2) 2" xfId="3449"/>
    <cellStyle name="Обычный1" xfId="2176"/>
    <cellStyle name="Основа таблицы" xfId="2177"/>
    <cellStyle name="Плохой" xfId="1168" builtinId="27" customBuiltin="1"/>
    <cellStyle name="Плохой 10" xfId="2243"/>
    <cellStyle name="Плохой 2" xfId="1169"/>
    <cellStyle name="Плохой 2 2" xfId="1170"/>
    <cellStyle name="Плохой 3" xfId="1171"/>
    <cellStyle name="Плохой 3 2" xfId="1172"/>
    <cellStyle name="Плохой 4" xfId="1173"/>
    <cellStyle name="Плохой 4 2" xfId="1174"/>
    <cellStyle name="Плохой 5" xfId="1175"/>
    <cellStyle name="Плохой 5 2" xfId="1176"/>
    <cellStyle name="Плохой 6" xfId="1177"/>
    <cellStyle name="Плохой 6 2" xfId="1178"/>
    <cellStyle name="Плохой 7" xfId="1179"/>
    <cellStyle name="Плохой 7 2" xfId="1180"/>
    <cellStyle name="Плохой 8" xfId="1181"/>
    <cellStyle name="Плохой 8 2" xfId="1182"/>
    <cellStyle name="Плохой 9" xfId="1183"/>
    <cellStyle name="Плохой 9 2" xfId="1184"/>
    <cellStyle name="По центру с переносом" xfId="1185"/>
    <cellStyle name="По ширине с переносом" xfId="1186"/>
    <cellStyle name="Подзаголовок" xfId="2178"/>
    <cellStyle name="Подстрока" xfId="2179"/>
    <cellStyle name="Поле ввода" xfId="1187"/>
    <cellStyle name="Пояснение" xfId="1188" builtinId="53" customBuiltin="1"/>
    <cellStyle name="Пояснение 10" xfId="2244"/>
    <cellStyle name="Пояснение 2" xfId="1189"/>
    <cellStyle name="Пояснение 2 2" xfId="1190"/>
    <cellStyle name="Пояснение 3" xfId="1191"/>
    <cellStyle name="Пояснение 3 2" xfId="1192"/>
    <cellStyle name="Пояснение 4" xfId="1193"/>
    <cellStyle name="Пояснение 4 2" xfId="1194"/>
    <cellStyle name="Пояснение 5" xfId="1195"/>
    <cellStyle name="Пояснение 5 2" xfId="1196"/>
    <cellStyle name="Пояснение 6" xfId="1197"/>
    <cellStyle name="Пояснение 6 2" xfId="1198"/>
    <cellStyle name="Пояснение 7" xfId="1199"/>
    <cellStyle name="Пояснение 7 2" xfId="1200"/>
    <cellStyle name="Пояснение 8" xfId="1201"/>
    <cellStyle name="Пояснение 8 2" xfId="1202"/>
    <cellStyle name="Пояснение 9" xfId="1203"/>
    <cellStyle name="Пояснение 9 2" xfId="1204"/>
    <cellStyle name="Примечание" xfId="1205" builtinId="10" customBuiltin="1"/>
    <cellStyle name="Примечание 10" xfId="1206"/>
    <cellStyle name="Примечание 10 2" xfId="1207"/>
    <cellStyle name="Примечание 10 2 2" xfId="2697"/>
    <cellStyle name="Примечание 10 2 2 2" xfId="2913"/>
    <cellStyle name="Примечание 10 2 2 3" xfId="3124"/>
    <cellStyle name="Примечание 10 2 3" xfId="2432"/>
    <cellStyle name="Примечание 10 3" xfId="2696"/>
    <cellStyle name="Примечание 10 3 2" xfId="2912"/>
    <cellStyle name="Примечание 10 3 3" xfId="3123"/>
    <cellStyle name="Примечание 10 4" xfId="2431"/>
    <cellStyle name="Примечание 10_46EE.2011(v1.0)" xfId="1208"/>
    <cellStyle name="Примечание 11" xfId="1209"/>
    <cellStyle name="Примечание 11 2" xfId="1210"/>
    <cellStyle name="Примечание 11 2 2" xfId="2699"/>
    <cellStyle name="Примечание 11 2 2 2" xfId="2915"/>
    <cellStyle name="Примечание 11 2 2 3" xfId="3126"/>
    <cellStyle name="Примечание 11 2 3" xfId="2434"/>
    <cellStyle name="Примечание 11 3" xfId="2698"/>
    <cellStyle name="Примечание 11 3 2" xfId="2914"/>
    <cellStyle name="Примечание 11 3 3" xfId="3125"/>
    <cellStyle name="Примечание 11 4" xfId="2433"/>
    <cellStyle name="Примечание 11_46EE.2011(v1.0)" xfId="1211"/>
    <cellStyle name="Примечание 12" xfId="1212"/>
    <cellStyle name="Примечание 12 2" xfId="1213"/>
    <cellStyle name="Примечание 12 2 2" xfId="2701"/>
    <cellStyle name="Примечание 12 2 2 2" xfId="2917"/>
    <cellStyle name="Примечание 12 2 2 3" xfId="3128"/>
    <cellStyle name="Примечание 12 2 3" xfId="2436"/>
    <cellStyle name="Примечание 12 3" xfId="2700"/>
    <cellStyle name="Примечание 12 3 2" xfId="2916"/>
    <cellStyle name="Примечание 12 3 3" xfId="3127"/>
    <cellStyle name="Примечание 12 4" xfId="2435"/>
    <cellStyle name="Примечание 12_46EE.2011(v1.0)" xfId="1214"/>
    <cellStyle name="Примечание 13" xfId="1418"/>
    <cellStyle name="Примечание 13 2" xfId="2245"/>
    <cellStyle name="Примечание 13 2 2" xfId="2703"/>
    <cellStyle name="Примечание 13 2 2 2" xfId="2919"/>
    <cellStyle name="Примечание 13 2 2 3" xfId="3130"/>
    <cellStyle name="Примечание 13 2 3" xfId="2514"/>
    <cellStyle name="Примечание 13 3" xfId="2702"/>
    <cellStyle name="Примечание 13 3 2" xfId="2918"/>
    <cellStyle name="Примечание 13 3 3" xfId="3129"/>
    <cellStyle name="Примечание 13 4" xfId="2483"/>
    <cellStyle name="Примечание 14" xfId="2246"/>
    <cellStyle name="Примечание 14 2" xfId="2704"/>
    <cellStyle name="Примечание 14 2 2" xfId="2920"/>
    <cellStyle name="Примечание 14 2 3" xfId="3131"/>
    <cellStyle name="Примечание 14 3" xfId="2515"/>
    <cellStyle name="Примечание 15" xfId="2247"/>
    <cellStyle name="Примечание 15 2" xfId="2705"/>
    <cellStyle name="Примечание 15 2 2" xfId="2921"/>
    <cellStyle name="Примечание 15 2 3" xfId="3132"/>
    <cellStyle name="Примечание 15 3" xfId="2516"/>
    <cellStyle name="Примечание 16" xfId="2248"/>
    <cellStyle name="Примечание 16 2" xfId="2706"/>
    <cellStyle name="Примечание 16 2 2" xfId="2922"/>
    <cellStyle name="Примечание 16 2 3" xfId="3133"/>
    <cellStyle name="Примечание 16 3" xfId="2517"/>
    <cellStyle name="Примечание 17" xfId="2249"/>
    <cellStyle name="Примечание 17 2" xfId="2707"/>
    <cellStyle name="Примечание 17 2 2" xfId="2923"/>
    <cellStyle name="Примечание 17 2 3" xfId="3134"/>
    <cellStyle name="Примечание 17 3" xfId="2518"/>
    <cellStyle name="Примечание 18" xfId="2250"/>
    <cellStyle name="Примечание 18 2" xfId="2708"/>
    <cellStyle name="Примечание 18 2 2" xfId="2924"/>
    <cellStyle name="Примечание 18 2 3" xfId="3135"/>
    <cellStyle name="Примечание 18 3" xfId="2519"/>
    <cellStyle name="Примечание 19" xfId="2251"/>
    <cellStyle name="Примечание 19 2" xfId="2709"/>
    <cellStyle name="Примечание 19 2 2" xfId="2925"/>
    <cellStyle name="Примечание 19 2 3" xfId="3136"/>
    <cellStyle name="Примечание 19 3" xfId="2520"/>
    <cellStyle name="Примечание 2" xfId="1215"/>
    <cellStyle name="Примечание 2 10" xfId="2437"/>
    <cellStyle name="Примечание 2 2" xfId="1216"/>
    <cellStyle name="Примечание 2 2 2" xfId="2711"/>
    <cellStyle name="Примечание 2 2 2 2" xfId="2927"/>
    <cellStyle name="Примечание 2 2 2 3" xfId="3138"/>
    <cellStyle name="Примечание 2 2 3" xfId="2438"/>
    <cellStyle name="Примечание 2 3" xfId="1217"/>
    <cellStyle name="Примечание 2 3 2" xfId="2712"/>
    <cellStyle name="Примечание 2 3 2 2" xfId="2928"/>
    <cellStyle name="Примечание 2 3 2 3" xfId="3139"/>
    <cellStyle name="Примечание 2 3 3" xfId="2439"/>
    <cellStyle name="Примечание 2 4" xfId="1218"/>
    <cellStyle name="Примечание 2 4 2" xfId="2713"/>
    <cellStyle name="Примечание 2 4 2 2" xfId="2929"/>
    <cellStyle name="Примечание 2 4 2 3" xfId="3140"/>
    <cellStyle name="Примечание 2 4 3" xfId="2440"/>
    <cellStyle name="Примечание 2 5" xfId="1219"/>
    <cellStyle name="Примечание 2 5 2" xfId="2714"/>
    <cellStyle name="Примечание 2 5 2 2" xfId="2930"/>
    <cellStyle name="Примечание 2 5 2 3" xfId="3141"/>
    <cellStyle name="Примечание 2 5 3" xfId="2441"/>
    <cellStyle name="Примечание 2 6" xfId="1220"/>
    <cellStyle name="Примечание 2 6 2" xfId="2715"/>
    <cellStyle name="Примечание 2 6 2 2" xfId="2931"/>
    <cellStyle name="Примечание 2 6 2 3" xfId="3142"/>
    <cellStyle name="Примечание 2 6 3" xfId="2442"/>
    <cellStyle name="Примечание 2 7" xfId="1221"/>
    <cellStyle name="Примечание 2 7 2" xfId="2716"/>
    <cellStyle name="Примечание 2 7 2 2" xfId="2932"/>
    <cellStyle name="Примечание 2 7 2 3" xfId="3143"/>
    <cellStyle name="Примечание 2 7 3" xfId="2443"/>
    <cellStyle name="Примечание 2 8" xfId="1222"/>
    <cellStyle name="Примечание 2 8 2" xfId="2717"/>
    <cellStyle name="Примечание 2 8 2 2" xfId="2933"/>
    <cellStyle name="Примечание 2 8 2 3" xfId="3144"/>
    <cellStyle name="Примечание 2 8 3" xfId="2444"/>
    <cellStyle name="Примечание 2 9" xfId="2710"/>
    <cellStyle name="Примечание 2 9 2" xfId="2926"/>
    <cellStyle name="Примечание 2 9 3" xfId="3137"/>
    <cellStyle name="Примечание 2_46EE.2011(v1.0)" xfId="1223"/>
    <cellStyle name="Примечание 20" xfId="2252"/>
    <cellStyle name="Примечание 20 2" xfId="2718"/>
    <cellStyle name="Примечание 20 2 2" xfId="2934"/>
    <cellStyle name="Примечание 20 2 3" xfId="3145"/>
    <cellStyle name="Примечание 20 3" xfId="2521"/>
    <cellStyle name="Примечание 21" xfId="2253"/>
    <cellStyle name="Примечание 21 2" xfId="2719"/>
    <cellStyle name="Примечание 21 2 2" xfId="2935"/>
    <cellStyle name="Примечание 21 2 3" xfId="3146"/>
    <cellStyle name="Примечание 21 3" xfId="2522"/>
    <cellStyle name="Примечание 22" xfId="2254"/>
    <cellStyle name="Примечание 22 2" xfId="2720"/>
    <cellStyle name="Примечание 22 2 2" xfId="2936"/>
    <cellStyle name="Примечание 22 2 3" xfId="3147"/>
    <cellStyle name="Примечание 22 3" xfId="2523"/>
    <cellStyle name="Примечание 23" xfId="2255"/>
    <cellStyle name="Примечание 23 2" xfId="2721"/>
    <cellStyle name="Примечание 23 2 2" xfId="2937"/>
    <cellStyle name="Примечание 23 2 3" xfId="3148"/>
    <cellStyle name="Примечание 23 3" xfId="2524"/>
    <cellStyle name="Примечание 24" xfId="2722"/>
    <cellStyle name="Примечание 24 2" xfId="2938"/>
    <cellStyle name="Примечание 24 3" xfId="3149"/>
    <cellStyle name="Примечание 25" xfId="2723"/>
    <cellStyle name="Примечание 25 2" xfId="2939"/>
    <cellStyle name="Примечание 25 3" xfId="3150"/>
    <cellStyle name="Примечание 26" xfId="2430"/>
    <cellStyle name="Примечание 27" xfId="2312"/>
    <cellStyle name="Примечание 28" xfId="2311"/>
    <cellStyle name="Примечание 3" xfId="1224"/>
    <cellStyle name="Примечание 3 10" xfId="2445"/>
    <cellStyle name="Примечание 3 2" xfId="1225"/>
    <cellStyle name="Примечание 3 2 2" xfId="2725"/>
    <cellStyle name="Примечание 3 2 2 2" xfId="2941"/>
    <cellStyle name="Примечание 3 2 2 3" xfId="3152"/>
    <cellStyle name="Примечание 3 2 3" xfId="2446"/>
    <cellStyle name="Примечание 3 3" xfId="1226"/>
    <cellStyle name="Примечание 3 3 2" xfId="2726"/>
    <cellStyle name="Примечание 3 3 2 2" xfId="2942"/>
    <cellStyle name="Примечание 3 3 2 3" xfId="3153"/>
    <cellStyle name="Примечание 3 3 3" xfId="2447"/>
    <cellStyle name="Примечание 3 4" xfId="1227"/>
    <cellStyle name="Примечание 3 4 2" xfId="2727"/>
    <cellStyle name="Примечание 3 4 2 2" xfId="2943"/>
    <cellStyle name="Примечание 3 4 2 3" xfId="3154"/>
    <cellStyle name="Примечание 3 4 3" xfId="2448"/>
    <cellStyle name="Примечание 3 5" xfId="1228"/>
    <cellStyle name="Примечание 3 5 2" xfId="2728"/>
    <cellStyle name="Примечание 3 5 2 2" xfId="2944"/>
    <cellStyle name="Примечание 3 5 2 3" xfId="3155"/>
    <cellStyle name="Примечание 3 5 3" xfId="2449"/>
    <cellStyle name="Примечание 3 6" xfId="1229"/>
    <cellStyle name="Примечание 3 6 2" xfId="2729"/>
    <cellStyle name="Примечание 3 6 2 2" xfId="2945"/>
    <cellStyle name="Примечание 3 6 2 3" xfId="3156"/>
    <cellStyle name="Примечание 3 6 3" xfId="2450"/>
    <cellStyle name="Примечание 3 7" xfId="1230"/>
    <cellStyle name="Примечание 3 7 2" xfId="2730"/>
    <cellStyle name="Примечание 3 7 2 2" xfId="2946"/>
    <cellStyle name="Примечание 3 7 2 3" xfId="3157"/>
    <cellStyle name="Примечание 3 7 3" xfId="2451"/>
    <cellStyle name="Примечание 3 8" xfId="1231"/>
    <cellStyle name="Примечание 3 8 2" xfId="2731"/>
    <cellStyle name="Примечание 3 8 2 2" xfId="2947"/>
    <cellStyle name="Примечание 3 8 2 3" xfId="3158"/>
    <cellStyle name="Примечание 3 8 3" xfId="2452"/>
    <cellStyle name="Примечание 3 9" xfId="2724"/>
    <cellStyle name="Примечание 3 9 2" xfId="2940"/>
    <cellStyle name="Примечание 3 9 3" xfId="3151"/>
    <cellStyle name="Примечание 3_46EE.2011(v1.0)" xfId="1232"/>
    <cellStyle name="Примечание 4" xfId="1233"/>
    <cellStyle name="Примечание 4 10" xfId="2453"/>
    <cellStyle name="Примечание 4 2" xfId="1234"/>
    <cellStyle name="Примечание 4 2 2" xfId="2733"/>
    <cellStyle name="Примечание 4 2 2 2" xfId="2949"/>
    <cellStyle name="Примечание 4 2 2 3" xfId="3160"/>
    <cellStyle name="Примечание 4 2 3" xfId="2454"/>
    <cellStyle name="Примечание 4 3" xfId="1235"/>
    <cellStyle name="Примечание 4 3 2" xfId="2734"/>
    <cellStyle name="Примечание 4 3 2 2" xfId="2950"/>
    <cellStyle name="Примечание 4 3 2 3" xfId="3161"/>
    <cellStyle name="Примечание 4 3 3" xfId="2455"/>
    <cellStyle name="Примечание 4 4" xfId="1236"/>
    <cellStyle name="Примечание 4 4 2" xfId="2735"/>
    <cellStyle name="Примечание 4 4 2 2" xfId="2951"/>
    <cellStyle name="Примечание 4 4 2 3" xfId="3162"/>
    <cellStyle name="Примечание 4 4 3" xfId="2456"/>
    <cellStyle name="Примечание 4 5" xfId="1237"/>
    <cellStyle name="Примечание 4 5 2" xfId="2736"/>
    <cellStyle name="Примечание 4 5 2 2" xfId="2952"/>
    <cellStyle name="Примечание 4 5 2 3" xfId="3163"/>
    <cellStyle name="Примечание 4 5 3" xfId="2457"/>
    <cellStyle name="Примечание 4 6" xfId="1238"/>
    <cellStyle name="Примечание 4 6 2" xfId="2737"/>
    <cellStyle name="Примечание 4 6 2 2" xfId="2953"/>
    <cellStyle name="Примечание 4 6 2 3" xfId="3164"/>
    <cellStyle name="Примечание 4 6 3" xfId="2458"/>
    <cellStyle name="Примечание 4 7" xfId="1239"/>
    <cellStyle name="Примечание 4 7 2" xfId="2738"/>
    <cellStyle name="Примечание 4 7 2 2" xfId="2954"/>
    <cellStyle name="Примечание 4 7 2 3" xfId="3165"/>
    <cellStyle name="Примечание 4 7 3" xfId="2459"/>
    <cellStyle name="Примечание 4 8" xfId="1240"/>
    <cellStyle name="Примечание 4 8 2" xfId="2739"/>
    <cellStyle name="Примечание 4 8 2 2" xfId="2955"/>
    <cellStyle name="Примечание 4 8 2 3" xfId="3166"/>
    <cellStyle name="Примечание 4 8 3" xfId="2460"/>
    <cellStyle name="Примечание 4 9" xfId="2732"/>
    <cellStyle name="Примечание 4 9 2" xfId="2948"/>
    <cellStyle name="Примечание 4 9 3" xfId="3159"/>
    <cellStyle name="Примечание 4_46EE.2011(v1.0)" xfId="1241"/>
    <cellStyle name="Примечание 5" xfId="1242"/>
    <cellStyle name="Примечание 5 10" xfId="2461"/>
    <cellStyle name="Примечание 5 2" xfId="1243"/>
    <cellStyle name="Примечание 5 2 2" xfId="2741"/>
    <cellStyle name="Примечание 5 2 2 2" xfId="2957"/>
    <cellStyle name="Примечание 5 2 2 3" xfId="3168"/>
    <cellStyle name="Примечание 5 2 3" xfId="2462"/>
    <cellStyle name="Примечание 5 3" xfId="1244"/>
    <cellStyle name="Примечание 5 3 2" xfId="2742"/>
    <cellStyle name="Примечание 5 3 2 2" xfId="2958"/>
    <cellStyle name="Примечание 5 3 2 3" xfId="3169"/>
    <cellStyle name="Примечание 5 3 3" xfId="2463"/>
    <cellStyle name="Примечание 5 4" xfId="1245"/>
    <cellStyle name="Примечание 5 4 2" xfId="2743"/>
    <cellStyle name="Примечание 5 4 2 2" xfId="2959"/>
    <cellStyle name="Примечание 5 4 2 3" xfId="3170"/>
    <cellStyle name="Примечание 5 4 3" xfId="2464"/>
    <cellStyle name="Примечание 5 5" xfId="1246"/>
    <cellStyle name="Примечание 5 5 2" xfId="2744"/>
    <cellStyle name="Примечание 5 5 2 2" xfId="2960"/>
    <cellStyle name="Примечание 5 5 2 3" xfId="3171"/>
    <cellStyle name="Примечание 5 5 3" xfId="2465"/>
    <cellStyle name="Примечание 5 6" xfId="1247"/>
    <cellStyle name="Примечание 5 6 2" xfId="2745"/>
    <cellStyle name="Примечание 5 6 2 2" xfId="2961"/>
    <cellStyle name="Примечание 5 6 2 3" xfId="3172"/>
    <cellStyle name="Примечание 5 6 3" xfId="2466"/>
    <cellStyle name="Примечание 5 7" xfId="1248"/>
    <cellStyle name="Примечание 5 7 2" xfId="2746"/>
    <cellStyle name="Примечание 5 7 2 2" xfId="2962"/>
    <cellStyle name="Примечание 5 7 2 3" xfId="3173"/>
    <cellStyle name="Примечание 5 7 3" xfId="2467"/>
    <cellStyle name="Примечание 5 8" xfId="1249"/>
    <cellStyle name="Примечание 5 8 2" xfId="2747"/>
    <cellStyle name="Примечание 5 8 2 2" xfId="2963"/>
    <cellStyle name="Примечание 5 8 2 3" xfId="3174"/>
    <cellStyle name="Примечание 5 8 3" xfId="2468"/>
    <cellStyle name="Примечание 5 9" xfId="2740"/>
    <cellStyle name="Примечание 5 9 2" xfId="2956"/>
    <cellStyle name="Примечание 5 9 3" xfId="3167"/>
    <cellStyle name="Примечание 5_46EE.2011(v1.0)" xfId="1250"/>
    <cellStyle name="Примечание 6" xfId="1251"/>
    <cellStyle name="Примечание 6 2" xfId="1252"/>
    <cellStyle name="Примечание 6 2 2" xfId="2749"/>
    <cellStyle name="Примечание 6 2 2 2" xfId="2965"/>
    <cellStyle name="Примечание 6 2 2 3" xfId="3176"/>
    <cellStyle name="Примечание 6 2 3" xfId="2470"/>
    <cellStyle name="Примечание 6 3" xfId="2748"/>
    <cellStyle name="Примечание 6 3 2" xfId="2964"/>
    <cellStyle name="Примечание 6 3 3" xfId="3175"/>
    <cellStyle name="Примечание 6 4" xfId="2469"/>
    <cellStyle name="Примечание 6_46EE.2011(v1.0)" xfId="1253"/>
    <cellStyle name="Примечание 7" xfId="1254"/>
    <cellStyle name="Примечание 7 2" xfId="1255"/>
    <cellStyle name="Примечание 7 2 2" xfId="2751"/>
    <cellStyle name="Примечание 7 2 2 2" xfId="2967"/>
    <cellStyle name="Примечание 7 2 2 3" xfId="3178"/>
    <cellStyle name="Примечание 7 2 3" xfId="2472"/>
    <cellStyle name="Примечание 7 3" xfId="2750"/>
    <cellStyle name="Примечание 7 3 2" xfId="2966"/>
    <cellStyle name="Примечание 7 3 3" xfId="3177"/>
    <cellStyle name="Примечание 7 4" xfId="2471"/>
    <cellStyle name="Примечание 7_46EE.2011(v1.0)" xfId="1256"/>
    <cellStyle name="Примечание 8" xfId="1257"/>
    <cellStyle name="Примечание 8 2" xfId="1258"/>
    <cellStyle name="Примечание 8 2 2" xfId="2753"/>
    <cellStyle name="Примечание 8 2 2 2" xfId="2969"/>
    <cellStyle name="Примечание 8 2 2 3" xfId="3180"/>
    <cellStyle name="Примечание 8 2 3" xfId="2474"/>
    <cellStyle name="Примечание 8 3" xfId="2752"/>
    <cellStyle name="Примечание 8 3 2" xfId="2968"/>
    <cellStyle name="Примечание 8 3 3" xfId="3179"/>
    <cellStyle name="Примечание 8 4" xfId="2473"/>
    <cellStyle name="Примечание 8_46EE.2011(v1.0)" xfId="1259"/>
    <cellStyle name="Примечание 9" xfId="1260"/>
    <cellStyle name="Примечание 9 2" xfId="1261"/>
    <cellStyle name="Примечание 9 2 2" xfId="2755"/>
    <cellStyle name="Примечание 9 2 2 2" xfId="2971"/>
    <cellStyle name="Примечание 9 2 2 3" xfId="3182"/>
    <cellStyle name="Примечание 9 2 3" xfId="2476"/>
    <cellStyle name="Примечание 9 3" xfId="2754"/>
    <cellStyle name="Примечание 9 3 2" xfId="2970"/>
    <cellStyle name="Примечание 9 3 3" xfId="3181"/>
    <cellStyle name="Примечание 9 4" xfId="2475"/>
    <cellStyle name="Примечание 9_46EE.2011(v1.0)" xfId="1262"/>
    <cellStyle name="Простая строка" xfId="2180"/>
    <cellStyle name="Процентный" xfId="1263" builtinId="5"/>
    <cellStyle name="Процентный 2" xfId="1264"/>
    <cellStyle name="Процентный 2 2" xfId="1265"/>
    <cellStyle name="Процентный 2 3" xfId="1266"/>
    <cellStyle name="Процентный 3" xfId="1267"/>
    <cellStyle name="Процентный 3 2" xfId="3384"/>
    <cellStyle name="Процентный 4" xfId="1268"/>
    <cellStyle name="Процентный 5" xfId="1269"/>
    <cellStyle name="Процентный 6" xfId="3385"/>
    <cellStyle name="Процентный 7" xfId="3386"/>
    <cellStyle name="Связанная ячейка" xfId="1270" builtinId="24" customBuiltin="1"/>
    <cellStyle name="Связанная ячейка 10" xfId="2256"/>
    <cellStyle name="Связанная ячейка 2" xfId="1271"/>
    <cellStyle name="Связанная ячейка 2 2" xfId="1272"/>
    <cellStyle name="Связанная ячейка 2_46EE.2011(v1.0)" xfId="1273"/>
    <cellStyle name="Связанная ячейка 3" xfId="1274"/>
    <cellStyle name="Связанная ячейка 3 2" xfId="1275"/>
    <cellStyle name="Связанная ячейка 3_46EE.2011(v1.0)" xfId="1276"/>
    <cellStyle name="Связанная ячейка 4" xfId="1277"/>
    <cellStyle name="Связанная ячейка 4 2" xfId="1278"/>
    <cellStyle name="Связанная ячейка 4_46EE.2011(v1.0)" xfId="1279"/>
    <cellStyle name="Связанная ячейка 5" xfId="1280"/>
    <cellStyle name="Связанная ячейка 5 2" xfId="1281"/>
    <cellStyle name="Связанная ячейка 5_46EE.2011(v1.0)" xfId="1282"/>
    <cellStyle name="Связанная ячейка 6" xfId="1283"/>
    <cellStyle name="Связанная ячейка 6 2" xfId="1284"/>
    <cellStyle name="Связанная ячейка 6_46EE.2011(v1.0)" xfId="1285"/>
    <cellStyle name="Связанная ячейка 7" xfId="1286"/>
    <cellStyle name="Связанная ячейка 7 2" xfId="1287"/>
    <cellStyle name="Связанная ячейка 7_46EE.2011(v1.0)" xfId="1288"/>
    <cellStyle name="Связанная ячейка 8" xfId="1289"/>
    <cellStyle name="Связанная ячейка 8 2" xfId="1290"/>
    <cellStyle name="Связанная ячейка 8_46EE.2011(v1.0)" xfId="1291"/>
    <cellStyle name="Связанная ячейка 9" xfId="1292"/>
    <cellStyle name="Связанная ячейка 9 2" xfId="1293"/>
    <cellStyle name="Связанная ячейка 9_46EE.2011(v1.0)" xfId="1294"/>
    <cellStyle name="Сложный заголовок" xfId="2181"/>
    <cellStyle name="Стиль 1" xfId="1295"/>
    <cellStyle name="Стиль 1 2" xfId="1296"/>
    <cellStyle name="Стиль 1 2 2" xfId="3387"/>
    <cellStyle name="Стиль 1 2 3" xfId="3388"/>
    <cellStyle name="Стиль 1 2 4" xfId="3389"/>
    <cellStyle name="Стиль 1 3" xfId="3390"/>
    <cellStyle name="Стиль 1 4" xfId="3391"/>
    <cellStyle name="Стиль 1_OOONESKO_ZONE1_FRSVR_AVANS2_BUY_20120201_E" xfId="3392"/>
    <cellStyle name="Стиль 10" xfId="3393"/>
    <cellStyle name="Стиль 11" xfId="3394"/>
    <cellStyle name="Стиль 12" xfId="3395"/>
    <cellStyle name="Стиль 13" xfId="3396"/>
    <cellStyle name="Стиль 14" xfId="3397"/>
    <cellStyle name="Стиль 15" xfId="3398"/>
    <cellStyle name="Стиль 16" xfId="3399"/>
    <cellStyle name="Стиль 17" xfId="3400"/>
    <cellStyle name="Стиль 18" xfId="3401"/>
    <cellStyle name="Стиль 2" xfId="2182"/>
    <cellStyle name="Стиль 2 2" xfId="3402"/>
    <cellStyle name="Стиль 3" xfId="3403"/>
    <cellStyle name="Стиль 4" xfId="3404"/>
    <cellStyle name="Стиль 5" xfId="3405"/>
    <cellStyle name="Стиль 6" xfId="3406"/>
    <cellStyle name="Стиль 7" xfId="3407"/>
    <cellStyle name="Стиль 8" xfId="3408"/>
    <cellStyle name="Стиль 9" xfId="3409"/>
    <cellStyle name="ТЕКСТ" xfId="1297"/>
    <cellStyle name="ТЕКСТ 2" xfId="1298"/>
    <cellStyle name="ТЕКСТ 3" xfId="1299"/>
    <cellStyle name="ТЕКСТ 4" xfId="1300"/>
    <cellStyle name="ТЕКСТ 5" xfId="1301"/>
    <cellStyle name="ТЕКСТ 6" xfId="1302"/>
    <cellStyle name="ТЕКСТ 7" xfId="1303"/>
    <cellStyle name="ТЕКСТ 8" xfId="1304"/>
    <cellStyle name="Текст предупреждения" xfId="1305" builtinId="11" customBuiltin="1"/>
    <cellStyle name="Текст предупреждения 10" xfId="2257"/>
    <cellStyle name="Текст предупреждения 2" xfId="1306"/>
    <cellStyle name="Текст предупреждения 2 2" xfId="1307"/>
    <cellStyle name="Текст предупреждения 3" xfId="1308"/>
    <cellStyle name="Текст предупреждения 3 2" xfId="1309"/>
    <cellStyle name="Текст предупреждения 4" xfId="1310"/>
    <cellStyle name="Текст предупреждения 4 2" xfId="1311"/>
    <cellStyle name="Текст предупреждения 5" xfId="1312"/>
    <cellStyle name="Текст предупреждения 5 2" xfId="1313"/>
    <cellStyle name="Текст предупреждения 6" xfId="1314"/>
    <cellStyle name="Текст предупреждения 6 2" xfId="1315"/>
    <cellStyle name="Текст предупреждения 7" xfId="1316"/>
    <cellStyle name="Текст предупреждения 7 2" xfId="1317"/>
    <cellStyle name="Текст предупреждения 8" xfId="1318"/>
    <cellStyle name="Текст предупреждения 8 2" xfId="1319"/>
    <cellStyle name="Текст предупреждения 9" xfId="1320"/>
    <cellStyle name="Текст предупреждения 9 2" xfId="1321"/>
    <cellStyle name="Текстовый" xfId="1322"/>
    <cellStyle name="Текстовый 2" xfId="1323"/>
    <cellStyle name="Текстовый 3" xfId="1324"/>
    <cellStyle name="Текстовый 4" xfId="1325"/>
    <cellStyle name="Текстовый 5" xfId="1326"/>
    <cellStyle name="Текстовый 6" xfId="1327"/>
    <cellStyle name="Текстовый 7" xfId="1328"/>
    <cellStyle name="Текстовый 8" xfId="1329"/>
    <cellStyle name="Текстовый_1" xfId="1330"/>
    <cellStyle name="Тысячи [0]_22гк" xfId="1331"/>
    <cellStyle name="Тысячи [а]" xfId="2183"/>
    <cellStyle name="Тысячи_22гк" xfId="1332"/>
    <cellStyle name="ФИКСИРОВАННЫЙ" xfId="1333"/>
    <cellStyle name="ФИКСИРОВАННЫЙ 2" xfId="1334"/>
    <cellStyle name="ФИКСИРОВАННЫЙ 3" xfId="1335"/>
    <cellStyle name="ФИКСИРОВАННЫЙ 4" xfId="1336"/>
    <cellStyle name="ФИКСИРОВАННЫЙ 5" xfId="1337"/>
    <cellStyle name="ФИКСИРОВАННЫЙ 6" xfId="1338"/>
    <cellStyle name="ФИКСИРОВАННЫЙ 7" xfId="1339"/>
    <cellStyle name="ФИКСИРОВАННЫЙ 8" xfId="1340"/>
    <cellStyle name="ФИКСИРОВАННЫЙ_1" xfId="1341"/>
    <cellStyle name="Финансовый" xfId="1342" builtinId="3"/>
    <cellStyle name="Финансовый [0] 2" xfId="2184"/>
    <cellStyle name="Финансовый 12" xfId="2258"/>
    <cellStyle name="Финансовый 2" xfId="1343"/>
    <cellStyle name="Финансовый 2 12" xfId="2259"/>
    <cellStyle name="Финансовый 2 2" xfId="1344"/>
    <cellStyle name="Финансовый 2 2 2" xfId="2260"/>
    <cellStyle name="Финансовый 2 2 2 4" xfId="3410"/>
    <cellStyle name="Финансовый 2 3" xfId="1345"/>
    <cellStyle name="Финансовый 2 3 2" xfId="1419"/>
    <cellStyle name="Финансовый 2 3 3" xfId="2756"/>
    <cellStyle name="Финансовый 2 4" xfId="2261"/>
    <cellStyle name="Финансовый 2 4 2" xfId="3411"/>
    <cellStyle name="Финансовый 2_46EE.2011(v1.0)" xfId="1346"/>
    <cellStyle name="Финансовый 3" xfId="1347"/>
    <cellStyle name="Финансовый 3 2" xfId="1348"/>
    <cellStyle name="Финансовый 3 3" xfId="3412"/>
    <cellStyle name="Финансовый 4" xfId="2262"/>
    <cellStyle name="Финансовый 4 2" xfId="3413"/>
    <cellStyle name="Финансовый 5" xfId="2757"/>
    <cellStyle name="Финансовый 6" xfId="2758"/>
    <cellStyle name="Финансовый 7" xfId="3414"/>
    <cellStyle name="Финансовый_Услуги_по передаче" xfId="1349"/>
    <cellStyle name="Формула" xfId="1350"/>
    <cellStyle name="Формула 2" xfId="1351"/>
    <cellStyle name="Формула_A РТ 2009 Рязаньэнерго" xfId="1352"/>
    <cellStyle name="ФормулаВБ" xfId="1353"/>
    <cellStyle name="ФормулаНаКонтроль" xfId="1354"/>
    <cellStyle name="ФормулаНаКонтроль 2" xfId="2759"/>
    <cellStyle name="ФормулаНаКонтроль 2 2" xfId="2972"/>
    <cellStyle name="ФормулаНаКонтроль 2 3" xfId="3183"/>
    <cellStyle name="ФормулаНаКонтроль 3" xfId="2477"/>
    <cellStyle name="ФормулаНаКонтроль 4" xfId="3415"/>
    <cellStyle name="ФормулаНаКонтроль 5" xfId="3416"/>
    <cellStyle name="Хороший" xfId="1355" builtinId="26" customBuiltin="1"/>
    <cellStyle name="Хороший 10" xfId="2263"/>
    <cellStyle name="Хороший 2" xfId="1356"/>
    <cellStyle name="Хороший 2 2" xfId="1357"/>
    <cellStyle name="Хороший 3" xfId="1358"/>
    <cellStyle name="Хороший 3 2" xfId="1359"/>
    <cellStyle name="Хороший 4" xfId="1360"/>
    <cellStyle name="Хороший 4 2" xfId="1361"/>
    <cellStyle name="Хороший 5" xfId="1362"/>
    <cellStyle name="Хороший 5 2" xfId="1363"/>
    <cellStyle name="Хороший 6" xfId="1364"/>
    <cellStyle name="Хороший 6 2" xfId="1365"/>
    <cellStyle name="Хороший 7" xfId="1366"/>
    <cellStyle name="Хороший 7 2" xfId="1367"/>
    <cellStyle name="Хороший 8" xfId="1368"/>
    <cellStyle name="Хороший 8 2" xfId="1369"/>
    <cellStyle name="Хороший 9" xfId="1370"/>
    <cellStyle name="Хороший 9 2" xfId="1371"/>
    <cellStyle name="Цифры по центру с десятыми" xfId="1372"/>
    <cellStyle name="Цифры по центру с десятыми 2" xfId="2760"/>
    <cellStyle name="Цифры по центру с десятыми 2 2" xfId="2973"/>
    <cellStyle name="Цифры по центру с десятыми 2 3" xfId="3184"/>
    <cellStyle name="Цифры по центру с десятыми 3" xfId="2478"/>
    <cellStyle name="Цифры по центру с десятыми 4" xfId="3417"/>
    <cellStyle name="Цифры по центру с десятыми 5" xfId="3418"/>
    <cellStyle name="Џђћ–…ќ’ќ›‰" xfId="1373"/>
    <cellStyle name="Џђћ–…ќ’ќ›‰ 2" xfId="3419"/>
    <cellStyle name="Шапка таблицы" xfId="1374"/>
    <cellStyle name="Шапка таблицы 2" xfId="2761"/>
    <cellStyle name="Шапка таблицы 2 2" xfId="2974"/>
    <cellStyle name="Шапка таблицы 2 3" xfId="3185"/>
    <cellStyle name="Шапка таблицы 3" xfId="2479"/>
    <cellStyle name="Шапка таблицы 4" xfId="3420"/>
    <cellStyle name="Шапка таблицы 5" xfId="3421"/>
    <cellStyle name="㼿" xfId="2264"/>
    <cellStyle name="㼿 2" xfId="2265"/>
    <cellStyle name="㼿 2 2" xfId="3422"/>
    <cellStyle name="㼿 3" xfId="2266"/>
    <cellStyle name="㼿 3 2" xfId="3423"/>
    <cellStyle name="㼿 4" xfId="2267"/>
    <cellStyle name="㼿 4 2" xfId="3424"/>
    <cellStyle name="㼿 5" xfId="2762"/>
    <cellStyle name="㼿 5 2" xfId="2975"/>
    <cellStyle name="㼿 5 3" xfId="3186"/>
    <cellStyle name="㼿 6" xfId="2525"/>
    <cellStyle name="㼿?" xfId="2268"/>
    <cellStyle name="㼿? 2" xfId="2269"/>
    <cellStyle name="㼿? 2 2" xfId="3425"/>
    <cellStyle name="㼿? 3" xfId="3426"/>
    <cellStyle name="㼿? 4" xfId="3427"/>
    <cellStyle name="㼿_РАСЧЕТЫ ПО ОПЛАТЕ 2010" xfId="3428"/>
    <cellStyle name="㼿_РАСЧЕТЫ ПО ОПЛАТЕ 2013" xfId="3429"/>
    <cellStyle name="㼿_РАСЧЕТЫ ПО ОПЛАТЕ 2014" xfId="3430"/>
    <cellStyle name="㼿㼿" xfId="2270"/>
    <cellStyle name="㼿㼿 2" xfId="2271"/>
    <cellStyle name="㼿㼿 3" xfId="2272"/>
    <cellStyle name="㼿㼿 3 2" xfId="3431"/>
    <cellStyle name="㼿㼿 3 3" xfId="3432"/>
    <cellStyle name="㼿㼿 4" xfId="2273"/>
    <cellStyle name="㼿㼿 4 2" xfId="2763"/>
    <cellStyle name="㼿㼿 4 2 2" xfId="2976"/>
    <cellStyle name="㼿㼿 4 2 3" xfId="3187"/>
    <cellStyle name="㼿㼿 4 3" xfId="2526"/>
    <cellStyle name="㼿㼿?" xfId="1375"/>
    <cellStyle name="㼿㼿? 2" xfId="1420"/>
    <cellStyle name="㼿㼿? 2 2" xfId="2274"/>
    <cellStyle name="㼿㼿? 2 2 2" xfId="2766"/>
    <cellStyle name="㼿㼿? 2 2 2 2" xfId="2979"/>
    <cellStyle name="㼿㼿? 2 2 2 3" xfId="3190"/>
    <cellStyle name="㼿㼿? 2 2 3" xfId="2527"/>
    <cellStyle name="㼿㼿? 2 3" xfId="2765"/>
    <cellStyle name="㼿㼿? 2 3 2" xfId="2978"/>
    <cellStyle name="㼿㼿? 2 3 3" xfId="3189"/>
    <cellStyle name="㼿㼿? 2 4" xfId="2484"/>
    <cellStyle name="㼿㼿? 3" xfId="2275"/>
    <cellStyle name="㼿㼿? 3 2" xfId="2767"/>
    <cellStyle name="㼿㼿? 3 2 2" xfId="2980"/>
    <cellStyle name="㼿㼿? 3 2 3" xfId="3191"/>
    <cellStyle name="㼿㼿? 3 3" xfId="2528"/>
    <cellStyle name="㼿㼿? 4" xfId="2276"/>
    <cellStyle name="㼿㼿? 4 2" xfId="2768"/>
    <cellStyle name="㼿㼿? 4 2 2" xfId="2981"/>
    <cellStyle name="㼿㼿? 4 2 3" xfId="3192"/>
    <cellStyle name="㼿㼿? 4 3" xfId="2529"/>
    <cellStyle name="㼿㼿? 5" xfId="2277"/>
    <cellStyle name="㼿㼿? 5 2" xfId="2769"/>
    <cellStyle name="㼿㼿? 5 2 2" xfId="2982"/>
    <cellStyle name="㼿㼿? 5 2 3" xfId="3193"/>
    <cellStyle name="㼿㼿? 5 3" xfId="2530"/>
    <cellStyle name="㼿㼿? 6" xfId="2764"/>
    <cellStyle name="㼿㼿? 6 2" xfId="2977"/>
    <cellStyle name="㼿㼿? 6 3" xfId="3188"/>
    <cellStyle name="㼿㼿? 7" xfId="2480"/>
    <cellStyle name="㼿㼿㼿" xfId="1376"/>
    <cellStyle name="㼿㼿㼿 2" xfId="2278"/>
    <cellStyle name="㼿㼿㼿 2 2" xfId="3433"/>
    <cellStyle name="㼿㼿㼿 2 3" xfId="3434"/>
    <cellStyle name="㼿㼿㼿 3" xfId="2279"/>
    <cellStyle name="㼿㼿㼿 4" xfId="2280"/>
    <cellStyle name="㼿㼿㼿 5" xfId="2770"/>
    <cellStyle name="㼿㼿㼿?" xfId="2281"/>
    <cellStyle name="㼿㼿㼿? 2" xfId="2282"/>
    <cellStyle name="㼿㼿㼿? 3" xfId="2283"/>
    <cellStyle name="㼿㼿㼿? 3 2" xfId="3435"/>
    <cellStyle name="㼿㼿㼿? 3 3" xfId="3436"/>
    <cellStyle name="㼿㼿㼿? 4" xfId="2284"/>
    <cellStyle name="㼿㼿㼿? 5" xfId="3437"/>
    <cellStyle name="㼿㼿㼿_НЭСКО факт Май 2014 года  " xfId="2285"/>
    <cellStyle name="㼿㼿㼿㼿" xfId="2286"/>
    <cellStyle name="㼿㼿㼿㼿 2" xfId="2287"/>
    <cellStyle name="㼿㼿㼿㼿?" xfId="2288"/>
    <cellStyle name="㼿㼿㼿㼿? 2" xfId="2289"/>
    <cellStyle name="㼿㼿㼿㼿㼿" xfId="2290"/>
    <cellStyle name="㼿㼿㼿㼿㼿 2" xfId="2291"/>
    <cellStyle name="㼿㼿㼿㼿㼿 2 2" xfId="2771"/>
    <cellStyle name="㼿㼿㼿㼿㼿 2 2 2" xfId="2983"/>
    <cellStyle name="㼿㼿㼿㼿㼿 2 2 3" xfId="3194"/>
    <cellStyle name="㼿㼿㼿㼿㼿 2 3" xfId="2531"/>
    <cellStyle name="㼿㼿㼿㼿㼿 3" xfId="3438"/>
    <cellStyle name="㼿㼿㼿㼿㼿?" xfId="2292"/>
    <cellStyle name="㼿㼿㼿㼿㼿? 2" xfId="2293"/>
    <cellStyle name="㼿㼿㼿㼿㼿? 3" xfId="2294"/>
    <cellStyle name="㼿㼿㼿㼿㼿? 3 2" xfId="3439"/>
    <cellStyle name="㼿㼿㼿㼿㼿? 4" xfId="3440"/>
    <cellStyle name="㼿㼿㼿㼿㼿_РАСЧЕТЫ ПО ОПЛАТЕ 2010_1" xfId="3441"/>
    <cellStyle name="㼿㼿㼿㼿㼿㼿" xfId="2295"/>
    <cellStyle name="㼿㼿㼿㼿㼿㼿 2" xfId="2296"/>
    <cellStyle name="㼿㼿㼿㼿㼿㼿?" xfId="2297"/>
    <cellStyle name="㼿㼿㼿㼿㼿㼿? 2" xfId="2298"/>
    <cellStyle name="㼿㼿㼿㼿㼿㼿? 3" xfId="2299"/>
    <cellStyle name="㼿㼿㼿㼿㼿㼿? 3 2" xfId="3442"/>
    <cellStyle name="㼿㼿㼿㼿㼿㼿? 4" xfId="3443"/>
    <cellStyle name="㼿㼿㼿㼿㼿㼿㼿" xfId="2300"/>
    <cellStyle name="㼿㼿㼿㼿㼿㼿㼿 2" xfId="2301"/>
    <cellStyle name="㼿㼿㼿㼿㼿㼿㼿?" xfId="2302"/>
    <cellStyle name="㼿㼿㼿㼿㼿㼿㼿㼿" xfId="2303"/>
    <cellStyle name="㼿㼿㼿㼿㼿㼿㼿㼿 2" xfId="3444"/>
    <cellStyle name="㼿㼿㼿㼿㼿㼿㼿㼿 3" xfId="3445"/>
    <cellStyle name="㼿㼿㼿㼿㼿㼿㼿㼿㼿" xfId="2304"/>
    <cellStyle name="㼿㼿㼿㼿㼿㼿㼿㼿㼿㼿" xfId="2305"/>
    <cellStyle name="㼿㼿㼿㼿㼿㼿㼿㼿㼿㼿㼿" xfId="2306"/>
    <cellStyle name="㼿㼿㼿㼿㼿㼿㼿㼿㼿㼿㼿㼿㼿㼿㼿㼿㼿㼿㼿㼿?" xfId="3446"/>
    <cellStyle name="㼿㼿㼿㼿㼿㼿㼿㼿㼿㼿㼿㼿㼿㼿㼿㼿㼿㼿㼿㼿㼿㼿㼿" xfId="3447"/>
    <cellStyle name="㼿㼿㼿㼿㼿㼿㼿㼿㼿㼿㼿㼿㼿㼿㼿㼿㼿㼿㼿㼿㼿㼿㼿㼿㼿㼿㼿㼿㼿" xfId="2307"/>
  </cellStyles>
  <dxfs count="834">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general" vertical="center" textRotation="0" wrapText="0" indent="0" justifyLastLine="0" shrinkToFit="0" readingOrder="0"/>
    </dxf>
    <dxf>
      <border outline="0">
        <top style="thin">
          <color indexed="64"/>
        </top>
      </border>
    </dxf>
    <dxf>
      <font>
        <b/>
        <i val="0"/>
        <strike val="0"/>
        <condense val="0"/>
        <extend val="0"/>
        <outline val="0"/>
        <shadow val="0"/>
        <u val="none"/>
        <vertAlign val="baseline"/>
        <sz val="10"/>
        <color auto="1"/>
        <name val="Arial Cyr"/>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border diagonalUp="0" diagonalDown="0" outline="0">
        <left style="thin">
          <color theme="0"/>
        </left>
        <right style="thin">
          <color theme="0"/>
        </right>
        <top/>
        <bottom/>
      </border>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solid">
          <fgColor indexed="64"/>
          <bgColor theme="6"/>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solid">
          <fgColor indexed="64"/>
          <bgColor theme="6"/>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solid">
          <fgColor indexed="64"/>
          <bgColor theme="6"/>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solid">
          <fgColor indexed="64"/>
          <bgColor theme="6"/>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solid">
          <fgColor indexed="64"/>
          <bgColor theme="6"/>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solid">
          <fgColor indexed="64"/>
          <bgColor theme="6"/>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solid">
          <fgColor indexed="64"/>
          <bgColor theme="6"/>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solid">
          <fgColor indexed="64"/>
          <bgColor theme="6"/>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solid">
          <fgColor indexed="64"/>
          <bgColor theme="6"/>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solid">
          <fgColor indexed="64"/>
          <bgColor theme="6"/>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solid">
          <fgColor indexed="64"/>
          <bgColor theme="6"/>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solid">
          <fgColor indexed="64"/>
          <bgColor theme="6"/>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solid">
          <fgColor indexed="64"/>
          <bgColor theme="6"/>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numFmt numFmtId="200" formatCode="#,##0.000000"/>
      <fill>
        <patternFill patternType="solid">
          <fgColor indexed="64"/>
          <bgColor theme="6"/>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sz val="10"/>
        <color auto="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color auto="1"/>
        <name val="Times New Roman"/>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border outline="0">
        <top style="thin">
          <color indexed="64"/>
        </top>
      </border>
    </dxf>
    <dxf>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border diagonalUp="0" diagonalDown="0" outline="0">
        <left style="thin">
          <color theme="0"/>
        </left>
        <right style="thin">
          <color theme="0"/>
        </right>
        <top/>
        <bottom/>
      </border>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sz val="10"/>
        <color auto="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1"/>
    </dxf>
    <dxf>
      <border outline="0">
        <top style="thin">
          <color indexed="64"/>
        </top>
      </border>
    </dxf>
    <dxf>
      <border outline="0">
        <left style="thin">
          <color indexed="64"/>
        </left>
        <top style="thin">
          <color indexed="64"/>
        </top>
        <bottom style="thin">
          <color indexed="64"/>
        </bottom>
      </border>
    </dxf>
    <dxf>
      <font>
        <b/>
        <i val="0"/>
        <strike val="0"/>
        <condense val="0"/>
        <extend val="0"/>
        <outline val="0"/>
        <shadow val="0"/>
        <u val="none"/>
        <vertAlign val="baseline"/>
        <sz val="10"/>
        <color auto="1"/>
        <name val="Times New Roman"/>
        <scheme val="none"/>
      </font>
      <fill>
        <patternFill patternType="none">
          <fgColor indexed="64"/>
          <bgColor indexed="65"/>
        </patternFill>
      </fill>
      <alignment horizontal="right"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1"/>
        <color theme="0"/>
        <name val="Calibri"/>
        <scheme val="minor"/>
      </font>
      <fill>
        <patternFill patternType="solid">
          <fgColor theme="4"/>
          <bgColor theme="4"/>
        </patternFill>
      </fill>
      <border diagonalUp="0" diagonalDown="0" outline="0">
        <left style="thin">
          <color theme="0"/>
        </left>
        <right style="thin">
          <color theme="0"/>
        </right>
        <top/>
        <bottom/>
      </border>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173" formatCode="0.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199" formatCode="0.000000"/>
    </dxf>
    <dxf>
      <numFmt numFmtId="199" formatCode="0.000000"/>
    </dxf>
    <dxf>
      <numFmt numFmtId="199" formatCode="0.000000"/>
    </dxf>
    <dxf>
      <alignment horizontal="general" vertical="bottom" textRotation="0" wrapText="0" indent="0" justifyLastLine="0" shrinkToFit="0" readingOrder="0"/>
    </dxf>
    <dxf>
      <border outline="0">
        <top style="thin">
          <color indexed="64"/>
        </top>
      </border>
    </dxf>
    <dxf>
      <font>
        <strike val="0"/>
        <outline val="0"/>
        <shadow val="0"/>
        <u val="none"/>
        <vertAlign val="baseline"/>
        <sz val="10"/>
        <color theme="1"/>
        <name val="Arial"/>
        <scheme val="none"/>
      </font>
      <numFmt numFmtId="30" formatCode="@"/>
      <fill>
        <patternFill patternType="solid">
          <fgColor indexed="64"/>
          <bgColor theme="3" tint="0.79998168889431442"/>
        </patternFill>
      </fill>
      <alignment horizontal="general" vertical="bottom" textRotation="0" wrapText="0" indent="0" justifyLastLine="0" shrinkToFit="0" readingOrder="0"/>
      <protection locked="0" hidden="0"/>
    </dxf>
    <dxf>
      <border outline="0">
        <top style="thin">
          <color indexed="64"/>
        </top>
      </border>
    </dxf>
    <dxf>
      <font>
        <strike val="0"/>
        <outline val="0"/>
        <shadow val="0"/>
        <u val="none"/>
        <vertAlign val="baseline"/>
        <sz val="10"/>
        <color theme="1"/>
        <name val="Arial"/>
        <scheme val="none"/>
      </font>
      <fill>
        <patternFill patternType="solid">
          <fgColor indexed="64"/>
          <bgColor theme="3" tint="0.79998168889431442"/>
        </patternFill>
      </fill>
      <alignment horizontal="general" vertical="bottom" textRotation="0" wrapText="0" indent="0" justifyLastLine="0" shrinkToFit="0" readingOrder="0"/>
      <protection locked="0" hidden="0"/>
    </dxf>
    <dxf>
      <font>
        <strike val="0"/>
        <outline val="0"/>
        <shadow val="0"/>
        <u val="none"/>
        <vertAlign val="baseline"/>
        <sz val="10"/>
        <color theme="1"/>
        <name val="Arial"/>
        <scheme val="none"/>
      </font>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Times New Roman"/>
        <scheme val="none"/>
      </font>
      <numFmt numFmtId="200" formatCode="#,##0.000000"/>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general" vertical="center" textRotation="0" wrapText="0" indent="0" justifyLastLine="0" shrinkToFit="0" readingOrder="0"/>
    </dxf>
    <dxf>
      <border outline="0">
        <top style="thin">
          <color indexed="64"/>
        </top>
      </border>
    </dxf>
    <dxf>
      <font>
        <b/>
        <i val="0"/>
        <strike val="0"/>
        <condense val="0"/>
        <extend val="0"/>
        <outline val="0"/>
        <shadow val="0"/>
        <u val="none"/>
        <vertAlign val="baseline"/>
        <sz val="10"/>
        <color auto="1"/>
        <name val="Arial Cyr"/>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border diagonalUp="0" diagonalDown="0" outline="0">
        <left style="thin">
          <color theme="0"/>
        </left>
        <right style="thin">
          <color theme="0"/>
        </right>
        <top/>
        <bottom/>
      </border>
    </dxf>
    <dxf>
      <font>
        <sz val="10"/>
        <color auto="1"/>
        <name val="Times New Roman"/>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z val="10"/>
        <color auto="1"/>
        <name val="Times New Roman"/>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border outline="0">
        <top style="thin">
          <color indexed="64"/>
        </top>
      </border>
    </dxf>
    <dxf>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border diagonalUp="0" diagonalDown="0" outline="0">
        <left style="thin">
          <color theme="0"/>
        </left>
        <right style="thin">
          <color theme="0"/>
        </right>
        <top/>
        <bottom/>
      </border>
    </dxf>
    <dxf>
      <font>
        <b/>
        <sz val="10"/>
        <color auto="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sz val="10"/>
        <color auto="1"/>
        <name val="Times New Roman"/>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1"/>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1"/>
    </dxf>
    <dxf>
      <border outline="0">
        <top style="thin">
          <color indexed="64"/>
        </top>
      </border>
    </dxf>
    <dxf>
      <border outline="0">
        <left style="thin">
          <color indexed="64"/>
        </left>
        <top style="thin">
          <color indexed="64"/>
        </top>
        <bottom style="thin">
          <color indexed="64"/>
        </bottom>
      </border>
    </dxf>
    <dxf>
      <font>
        <b/>
        <i val="0"/>
        <strike val="0"/>
        <condense val="0"/>
        <extend val="0"/>
        <outline val="0"/>
        <shadow val="0"/>
        <u val="none"/>
        <vertAlign val="baseline"/>
        <sz val="10"/>
        <color auto="1"/>
        <name val="Times New Roman"/>
        <scheme val="none"/>
      </font>
      <fill>
        <patternFill patternType="none">
          <fgColor indexed="64"/>
          <bgColor indexed="65"/>
        </patternFill>
      </fill>
      <alignment horizontal="right" vertical="center" textRotation="0" wrapText="0" indent="0" justifyLastLine="0" shrinkToFit="0" readingOrder="0"/>
    </dxf>
    <dxf>
      <border outline="0">
        <bottom style="thick">
          <color theme="0"/>
        </bottom>
      </border>
    </dxf>
    <dxf>
      <font>
        <b/>
        <i val="0"/>
        <strike val="0"/>
        <condense val="0"/>
        <extend val="0"/>
        <outline val="0"/>
        <shadow val="0"/>
        <u val="none"/>
        <vertAlign val="baseline"/>
        <sz val="11"/>
        <color theme="0"/>
        <name val="Calibri"/>
        <scheme val="minor"/>
      </font>
      <fill>
        <patternFill patternType="solid">
          <fgColor theme="4"/>
          <bgColor theme="4"/>
        </patternFill>
      </fill>
      <border diagonalUp="0" diagonalDown="0" outline="0">
        <left style="thin">
          <color theme="0"/>
        </left>
        <right style="thin">
          <color theme="0"/>
        </right>
        <top/>
        <bottom/>
      </border>
    </dxf>
    <dxf>
      <numFmt numFmtId="199" formatCode="0.000000"/>
    </dxf>
    <dxf>
      <numFmt numFmtId="199" formatCode="0.000000"/>
    </dxf>
    <dxf>
      <numFmt numFmtId="199" formatCode="0.000000"/>
    </dxf>
    <dxf>
      <numFmt numFmtId="199" formatCode="0.000000"/>
    </dxf>
    <dxf>
      <numFmt numFmtId="199" formatCode="0.000000"/>
    </dxf>
    <dxf>
      <numFmt numFmtId="199" formatCode="0.000000"/>
    </dxf>
    <dxf>
      <numFmt numFmtId="199" formatCode="0.000000"/>
    </dxf>
    <dxf>
      <numFmt numFmtId="199" formatCode="0.000000"/>
    </dxf>
    <dxf>
      <numFmt numFmtId="2" formatCode="0.00"/>
    </dxf>
    <dxf>
      <numFmt numFmtId="199" formatCode="0.000000"/>
    </dxf>
    <dxf>
      <numFmt numFmtId="199" formatCode="0.000000"/>
    </dxf>
    <dxf>
      <numFmt numFmtId="2" formatCode="0.00"/>
    </dxf>
    <dxf>
      <numFmt numFmtId="2" formatCode="0.00"/>
      <fill>
        <patternFill patternType="solid">
          <fgColor indexed="64"/>
          <bgColor theme="5" tint="0.59999389629810485"/>
        </patternFill>
      </fill>
      <alignment horizontal="general" vertical="bottom" textRotation="0" wrapText="0" indent="0" justifyLastLine="0" shrinkToFit="0" readingOrder="0"/>
    </dxf>
    <dxf>
      <numFmt numFmtId="2" formatCode="0.00"/>
      <fill>
        <patternFill patternType="solid">
          <fgColor indexed="64"/>
          <bgColor theme="5" tint="0.59999389629810485"/>
        </patternFill>
      </fill>
      <alignment horizontal="general" vertical="bottom" textRotation="0" wrapText="0" indent="0" justifyLastLine="0" shrinkToFit="0" readingOrder="0"/>
    </dxf>
    <dxf>
      <numFmt numFmtId="2" formatCode="0.00"/>
      <fill>
        <patternFill patternType="solid">
          <fgColor indexed="64"/>
          <bgColor theme="5" tint="0.59999389629810485"/>
        </patternFill>
      </fill>
      <alignment horizontal="general" vertical="bottom" textRotation="0" wrapText="0" indent="0" justifyLastLine="0" shrinkToFit="0" readingOrder="0"/>
    </dxf>
    <dxf>
      <numFmt numFmtId="2" formatCode="0.00"/>
      <fill>
        <patternFill patternType="solid">
          <fgColor indexed="64"/>
          <bgColor theme="5" tint="0.59999389629810485"/>
        </patternFill>
      </fill>
      <alignment horizontal="general" vertical="bottom" textRotation="0" wrapText="0" indent="0" justifyLastLine="0" shrinkToFit="0" readingOrder="0"/>
    </dxf>
    <dxf>
      <numFmt numFmtId="2" formatCode="0.00"/>
      <fill>
        <patternFill patternType="solid">
          <fgColor indexed="64"/>
          <bgColor theme="5" tint="0.59999389629810485"/>
        </patternFill>
      </fill>
      <alignment horizontal="general" vertical="bottom" textRotation="0" wrapText="0" indent="0" justifyLastLine="0" shrinkToFit="0" readingOrder="0"/>
    </dxf>
    <dxf>
      <numFmt numFmtId="2" formatCode="0.00"/>
      <fill>
        <patternFill patternType="solid">
          <fgColor indexed="64"/>
          <bgColor theme="5" tint="0.59999389629810485"/>
        </patternFill>
      </fill>
      <alignment horizontal="general" vertical="bottom" textRotation="0" wrapText="0" indent="0" justifyLastLine="0" shrinkToFit="0" readingOrder="0"/>
    </dxf>
    <dxf>
      <numFmt numFmtId="2" formatCode="0.00"/>
      <fill>
        <patternFill patternType="solid">
          <fgColor indexed="64"/>
          <bgColor theme="5" tint="0.59999389629810485"/>
        </patternFill>
      </fill>
      <alignment horizontal="general" vertical="bottom" textRotation="0" wrapText="0" indent="0" justifyLastLine="0" shrinkToFit="0" readingOrder="0"/>
    </dxf>
    <dxf>
      <numFmt numFmtId="2" formatCode="0.00"/>
      <fill>
        <patternFill patternType="solid">
          <fgColor indexed="64"/>
          <bgColor theme="5" tint="0.59999389629810485"/>
        </patternFill>
      </fill>
      <alignment horizontal="general" vertical="bottom" textRotation="0" wrapText="0" indent="0" justifyLastLine="0" shrinkToFit="0" readingOrder="0"/>
    </dxf>
    <dxf>
      <numFmt numFmtId="2" formatCode="0.00"/>
      <fill>
        <patternFill patternType="solid">
          <fgColor indexed="64"/>
          <bgColor theme="5" tint="0.59999389629810485"/>
        </patternFill>
      </fill>
      <alignment horizontal="general" vertical="bottom" textRotation="0" wrapText="0" indent="0" justifyLastLine="0" shrinkToFit="0" readingOrder="0"/>
    </dxf>
    <dxf>
      <numFmt numFmtId="199" formatCode="0.000000"/>
    </dxf>
    <dxf>
      <numFmt numFmtId="199" formatCode="0.000000"/>
    </dxf>
    <dxf>
      <numFmt numFmtId="199" formatCode="0.000000"/>
    </dxf>
    <dxf>
      <border outline="0">
        <top style="thin">
          <color indexed="64"/>
        </top>
      </border>
    </dxf>
    <dxf>
      <font>
        <strike val="0"/>
        <outline val="0"/>
        <shadow val="0"/>
        <u val="none"/>
        <vertAlign val="baseline"/>
        <sz val="10"/>
        <color indexed="8"/>
        <name val="Arial"/>
        <scheme val="none"/>
      </font>
      <numFmt numFmtId="30" formatCode="@"/>
      <fill>
        <patternFill patternType="solid">
          <fgColor indexed="64"/>
          <bgColor indexed="31"/>
        </patternFill>
      </fill>
      <protection locked="0" hidden="0"/>
    </dxf>
    <dxf>
      <border outline="0">
        <top style="thin">
          <color indexed="64"/>
        </top>
      </border>
    </dxf>
    <dxf>
      <font>
        <strike val="0"/>
        <outline val="0"/>
        <shadow val="0"/>
        <u val="none"/>
        <vertAlign val="baseline"/>
        <sz val="10"/>
        <color indexed="8"/>
        <name val="Arial"/>
        <scheme val="none"/>
      </font>
      <fill>
        <patternFill patternType="solid">
          <fgColor indexed="64"/>
          <bgColor indexed="31"/>
        </patternFill>
      </fill>
      <protection locked="0" hidden="0"/>
    </dxf>
    <dxf>
      <font>
        <strike val="0"/>
        <outline val="0"/>
        <shadow val="0"/>
        <u val="none"/>
        <vertAlign val="baseline"/>
        <sz val="10"/>
        <color theme="1"/>
        <name val="Arial"/>
        <scheme val="none"/>
      </font>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style="thin">
          <color indexed="55"/>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style="thin">
          <color indexed="63"/>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style="thin">
          <color indexed="63"/>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style="thin">
          <color indexed="63"/>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style="thin">
          <color indexed="63"/>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style="thin">
          <color indexed="63"/>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style="thin">
          <color indexed="63"/>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style="thin">
          <color indexed="63"/>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style="thin">
          <color indexed="63"/>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style="thin">
          <color indexed="63"/>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style="thin">
          <color indexed="63"/>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style="thin">
          <color indexed="63"/>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style="thin">
          <color indexed="63"/>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style="thin">
          <color indexed="63"/>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style="thin">
          <color indexed="63"/>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style="thin">
          <color indexed="63"/>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center"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general"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dxf>
    <dxf>
      <fill>
        <patternFill patternType="none">
          <fgColor indexed="64"/>
          <bgColor indexed="65"/>
        </patternFill>
      </fill>
      <alignment horizontal="general" vertical="center" textRotation="0" wrapText="0" relativeIndent="0" justifyLastLine="0" shrinkToFit="0" readingOrder="0"/>
    </dxf>
    <dxf>
      <fill>
        <patternFill patternType="none">
          <fgColor indexed="64"/>
          <bgColor indexed="65"/>
        </patternFill>
      </fill>
      <alignment horizontal="general" vertical="center" textRotation="0" wrapText="0" relativeIndent="0" justifyLastLine="0" shrinkToFit="0" readingOrder="0"/>
    </dxf>
    <dxf>
      <font>
        <b val="0"/>
        <i val="0"/>
        <strike val="0"/>
        <condense val="0"/>
        <extend val="0"/>
        <outline val="0"/>
        <shadow val="0"/>
        <u val="none"/>
        <vertAlign val="baseline"/>
        <sz val="9"/>
        <color indexed="63"/>
        <name val="Tahoma"/>
        <scheme val="none"/>
      </font>
      <fill>
        <patternFill patternType="solid">
          <fgColor indexed="64"/>
          <bgColor indexed="26"/>
        </patternFill>
      </fill>
      <alignment horizontal="right" vertical="center" textRotation="0" wrapText="1" relativeIndent="0" justifyLastLine="0" shrinkToFit="0" readingOrder="0"/>
      <protection locked="0" hidden="0"/>
    </dxf>
    <dxf>
      <font>
        <b/>
        <i val="0"/>
        <strike val="0"/>
        <condense val="0"/>
        <extend val="0"/>
        <outline val="0"/>
        <shadow val="0"/>
        <u val="none"/>
        <vertAlign val="baseline"/>
        <sz val="11"/>
        <color indexed="9"/>
        <name val="Calibri"/>
        <scheme val="none"/>
      </font>
      <fill>
        <patternFill patternType="solid">
          <fgColor indexed="62"/>
          <bgColor indexed="62"/>
        </patternFill>
      </fill>
      <border diagonalUp="0" diagonalDown="0" outline="0">
        <left style="thin">
          <color indexed="9"/>
        </left>
        <right style="thin">
          <color indexed="9"/>
        </right>
        <top/>
        <bottom/>
      </border>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bottom" textRotation="0" wrapText="0" relativeIndent="0" justifyLastLine="0" shrinkToFit="0" readingOrder="0"/>
      <border diagonalUp="0" diagonalDown="0">
        <left style="thin">
          <color indexed="55"/>
        </left>
        <right style="thin">
          <color indexed="55"/>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bottom" textRotation="0" wrapText="0"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bottom" textRotation="0" wrapText="0" relativeIndent="0" justifyLastLine="0" shrinkToFit="0" readingOrder="0"/>
      <border diagonalUp="0" diagonalDown="0">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style="thin">
          <color indexed="63"/>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63"/>
        </left>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bottom" textRotation="0" wrapText="0"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bottom" textRotation="0" wrapText="0" relativeIndent="0" justifyLastLine="0" shrinkToFit="0" readingOrder="0"/>
      <border diagonalUp="0" diagonalDown="0">
        <left style="thin">
          <color indexed="55"/>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bottom" textRotation="0" wrapText="0" relativeIndent="0" justifyLastLine="0" shrinkToFit="0" readingOrder="0"/>
      <border diagonalUp="0" diagonalDown="0">
        <left/>
        <right/>
        <top style="thin">
          <color indexed="55"/>
        </top>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bottom" textRotation="0" wrapText="0" relativeIndent="0" justifyLastLine="0" shrinkToFit="0" readingOrder="0"/>
      <border diagonalUp="0" diagonalDown="0">
        <left style="thin">
          <color indexed="55"/>
        </left>
        <right style="thin">
          <color indexed="63"/>
        </right>
        <top style="thin">
          <color indexed="55"/>
        </top>
        <bottom style="thin">
          <color indexed="55"/>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1" relativeIndent="0" justifyLastLine="0" shrinkToFit="0" readingOrder="0"/>
      <border diagonalUp="0" diagonalDown="0">
        <left style="thin">
          <color indexed="55"/>
        </left>
        <right/>
        <top style="thin">
          <color indexed="55"/>
        </top>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26"/>
        </patternFill>
      </fill>
      <alignment horizontal="right" vertical="bottom" textRotation="0" wrapText="0" relativeIndent="0" justifyLastLine="0" shrinkToFit="0" readingOrder="0"/>
      <border diagonalUp="0" diagonalDown="0">
        <left style="thin">
          <color indexed="55"/>
        </left>
        <right/>
        <top style="thin">
          <color indexed="55"/>
        </top>
        <bottom style="thin">
          <color indexed="55"/>
        </bottom>
      </border>
      <protection locked="0"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9"/>
        <color indexed="63"/>
        <name val="Tahoma"/>
        <scheme val="none"/>
      </font>
      <numFmt numFmtId="187" formatCode="#,##0.0000"/>
      <fill>
        <patternFill patternType="solid">
          <fgColor indexed="64"/>
          <bgColor indexed="42"/>
        </patternFill>
      </fill>
      <alignment horizontal="right" vertical="center" textRotation="0" wrapText="0" relativeIndent="0" justifyLastLine="0" shrinkToFit="0" readingOrder="0"/>
      <border diagonalUp="0" diagonalDown="0">
        <left style="thin">
          <color indexed="55"/>
        </left>
        <right/>
        <top style="thin">
          <color indexed="55"/>
        </top>
        <bottom style="thin">
          <color indexed="55"/>
        </bottom>
      </border>
      <protection locked="1" hidden="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center" vertical="center" textRotation="0" wrapText="0"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Times New Roman"/>
        <scheme val="none"/>
      </font>
      <fill>
        <patternFill patternType="none">
          <fgColor indexed="64"/>
          <bgColor indexed="65"/>
        </patternFill>
      </fill>
      <alignment horizontal="general" vertical="center" textRotation="0" wrapText="1" relative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indexed="65"/>
        </patternFill>
      </fill>
      <alignment horizontal="center" vertical="center" textRotation="0" wrapText="0" relativeIndent="0" justifyLastLine="0" shrinkToFit="0" readingOrder="0"/>
      <protection locked="1" hidden="1"/>
    </dxf>
    <dxf>
      <font>
        <b val="0"/>
        <i val="0"/>
        <strike val="0"/>
        <condense val="0"/>
        <extend val="0"/>
        <outline val="0"/>
        <shadow val="0"/>
        <u val="none"/>
        <vertAlign val="baseline"/>
        <sz val="10"/>
        <color auto="1"/>
        <name val="Times New Roman"/>
        <scheme val="none"/>
      </font>
      <numFmt numFmtId="0" formatCode="General"/>
      <fill>
        <patternFill patternType="none">
          <fgColor indexed="64"/>
          <bgColor indexed="65"/>
        </patternFill>
      </fill>
      <alignment horizontal="center" vertical="center" textRotation="0" wrapText="0" relativeIndent="0" justifyLastLine="0" shrinkToFit="0" readingOrder="0"/>
      <protection locked="1" hidden="1"/>
    </dxf>
    <dxf>
      <font>
        <b/>
        <i val="0"/>
        <strike val="0"/>
        <condense val="0"/>
        <extend val="0"/>
        <outline val="0"/>
        <shadow val="0"/>
        <u val="none"/>
        <vertAlign val="baseline"/>
        <sz val="11"/>
        <color indexed="9"/>
        <name val="Calibri"/>
        <scheme val="none"/>
      </font>
      <fill>
        <patternFill patternType="solid">
          <fgColor indexed="62"/>
          <bgColor indexed="62"/>
        </patternFill>
      </fill>
      <border diagonalUp="0" diagonalDown="0" outline="0">
        <left style="thin">
          <color indexed="9"/>
        </left>
        <right style="thin">
          <color indexed="9"/>
        </right>
        <top/>
        <bottom/>
      </border>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173" formatCode="0.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numFmt numFmtId="2" formatCode="0.00"/>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2" formatCode="0.00"/>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2" formatCode="0.00"/>
      <alignment horizontal="general" vertical="bottom" textRotation="0" wrapText="0" indent="0" justifyLastLine="0" shrinkToFit="0" readingOrder="0"/>
    </dxf>
    <dxf>
      <font>
        <b val="0"/>
        <i val="0"/>
        <strike val="0"/>
        <condense val="0"/>
        <extend val="0"/>
        <outline val="0"/>
        <shadow val="0"/>
        <u val="none"/>
        <vertAlign val="baseline"/>
        <sz val="10"/>
        <color theme="1"/>
        <name val="Arial"/>
        <scheme val="none"/>
      </font>
      <numFmt numFmtId="2" formatCode="0.00"/>
      <alignment horizontal="general" vertical="bottom" textRotation="0" wrapText="0" indent="0" justifyLastLine="0" shrinkToFit="0" readingOrder="0"/>
    </dxf>
    <dxf>
      <alignment horizontal="general" vertical="bottom" textRotation="0" wrapText="0" indent="0" justifyLastLine="0" shrinkToFit="0" readingOrder="0"/>
    </dxf>
    <dxf>
      <border outline="0">
        <top style="thin">
          <color indexed="64"/>
        </top>
      </border>
    </dxf>
    <dxf>
      <alignment horizontal="general" vertical="bottom" textRotation="0" wrapText="0" indent="0" justifyLastLine="0" shrinkToFit="0" readingOrder="0"/>
    </dxf>
    <dxf>
      <alignment horizontal="general" vertical="bottom" textRotation="0" wrapText="0" indent="0" justifyLastLine="0" shrinkToFit="0" readingOrder="0"/>
    </dxf>
    <dxf>
      <font>
        <condense val="0"/>
        <extend val="0"/>
        <color indexed="20"/>
      </font>
      <fill>
        <patternFill>
          <bgColor indexed="45"/>
        </patternFill>
      </fill>
    </dxf>
    <dxf>
      <font>
        <condense val="0"/>
        <extend val="0"/>
        <color indexed="17"/>
      </font>
      <fill>
        <patternFill>
          <bgColor indexed="42"/>
        </patternFill>
      </fill>
    </dxf>
    <dxf>
      <font>
        <condense val="0"/>
        <extend val="0"/>
        <color indexed="17"/>
      </font>
      <fill>
        <patternFill>
          <bgColor indexed="42"/>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numFmt numFmtId="216" formatCode="#,##0;\-#,##0;_*\ &quot;-&quot;_-;_-@_-"/>
      <fill>
        <patternFill>
          <bgColor rgb="FFFFFFE6"/>
        </patternFill>
      </fill>
    </dxf>
    <dxf>
      <numFmt numFmtId="216" formatCode="#,##0;\-#,##0;_*\ &quot;-&quot;_-;_-@_-"/>
      <fill>
        <patternFill>
          <bgColor rgb="FFFFFFE6"/>
        </patternFill>
      </fill>
    </dxf>
    <dxf>
      <numFmt numFmtId="216" formatCode="#,##0;\-#,##0;_*\ &quot;-&quot;_-;_-@_-"/>
      <fill>
        <patternFill>
          <bgColor rgb="FFFFFFE6"/>
        </patternFill>
      </fill>
    </dxf>
    <dxf>
      <fill>
        <patternFill>
          <bgColor rgb="FFFFFFE6"/>
        </patternFill>
      </fill>
    </dxf>
    <dxf>
      <fill>
        <patternFill>
          <bgColor theme="4" tint="0.79998168889431442"/>
        </patternFill>
      </fill>
    </dxf>
    <dxf>
      <fill>
        <patternFill>
          <bgColor theme="4" tint="0.79998168889431442"/>
        </patternFill>
      </fill>
    </dxf>
    <dxf>
      <fill>
        <patternFill>
          <bgColor rgb="FFFFFFE6"/>
        </patternFill>
      </fill>
    </dxf>
    <dxf>
      <fill>
        <patternFill>
          <bgColor theme="4" tint="0.79998168889431442"/>
        </patternFill>
      </fill>
    </dxf>
    <dxf>
      <fill>
        <patternFill>
          <bgColor theme="4" tint="0.79998168889431442"/>
        </patternFill>
      </fill>
    </dxf>
    <dxf>
      <fill>
        <patternFill>
          <bgColor rgb="FFFFFFE6"/>
        </patternFill>
      </fill>
    </dxf>
    <dxf>
      <fill>
        <patternFill>
          <bgColor rgb="FFFFFFE6"/>
        </patternFill>
      </fill>
    </dxf>
    <dxf>
      <fill>
        <patternFill>
          <bgColor theme="4" tint="0.79998168889431442"/>
        </patternFill>
      </fill>
    </dxf>
    <dxf>
      <fill>
        <patternFill>
          <bgColor theme="4" tint="0.79998168889431442"/>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DC"/>
        </patternFill>
      </fill>
    </dxf>
    <dxf>
      <fill>
        <patternFill>
          <bgColor rgb="FFFFFFDC"/>
        </patternFill>
      </fill>
    </dxf>
    <dxf>
      <fill>
        <patternFill>
          <bgColor rgb="FFFFFFDC"/>
        </patternFill>
      </fill>
    </dxf>
    <dxf>
      <fill>
        <patternFill>
          <bgColor rgb="FFFFFFDC"/>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rgb="FFFFFFE6"/>
        </patternFill>
      </fill>
    </dxf>
    <dxf>
      <fill>
        <patternFill>
          <bgColor theme="4" tint="0.79998168889431442"/>
        </patternFill>
      </fill>
    </dxf>
    <dxf>
      <font>
        <color theme="0"/>
      </font>
      <fill>
        <patternFill>
          <bgColor theme="4"/>
        </patternFill>
      </fill>
    </dxf>
    <dxf>
      <fill>
        <patternFill>
          <bgColor rgb="FFFFFFDC"/>
        </patternFill>
      </fill>
    </dxf>
    <dxf>
      <fill>
        <patternFill>
          <bgColor rgb="FFFFFFDC"/>
        </patternFill>
      </fill>
    </dxf>
    <dxf>
      <font>
        <color theme="5" tint="-0.24994659260841701"/>
      </font>
    </dxf>
    <dxf>
      <font>
        <color theme="5" tint="-0.24994659260841701"/>
      </font>
    </dxf>
    <dxf>
      <font>
        <color theme="5" tint="-0.24994659260841701"/>
      </font>
    </dxf>
    <dxf>
      <font>
        <color theme="5" tint="-0.24994659260841701"/>
      </font>
    </dxf>
    <dxf>
      <font>
        <color theme="5" tint="-0.24994659260841701"/>
      </font>
    </dxf>
    <dxf>
      <font>
        <color theme="5" tint="-0.24994659260841701"/>
      </font>
    </dxf>
    <dxf>
      <font>
        <color theme="5" tint="-0.24994659260841701"/>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4.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5.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8.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3.xml"/><Relationship Id="rId91" Type="http://schemas.openxmlformats.org/officeDocument/2006/relationships/externalLink" Target="externalLinks/externalLink6.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94" Type="http://schemas.openxmlformats.org/officeDocument/2006/relationships/externalLink" Target="externalLinks/externalLink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image" Target="../media/image7.png"/><Relationship Id="rId7" Type="http://schemas.openxmlformats.org/officeDocument/2006/relationships/image" Target="../media/image18.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30.png"/><Relationship Id="rId5" Type="http://schemas.openxmlformats.org/officeDocument/2006/relationships/image" Target="../media/image29.png"/><Relationship Id="rId4" Type="http://schemas.openxmlformats.org/officeDocument/2006/relationships/image" Target="../media/image8.png"/></Relationships>
</file>

<file path=xl/drawings/_rels/drawing7.xml.rels><?xml version="1.0" encoding="UTF-8" standalone="yes"?>
<Relationships xmlns="http://schemas.openxmlformats.org/package/2006/relationships"><Relationship Id="rId8" Type="http://schemas.openxmlformats.org/officeDocument/2006/relationships/image" Target="../media/image22.png"/><Relationship Id="rId3" Type="http://schemas.openxmlformats.org/officeDocument/2006/relationships/image" Target="../media/image12.png"/><Relationship Id="rId7" Type="http://schemas.openxmlformats.org/officeDocument/2006/relationships/image" Target="../media/image20.png"/><Relationship Id="rId12" Type="http://schemas.openxmlformats.org/officeDocument/2006/relationships/image" Target="../media/image26.png"/><Relationship Id="rId2" Type="http://schemas.openxmlformats.org/officeDocument/2006/relationships/image" Target="../media/image11.png"/><Relationship Id="rId1" Type="http://schemas.openxmlformats.org/officeDocument/2006/relationships/image" Target="../media/image9.png"/><Relationship Id="rId6" Type="http://schemas.openxmlformats.org/officeDocument/2006/relationships/image" Target="../media/image15.png"/><Relationship Id="rId11" Type="http://schemas.openxmlformats.org/officeDocument/2006/relationships/image" Target="../media/image25.png"/><Relationship Id="rId5" Type="http://schemas.openxmlformats.org/officeDocument/2006/relationships/image" Target="../media/image14.png"/><Relationship Id="rId10" Type="http://schemas.openxmlformats.org/officeDocument/2006/relationships/image" Target="../media/image24.png"/><Relationship Id="rId4" Type="http://schemas.openxmlformats.org/officeDocument/2006/relationships/image" Target="../media/image13.png"/><Relationship Id="rId9"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4</xdr:col>
      <xdr:colOff>0</xdr:colOff>
      <xdr:row>54</xdr:row>
      <xdr:rowOff>47625</xdr:rowOff>
    </xdr:from>
    <xdr:to>
      <xdr:col>7</xdr:col>
      <xdr:colOff>0</xdr:colOff>
      <xdr:row>61</xdr:row>
      <xdr:rowOff>133350</xdr:rowOff>
    </xdr:to>
    <xdr:grpSp>
      <xdr:nvGrpSpPr>
        <xdr:cNvPr id="18433" name="Группа 12"/>
        <xdr:cNvGrpSpPr>
          <a:grpSpLocks/>
        </xdr:cNvGrpSpPr>
      </xdr:nvGrpSpPr>
      <xdr:grpSpPr bwMode="auto">
        <a:xfrm>
          <a:off x="247650" y="8524875"/>
          <a:ext cx="6457950" cy="1219200"/>
          <a:chOff x="8029572" y="1543049"/>
          <a:chExt cx="7234016" cy="1219202"/>
        </a:xfrm>
      </xdr:grpSpPr>
      <xdr:sp macro="" textlink="">
        <xdr:nvSpPr>
          <xdr:cNvPr id="3" name="TextBox 2"/>
          <xdr:cNvSpPr txBox="1"/>
        </xdr:nvSpPr>
        <xdr:spPr>
          <a:xfrm>
            <a:off x="8029572" y="1543049"/>
            <a:ext cx="4509239" cy="12192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000"/>
              </a:lnSpc>
            </a:pPr>
            <a:r>
              <a:rPr lang="ru-RU" sz="900" b="1" i="0" u="none" strike="noStrike">
                <a:solidFill>
                  <a:schemeClr val="dk1"/>
                </a:solidFill>
                <a:effectLst/>
                <a:latin typeface="Tahoma" pitchFamily="34" charset="0"/>
                <a:ea typeface="Tahoma" pitchFamily="34" charset="0"/>
                <a:cs typeface="Tahoma" pitchFamily="34" charset="0"/>
              </a:rPr>
              <a:t>Предоставляют:</a:t>
            </a:r>
            <a:r>
              <a:rPr lang="ru-RU" sz="900" b="1">
                <a:effectLst/>
                <a:latin typeface="Tahoma" pitchFamily="34" charset="0"/>
                <a:ea typeface="Tahoma" pitchFamily="34" charset="0"/>
                <a:cs typeface="Tahoma" pitchFamily="34" charset="0"/>
              </a:rPr>
              <a:t> </a:t>
            </a:r>
            <a:endParaRPr lang="en-US" sz="900" b="1">
              <a:latin typeface="Tahoma" pitchFamily="34" charset="0"/>
              <a:ea typeface="Tahoma" pitchFamily="34" charset="0"/>
              <a:cs typeface="Tahoma" pitchFamily="34" charset="0"/>
            </a:endParaRPr>
          </a:p>
          <a:p>
            <a:pPr fontAlgn="t"/>
            <a:r>
              <a:rPr lang="ru-RU" sz="900" b="0">
                <a:solidFill>
                  <a:schemeClr val="dk1"/>
                </a:solidFill>
                <a:effectLst/>
                <a:latin typeface="Tahoma" panose="020B0604030504040204" pitchFamily="34" charset="0"/>
                <a:ea typeface="Tahoma" panose="020B0604030504040204" pitchFamily="34" charset="0"/>
                <a:cs typeface="Tahoma" panose="020B0604030504040204" pitchFamily="34" charset="0"/>
              </a:rPr>
              <a:t>юридические лица - поставщики электрической энергии (мощности) оптового и розничного рынков электроэнергии (мощности); гарантирующие поставщики электрической энергии (мощности); потребители-субъекты оптового рынка электроэнергии (мощности); энергосбытовые и энергоснабжающие организации; участники оптового рынка электроэнергии (мощности), в отношении которых не приняты балансовые решения:</a:t>
            </a:r>
          </a:p>
          <a:p>
            <a:pPr fontAlgn="t">
              <a:lnSpc>
                <a:spcPts val="900"/>
              </a:lnSpc>
            </a:pPr>
            <a:r>
              <a:rPr lang="ru-RU" sz="900" b="0">
                <a:solidFill>
                  <a:schemeClr val="dk1"/>
                </a:solidFill>
                <a:effectLst/>
                <a:latin typeface="Tahoma" panose="020B0604030504040204" pitchFamily="34" charset="0"/>
                <a:ea typeface="Tahoma" panose="020B0604030504040204" pitchFamily="34" charset="0"/>
                <a:cs typeface="Tahoma" panose="020B0604030504040204" pitchFamily="34" charset="0"/>
              </a:rPr>
              <a:t>- Федеральной антимонопольной службе по установленному адресу</a:t>
            </a:r>
          </a:p>
          <a:p>
            <a:pPr>
              <a:lnSpc>
                <a:spcPts val="900"/>
              </a:lnSpc>
            </a:pPr>
            <a:endParaRPr lang="ru-RU" sz="900">
              <a:latin typeface="Tahoma" pitchFamily="34" charset="0"/>
              <a:ea typeface="Tahoma" pitchFamily="34" charset="0"/>
              <a:cs typeface="Tahoma" pitchFamily="34" charset="0"/>
            </a:endParaRPr>
          </a:p>
        </xdr:txBody>
      </xdr:sp>
      <xdr:sp macro="" textlink="">
        <xdr:nvSpPr>
          <xdr:cNvPr id="4" name="TextBox 3"/>
          <xdr:cNvSpPr txBox="1"/>
        </xdr:nvSpPr>
        <xdr:spPr>
          <a:xfrm>
            <a:off x="12602923" y="1543049"/>
            <a:ext cx="2660665" cy="12192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900" b="1">
                <a:solidFill>
                  <a:schemeClr val="dk1"/>
                </a:solidFill>
                <a:effectLst/>
                <a:latin typeface="Tahoma" pitchFamily="34" charset="0"/>
                <a:ea typeface="Tahoma" pitchFamily="34" charset="0"/>
                <a:cs typeface="Tahoma" pitchFamily="34" charset="0"/>
              </a:rPr>
              <a:t>Сроки предоставления</a:t>
            </a:r>
            <a:r>
              <a:rPr lang="ru-RU" sz="900" b="1" i="0" u="none" strike="noStrike">
                <a:solidFill>
                  <a:schemeClr val="dk1"/>
                </a:solidFill>
                <a:effectLst/>
                <a:latin typeface="Tahoma" pitchFamily="34" charset="0"/>
                <a:ea typeface="Tahoma" pitchFamily="34" charset="0"/>
                <a:cs typeface="Tahoma" pitchFamily="34" charset="0"/>
              </a:rPr>
              <a:t>:</a:t>
            </a:r>
            <a:r>
              <a:rPr lang="ru-RU" sz="900" b="1">
                <a:effectLst/>
                <a:latin typeface="Tahoma" pitchFamily="34" charset="0"/>
                <a:ea typeface="Tahoma" pitchFamily="34" charset="0"/>
                <a:cs typeface="Tahoma" pitchFamily="34" charset="0"/>
              </a:rPr>
              <a:t> </a:t>
            </a:r>
            <a:endParaRPr lang="en-US" sz="900" b="1">
              <a:latin typeface="Tahoma" pitchFamily="34" charset="0"/>
              <a:ea typeface="Tahoma" pitchFamily="34" charset="0"/>
              <a:cs typeface="Tahoma" pitchFamily="34" charset="0"/>
            </a:endParaRPr>
          </a:p>
          <a:p>
            <a:r>
              <a:rPr lang="ru-RU" sz="900">
                <a:solidFill>
                  <a:schemeClr val="dk1"/>
                </a:solidFill>
                <a:effectLst/>
                <a:latin typeface="Tahoma" pitchFamily="34" charset="0"/>
                <a:ea typeface="Tahoma" pitchFamily="34" charset="0"/>
                <a:cs typeface="Tahoma" pitchFamily="34" charset="0"/>
              </a:rPr>
              <a:t>20 числа после отчетного месяца, </a:t>
            </a:r>
            <a:endParaRPr lang="en-US" sz="900">
              <a:solidFill>
                <a:schemeClr val="dk1"/>
              </a:solidFill>
              <a:effectLst/>
              <a:latin typeface="Tahoma" pitchFamily="34" charset="0"/>
              <a:ea typeface="Tahoma" pitchFamily="34" charset="0"/>
              <a:cs typeface="Tahoma" pitchFamily="34" charset="0"/>
            </a:endParaRPr>
          </a:p>
          <a:p>
            <a:r>
              <a:rPr lang="ru-RU" sz="900">
                <a:solidFill>
                  <a:schemeClr val="dk1"/>
                </a:solidFill>
                <a:effectLst/>
                <a:latin typeface="Tahoma" pitchFamily="34" charset="0"/>
                <a:ea typeface="Tahoma" pitchFamily="34" charset="0"/>
                <a:cs typeface="Tahoma" pitchFamily="34" charset="0"/>
              </a:rPr>
              <a:t>10 февраля - за отчетный год</a:t>
            </a:r>
            <a:endParaRPr lang="en-US" sz="900">
              <a:latin typeface="Tahoma" pitchFamily="34" charset="0"/>
              <a:ea typeface="Tahoma" pitchFamily="34" charset="0"/>
              <a:cs typeface="Tahoma" pitchFamily="34" charset="0"/>
            </a:endParaRPr>
          </a:p>
        </xdr:txBody>
      </xdr:sp>
    </xdr:grpSp>
    <xdr:clientData/>
  </xdr:twoCellAnchor>
  <xdr:twoCellAnchor>
    <xdr:from>
      <xdr:col>3</xdr:col>
      <xdr:colOff>238125</xdr:colOff>
      <xdr:row>8</xdr:row>
      <xdr:rowOff>123825</xdr:rowOff>
    </xdr:from>
    <xdr:to>
      <xdr:col>6</xdr:col>
      <xdr:colOff>0</xdr:colOff>
      <xdr:row>13</xdr:row>
      <xdr:rowOff>142875</xdr:rowOff>
    </xdr:to>
    <xdr:grpSp>
      <xdr:nvGrpSpPr>
        <xdr:cNvPr id="18434" name="Группа 10"/>
        <xdr:cNvGrpSpPr>
          <a:grpSpLocks/>
        </xdr:cNvGrpSpPr>
      </xdr:nvGrpSpPr>
      <xdr:grpSpPr bwMode="auto">
        <a:xfrm>
          <a:off x="238125" y="561975"/>
          <a:ext cx="2781300" cy="1219200"/>
          <a:chOff x="13888291" y="2943225"/>
          <a:chExt cx="2578773" cy="1219200"/>
        </a:xfrm>
      </xdr:grpSpPr>
      <xdr:grpSp>
        <xdr:nvGrpSpPr>
          <xdr:cNvPr id="18447" name="Группа 5"/>
          <xdr:cNvGrpSpPr>
            <a:grpSpLocks/>
          </xdr:cNvGrpSpPr>
        </xdr:nvGrpSpPr>
        <xdr:grpSpPr bwMode="auto">
          <a:xfrm>
            <a:off x="14355044" y="3219450"/>
            <a:ext cx="1680291" cy="942975"/>
            <a:chOff x="10668371" y="2209800"/>
            <a:chExt cx="1647267" cy="942975"/>
          </a:xfrm>
        </xdr:grpSpPr>
        <xdr:sp macro="" textlink="">
          <xdr:nvSpPr>
            <xdr:cNvPr id="8" name="TextBox 7"/>
            <xdr:cNvSpPr txBox="1"/>
          </xdr:nvSpPr>
          <xdr:spPr>
            <a:xfrm>
              <a:off x="10669657" y="2886075"/>
              <a:ext cx="1644990" cy="266700"/>
            </a:xfrm>
            <a:prstGeom prst="rect">
              <a:avLst/>
            </a:prstGeom>
            <a:solidFill>
              <a:schemeClr val="lt1"/>
            </a:solidFill>
            <a:ln w="127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900" b="0">
                  <a:solidFill>
                    <a:schemeClr val="dk1"/>
                  </a:solidFill>
                  <a:effectLst/>
                  <a:latin typeface="Tahoma" pitchFamily="34" charset="0"/>
                  <a:ea typeface="Tahoma" pitchFamily="34" charset="0"/>
                  <a:cs typeface="Tahoma" pitchFamily="34" charset="0"/>
                </a:rPr>
                <a:t>Месячная</a:t>
              </a:r>
              <a:r>
                <a:rPr lang="ru-RU" sz="900" b="1">
                  <a:solidFill>
                    <a:schemeClr val="dk1"/>
                  </a:solidFill>
                  <a:effectLst/>
                  <a:latin typeface="Tahoma" pitchFamily="34" charset="0"/>
                  <a:ea typeface="Tahoma" pitchFamily="34" charset="0"/>
                  <a:cs typeface="Tahoma" pitchFamily="34" charset="0"/>
                </a:rPr>
                <a:t>, </a:t>
              </a:r>
              <a:r>
                <a:rPr lang="ru-RU" sz="900" b="0">
                  <a:solidFill>
                    <a:schemeClr val="dk1"/>
                  </a:solidFill>
                  <a:effectLst/>
                  <a:latin typeface="Tahoma" pitchFamily="34" charset="0"/>
                  <a:ea typeface="Tahoma" pitchFamily="34" charset="0"/>
                  <a:cs typeface="Tahoma" pitchFamily="34" charset="0"/>
                </a:rPr>
                <a:t>годовая</a:t>
              </a:r>
              <a:endParaRPr lang="en-US" sz="900" b="0">
                <a:latin typeface="Tahoma" pitchFamily="34" charset="0"/>
                <a:ea typeface="Tahoma" pitchFamily="34" charset="0"/>
                <a:cs typeface="Tahoma" pitchFamily="34" charset="0"/>
              </a:endParaRPr>
            </a:p>
          </xdr:txBody>
        </xdr:sp>
        <xdr:sp macro="" textlink="">
          <xdr:nvSpPr>
            <xdr:cNvPr id="9" name="TextBox 8"/>
            <xdr:cNvSpPr txBox="1"/>
          </xdr:nvSpPr>
          <xdr:spPr>
            <a:xfrm>
              <a:off x="10669657" y="2209800"/>
              <a:ext cx="1644990" cy="638175"/>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900"/>
                </a:lnSpc>
              </a:pPr>
              <a:r>
                <a:rPr lang="ru-RU" sz="900">
                  <a:solidFill>
                    <a:schemeClr val="dk1"/>
                  </a:solidFill>
                  <a:effectLst/>
                  <a:latin typeface="Tahoma" pitchFamily="34" charset="0"/>
                  <a:ea typeface="Tahoma" pitchFamily="34" charset="0"/>
                  <a:cs typeface="Tahoma" pitchFamily="34" charset="0"/>
                </a:rPr>
                <a:t>Приказ Росстата:</a:t>
              </a:r>
              <a:br>
                <a:rPr lang="ru-RU" sz="900">
                  <a:solidFill>
                    <a:schemeClr val="dk1"/>
                  </a:solidFill>
                  <a:effectLst/>
                  <a:latin typeface="Tahoma" pitchFamily="34" charset="0"/>
                  <a:ea typeface="Tahoma" pitchFamily="34" charset="0"/>
                  <a:cs typeface="Tahoma" pitchFamily="34" charset="0"/>
                </a:rPr>
              </a:br>
              <a:r>
                <a:rPr lang="ru-RU" sz="900">
                  <a:solidFill>
                    <a:schemeClr val="dk1"/>
                  </a:solidFill>
                  <a:effectLst/>
                  <a:latin typeface="Tahoma" pitchFamily="34" charset="0"/>
                  <a:ea typeface="Tahoma" pitchFamily="34" charset="0"/>
                  <a:cs typeface="Tahoma" pitchFamily="34" charset="0"/>
                </a:rPr>
                <a:t>Об утверждении формы </a:t>
              </a:r>
              <a:br>
                <a:rPr lang="ru-RU" sz="900">
                  <a:solidFill>
                    <a:schemeClr val="dk1"/>
                  </a:solidFill>
                  <a:effectLst/>
                  <a:latin typeface="Tahoma" pitchFamily="34" charset="0"/>
                  <a:ea typeface="Tahoma" pitchFamily="34" charset="0"/>
                  <a:cs typeface="Tahoma" pitchFamily="34" charset="0"/>
                </a:rPr>
              </a:br>
              <a:r>
                <a:rPr lang="ru-RU" sz="900">
                  <a:solidFill>
                    <a:schemeClr val="dk1"/>
                  </a:solidFill>
                  <a:effectLst/>
                  <a:latin typeface="Tahoma" pitchFamily="34" charset="0"/>
                  <a:ea typeface="Tahoma" pitchFamily="34" charset="0"/>
                  <a:cs typeface="Tahoma" pitchFamily="34" charset="0"/>
                </a:rPr>
                <a:t>от </a:t>
              </a:r>
              <a:r>
                <a:rPr lang="en-US" sz="900">
                  <a:solidFill>
                    <a:schemeClr val="dk1"/>
                  </a:solidFill>
                  <a:effectLst/>
                  <a:latin typeface="Tahoma" pitchFamily="34" charset="0"/>
                  <a:ea typeface="Tahoma" pitchFamily="34" charset="0"/>
                  <a:cs typeface="Tahoma" pitchFamily="34" charset="0"/>
                </a:rPr>
                <a:t>22</a:t>
              </a:r>
              <a:r>
                <a:rPr lang="ru-RU" sz="900">
                  <a:solidFill>
                    <a:schemeClr val="dk1"/>
                  </a:solidFill>
                  <a:effectLst/>
                  <a:latin typeface="Tahoma" pitchFamily="34" charset="0"/>
                  <a:ea typeface="Tahoma" pitchFamily="34" charset="0"/>
                  <a:cs typeface="Tahoma" pitchFamily="34" charset="0"/>
                </a:rPr>
                <a:t>.0</a:t>
              </a:r>
              <a:r>
                <a:rPr lang="en-US" sz="900">
                  <a:solidFill>
                    <a:schemeClr val="dk1"/>
                  </a:solidFill>
                  <a:effectLst/>
                  <a:latin typeface="Tahoma" pitchFamily="34" charset="0"/>
                  <a:ea typeface="Tahoma" pitchFamily="34" charset="0"/>
                  <a:cs typeface="Tahoma" pitchFamily="34" charset="0"/>
                </a:rPr>
                <a:t>4</a:t>
              </a:r>
              <a:r>
                <a:rPr lang="ru-RU" sz="900">
                  <a:solidFill>
                    <a:schemeClr val="dk1"/>
                  </a:solidFill>
                  <a:effectLst/>
                  <a:latin typeface="Tahoma" pitchFamily="34" charset="0"/>
                  <a:ea typeface="Tahoma" pitchFamily="34" charset="0"/>
                  <a:cs typeface="Tahoma" pitchFamily="34" charset="0"/>
                </a:rPr>
                <a:t>.201</a:t>
              </a:r>
              <a:r>
                <a:rPr lang="en-US" sz="900">
                  <a:solidFill>
                    <a:schemeClr val="dk1"/>
                  </a:solidFill>
                  <a:effectLst/>
                  <a:latin typeface="Tahoma" pitchFamily="34" charset="0"/>
                  <a:ea typeface="Tahoma" pitchFamily="34" charset="0"/>
                  <a:cs typeface="Tahoma" pitchFamily="34" charset="0"/>
                </a:rPr>
                <a:t>6</a:t>
              </a:r>
              <a:r>
                <a:rPr lang="ru-RU" sz="900">
                  <a:solidFill>
                    <a:schemeClr val="dk1"/>
                  </a:solidFill>
                  <a:effectLst/>
                  <a:latin typeface="Tahoma" pitchFamily="34" charset="0"/>
                  <a:ea typeface="Tahoma" pitchFamily="34" charset="0"/>
                  <a:cs typeface="Tahoma" pitchFamily="34" charset="0"/>
                </a:rPr>
                <a:t> № 2</a:t>
              </a:r>
              <a:r>
                <a:rPr lang="en-US" sz="900">
                  <a:solidFill>
                    <a:schemeClr val="dk1"/>
                  </a:solidFill>
                  <a:effectLst/>
                  <a:latin typeface="Tahoma" pitchFamily="34" charset="0"/>
                  <a:ea typeface="Tahoma" pitchFamily="34" charset="0"/>
                  <a:cs typeface="Tahoma" pitchFamily="34" charset="0"/>
                </a:rPr>
                <a:t>10</a:t>
              </a:r>
              <a:endParaRPr lang="ru-RU" sz="900">
                <a:solidFill>
                  <a:schemeClr val="dk1"/>
                </a:solidFill>
                <a:effectLst/>
                <a:latin typeface="Tahoma" pitchFamily="34" charset="0"/>
                <a:ea typeface="Tahoma" pitchFamily="34" charset="0"/>
                <a:cs typeface="Tahoma" pitchFamily="34" charset="0"/>
              </a:endParaRPr>
            </a:p>
            <a:p>
              <a:pPr algn="ctr">
                <a:lnSpc>
                  <a:spcPts val="900"/>
                </a:lnSpc>
              </a:pPr>
              <a:endParaRPr lang="en-US" sz="900" b="0">
                <a:latin typeface="Tahoma" pitchFamily="34" charset="0"/>
                <a:ea typeface="Tahoma" pitchFamily="34" charset="0"/>
                <a:cs typeface="Tahoma" pitchFamily="34" charset="0"/>
              </a:endParaRPr>
            </a:p>
          </xdr:txBody>
        </xdr:sp>
      </xdr:grpSp>
      <xdr:sp macro="" textlink="">
        <xdr:nvSpPr>
          <xdr:cNvPr id="7" name="TextBox 6"/>
          <xdr:cNvSpPr txBox="1"/>
        </xdr:nvSpPr>
        <xdr:spPr>
          <a:xfrm>
            <a:off x="13888291" y="2943225"/>
            <a:ext cx="2578773" cy="266700"/>
          </a:xfrm>
          <a:prstGeom prst="rect">
            <a:avLst/>
          </a:prstGeom>
          <a:solidFill>
            <a:schemeClr val="lt1"/>
          </a:solidFill>
          <a:ln w="127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800" b="1">
                <a:solidFill>
                  <a:schemeClr val="dk1"/>
                </a:solidFill>
                <a:effectLst/>
                <a:latin typeface="Tahoma" pitchFamily="34" charset="0"/>
                <a:ea typeface="Tahoma" pitchFamily="34" charset="0"/>
                <a:cs typeface="Tahoma" pitchFamily="34" charset="0"/>
              </a:rPr>
              <a:t>Форма № 46-ЭЭ (полезный</a:t>
            </a:r>
            <a:r>
              <a:rPr lang="en-US" sz="800" b="1">
                <a:solidFill>
                  <a:schemeClr val="dk1"/>
                </a:solidFill>
                <a:effectLst/>
                <a:latin typeface="Tahoma" pitchFamily="34" charset="0"/>
                <a:ea typeface="Tahoma" pitchFamily="34" charset="0"/>
                <a:cs typeface="Tahoma" pitchFamily="34" charset="0"/>
              </a:rPr>
              <a:t> </a:t>
            </a:r>
            <a:r>
              <a:rPr lang="ru-RU" sz="800" b="1">
                <a:solidFill>
                  <a:schemeClr val="dk1"/>
                </a:solidFill>
                <a:effectLst/>
                <a:latin typeface="Tahoma" pitchFamily="34" charset="0"/>
                <a:ea typeface="Tahoma" pitchFamily="34" charset="0"/>
                <a:cs typeface="Tahoma" pitchFamily="34" charset="0"/>
              </a:rPr>
              <a:t>отпуск)</a:t>
            </a:r>
            <a:endParaRPr lang="en-US" sz="800" b="0">
              <a:latin typeface="Tahoma" pitchFamily="34" charset="0"/>
              <a:ea typeface="Tahoma" pitchFamily="34" charset="0"/>
              <a:cs typeface="Tahoma" pitchFamily="34" charset="0"/>
            </a:endParaRPr>
          </a:p>
        </xdr:txBody>
      </xdr:sp>
    </xdr:grpSp>
    <xdr:clientData/>
  </xdr:twoCellAnchor>
  <xdr:oneCellAnchor>
    <xdr:from>
      <xdr:col>7</xdr:col>
      <xdr:colOff>0</xdr:colOff>
      <xdr:row>22</xdr:row>
      <xdr:rowOff>47625</xdr:rowOff>
    </xdr:from>
    <xdr:ext cx="323850" cy="323850"/>
    <xdr:pic>
      <xdr:nvPicPr>
        <xdr:cNvPr id="10" name="cmdRefreshMO" descr="icon16.png"/>
        <xdr:cNvPicPr>
          <a:picLocks noChangeAspect="1"/>
        </xdr:cNvPicPr>
      </xdr:nvPicPr>
      <xdr:blipFill>
        <a:blip xmlns:r="http://schemas.openxmlformats.org/officeDocument/2006/relationships" r:embed="rId1" cstate="print">
          <a:duotone>
            <a:prstClr val="black"/>
            <a:schemeClr val="tx1">
              <a:lumMod val="95000"/>
              <a:lumOff val="5000"/>
              <a:tint val="45000"/>
              <a:satMod val="400000"/>
            </a:schemeClr>
          </a:duotone>
          <a:extLst/>
        </a:blip>
        <a:srcRect/>
        <a:stretch>
          <a:fillRect/>
        </a:stretch>
      </xdr:blipFill>
      <xdr:spPr bwMode="auto">
        <a:xfrm>
          <a:off x="7016750" y="3076575"/>
          <a:ext cx="323850" cy="323850"/>
        </a:xfrm>
        <a:prstGeom prst="rect">
          <a:avLst/>
        </a:prstGeom>
        <a:noFill/>
        <a:ln>
          <a:noFill/>
        </a:ln>
        <a:extLst/>
      </xdr:spPr>
    </xdr:pic>
    <xdr:clientData/>
  </xdr:oneCellAnchor>
  <xdr:oneCellAnchor>
    <xdr:from>
      <xdr:col>7</xdr:col>
      <xdr:colOff>3175</xdr:colOff>
      <xdr:row>17</xdr:row>
      <xdr:rowOff>38100</xdr:rowOff>
    </xdr:from>
    <xdr:ext cx="323850" cy="323850"/>
    <xdr:pic>
      <xdr:nvPicPr>
        <xdr:cNvPr id="11" name="cmdRefreshOrg" descr="icon16.png"/>
        <xdr:cNvPicPr>
          <a:picLocks noChangeAspect="1"/>
        </xdr:cNvPicPr>
      </xdr:nvPicPr>
      <xdr:blipFill>
        <a:blip xmlns:r="http://schemas.openxmlformats.org/officeDocument/2006/relationships" r:embed="rId1" cstate="print">
          <a:duotone>
            <a:prstClr val="black"/>
            <a:schemeClr val="tx1">
              <a:lumMod val="95000"/>
              <a:lumOff val="5000"/>
              <a:tint val="45000"/>
              <a:satMod val="400000"/>
            </a:schemeClr>
          </a:duotone>
          <a:extLst/>
        </a:blip>
        <a:srcRect/>
        <a:stretch>
          <a:fillRect/>
        </a:stretch>
      </xdr:blipFill>
      <xdr:spPr bwMode="auto">
        <a:xfrm>
          <a:off x="7019925" y="1974850"/>
          <a:ext cx="323850" cy="323850"/>
        </a:xfrm>
        <a:prstGeom prst="rect">
          <a:avLst/>
        </a:prstGeom>
        <a:noFill/>
        <a:ln>
          <a:noFill/>
        </a:ln>
        <a:extLst/>
      </xdr:spPr>
    </xdr:pic>
    <xdr:clientData/>
  </xdr:oneCellAnchor>
  <xdr:twoCellAnchor>
    <xdr:from>
      <xdr:col>4</xdr:col>
      <xdr:colOff>0</xdr:colOff>
      <xdr:row>54</xdr:row>
      <xdr:rowOff>47625</xdr:rowOff>
    </xdr:from>
    <xdr:to>
      <xdr:col>7</xdr:col>
      <xdr:colOff>0</xdr:colOff>
      <xdr:row>61</xdr:row>
      <xdr:rowOff>133350</xdr:rowOff>
    </xdr:to>
    <xdr:grpSp>
      <xdr:nvGrpSpPr>
        <xdr:cNvPr id="18437" name="Группа 12"/>
        <xdr:cNvGrpSpPr>
          <a:grpSpLocks/>
        </xdr:cNvGrpSpPr>
      </xdr:nvGrpSpPr>
      <xdr:grpSpPr bwMode="auto">
        <a:xfrm>
          <a:off x="247650" y="8524875"/>
          <a:ext cx="6457950" cy="1219200"/>
          <a:chOff x="8029572" y="1543049"/>
          <a:chExt cx="7234016" cy="1219202"/>
        </a:xfrm>
      </xdr:grpSpPr>
      <xdr:sp macro="" textlink="">
        <xdr:nvSpPr>
          <xdr:cNvPr id="13" name="TextBox 12"/>
          <xdr:cNvSpPr txBox="1"/>
        </xdr:nvSpPr>
        <xdr:spPr>
          <a:xfrm>
            <a:off x="8029572" y="1543049"/>
            <a:ext cx="4509239" cy="12192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000"/>
              </a:lnSpc>
            </a:pPr>
            <a:r>
              <a:rPr lang="ru-RU" sz="900" b="1" i="0" u="none" strike="noStrike">
                <a:solidFill>
                  <a:schemeClr val="dk1"/>
                </a:solidFill>
                <a:effectLst/>
                <a:latin typeface="Tahoma" pitchFamily="34" charset="0"/>
                <a:ea typeface="Tahoma" pitchFamily="34" charset="0"/>
                <a:cs typeface="Tahoma" pitchFamily="34" charset="0"/>
              </a:rPr>
              <a:t>Предоставляют:</a:t>
            </a:r>
            <a:r>
              <a:rPr lang="ru-RU" sz="900" b="1">
                <a:effectLst/>
                <a:latin typeface="Tahoma" pitchFamily="34" charset="0"/>
                <a:ea typeface="Tahoma" pitchFamily="34" charset="0"/>
                <a:cs typeface="Tahoma" pitchFamily="34" charset="0"/>
              </a:rPr>
              <a:t> </a:t>
            </a:r>
            <a:endParaRPr lang="en-US" sz="900" b="1">
              <a:latin typeface="Tahoma" pitchFamily="34" charset="0"/>
              <a:ea typeface="Tahoma" pitchFamily="34" charset="0"/>
              <a:cs typeface="Tahoma" pitchFamily="34" charset="0"/>
            </a:endParaRPr>
          </a:p>
          <a:p>
            <a:pPr fontAlgn="t"/>
            <a:r>
              <a:rPr lang="ru-RU" sz="900" b="0">
                <a:solidFill>
                  <a:schemeClr val="dk1"/>
                </a:solidFill>
                <a:effectLst/>
                <a:latin typeface="Tahoma" panose="020B0604030504040204" pitchFamily="34" charset="0"/>
                <a:ea typeface="Tahoma" panose="020B0604030504040204" pitchFamily="34" charset="0"/>
                <a:cs typeface="Tahoma" panose="020B0604030504040204" pitchFamily="34" charset="0"/>
              </a:rPr>
              <a:t>юридические лица - поставщики электрической энергии (мощности) оптового и розничного рынков электроэнергии (мощности); гарантирующие поставщики электрической энергии (мощности); потребители-субъекты оптового рынка электроэнергии (мощности); энергосбытовые и энергоснабжающие организации; участники оптового рынка электроэнергии (мощности), в отношении которых не приняты балансовые решения:</a:t>
            </a:r>
          </a:p>
          <a:p>
            <a:pPr fontAlgn="t">
              <a:lnSpc>
                <a:spcPts val="900"/>
              </a:lnSpc>
            </a:pPr>
            <a:r>
              <a:rPr lang="ru-RU" sz="900" b="0">
                <a:solidFill>
                  <a:schemeClr val="dk1"/>
                </a:solidFill>
                <a:effectLst/>
                <a:latin typeface="Tahoma" panose="020B0604030504040204" pitchFamily="34" charset="0"/>
                <a:ea typeface="Tahoma" panose="020B0604030504040204" pitchFamily="34" charset="0"/>
                <a:cs typeface="Tahoma" panose="020B0604030504040204" pitchFamily="34" charset="0"/>
              </a:rPr>
              <a:t>- Федеральной антимонопольной службе по установленному адресу</a:t>
            </a:r>
          </a:p>
          <a:p>
            <a:pPr>
              <a:lnSpc>
                <a:spcPts val="900"/>
              </a:lnSpc>
            </a:pPr>
            <a:endParaRPr lang="ru-RU" sz="900">
              <a:latin typeface="Tahoma" pitchFamily="34" charset="0"/>
              <a:ea typeface="Tahoma" pitchFamily="34" charset="0"/>
              <a:cs typeface="Tahoma" pitchFamily="34" charset="0"/>
            </a:endParaRPr>
          </a:p>
        </xdr:txBody>
      </xdr:sp>
      <xdr:sp macro="" textlink="">
        <xdr:nvSpPr>
          <xdr:cNvPr id="14" name="TextBox 13"/>
          <xdr:cNvSpPr txBox="1"/>
        </xdr:nvSpPr>
        <xdr:spPr>
          <a:xfrm>
            <a:off x="12602923" y="1543049"/>
            <a:ext cx="2660665" cy="12192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900" b="1">
                <a:solidFill>
                  <a:schemeClr val="dk1"/>
                </a:solidFill>
                <a:effectLst/>
                <a:latin typeface="Tahoma" pitchFamily="34" charset="0"/>
                <a:ea typeface="Tahoma" pitchFamily="34" charset="0"/>
                <a:cs typeface="Tahoma" pitchFamily="34" charset="0"/>
              </a:rPr>
              <a:t>Сроки предоставления</a:t>
            </a:r>
            <a:r>
              <a:rPr lang="ru-RU" sz="900" b="1" i="0" u="none" strike="noStrike">
                <a:solidFill>
                  <a:schemeClr val="dk1"/>
                </a:solidFill>
                <a:effectLst/>
                <a:latin typeface="Tahoma" pitchFamily="34" charset="0"/>
                <a:ea typeface="Tahoma" pitchFamily="34" charset="0"/>
                <a:cs typeface="Tahoma" pitchFamily="34" charset="0"/>
              </a:rPr>
              <a:t>:</a:t>
            </a:r>
            <a:r>
              <a:rPr lang="ru-RU" sz="900" b="1">
                <a:effectLst/>
                <a:latin typeface="Tahoma" pitchFamily="34" charset="0"/>
                <a:ea typeface="Tahoma" pitchFamily="34" charset="0"/>
                <a:cs typeface="Tahoma" pitchFamily="34" charset="0"/>
              </a:rPr>
              <a:t> </a:t>
            </a:r>
            <a:endParaRPr lang="en-US" sz="900" b="1">
              <a:latin typeface="Tahoma" pitchFamily="34" charset="0"/>
              <a:ea typeface="Tahoma" pitchFamily="34" charset="0"/>
              <a:cs typeface="Tahoma" pitchFamily="34" charset="0"/>
            </a:endParaRPr>
          </a:p>
          <a:p>
            <a:r>
              <a:rPr lang="ru-RU" sz="900">
                <a:solidFill>
                  <a:schemeClr val="dk1"/>
                </a:solidFill>
                <a:effectLst/>
                <a:latin typeface="Tahoma" pitchFamily="34" charset="0"/>
                <a:ea typeface="Tahoma" pitchFamily="34" charset="0"/>
                <a:cs typeface="Tahoma" pitchFamily="34" charset="0"/>
              </a:rPr>
              <a:t>20 числа после отчетного месяца, </a:t>
            </a:r>
            <a:endParaRPr lang="en-US" sz="900">
              <a:solidFill>
                <a:schemeClr val="dk1"/>
              </a:solidFill>
              <a:effectLst/>
              <a:latin typeface="Tahoma" pitchFamily="34" charset="0"/>
              <a:ea typeface="Tahoma" pitchFamily="34" charset="0"/>
              <a:cs typeface="Tahoma" pitchFamily="34" charset="0"/>
            </a:endParaRPr>
          </a:p>
          <a:p>
            <a:r>
              <a:rPr lang="ru-RU" sz="900">
                <a:solidFill>
                  <a:schemeClr val="dk1"/>
                </a:solidFill>
                <a:effectLst/>
                <a:latin typeface="Tahoma" pitchFamily="34" charset="0"/>
                <a:ea typeface="Tahoma" pitchFamily="34" charset="0"/>
                <a:cs typeface="Tahoma" pitchFamily="34" charset="0"/>
              </a:rPr>
              <a:t>10 февраля - за отчетный год</a:t>
            </a:r>
            <a:endParaRPr lang="en-US" sz="900">
              <a:latin typeface="Tahoma" pitchFamily="34" charset="0"/>
              <a:ea typeface="Tahoma" pitchFamily="34" charset="0"/>
              <a:cs typeface="Tahoma" pitchFamily="34" charset="0"/>
            </a:endParaRPr>
          </a:p>
        </xdr:txBody>
      </xdr:sp>
    </xdr:grpSp>
    <xdr:clientData/>
  </xdr:twoCellAnchor>
  <xdr:twoCellAnchor>
    <xdr:from>
      <xdr:col>3</xdr:col>
      <xdr:colOff>238125</xdr:colOff>
      <xdr:row>8</xdr:row>
      <xdr:rowOff>123825</xdr:rowOff>
    </xdr:from>
    <xdr:to>
      <xdr:col>5</xdr:col>
      <xdr:colOff>1400175</xdr:colOff>
      <xdr:row>13</xdr:row>
      <xdr:rowOff>142875</xdr:rowOff>
    </xdr:to>
    <xdr:grpSp>
      <xdr:nvGrpSpPr>
        <xdr:cNvPr id="18438" name="Группа 10"/>
        <xdr:cNvGrpSpPr>
          <a:grpSpLocks/>
        </xdr:cNvGrpSpPr>
      </xdr:nvGrpSpPr>
      <xdr:grpSpPr bwMode="auto">
        <a:xfrm>
          <a:off x="238125" y="561975"/>
          <a:ext cx="1914525" cy="1219200"/>
          <a:chOff x="13888291" y="2943225"/>
          <a:chExt cx="2578773" cy="1219200"/>
        </a:xfrm>
      </xdr:grpSpPr>
      <xdr:grpSp>
        <xdr:nvGrpSpPr>
          <xdr:cNvPr id="18441" name="Группа 5"/>
          <xdr:cNvGrpSpPr>
            <a:grpSpLocks/>
          </xdr:cNvGrpSpPr>
        </xdr:nvGrpSpPr>
        <xdr:grpSpPr bwMode="auto">
          <a:xfrm>
            <a:off x="14355044" y="3219450"/>
            <a:ext cx="1680291" cy="942975"/>
            <a:chOff x="10668371" y="2209800"/>
            <a:chExt cx="1647267" cy="942975"/>
          </a:xfrm>
        </xdr:grpSpPr>
        <xdr:sp macro="" textlink="">
          <xdr:nvSpPr>
            <xdr:cNvPr id="18" name="TextBox 17"/>
            <xdr:cNvSpPr txBox="1"/>
          </xdr:nvSpPr>
          <xdr:spPr>
            <a:xfrm>
              <a:off x="10663584" y="2886075"/>
              <a:ext cx="1647661" cy="266700"/>
            </a:xfrm>
            <a:prstGeom prst="rect">
              <a:avLst/>
            </a:prstGeom>
            <a:solidFill>
              <a:schemeClr val="lt1"/>
            </a:solidFill>
            <a:ln w="127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900" b="0">
                  <a:solidFill>
                    <a:schemeClr val="dk1"/>
                  </a:solidFill>
                  <a:effectLst/>
                  <a:latin typeface="Tahoma" pitchFamily="34" charset="0"/>
                  <a:ea typeface="Tahoma" pitchFamily="34" charset="0"/>
                  <a:cs typeface="Tahoma" pitchFamily="34" charset="0"/>
                </a:rPr>
                <a:t>Месячная</a:t>
              </a:r>
              <a:r>
                <a:rPr lang="ru-RU" sz="900" b="1">
                  <a:solidFill>
                    <a:schemeClr val="dk1"/>
                  </a:solidFill>
                  <a:effectLst/>
                  <a:latin typeface="Tahoma" pitchFamily="34" charset="0"/>
                  <a:ea typeface="Tahoma" pitchFamily="34" charset="0"/>
                  <a:cs typeface="Tahoma" pitchFamily="34" charset="0"/>
                </a:rPr>
                <a:t>, </a:t>
              </a:r>
              <a:r>
                <a:rPr lang="ru-RU" sz="900" b="0">
                  <a:solidFill>
                    <a:schemeClr val="dk1"/>
                  </a:solidFill>
                  <a:effectLst/>
                  <a:latin typeface="Tahoma" pitchFamily="34" charset="0"/>
                  <a:ea typeface="Tahoma" pitchFamily="34" charset="0"/>
                  <a:cs typeface="Tahoma" pitchFamily="34" charset="0"/>
                </a:rPr>
                <a:t>годовая</a:t>
              </a:r>
              <a:endParaRPr lang="en-US" sz="900" b="0">
                <a:latin typeface="Tahoma" pitchFamily="34" charset="0"/>
                <a:ea typeface="Tahoma" pitchFamily="34" charset="0"/>
                <a:cs typeface="Tahoma" pitchFamily="34" charset="0"/>
              </a:endParaRPr>
            </a:p>
          </xdr:txBody>
        </xdr:sp>
        <xdr:sp macro="" textlink="">
          <xdr:nvSpPr>
            <xdr:cNvPr id="19" name="TextBox 18"/>
            <xdr:cNvSpPr txBox="1"/>
          </xdr:nvSpPr>
          <xdr:spPr>
            <a:xfrm>
              <a:off x="10663584" y="2209800"/>
              <a:ext cx="1647661" cy="638175"/>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ts val="900"/>
                </a:lnSpc>
              </a:pPr>
              <a:r>
                <a:rPr lang="ru-RU" sz="900">
                  <a:solidFill>
                    <a:schemeClr val="dk1"/>
                  </a:solidFill>
                  <a:effectLst/>
                  <a:latin typeface="Tahoma" pitchFamily="34" charset="0"/>
                  <a:ea typeface="Tahoma" pitchFamily="34" charset="0"/>
                  <a:cs typeface="Tahoma" pitchFamily="34" charset="0"/>
                </a:rPr>
                <a:t>Приказ Росстата:</a:t>
              </a:r>
              <a:br>
                <a:rPr lang="ru-RU" sz="900">
                  <a:solidFill>
                    <a:schemeClr val="dk1"/>
                  </a:solidFill>
                  <a:effectLst/>
                  <a:latin typeface="Tahoma" pitchFamily="34" charset="0"/>
                  <a:ea typeface="Tahoma" pitchFamily="34" charset="0"/>
                  <a:cs typeface="Tahoma" pitchFamily="34" charset="0"/>
                </a:rPr>
              </a:br>
              <a:r>
                <a:rPr lang="ru-RU" sz="900">
                  <a:solidFill>
                    <a:schemeClr val="dk1"/>
                  </a:solidFill>
                  <a:effectLst/>
                  <a:latin typeface="Tahoma" pitchFamily="34" charset="0"/>
                  <a:ea typeface="Tahoma" pitchFamily="34" charset="0"/>
                  <a:cs typeface="Tahoma" pitchFamily="34" charset="0"/>
                </a:rPr>
                <a:t>Об утверждении формы </a:t>
              </a:r>
              <a:br>
                <a:rPr lang="ru-RU" sz="900">
                  <a:solidFill>
                    <a:schemeClr val="dk1"/>
                  </a:solidFill>
                  <a:effectLst/>
                  <a:latin typeface="Tahoma" pitchFamily="34" charset="0"/>
                  <a:ea typeface="Tahoma" pitchFamily="34" charset="0"/>
                  <a:cs typeface="Tahoma" pitchFamily="34" charset="0"/>
                </a:rPr>
              </a:br>
              <a:r>
                <a:rPr lang="ru-RU" sz="900">
                  <a:solidFill>
                    <a:schemeClr val="dk1"/>
                  </a:solidFill>
                  <a:effectLst/>
                  <a:latin typeface="Tahoma" pitchFamily="34" charset="0"/>
                  <a:ea typeface="Tahoma" pitchFamily="34" charset="0"/>
                  <a:cs typeface="Tahoma" pitchFamily="34" charset="0"/>
                </a:rPr>
                <a:t>от </a:t>
              </a:r>
              <a:r>
                <a:rPr lang="en-US" sz="900">
                  <a:solidFill>
                    <a:schemeClr val="dk1"/>
                  </a:solidFill>
                  <a:effectLst/>
                  <a:latin typeface="Tahoma" pitchFamily="34" charset="0"/>
                  <a:ea typeface="Tahoma" pitchFamily="34" charset="0"/>
                  <a:cs typeface="Tahoma" pitchFamily="34" charset="0"/>
                </a:rPr>
                <a:t>22</a:t>
              </a:r>
              <a:r>
                <a:rPr lang="ru-RU" sz="900">
                  <a:solidFill>
                    <a:schemeClr val="dk1"/>
                  </a:solidFill>
                  <a:effectLst/>
                  <a:latin typeface="Tahoma" pitchFamily="34" charset="0"/>
                  <a:ea typeface="Tahoma" pitchFamily="34" charset="0"/>
                  <a:cs typeface="Tahoma" pitchFamily="34" charset="0"/>
                </a:rPr>
                <a:t>.0</a:t>
              </a:r>
              <a:r>
                <a:rPr lang="en-US" sz="900">
                  <a:solidFill>
                    <a:schemeClr val="dk1"/>
                  </a:solidFill>
                  <a:effectLst/>
                  <a:latin typeface="Tahoma" pitchFamily="34" charset="0"/>
                  <a:ea typeface="Tahoma" pitchFamily="34" charset="0"/>
                  <a:cs typeface="Tahoma" pitchFamily="34" charset="0"/>
                </a:rPr>
                <a:t>4</a:t>
              </a:r>
              <a:r>
                <a:rPr lang="ru-RU" sz="900">
                  <a:solidFill>
                    <a:schemeClr val="dk1"/>
                  </a:solidFill>
                  <a:effectLst/>
                  <a:latin typeface="Tahoma" pitchFamily="34" charset="0"/>
                  <a:ea typeface="Tahoma" pitchFamily="34" charset="0"/>
                  <a:cs typeface="Tahoma" pitchFamily="34" charset="0"/>
                </a:rPr>
                <a:t>.201</a:t>
              </a:r>
              <a:r>
                <a:rPr lang="en-US" sz="900">
                  <a:solidFill>
                    <a:schemeClr val="dk1"/>
                  </a:solidFill>
                  <a:effectLst/>
                  <a:latin typeface="Tahoma" pitchFamily="34" charset="0"/>
                  <a:ea typeface="Tahoma" pitchFamily="34" charset="0"/>
                  <a:cs typeface="Tahoma" pitchFamily="34" charset="0"/>
                </a:rPr>
                <a:t>6</a:t>
              </a:r>
              <a:r>
                <a:rPr lang="ru-RU" sz="900">
                  <a:solidFill>
                    <a:schemeClr val="dk1"/>
                  </a:solidFill>
                  <a:effectLst/>
                  <a:latin typeface="Tahoma" pitchFamily="34" charset="0"/>
                  <a:ea typeface="Tahoma" pitchFamily="34" charset="0"/>
                  <a:cs typeface="Tahoma" pitchFamily="34" charset="0"/>
                </a:rPr>
                <a:t> № 2</a:t>
              </a:r>
              <a:r>
                <a:rPr lang="en-US" sz="900">
                  <a:solidFill>
                    <a:schemeClr val="dk1"/>
                  </a:solidFill>
                  <a:effectLst/>
                  <a:latin typeface="Tahoma" pitchFamily="34" charset="0"/>
                  <a:ea typeface="Tahoma" pitchFamily="34" charset="0"/>
                  <a:cs typeface="Tahoma" pitchFamily="34" charset="0"/>
                </a:rPr>
                <a:t>10</a:t>
              </a:r>
              <a:endParaRPr lang="ru-RU" sz="900">
                <a:solidFill>
                  <a:schemeClr val="dk1"/>
                </a:solidFill>
                <a:effectLst/>
                <a:latin typeface="Tahoma" pitchFamily="34" charset="0"/>
                <a:ea typeface="Tahoma" pitchFamily="34" charset="0"/>
                <a:cs typeface="Tahoma" pitchFamily="34" charset="0"/>
              </a:endParaRPr>
            </a:p>
            <a:p>
              <a:pPr algn="ctr">
                <a:lnSpc>
                  <a:spcPts val="900"/>
                </a:lnSpc>
              </a:pPr>
              <a:endParaRPr lang="en-US" sz="900" b="0">
                <a:latin typeface="Tahoma" pitchFamily="34" charset="0"/>
                <a:ea typeface="Tahoma" pitchFamily="34" charset="0"/>
                <a:cs typeface="Tahoma" pitchFamily="34" charset="0"/>
              </a:endParaRPr>
            </a:p>
          </xdr:txBody>
        </xdr:sp>
      </xdr:grpSp>
      <xdr:sp macro="" textlink="">
        <xdr:nvSpPr>
          <xdr:cNvPr id="17" name="TextBox 16"/>
          <xdr:cNvSpPr txBox="1"/>
        </xdr:nvSpPr>
        <xdr:spPr>
          <a:xfrm>
            <a:off x="13888291" y="2943225"/>
            <a:ext cx="2578773" cy="266700"/>
          </a:xfrm>
          <a:prstGeom prst="rect">
            <a:avLst/>
          </a:prstGeom>
          <a:solidFill>
            <a:schemeClr val="lt1"/>
          </a:solidFill>
          <a:ln w="127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ru-RU" sz="800" b="1">
                <a:solidFill>
                  <a:schemeClr val="dk1"/>
                </a:solidFill>
                <a:effectLst/>
                <a:latin typeface="Tahoma" pitchFamily="34" charset="0"/>
                <a:ea typeface="Tahoma" pitchFamily="34" charset="0"/>
                <a:cs typeface="Tahoma" pitchFamily="34" charset="0"/>
              </a:rPr>
              <a:t>Форма № 46-ЭЭ (полезный</a:t>
            </a:r>
            <a:r>
              <a:rPr lang="en-US" sz="800" b="1">
                <a:solidFill>
                  <a:schemeClr val="dk1"/>
                </a:solidFill>
                <a:effectLst/>
                <a:latin typeface="Tahoma" pitchFamily="34" charset="0"/>
                <a:ea typeface="Tahoma" pitchFamily="34" charset="0"/>
                <a:cs typeface="Tahoma" pitchFamily="34" charset="0"/>
              </a:rPr>
              <a:t> </a:t>
            </a:r>
            <a:r>
              <a:rPr lang="ru-RU" sz="800" b="1">
                <a:solidFill>
                  <a:schemeClr val="dk1"/>
                </a:solidFill>
                <a:effectLst/>
                <a:latin typeface="Tahoma" pitchFamily="34" charset="0"/>
                <a:ea typeface="Tahoma" pitchFamily="34" charset="0"/>
                <a:cs typeface="Tahoma" pitchFamily="34" charset="0"/>
              </a:rPr>
              <a:t>отпуск)</a:t>
            </a:r>
            <a:endParaRPr lang="en-US" sz="800" b="0">
              <a:latin typeface="Tahoma" pitchFamily="34" charset="0"/>
              <a:ea typeface="Tahoma" pitchFamily="34" charset="0"/>
              <a:cs typeface="Tahoma" pitchFamily="34" charset="0"/>
            </a:endParaRPr>
          </a:p>
        </xdr:txBody>
      </xdr:sp>
    </xdr:grpSp>
    <xdr:clientData/>
  </xdr:twoCellAnchor>
  <xdr:oneCellAnchor>
    <xdr:from>
      <xdr:col>7</xdr:col>
      <xdr:colOff>0</xdr:colOff>
      <xdr:row>22</xdr:row>
      <xdr:rowOff>47625</xdr:rowOff>
    </xdr:from>
    <xdr:ext cx="323850" cy="323850"/>
    <xdr:pic>
      <xdr:nvPicPr>
        <xdr:cNvPr id="20" name="cmdRefreshMO" descr="icon16.png"/>
        <xdr:cNvPicPr>
          <a:picLocks noChangeAspect="1"/>
        </xdr:cNvPicPr>
      </xdr:nvPicPr>
      <xdr:blipFill>
        <a:blip xmlns:r="http://schemas.openxmlformats.org/officeDocument/2006/relationships" r:embed="rId1" cstate="print">
          <a:duotone>
            <a:prstClr val="black"/>
            <a:schemeClr val="tx1">
              <a:lumMod val="95000"/>
              <a:lumOff val="5000"/>
              <a:tint val="45000"/>
              <a:satMod val="400000"/>
            </a:schemeClr>
          </a:duotone>
          <a:extLst/>
        </a:blip>
        <a:srcRect/>
        <a:stretch>
          <a:fillRect/>
        </a:stretch>
      </xdr:blipFill>
      <xdr:spPr bwMode="auto">
        <a:xfrm>
          <a:off x="7016750" y="3076575"/>
          <a:ext cx="323850" cy="323850"/>
        </a:xfrm>
        <a:prstGeom prst="rect">
          <a:avLst/>
        </a:prstGeom>
        <a:noFill/>
        <a:ln>
          <a:noFill/>
        </a:ln>
        <a:extLst/>
      </xdr:spPr>
    </xdr:pic>
    <xdr:clientData/>
  </xdr:oneCellAnchor>
  <xdr:oneCellAnchor>
    <xdr:from>
      <xdr:col>7</xdr:col>
      <xdr:colOff>3175</xdr:colOff>
      <xdr:row>17</xdr:row>
      <xdr:rowOff>38100</xdr:rowOff>
    </xdr:from>
    <xdr:ext cx="323850" cy="323850"/>
    <xdr:pic>
      <xdr:nvPicPr>
        <xdr:cNvPr id="21" name="cmdRefreshOrg" descr="icon16.png"/>
        <xdr:cNvPicPr>
          <a:picLocks noChangeAspect="1"/>
        </xdr:cNvPicPr>
      </xdr:nvPicPr>
      <xdr:blipFill>
        <a:blip xmlns:r="http://schemas.openxmlformats.org/officeDocument/2006/relationships" r:embed="rId1" cstate="print">
          <a:duotone>
            <a:prstClr val="black"/>
            <a:schemeClr val="tx1">
              <a:lumMod val="95000"/>
              <a:lumOff val="5000"/>
              <a:tint val="45000"/>
              <a:satMod val="400000"/>
            </a:schemeClr>
          </a:duotone>
          <a:extLst/>
        </a:blip>
        <a:srcRect/>
        <a:stretch>
          <a:fillRect/>
        </a:stretch>
      </xdr:blipFill>
      <xdr:spPr bwMode="auto">
        <a:xfrm>
          <a:off x="7019925" y="1974850"/>
          <a:ext cx="323850" cy="323850"/>
        </a:xfrm>
        <a:prstGeom prst="rect">
          <a:avLst/>
        </a:prstGeom>
        <a:noFill/>
        <a:ln>
          <a:noFill/>
        </a:ln>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5</xdr:col>
      <xdr:colOff>466725</xdr:colOff>
      <xdr:row>18</xdr:row>
      <xdr:rowOff>76200</xdr:rowOff>
    </xdr:from>
    <xdr:to>
      <xdr:col>5</xdr:col>
      <xdr:colOff>2908907</xdr:colOff>
      <xdr:row>18</xdr:row>
      <xdr:rowOff>403285</xdr:rowOff>
    </xdr:to>
    <xdr:sp macro="" textlink="">
      <xdr:nvSpPr>
        <xdr:cNvPr id="2" name="cmdChooseOrg"/>
        <xdr:cNvSpPr>
          <a:spLocks noChangeArrowheads="1"/>
        </xdr:cNvSpPr>
      </xdr:nvSpPr>
      <xdr:spPr bwMode="auto">
        <a:xfrm>
          <a:off x="3660775" y="2844800"/>
          <a:ext cx="2565717" cy="327085"/>
        </a:xfrm>
        <a:prstGeom prst="roundRect">
          <a:avLst>
            <a:gd name="adj" fmla="val 16667"/>
          </a:avLst>
        </a:prstGeom>
        <a:gradFill rotWithShape="1">
          <a:gsLst>
            <a:gs pos="0">
              <a:srgbClr val="FFFFFF"/>
            </a:gs>
            <a:gs pos="100000">
              <a:srgbClr val="C0C0C0"/>
            </a:gs>
          </a:gsLst>
          <a:lin ang="5400000" scaled="0"/>
        </a:gradFill>
        <a:ln w="9525" algn="ctr">
          <a:solidFill>
            <a:srgbClr val="C0C0C0"/>
          </a:solidFill>
          <a:round/>
          <a:headEnd/>
          <a:tailEnd/>
        </a:ln>
        <a:effectLst>
          <a:outerShdw dist="20000" dir="5400000" rotWithShape="0">
            <a:srgbClr val="000000">
              <a:alpha val="37999"/>
            </a:srgbClr>
          </a:outerShdw>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5</xdr:col>
      <xdr:colOff>47625</xdr:colOff>
      <xdr:row>18</xdr:row>
      <xdr:rowOff>85725</xdr:rowOff>
    </xdr:from>
    <xdr:to>
      <xdr:col>5</xdr:col>
      <xdr:colOff>371475</xdr:colOff>
      <xdr:row>19</xdr:row>
      <xdr:rowOff>0</xdr:rowOff>
    </xdr:to>
    <xdr:pic>
      <xdr:nvPicPr>
        <xdr:cNvPr id="20482" name="TitleHelp" descr="help.png"/>
        <xdr:cNvPicPr>
          <a:picLocks noChangeAspect="1"/>
        </xdr:cNvPicPr>
      </xdr:nvPicPr>
      <xdr:blipFill>
        <a:blip xmlns:r="http://schemas.openxmlformats.org/officeDocument/2006/relationships" r:embed="rId1" cstate="print"/>
        <a:srcRect/>
        <a:stretch>
          <a:fillRect/>
        </a:stretch>
      </xdr:blipFill>
      <xdr:spPr bwMode="auto">
        <a:xfrm>
          <a:off x="3076575" y="2857500"/>
          <a:ext cx="323850" cy="409575"/>
        </a:xfrm>
        <a:prstGeom prst="rect">
          <a:avLst/>
        </a:prstGeom>
        <a:noFill/>
        <a:ln w="9525">
          <a:noFill/>
          <a:miter lim="800000"/>
          <a:headEnd/>
          <a:tailEnd/>
        </a:ln>
      </xdr:spPr>
    </xdr:pic>
    <xdr:clientData/>
  </xdr:twoCellAnchor>
  <xdr:twoCellAnchor>
    <xdr:from>
      <xdr:col>5</xdr:col>
      <xdr:colOff>466725</xdr:colOff>
      <xdr:row>18</xdr:row>
      <xdr:rowOff>76200</xdr:rowOff>
    </xdr:from>
    <xdr:to>
      <xdr:col>5</xdr:col>
      <xdr:colOff>2908907</xdr:colOff>
      <xdr:row>18</xdr:row>
      <xdr:rowOff>403285</xdr:rowOff>
    </xdr:to>
    <xdr:sp macro="" textlink="">
      <xdr:nvSpPr>
        <xdr:cNvPr id="4" name="cmdChooseOrg"/>
        <xdr:cNvSpPr>
          <a:spLocks noChangeArrowheads="1"/>
        </xdr:cNvSpPr>
      </xdr:nvSpPr>
      <xdr:spPr bwMode="auto">
        <a:xfrm>
          <a:off x="3660775" y="2844800"/>
          <a:ext cx="2565717" cy="327085"/>
        </a:xfrm>
        <a:prstGeom prst="roundRect">
          <a:avLst>
            <a:gd name="adj" fmla="val 16667"/>
          </a:avLst>
        </a:prstGeom>
        <a:gradFill rotWithShape="1">
          <a:gsLst>
            <a:gs pos="0">
              <a:srgbClr val="FFFFFF"/>
            </a:gs>
            <a:gs pos="100000">
              <a:srgbClr val="C0C0C0"/>
            </a:gs>
          </a:gsLst>
          <a:lin ang="5400000" scaled="0"/>
        </a:gradFill>
        <a:ln w="9525" algn="ctr">
          <a:solidFill>
            <a:srgbClr val="C0C0C0"/>
          </a:solidFill>
          <a:round/>
          <a:headEnd/>
          <a:tailEnd/>
        </a:ln>
        <a:effectLst>
          <a:outerShdw dist="20000" dir="5400000" rotWithShape="0">
            <a:srgbClr val="000000">
              <a:alpha val="37999"/>
            </a:srgbClr>
          </a:outerShdw>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5</xdr:col>
      <xdr:colOff>47625</xdr:colOff>
      <xdr:row>18</xdr:row>
      <xdr:rowOff>85725</xdr:rowOff>
    </xdr:from>
    <xdr:to>
      <xdr:col>5</xdr:col>
      <xdr:colOff>371475</xdr:colOff>
      <xdr:row>18</xdr:row>
      <xdr:rowOff>409575</xdr:rowOff>
    </xdr:to>
    <xdr:pic>
      <xdr:nvPicPr>
        <xdr:cNvPr id="20484" name="TitleHelp" descr="help.png"/>
        <xdr:cNvPicPr>
          <a:picLocks noChangeAspect="1"/>
        </xdr:cNvPicPr>
      </xdr:nvPicPr>
      <xdr:blipFill>
        <a:blip xmlns:r="http://schemas.openxmlformats.org/officeDocument/2006/relationships" r:embed="rId1" cstate="print"/>
        <a:srcRect/>
        <a:stretch>
          <a:fillRect/>
        </a:stretch>
      </xdr:blipFill>
      <xdr:spPr bwMode="auto">
        <a:xfrm>
          <a:off x="3076575" y="2857500"/>
          <a:ext cx="323850" cy="3238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17</xdr:col>
      <xdr:colOff>161925</xdr:colOff>
      <xdr:row>1</xdr:row>
      <xdr:rowOff>28575</xdr:rowOff>
    </xdr:from>
    <xdr:to>
      <xdr:col>24</xdr:col>
      <xdr:colOff>285750</xdr:colOff>
      <xdr:row>2</xdr:row>
      <xdr:rowOff>164878</xdr:rowOff>
    </xdr:to>
    <xdr:pic>
      <xdr:nvPicPr>
        <xdr:cNvPr id="2" name="REGION_SELECTOR" descr="preload.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72150" y="180975"/>
          <a:ext cx="2190750" cy="326803"/>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171450</xdr:colOff>
      <xdr:row>2</xdr:row>
      <xdr:rowOff>0</xdr:rowOff>
    </xdr:from>
    <xdr:to>
      <xdr:col>4</xdr:col>
      <xdr:colOff>358902</xdr:colOff>
      <xdr:row>3</xdr:row>
      <xdr:rowOff>169545</xdr:rowOff>
    </xdr:to>
    <xdr:pic>
      <xdr:nvPicPr>
        <xdr:cNvPr id="2" name="UPDATE_VLD_DIC_DATA" descr="preload.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8100"/>
          <a:ext cx="368427" cy="360045"/>
        </a:xfrm>
        <a:prstGeom prst="rect">
          <a:avLst/>
        </a:prstGeom>
        <a:ln w="0">
          <a:noFill/>
          <a:prstDash val="solid"/>
        </a:ln>
      </xdr:spPr>
    </xdr:pic>
    <xdr:clientData/>
  </xdr:twoCellAnchor>
  <xdr:twoCellAnchor editAs="oneCell">
    <xdr:from>
      <xdr:col>4</xdr:col>
      <xdr:colOff>21146</xdr:colOff>
      <xdr:row>17</xdr:row>
      <xdr:rowOff>21146</xdr:rowOff>
    </xdr:from>
    <xdr:to>
      <xdr:col>4</xdr:col>
      <xdr:colOff>381191</xdr:colOff>
      <xdr:row>17</xdr:row>
      <xdr:rowOff>381191</xdr:rowOff>
    </xdr:to>
    <xdr:pic>
      <xdr:nvPicPr>
        <xdr:cNvPr id="3" name="UPDATE_RST_ORG"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2121" y="1811846"/>
          <a:ext cx="360045" cy="360045"/>
        </a:xfrm>
        <a:prstGeom prst="rect">
          <a:avLst/>
        </a:prstGeom>
        <a:ln w="0">
          <a:noFill/>
          <a:prstDash val="solid"/>
        </a:ln>
      </xdr:spPr>
    </xdr:pic>
    <xdr:clientData/>
  </xdr:twoCellAnchor>
  <xdr:twoCellAnchor editAs="oneCell">
    <xdr:from>
      <xdr:col>4</xdr:col>
      <xdr:colOff>10573</xdr:colOff>
      <xdr:row>83</xdr:row>
      <xdr:rowOff>52959</xdr:rowOff>
    </xdr:from>
    <xdr:to>
      <xdr:col>4</xdr:col>
      <xdr:colOff>371761</xdr:colOff>
      <xdr:row>84</xdr:row>
      <xdr:rowOff>346234</xdr:rowOff>
    </xdr:to>
    <xdr:pic>
      <xdr:nvPicPr>
        <xdr:cNvPr id="4" name="UPDATE_STATISTICS_DATA" descr="preload.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1548" y="10940034"/>
          <a:ext cx="361188" cy="359950"/>
        </a:xfrm>
        <a:prstGeom prst="rect">
          <a:avLst/>
        </a:prstGeom>
        <a:ln w="0">
          <a:noFill/>
          <a:prstDash val="solid"/>
        </a:ln>
      </xdr:spPr>
    </xdr:pic>
    <xdr:clientData/>
  </xdr:twoCellAnchor>
  <xdr:twoCellAnchor editAs="oneCell">
    <xdr:from>
      <xdr:col>3</xdr:col>
      <xdr:colOff>171450</xdr:colOff>
      <xdr:row>24</xdr:row>
      <xdr:rowOff>285750</xdr:rowOff>
    </xdr:from>
    <xdr:to>
      <xdr:col>4</xdr:col>
      <xdr:colOff>358902</xdr:colOff>
      <xdr:row>30</xdr:row>
      <xdr:rowOff>26670</xdr:rowOff>
    </xdr:to>
    <xdr:pic>
      <xdr:nvPicPr>
        <xdr:cNvPr id="5" name="UPDATE_SUBSIDIARY_DATA" descr="preload.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3638550"/>
          <a:ext cx="368427" cy="360045"/>
        </a:xfrm>
        <a:prstGeom prst="rect">
          <a:avLst/>
        </a:prstGeom>
        <a:ln w="0">
          <a:noFill/>
          <a:prstDash val="solid"/>
        </a:ln>
      </xdr:spPr>
    </xdr:pic>
    <xdr:clientData/>
  </xdr:twoCellAnchor>
  <xdr:twoCellAnchor editAs="oneCell">
    <xdr:from>
      <xdr:col>4</xdr:col>
      <xdr:colOff>0</xdr:colOff>
      <xdr:row>5</xdr:row>
      <xdr:rowOff>19050</xdr:rowOff>
    </xdr:from>
    <xdr:to>
      <xdr:col>5</xdr:col>
      <xdr:colOff>17526</xdr:colOff>
      <xdr:row>5</xdr:row>
      <xdr:rowOff>285464</xdr:rowOff>
    </xdr:to>
    <xdr:pic>
      <xdr:nvPicPr>
        <xdr:cNvPr id="6" name="IMPORT_DAT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0975" y="590550"/>
          <a:ext cx="1331976" cy="266414"/>
        </a:xfrm>
        <a:prstGeom prst="rect">
          <a:avLst/>
        </a:prstGeom>
        <a:ln w="0">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2048828</xdr:colOff>
      <xdr:row>11</xdr:row>
      <xdr:rowOff>28194</xdr:rowOff>
    </xdr:from>
    <xdr:to>
      <xdr:col>3</xdr:col>
      <xdr:colOff>2678811</xdr:colOff>
      <xdr:row>12</xdr:row>
      <xdr:rowOff>50578</xdr:rowOff>
    </xdr:to>
    <xdr:pic>
      <xdr:nvPicPr>
        <xdr:cNvPr id="2" name="SECTION_I_A_46PC_HIDDEN"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29803" y="752094"/>
          <a:ext cx="629983" cy="174784"/>
        </a:xfrm>
        <a:prstGeom prst="rect">
          <a:avLst/>
        </a:prstGeom>
        <a:ln w="0">
          <a:prstDash val="solid"/>
        </a:ln>
      </xdr:spPr>
    </xdr:pic>
    <xdr:clientData/>
  </xdr:twoCellAnchor>
  <xdr:twoCellAnchor editAs="oneCell">
    <xdr:from>
      <xdr:col>3</xdr:col>
      <xdr:colOff>1373505</xdr:colOff>
      <xdr:row>11</xdr:row>
      <xdr:rowOff>28194</xdr:rowOff>
    </xdr:from>
    <xdr:to>
      <xdr:col>3</xdr:col>
      <xdr:colOff>2003489</xdr:colOff>
      <xdr:row>12</xdr:row>
      <xdr:rowOff>50578</xdr:rowOff>
    </xdr:to>
    <xdr:pic>
      <xdr:nvPicPr>
        <xdr:cNvPr id="3" name="SECTION_I_A_35PC_HIDDEN"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54480" y="752094"/>
          <a:ext cx="629984" cy="174784"/>
        </a:xfrm>
        <a:prstGeom prst="rect">
          <a:avLst/>
        </a:prstGeom>
        <a:ln w="0">
          <a:prstDash val="solid"/>
        </a:ln>
      </xdr:spPr>
    </xdr:pic>
    <xdr:clientData/>
  </xdr:twoCellAnchor>
  <xdr:twoCellAnchor editAs="oneCell">
    <xdr:from>
      <xdr:col>3</xdr:col>
      <xdr:colOff>703231</xdr:colOff>
      <xdr:row>11</xdr:row>
      <xdr:rowOff>28194</xdr:rowOff>
    </xdr:from>
    <xdr:to>
      <xdr:col>3</xdr:col>
      <xdr:colOff>1333214</xdr:colOff>
      <xdr:row>12</xdr:row>
      <xdr:rowOff>50578</xdr:rowOff>
    </xdr:to>
    <xdr:pic>
      <xdr:nvPicPr>
        <xdr:cNvPr id="4" name="SECTION_I_A_2PC_HIDDEN"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4206" y="752094"/>
          <a:ext cx="629983" cy="174784"/>
        </a:xfrm>
        <a:prstGeom prst="rect">
          <a:avLst/>
        </a:prstGeom>
        <a:ln w="0">
          <a:prstDash val="solid"/>
        </a:ln>
      </xdr:spPr>
    </xdr:pic>
    <xdr:clientData/>
  </xdr:twoCellAnchor>
  <xdr:twoCellAnchor editAs="oneCell">
    <xdr:from>
      <xdr:col>3</xdr:col>
      <xdr:colOff>32861</xdr:colOff>
      <xdr:row>11</xdr:row>
      <xdr:rowOff>28194</xdr:rowOff>
    </xdr:from>
    <xdr:to>
      <xdr:col>3</xdr:col>
      <xdr:colOff>662940</xdr:colOff>
      <xdr:row>12</xdr:row>
      <xdr:rowOff>50578</xdr:rowOff>
    </xdr:to>
    <xdr:pic>
      <xdr:nvPicPr>
        <xdr:cNvPr id="5" name="SECTION_I_A_1PC_HIDDEN"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3836" y="752094"/>
          <a:ext cx="630079" cy="174784"/>
        </a:xfrm>
        <a:prstGeom prst="rect">
          <a:avLst/>
        </a:prstGeom>
        <a:ln w="0">
          <a:prstDash val="solid"/>
        </a:ln>
      </xdr:spPr>
    </xdr:pic>
    <xdr:clientData/>
  </xdr:twoCellAnchor>
  <xdr:twoCellAnchor editAs="oneCell">
    <xdr:from>
      <xdr:col>3</xdr:col>
      <xdr:colOff>4053173</xdr:colOff>
      <xdr:row>12</xdr:row>
      <xdr:rowOff>71723</xdr:rowOff>
    </xdr:from>
    <xdr:to>
      <xdr:col>3</xdr:col>
      <xdr:colOff>4683157</xdr:colOff>
      <xdr:row>12</xdr:row>
      <xdr:rowOff>244507</xdr:rowOff>
    </xdr:to>
    <xdr:pic>
      <xdr:nvPicPr>
        <xdr:cNvPr id="6" name="SECTION_I_A_GV_HIDDEN"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234148" y="948023"/>
          <a:ext cx="629984" cy="172784"/>
        </a:xfrm>
        <a:prstGeom prst="rect">
          <a:avLst/>
        </a:prstGeom>
        <a:ln w="0">
          <a:prstDash val="solid"/>
        </a:ln>
      </xdr:spPr>
    </xdr:pic>
    <xdr:clientData/>
  </xdr:twoCellAnchor>
  <xdr:twoCellAnchor editAs="oneCell">
    <xdr:from>
      <xdr:col>3</xdr:col>
      <xdr:colOff>3384233</xdr:colOff>
      <xdr:row>12</xdr:row>
      <xdr:rowOff>71723</xdr:rowOff>
    </xdr:from>
    <xdr:to>
      <xdr:col>3</xdr:col>
      <xdr:colOff>4014216</xdr:colOff>
      <xdr:row>12</xdr:row>
      <xdr:rowOff>244507</xdr:rowOff>
    </xdr:to>
    <xdr:pic>
      <xdr:nvPicPr>
        <xdr:cNvPr id="7" name="SECTION_I_A_FSK_HIDDEN" hidden="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65208" y="948023"/>
          <a:ext cx="629983" cy="172784"/>
        </a:xfrm>
        <a:prstGeom prst="rect">
          <a:avLst/>
        </a:prstGeom>
        <a:ln w="0">
          <a:prstDash val="solid"/>
        </a:ln>
      </xdr:spPr>
    </xdr:pic>
    <xdr:clientData/>
  </xdr:twoCellAnchor>
  <xdr:twoCellAnchor editAs="oneCell">
    <xdr:from>
      <xdr:col>3</xdr:col>
      <xdr:colOff>2715292</xdr:colOff>
      <xdr:row>12</xdr:row>
      <xdr:rowOff>71723</xdr:rowOff>
    </xdr:from>
    <xdr:to>
      <xdr:col>3</xdr:col>
      <xdr:colOff>3345275</xdr:colOff>
      <xdr:row>12</xdr:row>
      <xdr:rowOff>244507</xdr:rowOff>
    </xdr:to>
    <xdr:pic>
      <xdr:nvPicPr>
        <xdr:cNvPr id="8" name="SECTION_I_A_LV_HIDDEN" hidden="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96267" y="948023"/>
          <a:ext cx="629983" cy="172784"/>
        </a:xfrm>
        <a:prstGeom prst="rect">
          <a:avLst/>
        </a:prstGeom>
        <a:ln w="0">
          <a:prstDash val="solid"/>
        </a:ln>
      </xdr:spPr>
    </xdr:pic>
    <xdr:clientData/>
  </xdr:twoCellAnchor>
  <xdr:twoCellAnchor editAs="oneCell">
    <xdr:from>
      <xdr:col>3</xdr:col>
      <xdr:colOff>2046351</xdr:colOff>
      <xdr:row>12</xdr:row>
      <xdr:rowOff>71723</xdr:rowOff>
    </xdr:from>
    <xdr:to>
      <xdr:col>3</xdr:col>
      <xdr:colOff>2676335</xdr:colOff>
      <xdr:row>12</xdr:row>
      <xdr:rowOff>244507</xdr:rowOff>
    </xdr:to>
    <xdr:pic>
      <xdr:nvPicPr>
        <xdr:cNvPr id="9" name="SECTION_I_A_AV2_HIDDEN" hidden="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227326" y="948023"/>
          <a:ext cx="629984" cy="172784"/>
        </a:xfrm>
        <a:prstGeom prst="rect">
          <a:avLst/>
        </a:prstGeom>
        <a:ln w="0">
          <a:prstDash val="solid"/>
        </a:ln>
      </xdr:spPr>
    </xdr:pic>
    <xdr:clientData/>
  </xdr:twoCellAnchor>
  <xdr:twoCellAnchor editAs="oneCell">
    <xdr:from>
      <xdr:col>3</xdr:col>
      <xdr:colOff>1371409</xdr:colOff>
      <xdr:row>12</xdr:row>
      <xdr:rowOff>71723</xdr:rowOff>
    </xdr:from>
    <xdr:to>
      <xdr:col>3</xdr:col>
      <xdr:colOff>2001488</xdr:colOff>
      <xdr:row>12</xdr:row>
      <xdr:rowOff>244507</xdr:rowOff>
    </xdr:to>
    <xdr:pic>
      <xdr:nvPicPr>
        <xdr:cNvPr id="10" name="SECTION_I_A_AV1_HIDDEN" hidden="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552384" y="948023"/>
          <a:ext cx="630079" cy="172784"/>
        </a:xfrm>
        <a:prstGeom prst="rect">
          <a:avLst/>
        </a:prstGeom>
        <a:ln w="0">
          <a:prstDash val="solid"/>
        </a:ln>
      </xdr:spPr>
    </xdr:pic>
    <xdr:clientData/>
  </xdr:twoCellAnchor>
  <xdr:twoCellAnchor editAs="oneCell">
    <xdr:from>
      <xdr:col>3</xdr:col>
      <xdr:colOff>702564</xdr:colOff>
      <xdr:row>12</xdr:row>
      <xdr:rowOff>71723</xdr:rowOff>
    </xdr:from>
    <xdr:to>
      <xdr:col>3</xdr:col>
      <xdr:colOff>1332548</xdr:colOff>
      <xdr:row>12</xdr:row>
      <xdr:rowOff>244507</xdr:rowOff>
    </xdr:to>
    <xdr:pic>
      <xdr:nvPicPr>
        <xdr:cNvPr id="11" name="SECTION_I_A_HV_HIDDEN"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83539" y="948023"/>
          <a:ext cx="629984" cy="172784"/>
        </a:xfrm>
        <a:prstGeom prst="rect">
          <a:avLst/>
        </a:prstGeom>
        <a:ln w="0">
          <a:prstDash val="solid"/>
        </a:ln>
      </xdr:spPr>
    </xdr:pic>
    <xdr:clientData/>
  </xdr:twoCellAnchor>
  <xdr:twoCellAnchor editAs="oneCell">
    <xdr:from>
      <xdr:col>3</xdr:col>
      <xdr:colOff>33623</xdr:colOff>
      <xdr:row>12</xdr:row>
      <xdr:rowOff>71723</xdr:rowOff>
    </xdr:from>
    <xdr:to>
      <xdr:col>3</xdr:col>
      <xdr:colOff>663607</xdr:colOff>
      <xdr:row>12</xdr:row>
      <xdr:rowOff>244507</xdr:rowOff>
    </xdr:to>
    <xdr:pic>
      <xdr:nvPicPr>
        <xdr:cNvPr id="12" name="SECTION_I_A_TTL_HIDDEN" hidden="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14598" y="948023"/>
          <a:ext cx="629984" cy="172784"/>
        </a:xfrm>
        <a:prstGeom prst="rect">
          <a:avLst/>
        </a:prstGeom>
        <a:ln w="0">
          <a:prstDash val="solid"/>
        </a:ln>
      </xdr:spPr>
    </xdr:pic>
    <xdr:clientData/>
  </xdr:twoCellAnchor>
  <xdr:twoCellAnchor editAs="oneCell">
    <xdr:from>
      <xdr:col>3</xdr:col>
      <xdr:colOff>2043684</xdr:colOff>
      <xdr:row>11</xdr:row>
      <xdr:rowOff>28289</xdr:rowOff>
    </xdr:from>
    <xdr:to>
      <xdr:col>3</xdr:col>
      <xdr:colOff>2673382</xdr:colOff>
      <xdr:row>12</xdr:row>
      <xdr:rowOff>50006</xdr:rowOff>
    </xdr:to>
    <xdr:pic>
      <xdr:nvPicPr>
        <xdr:cNvPr id="13" name="SECTION_I_A_46PC_VISIBLE"/>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224659" y="752189"/>
          <a:ext cx="629698" cy="174117"/>
        </a:xfrm>
        <a:prstGeom prst="rect">
          <a:avLst/>
        </a:prstGeom>
        <a:ln w="0">
          <a:prstDash val="solid"/>
        </a:ln>
      </xdr:spPr>
    </xdr:pic>
    <xdr:clientData/>
  </xdr:twoCellAnchor>
  <xdr:twoCellAnchor editAs="oneCell">
    <xdr:from>
      <xdr:col>3</xdr:col>
      <xdr:colOff>1372553</xdr:colOff>
      <xdr:row>11</xdr:row>
      <xdr:rowOff>28289</xdr:rowOff>
    </xdr:from>
    <xdr:to>
      <xdr:col>3</xdr:col>
      <xdr:colOff>2002346</xdr:colOff>
      <xdr:row>12</xdr:row>
      <xdr:rowOff>50006</xdr:rowOff>
    </xdr:to>
    <xdr:pic>
      <xdr:nvPicPr>
        <xdr:cNvPr id="14" name="SECTION_I_A_35PC_VISIBLE"/>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553528" y="752189"/>
          <a:ext cx="629793" cy="174117"/>
        </a:xfrm>
        <a:prstGeom prst="rect">
          <a:avLst/>
        </a:prstGeom>
        <a:ln w="0">
          <a:prstDash val="solid"/>
        </a:ln>
      </xdr:spPr>
    </xdr:pic>
    <xdr:clientData/>
  </xdr:twoCellAnchor>
  <xdr:twoCellAnchor editAs="oneCell">
    <xdr:from>
      <xdr:col>3</xdr:col>
      <xdr:colOff>701516</xdr:colOff>
      <xdr:row>11</xdr:row>
      <xdr:rowOff>28289</xdr:rowOff>
    </xdr:from>
    <xdr:to>
      <xdr:col>3</xdr:col>
      <xdr:colOff>1331309</xdr:colOff>
      <xdr:row>12</xdr:row>
      <xdr:rowOff>50006</xdr:rowOff>
    </xdr:to>
    <xdr:pic>
      <xdr:nvPicPr>
        <xdr:cNvPr id="15" name="SECTION_I_A_2PC_VISIBLE"/>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2491" y="752189"/>
          <a:ext cx="629793" cy="174117"/>
        </a:xfrm>
        <a:prstGeom prst="rect">
          <a:avLst/>
        </a:prstGeom>
        <a:ln w="0">
          <a:prstDash val="solid"/>
        </a:ln>
      </xdr:spPr>
    </xdr:pic>
    <xdr:clientData/>
  </xdr:twoCellAnchor>
  <xdr:twoCellAnchor editAs="oneCell">
    <xdr:from>
      <xdr:col>3</xdr:col>
      <xdr:colOff>30290</xdr:colOff>
      <xdr:row>11</xdr:row>
      <xdr:rowOff>29623</xdr:rowOff>
    </xdr:from>
    <xdr:to>
      <xdr:col>3</xdr:col>
      <xdr:colOff>660273</xdr:colOff>
      <xdr:row>12</xdr:row>
      <xdr:rowOff>50006</xdr:rowOff>
    </xdr:to>
    <xdr:pic>
      <xdr:nvPicPr>
        <xdr:cNvPr id="16" name="SECTION_I_A_1PC_VISIBLE"/>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11265" y="753523"/>
          <a:ext cx="629983" cy="172783"/>
        </a:xfrm>
        <a:prstGeom prst="rect">
          <a:avLst/>
        </a:prstGeom>
        <a:ln w="0">
          <a:prstDash val="solid"/>
        </a:ln>
      </xdr:spPr>
    </xdr:pic>
    <xdr:clientData/>
  </xdr:twoCellAnchor>
  <xdr:twoCellAnchor editAs="oneCell">
    <xdr:from>
      <xdr:col>3</xdr:col>
      <xdr:colOff>4050602</xdr:colOff>
      <xdr:row>12</xdr:row>
      <xdr:rowOff>71628</xdr:rowOff>
    </xdr:from>
    <xdr:to>
      <xdr:col>3</xdr:col>
      <xdr:colOff>4680585</xdr:colOff>
      <xdr:row>12</xdr:row>
      <xdr:rowOff>244412</xdr:rowOff>
    </xdr:to>
    <xdr:pic>
      <xdr:nvPicPr>
        <xdr:cNvPr id="17" name="SECTION_I_A_GV_VISIBLE"/>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231577" y="947928"/>
          <a:ext cx="629983" cy="172784"/>
        </a:xfrm>
        <a:prstGeom prst="rect">
          <a:avLst/>
        </a:prstGeom>
        <a:ln w="0">
          <a:prstDash val="solid"/>
        </a:ln>
      </xdr:spPr>
    </xdr:pic>
    <xdr:clientData/>
  </xdr:twoCellAnchor>
  <xdr:twoCellAnchor editAs="oneCell">
    <xdr:from>
      <xdr:col>3</xdr:col>
      <xdr:colOff>3380327</xdr:colOff>
      <xdr:row>12</xdr:row>
      <xdr:rowOff>71628</xdr:rowOff>
    </xdr:from>
    <xdr:to>
      <xdr:col>3</xdr:col>
      <xdr:colOff>4010311</xdr:colOff>
      <xdr:row>12</xdr:row>
      <xdr:rowOff>244412</xdr:rowOff>
    </xdr:to>
    <xdr:pic>
      <xdr:nvPicPr>
        <xdr:cNvPr id="18" name="SECTION_I_A_FSK_VISIBLE"/>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561302" y="947928"/>
          <a:ext cx="629984" cy="172784"/>
        </a:xfrm>
        <a:prstGeom prst="rect">
          <a:avLst/>
        </a:prstGeom>
        <a:ln w="0">
          <a:prstDash val="solid"/>
        </a:ln>
      </xdr:spPr>
    </xdr:pic>
    <xdr:clientData/>
  </xdr:twoCellAnchor>
  <xdr:twoCellAnchor editAs="oneCell">
    <xdr:from>
      <xdr:col>3</xdr:col>
      <xdr:colOff>2710053</xdr:colOff>
      <xdr:row>12</xdr:row>
      <xdr:rowOff>71628</xdr:rowOff>
    </xdr:from>
    <xdr:to>
      <xdr:col>3</xdr:col>
      <xdr:colOff>3340037</xdr:colOff>
      <xdr:row>12</xdr:row>
      <xdr:rowOff>244412</xdr:rowOff>
    </xdr:to>
    <xdr:pic>
      <xdr:nvPicPr>
        <xdr:cNvPr id="19" name="SECTION_I_A_LV_VISIBLE"/>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891028" y="947928"/>
          <a:ext cx="629984" cy="172784"/>
        </a:xfrm>
        <a:prstGeom prst="rect">
          <a:avLst/>
        </a:prstGeom>
        <a:ln w="0">
          <a:prstDash val="solid"/>
        </a:ln>
      </xdr:spPr>
    </xdr:pic>
    <xdr:clientData/>
  </xdr:twoCellAnchor>
  <xdr:twoCellAnchor editAs="oneCell">
    <xdr:from>
      <xdr:col>3</xdr:col>
      <xdr:colOff>2039779</xdr:colOff>
      <xdr:row>12</xdr:row>
      <xdr:rowOff>71628</xdr:rowOff>
    </xdr:from>
    <xdr:to>
      <xdr:col>3</xdr:col>
      <xdr:colOff>2669858</xdr:colOff>
      <xdr:row>12</xdr:row>
      <xdr:rowOff>244412</xdr:rowOff>
    </xdr:to>
    <xdr:pic>
      <xdr:nvPicPr>
        <xdr:cNvPr id="20" name="SECTION_I_A_AV2_VISIBLE"/>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220754" y="947928"/>
          <a:ext cx="630079" cy="172784"/>
        </a:xfrm>
        <a:prstGeom prst="rect">
          <a:avLst/>
        </a:prstGeom>
        <a:ln w="0">
          <a:prstDash val="solid"/>
        </a:ln>
      </xdr:spPr>
    </xdr:pic>
    <xdr:clientData/>
  </xdr:twoCellAnchor>
  <xdr:twoCellAnchor editAs="oneCell">
    <xdr:from>
      <xdr:col>3</xdr:col>
      <xdr:colOff>1369600</xdr:colOff>
      <xdr:row>12</xdr:row>
      <xdr:rowOff>71628</xdr:rowOff>
    </xdr:from>
    <xdr:to>
      <xdr:col>3</xdr:col>
      <xdr:colOff>1999583</xdr:colOff>
      <xdr:row>12</xdr:row>
      <xdr:rowOff>244412</xdr:rowOff>
    </xdr:to>
    <xdr:pic>
      <xdr:nvPicPr>
        <xdr:cNvPr id="21" name="SECTION_I_A_AV1_VISIBLE"/>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550575" y="947928"/>
          <a:ext cx="629983" cy="172784"/>
        </a:xfrm>
        <a:prstGeom prst="rect">
          <a:avLst/>
        </a:prstGeom>
        <a:ln w="0">
          <a:prstDash val="solid"/>
        </a:ln>
      </xdr:spPr>
    </xdr:pic>
    <xdr:clientData/>
  </xdr:twoCellAnchor>
  <xdr:twoCellAnchor editAs="oneCell">
    <xdr:from>
      <xdr:col>3</xdr:col>
      <xdr:colOff>699326</xdr:colOff>
      <xdr:row>12</xdr:row>
      <xdr:rowOff>71628</xdr:rowOff>
    </xdr:from>
    <xdr:to>
      <xdr:col>3</xdr:col>
      <xdr:colOff>1329309</xdr:colOff>
      <xdr:row>12</xdr:row>
      <xdr:rowOff>244412</xdr:rowOff>
    </xdr:to>
    <xdr:pic>
      <xdr:nvPicPr>
        <xdr:cNvPr id="22" name="SECTION_I_A_HV_VISIBLE"/>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880301" y="947928"/>
          <a:ext cx="629983" cy="172784"/>
        </a:xfrm>
        <a:prstGeom prst="rect">
          <a:avLst/>
        </a:prstGeom>
        <a:ln w="0">
          <a:prstDash val="solid"/>
        </a:ln>
      </xdr:spPr>
    </xdr:pic>
    <xdr:clientData/>
  </xdr:twoCellAnchor>
  <xdr:twoCellAnchor editAs="oneCell">
    <xdr:from>
      <xdr:col>3</xdr:col>
      <xdr:colOff>29051</xdr:colOff>
      <xdr:row>12</xdr:row>
      <xdr:rowOff>71628</xdr:rowOff>
    </xdr:from>
    <xdr:to>
      <xdr:col>3</xdr:col>
      <xdr:colOff>659035</xdr:colOff>
      <xdr:row>12</xdr:row>
      <xdr:rowOff>244412</xdr:rowOff>
    </xdr:to>
    <xdr:pic>
      <xdr:nvPicPr>
        <xdr:cNvPr id="23" name="SECTION_I_A_TTL_VISIBLE"/>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10026" y="947928"/>
          <a:ext cx="629984" cy="172784"/>
        </a:xfrm>
        <a:prstGeom prst="rect">
          <a:avLst/>
        </a:prstGeom>
        <a:ln w="0">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2016538</xdr:colOff>
      <xdr:row>11</xdr:row>
      <xdr:rowOff>28670</xdr:rowOff>
    </xdr:from>
    <xdr:to>
      <xdr:col>3</xdr:col>
      <xdr:colOff>2646617</xdr:colOff>
      <xdr:row>12</xdr:row>
      <xdr:rowOff>56293</xdr:rowOff>
    </xdr:to>
    <xdr:pic>
      <xdr:nvPicPr>
        <xdr:cNvPr id="2" name="SECTION_I_B_56PC_HIDDEN"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7513" y="752570"/>
          <a:ext cx="630079" cy="180023"/>
        </a:xfrm>
        <a:prstGeom prst="rect">
          <a:avLst/>
        </a:prstGeom>
        <a:ln w="0">
          <a:prstDash val="solid"/>
        </a:ln>
      </xdr:spPr>
    </xdr:pic>
    <xdr:clientData/>
  </xdr:twoCellAnchor>
  <xdr:twoCellAnchor editAs="oneCell">
    <xdr:from>
      <xdr:col>3</xdr:col>
      <xdr:colOff>1352550</xdr:colOff>
      <xdr:row>11</xdr:row>
      <xdr:rowOff>28670</xdr:rowOff>
    </xdr:from>
    <xdr:to>
      <xdr:col>3</xdr:col>
      <xdr:colOff>1982534</xdr:colOff>
      <xdr:row>12</xdr:row>
      <xdr:rowOff>56293</xdr:rowOff>
    </xdr:to>
    <xdr:pic>
      <xdr:nvPicPr>
        <xdr:cNvPr id="3" name="SECTION_I_B_34PC_HIDDEN"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33525" y="752570"/>
          <a:ext cx="629984" cy="180023"/>
        </a:xfrm>
        <a:prstGeom prst="rect">
          <a:avLst/>
        </a:prstGeom>
        <a:ln w="0">
          <a:prstDash val="solid"/>
        </a:ln>
      </xdr:spPr>
    </xdr:pic>
    <xdr:clientData/>
  </xdr:twoCellAnchor>
  <xdr:twoCellAnchor editAs="oneCell">
    <xdr:from>
      <xdr:col>3</xdr:col>
      <xdr:colOff>691991</xdr:colOff>
      <xdr:row>11</xdr:row>
      <xdr:rowOff>30861</xdr:rowOff>
    </xdr:from>
    <xdr:to>
      <xdr:col>3</xdr:col>
      <xdr:colOff>1321975</xdr:colOff>
      <xdr:row>12</xdr:row>
      <xdr:rowOff>57531</xdr:rowOff>
    </xdr:to>
    <xdr:pic>
      <xdr:nvPicPr>
        <xdr:cNvPr id="4" name="SECTION_I_B_2PC_HIDDEN"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2966" y="754761"/>
          <a:ext cx="629984" cy="179070"/>
        </a:xfrm>
        <a:prstGeom prst="rect">
          <a:avLst/>
        </a:prstGeom>
        <a:ln w="0">
          <a:prstDash val="solid"/>
        </a:ln>
      </xdr:spPr>
    </xdr:pic>
    <xdr:clientData/>
  </xdr:twoCellAnchor>
  <xdr:twoCellAnchor editAs="oneCell">
    <xdr:from>
      <xdr:col>3</xdr:col>
      <xdr:colOff>21717</xdr:colOff>
      <xdr:row>11</xdr:row>
      <xdr:rowOff>30861</xdr:rowOff>
    </xdr:from>
    <xdr:to>
      <xdr:col>3</xdr:col>
      <xdr:colOff>651701</xdr:colOff>
      <xdr:row>12</xdr:row>
      <xdr:rowOff>57531</xdr:rowOff>
    </xdr:to>
    <xdr:pic>
      <xdr:nvPicPr>
        <xdr:cNvPr id="5" name="SECTION_I_B_1PC_HIDDEN"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2692" y="754761"/>
          <a:ext cx="629984" cy="179070"/>
        </a:xfrm>
        <a:prstGeom prst="rect">
          <a:avLst/>
        </a:prstGeom>
        <a:ln w="0">
          <a:prstDash val="solid"/>
        </a:ln>
      </xdr:spPr>
    </xdr:pic>
    <xdr:clientData/>
  </xdr:twoCellAnchor>
  <xdr:twoCellAnchor editAs="oneCell">
    <xdr:from>
      <xdr:col>3</xdr:col>
      <xdr:colOff>2016538</xdr:colOff>
      <xdr:row>11</xdr:row>
      <xdr:rowOff>28670</xdr:rowOff>
    </xdr:from>
    <xdr:to>
      <xdr:col>3</xdr:col>
      <xdr:colOff>2646617</xdr:colOff>
      <xdr:row>12</xdr:row>
      <xdr:rowOff>56293</xdr:rowOff>
    </xdr:to>
    <xdr:pic>
      <xdr:nvPicPr>
        <xdr:cNvPr id="6" name="SECTION_I_B_56PC_VISIBLE"/>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197513" y="752570"/>
          <a:ext cx="630079" cy="180023"/>
        </a:xfrm>
        <a:prstGeom prst="rect">
          <a:avLst/>
        </a:prstGeom>
        <a:ln w="0">
          <a:prstDash val="solid"/>
        </a:ln>
      </xdr:spPr>
    </xdr:pic>
    <xdr:clientData/>
  </xdr:twoCellAnchor>
  <xdr:twoCellAnchor editAs="oneCell">
    <xdr:from>
      <xdr:col>3</xdr:col>
      <xdr:colOff>1352550</xdr:colOff>
      <xdr:row>11</xdr:row>
      <xdr:rowOff>28670</xdr:rowOff>
    </xdr:from>
    <xdr:to>
      <xdr:col>3</xdr:col>
      <xdr:colOff>1982534</xdr:colOff>
      <xdr:row>12</xdr:row>
      <xdr:rowOff>56293</xdr:rowOff>
    </xdr:to>
    <xdr:pic>
      <xdr:nvPicPr>
        <xdr:cNvPr id="7" name="SECTION_I_B_34PC_VISIBLE"/>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33525" y="752570"/>
          <a:ext cx="629984" cy="180023"/>
        </a:xfrm>
        <a:prstGeom prst="rect">
          <a:avLst/>
        </a:prstGeom>
        <a:ln w="0">
          <a:prstDash val="solid"/>
        </a:ln>
      </xdr:spPr>
    </xdr:pic>
    <xdr:clientData/>
  </xdr:twoCellAnchor>
  <xdr:twoCellAnchor editAs="oneCell">
    <xdr:from>
      <xdr:col>3</xdr:col>
      <xdr:colOff>690372</xdr:colOff>
      <xdr:row>11</xdr:row>
      <xdr:rowOff>31623</xdr:rowOff>
    </xdr:from>
    <xdr:to>
      <xdr:col>3</xdr:col>
      <xdr:colOff>1320070</xdr:colOff>
      <xdr:row>12</xdr:row>
      <xdr:rowOff>57531</xdr:rowOff>
    </xdr:to>
    <xdr:pic>
      <xdr:nvPicPr>
        <xdr:cNvPr id="8" name="SECTION_I_B_2PC_VISIBLE"/>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71347" y="755523"/>
          <a:ext cx="629698" cy="178308"/>
        </a:xfrm>
        <a:prstGeom prst="rect">
          <a:avLst/>
        </a:prstGeom>
        <a:ln w="0">
          <a:prstDash val="solid"/>
        </a:ln>
      </xdr:spPr>
    </xdr:pic>
    <xdr:clientData/>
  </xdr:twoCellAnchor>
  <xdr:twoCellAnchor editAs="oneCell">
    <xdr:from>
      <xdr:col>3</xdr:col>
      <xdr:colOff>19050</xdr:colOff>
      <xdr:row>11</xdr:row>
      <xdr:rowOff>32861</xdr:rowOff>
    </xdr:from>
    <xdr:to>
      <xdr:col>3</xdr:col>
      <xdr:colOff>649034</xdr:colOff>
      <xdr:row>12</xdr:row>
      <xdr:rowOff>57531</xdr:rowOff>
    </xdr:to>
    <xdr:pic>
      <xdr:nvPicPr>
        <xdr:cNvPr id="9" name="SECTION_I_B_1PC_VISIBLE"/>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00025" y="756761"/>
          <a:ext cx="629984" cy="177070"/>
        </a:xfrm>
        <a:prstGeom prst="rect">
          <a:avLst/>
        </a:prstGeom>
        <a:ln w="0">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3366897</xdr:colOff>
      <xdr:row>11</xdr:row>
      <xdr:rowOff>19145</xdr:rowOff>
    </xdr:from>
    <xdr:to>
      <xdr:col>3</xdr:col>
      <xdr:colOff>3996881</xdr:colOff>
      <xdr:row>11</xdr:row>
      <xdr:rowOff>191929</xdr:rowOff>
    </xdr:to>
    <xdr:pic>
      <xdr:nvPicPr>
        <xdr:cNvPr id="2" name="SECTION_II_A_GV_HIDDEN"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47872" y="743045"/>
          <a:ext cx="629984" cy="172784"/>
        </a:xfrm>
        <a:prstGeom prst="rect">
          <a:avLst/>
        </a:prstGeom>
        <a:ln w="0">
          <a:prstDash val="solid"/>
        </a:ln>
      </xdr:spPr>
    </xdr:pic>
    <xdr:clientData/>
  </xdr:twoCellAnchor>
  <xdr:twoCellAnchor editAs="oneCell">
    <xdr:from>
      <xdr:col>3</xdr:col>
      <xdr:colOff>2705290</xdr:colOff>
      <xdr:row>11</xdr:row>
      <xdr:rowOff>19145</xdr:rowOff>
    </xdr:from>
    <xdr:to>
      <xdr:col>3</xdr:col>
      <xdr:colOff>3335274</xdr:colOff>
      <xdr:row>11</xdr:row>
      <xdr:rowOff>191929</xdr:rowOff>
    </xdr:to>
    <xdr:pic>
      <xdr:nvPicPr>
        <xdr:cNvPr id="3" name="SECTION_II_A_LV_HIDDEN"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86265" y="743045"/>
          <a:ext cx="629984" cy="172784"/>
        </a:xfrm>
        <a:prstGeom prst="rect">
          <a:avLst/>
        </a:prstGeom>
        <a:ln w="0">
          <a:prstDash val="solid"/>
        </a:ln>
      </xdr:spPr>
    </xdr:pic>
    <xdr:clientData/>
  </xdr:twoCellAnchor>
  <xdr:twoCellAnchor editAs="oneCell">
    <xdr:from>
      <xdr:col>3</xdr:col>
      <xdr:colOff>2036350</xdr:colOff>
      <xdr:row>11</xdr:row>
      <xdr:rowOff>19145</xdr:rowOff>
    </xdr:from>
    <xdr:to>
      <xdr:col>3</xdr:col>
      <xdr:colOff>2666333</xdr:colOff>
      <xdr:row>11</xdr:row>
      <xdr:rowOff>191929</xdr:rowOff>
    </xdr:to>
    <xdr:pic>
      <xdr:nvPicPr>
        <xdr:cNvPr id="4" name="SECTION_II_A_AV2_HIDDEN"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17325" y="743045"/>
          <a:ext cx="629983" cy="172784"/>
        </a:xfrm>
        <a:prstGeom prst="rect">
          <a:avLst/>
        </a:prstGeom>
        <a:ln w="0">
          <a:prstDash val="solid"/>
        </a:ln>
      </xdr:spPr>
    </xdr:pic>
    <xdr:clientData/>
  </xdr:twoCellAnchor>
  <xdr:twoCellAnchor editAs="oneCell">
    <xdr:from>
      <xdr:col>3</xdr:col>
      <xdr:colOff>1361408</xdr:colOff>
      <xdr:row>11</xdr:row>
      <xdr:rowOff>19145</xdr:rowOff>
    </xdr:from>
    <xdr:to>
      <xdr:col>3</xdr:col>
      <xdr:colOff>1991487</xdr:colOff>
      <xdr:row>11</xdr:row>
      <xdr:rowOff>191929</xdr:rowOff>
    </xdr:to>
    <xdr:pic>
      <xdr:nvPicPr>
        <xdr:cNvPr id="5" name="SECTION_II_A_AV1_HIDDEN"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42383" y="743045"/>
          <a:ext cx="630079" cy="172784"/>
        </a:xfrm>
        <a:prstGeom prst="rect">
          <a:avLst/>
        </a:prstGeom>
        <a:ln w="0">
          <a:prstDash val="solid"/>
        </a:ln>
      </xdr:spPr>
    </xdr:pic>
    <xdr:clientData/>
  </xdr:twoCellAnchor>
  <xdr:twoCellAnchor editAs="oneCell">
    <xdr:from>
      <xdr:col>3</xdr:col>
      <xdr:colOff>692468</xdr:colOff>
      <xdr:row>11</xdr:row>
      <xdr:rowOff>19145</xdr:rowOff>
    </xdr:from>
    <xdr:to>
      <xdr:col>3</xdr:col>
      <xdr:colOff>1322546</xdr:colOff>
      <xdr:row>11</xdr:row>
      <xdr:rowOff>191929</xdr:rowOff>
    </xdr:to>
    <xdr:pic>
      <xdr:nvPicPr>
        <xdr:cNvPr id="6" name="SECTION_II_A_HV_HIDDEN"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73443" y="743045"/>
          <a:ext cx="630078" cy="172784"/>
        </a:xfrm>
        <a:prstGeom prst="rect">
          <a:avLst/>
        </a:prstGeom>
        <a:ln w="0">
          <a:prstDash val="solid"/>
        </a:ln>
      </xdr:spPr>
    </xdr:pic>
    <xdr:clientData/>
  </xdr:twoCellAnchor>
  <xdr:twoCellAnchor editAs="oneCell">
    <xdr:from>
      <xdr:col>3</xdr:col>
      <xdr:colOff>23622</xdr:colOff>
      <xdr:row>11</xdr:row>
      <xdr:rowOff>19145</xdr:rowOff>
    </xdr:from>
    <xdr:to>
      <xdr:col>3</xdr:col>
      <xdr:colOff>653606</xdr:colOff>
      <xdr:row>11</xdr:row>
      <xdr:rowOff>191929</xdr:rowOff>
    </xdr:to>
    <xdr:pic>
      <xdr:nvPicPr>
        <xdr:cNvPr id="7" name="SECTION_II_A_TTL_HIDDEN" hidden="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04597" y="743045"/>
          <a:ext cx="629984" cy="172784"/>
        </a:xfrm>
        <a:prstGeom prst="rect">
          <a:avLst/>
        </a:prstGeom>
        <a:ln w="0">
          <a:prstDash val="solid"/>
        </a:ln>
      </xdr:spPr>
    </xdr:pic>
    <xdr:clientData/>
  </xdr:twoCellAnchor>
  <xdr:twoCellAnchor editAs="oneCell">
    <xdr:from>
      <xdr:col>3</xdr:col>
      <xdr:colOff>3364325</xdr:colOff>
      <xdr:row>11</xdr:row>
      <xdr:rowOff>19050</xdr:rowOff>
    </xdr:from>
    <xdr:to>
      <xdr:col>3</xdr:col>
      <xdr:colOff>3994309</xdr:colOff>
      <xdr:row>11</xdr:row>
      <xdr:rowOff>191834</xdr:rowOff>
    </xdr:to>
    <xdr:pic>
      <xdr:nvPicPr>
        <xdr:cNvPr id="8" name="SECTION_II_A_GV_VISIBLE"/>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45300" y="742950"/>
          <a:ext cx="629984" cy="172784"/>
        </a:xfrm>
        <a:prstGeom prst="rect">
          <a:avLst/>
        </a:prstGeom>
        <a:ln w="0">
          <a:prstDash val="solid"/>
        </a:ln>
      </xdr:spPr>
    </xdr:pic>
    <xdr:clientData/>
  </xdr:twoCellAnchor>
  <xdr:twoCellAnchor editAs="oneCell">
    <xdr:from>
      <xdr:col>3</xdr:col>
      <xdr:colOff>2700052</xdr:colOff>
      <xdr:row>11</xdr:row>
      <xdr:rowOff>19050</xdr:rowOff>
    </xdr:from>
    <xdr:to>
      <xdr:col>3</xdr:col>
      <xdr:colOff>3330035</xdr:colOff>
      <xdr:row>11</xdr:row>
      <xdr:rowOff>191834</xdr:rowOff>
    </xdr:to>
    <xdr:pic>
      <xdr:nvPicPr>
        <xdr:cNvPr id="9" name="SECTION_II_A_LV_VISIBLE"/>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81027" y="742950"/>
          <a:ext cx="629983" cy="172784"/>
        </a:xfrm>
        <a:prstGeom prst="rect">
          <a:avLst/>
        </a:prstGeom>
        <a:ln w="0">
          <a:prstDash val="solid"/>
        </a:ln>
      </xdr:spPr>
    </xdr:pic>
    <xdr:clientData/>
  </xdr:twoCellAnchor>
  <xdr:twoCellAnchor editAs="oneCell">
    <xdr:from>
      <xdr:col>3</xdr:col>
      <xdr:colOff>2029778</xdr:colOff>
      <xdr:row>11</xdr:row>
      <xdr:rowOff>19050</xdr:rowOff>
    </xdr:from>
    <xdr:to>
      <xdr:col>3</xdr:col>
      <xdr:colOff>2659856</xdr:colOff>
      <xdr:row>11</xdr:row>
      <xdr:rowOff>191834</xdr:rowOff>
    </xdr:to>
    <xdr:pic>
      <xdr:nvPicPr>
        <xdr:cNvPr id="10" name="SECTION_II_A_AV2_VISIBLE"/>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210753" y="742950"/>
          <a:ext cx="630078" cy="172784"/>
        </a:xfrm>
        <a:prstGeom prst="rect">
          <a:avLst/>
        </a:prstGeom>
        <a:ln w="0">
          <a:prstDash val="solid"/>
        </a:ln>
      </xdr:spPr>
    </xdr:pic>
    <xdr:clientData/>
  </xdr:twoCellAnchor>
  <xdr:twoCellAnchor editAs="oneCell">
    <xdr:from>
      <xdr:col>3</xdr:col>
      <xdr:colOff>1359599</xdr:colOff>
      <xdr:row>11</xdr:row>
      <xdr:rowOff>19050</xdr:rowOff>
    </xdr:from>
    <xdr:to>
      <xdr:col>3</xdr:col>
      <xdr:colOff>1989582</xdr:colOff>
      <xdr:row>11</xdr:row>
      <xdr:rowOff>191834</xdr:rowOff>
    </xdr:to>
    <xdr:pic>
      <xdr:nvPicPr>
        <xdr:cNvPr id="11" name="SECTION_II_A_AV1_VISIBLE"/>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540574" y="742950"/>
          <a:ext cx="629983" cy="172784"/>
        </a:xfrm>
        <a:prstGeom prst="rect">
          <a:avLst/>
        </a:prstGeom>
        <a:ln w="0">
          <a:prstDash val="solid"/>
        </a:ln>
      </xdr:spPr>
    </xdr:pic>
    <xdr:clientData/>
  </xdr:twoCellAnchor>
  <xdr:twoCellAnchor editAs="oneCell">
    <xdr:from>
      <xdr:col>3</xdr:col>
      <xdr:colOff>689324</xdr:colOff>
      <xdr:row>11</xdr:row>
      <xdr:rowOff>19050</xdr:rowOff>
    </xdr:from>
    <xdr:to>
      <xdr:col>3</xdr:col>
      <xdr:colOff>1319308</xdr:colOff>
      <xdr:row>11</xdr:row>
      <xdr:rowOff>191834</xdr:rowOff>
    </xdr:to>
    <xdr:pic>
      <xdr:nvPicPr>
        <xdr:cNvPr id="12" name="SECTION_II_A_HV_VISIBLE"/>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70299" y="742950"/>
          <a:ext cx="629984" cy="172784"/>
        </a:xfrm>
        <a:prstGeom prst="rect">
          <a:avLst/>
        </a:prstGeom>
        <a:ln w="0">
          <a:prstDash val="solid"/>
        </a:ln>
      </xdr:spPr>
    </xdr:pic>
    <xdr:clientData/>
  </xdr:twoCellAnchor>
  <xdr:twoCellAnchor editAs="oneCell">
    <xdr:from>
      <xdr:col>3</xdr:col>
      <xdr:colOff>19050</xdr:colOff>
      <xdr:row>11</xdr:row>
      <xdr:rowOff>19050</xdr:rowOff>
    </xdr:from>
    <xdr:to>
      <xdr:col>3</xdr:col>
      <xdr:colOff>649034</xdr:colOff>
      <xdr:row>11</xdr:row>
      <xdr:rowOff>191834</xdr:rowOff>
    </xdr:to>
    <xdr:pic>
      <xdr:nvPicPr>
        <xdr:cNvPr id="13" name="SECTION_II_A_TTL_VISIBLE"/>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00025" y="742950"/>
          <a:ext cx="629984" cy="172784"/>
        </a:xfrm>
        <a:prstGeom prst="rect">
          <a:avLst/>
        </a:prstGeom>
        <a:ln w="0">
          <a:prstDash val="soli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Q:\Documents%20and%20Settings\VVYermakov\&#1052;&#1086;&#1080;%20&#1076;&#1086;&#1082;&#1091;&#1084;&#1077;&#1085;&#1090;&#1099;\Economics,%20CI%20&amp;%20IR\5%20Year%20Plan%20Deliverables\5y%20FINAL%2014%20MAY%202004\$25%20and%20Base%20Transneft%20correct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qfs06\SRB\Documents%20and%20Settings\VVYermakov\&#1052;&#1086;&#1080;%20&#1076;&#1086;&#1082;&#1091;&#1084;&#1077;&#1085;&#1090;&#1099;\Economics,%20CI%20&amp;%20IR\Economic\Planning%20assumptions%20model\Building%20blocks\2005%20Model%2036.5-33-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Q:\Documents%20and%20Settings\NVStepnova\Local%20Settings\Temporary%20Internet%20Files\OLK38\WINDOWS\&#1056;&#1072;&#1073;&#1086;&#1095;&#1080;&#1081;%20&#1089;&#1090;&#1086;&#1083;\&#1062;&#1077;&#1083;&#1077;&#1074;&#1099;&#1077;%20&#1087;&#1088;&#1086;&#1075;&#108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cad3\Local%20Settings\Temporary%20Internet%20Files\Content.IE5\VFBFXCQ9\46&#1069;&#1069;\&#1071;&#1085;&#1074;&#1072;&#1088;&#1100;%2046&#1069;&#1069;\TSET.NET.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cad3/Local%20Settings/Temporary%20Internet%20Files/Content.IE5/VFBFXCQ9/46&#1069;&#1069;/&#1071;&#1085;&#1074;&#1072;&#1088;&#1100;%2046&#1069;&#1069;/TSET.NET.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real14/Desktop/&#1064;&#1072;&#1073;&#1083;&#1086;&#1085;&#1099;%20&#8470;%2046&#1069;&#1057;%20&#1080;%20&#8470;%2046&#1069;&#1069;/&#1055;&#1072;&#1087;&#1082;&#1072;%20&#1076;&#1083;&#1103;%20&#1079;&#1072;&#1082;&#1088;&#1099;&#1090;&#1080;&#1103;/46&#1069;&#1069;/&#1071;&#1085;&#1074;&#1072;&#1088;&#1100;%2046&#1069;&#1069;/TSET.NET.20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Q:\WINDOWS\&#1056;&#1072;&#1073;&#1086;&#1095;&#1080;&#1081;%20&#1089;&#1090;&#1086;&#1083;\&#1062;&#1077;&#1083;&#1077;&#1074;&#1099;&#1077;%20&#1087;&#1088;&#1086;&#1075;&#108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WINDOWS/&#1056;&#1072;&#1073;&#1086;&#1095;&#1080;&#1081;%20&#1089;&#1090;&#1086;&#1083;/&#1062;&#1077;&#1083;&#1077;&#1074;&#1099;&#1077;%20&#1087;&#1088;&#1086;&#1075;&#108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1056;&#1059;&#1057;&#1051;&#1040;&#1053;\&#1056;&#1077;&#1075;&#1091;&#1083;&#1080;&#1088;&#1086;&#1074;&#1072;&#1085;&#1080;&#1077;%20&#1054;&#1054;&#1054;%20&#1053;&#1069;&#1057;&#1050;&#1054;\2019\&#1041;&#1080;&#1079;&#1085;&#1077;&#1089;%20&#1055;&#1083;&#1072;&#1085;%20&#1085;&#1072;%202019\&#1053;&#1069;&#1057;&#1050;&#1054;_&#1041;&#1055;_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Chart Refining Mix RUS"/>
      <sheetName val="Chart Refining Mix"/>
      <sheetName val="Chart Refining Mix 2003"/>
      <sheetName val="Chart Refining Mix 2009"/>
      <sheetName val="Chart % Product Consumption"/>
      <sheetName val="pct 2003-2009"/>
      <sheetName val="pct"/>
      <sheetName val="Chart Consump Outlook ru"/>
      <sheetName val="Chart Consump Outlook"/>
      <sheetName val="print cons"/>
      <sheetName val="chart data"/>
      <sheetName val="Oil Prod chart"/>
      <sheetName val="Oil Cons chart"/>
      <sheetName val="Oil Export chart"/>
      <sheetName val="foreign export chart"/>
      <sheetName val="RefMix"/>
      <sheetName val="RUBValueChain"/>
      <sheetName val="LO prices"/>
      <sheetName val="LO prices RUS"/>
      <sheetName val="HO price RUS"/>
      <sheetName val="HO price"/>
      <sheetName val="Diesel price RUS"/>
      <sheetName val="Diesel price"/>
      <sheetName val="Jet kero price RUS"/>
      <sheetName val="Jet kero price"/>
      <sheetName val="Fuel oil price RUS"/>
      <sheetName val="Fuel oil price"/>
      <sheetName val="USDParity"/>
      <sheetName val="RSOILBAL"/>
      <sheetName val="Chart Price v Parity"/>
      <sheetName val="ElecticityChart"/>
      <sheetName val="GasChart"/>
      <sheetName val="TableMacroRUS"/>
      <sheetName val="TableMacro"/>
      <sheetName val="TableTaxes RUS"/>
      <sheetName val="TableTaxes"/>
      <sheetName val="TablePricesRUS"/>
      <sheetName val="TablePrices"/>
      <sheetName val="TableNetbacks RUS"/>
      <sheetName val="TableNetbacks"/>
      <sheetName val="TableNetbacksFlat"/>
      <sheetName val="TableSummary"/>
      <sheetName val="TableSumFlat RUS"/>
      <sheetName val="TableSummaryFlat"/>
      <sheetName val="Chart Rus Oil Bal RUS"/>
      <sheetName val="Chart Rus Oil Balance"/>
      <sheetName val="TranspTariffs"/>
      <sheetName val="Table Exec Sum RUS"/>
      <sheetName val="Table Exec Summary"/>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sheetData sheetId="1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Chart Refining Mix RUS"/>
      <sheetName val="Chart Refining Mix"/>
      <sheetName val="Chart Refining Mix 2003"/>
      <sheetName val="Chart Refining Mix 2009"/>
      <sheetName val="Chart % Product Consumption"/>
      <sheetName val="pct 2003-2009"/>
      <sheetName val="pct"/>
      <sheetName val="Chart Consump Outlook ru"/>
      <sheetName val="Chart Consump Outlook"/>
      <sheetName val="print cons"/>
      <sheetName val="chart data"/>
      <sheetName val="Oil Prod chart"/>
      <sheetName val="Oil Cons chart"/>
      <sheetName val="Oil Export chart"/>
      <sheetName val="foreign export chart"/>
      <sheetName val="RefMix"/>
      <sheetName val="RUBValueChain"/>
      <sheetName val="LO prices"/>
      <sheetName val="LO prices RUS"/>
      <sheetName val="HO price RUS"/>
      <sheetName val="HO price"/>
      <sheetName val="Diesel price RUS"/>
      <sheetName val="Diesel price"/>
      <sheetName val="Jet kero price RUS"/>
      <sheetName val="Jet kero price"/>
      <sheetName val="Fuel oil price RUS"/>
      <sheetName val="Fuel oil price"/>
      <sheetName val="USDParity"/>
      <sheetName val="RSOILBAL"/>
      <sheetName val="Chart Price v Parity"/>
      <sheetName val="ElecticityChart"/>
      <sheetName val="GasChart"/>
      <sheetName val="TableMacroRUS"/>
      <sheetName val="TableMacro"/>
      <sheetName val="TableTaxes RUS"/>
      <sheetName val="TableTaxes"/>
      <sheetName val="TablePricesRUS"/>
      <sheetName val="TablePrices"/>
      <sheetName val="TableNetbacks RUS"/>
      <sheetName val="TableNetbacks"/>
      <sheetName val="TableNetbacksFlat"/>
      <sheetName val="TableSummary"/>
      <sheetName val="TableSumFlat RUS"/>
      <sheetName val="TableSummaryFlat"/>
      <sheetName val="Chart Rus Oil Bal RUS"/>
      <sheetName val="Chart Rus Oil Balance"/>
      <sheetName val="TranspTariffs"/>
      <sheetName val="Table Exec Sum RUS"/>
      <sheetName val="Table Exec Summary"/>
      <sheetName val="Materials"/>
      <sheetName val="Production Profile_new "/>
      <sheetName val="$60 Case_STL (30)"/>
      <sheetName val="Данные"/>
      <sheetName val="MAIN_PARAMETERS"/>
      <sheetName val="5_Excise (Q)"/>
      <sheetName val="EKDEB90"/>
      <sheetName val="bridge"/>
      <sheetName val="DIF-6"/>
      <sheetName val="Main"/>
      <sheetName val="FYI"/>
      <sheetName val="Contracts"/>
      <sheetName val="Control"/>
      <sheetName val="График"/>
      <sheetName val="2005 Model 36.5-33-14"/>
      <sheetName val="прочее"/>
      <sheetName val="p_l"/>
      <sheetName val="СВОД 2016"/>
      <sheetName val="БДПС 2016"/>
      <sheetName val="OFS TOTAL"/>
      <sheetName val="СОПГП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левые прогр"/>
      <sheetName val="#ССЫЛКА"/>
      <sheetName val="Курс $"/>
      <sheetName val="Параметры_i"/>
      <sheetName val="покупка нпр"/>
      <sheetName val="приобретение нпр"/>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s>
    <sheetDataSet>
      <sheetData sheetId="0" refreshError="1"/>
      <sheetData sheetId="1" refreshError="1"/>
      <sheetData sheetId="2">
        <row r="13">
          <cell r="E13" t="str">
            <v>г.Москва</v>
          </cell>
        </row>
      </sheetData>
      <sheetData sheetId="3" refreshError="1"/>
      <sheetData sheetId="4" refreshError="1"/>
      <sheetData sheetId="5">
        <row r="15">
          <cell r="AB15">
            <v>150</v>
          </cell>
        </row>
        <row r="17">
          <cell r="AB17">
            <v>450</v>
          </cell>
          <cell r="AC17">
            <v>60</v>
          </cell>
        </row>
        <row r="18">
          <cell r="AB18">
            <v>90</v>
          </cell>
        </row>
        <row r="20">
          <cell r="AB20">
            <v>30</v>
          </cell>
          <cell r="AC20">
            <v>1680</v>
          </cell>
        </row>
        <row r="23">
          <cell r="AC23">
            <v>1.5</v>
          </cell>
        </row>
        <row r="25">
          <cell r="AC25">
            <v>1488.06</v>
          </cell>
        </row>
      </sheetData>
      <sheetData sheetId="6">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ow r="10">
          <cell r="J10">
            <v>696708</v>
          </cell>
        </row>
        <row r="25">
          <cell r="J25">
            <v>72000</v>
          </cell>
        </row>
      </sheetData>
      <sheetData sheetId="10">
        <row r="21">
          <cell r="D21">
            <v>696708</v>
          </cell>
        </row>
      </sheetData>
      <sheetData sheetId="11">
        <row r="8">
          <cell r="E8">
            <v>0</v>
          </cell>
        </row>
      </sheetData>
      <sheetData sheetId="12"/>
      <sheetData sheetId="13" refreshError="1"/>
      <sheetData sheetId="14" refreshError="1"/>
      <sheetData sheetId="15"/>
      <sheetData sheetId="16">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s>
    <sheetDataSet>
      <sheetData sheetId="0" refreshError="1"/>
      <sheetData sheetId="1" refreshError="1"/>
      <sheetData sheetId="2">
        <row r="13">
          <cell r="E13" t="str">
            <v>г.Москва</v>
          </cell>
        </row>
      </sheetData>
      <sheetData sheetId="3" refreshError="1"/>
      <sheetData sheetId="4" refreshError="1"/>
      <sheetData sheetId="5">
        <row r="15">
          <cell r="AB15">
            <v>150</v>
          </cell>
        </row>
        <row r="17">
          <cell r="AB17">
            <v>450</v>
          </cell>
          <cell r="AC17">
            <v>60</v>
          </cell>
        </row>
        <row r="18">
          <cell r="AB18">
            <v>90</v>
          </cell>
        </row>
        <row r="20">
          <cell r="AB20">
            <v>30</v>
          </cell>
          <cell r="AC20">
            <v>1680</v>
          </cell>
        </row>
        <row r="23">
          <cell r="AC23">
            <v>1.5</v>
          </cell>
        </row>
        <row r="25">
          <cell r="AC25">
            <v>1488.06</v>
          </cell>
        </row>
      </sheetData>
      <sheetData sheetId="6">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ow r="10">
          <cell r="J10">
            <v>696708</v>
          </cell>
        </row>
        <row r="25">
          <cell r="J25">
            <v>72000</v>
          </cell>
        </row>
      </sheetData>
      <sheetData sheetId="10">
        <row r="21">
          <cell r="D21">
            <v>696708</v>
          </cell>
        </row>
      </sheetData>
      <sheetData sheetId="11">
        <row r="8">
          <cell r="E8">
            <v>0</v>
          </cell>
        </row>
      </sheetData>
      <sheetData sheetId="12"/>
      <sheetData sheetId="13" refreshError="1"/>
      <sheetData sheetId="14" refreshError="1"/>
      <sheetData sheetId="15"/>
      <sheetData sheetId="16">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s>
    <sheetDataSet>
      <sheetData sheetId="0" refreshError="1"/>
      <sheetData sheetId="1" refreshError="1"/>
      <sheetData sheetId="2">
        <row r="13">
          <cell r="E13" t="str">
            <v>г.Москва</v>
          </cell>
        </row>
      </sheetData>
      <sheetData sheetId="3" refreshError="1"/>
      <sheetData sheetId="4" refreshError="1"/>
      <sheetData sheetId="5">
        <row r="15">
          <cell r="AB15">
            <v>150</v>
          </cell>
        </row>
        <row r="17">
          <cell r="AB17">
            <v>450</v>
          </cell>
          <cell r="AC17">
            <v>60</v>
          </cell>
        </row>
        <row r="18">
          <cell r="AB18">
            <v>90</v>
          </cell>
        </row>
        <row r="20">
          <cell r="AB20">
            <v>30</v>
          </cell>
          <cell r="AC20">
            <v>1680</v>
          </cell>
        </row>
        <row r="23">
          <cell r="AC23">
            <v>1.5</v>
          </cell>
        </row>
        <row r="25">
          <cell r="AC25">
            <v>1488.06</v>
          </cell>
        </row>
      </sheetData>
      <sheetData sheetId="6">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ow r="10">
          <cell r="J10">
            <v>696708</v>
          </cell>
        </row>
        <row r="25">
          <cell r="J25">
            <v>72000</v>
          </cell>
        </row>
      </sheetData>
      <sheetData sheetId="10">
        <row r="21">
          <cell r="D21">
            <v>696708</v>
          </cell>
        </row>
      </sheetData>
      <sheetData sheetId="11">
        <row r="8">
          <cell r="E8">
            <v>0</v>
          </cell>
        </row>
      </sheetData>
      <sheetData sheetId="12"/>
      <sheetData sheetId="13" refreshError="1"/>
      <sheetData sheetId="14" refreshError="1"/>
      <sheetData sheetId="15"/>
      <sheetData sheetId="16">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левые прогр"/>
      <sheetName val="#ССЫЛКА"/>
      <sheetName val="Курс $"/>
      <sheetName val="Параметры_i"/>
      <sheetName val="покупка нпр"/>
      <sheetName val="приобретение нпр"/>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левые прогр"/>
      <sheetName val="#ССЫЛКА"/>
      <sheetName val="Курс $"/>
      <sheetName val="Параметры_i"/>
      <sheetName val="покупка нпр"/>
      <sheetName val="приобретение нпр"/>
      <sheetName val="По Концерну Эксп"/>
      <sheetName val="_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1.Производство"/>
      <sheetName val="2.Реализация"/>
      <sheetName val="3.Топливо"/>
      <sheetName val="4.Затраты на персонал"/>
      <sheetName val="5.Ремонты и ТО"/>
      <sheetName val="6.Кредиты и займы"/>
      <sheetName val="7.БДР сводный"/>
      <sheetName val="8.БДР по видам"/>
      <sheetName val="9.БДР ВО"/>
      <sheetName val="10.БДДС"/>
      <sheetName val="11.ДЗ и КЗ"/>
      <sheetName val="12.Инвестиции"/>
      <sheetName val="списки2019"/>
    </sheetNames>
    <sheetDataSet>
      <sheetData sheetId="0">
        <row r="18">
          <cell r="C18">
            <v>2019</v>
          </cell>
        </row>
      </sheetData>
      <sheetData sheetId="1">
        <row r="43">
          <cell r="G43">
            <v>0</v>
          </cell>
        </row>
      </sheetData>
      <sheetData sheetId="2"/>
      <sheetData sheetId="3"/>
      <sheetData sheetId="4"/>
      <sheetData sheetId="5"/>
      <sheetData sheetId="6"/>
      <sheetData sheetId="7">
        <row r="29">
          <cell r="G29">
            <v>2402404.4899999998</v>
          </cell>
        </row>
      </sheetData>
      <sheetData sheetId="8"/>
      <sheetData sheetId="9"/>
      <sheetData sheetId="10"/>
      <sheetData sheetId="11"/>
      <sheetData sheetId="12"/>
      <sheetData sheetId="13"/>
    </sheetDataSet>
  </externalBook>
</externalLink>
</file>

<file path=xl/tables/table1.xml><?xml version="1.0" encoding="utf-8"?>
<table xmlns="http://schemas.openxmlformats.org/spreadsheetml/2006/main" id="1" name="Таблица11" displayName="Таблица11" ref="A7:U13" totalsRowShown="0" headerRowDxfId="453" dataDxfId="452" tableBorderDxfId="451">
  <autoFilter ref="A7:U13"/>
  <tableColumns count="21">
    <tableColumn id="1" name="lvl" dataDxfId="450"/>
    <tableColumn id="2" name="v1" dataDxfId="449"/>
    <tableColumn id="3" name="v2" dataDxfId="448"/>
    <tableColumn id="4" name="v3" dataDxfId="447"/>
    <tableColumn id="5" name="v4" dataDxfId="446"/>
    <tableColumn id="20" name="v42" dataDxfId="445"/>
    <tableColumn id="6" name="v5" dataDxfId="444"/>
    <tableColumn id="7" name="v6" dataDxfId="443"/>
    <tableColumn id="8" name="v7" dataDxfId="442"/>
    <tableColumn id="9" name="v8" dataDxfId="441"/>
    <tableColumn id="21" name="v72" dataDxfId="440"/>
    <tableColumn id="10" name="v9" dataDxfId="439"/>
    <tableColumn id="11" name="v10" dataDxfId="438"/>
    <tableColumn id="12" name="v11" dataDxfId="437"/>
    <tableColumn id="13" name="v12" dataDxfId="436"/>
    <tableColumn id="14" name="v13" dataDxfId="435"/>
    <tableColumn id="15" name="v14" dataDxfId="434"/>
    <tableColumn id="16" name="v15" dataDxfId="433"/>
    <tableColumn id="17" name="v16" dataDxfId="432"/>
    <tableColumn id="18" name="v17" dataDxfId="431"/>
    <tableColumn id="19" name="v18" dataDxfId="430"/>
  </tableColumns>
  <tableStyleInfo name="TableStyleMedium9" showFirstColumn="0" showLastColumn="0" showRowStripes="1" showColumnStripes="0"/>
</table>
</file>

<file path=xl/tables/table10.xml><?xml version="1.0" encoding="utf-8"?>
<table xmlns="http://schemas.openxmlformats.org/spreadsheetml/2006/main" id="8" name="Таблица119" displayName="Таблица119" ref="A7:Y14" totalsRowShown="0" tableBorderDxfId="179">
  <autoFilter ref="A7:Y14"/>
  <tableColumns count="25">
    <tableColumn id="1" name="lvl" dataDxfId="178"/>
    <tableColumn id="2" name="v1" dataDxfId="177"/>
    <tableColumn id="3" name="v2" dataDxfId="176"/>
    <tableColumn id="4" name="v3" dataDxfId="175"/>
    <tableColumn id="5" name="v4" dataDxfId="174"/>
    <tableColumn id="20" name="v19" dataDxfId="173"/>
    <tableColumn id="6" name="v5" dataDxfId="172"/>
    <tableColumn id="7" name="v6" dataDxfId="171"/>
    <tableColumn id="8" name="v7" dataDxfId="170"/>
    <tableColumn id="9" name="v8" dataDxfId="169"/>
    <tableColumn id="21" name="v20" dataDxfId="168"/>
    <tableColumn id="10" name="v9" dataDxfId="167"/>
    <tableColumn id="11" name="v10" dataDxfId="166"/>
    <tableColumn id="12" name="v11" dataDxfId="165"/>
    <tableColumn id="13" name="v12" dataDxfId="164"/>
    <tableColumn id="22" name="v21" dataDxfId="163"/>
    <tableColumn id="14" name="v13" dataDxfId="162">
      <calculatedColumnFormula>ROUND(Таблица114[[#This Row],[v13]],2)</calculatedColumnFormula>
    </tableColumn>
    <tableColumn id="15" name="v14" dataDxfId="161"/>
    <tableColumn id="23" name="v22" dataDxfId="160"/>
    <tableColumn id="16" name="v15" dataDxfId="159"/>
    <tableColumn id="17" name="v16" dataDxfId="158"/>
    <tableColumn id="24" name="v23" dataDxfId="157"/>
    <tableColumn id="18" name="v17" dataDxfId="156"/>
    <tableColumn id="19" name="v18" dataDxfId="155"/>
    <tableColumn id="25" name="v24" dataDxfId="154"/>
  </tableColumns>
  <tableStyleInfo name="TableStyleMedium9" showFirstColumn="0" showLastColumn="0" showRowStripes="1" showColumnStripes="0"/>
</table>
</file>

<file path=xl/tables/table11.xml><?xml version="1.0" encoding="utf-8"?>
<table xmlns="http://schemas.openxmlformats.org/spreadsheetml/2006/main" id="9" name="Таблица1410" displayName="Таблица1410" ref="A6:Y50" totalsRowShown="0" headerRowDxfId="153" dataDxfId="151" headerRowBorderDxfId="152" tableBorderDxfId="150" totalsRowBorderDxfId="149" dataCellStyle="Обычный 2">
  <autoFilter ref="A6:Y50"/>
  <tableColumns count="25">
    <tableColumn id="21" name="pk" dataDxfId="148" dataCellStyle="Обычный 2"/>
    <tableColumn id="20" name="sn" dataDxfId="147" dataCellStyle="Обычный 2"/>
    <tableColumn id="2" name="Потребители" dataDxfId="146" dataCellStyle="Обычный 2"/>
    <tableColumn id="1" name="КодСтр" dataDxfId="145" dataCellStyle="Обычный 2"/>
    <tableColumn id="3" name="v1" dataDxfId="144" dataCellStyle="Обычный 2 10"/>
    <tableColumn id="4" name="v2" dataDxfId="143" dataCellStyle="Обычный 2 10"/>
    <tableColumn id="5" name="v3" dataDxfId="142" dataCellStyle="Обычный 2 10"/>
    <tableColumn id="6" name="v4" dataDxfId="141" dataCellStyle="Обычный 2 10"/>
    <tableColumn id="7" name="v5" dataDxfId="140" dataCellStyle="Обычный 2 10"/>
    <tableColumn id="8" name="v6" dataDxfId="139" dataCellStyle="Обычный 2 10"/>
    <tableColumn id="9" name="v16" dataDxfId="138" dataCellStyle="Обычный 2 10"/>
    <tableColumn id="10" name="v17" dataDxfId="137" dataCellStyle="Обычный 2 10"/>
    <tableColumn id="11" name="v18" dataDxfId="136" dataCellStyle="Обычный 2 10"/>
    <tableColumn id="12" name="v19" dataDxfId="135" dataCellStyle="Обычный 2 10"/>
    <tableColumn id="13" name="v20" dataDxfId="134" dataCellStyle="Обычный 2 10"/>
    <tableColumn id="14" name="v21" dataDxfId="133" dataCellStyle="Обычный 2 10"/>
    <tableColumn id="15" name="v7" dataDxfId="132" dataCellStyle="Обычный 2"/>
    <tableColumn id="16" name="v8" dataDxfId="131" dataCellStyle="Обычный 2"/>
    <tableColumn id="17" name="v9" dataDxfId="130" dataCellStyle="Обычный 2"/>
    <tableColumn id="18" name="v10" dataDxfId="129" dataCellStyle="Обычный 2"/>
    <tableColumn id="19" name="v11" dataDxfId="128" dataCellStyle="Обычный 2"/>
    <tableColumn id="22" name="v12" dataDxfId="127" dataCellStyle="Обычный 2"/>
    <tableColumn id="23" name="v13" dataDxfId="126" dataCellStyle="Обычный 2"/>
    <tableColumn id="24" name="v14" dataDxfId="125" dataCellStyle="Обычный 2"/>
    <tableColumn id="25" name="v15" dataDxfId="124" dataCellStyle="Обычный 2"/>
  </tableColumns>
  <tableStyleInfo showFirstColumn="0" showLastColumn="0" showRowStripes="1" showColumnStripes="0"/>
</table>
</file>

<file path=xl/tables/table12.xml><?xml version="1.0" encoding="utf-8"?>
<table xmlns="http://schemas.openxmlformats.org/spreadsheetml/2006/main" id="10" name="Таблица611" displayName="Таблица611" ref="A8:CX82" totalsRowShown="0" headerRowDxfId="123" dataDxfId="122" tableBorderDxfId="121" dataCellStyle="Обычный 2">
  <autoFilter ref="A8:CX82"/>
  <tableColumns count="102">
    <tableColumn id="1" name="ck" dataDxfId="120" dataCellStyle="Обычный 2"/>
    <tableColumn id="2" name="gc" dataDxfId="119" dataCellStyle="Обычный 2"/>
    <tableColumn id="110" name="Потребители" dataDxfId="118" dataCellStyle="Обычный 2"/>
    <tableColumn id="109" name="КодСтр" dataDxfId="117" dataCellStyle="Обычный 2"/>
    <tableColumn id="3" name="v1" dataDxfId="116" dataCellStyle="Обычный 2 10"/>
    <tableColumn id="4" name="v2" dataDxfId="115" dataCellStyle="Обычный 2 10"/>
    <tableColumn id="5" name="v3" dataDxfId="114" dataCellStyle="Обычный 2 10"/>
    <tableColumn id="6" name="v4" dataDxfId="113" dataCellStyle="Обычный 2 10"/>
    <tableColumn id="7" name="v5" dataDxfId="112" dataCellStyle="Обычный 2 10"/>
    <tableColumn id="8" name="v6" dataDxfId="111" dataCellStyle="Обычный 2 10"/>
    <tableColumn id="9" name="v7" dataDxfId="110" dataCellStyle="Обычный 2 10"/>
    <tableColumn id="10" name="v8" dataDxfId="109" dataCellStyle="Обычный 2 10"/>
    <tableColumn id="11" name="v9" dataDxfId="108" dataCellStyle="Обычный 2 10"/>
    <tableColumn id="12" name="v10" dataDxfId="107" dataCellStyle="Обычный 2 10"/>
    <tableColumn id="13" name="v11" dataDxfId="106" dataCellStyle="Обычный 2 10"/>
    <tableColumn id="14" name="v12" dataDxfId="105" dataCellStyle="Обычный 2 10"/>
    <tableColumn id="15" name="v13" dataDxfId="104" dataCellStyle="Обычный 2 10"/>
    <tableColumn id="16" name="v14" dataDxfId="103" dataCellStyle="Обычный 2 10"/>
    <tableColumn id="17" name="v15" dataDxfId="102" dataCellStyle="Обычный 2 10"/>
    <tableColumn id="18" name="v16" dataDxfId="101" dataCellStyle="Обычный 2 10"/>
    <tableColumn id="19" name="v17" dataDxfId="100" dataCellStyle="Обычный 2 10"/>
    <tableColumn id="20" name="v18" dataDxfId="99" dataCellStyle="Обычный 2 10"/>
    <tableColumn id="21" name="v19" dataDxfId="98" dataCellStyle="Обычный 2 10"/>
    <tableColumn id="22" name="V20" dataDxfId="97" dataCellStyle="Обычный 2 10"/>
    <tableColumn id="23" name="V21" dataDxfId="96" dataCellStyle="Обычный 2 10"/>
    <tableColumn id="24" name="V22" dataDxfId="95" dataCellStyle="Обычный 2 10"/>
    <tableColumn id="25" name="V23" dataDxfId="94" dataCellStyle="Обычный 2 10"/>
    <tableColumn id="26" name="V24" dataDxfId="93" dataCellStyle="Обычный 2 10"/>
    <tableColumn id="27" name="V25" dataDxfId="92" dataCellStyle="Обычный 2 10"/>
    <tableColumn id="28" name="V26" dataDxfId="91" dataCellStyle="Обычный 2 10"/>
    <tableColumn id="29" name="V27" dataDxfId="90" dataCellStyle="Обычный 2 10"/>
    <tableColumn id="30" name="V28" dataDxfId="89" dataCellStyle="Обычный 2 10"/>
    <tableColumn id="31" name="V29" dataDxfId="88" dataCellStyle="Обычный 2 10"/>
    <tableColumn id="32" name="V30" dataDxfId="87" dataCellStyle="Обычный 2 10"/>
    <tableColumn id="33" name="V31" dataDxfId="86" dataCellStyle="Обычный 2 10"/>
    <tableColumn id="34" name="V32" dataDxfId="85" dataCellStyle="Обычный 2 10"/>
    <tableColumn id="35" name="V33" dataDxfId="84" dataCellStyle="Обычный 2 10"/>
    <tableColumn id="36" name="V34" dataDxfId="83" dataCellStyle="Обычный 2 10"/>
    <tableColumn id="37" name="V35" dataDxfId="82" dataCellStyle="Обычный 2 10"/>
    <tableColumn id="38" name="V36" dataDxfId="81" dataCellStyle="Обычный 2 10"/>
    <tableColumn id="39" name="V37" dataDxfId="80" dataCellStyle="Обычный 2 10"/>
    <tableColumn id="40" name="V38" dataDxfId="79" dataCellStyle="Обычный 2 10"/>
    <tableColumn id="41" name="V39" dataDxfId="78" dataCellStyle="Обычный 2 10"/>
    <tableColumn id="42" name="V40" dataDxfId="77" dataCellStyle="Обычный 2 10"/>
    <tableColumn id="43" name="V41" dataDxfId="76" dataCellStyle="Обычный 2 10"/>
    <tableColumn id="44" name="V42" dataDxfId="75" dataCellStyle="Обычный 2 10"/>
    <tableColumn id="45" name="V43" dataDxfId="74" dataCellStyle="Обычный 2 10"/>
    <tableColumn id="46" name="V44" dataDxfId="73" dataCellStyle="Обычный 2 10"/>
    <tableColumn id="47" name="V45" dataDxfId="72" dataCellStyle="Обычный 2 10"/>
    <tableColumn id="48" name="V46" dataDxfId="71" dataCellStyle="Обычный 2 10"/>
    <tableColumn id="49" name="V47" dataDxfId="70" dataCellStyle="Обычный 2 10"/>
    <tableColumn id="50" name="V48" dataDxfId="69" dataCellStyle="Обычный 2 10"/>
    <tableColumn id="51" name="V49" dataDxfId="68" dataCellStyle="Обычный 2 10"/>
    <tableColumn id="52" name="V50" dataDxfId="67" dataCellStyle="Обычный 2 10"/>
    <tableColumn id="53" name="V51" dataDxfId="66" dataCellStyle="Обычный 2 10"/>
    <tableColumn id="54" name="V52" dataDxfId="65" dataCellStyle="Обычный 2 10"/>
    <tableColumn id="55" name="V53" dataDxfId="64" dataCellStyle="Обычный 2 10"/>
    <tableColumn id="56" name="V54" dataDxfId="63" dataCellStyle="Обычный 2 10"/>
    <tableColumn id="57" name="V55" dataDxfId="62" dataCellStyle="Обычный 2 10"/>
    <tableColumn id="58" name="V56" dataDxfId="61" dataCellStyle="Обычный 2 10"/>
    <tableColumn id="59" name="V57" dataDxfId="60" dataCellStyle="Обычный 2 10"/>
    <tableColumn id="60" name="V58" dataDxfId="59" dataCellStyle="Обычный 2 10"/>
    <tableColumn id="61" name="V59" dataDxfId="58" dataCellStyle="Обычный 2 10"/>
    <tableColumn id="62" name="V60" dataDxfId="57" dataCellStyle="Обычный 2 10"/>
    <tableColumn id="63" name="V61" dataDxfId="56" dataCellStyle="Обычный 2 10"/>
    <tableColumn id="64" name="V62" dataDxfId="55" dataCellStyle="Обычный 2 10"/>
    <tableColumn id="65" name="V63" dataDxfId="54" dataCellStyle="Обычный 2 10"/>
    <tableColumn id="66" name="V64" dataDxfId="53" dataCellStyle="Обычный 2 10"/>
    <tableColumn id="67" name="V65" dataDxfId="52" dataCellStyle="Обычный 2 10"/>
    <tableColumn id="68" name="V66" dataDxfId="51" dataCellStyle="Обычный 2 10"/>
    <tableColumn id="69" name="V67" dataDxfId="50" dataCellStyle="Обычный 2 10"/>
    <tableColumn id="70" name="V68" dataDxfId="49" dataCellStyle="Обычный 2 10"/>
    <tableColumn id="71" name="V69" dataDxfId="48" dataCellStyle="Обычный 2 10"/>
    <tableColumn id="72" name="V70" dataDxfId="47" dataCellStyle="Обычный 2 10"/>
    <tableColumn id="73" name="V71" dataDxfId="46" dataCellStyle="Обычный 2 10"/>
    <tableColumn id="74" name="V72" dataDxfId="45" dataCellStyle="Обычный 2 10"/>
    <tableColumn id="75" name="V73" dataDxfId="44" dataCellStyle="Обычный 2 10"/>
    <tableColumn id="76" name="V74" dataDxfId="43" dataCellStyle="Обычный 2 10"/>
    <tableColumn id="77" name="V75" dataDxfId="42" dataCellStyle="Обычный 2 10"/>
    <tableColumn id="78" name="V76" dataDxfId="41" dataCellStyle="Обычный 2 10"/>
    <tableColumn id="79" name="V77" dataDxfId="40" dataCellStyle="Обычный 2 10"/>
    <tableColumn id="80" name="V78" dataDxfId="39" dataCellStyle="Обычный 2 10"/>
    <tableColumn id="81" name="V79" dataDxfId="38" dataCellStyle="Обычный 2 10"/>
    <tableColumn id="82" name="V80" dataDxfId="37" dataCellStyle="Обычный 2 10"/>
    <tableColumn id="83" name="V81" dataDxfId="36" dataCellStyle="Обычный 2 10"/>
    <tableColumn id="84" name="V82" dataDxfId="35" dataCellStyle="Обычный 2 10"/>
    <tableColumn id="85" name="V83" dataDxfId="34" dataCellStyle="Обычный 2 10"/>
    <tableColumn id="86" name="V84" dataDxfId="33" dataCellStyle="Обычный 2 10"/>
    <tableColumn id="87" name="V85" dataDxfId="32" dataCellStyle="Обычный 2 10"/>
    <tableColumn id="88" name="V86" dataDxfId="31" dataCellStyle="Обычный 2 10"/>
    <tableColumn id="89" name="V87" dataDxfId="30" dataCellStyle="Обычный 2 10"/>
    <tableColumn id="90" name="V88" dataDxfId="29" dataCellStyle="Обычный 2 10"/>
    <tableColumn id="91" name="V89" dataDxfId="28" dataCellStyle="Обычный 2 10"/>
    <tableColumn id="92" name="V90" dataDxfId="27" dataCellStyle="Обычный 2 10"/>
    <tableColumn id="93" name="V91" dataDxfId="26" dataCellStyle="Обычный 2 10"/>
    <tableColumn id="94" name="V92" dataDxfId="25" dataCellStyle="Обычный 2 10"/>
    <tableColumn id="95" name="V93" dataDxfId="24" dataCellStyle="Обычный 2 10"/>
    <tableColumn id="96" name="V94" dataDxfId="23" dataCellStyle="Обычный 2 10"/>
    <tableColumn id="97" name="V95" dataDxfId="22" dataCellStyle="Обычный 2 10"/>
    <tableColumn id="98" name="V96" dataDxfId="21" dataCellStyle="Обычный 2 10"/>
    <tableColumn id="99" name="V97" dataDxfId="20" dataCellStyle="Обычный 2 10"/>
    <tableColumn id="100" name="V98" dataDxfId="19" dataCellStyle="Обычный 2 10"/>
  </tableColumns>
  <tableStyleInfo showFirstColumn="0" showLastColumn="0" showRowStripes="1" showColumnStripes="0"/>
</table>
</file>

<file path=xl/tables/table13.xml><?xml version="1.0" encoding="utf-8"?>
<table xmlns="http://schemas.openxmlformats.org/spreadsheetml/2006/main" id="11" name="Таблица712" displayName="Таблица712" ref="A6:P83" totalsRowShown="0" headerRowDxfId="18" dataDxfId="17" tableBorderDxfId="16" dataCellStyle="Обычный 2">
  <autoFilter ref="A6:P83"/>
  <tableColumns count="16">
    <tableColumn id="1" name="ck" dataDxfId="15" dataCellStyle="Обычный 2"/>
    <tableColumn id="2" name="gc" dataDxfId="14" dataCellStyle="Обычный 2"/>
    <tableColumn id="59" name="Потребители" dataDxfId="13" dataCellStyle="Обычный 2"/>
    <tableColumn id="60" name="КодСтр" dataDxfId="12" dataCellStyle="Обычный 2"/>
    <tableColumn id="3" name="v1" dataDxfId="11" dataCellStyle="Обычный 2 10"/>
    <tableColumn id="7" name="v2" dataDxfId="10" dataCellStyle="Обычный 2 10"/>
    <tableColumn id="11" name="v3" dataDxfId="9" dataCellStyle="Обычный 2 10"/>
    <tableColumn id="15" name="v4" dataDxfId="8" dataCellStyle="Обычный 2 10"/>
    <tableColumn id="19" name="v5" dataDxfId="7" dataCellStyle="Обычный 2 10"/>
    <tableColumn id="23" name="v6" dataDxfId="6" dataCellStyle="Обычный 2 10"/>
    <tableColumn id="27" name="v7" dataDxfId="5" dataCellStyle="Обычный 2 10"/>
    <tableColumn id="31" name="v8" dataDxfId="4" dataCellStyle="Обычный 2 10"/>
    <tableColumn id="35" name="v9" dataDxfId="3" dataCellStyle="Обычный 2 10"/>
    <tableColumn id="39" name="v10" dataDxfId="2" dataCellStyle="Обычный 2 10"/>
    <tableColumn id="43" name="v11" dataDxfId="1" dataCellStyle="Обычный 2 10"/>
    <tableColumn id="47" name="v12" dataDxfId="0" dataCellStyle="Обычный 2 10"/>
  </tableColumns>
  <tableStyleInfo showFirstColumn="0" showLastColumn="0" showRowStripes="1" showColumnStripes="0"/>
</table>
</file>

<file path=xl/tables/table2.xml><?xml version="1.0" encoding="utf-8"?>
<table xmlns="http://schemas.openxmlformats.org/spreadsheetml/2006/main" id="27" name="Таблица14" displayName="Таблица14" ref="A8:S51" insertRowShift="1" totalsRowShown="0" headerRowDxfId="429">
  <autoFilter ref="A8:S51"/>
  <tableColumns count="19">
    <tableColumn id="21" name="pk" dataDxfId="428" dataCellStyle="Обычный 2"/>
    <tableColumn id="20" name="sn" dataDxfId="427" dataCellStyle="Обычный 2"/>
    <tableColumn id="2" name="Потребители" dataDxfId="426" dataCellStyle="Обычный 2"/>
    <tableColumn id="1" name="КодСтр" dataDxfId="425" dataCellStyle="Обычный 2"/>
    <tableColumn id="3" name="v1" dataDxfId="424" dataCellStyle="Обычный_Полезный отпуск электроэнергии и мощности, реализуемой по регулируемым ценам">
      <calculatedColumnFormula>H9+K9+L9+M9</calculatedColumnFormula>
    </tableColumn>
    <tableColumn id="4" name="v2" dataDxfId="423" dataCellStyle="Обычный_Полезный отпуск электроэнергии и мощности, реализуемой по регулируемым ценам">
      <calculatedColumnFormula>I9+N9+O9+P9</calculatedColumnFormula>
    </tableColumn>
    <tableColumn id="5" name="v3" dataDxfId="422" dataCellStyle="Обычный_Полезный отпуск электроэнергии и мощности, реализуемой по регулируемым ценам">
      <calculatedColumnFormula>J9+Q9+R9+S9</calculatedColumnFormula>
    </tableColumn>
    <tableColumn id="6" name="v4" dataDxfId="421" dataCellStyle="Обычный_Полезный отпуск электроэнергии и мощности, реализуемой по регулируемым ценам"/>
    <tableColumn id="7" name="v5" dataDxfId="420" dataCellStyle="Обычный_Полезный отпуск электроэнергии и мощности, реализуемой по регулируемым ценам">
      <calculatedColumnFormula>J9*1.18</calculatedColumnFormula>
    </tableColumn>
    <tableColumn id="8" name="v6" dataDxfId="419" dataCellStyle="Обычный_Полезный отпуск электроэнергии и мощности, реализуемой по регулируемым ценам"/>
    <tableColumn id="9" name="v7" dataDxfId="418" dataCellStyle="Обычный_Полезный отпуск электроэнергии и мощности, реализуемой по регулируемым ценам"/>
    <tableColumn id="10" name="v8" dataDxfId="417" dataCellStyle="Обычный_Полезный отпуск электроэнергии и мощности, реализуемой по регулируемым ценам"/>
    <tableColumn id="11" name="v9" dataDxfId="416" dataCellStyle="Обычный_Полезный отпуск электроэнергии и мощности, реализуемой по регулируемым ценам"/>
    <tableColumn id="12" name="v10" dataDxfId="415" dataCellStyle="Обычный_Полезный отпуск электроэнергии и мощности, реализуемой по регулируемым ценам">
      <calculatedColumnFormula>Q9*1.18</calculatedColumnFormula>
    </tableColumn>
    <tableColumn id="13" name="v11" dataDxfId="414" dataCellStyle="Обычный_Полезный отпуск электроэнергии и мощности, реализуемой по регулируемым ценам">
      <calculatedColumnFormula>R9*1.18</calculatedColumnFormula>
    </tableColumn>
    <tableColumn id="14" name="v12" dataDxfId="413" dataCellStyle="Обычный_Полезный отпуск электроэнергии и мощности, реализуемой по регулируемым ценам">
      <calculatedColumnFormula>S9*1.18</calculatedColumnFormula>
    </tableColumn>
    <tableColumn id="15" name="v13" dataDxfId="412" dataCellStyle="Обычный_Полезный отпуск электроэнергии и мощности, реализуемой по регулируемым ценам"/>
    <tableColumn id="16" name="v14" dataDxfId="411" dataCellStyle="Обычный_Полезный отпуск электроэнергии и мощности, реализуемой по регулируемым ценам"/>
    <tableColumn id="17" name="v15" dataDxfId="410" dataCellStyle="Обычный_Полезный отпуск электроэнергии и мощности, реализуемой по регулируемым ценам"/>
  </tableColumns>
  <tableStyleInfo showFirstColumn="0" showLastColumn="0" showRowStripes="1" showColumnStripes="0"/>
</table>
</file>

<file path=xl/tables/table3.xml><?xml version="1.0" encoding="utf-8"?>
<table xmlns="http://schemas.openxmlformats.org/spreadsheetml/2006/main" id="28" name="Таблица6" displayName="Таблица6" ref="A10:DL44" insertRowShift="1" totalsRowShown="0" headerRowDxfId="409" dataDxfId="408" dataCellStyle="Обычный_Полезный отпуск электроэнергии и мощности, реализуемой по регулируемым ценам">
  <autoFilter ref="A10:DL44"/>
  <tableColumns count="116">
    <tableColumn id="1" name="ck" dataDxfId="407" dataCellStyle="Обычный 2"/>
    <tableColumn id="2" name="gc" dataDxfId="406" dataCellStyle="Обычный 2"/>
    <tableColumn id="116" name="Потребители" dataDxfId="405" dataCellStyle="Обычный 2"/>
    <tableColumn id="115" name="КодСтр" dataDxfId="404" dataCellStyle="Обычный 2"/>
    <tableColumn id="3" name="v1" dataDxfId="403" dataCellStyle="Обычный_Полезный отпуск электроэнергии и мощности, реализуемой по регулируемым ценам"/>
    <tableColumn id="4" name="v2" dataDxfId="402" dataCellStyle="Обычный_Полезный отпуск электроэнергии и мощности, реализуемой по регулируемым ценам"/>
    <tableColumn id="5" name="v3" dataDxfId="401" dataCellStyle="Обычный_Полезный отпуск электроэнергии и мощности, реализуемой по регулируемым ценам"/>
    <tableColumn id="6" name="v4" dataDxfId="400" dataCellStyle="Обычный_Полезный отпуск электроэнергии и мощности, реализуемой по регулируемым ценам"/>
    <tableColumn id="7" name="v5" dataDxfId="399" dataCellStyle="Обычный_Полезный отпуск электроэнергии и мощности, реализуемой по регулируемым ценам"/>
    <tableColumn id="8" name="v6" dataDxfId="398" dataCellStyle="Обычный_Полезный отпуск электроэнергии и мощности, реализуемой по регулируемым ценам"/>
    <tableColumn id="9" name="v7" dataDxfId="397" dataCellStyle="Обычный_Полезный отпуск электроэнергии и мощности, реализуемой по регулируемым ценам"/>
    <tableColumn id="10" name="v8" dataDxfId="396" dataCellStyle="Обычный_Полезный отпуск электроэнергии и мощности, реализуемой по регулируемым ценам"/>
    <tableColumn id="11" name="v9" dataDxfId="395" dataCellStyle="Обычный_Полезный отпуск электроэнергии и мощности, реализуемой по регулируемым ценам"/>
    <tableColumn id="12" name="v10" dataDxfId="394" dataCellStyle="Обычный_Полезный отпуск электроэнергии и мощности, реализуемой по регулируемым ценам"/>
    <tableColumn id="13" name="v11" dataDxfId="393" dataCellStyle="Обычный_Полезный отпуск электроэнергии и мощности, реализуемой по регулируемым ценам"/>
    <tableColumn id="14" name="v12" dataDxfId="392" dataCellStyle="Обычный_Полезный отпуск электроэнергии и мощности, реализуемой по регулируемым ценам"/>
    <tableColumn id="15" name="v13" dataDxfId="391" dataCellStyle="Обычный_Полезный отпуск электроэнергии и мощности, реализуемой по регулируемым ценам"/>
    <tableColumn id="16" name="v14" dataDxfId="390" dataCellStyle="Обычный_Полезный отпуск электроэнергии и мощности, реализуемой по регулируемым ценам"/>
    <tableColumn id="17" name="v15" dataDxfId="389" dataCellStyle="Обычный_Полезный отпуск электроэнергии и мощности, реализуемой по регулируемым ценам"/>
    <tableColumn id="18" name="v16" dataDxfId="388" dataCellStyle="Обычный_Полезный отпуск электроэнергии и мощности, реализуемой по регулируемым ценам"/>
    <tableColumn id="19" name="v17" dataDxfId="387" dataCellStyle="Обычный_Полезный отпуск электроэнергии и мощности, реализуемой по регулируемым ценам"/>
    <tableColumn id="20" name="v18" dataDxfId="386" dataCellStyle="Обычный_Полезный отпуск электроэнергии и мощности, реализуемой по регулируемым ценам"/>
    <tableColumn id="21" name="v19" dataDxfId="385" dataCellStyle="Обычный_Полезный отпуск электроэнергии и мощности, реализуемой по регулируемым ценам"/>
    <tableColumn id="22" name="V20" dataDxfId="384" dataCellStyle="Обычный_Полезный отпуск электроэнергии и мощности, реализуемой по регулируемым ценам"/>
    <tableColumn id="23" name="V21" dataDxfId="383" dataCellStyle="Обычный_Полезный отпуск электроэнергии и мощности, реализуемой по регулируемым ценам"/>
    <tableColumn id="24" name="V22" dataDxfId="382" dataCellStyle="Обычный_Полезный отпуск электроэнергии и мощности, реализуемой по регулируемым ценам"/>
    <tableColumn id="25" name="V23" dataDxfId="381" dataCellStyle="Обычный_Полезный отпуск электроэнергии и мощности, реализуемой по регулируемым ценам"/>
    <tableColumn id="26" name="V24" dataDxfId="380" dataCellStyle="Обычный_Полезный отпуск электроэнергии и мощности, реализуемой по регулируемым ценам"/>
    <tableColumn id="27" name="V25" dataDxfId="379" dataCellStyle="Обычный_Полезный отпуск электроэнергии и мощности, реализуемой по регулируемым ценам"/>
    <tableColumn id="28" name="V26" dataDxfId="378" dataCellStyle="Обычный_Полезный отпуск электроэнергии и мощности, реализуемой по регулируемым ценам"/>
    <tableColumn id="29" name="V27" dataDxfId="377" dataCellStyle="Обычный_Полезный отпуск электроэнергии и мощности, реализуемой по регулируемым ценам"/>
    <tableColumn id="30" name="V28" dataDxfId="376" dataCellStyle="Обычный_Полезный отпуск электроэнергии и мощности, реализуемой по регулируемым ценам"/>
    <tableColumn id="31" name="V29" dataDxfId="375" dataCellStyle="Обычный_Полезный отпуск электроэнергии и мощности, реализуемой по регулируемым ценам"/>
    <tableColumn id="32" name="V30" dataDxfId="374" dataCellStyle="Обычный_Полезный отпуск электроэнергии и мощности, реализуемой по регулируемым ценам"/>
    <tableColumn id="33" name="V31" dataDxfId="373" dataCellStyle="Обычный_Полезный отпуск электроэнергии и мощности, реализуемой по регулируемым ценам"/>
    <tableColumn id="34" name="V32" dataDxfId="372" dataCellStyle="Обычный_Полезный отпуск электроэнергии и мощности, реализуемой по регулируемым ценам"/>
    <tableColumn id="35" name="V33" dataDxfId="371" dataCellStyle="Обычный_Полезный отпуск электроэнергии и мощности, реализуемой по регулируемым ценам"/>
    <tableColumn id="36" name="V34" dataDxfId="370" dataCellStyle="Обычный_Полезный отпуск электроэнергии и мощности, реализуемой по регулируемым ценам"/>
    <tableColumn id="37" name="V35" dataDxfId="369" dataCellStyle="Обычный_Полезный отпуск электроэнергии и мощности, реализуемой по регулируемым ценам"/>
    <tableColumn id="38" name="V36" dataDxfId="368" dataCellStyle="Обычный_Полезный отпуск электроэнергии и мощности, реализуемой по регулируемым ценам"/>
    <tableColumn id="39" name="V37" dataDxfId="367" dataCellStyle="Обычный_Полезный отпуск электроэнергии и мощности, реализуемой по регулируемым ценам"/>
    <tableColumn id="40" name="V38" dataDxfId="366" dataCellStyle="Обычный_Полезный отпуск электроэнергии и мощности, реализуемой по регулируемым ценам"/>
    <tableColumn id="41" name="V39" dataDxfId="365" dataCellStyle="Обычный_Полезный отпуск электроэнергии и мощности, реализуемой по регулируемым ценам"/>
    <tableColumn id="42" name="V40" dataDxfId="364" dataCellStyle="Обычный_Полезный отпуск электроэнергии и мощности, реализуемой по регулируемым ценам"/>
    <tableColumn id="43" name="V41" dataDxfId="363" dataCellStyle="Обычный_Полезный отпуск электроэнергии и мощности, реализуемой по регулируемым ценам"/>
    <tableColumn id="44" name="V42" dataDxfId="362" dataCellStyle="Обычный_Полезный отпуск электроэнергии и мощности, реализуемой по регулируемым ценам"/>
    <tableColumn id="45" name="V43" dataDxfId="361" dataCellStyle="Обычный_Полезный отпуск электроэнергии и мощности, реализуемой по регулируемым ценам"/>
    <tableColumn id="46" name="V44" dataDxfId="360" dataCellStyle="Обычный_Полезный отпуск электроэнергии и мощности, реализуемой по регулируемым ценам"/>
    <tableColumn id="47" name="V45" dataDxfId="359" dataCellStyle="Обычный_Полезный отпуск электроэнергии и мощности, реализуемой по регулируемым ценам"/>
    <tableColumn id="48" name="V46" dataDxfId="358" dataCellStyle="Обычный_Полезный отпуск электроэнергии и мощности, реализуемой по регулируемым ценам"/>
    <tableColumn id="49" name="V47" dataDxfId="357" dataCellStyle="Обычный_Полезный отпуск электроэнергии и мощности, реализуемой по регулируемым ценам"/>
    <tableColumn id="50" name="V48" dataDxfId="356" dataCellStyle="Обычный_Полезный отпуск электроэнергии и мощности, реализуемой по регулируемым ценам"/>
    <tableColumn id="51" name="V49" dataDxfId="355" dataCellStyle="Обычный_Полезный отпуск электроэнергии и мощности, реализуемой по регулируемым ценам"/>
    <tableColumn id="52" name="V50" dataDxfId="354" dataCellStyle="Обычный_Полезный отпуск электроэнергии и мощности, реализуемой по регулируемым ценам"/>
    <tableColumn id="53" name="V51" dataDxfId="353" dataCellStyle="Обычный_Полезный отпуск электроэнергии и мощности, реализуемой по регулируемым ценам"/>
    <tableColumn id="54" name="V52" dataDxfId="352" dataCellStyle="Обычный_Полезный отпуск электроэнергии и мощности, реализуемой по регулируемым ценам"/>
    <tableColumn id="55" name="V53" dataDxfId="351" dataCellStyle="Обычный_Полезный отпуск электроэнергии и мощности, реализуемой по регулируемым ценам"/>
    <tableColumn id="56" name="V54" dataDxfId="350" dataCellStyle="Обычный_Полезный отпуск электроэнергии и мощности, реализуемой по регулируемым ценам"/>
    <tableColumn id="57" name="V55" dataDxfId="349" dataCellStyle="Обычный_Полезный отпуск электроэнергии и мощности, реализуемой по регулируемым ценам"/>
    <tableColumn id="58" name="V56" dataDxfId="348" dataCellStyle="Обычный_Полезный отпуск электроэнергии и мощности, реализуемой по регулируемым ценам"/>
    <tableColumn id="59" name="V57" dataDxfId="347" dataCellStyle="Обычный_Полезный отпуск электроэнергии и мощности, реализуемой по регулируемым ценам"/>
    <tableColumn id="60" name="V58" dataDxfId="346" dataCellStyle="Обычный_Полезный отпуск электроэнергии и мощности, реализуемой по регулируемым ценам"/>
    <tableColumn id="61" name="V59" dataDxfId="345" dataCellStyle="Обычный_Полезный отпуск электроэнергии и мощности, реализуемой по регулируемым ценам"/>
    <tableColumn id="62" name="V60" dataDxfId="344" dataCellStyle="Обычный_Полезный отпуск электроэнергии и мощности, реализуемой по регулируемым ценам"/>
    <tableColumn id="63" name="V61" dataDxfId="343" dataCellStyle="Обычный_Полезный отпуск электроэнергии и мощности, реализуемой по регулируемым ценам"/>
    <tableColumn id="64" name="V62" dataDxfId="342" dataCellStyle="Обычный_Полезный отпуск электроэнергии и мощности, реализуемой по регулируемым ценам"/>
    <tableColumn id="65" name="V63" dataDxfId="341" dataCellStyle="Обычный_Полезный отпуск электроэнергии и мощности, реализуемой по регулируемым ценам"/>
    <tableColumn id="66" name="V64" dataDxfId="340" dataCellStyle="Обычный_Полезный отпуск электроэнергии и мощности, реализуемой по регулируемым ценам"/>
    <tableColumn id="67" name="V65" dataDxfId="339" dataCellStyle="Обычный_Полезный отпуск электроэнергии и мощности, реализуемой по регулируемым ценам"/>
    <tableColumn id="68" name="V66" dataDxfId="338" dataCellStyle="Обычный_Полезный отпуск электроэнергии и мощности, реализуемой по регулируемым ценам"/>
    <tableColumn id="69" name="V67" dataDxfId="337" dataCellStyle="Обычный_Полезный отпуск электроэнергии и мощности, реализуемой по регулируемым ценам"/>
    <tableColumn id="70" name="V68" dataDxfId="336" dataCellStyle="Обычный_Полезный отпуск электроэнергии и мощности, реализуемой по регулируемым ценам"/>
    <tableColumn id="71" name="V69" dataDxfId="335" dataCellStyle="Обычный_Полезный отпуск электроэнергии и мощности, реализуемой по регулируемым ценам"/>
    <tableColumn id="72" name="V70" dataDxfId="334" dataCellStyle="Обычный_Полезный отпуск электроэнергии и мощности, реализуемой по регулируемым ценам"/>
    <tableColumn id="73" name="V71" dataDxfId="333" dataCellStyle="Обычный_Полезный отпуск электроэнергии и мощности, реализуемой по регулируемым ценам"/>
    <tableColumn id="74" name="V72" dataDxfId="332" dataCellStyle="Обычный_Полезный отпуск электроэнергии и мощности, реализуемой по регулируемым ценам"/>
    <tableColumn id="75" name="V73" dataDxfId="331" dataCellStyle="Обычный_Полезный отпуск электроэнергии и мощности, реализуемой по регулируемым ценам"/>
    <tableColumn id="76" name="V74" dataDxfId="330" dataCellStyle="Обычный_Полезный отпуск электроэнергии и мощности, реализуемой по регулируемым ценам"/>
    <tableColumn id="77" name="V75" dataDxfId="329" dataCellStyle="Обычный_Полезный отпуск электроэнергии и мощности, реализуемой по регулируемым ценам"/>
    <tableColumn id="78" name="V76" dataDxfId="328" dataCellStyle="Обычный_Полезный отпуск электроэнергии и мощности, реализуемой по регулируемым ценам"/>
    <tableColumn id="79" name="V77" dataDxfId="327" dataCellStyle="Обычный_Полезный отпуск электроэнергии и мощности, реализуемой по регулируемым ценам"/>
    <tableColumn id="80" name="V78" dataDxfId="326" dataCellStyle="Обычный_Полезный отпуск электроэнергии и мощности, реализуемой по регулируемым ценам"/>
    <tableColumn id="81" name="V79" dataDxfId="325" dataCellStyle="Обычный_Полезный отпуск электроэнергии и мощности, реализуемой по регулируемым ценам"/>
    <tableColumn id="82" name="V80" dataDxfId="324" dataCellStyle="Обычный_Полезный отпуск электроэнергии и мощности, реализуемой по регулируемым ценам"/>
    <tableColumn id="83" name="V81" dataDxfId="323" dataCellStyle="Обычный_Полезный отпуск электроэнергии и мощности, реализуемой по регулируемым ценам"/>
    <tableColumn id="84" name="V82" dataDxfId="322" dataCellStyle="Обычный_Полезный отпуск электроэнергии и мощности, реализуемой по регулируемым ценам"/>
    <tableColumn id="85" name="V83" dataDxfId="321" dataCellStyle="Обычный_Полезный отпуск электроэнергии и мощности, реализуемой по регулируемым ценам"/>
    <tableColumn id="86" name="V84" dataDxfId="320" dataCellStyle="Обычный_Полезный отпуск электроэнергии и мощности, реализуемой по регулируемым ценам"/>
    <tableColumn id="87" name="V85" dataDxfId="319" dataCellStyle="Обычный_Полезный отпуск электроэнергии и мощности, реализуемой по регулируемым ценам"/>
    <tableColumn id="88" name="V86" dataDxfId="318" dataCellStyle="Обычный_Полезный отпуск электроэнергии и мощности, реализуемой по регулируемым ценам"/>
    <tableColumn id="89" name="V87" dataDxfId="317" dataCellStyle="Обычный_Полезный отпуск электроэнергии и мощности, реализуемой по регулируемым ценам"/>
    <tableColumn id="90" name="V88" dataDxfId="316" dataCellStyle="Обычный_Полезный отпуск электроэнергии и мощности, реализуемой по регулируемым ценам"/>
    <tableColumn id="91" name="V89" dataDxfId="315" dataCellStyle="Обычный_Полезный отпуск электроэнергии и мощности, реализуемой по регулируемым ценам"/>
    <tableColumn id="92" name="V90" dataDxfId="314" dataCellStyle="Обычный_Полезный отпуск электроэнергии и мощности, реализуемой по регулируемым ценам"/>
    <tableColumn id="93" name="V91" dataDxfId="313" dataCellStyle="Обычный_Полезный отпуск электроэнергии и мощности, реализуемой по регулируемым ценам"/>
    <tableColumn id="94" name="V92" dataDxfId="312" dataCellStyle="Обычный_Полезный отпуск электроэнергии и мощности, реализуемой по регулируемым ценам"/>
    <tableColumn id="95" name="V93" dataDxfId="311" dataCellStyle="Обычный_Полезный отпуск электроэнергии и мощности, реализуемой по регулируемым ценам"/>
    <tableColumn id="96" name="V94" dataDxfId="310" dataCellStyle="Обычный_Полезный отпуск электроэнергии и мощности, реализуемой по регулируемым ценам"/>
    <tableColumn id="97" name="V95" dataDxfId="309" dataCellStyle="Обычный_Полезный отпуск электроэнергии и мощности, реализуемой по регулируемым ценам"/>
    <tableColumn id="98" name="V96" dataDxfId="308" dataCellStyle="Обычный_Полезный отпуск электроэнергии и мощности, реализуемой по регулируемым ценам"/>
    <tableColumn id="99" name="V97" dataDxfId="307" dataCellStyle="Обычный_Полезный отпуск электроэнергии и мощности, реализуемой по регулируемым ценам"/>
    <tableColumn id="100" name="V98" dataDxfId="306" dataCellStyle="Обычный_Полезный отпуск электроэнергии и мощности, реализуемой по регулируемым ценам"/>
    <tableColumn id="101" name="V99" dataDxfId="305" dataCellStyle="Обычный_Полезный отпуск электроэнергии и мощности, реализуемой по регулируемым ценам"/>
    <tableColumn id="102" name="V100" dataDxfId="304" dataCellStyle="Обычный_Полезный отпуск электроэнергии и мощности, реализуемой по регулируемым ценам"/>
    <tableColumn id="103" name="V101" dataDxfId="303" dataCellStyle="Обычный_Полезный отпуск электроэнергии и мощности, реализуемой по регулируемым ценам"/>
    <tableColumn id="104" name="V102" dataDxfId="302" dataCellStyle="Обычный_Полезный отпуск электроэнергии и мощности, реализуемой по регулируемым ценам"/>
    <tableColumn id="105" name="V103" dataDxfId="301" dataCellStyle="Обычный_Полезный отпуск электроэнергии и мощности, реализуемой по регулируемым ценам"/>
    <tableColumn id="106" name="V104" dataDxfId="300" dataCellStyle="Обычный_Полезный отпуск электроэнергии и мощности, реализуемой по регулируемым ценам"/>
    <tableColumn id="107" name="V105" dataDxfId="299" dataCellStyle="Обычный_Полезный отпуск электроэнергии и мощности, реализуемой по регулируемым ценам"/>
    <tableColumn id="108" name="V106" dataDxfId="298" dataCellStyle="Обычный_Полезный отпуск электроэнергии и мощности, реализуемой по регулируемым ценам"/>
    <tableColumn id="109" name="V107" dataDxfId="297" dataCellStyle="Обычный_Полезный отпуск электроэнергии и мощности, реализуемой по регулируемым ценам"/>
    <tableColumn id="110" name="V108" dataDxfId="296" dataCellStyle="Обычный_Полезный отпуск электроэнергии и мощности, реализуемой по регулируемым ценам"/>
    <tableColumn id="111" name="V109" dataDxfId="295" dataCellStyle="Обычный_Полезный отпуск электроэнергии и мощности, реализуемой по регулируемым ценам"/>
    <tableColumn id="112" name="V110" dataDxfId="294" dataCellStyle="Обычный_Полезный отпуск электроэнергии и мощности, реализуемой по регулируемым ценам"/>
    <tableColumn id="113" name="V111" dataDxfId="293" dataCellStyle="Обычный_Полезный отпуск электроэнергии и мощности, реализуемой по регулируемым ценам"/>
    <tableColumn id="114" name="V112" dataDxfId="292" dataCellStyle="Обычный_Полезный отпуск электроэнергии и мощности, реализуемой по регулируемым ценам"/>
  </tableColumns>
  <tableStyleInfo showFirstColumn="0" showLastColumn="0" showRowStripes="1" showColumnStripes="0"/>
</table>
</file>

<file path=xl/tables/table4.xml><?xml version="1.0" encoding="utf-8"?>
<table xmlns="http://schemas.openxmlformats.org/spreadsheetml/2006/main" id="2" name="Таблица8" displayName="Таблица8" ref="A2:A3" totalsRowShown="0" headerRowDxfId="291" dataDxfId="290" tableBorderDxfId="289">
  <autoFilter ref="A2:A3"/>
  <tableColumns count="1">
    <tableColumn id="1" name="code" dataDxfId="288"/>
  </tableColumns>
  <tableStyleInfo name="TableStyleMedium9" showFirstColumn="0" showLastColumn="0" showRowStripes="1" showColumnStripes="0"/>
</table>
</file>

<file path=xl/tables/table5.xml><?xml version="1.0" encoding="utf-8"?>
<table xmlns="http://schemas.openxmlformats.org/spreadsheetml/2006/main" id="3" name="Таблица114" displayName="Таблица114" ref="A7:Y13" totalsRowShown="0" tableBorderDxfId="287">
  <autoFilter ref="A7:Y13"/>
  <tableColumns count="25">
    <tableColumn id="1" name="lvl"/>
    <tableColumn id="2" name="v1" dataDxfId="286"/>
    <tableColumn id="3" name="v2" dataDxfId="285"/>
    <tableColumn id="4" name="v3" dataDxfId="284"/>
    <tableColumn id="5" name="v4" dataDxfId="283">
      <calculatedColumnFormula>Таблица11[[#This Row],[v4]]</calculatedColumnFormula>
    </tableColumn>
    <tableColumn id="20" name="v19" dataDxfId="282">
      <calculatedColumnFormula>Таблица11[[#This Row],[v42]]</calculatedColumnFormula>
    </tableColumn>
    <tableColumn id="6" name="v5" dataDxfId="281">
      <calculatedColumnFormula>G11+G12</calculatedColumnFormula>
    </tableColumn>
    <tableColumn id="7" name="v6" dataDxfId="280">
      <calculatedColumnFormula>Таблица11[[#This Row],[v6]]</calculatedColumnFormula>
    </tableColumn>
    <tableColumn id="8" name="v7" dataDxfId="279">
      <calculatedColumnFormula>Таблица11[[#This Row],[v7]]</calculatedColumnFormula>
    </tableColumn>
    <tableColumn id="9" name="v8" dataDxfId="278">
      <calculatedColumnFormula>Таблица11[[#This Row],[v8]]</calculatedColumnFormula>
    </tableColumn>
    <tableColumn id="21" name="v20" dataDxfId="277">
      <calculatedColumnFormula>SUM(Таблица114[[#This Row],[v5]:[v8]])</calculatedColumnFormula>
    </tableColumn>
    <tableColumn id="10" name="v9" dataDxfId="276">
      <calculatedColumnFormula>Таблица11[[#This Row],[v9]]</calculatedColumnFormula>
    </tableColumn>
    <tableColumn id="11" name="v10" dataDxfId="275">
      <calculatedColumnFormula>Таблица11[[#This Row],[v10]]</calculatedColumnFormula>
    </tableColumn>
    <tableColumn id="12" name="v11" dataDxfId="274">
      <calculatedColumnFormula>IFERROR('Шаблон 46 ГП'!P70/'Шаблон 46 ГП'!G70*1000,0)</calculatedColumnFormula>
    </tableColumn>
    <tableColumn id="13" name="v12" dataDxfId="273">
      <calculatedColumnFormula>Таблица11[[#This Row],[v12]]</calculatedColumnFormula>
    </tableColumn>
    <tableColumn id="22" name="v21" dataDxfId="272">
      <calculatedColumnFormula>Таблица11[[#This Row],[v13]]</calculatedColumnFormula>
    </tableColumn>
    <tableColumn id="14" name="v13" dataDxfId="271">
      <calculatedColumnFormula>IFERROR('Шаблон 46 ГП'!L101/'Шаблон 46 ГП'!C101*1000,0)</calculatedColumnFormula>
    </tableColumn>
    <tableColumn id="15" name="v14" dataDxfId="270">
      <calculatedColumnFormula>Таблица11[[#This Row],[v15]]</calculatedColumnFormula>
    </tableColumn>
    <tableColumn id="23" name="v22" dataDxfId="269">
      <calculatedColumnFormula>Таблица11[[#This Row],[v16]]</calculatedColumnFormula>
    </tableColumn>
    <tableColumn id="16" name="v15" dataDxfId="268">
      <calculatedColumnFormula>Таблица11[[#This Row],[v17]]</calculatedColumnFormula>
    </tableColumn>
    <tableColumn id="17" name="v16" dataDxfId="267">
      <calculatedColumnFormula>Таблица11[[#This Row],[v18]]</calculatedColumnFormula>
    </tableColumn>
    <tableColumn id="24" name="v23" dataDxfId="266"/>
    <tableColumn id="18" name="v17" dataDxfId="265"/>
    <tableColumn id="19" name="v18" dataDxfId="264"/>
    <tableColumn id="25" name="v24" dataDxfId="263"/>
  </tableColumns>
  <tableStyleInfo name="TableStyleMedium9" showFirstColumn="0" showLastColumn="0" showRowStripes="1" showColumnStripes="0"/>
</table>
</file>

<file path=xl/tables/table6.xml><?xml version="1.0" encoding="utf-8"?>
<table xmlns="http://schemas.openxmlformats.org/spreadsheetml/2006/main" id="4" name="Таблица145" displayName="Таблица145" ref="A6:S55" totalsRowShown="0" headerRowDxfId="262" dataDxfId="260" headerRowBorderDxfId="261" tableBorderDxfId="259" totalsRowBorderDxfId="258">
  <autoFilter ref="A6:S55"/>
  <tableColumns count="19">
    <tableColumn id="21" name="pk" dataDxfId="257"/>
    <tableColumn id="20" name="sn" dataDxfId="256"/>
    <tableColumn id="2" name="Потребители" dataDxfId="255"/>
    <tableColumn id="1" name="КодСтр" dataDxfId="254"/>
    <tableColumn id="3" name="v1"/>
    <tableColumn id="4" name="v2"/>
    <tableColumn id="5" name="v3"/>
    <tableColumn id="6" name="v4"/>
    <tableColumn id="7" name="v5"/>
    <tableColumn id="8" name="v6"/>
    <tableColumn id="9" name="v7"/>
    <tableColumn id="10" name="v8"/>
    <tableColumn id="11" name="v9"/>
    <tableColumn id="12" name="v10"/>
    <tableColumn id="13" name="v11"/>
    <tableColumn id="14" name="v12"/>
    <tableColumn id="15" name="v13"/>
    <tableColumn id="16" name="v14"/>
    <tableColumn id="17" name="v15"/>
  </tableColumns>
  <tableStyleInfo showFirstColumn="0" showLastColumn="0" showRowStripes="1" showColumnStripes="0"/>
</table>
</file>

<file path=xl/tables/table7.xml><?xml version="1.0" encoding="utf-8"?>
<table xmlns="http://schemas.openxmlformats.org/spreadsheetml/2006/main" id="5" name="Таблица66" displayName="Таблица66" ref="A8:DE44" totalsRowShown="0" headerRowDxfId="253" dataDxfId="252" tableBorderDxfId="251">
  <autoFilter ref="A8:DE44"/>
  <tableColumns count="109">
    <tableColumn id="1" name="ck" dataDxfId="250"/>
    <tableColumn id="2" name="gc" dataDxfId="249"/>
    <tableColumn id="116" name="Потребители" dataDxfId="248"/>
    <tableColumn id="115" name="КодСтр" dataDxfId="247"/>
    <tableColumn id="3" name="v1"/>
    <tableColumn id="4" name="v2"/>
    <tableColumn id="5" name="v3"/>
    <tableColumn id="6" name="v4"/>
    <tableColumn id="7" name="v5"/>
    <tableColumn id="8" name="v6"/>
    <tableColumn id="9" name="v7"/>
    <tableColumn id="10" name="v8"/>
    <tableColumn id="11" name="v9"/>
    <tableColumn id="12" name="v10"/>
    <tableColumn id="13" name="v11"/>
    <tableColumn id="14" name="v12"/>
    <tableColumn id="15" name="v13"/>
    <tableColumn id="16" name="v14"/>
    <tableColumn id="17" name="v15"/>
    <tableColumn id="18" name="v16"/>
    <tableColumn id="19" name="v17"/>
    <tableColumn id="20" name="v18"/>
    <tableColumn id="21" name="v19"/>
    <tableColumn id="22" name="V20"/>
    <tableColumn id="23" name="V21"/>
    <tableColumn id="24" name="V22"/>
    <tableColumn id="25" name="V23"/>
    <tableColumn id="26" name="V24"/>
    <tableColumn id="27" name="V25"/>
    <tableColumn id="28" name="V26"/>
    <tableColumn id="29" name="V27"/>
    <tableColumn id="30" name="V28"/>
    <tableColumn id="31" name="V29"/>
    <tableColumn id="32" name="V30"/>
    <tableColumn id="33" name="V31"/>
    <tableColumn id="34" name="V32"/>
    <tableColumn id="35" name="V33"/>
    <tableColumn id="36" name="V34"/>
    <tableColumn id="37" name="V35"/>
    <tableColumn id="38" name="V36"/>
    <tableColumn id="39" name="V37"/>
    <tableColumn id="40" name="V38"/>
    <tableColumn id="41" name="V39"/>
    <tableColumn id="42" name="V40"/>
    <tableColumn id="43" name="V41"/>
    <tableColumn id="44" name="V42"/>
    <tableColumn id="45" name="V43"/>
    <tableColumn id="46" name="V44"/>
    <tableColumn id="47" name="V45"/>
    <tableColumn id="48" name="V46"/>
    <tableColumn id="49" name="V47"/>
    <tableColumn id="50" name="V48"/>
    <tableColumn id="51" name="V49"/>
    <tableColumn id="52" name="V50"/>
    <tableColumn id="53" name="V51"/>
    <tableColumn id="54" name="V52"/>
    <tableColumn id="55" name="V53"/>
    <tableColumn id="56" name="V54"/>
    <tableColumn id="57" name="V55"/>
    <tableColumn id="58" name="V56"/>
    <tableColumn id="59" name="V57"/>
    <tableColumn id="60" name="V58"/>
    <tableColumn id="61" name="V59"/>
    <tableColumn id="62" name="V60"/>
    <tableColumn id="63" name="V61"/>
    <tableColumn id="64" name="V62"/>
    <tableColumn id="65" name="V63"/>
    <tableColumn id="66" name="V64"/>
    <tableColumn id="67" name="V65"/>
    <tableColumn id="68" name="V66"/>
    <tableColumn id="69" name="V67"/>
    <tableColumn id="70" name="V68"/>
    <tableColumn id="71" name="V69"/>
    <tableColumn id="72" name="V70"/>
    <tableColumn id="73" name="V71"/>
    <tableColumn id="74" name="V72"/>
    <tableColumn id="75" name="V73"/>
    <tableColumn id="76" name="V74"/>
    <tableColumn id="77" name="V75"/>
    <tableColumn id="78" name="V76"/>
    <tableColumn id="79" name="V77"/>
    <tableColumn id="80" name="V78"/>
    <tableColumn id="81" name="V79"/>
    <tableColumn id="82" name="V80"/>
    <tableColumn id="83" name="V81"/>
    <tableColumn id="84" name="V82"/>
    <tableColumn id="85" name="V83"/>
    <tableColumn id="86" name="V84"/>
    <tableColumn id="87" name="V85"/>
    <tableColumn id="88" name="V86"/>
    <tableColumn id="89" name="V87"/>
    <tableColumn id="90" name="V88"/>
    <tableColumn id="91" name="V89"/>
    <tableColumn id="92" name="V90"/>
    <tableColumn id="93" name="V91"/>
    <tableColumn id="94" name="V92"/>
    <tableColumn id="95" name="V93"/>
    <tableColumn id="96" name="V94"/>
    <tableColumn id="97" name="V95"/>
    <tableColumn id="98" name="V96"/>
    <tableColumn id="99" name="V97"/>
    <tableColumn id="100" name="V98"/>
    <tableColumn id="101" name="V99"/>
    <tableColumn id="102" name="V100"/>
    <tableColumn id="103" name="V101"/>
    <tableColumn id="104" name="V102"/>
    <tableColumn id="105" name="V103"/>
    <tableColumn id="106" name="V104"/>
    <tableColumn id="107" name="V105"/>
  </tableColumns>
  <tableStyleInfo showFirstColumn="0" showLastColumn="0" showRowStripes="1" showColumnStripes="0"/>
</table>
</file>

<file path=xl/tables/table8.xml><?xml version="1.0" encoding="utf-8"?>
<table xmlns="http://schemas.openxmlformats.org/spreadsheetml/2006/main" id="6" name="Таблица7" displayName="Таблица7" ref="A9:BH45" totalsRowShown="0" headerRowDxfId="246" dataDxfId="245" tableBorderDxfId="244">
  <autoFilter ref="A9:BH45"/>
  <tableColumns count="60">
    <tableColumn id="1" name="ck" dataDxfId="243"/>
    <tableColumn id="2" name="gc" dataDxfId="242"/>
    <tableColumn id="59" name="Потребители" dataDxfId="241"/>
    <tableColumn id="60" name="КодСтр" dataDxfId="240"/>
    <tableColumn id="3" name="v1" dataDxfId="239"/>
    <tableColumn id="4" name="v2" dataDxfId="238"/>
    <tableColumn id="5" name="v3" dataDxfId="237"/>
    <tableColumn id="6" name="v4" dataDxfId="236"/>
    <tableColumn id="7" name="v5" dataDxfId="235"/>
    <tableColumn id="8" name="v6" dataDxfId="234"/>
    <tableColumn id="9" name="v7" dataDxfId="233"/>
    <tableColumn id="10" name="v8" dataDxfId="232"/>
    <tableColumn id="11" name="v9" dataDxfId="231"/>
    <tableColumn id="12" name="v10" dataDxfId="230"/>
    <tableColumn id="13" name="v11" dataDxfId="229"/>
    <tableColumn id="14" name="v12" dataDxfId="228"/>
    <tableColumn id="15" name="v13" dataDxfId="227"/>
    <tableColumn id="16" name="v14" dataDxfId="226"/>
    <tableColumn id="17" name="v15" dataDxfId="225"/>
    <tableColumn id="18" name="v16" dataDxfId="224"/>
    <tableColumn id="19" name="v17" dataDxfId="223"/>
    <tableColumn id="20" name="v18" dataDxfId="222"/>
    <tableColumn id="21" name="v19" dataDxfId="221"/>
    <tableColumn id="22" name="V20" dataDxfId="220"/>
    <tableColumn id="23" name="V21" dataDxfId="219"/>
    <tableColumn id="24" name="V22" dataDxfId="218"/>
    <tableColumn id="25" name="V23" dataDxfId="217"/>
    <tableColumn id="26" name="V24" dataDxfId="216"/>
    <tableColumn id="27" name="V25" dataDxfId="215"/>
    <tableColumn id="28" name="V26" dataDxfId="214"/>
    <tableColumn id="29" name="V27" dataDxfId="213"/>
    <tableColumn id="30" name="V28" dataDxfId="212"/>
    <tableColumn id="31" name="V29" dataDxfId="211"/>
    <tableColumn id="32" name="V30" dataDxfId="210"/>
    <tableColumn id="33" name="V31" dataDxfId="209"/>
    <tableColumn id="34" name="V32" dataDxfId="208"/>
    <tableColumn id="35" name="V33" dataDxfId="207"/>
    <tableColumn id="36" name="V34" dataDxfId="206"/>
    <tableColumn id="37" name="V35" dataDxfId="205"/>
    <tableColumn id="38" name="V36" dataDxfId="204"/>
    <tableColumn id="39" name="V37" dataDxfId="203"/>
    <tableColumn id="40" name="V38" dataDxfId="202"/>
    <tableColumn id="41" name="V39" dataDxfId="201"/>
    <tableColumn id="42" name="V40" dataDxfId="200"/>
    <tableColumn id="43" name="V41" dataDxfId="199"/>
    <tableColumn id="44" name="V42" dataDxfId="198"/>
    <tableColumn id="45" name="V43" dataDxfId="197"/>
    <tableColumn id="46" name="V44" dataDxfId="196"/>
    <tableColumn id="47" name="V45" dataDxfId="195"/>
    <tableColumn id="48" name="V46" dataDxfId="194"/>
    <tableColumn id="49" name="V47" dataDxfId="193"/>
    <tableColumn id="50" name="V48" dataDxfId="192"/>
    <tableColumn id="51" name="V49" dataDxfId="191"/>
    <tableColumn id="52" name="V50" dataDxfId="190"/>
    <tableColumn id="53" name="V51" dataDxfId="189"/>
    <tableColumn id="54" name="V52" dataDxfId="188"/>
    <tableColumn id="55" name="V53" dataDxfId="187"/>
    <tableColumn id="56" name="V54" dataDxfId="186"/>
    <tableColumn id="57" name="V55" dataDxfId="185"/>
    <tableColumn id="58" name="V56" dataDxfId="184"/>
  </tableColumns>
  <tableStyleInfo showFirstColumn="0" showLastColumn="0" showRowStripes="1" showColumnStripes="0"/>
</table>
</file>

<file path=xl/tables/table9.xml><?xml version="1.0" encoding="utf-8"?>
<table xmlns="http://schemas.openxmlformats.org/spreadsheetml/2006/main" id="7" name="Таблица88" displayName="Таблица88" ref="A2:A3" totalsRowShown="0" headerRowDxfId="183" dataDxfId="182" tableBorderDxfId="181">
  <autoFilter ref="A2:A3"/>
  <tableColumns count="1">
    <tableColumn id="1" name="code" dataDxfId="180"/>
  </tableColumns>
  <tableStyleInfo name="TableStyleMedium9"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9.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table" Target="../tables/table4.xml"/></Relationships>
</file>

<file path=xl/worksheets/_rels/sheet3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8.bin"/></Relationships>
</file>

<file path=xl/worksheets/_rels/sheet3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36.xml.rels><?xml version="1.0" encoding="UTF-8" standalone="yes"?>
<Relationships xmlns="http://schemas.openxmlformats.org/package/2006/relationships"><Relationship Id="rId1" Type="http://schemas.openxmlformats.org/officeDocument/2006/relationships/table" Target="../tables/table7.xml"/></Relationships>
</file>

<file path=xl/worksheets/_rels/sheet37.xml.rels><?xml version="1.0" encoding="UTF-8" standalone="yes"?>
<Relationships xmlns="http://schemas.openxmlformats.org/package/2006/relationships"><Relationship Id="rId1" Type="http://schemas.openxmlformats.org/officeDocument/2006/relationships/table" Target="../tables/table8.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prime-tass.ru/news/pressreleases/?sndr=%D0%AD%D0%9A%20%22%D0%92%D0%BE%D1%81%D1%82%D0%BE%D0%BA&amp;d1=25.03.2011&amp;d2=24.05.2011" TargetMode="External"/></Relationships>
</file>

<file path=xl/worksheets/_rels/sheet54.xml.rels><?xml version="1.0" encoding="UTF-8" standalone="yes"?>
<Relationships xmlns="http://schemas.openxmlformats.org/package/2006/relationships"><Relationship Id="rId1" Type="http://schemas.openxmlformats.org/officeDocument/2006/relationships/table" Target="../tables/table9.xml"/></Relationships>
</file>

<file path=xl/worksheets/_rels/sheet57.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8.bin"/></Relationships>
</file>

<file path=xl/worksheets/_rels/sheet58.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59.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60.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mailto:ryzhikova@gesnv.ru" TargetMode="Externa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eias.fas.gov.ru/files/46ee.stx.eias.justification.rtf" TargetMode="External"/><Relationship Id="rId1" Type="http://schemas.openxmlformats.org/officeDocument/2006/relationships/hyperlink" Target="https://sp.eias.ru/knowledgebase.php?article=124" TargetMode="Externa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253"/>
  <sheetViews>
    <sheetView workbookViewId="0">
      <selection activeCell="M29" sqref="M29"/>
    </sheetView>
  </sheetViews>
  <sheetFormatPr defaultRowHeight="12.75"/>
  <cols>
    <col min="1" max="1" width="12.85546875" bestFit="1" customWidth="1"/>
    <col min="2" max="2" width="12.140625" bestFit="1" customWidth="1"/>
    <col min="3" max="3" width="10.5703125" bestFit="1" customWidth="1"/>
    <col min="4" max="4" width="9" bestFit="1" customWidth="1"/>
    <col min="5" max="5" width="14.5703125" bestFit="1" customWidth="1"/>
  </cols>
  <sheetData>
    <row r="4" spans="1:5">
      <c r="A4" s="4103" t="s">
        <v>5142</v>
      </c>
      <c r="B4" s="4103" t="s">
        <v>5143</v>
      </c>
      <c r="C4" s="4103" t="s">
        <v>404</v>
      </c>
      <c r="D4" s="4103" t="s">
        <v>5144</v>
      </c>
      <c r="E4" s="4103" t="s">
        <v>5145</v>
      </c>
    </row>
    <row r="5" spans="1:5">
      <c r="A5" s="4102">
        <v>0</v>
      </c>
      <c r="B5" s="4102" t="s">
        <v>4772</v>
      </c>
      <c r="C5" s="4102">
        <v>3</v>
      </c>
      <c r="D5" s="4102">
        <v>117</v>
      </c>
      <c r="E5" s="4102">
        <v>287.7</v>
      </c>
    </row>
    <row r="6" spans="1:5">
      <c r="A6" s="4102">
        <v>0</v>
      </c>
      <c r="B6" s="4102" t="s">
        <v>4802</v>
      </c>
      <c r="C6" s="4102">
        <v>3.9099999999999997</v>
      </c>
      <c r="D6" s="4102">
        <v>7</v>
      </c>
      <c r="E6" s="4102">
        <v>22.43</v>
      </c>
    </row>
    <row r="7" spans="1:5">
      <c r="A7" s="4102">
        <v>0</v>
      </c>
      <c r="B7" s="4102" t="s">
        <v>89</v>
      </c>
      <c r="C7" s="4102">
        <v>8.4594100000000001</v>
      </c>
      <c r="D7" s="4102">
        <v>190533</v>
      </c>
      <c r="E7" s="4102">
        <v>1611796.76</v>
      </c>
    </row>
    <row r="8" spans="1:5">
      <c r="A8" s="4102">
        <v>0</v>
      </c>
      <c r="B8" s="4102" t="s">
        <v>90</v>
      </c>
      <c r="C8" s="4102">
        <v>8.7503299999999999</v>
      </c>
      <c r="D8" s="4102">
        <v>12392407</v>
      </c>
      <c r="E8" s="4102">
        <v>108437650.74000001</v>
      </c>
    </row>
    <row r="9" spans="1:5">
      <c r="A9" s="4102">
        <v>0</v>
      </c>
      <c r="B9" s="4102" t="s">
        <v>91</v>
      </c>
      <c r="C9" s="4102">
        <v>8.9900099999999998</v>
      </c>
      <c r="D9" s="4102">
        <v>7089344</v>
      </c>
      <c r="E9" s="4102">
        <v>63733272.579999998</v>
      </c>
    </row>
    <row r="10" spans="1:5">
      <c r="A10" s="4102">
        <v>0</v>
      </c>
      <c r="B10" s="4102" t="s">
        <v>177</v>
      </c>
      <c r="C10" s="4102">
        <v>7.2746299999999993</v>
      </c>
      <c r="D10" s="4102">
        <v>60309</v>
      </c>
      <c r="E10" s="4102">
        <v>438725.66000000003</v>
      </c>
    </row>
    <row r="11" spans="1:5">
      <c r="A11" s="4102">
        <v>0</v>
      </c>
      <c r="B11" s="4102" t="s">
        <v>3674</v>
      </c>
      <c r="C11" s="4102">
        <v>3.9838999999999998</v>
      </c>
      <c r="D11" s="4102">
        <v>15889</v>
      </c>
      <c r="E11" s="4102">
        <v>63300.19</v>
      </c>
    </row>
    <row r="12" spans="1:5">
      <c r="A12" s="4102">
        <v>0</v>
      </c>
      <c r="B12" s="4102" t="s">
        <v>3675</v>
      </c>
      <c r="C12" s="4102">
        <v>1207.3351599999999</v>
      </c>
      <c r="D12" s="4102">
        <v>17</v>
      </c>
      <c r="E12" s="4102">
        <v>20524.7</v>
      </c>
    </row>
    <row r="13" spans="1:5">
      <c r="A13" s="4102">
        <v>0</v>
      </c>
      <c r="B13" s="4102" t="s">
        <v>3676</v>
      </c>
      <c r="C13" s="4102">
        <v>1025.7991099999999</v>
      </c>
      <c r="D13" s="4102">
        <v>29</v>
      </c>
      <c r="E13" s="4102">
        <v>29748.170000000002</v>
      </c>
    </row>
    <row r="14" spans="1:5">
      <c r="A14" s="4102">
        <v>0</v>
      </c>
      <c r="B14" s="4102" t="s">
        <v>185</v>
      </c>
      <c r="C14" s="4102">
        <v>7.1817499999999992</v>
      </c>
      <c r="D14" s="4102">
        <v>111769</v>
      </c>
      <c r="E14" s="4102">
        <v>802697.02</v>
      </c>
    </row>
    <row r="15" spans="1:5">
      <c r="A15" s="4102">
        <v>0</v>
      </c>
      <c r="B15" s="4102" t="s">
        <v>186</v>
      </c>
      <c r="C15" s="4102">
        <v>6.9326099999999995</v>
      </c>
      <c r="D15" s="4102">
        <v>87286</v>
      </c>
      <c r="E15" s="4102">
        <v>605119.80000000005</v>
      </c>
    </row>
    <row r="16" spans="1:5">
      <c r="A16" s="4102">
        <v>0</v>
      </c>
      <c r="B16" s="4102" t="s">
        <v>178</v>
      </c>
      <c r="C16" s="4102">
        <v>7.2725499999999998</v>
      </c>
      <c r="D16" s="4102">
        <v>88172</v>
      </c>
      <c r="E16" s="4102">
        <v>641235.28</v>
      </c>
    </row>
    <row r="17" spans="1:13">
      <c r="A17" s="4102">
        <v>0</v>
      </c>
      <c r="B17" s="4102" t="s">
        <v>179</v>
      </c>
      <c r="C17" s="4102">
        <v>7.1862899999999996</v>
      </c>
      <c r="D17" s="4102">
        <v>170393</v>
      </c>
      <c r="E17" s="4102">
        <v>1224493.51</v>
      </c>
    </row>
    <row r="18" spans="1:13">
      <c r="A18" s="4102">
        <v>0</v>
      </c>
      <c r="B18" s="4102" t="s">
        <v>180</v>
      </c>
      <c r="C18" s="4102">
        <v>7.2517899999999997</v>
      </c>
      <c r="D18" s="4102">
        <v>120279</v>
      </c>
      <c r="E18" s="4102">
        <v>872238.05</v>
      </c>
    </row>
    <row r="19" spans="1:13">
      <c r="A19" s="4102">
        <v>0</v>
      </c>
      <c r="B19" s="4102" t="s">
        <v>181</v>
      </c>
      <c r="C19" s="4102">
        <v>7.2337999999999996</v>
      </c>
      <c r="D19" s="4102">
        <v>5190</v>
      </c>
      <c r="E19" s="4102">
        <v>37543.42</v>
      </c>
    </row>
    <row r="20" spans="1:13">
      <c r="A20" s="4102">
        <v>0</v>
      </c>
      <c r="B20" s="4102" t="s">
        <v>182</v>
      </c>
      <c r="C20" s="4102">
        <v>7.2035499999999999</v>
      </c>
      <c r="D20" s="4102">
        <v>88848</v>
      </c>
      <c r="E20" s="4102">
        <v>640021.01</v>
      </c>
    </row>
    <row r="21" spans="1:13">
      <c r="A21" s="4102">
        <v>0</v>
      </c>
      <c r="B21" s="4102" t="s">
        <v>183</v>
      </c>
      <c r="C21" s="4102">
        <v>7.2334799999999992</v>
      </c>
      <c r="D21" s="4102">
        <v>11765</v>
      </c>
      <c r="E21" s="4102">
        <v>85101.89</v>
      </c>
    </row>
    <row r="22" spans="1:13">
      <c r="A22" s="4102">
        <v>0</v>
      </c>
      <c r="B22" s="4102" t="s">
        <v>3769</v>
      </c>
      <c r="C22" s="4102">
        <v>7.6029399999999994</v>
      </c>
      <c r="D22" s="4102">
        <v>42703</v>
      </c>
      <c r="E22" s="4102">
        <v>324668.35000000003</v>
      </c>
    </row>
    <row r="23" spans="1:13">
      <c r="A23" s="4102">
        <v>0</v>
      </c>
      <c r="B23" s="4102" t="s">
        <v>184</v>
      </c>
      <c r="C23" s="4102">
        <v>7.6109299999999998</v>
      </c>
      <c r="D23" s="4102">
        <v>3984</v>
      </c>
      <c r="E23" s="4102">
        <v>30321.95</v>
      </c>
    </row>
    <row r="24" spans="1:13">
      <c r="A24" s="4102">
        <v>0</v>
      </c>
      <c r="B24" s="4102" t="s">
        <v>188</v>
      </c>
      <c r="C24" s="4102">
        <v>7.4814499999999997</v>
      </c>
      <c r="D24" s="4102">
        <v>13880</v>
      </c>
      <c r="E24" s="4102">
        <v>103842.53</v>
      </c>
    </row>
    <row r="25" spans="1:13">
      <c r="A25" s="4102">
        <v>0</v>
      </c>
      <c r="B25" s="4102" t="s">
        <v>189</v>
      </c>
      <c r="C25" s="4102">
        <v>7.15116</v>
      </c>
      <c r="D25" s="4102">
        <v>2049</v>
      </c>
      <c r="E25" s="4102">
        <v>14652.73</v>
      </c>
    </row>
    <row r="26" spans="1:13">
      <c r="A26" s="4102">
        <v>0</v>
      </c>
      <c r="B26" s="4102" t="s">
        <v>324</v>
      </c>
      <c r="C26" s="4102">
        <v>4.38971</v>
      </c>
      <c r="D26" s="4102">
        <v>62983</v>
      </c>
      <c r="E26" s="4102">
        <v>276477.09999999998</v>
      </c>
    </row>
    <row r="27" spans="1:13">
      <c r="A27" s="4102">
        <v>0</v>
      </c>
      <c r="B27" s="4102" t="s">
        <v>1787</v>
      </c>
      <c r="C27" s="4102">
        <v>4.38971</v>
      </c>
      <c r="D27" s="4102">
        <v>8500</v>
      </c>
      <c r="E27" s="4102">
        <v>37312.54</v>
      </c>
    </row>
    <row r="28" spans="1:13">
      <c r="A28" s="4102">
        <v>0</v>
      </c>
      <c r="B28" s="4102" t="s">
        <v>1764</v>
      </c>
      <c r="C28" s="4102">
        <v>1207.3351599999999</v>
      </c>
      <c r="D28" s="4102">
        <v>3280</v>
      </c>
      <c r="E28" s="4102">
        <v>3960059.33</v>
      </c>
      <c r="M28">
        <f>296716.898-295927</f>
        <v>789.8979999999865</v>
      </c>
    </row>
    <row r="29" spans="1:13">
      <c r="A29" s="4102">
        <v>0</v>
      </c>
      <c r="B29" s="4102" t="s">
        <v>330</v>
      </c>
      <c r="C29" s="4102">
        <v>1207.3351599999999</v>
      </c>
      <c r="D29" s="4102">
        <v>6235</v>
      </c>
      <c r="E29" s="4102">
        <v>7527734.7300000004</v>
      </c>
    </row>
    <row r="30" spans="1:13">
      <c r="A30" s="4102">
        <v>0</v>
      </c>
      <c r="B30" s="4102" t="s">
        <v>1765</v>
      </c>
      <c r="C30" s="4102">
        <v>1207.3351599999999</v>
      </c>
      <c r="D30" s="4102">
        <v>40</v>
      </c>
      <c r="E30" s="4102">
        <v>48293.41</v>
      </c>
    </row>
    <row r="31" spans="1:13">
      <c r="A31" s="4102">
        <v>0</v>
      </c>
      <c r="B31" s="4102" t="s">
        <v>4599</v>
      </c>
      <c r="C31" s="4102">
        <v>3.12771</v>
      </c>
      <c r="D31" s="4102">
        <v>14500</v>
      </c>
      <c r="E31" s="4102">
        <v>45351.8</v>
      </c>
    </row>
    <row r="32" spans="1:13">
      <c r="A32" s="4102">
        <v>0</v>
      </c>
      <c r="B32" s="4102" t="s">
        <v>3797</v>
      </c>
      <c r="C32" s="4102">
        <v>3.6143299999999998</v>
      </c>
      <c r="D32" s="4102">
        <v>555793</v>
      </c>
      <c r="E32" s="4102">
        <v>2008819.31</v>
      </c>
    </row>
    <row r="33" spans="1:5">
      <c r="A33" s="4102">
        <v>0</v>
      </c>
      <c r="B33" s="4102" t="s">
        <v>4598</v>
      </c>
      <c r="C33" s="4102">
        <v>1207.3351599999999</v>
      </c>
      <c r="D33" s="4102">
        <v>27</v>
      </c>
      <c r="E33" s="4102">
        <v>32598.05</v>
      </c>
    </row>
    <row r="34" spans="1:5">
      <c r="A34" s="4102">
        <v>0</v>
      </c>
      <c r="B34" s="4102" t="s">
        <v>3805</v>
      </c>
      <c r="C34" s="4102">
        <v>1207.3351599999999</v>
      </c>
      <c r="D34" s="4102">
        <v>933</v>
      </c>
      <c r="E34" s="4102">
        <v>1126443.7</v>
      </c>
    </row>
    <row r="35" spans="1:5">
      <c r="A35" s="4102">
        <v>0</v>
      </c>
      <c r="B35" s="4102" t="s">
        <v>4597</v>
      </c>
      <c r="C35" s="4102">
        <v>2799.14266</v>
      </c>
      <c r="D35" s="4102">
        <v>34</v>
      </c>
      <c r="E35" s="4102">
        <v>95170.85</v>
      </c>
    </row>
    <row r="36" spans="1:5">
      <c r="A36" s="4102">
        <v>0</v>
      </c>
      <c r="B36" s="4102" t="s">
        <v>3806</v>
      </c>
      <c r="C36" s="4102">
        <v>1025.7991099999999</v>
      </c>
      <c r="D36" s="4102">
        <v>1117</v>
      </c>
      <c r="E36" s="4102">
        <v>1145817.6100000001</v>
      </c>
    </row>
    <row r="37" spans="1:5">
      <c r="A37" s="4102">
        <v>0</v>
      </c>
      <c r="B37" s="4102" t="s">
        <v>3808</v>
      </c>
      <c r="C37" s="4102">
        <v>3.5898199999999996</v>
      </c>
      <c r="D37" s="4102">
        <v>513972</v>
      </c>
      <c r="E37" s="4102">
        <v>1845066.97</v>
      </c>
    </row>
    <row r="38" spans="1:5">
      <c r="A38" s="4102">
        <v>0</v>
      </c>
      <c r="B38" s="4102" t="s">
        <v>3809</v>
      </c>
      <c r="C38" s="4102">
        <v>1207.3351599999999</v>
      </c>
      <c r="D38" s="4102">
        <v>836</v>
      </c>
      <c r="E38" s="4102">
        <v>1009332.1900000001</v>
      </c>
    </row>
    <row r="39" spans="1:5">
      <c r="A39" s="4102">
        <v>0</v>
      </c>
      <c r="B39" s="4102" t="s">
        <v>3810</v>
      </c>
      <c r="C39" s="4102">
        <v>1025.7991099999999</v>
      </c>
      <c r="D39" s="4102">
        <v>948</v>
      </c>
      <c r="E39" s="4102">
        <v>972457.56</v>
      </c>
    </row>
    <row r="40" spans="1:5">
      <c r="A40" s="4102">
        <v>0</v>
      </c>
      <c r="B40" s="4102" t="s">
        <v>331</v>
      </c>
      <c r="C40" s="4102">
        <v>3.9484299999999997</v>
      </c>
      <c r="D40" s="4102">
        <v>27439</v>
      </c>
      <c r="E40" s="4102">
        <v>108340.97</v>
      </c>
    </row>
    <row r="41" spans="1:5">
      <c r="A41" s="4102">
        <v>0</v>
      </c>
      <c r="B41" s="4102" t="s">
        <v>1766</v>
      </c>
      <c r="C41" s="4102">
        <v>1207.3351599999999</v>
      </c>
      <c r="D41" s="4102">
        <v>38</v>
      </c>
      <c r="E41" s="4102">
        <v>45878.74</v>
      </c>
    </row>
    <row r="42" spans="1:5">
      <c r="A42" s="4102">
        <v>0</v>
      </c>
      <c r="B42" s="4102" t="s">
        <v>1803</v>
      </c>
      <c r="C42" s="4102">
        <v>1025.7991099999999</v>
      </c>
      <c r="D42" s="4102">
        <v>40</v>
      </c>
      <c r="E42" s="4102">
        <v>41031.96</v>
      </c>
    </row>
    <row r="43" spans="1:5">
      <c r="A43" s="4102">
        <v>0</v>
      </c>
      <c r="B43" s="4102" t="s">
        <v>3814</v>
      </c>
      <c r="C43" s="4102">
        <v>3.93485</v>
      </c>
      <c r="D43" s="4102">
        <v>9657</v>
      </c>
      <c r="E43" s="4102">
        <v>37998.85</v>
      </c>
    </row>
    <row r="44" spans="1:5">
      <c r="A44" s="4102">
        <v>0</v>
      </c>
      <c r="B44" s="4102" t="s">
        <v>3818</v>
      </c>
      <c r="C44" s="4102">
        <v>1207.3351599999999</v>
      </c>
      <c r="D44" s="4102">
        <v>13</v>
      </c>
      <c r="E44" s="4102">
        <v>15695.36</v>
      </c>
    </row>
    <row r="45" spans="1:5">
      <c r="A45" s="4102">
        <v>0</v>
      </c>
      <c r="B45" s="4102" t="s">
        <v>3819</v>
      </c>
      <c r="C45" s="4102">
        <v>1025.7991099999999</v>
      </c>
      <c r="D45" s="4102">
        <v>15</v>
      </c>
      <c r="E45" s="4102">
        <v>15386.99</v>
      </c>
    </row>
    <row r="46" spans="1:5">
      <c r="A46" s="4102">
        <v>0</v>
      </c>
      <c r="B46" s="4102" t="s">
        <v>3816</v>
      </c>
      <c r="C46" s="4102">
        <v>3.9665399999999997</v>
      </c>
      <c r="D46" s="4102">
        <v>17139</v>
      </c>
      <c r="E46" s="4102">
        <v>67982.53</v>
      </c>
    </row>
    <row r="47" spans="1:5">
      <c r="A47" s="4102">
        <v>0</v>
      </c>
      <c r="B47" s="4102" t="s">
        <v>1819</v>
      </c>
      <c r="C47" s="4102">
        <v>1025.7991099999999</v>
      </c>
      <c r="D47" s="4102">
        <v>32</v>
      </c>
      <c r="E47" s="4102">
        <v>32825.57</v>
      </c>
    </row>
    <row r="48" spans="1:5">
      <c r="A48" s="4102">
        <v>0</v>
      </c>
      <c r="B48" s="4102" t="s">
        <v>3820</v>
      </c>
      <c r="C48" s="4102">
        <v>1207.3351599999999</v>
      </c>
      <c r="D48" s="4102">
        <v>24</v>
      </c>
      <c r="E48" s="4102">
        <v>28976.04</v>
      </c>
    </row>
    <row r="49" spans="1:5">
      <c r="A49" s="4102">
        <v>0</v>
      </c>
      <c r="B49" s="4102" t="s">
        <v>3821</v>
      </c>
      <c r="C49" s="4102">
        <v>1025.7991099999999</v>
      </c>
      <c r="D49" s="4102">
        <v>26</v>
      </c>
      <c r="E49" s="4102">
        <v>26670.78</v>
      </c>
    </row>
    <row r="50" spans="1:5">
      <c r="A50" s="4102">
        <v>0</v>
      </c>
      <c r="B50" s="4102" t="s">
        <v>4075</v>
      </c>
      <c r="C50" s="4102">
        <v>3.5954899999999999</v>
      </c>
      <c r="D50" s="4102">
        <v>5231</v>
      </c>
      <c r="E50" s="4102">
        <v>18808.010000000002</v>
      </c>
    </row>
    <row r="51" spans="1:5">
      <c r="A51" s="4102">
        <v>0</v>
      </c>
      <c r="B51" s="4102" t="s">
        <v>3817</v>
      </c>
      <c r="C51" s="4102">
        <v>3.9589999999999996</v>
      </c>
      <c r="D51" s="4102">
        <v>90138</v>
      </c>
      <c r="E51" s="4102">
        <v>356856.34</v>
      </c>
    </row>
    <row r="52" spans="1:5">
      <c r="A52" s="4102">
        <v>0</v>
      </c>
      <c r="B52" s="4102" t="s">
        <v>4076</v>
      </c>
      <c r="C52" s="4102">
        <v>1207.3351599999999</v>
      </c>
      <c r="D52" s="4102">
        <v>8</v>
      </c>
      <c r="E52" s="4102">
        <v>9658.68</v>
      </c>
    </row>
    <row r="53" spans="1:5">
      <c r="A53" s="4102">
        <v>0</v>
      </c>
      <c r="B53" s="4102" t="s">
        <v>3822</v>
      </c>
      <c r="C53" s="4102">
        <v>1207.3351599999999</v>
      </c>
      <c r="D53" s="4102">
        <v>124</v>
      </c>
      <c r="E53" s="4102">
        <v>149709.56</v>
      </c>
    </row>
    <row r="54" spans="1:5">
      <c r="A54" s="4102">
        <v>0</v>
      </c>
      <c r="B54" s="4102" t="s">
        <v>4077</v>
      </c>
      <c r="C54" s="4102">
        <v>2799.14266</v>
      </c>
      <c r="D54" s="4102">
        <v>8</v>
      </c>
      <c r="E54" s="4102">
        <v>22393.14</v>
      </c>
    </row>
    <row r="55" spans="1:5">
      <c r="A55" s="4102">
        <v>0</v>
      </c>
      <c r="B55" s="4102" t="s">
        <v>3823</v>
      </c>
      <c r="C55" s="4102">
        <v>1025.7991099999999</v>
      </c>
      <c r="D55" s="4102">
        <v>138</v>
      </c>
      <c r="E55" s="4102">
        <v>141560.28</v>
      </c>
    </row>
    <row r="56" spans="1:5">
      <c r="A56" s="4102">
        <v>0</v>
      </c>
      <c r="B56" s="4102" t="s">
        <v>4625</v>
      </c>
      <c r="C56" s="4102">
        <v>4.0042799999999996</v>
      </c>
      <c r="D56" s="4102">
        <v>158843</v>
      </c>
      <c r="E56" s="4102">
        <v>636051.85</v>
      </c>
    </row>
    <row r="57" spans="1:5">
      <c r="A57" s="4102">
        <v>0</v>
      </c>
      <c r="B57" s="4102" t="s">
        <v>4626</v>
      </c>
      <c r="C57" s="4102">
        <v>1207.3351599999999</v>
      </c>
      <c r="D57" s="4102">
        <v>251</v>
      </c>
      <c r="E57" s="4102">
        <v>303041.13</v>
      </c>
    </row>
    <row r="58" spans="1:5">
      <c r="A58" s="4102">
        <v>0</v>
      </c>
      <c r="B58" s="4102" t="s">
        <v>1770</v>
      </c>
      <c r="C58" s="4102">
        <v>3.94556</v>
      </c>
      <c r="D58" s="4102">
        <v>23357</v>
      </c>
      <c r="E58" s="4102">
        <v>92156.44</v>
      </c>
    </row>
    <row r="59" spans="1:5">
      <c r="A59" s="4102">
        <v>0</v>
      </c>
      <c r="B59" s="4102" t="s">
        <v>4627</v>
      </c>
      <c r="C59" s="4102">
        <v>1025.7991099999999</v>
      </c>
      <c r="D59" s="4102">
        <v>284</v>
      </c>
      <c r="E59" s="4102">
        <v>291326.95</v>
      </c>
    </row>
    <row r="60" spans="1:5">
      <c r="A60" s="4102">
        <v>0</v>
      </c>
      <c r="B60" s="4102" t="s">
        <v>4628</v>
      </c>
      <c r="C60" s="4102">
        <v>4.0295800000000002</v>
      </c>
      <c r="D60" s="4102">
        <v>77420</v>
      </c>
      <c r="E60" s="4102">
        <v>311970.08</v>
      </c>
    </row>
    <row r="61" spans="1:5">
      <c r="A61" s="4102">
        <v>0</v>
      </c>
      <c r="B61" s="4102" t="s">
        <v>4629</v>
      </c>
      <c r="C61" s="4102">
        <v>1207.3351599999999</v>
      </c>
      <c r="D61" s="4102">
        <v>141</v>
      </c>
      <c r="E61" s="4102">
        <v>170234.26</v>
      </c>
    </row>
    <row r="62" spans="1:5">
      <c r="A62" s="4102">
        <v>0</v>
      </c>
      <c r="B62" s="4102" t="s">
        <v>4630</v>
      </c>
      <c r="C62" s="4102">
        <v>1025.7991099999999</v>
      </c>
      <c r="D62" s="4102">
        <v>153</v>
      </c>
      <c r="E62" s="4102">
        <v>156947.26</v>
      </c>
    </row>
    <row r="63" spans="1:5">
      <c r="A63" s="4102">
        <v>0</v>
      </c>
      <c r="B63" s="4102" t="s">
        <v>4642</v>
      </c>
      <c r="C63" s="4102">
        <v>3.3009299999999997</v>
      </c>
      <c r="D63" s="4102">
        <v>8024</v>
      </c>
      <c r="E63" s="4102">
        <v>26486.66</v>
      </c>
    </row>
    <row r="64" spans="1:5">
      <c r="A64" s="4102">
        <v>0</v>
      </c>
      <c r="B64" s="4102" t="s">
        <v>4643</v>
      </c>
      <c r="C64" s="4102">
        <v>1207.3351599999999</v>
      </c>
      <c r="D64" s="4102">
        <v>13</v>
      </c>
      <c r="E64" s="4102">
        <v>15695.36</v>
      </c>
    </row>
    <row r="65" spans="1:5">
      <c r="A65" s="4102">
        <v>0</v>
      </c>
      <c r="B65" s="4102" t="s">
        <v>4648</v>
      </c>
      <c r="C65" s="4102">
        <v>3.9388799999999997</v>
      </c>
      <c r="D65" s="4102">
        <v>17488</v>
      </c>
      <c r="E65" s="4102">
        <v>68883.13</v>
      </c>
    </row>
    <row r="66" spans="1:5">
      <c r="A66" s="4102">
        <v>0</v>
      </c>
      <c r="B66" s="4102" t="s">
        <v>4649</v>
      </c>
      <c r="C66" s="4102">
        <v>1207.3351599999999</v>
      </c>
      <c r="D66" s="4102">
        <v>23</v>
      </c>
      <c r="E66" s="4102">
        <v>27768.71</v>
      </c>
    </row>
    <row r="67" spans="1:5">
      <c r="A67" s="4102">
        <v>0</v>
      </c>
      <c r="B67" s="4102" t="s">
        <v>4650</v>
      </c>
      <c r="C67" s="4102">
        <v>1025.7991099999999</v>
      </c>
      <c r="D67" s="4102">
        <v>23</v>
      </c>
      <c r="E67" s="4102">
        <v>23593.38</v>
      </c>
    </row>
    <row r="68" spans="1:5">
      <c r="A68" s="4102">
        <v>0</v>
      </c>
      <c r="B68" s="4102" t="s">
        <v>4662</v>
      </c>
      <c r="C68" s="4102">
        <v>4.0801799999999995</v>
      </c>
      <c r="D68" s="4102">
        <v>742</v>
      </c>
      <c r="E68" s="4102">
        <v>3027.4900000000002</v>
      </c>
    </row>
    <row r="69" spans="1:5">
      <c r="A69" s="4102">
        <v>0</v>
      </c>
      <c r="B69" s="4102" t="s">
        <v>4663</v>
      </c>
      <c r="C69" s="4102">
        <v>1207.3351599999999</v>
      </c>
      <c r="D69" s="4102">
        <v>1</v>
      </c>
      <c r="E69" s="4102">
        <v>1207.3399999999999</v>
      </c>
    </row>
    <row r="70" spans="1:5">
      <c r="A70" s="4102">
        <v>0</v>
      </c>
      <c r="B70" s="4102" t="s">
        <v>4664</v>
      </c>
      <c r="C70" s="4102">
        <v>1025.7991099999999</v>
      </c>
      <c r="D70" s="4102">
        <v>3</v>
      </c>
      <c r="E70" s="4102">
        <v>3077.4</v>
      </c>
    </row>
    <row r="71" spans="1:5">
      <c r="A71" s="4102">
        <v>0</v>
      </c>
      <c r="B71" s="4102" t="s">
        <v>4666</v>
      </c>
      <c r="C71" s="4102">
        <v>3.9994899999999998</v>
      </c>
      <c r="D71" s="4102">
        <v>155668</v>
      </c>
      <c r="E71" s="4102">
        <v>622592.61</v>
      </c>
    </row>
    <row r="72" spans="1:5">
      <c r="A72" s="4102">
        <v>0</v>
      </c>
      <c r="B72" s="4102" t="s">
        <v>4667</v>
      </c>
      <c r="C72" s="4102">
        <v>1207.3351599999999</v>
      </c>
      <c r="D72" s="4102">
        <v>246</v>
      </c>
      <c r="E72" s="4102">
        <v>297004.45</v>
      </c>
    </row>
    <row r="73" spans="1:5">
      <c r="A73" s="4102">
        <v>0</v>
      </c>
      <c r="B73" s="4102" t="s">
        <v>4668</v>
      </c>
      <c r="C73" s="4102">
        <v>1025.7991099999999</v>
      </c>
      <c r="D73" s="4102">
        <v>275</v>
      </c>
      <c r="E73" s="4102">
        <v>282094.76</v>
      </c>
    </row>
    <row r="74" spans="1:5">
      <c r="A74" s="4102">
        <v>0</v>
      </c>
      <c r="B74" s="4102" t="s">
        <v>4670</v>
      </c>
      <c r="C74" s="4102">
        <v>4.0682</v>
      </c>
      <c r="D74" s="4102">
        <v>13891</v>
      </c>
      <c r="E74" s="4102">
        <v>56511.37</v>
      </c>
    </row>
    <row r="75" spans="1:5">
      <c r="A75" s="4102">
        <v>0</v>
      </c>
      <c r="B75" s="4102" t="s">
        <v>4671</v>
      </c>
      <c r="C75" s="4102">
        <v>1207.3351599999999</v>
      </c>
      <c r="D75" s="4102">
        <v>46</v>
      </c>
      <c r="E75" s="4102">
        <v>55537.42</v>
      </c>
    </row>
    <row r="76" spans="1:5">
      <c r="A76" s="4102">
        <v>0</v>
      </c>
      <c r="B76" s="4102" t="s">
        <v>4672</v>
      </c>
      <c r="C76" s="4102">
        <v>1025.7991099999999</v>
      </c>
      <c r="D76" s="4102">
        <v>57</v>
      </c>
      <c r="E76" s="4102">
        <v>58470.55</v>
      </c>
    </row>
    <row r="77" spans="1:5">
      <c r="A77" s="4102">
        <v>0</v>
      </c>
      <c r="B77" s="4102" t="s">
        <v>4674</v>
      </c>
      <c r="C77" s="4102">
        <v>3.9394699999999996</v>
      </c>
      <c r="D77" s="4102">
        <v>11966</v>
      </c>
      <c r="E77" s="4102">
        <v>47139.700000000004</v>
      </c>
    </row>
    <row r="78" spans="1:5">
      <c r="A78" s="4102">
        <v>0</v>
      </c>
      <c r="B78" s="4102" t="s">
        <v>4675</v>
      </c>
      <c r="C78" s="4102">
        <v>1207.3351599999999</v>
      </c>
      <c r="D78" s="4102">
        <v>16</v>
      </c>
      <c r="E78" s="4102">
        <v>19317.36</v>
      </c>
    </row>
    <row r="79" spans="1:5">
      <c r="A79" s="4102">
        <v>0</v>
      </c>
      <c r="B79" s="4102" t="s">
        <v>4676</v>
      </c>
      <c r="C79" s="4102">
        <v>1025.7991099999999</v>
      </c>
      <c r="D79" s="4102">
        <v>16</v>
      </c>
      <c r="E79" s="4102">
        <v>16412.79</v>
      </c>
    </row>
    <row r="80" spans="1:5">
      <c r="A80" s="4102">
        <v>0</v>
      </c>
      <c r="B80" s="4102" t="s">
        <v>4677</v>
      </c>
      <c r="C80" s="4102">
        <v>3.9336499999999996</v>
      </c>
      <c r="D80" s="4102">
        <v>6838</v>
      </c>
      <c r="E80" s="4102">
        <v>26898.3</v>
      </c>
    </row>
    <row r="81" spans="1:5">
      <c r="A81" s="4102">
        <v>0</v>
      </c>
      <c r="B81" s="4102" t="s">
        <v>4678</v>
      </c>
      <c r="C81" s="4102">
        <v>1207.3351599999999</v>
      </c>
      <c r="D81" s="4102">
        <v>9</v>
      </c>
      <c r="E81" s="4102">
        <v>10866.02</v>
      </c>
    </row>
    <row r="82" spans="1:5">
      <c r="A82" s="4102">
        <v>0</v>
      </c>
      <c r="B82" s="4102" t="s">
        <v>1801</v>
      </c>
      <c r="C82" s="4102">
        <v>3.6029</v>
      </c>
      <c r="D82" s="4102">
        <v>975883</v>
      </c>
      <c r="E82" s="4102">
        <v>3516008.86</v>
      </c>
    </row>
    <row r="83" spans="1:5">
      <c r="A83" s="4102">
        <v>0</v>
      </c>
      <c r="B83" s="4102" t="s">
        <v>4679</v>
      </c>
      <c r="C83" s="4102">
        <v>1025.7991099999999</v>
      </c>
      <c r="D83" s="4102">
        <v>12</v>
      </c>
      <c r="E83" s="4102">
        <v>12309.59</v>
      </c>
    </row>
    <row r="84" spans="1:5">
      <c r="A84" s="4102">
        <v>0</v>
      </c>
      <c r="B84" s="4102" t="s">
        <v>4681</v>
      </c>
      <c r="C84" s="4102">
        <v>3.9740499999999996</v>
      </c>
      <c r="D84" s="4102">
        <v>24474</v>
      </c>
      <c r="E84" s="4102">
        <v>97260.900000000009</v>
      </c>
    </row>
    <row r="85" spans="1:5">
      <c r="A85" s="4102">
        <v>0</v>
      </c>
      <c r="B85" s="4102" t="s">
        <v>4682</v>
      </c>
      <c r="C85" s="4102">
        <v>1207.3351599999999</v>
      </c>
      <c r="D85" s="4102">
        <v>37</v>
      </c>
      <c r="E85" s="4102">
        <v>44671.4</v>
      </c>
    </row>
    <row r="86" spans="1:5">
      <c r="A86" s="4102">
        <v>0</v>
      </c>
      <c r="B86" s="4102" t="s">
        <v>4683</v>
      </c>
      <c r="C86" s="4102">
        <v>1025.7991099999999</v>
      </c>
      <c r="D86" s="4102">
        <v>41</v>
      </c>
      <c r="E86" s="4102">
        <v>42057.760000000002</v>
      </c>
    </row>
    <row r="87" spans="1:5">
      <c r="A87" s="4102">
        <v>0</v>
      </c>
      <c r="B87" s="4102" t="s">
        <v>4732</v>
      </c>
      <c r="C87" s="4102">
        <v>3.9522799999999996</v>
      </c>
      <c r="D87" s="4102">
        <v>213972</v>
      </c>
      <c r="E87" s="4102">
        <v>845677.26</v>
      </c>
    </row>
    <row r="88" spans="1:5">
      <c r="A88" s="4102">
        <v>0</v>
      </c>
      <c r="B88" s="4102" t="s">
        <v>4733</v>
      </c>
      <c r="C88" s="4102">
        <v>1207.3351599999999</v>
      </c>
      <c r="D88" s="4102">
        <v>314</v>
      </c>
      <c r="E88" s="4102">
        <v>379103.24</v>
      </c>
    </row>
    <row r="89" spans="1:5">
      <c r="A89" s="4102">
        <v>0</v>
      </c>
      <c r="B89" s="4102" t="s">
        <v>4734</v>
      </c>
      <c r="C89" s="4102">
        <v>1025.7991099999999</v>
      </c>
      <c r="D89" s="4102">
        <v>342</v>
      </c>
      <c r="E89" s="4102">
        <v>350823.3</v>
      </c>
    </row>
    <row r="90" spans="1:5">
      <c r="A90" s="4102">
        <v>0</v>
      </c>
      <c r="B90" s="4102" t="s">
        <v>4736</v>
      </c>
      <c r="C90" s="4102">
        <v>3.5210999999999997</v>
      </c>
      <c r="D90" s="4102">
        <v>419972</v>
      </c>
      <c r="E90" s="4102">
        <v>1478763.41</v>
      </c>
    </row>
    <row r="91" spans="1:5">
      <c r="A91" s="4102">
        <v>0</v>
      </c>
      <c r="B91" s="4102" t="s">
        <v>4743</v>
      </c>
      <c r="C91" s="4102">
        <v>7.2218199999999992</v>
      </c>
      <c r="D91" s="4102">
        <v>134454</v>
      </c>
      <c r="E91" s="4102">
        <v>971002.59</v>
      </c>
    </row>
    <row r="92" spans="1:5">
      <c r="A92" s="4102">
        <v>0</v>
      </c>
      <c r="B92" s="4102" t="s">
        <v>4737</v>
      </c>
      <c r="C92" s="4102">
        <v>1207.3351599999999</v>
      </c>
      <c r="D92" s="4102">
        <v>652</v>
      </c>
      <c r="E92" s="4102">
        <v>787182.52</v>
      </c>
    </row>
    <row r="93" spans="1:5">
      <c r="A93" s="4102">
        <v>0</v>
      </c>
      <c r="B93" s="4102" t="s">
        <v>4738</v>
      </c>
      <c r="C93" s="4102">
        <v>1025.7991099999999</v>
      </c>
      <c r="D93" s="4102">
        <v>686</v>
      </c>
      <c r="E93" s="4102">
        <v>703698.19000000006</v>
      </c>
    </row>
    <row r="94" spans="1:5">
      <c r="A94" s="4102">
        <v>0</v>
      </c>
      <c r="B94" s="4102" t="s">
        <v>1818</v>
      </c>
      <c r="C94" s="4102">
        <v>1207.3351599999999</v>
      </c>
      <c r="D94" s="4102">
        <v>32</v>
      </c>
      <c r="E94" s="4102">
        <v>38634.730000000003</v>
      </c>
    </row>
    <row r="95" spans="1:5">
      <c r="A95" s="4102">
        <v>0</v>
      </c>
      <c r="B95" s="4102" t="s">
        <v>4813</v>
      </c>
      <c r="C95" s="4102">
        <v>3.9611199999999998</v>
      </c>
      <c r="D95" s="4102">
        <v>37583</v>
      </c>
      <c r="E95" s="4102">
        <v>148870.76999999999</v>
      </c>
    </row>
    <row r="96" spans="1:5">
      <c r="A96" s="4102">
        <v>0</v>
      </c>
      <c r="B96" s="4102" t="s">
        <v>4815</v>
      </c>
      <c r="C96" s="4102">
        <v>1207.3351599999999</v>
      </c>
      <c r="D96" s="4102">
        <v>52</v>
      </c>
      <c r="E96" s="4102">
        <v>62781.43</v>
      </c>
    </row>
    <row r="97" spans="1:5">
      <c r="A97" s="4102">
        <v>0</v>
      </c>
      <c r="B97" s="4102" t="s">
        <v>4816</v>
      </c>
      <c r="C97" s="4102">
        <v>1025.7991099999999</v>
      </c>
      <c r="D97" s="4102">
        <v>59</v>
      </c>
      <c r="E97" s="4102">
        <v>60522.15</v>
      </c>
    </row>
    <row r="98" spans="1:5">
      <c r="A98" s="4102">
        <v>0</v>
      </c>
      <c r="B98" s="4102" t="s">
        <v>4818</v>
      </c>
      <c r="C98" s="4102">
        <v>7.6199999999999992</v>
      </c>
      <c r="D98" s="4102">
        <v>213171</v>
      </c>
      <c r="E98" s="4102">
        <v>1624363.02</v>
      </c>
    </row>
    <row r="99" spans="1:5">
      <c r="A99" s="4102">
        <v>0</v>
      </c>
      <c r="B99" s="4102" t="s">
        <v>5117</v>
      </c>
      <c r="C99" s="4102">
        <v>4.0594199999999994</v>
      </c>
      <c r="D99" s="4102">
        <v>10570</v>
      </c>
      <c r="E99" s="4102">
        <v>42908.07</v>
      </c>
    </row>
    <row r="100" spans="1:5">
      <c r="A100" s="4102">
        <v>0</v>
      </c>
      <c r="B100" s="4102" t="s">
        <v>4964</v>
      </c>
      <c r="C100" s="4102">
        <v>7.6891399999999992</v>
      </c>
      <c r="D100" s="4102">
        <v>29326</v>
      </c>
      <c r="E100" s="4102">
        <v>225491.72</v>
      </c>
    </row>
    <row r="101" spans="1:5">
      <c r="A101" s="4102">
        <v>0</v>
      </c>
      <c r="B101" s="4102" t="s">
        <v>5118</v>
      </c>
      <c r="C101" s="4102">
        <v>1207.3351599999999</v>
      </c>
      <c r="D101" s="4102">
        <v>23</v>
      </c>
      <c r="E101" s="4102">
        <v>27768.71</v>
      </c>
    </row>
    <row r="102" spans="1:5">
      <c r="A102" s="4102">
        <v>0</v>
      </c>
      <c r="B102" s="4102" t="s">
        <v>5119</v>
      </c>
      <c r="C102" s="4102">
        <v>1025.7991099999999</v>
      </c>
      <c r="D102" s="4102">
        <v>29</v>
      </c>
      <c r="E102" s="4102">
        <v>29748.170000000002</v>
      </c>
    </row>
    <row r="103" spans="1:5">
      <c r="A103" s="4102">
        <v>0</v>
      </c>
      <c r="B103" s="4102" t="s">
        <v>5120</v>
      </c>
      <c r="C103" s="4102">
        <v>3.9993399999999997</v>
      </c>
      <c r="D103" s="4102">
        <v>4507</v>
      </c>
      <c r="E103" s="4102">
        <v>18025.03</v>
      </c>
    </row>
    <row r="104" spans="1:5">
      <c r="A104" s="4102">
        <v>0</v>
      </c>
      <c r="B104" s="4102" t="s">
        <v>5121</v>
      </c>
      <c r="C104" s="4102">
        <v>1207.3351599999999</v>
      </c>
      <c r="D104" s="4102">
        <v>10</v>
      </c>
      <c r="E104" s="4102">
        <v>12073.35</v>
      </c>
    </row>
    <row r="105" spans="1:5">
      <c r="A105" s="4102">
        <v>0</v>
      </c>
      <c r="B105" s="4102" t="s">
        <v>5122</v>
      </c>
      <c r="C105" s="4102">
        <v>1025.7991099999999</v>
      </c>
      <c r="D105" s="4102">
        <v>11</v>
      </c>
      <c r="E105" s="4102">
        <v>11283.79</v>
      </c>
    </row>
    <row r="106" spans="1:5">
      <c r="A106" s="4102">
        <v>0</v>
      </c>
      <c r="B106" s="4102" t="s">
        <v>5128</v>
      </c>
      <c r="C106" s="4102">
        <v>3.9773099999999997</v>
      </c>
      <c r="D106" s="4102">
        <v>16365</v>
      </c>
      <c r="E106" s="4102">
        <v>65088.68</v>
      </c>
    </row>
    <row r="107" spans="1:5">
      <c r="A107" s="4102">
        <v>0</v>
      </c>
      <c r="B107" s="4102" t="s">
        <v>5129</v>
      </c>
      <c r="C107" s="4102">
        <v>1207.3351599999999</v>
      </c>
      <c r="D107" s="4102">
        <v>21</v>
      </c>
      <c r="E107" s="4102">
        <v>25354.04</v>
      </c>
    </row>
    <row r="108" spans="1:5">
      <c r="A108" s="4102">
        <v>0</v>
      </c>
      <c r="B108" s="4102" t="s">
        <v>5130</v>
      </c>
      <c r="C108" s="4102">
        <v>1025.7991099999999</v>
      </c>
      <c r="D108" s="4102">
        <v>28</v>
      </c>
      <c r="E108" s="4102">
        <v>28722.38</v>
      </c>
    </row>
    <row r="109" spans="1:5">
      <c r="A109" s="4102">
        <v>0</v>
      </c>
      <c r="B109" s="4102" t="s">
        <v>1810</v>
      </c>
      <c r="C109" s="4102">
        <v>1207.3351599999999</v>
      </c>
      <c r="D109" s="4102">
        <v>1633</v>
      </c>
      <c r="E109" s="4102">
        <v>1971578.32</v>
      </c>
    </row>
    <row r="110" spans="1:5">
      <c r="A110" s="4102">
        <v>0</v>
      </c>
      <c r="B110" s="4102" t="s">
        <v>1811</v>
      </c>
      <c r="C110" s="4102">
        <v>1025.7991099999999</v>
      </c>
      <c r="D110" s="4102">
        <v>1871</v>
      </c>
      <c r="E110" s="4102">
        <v>1919270.1300000001</v>
      </c>
    </row>
    <row r="111" spans="1:5">
      <c r="A111" s="4102">
        <v>0</v>
      </c>
      <c r="B111" s="4102" t="s">
        <v>1993</v>
      </c>
      <c r="C111" s="4102">
        <v>1207.3351599999999</v>
      </c>
      <c r="D111" s="4102">
        <v>72</v>
      </c>
      <c r="E111" s="4102">
        <v>86928.13</v>
      </c>
    </row>
    <row r="112" spans="1:5">
      <c r="A112" s="4102">
        <v>0</v>
      </c>
      <c r="B112" s="4102" t="s">
        <v>1994</v>
      </c>
      <c r="C112" s="4102">
        <v>1025.7991099999999</v>
      </c>
      <c r="D112" s="4102">
        <v>86</v>
      </c>
      <c r="E112" s="4102">
        <v>88218.72</v>
      </c>
    </row>
    <row r="113" spans="1:5">
      <c r="A113" s="4102">
        <v>0</v>
      </c>
      <c r="B113" s="4102" t="s">
        <v>1995</v>
      </c>
      <c r="C113" s="4102">
        <v>3.9461299999999997</v>
      </c>
      <c r="D113" s="4102">
        <v>55347</v>
      </c>
      <c r="E113" s="4102">
        <v>218406.46</v>
      </c>
    </row>
    <row r="114" spans="1:5">
      <c r="A114" s="4102">
        <v>0</v>
      </c>
      <c r="B114" s="4102" t="s">
        <v>3798</v>
      </c>
      <c r="C114" s="4102">
        <v>3.5879099999999999</v>
      </c>
      <c r="D114" s="4102">
        <v>10597</v>
      </c>
      <c r="E114" s="4102">
        <v>38021.08</v>
      </c>
    </row>
    <row r="115" spans="1:5">
      <c r="A115" s="4102">
        <v>0</v>
      </c>
      <c r="B115" s="4102" t="s">
        <v>1996</v>
      </c>
      <c r="C115" s="4102">
        <v>3.9613599999999995</v>
      </c>
      <c r="D115" s="4102">
        <v>79004</v>
      </c>
      <c r="E115" s="4102">
        <v>312963.28999999998</v>
      </c>
    </row>
    <row r="116" spans="1:5">
      <c r="A116" s="4102">
        <v>0</v>
      </c>
      <c r="B116" s="4102" t="s">
        <v>92</v>
      </c>
      <c r="C116" s="4102">
        <v>7.2230699999999999</v>
      </c>
      <c r="D116" s="4102">
        <v>163630</v>
      </c>
      <c r="E116" s="4102">
        <v>1181910.95</v>
      </c>
    </row>
    <row r="117" spans="1:5">
      <c r="A117" s="4102">
        <v>0</v>
      </c>
      <c r="B117" s="4102" t="s">
        <v>93</v>
      </c>
      <c r="C117" s="4102">
        <v>7.4627499999999998</v>
      </c>
      <c r="D117" s="4102">
        <v>1769</v>
      </c>
      <c r="E117" s="4102">
        <v>13201.6</v>
      </c>
    </row>
    <row r="118" spans="1:5">
      <c r="A118" s="4102">
        <v>0</v>
      </c>
      <c r="B118" s="4102" t="s">
        <v>3800</v>
      </c>
      <c r="C118" s="4102">
        <v>1207.3351599999999</v>
      </c>
      <c r="D118" s="4102">
        <v>14</v>
      </c>
      <c r="E118" s="4102">
        <v>16902.689999999999</v>
      </c>
    </row>
    <row r="119" spans="1:5">
      <c r="A119" s="4102">
        <v>0</v>
      </c>
      <c r="B119" s="4102" t="s">
        <v>1997</v>
      </c>
      <c r="C119" s="4102">
        <v>1207.3351599999999</v>
      </c>
      <c r="D119" s="4102">
        <v>111</v>
      </c>
      <c r="E119" s="4102">
        <v>134014.20000000001</v>
      </c>
    </row>
    <row r="120" spans="1:5">
      <c r="A120" s="4102">
        <v>0</v>
      </c>
      <c r="B120" s="4102" t="s">
        <v>3801</v>
      </c>
      <c r="C120" s="4102">
        <v>2799.14266</v>
      </c>
      <c r="D120" s="4102">
        <v>15</v>
      </c>
      <c r="E120" s="4102">
        <v>41987.14</v>
      </c>
    </row>
    <row r="121" spans="1:5">
      <c r="A121" s="4102">
        <v>0</v>
      </c>
      <c r="B121" s="4102" t="s">
        <v>1998</v>
      </c>
      <c r="C121" s="4102">
        <v>1025.7991099999999</v>
      </c>
      <c r="D121" s="4102">
        <v>119</v>
      </c>
      <c r="E121" s="4102">
        <v>122070.09</v>
      </c>
    </row>
    <row r="122" spans="1:5">
      <c r="A122" s="4102">
        <v>0</v>
      </c>
      <c r="B122" s="4102" t="s">
        <v>2026</v>
      </c>
      <c r="C122" s="4102">
        <v>3.9640399999999998</v>
      </c>
      <c r="D122" s="4102">
        <v>3154</v>
      </c>
      <c r="E122" s="4102">
        <v>12502.58</v>
      </c>
    </row>
    <row r="123" spans="1:5">
      <c r="A123" s="4102">
        <v>0</v>
      </c>
      <c r="B123" s="4102" t="s">
        <v>2028</v>
      </c>
      <c r="C123" s="4102">
        <v>1207.3351599999999</v>
      </c>
      <c r="D123" s="4102">
        <v>5</v>
      </c>
      <c r="E123" s="4102">
        <v>6036.68</v>
      </c>
    </row>
    <row r="124" spans="1:5">
      <c r="A124" s="4102">
        <v>0</v>
      </c>
      <c r="B124" s="4102" t="s">
        <v>2029</v>
      </c>
      <c r="C124" s="4102">
        <v>1025.7991099999999</v>
      </c>
      <c r="D124" s="4102">
        <v>5</v>
      </c>
      <c r="E124" s="4102">
        <v>5129</v>
      </c>
    </row>
    <row r="125" spans="1:5">
      <c r="A125" s="4102">
        <v>0</v>
      </c>
      <c r="B125" s="4102" t="s">
        <v>2036</v>
      </c>
      <c r="C125" s="4102">
        <v>3.9734799999999999</v>
      </c>
      <c r="D125" s="4102">
        <v>7938</v>
      </c>
      <c r="E125" s="4102">
        <v>31541.48</v>
      </c>
    </row>
    <row r="126" spans="1:5">
      <c r="A126" s="4102">
        <v>0</v>
      </c>
      <c r="B126" s="4102" t="s">
        <v>2037</v>
      </c>
      <c r="C126" s="4102">
        <v>1207.3351599999999</v>
      </c>
      <c r="D126" s="4102">
        <v>13</v>
      </c>
      <c r="E126" s="4102">
        <v>15695.36</v>
      </c>
    </row>
    <row r="127" spans="1:5">
      <c r="A127" s="4102">
        <v>0</v>
      </c>
      <c r="B127" s="4102" t="s">
        <v>94</v>
      </c>
      <c r="C127" s="4102">
        <v>12.166399999999999</v>
      </c>
      <c r="D127" s="4102">
        <v>129236</v>
      </c>
      <c r="E127" s="4102">
        <v>1572336.87</v>
      </c>
    </row>
    <row r="128" spans="1:5">
      <c r="A128" s="4102">
        <v>0</v>
      </c>
      <c r="B128" s="4102" t="s">
        <v>95</v>
      </c>
      <c r="C128" s="4102">
        <v>12.406079999999999</v>
      </c>
      <c r="D128" s="4102">
        <v>1292</v>
      </c>
      <c r="E128" s="4102">
        <v>16028.66</v>
      </c>
    </row>
    <row r="129" spans="1:5">
      <c r="A129" s="4102">
        <v>0</v>
      </c>
      <c r="B129" s="4102" t="s">
        <v>2038</v>
      </c>
      <c r="C129" s="4102">
        <v>1025.7991099999999</v>
      </c>
      <c r="D129" s="4102">
        <v>22</v>
      </c>
      <c r="E129" s="4102">
        <v>22567.58</v>
      </c>
    </row>
    <row r="130" spans="1:5">
      <c r="A130" s="4102">
        <v>0</v>
      </c>
      <c r="B130" s="4102" t="s">
        <v>3584</v>
      </c>
      <c r="C130" s="4102">
        <v>4.0222499999999997</v>
      </c>
      <c r="D130" s="4102">
        <v>1578</v>
      </c>
      <c r="E130" s="4102">
        <v>6347.1100000000006</v>
      </c>
    </row>
    <row r="131" spans="1:5">
      <c r="A131" s="4102">
        <v>0</v>
      </c>
      <c r="B131" s="4102" t="s">
        <v>3585</v>
      </c>
      <c r="C131" s="4102">
        <v>1207.3351599999999</v>
      </c>
      <c r="D131" s="4102">
        <v>3</v>
      </c>
      <c r="E131" s="4102">
        <v>3622.01</v>
      </c>
    </row>
    <row r="132" spans="1:5">
      <c r="A132" s="4102">
        <v>0</v>
      </c>
      <c r="B132" s="4102" t="s">
        <v>3586</v>
      </c>
      <c r="C132" s="4102">
        <v>1025.7991099999999</v>
      </c>
      <c r="D132" s="4102">
        <v>4</v>
      </c>
      <c r="E132" s="4102">
        <v>4103.2</v>
      </c>
    </row>
    <row r="133" spans="1:5">
      <c r="A133" s="4102">
        <v>0</v>
      </c>
      <c r="B133" s="4102" t="s">
        <v>3587</v>
      </c>
      <c r="C133" s="4102">
        <v>3.9476199999999997</v>
      </c>
      <c r="D133" s="4102">
        <v>2632</v>
      </c>
      <c r="E133" s="4102">
        <v>10390.14</v>
      </c>
    </row>
    <row r="134" spans="1:5">
      <c r="A134" s="4102">
        <v>0</v>
      </c>
      <c r="B134" s="4102" t="s">
        <v>3588</v>
      </c>
      <c r="C134" s="4102">
        <v>1207.3351599999999</v>
      </c>
      <c r="D134" s="4102">
        <v>3</v>
      </c>
      <c r="E134" s="4102">
        <v>3622.01</v>
      </c>
    </row>
    <row r="135" spans="1:5">
      <c r="A135" s="4102">
        <v>0</v>
      </c>
      <c r="B135" s="4102" t="s">
        <v>3589</v>
      </c>
      <c r="C135" s="4102">
        <v>1025.7991099999999</v>
      </c>
      <c r="D135" s="4102">
        <v>4</v>
      </c>
      <c r="E135" s="4102">
        <v>4103.2</v>
      </c>
    </row>
    <row r="136" spans="1:5">
      <c r="A136" s="4102">
        <v>0</v>
      </c>
      <c r="B136" s="4102" t="s">
        <v>3772</v>
      </c>
      <c r="C136" s="4102">
        <v>3.5734599999999999</v>
      </c>
      <c r="D136" s="4102">
        <v>72095</v>
      </c>
      <c r="E136" s="4102">
        <v>257628.6</v>
      </c>
    </row>
    <row r="137" spans="1:5">
      <c r="A137" s="4102">
        <v>0</v>
      </c>
      <c r="B137" s="4102" t="s">
        <v>3773</v>
      </c>
      <c r="C137" s="4102">
        <v>1207.3351599999999</v>
      </c>
      <c r="D137" s="4102">
        <v>96</v>
      </c>
      <c r="E137" s="4102">
        <v>115904.18000000001</v>
      </c>
    </row>
    <row r="138" spans="1:5">
      <c r="A138" s="4102">
        <v>0</v>
      </c>
      <c r="B138" s="4102" t="s">
        <v>3774</v>
      </c>
      <c r="C138" s="4102">
        <v>2799.14266</v>
      </c>
      <c r="D138" s="4102">
        <v>100</v>
      </c>
      <c r="E138" s="4102">
        <v>279914.27</v>
      </c>
    </row>
    <row r="139" spans="1:5">
      <c r="A139" s="4102">
        <v>0</v>
      </c>
      <c r="B139" s="4102" t="s">
        <v>174</v>
      </c>
      <c r="C139" s="4102">
        <v>7.1683199999999996</v>
      </c>
      <c r="D139" s="4102">
        <v>206682</v>
      </c>
      <c r="E139" s="4102">
        <v>1481562.71</v>
      </c>
    </row>
    <row r="140" spans="1:5">
      <c r="A140" s="4102">
        <v>0</v>
      </c>
      <c r="B140" s="4102" t="s">
        <v>3594</v>
      </c>
      <c r="C140" s="4102">
        <v>3.9644699999999999</v>
      </c>
      <c r="D140" s="4102">
        <v>31606</v>
      </c>
      <c r="E140" s="4102">
        <v>125301.04000000001</v>
      </c>
    </row>
    <row r="141" spans="1:5">
      <c r="A141" s="4102">
        <v>0</v>
      </c>
      <c r="B141" s="4102" t="s">
        <v>3595</v>
      </c>
      <c r="C141" s="4102">
        <v>1207.3351599999999</v>
      </c>
      <c r="D141" s="4102">
        <v>67</v>
      </c>
      <c r="E141" s="4102">
        <v>80891.460000000006</v>
      </c>
    </row>
    <row r="142" spans="1:5">
      <c r="A142" s="4102">
        <v>0</v>
      </c>
      <c r="B142" s="4102" t="s">
        <v>3596</v>
      </c>
      <c r="C142" s="4102">
        <v>1025.7991099999999</v>
      </c>
      <c r="D142" s="4102">
        <v>81</v>
      </c>
      <c r="E142" s="4102">
        <v>83089.73</v>
      </c>
    </row>
    <row r="143" spans="1:5">
      <c r="A143" s="4102">
        <v>0</v>
      </c>
      <c r="B143" s="4102" t="s">
        <v>176</v>
      </c>
      <c r="C143" s="4102">
        <v>6.8901999999999992</v>
      </c>
      <c r="D143" s="4102">
        <v>2407493</v>
      </c>
      <c r="E143" s="4102">
        <v>16588108.27</v>
      </c>
    </row>
    <row r="144" spans="1:5">
      <c r="A144" s="4102">
        <v>0</v>
      </c>
      <c r="B144" s="4102" t="s">
        <v>175</v>
      </c>
      <c r="C144" s="4102">
        <v>7.1695099999999998</v>
      </c>
      <c r="D144" s="4102">
        <v>2926316</v>
      </c>
      <c r="E144" s="4102">
        <v>20980251.830000002</v>
      </c>
    </row>
    <row r="145" spans="1:5">
      <c r="A145" s="4102">
        <v>0</v>
      </c>
      <c r="B145" s="4102" t="s">
        <v>1825</v>
      </c>
      <c r="C145" s="4102">
        <v>3.94997</v>
      </c>
      <c r="D145" s="4102">
        <v>1788328</v>
      </c>
      <c r="E145" s="4102">
        <v>7063841.9500000002</v>
      </c>
    </row>
    <row r="146" spans="1:5">
      <c r="A146" s="4102">
        <v>1</v>
      </c>
      <c r="B146" s="4102" t="s">
        <v>4786</v>
      </c>
      <c r="C146" s="4102">
        <v>4.29</v>
      </c>
      <c r="D146" s="4102">
        <v>3424</v>
      </c>
      <c r="E146" s="4102">
        <v>12040.16</v>
      </c>
    </row>
    <row r="147" spans="1:5">
      <c r="A147" s="4102">
        <v>2</v>
      </c>
      <c r="B147" s="4102" t="s">
        <v>4777</v>
      </c>
      <c r="C147" s="4102">
        <v>2.73</v>
      </c>
      <c r="D147" s="4102">
        <v>9529</v>
      </c>
      <c r="E147" s="4102">
        <v>21323.09</v>
      </c>
    </row>
    <row r="148" spans="1:5">
      <c r="A148" s="4102">
        <v>2</v>
      </c>
      <c r="B148" s="4102" t="s">
        <v>4782</v>
      </c>
      <c r="C148" s="4102">
        <v>1.7999999999999998</v>
      </c>
      <c r="D148" s="4102">
        <v>4855</v>
      </c>
      <c r="E148" s="4102">
        <v>7163.1100000000006</v>
      </c>
    </row>
    <row r="149" spans="1:5">
      <c r="A149" s="4102">
        <v>2</v>
      </c>
      <c r="B149" s="4102" t="s">
        <v>4786</v>
      </c>
      <c r="C149" s="4102">
        <v>4.29</v>
      </c>
      <c r="D149" s="4102">
        <v>96734</v>
      </c>
      <c r="E149" s="4102">
        <v>340154.8</v>
      </c>
    </row>
    <row r="150" spans="1:5">
      <c r="A150" s="4102">
        <v>2</v>
      </c>
      <c r="B150" s="4102" t="s">
        <v>4787</v>
      </c>
      <c r="C150" s="4102">
        <v>7.14</v>
      </c>
      <c r="D150" s="4102">
        <v>-1187</v>
      </c>
      <c r="E150" s="4102">
        <v>-6946.87</v>
      </c>
    </row>
    <row r="151" spans="1:5">
      <c r="A151" s="4102">
        <v>2</v>
      </c>
      <c r="B151" s="4102" t="s">
        <v>4789</v>
      </c>
      <c r="C151" s="4102">
        <v>10.469999999999999</v>
      </c>
      <c r="D151" s="4102">
        <v>-1193</v>
      </c>
      <c r="E151" s="4102">
        <v>-10238.290000000001</v>
      </c>
    </row>
    <row r="152" spans="1:5">
      <c r="A152" s="4102">
        <v>2</v>
      </c>
      <c r="B152" s="4102" t="s">
        <v>4791</v>
      </c>
      <c r="C152" s="4102">
        <v>3.9099999999999997</v>
      </c>
      <c r="D152" s="4102">
        <v>936712</v>
      </c>
      <c r="E152" s="4102">
        <v>3002085.18</v>
      </c>
    </row>
    <row r="153" spans="1:5">
      <c r="A153" s="4102">
        <v>2</v>
      </c>
      <c r="B153" s="4102" t="s">
        <v>4792</v>
      </c>
      <c r="C153" s="4102">
        <v>6.01</v>
      </c>
      <c r="D153" s="4102">
        <v>-1052</v>
      </c>
      <c r="E153" s="4102">
        <v>-5182.3900000000003</v>
      </c>
    </row>
    <row r="154" spans="1:5">
      <c r="A154" s="4102">
        <v>2</v>
      </c>
      <c r="B154" s="4102" t="s">
        <v>4794</v>
      </c>
      <c r="C154" s="4102">
        <v>10.1</v>
      </c>
      <c r="D154" s="4102">
        <v>-7925</v>
      </c>
      <c r="E154" s="4102">
        <v>-65608.61</v>
      </c>
    </row>
    <row r="155" spans="1:5">
      <c r="A155" s="4102">
        <v>2</v>
      </c>
      <c r="B155" s="4102" t="s">
        <v>4796</v>
      </c>
      <c r="C155" s="4102">
        <v>2.57</v>
      </c>
      <c r="D155" s="4102">
        <v>466150</v>
      </c>
      <c r="E155" s="4102">
        <v>981971.72</v>
      </c>
    </row>
    <row r="156" spans="1:5">
      <c r="A156" s="4102">
        <v>2</v>
      </c>
      <c r="B156" s="4102" t="s">
        <v>4797</v>
      </c>
      <c r="C156" s="4102">
        <v>4.76</v>
      </c>
      <c r="D156" s="4102">
        <v>-634</v>
      </c>
      <c r="E156" s="4102">
        <v>-2473.64</v>
      </c>
    </row>
    <row r="157" spans="1:5">
      <c r="A157" s="4102">
        <v>2</v>
      </c>
      <c r="B157" s="4102" t="s">
        <v>4799</v>
      </c>
      <c r="C157" s="4102">
        <v>6.2799999999999994</v>
      </c>
      <c r="D157" s="4102">
        <v>-4116</v>
      </c>
      <c r="E157" s="4102">
        <v>-21187.279999999999</v>
      </c>
    </row>
    <row r="158" spans="1:5">
      <c r="A158" s="4102">
        <v>4</v>
      </c>
      <c r="B158" s="4102" t="s">
        <v>4801</v>
      </c>
      <c r="C158" s="4102">
        <v>3.9099999999999997</v>
      </c>
      <c r="D158" s="4102">
        <v>9007</v>
      </c>
      <c r="E158" s="4102">
        <v>28866.71</v>
      </c>
    </row>
    <row r="159" spans="1:5">
      <c r="A159" s="4102">
        <v>4</v>
      </c>
      <c r="B159" s="4102" t="s">
        <v>4802</v>
      </c>
      <c r="C159" s="4102">
        <v>3.9099999999999997</v>
      </c>
      <c r="D159" s="4102">
        <v>12445</v>
      </c>
      <c r="E159" s="4102">
        <v>39885.21</v>
      </c>
    </row>
    <row r="160" spans="1:5">
      <c r="A160" s="4102">
        <v>4</v>
      </c>
      <c r="B160" s="4102" t="s">
        <v>4806</v>
      </c>
      <c r="C160" s="4102">
        <v>2.57</v>
      </c>
      <c r="D160" s="4102">
        <v>3381</v>
      </c>
      <c r="E160" s="4102">
        <v>7122.26</v>
      </c>
    </row>
    <row r="161" spans="1:5">
      <c r="A161" s="4102">
        <v>4</v>
      </c>
      <c r="B161" s="4102" t="s">
        <v>4807</v>
      </c>
      <c r="C161" s="4102">
        <v>2.57</v>
      </c>
      <c r="D161" s="4102">
        <v>6136</v>
      </c>
      <c r="E161" s="4102">
        <v>12925.84</v>
      </c>
    </row>
    <row r="162" spans="1:5">
      <c r="A162" s="4102">
        <v>4</v>
      </c>
      <c r="B162" s="4102" t="s">
        <v>4811</v>
      </c>
      <c r="C162" s="4102">
        <v>4.29</v>
      </c>
      <c r="D162" s="4102">
        <v>8933</v>
      </c>
      <c r="E162" s="4102">
        <v>31411.93</v>
      </c>
    </row>
    <row r="163" spans="1:5">
      <c r="A163" s="4102">
        <v>4</v>
      </c>
      <c r="B163" s="4102" t="s">
        <v>4812</v>
      </c>
      <c r="C163" s="4102">
        <v>4.29</v>
      </c>
      <c r="D163" s="4102">
        <v>2019</v>
      </c>
      <c r="E163" s="4102">
        <v>7099.6</v>
      </c>
    </row>
    <row r="164" spans="1:5">
      <c r="A164" s="4102">
        <v>4</v>
      </c>
      <c r="B164" s="4102" t="s">
        <v>90</v>
      </c>
      <c r="C164" s="4102">
        <v>8.7503299999999999</v>
      </c>
      <c r="D164" s="4102">
        <v>769</v>
      </c>
      <c r="E164" s="4102">
        <v>6729</v>
      </c>
    </row>
    <row r="165" spans="1:5">
      <c r="A165" s="4102">
        <v>4</v>
      </c>
      <c r="B165" s="4102" t="s">
        <v>91</v>
      </c>
      <c r="C165" s="4102">
        <v>8.9900099999999998</v>
      </c>
      <c r="D165" s="4102">
        <v>217</v>
      </c>
      <c r="E165" s="4102">
        <v>1950.83</v>
      </c>
    </row>
    <row r="166" spans="1:5">
      <c r="A166" s="4102">
        <v>6</v>
      </c>
      <c r="B166" s="4102" t="s">
        <v>4772</v>
      </c>
      <c r="C166" s="4102">
        <v>3</v>
      </c>
      <c r="D166" s="4102">
        <v>11183</v>
      </c>
      <c r="E166" s="4102">
        <v>27499.18</v>
      </c>
    </row>
    <row r="167" spans="1:5">
      <c r="A167" s="4102">
        <v>6</v>
      </c>
      <c r="B167" s="4102" t="s">
        <v>4777</v>
      </c>
      <c r="C167" s="4102">
        <v>2.73</v>
      </c>
      <c r="D167" s="4102">
        <v>589365</v>
      </c>
      <c r="E167" s="4102">
        <v>1318824.95</v>
      </c>
    </row>
    <row r="168" spans="1:5">
      <c r="A168" s="4102">
        <v>6</v>
      </c>
      <c r="B168" s="4102" t="s">
        <v>4778</v>
      </c>
      <c r="C168" s="4102">
        <v>6.01</v>
      </c>
      <c r="D168" s="4102">
        <v>6960</v>
      </c>
      <c r="E168" s="4102">
        <v>34286.550000000003</v>
      </c>
    </row>
    <row r="169" spans="1:5">
      <c r="A169" s="4102">
        <v>6</v>
      </c>
      <c r="B169" s="4102" t="s">
        <v>4779</v>
      </c>
      <c r="C169" s="4102">
        <v>10.1</v>
      </c>
      <c r="D169" s="4102">
        <v>9853</v>
      </c>
      <c r="E169" s="4102">
        <v>81569.91</v>
      </c>
    </row>
    <row r="170" spans="1:5">
      <c r="A170" s="4102">
        <v>6</v>
      </c>
      <c r="B170" s="4102" t="s">
        <v>4782</v>
      </c>
      <c r="C170" s="4102">
        <v>1.7999999999999998</v>
      </c>
      <c r="D170" s="4102">
        <v>294897</v>
      </c>
      <c r="E170" s="4102">
        <v>435093.93</v>
      </c>
    </row>
    <row r="171" spans="1:5">
      <c r="A171" s="4102">
        <v>6</v>
      </c>
      <c r="B171" s="4102" t="s">
        <v>4783</v>
      </c>
      <c r="C171" s="4102">
        <v>4.76</v>
      </c>
      <c r="D171" s="4102">
        <v>3514</v>
      </c>
      <c r="E171" s="4102">
        <v>13710.36</v>
      </c>
    </row>
    <row r="172" spans="1:5">
      <c r="A172" s="4102">
        <v>6</v>
      </c>
      <c r="B172" s="4102" t="s">
        <v>4784</v>
      </c>
      <c r="C172" s="4102">
        <v>6.2799999999999994</v>
      </c>
      <c r="D172" s="4102">
        <v>4958</v>
      </c>
      <c r="E172" s="4102">
        <v>25521.5</v>
      </c>
    </row>
    <row r="173" spans="1:5">
      <c r="A173" s="4102">
        <v>8</v>
      </c>
      <c r="B173" s="4102" t="s">
        <v>4771</v>
      </c>
      <c r="C173" s="4102">
        <v>3</v>
      </c>
      <c r="D173" s="4102">
        <v>40776</v>
      </c>
      <c r="E173" s="4102">
        <v>100268.86</v>
      </c>
    </row>
    <row r="174" spans="1:5">
      <c r="A174" s="4102">
        <v>8</v>
      </c>
      <c r="B174" s="4102" t="s">
        <v>4772</v>
      </c>
      <c r="C174" s="4102">
        <v>3</v>
      </c>
      <c r="D174" s="4102">
        <v>745341</v>
      </c>
      <c r="E174" s="4102">
        <v>1832805.76</v>
      </c>
    </row>
    <row r="175" spans="1:5">
      <c r="A175" s="4102">
        <v>8</v>
      </c>
      <c r="B175" s="4102" t="s">
        <v>4777</v>
      </c>
      <c r="C175" s="4102">
        <v>2.73</v>
      </c>
      <c r="D175" s="4102">
        <v>30471</v>
      </c>
      <c r="E175" s="4102">
        <v>68185.100000000006</v>
      </c>
    </row>
    <row r="176" spans="1:5">
      <c r="A176" s="4102">
        <v>8</v>
      </c>
      <c r="B176" s="4102" t="s">
        <v>4781</v>
      </c>
      <c r="C176" s="4102">
        <v>1.7999999999999998</v>
      </c>
      <c r="D176" s="4102">
        <v>216</v>
      </c>
      <c r="E176" s="4102">
        <v>318.69</v>
      </c>
    </row>
    <row r="177" spans="1:5">
      <c r="A177" s="4102">
        <v>8</v>
      </c>
      <c r="B177" s="4102" t="s">
        <v>4782</v>
      </c>
      <c r="C177" s="4102">
        <v>1.7999999999999998</v>
      </c>
      <c r="D177" s="4102">
        <v>10581</v>
      </c>
      <c r="E177" s="4102">
        <v>15611.31</v>
      </c>
    </row>
    <row r="178" spans="1:5">
      <c r="A178" s="4102">
        <v>8</v>
      </c>
      <c r="B178" s="4102" t="s">
        <v>4786</v>
      </c>
      <c r="C178" s="4102">
        <v>4.29</v>
      </c>
      <c r="D178" s="4102">
        <v>1829</v>
      </c>
      <c r="E178" s="4102">
        <v>6431.46</v>
      </c>
    </row>
    <row r="179" spans="1:5">
      <c r="A179" s="4102">
        <v>8</v>
      </c>
      <c r="B179" s="4102" t="s">
        <v>90</v>
      </c>
      <c r="C179" s="4102">
        <v>8.7503299999999999</v>
      </c>
      <c r="D179" s="4102">
        <v>13159</v>
      </c>
      <c r="E179" s="4102">
        <v>115145.59</v>
      </c>
    </row>
    <row r="180" spans="1:5">
      <c r="A180" s="4102">
        <v>9</v>
      </c>
      <c r="B180" s="4102" t="s">
        <v>4771</v>
      </c>
      <c r="C180" s="4102">
        <v>3</v>
      </c>
      <c r="D180" s="4102">
        <v>3418</v>
      </c>
      <c r="E180" s="4102">
        <v>8404.92</v>
      </c>
    </row>
    <row r="181" spans="1:5">
      <c r="A181" s="4102">
        <v>9</v>
      </c>
      <c r="B181" s="4102" t="s">
        <v>4772</v>
      </c>
      <c r="C181" s="4102">
        <v>2.09</v>
      </c>
      <c r="D181" s="4102">
        <v>-1078</v>
      </c>
      <c r="E181" s="4102">
        <v>-1846.73</v>
      </c>
    </row>
    <row r="182" spans="1:5">
      <c r="A182" s="4102">
        <v>9</v>
      </c>
      <c r="B182" s="4102" t="s">
        <v>4772</v>
      </c>
      <c r="C182" s="4102">
        <v>2.1599999999999997</v>
      </c>
      <c r="D182" s="4102">
        <v>-6468</v>
      </c>
      <c r="E182" s="4102">
        <v>-11451.54</v>
      </c>
    </row>
    <row r="183" spans="1:5">
      <c r="A183" s="4102">
        <v>9</v>
      </c>
      <c r="B183" s="4102" t="s">
        <v>4772</v>
      </c>
      <c r="C183" s="4102">
        <v>2.23</v>
      </c>
      <c r="D183" s="4102">
        <v>-2695</v>
      </c>
      <c r="E183" s="4102">
        <v>-4926.1000000000004</v>
      </c>
    </row>
    <row r="184" spans="1:5">
      <c r="A184" s="4102">
        <v>9</v>
      </c>
      <c r="B184" s="4102" t="s">
        <v>4772</v>
      </c>
      <c r="C184" s="4102">
        <v>2.4299999999999997</v>
      </c>
      <c r="D184" s="4102">
        <v>-11688</v>
      </c>
      <c r="E184" s="4102">
        <v>-23280.18</v>
      </c>
    </row>
    <row r="185" spans="1:5">
      <c r="A185" s="4102">
        <v>9</v>
      </c>
      <c r="B185" s="4102" t="s">
        <v>4772</v>
      </c>
      <c r="C185" s="4102">
        <v>2.63</v>
      </c>
      <c r="D185" s="4102">
        <v>-18960</v>
      </c>
      <c r="E185" s="4102">
        <v>-40872.78</v>
      </c>
    </row>
    <row r="186" spans="1:5">
      <c r="A186" s="4102">
        <v>9</v>
      </c>
      <c r="B186" s="4102" t="s">
        <v>4772</v>
      </c>
      <c r="C186" s="4102">
        <v>2.9499999999999997</v>
      </c>
      <c r="D186" s="4102">
        <v>-19705</v>
      </c>
      <c r="E186" s="4102">
        <v>-47647.33</v>
      </c>
    </row>
    <row r="187" spans="1:5">
      <c r="A187" s="4102">
        <v>9</v>
      </c>
      <c r="B187" s="4102" t="s">
        <v>4772</v>
      </c>
      <c r="C187" s="4102">
        <v>3</v>
      </c>
      <c r="D187" s="4102">
        <v>6652977</v>
      </c>
      <c r="E187" s="4102">
        <v>16359779.470000001</v>
      </c>
    </row>
    <row r="188" spans="1:5">
      <c r="A188" s="4102">
        <v>9</v>
      </c>
      <c r="B188" s="4102" t="s">
        <v>4773</v>
      </c>
      <c r="C188" s="4102">
        <v>7.14</v>
      </c>
      <c r="D188" s="4102">
        <v>12456</v>
      </c>
      <c r="E188" s="4102">
        <v>72898.23</v>
      </c>
    </row>
    <row r="189" spans="1:5">
      <c r="A189" s="4102">
        <v>9</v>
      </c>
      <c r="B189" s="4102" t="s">
        <v>4774</v>
      </c>
      <c r="C189" s="4102">
        <v>10.469999999999999</v>
      </c>
      <c r="D189" s="4102">
        <v>41</v>
      </c>
      <c r="E189" s="4102">
        <v>351.86</v>
      </c>
    </row>
    <row r="190" spans="1:5">
      <c r="A190" s="4102">
        <v>9</v>
      </c>
      <c r="B190" s="4102" t="s">
        <v>4802</v>
      </c>
      <c r="C190" s="4102">
        <v>3.9099999999999997</v>
      </c>
      <c r="D190" s="4102">
        <v>83</v>
      </c>
      <c r="E190" s="4102">
        <v>266.01</v>
      </c>
    </row>
    <row r="191" spans="1:5">
      <c r="A191" s="4102">
        <v>9</v>
      </c>
      <c r="B191" s="4102" t="s">
        <v>4807</v>
      </c>
      <c r="C191" s="4102">
        <v>2.57</v>
      </c>
      <c r="D191" s="4102">
        <v>19</v>
      </c>
      <c r="E191" s="4102">
        <v>40.03</v>
      </c>
    </row>
    <row r="192" spans="1:5">
      <c r="A192" s="4102">
        <v>9</v>
      </c>
      <c r="B192" s="4102" t="s">
        <v>4812</v>
      </c>
      <c r="C192" s="4102">
        <v>4.29</v>
      </c>
      <c r="D192" s="4102">
        <v>4920</v>
      </c>
      <c r="E192" s="4102">
        <v>17300.66</v>
      </c>
    </row>
    <row r="193" spans="1:5">
      <c r="A193" s="4102">
        <v>9</v>
      </c>
      <c r="B193" s="4102" t="s">
        <v>4776</v>
      </c>
      <c r="C193" s="4102">
        <v>2.73</v>
      </c>
      <c r="D193" s="4102">
        <v>1207740</v>
      </c>
      <c r="E193" s="4102">
        <v>2702565.74</v>
      </c>
    </row>
    <row r="194" spans="1:5">
      <c r="A194" s="4102">
        <v>9</v>
      </c>
      <c r="B194" s="4102" t="s">
        <v>4777</v>
      </c>
      <c r="C194" s="4102">
        <v>2.11</v>
      </c>
      <c r="D194" s="4102">
        <v>-2037</v>
      </c>
      <c r="E194" s="4102">
        <v>-3523</v>
      </c>
    </row>
    <row r="195" spans="1:5">
      <c r="A195" s="4102">
        <v>9</v>
      </c>
      <c r="B195" s="4102" t="s">
        <v>4777</v>
      </c>
      <c r="C195" s="4102">
        <v>2.4499999999999997</v>
      </c>
      <c r="D195" s="4102">
        <v>-1089</v>
      </c>
      <c r="E195" s="4102">
        <v>-2186.92</v>
      </c>
    </row>
    <row r="196" spans="1:5">
      <c r="A196" s="4102">
        <v>9</v>
      </c>
      <c r="B196" s="4102" t="s">
        <v>4777</v>
      </c>
      <c r="C196" s="4102">
        <v>2.67</v>
      </c>
      <c r="D196" s="4102">
        <v>4262</v>
      </c>
      <c r="E196" s="4102">
        <v>9327.49</v>
      </c>
    </row>
    <row r="197" spans="1:5">
      <c r="A197" s="4102">
        <v>9</v>
      </c>
      <c r="B197" s="4102" t="s">
        <v>4777</v>
      </c>
      <c r="C197" s="4102">
        <v>2.69</v>
      </c>
      <c r="D197" s="4102">
        <v>3827</v>
      </c>
      <c r="E197" s="4102">
        <v>8438.2199999999993</v>
      </c>
    </row>
    <row r="198" spans="1:5">
      <c r="A198" s="4102">
        <v>9</v>
      </c>
      <c r="B198" s="4102" t="s">
        <v>4777</v>
      </c>
      <c r="C198" s="4102">
        <v>2.73</v>
      </c>
      <c r="D198" s="4102">
        <v>8403600</v>
      </c>
      <c r="E198" s="4102">
        <v>18804777.010000002</v>
      </c>
    </row>
    <row r="199" spans="1:5">
      <c r="A199" s="4102">
        <v>9</v>
      </c>
      <c r="B199" s="4102" t="s">
        <v>4778</v>
      </c>
      <c r="C199" s="4102">
        <v>6.01</v>
      </c>
      <c r="D199" s="4102">
        <v>13359</v>
      </c>
      <c r="E199" s="4102">
        <v>65809.509999999995</v>
      </c>
    </row>
    <row r="200" spans="1:5">
      <c r="A200" s="4102">
        <v>9</v>
      </c>
      <c r="B200" s="4102" t="s">
        <v>4779</v>
      </c>
      <c r="C200" s="4102">
        <v>10.1</v>
      </c>
      <c r="D200" s="4102">
        <v>3729</v>
      </c>
      <c r="E200" s="4102">
        <v>30871.24</v>
      </c>
    </row>
    <row r="201" spans="1:5">
      <c r="A201" s="4102">
        <v>9</v>
      </c>
      <c r="B201" s="4102" t="s">
        <v>4781</v>
      </c>
      <c r="C201" s="4102">
        <v>1.7999999999999998</v>
      </c>
      <c r="D201" s="4102">
        <v>402075</v>
      </c>
      <c r="E201" s="4102">
        <v>593225.43000000005</v>
      </c>
    </row>
    <row r="202" spans="1:5">
      <c r="A202" s="4102">
        <v>9</v>
      </c>
      <c r="B202" s="4102" t="s">
        <v>4782</v>
      </c>
      <c r="C202" s="4102">
        <v>1.04</v>
      </c>
      <c r="D202" s="4102">
        <v>-91</v>
      </c>
      <c r="E202" s="4102">
        <v>-77.570000000000007</v>
      </c>
    </row>
    <row r="203" spans="1:5">
      <c r="A203" s="4102">
        <v>9</v>
      </c>
      <c r="B203" s="4102" t="s">
        <v>4782</v>
      </c>
      <c r="C203" s="4102">
        <v>1.0699999999999998</v>
      </c>
      <c r="D203" s="4102">
        <v>1416</v>
      </c>
      <c r="E203" s="4102">
        <v>1241.9000000000001</v>
      </c>
    </row>
    <row r="204" spans="1:5">
      <c r="A204" s="4102">
        <v>9</v>
      </c>
      <c r="B204" s="4102" t="s">
        <v>4782</v>
      </c>
      <c r="C204" s="4102">
        <v>1.0999999999999999</v>
      </c>
      <c r="D204" s="4102">
        <v>590</v>
      </c>
      <c r="E204" s="4102">
        <v>531.96</v>
      </c>
    </row>
    <row r="205" spans="1:5">
      <c r="A205" s="4102">
        <v>9</v>
      </c>
      <c r="B205" s="4102" t="s">
        <v>4782</v>
      </c>
      <c r="C205" s="4102">
        <v>1.19</v>
      </c>
      <c r="D205" s="4102">
        <v>2377</v>
      </c>
      <c r="E205" s="4102">
        <v>2318.54</v>
      </c>
    </row>
    <row r="206" spans="1:5">
      <c r="A206" s="4102">
        <v>9</v>
      </c>
      <c r="B206" s="4102" t="s">
        <v>4782</v>
      </c>
      <c r="C206" s="4102">
        <v>1.2999999999999998</v>
      </c>
      <c r="D206" s="4102">
        <v>4615</v>
      </c>
      <c r="E206" s="4102">
        <v>4917.62</v>
      </c>
    </row>
    <row r="207" spans="1:5">
      <c r="A207" s="4102">
        <v>9</v>
      </c>
      <c r="B207" s="4102" t="s">
        <v>4782</v>
      </c>
      <c r="C207" s="4102">
        <v>1.7699999999999998</v>
      </c>
      <c r="D207" s="4102">
        <v>9730</v>
      </c>
      <c r="E207" s="4102">
        <v>14116.470000000001</v>
      </c>
    </row>
    <row r="208" spans="1:5">
      <c r="A208" s="4102">
        <v>9</v>
      </c>
      <c r="B208" s="4102" t="s">
        <v>4782</v>
      </c>
      <c r="C208" s="4102">
        <v>1.7999999999999998</v>
      </c>
      <c r="D208" s="4102">
        <v>2793510</v>
      </c>
      <c r="E208" s="4102">
        <v>4121572.16</v>
      </c>
    </row>
    <row r="209" spans="1:5">
      <c r="A209" s="4102">
        <v>9</v>
      </c>
      <c r="B209" s="4102" t="s">
        <v>4783</v>
      </c>
      <c r="C209" s="4102">
        <v>4.76</v>
      </c>
      <c r="D209" s="4102">
        <v>4649</v>
      </c>
      <c r="E209" s="4102">
        <v>18138.73</v>
      </c>
    </row>
    <row r="210" spans="1:5">
      <c r="A210" s="4102">
        <v>9</v>
      </c>
      <c r="B210" s="4102" t="s">
        <v>4784</v>
      </c>
      <c r="C210" s="4102">
        <v>6.2799999999999994</v>
      </c>
      <c r="D210" s="4102">
        <v>-24893</v>
      </c>
      <c r="E210" s="4102">
        <v>-128137.73</v>
      </c>
    </row>
    <row r="211" spans="1:5">
      <c r="A211" s="4102">
        <v>9</v>
      </c>
      <c r="B211" s="4102" t="s">
        <v>90</v>
      </c>
      <c r="C211" s="4102">
        <v>8.7503299999999999</v>
      </c>
      <c r="D211" s="4102">
        <v>13290</v>
      </c>
      <c r="E211" s="4102">
        <v>116291.89</v>
      </c>
    </row>
    <row r="212" spans="1:5">
      <c r="A212" s="4102">
        <v>9</v>
      </c>
      <c r="B212" s="4102" t="s">
        <v>91</v>
      </c>
      <c r="C212" s="4102">
        <v>8.9900099999999998</v>
      </c>
      <c r="D212" s="4102">
        <v>29557</v>
      </c>
      <c r="E212" s="4102">
        <v>265717.73</v>
      </c>
    </row>
    <row r="213" spans="1:5">
      <c r="A213" s="4102">
        <v>10</v>
      </c>
      <c r="B213" s="4102" t="s">
        <v>4801</v>
      </c>
      <c r="C213" s="4102">
        <v>3.9099999999999997</v>
      </c>
      <c r="D213" s="4102">
        <v>2691</v>
      </c>
      <c r="E213" s="4102">
        <v>8624.44</v>
      </c>
    </row>
    <row r="214" spans="1:5">
      <c r="A214" s="4102">
        <v>10</v>
      </c>
      <c r="B214" s="4102" t="s">
        <v>4803</v>
      </c>
      <c r="C214" s="4102">
        <v>6.01</v>
      </c>
      <c r="D214" s="4102">
        <v>351</v>
      </c>
      <c r="E214" s="4102">
        <v>1729.1100000000001</v>
      </c>
    </row>
    <row r="215" spans="1:5">
      <c r="A215" s="4102">
        <v>10</v>
      </c>
      <c r="B215" s="4102" t="s">
        <v>4806</v>
      </c>
      <c r="C215" s="4102">
        <v>2.57</v>
      </c>
      <c r="D215" s="4102">
        <v>1447</v>
      </c>
      <c r="E215" s="4102">
        <v>3048.19</v>
      </c>
    </row>
    <row r="216" spans="1:5">
      <c r="A216" s="4102">
        <v>10</v>
      </c>
      <c r="B216" s="4102" t="s">
        <v>4808</v>
      </c>
      <c r="C216" s="4102">
        <v>4.76</v>
      </c>
      <c r="D216" s="4102">
        <v>188</v>
      </c>
      <c r="E216" s="4102">
        <v>733.51</v>
      </c>
    </row>
    <row r="217" spans="1:5">
      <c r="A217" s="4102">
        <v>10</v>
      </c>
      <c r="B217" s="4102" t="s">
        <v>4811</v>
      </c>
      <c r="C217" s="4102">
        <v>4.29</v>
      </c>
      <c r="D217" s="4102">
        <v>1481</v>
      </c>
      <c r="E217" s="4102">
        <v>5207.78</v>
      </c>
    </row>
    <row r="218" spans="1:5">
      <c r="A218" s="4102">
        <v>10</v>
      </c>
      <c r="B218" s="4102" t="s">
        <v>4777</v>
      </c>
      <c r="C218" s="4102">
        <v>2.73</v>
      </c>
      <c r="D218" s="4102">
        <v>5348</v>
      </c>
      <c r="E218" s="4102">
        <v>11967.25</v>
      </c>
    </row>
    <row r="219" spans="1:5">
      <c r="A219" s="4102">
        <v>10</v>
      </c>
      <c r="B219" s="4102" t="s">
        <v>4782</v>
      </c>
      <c r="C219" s="4102">
        <v>1.7999999999999998</v>
      </c>
      <c r="D219" s="4102">
        <v>2577</v>
      </c>
      <c r="E219" s="4102">
        <v>3802.13</v>
      </c>
    </row>
    <row r="220" spans="1:5">
      <c r="A220" s="4102">
        <v>10</v>
      </c>
      <c r="B220" s="4102" t="s">
        <v>91</v>
      </c>
      <c r="C220" s="4102">
        <v>8.9900099999999998</v>
      </c>
      <c r="D220" s="4102">
        <v>1436</v>
      </c>
      <c r="E220" s="4102">
        <v>12909.65</v>
      </c>
    </row>
    <row r="221" spans="1:5">
      <c r="A221" s="4102">
        <v>14</v>
      </c>
      <c r="B221" s="4102" t="s">
        <v>4801</v>
      </c>
      <c r="C221" s="4102">
        <v>3.9099999999999997</v>
      </c>
      <c r="D221" s="4102">
        <v>5394</v>
      </c>
      <c r="E221" s="4102">
        <v>17287.330000000002</v>
      </c>
    </row>
    <row r="222" spans="1:5">
      <c r="A222" s="4102">
        <v>14</v>
      </c>
      <c r="B222" s="4102" t="s">
        <v>4802</v>
      </c>
      <c r="C222" s="4102">
        <v>3.9099999999999997</v>
      </c>
      <c r="D222" s="4102">
        <v>21503</v>
      </c>
      <c r="E222" s="4102">
        <v>68915.350000000006</v>
      </c>
    </row>
    <row r="223" spans="1:5">
      <c r="A223" s="4102">
        <v>14</v>
      </c>
      <c r="B223" s="4102" t="s">
        <v>4806</v>
      </c>
      <c r="C223" s="4102">
        <v>2.57</v>
      </c>
      <c r="D223" s="4102">
        <v>1639</v>
      </c>
      <c r="E223" s="4102">
        <v>3452.65</v>
      </c>
    </row>
    <row r="224" spans="1:5">
      <c r="A224" s="4102">
        <v>14</v>
      </c>
      <c r="B224" s="4102" t="s">
        <v>4807</v>
      </c>
      <c r="C224" s="4102">
        <v>2.57</v>
      </c>
      <c r="D224" s="4102">
        <v>10736</v>
      </c>
      <c r="E224" s="4102">
        <v>22616</v>
      </c>
    </row>
    <row r="225" spans="1:5">
      <c r="A225" s="4102">
        <v>14</v>
      </c>
      <c r="B225" s="4102" t="s">
        <v>4812</v>
      </c>
      <c r="C225" s="4102">
        <v>4.29</v>
      </c>
      <c r="D225" s="4102">
        <v>11880</v>
      </c>
      <c r="E225" s="4102">
        <v>41774.75</v>
      </c>
    </row>
    <row r="226" spans="1:5">
      <c r="A226" s="4102">
        <v>15</v>
      </c>
      <c r="B226" s="4102" t="s">
        <v>4801</v>
      </c>
      <c r="C226" s="4102">
        <v>3.9099999999999997</v>
      </c>
      <c r="D226" s="4102">
        <v>613323</v>
      </c>
      <c r="E226" s="4102">
        <v>1965649.98</v>
      </c>
    </row>
    <row r="227" spans="1:5">
      <c r="A227" s="4102">
        <v>15</v>
      </c>
      <c r="B227" s="4102" t="s">
        <v>4802</v>
      </c>
      <c r="C227" s="4102">
        <v>3.9099999999999997</v>
      </c>
      <c r="D227" s="4102">
        <v>25465</v>
      </c>
      <c r="E227" s="4102">
        <v>81613.23</v>
      </c>
    </row>
    <row r="228" spans="1:5">
      <c r="A228" s="4102">
        <v>15</v>
      </c>
      <c r="B228" s="4102" t="s">
        <v>4806</v>
      </c>
      <c r="C228" s="4102">
        <v>2.57</v>
      </c>
      <c r="D228" s="4102">
        <v>315918</v>
      </c>
      <c r="E228" s="4102">
        <v>665499.41</v>
      </c>
    </row>
    <row r="229" spans="1:5">
      <c r="A229" s="4102">
        <v>15</v>
      </c>
      <c r="B229" s="4102" t="s">
        <v>4807</v>
      </c>
      <c r="C229" s="4102">
        <v>2.57</v>
      </c>
      <c r="D229" s="4102">
        <v>14668</v>
      </c>
      <c r="E229" s="4102">
        <v>30899</v>
      </c>
    </row>
    <row r="230" spans="1:5">
      <c r="A230" s="4102">
        <v>15</v>
      </c>
      <c r="B230" s="4102" t="s">
        <v>4812</v>
      </c>
      <c r="C230" s="4102">
        <v>4.29</v>
      </c>
      <c r="D230" s="4102">
        <v>18</v>
      </c>
      <c r="E230" s="4102">
        <v>63.300000000000004</v>
      </c>
    </row>
    <row r="231" spans="1:5">
      <c r="A231" s="4102">
        <v>15</v>
      </c>
      <c r="B231" s="4102" t="s">
        <v>4776</v>
      </c>
      <c r="C231" s="4102">
        <v>2.73</v>
      </c>
      <c r="D231" s="4102">
        <v>5005</v>
      </c>
      <c r="E231" s="4102">
        <v>11199.710000000001</v>
      </c>
    </row>
    <row r="232" spans="1:5">
      <c r="A232" s="4102">
        <v>15</v>
      </c>
      <c r="B232" s="4102" t="s">
        <v>4781</v>
      </c>
      <c r="C232" s="4102">
        <v>1.7999999999999998</v>
      </c>
      <c r="D232" s="4102">
        <v>2893</v>
      </c>
      <c r="E232" s="4102">
        <v>4268.3599999999997</v>
      </c>
    </row>
    <row r="233" spans="1:5">
      <c r="A233" s="4102">
        <v>17</v>
      </c>
      <c r="B233" s="4102" t="s">
        <v>4801</v>
      </c>
      <c r="C233" s="4102">
        <v>3.9099999999999997</v>
      </c>
      <c r="D233" s="4102">
        <v>16825</v>
      </c>
      <c r="E233" s="4102">
        <v>53922.75</v>
      </c>
    </row>
    <row r="234" spans="1:5">
      <c r="A234" s="4102">
        <v>17</v>
      </c>
      <c r="B234" s="4102" t="s">
        <v>4806</v>
      </c>
      <c r="C234" s="4102">
        <v>2.57</v>
      </c>
      <c r="D234" s="4102">
        <v>4160</v>
      </c>
      <c r="E234" s="4102">
        <v>8763.2800000000007</v>
      </c>
    </row>
    <row r="235" spans="1:5">
      <c r="A235" s="4102">
        <v>17</v>
      </c>
      <c r="B235" s="4102" t="s">
        <v>90</v>
      </c>
      <c r="C235" s="4102">
        <v>8.7503299999999999</v>
      </c>
      <c r="D235" s="4102">
        <v>48090</v>
      </c>
      <c r="E235" s="4102">
        <v>420803.37</v>
      </c>
    </row>
    <row r="236" spans="1:5">
      <c r="A236" s="4102">
        <v>19</v>
      </c>
      <c r="B236" s="4102" t="s">
        <v>4801</v>
      </c>
      <c r="C236" s="4102">
        <v>3.9099999999999997</v>
      </c>
      <c r="D236" s="4102">
        <v>2380</v>
      </c>
      <c r="E236" s="4102">
        <v>7627.71</v>
      </c>
    </row>
    <row r="237" spans="1:5">
      <c r="A237" s="4102">
        <v>19</v>
      </c>
      <c r="B237" s="4102" t="s">
        <v>4802</v>
      </c>
      <c r="C237" s="4102">
        <v>3.9099999999999997</v>
      </c>
      <c r="D237" s="4102">
        <v>15406</v>
      </c>
      <c r="E237" s="4102">
        <v>49374.950000000004</v>
      </c>
    </row>
    <row r="238" spans="1:5">
      <c r="A238" s="4102">
        <v>19</v>
      </c>
      <c r="B238" s="4102" t="s">
        <v>4806</v>
      </c>
      <c r="C238" s="4102">
        <v>2.57</v>
      </c>
      <c r="D238" s="4102">
        <v>1313</v>
      </c>
      <c r="E238" s="4102">
        <v>2765.91</v>
      </c>
    </row>
    <row r="239" spans="1:5">
      <c r="A239" s="4102">
        <v>19</v>
      </c>
      <c r="B239" s="4102" t="s">
        <v>4807</v>
      </c>
      <c r="C239" s="4102">
        <v>2.57</v>
      </c>
      <c r="D239" s="4102">
        <v>5218</v>
      </c>
      <c r="E239" s="4102">
        <v>10992.02</v>
      </c>
    </row>
    <row r="240" spans="1:5">
      <c r="A240" s="4102">
        <v>19</v>
      </c>
      <c r="B240" s="4102" t="s">
        <v>4811</v>
      </c>
      <c r="C240" s="4102">
        <v>4.29</v>
      </c>
      <c r="D240" s="4102">
        <v>9139</v>
      </c>
      <c r="E240" s="4102">
        <v>32136.31</v>
      </c>
    </row>
    <row r="241" spans="1:5">
      <c r="A241" s="4102">
        <v>19</v>
      </c>
      <c r="B241" s="4102" t="s">
        <v>4812</v>
      </c>
      <c r="C241" s="4102">
        <v>4.29</v>
      </c>
      <c r="D241" s="4102">
        <v>5118</v>
      </c>
      <c r="E241" s="4102">
        <v>17996.91</v>
      </c>
    </row>
    <row r="242" spans="1:5">
      <c r="A242" s="4102">
        <v>20</v>
      </c>
      <c r="B242" s="4102" t="s">
        <v>4801</v>
      </c>
      <c r="C242" s="4102">
        <v>3.9099999999999997</v>
      </c>
      <c r="D242" s="4102">
        <v>656208</v>
      </c>
      <c r="E242" s="4102">
        <v>2103092.85</v>
      </c>
    </row>
    <row r="243" spans="1:5">
      <c r="A243" s="4102">
        <v>20</v>
      </c>
      <c r="B243" s="4102" t="s">
        <v>4803</v>
      </c>
      <c r="C243" s="4102">
        <v>6.01</v>
      </c>
      <c r="D243" s="4102">
        <v>2515</v>
      </c>
      <c r="E243" s="4102">
        <v>12389.470000000001</v>
      </c>
    </row>
    <row r="244" spans="1:5">
      <c r="A244" s="4102">
        <v>20</v>
      </c>
      <c r="B244" s="4102" t="s">
        <v>4805</v>
      </c>
      <c r="C244" s="4102">
        <v>10.1</v>
      </c>
      <c r="D244" s="4102">
        <v>11671</v>
      </c>
      <c r="E244" s="4102">
        <v>96620.58</v>
      </c>
    </row>
    <row r="245" spans="1:5">
      <c r="A245" s="4102">
        <v>20</v>
      </c>
      <c r="B245" s="4102" t="s">
        <v>4802</v>
      </c>
      <c r="C245" s="4102">
        <v>3.9099999999999997</v>
      </c>
      <c r="D245" s="4102">
        <v>19023</v>
      </c>
      <c r="E245" s="4102">
        <v>60967.16</v>
      </c>
    </row>
    <row r="246" spans="1:5">
      <c r="A246" s="4102">
        <v>20</v>
      </c>
      <c r="B246" s="4102" t="s">
        <v>4804</v>
      </c>
      <c r="C246" s="4102">
        <v>6.01</v>
      </c>
      <c r="D246" s="4102">
        <v>81</v>
      </c>
      <c r="E246" s="4102">
        <v>399.02</v>
      </c>
    </row>
    <row r="247" spans="1:5">
      <c r="A247" s="4102">
        <v>20</v>
      </c>
      <c r="B247" s="4102" t="s">
        <v>4806</v>
      </c>
      <c r="C247" s="4102">
        <v>2.57</v>
      </c>
      <c r="D247" s="4102">
        <v>248864</v>
      </c>
      <c r="E247" s="4102">
        <v>524246.3</v>
      </c>
    </row>
    <row r="248" spans="1:5">
      <c r="A248" s="4102">
        <v>20</v>
      </c>
      <c r="B248" s="4102" t="s">
        <v>4808</v>
      </c>
      <c r="C248" s="4102">
        <v>4.76</v>
      </c>
      <c r="D248" s="4102">
        <v>1165</v>
      </c>
      <c r="E248" s="4102">
        <v>4545.41</v>
      </c>
    </row>
    <row r="249" spans="1:5">
      <c r="A249" s="4102">
        <v>20</v>
      </c>
      <c r="B249" s="4102" t="s">
        <v>4810</v>
      </c>
      <c r="C249" s="4102">
        <v>6.2799999999999994</v>
      </c>
      <c r="D249" s="4102">
        <v>5772</v>
      </c>
      <c r="E249" s="4102">
        <v>29711.600000000002</v>
      </c>
    </row>
    <row r="250" spans="1:5">
      <c r="A250" s="4102">
        <v>20</v>
      </c>
      <c r="B250" s="4102" t="s">
        <v>4807</v>
      </c>
      <c r="C250" s="4102">
        <v>2.57</v>
      </c>
      <c r="D250" s="4102">
        <v>8776</v>
      </c>
      <c r="E250" s="4102">
        <v>18487.14</v>
      </c>
    </row>
    <row r="251" spans="1:5">
      <c r="A251" s="4102">
        <v>20</v>
      </c>
      <c r="B251" s="4102" t="s">
        <v>4809</v>
      </c>
      <c r="C251" s="4102">
        <v>4.76</v>
      </c>
      <c r="D251" s="4102">
        <v>27</v>
      </c>
      <c r="E251" s="4102">
        <v>105.34</v>
      </c>
    </row>
    <row r="252" spans="1:5">
      <c r="A252" s="4102">
        <v>20</v>
      </c>
      <c r="B252" s="4102" t="s">
        <v>4811</v>
      </c>
      <c r="C252" s="4102">
        <v>4.29</v>
      </c>
      <c r="D252" s="4102">
        <v>32355</v>
      </c>
      <c r="E252" s="4102">
        <v>113772.93000000001</v>
      </c>
    </row>
    <row r="253" spans="1:5">
      <c r="A253" s="4102">
        <v>20</v>
      </c>
      <c r="B253" s="4102" t="s">
        <v>4812</v>
      </c>
      <c r="C253" s="4102">
        <v>4.29</v>
      </c>
      <c r="D253" s="4102">
        <v>7723</v>
      </c>
      <c r="E253" s="4102">
        <v>27157.100000000002</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W60"/>
  <sheetViews>
    <sheetView topLeftCell="C40" workbookViewId="0">
      <selection activeCell="J26" sqref="J26"/>
    </sheetView>
  </sheetViews>
  <sheetFormatPr defaultColWidth="8.28515625" defaultRowHeight="11.25"/>
  <cols>
    <col min="1" max="2" width="8.28515625" style="668" hidden="1" customWidth="1"/>
    <col min="3" max="3" width="3.7109375" style="668" customWidth="1"/>
    <col min="4" max="4" width="37" style="668" customWidth="1"/>
    <col min="5" max="5" width="6.28515625" style="668" customWidth="1"/>
    <col min="6" max="75" width="9.7109375" style="668" customWidth="1"/>
    <col min="76" max="16384" width="8.28515625" style="668"/>
  </cols>
  <sheetData>
    <row r="1" spans="1:75" hidden="1"/>
    <row r="2" spans="1:75" hidden="1"/>
    <row r="3" spans="1:75" hidden="1"/>
    <row r="4" spans="1:75" hidden="1">
      <c r="A4" s="669"/>
      <c r="F4" s="670"/>
      <c r="G4" s="670"/>
      <c r="H4" s="670"/>
      <c r="I4" s="670"/>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670"/>
      <c r="AO4" s="670"/>
      <c r="AP4" s="670"/>
      <c r="AQ4" s="670"/>
      <c r="AR4" s="670"/>
      <c r="AS4" s="670"/>
      <c r="AT4" s="670"/>
      <c r="AU4" s="670"/>
      <c r="AV4" s="670"/>
      <c r="AW4" s="670"/>
      <c r="AX4" s="670"/>
      <c r="AY4" s="670"/>
      <c r="AZ4" s="670"/>
      <c r="BA4" s="670"/>
      <c r="BB4" s="670"/>
      <c r="BC4" s="670"/>
      <c r="BD4" s="670"/>
      <c r="BE4" s="670"/>
      <c r="BF4" s="670"/>
      <c r="BG4" s="670"/>
      <c r="BH4" s="670"/>
      <c r="BI4" s="670"/>
      <c r="BJ4" s="670"/>
      <c r="BK4" s="670"/>
      <c r="BL4" s="670"/>
      <c r="BM4" s="670"/>
      <c r="BN4" s="670"/>
      <c r="BO4" s="670"/>
      <c r="BP4" s="670"/>
      <c r="BQ4" s="670"/>
      <c r="BR4" s="670"/>
      <c r="BS4" s="670"/>
      <c r="BT4" s="670"/>
      <c r="BU4" s="670"/>
      <c r="BV4" s="670"/>
      <c r="BW4" s="670"/>
    </row>
    <row r="5" spans="1:75" hidden="1">
      <c r="A5" s="671"/>
    </row>
    <row r="6" spans="1:75" hidden="1">
      <c r="A6" s="671"/>
    </row>
    <row r="7" spans="1:75" ht="12" customHeight="1">
      <c r="A7" s="671"/>
      <c r="D7" s="672"/>
      <c r="E7" s="672"/>
      <c r="F7" s="672"/>
      <c r="G7" s="672"/>
      <c r="H7" s="672"/>
      <c r="I7" s="672"/>
      <c r="J7" s="672"/>
      <c r="K7" s="672"/>
      <c r="L7" s="672"/>
      <c r="M7" s="672"/>
      <c r="O7" s="672"/>
      <c r="P7" s="672"/>
      <c r="Q7" s="672"/>
      <c r="R7" s="672"/>
      <c r="S7" s="672"/>
      <c r="V7" s="672"/>
      <c r="W7" s="672"/>
      <c r="X7" s="672"/>
      <c r="Y7" s="672"/>
      <c r="Z7" s="672"/>
      <c r="AC7" s="672"/>
      <c r="AD7" s="672"/>
      <c r="AE7" s="672"/>
      <c r="AF7" s="672"/>
      <c r="AG7" s="672"/>
      <c r="AJ7" s="672"/>
      <c r="AK7" s="672"/>
      <c r="AL7" s="672"/>
      <c r="AM7" s="672"/>
      <c r="AN7" s="672"/>
      <c r="AQ7" s="672"/>
      <c r="AR7" s="672"/>
      <c r="AS7" s="672"/>
      <c r="AT7" s="672"/>
      <c r="AU7" s="672"/>
      <c r="AX7" s="672"/>
      <c r="AY7" s="672"/>
      <c r="AZ7" s="672"/>
      <c r="BA7" s="672"/>
      <c r="BB7" s="672"/>
      <c r="BE7" s="672"/>
      <c r="BF7" s="672"/>
      <c r="BG7" s="672"/>
      <c r="BH7" s="672"/>
      <c r="BI7" s="672"/>
      <c r="BL7" s="672"/>
      <c r="BM7" s="672"/>
      <c r="BN7" s="672"/>
      <c r="BO7" s="672"/>
      <c r="BP7" s="672"/>
      <c r="BS7" s="672"/>
      <c r="BT7" s="672"/>
      <c r="BU7" s="672"/>
      <c r="BV7" s="672"/>
      <c r="BW7" s="672"/>
    </row>
    <row r="8" spans="1:75" ht="12" customHeight="1">
      <c r="A8" s="671"/>
      <c r="D8" s="673" t="s">
        <v>494</v>
      </c>
      <c r="E8" s="675"/>
      <c r="F8" s="675"/>
      <c r="G8" s="675"/>
      <c r="H8" s="675"/>
      <c r="I8" s="675"/>
      <c r="J8" s="675"/>
      <c r="K8" s="675"/>
      <c r="L8" s="675"/>
      <c r="M8" s="675"/>
      <c r="N8" s="676"/>
      <c r="O8" s="676"/>
      <c r="P8" s="676"/>
      <c r="Q8" s="676"/>
      <c r="R8" s="676"/>
      <c r="S8" s="676"/>
    </row>
    <row r="9" spans="1:75" ht="12" customHeight="1">
      <c r="D9" s="677" t="s">
        <v>538</v>
      </c>
      <c r="E9" s="672"/>
      <c r="F9" s="672"/>
      <c r="G9" s="672"/>
      <c r="H9" s="672"/>
      <c r="I9" s="672"/>
      <c r="J9" s="672"/>
      <c r="K9" s="672"/>
      <c r="L9" s="672"/>
      <c r="M9" s="672"/>
    </row>
    <row r="10" spans="1:75" ht="12" customHeight="1">
      <c r="D10" s="680" t="s">
        <v>2</v>
      </c>
      <c r="E10" s="672"/>
      <c r="F10" s="672"/>
      <c r="G10" s="672"/>
      <c r="H10" s="672"/>
      <c r="I10" s="672"/>
      <c r="J10" s="672"/>
      <c r="K10" s="672"/>
      <c r="L10" s="672"/>
      <c r="M10" s="672"/>
    </row>
    <row r="11" spans="1:75" ht="12" customHeight="1">
      <c r="D11" s="4178"/>
      <c r="E11" s="4178"/>
      <c r="F11" s="4178"/>
      <c r="G11" s="4178"/>
      <c r="H11" s="4178"/>
      <c r="I11" s="4178"/>
      <c r="J11" s="4178"/>
      <c r="K11" s="4178"/>
      <c r="L11" s="681"/>
      <c r="M11" s="681"/>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N11" s="672"/>
      <c r="AO11" s="672"/>
      <c r="AP11" s="672"/>
      <c r="AQ11" s="672"/>
      <c r="AR11" s="672"/>
      <c r="AS11" s="672"/>
      <c r="AT11" s="672"/>
      <c r="AU11" s="672"/>
      <c r="AV11" s="672"/>
      <c r="AW11" s="672"/>
      <c r="AX11" s="672"/>
      <c r="AY11" s="672"/>
      <c r="AZ11" s="672"/>
      <c r="BA11" s="672"/>
      <c r="BB11" s="672"/>
      <c r="BC11" s="672"/>
      <c r="BD11" s="672"/>
      <c r="BE11" s="672"/>
      <c r="BF11" s="672"/>
      <c r="BG11" s="672"/>
      <c r="BH11" s="672"/>
      <c r="BI11" s="672"/>
      <c r="BJ11" s="672"/>
      <c r="BK11" s="672"/>
      <c r="BL11" s="672"/>
      <c r="BM11" s="672"/>
      <c r="BN11" s="672"/>
      <c r="BO11" s="672"/>
      <c r="BP11" s="672"/>
      <c r="BQ11" s="672"/>
      <c r="BR11" s="672"/>
      <c r="BS11" s="672"/>
      <c r="BT11" s="672"/>
      <c r="BU11" s="672"/>
      <c r="BV11" s="672"/>
      <c r="BW11" s="682" t="s">
        <v>496</v>
      </c>
    </row>
    <row r="12" spans="1:75" ht="48" customHeight="1">
      <c r="C12" s="672"/>
      <c r="D12" s="4179" t="s">
        <v>497</v>
      </c>
      <c r="E12" s="4179" t="s">
        <v>498</v>
      </c>
      <c r="F12" s="4179" t="s">
        <v>499</v>
      </c>
      <c r="G12" s="4179"/>
      <c r="H12" s="4179"/>
      <c r="I12" s="4179"/>
      <c r="J12" s="4179"/>
      <c r="K12" s="4179"/>
      <c r="L12" s="4180"/>
      <c r="M12" s="4181" t="s">
        <v>539</v>
      </c>
      <c r="N12" s="4179"/>
      <c r="O12" s="4179"/>
      <c r="P12" s="4179"/>
      <c r="Q12" s="4179"/>
      <c r="R12" s="4179"/>
      <c r="S12" s="4180"/>
      <c r="T12" s="4184" t="s">
        <v>501</v>
      </c>
      <c r="U12" s="4179"/>
      <c r="V12" s="4179"/>
      <c r="W12" s="4179"/>
      <c r="X12" s="4179"/>
      <c r="Y12" s="4179"/>
      <c r="Z12" s="4180"/>
      <c r="AA12" s="4181" t="s">
        <v>502</v>
      </c>
      <c r="AB12" s="4179"/>
      <c r="AC12" s="4179"/>
      <c r="AD12" s="4179"/>
      <c r="AE12" s="4179"/>
      <c r="AF12" s="4179"/>
      <c r="AG12" s="4180"/>
      <c r="AH12" s="4181" t="s">
        <v>503</v>
      </c>
      <c r="AI12" s="4179"/>
      <c r="AJ12" s="4179"/>
      <c r="AK12" s="4179"/>
      <c r="AL12" s="4179"/>
      <c r="AM12" s="4179"/>
      <c r="AN12" s="4180"/>
      <c r="AO12" s="4181" t="s">
        <v>504</v>
      </c>
      <c r="AP12" s="4179"/>
      <c r="AQ12" s="4179"/>
      <c r="AR12" s="4179"/>
      <c r="AS12" s="4179"/>
      <c r="AT12" s="4179"/>
      <c r="AU12" s="4180"/>
      <c r="AV12" s="4181" t="s">
        <v>507</v>
      </c>
      <c r="AW12" s="4179"/>
      <c r="AX12" s="4179"/>
      <c r="AY12" s="4179"/>
      <c r="AZ12" s="4179"/>
      <c r="BA12" s="4179"/>
      <c r="BB12" s="4180"/>
      <c r="BC12" s="4181" t="s">
        <v>540</v>
      </c>
      <c r="BD12" s="4179"/>
      <c r="BE12" s="4179"/>
      <c r="BF12" s="4179"/>
      <c r="BG12" s="4179"/>
      <c r="BH12" s="4179"/>
      <c r="BI12" s="4180"/>
      <c r="BJ12" s="4181" t="s">
        <v>541</v>
      </c>
      <c r="BK12" s="4179"/>
      <c r="BL12" s="4179"/>
      <c r="BM12" s="4179"/>
      <c r="BN12" s="4179"/>
      <c r="BO12" s="4179"/>
      <c r="BP12" s="4180"/>
      <c r="BQ12" s="4184" t="s">
        <v>542</v>
      </c>
      <c r="BR12" s="4179"/>
      <c r="BS12" s="4179"/>
      <c r="BT12" s="4179"/>
      <c r="BU12" s="4179"/>
      <c r="BV12" s="4179"/>
      <c r="BW12" s="4185"/>
    </row>
    <row r="13" spans="1:75" ht="15" customHeight="1">
      <c r="C13" s="672"/>
      <c r="D13" s="4179"/>
      <c r="E13" s="4179"/>
      <c r="F13" s="4179" t="s">
        <v>511</v>
      </c>
      <c r="G13" s="4179" t="s">
        <v>512</v>
      </c>
      <c r="H13" s="4179"/>
      <c r="I13" s="4179"/>
      <c r="J13" s="4179"/>
      <c r="K13" s="4179"/>
      <c r="L13" s="4180"/>
      <c r="M13" s="4181" t="s">
        <v>511</v>
      </c>
      <c r="N13" s="4179" t="s">
        <v>512</v>
      </c>
      <c r="O13" s="4179"/>
      <c r="P13" s="4179"/>
      <c r="Q13" s="4179"/>
      <c r="R13" s="4179"/>
      <c r="S13" s="4180"/>
      <c r="T13" s="4184" t="s">
        <v>511</v>
      </c>
      <c r="U13" s="4179" t="s">
        <v>512</v>
      </c>
      <c r="V13" s="4179"/>
      <c r="W13" s="4179"/>
      <c r="X13" s="4179"/>
      <c r="Y13" s="4179"/>
      <c r="Z13" s="4180"/>
      <c r="AA13" s="4181" t="s">
        <v>511</v>
      </c>
      <c r="AB13" s="4179" t="s">
        <v>512</v>
      </c>
      <c r="AC13" s="4179"/>
      <c r="AD13" s="4179"/>
      <c r="AE13" s="4179"/>
      <c r="AF13" s="4179"/>
      <c r="AG13" s="4180"/>
      <c r="AH13" s="4181" t="s">
        <v>511</v>
      </c>
      <c r="AI13" s="4179" t="s">
        <v>512</v>
      </c>
      <c r="AJ13" s="4179"/>
      <c r="AK13" s="4179"/>
      <c r="AL13" s="4179"/>
      <c r="AM13" s="4179"/>
      <c r="AN13" s="4180"/>
      <c r="AO13" s="4181" t="s">
        <v>511</v>
      </c>
      <c r="AP13" s="4179" t="s">
        <v>512</v>
      </c>
      <c r="AQ13" s="4179"/>
      <c r="AR13" s="4179"/>
      <c r="AS13" s="4179"/>
      <c r="AT13" s="4179"/>
      <c r="AU13" s="4180"/>
      <c r="AV13" s="4181" t="s">
        <v>511</v>
      </c>
      <c r="AW13" s="4179" t="s">
        <v>512</v>
      </c>
      <c r="AX13" s="4179"/>
      <c r="AY13" s="4179"/>
      <c r="AZ13" s="4179"/>
      <c r="BA13" s="4179"/>
      <c r="BB13" s="4180"/>
      <c r="BC13" s="4181" t="s">
        <v>511</v>
      </c>
      <c r="BD13" s="4179" t="s">
        <v>512</v>
      </c>
      <c r="BE13" s="4179"/>
      <c r="BF13" s="4179"/>
      <c r="BG13" s="4179"/>
      <c r="BH13" s="4179"/>
      <c r="BI13" s="4180"/>
      <c r="BJ13" s="4181" t="s">
        <v>511</v>
      </c>
      <c r="BK13" s="4179" t="s">
        <v>512</v>
      </c>
      <c r="BL13" s="4179"/>
      <c r="BM13" s="4179"/>
      <c r="BN13" s="4179"/>
      <c r="BO13" s="4179"/>
      <c r="BP13" s="4180"/>
      <c r="BQ13" s="4184" t="s">
        <v>511</v>
      </c>
      <c r="BR13" s="4179" t="s">
        <v>512</v>
      </c>
      <c r="BS13" s="4179"/>
      <c r="BT13" s="4179"/>
      <c r="BU13" s="4179"/>
      <c r="BV13" s="4179"/>
      <c r="BW13" s="4185"/>
    </row>
    <row r="14" spans="1:75" ht="15" customHeight="1">
      <c r="C14" s="672"/>
      <c r="D14" s="4179"/>
      <c r="E14" s="4179"/>
      <c r="F14" s="4182"/>
      <c r="G14" s="685" t="s">
        <v>9</v>
      </c>
      <c r="H14" s="685" t="s">
        <v>513</v>
      </c>
      <c r="I14" s="685" t="s">
        <v>279</v>
      </c>
      <c r="J14" s="685" t="s">
        <v>12</v>
      </c>
      <c r="K14" s="685" t="s">
        <v>439</v>
      </c>
      <c r="L14" s="686" t="s">
        <v>514</v>
      </c>
      <c r="M14" s="4183"/>
      <c r="N14" s="685" t="s">
        <v>9</v>
      </c>
      <c r="O14" s="685" t="s">
        <v>513</v>
      </c>
      <c r="P14" s="685" t="s">
        <v>279</v>
      </c>
      <c r="Q14" s="685" t="s">
        <v>12</v>
      </c>
      <c r="R14" s="685" t="s">
        <v>439</v>
      </c>
      <c r="S14" s="686" t="s">
        <v>514</v>
      </c>
      <c r="T14" s="4189"/>
      <c r="U14" s="685" t="s">
        <v>9</v>
      </c>
      <c r="V14" s="685" t="s">
        <v>513</v>
      </c>
      <c r="W14" s="685" t="s">
        <v>279</v>
      </c>
      <c r="X14" s="685" t="s">
        <v>12</v>
      </c>
      <c r="Y14" s="685" t="s">
        <v>439</v>
      </c>
      <c r="Z14" s="686" t="s">
        <v>514</v>
      </c>
      <c r="AA14" s="4183"/>
      <c r="AB14" s="685" t="s">
        <v>9</v>
      </c>
      <c r="AC14" s="685" t="s">
        <v>513</v>
      </c>
      <c r="AD14" s="685" t="s">
        <v>279</v>
      </c>
      <c r="AE14" s="685" t="s">
        <v>12</v>
      </c>
      <c r="AF14" s="685" t="s">
        <v>439</v>
      </c>
      <c r="AG14" s="686" t="s">
        <v>514</v>
      </c>
      <c r="AH14" s="4183"/>
      <c r="AI14" s="685" t="s">
        <v>9</v>
      </c>
      <c r="AJ14" s="685" t="s">
        <v>513</v>
      </c>
      <c r="AK14" s="685" t="s">
        <v>279</v>
      </c>
      <c r="AL14" s="685" t="s">
        <v>12</v>
      </c>
      <c r="AM14" s="685" t="s">
        <v>439</v>
      </c>
      <c r="AN14" s="686" t="s">
        <v>514</v>
      </c>
      <c r="AO14" s="4183"/>
      <c r="AP14" s="685" t="s">
        <v>9</v>
      </c>
      <c r="AQ14" s="685" t="s">
        <v>513</v>
      </c>
      <c r="AR14" s="685" t="s">
        <v>279</v>
      </c>
      <c r="AS14" s="685" t="s">
        <v>12</v>
      </c>
      <c r="AT14" s="685" t="s">
        <v>439</v>
      </c>
      <c r="AU14" s="686" t="s">
        <v>514</v>
      </c>
      <c r="AV14" s="4183"/>
      <c r="AW14" s="685" t="s">
        <v>9</v>
      </c>
      <c r="AX14" s="685" t="s">
        <v>513</v>
      </c>
      <c r="AY14" s="685" t="s">
        <v>279</v>
      </c>
      <c r="AZ14" s="685" t="s">
        <v>12</v>
      </c>
      <c r="BA14" s="685" t="s">
        <v>439</v>
      </c>
      <c r="BB14" s="686" t="s">
        <v>514</v>
      </c>
      <c r="BC14" s="4183"/>
      <c r="BD14" s="685" t="s">
        <v>9</v>
      </c>
      <c r="BE14" s="685" t="s">
        <v>513</v>
      </c>
      <c r="BF14" s="685" t="s">
        <v>279</v>
      </c>
      <c r="BG14" s="685" t="s">
        <v>12</v>
      </c>
      <c r="BH14" s="685" t="s">
        <v>439</v>
      </c>
      <c r="BI14" s="686" t="s">
        <v>514</v>
      </c>
      <c r="BJ14" s="4183"/>
      <c r="BK14" s="685" t="s">
        <v>9</v>
      </c>
      <c r="BL14" s="685" t="s">
        <v>513</v>
      </c>
      <c r="BM14" s="685" t="s">
        <v>279</v>
      </c>
      <c r="BN14" s="685" t="s">
        <v>12</v>
      </c>
      <c r="BO14" s="685" t="s">
        <v>439</v>
      </c>
      <c r="BP14" s="686" t="s">
        <v>514</v>
      </c>
      <c r="BQ14" s="4184"/>
      <c r="BR14" s="683" t="s">
        <v>9</v>
      </c>
      <c r="BS14" s="683" t="s">
        <v>513</v>
      </c>
      <c r="BT14" s="683" t="s">
        <v>279</v>
      </c>
      <c r="BU14" s="683" t="s">
        <v>12</v>
      </c>
      <c r="BV14" s="683" t="s">
        <v>439</v>
      </c>
      <c r="BW14" s="684" t="s">
        <v>514</v>
      </c>
    </row>
    <row r="15" spans="1:75" ht="12" customHeight="1">
      <c r="D15" s="687">
        <v>1</v>
      </c>
      <c r="E15" s="687">
        <v>2</v>
      </c>
      <c r="F15" s="687">
        <v>3</v>
      </c>
      <c r="G15" s="687">
        <v>4</v>
      </c>
      <c r="H15" s="687">
        <v>5</v>
      </c>
      <c r="I15" s="687">
        <v>6</v>
      </c>
      <c r="J15" s="687">
        <v>7</v>
      </c>
      <c r="K15" s="687">
        <v>8</v>
      </c>
      <c r="L15" s="687">
        <v>9</v>
      </c>
      <c r="M15" s="687">
        <v>10</v>
      </c>
      <c r="N15" s="687">
        <v>11</v>
      </c>
      <c r="O15" s="687">
        <v>12</v>
      </c>
      <c r="P15" s="687">
        <v>13</v>
      </c>
      <c r="Q15" s="687">
        <v>14</v>
      </c>
      <c r="R15" s="687">
        <v>15</v>
      </c>
      <c r="S15" s="687">
        <v>16</v>
      </c>
      <c r="T15" s="687">
        <v>17</v>
      </c>
      <c r="U15" s="687">
        <v>18</v>
      </c>
      <c r="V15" s="687">
        <v>19</v>
      </c>
      <c r="W15" s="687">
        <v>20</v>
      </c>
      <c r="X15" s="687">
        <v>21</v>
      </c>
      <c r="Y15" s="687">
        <v>22</v>
      </c>
      <c r="Z15" s="687">
        <v>23</v>
      </c>
      <c r="AA15" s="687">
        <v>24</v>
      </c>
      <c r="AB15" s="687">
        <v>25</v>
      </c>
      <c r="AC15" s="687">
        <v>26</v>
      </c>
      <c r="AD15" s="687">
        <v>27</v>
      </c>
      <c r="AE15" s="687">
        <v>28</v>
      </c>
      <c r="AF15" s="687">
        <v>29</v>
      </c>
      <c r="AG15" s="687">
        <v>30</v>
      </c>
      <c r="AH15" s="687">
        <v>31</v>
      </c>
      <c r="AI15" s="687">
        <v>32</v>
      </c>
      <c r="AJ15" s="687">
        <v>33</v>
      </c>
      <c r="AK15" s="687">
        <v>34</v>
      </c>
      <c r="AL15" s="687">
        <v>35</v>
      </c>
      <c r="AM15" s="687">
        <v>36</v>
      </c>
      <c r="AN15" s="687">
        <v>37</v>
      </c>
      <c r="AO15" s="687">
        <v>38</v>
      </c>
      <c r="AP15" s="687">
        <v>39</v>
      </c>
      <c r="AQ15" s="687">
        <v>40</v>
      </c>
      <c r="AR15" s="687">
        <v>41</v>
      </c>
      <c r="AS15" s="687">
        <v>42</v>
      </c>
      <c r="AT15" s="687">
        <v>43</v>
      </c>
      <c r="AU15" s="687">
        <v>44</v>
      </c>
      <c r="AV15" s="687">
        <v>45</v>
      </c>
      <c r="AW15" s="687">
        <v>46</v>
      </c>
      <c r="AX15" s="687">
        <v>47</v>
      </c>
      <c r="AY15" s="687">
        <v>48</v>
      </c>
      <c r="AZ15" s="687">
        <v>49</v>
      </c>
      <c r="BA15" s="687">
        <v>50</v>
      </c>
      <c r="BB15" s="687">
        <v>51</v>
      </c>
      <c r="BC15" s="687">
        <v>52</v>
      </c>
      <c r="BD15" s="687">
        <v>53</v>
      </c>
      <c r="BE15" s="687">
        <v>54</v>
      </c>
      <c r="BF15" s="687">
        <v>55</v>
      </c>
      <c r="BG15" s="687">
        <v>56</v>
      </c>
      <c r="BH15" s="687">
        <v>57</v>
      </c>
      <c r="BI15" s="687">
        <v>58</v>
      </c>
      <c r="BJ15" s="687">
        <v>59</v>
      </c>
      <c r="BK15" s="687">
        <v>60</v>
      </c>
      <c r="BL15" s="687">
        <v>61</v>
      </c>
      <c r="BM15" s="687">
        <v>62</v>
      </c>
      <c r="BN15" s="687">
        <v>63</v>
      </c>
      <c r="BO15" s="687">
        <v>64</v>
      </c>
      <c r="BP15" s="687">
        <v>65</v>
      </c>
      <c r="BQ15" s="687">
        <v>66</v>
      </c>
      <c r="BR15" s="687">
        <v>67</v>
      </c>
      <c r="BS15" s="687">
        <v>68</v>
      </c>
      <c r="BT15" s="687">
        <v>69</v>
      </c>
      <c r="BU15" s="687">
        <v>70</v>
      </c>
      <c r="BV15" s="687">
        <v>71</v>
      </c>
      <c r="BW15" s="687">
        <v>72</v>
      </c>
    </row>
    <row r="16" spans="1:75" ht="33.75">
      <c r="C16" s="672"/>
      <c r="D16" s="715" t="s">
        <v>515</v>
      </c>
      <c r="E16" s="716">
        <v>100</v>
      </c>
      <c r="F16" s="689">
        <f>SUM(F17:F23)</f>
        <v>0</v>
      </c>
      <c r="G16" s="689">
        <f t="shared" ref="G16:BR16" si="0">SUM(G17:G23)</f>
        <v>0</v>
      </c>
      <c r="H16" s="689">
        <f t="shared" si="0"/>
        <v>0</v>
      </c>
      <c r="I16" s="689">
        <f t="shared" si="0"/>
        <v>0</v>
      </c>
      <c r="J16" s="689">
        <f t="shared" si="0"/>
        <v>0</v>
      </c>
      <c r="K16" s="689">
        <f t="shared" si="0"/>
        <v>0</v>
      </c>
      <c r="L16" s="690">
        <f t="shared" si="0"/>
        <v>0</v>
      </c>
      <c r="M16" s="689">
        <f t="shared" si="0"/>
        <v>0</v>
      </c>
      <c r="N16" s="689">
        <f t="shared" si="0"/>
        <v>0</v>
      </c>
      <c r="O16" s="689">
        <f t="shared" si="0"/>
        <v>0</v>
      </c>
      <c r="P16" s="689">
        <f t="shared" si="0"/>
        <v>0</v>
      </c>
      <c r="Q16" s="689">
        <f t="shared" si="0"/>
        <v>0</v>
      </c>
      <c r="R16" s="689">
        <f t="shared" si="0"/>
        <v>0</v>
      </c>
      <c r="S16" s="690">
        <f t="shared" si="0"/>
        <v>0</v>
      </c>
      <c r="T16" s="689">
        <f t="shared" si="0"/>
        <v>0</v>
      </c>
      <c r="U16" s="689">
        <f t="shared" si="0"/>
        <v>0</v>
      </c>
      <c r="V16" s="689">
        <f t="shared" si="0"/>
        <v>0</v>
      </c>
      <c r="W16" s="689">
        <f t="shared" si="0"/>
        <v>0</v>
      </c>
      <c r="X16" s="689">
        <f t="shared" si="0"/>
        <v>0</v>
      </c>
      <c r="Y16" s="689">
        <f t="shared" si="0"/>
        <v>0</v>
      </c>
      <c r="Z16" s="690">
        <f t="shared" si="0"/>
        <v>0</v>
      </c>
      <c r="AA16" s="689">
        <f t="shared" si="0"/>
        <v>0</v>
      </c>
      <c r="AB16" s="689">
        <f t="shared" si="0"/>
        <v>0</v>
      </c>
      <c r="AC16" s="689">
        <f t="shared" si="0"/>
        <v>0</v>
      </c>
      <c r="AD16" s="689">
        <f t="shared" si="0"/>
        <v>0</v>
      </c>
      <c r="AE16" s="689">
        <f t="shared" si="0"/>
        <v>0</v>
      </c>
      <c r="AF16" s="689">
        <f t="shared" si="0"/>
        <v>0</v>
      </c>
      <c r="AG16" s="690">
        <f t="shared" si="0"/>
        <v>0</v>
      </c>
      <c r="AH16" s="689">
        <f t="shared" si="0"/>
        <v>0</v>
      </c>
      <c r="AI16" s="689">
        <f t="shared" si="0"/>
        <v>0</v>
      </c>
      <c r="AJ16" s="689">
        <f t="shared" si="0"/>
        <v>0</v>
      </c>
      <c r="AK16" s="689">
        <f t="shared" si="0"/>
        <v>0</v>
      </c>
      <c r="AL16" s="689">
        <f t="shared" si="0"/>
        <v>0</v>
      </c>
      <c r="AM16" s="689">
        <f t="shared" si="0"/>
        <v>0</v>
      </c>
      <c r="AN16" s="690">
        <f t="shared" si="0"/>
        <v>0</v>
      </c>
      <c r="AO16" s="689">
        <f t="shared" si="0"/>
        <v>0</v>
      </c>
      <c r="AP16" s="689">
        <f t="shared" si="0"/>
        <v>0</v>
      </c>
      <c r="AQ16" s="689">
        <f t="shared" si="0"/>
        <v>0</v>
      </c>
      <c r="AR16" s="689">
        <f t="shared" si="0"/>
        <v>0</v>
      </c>
      <c r="AS16" s="689">
        <f t="shared" si="0"/>
        <v>0</v>
      </c>
      <c r="AT16" s="689">
        <f t="shared" si="0"/>
        <v>0</v>
      </c>
      <c r="AU16" s="690">
        <f t="shared" si="0"/>
        <v>0</v>
      </c>
      <c r="AV16" s="689">
        <f t="shared" si="0"/>
        <v>0</v>
      </c>
      <c r="AW16" s="689">
        <f t="shared" si="0"/>
        <v>0</v>
      </c>
      <c r="AX16" s="689">
        <f t="shared" si="0"/>
        <v>0</v>
      </c>
      <c r="AY16" s="689">
        <f t="shared" si="0"/>
        <v>0</v>
      </c>
      <c r="AZ16" s="689">
        <f t="shared" si="0"/>
        <v>0</v>
      </c>
      <c r="BA16" s="689">
        <f t="shared" si="0"/>
        <v>0</v>
      </c>
      <c r="BB16" s="690">
        <f t="shared" si="0"/>
        <v>0</v>
      </c>
      <c r="BC16" s="691">
        <f t="shared" si="0"/>
        <v>0</v>
      </c>
      <c r="BD16" s="689">
        <f t="shared" si="0"/>
        <v>0</v>
      </c>
      <c r="BE16" s="689">
        <f t="shared" si="0"/>
        <v>0</v>
      </c>
      <c r="BF16" s="689">
        <f t="shared" si="0"/>
        <v>0</v>
      </c>
      <c r="BG16" s="689">
        <f t="shared" si="0"/>
        <v>0</v>
      </c>
      <c r="BH16" s="689">
        <f t="shared" si="0"/>
        <v>0</v>
      </c>
      <c r="BI16" s="690">
        <f t="shared" si="0"/>
        <v>0</v>
      </c>
      <c r="BJ16" s="689">
        <f t="shared" si="0"/>
        <v>0</v>
      </c>
      <c r="BK16" s="689">
        <f t="shared" si="0"/>
        <v>0</v>
      </c>
      <c r="BL16" s="689">
        <f t="shared" si="0"/>
        <v>0</v>
      </c>
      <c r="BM16" s="689">
        <f t="shared" si="0"/>
        <v>0</v>
      </c>
      <c r="BN16" s="689">
        <f t="shared" si="0"/>
        <v>0</v>
      </c>
      <c r="BO16" s="689">
        <f t="shared" si="0"/>
        <v>0</v>
      </c>
      <c r="BP16" s="690">
        <f t="shared" si="0"/>
        <v>0</v>
      </c>
      <c r="BQ16" s="689">
        <f t="shared" si="0"/>
        <v>0</v>
      </c>
      <c r="BR16" s="689">
        <f t="shared" si="0"/>
        <v>0</v>
      </c>
      <c r="BS16" s="689">
        <f>SUM(BS17:BS23)</f>
        <v>0</v>
      </c>
      <c r="BT16" s="689">
        <f>SUM(BT17:BT23)</f>
        <v>0</v>
      </c>
      <c r="BU16" s="689">
        <f>SUM(BU17:BU23)</f>
        <v>0</v>
      </c>
      <c r="BV16" s="689">
        <f>SUM(BV17:BV23)</f>
        <v>0</v>
      </c>
      <c r="BW16" s="699">
        <f>SUM(BW17:BW23)</f>
        <v>0</v>
      </c>
    </row>
    <row r="17" spans="3:75" ht="22.5">
      <c r="C17" s="672"/>
      <c r="D17" s="715" t="s">
        <v>516</v>
      </c>
      <c r="E17" s="716">
        <v>111</v>
      </c>
      <c r="F17" s="693">
        <f>SUM(G17:L17)</f>
        <v>0</v>
      </c>
      <c r="G17" s="694"/>
      <c r="H17" s="694"/>
      <c r="I17" s="694"/>
      <c r="J17" s="694"/>
      <c r="K17" s="694"/>
      <c r="L17" s="695"/>
      <c r="M17" s="693">
        <f>SUM(N17:S17)</f>
        <v>0</v>
      </c>
      <c r="N17" s="694"/>
      <c r="O17" s="694"/>
      <c r="P17" s="694"/>
      <c r="Q17" s="694"/>
      <c r="R17" s="694"/>
      <c r="S17" s="695"/>
      <c r="T17" s="693">
        <f>SUM(U17:Z17)</f>
        <v>0</v>
      </c>
      <c r="U17" s="694"/>
      <c r="V17" s="694"/>
      <c r="W17" s="694"/>
      <c r="X17" s="694"/>
      <c r="Y17" s="694"/>
      <c r="Z17" s="695"/>
      <c r="AA17" s="693">
        <f>SUM(AB17:AG17)</f>
        <v>0</v>
      </c>
      <c r="AB17" s="694"/>
      <c r="AC17" s="694"/>
      <c r="AD17" s="694"/>
      <c r="AE17" s="694"/>
      <c r="AF17" s="694"/>
      <c r="AG17" s="695"/>
      <c r="AH17" s="693">
        <f>SUM(AI17:AN17)</f>
        <v>0</v>
      </c>
      <c r="AI17" s="694"/>
      <c r="AJ17" s="694"/>
      <c r="AK17" s="694"/>
      <c r="AL17" s="694"/>
      <c r="AM17" s="694"/>
      <c r="AN17" s="695"/>
      <c r="AO17" s="693">
        <f>SUM(AP17:AU17)</f>
        <v>0</v>
      </c>
      <c r="AP17" s="694"/>
      <c r="AQ17" s="694"/>
      <c r="AR17" s="694"/>
      <c r="AS17" s="694"/>
      <c r="AT17" s="694"/>
      <c r="AU17" s="695"/>
      <c r="AV17" s="693">
        <f>SUM(AW17:BB17)</f>
        <v>0</v>
      </c>
      <c r="AW17" s="693">
        <f t="shared" ref="AW17:BB23" si="1">AI17+U17+G17</f>
        <v>0</v>
      </c>
      <c r="AX17" s="693">
        <f t="shared" si="1"/>
        <v>0</v>
      </c>
      <c r="AY17" s="693">
        <f t="shared" si="1"/>
        <v>0</v>
      </c>
      <c r="AZ17" s="693">
        <f t="shared" si="1"/>
        <v>0</v>
      </c>
      <c r="BA17" s="693">
        <f t="shared" si="1"/>
        <v>0</v>
      </c>
      <c r="BB17" s="696">
        <f t="shared" si="1"/>
        <v>0</v>
      </c>
      <c r="BC17" s="697">
        <f>SUM(BD17:BI17)</f>
        <v>0</v>
      </c>
      <c r="BD17" s="693">
        <f t="shared" ref="BD17:BI23" si="2">AP17+AB17+N17</f>
        <v>0</v>
      </c>
      <c r="BE17" s="693">
        <f t="shared" si="2"/>
        <v>0</v>
      </c>
      <c r="BF17" s="693">
        <f t="shared" si="2"/>
        <v>0</v>
      </c>
      <c r="BG17" s="693">
        <f t="shared" si="2"/>
        <v>0</v>
      </c>
      <c r="BH17" s="693">
        <f t="shared" si="2"/>
        <v>0</v>
      </c>
      <c r="BI17" s="696">
        <f t="shared" si="2"/>
        <v>0</v>
      </c>
      <c r="BJ17" s="693">
        <f>SUM(BK17:BP17)</f>
        <v>0</v>
      </c>
      <c r="BK17" s="694"/>
      <c r="BL17" s="694"/>
      <c r="BM17" s="694"/>
      <c r="BN17" s="694"/>
      <c r="BO17" s="694"/>
      <c r="BP17" s="695"/>
      <c r="BQ17" s="693">
        <f>SUM(BR17:BW17)</f>
        <v>0</v>
      </c>
      <c r="BR17" s="694"/>
      <c r="BS17" s="694"/>
      <c r="BT17" s="694"/>
      <c r="BU17" s="694"/>
      <c r="BV17" s="694"/>
      <c r="BW17" s="698"/>
    </row>
    <row r="18" spans="3:75" ht="22.5">
      <c r="C18" s="672"/>
      <c r="D18" s="715" t="s">
        <v>517</v>
      </c>
      <c r="E18" s="716">
        <v>121</v>
      </c>
      <c r="F18" s="693">
        <f t="shared" ref="F18:F23" si="3">SUM(G18:L18)</f>
        <v>0</v>
      </c>
      <c r="G18" s="694"/>
      <c r="H18" s="694"/>
      <c r="I18" s="694"/>
      <c r="J18" s="694"/>
      <c r="K18" s="694"/>
      <c r="L18" s="695"/>
      <c r="M18" s="693">
        <f t="shared" ref="M18:M23" si="4">SUM(N18:S18)</f>
        <v>0</v>
      </c>
      <c r="N18" s="694"/>
      <c r="O18" s="694"/>
      <c r="P18" s="694"/>
      <c r="Q18" s="694"/>
      <c r="R18" s="694"/>
      <c r="S18" s="695"/>
      <c r="T18" s="693">
        <f t="shared" ref="T18:T23" si="5">SUM(U18:Z18)</f>
        <v>0</v>
      </c>
      <c r="U18" s="694"/>
      <c r="V18" s="694"/>
      <c r="W18" s="694"/>
      <c r="X18" s="694"/>
      <c r="Y18" s="694"/>
      <c r="Z18" s="695"/>
      <c r="AA18" s="693">
        <f t="shared" ref="AA18:AA23" si="6">SUM(AB18:AG18)</f>
        <v>0</v>
      </c>
      <c r="AB18" s="694"/>
      <c r="AC18" s="694"/>
      <c r="AD18" s="694"/>
      <c r="AE18" s="694"/>
      <c r="AF18" s="694"/>
      <c r="AG18" s="695"/>
      <c r="AH18" s="693">
        <f t="shared" ref="AH18:AH23" si="7">SUM(AI18:AN18)</f>
        <v>0</v>
      </c>
      <c r="AI18" s="694"/>
      <c r="AJ18" s="694"/>
      <c r="AK18" s="694"/>
      <c r="AL18" s="694"/>
      <c r="AM18" s="694"/>
      <c r="AN18" s="695"/>
      <c r="AO18" s="693">
        <f t="shared" ref="AO18:AO23" si="8">SUM(AP18:AU18)</f>
        <v>0</v>
      </c>
      <c r="AP18" s="694"/>
      <c r="AQ18" s="694"/>
      <c r="AR18" s="694"/>
      <c r="AS18" s="694"/>
      <c r="AT18" s="694"/>
      <c r="AU18" s="695"/>
      <c r="AV18" s="693">
        <f t="shared" ref="AV18:AV23" si="9">SUM(AW18:BB18)</f>
        <v>0</v>
      </c>
      <c r="AW18" s="693">
        <f t="shared" si="1"/>
        <v>0</v>
      </c>
      <c r="AX18" s="693">
        <f t="shared" si="1"/>
        <v>0</v>
      </c>
      <c r="AY18" s="693">
        <f t="shared" si="1"/>
        <v>0</v>
      </c>
      <c r="AZ18" s="693">
        <f t="shared" si="1"/>
        <v>0</v>
      </c>
      <c r="BA18" s="693">
        <f t="shared" si="1"/>
        <v>0</v>
      </c>
      <c r="BB18" s="696">
        <f t="shared" si="1"/>
        <v>0</v>
      </c>
      <c r="BC18" s="697">
        <f t="shared" ref="BC18:BC23" si="10">SUM(BD18:BI18)</f>
        <v>0</v>
      </c>
      <c r="BD18" s="693">
        <f t="shared" si="2"/>
        <v>0</v>
      </c>
      <c r="BE18" s="693">
        <f t="shared" si="2"/>
        <v>0</v>
      </c>
      <c r="BF18" s="693">
        <f t="shared" si="2"/>
        <v>0</v>
      </c>
      <c r="BG18" s="693">
        <f t="shared" si="2"/>
        <v>0</v>
      </c>
      <c r="BH18" s="693">
        <f t="shared" si="2"/>
        <v>0</v>
      </c>
      <c r="BI18" s="696">
        <f>AU18+AG18+S18</f>
        <v>0</v>
      </c>
      <c r="BJ18" s="693">
        <f t="shared" ref="BJ18:BJ23" si="11">SUM(BK18:BP18)</f>
        <v>0</v>
      </c>
      <c r="BK18" s="694"/>
      <c r="BL18" s="694"/>
      <c r="BM18" s="694"/>
      <c r="BN18" s="694"/>
      <c r="BO18" s="694"/>
      <c r="BP18" s="695"/>
      <c r="BQ18" s="693">
        <f t="shared" ref="BQ18:BQ23" si="12">SUM(BR18:BW18)</f>
        <v>0</v>
      </c>
      <c r="BR18" s="694"/>
      <c r="BS18" s="694"/>
      <c r="BT18" s="694"/>
      <c r="BU18" s="694"/>
      <c r="BV18" s="694"/>
      <c r="BW18" s="698"/>
    </row>
    <row r="19" spans="3:75" ht="15" customHeight="1">
      <c r="C19" s="672"/>
      <c r="D19" s="715" t="s">
        <v>518</v>
      </c>
      <c r="E19" s="716">
        <v>131</v>
      </c>
      <c r="F19" s="693">
        <f t="shared" si="3"/>
        <v>0</v>
      </c>
      <c r="G19" s="694"/>
      <c r="H19" s="694"/>
      <c r="I19" s="694"/>
      <c r="J19" s="694"/>
      <c r="K19" s="694"/>
      <c r="L19" s="695"/>
      <c r="M19" s="693">
        <f t="shared" si="4"/>
        <v>0</v>
      </c>
      <c r="N19" s="694"/>
      <c r="O19" s="694"/>
      <c r="P19" s="694"/>
      <c r="Q19" s="694"/>
      <c r="R19" s="694"/>
      <c r="S19" s="695"/>
      <c r="T19" s="693">
        <f t="shared" si="5"/>
        <v>0</v>
      </c>
      <c r="U19" s="694"/>
      <c r="V19" s="694"/>
      <c r="W19" s="694"/>
      <c r="X19" s="694"/>
      <c r="Y19" s="694"/>
      <c r="Z19" s="695"/>
      <c r="AA19" s="693">
        <f t="shared" si="6"/>
        <v>0</v>
      </c>
      <c r="AB19" s="694"/>
      <c r="AC19" s="694"/>
      <c r="AD19" s="694"/>
      <c r="AE19" s="694"/>
      <c r="AF19" s="694"/>
      <c r="AG19" s="695"/>
      <c r="AH19" s="693">
        <f t="shared" si="7"/>
        <v>0</v>
      </c>
      <c r="AI19" s="694"/>
      <c r="AJ19" s="694"/>
      <c r="AK19" s="694"/>
      <c r="AL19" s="694"/>
      <c r="AM19" s="694"/>
      <c r="AN19" s="695"/>
      <c r="AO19" s="693">
        <f t="shared" si="8"/>
        <v>0</v>
      </c>
      <c r="AP19" s="694"/>
      <c r="AQ19" s="694"/>
      <c r="AR19" s="694"/>
      <c r="AS19" s="694"/>
      <c r="AT19" s="694"/>
      <c r="AU19" s="695"/>
      <c r="AV19" s="693">
        <f t="shared" si="9"/>
        <v>0</v>
      </c>
      <c r="AW19" s="693">
        <f t="shared" si="1"/>
        <v>0</v>
      </c>
      <c r="AX19" s="693">
        <f t="shared" si="1"/>
        <v>0</v>
      </c>
      <c r="AY19" s="693">
        <f t="shared" si="1"/>
        <v>0</v>
      </c>
      <c r="AZ19" s="693">
        <f t="shared" si="1"/>
        <v>0</v>
      </c>
      <c r="BA19" s="693">
        <f t="shared" si="1"/>
        <v>0</v>
      </c>
      <c r="BB19" s="696">
        <f t="shared" si="1"/>
        <v>0</v>
      </c>
      <c r="BC19" s="697">
        <f t="shared" si="10"/>
        <v>0</v>
      </c>
      <c r="BD19" s="693">
        <f t="shared" si="2"/>
        <v>0</v>
      </c>
      <c r="BE19" s="693">
        <f t="shared" si="2"/>
        <v>0</v>
      </c>
      <c r="BF19" s="693">
        <f t="shared" si="2"/>
        <v>0</v>
      </c>
      <c r="BG19" s="693">
        <f t="shared" si="2"/>
        <v>0</v>
      </c>
      <c r="BH19" s="693">
        <f t="shared" si="2"/>
        <v>0</v>
      </c>
      <c r="BI19" s="696">
        <f t="shared" si="2"/>
        <v>0</v>
      </c>
      <c r="BJ19" s="693">
        <f t="shared" si="11"/>
        <v>0</v>
      </c>
      <c r="BK19" s="694"/>
      <c r="BL19" s="694"/>
      <c r="BM19" s="694"/>
      <c r="BN19" s="694"/>
      <c r="BO19" s="694"/>
      <c r="BP19" s="695"/>
      <c r="BQ19" s="693">
        <f t="shared" si="12"/>
        <v>0</v>
      </c>
      <c r="BR19" s="694"/>
      <c r="BS19" s="694"/>
      <c r="BT19" s="694"/>
      <c r="BU19" s="694"/>
      <c r="BV19" s="694"/>
      <c r="BW19" s="698"/>
    </row>
    <row r="20" spans="3:75" ht="15" customHeight="1">
      <c r="C20" s="672"/>
      <c r="D20" s="715" t="s">
        <v>519</v>
      </c>
      <c r="E20" s="716">
        <v>141</v>
      </c>
      <c r="F20" s="693">
        <f t="shared" si="3"/>
        <v>0</v>
      </c>
      <c r="G20" s="694"/>
      <c r="H20" s="694"/>
      <c r="I20" s="694"/>
      <c r="J20" s="694"/>
      <c r="K20" s="694"/>
      <c r="L20" s="695"/>
      <c r="M20" s="693">
        <f t="shared" si="4"/>
        <v>0</v>
      </c>
      <c r="N20" s="694"/>
      <c r="O20" s="694"/>
      <c r="P20" s="694"/>
      <c r="Q20" s="694"/>
      <c r="R20" s="694"/>
      <c r="S20" s="695"/>
      <c r="T20" s="693">
        <f t="shared" si="5"/>
        <v>0</v>
      </c>
      <c r="U20" s="694"/>
      <c r="V20" s="694"/>
      <c r="W20" s="694"/>
      <c r="X20" s="694"/>
      <c r="Y20" s="694"/>
      <c r="Z20" s="695"/>
      <c r="AA20" s="693">
        <f t="shared" si="6"/>
        <v>0</v>
      </c>
      <c r="AB20" s="694"/>
      <c r="AC20" s="694"/>
      <c r="AD20" s="694"/>
      <c r="AE20" s="694"/>
      <c r="AF20" s="694"/>
      <c r="AG20" s="695"/>
      <c r="AH20" s="693">
        <f t="shared" si="7"/>
        <v>0</v>
      </c>
      <c r="AI20" s="694"/>
      <c r="AJ20" s="694"/>
      <c r="AK20" s="694"/>
      <c r="AL20" s="694"/>
      <c r="AM20" s="694"/>
      <c r="AN20" s="695"/>
      <c r="AO20" s="693">
        <f t="shared" si="8"/>
        <v>0</v>
      </c>
      <c r="AP20" s="694"/>
      <c r="AQ20" s="694"/>
      <c r="AR20" s="694"/>
      <c r="AS20" s="694"/>
      <c r="AT20" s="694"/>
      <c r="AU20" s="695"/>
      <c r="AV20" s="693">
        <f t="shared" si="9"/>
        <v>0</v>
      </c>
      <c r="AW20" s="693">
        <f t="shared" si="1"/>
        <v>0</v>
      </c>
      <c r="AX20" s="693">
        <f t="shared" si="1"/>
        <v>0</v>
      </c>
      <c r="AY20" s="693">
        <f t="shared" si="1"/>
        <v>0</v>
      </c>
      <c r="AZ20" s="693">
        <f t="shared" si="1"/>
        <v>0</v>
      </c>
      <c r="BA20" s="693">
        <f t="shared" si="1"/>
        <v>0</v>
      </c>
      <c r="BB20" s="696">
        <f t="shared" si="1"/>
        <v>0</v>
      </c>
      <c r="BC20" s="697">
        <f t="shared" si="10"/>
        <v>0</v>
      </c>
      <c r="BD20" s="693">
        <f t="shared" si="2"/>
        <v>0</v>
      </c>
      <c r="BE20" s="693">
        <f t="shared" si="2"/>
        <v>0</v>
      </c>
      <c r="BF20" s="693">
        <f t="shared" si="2"/>
        <v>0</v>
      </c>
      <c r="BG20" s="693">
        <f t="shared" si="2"/>
        <v>0</v>
      </c>
      <c r="BH20" s="693">
        <f t="shared" si="2"/>
        <v>0</v>
      </c>
      <c r="BI20" s="696">
        <f t="shared" si="2"/>
        <v>0</v>
      </c>
      <c r="BJ20" s="693">
        <f t="shared" si="11"/>
        <v>0</v>
      </c>
      <c r="BK20" s="694"/>
      <c r="BL20" s="694"/>
      <c r="BM20" s="694"/>
      <c r="BN20" s="694"/>
      <c r="BO20" s="694"/>
      <c r="BP20" s="695"/>
      <c r="BQ20" s="693">
        <f t="shared" si="12"/>
        <v>0</v>
      </c>
      <c r="BR20" s="694"/>
      <c r="BS20" s="694"/>
      <c r="BT20" s="694"/>
      <c r="BU20" s="694"/>
      <c r="BV20" s="694"/>
      <c r="BW20" s="698"/>
    </row>
    <row r="21" spans="3:75" ht="15" customHeight="1">
      <c r="C21" s="672"/>
      <c r="D21" s="715" t="s">
        <v>520</v>
      </c>
      <c r="E21" s="716">
        <v>151</v>
      </c>
      <c r="F21" s="693">
        <f t="shared" si="3"/>
        <v>0</v>
      </c>
      <c r="G21" s="694"/>
      <c r="H21" s="694"/>
      <c r="I21" s="694"/>
      <c r="J21" s="694"/>
      <c r="K21" s="694"/>
      <c r="L21" s="695"/>
      <c r="M21" s="693">
        <f t="shared" si="4"/>
        <v>0</v>
      </c>
      <c r="N21" s="694"/>
      <c r="O21" s="694"/>
      <c r="P21" s="694"/>
      <c r="Q21" s="694"/>
      <c r="R21" s="694"/>
      <c r="S21" s="695"/>
      <c r="T21" s="693">
        <f t="shared" si="5"/>
        <v>0</v>
      </c>
      <c r="U21" s="694"/>
      <c r="V21" s="694"/>
      <c r="W21" s="694"/>
      <c r="X21" s="694"/>
      <c r="Y21" s="694"/>
      <c r="Z21" s="695"/>
      <c r="AA21" s="693">
        <f t="shared" si="6"/>
        <v>0</v>
      </c>
      <c r="AB21" s="694"/>
      <c r="AC21" s="694"/>
      <c r="AD21" s="694"/>
      <c r="AE21" s="694"/>
      <c r="AF21" s="694"/>
      <c r="AG21" s="695"/>
      <c r="AH21" s="693">
        <f t="shared" si="7"/>
        <v>0</v>
      </c>
      <c r="AI21" s="694"/>
      <c r="AJ21" s="694"/>
      <c r="AK21" s="694"/>
      <c r="AL21" s="694"/>
      <c r="AM21" s="694"/>
      <c r="AN21" s="695"/>
      <c r="AO21" s="693">
        <f t="shared" si="8"/>
        <v>0</v>
      </c>
      <c r="AP21" s="694"/>
      <c r="AQ21" s="694"/>
      <c r="AR21" s="694"/>
      <c r="AS21" s="694"/>
      <c r="AT21" s="694"/>
      <c r="AU21" s="695"/>
      <c r="AV21" s="693">
        <f t="shared" si="9"/>
        <v>0</v>
      </c>
      <c r="AW21" s="693">
        <f t="shared" si="1"/>
        <v>0</v>
      </c>
      <c r="AX21" s="693">
        <f t="shared" si="1"/>
        <v>0</v>
      </c>
      <c r="AY21" s="693">
        <f t="shared" si="1"/>
        <v>0</v>
      </c>
      <c r="AZ21" s="693">
        <f t="shared" si="1"/>
        <v>0</v>
      </c>
      <c r="BA21" s="693">
        <f t="shared" si="1"/>
        <v>0</v>
      </c>
      <c r="BB21" s="696">
        <f t="shared" si="1"/>
        <v>0</v>
      </c>
      <c r="BC21" s="697">
        <f t="shared" si="10"/>
        <v>0</v>
      </c>
      <c r="BD21" s="693">
        <f t="shared" si="2"/>
        <v>0</v>
      </c>
      <c r="BE21" s="693">
        <f t="shared" si="2"/>
        <v>0</v>
      </c>
      <c r="BF21" s="693">
        <f t="shared" si="2"/>
        <v>0</v>
      </c>
      <c r="BG21" s="693">
        <f t="shared" si="2"/>
        <v>0</v>
      </c>
      <c r="BH21" s="693">
        <f t="shared" si="2"/>
        <v>0</v>
      </c>
      <c r="BI21" s="696">
        <f t="shared" si="2"/>
        <v>0</v>
      </c>
      <c r="BJ21" s="693">
        <f t="shared" si="11"/>
        <v>0</v>
      </c>
      <c r="BK21" s="694"/>
      <c r="BL21" s="694"/>
      <c r="BM21" s="694"/>
      <c r="BN21" s="694"/>
      <c r="BO21" s="694"/>
      <c r="BP21" s="695"/>
      <c r="BQ21" s="693">
        <f t="shared" si="12"/>
        <v>0</v>
      </c>
      <c r="BR21" s="694"/>
      <c r="BS21" s="694"/>
      <c r="BT21" s="694"/>
      <c r="BU21" s="694"/>
      <c r="BV21" s="694"/>
      <c r="BW21" s="698"/>
    </row>
    <row r="22" spans="3:75" ht="15" customHeight="1">
      <c r="C22" s="672"/>
      <c r="D22" s="715" t="s">
        <v>521</v>
      </c>
      <c r="E22" s="716">
        <v>161</v>
      </c>
      <c r="F22" s="693">
        <f t="shared" si="3"/>
        <v>0</v>
      </c>
      <c r="G22" s="694"/>
      <c r="H22" s="694"/>
      <c r="I22" s="694"/>
      <c r="J22" s="694"/>
      <c r="K22" s="694"/>
      <c r="L22" s="695"/>
      <c r="M22" s="693">
        <f t="shared" si="4"/>
        <v>0</v>
      </c>
      <c r="N22" s="694"/>
      <c r="O22" s="694"/>
      <c r="P22" s="694"/>
      <c r="Q22" s="694"/>
      <c r="R22" s="694"/>
      <c r="S22" s="695"/>
      <c r="T22" s="693">
        <f t="shared" si="5"/>
        <v>0</v>
      </c>
      <c r="U22" s="694"/>
      <c r="V22" s="694"/>
      <c r="W22" s="694"/>
      <c r="X22" s="694"/>
      <c r="Y22" s="694"/>
      <c r="Z22" s="695"/>
      <c r="AA22" s="693">
        <f t="shared" si="6"/>
        <v>0</v>
      </c>
      <c r="AB22" s="694"/>
      <c r="AC22" s="694"/>
      <c r="AD22" s="694"/>
      <c r="AE22" s="694"/>
      <c r="AF22" s="694"/>
      <c r="AG22" s="695"/>
      <c r="AH22" s="693">
        <f t="shared" si="7"/>
        <v>0</v>
      </c>
      <c r="AI22" s="694"/>
      <c r="AJ22" s="694"/>
      <c r="AK22" s="694"/>
      <c r="AL22" s="694"/>
      <c r="AM22" s="694"/>
      <c r="AN22" s="695"/>
      <c r="AO22" s="693">
        <f t="shared" si="8"/>
        <v>0</v>
      </c>
      <c r="AP22" s="694"/>
      <c r="AQ22" s="694"/>
      <c r="AR22" s="694"/>
      <c r="AS22" s="694"/>
      <c r="AT22" s="694"/>
      <c r="AU22" s="695"/>
      <c r="AV22" s="693">
        <f t="shared" si="9"/>
        <v>0</v>
      </c>
      <c r="AW22" s="693">
        <f t="shared" si="1"/>
        <v>0</v>
      </c>
      <c r="AX22" s="693">
        <f t="shared" si="1"/>
        <v>0</v>
      </c>
      <c r="AY22" s="693">
        <f t="shared" si="1"/>
        <v>0</v>
      </c>
      <c r="AZ22" s="693">
        <f t="shared" si="1"/>
        <v>0</v>
      </c>
      <c r="BA22" s="693">
        <f t="shared" si="1"/>
        <v>0</v>
      </c>
      <c r="BB22" s="696">
        <f t="shared" si="1"/>
        <v>0</v>
      </c>
      <c r="BC22" s="697">
        <f t="shared" si="10"/>
        <v>0</v>
      </c>
      <c r="BD22" s="693">
        <f t="shared" si="2"/>
        <v>0</v>
      </c>
      <c r="BE22" s="693">
        <f t="shared" si="2"/>
        <v>0</v>
      </c>
      <c r="BF22" s="693">
        <f t="shared" si="2"/>
        <v>0</v>
      </c>
      <c r="BG22" s="693">
        <f t="shared" si="2"/>
        <v>0</v>
      </c>
      <c r="BH22" s="693">
        <f t="shared" si="2"/>
        <v>0</v>
      </c>
      <c r="BI22" s="696">
        <f t="shared" si="2"/>
        <v>0</v>
      </c>
      <c r="BJ22" s="693">
        <f t="shared" si="11"/>
        <v>0</v>
      </c>
      <c r="BK22" s="694"/>
      <c r="BL22" s="694"/>
      <c r="BM22" s="694"/>
      <c r="BN22" s="694"/>
      <c r="BO22" s="694"/>
      <c r="BP22" s="695"/>
      <c r="BQ22" s="693">
        <f t="shared" si="12"/>
        <v>0</v>
      </c>
      <c r="BR22" s="694"/>
      <c r="BS22" s="694"/>
      <c r="BT22" s="694"/>
      <c r="BU22" s="694"/>
      <c r="BV22" s="694"/>
      <c r="BW22" s="698"/>
    </row>
    <row r="23" spans="3:75" ht="15" customHeight="1">
      <c r="C23" s="672"/>
      <c r="D23" s="715" t="s">
        <v>522</v>
      </c>
      <c r="E23" s="716">
        <v>171</v>
      </c>
      <c r="F23" s="693">
        <f t="shared" si="3"/>
        <v>0</v>
      </c>
      <c r="G23" s="694"/>
      <c r="H23" s="694"/>
      <c r="I23" s="694"/>
      <c r="J23" s="694"/>
      <c r="K23" s="694"/>
      <c r="L23" s="695"/>
      <c r="M23" s="693">
        <f t="shared" si="4"/>
        <v>0</v>
      </c>
      <c r="N23" s="694"/>
      <c r="O23" s="694"/>
      <c r="P23" s="694"/>
      <c r="Q23" s="694"/>
      <c r="R23" s="694"/>
      <c r="S23" s="695"/>
      <c r="T23" s="693">
        <f t="shared" si="5"/>
        <v>0</v>
      </c>
      <c r="U23" s="694"/>
      <c r="V23" s="694"/>
      <c r="W23" s="694"/>
      <c r="X23" s="694"/>
      <c r="Y23" s="694"/>
      <c r="Z23" s="695"/>
      <c r="AA23" s="693">
        <f t="shared" si="6"/>
        <v>0</v>
      </c>
      <c r="AB23" s="694"/>
      <c r="AC23" s="694"/>
      <c r="AD23" s="694"/>
      <c r="AE23" s="694"/>
      <c r="AF23" s="694"/>
      <c r="AG23" s="695"/>
      <c r="AH23" s="693">
        <f t="shared" si="7"/>
        <v>0</v>
      </c>
      <c r="AI23" s="694"/>
      <c r="AJ23" s="694"/>
      <c r="AK23" s="694"/>
      <c r="AL23" s="694"/>
      <c r="AM23" s="694"/>
      <c r="AN23" s="695"/>
      <c r="AO23" s="693">
        <f t="shared" si="8"/>
        <v>0</v>
      </c>
      <c r="AP23" s="694"/>
      <c r="AQ23" s="694"/>
      <c r="AR23" s="694"/>
      <c r="AS23" s="694"/>
      <c r="AT23" s="694"/>
      <c r="AU23" s="695"/>
      <c r="AV23" s="693">
        <f t="shared" si="9"/>
        <v>0</v>
      </c>
      <c r="AW23" s="693">
        <f t="shared" si="1"/>
        <v>0</v>
      </c>
      <c r="AX23" s="693">
        <f t="shared" si="1"/>
        <v>0</v>
      </c>
      <c r="AY23" s="693">
        <f t="shared" si="1"/>
        <v>0</v>
      </c>
      <c r="AZ23" s="693">
        <f t="shared" si="1"/>
        <v>0</v>
      </c>
      <c r="BA23" s="693">
        <f t="shared" si="1"/>
        <v>0</v>
      </c>
      <c r="BB23" s="696">
        <f t="shared" si="1"/>
        <v>0</v>
      </c>
      <c r="BC23" s="697">
        <f t="shared" si="10"/>
        <v>0</v>
      </c>
      <c r="BD23" s="693">
        <f t="shared" si="2"/>
        <v>0</v>
      </c>
      <c r="BE23" s="693">
        <f t="shared" si="2"/>
        <v>0</v>
      </c>
      <c r="BF23" s="693">
        <f t="shared" si="2"/>
        <v>0</v>
      </c>
      <c r="BG23" s="693">
        <f t="shared" si="2"/>
        <v>0</v>
      </c>
      <c r="BH23" s="693">
        <f t="shared" si="2"/>
        <v>0</v>
      </c>
      <c r="BI23" s="696">
        <f t="shared" si="2"/>
        <v>0</v>
      </c>
      <c r="BJ23" s="693">
        <f t="shared" si="11"/>
        <v>0</v>
      </c>
      <c r="BK23" s="694"/>
      <c r="BL23" s="694"/>
      <c r="BM23" s="694"/>
      <c r="BN23" s="694"/>
      <c r="BO23" s="694"/>
      <c r="BP23" s="695"/>
      <c r="BQ23" s="693">
        <f t="shared" si="12"/>
        <v>0</v>
      </c>
      <c r="BR23" s="694"/>
      <c r="BS23" s="694"/>
      <c r="BT23" s="694"/>
      <c r="BU23" s="694"/>
      <c r="BV23" s="694"/>
      <c r="BW23" s="698"/>
    </row>
    <row r="24" spans="3:75" ht="33.75">
      <c r="C24" s="672"/>
      <c r="D24" s="715" t="s">
        <v>523</v>
      </c>
      <c r="E24" s="716">
        <v>200</v>
      </c>
      <c r="F24" s="689">
        <f>SUM(F25:F31)</f>
        <v>0</v>
      </c>
      <c r="G24" s="689">
        <f t="shared" ref="G24:BR24" si="13">SUM(G25:G31)</f>
        <v>0</v>
      </c>
      <c r="H24" s="689">
        <f t="shared" si="13"/>
        <v>0</v>
      </c>
      <c r="I24" s="689">
        <f t="shared" si="13"/>
        <v>0</v>
      </c>
      <c r="J24" s="689">
        <f t="shared" si="13"/>
        <v>0</v>
      </c>
      <c r="K24" s="689">
        <f t="shared" si="13"/>
        <v>0</v>
      </c>
      <c r="L24" s="690">
        <f t="shared" si="13"/>
        <v>0</v>
      </c>
      <c r="M24" s="689">
        <f t="shared" si="13"/>
        <v>0</v>
      </c>
      <c r="N24" s="689">
        <f t="shared" si="13"/>
        <v>0</v>
      </c>
      <c r="O24" s="689">
        <f t="shared" si="13"/>
        <v>0</v>
      </c>
      <c r="P24" s="689">
        <f t="shared" si="13"/>
        <v>0</v>
      </c>
      <c r="Q24" s="689">
        <f t="shared" si="13"/>
        <v>0</v>
      </c>
      <c r="R24" s="689">
        <f t="shared" si="13"/>
        <v>0</v>
      </c>
      <c r="S24" s="690">
        <f t="shared" si="13"/>
        <v>0</v>
      </c>
      <c r="T24" s="689">
        <f t="shared" si="13"/>
        <v>0</v>
      </c>
      <c r="U24" s="689">
        <f t="shared" si="13"/>
        <v>0</v>
      </c>
      <c r="V24" s="689">
        <f t="shared" si="13"/>
        <v>0</v>
      </c>
      <c r="W24" s="689">
        <f t="shared" si="13"/>
        <v>0</v>
      </c>
      <c r="X24" s="689">
        <f t="shared" si="13"/>
        <v>0</v>
      </c>
      <c r="Y24" s="689">
        <f t="shared" si="13"/>
        <v>0</v>
      </c>
      <c r="Z24" s="690">
        <f t="shared" si="13"/>
        <v>0</v>
      </c>
      <c r="AA24" s="689">
        <f t="shared" si="13"/>
        <v>0</v>
      </c>
      <c r="AB24" s="689">
        <f t="shared" si="13"/>
        <v>0</v>
      </c>
      <c r="AC24" s="689">
        <f t="shared" si="13"/>
        <v>0</v>
      </c>
      <c r="AD24" s="689">
        <f t="shared" si="13"/>
        <v>0</v>
      </c>
      <c r="AE24" s="689">
        <f t="shared" si="13"/>
        <v>0</v>
      </c>
      <c r="AF24" s="689">
        <f t="shared" si="13"/>
        <v>0</v>
      </c>
      <c r="AG24" s="690">
        <f t="shared" si="13"/>
        <v>0</v>
      </c>
      <c r="AH24" s="689">
        <f t="shared" si="13"/>
        <v>0</v>
      </c>
      <c r="AI24" s="689">
        <f t="shared" si="13"/>
        <v>0</v>
      </c>
      <c r="AJ24" s="689">
        <f t="shared" si="13"/>
        <v>0</v>
      </c>
      <c r="AK24" s="689">
        <f t="shared" si="13"/>
        <v>0</v>
      </c>
      <c r="AL24" s="689">
        <f t="shared" si="13"/>
        <v>0</v>
      </c>
      <c r="AM24" s="689">
        <f t="shared" si="13"/>
        <v>0</v>
      </c>
      <c r="AN24" s="690">
        <f t="shared" si="13"/>
        <v>0</v>
      </c>
      <c r="AO24" s="689">
        <f t="shared" si="13"/>
        <v>0</v>
      </c>
      <c r="AP24" s="689">
        <f t="shared" si="13"/>
        <v>0</v>
      </c>
      <c r="AQ24" s="689">
        <f t="shared" si="13"/>
        <v>0</v>
      </c>
      <c r="AR24" s="689">
        <f t="shared" si="13"/>
        <v>0</v>
      </c>
      <c r="AS24" s="689">
        <f t="shared" si="13"/>
        <v>0</v>
      </c>
      <c r="AT24" s="689">
        <f t="shared" si="13"/>
        <v>0</v>
      </c>
      <c r="AU24" s="690">
        <f t="shared" si="13"/>
        <v>0</v>
      </c>
      <c r="AV24" s="689">
        <f t="shared" si="13"/>
        <v>0</v>
      </c>
      <c r="AW24" s="689">
        <f t="shared" si="13"/>
        <v>0</v>
      </c>
      <c r="AX24" s="689">
        <f t="shared" si="13"/>
        <v>0</v>
      </c>
      <c r="AY24" s="689">
        <f t="shared" si="13"/>
        <v>0</v>
      </c>
      <c r="AZ24" s="689">
        <f t="shared" si="13"/>
        <v>0</v>
      </c>
      <c r="BA24" s="689">
        <f t="shared" si="13"/>
        <v>0</v>
      </c>
      <c r="BB24" s="690">
        <f t="shared" si="13"/>
        <v>0</v>
      </c>
      <c r="BC24" s="691">
        <f t="shared" si="13"/>
        <v>0</v>
      </c>
      <c r="BD24" s="689">
        <f t="shared" si="13"/>
        <v>0</v>
      </c>
      <c r="BE24" s="689">
        <f t="shared" si="13"/>
        <v>0</v>
      </c>
      <c r="BF24" s="689">
        <f t="shared" si="13"/>
        <v>0</v>
      </c>
      <c r="BG24" s="689">
        <f t="shared" si="13"/>
        <v>0</v>
      </c>
      <c r="BH24" s="689">
        <f t="shared" si="13"/>
        <v>0</v>
      </c>
      <c r="BI24" s="690">
        <f t="shared" si="13"/>
        <v>0</v>
      </c>
      <c r="BJ24" s="689">
        <f t="shared" si="13"/>
        <v>0</v>
      </c>
      <c r="BK24" s="689">
        <f t="shared" si="13"/>
        <v>0</v>
      </c>
      <c r="BL24" s="689">
        <f t="shared" si="13"/>
        <v>0</v>
      </c>
      <c r="BM24" s="689">
        <f t="shared" si="13"/>
        <v>0</v>
      </c>
      <c r="BN24" s="689">
        <f t="shared" si="13"/>
        <v>0</v>
      </c>
      <c r="BO24" s="689">
        <f t="shared" si="13"/>
        <v>0</v>
      </c>
      <c r="BP24" s="690">
        <f t="shared" si="13"/>
        <v>0</v>
      </c>
      <c r="BQ24" s="689">
        <f t="shared" si="13"/>
        <v>0</v>
      </c>
      <c r="BR24" s="689">
        <f t="shared" si="13"/>
        <v>0</v>
      </c>
      <c r="BS24" s="689">
        <f>SUM(BS25:BS31)</f>
        <v>0</v>
      </c>
      <c r="BT24" s="689">
        <f>SUM(BT25:BT31)</f>
        <v>0</v>
      </c>
      <c r="BU24" s="689">
        <f>SUM(BU25:BU31)</f>
        <v>0</v>
      </c>
      <c r="BV24" s="689">
        <f>SUM(BV25:BV31)</f>
        <v>0</v>
      </c>
      <c r="BW24" s="699">
        <f>SUM(BW25:BW31)</f>
        <v>0</v>
      </c>
    </row>
    <row r="25" spans="3:75" ht="22.5">
      <c r="C25" s="672"/>
      <c r="D25" s="715" t="s">
        <v>516</v>
      </c>
      <c r="E25" s="716">
        <v>211</v>
      </c>
      <c r="F25" s="693">
        <f>SUM(G25:L25)</f>
        <v>0</v>
      </c>
      <c r="G25" s="694"/>
      <c r="H25" s="694"/>
      <c r="I25" s="694"/>
      <c r="J25" s="694"/>
      <c r="K25" s="694"/>
      <c r="L25" s="695"/>
      <c r="M25" s="693">
        <f>SUM(N25:S25)</f>
        <v>0</v>
      </c>
      <c r="N25" s="694"/>
      <c r="O25" s="694"/>
      <c r="P25" s="694"/>
      <c r="Q25" s="694"/>
      <c r="R25" s="694"/>
      <c r="S25" s="695"/>
      <c r="T25" s="693">
        <f>SUM(U25:Z25)</f>
        <v>0</v>
      </c>
      <c r="U25" s="694"/>
      <c r="V25" s="694"/>
      <c r="W25" s="694"/>
      <c r="X25" s="694"/>
      <c r="Y25" s="694"/>
      <c r="Z25" s="695"/>
      <c r="AA25" s="693">
        <f>SUM(AB25:AG25)</f>
        <v>0</v>
      </c>
      <c r="AB25" s="694"/>
      <c r="AC25" s="694"/>
      <c r="AD25" s="694"/>
      <c r="AE25" s="694"/>
      <c r="AF25" s="694"/>
      <c r="AG25" s="695"/>
      <c r="AH25" s="693">
        <f>SUM(AI25:AN25)</f>
        <v>0</v>
      </c>
      <c r="AI25" s="694"/>
      <c r="AJ25" s="694"/>
      <c r="AK25" s="694"/>
      <c r="AL25" s="694"/>
      <c r="AM25" s="694"/>
      <c r="AN25" s="695"/>
      <c r="AO25" s="693">
        <f>SUM(AP25:AU25)</f>
        <v>0</v>
      </c>
      <c r="AP25" s="694"/>
      <c r="AQ25" s="694"/>
      <c r="AR25" s="694"/>
      <c r="AS25" s="694"/>
      <c r="AT25" s="694"/>
      <c r="AU25" s="695"/>
      <c r="AV25" s="693">
        <f>SUM(AW25:BB25)</f>
        <v>0</v>
      </c>
      <c r="AW25" s="693">
        <f t="shared" ref="AW25:BB31" si="14">AI25+U25+G25</f>
        <v>0</v>
      </c>
      <c r="AX25" s="693">
        <f t="shared" si="14"/>
        <v>0</v>
      </c>
      <c r="AY25" s="693">
        <f t="shared" si="14"/>
        <v>0</v>
      </c>
      <c r="AZ25" s="693">
        <f t="shared" si="14"/>
        <v>0</v>
      </c>
      <c r="BA25" s="693">
        <f t="shared" si="14"/>
        <v>0</v>
      </c>
      <c r="BB25" s="696">
        <f t="shared" si="14"/>
        <v>0</v>
      </c>
      <c r="BC25" s="697">
        <f>SUM(BD25:BI25)</f>
        <v>0</v>
      </c>
      <c r="BD25" s="693">
        <f t="shared" ref="BD25:BI31" si="15">AP25+AB25+N25</f>
        <v>0</v>
      </c>
      <c r="BE25" s="693">
        <f t="shared" si="15"/>
        <v>0</v>
      </c>
      <c r="BF25" s="693">
        <f t="shared" si="15"/>
        <v>0</v>
      </c>
      <c r="BG25" s="693">
        <f t="shared" si="15"/>
        <v>0</v>
      </c>
      <c r="BH25" s="693">
        <f t="shared" si="15"/>
        <v>0</v>
      </c>
      <c r="BI25" s="696">
        <f t="shared" si="15"/>
        <v>0</v>
      </c>
      <c r="BJ25" s="693">
        <f>SUM(BK25:BP25)</f>
        <v>0</v>
      </c>
      <c r="BK25" s="694"/>
      <c r="BL25" s="694"/>
      <c r="BM25" s="694"/>
      <c r="BN25" s="694"/>
      <c r="BO25" s="694"/>
      <c r="BP25" s="695"/>
      <c r="BQ25" s="693">
        <f>SUM(BR25:BW25)</f>
        <v>0</v>
      </c>
      <c r="BR25" s="694"/>
      <c r="BS25" s="694"/>
      <c r="BT25" s="694"/>
      <c r="BU25" s="694"/>
      <c r="BV25" s="694"/>
      <c r="BW25" s="698"/>
    </row>
    <row r="26" spans="3:75" ht="22.5">
      <c r="C26" s="672"/>
      <c r="D26" s="715" t="s">
        <v>517</v>
      </c>
      <c r="E26" s="716">
        <v>221</v>
      </c>
      <c r="F26" s="693">
        <f t="shared" ref="F26:F31" si="16">SUM(G26:L26)</f>
        <v>0</v>
      </c>
      <c r="G26" s="694"/>
      <c r="H26" s="694"/>
      <c r="I26" s="694"/>
      <c r="J26" s="694"/>
      <c r="K26" s="694"/>
      <c r="L26" s="695"/>
      <c r="M26" s="693">
        <f t="shared" ref="M26:M31" si="17">SUM(N26:S26)</f>
        <v>0</v>
      </c>
      <c r="N26" s="694"/>
      <c r="O26" s="694"/>
      <c r="P26" s="694"/>
      <c r="Q26" s="694"/>
      <c r="R26" s="694"/>
      <c r="S26" s="695"/>
      <c r="T26" s="693">
        <f t="shared" ref="T26:T31" si="18">SUM(U26:Z26)</f>
        <v>0</v>
      </c>
      <c r="U26" s="694"/>
      <c r="V26" s="694"/>
      <c r="W26" s="694"/>
      <c r="X26" s="694"/>
      <c r="Y26" s="694"/>
      <c r="Z26" s="695"/>
      <c r="AA26" s="693">
        <f t="shared" ref="AA26:AA31" si="19">SUM(AB26:AG26)</f>
        <v>0</v>
      </c>
      <c r="AB26" s="694"/>
      <c r="AC26" s="694"/>
      <c r="AD26" s="694"/>
      <c r="AE26" s="694"/>
      <c r="AF26" s="694"/>
      <c r="AG26" s="695"/>
      <c r="AH26" s="693">
        <f t="shared" ref="AH26:AH31" si="20">SUM(AI26:AN26)</f>
        <v>0</v>
      </c>
      <c r="AI26" s="694"/>
      <c r="AJ26" s="694"/>
      <c r="AK26" s="694"/>
      <c r="AL26" s="694"/>
      <c r="AM26" s="694"/>
      <c r="AN26" s="695"/>
      <c r="AO26" s="693">
        <f t="shared" ref="AO26:AO31" si="21">SUM(AP26:AU26)</f>
        <v>0</v>
      </c>
      <c r="AP26" s="694"/>
      <c r="AQ26" s="694"/>
      <c r="AR26" s="694"/>
      <c r="AS26" s="694"/>
      <c r="AT26" s="694"/>
      <c r="AU26" s="695"/>
      <c r="AV26" s="693">
        <f t="shared" ref="AV26:AV31" si="22">SUM(AW26:BB26)</f>
        <v>0</v>
      </c>
      <c r="AW26" s="693">
        <f t="shared" si="14"/>
        <v>0</v>
      </c>
      <c r="AX26" s="693">
        <f t="shared" si="14"/>
        <v>0</v>
      </c>
      <c r="AY26" s="693">
        <f t="shared" si="14"/>
        <v>0</v>
      </c>
      <c r="AZ26" s="693">
        <f t="shared" si="14"/>
        <v>0</v>
      </c>
      <c r="BA26" s="693">
        <f t="shared" si="14"/>
        <v>0</v>
      </c>
      <c r="BB26" s="696">
        <f t="shared" si="14"/>
        <v>0</v>
      </c>
      <c r="BC26" s="697">
        <f t="shared" ref="BC26:BC31" si="23">SUM(BD26:BI26)</f>
        <v>0</v>
      </c>
      <c r="BD26" s="693">
        <f t="shared" si="15"/>
        <v>0</v>
      </c>
      <c r="BE26" s="693">
        <f t="shared" si="15"/>
        <v>0</v>
      </c>
      <c r="BF26" s="693">
        <f t="shared" si="15"/>
        <v>0</v>
      </c>
      <c r="BG26" s="693">
        <f t="shared" si="15"/>
        <v>0</v>
      </c>
      <c r="BH26" s="693">
        <f t="shared" si="15"/>
        <v>0</v>
      </c>
      <c r="BI26" s="696">
        <f t="shared" si="15"/>
        <v>0</v>
      </c>
      <c r="BJ26" s="693">
        <f t="shared" ref="BJ26:BJ31" si="24">SUM(BK26:BP26)</f>
        <v>0</v>
      </c>
      <c r="BK26" s="694"/>
      <c r="BL26" s="694"/>
      <c r="BM26" s="694"/>
      <c r="BN26" s="694"/>
      <c r="BO26" s="694"/>
      <c r="BP26" s="695"/>
      <c r="BQ26" s="693">
        <f t="shared" ref="BQ26:BQ31" si="25">SUM(BR26:BW26)</f>
        <v>0</v>
      </c>
      <c r="BR26" s="694"/>
      <c r="BS26" s="694"/>
      <c r="BT26" s="694"/>
      <c r="BU26" s="694"/>
      <c r="BV26" s="694"/>
      <c r="BW26" s="698"/>
    </row>
    <row r="27" spans="3:75" ht="15" customHeight="1">
      <c r="C27" s="672"/>
      <c r="D27" s="715" t="s">
        <v>518</v>
      </c>
      <c r="E27" s="716">
        <v>231</v>
      </c>
      <c r="F27" s="693">
        <f t="shared" si="16"/>
        <v>0</v>
      </c>
      <c r="G27" s="694"/>
      <c r="H27" s="694"/>
      <c r="I27" s="694"/>
      <c r="J27" s="694"/>
      <c r="K27" s="694"/>
      <c r="L27" s="695"/>
      <c r="M27" s="693">
        <f t="shared" si="17"/>
        <v>0</v>
      </c>
      <c r="N27" s="694"/>
      <c r="O27" s="694"/>
      <c r="P27" s="694"/>
      <c r="Q27" s="694"/>
      <c r="R27" s="694"/>
      <c r="S27" s="695"/>
      <c r="T27" s="693">
        <f t="shared" si="18"/>
        <v>0</v>
      </c>
      <c r="U27" s="694"/>
      <c r="V27" s="694"/>
      <c r="W27" s="694"/>
      <c r="X27" s="694"/>
      <c r="Y27" s="694"/>
      <c r="Z27" s="695"/>
      <c r="AA27" s="693">
        <f t="shared" si="19"/>
        <v>0</v>
      </c>
      <c r="AB27" s="694"/>
      <c r="AC27" s="694"/>
      <c r="AD27" s="694"/>
      <c r="AE27" s="694"/>
      <c r="AF27" s="694"/>
      <c r="AG27" s="695"/>
      <c r="AH27" s="693">
        <f t="shared" si="20"/>
        <v>0</v>
      </c>
      <c r="AI27" s="694"/>
      <c r="AJ27" s="694"/>
      <c r="AK27" s="694"/>
      <c r="AL27" s="694"/>
      <c r="AM27" s="694"/>
      <c r="AN27" s="695"/>
      <c r="AO27" s="693">
        <f t="shared" si="21"/>
        <v>0</v>
      </c>
      <c r="AP27" s="694"/>
      <c r="AQ27" s="694"/>
      <c r="AR27" s="694"/>
      <c r="AS27" s="694"/>
      <c r="AT27" s="694"/>
      <c r="AU27" s="695"/>
      <c r="AV27" s="693">
        <f t="shared" si="22"/>
        <v>0</v>
      </c>
      <c r="AW27" s="693">
        <f t="shared" si="14"/>
        <v>0</v>
      </c>
      <c r="AX27" s="693">
        <f t="shared" si="14"/>
        <v>0</v>
      </c>
      <c r="AY27" s="693">
        <f t="shared" si="14"/>
        <v>0</v>
      </c>
      <c r="AZ27" s="693">
        <f t="shared" si="14"/>
        <v>0</v>
      </c>
      <c r="BA27" s="693">
        <f t="shared" si="14"/>
        <v>0</v>
      </c>
      <c r="BB27" s="696">
        <f t="shared" si="14"/>
        <v>0</v>
      </c>
      <c r="BC27" s="697">
        <f t="shared" si="23"/>
        <v>0</v>
      </c>
      <c r="BD27" s="693">
        <f t="shared" si="15"/>
        <v>0</v>
      </c>
      <c r="BE27" s="693">
        <f t="shared" si="15"/>
        <v>0</v>
      </c>
      <c r="BF27" s="693">
        <f t="shared" si="15"/>
        <v>0</v>
      </c>
      <c r="BG27" s="693">
        <f t="shared" si="15"/>
        <v>0</v>
      </c>
      <c r="BH27" s="693">
        <f t="shared" si="15"/>
        <v>0</v>
      </c>
      <c r="BI27" s="696">
        <f t="shared" si="15"/>
        <v>0</v>
      </c>
      <c r="BJ27" s="693">
        <f t="shared" si="24"/>
        <v>0</v>
      </c>
      <c r="BK27" s="694"/>
      <c r="BL27" s="694"/>
      <c r="BM27" s="694"/>
      <c r="BN27" s="694"/>
      <c r="BO27" s="694"/>
      <c r="BP27" s="695"/>
      <c r="BQ27" s="693">
        <f t="shared" si="25"/>
        <v>0</v>
      </c>
      <c r="BR27" s="694"/>
      <c r="BS27" s="694"/>
      <c r="BT27" s="694"/>
      <c r="BU27" s="694"/>
      <c r="BV27" s="694"/>
      <c r="BW27" s="698"/>
    </row>
    <row r="28" spans="3:75" ht="15" customHeight="1">
      <c r="C28" s="672"/>
      <c r="D28" s="715" t="s">
        <v>519</v>
      </c>
      <c r="E28" s="716">
        <v>241</v>
      </c>
      <c r="F28" s="693">
        <f t="shared" si="16"/>
        <v>0</v>
      </c>
      <c r="G28" s="694"/>
      <c r="H28" s="694"/>
      <c r="I28" s="694"/>
      <c r="J28" s="694"/>
      <c r="K28" s="694"/>
      <c r="L28" s="695"/>
      <c r="M28" s="693">
        <f t="shared" si="17"/>
        <v>0</v>
      </c>
      <c r="N28" s="694"/>
      <c r="O28" s="694"/>
      <c r="P28" s="694"/>
      <c r="Q28" s="694"/>
      <c r="R28" s="694"/>
      <c r="S28" s="695"/>
      <c r="T28" s="693">
        <f t="shared" si="18"/>
        <v>0</v>
      </c>
      <c r="U28" s="694"/>
      <c r="V28" s="694"/>
      <c r="W28" s="694"/>
      <c r="X28" s="694"/>
      <c r="Y28" s="694"/>
      <c r="Z28" s="695"/>
      <c r="AA28" s="693">
        <f t="shared" si="19"/>
        <v>0</v>
      </c>
      <c r="AB28" s="694"/>
      <c r="AC28" s="694"/>
      <c r="AD28" s="694"/>
      <c r="AE28" s="694"/>
      <c r="AF28" s="694"/>
      <c r="AG28" s="695"/>
      <c r="AH28" s="693">
        <f t="shared" si="20"/>
        <v>0</v>
      </c>
      <c r="AI28" s="694"/>
      <c r="AJ28" s="694"/>
      <c r="AK28" s="694"/>
      <c r="AL28" s="694"/>
      <c r="AM28" s="694"/>
      <c r="AN28" s="695"/>
      <c r="AO28" s="693">
        <f t="shared" si="21"/>
        <v>0</v>
      </c>
      <c r="AP28" s="694"/>
      <c r="AQ28" s="694"/>
      <c r="AR28" s="694"/>
      <c r="AS28" s="694"/>
      <c r="AT28" s="694"/>
      <c r="AU28" s="695"/>
      <c r="AV28" s="693">
        <f t="shared" si="22"/>
        <v>0</v>
      </c>
      <c r="AW28" s="693">
        <f t="shared" si="14"/>
        <v>0</v>
      </c>
      <c r="AX28" s="693">
        <f t="shared" si="14"/>
        <v>0</v>
      </c>
      <c r="AY28" s="693">
        <f t="shared" si="14"/>
        <v>0</v>
      </c>
      <c r="AZ28" s="693">
        <f t="shared" si="14"/>
        <v>0</v>
      </c>
      <c r="BA28" s="693">
        <f t="shared" si="14"/>
        <v>0</v>
      </c>
      <c r="BB28" s="696">
        <f t="shared" si="14"/>
        <v>0</v>
      </c>
      <c r="BC28" s="697">
        <f t="shared" si="23"/>
        <v>0</v>
      </c>
      <c r="BD28" s="693">
        <f t="shared" si="15"/>
        <v>0</v>
      </c>
      <c r="BE28" s="693">
        <f t="shared" si="15"/>
        <v>0</v>
      </c>
      <c r="BF28" s="693">
        <f t="shared" si="15"/>
        <v>0</v>
      </c>
      <c r="BG28" s="693">
        <f t="shared" si="15"/>
        <v>0</v>
      </c>
      <c r="BH28" s="693">
        <f t="shared" si="15"/>
        <v>0</v>
      </c>
      <c r="BI28" s="696">
        <f t="shared" si="15"/>
        <v>0</v>
      </c>
      <c r="BJ28" s="693">
        <f t="shared" si="24"/>
        <v>0</v>
      </c>
      <c r="BK28" s="694"/>
      <c r="BL28" s="694"/>
      <c r="BM28" s="694"/>
      <c r="BN28" s="694"/>
      <c r="BO28" s="694"/>
      <c r="BP28" s="695"/>
      <c r="BQ28" s="693">
        <f t="shared" si="25"/>
        <v>0</v>
      </c>
      <c r="BR28" s="694"/>
      <c r="BS28" s="694"/>
      <c r="BT28" s="694"/>
      <c r="BU28" s="694"/>
      <c r="BV28" s="694"/>
      <c r="BW28" s="698"/>
    </row>
    <row r="29" spans="3:75" ht="15" customHeight="1">
      <c r="C29" s="672"/>
      <c r="D29" s="715" t="s">
        <v>520</v>
      </c>
      <c r="E29" s="716">
        <v>251</v>
      </c>
      <c r="F29" s="693">
        <f t="shared" si="16"/>
        <v>0</v>
      </c>
      <c r="G29" s="694"/>
      <c r="H29" s="694"/>
      <c r="I29" s="694"/>
      <c r="J29" s="694"/>
      <c r="K29" s="694"/>
      <c r="L29" s="695"/>
      <c r="M29" s="693">
        <f t="shared" si="17"/>
        <v>0</v>
      </c>
      <c r="N29" s="694"/>
      <c r="O29" s="694"/>
      <c r="P29" s="694"/>
      <c r="Q29" s="694"/>
      <c r="R29" s="694"/>
      <c r="S29" s="695"/>
      <c r="T29" s="693">
        <f t="shared" si="18"/>
        <v>0</v>
      </c>
      <c r="U29" s="694"/>
      <c r="V29" s="694"/>
      <c r="W29" s="694"/>
      <c r="X29" s="694"/>
      <c r="Y29" s="694"/>
      <c r="Z29" s="695"/>
      <c r="AA29" s="693">
        <f t="shared" si="19"/>
        <v>0</v>
      </c>
      <c r="AB29" s="694"/>
      <c r="AC29" s="694"/>
      <c r="AD29" s="694"/>
      <c r="AE29" s="694"/>
      <c r="AF29" s="694"/>
      <c r="AG29" s="695"/>
      <c r="AH29" s="693">
        <f t="shared" si="20"/>
        <v>0</v>
      </c>
      <c r="AI29" s="694"/>
      <c r="AJ29" s="694"/>
      <c r="AK29" s="694"/>
      <c r="AL29" s="694"/>
      <c r="AM29" s="694"/>
      <c r="AN29" s="695"/>
      <c r="AO29" s="693">
        <f t="shared" si="21"/>
        <v>0</v>
      </c>
      <c r="AP29" s="694"/>
      <c r="AQ29" s="694"/>
      <c r="AR29" s="694"/>
      <c r="AS29" s="694"/>
      <c r="AT29" s="694"/>
      <c r="AU29" s="695"/>
      <c r="AV29" s="693">
        <f t="shared" si="22"/>
        <v>0</v>
      </c>
      <c r="AW29" s="693">
        <f t="shared" si="14"/>
        <v>0</v>
      </c>
      <c r="AX29" s="693">
        <f t="shared" si="14"/>
        <v>0</v>
      </c>
      <c r="AY29" s="693">
        <f t="shared" si="14"/>
        <v>0</v>
      </c>
      <c r="AZ29" s="693">
        <f t="shared" si="14"/>
        <v>0</v>
      </c>
      <c r="BA29" s="693">
        <f t="shared" si="14"/>
        <v>0</v>
      </c>
      <c r="BB29" s="696">
        <f t="shared" si="14"/>
        <v>0</v>
      </c>
      <c r="BC29" s="697">
        <f t="shared" si="23"/>
        <v>0</v>
      </c>
      <c r="BD29" s="693">
        <f t="shared" si="15"/>
        <v>0</v>
      </c>
      <c r="BE29" s="693">
        <f t="shared" si="15"/>
        <v>0</v>
      </c>
      <c r="BF29" s="693">
        <f t="shared" si="15"/>
        <v>0</v>
      </c>
      <c r="BG29" s="693">
        <f t="shared" si="15"/>
        <v>0</v>
      </c>
      <c r="BH29" s="693">
        <f t="shared" si="15"/>
        <v>0</v>
      </c>
      <c r="BI29" s="696">
        <f t="shared" si="15"/>
        <v>0</v>
      </c>
      <c r="BJ29" s="693">
        <f t="shared" si="24"/>
        <v>0</v>
      </c>
      <c r="BK29" s="694"/>
      <c r="BL29" s="694"/>
      <c r="BM29" s="694"/>
      <c r="BN29" s="694"/>
      <c r="BO29" s="694"/>
      <c r="BP29" s="695"/>
      <c r="BQ29" s="693">
        <f t="shared" si="25"/>
        <v>0</v>
      </c>
      <c r="BR29" s="694"/>
      <c r="BS29" s="694"/>
      <c r="BT29" s="694"/>
      <c r="BU29" s="694"/>
      <c r="BV29" s="694"/>
      <c r="BW29" s="698"/>
    </row>
    <row r="30" spans="3:75" ht="15" customHeight="1">
      <c r="C30" s="672"/>
      <c r="D30" s="715" t="s">
        <v>521</v>
      </c>
      <c r="E30" s="716">
        <v>261</v>
      </c>
      <c r="F30" s="693">
        <f t="shared" si="16"/>
        <v>0</v>
      </c>
      <c r="G30" s="694"/>
      <c r="H30" s="694"/>
      <c r="I30" s="694"/>
      <c r="J30" s="694"/>
      <c r="K30" s="694"/>
      <c r="L30" s="695"/>
      <c r="M30" s="693">
        <f t="shared" si="17"/>
        <v>0</v>
      </c>
      <c r="N30" s="694"/>
      <c r="O30" s="694"/>
      <c r="P30" s="694"/>
      <c r="Q30" s="694"/>
      <c r="R30" s="694"/>
      <c r="S30" s="695"/>
      <c r="T30" s="693">
        <f t="shared" si="18"/>
        <v>0</v>
      </c>
      <c r="U30" s="694"/>
      <c r="V30" s="694"/>
      <c r="W30" s="694"/>
      <c r="X30" s="694"/>
      <c r="Y30" s="694"/>
      <c r="Z30" s="695"/>
      <c r="AA30" s="693">
        <f t="shared" si="19"/>
        <v>0</v>
      </c>
      <c r="AB30" s="694"/>
      <c r="AC30" s="694"/>
      <c r="AD30" s="694"/>
      <c r="AE30" s="694"/>
      <c r="AF30" s="694"/>
      <c r="AG30" s="695"/>
      <c r="AH30" s="693">
        <f t="shared" si="20"/>
        <v>0</v>
      </c>
      <c r="AI30" s="694"/>
      <c r="AJ30" s="694"/>
      <c r="AK30" s="694"/>
      <c r="AL30" s="694"/>
      <c r="AM30" s="694"/>
      <c r="AN30" s="695"/>
      <c r="AO30" s="693">
        <f t="shared" si="21"/>
        <v>0</v>
      </c>
      <c r="AP30" s="694"/>
      <c r="AQ30" s="694"/>
      <c r="AR30" s="694"/>
      <c r="AS30" s="694"/>
      <c r="AT30" s="694"/>
      <c r="AU30" s="695"/>
      <c r="AV30" s="693">
        <f t="shared" si="22"/>
        <v>0</v>
      </c>
      <c r="AW30" s="693">
        <f t="shared" si="14"/>
        <v>0</v>
      </c>
      <c r="AX30" s="693">
        <f t="shared" si="14"/>
        <v>0</v>
      </c>
      <c r="AY30" s="693">
        <f t="shared" si="14"/>
        <v>0</v>
      </c>
      <c r="AZ30" s="693">
        <f t="shared" si="14"/>
        <v>0</v>
      </c>
      <c r="BA30" s="693">
        <f t="shared" si="14"/>
        <v>0</v>
      </c>
      <c r="BB30" s="696">
        <f t="shared" si="14"/>
        <v>0</v>
      </c>
      <c r="BC30" s="697">
        <f t="shared" si="23"/>
        <v>0</v>
      </c>
      <c r="BD30" s="693">
        <f t="shared" si="15"/>
        <v>0</v>
      </c>
      <c r="BE30" s="693">
        <f t="shared" si="15"/>
        <v>0</v>
      </c>
      <c r="BF30" s="693">
        <f t="shared" si="15"/>
        <v>0</v>
      </c>
      <c r="BG30" s="693">
        <f t="shared" si="15"/>
        <v>0</v>
      </c>
      <c r="BH30" s="693">
        <f t="shared" si="15"/>
        <v>0</v>
      </c>
      <c r="BI30" s="696">
        <f t="shared" si="15"/>
        <v>0</v>
      </c>
      <c r="BJ30" s="693">
        <f t="shared" si="24"/>
        <v>0</v>
      </c>
      <c r="BK30" s="694"/>
      <c r="BL30" s="694"/>
      <c r="BM30" s="694"/>
      <c r="BN30" s="694"/>
      <c r="BO30" s="694"/>
      <c r="BP30" s="695"/>
      <c r="BQ30" s="693">
        <f t="shared" si="25"/>
        <v>0</v>
      </c>
      <c r="BR30" s="694"/>
      <c r="BS30" s="694"/>
      <c r="BT30" s="694"/>
      <c r="BU30" s="694"/>
      <c r="BV30" s="694"/>
      <c r="BW30" s="698"/>
    </row>
    <row r="31" spans="3:75" ht="15" customHeight="1">
      <c r="C31" s="672"/>
      <c r="D31" s="715" t="s">
        <v>522</v>
      </c>
      <c r="E31" s="716">
        <v>271</v>
      </c>
      <c r="F31" s="693">
        <f t="shared" si="16"/>
        <v>0</v>
      </c>
      <c r="G31" s="694"/>
      <c r="H31" s="694"/>
      <c r="I31" s="694"/>
      <c r="J31" s="694"/>
      <c r="K31" s="694"/>
      <c r="L31" s="695"/>
      <c r="M31" s="693">
        <f t="shared" si="17"/>
        <v>0</v>
      </c>
      <c r="N31" s="694"/>
      <c r="O31" s="694"/>
      <c r="P31" s="694"/>
      <c r="Q31" s="694"/>
      <c r="R31" s="694"/>
      <c r="S31" s="695"/>
      <c r="T31" s="693">
        <f t="shared" si="18"/>
        <v>0</v>
      </c>
      <c r="U31" s="694"/>
      <c r="V31" s="694"/>
      <c r="W31" s="694"/>
      <c r="X31" s="694"/>
      <c r="Y31" s="694"/>
      <c r="Z31" s="695"/>
      <c r="AA31" s="693">
        <f t="shared" si="19"/>
        <v>0</v>
      </c>
      <c r="AB31" s="694"/>
      <c r="AC31" s="694"/>
      <c r="AD31" s="694"/>
      <c r="AE31" s="694"/>
      <c r="AF31" s="694"/>
      <c r="AG31" s="695"/>
      <c r="AH31" s="693">
        <f t="shared" si="20"/>
        <v>0</v>
      </c>
      <c r="AI31" s="694"/>
      <c r="AJ31" s="694"/>
      <c r="AK31" s="694"/>
      <c r="AL31" s="694"/>
      <c r="AM31" s="694"/>
      <c r="AN31" s="695"/>
      <c r="AO31" s="693">
        <f t="shared" si="21"/>
        <v>0</v>
      </c>
      <c r="AP31" s="694"/>
      <c r="AQ31" s="694"/>
      <c r="AR31" s="694"/>
      <c r="AS31" s="694"/>
      <c r="AT31" s="694"/>
      <c r="AU31" s="695"/>
      <c r="AV31" s="693">
        <f t="shared" si="22"/>
        <v>0</v>
      </c>
      <c r="AW31" s="693">
        <f t="shared" si="14"/>
        <v>0</v>
      </c>
      <c r="AX31" s="693">
        <f t="shared" si="14"/>
        <v>0</v>
      </c>
      <c r="AY31" s="693">
        <f t="shared" si="14"/>
        <v>0</v>
      </c>
      <c r="AZ31" s="693">
        <f t="shared" si="14"/>
        <v>0</v>
      </c>
      <c r="BA31" s="693">
        <f t="shared" si="14"/>
        <v>0</v>
      </c>
      <c r="BB31" s="696">
        <f t="shared" si="14"/>
        <v>0</v>
      </c>
      <c r="BC31" s="697">
        <f t="shared" si="23"/>
        <v>0</v>
      </c>
      <c r="BD31" s="693">
        <f t="shared" si="15"/>
        <v>0</v>
      </c>
      <c r="BE31" s="693">
        <f t="shared" si="15"/>
        <v>0</v>
      </c>
      <c r="BF31" s="693">
        <f t="shared" si="15"/>
        <v>0</v>
      </c>
      <c r="BG31" s="693">
        <f t="shared" si="15"/>
        <v>0</v>
      </c>
      <c r="BH31" s="693">
        <f t="shared" si="15"/>
        <v>0</v>
      </c>
      <c r="BI31" s="696">
        <f t="shared" si="15"/>
        <v>0</v>
      </c>
      <c r="BJ31" s="693">
        <f t="shared" si="24"/>
        <v>0</v>
      </c>
      <c r="BK31" s="694"/>
      <c r="BL31" s="694"/>
      <c r="BM31" s="694"/>
      <c r="BN31" s="694"/>
      <c r="BO31" s="694"/>
      <c r="BP31" s="695"/>
      <c r="BQ31" s="693">
        <f t="shared" si="25"/>
        <v>0</v>
      </c>
      <c r="BR31" s="694"/>
      <c r="BS31" s="694"/>
      <c r="BT31" s="694"/>
      <c r="BU31" s="694"/>
      <c r="BV31" s="694"/>
      <c r="BW31" s="698"/>
    </row>
    <row r="32" spans="3:75" ht="33.75">
      <c r="C32" s="672"/>
      <c r="D32" s="715" t="s">
        <v>524</v>
      </c>
      <c r="E32" s="716">
        <v>300</v>
      </c>
      <c r="F32" s="689">
        <f>SUM(F33:F39)</f>
        <v>0</v>
      </c>
      <c r="G32" s="689">
        <f t="shared" ref="G32:BR32" si="26">SUM(G33:G39)</f>
        <v>0</v>
      </c>
      <c r="H32" s="689">
        <f t="shared" si="26"/>
        <v>0</v>
      </c>
      <c r="I32" s="689">
        <f t="shared" si="26"/>
        <v>0</v>
      </c>
      <c r="J32" s="689">
        <f t="shared" si="26"/>
        <v>0</v>
      </c>
      <c r="K32" s="689">
        <f t="shared" si="26"/>
        <v>0</v>
      </c>
      <c r="L32" s="690">
        <f t="shared" si="26"/>
        <v>0</v>
      </c>
      <c r="M32" s="689">
        <f t="shared" si="26"/>
        <v>0</v>
      </c>
      <c r="N32" s="689">
        <f t="shared" si="26"/>
        <v>0</v>
      </c>
      <c r="O32" s="689">
        <f t="shared" si="26"/>
        <v>0</v>
      </c>
      <c r="P32" s="689">
        <f t="shared" si="26"/>
        <v>0</v>
      </c>
      <c r="Q32" s="689">
        <f t="shared" si="26"/>
        <v>0</v>
      </c>
      <c r="R32" s="689">
        <f t="shared" si="26"/>
        <v>0</v>
      </c>
      <c r="S32" s="690">
        <f t="shared" si="26"/>
        <v>0</v>
      </c>
      <c r="T32" s="689">
        <f t="shared" si="26"/>
        <v>0</v>
      </c>
      <c r="U32" s="689">
        <f t="shared" si="26"/>
        <v>0</v>
      </c>
      <c r="V32" s="689">
        <f t="shared" si="26"/>
        <v>0</v>
      </c>
      <c r="W32" s="689">
        <f t="shared" si="26"/>
        <v>0</v>
      </c>
      <c r="X32" s="689">
        <f t="shared" si="26"/>
        <v>0</v>
      </c>
      <c r="Y32" s="689">
        <f t="shared" si="26"/>
        <v>0</v>
      </c>
      <c r="Z32" s="690">
        <f t="shared" si="26"/>
        <v>0</v>
      </c>
      <c r="AA32" s="689">
        <f t="shared" si="26"/>
        <v>0</v>
      </c>
      <c r="AB32" s="689">
        <f t="shared" si="26"/>
        <v>0</v>
      </c>
      <c r="AC32" s="689">
        <f t="shared" si="26"/>
        <v>0</v>
      </c>
      <c r="AD32" s="689">
        <f t="shared" si="26"/>
        <v>0</v>
      </c>
      <c r="AE32" s="689">
        <f t="shared" si="26"/>
        <v>0</v>
      </c>
      <c r="AF32" s="689">
        <f t="shared" si="26"/>
        <v>0</v>
      </c>
      <c r="AG32" s="690">
        <f t="shared" si="26"/>
        <v>0</v>
      </c>
      <c r="AH32" s="689">
        <f t="shared" si="26"/>
        <v>0</v>
      </c>
      <c r="AI32" s="689">
        <f t="shared" si="26"/>
        <v>0</v>
      </c>
      <c r="AJ32" s="689">
        <f t="shared" si="26"/>
        <v>0</v>
      </c>
      <c r="AK32" s="689">
        <f t="shared" si="26"/>
        <v>0</v>
      </c>
      <c r="AL32" s="689">
        <f t="shared" si="26"/>
        <v>0</v>
      </c>
      <c r="AM32" s="689">
        <f t="shared" si="26"/>
        <v>0</v>
      </c>
      <c r="AN32" s="690">
        <f t="shared" si="26"/>
        <v>0</v>
      </c>
      <c r="AO32" s="689">
        <f t="shared" si="26"/>
        <v>0</v>
      </c>
      <c r="AP32" s="689">
        <f t="shared" si="26"/>
        <v>0</v>
      </c>
      <c r="AQ32" s="689">
        <f t="shared" si="26"/>
        <v>0</v>
      </c>
      <c r="AR32" s="689">
        <f t="shared" si="26"/>
        <v>0</v>
      </c>
      <c r="AS32" s="689">
        <f t="shared" si="26"/>
        <v>0</v>
      </c>
      <c r="AT32" s="689">
        <f t="shared" si="26"/>
        <v>0</v>
      </c>
      <c r="AU32" s="690">
        <f t="shared" si="26"/>
        <v>0</v>
      </c>
      <c r="AV32" s="689">
        <f t="shared" si="26"/>
        <v>0</v>
      </c>
      <c r="AW32" s="689">
        <f t="shared" si="26"/>
        <v>0</v>
      </c>
      <c r="AX32" s="689">
        <f t="shared" si="26"/>
        <v>0</v>
      </c>
      <c r="AY32" s="689">
        <f t="shared" si="26"/>
        <v>0</v>
      </c>
      <c r="AZ32" s="689">
        <f t="shared" si="26"/>
        <v>0</v>
      </c>
      <c r="BA32" s="689">
        <f t="shared" si="26"/>
        <v>0</v>
      </c>
      <c r="BB32" s="690">
        <f t="shared" si="26"/>
        <v>0</v>
      </c>
      <c r="BC32" s="691">
        <f t="shared" si="26"/>
        <v>0</v>
      </c>
      <c r="BD32" s="689">
        <f t="shared" si="26"/>
        <v>0</v>
      </c>
      <c r="BE32" s="689">
        <f t="shared" si="26"/>
        <v>0</v>
      </c>
      <c r="BF32" s="689">
        <f t="shared" si="26"/>
        <v>0</v>
      </c>
      <c r="BG32" s="689">
        <f t="shared" si="26"/>
        <v>0</v>
      </c>
      <c r="BH32" s="689">
        <f t="shared" si="26"/>
        <v>0</v>
      </c>
      <c r="BI32" s="690">
        <f t="shared" si="26"/>
        <v>0</v>
      </c>
      <c r="BJ32" s="689">
        <f t="shared" si="26"/>
        <v>0</v>
      </c>
      <c r="BK32" s="689">
        <f t="shared" si="26"/>
        <v>0</v>
      </c>
      <c r="BL32" s="689">
        <f t="shared" si="26"/>
        <v>0</v>
      </c>
      <c r="BM32" s="689">
        <f t="shared" si="26"/>
        <v>0</v>
      </c>
      <c r="BN32" s="689">
        <f t="shared" si="26"/>
        <v>0</v>
      </c>
      <c r="BO32" s="689">
        <f t="shared" si="26"/>
        <v>0</v>
      </c>
      <c r="BP32" s="690">
        <f t="shared" si="26"/>
        <v>0</v>
      </c>
      <c r="BQ32" s="689">
        <f t="shared" si="26"/>
        <v>0</v>
      </c>
      <c r="BR32" s="689">
        <f t="shared" si="26"/>
        <v>0</v>
      </c>
      <c r="BS32" s="689">
        <f>SUM(BS33:BS39)</f>
        <v>0</v>
      </c>
      <c r="BT32" s="689">
        <f>SUM(BT33:BT39)</f>
        <v>0</v>
      </c>
      <c r="BU32" s="689">
        <f>SUM(BU33:BU39)</f>
        <v>0</v>
      </c>
      <c r="BV32" s="689">
        <f>SUM(BV33:BV39)</f>
        <v>0</v>
      </c>
      <c r="BW32" s="699">
        <f>SUM(BW33:BW39)</f>
        <v>0</v>
      </c>
    </row>
    <row r="33" spans="3:75" ht="22.5">
      <c r="C33" s="672"/>
      <c r="D33" s="715" t="s">
        <v>516</v>
      </c>
      <c r="E33" s="716">
        <v>311</v>
      </c>
      <c r="F33" s="693">
        <f>SUM(G33:L33)</f>
        <v>0</v>
      </c>
      <c r="G33" s="694"/>
      <c r="H33" s="694"/>
      <c r="I33" s="694"/>
      <c r="J33" s="694"/>
      <c r="K33" s="694"/>
      <c r="L33" s="695"/>
      <c r="M33" s="693">
        <f>SUM(N33:S33)</f>
        <v>0</v>
      </c>
      <c r="N33" s="694"/>
      <c r="O33" s="694"/>
      <c r="P33" s="694"/>
      <c r="Q33" s="694"/>
      <c r="R33" s="694"/>
      <c r="S33" s="695"/>
      <c r="T33" s="693">
        <f>SUM(U33:Z33)</f>
        <v>0</v>
      </c>
      <c r="U33" s="694"/>
      <c r="V33" s="694"/>
      <c r="W33" s="694"/>
      <c r="X33" s="694"/>
      <c r="Y33" s="694"/>
      <c r="Z33" s="695"/>
      <c r="AA33" s="693">
        <f>SUM(AB33:AG33)</f>
        <v>0</v>
      </c>
      <c r="AB33" s="694"/>
      <c r="AC33" s="694"/>
      <c r="AD33" s="694"/>
      <c r="AE33" s="694"/>
      <c r="AF33" s="694"/>
      <c r="AG33" s="695"/>
      <c r="AH33" s="693">
        <f>SUM(AI33:AN33)</f>
        <v>0</v>
      </c>
      <c r="AI33" s="694"/>
      <c r="AJ33" s="694"/>
      <c r="AK33" s="694"/>
      <c r="AL33" s="694"/>
      <c r="AM33" s="694"/>
      <c r="AN33" s="695"/>
      <c r="AO33" s="693">
        <f>SUM(AP33:AU33)</f>
        <v>0</v>
      </c>
      <c r="AP33" s="694"/>
      <c r="AQ33" s="694"/>
      <c r="AR33" s="694"/>
      <c r="AS33" s="694"/>
      <c r="AT33" s="694"/>
      <c r="AU33" s="695"/>
      <c r="AV33" s="693">
        <f>SUM(AW33:BB33)</f>
        <v>0</v>
      </c>
      <c r="AW33" s="693">
        <f t="shared" ref="AW33:BB39" si="27">AI33+U33+G33</f>
        <v>0</v>
      </c>
      <c r="AX33" s="693">
        <f t="shared" si="27"/>
        <v>0</v>
      </c>
      <c r="AY33" s="693">
        <f t="shared" si="27"/>
        <v>0</v>
      </c>
      <c r="AZ33" s="693">
        <f t="shared" si="27"/>
        <v>0</v>
      </c>
      <c r="BA33" s="693">
        <f t="shared" si="27"/>
        <v>0</v>
      </c>
      <c r="BB33" s="696">
        <f t="shared" si="27"/>
        <v>0</v>
      </c>
      <c r="BC33" s="697">
        <f>SUM(BD33:BI33)</f>
        <v>0</v>
      </c>
      <c r="BD33" s="693">
        <f t="shared" ref="BD33:BI39" si="28">AP33+AB33+N33</f>
        <v>0</v>
      </c>
      <c r="BE33" s="693">
        <f t="shared" si="28"/>
        <v>0</v>
      </c>
      <c r="BF33" s="693">
        <f t="shared" si="28"/>
        <v>0</v>
      </c>
      <c r="BG33" s="693">
        <f t="shared" si="28"/>
        <v>0</v>
      </c>
      <c r="BH33" s="693">
        <f t="shared" si="28"/>
        <v>0</v>
      </c>
      <c r="BI33" s="696">
        <f t="shared" si="28"/>
        <v>0</v>
      </c>
      <c r="BJ33" s="693">
        <f>SUM(BK33:BP33)</f>
        <v>0</v>
      </c>
      <c r="BK33" s="694"/>
      <c r="BL33" s="694"/>
      <c r="BM33" s="694"/>
      <c r="BN33" s="694"/>
      <c r="BO33" s="694"/>
      <c r="BP33" s="695"/>
      <c r="BQ33" s="693">
        <f>SUM(BR33:BW33)</f>
        <v>0</v>
      </c>
      <c r="BR33" s="694"/>
      <c r="BS33" s="694"/>
      <c r="BT33" s="694"/>
      <c r="BU33" s="694"/>
      <c r="BV33" s="694"/>
      <c r="BW33" s="698"/>
    </row>
    <row r="34" spans="3:75" ht="22.5">
      <c r="C34" s="672"/>
      <c r="D34" s="715" t="s">
        <v>517</v>
      </c>
      <c r="E34" s="716">
        <v>321</v>
      </c>
      <c r="F34" s="693">
        <f t="shared" ref="F34:F39" si="29">SUM(G34:L34)</f>
        <v>0</v>
      </c>
      <c r="G34" s="694"/>
      <c r="H34" s="694"/>
      <c r="I34" s="694"/>
      <c r="J34" s="694"/>
      <c r="K34" s="694"/>
      <c r="L34" s="695"/>
      <c r="M34" s="693">
        <f t="shared" ref="M34:M39" si="30">SUM(N34:S34)</f>
        <v>0</v>
      </c>
      <c r="N34" s="694"/>
      <c r="O34" s="694"/>
      <c r="P34" s="694"/>
      <c r="Q34" s="694"/>
      <c r="R34" s="694"/>
      <c r="S34" s="695"/>
      <c r="T34" s="693">
        <f t="shared" ref="T34:T39" si="31">SUM(U34:Z34)</f>
        <v>0</v>
      </c>
      <c r="U34" s="694"/>
      <c r="V34" s="694"/>
      <c r="W34" s="694"/>
      <c r="X34" s="694"/>
      <c r="Y34" s="694"/>
      <c r="Z34" s="695"/>
      <c r="AA34" s="693">
        <f t="shared" ref="AA34:AA39" si="32">SUM(AB34:AG34)</f>
        <v>0</v>
      </c>
      <c r="AB34" s="694"/>
      <c r="AC34" s="694"/>
      <c r="AD34" s="694"/>
      <c r="AE34" s="694"/>
      <c r="AF34" s="694"/>
      <c r="AG34" s="695"/>
      <c r="AH34" s="693">
        <f t="shared" ref="AH34:AH39" si="33">SUM(AI34:AN34)</f>
        <v>0</v>
      </c>
      <c r="AI34" s="694"/>
      <c r="AJ34" s="694"/>
      <c r="AK34" s="694"/>
      <c r="AL34" s="694"/>
      <c r="AM34" s="694"/>
      <c r="AN34" s="695"/>
      <c r="AO34" s="693">
        <f t="shared" ref="AO34:AO39" si="34">SUM(AP34:AU34)</f>
        <v>0</v>
      </c>
      <c r="AP34" s="694"/>
      <c r="AQ34" s="694"/>
      <c r="AR34" s="694"/>
      <c r="AS34" s="694"/>
      <c r="AT34" s="694"/>
      <c r="AU34" s="695"/>
      <c r="AV34" s="693">
        <f t="shared" ref="AV34:AV39" si="35">SUM(AW34:BB34)</f>
        <v>0</v>
      </c>
      <c r="AW34" s="693">
        <f t="shared" si="27"/>
        <v>0</v>
      </c>
      <c r="AX34" s="693">
        <f t="shared" si="27"/>
        <v>0</v>
      </c>
      <c r="AY34" s="693">
        <f t="shared" si="27"/>
        <v>0</v>
      </c>
      <c r="AZ34" s="693">
        <f t="shared" si="27"/>
        <v>0</v>
      </c>
      <c r="BA34" s="693">
        <f t="shared" si="27"/>
        <v>0</v>
      </c>
      <c r="BB34" s="696">
        <f t="shared" si="27"/>
        <v>0</v>
      </c>
      <c r="BC34" s="697">
        <f t="shared" ref="BC34:BC39" si="36">SUM(BD34:BI34)</f>
        <v>0</v>
      </c>
      <c r="BD34" s="693">
        <f t="shared" si="28"/>
        <v>0</v>
      </c>
      <c r="BE34" s="693">
        <f t="shared" si="28"/>
        <v>0</v>
      </c>
      <c r="BF34" s="693">
        <f t="shared" si="28"/>
        <v>0</v>
      </c>
      <c r="BG34" s="693">
        <f t="shared" si="28"/>
        <v>0</v>
      </c>
      <c r="BH34" s="693">
        <f t="shared" si="28"/>
        <v>0</v>
      </c>
      <c r="BI34" s="696">
        <f t="shared" si="28"/>
        <v>0</v>
      </c>
      <c r="BJ34" s="693">
        <f t="shared" ref="BJ34:BJ39" si="37">SUM(BK34:BP34)</f>
        <v>0</v>
      </c>
      <c r="BK34" s="694"/>
      <c r="BL34" s="694"/>
      <c r="BM34" s="694"/>
      <c r="BN34" s="694"/>
      <c r="BO34" s="694"/>
      <c r="BP34" s="695"/>
      <c r="BQ34" s="693">
        <f t="shared" ref="BQ34:BQ39" si="38">SUM(BR34:BW34)</f>
        <v>0</v>
      </c>
      <c r="BR34" s="694"/>
      <c r="BS34" s="694"/>
      <c r="BT34" s="694"/>
      <c r="BU34" s="694"/>
      <c r="BV34" s="694"/>
      <c r="BW34" s="698"/>
    </row>
    <row r="35" spans="3:75" ht="15" customHeight="1">
      <c r="C35" s="672"/>
      <c r="D35" s="715" t="s">
        <v>518</v>
      </c>
      <c r="E35" s="716">
        <v>331</v>
      </c>
      <c r="F35" s="693">
        <f t="shared" si="29"/>
        <v>0</v>
      </c>
      <c r="G35" s="694"/>
      <c r="H35" s="694"/>
      <c r="I35" s="694"/>
      <c r="J35" s="694"/>
      <c r="K35" s="694"/>
      <c r="L35" s="695"/>
      <c r="M35" s="693">
        <f t="shared" si="30"/>
        <v>0</v>
      </c>
      <c r="N35" s="694"/>
      <c r="O35" s="694"/>
      <c r="P35" s="694"/>
      <c r="Q35" s="694"/>
      <c r="R35" s="694"/>
      <c r="S35" s="695"/>
      <c r="T35" s="693">
        <f t="shared" si="31"/>
        <v>0</v>
      </c>
      <c r="U35" s="694"/>
      <c r="V35" s="694"/>
      <c r="W35" s="694"/>
      <c r="X35" s="694"/>
      <c r="Y35" s="694"/>
      <c r="Z35" s="695"/>
      <c r="AA35" s="693">
        <f t="shared" si="32"/>
        <v>0</v>
      </c>
      <c r="AB35" s="694"/>
      <c r="AC35" s="694"/>
      <c r="AD35" s="694"/>
      <c r="AE35" s="694"/>
      <c r="AF35" s="694"/>
      <c r="AG35" s="695"/>
      <c r="AH35" s="693">
        <f t="shared" si="33"/>
        <v>0</v>
      </c>
      <c r="AI35" s="694"/>
      <c r="AJ35" s="694"/>
      <c r="AK35" s="694"/>
      <c r="AL35" s="694"/>
      <c r="AM35" s="694"/>
      <c r="AN35" s="695"/>
      <c r="AO35" s="693">
        <f t="shared" si="34"/>
        <v>0</v>
      </c>
      <c r="AP35" s="694"/>
      <c r="AQ35" s="694"/>
      <c r="AR35" s="694"/>
      <c r="AS35" s="694"/>
      <c r="AT35" s="694"/>
      <c r="AU35" s="695"/>
      <c r="AV35" s="693">
        <f t="shared" si="35"/>
        <v>0</v>
      </c>
      <c r="AW35" s="693">
        <f t="shared" si="27"/>
        <v>0</v>
      </c>
      <c r="AX35" s="693">
        <f t="shared" si="27"/>
        <v>0</v>
      </c>
      <c r="AY35" s="693">
        <f t="shared" si="27"/>
        <v>0</v>
      </c>
      <c r="AZ35" s="693">
        <f t="shared" si="27"/>
        <v>0</v>
      </c>
      <c r="BA35" s="693">
        <f t="shared" si="27"/>
        <v>0</v>
      </c>
      <c r="BB35" s="696">
        <f t="shared" si="27"/>
        <v>0</v>
      </c>
      <c r="BC35" s="697">
        <f t="shared" si="36"/>
        <v>0</v>
      </c>
      <c r="BD35" s="693">
        <f t="shared" si="28"/>
        <v>0</v>
      </c>
      <c r="BE35" s="693">
        <f t="shared" si="28"/>
        <v>0</v>
      </c>
      <c r="BF35" s="693">
        <f t="shared" si="28"/>
        <v>0</v>
      </c>
      <c r="BG35" s="693">
        <f t="shared" si="28"/>
        <v>0</v>
      </c>
      <c r="BH35" s="693">
        <f t="shared" si="28"/>
        <v>0</v>
      </c>
      <c r="BI35" s="696">
        <f t="shared" si="28"/>
        <v>0</v>
      </c>
      <c r="BJ35" s="693">
        <f t="shared" si="37"/>
        <v>0</v>
      </c>
      <c r="BK35" s="694"/>
      <c r="BL35" s="694"/>
      <c r="BM35" s="694"/>
      <c r="BN35" s="694"/>
      <c r="BO35" s="694"/>
      <c r="BP35" s="695"/>
      <c r="BQ35" s="693">
        <f t="shared" si="38"/>
        <v>0</v>
      </c>
      <c r="BR35" s="694"/>
      <c r="BS35" s="694"/>
      <c r="BT35" s="694"/>
      <c r="BU35" s="694"/>
      <c r="BV35" s="694"/>
      <c r="BW35" s="698"/>
    </row>
    <row r="36" spans="3:75" ht="15" customHeight="1">
      <c r="C36" s="672"/>
      <c r="D36" s="715" t="s">
        <v>519</v>
      </c>
      <c r="E36" s="716">
        <v>341</v>
      </c>
      <c r="F36" s="693">
        <f t="shared" si="29"/>
        <v>0</v>
      </c>
      <c r="G36" s="694"/>
      <c r="H36" s="694"/>
      <c r="I36" s="694"/>
      <c r="J36" s="694"/>
      <c r="K36" s="694"/>
      <c r="L36" s="695"/>
      <c r="M36" s="693">
        <f t="shared" si="30"/>
        <v>0</v>
      </c>
      <c r="N36" s="694"/>
      <c r="O36" s="694"/>
      <c r="P36" s="694"/>
      <c r="Q36" s="694"/>
      <c r="R36" s="694"/>
      <c r="S36" s="695"/>
      <c r="T36" s="693">
        <f t="shared" si="31"/>
        <v>0</v>
      </c>
      <c r="U36" s="694"/>
      <c r="V36" s="694"/>
      <c r="W36" s="694"/>
      <c r="X36" s="694"/>
      <c r="Y36" s="694"/>
      <c r="Z36" s="695"/>
      <c r="AA36" s="693">
        <f t="shared" si="32"/>
        <v>0</v>
      </c>
      <c r="AB36" s="694"/>
      <c r="AC36" s="694"/>
      <c r="AD36" s="694"/>
      <c r="AE36" s="694"/>
      <c r="AF36" s="694"/>
      <c r="AG36" s="695"/>
      <c r="AH36" s="693">
        <f t="shared" si="33"/>
        <v>0</v>
      </c>
      <c r="AI36" s="694"/>
      <c r="AJ36" s="694"/>
      <c r="AK36" s="694"/>
      <c r="AL36" s="694"/>
      <c r="AM36" s="694"/>
      <c r="AN36" s="695"/>
      <c r="AO36" s="693">
        <f t="shared" si="34"/>
        <v>0</v>
      </c>
      <c r="AP36" s="694"/>
      <c r="AQ36" s="694"/>
      <c r="AR36" s="694"/>
      <c r="AS36" s="694"/>
      <c r="AT36" s="694"/>
      <c r="AU36" s="695"/>
      <c r="AV36" s="693">
        <f t="shared" si="35"/>
        <v>0</v>
      </c>
      <c r="AW36" s="693">
        <f t="shared" si="27"/>
        <v>0</v>
      </c>
      <c r="AX36" s="693">
        <f t="shared" si="27"/>
        <v>0</v>
      </c>
      <c r="AY36" s="693">
        <f t="shared" si="27"/>
        <v>0</v>
      </c>
      <c r="AZ36" s="693">
        <f t="shared" si="27"/>
        <v>0</v>
      </c>
      <c r="BA36" s="693">
        <f t="shared" si="27"/>
        <v>0</v>
      </c>
      <c r="BB36" s="696">
        <f t="shared" si="27"/>
        <v>0</v>
      </c>
      <c r="BC36" s="697">
        <f t="shared" si="36"/>
        <v>0</v>
      </c>
      <c r="BD36" s="693">
        <f t="shared" si="28"/>
        <v>0</v>
      </c>
      <c r="BE36" s="693">
        <f t="shared" si="28"/>
        <v>0</v>
      </c>
      <c r="BF36" s="693">
        <f t="shared" si="28"/>
        <v>0</v>
      </c>
      <c r="BG36" s="693">
        <f t="shared" si="28"/>
        <v>0</v>
      </c>
      <c r="BH36" s="693">
        <f t="shared" si="28"/>
        <v>0</v>
      </c>
      <c r="BI36" s="696">
        <f t="shared" si="28"/>
        <v>0</v>
      </c>
      <c r="BJ36" s="693">
        <f t="shared" si="37"/>
        <v>0</v>
      </c>
      <c r="BK36" s="694"/>
      <c r="BL36" s="694"/>
      <c r="BM36" s="694"/>
      <c r="BN36" s="694"/>
      <c r="BO36" s="694"/>
      <c r="BP36" s="695"/>
      <c r="BQ36" s="693">
        <f t="shared" si="38"/>
        <v>0</v>
      </c>
      <c r="BR36" s="694"/>
      <c r="BS36" s="694"/>
      <c r="BT36" s="694"/>
      <c r="BU36" s="694"/>
      <c r="BV36" s="694"/>
      <c r="BW36" s="698"/>
    </row>
    <row r="37" spans="3:75" ht="15" customHeight="1">
      <c r="C37" s="672"/>
      <c r="D37" s="715" t="s">
        <v>520</v>
      </c>
      <c r="E37" s="716">
        <v>351</v>
      </c>
      <c r="F37" s="693">
        <f t="shared" si="29"/>
        <v>0</v>
      </c>
      <c r="G37" s="694"/>
      <c r="H37" s="694"/>
      <c r="I37" s="694"/>
      <c r="J37" s="694"/>
      <c r="K37" s="694"/>
      <c r="L37" s="695"/>
      <c r="M37" s="693">
        <f t="shared" si="30"/>
        <v>0</v>
      </c>
      <c r="N37" s="694"/>
      <c r="O37" s="694"/>
      <c r="P37" s="694"/>
      <c r="Q37" s="694"/>
      <c r="R37" s="694"/>
      <c r="S37" s="695"/>
      <c r="T37" s="693">
        <f t="shared" si="31"/>
        <v>0</v>
      </c>
      <c r="U37" s="694"/>
      <c r="V37" s="694"/>
      <c r="W37" s="694"/>
      <c r="X37" s="694"/>
      <c r="Y37" s="694"/>
      <c r="Z37" s="695"/>
      <c r="AA37" s="693">
        <f t="shared" si="32"/>
        <v>0</v>
      </c>
      <c r="AB37" s="694"/>
      <c r="AC37" s="694"/>
      <c r="AD37" s="694"/>
      <c r="AE37" s="694"/>
      <c r="AF37" s="694"/>
      <c r="AG37" s="695"/>
      <c r="AH37" s="693">
        <f t="shared" si="33"/>
        <v>0</v>
      </c>
      <c r="AI37" s="694"/>
      <c r="AJ37" s="694"/>
      <c r="AK37" s="694"/>
      <c r="AL37" s="694"/>
      <c r="AM37" s="694"/>
      <c r="AN37" s="695"/>
      <c r="AO37" s="693">
        <f t="shared" si="34"/>
        <v>0</v>
      </c>
      <c r="AP37" s="694"/>
      <c r="AQ37" s="694"/>
      <c r="AR37" s="694"/>
      <c r="AS37" s="694"/>
      <c r="AT37" s="694"/>
      <c r="AU37" s="695"/>
      <c r="AV37" s="693">
        <f t="shared" si="35"/>
        <v>0</v>
      </c>
      <c r="AW37" s="693">
        <f t="shared" si="27"/>
        <v>0</v>
      </c>
      <c r="AX37" s="693">
        <f t="shared" si="27"/>
        <v>0</v>
      </c>
      <c r="AY37" s="693">
        <f t="shared" si="27"/>
        <v>0</v>
      </c>
      <c r="AZ37" s="693">
        <f t="shared" si="27"/>
        <v>0</v>
      </c>
      <c r="BA37" s="693">
        <f t="shared" si="27"/>
        <v>0</v>
      </c>
      <c r="BB37" s="696">
        <f t="shared" si="27"/>
        <v>0</v>
      </c>
      <c r="BC37" s="697">
        <f t="shared" si="36"/>
        <v>0</v>
      </c>
      <c r="BD37" s="693">
        <f t="shared" si="28"/>
        <v>0</v>
      </c>
      <c r="BE37" s="693">
        <f t="shared" si="28"/>
        <v>0</v>
      </c>
      <c r="BF37" s="693">
        <f t="shared" si="28"/>
        <v>0</v>
      </c>
      <c r="BG37" s="693">
        <f t="shared" si="28"/>
        <v>0</v>
      </c>
      <c r="BH37" s="693">
        <f t="shared" si="28"/>
        <v>0</v>
      </c>
      <c r="BI37" s="696">
        <f t="shared" si="28"/>
        <v>0</v>
      </c>
      <c r="BJ37" s="693">
        <f t="shared" si="37"/>
        <v>0</v>
      </c>
      <c r="BK37" s="694"/>
      <c r="BL37" s="694"/>
      <c r="BM37" s="694"/>
      <c r="BN37" s="694"/>
      <c r="BO37" s="694"/>
      <c r="BP37" s="695"/>
      <c r="BQ37" s="693">
        <f t="shared" si="38"/>
        <v>0</v>
      </c>
      <c r="BR37" s="694"/>
      <c r="BS37" s="694"/>
      <c r="BT37" s="694"/>
      <c r="BU37" s="694"/>
      <c r="BV37" s="694"/>
      <c r="BW37" s="698"/>
    </row>
    <row r="38" spans="3:75" ht="15" customHeight="1">
      <c r="C38" s="672"/>
      <c r="D38" s="715" t="s">
        <v>521</v>
      </c>
      <c r="E38" s="716">
        <v>361</v>
      </c>
      <c r="F38" s="693">
        <f t="shared" si="29"/>
        <v>0</v>
      </c>
      <c r="G38" s="694"/>
      <c r="H38" s="694"/>
      <c r="I38" s="694"/>
      <c r="J38" s="694"/>
      <c r="K38" s="694"/>
      <c r="L38" s="695"/>
      <c r="M38" s="693">
        <f t="shared" si="30"/>
        <v>0</v>
      </c>
      <c r="N38" s="694"/>
      <c r="O38" s="694"/>
      <c r="P38" s="694"/>
      <c r="Q38" s="694"/>
      <c r="R38" s="694"/>
      <c r="S38" s="695"/>
      <c r="T38" s="693">
        <f t="shared" si="31"/>
        <v>0</v>
      </c>
      <c r="U38" s="694"/>
      <c r="V38" s="694"/>
      <c r="W38" s="694"/>
      <c r="X38" s="694"/>
      <c r="Y38" s="694"/>
      <c r="Z38" s="695"/>
      <c r="AA38" s="693">
        <f t="shared" si="32"/>
        <v>0</v>
      </c>
      <c r="AB38" s="694"/>
      <c r="AC38" s="694"/>
      <c r="AD38" s="694"/>
      <c r="AE38" s="694"/>
      <c r="AF38" s="694"/>
      <c r="AG38" s="695"/>
      <c r="AH38" s="693">
        <f t="shared" si="33"/>
        <v>0</v>
      </c>
      <c r="AI38" s="694"/>
      <c r="AJ38" s="694"/>
      <c r="AK38" s="694"/>
      <c r="AL38" s="694"/>
      <c r="AM38" s="694"/>
      <c r="AN38" s="695"/>
      <c r="AO38" s="693">
        <f t="shared" si="34"/>
        <v>0</v>
      </c>
      <c r="AP38" s="694"/>
      <c r="AQ38" s="694"/>
      <c r="AR38" s="694"/>
      <c r="AS38" s="694"/>
      <c r="AT38" s="694"/>
      <c r="AU38" s="695"/>
      <c r="AV38" s="693">
        <f t="shared" si="35"/>
        <v>0</v>
      </c>
      <c r="AW38" s="693">
        <f t="shared" si="27"/>
        <v>0</v>
      </c>
      <c r="AX38" s="693">
        <f t="shared" si="27"/>
        <v>0</v>
      </c>
      <c r="AY38" s="693">
        <f t="shared" si="27"/>
        <v>0</v>
      </c>
      <c r="AZ38" s="693">
        <f t="shared" si="27"/>
        <v>0</v>
      </c>
      <c r="BA38" s="693">
        <f t="shared" si="27"/>
        <v>0</v>
      </c>
      <c r="BB38" s="696">
        <f t="shared" si="27"/>
        <v>0</v>
      </c>
      <c r="BC38" s="697">
        <f t="shared" si="36"/>
        <v>0</v>
      </c>
      <c r="BD38" s="693">
        <f t="shared" si="28"/>
        <v>0</v>
      </c>
      <c r="BE38" s="693">
        <f t="shared" si="28"/>
        <v>0</v>
      </c>
      <c r="BF38" s="693">
        <f t="shared" si="28"/>
        <v>0</v>
      </c>
      <c r="BG38" s="693">
        <f t="shared" si="28"/>
        <v>0</v>
      </c>
      <c r="BH38" s="693">
        <f t="shared" si="28"/>
        <v>0</v>
      </c>
      <c r="BI38" s="696">
        <f t="shared" si="28"/>
        <v>0</v>
      </c>
      <c r="BJ38" s="693">
        <f t="shared" si="37"/>
        <v>0</v>
      </c>
      <c r="BK38" s="694"/>
      <c r="BL38" s="694"/>
      <c r="BM38" s="694"/>
      <c r="BN38" s="694"/>
      <c r="BO38" s="694"/>
      <c r="BP38" s="695"/>
      <c r="BQ38" s="693">
        <f t="shared" si="38"/>
        <v>0</v>
      </c>
      <c r="BR38" s="694"/>
      <c r="BS38" s="694"/>
      <c r="BT38" s="694"/>
      <c r="BU38" s="694"/>
      <c r="BV38" s="694"/>
      <c r="BW38" s="698"/>
    </row>
    <row r="39" spans="3:75" ht="15" customHeight="1">
      <c r="C39" s="672"/>
      <c r="D39" s="715" t="s">
        <v>522</v>
      </c>
      <c r="E39" s="716">
        <v>371</v>
      </c>
      <c r="F39" s="693">
        <f t="shared" si="29"/>
        <v>0</v>
      </c>
      <c r="G39" s="694"/>
      <c r="H39" s="694"/>
      <c r="I39" s="694"/>
      <c r="J39" s="694"/>
      <c r="K39" s="694"/>
      <c r="L39" s="695"/>
      <c r="M39" s="693">
        <f t="shared" si="30"/>
        <v>0</v>
      </c>
      <c r="N39" s="694"/>
      <c r="O39" s="694"/>
      <c r="P39" s="694"/>
      <c r="Q39" s="694"/>
      <c r="R39" s="694"/>
      <c r="S39" s="695"/>
      <c r="T39" s="693">
        <f t="shared" si="31"/>
        <v>0</v>
      </c>
      <c r="U39" s="694"/>
      <c r="V39" s="694"/>
      <c r="W39" s="694"/>
      <c r="X39" s="694"/>
      <c r="Y39" s="694"/>
      <c r="Z39" s="695"/>
      <c r="AA39" s="693">
        <f t="shared" si="32"/>
        <v>0</v>
      </c>
      <c r="AB39" s="694"/>
      <c r="AC39" s="694"/>
      <c r="AD39" s="694"/>
      <c r="AE39" s="694"/>
      <c r="AF39" s="694"/>
      <c r="AG39" s="695"/>
      <c r="AH39" s="693">
        <f t="shared" si="33"/>
        <v>0</v>
      </c>
      <c r="AI39" s="694"/>
      <c r="AJ39" s="694"/>
      <c r="AK39" s="694"/>
      <c r="AL39" s="694"/>
      <c r="AM39" s="694"/>
      <c r="AN39" s="695"/>
      <c r="AO39" s="693">
        <f t="shared" si="34"/>
        <v>0</v>
      </c>
      <c r="AP39" s="694"/>
      <c r="AQ39" s="694"/>
      <c r="AR39" s="694"/>
      <c r="AS39" s="694"/>
      <c r="AT39" s="694"/>
      <c r="AU39" s="695"/>
      <c r="AV39" s="693">
        <f t="shared" si="35"/>
        <v>0</v>
      </c>
      <c r="AW39" s="693">
        <f t="shared" si="27"/>
        <v>0</v>
      </c>
      <c r="AX39" s="693">
        <f t="shared" si="27"/>
        <v>0</v>
      </c>
      <c r="AY39" s="693">
        <f t="shared" si="27"/>
        <v>0</v>
      </c>
      <c r="AZ39" s="693">
        <f t="shared" si="27"/>
        <v>0</v>
      </c>
      <c r="BA39" s="693">
        <f t="shared" si="27"/>
        <v>0</v>
      </c>
      <c r="BB39" s="696">
        <f t="shared" si="27"/>
        <v>0</v>
      </c>
      <c r="BC39" s="697">
        <f t="shared" si="36"/>
        <v>0</v>
      </c>
      <c r="BD39" s="693">
        <f t="shared" si="28"/>
        <v>0</v>
      </c>
      <c r="BE39" s="693">
        <f t="shared" si="28"/>
        <v>0</v>
      </c>
      <c r="BF39" s="693">
        <f t="shared" si="28"/>
        <v>0</v>
      </c>
      <c r="BG39" s="693">
        <f t="shared" si="28"/>
        <v>0</v>
      </c>
      <c r="BH39" s="693">
        <f t="shared" si="28"/>
        <v>0</v>
      </c>
      <c r="BI39" s="696">
        <f t="shared" si="28"/>
        <v>0</v>
      </c>
      <c r="BJ39" s="693">
        <f t="shared" si="37"/>
        <v>0</v>
      </c>
      <c r="BK39" s="694"/>
      <c r="BL39" s="694"/>
      <c r="BM39" s="694"/>
      <c r="BN39" s="694"/>
      <c r="BO39" s="694"/>
      <c r="BP39" s="695"/>
      <c r="BQ39" s="693">
        <f t="shared" si="38"/>
        <v>0</v>
      </c>
      <c r="BR39" s="694"/>
      <c r="BS39" s="694"/>
      <c r="BT39" s="694"/>
      <c r="BU39" s="694"/>
      <c r="BV39" s="694"/>
      <c r="BW39" s="698"/>
    </row>
    <row r="40" spans="3:75" ht="33.75">
      <c r="C40" s="672"/>
      <c r="D40" s="715" t="s">
        <v>525</v>
      </c>
      <c r="E40" s="716">
        <v>400</v>
      </c>
      <c r="F40" s="689">
        <f>SUM(F41:F47)</f>
        <v>0</v>
      </c>
      <c r="G40" s="689">
        <f t="shared" ref="G40:BR40" si="39">SUM(G41:G47)</f>
        <v>0</v>
      </c>
      <c r="H40" s="689">
        <f t="shared" si="39"/>
        <v>0</v>
      </c>
      <c r="I40" s="689">
        <f t="shared" si="39"/>
        <v>0</v>
      </c>
      <c r="J40" s="689">
        <f t="shared" si="39"/>
        <v>0</v>
      </c>
      <c r="K40" s="689">
        <f t="shared" si="39"/>
        <v>0</v>
      </c>
      <c r="L40" s="690">
        <f t="shared" si="39"/>
        <v>0</v>
      </c>
      <c r="M40" s="689">
        <f t="shared" si="39"/>
        <v>0</v>
      </c>
      <c r="N40" s="689">
        <f t="shared" si="39"/>
        <v>0</v>
      </c>
      <c r="O40" s="689">
        <f t="shared" si="39"/>
        <v>0</v>
      </c>
      <c r="P40" s="689">
        <f t="shared" si="39"/>
        <v>0</v>
      </c>
      <c r="Q40" s="689">
        <f t="shared" si="39"/>
        <v>0</v>
      </c>
      <c r="R40" s="689">
        <f t="shared" si="39"/>
        <v>0</v>
      </c>
      <c r="S40" s="690">
        <f t="shared" si="39"/>
        <v>0</v>
      </c>
      <c r="T40" s="689">
        <f t="shared" si="39"/>
        <v>0</v>
      </c>
      <c r="U40" s="689">
        <f t="shared" si="39"/>
        <v>0</v>
      </c>
      <c r="V40" s="689">
        <f t="shared" si="39"/>
        <v>0</v>
      </c>
      <c r="W40" s="689">
        <f t="shared" si="39"/>
        <v>0</v>
      </c>
      <c r="X40" s="689">
        <f t="shared" si="39"/>
        <v>0</v>
      </c>
      <c r="Y40" s="689">
        <f t="shared" si="39"/>
        <v>0</v>
      </c>
      <c r="Z40" s="690">
        <f t="shared" si="39"/>
        <v>0</v>
      </c>
      <c r="AA40" s="689">
        <f t="shared" si="39"/>
        <v>0</v>
      </c>
      <c r="AB40" s="689">
        <f t="shared" si="39"/>
        <v>0</v>
      </c>
      <c r="AC40" s="689">
        <f t="shared" si="39"/>
        <v>0</v>
      </c>
      <c r="AD40" s="689">
        <f t="shared" si="39"/>
        <v>0</v>
      </c>
      <c r="AE40" s="689">
        <f t="shared" si="39"/>
        <v>0</v>
      </c>
      <c r="AF40" s="689">
        <f t="shared" si="39"/>
        <v>0</v>
      </c>
      <c r="AG40" s="690">
        <f t="shared" si="39"/>
        <v>0</v>
      </c>
      <c r="AH40" s="689">
        <f t="shared" si="39"/>
        <v>0</v>
      </c>
      <c r="AI40" s="689">
        <f t="shared" si="39"/>
        <v>0</v>
      </c>
      <c r="AJ40" s="689">
        <f t="shared" si="39"/>
        <v>0</v>
      </c>
      <c r="AK40" s="689">
        <f t="shared" si="39"/>
        <v>0</v>
      </c>
      <c r="AL40" s="689">
        <f t="shared" si="39"/>
        <v>0</v>
      </c>
      <c r="AM40" s="689">
        <f t="shared" si="39"/>
        <v>0</v>
      </c>
      <c r="AN40" s="690">
        <f t="shared" si="39"/>
        <v>0</v>
      </c>
      <c r="AO40" s="689">
        <f t="shared" si="39"/>
        <v>0</v>
      </c>
      <c r="AP40" s="689">
        <f t="shared" si="39"/>
        <v>0</v>
      </c>
      <c r="AQ40" s="689">
        <f t="shared" si="39"/>
        <v>0</v>
      </c>
      <c r="AR40" s="689">
        <f t="shared" si="39"/>
        <v>0</v>
      </c>
      <c r="AS40" s="689">
        <f t="shared" si="39"/>
        <v>0</v>
      </c>
      <c r="AT40" s="689">
        <f t="shared" si="39"/>
        <v>0</v>
      </c>
      <c r="AU40" s="690">
        <f t="shared" si="39"/>
        <v>0</v>
      </c>
      <c r="AV40" s="689">
        <f t="shared" si="39"/>
        <v>0</v>
      </c>
      <c r="AW40" s="689">
        <f t="shared" si="39"/>
        <v>0</v>
      </c>
      <c r="AX40" s="689">
        <f t="shared" si="39"/>
        <v>0</v>
      </c>
      <c r="AY40" s="689">
        <f t="shared" si="39"/>
        <v>0</v>
      </c>
      <c r="AZ40" s="689">
        <f t="shared" si="39"/>
        <v>0</v>
      </c>
      <c r="BA40" s="689">
        <f t="shared" si="39"/>
        <v>0</v>
      </c>
      <c r="BB40" s="690">
        <f t="shared" si="39"/>
        <v>0</v>
      </c>
      <c r="BC40" s="691">
        <f t="shared" si="39"/>
        <v>0</v>
      </c>
      <c r="BD40" s="689">
        <f t="shared" si="39"/>
        <v>0</v>
      </c>
      <c r="BE40" s="689">
        <f t="shared" si="39"/>
        <v>0</v>
      </c>
      <c r="BF40" s="689">
        <f t="shared" si="39"/>
        <v>0</v>
      </c>
      <c r="BG40" s="689">
        <f t="shared" si="39"/>
        <v>0</v>
      </c>
      <c r="BH40" s="689">
        <f t="shared" si="39"/>
        <v>0</v>
      </c>
      <c r="BI40" s="690">
        <f t="shared" si="39"/>
        <v>0</v>
      </c>
      <c r="BJ40" s="689">
        <f t="shared" si="39"/>
        <v>0</v>
      </c>
      <c r="BK40" s="689">
        <f t="shared" si="39"/>
        <v>0</v>
      </c>
      <c r="BL40" s="689">
        <f t="shared" si="39"/>
        <v>0</v>
      </c>
      <c r="BM40" s="689">
        <f t="shared" si="39"/>
        <v>0</v>
      </c>
      <c r="BN40" s="689">
        <f t="shared" si="39"/>
        <v>0</v>
      </c>
      <c r="BO40" s="689">
        <f t="shared" si="39"/>
        <v>0</v>
      </c>
      <c r="BP40" s="690">
        <f t="shared" si="39"/>
        <v>0</v>
      </c>
      <c r="BQ40" s="689">
        <f t="shared" si="39"/>
        <v>0</v>
      </c>
      <c r="BR40" s="689">
        <f t="shared" si="39"/>
        <v>0</v>
      </c>
      <c r="BS40" s="689">
        <f>SUM(BS41:BS47)</f>
        <v>0</v>
      </c>
      <c r="BT40" s="689">
        <f>SUM(BT41:BT47)</f>
        <v>0</v>
      </c>
      <c r="BU40" s="689">
        <f>SUM(BU41:BU47)</f>
        <v>0</v>
      </c>
      <c r="BV40" s="689">
        <f>SUM(BV41:BV47)</f>
        <v>0</v>
      </c>
      <c r="BW40" s="699">
        <f>SUM(BW41:BW47)</f>
        <v>0</v>
      </c>
    </row>
    <row r="41" spans="3:75" ht="22.5">
      <c r="C41" s="672"/>
      <c r="D41" s="715" t="s">
        <v>516</v>
      </c>
      <c r="E41" s="716">
        <v>411</v>
      </c>
      <c r="F41" s="693">
        <f>SUM(G41:L41)</f>
        <v>0</v>
      </c>
      <c r="G41" s="694"/>
      <c r="H41" s="694"/>
      <c r="I41" s="694"/>
      <c r="J41" s="694"/>
      <c r="K41" s="694"/>
      <c r="L41" s="695"/>
      <c r="M41" s="693">
        <f>SUM(N41:S41)</f>
        <v>0</v>
      </c>
      <c r="N41" s="694"/>
      <c r="O41" s="694"/>
      <c r="P41" s="694"/>
      <c r="Q41" s="694"/>
      <c r="R41" s="694"/>
      <c r="S41" s="695"/>
      <c r="T41" s="693">
        <f>SUM(U41:Z41)</f>
        <v>0</v>
      </c>
      <c r="U41" s="694"/>
      <c r="V41" s="694"/>
      <c r="W41" s="694"/>
      <c r="X41" s="694"/>
      <c r="Y41" s="694"/>
      <c r="Z41" s="695"/>
      <c r="AA41" s="693">
        <f>SUM(AB41:AG41)</f>
        <v>0</v>
      </c>
      <c r="AB41" s="694"/>
      <c r="AC41" s="694"/>
      <c r="AD41" s="694"/>
      <c r="AE41" s="694"/>
      <c r="AF41" s="694"/>
      <c r="AG41" s="695"/>
      <c r="AH41" s="693">
        <f>SUM(AI41:AN41)</f>
        <v>0</v>
      </c>
      <c r="AI41" s="694"/>
      <c r="AJ41" s="694"/>
      <c r="AK41" s="694"/>
      <c r="AL41" s="694"/>
      <c r="AM41" s="694"/>
      <c r="AN41" s="695"/>
      <c r="AO41" s="693">
        <f>SUM(AP41:AU41)</f>
        <v>0</v>
      </c>
      <c r="AP41" s="694"/>
      <c r="AQ41" s="694"/>
      <c r="AR41" s="694"/>
      <c r="AS41" s="694"/>
      <c r="AT41" s="694"/>
      <c r="AU41" s="695"/>
      <c r="AV41" s="693">
        <f>SUM(AW41:BB41)</f>
        <v>0</v>
      </c>
      <c r="AW41" s="693">
        <f t="shared" ref="AW41:BB48" si="40">AI41+U41+G41</f>
        <v>0</v>
      </c>
      <c r="AX41" s="693">
        <f t="shared" si="40"/>
        <v>0</v>
      </c>
      <c r="AY41" s="693">
        <f t="shared" si="40"/>
        <v>0</v>
      </c>
      <c r="AZ41" s="693">
        <f t="shared" si="40"/>
        <v>0</v>
      </c>
      <c r="BA41" s="693">
        <f t="shared" si="40"/>
        <v>0</v>
      </c>
      <c r="BB41" s="696">
        <f t="shared" si="40"/>
        <v>0</v>
      </c>
      <c r="BC41" s="697">
        <f>SUM(BD41:BI41)</f>
        <v>0</v>
      </c>
      <c r="BD41" s="693">
        <f t="shared" ref="BD41:BI48" si="41">AP41+AB41+N41</f>
        <v>0</v>
      </c>
      <c r="BE41" s="693">
        <f t="shared" si="41"/>
        <v>0</v>
      </c>
      <c r="BF41" s="693">
        <f t="shared" si="41"/>
        <v>0</v>
      </c>
      <c r="BG41" s="693">
        <f t="shared" si="41"/>
        <v>0</v>
      </c>
      <c r="BH41" s="693">
        <f t="shared" si="41"/>
        <v>0</v>
      </c>
      <c r="BI41" s="696">
        <f t="shared" si="41"/>
        <v>0</v>
      </c>
      <c r="BJ41" s="693">
        <f>SUM(BK41:BP41)</f>
        <v>0</v>
      </c>
      <c r="BK41" s="694"/>
      <c r="BL41" s="694"/>
      <c r="BM41" s="694"/>
      <c r="BN41" s="694"/>
      <c r="BO41" s="694"/>
      <c r="BP41" s="695"/>
      <c r="BQ41" s="693">
        <f>SUM(BR41:BW41)</f>
        <v>0</v>
      </c>
      <c r="BR41" s="694"/>
      <c r="BS41" s="694"/>
      <c r="BT41" s="694"/>
      <c r="BU41" s="694"/>
      <c r="BV41" s="694"/>
      <c r="BW41" s="698"/>
    </row>
    <row r="42" spans="3:75" ht="22.5">
      <c r="C42" s="672"/>
      <c r="D42" s="715" t="s">
        <v>517</v>
      </c>
      <c r="E42" s="716">
        <v>421</v>
      </c>
      <c r="F42" s="693">
        <f t="shared" ref="F42:F48" si="42">SUM(G42:L42)</f>
        <v>0</v>
      </c>
      <c r="G42" s="694"/>
      <c r="H42" s="694"/>
      <c r="I42" s="694"/>
      <c r="J42" s="694"/>
      <c r="K42" s="694"/>
      <c r="L42" s="695"/>
      <c r="M42" s="693">
        <f t="shared" ref="M42:M48" si="43">SUM(N42:S42)</f>
        <v>0</v>
      </c>
      <c r="N42" s="694"/>
      <c r="O42" s="694"/>
      <c r="P42" s="694"/>
      <c r="Q42" s="694"/>
      <c r="R42" s="694"/>
      <c r="S42" s="695"/>
      <c r="T42" s="693">
        <f t="shared" ref="T42:T48" si="44">SUM(U42:Z42)</f>
        <v>0</v>
      </c>
      <c r="U42" s="694"/>
      <c r="V42" s="694"/>
      <c r="W42" s="694"/>
      <c r="X42" s="694"/>
      <c r="Y42" s="694"/>
      <c r="Z42" s="695"/>
      <c r="AA42" s="693">
        <f t="shared" ref="AA42:AA48" si="45">SUM(AB42:AG42)</f>
        <v>0</v>
      </c>
      <c r="AB42" s="694"/>
      <c r="AC42" s="694"/>
      <c r="AD42" s="694"/>
      <c r="AE42" s="694"/>
      <c r="AF42" s="694"/>
      <c r="AG42" s="695"/>
      <c r="AH42" s="693">
        <f t="shared" ref="AH42:AH48" si="46">SUM(AI42:AN42)</f>
        <v>0</v>
      </c>
      <c r="AI42" s="694"/>
      <c r="AJ42" s="694"/>
      <c r="AK42" s="694"/>
      <c r="AL42" s="694"/>
      <c r="AM42" s="694"/>
      <c r="AN42" s="695"/>
      <c r="AO42" s="693">
        <f t="shared" ref="AO42:AO48" si="47">SUM(AP42:AU42)</f>
        <v>0</v>
      </c>
      <c r="AP42" s="694"/>
      <c r="AQ42" s="694"/>
      <c r="AR42" s="694"/>
      <c r="AS42" s="694"/>
      <c r="AT42" s="694"/>
      <c r="AU42" s="695"/>
      <c r="AV42" s="693">
        <f t="shared" ref="AV42:AV48" si="48">SUM(AW42:BB42)</f>
        <v>0</v>
      </c>
      <c r="AW42" s="693">
        <f t="shared" si="40"/>
        <v>0</v>
      </c>
      <c r="AX42" s="693">
        <f t="shared" si="40"/>
        <v>0</v>
      </c>
      <c r="AY42" s="693">
        <f t="shared" si="40"/>
        <v>0</v>
      </c>
      <c r="AZ42" s="693">
        <f t="shared" si="40"/>
        <v>0</v>
      </c>
      <c r="BA42" s="693">
        <f t="shared" si="40"/>
        <v>0</v>
      </c>
      <c r="BB42" s="696">
        <f t="shared" si="40"/>
        <v>0</v>
      </c>
      <c r="BC42" s="697">
        <f t="shared" ref="BC42:BC48" si="49">SUM(BD42:BI42)</f>
        <v>0</v>
      </c>
      <c r="BD42" s="693">
        <f t="shared" si="41"/>
        <v>0</v>
      </c>
      <c r="BE42" s="693">
        <f t="shared" si="41"/>
        <v>0</v>
      </c>
      <c r="BF42" s="693">
        <f t="shared" si="41"/>
        <v>0</v>
      </c>
      <c r="BG42" s="693">
        <f t="shared" si="41"/>
        <v>0</v>
      </c>
      <c r="BH42" s="693">
        <f t="shared" si="41"/>
        <v>0</v>
      </c>
      <c r="BI42" s="696">
        <f t="shared" si="41"/>
        <v>0</v>
      </c>
      <c r="BJ42" s="693">
        <f t="shared" ref="BJ42:BJ48" si="50">SUM(BK42:BP42)</f>
        <v>0</v>
      </c>
      <c r="BK42" s="694"/>
      <c r="BL42" s="694"/>
      <c r="BM42" s="694"/>
      <c r="BN42" s="694"/>
      <c r="BO42" s="694"/>
      <c r="BP42" s="695"/>
      <c r="BQ42" s="693">
        <f t="shared" ref="BQ42:BQ48" si="51">SUM(BR42:BW42)</f>
        <v>0</v>
      </c>
      <c r="BR42" s="694"/>
      <c r="BS42" s="694"/>
      <c r="BT42" s="694"/>
      <c r="BU42" s="694"/>
      <c r="BV42" s="694"/>
      <c r="BW42" s="698"/>
    </row>
    <row r="43" spans="3:75" ht="15" customHeight="1">
      <c r="C43" s="672"/>
      <c r="D43" s="715" t="s">
        <v>518</v>
      </c>
      <c r="E43" s="716">
        <v>431</v>
      </c>
      <c r="F43" s="693">
        <f t="shared" si="42"/>
        <v>0</v>
      </c>
      <c r="G43" s="694"/>
      <c r="H43" s="694"/>
      <c r="I43" s="694"/>
      <c r="J43" s="694"/>
      <c r="K43" s="694"/>
      <c r="L43" s="695"/>
      <c r="M43" s="693">
        <f t="shared" si="43"/>
        <v>0</v>
      </c>
      <c r="N43" s="694"/>
      <c r="O43" s="694"/>
      <c r="P43" s="694"/>
      <c r="Q43" s="694"/>
      <c r="R43" s="694"/>
      <c r="S43" s="695"/>
      <c r="T43" s="693">
        <f t="shared" si="44"/>
        <v>0</v>
      </c>
      <c r="U43" s="694"/>
      <c r="V43" s="694"/>
      <c r="W43" s="694"/>
      <c r="X43" s="694"/>
      <c r="Y43" s="694"/>
      <c r="Z43" s="695"/>
      <c r="AA43" s="693">
        <f t="shared" si="45"/>
        <v>0</v>
      </c>
      <c r="AB43" s="694"/>
      <c r="AC43" s="694"/>
      <c r="AD43" s="694"/>
      <c r="AE43" s="694"/>
      <c r="AF43" s="694"/>
      <c r="AG43" s="695"/>
      <c r="AH43" s="693">
        <f t="shared" si="46"/>
        <v>0</v>
      </c>
      <c r="AI43" s="694"/>
      <c r="AJ43" s="694"/>
      <c r="AK43" s="694"/>
      <c r="AL43" s="694"/>
      <c r="AM43" s="694"/>
      <c r="AN43" s="695"/>
      <c r="AO43" s="693">
        <f t="shared" si="47"/>
        <v>0</v>
      </c>
      <c r="AP43" s="694"/>
      <c r="AQ43" s="694"/>
      <c r="AR43" s="694"/>
      <c r="AS43" s="694"/>
      <c r="AT43" s="694"/>
      <c r="AU43" s="695"/>
      <c r="AV43" s="693">
        <f t="shared" si="48"/>
        <v>0</v>
      </c>
      <c r="AW43" s="693">
        <f t="shared" si="40"/>
        <v>0</v>
      </c>
      <c r="AX43" s="693">
        <f t="shared" si="40"/>
        <v>0</v>
      </c>
      <c r="AY43" s="693">
        <f t="shared" si="40"/>
        <v>0</v>
      </c>
      <c r="AZ43" s="693">
        <f t="shared" si="40"/>
        <v>0</v>
      </c>
      <c r="BA43" s="693">
        <f t="shared" si="40"/>
        <v>0</v>
      </c>
      <c r="BB43" s="696">
        <f t="shared" si="40"/>
        <v>0</v>
      </c>
      <c r="BC43" s="697">
        <f t="shared" si="49"/>
        <v>0</v>
      </c>
      <c r="BD43" s="693">
        <f t="shared" si="41"/>
        <v>0</v>
      </c>
      <c r="BE43" s="693">
        <f t="shared" si="41"/>
        <v>0</v>
      </c>
      <c r="BF43" s="693">
        <f t="shared" si="41"/>
        <v>0</v>
      </c>
      <c r="BG43" s="693">
        <f t="shared" si="41"/>
        <v>0</v>
      </c>
      <c r="BH43" s="693">
        <f t="shared" si="41"/>
        <v>0</v>
      </c>
      <c r="BI43" s="696">
        <f t="shared" si="41"/>
        <v>0</v>
      </c>
      <c r="BJ43" s="693">
        <f t="shared" si="50"/>
        <v>0</v>
      </c>
      <c r="BK43" s="694"/>
      <c r="BL43" s="694"/>
      <c r="BM43" s="694"/>
      <c r="BN43" s="694"/>
      <c r="BO43" s="694"/>
      <c r="BP43" s="695"/>
      <c r="BQ43" s="693">
        <f t="shared" si="51"/>
        <v>0</v>
      </c>
      <c r="BR43" s="694"/>
      <c r="BS43" s="694"/>
      <c r="BT43" s="694"/>
      <c r="BU43" s="694"/>
      <c r="BV43" s="694"/>
      <c r="BW43" s="698"/>
    </row>
    <row r="44" spans="3:75" ht="15" customHeight="1">
      <c r="C44" s="672"/>
      <c r="D44" s="715" t="s">
        <v>519</v>
      </c>
      <c r="E44" s="716">
        <v>441</v>
      </c>
      <c r="F44" s="693">
        <f t="shared" si="42"/>
        <v>0</v>
      </c>
      <c r="G44" s="694"/>
      <c r="H44" s="694"/>
      <c r="I44" s="694"/>
      <c r="J44" s="694"/>
      <c r="K44" s="694"/>
      <c r="L44" s="695"/>
      <c r="M44" s="693">
        <f t="shared" si="43"/>
        <v>0</v>
      </c>
      <c r="N44" s="694"/>
      <c r="O44" s="694"/>
      <c r="P44" s="694"/>
      <c r="Q44" s="694"/>
      <c r="R44" s="694"/>
      <c r="S44" s="695"/>
      <c r="T44" s="693">
        <f t="shared" si="44"/>
        <v>0</v>
      </c>
      <c r="U44" s="694"/>
      <c r="V44" s="694"/>
      <c r="W44" s="694"/>
      <c r="X44" s="694"/>
      <c r="Y44" s="694"/>
      <c r="Z44" s="695"/>
      <c r="AA44" s="693">
        <f t="shared" si="45"/>
        <v>0</v>
      </c>
      <c r="AB44" s="694"/>
      <c r="AC44" s="694"/>
      <c r="AD44" s="694"/>
      <c r="AE44" s="694"/>
      <c r="AF44" s="694"/>
      <c r="AG44" s="695"/>
      <c r="AH44" s="693">
        <f t="shared" si="46"/>
        <v>0</v>
      </c>
      <c r="AI44" s="694"/>
      <c r="AJ44" s="694"/>
      <c r="AK44" s="694"/>
      <c r="AL44" s="694"/>
      <c r="AM44" s="694"/>
      <c r="AN44" s="695"/>
      <c r="AO44" s="693">
        <f t="shared" si="47"/>
        <v>0</v>
      </c>
      <c r="AP44" s="694"/>
      <c r="AQ44" s="694"/>
      <c r="AR44" s="694"/>
      <c r="AS44" s="694"/>
      <c r="AT44" s="694"/>
      <c r="AU44" s="695"/>
      <c r="AV44" s="693">
        <f t="shared" si="48"/>
        <v>0</v>
      </c>
      <c r="AW44" s="693">
        <f t="shared" si="40"/>
        <v>0</v>
      </c>
      <c r="AX44" s="693">
        <f t="shared" si="40"/>
        <v>0</v>
      </c>
      <c r="AY44" s="693">
        <f t="shared" si="40"/>
        <v>0</v>
      </c>
      <c r="AZ44" s="693">
        <f t="shared" si="40"/>
        <v>0</v>
      </c>
      <c r="BA44" s="693">
        <f t="shared" si="40"/>
        <v>0</v>
      </c>
      <c r="BB44" s="696">
        <f t="shared" si="40"/>
        <v>0</v>
      </c>
      <c r="BC44" s="697">
        <f t="shared" si="49"/>
        <v>0</v>
      </c>
      <c r="BD44" s="693">
        <f t="shared" si="41"/>
        <v>0</v>
      </c>
      <c r="BE44" s="693">
        <f t="shared" si="41"/>
        <v>0</v>
      </c>
      <c r="BF44" s="693">
        <f t="shared" si="41"/>
        <v>0</v>
      </c>
      <c r="BG44" s="693">
        <f t="shared" si="41"/>
        <v>0</v>
      </c>
      <c r="BH44" s="693">
        <f t="shared" si="41"/>
        <v>0</v>
      </c>
      <c r="BI44" s="696">
        <f t="shared" si="41"/>
        <v>0</v>
      </c>
      <c r="BJ44" s="693">
        <f t="shared" si="50"/>
        <v>0</v>
      </c>
      <c r="BK44" s="694"/>
      <c r="BL44" s="694"/>
      <c r="BM44" s="694"/>
      <c r="BN44" s="694"/>
      <c r="BO44" s="694"/>
      <c r="BP44" s="695"/>
      <c r="BQ44" s="693">
        <f t="shared" si="51"/>
        <v>0</v>
      </c>
      <c r="BR44" s="694"/>
      <c r="BS44" s="694"/>
      <c r="BT44" s="694"/>
      <c r="BU44" s="694"/>
      <c r="BV44" s="694"/>
      <c r="BW44" s="698"/>
    </row>
    <row r="45" spans="3:75" ht="15" customHeight="1">
      <c r="C45" s="672"/>
      <c r="D45" s="715" t="s">
        <v>520</v>
      </c>
      <c r="E45" s="716">
        <v>451</v>
      </c>
      <c r="F45" s="693">
        <f t="shared" si="42"/>
        <v>0</v>
      </c>
      <c r="G45" s="694"/>
      <c r="H45" s="694"/>
      <c r="I45" s="694"/>
      <c r="J45" s="694"/>
      <c r="K45" s="694"/>
      <c r="L45" s="695"/>
      <c r="M45" s="693">
        <f t="shared" si="43"/>
        <v>0</v>
      </c>
      <c r="N45" s="694"/>
      <c r="O45" s="694"/>
      <c r="P45" s="694"/>
      <c r="Q45" s="694"/>
      <c r="R45" s="694"/>
      <c r="S45" s="695"/>
      <c r="T45" s="693">
        <f t="shared" si="44"/>
        <v>0</v>
      </c>
      <c r="U45" s="694"/>
      <c r="V45" s="694"/>
      <c r="W45" s="694"/>
      <c r="X45" s="694"/>
      <c r="Y45" s="694"/>
      <c r="Z45" s="695"/>
      <c r="AA45" s="693">
        <f t="shared" si="45"/>
        <v>0</v>
      </c>
      <c r="AB45" s="694"/>
      <c r="AC45" s="694"/>
      <c r="AD45" s="694"/>
      <c r="AE45" s="694"/>
      <c r="AF45" s="694"/>
      <c r="AG45" s="695"/>
      <c r="AH45" s="693">
        <f t="shared" si="46"/>
        <v>0</v>
      </c>
      <c r="AI45" s="694"/>
      <c r="AJ45" s="694"/>
      <c r="AK45" s="694"/>
      <c r="AL45" s="694"/>
      <c r="AM45" s="694"/>
      <c r="AN45" s="695"/>
      <c r="AO45" s="693">
        <f t="shared" si="47"/>
        <v>0</v>
      </c>
      <c r="AP45" s="694"/>
      <c r="AQ45" s="694"/>
      <c r="AR45" s="694"/>
      <c r="AS45" s="694"/>
      <c r="AT45" s="694"/>
      <c r="AU45" s="695"/>
      <c r="AV45" s="693">
        <f t="shared" si="48"/>
        <v>0</v>
      </c>
      <c r="AW45" s="693">
        <f t="shared" si="40"/>
        <v>0</v>
      </c>
      <c r="AX45" s="693">
        <f t="shared" si="40"/>
        <v>0</v>
      </c>
      <c r="AY45" s="693">
        <f t="shared" si="40"/>
        <v>0</v>
      </c>
      <c r="AZ45" s="693">
        <f t="shared" si="40"/>
        <v>0</v>
      </c>
      <c r="BA45" s="693">
        <f t="shared" si="40"/>
        <v>0</v>
      </c>
      <c r="BB45" s="696">
        <f t="shared" si="40"/>
        <v>0</v>
      </c>
      <c r="BC45" s="697">
        <f t="shared" si="49"/>
        <v>0</v>
      </c>
      <c r="BD45" s="693">
        <f t="shared" si="41"/>
        <v>0</v>
      </c>
      <c r="BE45" s="693">
        <f t="shared" si="41"/>
        <v>0</v>
      </c>
      <c r="BF45" s="693">
        <f t="shared" si="41"/>
        <v>0</v>
      </c>
      <c r="BG45" s="693">
        <f t="shared" si="41"/>
        <v>0</v>
      </c>
      <c r="BH45" s="693">
        <f t="shared" si="41"/>
        <v>0</v>
      </c>
      <c r="BI45" s="696">
        <f t="shared" si="41"/>
        <v>0</v>
      </c>
      <c r="BJ45" s="693">
        <f t="shared" si="50"/>
        <v>0</v>
      </c>
      <c r="BK45" s="694"/>
      <c r="BL45" s="694"/>
      <c r="BM45" s="694"/>
      <c r="BN45" s="694"/>
      <c r="BO45" s="694"/>
      <c r="BP45" s="695"/>
      <c r="BQ45" s="693">
        <f t="shared" si="51"/>
        <v>0</v>
      </c>
      <c r="BR45" s="694"/>
      <c r="BS45" s="694"/>
      <c r="BT45" s="694"/>
      <c r="BU45" s="694"/>
      <c r="BV45" s="694"/>
      <c r="BW45" s="698"/>
    </row>
    <row r="46" spans="3:75" ht="15" customHeight="1">
      <c r="C46" s="672"/>
      <c r="D46" s="715" t="s">
        <v>521</v>
      </c>
      <c r="E46" s="716">
        <v>461</v>
      </c>
      <c r="F46" s="693">
        <f t="shared" si="42"/>
        <v>0</v>
      </c>
      <c r="G46" s="694"/>
      <c r="H46" s="694"/>
      <c r="I46" s="694"/>
      <c r="J46" s="694"/>
      <c r="K46" s="694"/>
      <c r="L46" s="695"/>
      <c r="M46" s="693">
        <f t="shared" si="43"/>
        <v>0</v>
      </c>
      <c r="N46" s="694"/>
      <c r="O46" s="694"/>
      <c r="P46" s="694"/>
      <c r="Q46" s="694"/>
      <c r="R46" s="694"/>
      <c r="S46" s="695"/>
      <c r="T46" s="693">
        <f t="shared" si="44"/>
        <v>0</v>
      </c>
      <c r="U46" s="694"/>
      <c r="V46" s="694"/>
      <c r="W46" s="694"/>
      <c r="X46" s="694"/>
      <c r="Y46" s="694"/>
      <c r="Z46" s="695"/>
      <c r="AA46" s="693">
        <f t="shared" si="45"/>
        <v>0</v>
      </c>
      <c r="AB46" s="694"/>
      <c r="AC46" s="694"/>
      <c r="AD46" s="694"/>
      <c r="AE46" s="694"/>
      <c r="AF46" s="694"/>
      <c r="AG46" s="695"/>
      <c r="AH46" s="693">
        <f t="shared" si="46"/>
        <v>0</v>
      </c>
      <c r="AI46" s="694"/>
      <c r="AJ46" s="694"/>
      <c r="AK46" s="694"/>
      <c r="AL46" s="694"/>
      <c r="AM46" s="694"/>
      <c r="AN46" s="695"/>
      <c r="AO46" s="693">
        <f t="shared" si="47"/>
        <v>0</v>
      </c>
      <c r="AP46" s="694"/>
      <c r="AQ46" s="694"/>
      <c r="AR46" s="694"/>
      <c r="AS46" s="694"/>
      <c r="AT46" s="694"/>
      <c r="AU46" s="695"/>
      <c r="AV46" s="693">
        <f t="shared" si="48"/>
        <v>0</v>
      </c>
      <c r="AW46" s="693">
        <f t="shared" si="40"/>
        <v>0</v>
      </c>
      <c r="AX46" s="693">
        <f t="shared" si="40"/>
        <v>0</v>
      </c>
      <c r="AY46" s="693">
        <f t="shared" si="40"/>
        <v>0</v>
      </c>
      <c r="AZ46" s="693">
        <f t="shared" si="40"/>
        <v>0</v>
      </c>
      <c r="BA46" s="693">
        <f t="shared" si="40"/>
        <v>0</v>
      </c>
      <c r="BB46" s="696">
        <f t="shared" si="40"/>
        <v>0</v>
      </c>
      <c r="BC46" s="697">
        <f t="shared" si="49"/>
        <v>0</v>
      </c>
      <c r="BD46" s="693">
        <f t="shared" si="41"/>
        <v>0</v>
      </c>
      <c r="BE46" s="693">
        <f t="shared" si="41"/>
        <v>0</v>
      </c>
      <c r="BF46" s="693">
        <f t="shared" si="41"/>
        <v>0</v>
      </c>
      <c r="BG46" s="693">
        <f t="shared" si="41"/>
        <v>0</v>
      </c>
      <c r="BH46" s="693">
        <f t="shared" si="41"/>
        <v>0</v>
      </c>
      <c r="BI46" s="696">
        <f t="shared" si="41"/>
        <v>0</v>
      </c>
      <c r="BJ46" s="693">
        <f t="shared" si="50"/>
        <v>0</v>
      </c>
      <c r="BK46" s="694"/>
      <c r="BL46" s="694"/>
      <c r="BM46" s="694"/>
      <c r="BN46" s="694"/>
      <c r="BO46" s="694"/>
      <c r="BP46" s="695"/>
      <c r="BQ46" s="693">
        <f t="shared" si="51"/>
        <v>0</v>
      </c>
      <c r="BR46" s="694"/>
      <c r="BS46" s="694"/>
      <c r="BT46" s="694"/>
      <c r="BU46" s="694"/>
      <c r="BV46" s="694"/>
      <c r="BW46" s="698"/>
    </row>
    <row r="47" spans="3:75" ht="15" customHeight="1">
      <c r="C47" s="672"/>
      <c r="D47" s="715" t="s">
        <v>522</v>
      </c>
      <c r="E47" s="716">
        <v>471</v>
      </c>
      <c r="F47" s="693">
        <f t="shared" si="42"/>
        <v>0</v>
      </c>
      <c r="G47" s="694"/>
      <c r="H47" s="694"/>
      <c r="I47" s="694"/>
      <c r="J47" s="694"/>
      <c r="K47" s="694"/>
      <c r="L47" s="695"/>
      <c r="M47" s="693">
        <f t="shared" si="43"/>
        <v>0</v>
      </c>
      <c r="N47" s="694"/>
      <c r="O47" s="694"/>
      <c r="P47" s="694"/>
      <c r="Q47" s="694"/>
      <c r="R47" s="694"/>
      <c r="S47" s="695"/>
      <c r="T47" s="693">
        <f t="shared" si="44"/>
        <v>0</v>
      </c>
      <c r="U47" s="694"/>
      <c r="V47" s="694"/>
      <c r="W47" s="694"/>
      <c r="X47" s="694"/>
      <c r="Y47" s="694"/>
      <c r="Z47" s="695"/>
      <c r="AA47" s="693">
        <f t="shared" si="45"/>
        <v>0</v>
      </c>
      <c r="AB47" s="694"/>
      <c r="AC47" s="694"/>
      <c r="AD47" s="694"/>
      <c r="AE47" s="694"/>
      <c r="AF47" s="694"/>
      <c r="AG47" s="695"/>
      <c r="AH47" s="693">
        <f t="shared" si="46"/>
        <v>0</v>
      </c>
      <c r="AI47" s="694"/>
      <c r="AJ47" s="694"/>
      <c r="AK47" s="694"/>
      <c r="AL47" s="694"/>
      <c r="AM47" s="694"/>
      <c r="AN47" s="695"/>
      <c r="AO47" s="693">
        <f t="shared" si="47"/>
        <v>0</v>
      </c>
      <c r="AP47" s="694"/>
      <c r="AQ47" s="694"/>
      <c r="AR47" s="694"/>
      <c r="AS47" s="694"/>
      <c r="AT47" s="694"/>
      <c r="AU47" s="695"/>
      <c r="AV47" s="693">
        <f t="shared" si="48"/>
        <v>0</v>
      </c>
      <c r="AW47" s="693">
        <f t="shared" si="40"/>
        <v>0</v>
      </c>
      <c r="AX47" s="693">
        <f t="shared" si="40"/>
        <v>0</v>
      </c>
      <c r="AY47" s="693">
        <f t="shared" si="40"/>
        <v>0</v>
      </c>
      <c r="AZ47" s="693">
        <f t="shared" si="40"/>
        <v>0</v>
      </c>
      <c r="BA47" s="693">
        <f t="shared" si="40"/>
        <v>0</v>
      </c>
      <c r="BB47" s="696">
        <f t="shared" si="40"/>
        <v>0</v>
      </c>
      <c r="BC47" s="697">
        <f t="shared" si="49"/>
        <v>0</v>
      </c>
      <c r="BD47" s="693">
        <f t="shared" si="41"/>
        <v>0</v>
      </c>
      <c r="BE47" s="693">
        <f t="shared" si="41"/>
        <v>0</v>
      </c>
      <c r="BF47" s="693">
        <f t="shared" si="41"/>
        <v>0</v>
      </c>
      <c r="BG47" s="693">
        <f t="shared" si="41"/>
        <v>0</v>
      </c>
      <c r="BH47" s="693">
        <f t="shared" si="41"/>
        <v>0</v>
      </c>
      <c r="BI47" s="696">
        <f t="shared" si="41"/>
        <v>0</v>
      </c>
      <c r="BJ47" s="693">
        <f t="shared" si="50"/>
        <v>0</v>
      </c>
      <c r="BK47" s="694"/>
      <c r="BL47" s="694"/>
      <c r="BM47" s="694"/>
      <c r="BN47" s="694"/>
      <c r="BO47" s="694"/>
      <c r="BP47" s="695"/>
      <c r="BQ47" s="693">
        <f t="shared" si="51"/>
        <v>0</v>
      </c>
      <c r="BR47" s="694"/>
      <c r="BS47" s="694"/>
      <c r="BT47" s="694"/>
      <c r="BU47" s="694"/>
      <c r="BV47" s="694"/>
      <c r="BW47" s="698"/>
    </row>
    <row r="48" spans="3:75" ht="33.75">
      <c r="C48" s="672"/>
      <c r="D48" s="715" t="s">
        <v>526</v>
      </c>
      <c r="E48" s="716">
        <v>500</v>
      </c>
      <c r="F48" s="693">
        <f t="shared" si="42"/>
        <v>0</v>
      </c>
      <c r="G48" s="717"/>
      <c r="H48" s="717"/>
      <c r="I48" s="717"/>
      <c r="J48" s="717"/>
      <c r="K48" s="717"/>
      <c r="L48" s="718"/>
      <c r="M48" s="693">
        <f t="shared" si="43"/>
        <v>0</v>
      </c>
      <c r="N48" s="717"/>
      <c r="O48" s="717"/>
      <c r="P48" s="717"/>
      <c r="Q48" s="717"/>
      <c r="R48" s="717"/>
      <c r="S48" s="718"/>
      <c r="T48" s="693">
        <f t="shared" si="44"/>
        <v>0</v>
      </c>
      <c r="U48" s="717"/>
      <c r="V48" s="717"/>
      <c r="W48" s="717"/>
      <c r="X48" s="717"/>
      <c r="Y48" s="717"/>
      <c r="Z48" s="718"/>
      <c r="AA48" s="693">
        <f t="shared" si="45"/>
        <v>0</v>
      </c>
      <c r="AB48" s="717"/>
      <c r="AC48" s="717"/>
      <c r="AD48" s="717"/>
      <c r="AE48" s="717"/>
      <c r="AF48" s="717"/>
      <c r="AG48" s="718"/>
      <c r="AH48" s="693">
        <f t="shared" si="46"/>
        <v>0</v>
      </c>
      <c r="AI48" s="717"/>
      <c r="AJ48" s="717"/>
      <c r="AK48" s="717"/>
      <c r="AL48" s="717"/>
      <c r="AM48" s="717"/>
      <c r="AN48" s="718"/>
      <c r="AO48" s="693">
        <f t="shared" si="47"/>
        <v>0</v>
      </c>
      <c r="AP48" s="717"/>
      <c r="AQ48" s="717"/>
      <c r="AR48" s="717"/>
      <c r="AS48" s="717"/>
      <c r="AT48" s="717"/>
      <c r="AU48" s="718"/>
      <c r="AV48" s="693">
        <f t="shared" si="48"/>
        <v>0</v>
      </c>
      <c r="AW48" s="693">
        <f t="shared" si="40"/>
        <v>0</v>
      </c>
      <c r="AX48" s="693">
        <f t="shared" si="40"/>
        <v>0</v>
      </c>
      <c r="AY48" s="693">
        <f t="shared" si="40"/>
        <v>0</v>
      </c>
      <c r="AZ48" s="693">
        <f t="shared" si="40"/>
        <v>0</v>
      </c>
      <c r="BA48" s="693">
        <f t="shared" si="40"/>
        <v>0</v>
      </c>
      <c r="BB48" s="696">
        <f t="shared" si="40"/>
        <v>0</v>
      </c>
      <c r="BC48" s="697">
        <f t="shared" si="49"/>
        <v>0</v>
      </c>
      <c r="BD48" s="693">
        <f>AP48+AB48+N48</f>
        <v>0</v>
      </c>
      <c r="BE48" s="693">
        <f>AQ48+AC48+O48</f>
        <v>0</v>
      </c>
      <c r="BF48" s="693">
        <f>AR48+AD48+P48</f>
        <v>0</v>
      </c>
      <c r="BG48" s="693">
        <f>AS48+AE48+Q48</f>
        <v>0</v>
      </c>
      <c r="BH48" s="693">
        <f>AT48+AF48+R48</f>
        <v>0</v>
      </c>
      <c r="BI48" s="696">
        <f t="shared" si="41"/>
        <v>0</v>
      </c>
      <c r="BJ48" s="693">
        <f t="shared" si="50"/>
        <v>0</v>
      </c>
      <c r="BK48" s="717"/>
      <c r="BL48" s="717"/>
      <c r="BM48" s="717"/>
      <c r="BN48" s="717"/>
      <c r="BO48" s="717"/>
      <c r="BP48" s="718"/>
      <c r="BQ48" s="693">
        <f t="shared" si="51"/>
        <v>0</v>
      </c>
      <c r="BR48" s="717"/>
      <c r="BS48" s="717"/>
      <c r="BT48" s="717"/>
      <c r="BU48" s="717"/>
      <c r="BV48" s="717"/>
      <c r="BW48" s="719"/>
    </row>
    <row r="49" spans="1:75" ht="15" customHeight="1">
      <c r="C49" s="672"/>
      <c r="D49" s="720" t="s">
        <v>527</v>
      </c>
      <c r="E49" s="721">
        <v>600</v>
      </c>
      <c r="F49" s="693">
        <f>SUM(F17:F23)+SUM(F25:F31)+SUM(F33:F39)+SUM(F41:F47)</f>
        <v>0</v>
      </c>
      <c r="G49" s="693">
        <f t="shared" ref="G49:BR49" si="52">SUM(G17:G23)+SUM(G25:G31)+SUM(G33:G39)+SUM(G41:G47)</f>
        <v>0</v>
      </c>
      <c r="H49" s="693">
        <f t="shared" si="52"/>
        <v>0</v>
      </c>
      <c r="I49" s="693">
        <f t="shared" si="52"/>
        <v>0</v>
      </c>
      <c r="J49" s="693">
        <f t="shared" si="52"/>
        <v>0</v>
      </c>
      <c r="K49" s="693">
        <f t="shared" si="52"/>
        <v>0</v>
      </c>
      <c r="L49" s="696">
        <f t="shared" si="52"/>
        <v>0</v>
      </c>
      <c r="M49" s="693">
        <f t="shared" si="52"/>
        <v>0</v>
      </c>
      <c r="N49" s="693">
        <f t="shared" si="52"/>
        <v>0</v>
      </c>
      <c r="O49" s="693">
        <f t="shared" si="52"/>
        <v>0</v>
      </c>
      <c r="P49" s="693">
        <f t="shared" si="52"/>
        <v>0</v>
      </c>
      <c r="Q49" s="693">
        <f t="shared" si="52"/>
        <v>0</v>
      </c>
      <c r="R49" s="693">
        <f t="shared" si="52"/>
        <v>0</v>
      </c>
      <c r="S49" s="696">
        <f t="shared" si="52"/>
        <v>0</v>
      </c>
      <c r="T49" s="693">
        <f t="shared" si="52"/>
        <v>0</v>
      </c>
      <c r="U49" s="693">
        <f t="shared" si="52"/>
        <v>0</v>
      </c>
      <c r="V49" s="693">
        <f t="shared" si="52"/>
        <v>0</v>
      </c>
      <c r="W49" s="693">
        <f t="shared" si="52"/>
        <v>0</v>
      </c>
      <c r="X49" s="693">
        <f t="shared" si="52"/>
        <v>0</v>
      </c>
      <c r="Y49" s="693">
        <f t="shared" si="52"/>
        <v>0</v>
      </c>
      <c r="Z49" s="696">
        <f t="shared" si="52"/>
        <v>0</v>
      </c>
      <c r="AA49" s="693">
        <f t="shared" si="52"/>
        <v>0</v>
      </c>
      <c r="AB49" s="693">
        <f t="shared" si="52"/>
        <v>0</v>
      </c>
      <c r="AC49" s="693">
        <f t="shared" si="52"/>
        <v>0</v>
      </c>
      <c r="AD49" s="693">
        <f t="shared" si="52"/>
        <v>0</v>
      </c>
      <c r="AE49" s="693">
        <f t="shared" si="52"/>
        <v>0</v>
      </c>
      <c r="AF49" s="693">
        <f t="shared" si="52"/>
        <v>0</v>
      </c>
      <c r="AG49" s="696">
        <f t="shared" si="52"/>
        <v>0</v>
      </c>
      <c r="AH49" s="693">
        <f t="shared" si="52"/>
        <v>0</v>
      </c>
      <c r="AI49" s="693">
        <f t="shared" si="52"/>
        <v>0</v>
      </c>
      <c r="AJ49" s="693">
        <f t="shared" si="52"/>
        <v>0</v>
      </c>
      <c r="AK49" s="693">
        <f t="shared" si="52"/>
        <v>0</v>
      </c>
      <c r="AL49" s="693">
        <f t="shared" si="52"/>
        <v>0</v>
      </c>
      <c r="AM49" s="693">
        <f t="shared" si="52"/>
        <v>0</v>
      </c>
      <c r="AN49" s="696">
        <f t="shared" si="52"/>
        <v>0</v>
      </c>
      <c r="AO49" s="693">
        <f t="shared" si="52"/>
        <v>0</v>
      </c>
      <c r="AP49" s="693">
        <f t="shared" si="52"/>
        <v>0</v>
      </c>
      <c r="AQ49" s="693">
        <f t="shared" si="52"/>
        <v>0</v>
      </c>
      <c r="AR49" s="693">
        <f t="shared" si="52"/>
        <v>0</v>
      </c>
      <c r="AS49" s="693">
        <f t="shared" si="52"/>
        <v>0</v>
      </c>
      <c r="AT49" s="693">
        <f t="shared" si="52"/>
        <v>0</v>
      </c>
      <c r="AU49" s="696">
        <f t="shared" si="52"/>
        <v>0</v>
      </c>
      <c r="AV49" s="705">
        <f t="shared" si="52"/>
        <v>0</v>
      </c>
      <c r="AW49" s="693">
        <f t="shared" si="52"/>
        <v>0</v>
      </c>
      <c r="AX49" s="693">
        <f t="shared" si="52"/>
        <v>0</v>
      </c>
      <c r="AY49" s="693">
        <f t="shared" si="52"/>
        <v>0</v>
      </c>
      <c r="AZ49" s="693">
        <f t="shared" si="52"/>
        <v>0</v>
      </c>
      <c r="BA49" s="693">
        <f t="shared" si="52"/>
        <v>0</v>
      </c>
      <c r="BB49" s="696">
        <f t="shared" si="52"/>
        <v>0</v>
      </c>
      <c r="BC49" s="705">
        <f t="shared" si="52"/>
        <v>0</v>
      </c>
      <c r="BD49" s="693">
        <f t="shared" si="52"/>
        <v>0</v>
      </c>
      <c r="BE49" s="693">
        <f t="shared" si="52"/>
        <v>0</v>
      </c>
      <c r="BF49" s="693">
        <f t="shared" si="52"/>
        <v>0</v>
      </c>
      <c r="BG49" s="693">
        <f t="shared" si="52"/>
        <v>0</v>
      </c>
      <c r="BH49" s="693">
        <f t="shared" si="52"/>
        <v>0</v>
      </c>
      <c r="BI49" s="696">
        <f t="shared" si="52"/>
        <v>0</v>
      </c>
      <c r="BJ49" s="693">
        <f t="shared" si="52"/>
        <v>0</v>
      </c>
      <c r="BK49" s="693">
        <f t="shared" si="52"/>
        <v>0</v>
      </c>
      <c r="BL49" s="693">
        <f t="shared" si="52"/>
        <v>0</v>
      </c>
      <c r="BM49" s="693">
        <f t="shared" si="52"/>
        <v>0</v>
      </c>
      <c r="BN49" s="693">
        <f t="shared" si="52"/>
        <v>0</v>
      </c>
      <c r="BO49" s="693">
        <f t="shared" si="52"/>
        <v>0</v>
      </c>
      <c r="BP49" s="696">
        <f t="shared" si="52"/>
        <v>0</v>
      </c>
      <c r="BQ49" s="693">
        <f t="shared" si="52"/>
        <v>0</v>
      </c>
      <c r="BR49" s="693">
        <f t="shared" si="52"/>
        <v>0</v>
      </c>
      <c r="BS49" s="693">
        <f>SUM(BS17:BS23)+SUM(BS25:BS31)+SUM(BS33:BS39)+SUM(BS41:BS47)</f>
        <v>0</v>
      </c>
      <c r="BT49" s="693">
        <f>SUM(BT17:BT23)+SUM(BT25:BT31)+SUM(BT33:BT39)+SUM(BT41:BT47)</f>
        <v>0</v>
      </c>
      <c r="BU49" s="693">
        <f>SUM(BU17:BU23)+SUM(BU25:BU31)+SUM(BU33:BU39)+SUM(BU41:BU47)</f>
        <v>0</v>
      </c>
      <c r="BV49" s="693">
        <f>SUM(BV17:BV23)+SUM(BV25:BV31)+SUM(BV33:BV39)+SUM(BV41:BV47)</f>
        <v>0</v>
      </c>
      <c r="BW49" s="706">
        <f>SUM(BW17:BW23)+SUM(BW25:BW31)+SUM(BW33:BW39)+SUM(BW41:BW47)</f>
        <v>0</v>
      </c>
    </row>
    <row r="52" spans="1:75" s="708" customFormat="1" ht="12.75">
      <c r="A52" s="707"/>
      <c r="D52" s="708" t="s">
        <v>528</v>
      </c>
      <c r="E52" s="4186" t="s">
        <v>477</v>
      </c>
      <c r="F52" s="4186"/>
      <c r="G52" s="4186"/>
      <c r="H52" s="4186"/>
      <c r="J52" s="4187"/>
      <c r="K52" s="4188"/>
    </row>
    <row r="53" spans="1:75" s="708" customFormat="1" ht="12.75">
      <c r="A53" s="707"/>
      <c r="E53" s="4192" t="s">
        <v>529</v>
      </c>
      <c r="F53" s="4192"/>
      <c r="G53" s="4192"/>
      <c r="H53" s="4192"/>
      <c r="J53" s="4193" t="s">
        <v>530</v>
      </c>
      <c r="K53" s="4192"/>
    </row>
    <row r="54" spans="1:75" s="708" customFormat="1" ht="12.75">
      <c r="A54" s="707"/>
      <c r="G54" s="710"/>
      <c r="K54" s="710"/>
    </row>
    <row r="55" spans="1:75" s="708" customFormat="1" ht="12.75">
      <c r="A55" s="707"/>
    </row>
    <row r="56" spans="1:75" s="708" customFormat="1" ht="12.75">
      <c r="A56" s="707"/>
      <c r="D56" s="711" t="s">
        <v>531</v>
      </c>
      <c r="E56" s="4186" t="s">
        <v>486</v>
      </c>
      <c r="F56" s="4186"/>
      <c r="G56" s="709"/>
      <c r="H56" s="4186" t="s">
        <v>484</v>
      </c>
      <c r="I56" s="4186"/>
      <c r="J56" s="4186"/>
      <c r="K56" s="709"/>
      <c r="L56" s="712"/>
      <c r="M56" s="712"/>
    </row>
    <row r="57" spans="1:75" s="708" customFormat="1" ht="12.75">
      <c r="A57" s="707"/>
      <c r="D57" s="711" t="s">
        <v>532</v>
      </c>
      <c r="E57" s="4190" t="s">
        <v>533</v>
      </c>
      <c r="F57" s="4190"/>
      <c r="G57" s="710"/>
      <c r="H57" s="4190" t="s">
        <v>529</v>
      </c>
      <c r="I57" s="4190"/>
      <c r="J57" s="4190"/>
      <c r="K57" s="710"/>
      <c r="L57" s="4190" t="s">
        <v>530</v>
      </c>
      <c r="M57" s="4190"/>
    </row>
    <row r="58" spans="1:75" s="708" customFormat="1" ht="12.75">
      <c r="A58" s="707"/>
      <c r="D58" s="711" t="s">
        <v>534</v>
      </c>
    </row>
    <row r="59" spans="1:75" s="708" customFormat="1" ht="12.75">
      <c r="A59" s="707"/>
      <c r="E59" s="4186" t="s">
        <v>487</v>
      </c>
      <c r="F59" s="4186"/>
      <c r="G59" s="4186"/>
      <c r="I59" s="713" t="s">
        <v>535</v>
      </c>
      <c r="J59" s="711"/>
    </row>
    <row r="60" spans="1:75" s="708" customFormat="1" ht="12.75">
      <c r="A60" s="707"/>
      <c r="E60" s="4191" t="s">
        <v>536</v>
      </c>
      <c r="F60" s="4191"/>
      <c r="G60" s="4191"/>
      <c r="I60" s="714" t="s">
        <v>537</v>
      </c>
      <c r="J60" s="714"/>
    </row>
  </sheetData>
  <mergeCells count="44">
    <mergeCell ref="L57:M57"/>
    <mergeCell ref="E59:G59"/>
    <mergeCell ref="E60:G60"/>
    <mergeCell ref="E53:H53"/>
    <mergeCell ref="J53:K53"/>
    <mergeCell ref="E56:F56"/>
    <mergeCell ref="H56:J56"/>
    <mergeCell ref="E57:F57"/>
    <mergeCell ref="H57:J57"/>
    <mergeCell ref="E52:H52"/>
    <mergeCell ref="J52:K52"/>
    <mergeCell ref="AI13:AN13"/>
    <mergeCell ref="AO13:AO14"/>
    <mergeCell ref="AP13:AU13"/>
    <mergeCell ref="AA13:AA14"/>
    <mergeCell ref="AH13:AH14"/>
    <mergeCell ref="T12:Z12"/>
    <mergeCell ref="AV13:AV14"/>
    <mergeCell ref="AV12:BB12"/>
    <mergeCell ref="BQ12:BW12"/>
    <mergeCell ref="F13:F14"/>
    <mergeCell ref="G13:L13"/>
    <mergeCell ref="M13:M14"/>
    <mergeCell ref="N13:S13"/>
    <mergeCell ref="T13:T14"/>
    <mergeCell ref="U13:Z13"/>
    <mergeCell ref="BD13:BI13"/>
    <mergeCell ref="AB13:AG13"/>
    <mergeCell ref="BJ13:BJ14"/>
    <mergeCell ref="BK13:BP13"/>
    <mergeCell ref="BQ13:BQ14"/>
    <mergeCell ref="BR13:BW13"/>
    <mergeCell ref="AW13:BB13"/>
    <mergeCell ref="BJ12:BP12"/>
    <mergeCell ref="BC13:BC14"/>
    <mergeCell ref="BC12:BI12"/>
    <mergeCell ref="AA12:AG12"/>
    <mergeCell ref="AH12:AN12"/>
    <mergeCell ref="AO12:AU12"/>
    <mergeCell ref="D11:K11"/>
    <mergeCell ref="D12:D14"/>
    <mergeCell ref="E12:E14"/>
    <mergeCell ref="F12:L12"/>
    <mergeCell ref="M12:S12"/>
  </mergeCells>
  <dataValidations count="1">
    <dataValidation type="decimal" allowBlank="1" showErrorMessage="1" errorTitle="Ошибка" error="Допускается ввод только действительных чисел!" sqref="F16:BW49">
      <formula1>-9.99999999999999E+23</formula1>
      <formula2>9.99999999999999E+23</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71"/>
  <sheetViews>
    <sheetView topLeftCell="C19" zoomScale="85" zoomScaleNormal="85" workbookViewId="0">
      <selection activeCell="T39" sqref="T39"/>
    </sheetView>
  </sheetViews>
  <sheetFormatPr defaultColWidth="8.28515625" defaultRowHeight="11.25"/>
  <cols>
    <col min="1" max="2" width="8.28515625" style="668" hidden="1" customWidth="1"/>
    <col min="3" max="3" width="3.7109375" style="668" customWidth="1"/>
    <col min="4" max="4" width="37" style="668" customWidth="1"/>
    <col min="5" max="5" width="6.28515625" style="668" customWidth="1"/>
    <col min="6" max="11" width="19.7109375" style="668" customWidth="1"/>
    <col min="12" max="16" width="9.7109375" style="668" customWidth="1"/>
    <col min="17" max="17" width="10.42578125" style="668" customWidth="1"/>
    <col min="18" max="19" width="9.7109375" style="668" customWidth="1"/>
    <col min="20" max="20" width="11.28515625" style="668" customWidth="1"/>
    <col min="21" max="16384" width="8.28515625" style="668"/>
  </cols>
  <sheetData>
    <row r="1" spans="1:20" hidden="1"/>
    <row r="2" spans="1:20" hidden="1"/>
    <row r="3" spans="1:20" hidden="1"/>
    <row r="4" spans="1:20" hidden="1">
      <c r="A4" s="669"/>
      <c r="F4" s="670"/>
      <c r="G4" s="670"/>
      <c r="H4" s="670"/>
      <c r="I4" s="670"/>
      <c r="J4" s="670"/>
      <c r="K4" s="670"/>
      <c r="L4" s="670"/>
      <c r="M4" s="670"/>
      <c r="N4" s="670"/>
      <c r="O4" s="670"/>
      <c r="P4" s="670"/>
      <c r="Q4" s="670"/>
      <c r="R4" s="670"/>
      <c r="S4" s="670"/>
      <c r="T4" s="670"/>
    </row>
    <row r="5" spans="1:20" hidden="1">
      <c r="A5" s="671"/>
    </row>
    <row r="6" spans="1:20" hidden="1">
      <c r="A6" s="671"/>
    </row>
    <row r="7" spans="1:20" ht="12" customHeight="1">
      <c r="A7" s="671"/>
      <c r="D7" s="672"/>
      <c r="E7" s="672"/>
      <c r="F7" s="672"/>
      <c r="G7" s="672"/>
      <c r="H7" s="672"/>
      <c r="I7" s="672"/>
      <c r="J7" s="672"/>
      <c r="K7" s="672"/>
      <c r="L7" s="672"/>
      <c r="O7" s="672"/>
      <c r="P7" s="672"/>
      <c r="Q7" s="672"/>
      <c r="R7" s="672"/>
      <c r="S7" s="672"/>
    </row>
    <row r="8" spans="1:20" ht="12" customHeight="1">
      <c r="A8" s="671"/>
      <c r="D8" s="673" t="s">
        <v>494</v>
      </c>
      <c r="E8" s="675"/>
      <c r="F8" s="675"/>
      <c r="G8" s="675"/>
      <c r="H8" s="675"/>
      <c r="I8" s="676"/>
      <c r="J8" s="676"/>
      <c r="K8" s="676"/>
      <c r="L8" s="676"/>
      <c r="M8" s="676"/>
      <c r="N8" s="676"/>
      <c r="O8" s="676"/>
      <c r="P8" s="676"/>
      <c r="Q8" s="676"/>
      <c r="R8" s="676"/>
      <c r="S8" s="676"/>
    </row>
    <row r="9" spans="1:20" ht="12" customHeight="1">
      <c r="D9" s="722" t="s">
        <v>543</v>
      </c>
      <c r="E9" s="672"/>
      <c r="F9" s="672"/>
      <c r="G9" s="672"/>
      <c r="H9" s="672"/>
    </row>
    <row r="10" spans="1:20" ht="12" customHeight="1">
      <c r="D10" s="680" t="s">
        <v>2</v>
      </c>
      <c r="E10" s="672"/>
      <c r="F10" s="672"/>
      <c r="G10" s="672"/>
      <c r="H10" s="672"/>
    </row>
    <row r="11" spans="1:20" ht="12" customHeight="1">
      <c r="D11" s="4178"/>
      <c r="E11" s="4178"/>
      <c r="F11" s="4178"/>
      <c r="G11" s="4178"/>
      <c r="H11" s="4178"/>
      <c r="I11" s="4199"/>
      <c r="J11" s="4199"/>
      <c r="K11" s="4199"/>
      <c r="L11" s="672"/>
      <c r="M11" s="672"/>
      <c r="N11" s="672"/>
      <c r="O11" s="672"/>
      <c r="P11" s="672"/>
      <c r="Q11" s="672"/>
      <c r="R11" s="672"/>
      <c r="S11" s="672"/>
      <c r="T11" s="723" t="s">
        <v>496</v>
      </c>
    </row>
    <row r="12" spans="1:20" ht="72" customHeight="1">
      <c r="C12" s="672"/>
      <c r="D12" s="4179" t="s">
        <v>497</v>
      </c>
      <c r="E12" s="4179" t="s">
        <v>498</v>
      </c>
      <c r="F12" s="4195" t="s">
        <v>544</v>
      </c>
      <c r="G12" s="4195" t="s">
        <v>545</v>
      </c>
      <c r="H12" s="4195" t="s">
        <v>546</v>
      </c>
      <c r="I12" s="4195" t="s">
        <v>547</v>
      </c>
      <c r="J12" s="4195" t="s">
        <v>548</v>
      </c>
      <c r="K12" s="4196" t="s">
        <v>549</v>
      </c>
      <c r="L12" s="4194" t="s">
        <v>550</v>
      </c>
      <c r="M12" s="4195"/>
      <c r="N12" s="4196"/>
      <c r="O12" s="4194" t="s">
        <v>551</v>
      </c>
      <c r="P12" s="4195"/>
      <c r="Q12" s="4196"/>
      <c r="R12" s="4197" t="s">
        <v>552</v>
      </c>
      <c r="S12" s="4195"/>
      <c r="T12" s="4198"/>
    </row>
    <row r="13" spans="1:20" ht="22.5">
      <c r="C13" s="672"/>
      <c r="D13" s="4179"/>
      <c r="E13" s="4179"/>
      <c r="F13" s="4195"/>
      <c r="G13" s="4200"/>
      <c r="H13" s="4200"/>
      <c r="I13" s="4200"/>
      <c r="J13" s="4200"/>
      <c r="K13" s="4201"/>
      <c r="L13" s="727" t="s">
        <v>553</v>
      </c>
      <c r="M13" s="721" t="s">
        <v>554</v>
      </c>
      <c r="N13" s="726" t="s">
        <v>555</v>
      </c>
      <c r="O13" s="727" t="s">
        <v>553</v>
      </c>
      <c r="P13" s="721" t="s">
        <v>554</v>
      </c>
      <c r="Q13" s="726" t="s">
        <v>555</v>
      </c>
      <c r="R13" s="724" t="s">
        <v>553</v>
      </c>
      <c r="S13" s="716" t="s">
        <v>554</v>
      </c>
      <c r="T13" s="725" t="s">
        <v>555</v>
      </c>
    </row>
    <row r="14" spans="1:20" ht="12" customHeight="1">
      <c r="D14" s="687">
        <v>1</v>
      </c>
      <c r="E14" s="687">
        <v>2</v>
      </c>
      <c r="F14" s="687">
        <v>3</v>
      </c>
      <c r="G14" s="687">
        <v>4</v>
      </c>
      <c r="H14" s="687">
        <v>5</v>
      </c>
      <c r="I14" s="687">
        <v>6</v>
      </c>
      <c r="J14" s="687">
        <v>7</v>
      </c>
      <c r="K14" s="687">
        <v>8</v>
      </c>
      <c r="L14" s="687">
        <v>9</v>
      </c>
      <c r="M14" s="687">
        <v>10</v>
      </c>
      <c r="N14" s="687">
        <v>11</v>
      </c>
      <c r="O14" s="687">
        <v>12</v>
      </c>
      <c r="P14" s="687">
        <v>13</v>
      </c>
      <c r="Q14" s="687">
        <v>14</v>
      </c>
      <c r="R14" s="687">
        <v>15</v>
      </c>
      <c r="S14" s="687">
        <v>16</v>
      </c>
      <c r="T14" s="687">
        <v>17</v>
      </c>
    </row>
    <row r="15" spans="1:20" ht="15" customHeight="1">
      <c r="C15" s="672"/>
      <c r="D15" s="715" t="s">
        <v>556</v>
      </c>
      <c r="E15" s="716">
        <v>100</v>
      </c>
      <c r="F15" s="693">
        <f>SUM(F16:F17)</f>
        <v>22702.847999999998</v>
      </c>
      <c r="G15" s="693">
        <f>SUM(G16:G17)</f>
        <v>59944.106565800001</v>
      </c>
      <c r="H15" s="693">
        <f>SUM(H16:H17)</f>
        <v>50800.09031</v>
      </c>
      <c r="I15" s="693">
        <f t="shared" ref="I15:S15" si="0">SUM(I16:I17)</f>
        <v>7505.3220000000001</v>
      </c>
      <c r="J15" s="693">
        <f t="shared" si="0"/>
        <v>21964.180844399998</v>
      </c>
      <c r="K15" s="696">
        <f t="shared" si="0"/>
        <v>18613.712579999999</v>
      </c>
      <c r="L15" s="705">
        <f t="shared" si="0"/>
        <v>3979.8690000000001</v>
      </c>
      <c r="M15" s="693">
        <f t="shared" si="0"/>
        <v>0</v>
      </c>
      <c r="N15" s="696">
        <f t="shared" si="0"/>
        <v>11217.657000000001</v>
      </c>
      <c r="O15" s="705">
        <f t="shared" si="0"/>
        <v>7188.1442860000006</v>
      </c>
      <c r="P15" s="693">
        <f t="shared" si="0"/>
        <v>0</v>
      </c>
      <c r="Q15" s="696">
        <f t="shared" si="0"/>
        <v>30791.781435399997</v>
      </c>
      <c r="R15" s="697">
        <f t="shared" si="0"/>
        <v>6091.6477000000014</v>
      </c>
      <c r="S15" s="693">
        <f t="shared" si="0"/>
        <v>0</v>
      </c>
      <c r="T15" s="706">
        <f>SUM(T16:T17)</f>
        <v>26094.730029999999</v>
      </c>
    </row>
    <row r="16" spans="1:20" ht="15" customHeight="1">
      <c r="C16" s="672"/>
      <c r="D16" s="715" t="s">
        <v>557</v>
      </c>
      <c r="E16" s="716">
        <v>110</v>
      </c>
      <c r="F16" s="693">
        <f t="shared" ref="F16:T17" si="1">F19+F22+F25+F28+F31</f>
        <v>22702.847999999998</v>
      </c>
      <c r="G16" s="693">
        <f t="shared" si="1"/>
        <v>59944.106565800001</v>
      </c>
      <c r="H16" s="693">
        <f t="shared" si="1"/>
        <v>50800.09031</v>
      </c>
      <c r="I16" s="693">
        <f t="shared" si="1"/>
        <v>7505.3220000000001</v>
      </c>
      <c r="J16" s="693">
        <f t="shared" si="1"/>
        <v>21964.180844399998</v>
      </c>
      <c r="K16" s="696">
        <f t="shared" si="1"/>
        <v>18613.712579999999</v>
      </c>
      <c r="L16" s="705">
        <f t="shared" si="1"/>
        <v>3979.8690000000001</v>
      </c>
      <c r="M16" s="693">
        <f t="shared" si="1"/>
        <v>0</v>
      </c>
      <c r="N16" s="696">
        <f t="shared" si="1"/>
        <v>11217.657000000001</v>
      </c>
      <c r="O16" s="705">
        <f t="shared" si="1"/>
        <v>7188.1442860000006</v>
      </c>
      <c r="P16" s="693">
        <f t="shared" si="1"/>
        <v>0</v>
      </c>
      <c r="Q16" s="696">
        <f t="shared" si="1"/>
        <v>30791.781435399997</v>
      </c>
      <c r="R16" s="697">
        <f t="shared" si="1"/>
        <v>6091.6477000000014</v>
      </c>
      <c r="S16" s="693">
        <f t="shared" si="1"/>
        <v>0</v>
      </c>
      <c r="T16" s="706">
        <f t="shared" si="1"/>
        <v>26094.730029999999</v>
      </c>
    </row>
    <row r="17" spans="3:20" ht="15" customHeight="1">
      <c r="C17" s="672"/>
      <c r="D17" s="715" t="s">
        <v>558</v>
      </c>
      <c r="E17" s="716">
        <v>120</v>
      </c>
      <c r="F17" s="693">
        <f t="shared" si="1"/>
        <v>0</v>
      </c>
      <c r="G17" s="693">
        <f t="shared" si="1"/>
        <v>0</v>
      </c>
      <c r="H17" s="693">
        <f t="shared" si="1"/>
        <v>0</v>
      </c>
      <c r="I17" s="693">
        <f t="shared" si="1"/>
        <v>0</v>
      </c>
      <c r="J17" s="693">
        <f t="shared" si="1"/>
        <v>0</v>
      </c>
      <c r="K17" s="696">
        <f t="shared" si="1"/>
        <v>0</v>
      </c>
      <c r="L17" s="705">
        <f>L20+L23+L26+L29+L32</f>
        <v>0</v>
      </c>
      <c r="M17" s="693">
        <f t="shared" si="1"/>
        <v>0</v>
      </c>
      <c r="N17" s="696">
        <f t="shared" si="1"/>
        <v>0</v>
      </c>
      <c r="O17" s="705">
        <f t="shared" si="1"/>
        <v>0</v>
      </c>
      <c r="P17" s="693">
        <f t="shared" si="1"/>
        <v>0</v>
      </c>
      <c r="Q17" s="696">
        <f t="shared" si="1"/>
        <v>0</v>
      </c>
      <c r="R17" s="697">
        <f t="shared" si="1"/>
        <v>0</v>
      </c>
      <c r="S17" s="693">
        <f t="shared" si="1"/>
        <v>0</v>
      </c>
      <c r="T17" s="706">
        <f>T20+T23+T26+T29+T32</f>
        <v>0</v>
      </c>
    </row>
    <row r="18" spans="3:20" ht="56.25">
      <c r="C18" s="672"/>
      <c r="D18" s="715" t="s">
        <v>559</v>
      </c>
      <c r="E18" s="716">
        <v>200</v>
      </c>
      <c r="F18" s="693">
        <f>SUM(F19:F20)</f>
        <v>1488.742</v>
      </c>
      <c r="G18" s="693">
        <f>SUM(G19:G20)</f>
        <v>4992.6345631999993</v>
      </c>
      <c r="H18" s="693">
        <f>SUM(H19:H20)</f>
        <v>4231.0462399999997</v>
      </c>
      <c r="I18" s="693">
        <f t="shared" ref="I18:S18" si="2">SUM(I19:I20)</f>
        <v>99.606999999999999</v>
      </c>
      <c r="J18" s="693">
        <f t="shared" si="2"/>
        <v>402.90068679999996</v>
      </c>
      <c r="K18" s="696">
        <f t="shared" si="2"/>
        <v>341.44126</v>
      </c>
      <c r="L18" s="705">
        <f t="shared" si="2"/>
        <v>461.4</v>
      </c>
      <c r="M18" s="693">
        <f t="shared" si="2"/>
        <v>0</v>
      </c>
      <c r="N18" s="696">
        <f t="shared" si="2"/>
        <v>927.73500000000001</v>
      </c>
      <c r="O18" s="705">
        <f t="shared" si="2"/>
        <v>1130.806744</v>
      </c>
      <c r="P18" s="693">
        <f t="shared" si="2"/>
        <v>0</v>
      </c>
      <c r="Q18" s="696">
        <f t="shared" si="2"/>
        <v>3458.9271323999997</v>
      </c>
      <c r="R18" s="697">
        <f t="shared" si="2"/>
        <v>958.31079999999997</v>
      </c>
      <c r="S18" s="693">
        <f t="shared" si="2"/>
        <v>0</v>
      </c>
      <c r="T18" s="706">
        <f>SUM(T19:T20)</f>
        <v>2931.2941799999999</v>
      </c>
    </row>
    <row r="19" spans="3:20" ht="15" customHeight="1">
      <c r="C19" s="672"/>
      <c r="D19" s="715" t="s">
        <v>557</v>
      </c>
      <c r="E19" s="716">
        <v>210</v>
      </c>
      <c r="F19" s="693">
        <f>I19+L19+M19+N19</f>
        <v>1488.742</v>
      </c>
      <c r="G19" s="693">
        <f t="shared" ref="G19:G32" si="3">J19+O19+P19+Q19</f>
        <v>4992.6345631999993</v>
      </c>
      <c r="H19" s="693">
        <f t="shared" ref="H19:H32" si="4">K19+R19+S19+T19</f>
        <v>4231.0462399999997</v>
      </c>
      <c r="I19" s="694">
        <f>'Шаблон 46 ГП'!C40/1000+'Шаблон 46 ГП'!C41/1000+'Шаблон 46 ГП'!C42/1000</f>
        <v>99.606999999999999</v>
      </c>
      <c r="J19" s="689">
        <f>K19*1.18</f>
        <v>402.90068679999996</v>
      </c>
      <c r="K19" s="695">
        <f>'Шаблон 46 ГП'!L40/1000+'Шаблон 46 ГП'!L41/1000+'Шаблон 46 ГП'!L42/1000</f>
        <v>341.44126</v>
      </c>
      <c r="L19" s="728">
        <f>'Шаблон 46 ГП'!C46/1000+'Шаблон 46 ГП'!C65/1000+'Шаблон 46 ГП'!C47/1000+'Шаблон 46 ГП'!C48/1000</f>
        <v>461.4</v>
      </c>
      <c r="M19" s="694">
        <v>0</v>
      </c>
      <c r="N19" s="695">
        <f>'Шаблон 46 ГП'!C43/1000+'Шаблон 46 ГП'!C64/1000+'Шаблон 46 ГП'!C44/1000+'Шаблон 46 ГП'!C45/1000</f>
        <v>927.73500000000001</v>
      </c>
      <c r="O19" s="705">
        <f t="shared" ref="O19:Q20" si="5">R19*1.18</f>
        <v>1130.806744</v>
      </c>
      <c r="P19" s="693">
        <f t="shared" si="5"/>
        <v>0</v>
      </c>
      <c r="Q19" s="696">
        <f t="shared" si="5"/>
        <v>3458.9271323999997</v>
      </c>
      <c r="R19" s="729">
        <f>'Шаблон 46 ГП'!L46/1000+'Шаблон 46 ГП'!L65/1000+'Шаблон 46 ГП'!L47/1000+'Шаблон 46 ГП'!L48/1000</f>
        <v>958.31079999999997</v>
      </c>
      <c r="S19" s="694">
        <v>0</v>
      </c>
      <c r="T19" s="698">
        <f>'Шаблон 46 ГП'!L43/1000+'Шаблон 46 ГП'!L64/1000+'Шаблон 46 ГП'!L44/1000+'Шаблон 46 ГП'!L45/1000</f>
        <v>2931.2941799999999</v>
      </c>
    </row>
    <row r="20" spans="3:20" ht="15" customHeight="1">
      <c r="C20" s="672"/>
      <c r="D20" s="715" t="s">
        <v>558</v>
      </c>
      <c r="E20" s="716">
        <v>220</v>
      </c>
      <c r="F20" s="693">
        <f t="shared" ref="F20:F32" si="6">I20+L20+M20+N20</f>
        <v>0</v>
      </c>
      <c r="G20" s="693">
        <f t="shared" si="3"/>
        <v>0</v>
      </c>
      <c r="H20" s="693">
        <f t="shared" si="4"/>
        <v>0</v>
      </c>
      <c r="I20" s="694"/>
      <c r="J20" s="689">
        <f>K20*1.18</f>
        <v>0</v>
      </c>
      <c r="K20" s="695"/>
      <c r="L20" s="728"/>
      <c r="M20" s="694"/>
      <c r="N20" s="695"/>
      <c r="O20" s="705">
        <f t="shared" si="5"/>
        <v>0</v>
      </c>
      <c r="P20" s="693">
        <f t="shared" si="5"/>
        <v>0</v>
      </c>
      <c r="Q20" s="696">
        <f t="shared" si="5"/>
        <v>0</v>
      </c>
      <c r="R20" s="729"/>
      <c r="S20" s="694"/>
      <c r="T20" s="698"/>
    </row>
    <row r="21" spans="3:20" ht="45">
      <c r="C21" s="672"/>
      <c r="D21" s="715" t="s">
        <v>560</v>
      </c>
      <c r="E21" s="716">
        <v>230</v>
      </c>
      <c r="F21" s="693">
        <f>SUM(F22:F23)</f>
        <v>21214.106</v>
      </c>
      <c r="G21" s="693">
        <f>SUM(G22:G23)</f>
        <v>54951.4720026</v>
      </c>
      <c r="H21" s="693">
        <f>SUM(H22:H23)</f>
        <v>46569.044070000004</v>
      </c>
      <c r="I21" s="693">
        <f t="shared" ref="I21:S21" si="7">SUM(I22:I23)</f>
        <v>7405.7150000000001</v>
      </c>
      <c r="J21" s="693">
        <f t="shared" si="7"/>
        <v>21561.280157599998</v>
      </c>
      <c r="K21" s="696">
        <f t="shared" si="7"/>
        <v>18272.27132</v>
      </c>
      <c r="L21" s="705">
        <f t="shared" si="7"/>
        <v>3518.4690000000001</v>
      </c>
      <c r="M21" s="693">
        <f t="shared" si="7"/>
        <v>0</v>
      </c>
      <c r="N21" s="696">
        <f t="shared" si="7"/>
        <v>10289.922</v>
      </c>
      <c r="O21" s="705">
        <f t="shared" si="7"/>
        <v>6057.3375420000011</v>
      </c>
      <c r="P21" s="693">
        <f t="shared" si="7"/>
        <v>0</v>
      </c>
      <c r="Q21" s="696">
        <f t="shared" si="7"/>
        <v>27332.854302999996</v>
      </c>
      <c r="R21" s="697">
        <f t="shared" si="7"/>
        <v>5133.3369000000012</v>
      </c>
      <c r="S21" s="693">
        <f t="shared" si="7"/>
        <v>0</v>
      </c>
      <c r="T21" s="706">
        <f>SUM(T22:T23)</f>
        <v>23163.435849999998</v>
      </c>
    </row>
    <row r="22" spans="3:20" ht="15" customHeight="1">
      <c r="C22" s="672"/>
      <c r="D22" s="715" t="s">
        <v>557</v>
      </c>
      <c r="E22" s="716">
        <v>240</v>
      </c>
      <c r="F22" s="693">
        <f t="shared" si="6"/>
        <v>21214.106</v>
      </c>
      <c r="G22" s="693">
        <f t="shared" si="3"/>
        <v>54951.4720026</v>
      </c>
      <c r="H22" s="693">
        <f t="shared" si="4"/>
        <v>46569.044070000004</v>
      </c>
      <c r="I22" s="694">
        <f>'Шаблон 46 ГП'!C28/1000+'Шаблон 46 ГП'!C37/1000+'Шаблон 46 ГП'!C29/1000+'Шаблон 46 ГП'!C30/1000</f>
        <v>7405.7150000000001</v>
      </c>
      <c r="J22" s="689">
        <f>K22*1.18</f>
        <v>21561.280157599998</v>
      </c>
      <c r="K22" s="695">
        <f>'Шаблон 46 ГП'!L28/1000+'Шаблон 46 ГП'!L37/1000+'Шаблон 46 ГП'!L29/1000+'Шаблон 46 ГП'!L30/1000</f>
        <v>18272.27132</v>
      </c>
      <c r="L22" s="728">
        <f>'Шаблон 46 ГП'!C34/1000+'Шаблон 46 ГП'!C39/1000+'Шаблон 46 ГП'!C35/1000+'Шаблон 46 ГП'!C36/1000</f>
        <v>3518.4690000000001</v>
      </c>
      <c r="M22" s="694"/>
      <c r="N22" s="695">
        <f>'Шаблон 46 ГП'!C31/1000+'Шаблон 46 ГП'!C38/1000+'Шаблон 46 ГП'!C32/1000+'Шаблон 46 ГП'!C33/1000</f>
        <v>10289.922</v>
      </c>
      <c r="O22" s="705">
        <f t="shared" ref="O22:Q23" si="8">R22*1.18</f>
        <v>6057.3375420000011</v>
      </c>
      <c r="P22" s="693">
        <f t="shared" si="8"/>
        <v>0</v>
      </c>
      <c r="Q22" s="696">
        <f t="shared" si="8"/>
        <v>27332.854302999996</v>
      </c>
      <c r="R22" s="729">
        <f>'Шаблон 46 ГП'!L34/1000+'Шаблон 46 ГП'!L39/1000+'Шаблон 46 ГП'!L35/1000+'Шаблон 46 ГП'!L36/1000</f>
        <v>5133.3369000000012</v>
      </c>
      <c r="S22" s="694"/>
      <c r="T22" s="698">
        <f>'Шаблон 46 ГП'!L31/1000+'Шаблон 46 ГП'!L38/1000+'Шаблон 46 ГП'!L32/1000+'Шаблон 46 ГП'!L33/1000</f>
        <v>23163.435849999998</v>
      </c>
    </row>
    <row r="23" spans="3:20" ht="15" customHeight="1">
      <c r="C23" s="672"/>
      <c r="D23" s="715" t="s">
        <v>558</v>
      </c>
      <c r="E23" s="716">
        <v>250</v>
      </c>
      <c r="F23" s="693">
        <f t="shared" si="6"/>
        <v>0</v>
      </c>
      <c r="G23" s="693">
        <f t="shared" si="3"/>
        <v>0</v>
      </c>
      <c r="H23" s="693">
        <f t="shared" si="4"/>
        <v>0</v>
      </c>
      <c r="I23" s="694"/>
      <c r="J23" s="689">
        <f>K23*1.18</f>
        <v>0</v>
      </c>
      <c r="K23" s="695"/>
      <c r="L23" s="728"/>
      <c r="M23" s="694"/>
      <c r="N23" s="695"/>
      <c r="O23" s="705">
        <f t="shared" si="8"/>
        <v>0</v>
      </c>
      <c r="P23" s="693">
        <f t="shared" si="8"/>
        <v>0</v>
      </c>
      <c r="Q23" s="696">
        <f t="shared" si="8"/>
        <v>0</v>
      </c>
      <c r="R23" s="729"/>
      <c r="S23" s="694"/>
      <c r="T23" s="698"/>
    </row>
    <row r="24" spans="3:20" ht="56.25">
      <c r="C24" s="672"/>
      <c r="D24" s="715" t="s">
        <v>561</v>
      </c>
      <c r="E24" s="716">
        <v>260</v>
      </c>
      <c r="F24" s="693">
        <f>SUM(F25:F26)</f>
        <v>0</v>
      </c>
      <c r="G24" s="693">
        <f>SUM(G25:G26)</f>
        <v>0</v>
      </c>
      <c r="H24" s="693">
        <f>SUM(H25:H26)</f>
        <v>0</v>
      </c>
      <c r="I24" s="693">
        <f t="shared" ref="I24:S24" si="9">SUM(I25:I26)</f>
        <v>0</v>
      </c>
      <c r="J24" s="693">
        <f t="shared" si="9"/>
        <v>0</v>
      </c>
      <c r="K24" s="696">
        <f t="shared" si="9"/>
        <v>0</v>
      </c>
      <c r="L24" s="705">
        <f t="shared" si="9"/>
        <v>0</v>
      </c>
      <c r="M24" s="693">
        <f t="shared" si="9"/>
        <v>0</v>
      </c>
      <c r="N24" s="696">
        <f t="shared" si="9"/>
        <v>0</v>
      </c>
      <c r="O24" s="705">
        <f t="shared" si="9"/>
        <v>0</v>
      </c>
      <c r="P24" s="693">
        <f t="shared" si="9"/>
        <v>0</v>
      </c>
      <c r="Q24" s="696">
        <f t="shared" si="9"/>
        <v>0</v>
      </c>
      <c r="R24" s="697">
        <f t="shared" si="9"/>
        <v>0</v>
      </c>
      <c r="S24" s="693">
        <f t="shared" si="9"/>
        <v>0</v>
      </c>
      <c r="T24" s="706">
        <f>SUM(T25:T26)</f>
        <v>0</v>
      </c>
    </row>
    <row r="25" spans="3:20" ht="15" customHeight="1">
      <c r="C25" s="672"/>
      <c r="D25" s="715" t="s">
        <v>557</v>
      </c>
      <c r="E25" s="716" t="s">
        <v>562</v>
      </c>
      <c r="F25" s="693">
        <f t="shared" si="6"/>
        <v>0</v>
      </c>
      <c r="G25" s="693">
        <f t="shared" si="3"/>
        <v>0</v>
      </c>
      <c r="H25" s="693">
        <f t="shared" si="4"/>
        <v>0</v>
      </c>
      <c r="I25" s="694"/>
      <c r="J25" s="689">
        <f>K25*1.18</f>
        <v>0</v>
      </c>
      <c r="K25" s="695"/>
      <c r="L25" s="728"/>
      <c r="M25" s="694"/>
      <c r="N25" s="695"/>
      <c r="O25" s="705">
        <f t="shared" ref="O25:Q26" si="10">R25*1.18</f>
        <v>0</v>
      </c>
      <c r="P25" s="693">
        <f t="shared" si="10"/>
        <v>0</v>
      </c>
      <c r="Q25" s="696">
        <f t="shared" si="10"/>
        <v>0</v>
      </c>
      <c r="R25" s="729"/>
      <c r="S25" s="694"/>
      <c r="T25" s="698"/>
    </row>
    <row r="26" spans="3:20" ht="15" customHeight="1">
      <c r="C26" s="672"/>
      <c r="D26" s="715" t="s">
        <v>558</v>
      </c>
      <c r="E26" s="716" t="s">
        <v>563</v>
      </c>
      <c r="F26" s="693">
        <f t="shared" si="6"/>
        <v>0</v>
      </c>
      <c r="G26" s="693">
        <f t="shared" si="3"/>
        <v>0</v>
      </c>
      <c r="H26" s="693">
        <f t="shared" si="4"/>
        <v>0</v>
      </c>
      <c r="I26" s="694"/>
      <c r="J26" s="689">
        <f>K26*1.18</f>
        <v>0</v>
      </c>
      <c r="K26" s="695"/>
      <c r="L26" s="728"/>
      <c r="M26" s="694"/>
      <c r="N26" s="695"/>
      <c r="O26" s="705">
        <f t="shared" si="10"/>
        <v>0</v>
      </c>
      <c r="P26" s="693">
        <f t="shared" si="10"/>
        <v>0</v>
      </c>
      <c r="Q26" s="696">
        <f t="shared" si="10"/>
        <v>0</v>
      </c>
      <c r="R26" s="729"/>
      <c r="S26" s="694"/>
      <c r="T26" s="698"/>
    </row>
    <row r="27" spans="3:20" ht="56.25">
      <c r="C27" s="672"/>
      <c r="D27" s="715" t="s">
        <v>564</v>
      </c>
      <c r="E27" s="716" t="s">
        <v>565</v>
      </c>
      <c r="F27" s="693">
        <f>SUM(F28:F29)</f>
        <v>0</v>
      </c>
      <c r="G27" s="693">
        <f>SUM(G28:G29)</f>
        <v>0</v>
      </c>
      <c r="H27" s="693">
        <f>SUM(H28:H29)</f>
        <v>0</v>
      </c>
      <c r="I27" s="693">
        <f t="shared" ref="I27:S27" si="11">SUM(I28:I29)</f>
        <v>0</v>
      </c>
      <c r="J27" s="693">
        <f t="shared" si="11"/>
        <v>0</v>
      </c>
      <c r="K27" s="696">
        <f t="shared" si="11"/>
        <v>0</v>
      </c>
      <c r="L27" s="705">
        <f t="shared" si="11"/>
        <v>0</v>
      </c>
      <c r="M27" s="693">
        <f t="shared" si="11"/>
        <v>0</v>
      </c>
      <c r="N27" s="696">
        <f t="shared" si="11"/>
        <v>0</v>
      </c>
      <c r="O27" s="705">
        <f t="shared" si="11"/>
        <v>0</v>
      </c>
      <c r="P27" s="693">
        <f t="shared" si="11"/>
        <v>0</v>
      </c>
      <c r="Q27" s="696">
        <f t="shared" si="11"/>
        <v>0</v>
      </c>
      <c r="R27" s="697">
        <f t="shared" si="11"/>
        <v>0</v>
      </c>
      <c r="S27" s="693">
        <f t="shared" si="11"/>
        <v>0</v>
      </c>
      <c r="T27" s="706">
        <f>SUM(T28:T29)</f>
        <v>0</v>
      </c>
    </row>
    <row r="28" spans="3:20" ht="15" customHeight="1">
      <c r="C28" s="672"/>
      <c r="D28" s="715" t="s">
        <v>557</v>
      </c>
      <c r="E28" s="716" t="s">
        <v>566</v>
      </c>
      <c r="F28" s="693">
        <f t="shared" si="6"/>
        <v>0</v>
      </c>
      <c r="G28" s="693">
        <f t="shared" si="3"/>
        <v>0</v>
      </c>
      <c r="H28" s="693">
        <f t="shared" si="4"/>
        <v>0</v>
      </c>
      <c r="I28" s="694"/>
      <c r="J28" s="689">
        <f>K28*1.18</f>
        <v>0</v>
      </c>
      <c r="K28" s="695"/>
      <c r="L28" s="728"/>
      <c r="M28" s="694"/>
      <c r="N28" s="695"/>
      <c r="O28" s="705">
        <f t="shared" ref="O28:Q29" si="12">R28*1.18</f>
        <v>0</v>
      </c>
      <c r="P28" s="693">
        <f t="shared" si="12"/>
        <v>0</v>
      </c>
      <c r="Q28" s="696">
        <f t="shared" si="12"/>
        <v>0</v>
      </c>
      <c r="R28" s="729"/>
      <c r="S28" s="694"/>
      <c r="T28" s="698"/>
    </row>
    <row r="29" spans="3:20" ht="15" customHeight="1">
      <c r="C29" s="672"/>
      <c r="D29" s="715" t="s">
        <v>558</v>
      </c>
      <c r="E29" s="716" t="s">
        <v>567</v>
      </c>
      <c r="F29" s="693">
        <f t="shared" si="6"/>
        <v>0</v>
      </c>
      <c r="G29" s="693">
        <f t="shared" si="3"/>
        <v>0</v>
      </c>
      <c r="H29" s="693">
        <f t="shared" si="4"/>
        <v>0</v>
      </c>
      <c r="I29" s="694"/>
      <c r="J29" s="689">
        <f>K29*1.18</f>
        <v>0</v>
      </c>
      <c r="K29" s="695"/>
      <c r="L29" s="728"/>
      <c r="M29" s="694"/>
      <c r="N29" s="695"/>
      <c r="O29" s="705">
        <f t="shared" si="12"/>
        <v>0</v>
      </c>
      <c r="P29" s="693">
        <f t="shared" si="12"/>
        <v>0</v>
      </c>
      <c r="Q29" s="696">
        <f t="shared" si="12"/>
        <v>0</v>
      </c>
      <c r="R29" s="729"/>
      <c r="S29" s="694"/>
      <c r="T29" s="698"/>
    </row>
    <row r="30" spans="3:20" ht="22.5">
      <c r="C30" s="672"/>
      <c r="D30" s="715" t="s">
        <v>568</v>
      </c>
      <c r="E30" s="716" t="s">
        <v>569</v>
      </c>
      <c r="F30" s="693">
        <f>SUM(F31:F32)</f>
        <v>0</v>
      </c>
      <c r="G30" s="693">
        <f>SUM(G31:G32)</f>
        <v>0</v>
      </c>
      <c r="H30" s="693">
        <f>SUM(H31:H32)</f>
        <v>0</v>
      </c>
      <c r="I30" s="693">
        <f t="shared" ref="I30:S30" si="13">SUM(I31:I32)</f>
        <v>0</v>
      </c>
      <c r="J30" s="693">
        <f t="shared" si="13"/>
        <v>0</v>
      </c>
      <c r="K30" s="696">
        <f t="shared" si="13"/>
        <v>0</v>
      </c>
      <c r="L30" s="705">
        <f t="shared" si="13"/>
        <v>0</v>
      </c>
      <c r="M30" s="693">
        <f t="shared" si="13"/>
        <v>0</v>
      </c>
      <c r="N30" s="696">
        <f t="shared" si="13"/>
        <v>0</v>
      </c>
      <c r="O30" s="705">
        <f t="shared" si="13"/>
        <v>0</v>
      </c>
      <c r="P30" s="693">
        <f t="shared" si="13"/>
        <v>0</v>
      </c>
      <c r="Q30" s="696">
        <f t="shared" si="13"/>
        <v>0</v>
      </c>
      <c r="R30" s="697">
        <f t="shared" si="13"/>
        <v>0</v>
      </c>
      <c r="S30" s="693">
        <f t="shared" si="13"/>
        <v>0</v>
      </c>
      <c r="T30" s="706">
        <f>SUM(T31:T32)</f>
        <v>0</v>
      </c>
    </row>
    <row r="31" spans="3:20" ht="15" customHeight="1">
      <c r="C31" s="672"/>
      <c r="D31" s="715" t="s">
        <v>557</v>
      </c>
      <c r="E31" s="716" t="s">
        <v>570</v>
      </c>
      <c r="F31" s="693">
        <f t="shared" si="6"/>
        <v>0</v>
      </c>
      <c r="G31" s="693">
        <f t="shared" si="3"/>
        <v>0</v>
      </c>
      <c r="H31" s="693">
        <f t="shared" si="4"/>
        <v>0</v>
      </c>
      <c r="I31" s="694"/>
      <c r="J31" s="689">
        <f>K31*1.18</f>
        <v>0</v>
      </c>
      <c r="K31" s="695"/>
      <c r="L31" s="728"/>
      <c r="M31" s="694"/>
      <c r="N31" s="695"/>
      <c r="O31" s="705">
        <f t="shared" ref="O31:Q32" si="14">R31*1.18</f>
        <v>0</v>
      </c>
      <c r="P31" s="693">
        <f t="shared" si="14"/>
        <v>0</v>
      </c>
      <c r="Q31" s="696">
        <f t="shared" si="14"/>
        <v>0</v>
      </c>
      <c r="R31" s="729"/>
      <c r="S31" s="694"/>
      <c r="T31" s="698"/>
    </row>
    <row r="32" spans="3:20" ht="15" customHeight="1">
      <c r="C32" s="672"/>
      <c r="D32" s="715" t="s">
        <v>558</v>
      </c>
      <c r="E32" s="716" t="s">
        <v>571</v>
      </c>
      <c r="F32" s="693">
        <f t="shared" si="6"/>
        <v>0</v>
      </c>
      <c r="G32" s="693">
        <f t="shared" si="3"/>
        <v>0</v>
      </c>
      <c r="H32" s="693">
        <f t="shared" si="4"/>
        <v>0</v>
      </c>
      <c r="I32" s="694"/>
      <c r="J32" s="689">
        <f>K32*1.18</f>
        <v>0</v>
      </c>
      <c r="K32" s="695"/>
      <c r="L32" s="728"/>
      <c r="M32" s="694"/>
      <c r="N32" s="695"/>
      <c r="O32" s="705">
        <f t="shared" si="14"/>
        <v>0</v>
      </c>
      <c r="P32" s="693">
        <f t="shared" si="14"/>
        <v>0</v>
      </c>
      <c r="Q32" s="696">
        <f t="shared" si="14"/>
        <v>0</v>
      </c>
      <c r="R32" s="729"/>
      <c r="S32" s="694"/>
      <c r="T32" s="698"/>
    </row>
    <row r="33" spans="3:20" ht="22.5">
      <c r="C33" s="672"/>
      <c r="D33" s="715" t="s">
        <v>572</v>
      </c>
      <c r="E33" s="716" t="s">
        <v>573</v>
      </c>
      <c r="F33" s="693">
        <f>SUM(F34:F35)</f>
        <v>2127.3910000000001</v>
      </c>
      <c r="G33" s="693">
        <f>SUM(G34:G35)</f>
        <v>7359.8127510000004</v>
      </c>
      <c r="H33" s="693">
        <f>SUM(H34:H35)</f>
        <v>6237.1294500000004</v>
      </c>
      <c r="I33" s="693">
        <f>SUM(I34:I35)</f>
        <v>83.585999999999999</v>
      </c>
      <c r="J33" s="693">
        <f t="shared" ref="J33:S33" si="15">SUM(J34:J35)</f>
        <v>346.8270986</v>
      </c>
      <c r="K33" s="696">
        <f t="shared" si="15"/>
        <v>293.92126999999999</v>
      </c>
      <c r="L33" s="705">
        <f t="shared" si="15"/>
        <v>629.42700000000002</v>
      </c>
      <c r="M33" s="693">
        <f t="shared" si="15"/>
        <v>0</v>
      </c>
      <c r="N33" s="696">
        <f t="shared" si="15"/>
        <v>1414.3779999999999</v>
      </c>
      <c r="O33" s="705">
        <f t="shared" si="15"/>
        <v>1588.2255902000002</v>
      </c>
      <c r="P33" s="693">
        <f t="shared" si="15"/>
        <v>0</v>
      </c>
      <c r="Q33" s="696">
        <f t="shared" si="15"/>
        <v>5424.7600622</v>
      </c>
      <c r="R33" s="697">
        <f t="shared" si="15"/>
        <v>1345.9538900000002</v>
      </c>
      <c r="S33" s="693">
        <f t="shared" si="15"/>
        <v>0</v>
      </c>
      <c r="T33" s="706">
        <f>SUM(T34:T35)</f>
        <v>4597.2542899999999</v>
      </c>
    </row>
    <row r="34" spans="3:20" ht="15" customHeight="1">
      <c r="C34" s="672"/>
      <c r="D34" s="715" t="s">
        <v>557</v>
      </c>
      <c r="E34" s="716" t="s">
        <v>574</v>
      </c>
      <c r="F34" s="693">
        <f>F38+F41+F44+F47+F50+F53+F56</f>
        <v>2127.3910000000001</v>
      </c>
      <c r="G34" s="693">
        <f t="shared" ref="G34:S35" si="16">G38+G41+G44+G47+G50+G53+G56</f>
        <v>7359.8127510000004</v>
      </c>
      <c r="H34" s="693">
        <f t="shared" si="16"/>
        <v>6237.1294500000004</v>
      </c>
      <c r="I34" s="693">
        <f>I38+I41+I44+I47+I50+I53+I56</f>
        <v>83.585999999999999</v>
      </c>
      <c r="J34" s="693">
        <f t="shared" si="16"/>
        <v>346.8270986</v>
      </c>
      <c r="K34" s="696">
        <f t="shared" si="16"/>
        <v>293.92126999999999</v>
      </c>
      <c r="L34" s="705">
        <f t="shared" si="16"/>
        <v>629.42700000000002</v>
      </c>
      <c r="M34" s="693">
        <f t="shared" si="16"/>
        <v>0</v>
      </c>
      <c r="N34" s="696">
        <f t="shared" si="16"/>
        <v>1414.3779999999999</v>
      </c>
      <c r="O34" s="705">
        <f t="shared" si="16"/>
        <v>1588.2255902000002</v>
      </c>
      <c r="P34" s="693">
        <f t="shared" si="16"/>
        <v>0</v>
      </c>
      <c r="Q34" s="696">
        <f t="shared" si="16"/>
        <v>5424.7600622</v>
      </c>
      <c r="R34" s="697">
        <f t="shared" si="16"/>
        <v>1345.9538900000002</v>
      </c>
      <c r="S34" s="693">
        <f t="shared" si="16"/>
        <v>0</v>
      </c>
      <c r="T34" s="706">
        <f>T38+T41+T44+T47+T50+T53+T56</f>
        <v>4597.2542899999999</v>
      </c>
    </row>
    <row r="35" spans="3:20" ht="15" customHeight="1">
      <c r="C35" s="672"/>
      <c r="D35" s="715" t="s">
        <v>558</v>
      </c>
      <c r="E35" s="716" t="s">
        <v>575</v>
      </c>
      <c r="F35" s="693">
        <f>F39+F42+F45+F48+F51+F54+F57</f>
        <v>0</v>
      </c>
      <c r="G35" s="693">
        <f t="shared" si="16"/>
        <v>0</v>
      </c>
      <c r="H35" s="693">
        <f t="shared" si="16"/>
        <v>0</v>
      </c>
      <c r="I35" s="693">
        <f>I39+I42+I45+I48+I51+I54+I57</f>
        <v>0</v>
      </c>
      <c r="J35" s="693">
        <f t="shared" si="16"/>
        <v>0</v>
      </c>
      <c r="K35" s="696">
        <f t="shared" si="16"/>
        <v>0</v>
      </c>
      <c r="L35" s="705">
        <f t="shared" si="16"/>
        <v>0</v>
      </c>
      <c r="M35" s="693">
        <f t="shared" si="16"/>
        <v>0</v>
      </c>
      <c r="N35" s="696">
        <f t="shared" si="16"/>
        <v>0</v>
      </c>
      <c r="O35" s="705">
        <f t="shared" si="16"/>
        <v>0</v>
      </c>
      <c r="P35" s="693">
        <f t="shared" si="16"/>
        <v>0</v>
      </c>
      <c r="Q35" s="696">
        <f t="shared" si="16"/>
        <v>0</v>
      </c>
      <c r="R35" s="697">
        <f t="shared" si="16"/>
        <v>0</v>
      </c>
      <c r="S35" s="693">
        <f t="shared" si="16"/>
        <v>0</v>
      </c>
      <c r="T35" s="706">
        <f>T39+T42+T45+T48+T51+T54+T57</f>
        <v>0</v>
      </c>
    </row>
    <row r="36" spans="3:20" ht="15" customHeight="1">
      <c r="C36" s="672"/>
      <c r="D36" s="715" t="s">
        <v>512</v>
      </c>
      <c r="E36" s="716" t="s">
        <v>576</v>
      </c>
      <c r="F36" s="730"/>
      <c r="G36" s="731"/>
      <c r="H36" s="731"/>
      <c r="I36" s="731"/>
      <c r="J36" s="731"/>
      <c r="K36" s="732"/>
      <c r="L36" s="733"/>
      <c r="M36" s="731"/>
      <c r="N36" s="732"/>
      <c r="O36" s="733"/>
      <c r="P36" s="731"/>
      <c r="Q36" s="732"/>
      <c r="R36" s="734"/>
      <c r="S36" s="731"/>
      <c r="T36" s="735"/>
    </row>
    <row r="37" spans="3:20" ht="15" customHeight="1">
      <c r="C37" s="672"/>
      <c r="D37" s="715" t="s">
        <v>577</v>
      </c>
      <c r="E37" s="716" t="s">
        <v>578</v>
      </c>
      <c r="F37" s="693">
        <f>SUM(F38:F39)</f>
        <v>2127.3910000000001</v>
      </c>
      <c r="G37" s="693">
        <f>SUM(G38:G39)</f>
        <v>7359.8127510000004</v>
      </c>
      <c r="H37" s="693">
        <f>SUM(H38:H39)</f>
        <v>6237.1294500000004</v>
      </c>
      <c r="I37" s="693">
        <f t="shared" ref="I37:S37" si="17">SUM(I38:I39)</f>
        <v>83.585999999999999</v>
      </c>
      <c r="J37" s="693">
        <f t="shared" si="17"/>
        <v>346.8270986</v>
      </c>
      <c r="K37" s="696">
        <f t="shared" si="17"/>
        <v>293.92126999999999</v>
      </c>
      <c r="L37" s="697">
        <f t="shared" si="17"/>
        <v>629.42700000000002</v>
      </c>
      <c r="M37" s="693">
        <f t="shared" si="17"/>
        <v>0</v>
      </c>
      <c r="N37" s="693">
        <f t="shared" si="17"/>
        <v>1414.3779999999999</v>
      </c>
      <c r="O37" s="705">
        <f t="shared" si="17"/>
        <v>1588.2255902000002</v>
      </c>
      <c r="P37" s="693">
        <f t="shared" si="17"/>
        <v>0</v>
      </c>
      <c r="Q37" s="696">
        <f t="shared" si="17"/>
        <v>5424.7600622</v>
      </c>
      <c r="R37" s="697">
        <f t="shared" si="17"/>
        <v>1345.9538900000002</v>
      </c>
      <c r="S37" s="693">
        <f t="shared" si="17"/>
        <v>0</v>
      </c>
      <c r="T37" s="706">
        <f>SUM(T38:T39)</f>
        <v>4597.2542899999999</v>
      </c>
    </row>
    <row r="38" spans="3:20" ht="15" customHeight="1">
      <c r="C38" s="672"/>
      <c r="D38" s="715" t="s">
        <v>557</v>
      </c>
      <c r="E38" s="716" t="s">
        <v>579</v>
      </c>
      <c r="F38" s="693">
        <f t="shared" ref="F38:F57" si="18">I38+L38+M38+N38</f>
        <v>2127.3910000000001</v>
      </c>
      <c r="G38" s="693">
        <f t="shared" ref="G38:G57" si="19">J38+O38+P38+Q38</f>
        <v>7359.8127510000004</v>
      </c>
      <c r="H38" s="693">
        <f t="shared" ref="H38:H57" si="20">K38+R38+S38+T38</f>
        <v>6237.1294500000004</v>
      </c>
      <c r="I38" s="717">
        <f>'Шаблон 46 ГП'!C55/1000+'Шаблон 46 ГП'!C56/1000+'Шаблон 46 ГП'!C57/1000</f>
        <v>83.585999999999999</v>
      </c>
      <c r="J38" s="689">
        <f>K38*1.18</f>
        <v>346.8270986</v>
      </c>
      <c r="K38" s="718">
        <f>'Шаблон 46 ГП'!L55/1000+'Шаблон 46 ГП'!L56/1000+'Шаблон 46 ГП'!L57/1000</f>
        <v>293.92126999999999</v>
      </c>
      <c r="L38" s="736">
        <f>'Шаблон 46 ГП'!C52/1000+'Шаблон 46 ГП'!C61/1000+'Шаблон 46 ГП'!C53/1000+'Шаблон 46 ГП'!C54/1000</f>
        <v>629.42700000000002</v>
      </c>
      <c r="M38" s="717"/>
      <c r="N38" s="717">
        <f>'Шаблон 46 ГП'!C49/1000+'Шаблон 46 ГП'!C58/1000+'Шаблон 46 ГП'!C50/1000+'Шаблон 46 ГП'!C51/1000</f>
        <v>1414.3779999999999</v>
      </c>
      <c r="O38" s="705">
        <f t="shared" ref="O38:Q39" si="21">R38*1.18</f>
        <v>1588.2255902000002</v>
      </c>
      <c r="P38" s="693">
        <f t="shared" si="21"/>
        <v>0</v>
      </c>
      <c r="Q38" s="696">
        <f t="shared" si="21"/>
        <v>5424.7600622</v>
      </c>
      <c r="R38" s="736">
        <f>'Шаблон 46 ГП'!L52/1000+'Шаблон 46 ГП'!L61/1000+'Шаблон 46 ГП'!L53/1000+'Шаблон 46 ГП'!L54/1000</f>
        <v>1345.9538900000002</v>
      </c>
      <c r="S38" s="717"/>
      <c r="T38" s="719">
        <f>'Шаблон 46 ГП'!L49/1000+'Шаблон 46 ГП'!L58/1000+'Шаблон 46 ГП'!L50/1000+'Шаблон 46 ГП'!L51/1000</f>
        <v>4597.2542899999999</v>
      </c>
    </row>
    <row r="39" spans="3:20" ht="15" customHeight="1">
      <c r="C39" s="672"/>
      <c r="D39" s="715" t="s">
        <v>558</v>
      </c>
      <c r="E39" s="716" t="s">
        <v>580</v>
      </c>
      <c r="F39" s="693">
        <f t="shared" si="18"/>
        <v>0</v>
      </c>
      <c r="G39" s="693">
        <f t="shared" si="19"/>
        <v>0</v>
      </c>
      <c r="H39" s="693">
        <f t="shared" si="20"/>
        <v>0</v>
      </c>
      <c r="I39" s="717"/>
      <c r="J39" s="689">
        <f>K39*1.18</f>
        <v>0</v>
      </c>
      <c r="K39" s="718"/>
      <c r="L39" s="736"/>
      <c r="M39" s="717"/>
      <c r="N39" s="717"/>
      <c r="O39" s="705">
        <f t="shared" si="21"/>
        <v>0</v>
      </c>
      <c r="P39" s="693">
        <f t="shared" si="21"/>
        <v>0</v>
      </c>
      <c r="Q39" s="696">
        <f t="shared" si="21"/>
        <v>0</v>
      </c>
      <c r="R39" s="736"/>
      <c r="S39" s="717"/>
      <c r="T39" s="719"/>
    </row>
    <row r="40" spans="3:20" ht="33.75">
      <c r="C40" s="672"/>
      <c r="D40" s="715" t="s">
        <v>581</v>
      </c>
      <c r="E40" s="716" t="s">
        <v>582</v>
      </c>
      <c r="F40" s="693">
        <f>SUM(F41:F42)</f>
        <v>0</v>
      </c>
      <c r="G40" s="693">
        <f>SUM(G41:G42)</f>
        <v>0</v>
      </c>
      <c r="H40" s="693">
        <f>SUM(H41:H42)</f>
        <v>0</v>
      </c>
      <c r="I40" s="693">
        <f t="shared" ref="I40:S40" si="22">SUM(I41:I42)</f>
        <v>0</v>
      </c>
      <c r="J40" s="693">
        <f t="shared" si="22"/>
        <v>0</v>
      </c>
      <c r="K40" s="696">
        <f t="shared" si="22"/>
        <v>0</v>
      </c>
      <c r="L40" s="697">
        <f t="shared" si="22"/>
        <v>0</v>
      </c>
      <c r="M40" s="693">
        <f t="shared" si="22"/>
        <v>0</v>
      </c>
      <c r="N40" s="693">
        <f t="shared" si="22"/>
        <v>0</v>
      </c>
      <c r="O40" s="705">
        <f t="shared" si="22"/>
        <v>0</v>
      </c>
      <c r="P40" s="693">
        <f t="shared" si="22"/>
        <v>0</v>
      </c>
      <c r="Q40" s="696">
        <f t="shared" si="22"/>
        <v>0</v>
      </c>
      <c r="R40" s="697">
        <f t="shared" si="22"/>
        <v>0</v>
      </c>
      <c r="S40" s="693">
        <f t="shared" si="22"/>
        <v>0</v>
      </c>
      <c r="T40" s="706">
        <f>SUM(T41:T42)</f>
        <v>0</v>
      </c>
    </row>
    <row r="41" spans="3:20" ht="15" customHeight="1">
      <c r="C41" s="672"/>
      <c r="D41" s="715" t="s">
        <v>557</v>
      </c>
      <c r="E41" s="716" t="s">
        <v>583</v>
      </c>
      <c r="F41" s="693">
        <f t="shared" si="18"/>
        <v>0</v>
      </c>
      <c r="G41" s="693">
        <f t="shared" si="19"/>
        <v>0</v>
      </c>
      <c r="H41" s="693">
        <f t="shared" si="20"/>
        <v>0</v>
      </c>
      <c r="I41" s="717"/>
      <c r="J41" s="689">
        <f>K41*1.18</f>
        <v>0</v>
      </c>
      <c r="K41" s="718"/>
      <c r="L41" s="736"/>
      <c r="M41" s="717"/>
      <c r="N41" s="717"/>
      <c r="O41" s="705">
        <f t="shared" ref="O41:Q42" si="23">R41*1.18</f>
        <v>0</v>
      </c>
      <c r="P41" s="693">
        <f t="shared" si="23"/>
        <v>0</v>
      </c>
      <c r="Q41" s="696">
        <f t="shared" si="23"/>
        <v>0</v>
      </c>
      <c r="R41" s="736"/>
      <c r="S41" s="717"/>
      <c r="T41" s="719"/>
    </row>
    <row r="42" spans="3:20" ht="15" customHeight="1">
      <c r="C42" s="672"/>
      <c r="D42" s="715" t="s">
        <v>558</v>
      </c>
      <c r="E42" s="716" t="s">
        <v>584</v>
      </c>
      <c r="F42" s="693">
        <f t="shared" si="18"/>
        <v>0</v>
      </c>
      <c r="G42" s="693">
        <f>J42+O42+P42+Q42</f>
        <v>0</v>
      </c>
      <c r="H42" s="693">
        <f t="shared" si="20"/>
        <v>0</v>
      </c>
      <c r="I42" s="717"/>
      <c r="J42" s="689">
        <f>K42*1.18</f>
        <v>0</v>
      </c>
      <c r="K42" s="718"/>
      <c r="L42" s="736"/>
      <c r="M42" s="717"/>
      <c r="N42" s="717"/>
      <c r="O42" s="705">
        <f t="shared" si="23"/>
        <v>0</v>
      </c>
      <c r="P42" s="693">
        <f t="shared" si="23"/>
        <v>0</v>
      </c>
      <c r="Q42" s="696">
        <f t="shared" si="23"/>
        <v>0</v>
      </c>
      <c r="R42" s="736"/>
      <c r="S42" s="717"/>
      <c r="T42" s="719"/>
    </row>
    <row r="43" spans="3:20" ht="15" customHeight="1">
      <c r="C43" s="672"/>
      <c r="D43" s="715" t="s">
        <v>585</v>
      </c>
      <c r="E43" s="716" t="s">
        <v>586</v>
      </c>
      <c r="F43" s="693">
        <f>SUM(F44:F45)</f>
        <v>0</v>
      </c>
      <c r="G43" s="693">
        <f>SUM(G44:G45)</f>
        <v>0</v>
      </c>
      <c r="H43" s="693">
        <f>SUM(H44:H45)</f>
        <v>0</v>
      </c>
      <c r="I43" s="693">
        <f t="shared" ref="I43:S43" si="24">SUM(I44:I45)</f>
        <v>0</v>
      </c>
      <c r="J43" s="693">
        <f t="shared" si="24"/>
        <v>0</v>
      </c>
      <c r="K43" s="696">
        <f t="shared" si="24"/>
        <v>0</v>
      </c>
      <c r="L43" s="697">
        <f t="shared" si="24"/>
        <v>0</v>
      </c>
      <c r="M43" s="693">
        <f t="shared" si="24"/>
        <v>0</v>
      </c>
      <c r="N43" s="693">
        <f t="shared" si="24"/>
        <v>0</v>
      </c>
      <c r="O43" s="705">
        <f t="shared" si="24"/>
        <v>0</v>
      </c>
      <c r="P43" s="693">
        <f t="shared" si="24"/>
        <v>0</v>
      </c>
      <c r="Q43" s="696">
        <f t="shared" si="24"/>
        <v>0</v>
      </c>
      <c r="R43" s="697">
        <f t="shared" si="24"/>
        <v>0</v>
      </c>
      <c r="S43" s="693">
        <f t="shared" si="24"/>
        <v>0</v>
      </c>
      <c r="T43" s="706">
        <f>SUM(T44:T45)</f>
        <v>0</v>
      </c>
    </row>
    <row r="44" spans="3:20" ht="15" customHeight="1">
      <c r="C44" s="672"/>
      <c r="D44" s="715" t="s">
        <v>557</v>
      </c>
      <c r="E44" s="716" t="s">
        <v>587</v>
      </c>
      <c r="F44" s="693">
        <f t="shared" si="18"/>
        <v>0</v>
      </c>
      <c r="G44" s="693">
        <f t="shared" si="19"/>
        <v>0</v>
      </c>
      <c r="H44" s="693">
        <f t="shared" si="20"/>
        <v>0</v>
      </c>
      <c r="I44" s="717"/>
      <c r="J44" s="689">
        <f t="shared" ref="J44:J57" si="25">K44*1.18</f>
        <v>0</v>
      </c>
      <c r="K44" s="718"/>
      <c r="L44" s="736"/>
      <c r="M44" s="717"/>
      <c r="N44" s="717"/>
      <c r="O44" s="705">
        <f t="shared" ref="O44:Q45" si="26">R44*1.18</f>
        <v>0</v>
      </c>
      <c r="P44" s="693">
        <f t="shared" si="26"/>
        <v>0</v>
      </c>
      <c r="Q44" s="696">
        <f t="shared" si="26"/>
        <v>0</v>
      </c>
      <c r="R44" s="736"/>
      <c r="S44" s="717"/>
      <c r="T44" s="719"/>
    </row>
    <row r="45" spans="3:20" ht="15" customHeight="1">
      <c r="C45" s="672"/>
      <c r="D45" s="715" t="s">
        <v>558</v>
      </c>
      <c r="E45" s="716" t="s">
        <v>588</v>
      </c>
      <c r="F45" s="693">
        <f t="shared" si="18"/>
        <v>0</v>
      </c>
      <c r="G45" s="693">
        <f t="shared" si="19"/>
        <v>0</v>
      </c>
      <c r="H45" s="693">
        <f t="shared" si="20"/>
        <v>0</v>
      </c>
      <c r="I45" s="717"/>
      <c r="J45" s="689">
        <f t="shared" si="25"/>
        <v>0</v>
      </c>
      <c r="K45" s="718"/>
      <c r="L45" s="736"/>
      <c r="M45" s="717"/>
      <c r="N45" s="717"/>
      <c r="O45" s="705">
        <f t="shared" si="26"/>
        <v>0</v>
      </c>
      <c r="P45" s="693">
        <f t="shared" si="26"/>
        <v>0</v>
      </c>
      <c r="Q45" s="696">
        <f t="shared" si="26"/>
        <v>0</v>
      </c>
      <c r="R45" s="736"/>
      <c r="S45" s="717"/>
      <c r="T45" s="719"/>
    </row>
    <row r="46" spans="3:20" ht="33.75">
      <c r="C46" s="672"/>
      <c r="D46" s="715" t="s">
        <v>589</v>
      </c>
      <c r="E46" s="716" t="s">
        <v>590</v>
      </c>
      <c r="F46" s="693">
        <f>SUM(F47:F48)</f>
        <v>0</v>
      </c>
      <c r="G46" s="693">
        <f>SUM(G47:G48)</f>
        <v>0</v>
      </c>
      <c r="H46" s="693">
        <f>SUM(H47:H48)</f>
        <v>0</v>
      </c>
      <c r="I46" s="693">
        <f t="shared" ref="I46:S46" si="27">SUM(I47:I48)</f>
        <v>0</v>
      </c>
      <c r="J46" s="693">
        <f t="shared" si="27"/>
        <v>0</v>
      </c>
      <c r="K46" s="696">
        <f t="shared" si="27"/>
        <v>0</v>
      </c>
      <c r="L46" s="697">
        <f t="shared" si="27"/>
        <v>0</v>
      </c>
      <c r="M46" s="693">
        <f t="shared" si="27"/>
        <v>0</v>
      </c>
      <c r="N46" s="693">
        <f t="shared" si="27"/>
        <v>0</v>
      </c>
      <c r="O46" s="705">
        <f t="shared" si="27"/>
        <v>0</v>
      </c>
      <c r="P46" s="693">
        <f t="shared" si="27"/>
        <v>0</v>
      </c>
      <c r="Q46" s="696">
        <f t="shared" si="27"/>
        <v>0</v>
      </c>
      <c r="R46" s="697">
        <f t="shared" si="27"/>
        <v>0</v>
      </c>
      <c r="S46" s="693">
        <f t="shared" si="27"/>
        <v>0</v>
      </c>
      <c r="T46" s="706">
        <f>SUM(T47:T48)</f>
        <v>0</v>
      </c>
    </row>
    <row r="47" spans="3:20" ht="15" customHeight="1">
      <c r="C47" s="672"/>
      <c r="D47" s="715" t="s">
        <v>557</v>
      </c>
      <c r="E47" s="716" t="s">
        <v>591</v>
      </c>
      <c r="F47" s="693">
        <f t="shared" si="18"/>
        <v>0</v>
      </c>
      <c r="G47" s="693">
        <f t="shared" si="19"/>
        <v>0</v>
      </c>
      <c r="H47" s="693">
        <f t="shared" si="20"/>
        <v>0</v>
      </c>
      <c r="I47" s="717"/>
      <c r="J47" s="689">
        <f t="shared" si="25"/>
        <v>0</v>
      </c>
      <c r="K47" s="718"/>
      <c r="L47" s="736"/>
      <c r="M47" s="717"/>
      <c r="N47" s="717"/>
      <c r="O47" s="705">
        <f t="shared" ref="O47:Q48" si="28">R47*1.18</f>
        <v>0</v>
      </c>
      <c r="P47" s="693">
        <f t="shared" si="28"/>
        <v>0</v>
      </c>
      <c r="Q47" s="696">
        <f t="shared" si="28"/>
        <v>0</v>
      </c>
      <c r="R47" s="736"/>
      <c r="S47" s="717"/>
      <c r="T47" s="719"/>
    </row>
    <row r="48" spans="3:20" ht="15" customHeight="1">
      <c r="C48" s="672"/>
      <c r="D48" s="715" t="s">
        <v>558</v>
      </c>
      <c r="E48" s="716" t="s">
        <v>592</v>
      </c>
      <c r="F48" s="693">
        <f t="shared" si="18"/>
        <v>0</v>
      </c>
      <c r="G48" s="693">
        <f t="shared" si="19"/>
        <v>0</v>
      </c>
      <c r="H48" s="693">
        <f t="shared" si="20"/>
        <v>0</v>
      </c>
      <c r="I48" s="717"/>
      <c r="J48" s="689">
        <f t="shared" si="25"/>
        <v>0</v>
      </c>
      <c r="K48" s="718"/>
      <c r="L48" s="736"/>
      <c r="M48" s="717"/>
      <c r="N48" s="717"/>
      <c r="O48" s="705">
        <f t="shared" si="28"/>
        <v>0</v>
      </c>
      <c r="P48" s="693">
        <f t="shared" si="28"/>
        <v>0</v>
      </c>
      <c r="Q48" s="696">
        <f t="shared" si="28"/>
        <v>0</v>
      </c>
      <c r="R48" s="736"/>
      <c r="S48" s="717"/>
      <c r="T48" s="719"/>
    </row>
    <row r="49" spans="1:20" ht="33.75">
      <c r="C49" s="672"/>
      <c r="D49" s="715" t="s">
        <v>593</v>
      </c>
      <c r="E49" s="716" t="s">
        <v>594</v>
      </c>
      <c r="F49" s="693">
        <f>SUM(F50:F51)</f>
        <v>0</v>
      </c>
      <c r="G49" s="693">
        <f>SUM(G50:G51)</f>
        <v>0</v>
      </c>
      <c r="H49" s="693">
        <f>SUM(H50:H51)</f>
        <v>0</v>
      </c>
      <c r="I49" s="693">
        <f>SUM(I50:I51)</f>
        <v>0</v>
      </c>
      <c r="J49" s="693">
        <f t="shared" ref="J49:S49" si="29">SUM(J50:J51)</f>
        <v>0</v>
      </c>
      <c r="K49" s="696">
        <f t="shared" si="29"/>
        <v>0</v>
      </c>
      <c r="L49" s="697">
        <f t="shared" si="29"/>
        <v>0</v>
      </c>
      <c r="M49" s="693">
        <f t="shared" si="29"/>
        <v>0</v>
      </c>
      <c r="N49" s="693">
        <f t="shared" si="29"/>
        <v>0</v>
      </c>
      <c r="O49" s="705">
        <f t="shared" si="29"/>
        <v>0</v>
      </c>
      <c r="P49" s="693">
        <f t="shared" si="29"/>
        <v>0</v>
      </c>
      <c r="Q49" s="696">
        <f t="shared" si="29"/>
        <v>0</v>
      </c>
      <c r="R49" s="697">
        <f t="shared" si="29"/>
        <v>0</v>
      </c>
      <c r="S49" s="693">
        <f t="shared" si="29"/>
        <v>0</v>
      </c>
      <c r="T49" s="706">
        <f>SUM(T50:T51)</f>
        <v>0</v>
      </c>
    </row>
    <row r="50" spans="1:20" ht="15" customHeight="1">
      <c r="C50" s="672"/>
      <c r="D50" s="715" t="s">
        <v>557</v>
      </c>
      <c r="E50" s="716" t="s">
        <v>595</v>
      </c>
      <c r="F50" s="693">
        <f t="shared" si="18"/>
        <v>0</v>
      </c>
      <c r="G50" s="693">
        <f t="shared" si="19"/>
        <v>0</v>
      </c>
      <c r="H50" s="693">
        <f t="shared" si="20"/>
        <v>0</v>
      </c>
      <c r="I50" s="717"/>
      <c r="J50" s="689">
        <f t="shared" si="25"/>
        <v>0</v>
      </c>
      <c r="K50" s="718"/>
      <c r="L50" s="736"/>
      <c r="M50" s="717"/>
      <c r="N50" s="717"/>
      <c r="O50" s="705">
        <f t="shared" ref="O50:Q51" si="30">R50*1.18</f>
        <v>0</v>
      </c>
      <c r="P50" s="693">
        <f t="shared" si="30"/>
        <v>0</v>
      </c>
      <c r="Q50" s="696">
        <f t="shared" si="30"/>
        <v>0</v>
      </c>
      <c r="R50" s="736"/>
      <c r="S50" s="717"/>
      <c r="T50" s="719"/>
    </row>
    <row r="51" spans="1:20" ht="15" customHeight="1">
      <c r="C51" s="672"/>
      <c r="D51" s="715" t="s">
        <v>558</v>
      </c>
      <c r="E51" s="716" t="s">
        <v>596</v>
      </c>
      <c r="F51" s="693">
        <f t="shared" si="18"/>
        <v>0</v>
      </c>
      <c r="G51" s="693">
        <f t="shared" si="19"/>
        <v>0</v>
      </c>
      <c r="H51" s="693">
        <f t="shared" si="20"/>
        <v>0</v>
      </c>
      <c r="I51" s="717"/>
      <c r="J51" s="689">
        <f t="shared" si="25"/>
        <v>0</v>
      </c>
      <c r="K51" s="718"/>
      <c r="L51" s="736"/>
      <c r="M51" s="717"/>
      <c r="N51" s="717"/>
      <c r="O51" s="705">
        <f t="shared" si="30"/>
        <v>0</v>
      </c>
      <c r="P51" s="693">
        <f t="shared" si="30"/>
        <v>0</v>
      </c>
      <c r="Q51" s="696">
        <f t="shared" si="30"/>
        <v>0</v>
      </c>
      <c r="R51" s="736"/>
      <c r="S51" s="717"/>
      <c r="T51" s="719"/>
    </row>
    <row r="52" spans="1:20" ht="15" customHeight="1">
      <c r="C52" s="672"/>
      <c r="D52" s="715" t="s">
        <v>597</v>
      </c>
      <c r="E52" s="716" t="s">
        <v>598</v>
      </c>
      <c r="F52" s="693">
        <f>SUM(F53:F54)</f>
        <v>0</v>
      </c>
      <c r="G52" s="693">
        <f>SUM(G53:G54)</f>
        <v>0</v>
      </c>
      <c r="H52" s="693">
        <f>SUM(H53:H54)</f>
        <v>0</v>
      </c>
      <c r="I52" s="693">
        <f t="shared" ref="I52:S52" si="31">SUM(I53:I54)</f>
        <v>0</v>
      </c>
      <c r="J52" s="693">
        <f t="shared" si="31"/>
        <v>0</v>
      </c>
      <c r="K52" s="696">
        <f t="shared" si="31"/>
        <v>0</v>
      </c>
      <c r="L52" s="697">
        <f t="shared" si="31"/>
        <v>0</v>
      </c>
      <c r="M52" s="693">
        <f t="shared" si="31"/>
        <v>0</v>
      </c>
      <c r="N52" s="693">
        <f t="shared" si="31"/>
        <v>0</v>
      </c>
      <c r="O52" s="705">
        <f t="shared" si="31"/>
        <v>0</v>
      </c>
      <c r="P52" s="693">
        <f t="shared" si="31"/>
        <v>0</v>
      </c>
      <c r="Q52" s="696">
        <f t="shared" si="31"/>
        <v>0</v>
      </c>
      <c r="R52" s="697">
        <f t="shared" si="31"/>
        <v>0</v>
      </c>
      <c r="S52" s="693">
        <f t="shared" si="31"/>
        <v>0</v>
      </c>
      <c r="T52" s="706">
        <f>SUM(T53:T54)</f>
        <v>0</v>
      </c>
    </row>
    <row r="53" spans="1:20" ht="15" customHeight="1">
      <c r="C53" s="672"/>
      <c r="D53" s="715" t="s">
        <v>557</v>
      </c>
      <c r="E53" s="716" t="s">
        <v>599</v>
      </c>
      <c r="F53" s="693">
        <f t="shared" si="18"/>
        <v>0</v>
      </c>
      <c r="G53" s="693">
        <f t="shared" si="19"/>
        <v>0</v>
      </c>
      <c r="H53" s="693">
        <f t="shared" si="20"/>
        <v>0</v>
      </c>
      <c r="I53" s="717"/>
      <c r="J53" s="689">
        <f t="shared" si="25"/>
        <v>0</v>
      </c>
      <c r="K53" s="718"/>
      <c r="L53" s="736"/>
      <c r="M53" s="717"/>
      <c r="N53" s="717"/>
      <c r="O53" s="705">
        <f t="shared" ref="O53:Q54" si="32">R53*1.18</f>
        <v>0</v>
      </c>
      <c r="P53" s="693">
        <f t="shared" si="32"/>
        <v>0</v>
      </c>
      <c r="Q53" s="696">
        <f t="shared" si="32"/>
        <v>0</v>
      </c>
      <c r="R53" s="736"/>
      <c r="S53" s="717"/>
      <c r="T53" s="719"/>
    </row>
    <row r="54" spans="1:20" ht="15" customHeight="1">
      <c r="C54" s="672"/>
      <c r="D54" s="715" t="s">
        <v>558</v>
      </c>
      <c r="E54" s="716" t="s">
        <v>600</v>
      </c>
      <c r="F54" s="693">
        <f t="shared" si="18"/>
        <v>0</v>
      </c>
      <c r="G54" s="693">
        <f t="shared" si="19"/>
        <v>0</v>
      </c>
      <c r="H54" s="693">
        <f t="shared" si="20"/>
        <v>0</v>
      </c>
      <c r="I54" s="717"/>
      <c r="J54" s="689">
        <f t="shared" si="25"/>
        <v>0</v>
      </c>
      <c r="K54" s="718"/>
      <c r="L54" s="736"/>
      <c r="M54" s="717"/>
      <c r="N54" s="717"/>
      <c r="O54" s="705">
        <f t="shared" si="32"/>
        <v>0</v>
      </c>
      <c r="P54" s="693">
        <f t="shared" si="32"/>
        <v>0</v>
      </c>
      <c r="Q54" s="696">
        <f t="shared" si="32"/>
        <v>0</v>
      </c>
      <c r="R54" s="736"/>
      <c r="S54" s="717"/>
      <c r="T54" s="719"/>
    </row>
    <row r="55" spans="1:20" ht="56.25">
      <c r="C55" s="672"/>
      <c r="D55" s="715" t="s">
        <v>601</v>
      </c>
      <c r="E55" s="716" t="s">
        <v>602</v>
      </c>
      <c r="F55" s="693">
        <f>SUM(F56:F57)</f>
        <v>0</v>
      </c>
      <c r="G55" s="693">
        <f>SUM(G56:G57)</f>
        <v>0</v>
      </c>
      <c r="H55" s="693">
        <f>SUM(H56:H57)</f>
        <v>0</v>
      </c>
      <c r="I55" s="693">
        <f t="shared" ref="I55:S55" si="33">SUM(I56:I57)</f>
        <v>0</v>
      </c>
      <c r="J55" s="693">
        <f t="shared" si="33"/>
        <v>0</v>
      </c>
      <c r="K55" s="696">
        <f t="shared" si="33"/>
        <v>0</v>
      </c>
      <c r="L55" s="697">
        <f t="shared" si="33"/>
        <v>0</v>
      </c>
      <c r="M55" s="693">
        <f t="shared" si="33"/>
        <v>0</v>
      </c>
      <c r="N55" s="693">
        <f t="shared" si="33"/>
        <v>0</v>
      </c>
      <c r="O55" s="705">
        <f t="shared" si="33"/>
        <v>0</v>
      </c>
      <c r="P55" s="693">
        <f t="shared" si="33"/>
        <v>0</v>
      </c>
      <c r="Q55" s="696">
        <f t="shared" si="33"/>
        <v>0</v>
      </c>
      <c r="R55" s="697">
        <f t="shared" si="33"/>
        <v>0</v>
      </c>
      <c r="S55" s="693">
        <f t="shared" si="33"/>
        <v>0</v>
      </c>
      <c r="T55" s="706">
        <f>SUM(T56:T57)</f>
        <v>0</v>
      </c>
    </row>
    <row r="56" spans="1:20" ht="15" customHeight="1">
      <c r="C56" s="672"/>
      <c r="D56" s="715" t="s">
        <v>557</v>
      </c>
      <c r="E56" s="716" t="s">
        <v>603</v>
      </c>
      <c r="F56" s="693">
        <f t="shared" si="18"/>
        <v>0</v>
      </c>
      <c r="G56" s="693">
        <f t="shared" si="19"/>
        <v>0</v>
      </c>
      <c r="H56" s="693">
        <f t="shared" si="20"/>
        <v>0</v>
      </c>
      <c r="I56" s="737"/>
      <c r="J56" s="689">
        <f t="shared" si="25"/>
        <v>0</v>
      </c>
      <c r="K56" s="738"/>
      <c r="L56" s="736"/>
      <c r="M56" s="717"/>
      <c r="N56" s="717"/>
      <c r="O56" s="705">
        <f t="shared" ref="O56:Q57" si="34">R56*1.18</f>
        <v>0</v>
      </c>
      <c r="P56" s="693">
        <f t="shared" si="34"/>
        <v>0</v>
      </c>
      <c r="Q56" s="696">
        <f t="shared" si="34"/>
        <v>0</v>
      </c>
      <c r="R56" s="736"/>
      <c r="S56" s="717"/>
      <c r="T56" s="719"/>
    </row>
    <row r="57" spans="1:20" ht="15" customHeight="1">
      <c r="C57" s="672"/>
      <c r="D57" s="720" t="s">
        <v>558</v>
      </c>
      <c r="E57" s="721" t="s">
        <v>604</v>
      </c>
      <c r="F57" s="693">
        <f t="shared" si="18"/>
        <v>0</v>
      </c>
      <c r="G57" s="693">
        <f t="shared" si="19"/>
        <v>0</v>
      </c>
      <c r="H57" s="693">
        <f t="shared" si="20"/>
        <v>0</v>
      </c>
      <c r="I57" s="737"/>
      <c r="J57" s="689">
        <f t="shared" si="25"/>
        <v>0</v>
      </c>
      <c r="K57" s="738"/>
      <c r="L57" s="739"/>
      <c r="M57" s="737"/>
      <c r="N57" s="737"/>
      <c r="O57" s="705">
        <f t="shared" si="34"/>
        <v>0</v>
      </c>
      <c r="P57" s="693">
        <f t="shared" si="34"/>
        <v>0</v>
      </c>
      <c r="Q57" s="696">
        <f t="shared" si="34"/>
        <v>0</v>
      </c>
      <c r="R57" s="739"/>
      <c r="S57" s="737"/>
      <c r="T57" s="740"/>
    </row>
    <row r="58" spans="1:20" ht="22.5" customHeight="1">
      <c r="C58" s="672"/>
      <c r="D58" s="720" t="s">
        <v>605</v>
      </c>
      <c r="E58" s="721"/>
      <c r="F58" s="693">
        <f>F15+F33</f>
        <v>24830.238999999998</v>
      </c>
      <c r="G58" s="693">
        <f t="shared" ref="G58:T58" si="35">G15+G33</f>
        <v>67303.919316800006</v>
      </c>
      <c r="H58" s="693">
        <f t="shared" si="35"/>
        <v>57037.21976</v>
      </c>
      <c r="I58" s="693">
        <f t="shared" si="35"/>
        <v>7588.9080000000004</v>
      </c>
      <c r="J58" s="693">
        <f t="shared" si="35"/>
        <v>22311.007942999997</v>
      </c>
      <c r="K58" s="696">
        <f t="shared" si="35"/>
        <v>18907.633849999998</v>
      </c>
      <c r="L58" s="697">
        <f t="shared" si="35"/>
        <v>4609.2960000000003</v>
      </c>
      <c r="M58" s="693">
        <f t="shared" si="35"/>
        <v>0</v>
      </c>
      <c r="N58" s="696">
        <f t="shared" si="35"/>
        <v>12632.035000000002</v>
      </c>
      <c r="O58" s="697">
        <f t="shared" si="35"/>
        <v>8776.3698762000004</v>
      </c>
      <c r="P58" s="693">
        <f t="shared" si="35"/>
        <v>0</v>
      </c>
      <c r="Q58" s="696">
        <f t="shared" si="35"/>
        <v>36216.541497599996</v>
      </c>
      <c r="R58" s="697">
        <f t="shared" si="35"/>
        <v>7437.601590000002</v>
      </c>
      <c r="S58" s="693">
        <f t="shared" si="35"/>
        <v>0</v>
      </c>
      <c r="T58" s="706">
        <f t="shared" si="35"/>
        <v>30691.98432</v>
      </c>
    </row>
    <row r="59" spans="1:20" ht="15" customHeight="1">
      <c r="C59" s="672"/>
      <c r="D59" s="715" t="s">
        <v>557</v>
      </c>
      <c r="E59" s="716"/>
      <c r="F59" s="693">
        <f>F34+F16</f>
        <v>24830.238999999998</v>
      </c>
      <c r="G59" s="693">
        <f t="shared" ref="G59:T60" si="36">G34+G16</f>
        <v>67303.919316800006</v>
      </c>
      <c r="H59" s="693">
        <f t="shared" si="36"/>
        <v>57037.21976</v>
      </c>
      <c r="I59" s="693">
        <f t="shared" si="36"/>
        <v>7588.9080000000004</v>
      </c>
      <c r="J59" s="693">
        <f t="shared" si="36"/>
        <v>22311.007942999997</v>
      </c>
      <c r="K59" s="696">
        <f t="shared" si="36"/>
        <v>18907.633849999998</v>
      </c>
      <c r="L59" s="697">
        <f t="shared" si="36"/>
        <v>4609.2960000000003</v>
      </c>
      <c r="M59" s="693">
        <f t="shared" si="36"/>
        <v>0</v>
      </c>
      <c r="N59" s="696">
        <f t="shared" si="36"/>
        <v>12632.035000000002</v>
      </c>
      <c r="O59" s="697">
        <f t="shared" si="36"/>
        <v>8776.3698762000004</v>
      </c>
      <c r="P59" s="693">
        <f t="shared" si="36"/>
        <v>0</v>
      </c>
      <c r="Q59" s="696">
        <f t="shared" si="36"/>
        <v>36216.541497599996</v>
      </c>
      <c r="R59" s="697">
        <f t="shared" si="36"/>
        <v>7437.601590000002</v>
      </c>
      <c r="S59" s="693">
        <f t="shared" si="36"/>
        <v>0</v>
      </c>
      <c r="T59" s="706">
        <f t="shared" si="36"/>
        <v>30691.98432</v>
      </c>
    </row>
    <row r="60" spans="1:20" ht="15" customHeight="1">
      <c r="C60" s="672"/>
      <c r="D60" s="720" t="s">
        <v>558</v>
      </c>
      <c r="E60" s="721"/>
      <c r="F60" s="693">
        <f>F35+F17</f>
        <v>0</v>
      </c>
      <c r="G60" s="693">
        <f t="shared" si="36"/>
        <v>0</v>
      </c>
      <c r="H60" s="693">
        <f t="shared" si="36"/>
        <v>0</v>
      </c>
      <c r="I60" s="693">
        <f t="shared" si="36"/>
        <v>0</v>
      </c>
      <c r="J60" s="693">
        <f t="shared" si="36"/>
        <v>0</v>
      </c>
      <c r="K60" s="696">
        <f t="shared" si="36"/>
        <v>0</v>
      </c>
      <c r="L60" s="697">
        <f t="shared" si="36"/>
        <v>0</v>
      </c>
      <c r="M60" s="693">
        <f t="shared" si="36"/>
        <v>0</v>
      </c>
      <c r="N60" s="696">
        <f t="shared" si="36"/>
        <v>0</v>
      </c>
      <c r="O60" s="697">
        <f t="shared" si="36"/>
        <v>0</v>
      </c>
      <c r="P60" s="693">
        <f t="shared" si="36"/>
        <v>0</v>
      </c>
      <c r="Q60" s="696">
        <f t="shared" si="36"/>
        <v>0</v>
      </c>
      <c r="R60" s="697">
        <f t="shared" si="36"/>
        <v>0</v>
      </c>
      <c r="S60" s="693">
        <f t="shared" si="36"/>
        <v>0</v>
      </c>
      <c r="T60" s="706">
        <f t="shared" si="36"/>
        <v>0</v>
      </c>
    </row>
    <row r="63" spans="1:20" s="708" customFormat="1" ht="12.75">
      <c r="A63" s="707"/>
      <c r="D63" s="708" t="s">
        <v>528</v>
      </c>
      <c r="E63" s="4186" t="s">
        <v>477</v>
      </c>
      <c r="F63" s="4186"/>
      <c r="G63" s="4186"/>
      <c r="H63" s="4186"/>
      <c r="J63" s="4187"/>
      <c r="K63" s="4188"/>
    </row>
    <row r="64" spans="1:20" s="708" customFormat="1" ht="12.75">
      <c r="A64" s="707"/>
      <c r="E64" s="4192" t="s">
        <v>529</v>
      </c>
      <c r="F64" s="4192"/>
      <c r="G64" s="4192"/>
      <c r="H64" s="4192"/>
      <c r="J64" s="4193" t="s">
        <v>530</v>
      </c>
      <c r="K64" s="4192"/>
    </row>
    <row r="65" spans="1:13" s="708" customFormat="1" ht="12.75">
      <c r="A65" s="707"/>
      <c r="G65" s="710"/>
      <c r="K65" s="710"/>
    </row>
    <row r="66" spans="1:13" s="708" customFormat="1" ht="12.75">
      <c r="A66" s="707"/>
    </row>
    <row r="67" spans="1:13" s="708" customFormat="1" ht="12.75">
      <c r="A67" s="707"/>
      <c r="D67" s="711" t="s">
        <v>531</v>
      </c>
      <c r="E67" s="4186" t="s">
        <v>486</v>
      </c>
      <c r="F67" s="4186"/>
      <c r="G67" s="709"/>
      <c r="H67" s="4186" t="s">
        <v>484</v>
      </c>
      <c r="I67" s="4186"/>
      <c r="J67" s="4186"/>
      <c r="K67" s="709"/>
      <c r="L67" s="712"/>
      <c r="M67" s="712"/>
    </row>
    <row r="68" spans="1:13" s="708" customFormat="1" ht="12.75">
      <c r="A68" s="707"/>
      <c r="D68" s="711" t="s">
        <v>532</v>
      </c>
      <c r="E68" s="4190" t="s">
        <v>533</v>
      </c>
      <c r="F68" s="4190"/>
      <c r="G68" s="710"/>
      <c r="H68" s="4190" t="s">
        <v>529</v>
      </c>
      <c r="I68" s="4190"/>
      <c r="J68" s="4190"/>
      <c r="K68" s="710"/>
      <c r="L68" s="4190" t="s">
        <v>530</v>
      </c>
      <c r="M68" s="4190"/>
    </row>
    <row r="69" spans="1:13" s="708" customFormat="1" ht="12.75">
      <c r="A69" s="707"/>
      <c r="D69" s="711" t="s">
        <v>534</v>
      </c>
    </row>
    <row r="70" spans="1:13" s="708" customFormat="1" ht="12.75">
      <c r="A70" s="707"/>
      <c r="E70" s="4186" t="s">
        <v>487</v>
      </c>
      <c r="F70" s="4186"/>
      <c r="G70" s="4186"/>
      <c r="I70" s="713" t="s">
        <v>535</v>
      </c>
      <c r="J70" s="711"/>
    </row>
    <row r="71" spans="1:13" s="708" customFormat="1" ht="12.75">
      <c r="A71" s="707"/>
      <c r="E71" s="4191" t="s">
        <v>536</v>
      </c>
      <c r="F71" s="4191"/>
      <c r="G71" s="4191"/>
      <c r="I71" s="714" t="s">
        <v>537</v>
      </c>
      <c r="J71" s="714"/>
    </row>
  </sheetData>
  <mergeCells count="23">
    <mergeCell ref="L68:M68"/>
    <mergeCell ref="E70:G70"/>
    <mergeCell ref="E64:H64"/>
    <mergeCell ref="J64:K64"/>
    <mergeCell ref="E71:G71"/>
    <mergeCell ref="E67:F67"/>
    <mergeCell ref="H67:J67"/>
    <mergeCell ref="E68:F68"/>
    <mergeCell ref="H68:J68"/>
    <mergeCell ref="O12:Q12"/>
    <mergeCell ref="R12:T12"/>
    <mergeCell ref="E63:H63"/>
    <mergeCell ref="J63:K63"/>
    <mergeCell ref="D11:K11"/>
    <mergeCell ref="D12:D13"/>
    <mergeCell ref="E12:E13"/>
    <mergeCell ref="F12:F13"/>
    <mergeCell ref="G12:G13"/>
    <mergeCell ref="H12:H13"/>
    <mergeCell ref="I12:I13"/>
    <mergeCell ref="J12:J13"/>
    <mergeCell ref="K12:K13"/>
    <mergeCell ref="L12:N12"/>
  </mergeCells>
  <dataValidations count="1">
    <dataValidation type="decimal" allowBlank="1" showErrorMessage="1" errorTitle="Ошибка" error="Допускается ввод только действительных чисел!" sqref="F15:T57 F59:T60">
      <formula1>-9.99999999999999E+23</formula1>
      <formula2>9.99999999999999E+23</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DM61"/>
  <sheetViews>
    <sheetView topLeftCell="BD13" zoomScale="85" zoomScaleNormal="85" workbookViewId="0">
      <selection activeCell="CA26" sqref="CA26"/>
    </sheetView>
  </sheetViews>
  <sheetFormatPr defaultColWidth="8.28515625" defaultRowHeight="11.25"/>
  <cols>
    <col min="1" max="1" width="8.28515625" style="741" hidden="1" customWidth="1"/>
    <col min="2" max="2" width="8.28515625" style="742" hidden="1" customWidth="1"/>
    <col min="3" max="3" width="3.7109375" style="742" customWidth="1"/>
    <col min="4" max="4" width="37" style="742" customWidth="1"/>
    <col min="5" max="5" width="6.28515625" style="742" customWidth="1"/>
    <col min="6" max="6" width="11" style="742" customWidth="1"/>
    <col min="7" max="8" width="9.7109375" style="742" customWidth="1"/>
    <col min="9" max="9" width="11.28515625" style="742" customWidth="1"/>
    <col min="10" max="12" width="9.7109375" style="742" customWidth="1"/>
    <col min="13" max="13" width="11.5703125" style="742" customWidth="1"/>
    <col min="14" max="15" width="9.7109375" style="742" customWidth="1"/>
    <col min="16" max="16" width="10.5703125" style="742" customWidth="1"/>
    <col min="17" max="17" width="11.7109375" style="742" customWidth="1"/>
    <col min="18" max="33" width="9.7109375" style="742" customWidth="1"/>
    <col min="34" max="34" width="10.42578125" style="742" customWidth="1"/>
    <col min="35" max="40" width="9.7109375" style="742" customWidth="1"/>
    <col min="41" max="41" width="10.42578125" style="742" customWidth="1"/>
    <col min="42" max="43" width="9.7109375" style="742" customWidth="1"/>
    <col min="44" max="44" width="10.5703125" style="742" customWidth="1"/>
    <col min="45" max="117" width="9.7109375" style="742" customWidth="1"/>
    <col min="118" max="16384" width="8.28515625" style="742"/>
  </cols>
  <sheetData>
    <row r="1" spans="1:117" hidden="1"/>
    <row r="2" spans="1:117" hidden="1"/>
    <row r="3" spans="1:117" hidden="1"/>
    <row r="4" spans="1:117" hidden="1">
      <c r="A4" s="743"/>
      <c r="F4" s="744"/>
      <c r="G4" s="744"/>
      <c r="H4" s="744"/>
      <c r="I4" s="744"/>
      <c r="J4" s="744"/>
      <c r="K4" s="744"/>
      <c r="L4" s="744"/>
      <c r="M4" s="744"/>
      <c r="N4" s="744"/>
      <c r="O4" s="744"/>
      <c r="P4" s="744"/>
      <c r="Q4" s="744"/>
      <c r="R4" s="744"/>
      <c r="S4" s="744"/>
      <c r="T4" s="744"/>
      <c r="U4" s="744"/>
      <c r="V4" s="744"/>
      <c r="W4" s="744"/>
      <c r="X4" s="744"/>
      <c r="Y4" s="744"/>
      <c r="Z4" s="744"/>
      <c r="AA4" s="744"/>
      <c r="AB4" s="744"/>
      <c r="AC4" s="744"/>
      <c r="AD4" s="744"/>
      <c r="AE4" s="744"/>
      <c r="AF4" s="744"/>
      <c r="AG4" s="744"/>
      <c r="AH4" s="744"/>
      <c r="AI4" s="744"/>
      <c r="AJ4" s="744"/>
      <c r="AK4" s="744"/>
      <c r="AL4" s="744"/>
      <c r="AM4" s="744"/>
      <c r="AN4" s="744"/>
      <c r="AO4" s="744"/>
      <c r="AP4" s="744"/>
      <c r="AQ4" s="744"/>
      <c r="AR4" s="744"/>
      <c r="AS4" s="744"/>
      <c r="AT4" s="744"/>
      <c r="AU4" s="744"/>
      <c r="AV4" s="744"/>
      <c r="AW4" s="744"/>
      <c r="AX4" s="744"/>
      <c r="AY4" s="744"/>
      <c r="AZ4" s="744"/>
      <c r="BA4" s="744"/>
      <c r="BB4" s="744"/>
      <c r="BC4" s="744"/>
      <c r="BD4" s="744"/>
      <c r="BE4" s="744"/>
      <c r="BF4" s="744"/>
      <c r="BG4" s="744"/>
      <c r="BH4" s="744"/>
      <c r="BI4" s="744"/>
      <c r="BJ4" s="744"/>
      <c r="BK4" s="744"/>
      <c r="BL4" s="744"/>
      <c r="BM4" s="744"/>
      <c r="BN4" s="744"/>
      <c r="BO4" s="744"/>
      <c r="BP4" s="744"/>
      <c r="BQ4" s="744"/>
      <c r="BR4" s="744"/>
      <c r="BS4" s="744"/>
      <c r="BT4" s="744"/>
      <c r="BU4" s="744"/>
      <c r="BV4" s="744"/>
      <c r="BW4" s="744"/>
      <c r="BX4" s="744"/>
      <c r="BY4" s="744"/>
      <c r="BZ4" s="744"/>
      <c r="CA4" s="744"/>
      <c r="CB4" s="744"/>
      <c r="CC4" s="744"/>
      <c r="CD4" s="744"/>
      <c r="CE4" s="744"/>
      <c r="CF4" s="744"/>
      <c r="CG4" s="744"/>
      <c r="CH4" s="744"/>
      <c r="CI4" s="744"/>
      <c r="CJ4" s="744"/>
      <c r="CK4" s="744"/>
      <c r="CL4" s="744"/>
      <c r="CM4" s="744"/>
      <c r="CN4" s="744"/>
      <c r="CO4" s="744"/>
      <c r="CP4" s="744"/>
      <c r="CQ4" s="744"/>
      <c r="CR4" s="744"/>
      <c r="CS4" s="744"/>
      <c r="CT4" s="744"/>
      <c r="CU4" s="744"/>
      <c r="CV4" s="744"/>
      <c r="CW4" s="744"/>
      <c r="CX4" s="744"/>
      <c r="CY4" s="744"/>
      <c r="CZ4" s="744"/>
      <c r="DA4" s="744"/>
      <c r="DB4" s="744"/>
      <c r="DC4" s="744"/>
      <c r="DD4" s="744"/>
      <c r="DE4" s="744"/>
      <c r="DF4" s="744"/>
      <c r="DG4" s="744"/>
      <c r="DH4" s="744"/>
      <c r="DI4" s="744"/>
      <c r="DJ4" s="744"/>
      <c r="DK4" s="744"/>
      <c r="DL4" s="744"/>
      <c r="DM4" s="744"/>
    </row>
    <row r="5" spans="1:117" hidden="1">
      <c r="A5" s="745"/>
      <c r="F5" s="741"/>
      <c r="G5" s="741"/>
      <c r="H5" s="741"/>
      <c r="I5" s="741"/>
      <c r="J5" s="741"/>
      <c r="K5" s="741"/>
      <c r="L5" s="741"/>
      <c r="M5" s="741"/>
      <c r="N5" s="741"/>
      <c r="O5" s="741"/>
      <c r="P5" s="741"/>
      <c r="Q5" s="741"/>
      <c r="R5" s="741"/>
      <c r="S5" s="741"/>
      <c r="T5" s="741"/>
      <c r="U5" s="741"/>
      <c r="V5" s="741"/>
      <c r="W5" s="741"/>
      <c r="X5" s="741"/>
      <c r="Y5" s="741"/>
      <c r="Z5" s="741"/>
      <c r="AA5" s="741"/>
      <c r="AB5" s="741"/>
      <c r="AC5" s="741"/>
      <c r="AD5" s="741"/>
      <c r="AE5" s="741"/>
      <c r="AF5" s="741"/>
      <c r="AG5" s="741"/>
      <c r="AH5" s="741"/>
      <c r="AI5" s="741"/>
      <c r="AJ5" s="741"/>
      <c r="AK5" s="741"/>
      <c r="AL5" s="741"/>
      <c r="AM5" s="741"/>
      <c r="AN5" s="741"/>
      <c r="AO5" s="741"/>
      <c r="AP5" s="741"/>
      <c r="AQ5" s="741"/>
      <c r="AR5" s="741"/>
      <c r="AS5" s="741"/>
      <c r="AT5" s="741"/>
      <c r="AU5" s="741"/>
      <c r="AV5" s="741"/>
      <c r="AW5" s="741"/>
      <c r="AX5" s="741"/>
      <c r="AY5" s="741"/>
      <c r="AZ5" s="741"/>
      <c r="BA5" s="741"/>
      <c r="BB5" s="741"/>
      <c r="BC5" s="741"/>
      <c r="BD5" s="741"/>
      <c r="BE5" s="741"/>
      <c r="BF5" s="741"/>
      <c r="BG5" s="741"/>
      <c r="BH5" s="741"/>
      <c r="BI5" s="741"/>
      <c r="BJ5" s="741"/>
      <c r="BK5" s="741"/>
      <c r="BL5" s="741"/>
      <c r="BM5" s="741"/>
      <c r="BN5" s="741"/>
      <c r="BO5" s="741"/>
      <c r="BP5" s="741"/>
      <c r="BQ5" s="741"/>
      <c r="BR5" s="741"/>
      <c r="BS5" s="741"/>
      <c r="BT5" s="741"/>
      <c r="BU5" s="741"/>
      <c r="BV5" s="741"/>
      <c r="BW5" s="741"/>
      <c r="BX5" s="741"/>
      <c r="BY5" s="741"/>
      <c r="BZ5" s="741"/>
      <c r="CA5" s="741"/>
      <c r="CB5" s="741"/>
      <c r="CC5" s="741"/>
      <c r="CD5" s="741"/>
      <c r="CE5" s="741"/>
      <c r="CF5" s="741"/>
      <c r="CG5" s="741"/>
      <c r="CH5" s="741"/>
      <c r="CI5" s="741"/>
      <c r="CJ5" s="741"/>
      <c r="CK5" s="741"/>
      <c r="CL5" s="741"/>
      <c r="CM5" s="741"/>
      <c r="CN5" s="741"/>
      <c r="CO5" s="741"/>
      <c r="CP5" s="741"/>
      <c r="CQ5" s="741"/>
      <c r="CR5" s="741"/>
      <c r="CS5" s="741"/>
      <c r="CT5" s="741"/>
      <c r="CU5" s="741"/>
      <c r="CV5" s="741"/>
      <c r="CW5" s="741"/>
      <c r="CX5" s="741"/>
      <c r="CY5" s="741"/>
      <c r="CZ5" s="741"/>
      <c r="DA5" s="741"/>
      <c r="DB5" s="741"/>
      <c r="DC5" s="741"/>
      <c r="DD5" s="741"/>
      <c r="DE5" s="741"/>
      <c r="DF5" s="741"/>
      <c r="DG5" s="741"/>
      <c r="DH5" s="741"/>
      <c r="DI5" s="741"/>
      <c r="DJ5" s="741"/>
      <c r="DK5" s="741"/>
      <c r="DL5" s="741"/>
      <c r="DM5" s="741"/>
    </row>
    <row r="6" spans="1:117" hidden="1">
      <c r="A6" s="745"/>
      <c r="F6" s="741"/>
      <c r="G6" s="741"/>
      <c r="H6" s="741"/>
      <c r="I6" s="741"/>
      <c r="J6" s="741"/>
      <c r="K6" s="741"/>
      <c r="L6" s="741"/>
      <c r="M6" s="741"/>
      <c r="N6" s="741"/>
      <c r="O6" s="741"/>
      <c r="P6" s="741"/>
      <c r="Q6" s="741"/>
      <c r="R6" s="741"/>
      <c r="S6" s="741"/>
      <c r="T6" s="741"/>
      <c r="U6" s="741"/>
      <c r="V6" s="741"/>
      <c r="W6" s="741"/>
      <c r="X6" s="741"/>
      <c r="Y6" s="741"/>
      <c r="Z6" s="741"/>
      <c r="AA6" s="741"/>
      <c r="AB6" s="741"/>
      <c r="AC6" s="741"/>
      <c r="AD6" s="741"/>
      <c r="AE6" s="741"/>
      <c r="AF6" s="741"/>
      <c r="AG6" s="741"/>
      <c r="AH6" s="741"/>
      <c r="AI6" s="741"/>
      <c r="AJ6" s="741"/>
      <c r="AK6" s="741"/>
      <c r="AL6" s="741"/>
      <c r="AM6" s="741"/>
      <c r="AN6" s="741"/>
      <c r="AO6" s="741"/>
      <c r="AP6" s="741"/>
      <c r="AQ6" s="741"/>
      <c r="AR6" s="741"/>
      <c r="AS6" s="741"/>
      <c r="AT6" s="741"/>
      <c r="AU6" s="741"/>
      <c r="AV6" s="741"/>
      <c r="AW6" s="741"/>
      <c r="AX6" s="741"/>
      <c r="AY6" s="741"/>
      <c r="AZ6" s="741"/>
      <c r="BA6" s="741"/>
      <c r="BB6" s="741"/>
      <c r="BC6" s="741"/>
      <c r="BD6" s="741"/>
      <c r="BE6" s="741"/>
      <c r="BF6" s="741"/>
      <c r="BG6" s="741"/>
      <c r="BH6" s="741"/>
      <c r="BI6" s="741"/>
      <c r="BJ6" s="741"/>
      <c r="BK6" s="741"/>
      <c r="BL6" s="741"/>
      <c r="BM6" s="741"/>
      <c r="BN6" s="741"/>
      <c r="BO6" s="741"/>
      <c r="BP6" s="741"/>
      <c r="BQ6" s="741"/>
      <c r="BR6" s="741"/>
      <c r="BS6" s="741"/>
      <c r="BT6" s="741"/>
      <c r="BU6" s="741"/>
      <c r="BV6" s="741"/>
      <c r="BW6" s="741"/>
      <c r="BX6" s="741"/>
      <c r="BY6" s="741"/>
      <c r="BZ6" s="741"/>
      <c r="CA6" s="741"/>
      <c r="CB6" s="741"/>
      <c r="CC6" s="741"/>
      <c r="CD6" s="741"/>
      <c r="CE6" s="741"/>
      <c r="CF6" s="741"/>
      <c r="CG6" s="741"/>
      <c r="CH6" s="741"/>
      <c r="CI6" s="741"/>
      <c r="CJ6" s="741"/>
      <c r="CK6" s="741"/>
      <c r="CL6" s="741"/>
      <c r="CM6" s="741"/>
      <c r="CN6" s="741"/>
      <c r="CO6" s="741"/>
      <c r="CP6" s="741"/>
      <c r="CQ6" s="741"/>
      <c r="CR6" s="741"/>
      <c r="CS6" s="741"/>
      <c r="CT6" s="741"/>
      <c r="CU6" s="741"/>
      <c r="CV6" s="741"/>
      <c r="CW6" s="741"/>
      <c r="CX6" s="741"/>
      <c r="CY6" s="741"/>
      <c r="CZ6" s="741"/>
      <c r="DA6" s="741"/>
      <c r="DB6" s="741"/>
      <c r="DC6" s="741"/>
      <c r="DD6" s="741"/>
      <c r="DE6" s="741"/>
      <c r="DF6" s="741"/>
      <c r="DG6" s="741"/>
      <c r="DH6" s="741"/>
      <c r="DI6" s="741"/>
      <c r="DJ6" s="741"/>
      <c r="DK6" s="741"/>
      <c r="DL6" s="741"/>
      <c r="DM6" s="741"/>
    </row>
    <row r="7" spans="1:117">
      <c r="A7" s="745"/>
      <c r="D7" s="746"/>
      <c r="E7" s="746"/>
      <c r="F7" s="747"/>
      <c r="G7" s="747"/>
      <c r="H7" s="747"/>
      <c r="I7" s="747"/>
      <c r="J7" s="747"/>
      <c r="K7" s="747"/>
      <c r="L7" s="747"/>
      <c r="M7" s="741"/>
      <c r="N7" s="741"/>
      <c r="O7" s="747"/>
      <c r="P7" s="747"/>
      <c r="Q7" s="747"/>
      <c r="R7" s="747"/>
      <c r="S7" s="747"/>
      <c r="T7" s="741"/>
      <c r="U7" s="741"/>
      <c r="V7" s="747"/>
      <c r="W7" s="747"/>
      <c r="X7" s="747"/>
      <c r="Y7" s="747"/>
      <c r="Z7" s="747"/>
      <c r="AA7" s="741"/>
      <c r="AB7" s="741"/>
      <c r="AC7" s="747"/>
      <c r="AD7" s="747"/>
      <c r="AE7" s="747"/>
      <c r="AF7" s="747"/>
      <c r="AG7" s="747"/>
      <c r="AH7" s="741"/>
      <c r="AI7" s="741"/>
      <c r="AJ7" s="747"/>
      <c r="AK7" s="747"/>
      <c r="AL7" s="747"/>
      <c r="AM7" s="747"/>
      <c r="AN7" s="747"/>
      <c r="AO7" s="741"/>
      <c r="AP7" s="741"/>
      <c r="AQ7" s="747"/>
      <c r="AR7" s="747"/>
      <c r="AS7" s="747"/>
      <c r="AT7" s="747"/>
      <c r="AU7" s="747"/>
      <c r="AV7" s="741"/>
      <c r="AW7" s="741"/>
      <c r="AX7" s="747"/>
      <c r="AY7" s="747"/>
      <c r="AZ7" s="747"/>
      <c r="BA7" s="747"/>
      <c r="BB7" s="747"/>
      <c r="BC7" s="741"/>
      <c r="BD7" s="741"/>
      <c r="BE7" s="747"/>
      <c r="BF7" s="747"/>
      <c r="BG7" s="747"/>
      <c r="BH7" s="747"/>
      <c r="BI7" s="747"/>
      <c r="BJ7" s="741"/>
      <c r="BK7" s="741"/>
      <c r="BL7" s="747"/>
      <c r="BM7" s="747"/>
      <c r="BN7" s="747"/>
      <c r="BO7" s="747"/>
      <c r="BP7" s="747"/>
      <c r="BQ7" s="741"/>
      <c r="BR7" s="741"/>
      <c r="BS7" s="747"/>
      <c r="BT7" s="747"/>
      <c r="BU7" s="747"/>
      <c r="BV7" s="747"/>
      <c r="BW7" s="747"/>
      <c r="BX7" s="741"/>
      <c r="BY7" s="741"/>
      <c r="BZ7" s="747"/>
      <c r="CA7" s="747"/>
      <c r="CB7" s="747"/>
      <c r="CC7" s="747"/>
      <c r="CD7" s="747"/>
      <c r="CE7" s="741"/>
      <c r="CF7" s="741"/>
      <c r="CG7" s="747"/>
      <c r="CH7" s="747"/>
      <c r="CI7" s="747"/>
      <c r="CJ7" s="747"/>
      <c r="CK7" s="747"/>
      <c r="CL7" s="741"/>
      <c r="CM7" s="741"/>
      <c r="CN7" s="747"/>
      <c r="CO7" s="747"/>
      <c r="CP7" s="747"/>
      <c r="CQ7" s="747"/>
      <c r="CR7" s="747"/>
      <c r="CS7" s="741"/>
      <c r="CT7" s="741"/>
      <c r="CU7" s="747"/>
      <c r="CV7" s="747"/>
      <c r="CW7" s="747"/>
      <c r="CX7" s="747"/>
      <c r="CY7" s="747"/>
      <c r="CZ7" s="741"/>
      <c r="DA7" s="741"/>
      <c r="DB7" s="747"/>
      <c r="DC7" s="747"/>
      <c r="DD7" s="747"/>
      <c r="DE7" s="747"/>
      <c r="DF7" s="747"/>
      <c r="DG7" s="741"/>
      <c r="DH7" s="741"/>
      <c r="DI7" s="747"/>
      <c r="DJ7" s="747"/>
      <c r="DK7" s="747"/>
      <c r="DL7" s="747"/>
      <c r="DM7" s="747"/>
    </row>
    <row r="8" spans="1:117" ht="12" customHeight="1">
      <c r="A8" s="745"/>
      <c r="D8" s="673" t="s">
        <v>606</v>
      </c>
      <c r="E8" s="748"/>
      <c r="F8" s="748"/>
      <c r="G8" s="748"/>
      <c r="H8" s="748"/>
      <c r="I8" s="748"/>
      <c r="J8" s="748"/>
      <c r="K8" s="748"/>
      <c r="L8" s="748"/>
      <c r="M8" s="749"/>
      <c r="N8" s="749"/>
      <c r="O8" s="749"/>
      <c r="P8" s="749"/>
      <c r="Q8" s="749"/>
      <c r="R8" s="749"/>
      <c r="S8" s="749"/>
    </row>
    <row r="9" spans="1:117" ht="12" customHeight="1">
      <c r="D9" s="677" t="s">
        <v>607</v>
      </c>
      <c r="E9" s="746"/>
      <c r="F9" s="746"/>
      <c r="G9" s="746"/>
      <c r="H9" s="746"/>
      <c r="I9" s="746"/>
      <c r="J9" s="746"/>
      <c r="K9" s="746"/>
      <c r="L9" s="746"/>
    </row>
    <row r="10" spans="1:117" ht="12" customHeight="1">
      <c r="D10" s="680" t="s">
        <v>2</v>
      </c>
      <c r="E10" s="746"/>
      <c r="F10" s="746"/>
      <c r="G10" s="746"/>
      <c r="H10" s="746"/>
      <c r="I10" s="746"/>
      <c r="J10" s="746"/>
      <c r="K10" s="746"/>
      <c r="L10" s="746"/>
    </row>
    <row r="11" spans="1:117">
      <c r="D11" s="4208"/>
      <c r="E11" s="4208"/>
      <c r="F11" s="4208"/>
      <c r="G11" s="4208"/>
      <c r="H11" s="4208"/>
      <c r="I11" s="4208"/>
      <c r="J11" s="4208"/>
      <c r="K11" s="4208"/>
      <c r="L11" s="750"/>
      <c r="M11" s="746"/>
      <c r="N11" s="746"/>
      <c r="O11" s="746"/>
      <c r="P11" s="746"/>
      <c r="Q11" s="746"/>
      <c r="R11" s="746"/>
      <c r="S11" s="746"/>
      <c r="T11" s="746"/>
      <c r="U11" s="746"/>
      <c r="V11" s="746"/>
      <c r="W11" s="746"/>
      <c r="X11" s="746"/>
      <c r="Y11" s="746"/>
      <c r="Z11" s="746"/>
      <c r="AA11" s="746"/>
      <c r="AB11" s="746"/>
      <c r="AC11" s="746"/>
      <c r="AD11" s="746"/>
      <c r="AE11" s="746"/>
      <c r="AF11" s="746"/>
      <c r="AG11" s="746"/>
      <c r="AH11" s="746"/>
      <c r="AI11" s="746"/>
      <c r="AJ11" s="746"/>
      <c r="AK11" s="746"/>
      <c r="AL11" s="746"/>
      <c r="AM11" s="746"/>
      <c r="AN11" s="746"/>
      <c r="AO11" s="746"/>
      <c r="AP11" s="746"/>
      <c r="AQ11" s="746"/>
      <c r="AR11" s="746"/>
      <c r="AS11" s="746"/>
      <c r="AT11" s="746"/>
      <c r="AU11" s="746"/>
      <c r="AV11" s="746"/>
      <c r="AW11" s="746"/>
      <c r="AX11" s="746"/>
      <c r="AY11" s="746"/>
      <c r="AZ11" s="746"/>
      <c r="BA11" s="746"/>
      <c r="BB11" s="746"/>
      <c r="BC11" s="746"/>
      <c r="BD11" s="746"/>
      <c r="BE11" s="746"/>
      <c r="BF11" s="746"/>
      <c r="BG11" s="746"/>
      <c r="BH11" s="746"/>
      <c r="BI11" s="746"/>
      <c r="BJ11" s="746"/>
      <c r="BK11" s="746"/>
      <c r="BL11" s="746"/>
      <c r="BM11" s="746"/>
      <c r="BN11" s="746"/>
      <c r="BO11" s="746"/>
      <c r="BP11" s="746"/>
      <c r="BQ11" s="746"/>
      <c r="BR11" s="746"/>
      <c r="BS11" s="746"/>
      <c r="BT11" s="746"/>
      <c r="BU11" s="746"/>
      <c r="BV11" s="746"/>
      <c r="BW11" s="746"/>
      <c r="BX11" s="746"/>
      <c r="BY11" s="746"/>
      <c r="BZ11" s="746"/>
      <c r="CA11" s="746"/>
      <c r="CB11" s="746"/>
      <c r="CC11" s="746"/>
      <c r="CD11" s="746"/>
      <c r="CE11" s="746"/>
      <c r="CF11" s="746"/>
      <c r="CG11" s="746"/>
      <c r="CH11" s="746"/>
      <c r="CI11" s="746"/>
      <c r="CJ11" s="746"/>
      <c r="CK11" s="751"/>
      <c r="CL11" s="746"/>
      <c r="CM11" s="746"/>
      <c r="CN11" s="746"/>
      <c r="CO11" s="746"/>
      <c r="CP11" s="746"/>
      <c r="CQ11" s="746"/>
      <c r="CR11" s="751"/>
      <c r="CS11" s="746"/>
      <c r="CT11" s="746"/>
      <c r="CU11" s="746"/>
      <c r="CV11" s="746"/>
      <c r="CW11" s="746"/>
      <c r="CX11" s="746"/>
      <c r="CY11" s="751"/>
      <c r="CZ11" s="746"/>
      <c r="DA11" s="746"/>
      <c r="DB11" s="746"/>
      <c r="DC11" s="746"/>
      <c r="DD11" s="746"/>
      <c r="DE11" s="746"/>
      <c r="DF11" s="751"/>
      <c r="DG11" s="746"/>
      <c r="DH11" s="746"/>
      <c r="DI11" s="746"/>
      <c r="DJ11" s="746"/>
      <c r="DK11" s="746"/>
      <c r="DL11" s="746"/>
      <c r="DM11" s="751" t="s">
        <v>496</v>
      </c>
    </row>
    <row r="12" spans="1:117" s="753" customFormat="1" ht="15" customHeight="1">
      <c r="A12" s="752"/>
      <c r="C12" s="754"/>
      <c r="D12" s="4202" t="s">
        <v>497</v>
      </c>
      <c r="E12" s="4202" t="s">
        <v>498</v>
      </c>
      <c r="F12" s="4209" t="s">
        <v>205</v>
      </c>
      <c r="G12" s="4209"/>
      <c r="H12" s="4209"/>
      <c r="I12" s="4209"/>
      <c r="J12" s="4209"/>
      <c r="K12" s="4209"/>
      <c r="L12" s="4209"/>
      <c r="M12" s="4209"/>
      <c r="N12" s="4209"/>
      <c r="O12" s="4209"/>
      <c r="P12" s="4209"/>
      <c r="Q12" s="4209"/>
      <c r="R12" s="4209"/>
      <c r="S12" s="4210"/>
      <c r="T12" s="4211" t="s">
        <v>608</v>
      </c>
      <c r="U12" s="4209"/>
      <c r="V12" s="4209"/>
      <c r="W12" s="4209"/>
      <c r="X12" s="4209"/>
      <c r="Y12" s="4209"/>
      <c r="Z12" s="4209"/>
      <c r="AA12" s="4209"/>
      <c r="AB12" s="4209"/>
      <c r="AC12" s="4209"/>
      <c r="AD12" s="4209"/>
      <c r="AE12" s="4209"/>
      <c r="AF12" s="4209"/>
      <c r="AG12" s="4210"/>
      <c r="AH12" s="4211" t="s">
        <v>609</v>
      </c>
      <c r="AI12" s="4209"/>
      <c r="AJ12" s="4209"/>
      <c r="AK12" s="4209"/>
      <c r="AL12" s="4209"/>
      <c r="AM12" s="4209"/>
      <c r="AN12" s="4209"/>
      <c r="AO12" s="4209"/>
      <c r="AP12" s="4209"/>
      <c r="AQ12" s="4209"/>
      <c r="AR12" s="4209"/>
      <c r="AS12" s="4209"/>
      <c r="AT12" s="4209"/>
      <c r="AU12" s="4210"/>
      <c r="AV12" s="4211" t="s">
        <v>609</v>
      </c>
      <c r="AW12" s="4209"/>
      <c r="AX12" s="4209"/>
      <c r="AY12" s="4209"/>
      <c r="AZ12" s="4209"/>
      <c r="BA12" s="4209"/>
      <c r="BB12" s="4209"/>
      <c r="BC12" s="4209"/>
      <c r="BD12" s="4209"/>
      <c r="BE12" s="4209"/>
      <c r="BF12" s="4209"/>
      <c r="BG12" s="4209"/>
      <c r="BH12" s="4209"/>
      <c r="BI12" s="4210"/>
      <c r="BJ12" s="4213" t="s">
        <v>610</v>
      </c>
      <c r="BK12" s="4214"/>
      <c r="BL12" s="4214"/>
      <c r="BM12" s="4214"/>
      <c r="BN12" s="4214"/>
      <c r="BO12" s="4214"/>
      <c r="BP12" s="4214"/>
      <c r="BQ12" s="4214"/>
      <c r="BR12" s="4214"/>
      <c r="BS12" s="4214"/>
      <c r="BT12" s="4214"/>
      <c r="BU12" s="4214"/>
      <c r="BV12" s="4214"/>
      <c r="BW12" s="4215"/>
      <c r="BX12" s="4213" t="s">
        <v>610</v>
      </c>
      <c r="BY12" s="4214"/>
      <c r="BZ12" s="4214"/>
      <c r="CA12" s="4214"/>
      <c r="CB12" s="4214"/>
      <c r="CC12" s="4214"/>
      <c r="CD12" s="4214"/>
      <c r="CE12" s="4214"/>
      <c r="CF12" s="4214"/>
      <c r="CG12" s="4214"/>
      <c r="CH12" s="4214"/>
      <c r="CI12" s="4214"/>
      <c r="CJ12" s="4214"/>
      <c r="CK12" s="4215"/>
      <c r="CL12" s="4219" t="s">
        <v>610</v>
      </c>
      <c r="CM12" s="4217"/>
      <c r="CN12" s="4217"/>
      <c r="CO12" s="4217"/>
      <c r="CP12" s="4217"/>
      <c r="CQ12" s="4217"/>
      <c r="CR12" s="4217"/>
      <c r="CS12" s="4217"/>
      <c r="CT12" s="4217"/>
      <c r="CU12" s="4217"/>
      <c r="CV12" s="4217"/>
      <c r="CW12" s="4217"/>
      <c r="CX12" s="4217"/>
      <c r="CY12" s="4220"/>
      <c r="CZ12" s="4221" t="s">
        <v>611</v>
      </c>
      <c r="DA12" s="4217"/>
      <c r="DB12" s="4217"/>
      <c r="DC12" s="4217"/>
      <c r="DD12" s="4217"/>
      <c r="DE12" s="4217"/>
      <c r="DF12" s="4220"/>
      <c r="DG12" s="4216" t="s">
        <v>612</v>
      </c>
      <c r="DH12" s="4217"/>
      <c r="DI12" s="4217"/>
      <c r="DJ12" s="4217"/>
      <c r="DK12" s="4217"/>
      <c r="DL12" s="4217"/>
      <c r="DM12" s="4218"/>
    </row>
    <row r="13" spans="1:117" s="753" customFormat="1" ht="30.75" customHeight="1">
      <c r="A13" s="752"/>
      <c r="C13" s="754"/>
      <c r="D13" s="4202"/>
      <c r="E13" s="4202"/>
      <c r="F13" s="4202" t="s">
        <v>613</v>
      </c>
      <c r="G13" s="4202"/>
      <c r="H13" s="4202"/>
      <c r="I13" s="4202"/>
      <c r="J13" s="4202"/>
      <c r="K13" s="4202"/>
      <c r="L13" s="4203"/>
      <c r="M13" s="4204" t="s">
        <v>614</v>
      </c>
      <c r="N13" s="4202"/>
      <c r="O13" s="4202"/>
      <c r="P13" s="4202"/>
      <c r="Q13" s="4202"/>
      <c r="R13" s="4202"/>
      <c r="S13" s="4203"/>
      <c r="T13" s="4205" t="s">
        <v>613</v>
      </c>
      <c r="U13" s="4202"/>
      <c r="V13" s="4202"/>
      <c r="W13" s="4202"/>
      <c r="X13" s="4202"/>
      <c r="Y13" s="4202"/>
      <c r="Z13" s="4203"/>
      <c r="AA13" s="4204" t="s">
        <v>614</v>
      </c>
      <c r="AB13" s="4202"/>
      <c r="AC13" s="4202"/>
      <c r="AD13" s="4202"/>
      <c r="AE13" s="4202"/>
      <c r="AF13" s="4202"/>
      <c r="AG13" s="4203"/>
      <c r="AH13" s="4205" t="s">
        <v>615</v>
      </c>
      <c r="AI13" s="4202"/>
      <c r="AJ13" s="4202"/>
      <c r="AK13" s="4202"/>
      <c r="AL13" s="4202"/>
      <c r="AM13" s="4202"/>
      <c r="AN13" s="4203"/>
      <c r="AO13" s="4204" t="s">
        <v>616</v>
      </c>
      <c r="AP13" s="4202"/>
      <c r="AQ13" s="4202"/>
      <c r="AR13" s="4202"/>
      <c r="AS13" s="4202"/>
      <c r="AT13" s="4202"/>
      <c r="AU13" s="4203"/>
      <c r="AV13" s="4205" t="s">
        <v>617</v>
      </c>
      <c r="AW13" s="4202"/>
      <c r="AX13" s="4202"/>
      <c r="AY13" s="4202"/>
      <c r="AZ13" s="4202"/>
      <c r="BA13" s="4202"/>
      <c r="BB13" s="4203"/>
      <c r="BC13" s="4204" t="s">
        <v>618</v>
      </c>
      <c r="BD13" s="4202"/>
      <c r="BE13" s="4202"/>
      <c r="BF13" s="4202"/>
      <c r="BG13" s="4202"/>
      <c r="BH13" s="4202"/>
      <c r="BI13" s="4203"/>
      <c r="BJ13" s="4205" t="s">
        <v>615</v>
      </c>
      <c r="BK13" s="4202"/>
      <c r="BL13" s="4202"/>
      <c r="BM13" s="4202"/>
      <c r="BN13" s="4202"/>
      <c r="BO13" s="4202"/>
      <c r="BP13" s="4203"/>
      <c r="BQ13" s="4204" t="s">
        <v>616</v>
      </c>
      <c r="BR13" s="4202"/>
      <c r="BS13" s="4202"/>
      <c r="BT13" s="4202"/>
      <c r="BU13" s="4202"/>
      <c r="BV13" s="4202"/>
      <c r="BW13" s="4203"/>
      <c r="BX13" s="4205" t="s">
        <v>617</v>
      </c>
      <c r="BY13" s="4202"/>
      <c r="BZ13" s="4202"/>
      <c r="CA13" s="4202"/>
      <c r="CB13" s="4202"/>
      <c r="CC13" s="4202"/>
      <c r="CD13" s="4203"/>
      <c r="CE13" s="4204" t="s">
        <v>618</v>
      </c>
      <c r="CF13" s="4202"/>
      <c r="CG13" s="4202"/>
      <c r="CH13" s="4202"/>
      <c r="CI13" s="4202"/>
      <c r="CJ13" s="4202"/>
      <c r="CK13" s="4203"/>
      <c r="CL13" s="4205" t="s">
        <v>619</v>
      </c>
      <c r="CM13" s="4202"/>
      <c r="CN13" s="4202"/>
      <c r="CO13" s="4202"/>
      <c r="CP13" s="4202"/>
      <c r="CQ13" s="4202"/>
      <c r="CR13" s="4203"/>
      <c r="CS13" s="4204" t="s">
        <v>620</v>
      </c>
      <c r="CT13" s="4202"/>
      <c r="CU13" s="4202"/>
      <c r="CV13" s="4202"/>
      <c r="CW13" s="4202"/>
      <c r="CX13" s="4202"/>
      <c r="CY13" s="4203"/>
      <c r="CZ13" s="4221"/>
      <c r="DA13" s="4217"/>
      <c r="DB13" s="4217"/>
      <c r="DC13" s="4217"/>
      <c r="DD13" s="4217"/>
      <c r="DE13" s="4217"/>
      <c r="DF13" s="4220"/>
      <c r="DG13" s="4219"/>
      <c r="DH13" s="4217"/>
      <c r="DI13" s="4217"/>
      <c r="DJ13" s="4217"/>
      <c r="DK13" s="4217"/>
      <c r="DL13" s="4217"/>
      <c r="DM13" s="4218"/>
    </row>
    <row r="14" spans="1:117" s="753" customFormat="1" ht="15" customHeight="1">
      <c r="A14" s="752"/>
      <c r="C14" s="754"/>
      <c r="D14" s="4202"/>
      <c r="E14" s="4202"/>
      <c r="F14" s="4202" t="s">
        <v>511</v>
      </c>
      <c r="G14" s="4202" t="s">
        <v>512</v>
      </c>
      <c r="H14" s="4202"/>
      <c r="I14" s="4202"/>
      <c r="J14" s="4202"/>
      <c r="K14" s="4202"/>
      <c r="L14" s="4203"/>
      <c r="M14" s="4204" t="s">
        <v>511</v>
      </c>
      <c r="N14" s="4202" t="s">
        <v>512</v>
      </c>
      <c r="O14" s="4202"/>
      <c r="P14" s="4202"/>
      <c r="Q14" s="4202"/>
      <c r="R14" s="4202"/>
      <c r="S14" s="4203"/>
      <c r="T14" s="4205" t="s">
        <v>511</v>
      </c>
      <c r="U14" s="4202" t="s">
        <v>512</v>
      </c>
      <c r="V14" s="4202"/>
      <c r="W14" s="4202"/>
      <c r="X14" s="4202"/>
      <c r="Y14" s="4202"/>
      <c r="Z14" s="4203"/>
      <c r="AA14" s="4204" t="s">
        <v>511</v>
      </c>
      <c r="AB14" s="4202" t="s">
        <v>512</v>
      </c>
      <c r="AC14" s="4202"/>
      <c r="AD14" s="4202"/>
      <c r="AE14" s="4202"/>
      <c r="AF14" s="4202"/>
      <c r="AG14" s="4203"/>
      <c r="AH14" s="4205" t="s">
        <v>511</v>
      </c>
      <c r="AI14" s="4202" t="s">
        <v>512</v>
      </c>
      <c r="AJ14" s="4202"/>
      <c r="AK14" s="4202"/>
      <c r="AL14" s="4202"/>
      <c r="AM14" s="4202"/>
      <c r="AN14" s="4203"/>
      <c r="AO14" s="4204" t="s">
        <v>511</v>
      </c>
      <c r="AP14" s="4202" t="s">
        <v>512</v>
      </c>
      <c r="AQ14" s="4202"/>
      <c r="AR14" s="4202"/>
      <c r="AS14" s="4202"/>
      <c r="AT14" s="4202"/>
      <c r="AU14" s="4203"/>
      <c r="AV14" s="4205" t="s">
        <v>511</v>
      </c>
      <c r="AW14" s="4202" t="s">
        <v>512</v>
      </c>
      <c r="AX14" s="4202"/>
      <c r="AY14" s="4202"/>
      <c r="AZ14" s="4202"/>
      <c r="BA14" s="4202"/>
      <c r="BB14" s="4203"/>
      <c r="BC14" s="4204" t="s">
        <v>511</v>
      </c>
      <c r="BD14" s="4202" t="s">
        <v>512</v>
      </c>
      <c r="BE14" s="4202"/>
      <c r="BF14" s="4202"/>
      <c r="BG14" s="4202"/>
      <c r="BH14" s="4202"/>
      <c r="BI14" s="4203"/>
      <c r="BJ14" s="4205" t="s">
        <v>511</v>
      </c>
      <c r="BK14" s="4202" t="s">
        <v>512</v>
      </c>
      <c r="BL14" s="4202"/>
      <c r="BM14" s="4202"/>
      <c r="BN14" s="4202"/>
      <c r="BO14" s="4202"/>
      <c r="BP14" s="4203"/>
      <c r="BQ14" s="4204" t="s">
        <v>511</v>
      </c>
      <c r="BR14" s="4202" t="s">
        <v>512</v>
      </c>
      <c r="BS14" s="4202"/>
      <c r="BT14" s="4202"/>
      <c r="BU14" s="4202"/>
      <c r="BV14" s="4202"/>
      <c r="BW14" s="4203"/>
      <c r="BX14" s="4205" t="s">
        <v>511</v>
      </c>
      <c r="BY14" s="4202" t="s">
        <v>512</v>
      </c>
      <c r="BZ14" s="4202"/>
      <c r="CA14" s="4202"/>
      <c r="CB14" s="4202"/>
      <c r="CC14" s="4202"/>
      <c r="CD14" s="4203"/>
      <c r="CE14" s="4204" t="s">
        <v>511</v>
      </c>
      <c r="CF14" s="4202" t="s">
        <v>512</v>
      </c>
      <c r="CG14" s="4202"/>
      <c r="CH14" s="4202"/>
      <c r="CI14" s="4202"/>
      <c r="CJ14" s="4202"/>
      <c r="CK14" s="4203"/>
      <c r="CL14" s="4205" t="s">
        <v>511</v>
      </c>
      <c r="CM14" s="4202" t="s">
        <v>512</v>
      </c>
      <c r="CN14" s="4202"/>
      <c r="CO14" s="4202"/>
      <c r="CP14" s="4202"/>
      <c r="CQ14" s="4202"/>
      <c r="CR14" s="4203"/>
      <c r="CS14" s="4204" t="s">
        <v>511</v>
      </c>
      <c r="CT14" s="4202" t="s">
        <v>512</v>
      </c>
      <c r="CU14" s="4202"/>
      <c r="CV14" s="4202"/>
      <c r="CW14" s="4202"/>
      <c r="CX14" s="4202"/>
      <c r="CY14" s="4203"/>
      <c r="CZ14" s="4205" t="s">
        <v>511</v>
      </c>
      <c r="DA14" s="4202" t="s">
        <v>512</v>
      </c>
      <c r="DB14" s="4202"/>
      <c r="DC14" s="4202"/>
      <c r="DD14" s="4202"/>
      <c r="DE14" s="4202"/>
      <c r="DF14" s="4203"/>
      <c r="DG14" s="4204" t="s">
        <v>511</v>
      </c>
      <c r="DH14" s="4202" t="s">
        <v>512</v>
      </c>
      <c r="DI14" s="4202"/>
      <c r="DJ14" s="4202"/>
      <c r="DK14" s="4202"/>
      <c r="DL14" s="4202"/>
      <c r="DM14" s="4222"/>
    </row>
    <row r="15" spans="1:117" s="753" customFormat="1" ht="15" customHeight="1">
      <c r="A15" s="752"/>
      <c r="C15" s="754"/>
      <c r="D15" s="4202"/>
      <c r="E15" s="4202"/>
      <c r="F15" s="4212"/>
      <c r="G15" s="758" t="s">
        <v>9</v>
      </c>
      <c r="H15" s="758" t="s">
        <v>513</v>
      </c>
      <c r="I15" s="758" t="s">
        <v>279</v>
      </c>
      <c r="J15" s="758" t="s">
        <v>12</v>
      </c>
      <c r="K15" s="758" t="s">
        <v>439</v>
      </c>
      <c r="L15" s="686" t="s">
        <v>514</v>
      </c>
      <c r="M15" s="4207"/>
      <c r="N15" s="758" t="s">
        <v>9</v>
      </c>
      <c r="O15" s="758" t="s">
        <v>513</v>
      </c>
      <c r="P15" s="758" t="s">
        <v>279</v>
      </c>
      <c r="Q15" s="758" t="s">
        <v>12</v>
      </c>
      <c r="R15" s="758" t="s">
        <v>439</v>
      </c>
      <c r="S15" s="759" t="s">
        <v>514</v>
      </c>
      <c r="T15" s="4206"/>
      <c r="U15" s="758" t="s">
        <v>9</v>
      </c>
      <c r="V15" s="758" t="s">
        <v>513</v>
      </c>
      <c r="W15" s="758" t="s">
        <v>279</v>
      </c>
      <c r="X15" s="758" t="s">
        <v>12</v>
      </c>
      <c r="Y15" s="758" t="s">
        <v>439</v>
      </c>
      <c r="Z15" s="759" t="s">
        <v>514</v>
      </c>
      <c r="AA15" s="4207"/>
      <c r="AB15" s="758" t="s">
        <v>9</v>
      </c>
      <c r="AC15" s="758" t="s">
        <v>513</v>
      </c>
      <c r="AD15" s="758" t="s">
        <v>279</v>
      </c>
      <c r="AE15" s="758" t="s">
        <v>12</v>
      </c>
      <c r="AF15" s="758" t="s">
        <v>439</v>
      </c>
      <c r="AG15" s="759" t="s">
        <v>514</v>
      </c>
      <c r="AH15" s="4206"/>
      <c r="AI15" s="758" t="s">
        <v>9</v>
      </c>
      <c r="AJ15" s="758" t="s">
        <v>513</v>
      </c>
      <c r="AK15" s="758" t="s">
        <v>279</v>
      </c>
      <c r="AL15" s="758" t="s">
        <v>12</v>
      </c>
      <c r="AM15" s="758" t="s">
        <v>439</v>
      </c>
      <c r="AN15" s="759" t="s">
        <v>514</v>
      </c>
      <c r="AO15" s="4207"/>
      <c r="AP15" s="758" t="s">
        <v>9</v>
      </c>
      <c r="AQ15" s="758" t="s">
        <v>513</v>
      </c>
      <c r="AR15" s="758" t="s">
        <v>279</v>
      </c>
      <c r="AS15" s="758" t="s">
        <v>12</v>
      </c>
      <c r="AT15" s="758" t="s">
        <v>439</v>
      </c>
      <c r="AU15" s="759" t="s">
        <v>514</v>
      </c>
      <c r="AV15" s="4206"/>
      <c r="AW15" s="758" t="s">
        <v>9</v>
      </c>
      <c r="AX15" s="758" t="s">
        <v>513</v>
      </c>
      <c r="AY15" s="758" t="s">
        <v>279</v>
      </c>
      <c r="AZ15" s="758" t="s">
        <v>12</v>
      </c>
      <c r="BA15" s="758" t="s">
        <v>439</v>
      </c>
      <c r="BB15" s="759" t="s">
        <v>514</v>
      </c>
      <c r="BC15" s="4207"/>
      <c r="BD15" s="758" t="s">
        <v>9</v>
      </c>
      <c r="BE15" s="758" t="s">
        <v>513</v>
      </c>
      <c r="BF15" s="758" t="s">
        <v>279</v>
      </c>
      <c r="BG15" s="758" t="s">
        <v>12</v>
      </c>
      <c r="BH15" s="758" t="s">
        <v>439</v>
      </c>
      <c r="BI15" s="759" t="s">
        <v>514</v>
      </c>
      <c r="BJ15" s="4206"/>
      <c r="BK15" s="758" t="s">
        <v>9</v>
      </c>
      <c r="BL15" s="758" t="s">
        <v>513</v>
      </c>
      <c r="BM15" s="758" t="s">
        <v>279</v>
      </c>
      <c r="BN15" s="758" t="s">
        <v>12</v>
      </c>
      <c r="BO15" s="758" t="s">
        <v>439</v>
      </c>
      <c r="BP15" s="759" t="s">
        <v>514</v>
      </c>
      <c r="BQ15" s="4207"/>
      <c r="BR15" s="758" t="s">
        <v>9</v>
      </c>
      <c r="BS15" s="758" t="s">
        <v>513</v>
      </c>
      <c r="BT15" s="758" t="s">
        <v>279</v>
      </c>
      <c r="BU15" s="758" t="s">
        <v>12</v>
      </c>
      <c r="BV15" s="758" t="s">
        <v>439</v>
      </c>
      <c r="BW15" s="759" t="s">
        <v>514</v>
      </c>
      <c r="BX15" s="4206"/>
      <c r="BY15" s="758" t="s">
        <v>9</v>
      </c>
      <c r="BZ15" s="758" t="s">
        <v>513</v>
      </c>
      <c r="CA15" s="758" t="s">
        <v>279</v>
      </c>
      <c r="CB15" s="758" t="s">
        <v>12</v>
      </c>
      <c r="CC15" s="758" t="s">
        <v>439</v>
      </c>
      <c r="CD15" s="759" t="s">
        <v>514</v>
      </c>
      <c r="CE15" s="4207"/>
      <c r="CF15" s="758" t="s">
        <v>9</v>
      </c>
      <c r="CG15" s="758" t="s">
        <v>513</v>
      </c>
      <c r="CH15" s="758" t="s">
        <v>279</v>
      </c>
      <c r="CI15" s="758" t="s">
        <v>12</v>
      </c>
      <c r="CJ15" s="758" t="s">
        <v>439</v>
      </c>
      <c r="CK15" s="759" t="s">
        <v>514</v>
      </c>
      <c r="CL15" s="4206"/>
      <c r="CM15" s="758" t="s">
        <v>9</v>
      </c>
      <c r="CN15" s="758" t="s">
        <v>513</v>
      </c>
      <c r="CO15" s="758" t="s">
        <v>279</v>
      </c>
      <c r="CP15" s="758" t="s">
        <v>12</v>
      </c>
      <c r="CQ15" s="758" t="s">
        <v>439</v>
      </c>
      <c r="CR15" s="759" t="s">
        <v>514</v>
      </c>
      <c r="CS15" s="4207"/>
      <c r="CT15" s="758" t="s">
        <v>9</v>
      </c>
      <c r="CU15" s="758" t="s">
        <v>513</v>
      </c>
      <c r="CV15" s="758" t="s">
        <v>279</v>
      </c>
      <c r="CW15" s="758" t="s">
        <v>12</v>
      </c>
      <c r="CX15" s="758" t="s">
        <v>439</v>
      </c>
      <c r="CY15" s="759" t="s">
        <v>514</v>
      </c>
      <c r="CZ15" s="4206"/>
      <c r="DA15" s="758" t="s">
        <v>9</v>
      </c>
      <c r="DB15" s="758" t="s">
        <v>513</v>
      </c>
      <c r="DC15" s="758" t="s">
        <v>279</v>
      </c>
      <c r="DD15" s="758" t="s">
        <v>12</v>
      </c>
      <c r="DE15" s="758" t="s">
        <v>439</v>
      </c>
      <c r="DF15" s="759" t="s">
        <v>514</v>
      </c>
      <c r="DG15" s="4204"/>
      <c r="DH15" s="755" t="s">
        <v>9</v>
      </c>
      <c r="DI15" s="755" t="s">
        <v>513</v>
      </c>
      <c r="DJ15" s="755" t="s">
        <v>279</v>
      </c>
      <c r="DK15" s="755" t="s">
        <v>12</v>
      </c>
      <c r="DL15" s="755" t="s">
        <v>439</v>
      </c>
      <c r="DM15" s="757" t="s">
        <v>514</v>
      </c>
    </row>
    <row r="16" spans="1:117" ht="12" customHeight="1">
      <c r="D16" s="760">
        <v>1</v>
      </c>
      <c r="E16" s="760">
        <v>2</v>
      </c>
      <c r="F16" s="760">
        <v>3</v>
      </c>
      <c r="G16" s="760">
        <v>4</v>
      </c>
      <c r="H16" s="760">
        <v>5</v>
      </c>
      <c r="I16" s="760">
        <v>6</v>
      </c>
      <c r="J16" s="760">
        <v>7</v>
      </c>
      <c r="K16" s="760">
        <v>8</v>
      </c>
      <c r="L16" s="760">
        <v>9</v>
      </c>
      <c r="M16" s="760">
        <v>10</v>
      </c>
      <c r="N16" s="760">
        <v>11</v>
      </c>
      <c r="O16" s="760">
        <v>12</v>
      </c>
      <c r="P16" s="760">
        <v>13</v>
      </c>
      <c r="Q16" s="760">
        <v>14</v>
      </c>
      <c r="R16" s="760">
        <v>15</v>
      </c>
      <c r="S16" s="760">
        <v>16</v>
      </c>
      <c r="T16" s="760">
        <v>17</v>
      </c>
      <c r="U16" s="760">
        <v>18</v>
      </c>
      <c r="V16" s="760">
        <v>19</v>
      </c>
      <c r="W16" s="760">
        <v>20</v>
      </c>
      <c r="X16" s="760">
        <v>21</v>
      </c>
      <c r="Y16" s="760">
        <v>22</v>
      </c>
      <c r="Z16" s="760">
        <v>23</v>
      </c>
      <c r="AA16" s="760">
        <v>24</v>
      </c>
      <c r="AB16" s="760">
        <v>25</v>
      </c>
      <c r="AC16" s="760">
        <v>26</v>
      </c>
      <c r="AD16" s="760">
        <v>27</v>
      </c>
      <c r="AE16" s="760">
        <v>28</v>
      </c>
      <c r="AF16" s="760">
        <v>29</v>
      </c>
      <c r="AG16" s="760">
        <v>30</v>
      </c>
      <c r="AH16" s="760">
        <v>31</v>
      </c>
      <c r="AI16" s="760">
        <v>32</v>
      </c>
      <c r="AJ16" s="760">
        <v>33</v>
      </c>
      <c r="AK16" s="760">
        <v>34</v>
      </c>
      <c r="AL16" s="760">
        <v>35</v>
      </c>
      <c r="AM16" s="760">
        <v>36</v>
      </c>
      <c r="AN16" s="760">
        <v>37</v>
      </c>
      <c r="AO16" s="760">
        <v>38</v>
      </c>
      <c r="AP16" s="760">
        <v>39</v>
      </c>
      <c r="AQ16" s="760">
        <v>40</v>
      </c>
      <c r="AR16" s="760">
        <v>41</v>
      </c>
      <c r="AS16" s="760">
        <v>42</v>
      </c>
      <c r="AT16" s="760">
        <v>43</v>
      </c>
      <c r="AU16" s="760">
        <v>44</v>
      </c>
      <c r="AV16" s="760">
        <v>45</v>
      </c>
      <c r="AW16" s="760">
        <v>46</v>
      </c>
      <c r="AX16" s="760">
        <v>47</v>
      </c>
      <c r="AY16" s="760">
        <v>48</v>
      </c>
      <c r="AZ16" s="760">
        <v>49</v>
      </c>
      <c r="BA16" s="760">
        <v>50</v>
      </c>
      <c r="BB16" s="760">
        <v>51</v>
      </c>
      <c r="BC16" s="760">
        <v>52</v>
      </c>
      <c r="BD16" s="760">
        <v>53</v>
      </c>
      <c r="BE16" s="760">
        <v>54</v>
      </c>
      <c r="BF16" s="760">
        <v>55</v>
      </c>
      <c r="BG16" s="760">
        <v>56</v>
      </c>
      <c r="BH16" s="760">
        <v>57</v>
      </c>
      <c r="BI16" s="760">
        <v>58</v>
      </c>
      <c r="BJ16" s="760">
        <v>59</v>
      </c>
      <c r="BK16" s="760">
        <v>60</v>
      </c>
      <c r="BL16" s="760">
        <v>61</v>
      </c>
      <c r="BM16" s="760">
        <v>62</v>
      </c>
      <c r="BN16" s="760">
        <v>63</v>
      </c>
      <c r="BO16" s="760">
        <v>64</v>
      </c>
      <c r="BP16" s="760">
        <v>65</v>
      </c>
      <c r="BQ16" s="760">
        <v>66</v>
      </c>
      <c r="BR16" s="760">
        <v>67</v>
      </c>
      <c r="BS16" s="760">
        <v>68</v>
      </c>
      <c r="BT16" s="760">
        <v>69</v>
      </c>
      <c r="BU16" s="760">
        <v>70</v>
      </c>
      <c r="BV16" s="760">
        <v>71</v>
      </c>
      <c r="BW16" s="760">
        <v>72</v>
      </c>
      <c r="BX16" s="760">
        <v>73</v>
      </c>
      <c r="BY16" s="760">
        <v>74</v>
      </c>
      <c r="BZ16" s="760">
        <v>75</v>
      </c>
      <c r="CA16" s="760">
        <v>76</v>
      </c>
      <c r="CB16" s="760">
        <v>77</v>
      </c>
      <c r="CC16" s="760">
        <v>78</v>
      </c>
      <c r="CD16" s="760">
        <v>79</v>
      </c>
      <c r="CE16" s="760">
        <v>80</v>
      </c>
      <c r="CF16" s="760">
        <v>81</v>
      </c>
      <c r="CG16" s="760">
        <v>82</v>
      </c>
      <c r="CH16" s="760">
        <v>83</v>
      </c>
      <c r="CI16" s="760">
        <v>84</v>
      </c>
      <c r="CJ16" s="760">
        <v>85</v>
      </c>
      <c r="CK16" s="760">
        <v>86</v>
      </c>
      <c r="CL16" s="760">
        <v>87</v>
      </c>
      <c r="CM16" s="760">
        <v>88</v>
      </c>
      <c r="CN16" s="760">
        <v>89</v>
      </c>
      <c r="CO16" s="760">
        <v>90</v>
      </c>
      <c r="CP16" s="760">
        <v>91</v>
      </c>
      <c r="CQ16" s="760">
        <v>92</v>
      </c>
      <c r="CR16" s="760">
        <v>93</v>
      </c>
      <c r="CS16" s="760">
        <v>94</v>
      </c>
      <c r="CT16" s="760">
        <v>95</v>
      </c>
      <c r="CU16" s="760">
        <v>96</v>
      </c>
      <c r="CV16" s="760">
        <v>97</v>
      </c>
      <c r="CW16" s="760">
        <v>98</v>
      </c>
      <c r="CX16" s="760">
        <v>99</v>
      </c>
      <c r="CY16" s="760">
        <v>100</v>
      </c>
      <c r="CZ16" s="760">
        <v>101</v>
      </c>
      <c r="DA16" s="760">
        <v>102</v>
      </c>
      <c r="DB16" s="760">
        <v>103</v>
      </c>
      <c r="DC16" s="760">
        <v>104</v>
      </c>
      <c r="DD16" s="760">
        <v>105</v>
      </c>
      <c r="DE16" s="760">
        <v>106</v>
      </c>
      <c r="DF16" s="760">
        <v>107</v>
      </c>
      <c r="DG16" s="760">
        <v>108</v>
      </c>
      <c r="DH16" s="760">
        <v>109</v>
      </c>
      <c r="DI16" s="760">
        <v>110</v>
      </c>
      <c r="DJ16" s="760">
        <v>111</v>
      </c>
      <c r="DK16" s="760">
        <v>112</v>
      </c>
      <c r="DL16" s="760">
        <v>113</v>
      </c>
      <c r="DM16" s="760">
        <v>114</v>
      </c>
    </row>
    <row r="17" spans="2:117" ht="33.75">
      <c r="B17" s="741"/>
      <c r="C17" s="747"/>
      <c r="D17" s="761" t="s">
        <v>515</v>
      </c>
      <c r="E17" s="756">
        <v>100</v>
      </c>
      <c r="F17" s="689">
        <f>SUM(F18:F24)</f>
        <v>0</v>
      </c>
      <c r="G17" s="689">
        <f t="shared" ref="G17:BR17" si="0">SUM(G18:G24)</f>
        <v>0</v>
      </c>
      <c r="H17" s="689">
        <f t="shared" si="0"/>
        <v>0</v>
      </c>
      <c r="I17" s="689">
        <f t="shared" si="0"/>
        <v>0</v>
      </c>
      <c r="J17" s="689">
        <f t="shared" si="0"/>
        <v>0</v>
      </c>
      <c r="K17" s="689">
        <f t="shared" si="0"/>
        <v>0</v>
      </c>
      <c r="L17" s="690">
        <f t="shared" si="0"/>
        <v>0</v>
      </c>
      <c r="M17" s="689">
        <f t="shared" si="0"/>
        <v>0</v>
      </c>
      <c r="N17" s="689">
        <f t="shared" si="0"/>
        <v>0</v>
      </c>
      <c r="O17" s="689">
        <f t="shared" si="0"/>
        <v>0</v>
      </c>
      <c r="P17" s="689">
        <f t="shared" si="0"/>
        <v>0</v>
      </c>
      <c r="Q17" s="689">
        <f t="shared" si="0"/>
        <v>0</v>
      </c>
      <c r="R17" s="689">
        <f t="shared" si="0"/>
        <v>0</v>
      </c>
      <c r="S17" s="690">
        <f t="shared" si="0"/>
        <v>0</v>
      </c>
      <c r="T17" s="689">
        <f t="shared" si="0"/>
        <v>0</v>
      </c>
      <c r="U17" s="689">
        <f t="shared" si="0"/>
        <v>0</v>
      </c>
      <c r="V17" s="689">
        <f t="shared" si="0"/>
        <v>0</v>
      </c>
      <c r="W17" s="689">
        <f t="shared" si="0"/>
        <v>0</v>
      </c>
      <c r="X17" s="689">
        <f t="shared" si="0"/>
        <v>0</v>
      </c>
      <c r="Y17" s="689">
        <f t="shared" si="0"/>
        <v>0</v>
      </c>
      <c r="Z17" s="690">
        <f t="shared" si="0"/>
        <v>0</v>
      </c>
      <c r="AA17" s="689">
        <f t="shared" si="0"/>
        <v>0</v>
      </c>
      <c r="AB17" s="689">
        <f t="shared" si="0"/>
        <v>0</v>
      </c>
      <c r="AC17" s="689">
        <f t="shared" si="0"/>
        <v>0</v>
      </c>
      <c r="AD17" s="689">
        <f t="shared" si="0"/>
        <v>0</v>
      </c>
      <c r="AE17" s="689">
        <f t="shared" si="0"/>
        <v>0</v>
      </c>
      <c r="AF17" s="689">
        <f t="shared" si="0"/>
        <v>0</v>
      </c>
      <c r="AG17" s="690">
        <f t="shared" si="0"/>
        <v>0</v>
      </c>
      <c r="AH17" s="689">
        <f t="shared" si="0"/>
        <v>0</v>
      </c>
      <c r="AI17" s="689">
        <f t="shared" si="0"/>
        <v>0</v>
      </c>
      <c r="AJ17" s="689">
        <f t="shared" si="0"/>
        <v>0</v>
      </c>
      <c r="AK17" s="689">
        <f t="shared" si="0"/>
        <v>0</v>
      </c>
      <c r="AL17" s="689">
        <f t="shared" si="0"/>
        <v>0</v>
      </c>
      <c r="AM17" s="689">
        <f t="shared" si="0"/>
        <v>0</v>
      </c>
      <c r="AN17" s="690">
        <f t="shared" si="0"/>
        <v>0</v>
      </c>
      <c r="AO17" s="689">
        <f t="shared" si="0"/>
        <v>0</v>
      </c>
      <c r="AP17" s="689">
        <f t="shared" si="0"/>
        <v>0</v>
      </c>
      <c r="AQ17" s="689">
        <f t="shared" si="0"/>
        <v>0</v>
      </c>
      <c r="AR17" s="689">
        <f t="shared" si="0"/>
        <v>0</v>
      </c>
      <c r="AS17" s="689">
        <f t="shared" si="0"/>
        <v>0</v>
      </c>
      <c r="AT17" s="689">
        <f t="shared" si="0"/>
        <v>0</v>
      </c>
      <c r="AU17" s="690">
        <f t="shared" si="0"/>
        <v>0</v>
      </c>
      <c r="AV17" s="689">
        <f t="shared" si="0"/>
        <v>0</v>
      </c>
      <c r="AW17" s="689">
        <f t="shared" si="0"/>
        <v>0</v>
      </c>
      <c r="AX17" s="689">
        <f t="shared" si="0"/>
        <v>0</v>
      </c>
      <c r="AY17" s="689">
        <f t="shared" si="0"/>
        <v>0</v>
      </c>
      <c r="AZ17" s="689">
        <f t="shared" si="0"/>
        <v>0</v>
      </c>
      <c r="BA17" s="689">
        <f t="shared" si="0"/>
        <v>0</v>
      </c>
      <c r="BB17" s="690">
        <f t="shared" si="0"/>
        <v>0</v>
      </c>
      <c r="BC17" s="689">
        <f t="shared" si="0"/>
        <v>0</v>
      </c>
      <c r="BD17" s="689">
        <f t="shared" si="0"/>
        <v>0</v>
      </c>
      <c r="BE17" s="689">
        <f t="shared" si="0"/>
        <v>0</v>
      </c>
      <c r="BF17" s="689">
        <f t="shared" si="0"/>
        <v>0</v>
      </c>
      <c r="BG17" s="689">
        <f t="shared" si="0"/>
        <v>0</v>
      </c>
      <c r="BH17" s="689">
        <f t="shared" si="0"/>
        <v>0</v>
      </c>
      <c r="BI17" s="690">
        <f t="shared" si="0"/>
        <v>0</v>
      </c>
      <c r="BJ17" s="689">
        <f t="shared" si="0"/>
        <v>0</v>
      </c>
      <c r="BK17" s="689">
        <f t="shared" si="0"/>
        <v>0</v>
      </c>
      <c r="BL17" s="689">
        <f t="shared" si="0"/>
        <v>0</v>
      </c>
      <c r="BM17" s="689">
        <f t="shared" si="0"/>
        <v>0</v>
      </c>
      <c r="BN17" s="689">
        <f t="shared" si="0"/>
        <v>0</v>
      </c>
      <c r="BO17" s="689">
        <f t="shared" si="0"/>
        <v>0</v>
      </c>
      <c r="BP17" s="690">
        <f t="shared" si="0"/>
        <v>0</v>
      </c>
      <c r="BQ17" s="689">
        <f t="shared" si="0"/>
        <v>0</v>
      </c>
      <c r="BR17" s="689">
        <f t="shared" si="0"/>
        <v>0</v>
      </c>
      <c r="BS17" s="689">
        <f t="shared" ref="BS17:DM17" si="1">SUM(BS18:BS24)</f>
        <v>0</v>
      </c>
      <c r="BT17" s="689">
        <f t="shared" si="1"/>
        <v>0</v>
      </c>
      <c r="BU17" s="689">
        <f t="shared" si="1"/>
        <v>0</v>
      </c>
      <c r="BV17" s="689">
        <f t="shared" si="1"/>
        <v>0</v>
      </c>
      <c r="BW17" s="690">
        <f t="shared" si="1"/>
        <v>0</v>
      </c>
      <c r="BX17" s="689">
        <f t="shared" si="1"/>
        <v>0</v>
      </c>
      <c r="BY17" s="689">
        <f t="shared" si="1"/>
        <v>0</v>
      </c>
      <c r="BZ17" s="689">
        <f t="shared" si="1"/>
        <v>0</v>
      </c>
      <c r="CA17" s="689">
        <f t="shared" si="1"/>
        <v>0</v>
      </c>
      <c r="CB17" s="689">
        <f t="shared" si="1"/>
        <v>0</v>
      </c>
      <c r="CC17" s="689">
        <f t="shared" si="1"/>
        <v>0</v>
      </c>
      <c r="CD17" s="690">
        <f t="shared" si="1"/>
        <v>0</v>
      </c>
      <c r="CE17" s="689">
        <f t="shared" si="1"/>
        <v>0</v>
      </c>
      <c r="CF17" s="689">
        <f t="shared" si="1"/>
        <v>0</v>
      </c>
      <c r="CG17" s="689">
        <f t="shared" si="1"/>
        <v>0</v>
      </c>
      <c r="CH17" s="689">
        <f t="shared" si="1"/>
        <v>0</v>
      </c>
      <c r="CI17" s="689">
        <f t="shared" si="1"/>
        <v>0</v>
      </c>
      <c r="CJ17" s="689">
        <f t="shared" si="1"/>
        <v>0</v>
      </c>
      <c r="CK17" s="690">
        <f t="shared" si="1"/>
        <v>0</v>
      </c>
      <c r="CL17" s="689">
        <f t="shared" si="1"/>
        <v>0</v>
      </c>
      <c r="CM17" s="689">
        <f t="shared" si="1"/>
        <v>0</v>
      </c>
      <c r="CN17" s="689">
        <f t="shared" si="1"/>
        <v>0</v>
      </c>
      <c r="CO17" s="689">
        <f t="shared" si="1"/>
        <v>0</v>
      </c>
      <c r="CP17" s="689">
        <f t="shared" si="1"/>
        <v>0</v>
      </c>
      <c r="CQ17" s="689">
        <f t="shared" si="1"/>
        <v>0</v>
      </c>
      <c r="CR17" s="690">
        <f t="shared" si="1"/>
        <v>0</v>
      </c>
      <c r="CS17" s="689">
        <f t="shared" si="1"/>
        <v>0</v>
      </c>
      <c r="CT17" s="689">
        <f t="shared" si="1"/>
        <v>0</v>
      </c>
      <c r="CU17" s="689">
        <f t="shared" si="1"/>
        <v>0</v>
      </c>
      <c r="CV17" s="689">
        <f t="shared" si="1"/>
        <v>0</v>
      </c>
      <c r="CW17" s="689">
        <f t="shared" si="1"/>
        <v>0</v>
      </c>
      <c r="CX17" s="689">
        <f t="shared" si="1"/>
        <v>0</v>
      </c>
      <c r="CY17" s="690">
        <f t="shared" si="1"/>
        <v>0</v>
      </c>
      <c r="CZ17" s="689">
        <f t="shared" si="1"/>
        <v>0</v>
      </c>
      <c r="DA17" s="689">
        <f t="shared" si="1"/>
        <v>0</v>
      </c>
      <c r="DB17" s="689">
        <f t="shared" si="1"/>
        <v>0</v>
      </c>
      <c r="DC17" s="689">
        <f t="shared" si="1"/>
        <v>0</v>
      </c>
      <c r="DD17" s="689">
        <f t="shared" si="1"/>
        <v>0</v>
      </c>
      <c r="DE17" s="689">
        <f t="shared" si="1"/>
        <v>0</v>
      </c>
      <c r="DF17" s="690">
        <f t="shared" si="1"/>
        <v>0</v>
      </c>
      <c r="DG17" s="689">
        <f t="shared" si="1"/>
        <v>0</v>
      </c>
      <c r="DH17" s="689">
        <f t="shared" si="1"/>
        <v>0</v>
      </c>
      <c r="DI17" s="689">
        <f t="shared" si="1"/>
        <v>0</v>
      </c>
      <c r="DJ17" s="689">
        <f t="shared" si="1"/>
        <v>0</v>
      </c>
      <c r="DK17" s="689">
        <f t="shared" si="1"/>
        <v>0</v>
      </c>
      <c r="DL17" s="689">
        <f t="shared" si="1"/>
        <v>0</v>
      </c>
      <c r="DM17" s="699">
        <f t="shared" si="1"/>
        <v>0</v>
      </c>
    </row>
    <row r="18" spans="2:117" ht="22.5">
      <c r="B18" s="741"/>
      <c r="C18" s="747"/>
      <c r="D18" s="761" t="s">
        <v>516</v>
      </c>
      <c r="E18" s="756">
        <v>111</v>
      </c>
      <c r="F18" s="693">
        <f>SUM(G18:L18)</f>
        <v>0</v>
      </c>
      <c r="G18" s="694"/>
      <c r="H18" s="694"/>
      <c r="I18" s="694"/>
      <c r="J18" s="694"/>
      <c r="K18" s="694"/>
      <c r="L18" s="695"/>
      <c r="M18" s="693">
        <f>SUM(N18:S18)</f>
        <v>0</v>
      </c>
      <c r="N18" s="694"/>
      <c r="O18" s="694"/>
      <c r="P18" s="694"/>
      <c r="Q18" s="694"/>
      <c r="R18" s="694"/>
      <c r="S18" s="695"/>
      <c r="T18" s="693">
        <f>SUM(U18:Z18)</f>
        <v>0</v>
      </c>
      <c r="U18" s="694"/>
      <c r="V18" s="694"/>
      <c r="W18" s="694"/>
      <c r="X18" s="694"/>
      <c r="Y18" s="694"/>
      <c r="Z18" s="695"/>
      <c r="AA18" s="693">
        <f>SUM(AB18:AG18)</f>
        <v>0</v>
      </c>
      <c r="AB18" s="694"/>
      <c r="AC18" s="694"/>
      <c r="AD18" s="694"/>
      <c r="AE18" s="694"/>
      <c r="AF18" s="694"/>
      <c r="AG18" s="695"/>
      <c r="AH18" s="693">
        <f>SUM(AI18:AN18)</f>
        <v>0</v>
      </c>
      <c r="AI18" s="694"/>
      <c r="AJ18" s="694"/>
      <c r="AK18" s="694"/>
      <c r="AL18" s="694"/>
      <c r="AM18" s="694"/>
      <c r="AN18" s="695"/>
      <c r="AO18" s="693">
        <f>SUM(AP18:AU18)</f>
        <v>0</v>
      </c>
      <c r="AP18" s="694"/>
      <c r="AQ18" s="694"/>
      <c r="AR18" s="694"/>
      <c r="AS18" s="694"/>
      <c r="AT18" s="694"/>
      <c r="AU18" s="695"/>
      <c r="AV18" s="693">
        <f>SUM(AW18:BB18)</f>
        <v>0</v>
      </c>
      <c r="AW18" s="694"/>
      <c r="AX18" s="694"/>
      <c r="AY18" s="694"/>
      <c r="AZ18" s="694"/>
      <c r="BA18" s="694"/>
      <c r="BB18" s="695"/>
      <c r="BC18" s="693">
        <f>SUM(BD18:BI18)</f>
        <v>0</v>
      </c>
      <c r="BD18" s="694"/>
      <c r="BE18" s="694"/>
      <c r="BF18" s="694"/>
      <c r="BG18" s="694"/>
      <c r="BH18" s="694"/>
      <c r="BI18" s="695"/>
      <c r="BJ18" s="693">
        <f>SUM(BK18:BP18)</f>
        <v>0</v>
      </c>
      <c r="BK18" s="694"/>
      <c r="BL18" s="694"/>
      <c r="BM18" s="694"/>
      <c r="BN18" s="694"/>
      <c r="BO18" s="694"/>
      <c r="BP18" s="695"/>
      <c r="BQ18" s="693">
        <f>SUM(BR18:BW18)</f>
        <v>0</v>
      </c>
      <c r="BR18" s="694"/>
      <c r="BS18" s="694"/>
      <c r="BT18" s="694"/>
      <c r="BU18" s="694"/>
      <c r="BV18" s="694"/>
      <c r="BW18" s="695"/>
      <c r="BX18" s="693">
        <f>SUM(BY18:CD18)</f>
        <v>0</v>
      </c>
      <c r="BY18" s="694"/>
      <c r="BZ18" s="694"/>
      <c r="CA18" s="694"/>
      <c r="CB18" s="694"/>
      <c r="CC18" s="694"/>
      <c r="CD18" s="695"/>
      <c r="CE18" s="693">
        <f>SUM(CF18:CK18)</f>
        <v>0</v>
      </c>
      <c r="CF18" s="694"/>
      <c r="CG18" s="694"/>
      <c r="CH18" s="694"/>
      <c r="CI18" s="694"/>
      <c r="CJ18" s="694"/>
      <c r="CK18" s="695"/>
      <c r="CL18" s="693">
        <f>SUM(CM18:CR18)</f>
        <v>0</v>
      </c>
      <c r="CM18" s="694"/>
      <c r="CN18" s="694"/>
      <c r="CO18" s="694"/>
      <c r="CP18" s="694"/>
      <c r="CQ18" s="694"/>
      <c r="CR18" s="695"/>
      <c r="CS18" s="693">
        <f>SUM(CT18:CY18)</f>
        <v>0</v>
      </c>
      <c r="CT18" s="694"/>
      <c r="CU18" s="694"/>
      <c r="CV18" s="694"/>
      <c r="CW18" s="694"/>
      <c r="CX18" s="694"/>
      <c r="CY18" s="695"/>
      <c r="CZ18" s="693">
        <f>SUM(DA18:DF18)</f>
        <v>0</v>
      </c>
      <c r="DA18" s="694"/>
      <c r="DB18" s="694"/>
      <c r="DC18" s="694"/>
      <c r="DD18" s="694"/>
      <c r="DE18" s="694"/>
      <c r="DF18" s="695"/>
      <c r="DG18" s="693">
        <f>SUM(DH18:DM18)</f>
        <v>0</v>
      </c>
      <c r="DH18" s="694"/>
      <c r="DI18" s="694"/>
      <c r="DJ18" s="694"/>
      <c r="DK18" s="694"/>
      <c r="DL18" s="694"/>
      <c r="DM18" s="698"/>
    </row>
    <row r="19" spans="2:117" ht="22.5">
      <c r="B19" s="741"/>
      <c r="C19" s="747"/>
      <c r="D19" s="761" t="s">
        <v>517</v>
      </c>
      <c r="E19" s="756">
        <v>121</v>
      </c>
      <c r="F19" s="693">
        <f t="shared" ref="F19:F24" si="2">SUM(G19:L19)</f>
        <v>0</v>
      </c>
      <c r="G19" s="694"/>
      <c r="H19" s="694"/>
      <c r="I19" s="694"/>
      <c r="J19" s="694"/>
      <c r="K19" s="694"/>
      <c r="L19" s="695"/>
      <c r="M19" s="693">
        <f t="shared" ref="M19:M24" si="3">SUM(N19:S19)</f>
        <v>0</v>
      </c>
      <c r="N19" s="694"/>
      <c r="O19" s="694"/>
      <c r="P19" s="694"/>
      <c r="Q19" s="694"/>
      <c r="R19" s="694"/>
      <c r="S19" s="695"/>
      <c r="T19" s="693">
        <f t="shared" ref="T19:T24" si="4">SUM(U19:Z19)</f>
        <v>0</v>
      </c>
      <c r="U19" s="694"/>
      <c r="V19" s="694"/>
      <c r="W19" s="694"/>
      <c r="X19" s="694"/>
      <c r="Y19" s="694"/>
      <c r="Z19" s="695"/>
      <c r="AA19" s="693">
        <f t="shared" ref="AA19:AA24" si="5">SUM(AB19:AG19)</f>
        <v>0</v>
      </c>
      <c r="AB19" s="694"/>
      <c r="AC19" s="694"/>
      <c r="AD19" s="694"/>
      <c r="AE19" s="694"/>
      <c r="AF19" s="694"/>
      <c r="AG19" s="695"/>
      <c r="AH19" s="693">
        <f t="shared" ref="AH19:AH24" si="6">SUM(AI19:AN19)</f>
        <v>0</v>
      </c>
      <c r="AI19" s="694"/>
      <c r="AJ19" s="694"/>
      <c r="AK19" s="694"/>
      <c r="AL19" s="694"/>
      <c r="AM19" s="694"/>
      <c r="AN19" s="695"/>
      <c r="AO19" s="693">
        <f t="shared" ref="AO19:AO24" si="7">SUM(AP19:AU19)</f>
        <v>0</v>
      </c>
      <c r="AP19" s="694"/>
      <c r="AQ19" s="694"/>
      <c r="AR19" s="694"/>
      <c r="AS19" s="694"/>
      <c r="AT19" s="694"/>
      <c r="AU19" s="695"/>
      <c r="AV19" s="693">
        <f t="shared" ref="AV19:AV24" si="8">SUM(AW19:BB19)</f>
        <v>0</v>
      </c>
      <c r="AW19" s="694"/>
      <c r="AX19" s="694"/>
      <c r="AY19" s="694"/>
      <c r="AZ19" s="694"/>
      <c r="BA19" s="694"/>
      <c r="BB19" s="695"/>
      <c r="BC19" s="693">
        <f t="shared" ref="BC19:BC24" si="9">SUM(BD19:BI19)</f>
        <v>0</v>
      </c>
      <c r="BD19" s="694"/>
      <c r="BE19" s="694"/>
      <c r="BF19" s="694"/>
      <c r="BG19" s="694"/>
      <c r="BH19" s="694"/>
      <c r="BI19" s="695"/>
      <c r="BJ19" s="693">
        <f t="shared" ref="BJ19:BJ24" si="10">SUM(BK19:BP19)</f>
        <v>0</v>
      </c>
      <c r="BK19" s="694"/>
      <c r="BL19" s="694"/>
      <c r="BM19" s="694"/>
      <c r="BN19" s="694"/>
      <c r="BO19" s="694"/>
      <c r="BP19" s="695"/>
      <c r="BQ19" s="693">
        <f t="shared" ref="BQ19:BQ24" si="11">SUM(BR19:BW19)</f>
        <v>0</v>
      </c>
      <c r="BR19" s="694"/>
      <c r="BS19" s="694"/>
      <c r="BT19" s="694"/>
      <c r="BU19" s="694"/>
      <c r="BV19" s="694"/>
      <c r="BW19" s="695"/>
      <c r="BX19" s="693">
        <f t="shared" ref="BX19:BX24" si="12">SUM(BY19:CD19)</f>
        <v>0</v>
      </c>
      <c r="BY19" s="694"/>
      <c r="BZ19" s="694"/>
      <c r="CA19" s="694"/>
      <c r="CB19" s="694"/>
      <c r="CC19" s="694"/>
      <c r="CD19" s="695"/>
      <c r="CE19" s="693">
        <f t="shared" ref="CE19:CE24" si="13">SUM(CF19:CK19)</f>
        <v>0</v>
      </c>
      <c r="CF19" s="694"/>
      <c r="CG19" s="694"/>
      <c r="CH19" s="694"/>
      <c r="CI19" s="694"/>
      <c r="CJ19" s="694"/>
      <c r="CK19" s="695"/>
      <c r="CL19" s="693">
        <f t="shared" ref="CL19:CL24" si="14">SUM(CM19:CR19)</f>
        <v>0</v>
      </c>
      <c r="CM19" s="694"/>
      <c r="CN19" s="694"/>
      <c r="CO19" s="694"/>
      <c r="CP19" s="694"/>
      <c r="CQ19" s="694"/>
      <c r="CR19" s="695"/>
      <c r="CS19" s="693">
        <f t="shared" ref="CS19:CS24" si="15">SUM(CT19:CY19)</f>
        <v>0</v>
      </c>
      <c r="CT19" s="694"/>
      <c r="CU19" s="694"/>
      <c r="CV19" s="694"/>
      <c r="CW19" s="694"/>
      <c r="CX19" s="694"/>
      <c r="CY19" s="695"/>
      <c r="CZ19" s="693">
        <f t="shared" ref="CZ19:CZ24" si="16">SUM(DA19:DF19)</f>
        <v>0</v>
      </c>
      <c r="DA19" s="694"/>
      <c r="DB19" s="694"/>
      <c r="DC19" s="694"/>
      <c r="DD19" s="694"/>
      <c r="DE19" s="694"/>
      <c r="DF19" s="695"/>
      <c r="DG19" s="693">
        <f t="shared" ref="DG19:DG24" si="17">SUM(DH19:DM19)</f>
        <v>0</v>
      </c>
      <c r="DH19" s="694"/>
      <c r="DI19" s="694"/>
      <c r="DJ19" s="694"/>
      <c r="DK19" s="694"/>
      <c r="DL19" s="694"/>
      <c r="DM19" s="698"/>
    </row>
    <row r="20" spans="2:117" ht="15" customHeight="1">
      <c r="B20" s="741"/>
      <c r="C20" s="747"/>
      <c r="D20" s="761" t="s">
        <v>518</v>
      </c>
      <c r="E20" s="756">
        <v>131</v>
      </c>
      <c r="F20" s="693">
        <f t="shared" si="2"/>
        <v>0</v>
      </c>
      <c r="G20" s="694"/>
      <c r="H20" s="694"/>
      <c r="I20" s="694"/>
      <c r="J20" s="694"/>
      <c r="K20" s="694"/>
      <c r="L20" s="695"/>
      <c r="M20" s="693">
        <f t="shared" si="3"/>
        <v>0</v>
      </c>
      <c r="N20" s="694"/>
      <c r="O20" s="694"/>
      <c r="P20" s="694"/>
      <c r="Q20" s="694"/>
      <c r="R20" s="694"/>
      <c r="S20" s="695"/>
      <c r="T20" s="693">
        <f t="shared" si="4"/>
        <v>0</v>
      </c>
      <c r="U20" s="694"/>
      <c r="V20" s="694"/>
      <c r="W20" s="694"/>
      <c r="X20" s="694"/>
      <c r="Y20" s="694"/>
      <c r="Z20" s="695"/>
      <c r="AA20" s="693">
        <f t="shared" si="5"/>
        <v>0</v>
      </c>
      <c r="AB20" s="694"/>
      <c r="AC20" s="694"/>
      <c r="AD20" s="694"/>
      <c r="AE20" s="694"/>
      <c r="AF20" s="694"/>
      <c r="AG20" s="695"/>
      <c r="AH20" s="693">
        <f t="shared" si="6"/>
        <v>0</v>
      </c>
      <c r="AI20" s="694"/>
      <c r="AJ20" s="694"/>
      <c r="AK20" s="694"/>
      <c r="AL20" s="694"/>
      <c r="AM20" s="694"/>
      <c r="AN20" s="695"/>
      <c r="AO20" s="693">
        <f t="shared" si="7"/>
        <v>0</v>
      </c>
      <c r="AP20" s="694"/>
      <c r="AQ20" s="694"/>
      <c r="AR20" s="694"/>
      <c r="AS20" s="694"/>
      <c r="AT20" s="694"/>
      <c r="AU20" s="695"/>
      <c r="AV20" s="693">
        <f t="shared" si="8"/>
        <v>0</v>
      </c>
      <c r="AW20" s="694"/>
      <c r="AX20" s="694"/>
      <c r="AY20" s="694"/>
      <c r="AZ20" s="694"/>
      <c r="BA20" s="694"/>
      <c r="BB20" s="695"/>
      <c r="BC20" s="693">
        <f t="shared" si="9"/>
        <v>0</v>
      </c>
      <c r="BD20" s="694"/>
      <c r="BE20" s="694"/>
      <c r="BF20" s="694"/>
      <c r="BG20" s="694"/>
      <c r="BH20" s="694"/>
      <c r="BI20" s="695"/>
      <c r="BJ20" s="693">
        <f t="shared" si="10"/>
        <v>0</v>
      </c>
      <c r="BK20" s="694"/>
      <c r="BL20" s="694"/>
      <c r="BM20" s="694"/>
      <c r="BN20" s="694"/>
      <c r="BO20" s="694"/>
      <c r="BP20" s="695"/>
      <c r="BQ20" s="693">
        <f t="shared" si="11"/>
        <v>0</v>
      </c>
      <c r="BR20" s="694"/>
      <c r="BS20" s="694"/>
      <c r="BT20" s="694"/>
      <c r="BU20" s="694"/>
      <c r="BV20" s="694"/>
      <c r="BW20" s="695"/>
      <c r="BX20" s="693">
        <f t="shared" si="12"/>
        <v>0</v>
      </c>
      <c r="BY20" s="694"/>
      <c r="BZ20" s="694"/>
      <c r="CA20" s="694"/>
      <c r="CB20" s="694"/>
      <c r="CC20" s="694"/>
      <c r="CD20" s="695"/>
      <c r="CE20" s="693">
        <f t="shared" si="13"/>
        <v>0</v>
      </c>
      <c r="CF20" s="694"/>
      <c r="CG20" s="694"/>
      <c r="CH20" s="694"/>
      <c r="CI20" s="694"/>
      <c r="CJ20" s="694"/>
      <c r="CK20" s="695"/>
      <c r="CL20" s="693">
        <f t="shared" si="14"/>
        <v>0</v>
      </c>
      <c r="CM20" s="694"/>
      <c r="CN20" s="694"/>
      <c r="CO20" s="694"/>
      <c r="CP20" s="694"/>
      <c r="CQ20" s="694"/>
      <c r="CR20" s="695"/>
      <c r="CS20" s="693">
        <f t="shared" si="15"/>
        <v>0</v>
      </c>
      <c r="CT20" s="694"/>
      <c r="CU20" s="694"/>
      <c r="CV20" s="694"/>
      <c r="CW20" s="694"/>
      <c r="CX20" s="694"/>
      <c r="CY20" s="695"/>
      <c r="CZ20" s="693">
        <f t="shared" si="16"/>
        <v>0</v>
      </c>
      <c r="DA20" s="694"/>
      <c r="DB20" s="694"/>
      <c r="DC20" s="694"/>
      <c r="DD20" s="694"/>
      <c r="DE20" s="694"/>
      <c r="DF20" s="695"/>
      <c r="DG20" s="693">
        <f t="shared" si="17"/>
        <v>0</v>
      </c>
      <c r="DH20" s="694"/>
      <c r="DI20" s="694"/>
      <c r="DJ20" s="694"/>
      <c r="DK20" s="694"/>
      <c r="DL20" s="694"/>
      <c r="DM20" s="698"/>
    </row>
    <row r="21" spans="2:117" ht="15" customHeight="1">
      <c r="B21" s="741"/>
      <c r="C21" s="747"/>
      <c r="D21" s="761" t="s">
        <v>519</v>
      </c>
      <c r="E21" s="756">
        <v>141</v>
      </c>
      <c r="F21" s="693">
        <f t="shared" si="2"/>
        <v>0</v>
      </c>
      <c r="G21" s="694"/>
      <c r="H21" s="694"/>
      <c r="I21" s="694"/>
      <c r="J21" s="694"/>
      <c r="K21" s="694"/>
      <c r="L21" s="695"/>
      <c r="M21" s="693">
        <f t="shared" si="3"/>
        <v>0</v>
      </c>
      <c r="N21" s="694"/>
      <c r="O21" s="694"/>
      <c r="P21" s="694"/>
      <c r="Q21" s="694"/>
      <c r="R21" s="694"/>
      <c r="S21" s="695"/>
      <c r="T21" s="693">
        <f t="shared" si="4"/>
        <v>0</v>
      </c>
      <c r="U21" s="694"/>
      <c r="V21" s="694"/>
      <c r="W21" s="694"/>
      <c r="X21" s="694"/>
      <c r="Y21" s="694"/>
      <c r="Z21" s="695"/>
      <c r="AA21" s="693">
        <f t="shared" si="5"/>
        <v>0</v>
      </c>
      <c r="AB21" s="694"/>
      <c r="AC21" s="694"/>
      <c r="AD21" s="694"/>
      <c r="AE21" s="694"/>
      <c r="AF21" s="694"/>
      <c r="AG21" s="695"/>
      <c r="AH21" s="693">
        <f t="shared" si="6"/>
        <v>0</v>
      </c>
      <c r="AI21" s="694"/>
      <c r="AJ21" s="694"/>
      <c r="AK21" s="694"/>
      <c r="AL21" s="694"/>
      <c r="AM21" s="694"/>
      <c r="AN21" s="695"/>
      <c r="AO21" s="693">
        <f t="shared" si="7"/>
        <v>0</v>
      </c>
      <c r="AP21" s="694"/>
      <c r="AQ21" s="694"/>
      <c r="AR21" s="694"/>
      <c r="AS21" s="694"/>
      <c r="AT21" s="694"/>
      <c r="AU21" s="695"/>
      <c r="AV21" s="693">
        <f t="shared" si="8"/>
        <v>0</v>
      </c>
      <c r="AW21" s="694"/>
      <c r="AX21" s="694"/>
      <c r="AY21" s="694"/>
      <c r="AZ21" s="694"/>
      <c r="BA21" s="694"/>
      <c r="BB21" s="695"/>
      <c r="BC21" s="693">
        <f t="shared" si="9"/>
        <v>0</v>
      </c>
      <c r="BD21" s="694"/>
      <c r="BE21" s="694"/>
      <c r="BF21" s="694"/>
      <c r="BG21" s="694"/>
      <c r="BH21" s="694"/>
      <c r="BI21" s="695"/>
      <c r="BJ21" s="693">
        <f t="shared" si="10"/>
        <v>0</v>
      </c>
      <c r="BK21" s="694"/>
      <c r="BL21" s="694"/>
      <c r="BM21" s="694"/>
      <c r="BN21" s="694"/>
      <c r="BO21" s="694"/>
      <c r="BP21" s="695"/>
      <c r="BQ21" s="693">
        <f t="shared" si="11"/>
        <v>0</v>
      </c>
      <c r="BR21" s="694"/>
      <c r="BS21" s="694"/>
      <c r="BT21" s="694"/>
      <c r="BU21" s="694"/>
      <c r="BV21" s="694"/>
      <c r="BW21" s="695"/>
      <c r="BX21" s="693">
        <f t="shared" si="12"/>
        <v>0</v>
      </c>
      <c r="BY21" s="694"/>
      <c r="BZ21" s="694"/>
      <c r="CA21" s="694"/>
      <c r="CB21" s="694"/>
      <c r="CC21" s="694"/>
      <c r="CD21" s="695"/>
      <c r="CE21" s="693">
        <f t="shared" si="13"/>
        <v>0</v>
      </c>
      <c r="CF21" s="694"/>
      <c r="CG21" s="694"/>
      <c r="CH21" s="694"/>
      <c r="CI21" s="694"/>
      <c r="CJ21" s="694"/>
      <c r="CK21" s="695"/>
      <c r="CL21" s="693">
        <f t="shared" si="14"/>
        <v>0</v>
      </c>
      <c r="CM21" s="694"/>
      <c r="CN21" s="694"/>
      <c r="CO21" s="694"/>
      <c r="CP21" s="694"/>
      <c r="CQ21" s="694"/>
      <c r="CR21" s="695"/>
      <c r="CS21" s="693">
        <f t="shared" si="15"/>
        <v>0</v>
      </c>
      <c r="CT21" s="694"/>
      <c r="CU21" s="694"/>
      <c r="CV21" s="694"/>
      <c r="CW21" s="694"/>
      <c r="CX21" s="694"/>
      <c r="CY21" s="695"/>
      <c r="CZ21" s="693">
        <f t="shared" si="16"/>
        <v>0</v>
      </c>
      <c r="DA21" s="694"/>
      <c r="DB21" s="694"/>
      <c r="DC21" s="694"/>
      <c r="DD21" s="694"/>
      <c r="DE21" s="694"/>
      <c r="DF21" s="695"/>
      <c r="DG21" s="693">
        <f t="shared" si="17"/>
        <v>0</v>
      </c>
      <c r="DH21" s="694"/>
      <c r="DI21" s="694"/>
      <c r="DJ21" s="694"/>
      <c r="DK21" s="694"/>
      <c r="DL21" s="694"/>
      <c r="DM21" s="698"/>
    </row>
    <row r="22" spans="2:117" ht="15" customHeight="1">
      <c r="B22" s="741"/>
      <c r="C22" s="747"/>
      <c r="D22" s="762" t="s">
        <v>520</v>
      </c>
      <c r="E22" s="756">
        <v>151</v>
      </c>
      <c r="F22" s="693">
        <f t="shared" si="2"/>
        <v>0</v>
      </c>
      <c r="G22" s="694"/>
      <c r="H22" s="694"/>
      <c r="I22" s="694"/>
      <c r="J22" s="694"/>
      <c r="K22" s="694"/>
      <c r="L22" s="695"/>
      <c r="M22" s="693">
        <f t="shared" si="3"/>
        <v>0</v>
      </c>
      <c r="N22" s="694"/>
      <c r="O22" s="694"/>
      <c r="P22" s="694"/>
      <c r="Q22" s="694"/>
      <c r="R22" s="694"/>
      <c r="S22" s="695"/>
      <c r="T22" s="693">
        <f t="shared" si="4"/>
        <v>0</v>
      </c>
      <c r="U22" s="694"/>
      <c r="V22" s="694"/>
      <c r="W22" s="694"/>
      <c r="X22" s="694"/>
      <c r="Y22" s="694"/>
      <c r="Z22" s="695"/>
      <c r="AA22" s="693">
        <f t="shared" si="5"/>
        <v>0</v>
      </c>
      <c r="AB22" s="694"/>
      <c r="AC22" s="694"/>
      <c r="AD22" s="694"/>
      <c r="AE22" s="694"/>
      <c r="AF22" s="694"/>
      <c r="AG22" s="695"/>
      <c r="AH22" s="693">
        <f t="shared" si="6"/>
        <v>0</v>
      </c>
      <c r="AI22" s="694"/>
      <c r="AJ22" s="694"/>
      <c r="AK22" s="694"/>
      <c r="AL22" s="694"/>
      <c r="AM22" s="694"/>
      <c r="AN22" s="695"/>
      <c r="AO22" s="693">
        <f t="shared" si="7"/>
        <v>0</v>
      </c>
      <c r="AP22" s="694"/>
      <c r="AQ22" s="694"/>
      <c r="AR22" s="694"/>
      <c r="AS22" s="694"/>
      <c r="AT22" s="694"/>
      <c r="AU22" s="695"/>
      <c r="AV22" s="693">
        <f t="shared" si="8"/>
        <v>0</v>
      </c>
      <c r="AW22" s="694"/>
      <c r="AX22" s="694"/>
      <c r="AY22" s="694"/>
      <c r="AZ22" s="694"/>
      <c r="BA22" s="694"/>
      <c r="BB22" s="695"/>
      <c r="BC22" s="693">
        <f t="shared" si="9"/>
        <v>0</v>
      </c>
      <c r="BD22" s="694"/>
      <c r="BE22" s="694"/>
      <c r="BF22" s="694"/>
      <c r="BG22" s="694"/>
      <c r="BH22" s="694"/>
      <c r="BI22" s="695"/>
      <c r="BJ22" s="693">
        <f t="shared" si="10"/>
        <v>0</v>
      </c>
      <c r="BK22" s="694"/>
      <c r="BL22" s="694"/>
      <c r="BM22" s="694"/>
      <c r="BN22" s="694"/>
      <c r="BO22" s="694"/>
      <c r="BP22" s="695"/>
      <c r="BQ22" s="693">
        <f t="shared" si="11"/>
        <v>0</v>
      </c>
      <c r="BR22" s="694"/>
      <c r="BS22" s="694"/>
      <c r="BT22" s="694"/>
      <c r="BU22" s="694"/>
      <c r="BV22" s="694"/>
      <c r="BW22" s="695"/>
      <c r="BX22" s="693">
        <f t="shared" si="12"/>
        <v>0</v>
      </c>
      <c r="BY22" s="694"/>
      <c r="BZ22" s="694"/>
      <c r="CA22" s="694"/>
      <c r="CB22" s="694"/>
      <c r="CC22" s="694"/>
      <c r="CD22" s="695"/>
      <c r="CE22" s="693">
        <f t="shared" si="13"/>
        <v>0</v>
      </c>
      <c r="CF22" s="694"/>
      <c r="CG22" s="694"/>
      <c r="CH22" s="694"/>
      <c r="CI22" s="694"/>
      <c r="CJ22" s="694"/>
      <c r="CK22" s="695"/>
      <c r="CL22" s="693">
        <f t="shared" si="14"/>
        <v>0</v>
      </c>
      <c r="CM22" s="694"/>
      <c r="CN22" s="694"/>
      <c r="CO22" s="694"/>
      <c r="CP22" s="694"/>
      <c r="CQ22" s="694"/>
      <c r="CR22" s="695"/>
      <c r="CS22" s="693">
        <f t="shared" si="15"/>
        <v>0</v>
      </c>
      <c r="CT22" s="694"/>
      <c r="CU22" s="694"/>
      <c r="CV22" s="694"/>
      <c r="CW22" s="694"/>
      <c r="CX22" s="694"/>
      <c r="CY22" s="695"/>
      <c r="CZ22" s="693">
        <f t="shared" si="16"/>
        <v>0</v>
      </c>
      <c r="DA22" s="694"/>
      <c r="DB22" s="694"/>
      <c r="DC22" s="694"/>
      <c r="DD22" s="694"/>
      <c r="DE22" s="694"/>
      <c r="DF22" s="695"/>
      <c r="DG22" s="693">
        <f t="shared" si="17"/>
        <v>0</v>
      </c>
      <c r="DH22" s="694"/>
      <c r="DI22" s="694"/>
      <c r="DJ22" s="694"/>
      <c r="DK22" s="694"/>
      <c r="DL22" s="694"/>
      <c r="DM22" s="698"/>
    </row>
    <row r="23" spans="2:117" ht="15" customHeight="1">
      <c r="B23" s="741"/>
      <c r="C23" s="747"/>
      <c r="D23" s="761" t="s">
        <v>521</v>
      </c>
      <c r="E23" s="756">
        <v>161</v>
      </c>
      <c r="F23" s="693">
        <f t="shared" si="2"/>
        <v>0</v>
      </c>
      <c r="G23" s="694"/>
      <c r="H23" s="694"/>
      <c r="I23" s="694"/>
      <c r="J23" s="694"/>
      <c r="K23" s="694"/>
      <c r="L23" s="695"/>
      <c r="M23" s="693">
        <f t="shared" si="3"/>
        <v>0</v>
      </c>
      <c r="N23" s="694"/>
      <c r="O23" s="694"/>
      <c r="P23" s="694"/>
      <c r="Q23" s="694"/>
      <c r="R23" s="694"/>
      <c r="S23" s="695"/>
      <c r="T23" s="693">
        <f t="shared" si="4"/>
        <v>0</v>
      </c>
      <c r="U23" s="694"/>
      <c r="V23" s="694"/>
      <c r="W23" s="694"/>
      <c r="X23" s="694"/>
      <c r="Y23" s="694"/>
      <c r="Z23" s="695"/>
      <c r="AA23" s="693">
        <f t="shared" si="5"/>
        <v>0</v>
      </c>
      <c r="AB23" s="694"/>
      <c r="AC23" s="694"/>
      <c r="AD23" s="694"/>
      <c r="AE23" s="694"/>
      <c r="AF23" s="694"/>
      <c r="AG23" s="695"/>
      <c r="AH23" s="693">
        <f t="shared" si="6"/>
        <v>0</v>
      </c>
      <c r="AI23" s="694"/>
      <c r="AJ23" s="694"/>
      <c r="AK23" s="694"/>
      <c r="AL23" s="694"/>
      <c r="AM23" s="694"/>
      <c r="AN23" s="695"/>
      <c r="AO23" s="693">
        <f t="shared" si="7"/>
        <v>0</v>
      </c>
      <c r="AP23" s="694"/>
      <c r="AQ23" s="694"/>
      <c r="AR23" s="694"/>
      <c r="AS23" s="694"/>
      <c r="AT23" s="694"/>
      <c r="AU23" s="695"/>
      <c r="AV23" s="693">
        <f t="shared" si="8"/>
        <v>0</v>
      </c>
      <c r="AW23" s="694"/>
      <c r="AX23" s="694"/>
      <c r="AY23" s="694"/>
      <c r="AZ23" s="694"/>
      <c r="BA23" s="694"/>
      <c r="BB23" s="695"/>
      <c r="BC23" s="693">
        <f t="shared" si="9"/>
        <v>0</v>
      </c>
      <c r="BD23" s="694"/>
      <c r="BE23" s="694"/>
      <c r="BF23" s="694"/>
      <c r="BG23" s="694"/>
      <c r="BH23" s="694"/>
      <c r="BI23" s="695"/>
      <c r="BJ23" s="693">
        <f t="shared" si="10"/>
        <v>0</v>
      </c>
      <c r="BK23" s="694"/>
      <c r="BL23" s="694"/>
      <c r="BM23" s="694"/>
      <c r="BN23" s="694"/>
      <c r="BO23" s="694"/>
      <c r="BP23" s="695"/>
      <c r="BQ23" s="693">
        <f t="shared" si="11"/>
        <v>0</v>
      </c>
      <c r="BR23" s="694"/>
      <c r="BS23" s="694"/>
      <c r="BT23" s="694"/>
      <c r="BU23" s="694"/>
      <c r="BV23" s="694"/>
      <c r="BW23" s="695"/>
      <c r="BX23" s="693">
        <f t="shared" si="12"/>
        <v>0</v>
      </c>
      <c r="BY23" s="694"/>
      <c r="BZ23" s="694"/>
      <c r="CA23" s="694"/>
      <c r="CB23" s="694"/>
      <c r="CC23" s="694"/>
      <c r="CD23" s="695"/>
      <c r="CE23" s="693">
        <f t="shared" si="13"/>
        <v>0</v>
      </c>
      <c r="CF23" s="694"/>
      <c r="CG23" s="694"/>
      <c r="CH23" s="694"/>
      <c r="CI23" s="694"/>
      <c r="CJ23" s="694"/>
      <c r="CK23" s="695"/>
      <c r="CL23" s="693">
        <f t="shared" si="14"/>
        <v>0</v>
      </c>
      <c r="CM23" s="694"/>
      <c r="CN23" s="694"/>
      <c r="CO23" s="694"/>
      <c r="CP23" s="694"/>
      <c r="CQ23" s="694"/>
      <c r="CR23" s="695"/>
      <c r="CS23" s="693">
        <f t="shared" si="15"/>
        <v>0</v>
      </c>
      <c r="CT23" s="694"/>
      <c r="CU23" s="694"/>
      <c r="CV23" s="694"/>
      <c r="CW23" s="694"/>
      <c r="CX23" s="694"/>
      <c r="CY23" s="695"/>
      <c r="CZ23" s="693">
        <f t="shared" si="16"/>
        <v>0</v>
      </c>
      <c r="DA23" s="694"/>
      <c r="DB23" s="694"/>
      <c r="DC23" s="694"/>
      <c r="DD23" s="694"/>
      <c r="DE23" s="694"/>
      <c r="DF23" s="695"/>
      <c r="DG23" s="693">
        <f t="shared" si="17"/>
        <v>0</v>
      </c>
      <c r="DH23" s="694"/>
      <c r="DI23" s="694"/>
      <c r="DJ23" s="694"/>
      <c r="DK23" s="694"/>
      <c r="DL23" s="694"/>
      <c r="DM23" s="698"/>
    </row>
    <row r="24" spans="2:117" ht="15" customHeight="1">
      <c r="B24" s="741"/>
      <c r="C24" s="747"/>
      <c r="D24" s="761" t="s">
        <v>522</v>
      </c>
      <c r="E24" s="756">
        <v>171</v>
      </c>
      <c r="F24" s="693">
        <f t="shared" si="2"/>
        <v>0</v>
      </c>
      <c r="G24" s="694"/>
      <c r="H24" s="694"/>
      <c r="I24" s="694"/>
      <c r="J24" s="694"/>
      <c r="K24" s="694"/>
      <c r="L24" s="695"/>
      <c r="M24" s="693">
        <f t="shared" si="3"/>
        <v>0</v>
      </c>
      <c r="N24" s="694"/>
      <c r="O24" s="694"/>
      <c r="P24" s="694"/>
      <c r="Q24" s="694"/>
      <c r="R24" s="694"/>
      <c r="S24" s="695"/>
      <c r="T24" s="693">
        <f t="shared" si="4"/>
        <v>0</v>
      </c>
      <c r="U24" s="694"/>
      <c r="V24" s="694"/>
      <c r="W24" s="694"/>
      <c r="X24" s="694"/>
      <c r="Y24" s="694"/>
      <c r="Z24" s="695"/>
      <c r="AA24" s="693">
        <f t="shared" si="5"/>
        <v>0</v>
      </c>
      <c r="AB24" s="694"/>
      <c r="AC24" s="694"/>
      <c r="AD24" s="694"/>
      <c r="AE24" s="694"/>
      <c r="AF24" s="694"/>
      <c r="AG24" s="695"/>
      <c r="AH24" s="693">
        <f t="shared" si="6"/>
        <v>0</v>
      </c>
      <c r="AI24" s="694"/>
      <c r="AJ24" s="694"/>
      <c r="AK24" s="694"/>
      <c r="AL24" s="694"/>
      <c r="AM24" s="694"/>
      <c r="AN24" s="695"/>
      <c r="AO24" s="693">
        <f t="shared" si="7"/>
        <v>0</v>
      </c>
      <c r="AP24" s="694"/>
      <c r="AQ24" s="694"/>
      <c r="AR24" s="694"/>
      <c r="AS24" s="694"/>
      <c r="AT24" s="694"/>
      <c r="AU24" s="695"/>
      <c r="AV24" s="693">
        <f t="shared" si="8"/>
        <v>0</v>
      </c>
      <c r="AW24" s="694"/>
      <c r="AX24" s="694"/>
      <c r="AY24" s="694"/>
      <c r="AZ24" s="694"/>
      <c r="BA24" s="694"/>
      <c r="BB24" s="695"/>
      <c r="BC24" s="693">
        <f t="shared" si="9"/>
        <v>0</v>
      </c>
      <c r="BD24" s="694"/>
      <c r="BE24" s="694"/>
      <c r="BF24" s="694"/>
      <c r="BG24" s="694"/>
      <c r="BH24" s="694"/>
      <c r="BI24" s="695"/>
      <c r="BJ24" s="693">
        <f t="shared" si="10"/>
        <v>0</v>
      </c>
      <c r="BK24" s="694"/>
      <c r="BL24" s="694"/>
      <c r="BM24" s="694"/>
      <c r="BN24" s="694"/>
      <c r="BO24" s="694"/>
      <c r="BP24" s="695"/>
      <c r="BQ24" s="693">
        <f t="shared" si="11"/>
        <v>0</v>
      </c>
      <c r="BR24" s="694"/>
      <c r="BS24" s="694"/>
      <c r="BT24" s="694"/>
      <c r="BU24" s="694"/>
      <c r="BV24" s="694"/>
      <c r="BW24" s="695"/>
      <c r="BX24" s="693">
        <f t="shared" si="12"/>
        <v>0</v>
      </c>
      <c r="BY24" s="694"/>
      <c r="BZ24" s="694"/>
      <c r="CA24" s="694"/>
      <c r="CB24" s="694"/>
      <c r="CC24" s="694"/>
      <c r="CD24" s="695"/>
      <c r="CE24" s="693">
        <f t="shared" si="13"/>
        <v>0</v>
      </c>
      <c r="CF24" s="694"/>
      <c r="CG24" s="694"/>
      <c r="CH24" s="694"/>
      <c r="CI24" s="694"/>
      <c r="CJ24" s="694"/>
      <c r="CK24" s="695"/>
      <c r="CL24" s="693">
        <f t="shared" si="14"/>
        <v>0</v>
      </c>
      <c r="CM24" s="694"/>
      <c r="CN24" s="694"/>
      <c r="CO24" s="694"/>
      <c r="CP24" s="694"/>
      <c r="CQ24" s="694"/>
      <c r="CR24" s="695"/>
      <c r="CS24" s="693">
        <f t="shared" si="15"/>
        <v>0</v>
      </c>
      <c r="CT24" s="694"/>
      <c r="CU24" s="694"/>
      <c r="CV24" s="694"/>
      <c r="CW24" s="694"/>
      <c r="CX24" s="694"/>
      <c r="CY24" s="695"/>
      <c r="CZ24" s="693">
        <f t="shared" si="16"/>
        <v>0</v>
      </c>
      <c r="DA24" s="694"/>
      <c r="DB24" s="694"/>
      <c r="DC24" s="694"/>
      <c r="DD24" s="694"/>
      <c r="DE24" s="694"/>
      <c r="DF24" s="695"/>
      <c r="DG24" s="693">
        <f t="shared" si="17"/>
        <v>0</v>
      </c>
      <c r="DH24" s="694"/>
      <c r="DI24" s="694"/>
      <c r="DJ24" s="694"/>
      <c r="DK24" s="694"/>
      <c r="DL24" s="694"/>
      <c r="DM24" s="698"/>
    </row>
    <row r="25" spans="2:117" ht="33.75">
      <c r="B25" s="741"/>
      <c r="C25" s="747"/>
      <c r="D25" s="761" t="s">
        <v>523</v>
      </c>
      <c r="E25" s="756">
        <v>200</v>
      </c>
      <c r="F25" s="689">
        <f t="shared" ref="F25:BQ25" si="18">SUM(F26:F32)</f>
        <v>0</v>
      </c>
      <c r="G25" s="689">
        <f t="shared" si="18"/>
        <v>0</v>
      </c>
      <c r="H25" s="689">
        <f t="shared" si="18"/>
        <v>0</v>
      </c>
      <c r="I25" s="689">
        <f t="shared" si="18"/>
        <v>0</v>
      </c>
      <c r="J25" s="689">
        <f t="shared" si="18"/>
        <v>0</v>
      </c>
      <c r="K25" s="689">
        <f t="shared" si="18"/>
        <v>0</v>
      </c>
      <c r="L25" s="690">
        <f t="shared" si="18"/>
        <v>0</v>
      </c>
      <c r="M25" s="689">
        <f t="shared" si="18"/>
        <v>0</v>
      </c>
      <c r="N25" s="689">
        <f t="shared" si="18"/>
        <v>0</v>
      </c>
      <c r="O25" s="689">
        <f t="shared" si="18"/>
        <v>0</v>
      </c>
      <c r="P25" s="689">
        <f t="shared" si="18"/>
        <v>0</v>
      </c>
      <c r="Q25" s="689">
        <f t="shared" si="18"/>
        <v>0</v>
      </c>
      <c r="R25" s="689">
        <f t="shared" si="18"/>
        <v>0</v>
      </c>
      <c r="S25" s="690">
        <f t="shared" si="18"/>
        <v>0</v>
      </c>
      <c r="T25" s="689">
        <f t="shared" si="18"/>
        <v>0</v>
      </c>
      <c r="U25" s="689">
        <f t="shared" si="18"/>
        <v>0</v>
      </c>
      <c r="V25" s="689">
        <f t="shared" si="18"/>
        <v>0</v>
      </c>
      <c r="W25" s="689">
        <f t="shared" si="18"/>
        <v>0</v>
      </c>
      <c r="X25" s="689">
        <f t="shared" si="18"/>
        <v>0</v>
      </c>
      <c r="Y25" s="689">
        <f t="shared" si="18"/>
        <v>0</v>
      </c>
      <c r="Z25" s="690">
        <f t="shared" si="18"/>
        <v>0</v>
      </c>
      <c r="AA25" s="689">
        <f t="shared" si="18"/>
        <v>0</v>
      </c>
      <c r="AB25" s="689">
        <f t="shared" si="18"/>
        <v>0</v>
      </c>
      <c r="AC25" s="689">
        <f t="shared" si="18"/>
        <v>0</v>
      </c>
      <c r="AD25" s="689">
        <f t="shared" si="18"/>
        <v>0</v>
      </c>
      <c r="AE25" s="689">
        <f t="shared" si="18"/>
        <v>0</v>
      </c>
      <c r="AF25" s="689">
        <f t="shared" si="18"/>
        <v>0</v>
      </c>
      <c r="AG25" s="690">
        <f t="shared" si="18"/>
        <v>0</v>
      </c>
      <c r="AH25" s="689">
        <f t="shared" si="18"/>
        <v>6724.0690000000004</v>
      </c>
      <c r="AI25" s="689">
        <f t="shared" si="18"/>
        <v>0</v>
      </c>
      <c r="AJ25" s="689">
        <f t="shared" si="18"/>
        <v>2494.779</v>
      </c>
      <c r="AK25" s="689">
        <f t="shared" si="18"/>
        <v>4215.41</v>
      </c>
      <c r="AL25" s="689">
        <f t="shared" si="18"/>
        <v>13.88</v>
      </c>
      <c r="AM25" s="689">
        <f t="shared" si="18"/>
        <v>0</v>
      </c>
      <c r="AN25" s="690">
        <f t="shared" si="18"/>
        <v>0</v>
      </c>
      <c r="AO25" s="689">
        <f t="shared" si="18"/>
        <v>47691.441340000012</v>
      </c>
      <c r="AP25" s="689">
        <f t="shared" si="18"/>
        <v>0</v>
      </c>
      <c r="AQ25" s="689">
        <f t="shared" si="18"/>
        <v>17193.228070000001</v>
      </c>
      <c r="AR25" s="689">
        <f t="shared" si="18"/>
        <v>30394.370740000006</v>
      </c>
      <c r="AS25" s="689">
        <f t="shared" si="18"/>
        <v>103.84253</v>
      </c>
      <c r="AT25" s="689">
        <f t="shared" si="18"/>
        <v>0</v>
      </c>
      <c r="AU25" s="690">
        <f t="shared" si="18"/>
        <v>0</v>
      </c>
      <c r="AV25" s="689">
        <f t="shared" si="18"/>
        <v>9.5549999999999997</v>
      </c>
      <c r="AW25" s="689">
        <f t="shared" si="18"/>
        <v>0</v>
      </c>
      <c r="AX25" s="689">
        <f t="shared" si="18"/>
        <v>3.28</v>
      </c>
      <c r="AY25" s="689">
        <f t="shared" si="18"/>
        <v>6.2350000000000003</v>
      </c>
      <c r="AZ25" s="689">
        <f t="shared" si="18"/>
        <v>0.04</v>
      </c>
      <c r="BA25" s="689">
        <f t="shared" si="18"/>
        <v>0</v>
      </c>
      <c r="BB25" s="690">
        <f t="shared" si="18"/>
        <v>0</v>
      </c>
      <c r="BC25" s="689">
        <f t="shared" si="18"/>
        <v>11536.08747</v>
      </c>
      <c r="BD25" s="689">
        <f t="shared" si="18"/>
        <v>0</v>
      </c>
      <c r="BE25" s="689">
        <f t="shared" si="18"/>
        <v>3960.05933</v>
      </c>
      <c r="BF25" s="689">
        <f t="shared" si="18"/>
        <v>7527.7347300000001</v>
      </c>
      <c r="BG25" s="689">
        <f t="shared" si="18"/>
        <v>48.293410000000002</v>
      </c>
      <c r="BH25" s="689">
        <f t="shared" si="18"/>
        <v>0</v>
      </c>
      <c r="BI25" s="690">
        <f t="shared" si="18"/>
        <v>0</v>
      </c>
      <c r="BJ25" s="689">
        <f t="shared" si="18"/>
        <v>2480.12</v>
      </c>
      <c r="BK25" s="689">
        <f t="shared" si="18"/>
        <v>0</v>
      </c>
      <c r="BL25" s="689">
        <f t="shared" si="18"/>
        <v>0</v>
      </c>
      <c r="BM25" s="689">
        <f t="shared" si="18"/>
        <v>14.5</v>
      </c>
      <c r="BN25" s="689">
        <f t="shared" si="18"/>
        <v>2465.62</v>
      </c>
      <c r="BO25" s="689">
        <f t="shared" si="18"/>
        <v>0</v>
      </c>
      <c r="BP25" s="690">
        <f t="shared" si="18"/>
        <v>0</v>
      </c>
      <c r="BQ25" s="689">
        <f t="shared" si="18"/>
        <v>8894.0103499999987</v>
      </c>
      <c r="BR25" s="689">
        <f t="shared" ref="BR25:DM25" si="19">SUM(BR26:BR32)</f>
        <v>0</v>
      </c>
      <c r="BS25" s="689">
        <f t="shared" si="19"/>
        <v>0</v>
      </c>
      <c r="BT25" s="689">
        <f t="shared" si="19"/>
        <v>45.351800000000004</v>
      </c>
      <c r="BU25" s="689">
        <f t="shared" si="19"/>
        <v>8848.6585499999983</v>
      </c>
      <c r="BV25" s="689">
        <f t="shared" si="19"/>
        <v>0</v>
      </c>
      <c r="BW25" s="690">
        <f t="shared" si="19"/>
        <v>0</v>
      </c>
      <c r="BX25" s="689">
        <f t="shared" si="19"/>
        <v>4.0810000000000004</v>
      </c>
      <c r="BY25" s="689">
        <f t="shared" si="19"/>
        <v>0</v>
      </c>
      <c r="BZ25" s="689">
        <f t="shared" si="19"/>
        <v>0</v>
      </c>
      <c r="CA25" s="689">
        <f t="shared" si="19"/>
        <v>2.7E-2</v>
      </c>
      <c r="CB25" s="689">
        <f t="shared" si="19"/>
        <v>4.0540000000000003</v>
      </c>
      <c r="CC25" s="689">
        <f t="shared" si="19"/>
        <v>0</v>
      </c>
      <c r="CD25" s="690">
        <f t="shared" si="19"/>
        <v>0</v>
      </c>
      <c r="CE25" s="689">
        <f t="shared" si="19"/>
        <v>4927.1347800000003</v>
      </c>
      <c r="CF25" s="689">
        <f t="shared" si="19"/>
        <v>0</v>
      </c>
      <c r="CG25" s="689">
        <f t="shared" si="19"/>
        <v>0</v>
      </c>
      <c r="CH25" s="689">
        <f t="shared" si="19"/>
        <v>32.598050000000001</v>
      </c>
      <c r="CI25" s="689">
        <f t="shared" si="19"/>
        <v>4894.5367300000007</v>
      </c>
      <c r="CJ25" s="689">
        <f t="shared" si="19"/>
        <v>0</v>
      </c>
      <c r="CK25" s="690">
        <f t="shared" si="19"/>
        <v>0</v>
      </c>
      <c r="CL25" s="689">
        <f t="shared" si="19"/>
        <v>4.6559999999999997</v>
      </c>
      <c r="CM25" s="689">
        <f t="shared" si="19"/>
        <v>0</v>
      </c>
      <c r="CN25" s="689">
        <f t="shared" si="19"/>
        <v>0</v>
      </c>
      <c r="CO25" s="689">
        <f t="shared" si="19"/>
        <v>3.4000000000000002E-2</v>
      </c>
      <c r="CP25" s="689">
        <f t="shared" si="19"/>
        <v>4.6219999999999999</v>
      </c>
      <c r="CQ25" s="689">
        <f t="shared" si="19"/>
        <v>0</v>
      </c>
      <c r="CR25" s="690">
        <f t="shared" si="19"/>
        <v>0</v>
      </c>
      <c r="CS25" s="689">
        <f t="shared" si="19"/>
        <v>4836.4143400000003</v>
      </c>
      <c r="CT25" s="689">
        <f t="shared" si="19"/>
        <v>0</v>
      </c>
      <c r="CU25" s="689">
        <f t="shared" si="19"/>
        <v>0</v>
      </c>
      <c r="CV25" s="689">
        <f t="shared" si="19"/>
        <v>95.170850000000002</v>
      </c>
      <c r="CW25" s="689">
        <f t="shared" si="19"/>
        <v>4741.2434899999998</v>
      </c>
      <c r="CX25" s="689">
        <f t="shared" si="19"/>
        <v>0</v>
      </c>
      <c r="CY25" s="690">
        <f t="shared" si="19"/>
        <v>0</v>
      </c>
      <c r="CZ25" s="689">
        <f t="shared" si="19"/>
        <v>0</v>
      </c>
      <c r="DA25" s="689">
        <f t="shared" si="19"/>
        <v>0</v>
      </c>
      <c r="DB25" s="689">
        <f t="shared" si="19"/>
        <v>0</v>
      </c>
      <c r="DC25" s="689">
        <f t="shared" si="19"/>
        <v>0</v>
      </c>
      <c r="DD25" s="689">
        <f t="shared" si="19"/>
        <v>0</v>
      </c>
      <c r="DE25" s="689">
        <f t="shared" si="19"/>
        <v>0</v>
      </c>
      <c r="DF25" s="690">
        <f t="shared" si="19"/>
        <v>0</v>
      </c>
      <c r="DG25" s="689">
        <f t="shared" si="19"/>
        <v>0</v>
      </c>
      <c r="DH25" s="689">
        <f t="shared" si="19"/>
        <v>0</v>
      </c>
      <c r="DI25" s="689">
        <f t="shared" si="19"/>
        <v>0</v>
      </c>
      <c r="DJ25" s="689">
        <f t="shared" si="19"/>
        <v>0</v>
      </c>
      <c r="DK25" s="689">
        <f t="shared" si="19"/>
        <v>0</v>
      </c>
      <c r="DL25" s="689">
        <f t="shared" si="19"/>
        <v>0</v>
      </c>
      <c r="DM25" s="699">
        <f t="shared" si="19"/>
        <v>0</v>
      </c>
    </row>
    <row r="26" spans="2:117" ht="22.5">
      <c r="B26" s="741"/>
      <c r="C26" s="747"/>
      <c r="D26" s="761" t="s">
        <v>516</v>
      </c>
      <c r="E26" s="756">
        <v>211</v>
      </c>
      <c r="F26" s="693">
        <f>SUM(G26:L26)</f>
        <v>0</v>
      </c>
      <c r="G26" s="694"/>
      <c r="H26" s="694"/>
      <c r="I26" s="694"/>
      <c r="J26" s="694"/>
      <c r="K26" s="694"/>
      <c r="L26" s="695"/>
      <c r="M26" s="693">
        <f>SUM(N26:S26)</f>
        <v>0</v>
      </c>
      <c r="N26" s="694"/>
      <c r="O26" s="694"/>
      <c r="P26" s="694"/>
      <c r="Q26" s="694"/>
      <c r="R26" s="694"/>
      <c r="S26" s="695"/>
      <c r="T26" s="693">
        <f>SUM(U26:Z26)</f>
        <v>0</v>
      </c>
      <c r="U26" s="694"/>
      <c r="V26" s="694"/>
      <c r="W26" s="694"/>
      <c r="X26" s="694"/>
      <c r="Y26" s="694"/>
      <c r="Z26" s="695"/>
      <c r="AA26" s="693">
        <f>SUM(AB26:AG26)</f>
        <v>0</v>
      </c>
      <c r="AB26" s="694"/>
      <c r="AC26" s="694"/>
      <c r="AD26" s="694"/>
      <c r="AE26" s="694"/>
      <c r="AF26" s="694"/>
      <c r="AG26" s="695"/>
      <c r="AH26" s="693">
        <f>SUM(AI26:AN26)</f>
        <v>6724.0690000000004</v>
      </c>
      <c r="AI26" s="694"/>
      <c r="AJ26" s="694">
        <f>'Шаблон 46 ГП'!E75/1000</f>
        <v>2494.779</v>
      </c>
      <c r="AK26" s="694">
        <f>'Шаблон 46 ГП'!F75/1000</f>
        <v>4215.41</v>
      </c>
      <c r="AL26" s="694">
        <f>'Шаблон 46 ГП'!G75/1000</f>
        <v>13.88</v>
      </c>
      <c r="AM26" s="694"/>
      <c r="AN26" s="695"/>
      <c r="AO26" s="693">
        <f>SUM(AP26:AU26)</f>
        <v>47691.441340000012</v>
      </c>
      <c r="AP26" s="694"/>
      <c r="AQ26" s="694">
        <f>'Шаблон 46 ГП'!N75/1000</f>
        <v>17193.228070000001</v>
      </c>
      <c r="AR26" s="694">
        <f>'Шаблон 46 ГП'!O75/1000</f>
        <v>30394.370740000006</v>
      </c>
      <c r="AS26" s="694">
        <f>'Шаблон 46 ГП'!P75/1000</f>
        <v>103.84253</v>
      </c>
      <c r="AT26" s="694"/>
      <c r="AU26" s="695"/>
      <c r="AV26" s="693">
        <f>SUM(AW26:BB26)</f>
        <v>9.5549999999999997</v>
      </c>
      <c r="AW26" s="694"/>
      <c r="AX26" s="694">
        <f>'Шаблон 46 ГП'!E99/1000</f>
        <v>3.28</v>
      </c>
      <c r="AY26" s="694">
        <f>'Шаблон 46 ГП'!F99/1000</f>
        <v>6.2350000000000003</v>
      </c>
      <c r="AZ26" s="694">
        <f>'Шаблон 46 ГП'!G99/1000</f>
        <v>0.04</v>
      </c>
      <c r="BA26" s="694"/>
      <c r="BB26" s="695"/>
      <c r="BC26" s="693">
        <f>SUM(BD26:BI26)</f>
        <v>11536.08747</v>
      </c>
      <c r="BD26" s="694"/>
      <c r="BE26" s="694">
        <f>'Шаблон 46 ГП'!N99/1000</f>
        <v>3960.05933</v>
      </c>
      <c r="BF26" s="694">
        <f>'Шаблон 46 ГП'!O99/1000</f>
        <v>7527.7347300000001</v>
      </c>
      <c r="BG26" s="694">
        <f>'Шаблон 46 ГП'!P99/1000</f>
        <v>48.293410000000002</v>
      </c>
      <c r="BH26" s="694"/>
      <c r="BI26" s="695"/>
      <c r="BJ26" s="693">
        <f>SUM(BK26:BP26)</f>
        <v>2480.12</v>
      </c>
      <c r="BK26" s="694"/>
      <c r="BL26" s="694"/>
      <c r="BM26" s="694">
        <f>'Шаблон 46 ГП'!F139/1000</f>
        <v>14.5</v>
      </c>
      <c r="BN26" s="694">
        <f>'Шаблон 46 ГП'!G139/1000</f>
        <v>2465.62</v>
      </c>
      <c r="BO26" s="694"/>
      <c r="BP26" s="695"/>
      <c r="BQ26" s="693">
        <f>SUM(BR26:BW26)</f>
        <v>8894.0103499999987</v>
      </c>
      <c r="BR26" s="694"/>
      <c r="BS26" s="694"/>
      <c r="BT26" s="694">
        <f>'Шаблон 46 ГП'!O139/1000</f>
        <v>45.351800000000004</v>
      </c>
      <c r="BU26" s="694">
        <f>'Шаблон 46 ГП'!P139/1000</f>
        <v>8848.6585499999983</v>
      </c>
      <c r="BV26" s="694"/>
      <c r="BW26" s="695"/>
      <c r="BX26" s="693">
        <f>SUM(BY26:CD26)</f>
        <v>4.0810000000000004</v>
      </c>
      <c r="BY26" s="694"/>
      <c r="BZ26" s="694"/>
      <c r="CA26" s="694">
        <f>'Шаблон 46 ГП'!F254/1000</f>
        <v>2.7E-2</v>
      </c>
      <c r="CB26" s="694">
        <f>'Шаблон 46 ГП'!G254/1000</f>
        <v>4.0540000000000003</v>
      </c>
      <c r="CC26" s="694"/>
      <c r="CD26" s="695"/>
      <c r="CE26" s="693">
        <f>SUM(CF26:CK26)</f>
        <v>4927.1347800000003</v>
      </c>
      <c r="CF26" s="694"/>
      <c r="CG26" s="694"/>
      <c r="CH26" s="694">
        <f>'Шаблон 46 ГП'!O254/1000</f>
        <v>32.598050000000001</v>
      </c>
      <c r="CI26" s="694">
        <f>'Шаблон 46 ГП'!P254/1000</f>
        <v>4894.5367300000007</v>
      </c>
      <c r="CJ26" s="694"/>
      <c r="CK26" s="695"/>
      <c r="CL26" s="693">
        <f>SUM(CM26:CR26)</f>
        <v>4.6559999999999997</v>
      </c>
      <c r="CM26" s="694"/>
      <c r="CN26" s="694"/>
      <c r="CO26" s="694">
        <f>'Шаблон 46 ГП'!F255/1000</f>
        <v>3.4000000000000002E-2</v>
      </c>
      <c r="CP26" s="694">
        <f>'Шаблон 46 ГП'!G255/1000</f>
        <v>4.6219999999999999</v>
      </c>
      <c r="CQ26" s="694"/>
      <c r="CR26" s="695"/>
      <c r="CS26" s="693">
        <f>SUM(CT26:CY26)</f>
        <v>4836.4143400000003</v>
      </c>
      <c r="CT26" s="694"/>
      <c r="CU26" s="694"/>
      <c r="CV26" s="694">
        <f>'Шаблон 46 ГП'!O255/1000</f>
        <v>95.170850000000002</v>
      </c>
      <c r="CW26" s="694">
        <f>'Шаблон 46 ГП'!P255/1000</f>
        <v>4741.2434899999998</v>
      </c>
      <c r="CX26" s="694"/>
      <c r="CY26" s="695"/>
      <c r="CZ26" s="693">
        <f>SUM(DA26:DF26)</f>
        <v>0</v>
      </c>
      <c r="DA26" s="694"/>
      <c r="DB26" s="694"/>
      <c r="DC26" s="694"/>
      <c r="DD26" s="694"/>
      <c r="DE26" s="694"/>
      <c r="DF26" s="695"/>
      <c r="DG26" s="693">
        <f>SUM(DH26:DM26)</f>
        <v>0</v>
      </c>
      <c r="DH26" s="694"/>
      <c r="DI26" s="694"/>
      <c r="DJ26" s="694"/>
      <c r="DK26" s="694"/>
      <c r="DL26" s="694"/>
      <c r="DM26" s="698"/>
    </row>
    <row r="27" spans="2:117" ht="22.5">
      <c r="B27" s="741"/>
      <c r="C27" s="747"/>
      <c r="D27" s="761" t="s">
        <v>517</v>
      </c>
      <c r="E27" s="756">
        <v>221</v>
      </c>
      <c r="F27" s="693">
        <f t="shared" ref="F27:F32" si="20">SUM(G27:L27)</f>
        <v>0</v>
      </c>
      <c r="G27" s="694"/>
      <c r="H27" s="694"/>
      <c r="I27" s="694"/>
      <c r="J27" s="694"/>
      <c r="K27" s="694"/>
      <c r="L27" s="695"/>
      <c r="M27" s="693">
        <f t="shared" ref="M27:M32" si="21">SUM(N27:S27)</f>
        <v>0</v>
      </c>
      <c r="N27" s="694"/>
      <c r="O27" s="694"/>
      <c r="P27" s="694"/>
      <c r="Q27" s="694"/>
      <c r="R27" s="694"/>
      <c r="S27" s="695"/>
      <c r="T27" s="693">
        <f t="shared" ref="T27:T32" si="22">SUM(U27:Z27)</f>
        <v>0</v>
      </c>
      <c r="U27" s="694"/>
      <c r="V27" s="694"/>
      <c r="W27" s="694"/>
      <c r="X27" s="694"/>
      <c r="Y27" s="694"/>
      <c r="Z27" s="695"/>
      <c r="AA27" s="693">
        <f t="shared" ref="AA27:AA32" si="23">SUM(AB27:AG27)</f>
        <v>0</v>
      </c>
      <c r="AB27" s="694"/>
      <c r="AC27" s="694"/>
      <c r="AD27" s="694"/>
      <c r="AE27" s="694"/>
      <c r="AF27" s="694"/>
      <c r="AG27" s="695"/>
      <c r="AH27" s="693">
        <f t="shared" ref="AH27:AH32" si="24">SUM(AI27:AN27)</f>
        <v>0</v>
      </c>
      <c r="AI27" s="694"/>
      <c r="AJ27" s="694"/>
      <c r="AK27" s="694"/>
      <c r="AL27" s="694"/>
      <c r="AM27" s="694"/>
      <c r="AN27" s="695"/>
      <c r="AO27" s="693">
        <f t="shared" ref="AO27:AO32" si="25">SUM(AP27:AU27)</f>
        <v>0</v>
      </c>
      <c r="AP27" s="694"/>
      <c r="AQ27" s="694"/>
      <c r="AR27" s="694"/>
      <c r="AS27" s="694"/>
      <c r="AT27" s="694"/>
      <c r="AU27" s="695"/>
      <c r="AV27" s="693">
        <f t="shared" ref="AV27:AV32" si="26">SUM(AW27:BB27)</f>
        <v>0</v>
      </c>
      <c r="AW27" s="694"/>
      <c r="AX27" s="694"/>
      <c r="AY27" s="694"/>
      <c r="AZ27" s="694"/>
      <c r="BA27" s="694"/>
      <c r="BB27" s="695"/>
      <c r="BC27" s="693">
        <f t="shared" ref="BC27:BC32" si="27">SUM(BD27:BI27)</f>
        <v>0</v>
      </c>
      <c r="BD27" s="694"/>
      <c r="BE27" s="694"/>
      <c r="BF27" s="694"/>
      <c r="BG27" s="694"/>
      <c r="BH27" s="694"/>
      <c r="BI27" s="695"/>
      <c r="BJ27" s="693">
        <f t="shared" ref="BJ27:BJ32" si="28">SUM(BK27:BP27)</f>
        <v>0</v>
      </c>
      <c r="BK27" s="694"/>
      <c r="BL27" s="694"/>
      <c r="BM27" s="694"/>
      <c r="BN27" s="694"/>
      <c r="BO27" s="694"/>
      <c r="BP27" s="695"/>
      <c r="BQ27" s="693">
        <f t="shared" ref="BQ27:BQ32" si="29">SUM(BR27:BW27)</f>
        <v>0</v>
      </c>
      <c r="BR27" s="694"/>
      <c r="BS27" s="694"/>
      <c r="BT27" s="694"/>
      <c r="BU27" s="694"/>
      <c r="BV27" s="694"/>
      <c r="BW27" s="695"/>
      <c r="BX27" s="693">
        <f t="shared" ref="BX27:BX32" si="30">SUM(BY27:CD27)</f>
        <v>0</v>
      </c>
      <c r="BY27" s="694"/>
      <c r="BZ27" s="694"/>
      <c r="CA27" s="694"/>
      <c r="CB27" s="694"/>
      <c r="CC27" s="694"/>
      <c r="CD27" s="695"/>
      <c r="CE27" s="693">
        <f t="shared" ref="CE27:CE32" si="31">SUM(CF27:CK27)</f>
        <v>0</v>
      </c>
      <c r="CF27" s="694"/>
      <c r="CG27" s="694"/>
      <c r="CH27" s="694"/>
      <c r="CI27" s="694"/>
      <c r="CJ27" s="694"/>
      <c r="CK27" s="695"/>
      <c r="CL27" s="693">
        <f t="shared" ref="CL27:CL32" si="32">SUM(CM27:CR27)</f>
        <v>0</v>
      </c>
      <c r="CM27" s="694"/>
      <c r="CN27" s="694"/>
      <c r="CO27" s="694"/>
      <c r="CP27" s="694"/>
      <c r="CQ27" s="694"/>
      <c r="CR27" s="695"/>
      <c r="CS27" s="693">
        <f t="shared" ref="CS27:CS32" si="33">SUM(CT27:CY27)</f>
        <v>0</v>
      </c>
      <c r="CT27" s="694"/>
      <c r="CU27" s="694"/>
      <c r="CV27" s="694"/>
      <c r="CW27" s="694"/>
      <c r="CX27" s="694"/>
      <c r="CY27" s="695"/>
      <c r="CZ27" s="693">
        <f t="shared" ref="CZ27:CZ32" si="34">SUM(DA27:DF27)</f>
        <v>0</v>
      </c>
      <c r="DA27" s="694"/>
      <c r="DB27" s="694"/>
      <c r="DC27" s="694"/>
      <c r="DD27" s="694"/>
      <c r="DE27" s="694"/>
      <c r="DF27" s="695"/>
      <c r="DG27" s="693">
        <f t="shared" ref="DG27:DG32" si="35">SUM(DH27:DM27)</f>
        <v>0</v>
      </c>
      <c r="DH27" s="694"/>
      <c r="DI27" s="694"/>
      <c r="DJ27" s="694"/>
      <c r="DK27" s="694"/>
      <c r="DL27" s="694"/>
      <c r="DM27" s="698"/>
    </row>
    <row r="28" spans="2:117" ht="15" customHeight="1">
      <c r="B28" s="741"/>
      <c r="C28" s="747"/>
      <c r="D28" s="761" t="s">
        <v>518</v>
      </c>
      <c r="E28" s="756">
        <v>231</v>
      </c>
      <c r="F28" s="693">
        <f t="shared" si="20"/>
        <v>0</v>
      </c>
      <c r="G28" s="694"/>
      <c r="H28" s="694"/>
      <c r="I28" s="694"/>
      <c r="J28" s="694"/>
      <c r="K28" s="694"/>
      <c r="L28" s="695"/>
      <c r="M28" s="693">
        <f t="shared" si="21"/>
        <v>0</v>
      </c>
      <c r="N28" s="694"/>
      <c r="O28" s="694"/>
      <c r="P28" s="694"/>
      <c r="Q28" s="694"/>
      <c r="R28" s="694"/>
      <c r="S28" s="695"/>
      <c r="T28" s="693">
        <f t="shared" si="22"/>
        <v>0</v>
      </c>
      <c r="U28" s="694"/>
      <c r="V28" s="694"/>
      <c r="W28" s="694"/>
      <c r="X28" s="694"/>
      <c r="Y28" s="694"/>
      <c r="Z28" s="695"/>
      <c r="AA28" s="693">
        <f t="shared" si="23"/>
        <v>0</v>
      </c>
      <c r="AB28" s="694"/>
      <c r="AC28" s="694"/>
      <c r="AD28" s="694"/>
      <c r="AE28" s="694"/>
      <c r="AF28" s="694"/>
      <c r="AG28" s="695"/>
      <c r="AH28" s="693">
        <f t="shared" si="24"/>
        <v>0</v>
      </c>
      <c r="AI28" s="694"/>
      <c r="AJ28" s="694"/>
      <c r="AK28" s="694"/>
      <c r="AL28" s="694"/>
      <c r="AM28" s="694"/>
      <c r="AN28" s="695"/>
      <c r="AO28" s="693">
        <f t="shared" si="25"/>
        <v>0</v>
      </c>
      <c r="AP28" s="694"/>
      <c r="AQ28" s="694"/>
      <c r="AR28" s="694"/>
      <c r="AS28" s="694"/>
      <c r="AT28" s="694"/>
      <c r="AU28" s="695"/>
      <c r="AV28" s="693">
        <f t="shared" si="26"/>
        <v>0</v>
      </c>
      <c r="AW28" s="694"/>
      <c r="AX28" s="694"/>
      <c r="AY28" s="694"/>
      <c r="AZ28" s="694"/>
      <c r="BA28" s="694"/>
      <c r="BB28" s="695"/>
      <c r="BC28" s="693">
        <f t="shared" si="27"/>
        <v>0</v>
      </c>
      <c r="BD28" s="694"/>
      <c r="BE28" s="694"/>
      <c r="BF28" s="694"/>
      <c r="BG28" s="694"/>
      <c r="BH28" s="694"/>
      <c r="BI28" s="695"/>
      <c r="BJ28" s="693">
        <f t="shared" si="28"/>
        <v>0</v>
      </c>
      <c r="BK28" s="694"/>
      <c r="BL28" s="694"/>
      <c r="BM28" s="694"/>
      <c r="BN28" s="694"/>
      <c r="BO28" s="694"/>
      <c r="BP28" s="695"/>
      <c r="BQ28" s="693">
        <f t="shared" si="29"/>
        <v>0</v>
      </c>
      <c r="BR28" s="694"/>
      <c r="BS28" s="694"/>
      <c r="BT28" s="694"/>
      <c r="BU28" s="694"/>
      <c r="BV28" s="694"/>
      <c r="BW28" s="695"/>
      <c r="BX28" s="693">
        <f t="shared" si="30"/>
        <v>0</v>
      </c>
      <c r="BY28" s="694"/>
      <c r="BZ28" s="694"/>
      <c r="CA28" s="694"/>
      <c r="CB28" s="694"/>
      <c r="CC28" s="694"/>
      <c r="CD28" s="695"/>
      <c r="CE28" s="693">
        <f t="shared" si="31"/>
        <v>0</v>
      </c>
      <c r="CF28" s="694"/>
      <c r="CG28" s="694"/>
      <c r="CH28" s="694"/>
      <c r="CI28" s="694"/>
      <c r="CJ28" s="694"/>
      <c r="CK28" s="695"/>
      <c r="CL28" s="693">
        <f t="shared" si="32"/>
        <v>0</v>
      </c>
      <c r="CM28" s="694"/>
      <c r="CN28" s="694"/>
      <c r="CO28" s="694"/>
      <c r="CP28" s="694"/>
      <c r="CQ28" s="694"/>
      <c r="CR28" s="695"/>
      <c r="CS28" s="693">
        <f t="shared" si="33"/>
        <v>0</v>
      </c>
      <c r="CT28" s="694"/>
      <c r="CU28" s="694"/>
      <c r="CV28" s="694"/>
      <c r="CW28" s="694"/>
      <c r="CX28" s="694"/>
      <c r="CY28" s="695"/>
      <c r="CZ28" s="693">
        <f t="shared" si="34"/>
        <v>0</v>
      </c>
      <c r="DA28" s="694"/>
      <c r="DB28" s="694"/>
      <c r="DC28" s="694"/>
      <c r="DD28" s="694"/>
      <c r="DE28" s="694"/>
      <c r="DF28" s="695"/>
      <c r="DG28" s="693">
        <f t="shared" si="35"/>
        <v>0</v>
      </c>
      <c r="DH28" s="694"/>
      <c r="DI28" s="694"/>
      <c r="DJ28" s="694"/>
      <c r="DK28" s="694"/>
      <c r="DL28" s="694"/>
      <c r="DM28" s="698"/>
    </row>
    <row r="29" spans="2:117" ht="15" customHeight="1">
      <c r="B29" s="741"/>
      <c r="C29" s="747"/>
      <c r="D29" s="761" t="s">
        <v>519</v>
      </c>
      <c r="E29" s="756">
        <v>241</v>
      </c>
      <c r="F29" s="693">
        <f t="shared" si="20"/>
        <v>0</v>
      </c>
      <c r="G29" s="694"/>
      <c r="H29" s="694"/>
      <c r="I29" s="694"/>
      <c r="J29" s="694"/>
      <c r="K29" s="694"/>
      <c r="L29" s="695"/>
      <c r="M29" s="693">
        <f t="shared" si="21"/>
        <v>0</v>
      </c>
      <c r="N29" s="694"/>
      <c r="O29" s="694"/>
      <c r="P29" s="694"/>
      <c r="Q29" s="694"/>
      <c r="R29" s="694"/>
      <c r="S29" s="695"/>
      <c r="T29" s="693">
        <f t="shared" si="22"/>
        <v>0</v>
      </c>
      <c r="U29" s="694"/>
      <c r="V29" s="694"/>
      <c r="W29" s="694"/>
      <c r="X29" s="694"/>
      <c r="Y29" s="694"/>
      <c r="Z29" s="695"/>
      <c r="AA29" s="693">
        <f t="shared" si="23"/>
        <v>0</v>
      </c>
      <c r="AB29" s="694"/>
      <c r="AC29" s="694"/>
      <c r="AD29" s="694"/>
      <c r="AE29" s="694"/>
      <c r="AF29" s="694"/>
      <c r="AG29" s="695"/>
      <c r="AH29" s="693">
        <f t="shared" si="24"/>
        <v>0</v>
      </c>
      <c r="AI29" s="694"/>
      <c r="AJ29" s="694"/>
      <c r="AK29" s="694"/>
      <c r="AL29" s="694"/>
      <c r="AM29" s="694"/>
      <c r="AN29" s="695"/>
      <c r="AO29" s="693">
        <f t="shared" si="25"/>
        <v>0</v>
      </c>
      <c r="AP29" s="694"/>
      <c r="AQ29" s="694"/>
      <c r="AR29" s="694"/>
      <c r="AS29" s="694"/>
      <c r="AT29" s="694"/>
      <c r="AU29" s="695"/>
      <c r="AV29" s="693">
        <f t="shared" si="26"/>
        <v>0</v>
      </c>
      <c r="AW29" s="694"/>
      <c r="AX29" s="694"/>
      <c r="AY29" s="694"/>
      <c r="AZ29" s="694"/>
      <c r="BA29" s="694"/>
      <c r="BB29" s="695"/>
      <c r="BC29" s="693">
        <f t="shared" si="27"/>
        <v>0</v>
      </c>
      <c r="BD29" s="694"/>
      <c r="BE29" s="694"/>
      <c r="BF29" s="694"/>
      <c r="BG29" s="694"/>
      <c r="BH29" s="694"/>
      <c r="BI29" s="695"/>
      <c r="BJ29" s="693">
        <f t="shared" si="28"/>
        <v>0</v>
      </c>
      <c r="BK29" s="694"/>
      <c r="BL29" s="694"/>
      <c r="BM29" s="694"/>
      <c r="BN29" s="694"/>
      <c r="BO29" s="694"/>
      <c r="BP29" s="695"/>
      <c r="BQ29" s="693">
        <f t="shared" si="29"/>
        <v>0</v>
      </c>
      <c r="BR29" s="694"/>
      <c r="BS29" s="694"/>
      <c r="BT29" s="694"/>
      <c r="BU29" s="694"/>
      <c r="BV29" s="694"/>
      <c r="BW29" s="695"/>
      <c r="BX29" s="693">
        <f t="shared" si="30"/>
        <v>0</v>
      </c>
      <c r="BY29" s="694"/>
      <c r="BZ29" s="694"/>
      <c r="CA29" s="694"/>
      <c r="CB29" s="694"/>
      <c r="CC29" s="694"/>
      <c r="CD29" s="695"/>
      <c r="CE29" s="693">
        <f t="shared" si="31"/>
        <v>0</v>
      </c>
      <c r="CF29" s="694"/>
      <c r="CG29" s="694"/>
      <c r="CH29" s="694"/>
      <c r="CI29" s="694"/>
      <c r="CJ29" s="694"/>
      <c r="CK29" s="695"/>
      <c r="CL29" s="693">
        <f t="shared" si="32"/>
        <v>0</v>
      </c>
      <c r="CM29" s="694"/>
      <c r="CN29" s="694"/>
      <c r="CO29" s="694"/>
      <c r="CP29" s="694"/>
      <c r="CQ29" s="694"/>
      <c r="CR29" s="695"/>
      <c r="CS29" s="693">
        <f t="shared" si="33"/>
        <v>0</v>
      </c>
      <c r="CT29" s="694"/>
      <c r="CU29" s="694"/>
      <c r="CV29" s="694"/>
      <c r="CW29" s="694"/>
      <c r="CX29" s="694"/>
      <c r="CY29" s="695"/>
      <c r="CZ29" s="693">
        <f t="shared" si="34"/>
        <v>0</v>
      </c>
      <c r="DA29" s="694"/>
      <c r="DB29" s="694"/>
      <c r="DC29" s="694"/>
      <c r="DD29" s="694"/>
      <c r="DE29" s="694"/>
      <c r="DF29" s="695"/>
      <c r="DG29" s="693">
        <f t="shared" si="35"/>
        <v>0</v>
      </c>
      <c r="DH29" s="694"/>
      <c r="DI29" s="694"/>
      <c r="DJ29" s="694"/>
      <c r="DK29" s="694"/>
      <c r="DL29" s="694"/>
      <c r="DM29" s="698"/>
    </row>
    <row r="30" spans="2:117" ht="15" customHeight="1">
      <c r="B30" s="741"/>
      <c r="C30" s="747"/>
      <c r="D30" s="762" t="s">
        <v>520</v>
      </c>
      <c r="E30" s="756">
        <v>251</v>
      </c>
      <c r="F30" s="693">
        <f t="shared" si="20"/>
        <v>0</v>
      </c>
      <c r="G30" s="694"/>
      <c r="H30" s="694"/>
      <c r="I30" s="694"/>
      <c r="J30" s="694"/>
      <c r="K30" s="694"/>
      <c r="L30" s="695"/>
      <c r="M30" s="693">
        <f t="shared" si="21"/>
        <v>0</v>
      </c>
      <c r="N30" s="694"/>
      <c r="O30" s="694"/>
      <c r="P30" s="694"/>
      <c r="Q30" s="694"/>
      <c r="R30" s="694"/>
      <c r="S30" s="695"/>
      <c r="T30" s="693">
        <f t="shared" si="22"/>
        <v>0</v>
      </c>
      <c r="U30" s="694"/>
      <c r="V30" s="694"/>
      <c r="W30" s="694"/>
      <c r="X30" s="694"/>
      <c r="Y30" s="694"/>
      <c r="Z30" s="695"/>
      <c r="AA30" s="693">
        <f t="shared" si="23"/>
        <v>0</v>
      </c>
      <c r="AB30" s="694"/>
      <c r="AC30" s="694"/>
      <c r="AD30" s="694"/>
      <c r="AE30" s="694"/>
      <c r="AF30" s="694"/>
      <c r="AG30" s="695"/>
      <c r="AH30" s="693">
        <f t="shared" si="24"/>
        <v>0</v>
      </c>
      <c r="AI30" s="694"/>
      <c r="AJ30" s="694"/>
      <c r="AK30" s="694"/>
      <c r="AL30" s="694"/>
      <c r="AM30" s="694"/>
      <c r="AN30" s="695"/>
      <c r="AO30" s="693">
        <f t="shared" si="25"/>
        <v>0</v>
      </c>
      <c r="AP30" s="694"/>
      <c r="AQ30" s="694"/>
      <c r="AR30" s="694"/>
      <c r="AS30" s="694"/>
      <c r="AT30" s="694"/>
      <c r="AU30" s="695"/>
      <c r="AV30" s="693">
        <f t="shared" si="26"/>
        <v>0</v>
      </c>
      <c r="AW30" s="694"/>
      <c r="AX30" s="694"/>
      <c r="AY30" s="694"/>
      <c r="AZ30" s="694"/>
      <c r="BA30" s="694"/>
      <c r="BB30" s="695"/>
      <c r="BC30" s="693">
        <f t="shared" si="27"/>
        <v>0</v>
      </c>
      <c r="BD30" s="694"/>
      <c r="BE30" s="694"/>
      <c r="BF30" s="694"/>
      <c r="BG30" s="694"/>
      <c r="BH30" s="694"/>
      <c r="BI30" s="695"/>
      <c r="BJ30" s="693">
        <f t="shared" si="28"/>
        <v>0</v>
      </c>
      <c r="BK30" s="694"/>
      <c r="BL30" s="694"/>
      <c r="BM30" s="694"/>
      <c r="BN30" s="694"/>
      <c r="BO30" s="694"/>
      <c r="BP30" s="695"/>
      <c r="BQ30" s="693">
        <f t="shared" si="29"/>
        <v>0</v>
      </c>
      <c r="BR30" s="694"/>
      <c r="BS30" s="694"/>
      <c r="BT30" s="694"/>
      <c r="BU30" s="694"/>
      <c r="BV30" s="694"/>
      <c r="BW30" s="695"/>
      <c r="BX30" s="693">
        <f t="shared" si="30"/>
        <v>0</v>
      </c>
      <c r="BY30" s="694"/>
      <c r="BZ30" s="694"/>
      <c r="CA30" s="694"/>
      <c r="CB30" s="694"/>
      <c r="CC30" s="694"/>
      <c r="CD30" s="695"/>
      <c r="CE30" s="693">
        <f t="shared" si="31"/>
        <v>0</v>
      </c>
      <c r="CF30" s="694"/>
      <c r="CG30" s="694"/>
      <c r="CH30" s="694"/>
      <c r="CI30" s="694"/>
      <c r="CJ30" s="694"/>
      <c r="CK30" s="695"/>
      <c r="CL30" s="693">
        <f t="shared" si="32"/>
        <v>0</v>
      </c>
      <c r="CM30" s="694"/>
      <c r="CN30" s="694"/>
      <c r="CO30" s="694"/>
      <c r="CP30" s="694"/>
      <c r="CQ30" s="694"/>
      <c r="CR30" s="695"/>
      <c r="CS30" s="693">
        <f t="shared" si="33"/>
        <v>0</v>
      </c>
      <c r="CT30" s="694"/>
      <c r="CU30" s="694"/>
      <c r="CV30" s="694"/>
      <c r="CW30" s="694"/>
      <c r="CX30" s="694"/>
      <c r="CY30" s="695"/>
      <c r="CZ30" s="693">
        <f t="shared" si="34"/>
        <v>0</v>
      </c>
      <c r="DA30" s="694"/>
      <c r="DB30" s="694"/>
      <c r="DC30" s="694"/>
      <c r="DD30" s="694"/>
      <c r="DE30" s="694"/>
      <c r="DF30" s="695"/>
      <c r="DG30" s="693">
        <f t="shared" si="35"/>
        <v>0</v>
      </c>
      <c r="DH30" s="694"/>
      <c r="DI30" s="694"/>
      <c r="DJ30" s="694"/>
      <c r="DK30" s="694"/>
      <c r="DL30" s="694"/>
      <c r="DM30" s="698"/>
    </row>
    <row r="31" spans="2:117" ht="15" customHeight="1">
      <c r="B31" s="741"/>
      <c r="C31" s="747"/>
      <c r="D31" s="761" t="s">
        <v>521</v>
      </c>
      <c r="E31" s="756">
        <v>261</v>
      </c>
      <c r="F31" s="693">
        <f t="shared" si="20"/>
        <v>0</v>
      </c>
      <c r="G31" s="694"/>
      <c r="H31" s="694"/>
      <c r="I31" s="694"/>
      <c r="J31" s="694"/>
      <c r="K31" s="694"/>
      <c r="L31" s="695"/>
      <c r="M31" s="693">
        <f t="shared" si="21"/>
        <v>0</v>
      </c>
      <c r="N31" s="694"/>
      <c r="O31" s="694"/>
      <c r="P31" s="694"/>
      <c r="Q31" s="694"/>
      <c r="R31" s="694"/>
      <c r="S31" s="695"/>
      <c r="T31" s="693">
        <f t="shared" si="22"/>
        <v>0</v>
      </c>
      <c r="U31" s="694"/>
      <c r="V31" s="694"/>
      <c r="W31" s="694"/>
      <c r="X31" s="694"/>
      <c r="Y31" s="694"/>
      <c r="Z31" s="695"/>
      <c r="AA31" s="693">
        <f t="shared" si="23"/>
        <v>0</v>
      </c>
      <c r="AB31" s="694"/>
      <c r="AC31" s="694"/>
      <c r="AD31" s="694"/>
      <c r="AE31" s="694"/>
      <c r="AF31" s="694"/>
      <c r="AG31" s="695"/>
      <c r="AH31" s="693">
        <f t="shared" si="24"/>
        <v>0</v>
      </c>
      <c r="AI31" s="694"/>
      <c r="AJ31" s="694"/>
      <c r="AK31" s="694"/>
      <c r="AL31" s="694"/>
      <c r="AM31" s="694"/>
      <c r="AN31" s="695"/>
      <c r="AO31" s="693">
        <f t="shared" si="25"/>
        <v>0</v>
      </c>
      <c r="AP31" s="694"/>
      <c r="AQ31" s="694"/>
      <c r="AR31" s="694"/>
      <c r="AS31" s="694"/>
      <c r="AT31" s="694"/>
      <c r="AU31" s="695"/>
      <c r="AV31" s="693">
        <f t="shared" si="26"/>
        <v>0</v>
      </c>
      <c r="AW31" s="694"/>
      <c r="AX31" s="694"/>
      <c r="AY31" s="694"/>
      <c r="AZ31" s="694"/>
      <c r="BA31" s="694"/>
      <c r="BB31" s="695"/>
      <c r="BC31" s="693">
        <f t="shared" si="27"/>
        <v>0</v>
      </c>
      <c r="BD31" s="694"/>
      <c r="BE31" s="694"/>
      <c r="BF31" s="694"/>
      <c r="BG31" s="694"/>
      <c r="BH31" s="694"/>
      <c r="BI31" s="695"/>
      <c r="BJ31" s="693">
        <f t="shared" si="28"/>
        <v>0</v>
      </c>
      <c r="BK31" s="694"/>
      <c r="BL31" s="694"/>
      <c r="BM31" s="694"/>
      <c r="BN31" s="694"/>
      <c r="BO31" s="694"/>
      <c r="BP31" s="695"/>
      <c r="BQ31" s="693">
        <f t="shared" si="29"/>
        <v>0</v>
      </c>
      <c r="BR31" s="694"/>
      <c r="BS31" s="694"/>
      <c r="BT31" s="694"/>
      <c r="BU31" s="694"/>
      <c r="BV31" s="694"/>
      <c r="BW31" s="695"/>
      <c r="BX31" s="693">
        <f t="shared" si="30"/>
        <v>0</v>
      </c>
      <c r="BY31" s="694"/>
      <c r="BZ31" s="694"/>
      <c r="CA31" s="694"/>
      <c r="CB31" s="694"/>
      <c r="CC31" s="694"/>
      <c r="CD31" s="695"/>
      <c r="CE31" s="693">
        <f t="shared" si="31"/>
        <v>0</v>
      </c>
      <c r="CF31" s="694"/>
      <c r="CG31" s="694"/>
      <c r="CH31" s="694"/>
      <c r="CI31" s="694"/>
      <c r="CJ31" s="694"/>
      <c r="CK31" s="695"/>
      <c r="CL31" s="693">
        <f t="shared" si="32"/>
        <v>0</v>
      </c>
      <c r="CM31" s="694"/>
      <c r="CN31" s="694"/>
      <c r="CO31" s="694"/>
      <c r="CP31" s="694"/>
      <c r="CQ31" s="694"/>
      <c r="CR31" s="695"/>
      <c r="CS31" s="693">
        <f t="shared" si="33"/>
        <v>0</v>
      </c>
      <c r="CT31" s="694"/>
      <c r="CU31" s="694"/>
      <c r="CV31" s="694"/>
      <c r="CW31" s="694"/>
      <c r="CX31" s="694"/>
      <c r="CY31" s="695"/>
      <c r="CZ31" s="693">
        <f t="shared" si="34"/>
        <v>0</v>
      </c>
      <c r="DA31" s="694"/>
      <c r="DB31" s="694"/>
      <c r="DC31" s="694"/>
      <c r="DD31" s="694"/>
      <c r="DE31" s="694"/>
      <c r="DF31" s="695"/>
      <c r="DG31" s="693">
        <f t="shared" si="35"/>
        <v>0</v>
      </c>
      <c r="DH31" s="694"/>
      <c r="DI31" s="694"/>
      <c r="DJ31" s="694"/>
      <c r="DK31" s="694"/>
      <c r="DL31" s="694"/>
      <c r="DM31" s="698"/>
    </row>
    <row r="32" spans="2:117" ht="15" customHeight="1">
      <c r="B32" s="741"/>
      <c r="C32" s="747"/>
      <c r="D32" s="761" t="s">
        <v>522</v>
      </c>
      <c r="E32" s="756">
        <v>271</v>
      </c>
      <c r="F32" s="693">
        <f t="shared" si="20"/>
        <v>0</v>
      </c>
      <c r="G32" s="694"/>
      <c r="H32" s="694"/>
      <c r="I32" s="694"/>
      <c r="J32" s="694"/>
      <c r="K32" s="694"/>
      <c r="L32" s="695"/>
      <c r="M32" s="693">
        <f t="shared" si="21"/>
        <v>0</v>
      </c>
      <c r="N32" s="694"/>
      <c r="O32" s="694"/>
      <c r="P32" s="694"/>
      <c r="Q32" s="694"/>
      <c r="R32" s="694"/>
      <c r="S32" s="695"/>
      <c r="T32" s="693">
        <f t="shared" si="22"/>
        <v>0</v>
      </c>
      <c r="U32" s="694"/>
      <c r="V32" s="694"/>
      <c r="W32" s="694"/>
      <c r="X32" s="694"/>
      <c r="Y32" s="694"/>
      <c r="Z32" s="695"/>
      <c r="AA32" s="693">
        <f t="shared" si="23"/>
        <v>0</v>
      </c>
      <c r="AB32" s="694"/>
      <c r="AC32" s="694"/>
      <c r="AD32" s="694"/>
      <c r="AE32" s="694"/>
      <c r="AF32" s="694"/>
      <c r="AG32" s="695"/>
      <c r="AH32" s="693">
        <f t="shared" si="24"/>
        <v>0</v>
      </c>
      <c r="AI32" s="694"/>
      <c r="AJ32" s="694"/>
      <c r="AK32" s="694"/>
      <c r="AL32" s="694"/>
      <c r="AM32" s="694"/>
      <c r="AN32" s="695"/>
      <c r="AO32" s="693">
        <f t="shared" si="25"/>
        <v>0</v>
      </c>
      <c r="AP32" s="694"/>
      <c r="AQ32" s="694"/>
      <c r="AR32" s="694"/>
      <c r="AS32" s="694"/>
      <c r="AT32" s="694"/>
      <c r="AU32" s="695"/>
      <c r="AV32" s="693">
        <f t="shared" si="26"/>
        <v>0</v>
      </c>
      <c r="AW32" s="694"/>
      <c r="AX32" s="694"/>
      <c r="AY32" s="694"/>
      <c r="AZ32" s="694"/>
      <c r="BA32" s="694"/>
      <c r="BB32" s="695"/>
      <c r="BC32" s="693">
        <f t="shared" si="27"/>
        <v>0</v>
      </c>
      <c r="BD32" s="694"/>
      <c r="BE32" s="694"/>
      <c r="BF32" s="694"/>
      <c r="BG32" s="694"/>
      <c r="BH32" s="694"/>
      <c r="BI32" s="695"/>
      <c r="BJ32" s="693">
        <f t="shared" si="28"/>
        <v>0</v>
      </c>
      <c r="BK32" s="694"/>
      <c r="BL32" s="694"/>
      <c r="BM32" s="694"/>
      <c r="BN32" s="694"/>
      <c r="BO32" s="694"/>
      <c r="BP32" s="695"/>
      <c r="BQ32" s="693">
        <f t="shared" si="29"/>
        <v>0</v>
      </c>
      <c r="BR32" s="694"/>
      <c r="BS32" s="694"/>
      <c r="BT32" s="694"/>
      <c r="BU32" s="694"/>
      <c r="BV32" s="694"/>
      <c r="BW32" s="695"/>
      <c r="BX32" s="693">
        <f t="shared" si="30"/>
        <v>0</v>
      </c>
      <c r="BY32" s="694"/>
      <c r="BZ32" s="694"/>
      <c r="CA32" s="694"/>
      <c r="CB32" s="694"/>
      <c r="CC32" s="694"/>
      <c r="CD32" s="695"/>
      <c r="CE32" s="693">
        <f t="shared" si="31"/>
        <v>0</v>
      </c>
      <c r="CF32" s="694"/>
      <c r="CG32" s="694"/>
      <c r="CH32" s="694"/>
      <c r="CI32" s="694"/>
      <c r="CJ32" s="694"/>
      <c r="CK32" s="695"/>
      <c r="CL32" s="693">
        <f t="shared" si="32"/>
        <v>0</v>
      </c>
      <c r="CM32" s="694"/>
      <c r="CN32" s="694"/>
      <c r="CO32" s="694"/>
      <c r="CP32" s="694"/>
      <c r="CQ32" s="694"/>
      <c r="CR32" s="695"/>
      <c r="CS32" s="693">
        <f t="shared" si="33"/>
        <v>0</v>
      </c>
      <c r="CT32" s="694"/>
      <c r="CU32" s="694"/>
      <c r="CV32" s="694"/>
      <c r="CW32" s="694"/>
      <c r="CX32" s="694"/>
      <c r="CY32" s="695"/>
      <c r="CZ32" s="693">
        <f t="shared" si="34"/>
        <v>0</v>
      </c>
      <c r="DA32" s="694"/>
      <c r="DB32" s="694"/>
      <c r="DC32" s="694"/>
      <c r="DD32" s="694"/>
      <c r="DE32" s="694"/>
      <c r="DF32" s="695"/>
      <c r="DG32" s="693">
        <f t="shared" si="35"/>
        <v>0</v>
      </c>
      <c r="DH32" s="694"/>
      <c r="DI32" s="694"/>
      <c r="DJ32" s="694"/>
      <c r="DK32" s="694"/>
      <c r="DL32" s="694"/>
      <c r="DM32" s="698"/>
    </row>
    <row r="33" spans="2:117" ht="33.75">
      <c r="B33" s="741"/>
      <c r="C33" s="747"/>
      <c r="D33" s="761" t="s">
        <v>524</v>
      </c>
      <c r="E33" s="756">
        <v>300</v>
      </c>
      <c r="F33" s="689">
        <f t="shared" ref="F33:BQ33" si="36">SUM(F34:F40)</f>
        <v>0</v>
      </c>
      <c r="G33" s="689">
        <f t="shared" si="36"/>
        <v>0</v>
      </c>
      <c r="H33" s="689">
        <f t="shared" si="36"/>
        <v>0</v>
      </c>
      <c r="I33" s="689">
        <f t="shared" si="36"/>
        <v>0</v>
      </c>
      <c r="J33" s="689">
        <f t="shared" si="36"/>
        <v>0</v>
      </c>
      <c r="K33" s="689">
        <f t="shared" si="36"/>
        <v>0</v>
      </c>
      <c r="L33" s="690">
        <f t="shared" si="36"/>
        <v>0</v>
      </c>
      <c r="M33" s="689">
        <f t="shared" si="36"/>
        <v>0</v>
      </c>
      <c r="N33" s="689">
        <f t="shared" si="36"/>
        <v>0</v>
      </c>
      <c r="O33" s="689">
        <f t="shared" si="36"/>
        <v>0</v>
      </c>
      <c r="P33" s="689">
        <f t="shared" si="36"/>
        <v>0</v>
      </c>
      <c r="Q33" s="689">
        <f t="shared" si="36"/>
        <v>0</v>
      </c>
      <c r="R33" s="689">
        <f t="shared" si="36"/>
        <v>0</v>
      </c>
      <c r="S33" s="690">
        <f t="shared" si="36"/>
        <v>0</v>
      </c>
      <c r="T33" s="689">
        <f t="shared" si="36"/>
        <v>0</v>
      </c>
      <c r="U33" s="689">
        <f t="shared" si="36"/>
        <v>0</v>
      </c>
      <c r="V33" s="689">
        <f t="shared" si="36"/>
        <v>0</v>
      </c>
      <c r="W33" s="689">
        <f t="shared" si="36"/>
        <v>0</v>
      </c>
      <c r="X33" s="689">
        <f t="shared" si="36"/>
        <v>0</v>
      </c>
      <c r="Y33" s="689">
        <f t="shared" si="36"/>
        <v>0</v>
      </c>
      <c r="Z33" s="690">
        <f t="shared" si="36"/>
        <v>0</v>
      </c>
      <c r="AA33" s="689">
        <f t="shared" si="36"/>
        <v>0</v>
      </c>
      <c r="AB33" s="689">
        <f t="shared" si="36"/>
        <v>0</v>
      </c>
      <c r="AC33" s="689">
        <f t="shared" si="36"/>
        <v>0</v>
      </c>
      <c r="AD33" s="689">
        <f t="shared" si="36"/>
        <v>0</v>
      </c>
      <c r="AE33" s="689">
        <f t="shared" si="36"/>
        <v>0</v>
      </c>
      <c r="AF33" s="689">
        <f t="shared" si="36"/>
        <v>0</v>
      </c>
      <c r="AG33" s="690">
        <f t="shared" si="36"/>
        <v>0</v>
      </c>
      <c r="AH33" s="689">
        <f t="shared" si="36"/>
        <v>0</v>
      </c>
      <c r="AI33" s="689">
        <f t="shared" si="36"/>
        <v>0</v>
      </c>
      <c r="AJ33" s="689">
        <f t="shared" si="36"/>
        <v>0</v>
      </c>
      <c r="AK33" s="689">
        <f t="shared" si="36"/>
        <v>0</v>
      </c>
      <c r="AL33" s="689">
        <f t="shared" si="36"/>
        <v>0</v>
      </c>
      <c r="AM33" s="689">
        <f t="shared" si="36"/>
        <v>0</v>
      </c>
      <c r="AN33" s="690">
        <f t="shared" si="36"/>
        <v>0</v>
      </c>
      <c r="AO33" s="689">
        <f t="shared" si="36"/>
        <v>0</v>
      </c>
      <c r="AP33" s="689">
        <f t="shared" si="36"/>
        <v>0</v>
      </c>
      <c r="AQ33" s="689">
        <f t="shared" si="36"/>
        <v>0</v>
      </c>
      <c r="AR33" s="689">
        <f t="shared" si="36"/>
        <v>0</v>
      </c>
      <c r="AS33" s="689">
        <f t="shared" si="36"/>
        <v>0</v>
      </c>
      <c r="AT33" s="689">
        <f t="shared" si="36"/>
        <v>0</v>
      </c>
      <c r="AU33" s="690">
        <f t="shared" si="36"/>
        <v>0</v>
      </c>
      <c r="AV33" s="689">
        <f t="shared" si="36"/>
        <v>0</v>
      </c>
      <c r="AW33" s="689">
        <f t="shared" si="36"/>
        <v>0</v>
      </c>
      <c r="AX33" s="689">
        <f t="shared" si="36"/>
        <v>0</v>
      </c>
      <c r="AY33" s="689">
        <f t="shared" si="36"/>
        <v>0</v>
      </c>
      <c r="AZ33" s="689">
        <f t="shared" si="36"/>
        <v>0</v>
      </c>
      <c r="BA33" s="689">
        <f t="shared" si="36"/>
        <v>0</v>
      </c>
      <c r="BB33" s="690">
        <f t="shared" si="36"/>
        <v>0</v>
      </c>
      <c r="BC33" s="689">
        <f t="shared" si="36"/>
        <v>0</v>
      </c>
      <c r="BD33" s="689">
        <f t="shared" si="36"/>
        <v>0</v>
      </c>
      <c r="BE33" s="689">
        <f t="shared" si="36"/>
        <v>0</v>
      </c>
      <c r="BF33" s="689">
        <f t="shared" si="36"/>
        <v>0</v>
      </c>
      <c r="BG33" s="689">
        <f t="shared" si="36"/>
        <v>0</v>
      </c>
      <c r="BH33" s="689">
        <f t="shared" si="36"/>
        <v>0</v>
      </c>
      <c r="BI33" s="690">
        <f t="shared" si="36"/>
        <v>0</v>
      </c>
      <c r="BJ33" s="689">
        <f t="shared" si="36"/>
        <v>0</v>
      </c>
      <c r="BK33" s="689">
        <f t="shared" si="36"/>
        <v>0</v>
      </c>
      <c r="BL33" s="689">
        <f t="shared" si="36"/>
        <v>0</v>
      </c>
      <c r="BM33" s="689">
        <f t="shared" si="36"/>
        <v>0</v>
      </c>
      <c r="BN33" s="689">
        <f t="shared" si="36"/>
        <v>0</v>
      </c>
      <c r="BO33" s="689">
        <f t="shared" si="36"/>
        <v>0</v>
      </c>
      <c r="BP33" s="690">
        <f t="shared" si="36"/>
        <v>0</v>
      </c>
      <c r="BQ33" s="689">
        <f t="shared" si="36"/>
        <v>0</v>
      </c>
      <c r="BR33" s="689">
        <f t="shared" ref="BR33:DM33" si="37">SUM(BR34:BR40)</f>
        <v>0</v>
      </c>
      <c r="BS33" s="689">
        <f t="shared" si="37"/>
        <v>0</v>
      </c>
      <c r="BT33" s="689">
        <f t="shared" si="37"/>
        <v>0</v>
      </c>
      <c r="BU33" s="689">
        <f t="shared" si="37"/>
        <v>0</v>
      </c>
      <c r="BV33" s="689">
        <f t="shared" si="37"/>
        <v>0</v>
      </c>
      <c r="BW33" s="690">
        <f t="shared" si="37"/>
        <v>0</v>
      </c>
      <c r="BX33" s="689">
        <f t="shared" si="37"/>
        <v>0</v>
      </c>
      <c r="BY33" s="689">
        <f t="shared" si="37"/>
        <v>0</v>
      </c>
      <c r="BZ33" s="689">
        <f t="shared" si="37"/>
        <v>0</v>
      </c>
      <c r="CA33" s="689">
        <f t="shared" si="37"/>
        <v>0</v>
      </c>
      <c r="CB33" s="689">
        <f t="shared" si="37"/>
        <v>0</v>
      </c>
      <c r="CC33" s="689">
        <f t="shared" si="37"/>
        <v>0</v>
      </c>
      <c r="CD33" s="690">
        <f t="shared" si="37"/>
        <v>0</v>
      </c>
      <c r="CE33" s="689">
        <f t="shared" si="37"/>
        <v>0</v>
      </c>
      <c r="CF33" s="689">
        <f t="shared" si="37"/>
        <v>0</v>
      </c>
      <c r="CG33" s="689">
        <f t="shared" si="37"/>
        <v>0</v>
      </c>
      <c r="CH33" s="689">
        <f t="shared" si="37"/>
        <v>0</v>
      </c>
      <c r="CI33" s="689">
        <f t="shared" si="37"/>
        <v>0</v>
      </c>
      <c r="CJ33" s="689">
        <f t="shared" si="37"/>
        <v>0</v>
      </c>
      <c r="CK33" s="690">
        <f t="shared" si="37"/>
        <v>0</v>
      </c>
      <c r="CL33" s="689">
        <f t="shared" si="37"/>
        <v>0</v>
      </c>
      <c r="CM33" s="689">
        <f t="shared" si="37"/>
        <v>0</v>
      </c>
      <c r="CN33" s="689">
        <f t="shared" si="37"/>
        <v>0</v>
      </c>
      <c r="CO33" s="689">
        <f t="shared" si="37"/>
        <v>0</v>
      </c>
      <c r="CP33" s="689">
        <f t="shared" si="37"/>
        <v>0</v>
      </c>
      <c r="CQ33" s="689">
        <f t="shared" si="37"/>
        <v>0</v>
      </c>
      <c r="CR33" s="690">
        <f t="shared" si="37"/>
        <v>0</v>
      </c>
      <c r="CS33" s="689">
        <f t="shared" si="37"/>
        <v>0</v>
      </c>
      <c r="CT33" s="689">
        <f t="shared" si="37"/>
        <v>0</v>
      </c>
      <c r="CU33" s="689">
        <f t="shared" si="37"/>
        <v>0</v>
      </c>
      <c r="CV33" s="689">
        <f t="shared" si="37"/>
        <v>0</v>
      </c>
      <c r="CW33" s="689">
        <f t="shared" si="37"/>
        <v>0</v>
      </c>
      <c r="CX33" s="689">
        <f t="shared" si="37"/>
        <v>0</v>
      </c>
      <c r="CY33" s="690">
        <f t="shared" si="37"/>
        <v>0</v>
      </c>
      <c r="CZ33" s="689">
        <f t="shared" si="37"/>
        <v>0</v>
      </c>
      <c r="DA33" s="689">
        <f t="shared" si="37"/>
        <v>0</v>
      </c>
      <c r="DB33" s="689">
        <f t="shared" si="37"/>
        <v>0</v>
      </c>
      <c r="DC33" s="689">
        <f t="shared" si="37"/>
        <v>0</v>
      </c>
      <c r="DD33" s="689">
        <f t="shared" si="37"/>
        <v>0</v>
      </c>
      <c r="DE33" s="689">
        <f t="shared" si="37"/>
        <v>0</v>
      </c>
      <c r="DF33" s="690">
        <f t="shared" si="37"/>
        <v>0</v>
      </c>
      <c r="DG33" s="689">
        <f t="shared" si="37"/>
        <v>0</v>
      </c>
      <c r="DH33" s="689">
        <f t="shared" si="37"/>
        <v>0</v>
      </c>
      <c r="DI33" s="689">
        <f t="shared" si="37"/>
        <v>0</v>
      </c>
      <c r="DJ33" s="689">
        <f t="shared" si="37"/>
        <v>0</v>
      </c>
      <c r="DK33" s="689">
        <f t="shared" si="37"/>
        <v>0</v>
      </c>
      <c r="DL33" s="689">
        <f t="shared" si="37"/>
        <v>0</v>
      </c>
      <c r="DM33" s="699">
        <f t="shared" si="37"/>
        <v>0</v>
      </c>
    </row>
    <row r="34" spans="2:117" ht="22.5">
      <c r="B34" s="741"/>
      <c r="C34" s="747"/>
      <c r="D34" s="761" t="s">
        <v>516</v>
      </c>
      <c r="E34" s="756">
        <v>311</v>
      </c>
      <c r="F34" s="693">
        <f>SUM(G34:L34)</f>
        <v>0</v>
      </c>
      <c r="G34" s="694"/>
      <c r="H34" s="694"/>
      <c r="I34" s="694"/>
      <c r="J34" s="694"/>
      <c r="K34" s="694"/>
      <c r="L34" s="695"/>
      <c r="M34" s="693">
        <f>SUM(N34:S34)</f>
        <v>0</v>
      </c>
      <c r="N34" s="694"/>
      <c r="O34" s="694"/>
      <c r="P34" s="694"/>
      <c r="Q34" s="694"/>
      <c r="R34" s="694"/>
      <c r="S34" s="695"/>
      <c r="T34" s="693">
        <f>SUM(U34:Z34)</f>
        <v>0</v>
      </c>
      <c r="U34" s="694"/>
      <c r="V34" s="694"/>
      <c r="W34" s="694"/>
      <c r="X34" s="694"/>
      <c r="Y34" s="694"/>
      <c r="Z34" s="695"/>
      <c r="AA34" s="693">
        <f>SUM(AB34:AG34)</f>
        <v>0</v>
      </c>
      <c r="AB34" s="694"/>
      <c r="AC34" s="694"/>
      <c r="AD34" s="694"/>
      <c r="AE34" s="694"/>
      <c r="AF34" s="694"/>
      <c r="AG34" s="695"/>
      <c r="AH34" s="693">
        <f>SUM(AI34:AN34)</f>
        <v>0</v>
      </c>
      <c r="AI34" s="694"/>
      <c r="AJ34" s="694"/>
      <c r="AK34" s="694"/>
      <c r="AL34" s="694"/>
      <c r="AM34" s="694"/>
      <c r="AN34" s="695"/>
      <c r="AO34" s="693">
        <f>SUM(AP34:AU34)</f>
        <v>0</v>
      </c>
      <c r="AP34" s="694"/>
      <c r="AQ34" s="694"/>
      <c r="AR34" s="694"/>
      <c r="AS34" s="694"/>
      <c r="AT34" s="694"/>
      <c r="AU34" s="695"/>
      <c r="AV34" s="693">
        <f>SUM(AW34:BB34)</f>
        <v>0</v>
      </c>
      <c r="AW34" s="694"/>
      <c r="AX34" s="694"/>
      <c r="AY34" s="694"/>
      <c r="AZ34" s="694"/>
      <c r="BA34" s="694"/>
      <c r="BB34" s="695"/>
      <c r="BC34" s="693">
        <f>SUM(BD34:BI34)</f>
        <v>0</v>
      </c>
      <c r="BD34" s="694"/>
      <c r="BE34" s="694"/>
      <c r="BF34" s="694"/>
      <c r="BG34" s="694"/>
      <c r="BH34" s="694"/>
      <c r="BI34" s="695"/>
      <c r="BJ34" s="693">
        <f>SUM(BK34:BP34)</f>
        <v>0</v>
      </c>
      <c r="BK34" s="694"/>
      <c r="BL34" s="694"/>
      <c r="BM34" s="694"/>
      <c r="BN34" s="694"/>
      <c r="BO34" s="694"/>
      <c r="BP34" s="695"/>
      <c r="BQ34" s="693">
        <f>SUM(BR34:BW34)</f>
        <v>0</v>
      </c>
      <c r="BR34" s="694"/>
      <c r="BS34" s="694"/>
      <c r="BT34" s="694"/>
      <c r="BU34" s="694"/>
      <c r="BV34" s="694"/>
      <c r="BW34" s="695"/>
      <c r="BX34" s="693">
        <f>SUM(BY34:CD34)</f>
        <v>0</v>
      </c>
      <c r="BY34" s="694"/>
      <c r="BZ34" s="694"/>
      <c r="CA34" s="694"/>
      <c r="CB34" s="694"/>
      <c r="CC34" s="694"/>
      <c r="CD34" s="695"/>
      <c r="CE34" s="693">
        <f>SUM(CF34:CK34)</f>
        <v>0</v>
      </c>
      <c r="CF34" s="694"/>
      <c r="CG34" s="694"/>
      <c r="CH34" s="694"/>
      <c r="CI34" s="694"/>
      <c r="CJ34" s="694"/>
      <c r="CK34" s="695"/>
      <c r="CL34" s="693">
        <f>SUM(CM34:CR34)</f>
        <v>0</v>
      </c>
      <c r="CM34" s="694"/>
      <c r="CN34" s="694"/>
      <c r="CO34" s="694"/>
      <c r="CP34" s="694"/>
      <c r="CQ34" s="694"/>
      <c r="CR34" s="695"/>
      <c r="CS34" s="693">
        <f>SUM(CT34:CY34)</f>
        <v>0</v>
      </c>
      <c r="CT34" s="694"/>
      <c r="CU34" s="694"/>
      <c r="CV34" s="694"/>
      <c r="CW34" s="694"/>
      <c r="CX34" s="694"/>
      <c r="CY34" s="695"/>
      <c r="CZ34" s="693">
        <f>SUM(DA34:DF34)</f>
        <v>0</v>
      </c>
      <c r="DA34" s="694"/>
      <c r="DB34" s="694"/>
      <c r="DC34" s="694"/>
      <c r="DD34" s="694"/>
      <c r="DE34" s="694"/>
      <c r="DF34" s="695"/>
      <c r="DG34" s="693">
        <f>SUM(DH34:DM34)</f>
        <v>0</v>
      </c>
      <c r="DH34" s="694"/>
      <c r="DI34" s="694"/>
      <c r="DJ34" s="694"/>
      <c r="DK34" s="694"/>
      <c r="DL34" s="694"/>
      <c r="DM34" s="698"/>
    </row>
    <row r="35" spans="2:117" ht="22.5">
      <c r="B35" s="741"/>
      <c r="C35" s="747"/>
      <c r="D35" s="761" t="s">
        <v>517</v>
      </c>
      <c r="E35" s="756">
        <v>321</v>
      </c>
      <c r="F35" s="693">
        <f t="shared" ref="F35:F40" si="38">SUM(G35:L35)</f>
        <v>0</v>
      </c>
      <c r="G35" s="694"/>
      <c r="H35" s="694"/>
      <c r="I35" s="694"/>
      <c r="J35" s="694"/>
      <c r="K35" s="694"/>
      <c r="L35" s="695"/>
      <c r="M35" s="693">
        <f t="shared" ref="M35:M40" si="39">SUM(N35:S35)</f>
        <v>0</v>
      </c>
      <c r="N35" s="694"/>
      <c r="O35" s="694"/>
      <c r="P35" s="694"/>
      <c r="Q35" s="694"/>
      <c r="R35" s="694"/>
      <c r="S35" s="695"/>
      <c r="T35" s="693">
        <f t="shared" ref="T35:T40" si="40">SUM(U35:Z35)</f>
        <v>0</v>
      </c>
      <c r="U35" s="694"/>
      <c r="V35" s="694"/>
      <c r="W35" s="694"/>
      <c r="X35" s="694"/>
      <c r="Y35" s="694"/>
      <c r="Z35" s="695"/>
      <c r="AA35" s="693">
        <f t="shared" ref="AA35:AA40" si="41">SUM(AB35:AG35)</f>
        <v>0</v>
      </c>
      <c r="AB35" s="694"/>
      <c r="AC35" s="694"/>
      <c r="AD35" s="694"/>
      <c r="AE35" s="694"/>
      <c r="AF35" s="694"/>
      <c r="AG35" s="695"/>
      <c r="AH35" s="693">
        <f t="shared" ref="AH35:AH40" si="42">SUM(AI35:AN35)</f>
        <v>0</v>
      </c>
      <c r="AI35" s="694"/>
      <c r="AJ35" s="694"/>
      <c r="AK35" s="694"/>
      <c r="AL35" s="694"/>
      <c r="AM35" s="694"/>
      <c r="AN35" s="695"/>
      <c r="AO35" s="693">
        <f t="shared" ref="AO35:AO40" si="43">SUM(AP35:AU35)</f>
        <v>0</v>
      </c>
      <c r="AP35" s="694"/>
      <c r="AQ35" s="694"/>
      <c r="AR35" s="694"/>
      <c r="AS35" s="694"/>
      <c r="AT35" s="694"/>
      <c r="AU35" s="695"/>
      <c r="AV35" s="693">
        <f t="shared" ref="AV35:AV40" si="44">SUM(AW35:BB35)</f>
        <v>0</v>
      </c>
      <c r="AW35" s="694"/>
      <c r="AX35" s="694"/>
      <c r="AY35" s="694"/>
      <c r="AZ35" s="694"/>
      <c r="BA35" s="694"/>
      <c r="BB35" s="695"/>
      <c r="BC35" s="693">
        <f t="shared" ref="BC35:BC40" si="45">SUM(BD35:BI35)</f>
        <v>0</v>
      </c>
      <c r="BD35" s="694"/>
      <c r="BE35" s="694"/>
      <c r="BF35" s="694"/>
      <c r="BG35" s="694"/>
      <c r="BH35" s="694"/>
      <c r="BI35" s="695"/>
      <c r="BJ35" s="693">
        <f t="shared" ref="BJ35:BJ40" si="46">SUM(BK35:BP35)</f>
        <v>0</v>
      </c>
      <c r="BK35" s="694"/>
      <c r="BL35" s="694"/>
      <c r="BM35" s="694"/>
      <c r="BN35" s="694"/>
      <c r="BO35" s="694"/>
      <c r="BP35" s="695"/>
      <c r="BQ35" s="693">
        <f t="shared" ref="BQ35:BQ40" si="47">SUM(BR35:BW35)</f>
        <v>0</v>
      </c>
      <c r="BR35" s="694"/>
      <c r="BS35" s="694"/>
      <c r="BT35" s="694"/>
      <c r="BU35" s="694"/>
      <c r="BV35" s="694"/>
      <c r="BW35" s="695"/>
      <c r="BX35" s="693">
        <f t="shared" ref="BX35:BX40" si="48">SUM(BY35:CD35)</f>
        <v>0</v>
      </c>
      <c r="BY35" s="694"/>
      <c r="BZ35" s="694"/>
      <c r="CA35" s="694"/>
      <c r="CB35" s="694"/>
      <c r="CC35" s="694"/>
      <c r="CD35" s="695"/>
      <c r="CE35" s="693">
        <f t="shared" ref="CE35:CE40" si="49">SUM(CF35:CK35)</f>
        <v>0</v>
      </c>
      <c r="CF35" s="694"/>
      <c r="CG35" s="694"/>
      <c r="CH35" s="694"/>
      <c r="CI35" s="694"/>
      <c r="CJ35" s="694"/>
      <c r="CK35" s="695"/>
      <c r="CL35" s="693">
        <f t="shared" ref="CL35:CL40" si="50">SUM(CM35:CR35)</f>
        <v>0</v>
      </c>
      <c r="CM35" s="694"/>
      <c r="CN35" s="694"/>
      <c r="CO35" s="694"/>
      <c r="CP35" s="694"/>
      <c r="CQ35" s="694"/>
      <c r="CR35" s="695"/>
      <c r="CS35" s="693">
        <f t="shared" ref="CS35:CS40" si="51">SUM(CT35:CY35)</f>
        <v>0</v>
      </c>
      <c r="CT35" s="694"/>
      <c r="CU35" s="694"/>
      <c r="CV35" s="694"/>
      <c r="CW35" s="694"/>
      <c r="CX35" s="694"/>
      <c r="CY35" s="695"/>
      <c r="CZ35" s="693">
        <f t="shared" ref="CZ35:CZ40" si="52">SUM(DA35:DF35)</f>
        <v>0</v>
      </c>
      <c r="DA35" s="694"/>
      <c r="DB35" s="694"/>
      <c r="DC35" s="694"/>
      <c r="DD35" s="694"/>
      <c r="DE35" s="694"/>
      <c r="DF35" s="695"/>
      <c r="DG35" s="693">
        <f t="shared" ref="DG35:DG40" si="53">SUM(DH35:DM35)</f>
        <v>0</v>
      </c>
      <c r="DH35" s="694"/>
      <c r="DI35" s="694"/>
      <c r="DJ35" s="694"/>
      <c r="DK35" s="694"/>
      <c r="DL35" s="694"/>
      <c r="DM35" s="698"/>
    </row>
    <row r="36" spans="2:117" ht="15" customHeight="1">
      <c r="C36" s="746"/>
      <c r="D36" s="761" t="s">
        <v>518</v>
      </c>
      <c r="E36" s="756">
        <v>331</v>
      </c>
      <c r="F36" s="693">
        <f t="shared" si="38"/>
        <v>0</v>
      </c>
      <c r="G36" s="694"/>
      <c r="H36" s="694"/>
      <c r="I36" s="694"/>
      <c r="J36" s="694"/>
      <c r="K36" s="694"/>
      <c r="L36" s="695"/>
      <c r="M36" s="693">
        <f t="shared" si="39"/>
        <v>0</v>
      </c>
      <c r="N36" s="694"/>
      <c r="O36" s="694"/>
      <c r="P36" s="694"/>
      <c r="Q36" s="694"/>
      <c r="R36" s="694"/>
      <c r="S36" s="695"/>
      <c r="T36" s="693">
        <f t="shared" si="40"/>
        <v>0</v>
      </c>
      <c r="U36" s="694"/>
      <c r="V36" s="694"/>
      <c r="W36" s="694"/>
      <c r="X36" s="694"/>
      <c r="Y36" s="694"/>
      <c r="Z36" s="695"/>
      <c r="AA36" s="693">
        <f t="shared" si="41"/>
        <v>0</v>
      </c>
      <c r="AB36" s="694"/>
      <c r="AC36" s="694"/>
      <c r="AD36" s="694"/>
      <c r="AE36" s="694"/>
      <c r="AF36" s="694"/>
      <c r="AG36" s="695"/>
      <c r="AH36" s="693">
        <f t="shared" si="42"/>
        <v>0</v>
      </c>
      <c r="AI36" s="694"/>
      <c r="AJ36" s="694"/>
      <c r="AK36" s="694"/>
      <c r="AL36" s="694"/>
      <c r="AM36" s="694"/>
      <c r="AN36" s="695"/>
      <c r="AO36" s="693">
        <f t="shared" si="43"/>
        <v>0</v>
      </c>
      <c r="AP36" s="694"/>
      <c r="AQ36" s="694"/>
      <c r="AR36" s="694"/>
      <c r="AS36" s="694"/>
      <c r="AT36" s="694"/>
      <c r="AU36" s="695"/>
      <c r="AV36" s="693">
        <f t="shared" si="44"/>
        <v>0</v>
      </c>
      <c r="AW36" s="694"/>
      <c r="AX36" s="694"/>
      <c r="AY36" s="694"/>
      <c r="AZ36" s="694"/>
      <c r="BA36" s="694"/>
      <c r="BB36" s="695"/>
      <c r="BC36" s="693">
        <f t="shared" si="45"/>
        <v>0</v>
      </c>
      <c r="BD36" s="694"/>
      <c r="BE36" s="694"/>
      <c r="BF36" s="694"/>
      <c r="BG36" s="694"/>
      <c r="BH36" s="694"/>
      <c r="BI36" s="695"/>
      <c r="BJ36" s="693">
        <f t="shared" si="46"/>
        <v>0</v>
      </c>
      <c r="BK36" s="694"/>
      <c r="BL36" s="694"/>
      <c r="BM36" s="694"/>
      <c r="BN36" s="694"/>
      <c r="BO36" s="694"/>
      <c r="BP36" s="695"/>
      <c r="BQ36" s="693">
        <f t="shared" si="47"/>
        <v>0</v>
      </c>
      <c r="BR36" s="694"/>
      <c r="BS36" s="694"/>
      <c r="BT36" s="694"/>
      <c r="BU36" s="694"/>
      <c r="BV36" s="694"/>
      <c r="BW36" s="695"/>
      <c r="BX36" s="693">
        <f t="shared" si="48"/>
        <v>0</v>
      </c>
      <c r="BY36" s="694"/>
      <c r="BZ36" s="694"/>
      <c r="CA36" s="694"/>
      <c r="CB36" s="694"/>
      <c r="CC36" s="694"/>
      <c r="CD36" s="695"/>
      <c r="CE36" s="693">
        <f t="shared" si="49"/>
        <v>0</v>
      </c>
      <c r="CF36" s="694"/>
      <c r="CG36" s="694"/>
      <c r="CH36" s="694"/>
      <c r="CI36" s="694"/>
      <c r="CJ36" s="694"/>
      <c r="CK36" s="695"/>
      <c r="CL36" s="693">
        <f t="shared" si="50"/>
        <v>0</v>
      </c>
      <c r="CM36" s="694"/>
      <c r="CN36" s="694"/>
      <c r="CO36" s="694"/>
      <c r="CP36" s="694"/>
      <c r="CQ36" s="694"/>
      <c r="CR36" s="695"/>
      <c r="CS36" s="693">
        <f t="shared" si="51"/>
        <v>0</v>
      </c>
      <c r="CT36" s="694"/>
      <c r="CU36" s="694"/>
      <c r="CV36" s="694"/>
      <c r="CW36" s="694"/>
      <c r="CX36" s="694"/>
      <c r="CY36" s="695"/>
      <c r="CZ36" s="693">
        <f t="shared" si="52"/>
        <v>0</v>
      </c>
      <c r="DA36" s="694"/>
      <c r="DB36" s="694"/>
      <c r="DC36" s="694"/>
      <c r="DD36" s="694"/>
      <c r="DE36" s="694"/>
      <c r="DF36" s="695"/>
      <c r="DG36" s="693">
        <f t="shared" si="53"/>
        <v>0</v>
      </c>
      <c r="DH36" s="694"/>
      <c r="DI36" s="694"/>
      <c r="DJ36" s="694"/>
      <c r="DK36" s="694"/>
      <c r="DL36" s="694"/>
      <c r="DM36" s="698"/>
    </row>
    <row r="37" spans="2:117" ht="15" customHeight="1">
      <c r="C37" s="746"/>
      <c r="D37" s="761" t="s">
        <v>519</v>
      </c>
      <c r="E37" s="756">
        <v>341</v>
      </c>
      <c r="F37" s="693">
        <f t="shared" si="38"/>
        <v>0</v>
      </c>
      <c r="G37" s="694"/>
      <c r="H37" s="694">
        <f>IFERROR('Шаблон 46 ГП'!E70/1000,0)</f>
        <v>0</v>
      </c>
      <c r="I37" s="694">
        <f>IFERROR('Шаблон 46 ГП'!F70/1000,0)</f>
        <v>0</v>
      </c>
      <c r="J37" s="694">
        <f>IFERROR('Шаблон 46 ГП'!G70/1000,0)</f>
        <v>0</v>
      </c>
      <c r="K37" s="694"/>
      <c r="L37" s="695"/>
      <c r="M37" s="693">
        <f t="shared" si="39"/>
        <v>0</v>
      </c>
      <c r="N37" s="694"/>
      <c r="O37" s="694">
        <f>IFERROR('Шаблон 46 ГП'!N70/1000,0)</f>
        <v>0</v>
      </c>
      <c r="P37" s="694">
        <f>IFERROR('Шаблон 46 ГП'!O70/1000,0)</f>
        <v>0</v>
      </c>
      <c r="Q37" s="694">
        <f>IFERROR('Шаблон 46 ГП'!P70/1000,0)</f>
        <v>0</v>
      </c>
      <c r="R37" s="694"/>
      <c r="S37" s="695"/>
      <c r="T37" s="693">
        <f t="shared" si="40"/>
        <v>0</v>
      </c>
      <c r="U37" s="694"/>
      <c r="V37" s="694"/>
      <c r="W37" s="694"/>
      <c r="X37" s="694"/>
      <c r="Y37" s="694"/>
      <c r="Z37" s="695"/>
      <c r="AA37" s="693">
        <f t="shared" si="41"/>
        <v>0</v>
      </c>
      <c r="AB37" s="694"/>
      <c r="AC37" s="694"/>
      <c r="AD37" s="694"/>
      <c r="AE37" s="694"/>
      <c r="AF37" s="694"/>
      <c r="AG37" s="695"/>
      <c r="AH37" s="693">
        <f t="shared" si="42"/>
        <v>0</v>
      </c>
      <c r="AI37" s="694"/>
      <c r="AJ37" s="694"/>
      <c r="AK37" s="694"/>
      <c r="AL37" s="694"/>
      <c r="AM37" s="694"/>
      <c r="AN37" s="695"/>
      <c r="AO37" s="693">
        <f t="shared" si="43"/>
        <v>0</v>
      </c>
      <c r="AP37" s="694"/>
      <c r="AQ37" s="694"/>
      <c r="AR37" s="694"/>
      <c r="AS37" s="694"/>
      <c r="AT37" s="694"/>
      <c r="AU37" s="695"/>
      <c r="AV37" s="693">
        <f t="shared" si="44"/>
        <v>0</v>
      </c>
      <c r="AW37" s="694"/>
      <c r="AX37" s="694"/>
      <c r="AY37" s="694"/>
      <c r="AZ37" s="694"/>
      <c r="BA37" s="694"/>
      <c r="BB37" s="695"/>
      <c r="BC37" s="693">
        <f t="shared" si="45"/>
        <v>0</v>
      </c>
      <c r="BD37" s="694"/>
      <c r="BE37" s="694"/>
      <c r="BF37" s="694"/>
      <c r="BG37" s="694"/>
      <c r="BH37" s="694"/>
      <c r="BI37" s="695"/>
      <c r="BJ37" s="693">
        <f t="shared" si="46"/>
        <v>0</v>
      </c>
      <c r="BK37" s="694"/>
      <c r="BL37" s="694"/>
      <c r="BM37" s="694"/>
      <c r="BN37" s="694"/>
      <c r="BO37" s="694"/>
      <c r="BP37" s="695"/>
      <c r="BQ37" s="693">
        <f t="shared" si="47"/>
        <v>0</v>
      </c>
      <c r="BR37" s="694"/>
      <c r="BS37" s="694"/>
      <c r="BT37" s="694"/>
      <c r="BU37" s="694"/>
      <c r="BV37" s="694"/>
      <c r="BW37" s="695"/>
      <c r="BX37" s="693">
        <f t="shared" si="48"/>
        <v>0</v>
      </c>
      <c r="BY37" s="694"/>
      <c r="BZ37" s="694"/>
      <c r="CA37" s="694"/>
      <c r="CB37" s="694"/>
      <c r="CC37" s="694"/>
      <c r="CD37" s="695"/>
      <c r="CE37" s="693">
        <f t="shared" si="49"/>
        <v>0</v>
      </c>
      <c r="CF37" s="694"/>
      <c r="CG37" s="694"/>
      <c r="CH37" s="694"/>
      <c r="CI37" s="694"/>
      <c r="CJ37" s="694"/>
      <c r="CK37" s="695"/>
      <c r="CL37" s="693">
        <f t="shared" si="50"/>
        <v>0</v>
      </c>
      <c r="CM37" s="694"/>
      <c r="CN37" s="694"/>
      <c r="CO37" s="694"/>
      <c r="CP37" s="694"/>
      <c r="CQ37" s="694"/>
      <c r="CR37" s="695"/>
      <c r="CS37" s="693">
        <f t="shared" si="51"/>
        <v>0</v>
      </c>
      <c r="CT37" s="694"/>
      <c r="CU37" s="694"/>
      <c r="CV37" s="694"/>
      <c r="CW37" s="694"/>
      <c r="CX37" s="694"/>
      <c r="CY37" s="695"/>
      <c r="CZ37" s="693">
        <f t="shared" si="52"/>
        <v>0</v>
      </c>
      <c r="DA37" s="694"/>
      <c r="DB37" s="694"/>
      <c r="DC37" s="694"/>
      <c r="DD37" s="694"/>
      <c r="DE37" s="694"/>
      <c r="DF37" s="695"/>
      <c r="DG37" s="693">
        <f t="shared" si="53"/>
        <v>0</v>
      </c>
      <c r="DH37" s="694"/>
      <c r="DI37" s="694"/>
      <c r="DJ37" s="694"/>
      <c r="DK37" s="694"/>
      <c r="DL37" s="694"/>
      <c r="DM37" s="698"/>
    </row>
    <row r="38" spans="2:117" ht="15" customHeight="1">
      <c r="C38" s="746"/>
      <c r="D38" s="762" t="s">
        <v>520</v>
      </c>
      <c r="E38" s="756">
        <v>351</v>
      </c>
      <c r="F38" s="693">
        <f t="shared" si="38"/>
        <v>0</v>
      </c>
      <c r="G38" s="694"/>
      <c r="H38" s="694"/>
      <c r="I38" s="694"/>
      <c r="J38" s="694"/>
      <c r="K38" s="694"/>
      <c r="L38" s="695"/>
      <c r="M38" s="693">
        <f t="shared" si="39"/>
        <v>0</v>
      </c>
      <c r="N38" s="694"/>
      <c r="O38" s="694"/>
      <c r="P38" s="694"/>
      <c r="Q38" s="694"/>
      <c r="R38" s="694"/>
      <c r="S38" s="695"/>
      <c r="T38" s="693">
        <f t="shared" si="40"/>
        <v>0</v>
      </c>
      <c r="U38" s="694"/>
      <c r="V38" s="694"/>
      <c r="W38" s="694"/>
      <c r="X38" s="694"/>
      <c r="Y38" s="694"/>
      <c r="Z38" s="695"/>
      <c r="AA38" s="693">
        <f t="shared" si="41"/>
        <v>0</v>
      </c>
      <c r="AB38" s="694"/>
      <c r="AC38" s="694"/>
      <c r="AD38" s="694"/>
      <c r="AE38" s="694"/>
      <c r="AF38" s="694"/>
      <c r="AG38" s="695"/>
      <c r="AH38" s="693">
        <f t="shared" si="42"/>
        <v>0</v>
      </c>
      <c r="AI38" s="694"/>
      <c r="AJ38" s="694"/>
      <c r="AK38" s="694"/>
      <c r="AL38" s="694"/>
      <c r="AM38" s="694"/>
      <c r="AN38" s="695"/>
      <c r="AO38" s="693">
        <f t="shared" si="43"/>
        <v>0</v>
      </c>
      <c r="AP38" s="694"/>
      <c r="AQ38" s="694"/>
      <c r="AR38" s="694"/>
      <c r="AS38" s="694"/>
      <c r="AT38" s="694"/>
      <c r="AU38" s="695"/>
      <c r="AV38" s="693">
        <f t="shared" si="44"/>
        <v>0</v>
      </c>
      <c r="AW38" s="694"/>
      <c r="AX38" s="694"/>
      <c r="AY38" s="694"/>
      <c r="AZ38" s="694"/>
      <c r="BA38" s="694"/>
      <c r="BB38" s="695"/>
      <c r="BC38" s="693">
        <f t="shared" si="45"/>
        <v>0</v>
      </c>
      <c r="BD38" s="694"/>
      <c r="BE38" s="694"/>
      <c r="BF38" s="694"/>
      <c r="BG38" s="694"/>
      <c r="BH38" s="694"/>
      <c r="BI38" s="695"/>
      <c r="BJ38" s="693">
        <f t="shared" si="46"/>
        <v>0</v>
      </c>
      <c r="BK38" s="694"/>
      <c r="BL38" s="694"/>
      <c r="BM38" s="694"/>
      <c r="BN38" s="694"/>
      <c r="BO38" s="694"/>
      <c r="BP38" s="695"/>
      <c r="BQ38" s="693">
        <f t="shared" si="47"/>
        <v>0</v>
      </c>
      <c r="BR38" s="694"/>
      <c r="BS38" s="694"/>
      <c r="BT38" s="694"/>
      <c r="BU38" s="694"/>
      <c r="BV38" s="694"/>
      <c r="BW38" s="695"/>
      <c r="BX38" s="693">
        <f t="shared" si="48"/>
        <v>0</v>
      </c>
      <c r="BY38" s="694"/>
      <c r="BZ38" s="694"/>
      <c r="CA38" s="694"/>
      <c r="CB38" s="694"/>
      <c r="CC38" s="694"/>
      <c r="CD38" s="695"/>
      <c r="CE38" s="693">
        <f t="shared" si="49"/>
        <v>0</v>
      </c>
      <c r="CF38" s="694"/>
      <c r="CG38" s="694"/>
      <c r="CH38" s="694"/>
      <c r="CI38" s="694"/>
      <c r="CJ38" s="694"/>
      <c r="CK38" s="695"/>
      <c r="CL38" s="693">
        <f t="shared" si="50"/>
        <v>0</v>
      </c>
      <c r="CM38" s="694"/>
      <c r="CN38" s="694"/>
      <c r="CO38" s="694"/>
      <c r="CP38" s="694"/>
      <c r="CQ38" s="694"/>
      <c r="CR38" s="695"/>
      <c r="CS38" s="693">
        <f t="shared" si="51"/>
        <v>0</v>
      </c>
      <c r="CT38" s="694"/>
      <c r="CU38" s="694"/>
      <c r="CV38" s="694"/>
      <c r="CW38" s="694"/>
      <c r="CX38" s="694"/>
      <c r="CY38" s="695"/>
      <c r="CZ38" s="693">
        <f t="shared" si="52"/>
        <v>0</v>
      </c>
      <c r="DA38" s="694"/>
      <c r="DB38" s="694"/>
      <c r="DC38" s="694"/>
      <c r="DD38" s="694"/>
      <c r="DE38" s="694"/>
      <c r="DF38" s="695"/>
      <c r="DG38" s="693">
        <f t="shared" si="53"/>
        <v>0</v>
      </c>
      <c r="DH38" s="694"/>
      <c r="DI38" s="694"/>
      <c r="DJ38" s="694"/>
      <c r="DK38" s="694"/>
      <c r="DL38" s="694"/>
      <c r="DM38" s="698"/>
    </row>
    <row r="39" spans="2:117" ht="15" customHeight="1">
      <c r="C39" s="746"/>
      <c r="D39" s="761" t="s">
        <v>521</v>
      </c>
      <c r="E39" s="756">
        <v>361</v>
      </c>
      <c r="F39" s="693">
        <f t="shared" si="38"/>
        <v>0</v>
      </c>
      <c r="G39" s="694"/>
      <c r="H39" s="694"/>
      <c r="I39" s="694"/>
      <c r="J39" s="694"/>
      <c r="K39" s="694"/>
      <c r="L39" s="695"/>
      <c r="M39" s="693">
        <f t="shared" si="39"/>
        <v>0</v>
      </c>
      <c r="N39" s="694"/>
      <c r="O39" s="694"/>
      <c r="P39" s="694"/>
      <c r="Q39" s="694"/>
      <c r="R39" s="694"/>
      <c r="S39" s="695"/>
      <c r="T39" s="693">
        <f t="shared" si="40"/>
        <v>0</v>
      </c>
      <c r="U39" s="694"/>
      <c r="V39" s="694"/>
      <c r="W39" s="694"/>
      <c r="X39" s="694"/>
      <c r="Y39" s="694"/>
      <c r="Z39" s="695"/>
      <c r="AA39" s="693">
        <f t="shared" si="41"/>
        <v>0</v>
      </c>
      <c r="AB39" s="694"/>
      <c r="AC39" s="694"/>
      <c r="AD39" s="694"/>
      <c r="AE39" s="694"/>
      <c r="AF39" s="694"/>
      <c r="AG39" s="695"/>
      <c r="AH39" s="693">
        <f t="shared" si="42"/>
        <v>0</v>
      </c>
      <c r="AI39" s="694"/>
      <c r="AJ39" s="694"/>
      <c r="AK39" s="694"/>
      <c r="AL39" s="694"/>
      <c r="AM39" s="694"/>
      <c r="AN39" s="695"/>
      <c r="AO39" s="693">
        <f t="shared" si="43"/>
        <v>0</v>
      </c>
      <c r="AP39" s="694"/>
      <c r="AQ39" s="694"/>
      <c r="AR39" s="694"/>
      <c r="AS39" s="694"/>
      <c r="AT39" s="694"/>
      <c r="AU39" s="695"/>
      <c r="AV39" s="693">
        <f t="shared" si="44"/>
        <v>0</v>
      </c>
      <c r="AW39" s="694"/>
      <c r="AX39" s="694"/>
      <c r="AY39" s="694"/>
      <c r="AZ39" s="694"/>
      <c r="BA39" s="694"/>
      <c r="BB39" s="695"/>
      <c r="BC39" s="693">
        <f t="shared" si="45"/>
        <v>0</v>
      </c>
      <c r="BD39" s="694"/>
      <c r="BE39" s="694"/>
      <c r="BF39" s="694"/>
      <c r="BG39" s="694"/>
      <c r="BH39" s="694"/>
      <c r="BI39" s="695"/>
      <c r="BJ39" s="693">
        <f t="shared" si="46"/>
        <v>0</v>
      </c>
      <c r="BK39" s="694"/>
      <c r="BL39" s="694"/>
      <c r="BM39" s="694"/>
      <c r="BN39" s="694"/>
      <c r="BO39" s="694"/>
      <c r="BP39" s="695"/>
      <c r="BQ39" s="693">
        <f t="shared" si="47"/>
        <v>0</v>
      </c>
      <c r="BR39" s="694"/>
      <c r="BS39" s="694"/>
      <c r="BT39" s="694"/>
      <c r="BU39" s="694"/>
      <c r="BV39" s="694"/>
      <c r="BW39" s="695"/>
      <c r="BX39" s="693">
        <f t="shared" si="48"/>
        <v>0</v>
      </c>
      <c r="BY39" s="694"/>
      <c r="BZ39" s="694"/>
      <c r="CA39" s="694"/>
      <c r="CB39" s="694"/>
      <c r="CC39" s="694"/>
      <c r="CD39" s="695"/>
      <c r="CE39" s="693">
        <f t="shared" si="49"/>
        <v>0</v>
      </c>
      <c r="CF39" s="694"/>
      <c r="CG39" s="694"/>
      <c r="CH39" s="694"/>
      <c r="CI39" s="694"/>
      <c r="CJ39" s="694"/>
      <c r="CK39" s="695"/>
      <c r="CL39" s="693">
        <f t="shared" si="50"/>
        <v>0</v>
      </c>
      <c r="CM39" s="694"/>
      <c r="CN39" s="694"/>
      <c r="CO39" s="694"/>
      <c r="CP39" s="694"/>
      <c r="CQ39" s="694"/>
      <c r="CR39" s="695"/>
      <c r="CS39" s="693">
        <f t="shared" si="51"/>
        <v>0</v>
      </c>
      <c r="CT39" s="694"/>
      <c r="CU39" s="694"/>
      <c r="CV39" s="694"/>
      <c r="CW39" s="694"/>
      <c r="CX39" s="694"/>
      <c r="CY39" s="695"/>
      <c r="CZ39" s="693">
        <f t="shared" si="52"/>
        <v>0</v>
      </c>
      <c r="DA39" s="694"/>
      <c r="DB39" s="694"/>
      <c r="DC39" s="694"/>
      <c r="DD39" s="694"/>
      <c r="DE39" s="694"/>
      <c r="DF39" s="695"/>
      <c r="DG39" s="693">
        <f t="shared" si="53"/>
        <v>0</v>
      </c>
      <c r="DH39" s="694"/>
      <c r="DI39" s="694"/>
      <c r="DJ39" s="694"/>
      <c r="DK39" s="694"/>
      <c r="DL39" s="694"/>
      <c r="DM39" s="698"/>
    </row>
    <row r="40" spans="2:117" ht="15" customHeight="1">
      <c r="C40" s="746"/>
      <c r="D40" s="761" t="s">
        <v>522</v>
      </c>
      <c r="E40" s="756">
        <v>371</v>
      </c>
      <c r="F40" s="693">
        <f t="shared" si="38"/>
        <v>0</v>
      </c>
      <c r="G40" s="694"/>
      <c r="H40" s="694"/>
      <c r="I40" s="694"/>
      <c r="J40" s="694"/>
      <c r="K40" s="694"/>
      <c r="L40" s="695"/>
      <c r="M40" s="693">
        <f t="shared" si="39"/>
        <v>0</v>
      </c>
      <c r="N40" s="694"/>
      <c r="O40" s="694"/>
      <c r="P40" s="694"/>
      <c r="Q40" s="694"/>
      <c r="R40" s="694"/>
      <c r="S40" s="695"/>
      <c r="T40" s="693">
        <f t="shared" si="40"/>
        <v>0</v>
      </c>
      <c r="U40" s="694"/>
      <c r="V40" s="694"/>
      <c r="W40" s="694"/>
      <c r="X40" s="694"/>
      <c r="Y40" s="694"/>
      <c r="Z40" s="695"/>
      <c r="AA40" s="693">
        <f t="shared" si="41"/>
        <v>0</v>
      </c>
      <c r="AB40" s="694"/>
      <c r="AC40" s="694"/>
      <c r="AD40" s="694"/>
      <c r="AE40" s="694"/>
      <c r="AF40" s="694"/>
      <c r="AG40" s="695"/>
      <c r="AH40" s="693">
        <f t="shared" si="42"/>
        <v>0</v>
      </c>
      <c r="AI40" s="694"/>
      <c r="AJ40" s="694"/>
      <c r="AK40" s="694"/>
      <c r="AL40" s="694"/>
      <c r="AM40" s="694"/>
      <c r="AN40" s="695"/>
      <c r="AO40" s="693">
        <f t="shared" si="43"/>
        <v>0</v>
      </c>
      <c r="AP40" s="694"/>
      <c r="AQ40" s="694"/>
      <c r="AR40" s="694"/>
      <c r="AS40" s="694"/>
      <c r="AT40" s="694"/>
      <c r="AU40" s="695"/>
      <c r="AV40" s="693">
        <f t="shared" si="44"/>
        <v>0</v>
      </c>
      <c r="AW40" s="694"/>
      <c r="AX40" s="694"/>
      <c r="AY40" s="694"/>
      <c r="AZ40" s="694"/>
      <c r="BA40" s="694"/>
      <c r="BB40" s="695"/>
      <c r="BC40" s="693">
        <f t="shared" si="45"/>
        <v>0</v>
      </c>
      <c r="BD40" s="694"/>
      <c r="BE40" s="694"/>
      <c r="BF40" s="694"/>
      <c r="BG40" s="694"/>
      <c r="BH40" s="694"/>
      <c r="BI40" s="695"/>
      <c r="BJ40" s="693">
        <f t="shared" si="46"/>
        <v>0</v>
      </c>
      <c r="BK40" s="694"/>
      <c r="BL40" s="694"/>
      <c r="BM40" s="694"/>
      <c r="BN40" s="694"/>
      <c r="BO40" s="694"/>
      <c r="BP40" s="695"/>
      <c r="BQ40" s="693">
        <f t="shared" si="47"/>
        <v>0</v>
      </c>
      <c r="BR40" s="694"/>
      <c r="BS40" s="694"/>
      <c r="BT40" s="694"/>
      <c r="BU40" s="694"/>
      <c r="BV40" s="694"/>
      <c r="BW40" s="695"/>
      <c r="BX40" s="693">
        <f t="shared" si="48"/>
        <v>0</v>
      </c>
      <c r="BY40" s="694"/>
      <c r="BZ40" s="694"/>
      <c r="CA40" s="694"/>
      <c r="CB40" s="694"/>
      <c r="CC40" s="694"/>
      <c r="CD40" s="695"/>
      <c r="CE40" s="693">
        <f t="shared" si="49"/>
        <v>0</v>
      </c>
      <c r="CF40" s="694"/>
      <c r="CG40" s="694"/>
      <c r="CH40" s="694"/>
      <c r="CI40" s="694"/>
      <c r="CJ40" s="694"/>
      <c r="CK40" s="695"/>
      <c r="CL40" s="693">
        <f t="shared" si="50"/>
        <v>0</v>
      </c>
      <c r="CM40" s="694"/>
      <c r="CN40" s="694"/>
      <c r="CO40" s="694"/>
      <c r="CP40" s="694"/>
      <c r="CQ40" s="694"/>
      <c r="CR40" s="695"/>
      <c r="CS40" s="693">
        <f t="shared" si="51"/>
        <v>0</v>
      </c>
      <c r="CT40" s="694"/>
      <c r="CU40" s="694"/>
      <c r="CV40" s="694"/>
      <c r="CW40" s="694"/>
      <c r="CX40" s="694"/>
      <c r="CY40" s="695"/>
      <c r="CZ40" s="693">
        <f t="shared" si="52"/>
        <v>0</v>
      </c>
      <c r="DA40" s="694"/>
      <c r="DB40" s="694"/>
      <c r="DC40" s="694"/>
      <c r="DD40" s="694"/>
      <c r="DE40" s="694"/>
      <c r="DF40" s="695"/>
      <c r="DG40" s="693">
        <f t="shared" si="53"/>
        <v>0</v>
      </c>
      <c r="DH40" s="694"/>
      <c r="DI40" s="694"/>
      <c r="DJ40" s="694"/>
      <c r="DK40" s="694"/>
      <c r="DL40" s="694"/>
      <c r="DM40" s="698"/>
    </row>
    <row r="41" spans="2:117" ht="33.75">
      <c r="C41" s="746"/>
      <c r="D41" s="761" t="s">
        <v>525</v>
      </c>
      <c r="E41" s="756">
        <v>400</v>
      </c>
      <c r="F41" s="689">
        <f t="shared" ref="F41:BQ41" si="54">SUM(F42:F48)</f>
        <v>19850.285</v>
      </c>
      <c r="G41" s="689">
        <f t="shared" si="54"/>
        <v>0</v>
      </c>
      <c r="H41" s="689">
        <f t="shared" si="54"/>
        <v>190.53299999999999</v>
      </c>
      <c r="I41" s="689">
        <f t="shared" si="54"/>
        <v>12530.698</v>
      </c>
      <c r="J41" s="689">
        <f t="shared" si="54"/>
        <v>7129.054000000001</v>
      </c>
      <c r="K41" s="689">
        <f t="shared" si="54"/>
        <v>0</v>
      </c>
      <c r="L41" s="690">
        <f t="shared" si="54"/>
        <v>0</v>
      </c>
      <c r="M41" s="689">
        <f t="shared" si="54"/>
        <v>175036.05778000003</v>
      </c>
      <c r="N41" s="689">
        <f t="shared" si="54"/>
        <v>0</v>
      </c>
      <c r="O41" s="689">
        <f t="shared" si="54"/>
        <v>1611.7967599999999</v>
      </c>
      <c r="P41" s="689">
        <f t="shared" si="54"/>
        <v>109373.09769000001</v>
      </c>
      <c r="Q41" s="689">
        <f t="shared" si="54"/>
        <v>64051.163329999996</v>
      </c>
      <c r="R41" s="689">
        <f t="shared" si="54"/>
        <v>0</v>
      </c>
      <c r="S41" s="690">
        <f t="shared" si="54"/>
        <v>0</v>
      </c>
      <c r="T41" s="689">
        <f t="shared" si="54"/>
        <v>295.92699999999996</v>
      </c>
      <c r="U41" s="689">
        <f t="shared" si="54"/>
        <v>0</v>
      </c>
      <c r="V41" s="689">
        <f t="shared" si="54"/>
        <v>0</v>
      </c>
      <c r="W41" s="689">
        <f t="shared" si="54"/>
        <v>292.86599999999999</v>
      </c>
      <c r="X41" s="689">
        <f t="shared" si="54"/>
        <v>3.0609999999999999</v>
      </c>
      <c r="Y41" s="689">
        <f t="shared" si="54"/>
        <v>0</v>
      </c>
      <c r="Z41" s="690">
        <f t="shared" si="54"/>
        <v>0</v>
      </c>
      <c r="AA41" s="689">
        <f t="shared" si="54"/>
        <v>2783.4780800000003</v>
      </c>
      <c r="AB41" s="689">
        <f t="shared" si="54"/>
        <v>0</v>
      </c>
      <c r="AC41" s="689">
        <f t="shared" si="54"/>
        <v>0</v>
      </c>
      <c r="AD41" s="689">
        <f t="shared" si="54"/>
        <v>2754.2478200000005</v>
      </c>
      <c r="AE41" s="689">
        <f t="shared" si="54"/>
        <v>29.230260000000001</v>
      </c>
      <c r="AF41" s="689">
        <f t="shared" si="54"/>
        <v>0</v>
      </c>
      <c r="AG41" s="690">
        <f t="shared" si="54"/>
        <v>0</v>
      </c>
      <c r="AH41" s="689">
        <f t="shared" si="54"/>
        <v>0</v>
      </c>
      <c r="AI41" s="689">
        <f t="shared" si="54"/>
        <v>0</v>
      </c>
      <c r="AJ41" s="689">
        <f t="shared" si="54"/>
        <v>0</v>
      </c>
      <c r="AK41" s="689">
        <f t="shared" si="54"/>
        <v>0</v>
      </c>
      <c r="AL41" s="689">
        <f t="shared" si="54"/>
        <v>0</v>
      </c>
      <c r="AM41" s="689">
        <f t="shared" si="54"/>
        <v>0</v>
      </c>
      <c r="AN41" s="690">
        <f t="shared" si="54"/>
        <v>0</v>
      </c>
      <c r="AO41" s="689">
        <f t="shared" si="54"/>
        <v>0</v>
      </c>
      <c r="AP41" s="689">
        <f t="shared" si="54"/>
        <v>0</v>
      </c>
      <c r="AQ41" s="689">
        <f t="shared" si="54"/>
        <v>0</v>
      </c>
      <c r="AR41" s="689">
        <f t="shared" si="54"/>
        <v>0</v>
      </c>
      <c r="AS41" s="689">
        <f t="shared" si="54"/>
        <v>0</v>
      </c>
      <c r="AT41" s="689">
        <f t="shared" si="54"/>
        <v>0</v>
      </c>
      <c r="AU41" s="690">
        <f t="shared" si="54"/>
        <v>0</v>
      </c>
      <c r="AV41" s="689">
        <f t="shared" si="54"/>
        <v>0</v>
      </c>
      <c r="AW41" s="689">
        <f t="shared" si="54"/>
        <v>0</v>
      </c>
      <c r="AX41" s="689">
        <f t="shared" si="54"/>
        <v>0</v>
      </c>
      <c r="AY41" s="689">
        <f t="shared" si="54"/>
        <v>0</v>
      </c>
      <c r="AZ41" s="689">
        <f t="shared" si="54"/>
        <v>0</v>
      </c>
      <c r="BA41" s="689">
        <f t="shared" si="54"/>
        <v>0</v>
      </c>
      <c r="BB41" s="690">
        <f t="shared" si="54"/>
        <v>0</v>
      </c>
      <c r="BC41" s="689">
        <f t="shared" si="54"/>
        <v>0</v>
      </c>
      <c r="BD41" s="689">
        <f t="shared" si="54"/>
        <v>0</v>
      </c>
      <c r="BE41" s="689">
        <f t="shared" si="54"/>
        <v>0</v>
      </c>
      <c r="BF41" s="689">
        <f t="shared" si="54"/>
        <v>0</v>
      </c>
      <c r="BG41" s="689">
        <f t="shared" si="54"/>
        <v>0</v>
      </c>
      <c r="BH41" s="689">
        <f t="shared" si="54"/>
        <v>0</v>
      </c>
      <c r="BI41" s="690">
        <f t="shared" si="54"/>
        <v>0</v>
      </c>
      <c r="BJ41" s="689">
        <f t="shared" si="54"/>
        <v>1211.152</v>
      </c>
      <c r="BK41" s="689">
        <f t="shared" si="54"/>
        <v>0</v>
      </c>
      <c r="BL41" s="689">
        <f t="shared" si="54"/>
        <v>0</v>
      </c>
      <c r="BM41" s="689">
        <f t="shared" si="54"/>
        <v>87.923000000000002</v>
      </c>
      <c r="BN41" s="689">
        <f t="shared" si="54"/>
        <v>1123.229</v>
      </c>
      <c r="BO41" s="689">
        <f t="shared" si="54"/>
        <v>0</v>
      </c>
      <c r="BP41" s="690">
        <f t="shared" si="54"/>
        <v>0</v>
      </c>
      <c r="BQ41" s="689">
        <f t="shared" si="54"/>
        <v>4775.9370100000006</v>
      </c>
      <c r="BR41" s="689">
        <f t="shared" ref="BR41:DM41" si="55">SUM(BR42:BR48)</f>
        <v>0</v>
      </c>
      <c r="BS41" s="689">
        <f t="shared" si="55"/>
        <v>0</v>
      </c>
      <c r="BT41" s="689">
        <f t="shared" si="55"/>
        <v>314.45769000000001</v>
      </c>
      <c r="BU41" s="689">
        <f t="shared" si="55"/>
        <v>4461.4793200000004</v>
      </c>
      <c r="BV41" s="689">
        <f t="shared" si="55"/>
        <v>0</v>
      </c>
      <c r="BW41" s="690">
        <f t="shared" si="55"/>
        <v>0</v>
      </c>
      <c r="BX41" s="689">
        <f t="shared" si="55"/>
        <v>1.843</v>
      </c>
      <c r="BY41" s="689">
        <f t="shared" si="55"/>
        <v>0</v>
      </c>
      <c r="BZ41" s="689">
        <f t="shared" si="55"/>
        <v>0</v>
      </c>
      <c r="CA41" s="689">
        <f t="shared" si="55"/>
        <v>0.11799999999999999</v>
      </c>
      <c r="CB41" s="689">
        <f t="shared" si="55"/>
        <v>1.7250000000000001</v>
      </c>
      <c r="CC41" s="689">
        <f t="shared" si="55"/>
        <v>0</v>
      </c>
      <c r="CD41" s="690">
        <f t="shared" si="55"/>
        <v>0</v>
      </c>
      <c r="CE41" s="689">
        <f t="shared" si="55"/>
        <v>2225.1187500000001</v>
      </c>
      <c r="CF41" s="689">
        <f t="shared" si="55"/>
        <v>0</v>
      </c>
      <c r="CG41" s="689">
        <f t="shared" si="55"/>
        <v>0</v>
      </c>
      <c r="CH41" s="689">
        <f t="shared" si="55"/>
        <v>142.46554999999998</v>
      </c>
      <c r="CI41" s="689">
        <f t="shared" si="55"/>
        <v>2082.6532000000002</v>
      </c>
      <c r="CJ41" s="689">
        <f t="shared" si="55"/>
        <v>0</v>
      </c>
      <c r="CK41" s="690">
        <f t="shared" si="55"/>
        <v>0</v>
      </c>
      <c r="CL41" s="689">
        <f t="shared" si="55"/>
        <v>2.0569999999999999</v>
      </c>
      <c r="CM41" s="689">
        <f t="shared" si="55"/>
        <v>0</v>
      </c>
      <c r="CN41" s="689">
        <f t="shared" si="55"/>
        <v>0</v>
      </c>
      <c r="CO41" s="689">
        <f t="shared" si="55"/>
        <v>0.123</v>
      </c>
      <c r="CP41" s="689">
        <f t="shared" si="55"/>
        <v>1.9339999999999999</v>
      </c>
      <c r="CQ41" s="689">
        <f t="shared" si="55"/>
        <v>0</v>
      </c>
      <c r="CR41" s="690">
        <f t="shared" si="55"/>
        <v>0</v>
      </c>
      <c r="CS41" s="689">
        <f t="shared" si="55"/>
        <v>2328.1900500000002</v>
      </c>
      <c r="CT41" s="689">
        <f t="shared" si="55"/>
        <v>0</v>
      </c>
      <c r="CU41" s="689">
        <f t="shared" si="55"/>
        <v>0</v>
      </c>
      <c r="CV41" s="689">
        <f t="shared" si="55"/>
        <v>344.29455000000007</v>
      </c>
      <c r="CW41" s="689">
        <f t="shared" si="55"/>
        <v>1983.8954999999999</v>
      </c>
      <c r="CX41" s="689">
        <f t="shared" si="55"/>
        <v>0</v>
      </c>
      <c r="CY41" s="690">
        <f t="shared" si="55"/>
        <v>0</v>
      </c>
      <c r="CZ41" s="689">
        <f t="shared" si="55"/>
        <v>0</v>
      </c>
      <c r="DA41" s="689">
        <f t="shared" si="55"/>
        <v>0</v>
      </c>
      <c r="DB41" s="689">
        <f t="shared" si="55"/>
        <v>0</v>
      </c>
      <c r="DC41" s="689">
        <f t="shared" si="55"/>
        <v>0</v>
      </c>
      <c r="DD41" s="689">
        <f t="shared" si="55"/>
        <v>0</v>
      </c>
      <c r="DE41" s="689">
        <f t="shared" si="55"/>
        <v>0</v>
      </c>
      <c r="DF41" s="690">
        <f t="shared" si="55"/>
        <v>0</v>
      </c>
      <c r="DG41" s="689">
        <f t="shared" si="55"/>
        <v>0</v>
      </c>
      <c r="DH41" s="689">
        <f t="shared" si="55"/>
        <v>0</v>
      </c>
      <c r="DI41" s="689">
        <f t="shared" si="55"/>
        <v>0</v>
      </c>
      <c r="DJ41" s="689">
        <f t="shared" si="55"/>
        <v>0</v>
      </c>
      <c r="DK41" s="689">
        <f t="shared" si="55"/>
        <v>0</v>
      </c>
      <c r="DL41" s="689">
        <f t="shared" si="55"/>
        <v>0</v>
      </c>
      <c r="DM41" s="699">
        <f t="shared" si="55"/>
        <v>0</v>
      </c>
    </row>
    <row r="42" spans="2:117" ht="22.5">
      <c r="C42" s="746"/>
      <c r="D42" s="761" t="s">
        <v>516</v>
      </c>
      <c r="E42" s="756">
        <v>411</v>
      </c>
      <c r="F42" s="693">
        <f>SUM(G42:L42)</f>
        <v>0</v>
      </c>
      <c r="G42" s="694"/>
      <c r="H42" s="694"/>
      <c r="I42" s="694"/>
      <c r="J42" s="694"/>
      <c r="K42" s="694"/>
      <c r="L42" s="695"/>
      <c r="M42" s="693">
        <f>SUM(N42:S42)</f>
        <v>0</v>
      </c>
      <c r="N42" s="694"/>
      <c r="O42" s="694"/>
      <c r="P42" s="694"/>
      <c r="Q42" s="694"/>
      <c r="R42" s="694"/>
      <c r="S42" s="695"/>
      <c r="T42" s="693">
        <f>SUM(U42:Z42)</f>
        <v>0</v>
      </c>
      <c r="U42" s="694"/>
      <c r="V42" s="694"/>
      <c r="W42" s="694"/>
      <c r="X42" s="694"/>
      <c r="Y42" s="694"/>
      <c r="Z42" s="695"/>
      <c r="AA42" s="693">
        <f>SUM(AB42:AG42)</f>
        <v>0</v>
      </c>
      <c r="AB42" s="694"/>
      <c r="AC42" s="694"/>
      <c r="AD42" s="694"/>
      <c r="AE42" s="694"/>
      <c r="AF42" s="694"/>
      <c r="AG42" s="695"/>
      <c r="AH42" s="693">
        <f>SUM(AI42:AN42)</f>
        <v>0</v>
      </c>
      <c r="AI42" s="694"/>
      <c r="AJ42" s="694"/>
      <c r="AK42" s="694"/>
      <c r="AL42" s="694"/>
      <c r="AM42" s="694"/>
      <c r="AN42" s="695"/>
      <c r="AO42" s="693">
        <f>SUM(AP42:AU42)</f>
        <v>0</v>
      </c>
      <c r="AP42" s="694"/>
      <c r="AQ42" s="694"/>
      <c r="AR42" s="694"/>
      <c r="AS42" s="694"/>
      <c r="AT42" s="694"/>
      <c r="AU42" s="695"/>
      <c r="AV42" s="693">
        <f>SUM(AW42:BB42)</f>
        <v>0</v>
      </c>
      <c r="AW42" s="694"/>
      <c r="AX42" s="694"/>
      <c r="AY42" s="694"/>
      <c r="AZ42" s="694"/>
      <c r="BA42" s="694"/>
      <c r="BB42" s="695"/>
      <c r="BC42" s="693">
        <f>SUM(BD42:BI42)</f>
        <v>0</v>
      </c>
      <c r="BD42" s="694"/>
      <c r="BE42" s="694"/>
      <c r="BF42" s="694"/>
      <c r="BG42" s="694"/>
      <c r="BH42" s="694"/>
      <c r="BI42" s="695"/>
      <c r="BJ42" s="693">
        <f>SUM(BK42:BP42)</f>
        <v>1211.152</v>
      </c>
      <c r="BK42" s="694"/>
      <c r="BL42" s="694"/>
      <c r="BM42" s="694">
        <f>'Шаблон 46 ГП'!F103/1000</f>
        <v>87.923000000000002</v>
      </c>
      <c r="BN42" s="694">
        <f>'Шаблон 46 ГП'!G103/1000</f>
        <v>1123.229</v>
      </c>
      <c r="BO42" s="694"/>
      <c r="BP42" s="695"/>
      <c r="BQ42" s="693">
        <f>SUM(BR42:BW42)</f>
        <v>4775.9370100000006</v>
      </c>
      <c r="BR42" s="694"/>
      <c r="BS42" s="694"/>
      <c r="BT42" s="694">
        <f>'Шаблон 46 ГП'!O103/1000</f>
        <v>314.45769000000001</v>
      </c>
      <c r="BU42" s="694">
        <f>'Шаблон 46 ГП'!P103/1000</f>
        <v>4461.4793200000004</v>
      </c>
      <c r="BV42" s="694"/>
      <c r="BW42" s="695"/>
      <c r="BX42" s="693">
        <f>SUM(BY42:CD42)</f>
        <v>1.843</v>
      </c>
      <c r="BY42" s="694"/>
      <c r="BZ42" s="694"/>
      <c r="CA42" s="694">
        <f>'Шаблон 46 ГП'!F146/1000</f>
        <v>0.11799999999999999</v>
      </c>
      <c r="CB42" s="694">
        <f>'Шаблон 46 ГП'!G146/1000</f>
        <v>1.7250000000000001</v>
      </c>
      <c r="CC42" s="694"/>
      <c r="CD42" s="695"/>
      <c r="CE42" s="693">
        <f>SUM(CF42:CK42)</f>
        <v>2225.1187500000001</v>
      </c>
      <c r="CF42" s="694"/>
      <c r="CG42" s="694"/>
      <c r="CH42" s="694">
        <f>'Шаблон 46 ГП'!O146/1000</f>
        <v>142.46554999999998</v>
      </c>
      <c r="CI42" s="694">
        <f>'Шаблон 46 ГП'!P146/1000</f>
        <v>2082.6532000000002</v>
      </c>
      <c r="CJ42" s="694"/>
      <c r="CK42" s="695"/>
      <c r="CL42" s="693">
        <f>SUM(CM42:CR42)</f>
        <v>2.0569999999999999</v>
      </c>
      <c r="CM42" s="694"/>
      <c r="CN42" s="694"/>
      <c r="CO42" s="694">
        <f>'Шаблон 46 ГП'!F147/1000</f>
        <v>0.123</v>
      </c>
      <c r="CP42" s="694">
        <f>'Шаблон 46 ГП'!G147/1000</f>
        <v>1.9339999999999999</v>
      </c>
      <c r="CQ42" s="694"/>
      <c r="CR42" s="695"/>
      <c r="CS42" s="693">
        <f>SUM(CT42:CY42)</f>
        <v>2328.1900500000002</v>
      </c>
      <c r="CT42" s="694"/>
      <c r="CU42" s="694"/>
      <c r="CV42" s="694">
        <f>'Шаблон 46 ГП'!O147/1000</f>
        <v>344.29455000000007</v>
      </c>
      <c r="CW42" s="694">
        <f>'Шаблон 46 ГП'!P147/1000</f>
        <v>1983.8954999999999</v>
      </c>
      <c r="CX42" s="694"/>
      <c r="CY42" s="695"/>
      <c r="CZ42" s="693">
        <f>SUM(DA42:DF42)</f>
        <v>0</v>
      </c>
      <c r="DA42" s="694"/>
      <c r="DB42" s="694"/>
      <c r="DC42" s="694"/>
      <c r="DD42" s="694"/>
      <c r="DE42" s="694"/>
      <c r="DF42" s="695"/>
      <c r="DG42" s="693">
        <f>SUM(DH42:DM42)</f>
        <v>0</v>
      </c>
      <c r="DH42" s="694"/>
      <c r="DI42" s="694"/>
      <c r="DJ42" s="694"/>
      <c r="DK42" s="694"/>
      <c r="DL42" s="694"/>
      <c r="DM42" s="698"/>
    </row>
    <row r="43" spans="2:117" ht="22.5">
      <c r="C43" s="746"/>
      <c r="D43" s="761" t="s">
        <v>517</v>
      </c>
      <c r="E43" s="756">
        <v>421</v>
      </c>
      <c r="F43" s="693">
        <f t="shared" ref="F43:F48" si="56">SUM(G43:L43)</f>
        <v>0</v>
      </c>
      <c r="G43" s="694"/>
      <c r="H43" s="694"/>
      <c r="I43" s="694"/>
      <c r="J43" s="694"/>
      <c r="K43" s="694"/>
      <c r="L43" s="695"/>
      <c r="M43" s="693">
        <f t="shared" ref="M43:M49" si="57">SUM(N43:S43)</f>
        <v>0</v>
      </c>
      <c r="N43" s="694"/>
      <c r="O43" s="694"/>
      <c r="P43" s="694"/>
      <c r="Q43" s="694"/>
      <c r="R43" s="694"/>
      <c r="S43" s="695"/>
      <c r="T43" s="693">
        <f t="shared" ref="T43:T49" si="58">SUM(U43:Z43)</f>
        <v>0</v>
      </c>
      <c r="U43" s="694"/>
      <c r="V43" s="694"/>
      <c r="W43" s="694"/>
      <c r="X43" s="694"/>
      <c r="Y43" s="694"/>
      <c r="Z43" s="695"/>
      <c r="AA43" s="693">
        <f t="shared" ref="AA43:AA49" si="59">SUM(AB43:AG43)</f>
        <v>0</v>
      </c>
      <c r="AB43" s="694"/>
      <c r="AC43" s="694"/>
      <c r="AD43" s="694"/>
      <c r="AE43" s="694"/>
      <c r="AF43" s="694"/>
      <c r="AG43" s="695"/>
      <c r="AH43" s="693">
        <f t="shared" ref="AH43:AH49" si="60">SUM(AI43:AN43)</f>
        <v>0</v>
      </c>
      <c r="AI43" s="694"/>
      <c r="AJ43" s="694"/>
      <c r="AK43" s="694"/>
      <c r="AL43" s="694"/>
      <c r="AM43" s="694"/>
      <c r="AN43" s="695"/>
      <c r="AO43" s="693">
        <f t="shared" ref="AO43:AO49" si="61">SUM(AP43:AU43)</f>
        <v>0</v>
      </c>
      <c r="AP43" s="694"/>
      <c r="AQ43" s="694"/>
      <c r="AR43" s="694"/>
      <c r="AS43" s="694"/>
      <c r="AT43" s="694"/>
      <c r="AU43" s="695"/>
      <c r="AV43" s="693">
        <f t="shared" ref="AV43:AV49" si="62">SUM(AW43:BB43)</f>
        <v>0</v>
      </c>
      <c r="AW43" s="694"/>
      <c r="AX43" s="694"/>
      <c r="AY43" s="694"/>
      <c r="AZ43" s="694"/>
      <c r="BA43" s="694"/>
      <c r="BB43" s="695"/>
      <c r="BC43" s="693">
        <f t="shared" ref="BC43:BC49" si="63">SUM(BD43:BI43)</f>
        <v>0</v>
      </c>
      <c r="BD43" s="694"/>
      <c r="BE43" s="694"/>
      <c r="BF43" s="694"/>
      <c r="BG43" s="694"/>
      <c r="BH43" s="694"/>
      <c r="BI43" s="695"/>
      <c r="BJ43" s="693">
        <f t="shared" ref="BJ43:BJ49" si="64">SUM(BK43:BP43)</f>
        <v>0</v>
      </c>
      <c r="BK43" s="694"/>
      <c r="BL43" s="694"/>
      <c r="BM43" s="694"/>
      <c r="BN43" s="694"/>
      <c r="BO43" s="694"/>
      <c r="BP43" s="695"/>
      <c r="BQ43" s="693">
        <f t="shared" ref="BQ43:BQ49" si="65">SUM(BR43:BW43)</f>
        <v>0</v>
      </c>
      <c r="BR43" s="694"/>
      <c r="BS43" s="694"/>
      <c r="BT43" s="694"/>
      <c r="BU43" s="694"/>
      <c r="BV43" s="694"/>
      <c r="BW43" s="695"/>
      <c r="BX43" s="693">
        <f t="shared" ref="BX43:BX49" si="66">SUM(BY43:CD43)</f>
        <v>0</v>
      </c>
      <c r="BY43" s="694"/>
      <c r="BZ43" s="694"/>
      <c r="CA43" s="694"/>
      <c r="CB43" s="694"/>
      <c r="CC43" s="694"/>
      <c r="CD43" s="695"/>
      <c r="CE43" s="693">
        <f t="shared" ref="CE43:CE49" si="67">SUM(CF43:CK43)</f>
        <v>0</v>
      </c>
      <c r="CF43" s="694"/>
      <c r="CG43" s="694"/>
      <c r="CH43" s="694"/>
      <c r="CI43" s="694"/>
      <c r="CJ43" s="694"/>
      <c r="CK43" s="695"/>
      <c r="CL43" s="693">
        <f t="shared" ref="CL43:CL49" si="68">SUM(CM43:CR43)</f>
        <v>0</v>
      </c>
      <c r="CM43" s="694"/>
      <c r="CN43" s="694"/>
      <c r="CO43" s="694"/>
      <c r="CP43" s="694"/>
      <c r="CQ43" s="694"/>
      <c r="CR43" s="695"/>
      <c r="CS43" s="693">
        <f t="shared" ref="CS43:CS49" si="69">SUM(CT43:CY43)</f>
        <v>0</v>
      </c>
      <c r="CT43" s="694"/>
      <c r="CU43" s="694"/>
      <c r="CV43" s="694"/>
      <c r="CW43" s="694"/>
      <c r="CX43" s="694"/>
      <c r="CY43" s="695"/>
      <c r="CZ43" s="693">
        <f t="shared" ref="CZ43:CZ49" si="70">SUM(DA43:DF43)</f>
        <v>0</v>
      </c>
      <c r="DA43" s="694"/>
      <c r="DB43" s="694"/>
      <c r="DC43" s="694"/>
      <c r="DD43" s="694"/>
      <c r="DE43" s="694"/>
      <c r="DF43" s="695"/>
      <c r="DG43" s="693">
        <f t="shared" ref="DG43:DG49" si="71">SUM(DH43:DM43)</f>
        <v>0</v>
      </c>
      <c r="DH43" s="694"/>
      <c r="DI43" s="694"/>
      <c r="DJ43" s="694"/>
      <c r="DK43" s="694"/>
      <c r="DL43" s="694"/>
      <c r="DM43" s="698"/>
    </row>
    <row r="44" spans="2:117" ht="15" customHeight="1">
      <c r="C44" s="746"/>
      <c r="D44" s="761" t="s">
        <v>518</v>
      </c>
      <c r="E44" s="756">
        <v>431</v>
      </c>
      <c r="F44" s="693">
        <f t="shared" si="56"/>
        <v>0</v>
      </c>
      <c r="G44" s="694"/>
      <c r="H44" s="694"/>
      <c r="I44" s="694"/>
      <c r="J44" s="694"/>
      <c r="K44" s="694"/>
      <c r="L44" s="695"/>
      <c r="M44" s="693">
        <f t="shared" si="57"/>
        <v>0</v>
      </c>
      <c r="N44" s="694"/>
      <c r="O44" s="694"/>
      <c r="P44" s="694"/>
      <c r="Q44" s="694"/>
      <c r="R44" s="694"/>
      <c r="S44" s="695"/>
      <c r="T44" s="693">
        <f t="shared" si="58"/>
        <v>0</v>
      </c>
      <c r="U44" s="694"/>
      <c r="V44" s="694"/>
      <c r="W44" s="694"/>
      <c r="X44" s="694"/>
      <c r="Y44" s="694"/>
      <c r="Z44" s="695"/>
      <c r="AA44" s="693">
        <f t="shared" si="59"/>
        <v>0</v>
      </c>
      <c r="AB44" s="694"/>
      <c r="AC44" s="694"/>
      <c r="AD44" s="694"/>
      <c r="AE44" s="694"/>
      <c r="AF44" s="694"/>
      <c r="AG44" s="695"/>
      <c r="AH44" s="693">
        <f t="shared" si="60"/>
        <v>0</v>
      </c>
      <c r="AI44" s="694"/>
      <c r="AJ44" s="694"/>
      <c r="AK44" s="694"/>
      <c r="AL44" s="694"/>
      <c r="AM44" s="694"/>
      <c r="AN44" s="695"/>
      <c r="AO44" s="693">
        <f t="shared" si="61"/>
        <v>0</v>
      </c>
      <c r="AP44" s="694"/>
      <c r="AQ44" s="694"/>
      <c r="AR44" s="694"/>
      <c r="AS44" s="694"/>
      <c r="AT44" s="694"/>
      <c r="AU44" s="695"/>
      <c r="AV44" s="693">
        <f t="shared" si="62"/>
        <v>0</v>
      </c>
      <c r="AW44" s="694"/>
      <c r="AX44" s="694"/>
      <c r="AY44" s="694"/>
      <c r="AZ44" s="694"/>
      <c r="BA44" s="694"/>
      <c r="BB44" s="695"/>
      <c r="BC44" s="693">
        <f t="shared" si="63"/>
        <v>0</v>
      </c>
      <c r="BD44" s="694"/>
      <c r="BE44" s="694"/>
      <c r="BF44" s="694"/>
      <c r="BG44" s="694"/>
      <c r="BH44" s="694"/>
      <c r="BI44" s="695"/>
      <c r="BJ44" s="693">
        <f t="shared" si="64"/>
        <v>0</v>
      </c>
      <c r="BK44" s="694"/>
      <c r="BL44" s="694"/>
      <c r="BM44" s="694"/>
      <c r="BN44" s="694"/>
      <c r="BO44" s="694"/>
      <c r="BP44" s="695"/>
      <c r="BQ44" s="693">
        <f t="shared" si="65"/>
        <v>0</v>
      </c>
      <c r="BR44" s="694"/>
      <c r="BS44" s="694"/>
      <c r="BT44" s="694"/>
      <c r="BU44" s="694"/>
      <c r="BV44" s="694"/>
      <c r="BW44" s="695"/>
      <c r="BX44" s="693">
        <f t="shared" si="66"/>
        <v>0</v>
      </c>
      <c r="BY44" s="694"/>
      <c r="BZ44" s="694"/>
      <c r="CA44" s="694"/>
      <c r="CB44" s="694"/>
      <c r="CC44" s="694"/>
      <c r="CD44" s="695"/>
      <c r="CE44" s="693">
        <f t="shared" si="67"/>
        <v>0</v>
      </c>
      <c r="CF44" s="694"/>
      <c r="CG44" s="694"/>
      <c r="CH44" s="694"/>
      <c r="CI44" s="694"/>
      <c r="CJ44" s="694"/>
      <c r="CK44" s="695"/>
      <c r="CL44" s="693">
        <f t="shared" si="68"/>
        <v>0</v>
      </c>
      <c r="CM44" s="694"/>
      <c r="CN44" s="694"/>
      <c r="CO44" s="694"/>
      <c r="CP44" s="694"/>
      <c r="CQ44" s="694"/>
      <c r="CR44" s="695"/>
      <c r="CS44" s="693">
        <f t="shared" si="69"/>
        <v>0</v>
      </c>
      <c r="CT44" s="694"/>
      <c r="CU44" s="694"/>
      <c r="CV44" s="694"/>
      <c r="CW44" s="694"/>
      <c r="CX44" s="694"/>
      <c r="CY44" s="695"/>
      <c r="CZ44" s="693">
        <f t="shared" si="70"/>
        <v>0</v>
      </c>
      <c r="DA44" s="694"/>
      <c r="DB44" s="694"/>
      <c r="DC44" s="694"/>
      <c r="DD44" s="694"/>
      <c r="DE44" s="694"/>
      <c r="DF44" s="695"/>
      <c r="DG44" s="693">
        <f t="shared" si="71"/>
        <v>0</v>
      </c>
      <c r="DH44" s="694"/>
      <c r="DI44" s="694"/>
      <c r="DJ44" s="694"/>
      <c r="DK44" s="694"/>
      <c r="DL44" s="694"/>
      <c r="DM44" s="698"/>
    </row>
    <row r="45" spans="2:117" ht="15" customHeight="1">
      <c r="C45" s="746"/>
      <c r="D45" s="761" t="s">
        <v>519</v>
      </c>
      <c r="E45" s="756">
        <v>441</v>
      </c>
      <c r="F45" s="693">
        <f>SUM(G45:L45)</f>
        <v>14113.965</v>
      </c>
      <c r="G45" s="694"/>
      <c r="H45" s="694">
        <f>IFERROR(('Шаблон 46 ГП'!E68/1000+'Шаблон 46 ГП'!E69/1000)-'Раздел 2А'!H46-'Раздел 2А'!H47-'Раздел 2А'!H48,0)</f>
        <v>190.53299999999999</v>
      </c>
      <c r="I45" s="694">
        <f>IFERROR(('Шаблон 46 ГП'!F68/1000+'Шаблон 46 ГП'!F69/1000)-'Раздел 2А'!I46-'Раздел 2А'!I47-'Раздел 2А'!I48,0)</f>
        <v>10007.896000000001</v>
      </c>
      <c r="J45" s="694">
        <f>IFERROR(('Шаблон 46 ГП'!G68/1000+'Шаблон 46 ГП'!G69/1000)-'Раздел 2А'!J46-'Раздел 2А'!J47-'Раздел 2А'!J48,0)</f>
        <v>3915.536000000001</v>
      </c>
      <c r="K45" s="694"/>
      <c r="L45" s="695"/>
      <c r="M45" s="693">
        <f t="shared" si="57"/>
        <v>120236.33578000001</v>
      </c>
      <c r="N45" s="694"/>
      <c r="O45" s="694">
        <f>IFERROR(('Шаблон 46 ГП'!N68/1000+'Шаблон 46 ГП'!N69/1000)-'Раздел 2А'!O46-'Раздел 2А'!O47-'Раздел 2А'!O48,0)</f>
        <v>1611.7967599999999</v>
      </c>
      <c r="P45" s="694">
        <f>IFERROR(('Шаблон 46 ГП'!O68/1000+'Шаблон 46 ГП'!O69/1000)-'Раздел 2А'!P46-'Раздел 2А'!P47-'Раздел 2А'!P48,0)</f>
        <v>84109.674690000014</v>
      </c>
      <c r="Q45" s="694">
        <f>IFERROR(('Шаблон 46 ГП'!P68/1000+'Шаблон 46 ГП'!P69/1000)-'Раздел 2А'!Q46-'Раздел 2А'!Q47-'Раздел 2А'!Q48,0)</f>
        <v>34514.864329999997</v>
      </c>
      <c r="R45" s="694"/>
      <c r="S45" s="695"/>
      <c r="T45" s="693">
        <f t="shared" si="58"/>
        <v>0</v>
      </c>
      <c r="U45" s="694"/>
      <c r="V45" s="694"/>
      <c r="W45" s="694"/>
      <c r="X45" s="694"/>
      <c r="Y45" s="694"/>
      <c r="Z45" s="695"/>
      <c r="AA45" s="693">
        <f t="shared" si="59"/>
        <v>0</v>
      </c>
      <c r="AB45" s="694"/>
      <c r="AC45" s="694"/>
      <c r="AD45" s="694"/>
      <c r="AE45" s="694"/>
      <c r="AF45" s="694"/>
      <c r="AG45" s="695"/>
      <c r="AH45" s="693">
        <f t="shared" si="60"/>
        <v>0</v>
      </c>
      <c r="AI45" s="694"/>
      <c r="AJ45" s="694"/>
      <c r="AK45" s="694"/>
      <c r="AL45" s="694"/>
      <c r="AM45" s="694"/>
      <c r="AN45" s="695"/>
      <c r="AO45" s="693">
        <f t="shared" si="61"/>
        <v>0</v>
      </c>
      <c r="AP45" s="694"/>
      <c r="AQ45" s="694"/>
      <c r="AR45" s="694"/>
      <c r="AS45" s="694"/>
      <c r="AT45" s="694"/>
      <c r="AU45" s="695"/>
      <c r="AV45" s="693">
        <f t="shared" si="62"/>
        <v>0</v>
      </c>
      <c r="AW45" s="694"/>
      <c r="AX45" s="694"/>
      <c r="AY45" s="694"/>
      <c r="AZ45" s="694"/>
      <c r="BA45" s="694"/>
      <c r="BB45" s="695"/>
      <c r="BC45" s="693">
        <f t="shared" si="63"/>
        <v>0</v>
      </c>
      <c r="BD45" s="694"/>
      <c r="BE45" s="694"/>
      <c r="BF45" s="694"/>
      <c r="BG45" s="694"/>
      <c r="BH45" s="694"/>
      <c r="BI45" s="695"/>
      <c r="BJ45" s="693">
        <f t="shared" si="64"/>
        <v>0</v>
      </c>
      <c r="BK45" s="694"/>
      <c r="BL45" s="694"/>
      <c r="BM45" s="694"/>
      <c r="BN45" s="694"/>
      <c r="BO45" s="694"/>
      <c r="BP45" s="695"/>
      <c r="BQ45" s="693">
        <f t="shared" si="65"/>
        <v>0</v>
      </c>
      <c r="BR45" s="694"/>
      <c r="BS45" s="694"/>
      <c r="BT45" s="694"/>
      <c r="BU45" s="694"/>
      <c r="BV45" s="694"/>
      <c r="BW45" s="695"/>
      <c r="BX45" s="693">
        <f t="shared" si="66"/>
        <v>0</v>
      </c>
      <c r="BY45" s="694"/>
      <c r="BZ45" s="694"/>
      <c r="CA45" s="694"/>
      <c r="CB45" s="694"/>
      <c r="CC45" s="694"/>
      <c r="CD45" s="695"/>
      <c r="CE45" s="693">
        <f t="shared" si="67"/>
        <v>0</v>
      </c>
      <c r="CF45" s="694"/>
      <c r="CG45" s="694"/>
      <c r="CH45" s="694"/>
      <c r="CI45" s="694"/>
      <c r="CJ45" s="694"/>
      <c r="CK45" s="695"/>
      <c r="CL45" s="693">
        <f t="shared" si="68"/>
        <v>0</v>
      </c>
      <c r="CM45" s="694"/>
      <c r="CN45" s="694"/>
      <c r="CO45" s="694"/>
      <c r="CP45" s="694"/>
      <c r="CQ45" s="694"/>
      <c r="CR45" s="695"/>
      <c r="CS45" s="693">
        <f t="shared" si="69"/>
        <v>0</v>
      </c>
      <c r="CT45" s="694"/>
      <c r="CU45" s="694"/>
      <c r="CV45" s="694"/>
      <c r="CW45" s="694"/>
      <c r="CX45" s="694"/>
      <c r="CY45" s="695"/>
      <c r="CZ45" s="693">
        <f t="shared" si="70"/>
        <v>0</v>
      </c>
      <c r="DA45" s="694"/>
      <c r="DB45" s="694"/>
      <c r="DC45" s="694"/>
      <c r="DD45" s="694"/>
      <c r="DE45" s="694"/>
      <c r="DF45" s="695"/>
      <c r="DG45" s="693">
        <f t="shared" si="71"/>
        <v>0</v>
      </c>
      <c r="DH45" s="694"/>
      <c r="DI45" s="694"/>
      <c r="DJ45" s="694"/>
      <c r="DK45" s="694"/>
      <c r="DL45" s="694"/>
      <c r="DM45" s="698"/>
    </row>
    <row r="46" spans="2:117" ht="27" customHeight="1">
      <c r="C46" s="746"/>
      <c r="D46" s="762" t="s">
        <v>520</v>
      </c>
      <c r="E46" s="756">
        <v>451</v>
      </c>
      <c r="F46" s="693">
        <f t="shared" si="56"/>
        <v>122.85300000000001</v>
      </c>
      <c r="G46" s="694"/>
      <c r="H46" s="694"/>
      <c r="I46" s="694">
        <f>'Отчёт СТС'!D34/1000</f>
        <v>102.998</v>
      </c>
      <c r="J46" s="694">
        <f>'Отчёт СТС'!E34/1000</f>
        <v>19.855</v>
      </c>
      <c r="K46" s="694"/>
      <c r="L46" s="695"/>
      <c r="M46" s="693">
        <f t="shared" si="57"/>
        <v>1268.729</v>
      </c>
      <c r="N46" s="694"/>
      <c r="O46" s="694"/>
      <c r="P46" s="694">
        <f>'Отчёт СТС'!H34/1000</f>
        <v>1099.5450000000001</v>
      </c>
      <c r="Q46" s="694">
        <f>'Отчёт СТС'!I34/1000</f>
        <v>169.184</v>
      </c>
      <c r="R46" s="694"/>
      <c r="S46" s="695"/>
      <c r="T46" s="693">
        <f t="shared" si="58"/>
        <v>0</v>
      </c>
      <c r="U46" s="694"/>
      <c r="V46" s="694"/>
      <c r="W46" s="694"/>
      <c r="X46" s="694"/>
      <c r="Y46" s="694"/>
      <c r="Z46" s="695"/>
      <c r="AA46" s="693">
        <f t="shared" si="59"/>
        <v>0</v>
      </c>
      <c r="AB46" s="694"/>
      <c r="AC46" s="694"/>
      <c r="AD46" s="694"/>
      <c r="AE46" s="694"/>
      <c r="AF46" s="694"/>
      <c r="AG46" s="695"/>
      <c r="AH46" s="693">
        <f t="shared" si="60"/>
        <v>0</v>
      </c>
      <c r="AI46" s="694"/>
      <c r="AJ46" s="694"/>
      <c r="AK46" s="694"/>
      <c r="AL46" s="694"/>
      <c r="AM46" s="694"/>
      <c r="AN46" s="695"/>
      <c r="AO46" s="693">
        <f t="shared" si="61"/>
        <v>0</v>
      </c>
      <c r="AP46" s="694"/>
      <c r="AQ46" s="694"/>
      <c r="AR46" s="694"/>
      <c r="AS46" s="694"/>
      <c r="AT46" s="694"/>
      <c r="AU46" s="695"/>
      <c r="AV46" s="693">
        <f t="shared" si="62"/>
        <v>0</v>
      </c>
      <c r="AW46" s="694"/>
      <c r="AX46" s="694"/>
      <c r="AY46" s="694"/>
      <c r="AZ46" s="694"/>
      <c r="BA46" s="694"/>
      <c r="BB46" s="695"/>
      <c r="BC46" s="693">
        <f t="shared" si="63"/>
        <v>0</v>
      </c>
      <c r="BD46" s="694"/>
      <c r="BE46" s="694"/>
      <c r="BF46" s="694"/>
      <c r="BG46" s="694"/>
      <c r="BH46" s="694"/>
      <c r="BI46" s="695"/>
      <c r="BJ46" s="693">
        <f t="shared" si="64"/>
        <v>0</v>
      </c>
      <c r="BK46" s="694"/>
      <c r="BL46" s="694"/>
      <c r="BM46" s="694"/>
      <c r="BN46" s="694"/>
      <c r="BO46" s="694"/>
      <c r="BP46" s="695"/>
      <c r="BQ46" s="693">
        <f t="shared" si="65"/>
        <v>0</v>
      </c>
      <c r="BR46" s="694"/>
      <c r="BS46" s="694"/>
      <c r="BT46" s="694"/>
      <c r="BU46" s="694"/>
      <c r="BV46" s="694"/>
      <c r="BW46" s="695"/>
      <c r="BX46" s="693">
        <f t="shared" si="66"/>
        <v>0</v>
      </c>
      <c r="BY46" s="694"/>
      <c r="BZ46" s="694"/>
      <c r="CA46" s="694"/>
      <c r="CB46" s="694"/>
      <c r="CC46" s="694"/>
      <c r="CD46" s="695"/>
      <c r="CE46" s="693">
        <f t="shared" si="67"/>
        <v>0</v>
      </c>
      <c r="CF46" s="694"/>
      <c r="CG46" s="694"/>
      <c r="CH46" s="694"/>
      <c r="CI46" s="694"/>
      <c r="CJ46" s="694"/>
      <c r="CK46" s="695"/>
      <c r="CL46" s="693">
        <f t="shared" si="68"/>
        <v>0</v>
      </c>
      <c r="CM46" s="694"/>
      <c r="CN46" s="694"/>
      <c r="CO46" s="694"/>
      <c r="CP46" s="694"/>
      <c r="CQ46" s="694"/>
      <c r="CR46" s="695"/>
      <c r="CS46" s="693">
        <f t="shared" si="69"/>
        <v>0</v>
      </c>
      <c r="CT46" s="694"/>
      <c r="CU46" s="694"/>
      <c r="CV46" s="694"/>
      <c r="CW46" s="694"/>
      <c r="CX46" s="694"/>
      <c r="CY46" s="695"/>
      <c r="CZ46" s="693">
        <f t="shared" si="70"/>
        <v>0</v>
      </c>
      <c r="DA46" s="694"/>
      <c r="DB46" s="694"/>
      <c r="DC46" s="694"/>
      <c r="DD46" s="694"/>
      <c r="DE46" s="694"/>
      <c r="DF46" s="695"/>
      <c r="DG46" s="693">
        <f t="shared" si="71"/>
        <v>0</v>
      </c>
      <c r="DH46" s="694"/>
      <c r="DI46" s="694"/>
      <c r="DJ46" s="694"/>
      <c r="DK46" s="694"/>
      <c r="DL46" s="694"/>
      <c r="DM46" s="698"/>
    </row>
    <row r="47" spans="2:117" ht="15" customHeight="1">
      <c r="C47" s="746"/>
      <c r="D47" s="761" t="s">
        <v>521</v>
      </c>
      <c r="E47" s="756">
        <v>461</v>
      </c>
      <c r="F47" s="693">
        <f t="shared" si="56"/>
        <v>4162.308</v>
      </c>
      <c r="G47" s="694"/>
      <c r="H47" s="694"/>
      <c r="I47" s="694">
        <f>'Отчёт СТС'!D19/1000</f>
        <v>1166.971</v>
      </c>
      <c r="J47" s="694">
        <f>'Отчёт СТС'!E19/1000</f>
        <v>2995.337</v>
      </c>
      <c r="K47" s="694"/>
      <c r="L47" s="695"/>
      <c r="M47" s="693">
        <f t="shared" si="57"/>
        <v>39815.281000000003</v>
      </c>
      <c r="N47" s="694"/>
      <c r="O47" s="694"/>
      <c r="P47" s="694">
        <f>'Отчёт СТС'!H19/1000</f>
        <v>11647.897000000001</v>
      </c>
      <c r="Q47" s="694">
        <f>'Отчёт СТС'!I19/1000</f>
        <v>28167.383999999998</v>
      </c>
      <c r="R47" s="694"/>
      <c r="S47" s="695"/>
      <c r="T47" s="693">
        <f t="shared" si="58"/>
        <v>295.92699999999996</v>
      </c>
      <c r="U47" s="694"/>
      <c r="V47" s="694"/>
      <c r="W47" s="694">
        <f>'Шаблон 46 ГП'!F71/1000</f>
        <v>292.86599999999999</v>
      </c>
      <c r="X47" s="694">
        <f>'Шаблон 46 ГП'!G71/1000</f>
        <v>3.0609999999999999</v>
      </c>
      <c r="Y47" s="694"/>
      <c r="Z47" s="695"/>
      <c r="AA47" s="693">
        <f t="shared" si="59"/>
        <v>2783.4780800000003</v>
      </c>
      <c r="AB47" s="694"/>
      <c r="AC47" s="694"/>
      <c r="AD47" s="694">
        <f>'Шаблон 46 ГП'!O71/1000</f>
        <v>2754.2478200000005</v>
      </c>
      <c r="AE47" s="694">
        <f>'Шаблон 46 ГП'!P71/1000</f>
        <v>29.230260000000001</v>
      </c>
      <c r="AF47" s="694"/>
      <c r="AG47" s="695"/>
      <c r="AH47" s="693">
        <f t="shared" si="60"/>
        <v>0</v>
      </c>
      <c r="AI47" s="694"/>
      <c r="AJ47" s="694"/>
      <c r="AK47" s="694"/>
      <c r="AL47" s="694"/>
      <c r="AM47" s="694"/>
      <c r="AN47" s="695"/>
      <c r="AO47" s="693">
        <f t="shared" si="61"/>
        <v>0</v>
      </c>
      <c r="AP47" s="694"/>
      <c r="AQ47" s="694"/>
      <c r="AR47" s="694"/>
      <c r="AS47" s="694"/>
      <c r="AT47" s="694"/>
      <c r="AU47" s="695"/>
      <c r="AV47" s="693">
        <f t="shared" si="62"/>
        <v>0</v>
      </c>
      <c r="AW47" s="694"/>
      <c r="AX47" s="694"/>
      <c r="AY47" s="694"/>
      <c r="AZ47" s="694"/>
      <c r="BA47" s="694"/>
      <c r="BB47" s="695"/>
      <c r="BC47" s="693">
        <f t="shared" si="63"/>
        <v>0</v>
      </c>
      <c r="BD47" s="694"/>
      <c r="BE47" s="694"/>
      <c r="BF47" s="694"/>
      <c r="BG47" s="694"/>
      <c r="BH47" s="694"/>
      <c r="BI47" s="695"/>
      <c r="BJ47" s="693">
        <f t="shared" si="64"/>
        <v>0</v>
      </c>
      <c r="BK47" s="694"/>
      <c r="BL47" s="694"/>
      <c r="BM47" s="694"/>
      <c r="BN47" s="694"/>
      <c r="BO47" s="694"/>
      <c r="BP47" s="695"/>
      <c r="BQ47" s="693">
        <f t="shared" si="65"/>
        <v>0</v>
      </c>
      <c r="BR47" s="694"/>
      <c r="BS47" s="694"/>
      <c r="BT47" s="694"/>
      <c r="BU47" s="694"/>
      <c r="BV47" s="694"/>
      <c r="BW47" s="695"/>
      <c r="BX47" s="693">
        <f t="shared" si="66"/>
        <v>0</v>
      </c>
      <c r="BY47" s="694"/>
      <c r="BZ47" s="694"/>
      <c r="CA47" s="694"/>
      <c r="CB47" s="694"/>
      <c r="CC47" s="694"/>
      <c r="CD47" s="695"/>
      <c r="CE47" s="693">
        <f t="shared" si="67"/>
        <v>0</v>
      </c>
      <c r="CF47" s="694"/>
      <c r="CG47" s="694"/>
      <c r="CH47" s="694"/>
      <c r="CI47" s="694"/>
      <c r="CJ47" s="694"/>
      <c r="CK47" s="695"/>
      <c r="CL47" s="693">
        <f t="shared" si="68"/>
        <v>0</v>
      </c>
      <c r="CM47" s="694"/>
      <c r="CN47" s="694"/>
      <c r="CO47" s="694"/>
      <c r="CP47" s="694"/>
      <c r="CQ47" s="694"/>
      <c r="CR47" s="695"/>
      <c r="CS47" s="693">
        <f t="shared" si="69"/>
        <v>0</v>
      </c>
      <c r="CT47" s="694"/>
      <c r="CU47" s="694"/>
      <c r="CV47" s="694"/>
      <c r="CW47" s="694"/>
      <c r="CX47" s="694"/>
      <c r="CY47" s="695"/>
      <c r="CZ47" s="693">
        <f t="shared" si="70"/>
        <v>0</v>
      </c>
      <c r="DA47" s="694"/>
      <c r="DB47" s="694"/>
      <c r="DC47" s="694"/>
      <c r="DD47" s="694"/>
      <c r="DE47" s="694"/>
      <c r="DF47" s="695"/>
      <c r="DG47" s="693">
        <f t="shared" si="71"/>
        <v>0</v>
      </c>
      <c r="DH47" s="694"/>
      <c r="DI47" s="694"/>
      <c r="DJ47" s="694"/>
      <c r="DK47" s="694"/>
      <c r="DL47" s="694"/>
      <c r="DM47" s="698"/>
    </row>
    <row r="48" spans="2:117" ht="15" customHeight="1">
      <c r="C48" s="746"/>
      <c r="D48" s="761" t="s">
        <v>522</v>
      </c>
      <c r="E48" s="756">
        <v>471</v>
      </c>
      <c r="F48" s="693">
        <f t="shared" si="56"/>
        <v>1451.1590000000001</v>
      </c>
      <c r="G48" s="694"/>
      <c r="H48" s="694"/>
      <c r="I48" s="694">
        <f>'Отчёт СТС'!D38/1000</f>
        <v>1252.8330000000001</v>
      </c>
      <c r="J48" s="694">
        <f>'Отчёт СТС'!E38/1000</f>
        <v>198.32599999999999</v>
      </c>
      <c r="K48" s="694"/>
      <c r="L48" s="695"/>
      <c r="M48" s="693">
        <f t="shared" si="57"/>
        <v>13715.712</v>
      </c>
      <c r="N48" s="694"/>
      <c r="O48" s="694"/>
      <c r="P48" s="694">
        <f>'Отчёт СТС'!H38/1000</f>
        <v>12515.981</v>
      </c>
      <c r="Q48" s="694">
        <f>'Отчёт СТС'!I38/1000</f>
        <v>1199.731</v>
      </c>
      <c r="R48" s="694"/>
      <c r="S48" s="695"/>
      <c r="T48" s="693">
        <f t="shared" si="58"/>
        <v>0</v>
      </c>
      <c r="U48" s="694"/>
      <c r="V48" s="694"/>
      <c r="W48" s="694"/>
      <c r="X48" s="694"/>
      <c r="Y48" s="694"/>
      <c r="Z48" s="695"/>
      <c r="AA48" s="693">
        <f t="shared" si="59"/>
        <v>0</v>
      </c>
      <c r="AB48" s="694"/>
      <c r="AC48" s="694"/>
      <c r="AD48" s="694"/>
      <c r="AE48" s="694"/>
      <c r="AF48" s="694"/>
      <c r="AG48" s="695"/>
      <c r="AH48" s="693">
        <f t="shared" si="60"/>
        <v>0</v>
      </c>
      <c r="AI48" s="694"/>
      <c r="AJ48" s="694"/>
      <c r="AK48" s="694"/>
      <c r="AL48" s="694"/>
      <c r="AM48" s="694"/>
      <c r="AN48" s="695"/>
      <c r="AO48" s="693">
        <f t="shared" si="61"/>
        <v>0</v>
      </c>
      <c r="AP48" s="694"/>
      <c r="AQ48" s="694"/>
      <c r="AR48" s="694"/>
      <c r="AS48" s="694"/>
      <c r="AT48" s="694"/>
      <c r="AU48" s="695"/>
      <c r="AV48" s="693">
        <f t="shared" si="62"/>
        <v>0</v>
      </c>
      <c r="AW48" s="694"/>
      <c r="AX48" s="694"/>
      <c r="AY48" s="694"/>
      <c r="AZ48" s="694"/>
      <c r="BA48" s="694"/>
      <c r="BB48" s="695"/>
      <c r="BC48" s="693">
        <f t="shared" si="63"/>
        <v>0</v>
      </c>
      <c r="BD48" s="694"/>
      <c r="BE48" s="694"/>
      <c r="BF48" s="694"/>
      <c r="BG48" s="694"/>
      <c r="BH48" s="694"/>
      <c r="BI48" s="695"/>
      <c r="BJ48" s="693">
        <f t="shared" si="64"/>
        <v>0</v>
      </c>
      <c r="BK48" s="694"/>
      <c r="BL48" s="694"/>
      <c r="BM48" s="694"/>
      <c r="BN48" s="694"/>
      <c r="BO48" s="694"/>
      <c r="BP48" s="695"/>
      <c r="BQ48" s="693">
        <f t="shared" si="65"/>
        <v>0</v>
      </c>
      <c r="BR48" s="694"/>
      <c r="BS48" s="694"/>
      <c r="BT48" s="694"/>
      <c r="BU48" s="694"/>
      <c r="BV48" s="694"/>
      <c r="BW48" s="695"/>
      <c r="BX48" s="693">
        <f t="shared" si="66"/>
        <v>0</v>
      </c>
      <c r="BY48" s="694"/>
      <c r="BZ48" s="694"/>
      <c r="CA48" s="694"/>
      <c r="CB48" s="694"/>
      <c r="CC48" s="694"/>
      <c r="CD48" s="695"/>
      <c r="CE48" s="693">
        <f t="shared" si="67"/>
        <v>0</v>
      </c>
      <c r="CF48" s="694"/>
      <c r="CG48" s="694"/>
      <c r="CH48" s="694"/>
      <c r="CI48" s="694"/>
      <c r="CJ48" s="694"/>
      <c r="CK48" s="695"/>
      <c r="CL48" s="693">
        <f t="shared" si="68"/>
        <v>0</v>
      </c>
      <c r="CM48" s="694"/>
      <c r="CN48" s="694"/>
      <c r="CO48" s="694"/>
      <c r="CP48" s="694"/>
      <c r="CQ48" s="694"/>
      <c r="CR48" s="695"/>
      <c r="CS48" s="693">
        <f t="shared" si="69"/>
        <v>0</v>
      </c>
      <c r="CT48" s="694"/>
      <c r="CU48" s="694"/>
      <c r="CV48" s="694"/>
      <c r="CW48" s="694"/>
      <c r="CX48" s="694"/>
      <c r="CY48" s="695"/>
      <c r="CZ48" s="693">
        <f t="shared" si="70"/>
        <v>0</v>
      </c>
      <c r="DA48" s="694"/>
      <c r="DB48" s="694"/>
      <c r="DC48" s="694"/>
      <c r="DD48" s="694"/>
      <c r="DE48" s="694"/>
      <c r="DF48" s="695"/>
      <c r="DG48" s="693">
        <f t="shared" si="71"/>
        <v>0</v>
      </c>
      <c r="DH48" s="694"/>
      <c r="DI48" s="694"/>
      <c r="DJ48" s="694"/>
      <c r="DK48" s="694"/>
      <c r="DL48" s="694"/>
      <c r="DM48" s="698"/>
    </row>
    <row r="49" spans="1:117" ht="33.75">
      <c r="C49" s="746"/>
      <c r="D49" s="761" t="s">
        <v>526</v>
      </c>
      <c r="E49" s="756">
        <v>500</v>
      </c>
      <c r="F49" s="693">
        <f>SUM(G49:L49)</f>
        <v>1788.328</v>
      </c>
      <c r="G49" s="694"/>
      <c r="H49" s="992">
        <f>IFERROR('Шаблон 46 ГП'!E268/1000,0)</f>
        <v>160.94952000000001</v>
      </c>
      <c r="I49" s="992">
        <f>IFERROR('Шаблон 46 ГП'!F268/1000,0)</f>
        <v>608.03152</v>
      </c>
      <c r="J49" s="992">
        <f>IFERROR('Шаблон 46 ГП'!G268/1000,0)</f>
        <v>1019.34696</v>
      </c>
      <c r="K49" s="694"/>
      <c r="L49" s="695"/>
      <c r="M49" s="693">
        <f t="shared" si="57"/>
        <v>7063.84195</v>
      </c>
      <c r="N49" s="694"/>
      <c r="O49" s="992">
        <f>IFERROR('Шаблон 46 ГП'!N268/1000,0)</f>
        <v>635.74578000000008</v>
      </c>
      <c r="P49" s="992">
        <f>IFERROR('Шаблон 46 ГП'!O268/1000,0)</f>
        <v>2401.7062599999999</v>
      </c>
      <c r="Q49" s="992">
        <f>IFERROR('Шаблон 46 ГП'!P268/1000,0)</f>
        <v>4026.3899100000003</v>
      </c>
      <c r="R49" s="694"/>
      <c r="S49" s="695"/>
      <c r="T49" s="693">
        <f t="shared" si="58"/>
        <v>0</v>
      </c>
      <c r="U49" s="694"/>
      <c r="V49" s="694"/>
      <c r="W49" s="694"/>
      <c r="X49" s="694"/>
      <c r="Y49" s="694"/>
      <c r="Z49" s="695"/>
      <c r="AA49" s="693">
        <f t="shared" si="59"/>
        <v>0</v>
      </c>
      <c r="AB49" s="694"/>
      <c r="AC49" s="694"/>
      <c r="AD49" s="694"/>
      <c r="AE49" s="694"/>
      <c r="AF49" s="694"/>
      <c r="AG49" s="695"/>
      <c r="AH49" s="693">
        <f t="shared" si="60"/>
        <v>0</v>
      </c>
      <c r="AI49" s="694"/>
      <c r="AJ49" s="694"/>
      <c r="AK49" s="694"/>
      <c r="AL49" s="694"/>
      <c r="AM49" s="694"/>
      <c r="AN49" s="695"/>
      <c r="AO49" s="693">
        <f t="shared" si="61"/>
        <v>0</v>
      </c>
      <c r="AP49" s="694"/>
      <c r="AQ49" s="694"/>
      <c r="AR49" s="694"/>
      <c r="AS49" s="694"/>
      <c r="AT49" s="694"/>
      <c r="AU49" s="695"/>
      <c r="AV49" s="693">
        <f t="shared" si="62"/>
        <v>0</v>
      </c>
      <c r="AW49" s="694"/>
      <c r="AX49" s="694"/>
      <c r="AY49" s="694"/>
      <c r="AZ49" s="694"/>
      <c r="BA49" s="694"/>
      <c r="BB49" s="695"/>
      <c r="BC49" s="693">
        <f t="shared" si="63"/>
        <v>0</v>
      </c>
      <c r="BD49" s="694"/>
      <c r="BE49" s="694"/>
      <c r="BF49" s="694"/>
      <c r="BG49" s="694"/>
      <c r="BH49" s="694"/>
      <c r="BI49" s="695"/>
      <c r="BJ49" s="693">
        <f t="shared" si="64"/>
        <v>0</v>
      </c>
      <c r="BK49" s="694"/>
      <c r="BL49" s="694"/>
      <c r="BM49" s="694"/>
      <c r="BN49" s="694"/>
      <c r="BO49" s="694"/>
      <c r="BP49" s="695"/>
      <c r="BQ49" s="693">
        <f t="shared" si="65"/>
        <v>0</v>
      </c>
      <c r="BR49" s="694"/>
      <c r="BS49" s="694"/>
      <c r="BT49" s="694"/>
      <c r="BU49" s="694"/>
      <c r="BV49" s="694"/>
      <c r="BW49" s="695"/>
      <c r="BX49" s="693">
        <f t="shared" si="66"/>
        <v>0</v>
      </c>
      <c r="BY49" s="694"/>
      <c r="BZ49" s="694"/>
      <c r="CA49" s="694"/>
      <c r="CB49" s="694"/>
      <c r="CC49" s="694"/>
      <c r="CD49" s="695"/>
      <c r="CE49" s="693">
        <f t="shared" si="67"/>
        <v>0</v>
      </c>
      <c r="CF49" s="694"/>
      <c r="CG49" s="694"/>
      <c r="CH49" s="694"/>
      <c r="CI49" s="694"/>
      <c r="CJ49" s="694"/>
      <c r="CK49" s="695"/>
      <c r="CL49" s="693">
        <f t="shared" si="68"/>
        <v>0</v>
      </c>
      <c r="CM49" s="694"/>
      <c r="CN49" s="694"/>
      <c r="CO49" s="694"/>
      <c r="CP49" s="694"/>
      <c r="CQ49" s="694"/>
      <c r="CR49" s="695"/>
      <c r="CS49" s="693">
        <f t="shared" si="69"/>
        <v>0</v>
      </c>
      <c r="CT49" s="694"/>
      <c r="CU49" s="694"/>
      <c r="CV49" s="694"/>
      <c r="CW49" s="694"/>
      <c r="CX49" s="694"/>
      <c r="CY49" s="695"/>
      <c r="CZ49" s="693">
        <f t="shared" si="70"/>
        <v>0</v>
      </c>
      <c r="DA49" s="694"/>
      <c r="DB49" s="694"/>
      <c r="DC49" s="694"/>
      <c r="DD49" s="694"/>
      <c r="DE49" s="694"/>
      <c r="DF49" s="695"/>
      <c r="DG49" s="693">
        <f t="shared" si="71"/>
        <v>0</v>
      </c>
      <c r="DH49" s="694"/>
      <c r="DI49" s="694"/>
      <c r="DJ49" s="694"/>
      <c r="DK49" s="694"/>
      <c r="DL49" s="694"/>
      <c r="DM49" s="698"/>
    </row>
    <row r="50" spans="1:117" ht="15" customHeight="1">
      <c r="C50" s="746"/>
      <c r="D50" s="763" t="s">
        <v>527</v>
      </c>
      <c r="E50" s="764">
        <v>600</v>
      </c>
      <c r="F50" s="693">
        <f>SUM(F18:F24)+SUM(F26:F32)+SUM(F34:F40)+SUM(F42:F48)</f>
        <v>19850.285</v>
      </c>
      <c r="G50" s="693">
        <f t="shared" ref="G50:BR50" si="72">SUM(G18:G24)+SUM(G26:G32)+SUM(G34:G40)+SUM(G42:G48)</f>
        <v>0</v>
      </c>
      <c r="H50" s="693">
        <f t="shared" si="72"/>
        <v>190.53299999999999</v>
      </c>
      <c r="I50" s="693">
        <f t="shared" si="72"/>
        <v>12530.698</v>
      </c>
      <c r="J50" s="693">
        <f t="shared" si="72"/>
        <v>7129.054000000001</v>
      </c>
      <c r="K50" s="693">
        <f t="shared" si="72"/>
        <v>0</v>
      </c>
      <c r="L50" s="696">
        <f t="shared" si="72"/>
        <v>0</v>
      </c>
      <c r="M50" s="693">
        <f t="shared" si="72"/>
        <v>175036.05778000003</v>
      </c>
      <c r="N50" s="693">
        <f t="shared" si="72"/>
        <v>0</v>
      </c>
      <c r="O50" s="693">
        <f t="shared" si="72"/>
        <v>1611.7967599999999</v>
      </c>
      <c r="P50" s="693">
        <f t="shared" si="72"/>
        <v>109373.09769000001</v>
      </c>
      <c r="Q50" s="693">
        <f t="shared" si="72"/>
        <v>64051.163329999996</v>
      </c>
      <c r="R50" s="693">
        <f t="shared" si="72"/>
        <v>0</v>
      </c>
      <c r="S50" s="696">
        <f t="shared" si="72"/>
        <v>0</v>
      </c>
      <c r="T50" s="693">
        <f t="shared" si="72"/>
        <v>295.92699999999996</v>
      </c>
      <c r="U50" s="693">
        <f t="shared" si="72"/>
        <v>0</v>
      </c>
      <c r="V50" s="693">
        <f t="shared" si="72"/>
        <v>0</v>
      </c>
      <c r="W50" s="693">
        <f t="shared" si="72"/>
        <v>292.86599999999999</v>
      </c>
      <c r="X50" s="693">
        <f t="shared" si="72"/>
        <v>3.0609999999999999</v>
      </c>
      <c r="Y50" s="693">
        <f t="shared" si="72"/>
        <v>0</v>
      </c>
      <c r="Z50" s="696">
        <f t="shared" si="72"/>
        <v>0</v>
      </c>
      <c r="AA50" s="693">
        <f t="shared" si="72"/>
        <v>2783.4780800000003</v>
      </c>
      <c r="AB50" s="693">
        <f t="shared" si="72"/>
        <v>0</v>
      </c>
      <c r="AC50" s="693">
        <f t="shared" si="72"/>
        <v>0</v>
      </c>
      <c r="AD50" s="693">
        <f t="shared" si="72"/>
        <v>2754.2478200000005</v>
      </c>
      <c r="AE50" s="693">
        <f t="shared" si="72"/>
        <v>29.230260000000001</v>
      </c>
      <c r="AF50" s="693">
        <f t="shared" si="72"/>
        <v>0</v>
      </c>
      <c r="AG50" s="696">
        <f t="shared" si="72"/>
        <v>0</v>
      </c>
      <c r="AH50" s="693">
        <f t="shared" si="72"/>
        <v>6724.0690000000004</v>
      </c>
      <c r="AI50" s="693">
        <f t="shared" si="72"/>
        <v>0</v>
      </c>
      <c r="AJ50" s="693">
        <f t="shared" si="72"/>
        <v>2494.779</v>
      </c>
      <c r="AK50" s="693">
        <f t="shared" si="72"/>
        <v>4215.41</v>
      </c>
      <c r="AL50" s="693">
        <f t="shared" si="72"/>
        <v>13.88</v>
      </c>
      <c r="AM50" s="693">
        <f t="shared" si="72"/>
        <v>0</v>
      </c>
      <c r="AN50" s="696">
        <f t="shared" si="72"/>
        <v>0</v>
      </c>
      <c r="AO50" s="693">
        <f t="shared" si="72"/>
        <v>47691.441340000012</v>
      </c>
      <c r="AP50" s="693">
        <f t="shared" si="72"/>
        <v>0</v>
      </c>
      <c r="AQ50" s="693">
        <f t="shared" si="72"/>
        <v>17193.228070000001</v>
      </c>
      <c r="AR50" s="693">
        <f t="shared" si="72"/>
        <v>30394.370740000006</v>
      </c>
      <c r="AS50" s="693">
        <f t="shared" si="72"/>
        <v>103.84253</v>
      </c>
      <c r="AT50" s="693">
        <f t="shared" si="72"/>
        <v>0</v>
      </c>
      <c r="AU50" s="696">
        <f t="shared" si="72"/>
        <v>0</v>
      </c>
      <c r="AV50" s="693">
        <f t="shared" si="72"/>
        <v>9.5549999999999997</v>
      </c>
      <c r="AW50" s="693">
        <f t="shared" si="72"/>
        <v>0</v>
      </c>
      <c r="AX50" s="693">
        <f t="shared" si="72"/>
        <v>3.28</v>
      </c>
      <c r="AY50" s="693">
        <f t="shared" si="72"/>
        <v>6.2350000000000003</v>
      </c>
      <c r="AZ50" s="693">
        <f t="shared" si="72"/>
        <v>0.04</v>
      </c>
      <c r="BA50" s="693">
        <f t="shared" si="72"/>
        <v>0</v>
      </c>
      <c r="BB50" s="696">
        <f t="shared" si="72"/>
        <v>0</v>
      </c>
      <c r="BC50" s="693">
        <f t="shared" si="72"/>
        <v>11536.08747</v>
      </c>
      <c r="BD50" s="693">
        <f t="shared" si="72"/>
        <v>0</v>
      </c>
      <c r="BE50" s="693">
        <f t="shared" si="72"/>
        <v>3960.05933</v>
      </c>
      <c r="BF50" s="693">
        <f t="shared" si="72"/>
        <v>7527.7347300000001</v>
      </c>
      <c r="BG50" s="693">
        <f t="shared" si="72"/>
        <v>48.293410000000002</v>
      </c>
      <c r="BH50" s="693">
        <f t="shared" si="72"/>
        <v>0</v>
      </c>
      <c r="BI50" s="696">
        <f t="shared" si="72"/>
        <v>0</v>
      </c>
      <c r="BJ50" s="693">
        <f t="shared" si="72"/>
        <v>3691.2719999999999</v>
      </c>
      <c r="BK50" s="693">
        <f t="shared" si="72"/>
        <v>0</v>
      </c>
      <c r="BL50" s="693">
        <f t="shared" si="72"/>
        <v>0</v>
      </c>
      <c r="BM50" s="693">
        <f t="shared" si="72"/>
        <v>102.423</v>
      </c>
      <c r="BN50" s="693">
        <f t="shared" si="72"/>
        <v>3588.8490000000002</v>
      </c>
      <c r="BO50" s="693">
        <f t="shared" si="72"/>
        <v>0</v>
      </c>
      <c r="BP50" s="696">
        <f t="shared" si="72"/>
        <v>0</v>
      </c>
      <c r="BQ50" s="693">
        <f t="shared" si="72"/>
        <v>13669.947359999998</v>
      </c>
      <c r="BR50" s="693">
        <f t="shared" si="72"/>
        <v>0</v>
      </c>
      <c r="BS50" s="693">
        <f t="shared" ref="BS50:DM50" si="73">SUM(BS18:BS24)+SUM(BS26:BS32)+SUM(BS34:BS40)+SUM(BS42:BS48)</f>
        <v>0</v>
      </c>
      <c r="BT50" s="693">
        <f t="shared" si="73"/>
        <v>359.80949000000004</v>
      </c>
      <c r="BU50" s="693">
        <f t="shared" si="73"/>
        <v>13310.137869999999</v>
      </c>
      <c r="BV50" s="693">
        <f t="shared" si="73"/>
        <v>0</v>
      </c>
      <c r="BW50" s="696">
        <f t="shared" si="73"/>
        <v>0</v>
      </c>
      <c r="BX50" s="693">
        <f t="shared" si="73"/>
        <v>5.9240000000000004</v>
      </c>
      <c r="BY50" s="693">
        <f t="shared" si="73"/>
        <v>0</v>
      </c>
      <c r="BZ50" s="693">
        <f t="shared" si="73"/>
        <v>0</v>
      </c>
      <c r="CA50" s="693">
        <f t="shared" si="73"/>
        <v>0.14499999999999999</v>
      </c>
      <c r="CB50" s="693">
        <f t="shared" si="73"/>
        <v>5.7789999999999999</v>
      </c>
      <c r="CC50" s="693">
        <f t="shared" si="73"/>
        <v>0</v>
      </c>
      <c r="CD50" s="696">
        <f t="shared" si="73"/>
        <v>0</v>
      </c>
      <c r="CE50" s="693">
        <f t="shared" si="73"/>
        <v>7152.25353</v>
      </c>
      <c r="CF50" s="693">
        <f t="shared" si="73"/>
        <v>0</v>
      </c>
      <c r="CG50" s="693">
        <f t="shared" si="73"/>
        <v>0</v>
      </c>
      <c r="CH50" s="693">
        <f t="shared" si="73"/>
        <v>175.06359999999998</v>
      </c>
      <c r="CI50" s="693">
        <f t="shared" si="73"/>
        <v>6977.1899300000005</v>
      </c>
      <c r="CJ50" s="693">
        <f t="shared" si="73"/>
        <v>0</v>
      </c>
      <c r="CK50" s="696">
        <f t="shared" si="73"/>
        <v>0</v>
      </c>
      <c r="CL50" s="693">
        <f t="shared" si="73"/>
        <v>6.7129999999999992</v>
      </c>
      <c r="CM50" s="693">
        <f t="shared" si="73"/>
        <v>0</v>
      </c>
      <c r="CN50" s="693">
        <f t="shared" si="73"/>
        <v>0</v>
      </c>
      <c r="CO50" s="693">
        <f t="shared" si="73"/>
        <v>0.157</v>
      </c>
      <c r="CP50" s="693">
        <f t="shared" si="73"/>
        <v>6.556</v>
      </c>
      <c r="CQ50" s="693">
        <f t="shared" si="73"/>
        <v>0</v>
      </c>
      <c r="CR50" s="696">
        <f t="shared" si="73"/>
        <v>0</v>
      </c>
      <c r="CS50" s="693">
        <f t="shared" si="73"/>
        <v>7164.6043900000004</v>
      </c>
      <c r="CT50" s="693">
        <f t="shared" si="73"/>
        <v>0</v>
      </c>
      <c r="CU50" s="693">
        <f t="shared" si="73"/>
        <v>0</v>
      </c>
      <c r="CV50" s="693">
        <f t="shared" si="73"/>
        <v>439.46540000000005</v>
      </c>
      <c r="CW50" s="693">
        <f t="shared" si="73"/>
        <v>6725.1389899999995</v>
      </c>
      <c r="CX50" s="693">
        <f t="shared" si="73"/>
        <v>0</v>
      </c>
      <c r="CY50" s="696">
        <f t="shared" si="73"/>
        <v>0</v>
      </c>
      <c r="CZ50" s="693">
        <f t="shared" si="73"/>
        <v>0</v>
      </c>
      <c r="DA50" s="693">
        <f t="shared" si="73"/>
        <v>0</v>
      </c>
      <c r="DB50" s="693">
        <f t="shared" si="73"/>
        <v>0</v>
      </c>
      <c r="DC50" s="693">
        <f t="shared" si="73"/>
        <v>0</v>
      </c>
      <c r="DD50" s="693">
        <f t="shared" si="73"/>
        <v>0</v>
      </c>
      <c r="DE50" s="693">
        <f t="shared" si="73"/>
        <v>0</v>
      </c>
      <c r="DF50" s="696">
        <f t="shared" si="73"/>
        <v>0</v>
      </c>
      <c r="DG50" s="693">
        <f t="shared" si="73"/>
        <v>0</v>
      </c>
      <c r="DH50" s="693">
        <f t="shared" si="73"/>
        <v>0</v>
      </c>
      <c r="DI50" s="693">
        <f t="shared" si="73"/>
        <v>0</v>
      </c>
      <c r="DJ50" s="693">
        <f t="shared" si="73"/>
        <v>0</v>
      </c>
      <c r="DK50" s="693">
        <f t="shared" si="73"/>
        <v>0</v>
      </c>
      <c r="DL50" s="693">
        <f t="shared" si="73"/>
        <v>0</v>
      </c>
      <c r="DM50" s="706">
        <f t="shared" si="73"/>
        <v>0</v>
      </c>
    </row>
    <row r="53" spans="1:117" s="708" customFormat="1" ht="12.75">
      <c r="A53" s="707"/>
      <c r="D53" s="708" t="s">
        <v>528</v>
      </c>
      <c r="E53" s="4186" t="s">
        <v>477</v>
      </c>
      <c r="F53" s="4186"/>
      <c r="G53" s="4186"/>
      <c r="H53" s="4186"/>
      <c r="J53" s="4187"/>
      <c r="K53" s="4188"/>
    </row>
    <row r="54" spans="1:117" s="708" customFormat="1" ht="12.75">
      <c r="A54" s="707"/>
      <c r="E54" s="4192" t="s">
        <v>529</v>
      </c>
      <c r="F54" s="4192"/>
      <c r="G54" s="4192"/>
      <c r="H54" s="4192"/>
      <c r="J54" s="4193" t="s">
        <v>530</v>
      </c>
      <c r="K54" s="4192"/>
    </row>
    <row r="55" spans="1:117" s="708" customFormat="1" ht="12.75">
      <c r="A55" s="707"/>
      <c r="G55" s="710"/>
      <c r="K55" s="710"/>
    </row>
    <row r="56" spans="1:117" s="708" customFormat="1" ht="12.75">
      <c r="A56" s="707"/>
    </row>
    <row r="57" spans="1:117" s="708" customFormat="1" ht="12.75">
      <c r="A57" s="707"/>
      <c r="D57" s="711" t="s">
        <v>531</v>
      </c>
      <c r="E57" s="4186" t="s">
        <v>486</v>
      </c>
      <c r="F57" s="4186"/>
      <c r="G57" s="709"/>
      <c r="H57" s="4186" t="s">
        <v>484</v>
      </c>
      <c r="I57" s="4186"/>
      <c r="J57" s="4186"/>
      <c r="K57" s="709"/>
      <c r="L57" s="712"/>
      <c r="M57" s="712"/>
    </row>
    <row r="58" spans="1:117" s="708" customFormat="1" ht="12.75">
      <c r="A58" s="707"/>
      <c r="D58" s="711" t="s">
        <v>532</v>
      </c>
      <c r="E58" s="4190" t="s">
        <v>533</v>
      </c>
      <c r="F58" s="4190"/>
      <c r="G58" s="710"/>
      <c r="H58" s="4190" t="s">
        <v>529</v>
      </c>
      <c r="I58" s="4190"/>
      <c r="J58" s="4190"/>
      <c r="K58" s="710"/>
      <c r="L58" s="4190" t="s">
        <v>530</v>
      </c>
      <c r="M58" s="4190"/>
    </row>
    <row r="59" spans="1:117" s="708" customFormat="1" ht="12.75">
      <c r="A59" s="707"/>
      <c r="D59" s="711" t="s">
        <v>534</v>
      </c>
    </row>
    <row r="60" spans="1:117" s="708" customFormat="1" ht="12.75">
      <c r="A60" s="707"/>
      <c r="E60" s="4186" t="s">
        <v>487</v>
      </c>
      <c r="F60" s="4186"/>
      <c r="G60" s="4186"/>
      <c r="I60" s="713" t="s">
        <v>535</v>
      </c>
      <c r="J60" s="711"/>
    </row>
    <row r="61" spans="1:117" s="708" customFormat="1" ht="12.75">
      <c r="A61" s="707"/>
      <c r="E61" s="4191" t="s">
        <v>536</v>
      </c>
      <c r="F61" s="4191"/>
      <c r="G61" s="4191"/>
      <c r="I61" s="714" t="s">
        <v>537</v>
      </c>
      <c r="J61" s="714"/>
    </row>
  </sheetData>
  <mergeCells count="69">
    <mergeCell ref="L58:M58"/>
    <mergeCell ref="E60:G60"/>
    <mergeCell ref="E61:G61"/>
    <mergeCell ref="E57:F57"/>
    <mergeCell ref="H57:J57"/>
    <mergeCell ref="E58:F58"/>
    <mergeCell ref="H58:J58"/>
    <mergeCell ref="DG14:DG15"/>
    <mergeCell ref="DH14:DM14"/>
    <mergeCell ref="E53:H53"/>
    <mergeCell ref="J53:K53"/>
    <mergeCell ref="E54:H54"/>
    <mergeCell ref="J54:K54"/>
    <mergeCell ref="CL14:CL15"/>
    <mergeCell ref="CM14:CR14"/>
    <mergeCell ref="CS14:CS15"/>
    <mergeCell ref="CT14:CY14"/>
    <mergeCell ref="AV14:AV15"/>
    <mergeCell ref="CZ14:CZ15"/>
    <mergeCell ref="DA14:DF14"/>
    <mergeCell ref="BQ14:BQ15"/>
    <mergeCell ref="BR14:BW14"/>
    <mergeCell ref="BX14:BX15"/>
    <mergeCell ref="BY14:CD14"/>
    <mergeCell ref="CE14:CE15"/>
    <mergeCell ref="CF14:CK14"/>
    <mergeCell ref="AW14:BB14"/>
    <mergeCell ref="BC14:BC15"/>
    <mergeCell ref="BD14:BI14"/>
    <mergeCell ref="BJ14:BJ15"/>
    <mergeCell ref="BK14:BP14"/>
    <mergeCell ref="DG12:DM13"/>
    <mergeCell ref="BX13:CD13"/>
    <mergeCell ref="CE13:CK13"/>
    <mergeCell ref="CL13:CR13"/>
    <mergeCell ref="CS13:CY13"/>
    <mergeCell ref="BX12:CK12"/>
    <mergeCell ref="CL12:CY12"/>
    <mergeCell ref="CZ12:DF13"/>
    <mergeCell ref="AV13:BB13"/>
    <mergeCell ref="BC13:BI13"/>
    <mergeCell ref="BJ13:BP13"/>
    <mergeCell ref="BQ13:BW13"/>
    <mergeCell ref="AH12:AU12"/>
    <mergeCell ref="AH13:AN13"/>
    <mergeCell ref="AV12:BI12"/>
    <mergeCell ref="BJ12:BW12"/>
    <mergeCell ref="D11:K11"/>
    <mergeCell ref="D12:D15"/>
    <mergeCell ref="E12:E15"/>
    <mergeCell ref="F12:S12"/>
    <mergeCell ref="T12:AG12"/>
    <mergeCell ref="F14:F15"/>
    <mergeCell ref="G14:L14"/>
    <mergeCell ref="M14:M15"/>
    <mergeCell ref="N14:S14"/>
    <mergeCell ref="F13:L13"/>
    <mergeCell ref="M13:S13"/>
    <mergeCell ref="T13:Z13"/>
    <mergeCell ref="AA13:AG13"/>
    <mergeCell ref="T14:T15"/>
    <mergeCell ref="U14:Z14"/>
    <mergeCell ref="AA14:AA15"/>
    <mergeCell ref="AB14:AG14"/>
    <mergeCell ref="AO13:AU13"/>
    <mergeCell ref="AH14:AH15"/>
    <mergeCell ref="AI14:AN14"/>
    <mergeCell ref="AO14:AO15"/>
    <mergeCell ref="AP14:AU14"/>
  </mergeCells>
  <dataValidations count="1">
    <dataValidation type="decimal" allowBlank="1" showErrorMessage="1" errorTitle="Ошибка" error="Допускается ввод только действительных чисел!" sqref="F17:DM50">
      <formula1>-9.99999999999999E+23</formula1>
      <formula2>9.99999999999999E+23</formula2>
    </dataValidation>
  </dataValidations>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I61"/>
  <sheetViews>
    <sheetView topLeftCell="C7" workbookViewId="0">
      <selection activeCell="J26" sqref="J26"/>
    </sheetView>
  </sheetViews>
  <sheetFormatPr defaultColWidth="8.28515625" defaultRowHeight="11.25"/>
  <cols>
    <col min="1" max="2" width="8.28515625" style="668" hidden="1" customWidth="1"/>
    <col min="3" max="3" width="3.7109375" style="668" customWidth="1"/>
    <col min="4" max="4" width="37" style="668" customWidth="1"/>
    <col min="5" max="5" width="6.28515625" style="668" customWidth="1"/>
    <col min="6" max="61" width="9.7109375" style="668" customWidth="1"/>
    <col min="62" max="16384" width="8.28515625" style="668"/>
  </cols>
  <sheetData>
    <row r="1" spans="1:61" hidden="1"/>
    <row r="2" spans="1:61" hidden="1"/>
    <row r="3" spans="1:61" hidden="1"/>
    <row r="4" spans="1:61" hidden="1">
      <c r="A4" s="669"/>
      <c r="F4" s="670"/>
      <c r="G4" s="670"/>
      <c r="H4" s="670"/>
      <c r="I4" s="670"/>
      <c r="J4" s="670"/>
      <c r="K4" s="670"/>
      <c r="L4" s="670"/>
      <c r="M4" s="670"/>
      <c r="N4" s="670"/>
      <c r="O4" s="670"/>
      <c r="P4" s="670"/>
      <c r="Q4" s="670"/>
      <c r="R4" s="670"/>
      <c r="S4" s="670"/>
      <c r="T4" s="670"/>
      <c r="U4" s="670"/>
      <c r="V4" s="670"/>
      <c r="W4" s="670"/>
      <c r="X4" s="670"/>
      <c r="Y4" s="670"/>
      <c r="Z4" s="670"/>
      <c r="AA4" s="670"/>
      <c r="AB4" s="670"/>
      <c r="AC4" s="670"/>
      <c r="AD4" s="670"/>
      <c r="AE4" s="670"/>
      <c r="AF4" s="670"/>
      <c r="AG4" s="670"/>
      <c r="AH4" s="670"/>
      <c r="AI4" s="670"/>
      <c r="AJ4" s="670"/>
      <c r="AK4" s="670"/>
      <c r="AL4" s="670"/>
      <c r="AM4" s="670"/>
      <c r="AN4" s="670"/>
      <c r="AO4" s="670"/>
      <c r="AP4" s="670"/>
      <c r="AQ4" s="670"/>
      <c r="AR4" s="670"/>
      <c r="AS4" s="670"/>
      <c r="AT4" s="670"/>
      <c r="AU4" s="670"/>
      <c r="AV4" s="670"/>
      <c r="AW4" s="670"/>
      <c r="AX4" s="670"/>
      <c r="AY4" s="670"/>
      <c r="AZ4" s="670"/>
      <c r="BA4" s="670"/>
      <c r="BB4" s="670"/>
      <c r="BC4" s="670"/>
      <c r="BD4" s="670"/>
      <c r="BE4" s="670"/>
      <c r="BF4" s="670"/>
      <c r="BG4" s="670"/>
      <c r="BH4" s="670"/>
      <c r="BI4" s="670"/>
    </row>
    <row r="5" spans="1:61" hidden="1">
      <c r="A5" s="671"/>
    </row>
    <row r="6" spans="1:61" hidden="1">
      <c r="A6" s="671"/>
    </row>
    <row r="7" spans="1:61" ht="12" customHeight="1">
      <c r="A7" s="671"/>
      <c r="D7" s="672"/>
      <c r="E7" s="672"/>
      <c r="F7" s="672"/>
      <c r="G7" s="672"/>
      <c r="H7" s="672"/>
      <c r="I7" s="672"/>
      <c r="J7" s="672"/>
      <c r="K7" s="672"/>
      <c r="L7" s="672"/>
      <c r="M7" s="672"/>
      <c r="P7" s="672"/>
      <c r="Q7" s="672"/>
      <c r="T7" s="672"/>
      <c r="U7" s="672"/>
      <c r="X7" s="672"/>
      <c r="Y7" s="672"/>
      <c r="AB7" s="672"/>
      <c r="AC7" s="672"/>
      <c r="AF7" s="672"/>
      <c r="AG7" s="672"/>
      <c r="AJ7" s="672"/>
      <c r="AK7" s="672"/>
      <c r="AN7" s="672"/>
      <c r="AO7" s="672"/>
      <c r="AR7" s="672"/>
      <c r="AS7" s="672"/>
      <c r="AV7" s="672"/>
      <c r="AW7" s="672"/>
      <c r="AZ7" s="672"/>
      <c r="BA7" s="672"/>
      <c r="BD7" s="672"/>
      <c r="BE7" s="672"/>
      <c r="BH7" s="672"/>
      <c r="BI7" s="672"/>
    </row>
    <row r="8" spans="1:61" ht="12" customHeight="1">
      <c r="A8" s="671"/>
      <c r="D8" s="673" t="s">
        <v>606</v>
      </c>
      <c r="E8" s="675"/>
      <c r="F8" s="675"/>
      <c r="G8" s="675"/>
      <c r="H8" s="675"/>
      <c r="I8" s="675"/>
      <c r="J8" s="675"/>
      <c r="K8" s="675"/>
      <c r="L8" s="675"/>
      <c r="M8" s="676"/>
    </row>
    <row r="9" spans="1:61" ht="12" customHeight="1">
      <c r="D9" s="677" t="s">
        <v>621</v>
      </c>
      <c r="E9" s="672"/>
      <c r="F9" s="672"/>
      <c r="G9" s="672"/>
      <c r="H9" s="672"/>
      <c r="I9" s="672"/>
      <c r="J9" s="672"/>
      <c r="K9" s="672"/>
      <c r="L9" s="672"/>
    </row>
    <row r="10" spans="1:61" ht="12" customHeight="1">
      <c r="D10" s="680" t="s">
        <v>2</v>
      </c>
      <c r="E10" s="672"/>
      <c r="F10" s="672"/>
      <c r="G10" s="672"/>
      <c r="H10" s="672"/>
      <c r="I10" s="672"/>
      <c r="J10" s="672"/>
      <c r="K10" s="672"/>
      <c r="L10" s="672"/>
    </row>
    <row r="11" spans="1:61" ht="12" customHeight="1">
      <c r="D11" s="4178"/>
      <c r="E11" s="4178"/>
      <c r="F11" s="4178"/>
      <c r="G11" s="4178"/>
      <c r="H11" s="4178"/>
      <c r="I11" s="681"/>
      <c r="J11" s="681"/>
      <c r="K11" s="681"/>
      <c r="L11" s="681"/>
      <c r="M11" s="672"/>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N11" s="672"/>
      <c r="AO11" s="672"/>
      <c r="AP11" s="672"/>
      <c r="AQ11" s="672"/>
      <c r="AR11" s="672"/>
      <c r="AS11" s="672"/>
      <c r="AT11" s="672"/>
      <c r="AU11" s="672"/>
      <c r="AV11" s="672"/>
      <c r="AW11" s="672"/>
      <c r="AX11" s="672"/>
      <c r="AY11" s="672"/>
      <c r="AZ11" s="672"/>
      <c r="BA11" s="682"/>
      <c r="BB11" s="672"/>
      <c r="BC11" s="672"/>
      <c r="BD11" s="672"/>
      <c r="BE11" s="682"/>
      <c r="BF11" s="672"/>
      <c r="BG11" s="672"/>
      <c r="BH11" s="672"/>
      <c r="BI11" s="723" t="s">
        <v>496</v>
      </c>
    </row>
    <row r="12" spans="1:61" s="765" customFormat="1" ht="15" customHeight="1">
      <c r="C12" s="766"/>
      <c r="D12" s="4179" t="s">
        <v>497</v>
      </c>
      <c r="E12" s="4179" t="s">
        <v>498</v>
      </c>
      <c r="F12" s="4223" t="s">
        <v>205</v>
      </c>
      <c r="G12" s="4223"/>
      <c r="H12" s="4223"/>
      <c r="I12" s="4223"/>
      <c r="J12" s="4223"/>
      <c r="K12" s="4223"/>
      <c r="L12" s="4223"/>
      <c r="M12" s="4224"/>
      <c r="N12" s="4225" t="s">
        <v>608</v>
      </c>
      <c r="O12" s="4223"/>
      <c r="P12" s="4223"/>
      <c r="Q12" s="4223"/>
      <c r="R12" s="4223"/>
      <c r="S12" s="4223"/>
      <c r="T12" s="4223"/>
      <c r="U12" s="4224"/>
      <c r="V12" s="4225" t="s">
        <v>622</v>
      </c>
      <c r="W12" s="4223"/>
      <c r="X12" s="4223"/>
      <c r="Y12" s="4223"/>
      <c r="Z12" s="4223"/>
      <c r="AA12" s="4223"/>
      <c r="AB12" s="4223"/>
      <c r="AC12" s="4224"/>
      <c r="AD12" s="4226" t="s">
        <v>622</v>
      </c>
      <c r="AE12" s="4223"/>
      <c r="AF12" s="4223"/>
      <c r="AG12" s="4223"/>
      <c r="AH12" s="4223"/>
      <c r="AI12" s="4223"/>
      <c r="AJ12" s="4223"/>
      <c r="AK12" s="4224"/>
      <c r="AL12" s="4227" t="s">
        <v>623</v>
      </c>
      <c r="AM12" s="4228"/>
      <c r="AN12" s="4228"/>
      <c r="AO12" s="4228"/>
      <c r="AP12" s="4228"/>
      <c r="AQ12" s="4228"/>
      <c r="AR12" s="4228"/>
      <c r="AS12" s="4229"/>
      <c r="AT12" s="4227" t="s">
        <v>623</v>
      </c>
      <c r="AU12" s="4228"/>
      <c r="AV12" s="4228"/>
      <c r="AW12" s="4228"/>
      <c r="AX12" s="4228"/>
      <c r="AY12" s="4228"/>
      <c r="AZ12" s="4228"/>
      <c r="BA12" s="4229"/>
      <c r="BB12" s="4194" t="s">
        <v>624</v>
      </c>
      <c r="BC12" s="4195"/>
      <c r="BD12" s="4195"/>
      <c r="BE12" s="4196"/>
      <c r="BF12" s="4197" t="s">
        <v>625</v>
      </c>
      <c r="BG12" s="4195"/>
      <c r="BH12" s="4195"/>
      <c r="BI12" s="4198"/>
    </row>
    <row r="13" spans="1:61" s="765" customFormat="1" ht="66" customHeight="1">
      <c r="C13" s="766"/>
      <c r="D13" s="4179"/>
      <c r="E13" s="4179"/>
      <c r="F13" s="4179" t="s">
        <v>613</v>
      </c>
      <c r="G13" s="4179"/>
      <c r="H13" s="4179"/>
      <c r="I13" s="4180"/>
      <c r="J13" s="4184" t="s">
        <v>614</v>
      </c>
      <c r="K13" s="4179"/>
      <c r="L13" s="4179"/>
      <c r="M13" s="4180"/>
      <c r="N13" s="4181" t="s">
        <v>626</v>
      </c>
      <c r="O13" s="4179"/>
      <c r="P13" s="4179"/>
      <c r="Q13" s="4180"/>
      <c r="R13" s="4184" t="s">
        <v>627</v>
      </c>
      <c r="S13" s="4179"/>
      <c r="T13" s="4179"/>
      <c r="U13" s="4180"/>
      <c r="V13" s="4181" t="s">
        <v>615</v>
      </c>
      <c r="W13" s="4179"/>
      <c r="X13" s="4179"/>
      <c r="Y13" s="4180"/>
      <c r="Z13" s="4184" t="s">
        <v>616</v>
      </c>
      <c r="AA13" s="4179"/>
      <c r="AB13" s="4179"/>
      <c r="AC13" s="4180"/>
      <c r="AD13" s="4181" t="s">
        <v>628</v>
      </c>
      <c r="AE13" s="4179"/>
      <c r="AF13" s="4179"/>
      <c r="AG13" s="4180"/>
      <c r="AH13" s="4184" t="s">
        <v>618</v>
      </c>
      <c r="AI13" s="4179"/>
      <c r="AJ13" s="4179"/>
      <c r="AK13" s="4180"/>
      <c r="AL13" s="4181" t="s">
        <v>629</v>
      </c>
      <c r="AM13" s="4179"/>
      <c r="AN13" s="4179"/>
      <c r="AO13" s="4180"/>
      <c r="AP13" s="4184" t="s">
        <v>508</v>
      </c>
      <c r="AQ13" s="4179"/>
      <c r="AR13" s="4179"/>
      <c r="AS13" s="4180"/>
      <c r="AT13" s="4181" t="s">
        <v>628</v>
      </c>
      <c r="AU13" s="4179"/>
      <c r="AV13" s="4179"/>
      <c r="AW13" s="4180"/>
      <c r="AX13" s="4184" t="s">
        <v>618</v>
      </c>
      <c r="AY13" s="4179"/>
      <c r="AZ13" s="4179"/>
      <c r="BA13" s="4180"/>
      <c r="BB13" s="4194"/>
      <c r="BC13" s="4195"/>
      <c r="BD13" s="4195"/>
      <c r="BE13" s="4196"/>
      <c r="BF13" s="4197"/>
      <c r="BG13" s="4195"/>
      <c r="BH13" s="4195"/>
      <c r="BI13" s="4198"/>
    </row>
    <row r="14" spans="1:61" s="765" customFormat="1" ht="15" customHeight="1">
      <c r="C14" s="766"/>
      <c r="D14" s="4179"/>
      <c r="E14" s="4179"/>
      <c r="F14" s="4179" t="s">
        <v>511</v>
      </c>
      <c r="G14" s="4179" t="s">
        <v>512</v>
      </c>
      <c r="H14" s="4179"/>
      <c r="I14" s="4180"/>
      <c r="J14" s="4184" t="s">
        <v>511</v>
      </c>
      <c r="K14" s="4179" t="s">
        <v>512</v>
      </c>
      <c r="L14" s="4179"/>
      <c r="M14" s="4180"/>
      <c r="N14" s="4181" t="s">
        <v>511</v>
      </c>
      <c r="O14" s="4179" t="s">
        <v>512</v>
      </c>
      <c r="P14" s="4179"/>
      <c r="Q14" s="4180"/>
      <c r="R14" s="4184" t="s">
        <v>511</v>
      </c>
      <c r="S14" s="4179" t="s">
        <v>512</v>
      </c>
      <c r="T14" s="4179"/>
      <c r="U14" s="4180"/>
      <c r="V14" s="4181" t="s">
        <v>511</v>
      </c>
      <c r="W14" s="4179" t="s">
        <v>512</v>
      </c>
      <c r="X14" s="4179"/>
      <c r="Y14" s="4180"/>
      <c r="Z14" s="4184" t="s">
        <v>511</v>
      </c>
      <c r="AA14" s="4179" t="s">
        <v>512</v>
      </c>
      <c r="AB14" s="4179"/>
      <c r="AC14" s="4180"/>
      <c r="AD14" s="4181" t="s">
        <v>511</v>
      </c>
      <c r="AE14" s="4179" t="s">
        <v>512</v>
      </c>
      <c r="AF14" s="4179"/>
      <c r="AG14" s="4180"/>
      <c r="AH14" s="4184" t="s">
        <v>511</v>
      </c>
      <c r="AI14" s="4179" t="s">
        <v>512</v>
      </c>
      <c r="AJ14" s="4179"/>
      <c r="AK14" s="4180"/>
      <c r="AL14" s="4181" t="s">
        <v>511</v>
      </c>
      <c r="AM14" s="4179" t="s">
        <v>512</v>
      </c>
      <c r="AN14" s="4179"/>
      <c r="AO14" s="4180"/>
      <c r="AP14" s="4184" t="s">
        <v>511</v>
      </c>
      <c r="AQ14" s="4179" t="s">
        <v>512</v>
      </c>
      <c r="AR14" s="4179"/>
      <c r="AS14" s="4180"/>
      <c r="AT14" s="4181" t="s">
        <v>511</v>
      </c>
      <c r="AU14" s="4179" t="s">
        <v>512</v>
      </c>
      <c r="AV14" s="4179"/>
      <c r="AW14" s="4180"/>
      <c r="AX14" s="4184" t="s">
        <v>511</v>
      </c>
      <c r="AY14" s="4179" t="s">
        <v>512</v>
      </c>
      <c r="AZ14" s="4179"/>
      <c r="BA14" s="4180"/>
      <c r="BB14" s="4181" t="s">
        <v>511</v>
      </c>
      <c r="BC14" s="4179" t="s">
        <v>512</v>
      </c>
      <c r="BD14" s="4179"/>
      <c r="BE14" s="4180"/>
      <c r="BF14" s="4184" t="s">
        <v>511</v>
      </c>
      <c r="BG14" s="4179" t="s">
        <v>512</v>
      </c>
      <c r="BH14" s="4179"/>
      <c r="BI14" s="4185"/>
    </row>
    <row r="15" spans="1:61" s="765" customFormat="1" ht="56.25">
      <c r="C15" s="766"/>
      <c r="D15" s="4179"/>
      <c r="E15" s="4179"/>
      <c r="F15" s="4182"/>
      <c r="G15" s="685" t="s">
        <v>630</v>
      </c>
      <c r="H15" s="685" t="s">
        <v>439</v>
      </c>
      <c r="I15" s="686" t="s">
        <v>514</v>
      </c>
      <c r="J15" s="4189"/>
      <c r="K15" s="685" t="s">
        <v>630</v>
      </c>
      <c r="L15" s="685" t="s">
        <v>439</v>
      </c>
      <c r="M15" s="686" t="s">
        <v>514</v>
      </c>
      <c r="N15" s="4183"/>
      <c r="O15" s="685" t="s">
        <v>630</v>
      </c>
      <c r="P15" s="685" t="s">
        <v>439</v>
      </c>
      <c r="Q15" s="686" t="s">
        <v>514</v>
      </c>
      <c r="R15" s="4189"/>
      <c r="S15" s="685" t="s">
        <v>630</v>
      </c>
      <c r="T15" s="685" t="s">
        <v>439</v>
      </c>
      <c r="U15" s="686" t="s">
        <v>514</v>
      </c>
      <c r="V15" s="4183"/>
      <c r="W15" s="685" t="s">
        <v>630</v>
      </c>
      <c r="X15" s="685" t="s">
        <v>439</v>
      </c>
      <c r="Y15" s="686" t="s">
        <v>514</v>
      </c>
      <c r="Z15" s="4189"/>
      <c r="AA15" s="685" t="s">
        <v>630</v>
      </c>
      <c r="AB15" s="685" t="s">
        <v>439</v>
      </c>
      <c r="AC15" s="686" t="s">
        <v>514</v>
      </c>
      <c r="AD15" s="4183"/>
      <c r="AE15" s="685" t="s">
        <v>630</v>
      </c>
      <c r="AF15" s="685" t="s">
        <v>439</v>
      </c>
      <c r="AG15" s="686" t="s">
        <v>514</v>
      </c>
      <c r="AH15" s="4189"/>
      <c r="AI15" s="685" t="s">
        <v>630</v>
      </c>
      <c r="AJ15" s="685" t="s">
        <v>439</v>
      </c>
      <c r="AK15" s="686" t="s">
        <v>514</v>
      </c>
      <c r="AL15" s="4183"/>
      <c r="AM15" s="685" t="s">
        <v>630</v>
      </c>
      <c r="AN15" s="685" t="s">
        <v>439</v>
      </c>
      <c r="AO15" s="686" t="s">
        <v>514</v>
      </c>
      <c r="AP15" s="4189"/>
      <c r="AQ15" s="685" t="s">
        <v>630</v>
      </c>
      <c r="AR15" s="685" t="s">
        <v>439</v>
      </c>
      <c r="AS15" s="686" t="s">
        <v>514</v>
      </c>
      <c r="AT15" s="4183"/>
      <c r="AU15" s="685" t="s">
        <v>630</v>
      </c>
      <c r="AV15" s="685" t="s">
        <v>439</v>
      </c>
      <c r="AW15" s="686" t="s">
        <v>514</v>
      </c>
      <c r="AX15" s="4189"/>
      <c r="AY15" s="685" t="s">
        <v>630</v>
      </c>
      <c r="AZ15" s="685" t="s">
        <v>439</v>
      </c>
      <c r="BA15" s="686" t="s">
        <v>514</v>
      </c>
      <c r="BB15" s="4183"/>
      <c r="BC15" s="685" t="s">
        <v>630</v>
      </c>
      <c r="BD15" s="685" t="s">
        <v>439</v>
      </c>
      <c r="BE15" s="686" t="s">
        <v>514</v>
      </c>
      <c r="BF15" s="4184"/>
      <c r="BG15" s="683" t="s">
        <v>630</v>
      </c>
      <c r="BH15" s="683" t="s">
        <v>439</v>
      </c>
      <c r="BI15" s="684" t="s">
        <v>514</v>
      </c>
    </row>
    <row r="16" spans="1:61" ht="12" customHeight="1">
      <c r="D16" s="687">
        <v>1</v>
      </c>
      <c r="E16" s="687">
        <v>2</v>
      </c>
      <c r="F16" s="687">
        <v>3</v>
      </c>
      <c r="G16" s="687">
        <v>4</v>
      </c>
      <c r="H16" s="687">
        <v>5</v>
      </c>
      <c r="I16" s="687">
        <v>6</v>
      </c>
      <c r="J16" s="687">
        <v>7</v>
      </c>
      <c r="K16" s="687">
        <v>8</v>
      </c>
      <c r="L16" s="687">
        <v>9</v>
      </c>
      <c r="M16" s="687">
        <v>10</v>
      </c>
      <c r="N16" s="687">
        <v>11</v>
      </c>
      <c r="O16" s="687">
        <v>12</v>
      </c>
      <c r="P16" s="687">
        <v>13</v>
      </c>
      <c r="Q16" s="687">
        <v>14</v>
      </c>
      <c r="R16" s="687">
        <v>15</v>
      </c>
      <c r="S16" s="687">
        <v>16</v>
      </c>
      <c r="T16" s="687">
        <v>17</v>
      </c>
      <c r="U16" s="687">
        <v>18</v>
      </c>
      <c r="V16" s="687">
        <v>19</v>
      </c>
      <c r="W16" s="687">
        <v>20</v>
      </c>
      <c r="X16" s="687">
        <v>21</v>
      </c>
      <c r="Y16" s="687">
        <v>22</v>
      </c>
      <c r="Z16" s="687">
        <v>23</v>
      </c>
      <c r="AA16" s="687">
        <v>24</v>
      </c>
      <c r="AB16" s="687">
        <v>25</v>
      </c>
      <c r="AC16" s="687">
        <v>26</v>
      </c>
      <c r="AD16" s="687">
        <v>27</v>
      </c>
      <c r="AE16" s="687">
        <v>28</v>
      </c>
      <c r="AF16" s="687">
        <v>29</v>
      </c>
      <c r="AG16" s="687">
        <v>30</v>
      </c>
      <c r="AH16" s="687">
        <v>31</v>
      </c>
      <c r="AI16" s="687">
        <v>32</v>
      </c>
      <c r="AJ16" s="687">
        <v>33</v>
      </c>
      <c r="AK16" s="687">
        <v>34</v>
      </c>
      <c r="AL16" s="687">
        <v>35</v>
      </c>
      <c r="AM16" s="687">
        <v>36</v>
      </c>
      <c r="AN16" s="687">
        <v>37</v>
      </c>
      <c r="AO16" s="687">
        <v>38</v>
      </c>
      <c r="AP16" s="687">
        <v>39</v>
      </c>
      <c r="AQ16" s="687">
        <v>40</v>
      </c>
      <c r="AR16" s="687">
        <v>41</v>
      </c>
      <c r="AS16" s="687">
        <v>42</v>
      </c>
      <c r="AT16" s="687">
        <v>43</v>
      </c>
      <c r="AU16" s="687">
        <v>44</v>
      </c>
      <c r="AV16" s="687">
        <v>45</v>
      </c>
      <c r="AW16" s="687">
        <v>46</v>
      </c>
      <c r="AX16" s="687">
        <v>47</v>
      </c>
      <c r="AY16" s="687">
        <v>48</v>
      </c>
      <c r="AZ16" s="687">
        <v>49</v>
      </c>
      <c r="BA16" s="687">
        <v>50</v>
      </c>
      <c r="BB16" s="687">
        <v>51</v>
      </c>
      <c r="BC16" s="687">
        <v>52</v>
      </c>
      <c r="BD16" s="687">
        <v>53</v>
      </c>
      <c r="BE16" s="687">
        <v>54</v>
      </c>
      <c r="BF16" s="687">
        <v>55</v>
      </c>
      <c r="BG16" s="687">
        <v>56</v>
      </c>
      <c r="BH16" s="687">
        <v>57</v>
      </c>
      <c r="BI16" s="687">
        <v>58</v>
      </c>
    </row>
    <row r="17" spans="3:61" ht="33.75">
      <c r="C17" s="672"/>
      <c r="D17" s="715" t="s">
        <v>515</v>
      </c>
      <c r="E17" s="716">
        <v>100</v>
      </c>
      <c r="F17" s="689">
        <f t="shared" ref="F17:BI17" si="0">SUM(F18:F24)</f>
        <v>0</v>
      </c>
      <c r="G17" s="689">
        <f t="shared" si="0"/>
        <v>0</v>
      </c>
      <c r="H17" s="689">
        <f t="shared" si="0"/>
        <v>0</v>
      </c>
      <c r="I17" s="690">
        <f t="shared" si="0"/>
        <v>0</v>
      </c>
      <c r="J17" s="689">
        <f t="shared" si="0"/>
        <v>0</v>
      </c>
      <c r="K17" s="689">
        <f t="shared" si="0"/>
        <v>0</v>
      </c>
      <c r="L17" s="689">
        <f t="shared" si="0"/>
        <v>0</v>
      </c>
      <c r="M17" s="690">
        <f t="shared" si="0"/>
        <v>0</v>
      </c>
      <c r="N17" s="689">
        <f t="shared" si="0"/>
        <v>0</v>
      </c>
      <c r="O17" s="689">
        <f t="shared" si="0"/>
        <v>0</v>
      </c>
      <c r="P17" s="689">
        <f t="shared" si="0"/>
        <v>0</v>
      </c>
      <c r="Q17" s="690">
        <f t="shared" si="0"/>
        <v>0</v>
      </c>
      <c r="R17" s="689">
        <f t="shared" si="0"/>
        <v>0</v>
      </c>
      <c r="S17" s="689">
        <f t="shared" si="0"/>
        <v>0</v>
      </c>
      <c r="T17" s="689">
        <f t="shared" si="0"/>
        <v>0</v>
      </c>
      <c r="U17" s="690">
        <f t="shared" si="0"/>
        <v>0</v>
      </c>
      <c r="V17" s="689">
        <f t="shared" si="0"/>
        <v>0</v>
      </c>
      <c r="W17" s="689">
        <f t="shared" si="0"/>
        <v>0</v>
      </c>
      <c r="X17" s="689">
        <f t="shared" si="0"/>
        <v>0</v>
      </c>
      <c r="Y17" s="690">
        <f t="shared" si="0"/>
        <v>0</v>
      </c>
      <c r="Z17" s="689">
        <f t="shared" si="0"/>
        <v>0</v>
      </c>
      <c r="AA17" s="689">
        <f t="shared" si="0"/>
        <v>0</v>
      </c>
      <c r="AB17" s="689">
        <f t="shared" si="0"/>
        <v>0</v>
      </c>
      <c r="AC17" s="690">
        <f t="shared" si="0"/>
        <v>0</v>
      </c>
      <c r="AD17" s="689">
        <f t="shared" si="0"/>
        <v>0</v>
      </c>
      <c r="AE17" s="689">
        <f t="shared" si="0"/>
        <v>0</v>
      </c>
      <c r="AF17" s="689">
        <f t="shared" si="0"/>
        <v>0</v>
      </c>
      <c r="AG17" s="690">
        <f t="shared" si="0"/>
        <v>0</v>
      </c>
      <c r="AH17" s="689">
        <f t="shared" si="0"/>
        <v>0</v>
      </c>
      <c r="AI17" s="689">
        <f t="shared" si="0"/>
        <v>0</v>
      </c>
      <c r="AJ17" s="689">
        <f t="shared" si="0"/>
        <v>0</v>
      </c>
      <c r="AK17" s="690">
        <f t="shared" si="0"/>
        <v>0</v>
      </c>
      <c r="AL17" s="689">
        <f t="shared" si="0"/>
        <v>0</v>
      </c>
      <c r="AM17" s="689">
        <f t="shared" si="0"/>
        <v>0</v>
      </c>
      <c r="AN17" s="689">
        <f t="shared" si="0"/>
        <v>0</v>
      </c>
      <c r="AO17" s="690">
        <f t="shared" si="0"/>
        <v>0</v>
      </c>
      <c r="AP17" s="689">
        <f t="shared" si="0"/>
        <v>0</v>
      </c>
      <c r="AQ17" s="689">
        <f t="shared" si="0"/>
        <v>0</v>
      </c>
      <c r="AR17" s="689">
        <f t="shared" si="0"/>
        <v>0</v>
      </c>
      <c r="AS17" s="690">
        <f t="shared" si="0"/>
        <v>0</v>
      </c>
      <c r="AT17" s="689">
        <f t="shared" si="0"/>
        <v>0</v>
      </c>
      <c r="AU17" s="689">
        <f t="shared" si="0"/>
        <v>0</v>
      </c>
      <c r="AV17" s="689">
        <f t="shared" si="0"/>
        <v>0</v>
      </c>
      <c r="AW17" s="690">
        <f t="shared" si="0"/>
        <v>0</v>
      </c>
      <c r="AX17" s="689">
        <f t="shared" si="0"/>
        <v>0</v>
      </c>
      <c r="AY17" s="689">
        <f t="shared" si="0"/>
        <v>0</v>
      </c>
      <c r="AZ17" s="689">
        <f t="shared" si="0"/>
        <v>0</v>
      </c>
      <c r="BA17" s="690">
        <f t="shared" si="0"/>
        <v>0</v>
      </c>
      <c r="BB17" s="689">
        <f t="shared" si="0"/>
        <v>0</v>
      </c>
      <c r="BC17" s="689">
        <f t="shared" si="0"/>
        <v>0</v>
      </c>
      <c r="BD17" s="689">
        <f t="shared" si="0"/>
        <v>0</v>
      </c>
      <c r="BE17" s="690">
        <f t="shared" si="0"/>
        <v>0</v>
      </c>
      <c r="BF17" s="689">
        <f t="shared" si="0"/>
        <v>0</v>
      </c>
      <c r="BG17" s="689">
        <f t="shared" si="0"/>
        <v>0</v>
      </c>
      <c r="BH17" s="689">
        <f t="shared" si="0"/>
        <v>0</v>
      </c>
      <c r="BI17" s="699">
        <f t="shared" si="0"/>
        <v>0</v>
      </c>
    </row>
    <row r="18" spans="3:61" ht="22.5">
      <c r="C18" s="672"/>
      <c r="D18" s="715" t="s">
        <v>516</v>
      </c>
      <c r="E18" s="716">
        <v>111</v>
      </c>
      <c r="F18" s="694"/>
      <c r="G18" s="694"/>
      <c r="H18" s="694"/>
      <c r="I18" s="695"/>
      <c r="J18" s="694"/>
      <c r="K18" s="694"/>
      <c r="L18" s="694"/>
      <c r="M18" s="695"/>
      <c r="N18" s="694"/>
      <c r="O18" s="694"/>
      <c r="P18" s="694"/>
      <c r="Q18" s="695"/>
      <c r="R18" s="694"/>
      <c r="S18" s="694"/>
      <c r="T18" s="694"/>
      <c r="U18" s="695"/>
      <c r="V18" s="694"/>
      <c r="W18" s="694"/>
      <c r="X18" s="694"/>
      <c r="Y18" s="695"/>
      <c r="Z18" s="694"/>
      <c r="AA18" s="694"/>
      <c r="AB18" s="694"/>
      <c r="AC18" s="695"/>
      <c r="AD18" s="694"/>
      <c r="AE18" s="694"/>
      <c r="AF18" s="694"/>
      <c r="AG18" s="695"/>
      <c r="AH18" s="694"/>
      <c r="AI18" s="694"/>
      <c r="AJ18" s="694"/>
      <c r="AK18" s="695"/>
      <c r="AL18" s="694"/>
      <c r="AM18" s="694"/>
      <c r="AN18" s="694"/>
      <c r="AO18" s="695"/>
      <c r="AP18" s="694"/>
      <c r="AQ18" s="694"/>
      <c r="AR18" s="694"/>
      <c r="AS18" s="695"/>
      <c r="AT18" s="694"/>
      <c r="AU18" s="694"/>
      <c r="AV18" s="694"/>
      <c r="AW18" s="695"/>
      <c r="AX18" s="694"/>
      <c r="AY18" s="694"/>
      <c r="AZ18" s="694"/>
      <c r="BA18" s="695"/>
      <c r="BB18" s="694"/>
      <c r="BC18" s="694"/>
      <c r="BD18" s="694"/>
      <c r="BE18" s="695"/>
      <c r="BF18" s="694"/>
      <c r="BG18" s="694"/>
      <c r="BH18" s="694"/>
      <c r="BI18" s="698"/>
    </row>
    <row r="19" spans="3:61" ht="22.5">
      <c r="C19" s="672"/>
      <c r="D19" s="715" t="s">
        <v>517</v>
      </c>
      <c r="E19" s="716">
        <v>121</v>
      </c>
      <c r="F19" s="694"/>
      <c r="G19" s="694"/>
      <c r="H19" s="694"/>
      <c r="I19" s="695"/>
      <c r="J19" s="694"/>
      <c r="K19" s="694"/>
      <c r="L19" s="694"/>
      <c r="M19" s="695"/>
      <c r="N19" s="694"/>
      <c r="O19" s="694"/>
      <c r="P19" s="694"/>
      <c r="Q19" s="695"/>
      <c r="R19" s="694"/>
      <c r="S19" s="694"/>
      <c r="T19" s="694"/>
      <c r="U19" s="695"/>
      <c r="V19" s="694"/>
      <c r="W19" s="694"/>
      <c r="X19" s="694"/>
      <c r="Y19" s="695"/>
      <c r="Z19" s="694"/>
      <c r="AA19" s="694"/>
      <c r="AB19" s="694"/>
      <c r="AC19" s="695"/>
      <c r="AD19" s="694"/>
      <c r="AE19" s="694"/>
      <c r="AF19" s="694"/>
      <c r="AG19" s="695"/>
      <c r="AH19" s="694"/>
      <c r="AI19" s="694"/>
      <c r="AJ19" s="694"/>
      <c r="AK19" s="695"/>
      <c r="AL19" s="694"/>
      <c r="AM19" s="694"/>
      <c r="AN19" s="694"/>
      <c r="AO19" s="695"/>
      <c r="AP19" s="694"/>
      <c r="AQ19" s="694"/>
      <c r="AR19" s="694"/>
      <c r="AS19" s="695"/>
      <c r="AT19" s="694"/>
      <c r="AU19" s="694"/>
      <c r="AV19" s="694"/>
      <c r="AW19" s="695"/>
      <c r="AX19" s="694"/>
      <c r="AY19" s="694"/>
      <c r="AZ19" s="694"/>
      <c r="BA19" s="695"/>
      <c r="BB19" s="694"/>
      <c r="BC19" s="694"/>
      <c r="BD19" s="694"/>
      <c r="BE19" s="695"/>
      <c r="BF19" s="694"/>
      <c r="BG19" s="694"/>
      <c r="BH19" s="694"/>
      <c r="BI19" s="698"/>
    </row>
    <row r="20" spans="3:61" ht="15" customHeight="1">
      <c r="C20" s="672"/>
      <c r="D20" s="715" t="s">
        <v>518</v>
      </c>
      <c r="E20" s="716">
        <v>131</v>
      </c>
      <c r="F20" s="694"/>
      <c r="G20" s="694"/>
      <c r="H20" s="694"/>
      <c r="I20" s="695"/>
      <c r="J20" s="694"/>
      <c r="K20" s="694"/>
      <c r="L20" s="694"/>
      <c r="M20" s="695"/>
      <c r="N20" s="694"/>
      <c r="O20" s="694"/>
      <c r="P20" s="694"/>
      <c r="Q20" s="695"/>
      <c r="R20" s="694"/>
      <c r="S20" s="694"/>
      <c r="T20" s="694"/>
      <c r="U20" s="695"/>
      <c r="V20" s="694"/>
      <c r="W20" s="694"/>
      <c r="X20" s="694"/>
      <c r="Y20" s="695"/>
      <c r="Z20" s="694"/>
      <c r="AA20" s="694"/>
      <c r="AB20" s="694"/>
      <c r="AC20" s="695"/>
      <c r="AD20" s="694"/>
      <c r="AE20" s="694"/>
      <c r="AF20" s="694"/>
      <c r="AG20" s="695"/>
      <c r="AH20" s="694"/>
      <c r="AI20" s="694"/>
      <c r="AJ20" s="694"/>
      <c r="AK20" s="695"/>
      <c r="AL20" s="694"/>
      <c r="AM20" s="694"/>
      <c r="AN20" s="694"/>
      <c r="AO20" s="695"/>
      <c r="AP20" s="694"/>
      <c r="AQ20" s="694"/>
      <c r="AR20" s="694"/>
      <c r="AS20" s="695"/>
      <c r="AT20" s="694"/>
      <c r="AU20" s="694"/>
      <c r="AV20" s="694"/>
      <c r="AW20" s="695"/>
      <c r="AX20" s="694"/>
      <c r="AY20" s="694"/>
      <c r="AZ20" s="694"/>
      <c r="BA20" s="695"/>
      <c r="BB20" s="694"/>
      <c r="BC20" s="694"/>
      <c r="BD20" s="694"/>
      <c r="BE20" s="695"/>
      <c r="BF20" s="694"/>
      <c r="BG20" s="694"/>
      <c r="BH20" s="694"/>
      <c r="BI20" s="698"/>
    </row>
    <row r="21" spans="3:61" ht="15" customHeight="1">
      <c r="C21" s="672"/>
      <c r="D21" s="715" t="s">
        <v>519</v>
      </c>
      <c r="E21" s="716">
        <v>141</v>
      </c>
      <c r="F21" s="694"/>
      <c r="G21" s="694"/>
      <c r="H21" s="694"/>
      <c r="I21" s="695"/>
      <c r="J21" s="694"/>
      <c r="K21" s="694"/>
      <c r="L21" s="694"/>
      <c r="M21" s="695"/>
      <c r="N21" s="694"/>
      <c r="O21" s="694"/>
      <c r="P21" s="694"/>
      <c r="Q21" s="695"/>
      <c r="R21" s="694"/>
      <c r="S21" s="694"/>
      <c r="T21" s="694"/>
      <c r="U21" s="695"/>
      <c r="V21" s="694"/>
      <c r="W21" s="694"/>
      <c r="X21" s="694"/>
      <c r="Y21" s="695"/>
      <c r="Z21" s="694"/>
      <c r="AA21" s="694"/>
      <c r="AB21" s="694"/>
      <c r="AC21" s="695"/>
      <c r="AD21" s="694"/>
      <c r="AE21" s="694"/>
      <c r="AF21" s="694"/>
      <c r="AG21" s="695"/>
      <c r="AH21" s="694"/>
      <c r="AI21" s="694"/>
      <c r="AJ21" s="694"/>
      <c r="AK21" s="695"/>
      <c r="AL21" s="694"/>
      <c r="AM21" s="694"/>
      <c r="AN21" s="694"/>
      <c r="AO21" s="695"/>
      <c r="AP21" s="694"/>
      <c r="AQ21" s="694"/>
      <c r="AR21" s="694"/>
      <c r="AS21" s="695"/>
      <c r="AT21" s="694"/>
      <c r="AU21" s="694"/>
      <c r="AV21" s="694"/>
      <c r="AW21" s="695"/>
      <c r="AX21" s="694"/>
      <c r="AY21" s="694"/>
      <c r="AZ21" s="694"/>
      <c r="BA21" s="695"/>
      <c r="BB21" s="694"/>
      <c r="BC21" s="694"/>
      <c r="BD21" s="694"/>
      <c r="BE21" s="695"/>
      <c r="BF21" s="694"/>
      <c r="BG21" s="694"/>
      <c r="BH21" s="694"/>
      <c r="BI21" s="698"/>
    </row>
    <row r="22" spans="3:61" ht="15" customHeight="1">
      <c r="C22" s="672"/>
      <c r="D22" s="715" t="s">
        <v>631</v>
      </c>
      <c r="E22" s="716">
        <v>151</v>
      </c>
      <c r="F22" s="694"/>
      <c r="G22" s="694"/>
      <c r="H22" s="694"/>
      <c r="I22" s="695"/>
      <c r="J22" s="694"/>
      <c r="K22" s="694"/>
      <c r="L22" s="694"/>
      <c r="M22" s="695"/>
      <c r="N22" s="694"/>
      <c r="O22" s="694"/>
      <c r="P22" s="694"/>
      <c r="Q22" s="695"/>
      <c r="R22" s="694"/>
      <c r="S22" s="694"/>
      <c r="T22" s="694"/>
      <c r="U22" s="695"/>
      <c r="V22" s="694"/>
      <c r="W22" s="694"/>
      <c r="X22" s="694"/>
      <c r="Y22" s="695"/>
      <c r="Z22" s="694"/>
      <c r="AA22" s="694"/>
      <c r="AB22" s="694"/>
      <c r="AC22" s="695"/>
      <c r="AD22" s="694"/>
      <c r="AE22" s="694"/>
      <c r="AF22" s="694"/>
      <c r="AG22" s="695"/>
      <c r="AH22" s="694"/>
      <c r="AI22" s="694"/>
      <c r="AJ22" s="694"/>
      <c r="AK22" s="695"/>
      <c r="AL22" s="694"/>
      <c r="AM22" s="694"/>
      <c r="AN22" s="694"/>
      <c r="AO22" s="695"/>
      <c r="AP22" s="694"/>
      <c r="AQ22" s="694"/>
      <c r="AR22" s="694"/>
      <c r="AS22" s="695"/>
      <c r="AT22" s="694"/>
      <c r="AU22" s="694"/>
      <c r="AV22" s="694"/>
      <c r="AW22" s="695"/>
      <c r="AX22" s="694"/>
      <c r="AY22" s="694"/>
      <c r="AZ22" s="694"/>
      <c r="BA22" s="695"/>
      <c r="BB22" s="694"/>
      <c r="BC22" s="694"/>
      <c r="BD22" s="694"/>
      <c r="BE22" s="695"/>
      <c r="BF22" s="694"/>
      <c r="BG22" s="694"/>
      <c r="BH22" s="694"/>
      <c r="BI22" s="698"/>
    </row>
    <row r="23" spans="3:61" ht="15" customHeight="1">
      <c r="C23" s="672"/>
      <c r="D23" s="715" t="s">
        <v>521</v>
      </c>
      <c r="E23" s="716">
        <v>161</v>
      </c>
      <c r="F23" s="694"/>
      <c r="G23" s="694"/>
      <c r="H23" s="694"/>
      <c r="I23" s="695"/>
      <c r="J23" s="694"/>
      <c r="K23" s="694"/>
      <c r="L23" s="694"/>
      <c r="M23" s="695"/>
      <c r="N23" s="694"/>
      <c r="O23" s="694"/>
      <c r="P23" s="694"/>
      <c r="Q23" s="695"/>
      <c r="R23" s="694"/>
      <c r="S23" s="694"/>
      <c r="T23" s="694"/>
      <c r="U23" s="695"/>
      <c r="V23" s="694"/>
      <c r="W23" s="694"/>
      <c r="X23" s="694"/>
      <c r="Y23" s="695"/>
      <c r="Z23" s="694"/>
      <c r="AA23" s="694"/>
      <c r="AB23" s="694"/>
      <c r="AC23" s="695"/>
      <c r="AD23" s="694"/>
      <c r="AE23" s="694"/>
      <c r="AF23" s="694"/>
      <c r="AG23" s="695"/>
      <c r="AH23" s="694"/>
      <c r="AI23" s="694"/>
      <c r="AJ23" s="694"/>
      <c r="AK23" s="695"/>
      <c r="AL23" s="694"/>
      <c r="AM23" s="694"/>
      <c r="AN23" s="694"/>
      <c r="AO23" s="695"/>
      <c r="AP23" s="694"/>
      <c r="AQ23" s="694"/>
      <c r="AR23" s="694"/>
      <c r="AS23" s="695"/>
      <c r="AT23" s="694"/>
      <c r="AU23" s="694"/>
      <c r="AV23" s="694"/>
      <c r="AW23" s="695"/>
      <c r="AX23" s="694"/>
      <c r="AY23" s="694"/>
      <c r="AZ23" s="694"/>
      <c r="BA23" s="695"/>
      <c r="BB23" s="694"/>
      <c r="BC23" s="694"/>
      <c r="BD23" s="694"/>
      <c r="BE23" s="695"/>
      <c r="BF23" s="694"/>
      <c r="BG23" s="694"/>
      <c r="BH23" s="694"/>
      <c r="BI23" s="698"/>
    </row>
    <row r="24" spans="3:61" ht="15" customHeight="1">
      <c r="C24" s="672"/>
      <c r="D24" s="715" t="s">
        <v>522</v>
      </c>
      <c r="E24" s="716">
        <v>171</v>
      </c>
      <c r="F24" s="694"/>
      <c r="G24" s="694"/>
      <c r="H24" s="694"/>
      <c r="I24" s="695"/>
      <c r="J24" s="694"/>
      <c r="K24" s="694"/>
      <c r="L24" s="694"/>
      <c r="M24" s="695"/>
      <c r="N24" s="694"/>
      <c r="O24" s="694"/>
      <c r="P24" s="694"/>
      <c r="Q24" s="695"/>
      <c r="R24" s="694"/>
      <c r="S24" s="694"/>
      <c r="T24" s="694"/>
      <c r="U24" s="695"/>
      <c r="V24" s="694"/>
      <c r="W24" s="694"/>
      <c r="X24" s="694"/>
      <c r="Y24" s="695"/>
      <c r="Z24" s="694"/>
      <c r="AA24" s="694"/>
      <c r="AB24" s="694"/>
      <c r="AC24" s="695"/>
      <c r="AD24" s="694"/>
      <c r="AE24" s="694"/>
      <c r="AF24" s="694"/>
      <c r="AG24" s="695"/>
      <c r="AH24" s="694"/>
      <c r="AI24" s="694"/>
      <c r="AJ24" s="694"/>
      <c r="AK24" s="695"/>
      <c r="AL24" s="694"/>
      <c r="AM24" s="694"/>
      <c r="AN24" s="694"/>
      <c r="AO24" s="695"/>
      <c r="AP24" s="694"/>
      <c r="AQ24" s="694"/>
      <c r="AR24" s="694"/>
      <c r="AS24" s="695"/>
      <c r="AT24" s="694"/>
      <c r="AU24" s="694"/>
      <c r="AV24" s="694"/>
      <c r="AW24" s="695"/>
      <c r="AX24" s="694"/>
      <c r="AY24" s="694"/>
      <c r="AZ24" s="694"/>
      <c r="BA24" s="695"/>
      <c r="BB24" s="694"/>
      <c r="BC24" s="694"/>
      <c r="BD24" s="694"/>
      <c r="BE24" s="695"/>
      <c r="BF24" s="694"/>
      <c r="BG24" s="694"/>
      <c r="BH24" s="694"/>
      <c r="BI24" s="698"/>
    </row>
    <row r="25" spans="3:61" ht="33.75">
      <c r="C25" s="672"/>
      <c r="D25" s="715" t="s">
        <v>523</v>
      </c>
      <c r="E25" s="716">
        <v>200</v>
      </c>
      <c r="F25" s="689">
        <f t="shared" ref="F25:BI25" si="1">SUM(F26:F32)</f>
        <v>0</v>
      </c>
      <c r="G25" s="689">
        <f t="shared" si="1"/>
        <v>0</v>
      </c>
      <c r="H25" s="689">
        <f t="shared" si="1"/>
        <v>0</v>
      </c>
      <c r="I25" s="690">
        <f t="shared" si="1"/>
        <v>0</v>
      </c>
      <c r="J25" s="689">
        <f t="shared" si="1"/>
        <v>0</v>
      </c>
      <c r="K25" s="689">
        <f t="shared" si="1"/>
        <v>0</v>
      </c>
      <c r="L25" s="689">
        <f t="shared" si="1"/>
        <v>0</v>
      </c>
      <c r="M25" s="690">
        <f t="shared" si="1"/>
        <v>0</v>
      </c>
      <c r="N25" s="689">
        <f t="shared" si="1"/>
        <v>0</v>
      </c>
      <c r="O25" s="689">
        <f t="shared" si="1"/>
        <v>0</v>
      </c>
      <c r="P25" s="689">
        <f t="shared" si="1"/>
        <v>0</v>
      </c>
      <c r="Q25" s="690">
        <f t="shared" si="1"/>
        <v>0</v>
      </c>
      <c r="R25" s="689">
        <f t="shared" si="1"/>
        <v>0</v>
      </c>
      <c r="S25" s="689">
        <f t="shared" si="1"/>
        <v>0</v>
      </c>
      <c r="T25" s="689">
        <f t="shared" si="1"/>
        <v>0</v>
      </c>
      <c r="U25" s="690">
        <f t="shared" si="1"/>
        <v>0</v>
      </c>
      <c r="V25" s="689">
        <f t="shared" si="1"/>
        <v>0</v>
      </c>
      <c r="W25" s="689">
        <f t="shared" si="1"/>
        <v>0</v>
      </c>
      <c r="X25" s="689">
        <f t="shared" si="1"/>
        <v>0</v>
      </c>
      <c r="Y25" s="690">
        <f t="shared" si="1"/>
        <v>0</v>
      </c>
      <c r="Z25" s="689">
        <f t="shared" si="1"/>
        <v>0</v>
      </c>
      <c r="AA25" s="689">
        <f t="shared" si="1"/>
        <v>0</v>
      </c>
      <c r="AB25" s="689">
        <f t="shared" si="1"/>
        <v>0</v>
      </c>
      <c r="AC25" s="690">
        <f t="shared" si="1"/>
        <v>0</v>
      </c>
      <c r="AD25" s="689">
        <f t="shared" si="1"/>
        <v>0</v>
      </c>
      <c r="AE25" s="689">
        <f t="shared" si="1"/>
        <v>0</v>
      </c>
      <c r="AF25" s="689">
        <f t="shared" si="1"/>
        <v>0</v>
      </c>
      <c r="AG25" s="690">
        <f t="shared" si="1"/>
        <v>0</v>
      </c>
      <c r="AH25" s="689">
        <f t="shared" si="1"/>
        <v>0</v>
      </c>
      <c r="AI25" s="689">
        <f t="shared" si="1"/>
        <v>0</v>
      </c>
      <c r="AJ25" s="689">
        <f t="shared" si="1"/>
        <v>0</v>
      </c>
      <c r="AK25" s="690">
        <f t="shared" si="1"/>
        <v>0</v>
      </c>
      <c r="AL25" s="689">
        <f t="shared" si="1"/>
        <v>0</v>
      </c>
      <c r="AM25" s="689">
        <f t="shared" si="1"/>
        <v>0</v>
      </c>
      <c r="AN25" s="689">
        <f t="shared" si="1"/>
        <v>0</v>
      </c>
      <c r="AO25" s="690">
        <f t="shared" si="1"/>
        <v>0</v>
      </c>
      <c r="AP25" s="689">
        <f t="shared" si="1"/>
        <v>0</v>
      </c>
      <c r="AQ25" s="689">
        <f t="shared" si="1"/>
        <v>0</v>
      </c>
      <c r="AR25" s="689">
        <f t="shared" si="1"/>
        <v>0</v>
      </c>
      <c r="AS25" s="690">
        <f t="shared" si="1"/>
        <v>0</v>
      </c>
      <c r="AT25" s="689">
        <f t="shared" si="1"/>
        <v>0</v>
      </c>
      <c r="AU25" s="689">
        <f t="shared" si="1"/>
        <v>0</v>
      </c>
      <c r="AV25" s="689">
        <f t="shared" si="1"/>
        <v>0</v>
      </c>
      <c r="AW25" s="690">
        <f t="shared" si="1"/>
        <v>0</v>
      </c>
      <c r="AX25" s="689">
        <f t="shared" si="1"/>
        <v>0</v>
      </c>
      <c r="AY25" s="689">
        <f t="shared" si="1"/>
        <v>0</v>
      </c>
      <c r="AZ25" s="689">
        <f t="shared" si="1"/>
        <v>0</v>
      </c>
      <c r="BA25" s="690">
        <f t="shared" si="1"/>
        <v>0</v>
      </c>
      <c r="BB25" s="689">
        <f t="shared" si="1"/>
        <v>0</v>
      </c>
      <c r="BC25" s="689">
        <f t="shared" si="1"/>
        <v>0</v>
      </c>
      <c r="BD25" s="689">
        <f t="shared" si="1"/>
        <v>0</v>
      </c>
      <c r="BE25" s="690">
        <f t="shared" si="1"/>
        <v>0</v>
      </c>
      <c r="BF25" s="689">
        <f t="shared" si="1"/>
        <v>0</v>
      </c>
      <c r="BG25" s="689">
        <f t="shared" si="1"/>
        <v>0</v>
      </c>
      <c r="BH25" s="689">
        <f t="shared" si="1"/>
        <v>0</v>
      </c>
      <c r="BI25" s="699">
        <f t="shared" si="1"/>
        <v>0</v>
      </c>
    </row>
    <row r="26" spans="3:61" ht="22.5">
      <c r="C26" s="672"/>
      <c r="D26" s="715" t="s">
        <v>516</v>
      </c>
      <c r="E26" s="716">
        <v>211</v>
      </c>
      <c r="F26" s="694"/>
      <c r="G26" s="694"/>
      <c r="H26" s="694"/>
      <c r="I26" s="695"/>
      <c r="J26" s="694"/>
      <c r="K26" s="694"/>
      <c r="L26" s="694"/>
      <c r="M26" s="695"/>
      <c r="N26" s="694"/>
      <c r="O26" s="694"/>
      <c r="P26" s="694"/>
      <c r="Q26" s="695"/>
      <c r="R26" s="694"/>
      <c r="S26" s="694"/>
      <c r="T26" s="694"/>
      <c r="U26" s="695"/>
      <c r="V26" s="694"/>
      <c r="W26" s="694"/>
      <c r="X26" s="694"/>
      <c r="Y26" s="695"/>
      <c r="Z26" s="694"/>
      <c r="AA26" s="694"/>
      <c r="AB26" s="694"/>
      <c r="AC26" s="695"/>
      <c r="AD26" s="694"/>
      <c r="AE26" s="694"/>
      <c r="AF26" s="694"/>
      <c r="AG26" s="695"/>
      <c r="AH26" s="694"/>
      <c r="AI26" s="694"/>
      <c r="AJ26" s="694"/>
      <c r="AK26" s="695"/>
      <c r="AL26" s="694"/>
      <c r="AM26" s="694"/>
      <c r="AN26" s="694"/>
      <c r="AO26" s="695"/>
      <c r="AP26" s="694"/>
      <c r="AQ26" s="694"/>
      <c r="AR26" s="694"/>
      <c r="AS26" s="695"/>
      <c r="AT26" s="694"/>
      <c r="AU26" s="694"/>
      <c r="AV26" s="694"/>
      <c r="AW26" s="695"/>
      <c r="AX26" s="694"/>
      <c r="AY26" s="694"/>
      <c r="AZ26" s="694"/>
      <c r="BA26" s="695"/>
      <c r="BB26" s="694"/>
      <c r="BC26" s="694"/>
      <c r="BD26" s="694"/>
      <c r="BE26" s="695"/>
      <c r="BF26" s="694"/>
      <c r="BG26" s="694"/>
      <c r="BH26" s="694"/>
      <c r="BI26" s="698"/>
    </row>
    <row r="27" spans="3:61" ht="22.5">
      <c r="C27" s="672"/>
      <c r="D27" s="715" t="s">
        <v>517</v>
      </c>
      <c r="E27" s="716">
        <v>221</v>
      </c>
      <c r="F27" s="694"/>
      <c r="G27" s="694"/>
      <c r="H27" s="694"/>
      <c r="I27" s="695"/>
      <c r="J27" s="694"/>
      <c r="K27" s="694"/>
      <c r="L27" s="694"/>
      <c r="M27" s="695"/>
      <c r="N27" s="694"/>
      <c r="O27" s="694"/>
      <c r="P27" s="694"/>
      <c r="Q27" s="695"/>
      <c r="R27" s="694"/>
      <c r="S27" s="694"/>
      <c r="T27" s="694"/>
      <c r="U27" s="695"/>
      <c r="V27" s="694"/>
      <c r="W27" s="694"/>
      <c r="X27" s="694"/>
      <c r="Y27" s="695"/>
      <c r="Z27" s="694"/>
      <c r="AA27" s="694"/>
      <c r="AB27" s="694"/>
      <c r="AC27" s="695"/>
      <c r="AD27" s="694"/>
      <c r="AE27" s="694"/>
      <c r="AF27" s="694"/>
      <c r="AG27" s="695"/>
      <c r="AH27" s="694"/>
      <c r="AI27" s="694"/>
      <c r="AJ27" s="694"/>
      <c r="AK27" s="695"/>
      <c r="AL27" s="694"/>
      <c r="AM27" s="694"/>
      <c r="AN27" s="694"/>
      <c r="AO27" s="695"/>
      <c r="AP27" s="694"/>
      <c r="AQ27" s="694"/>
      <c r="AR27" s="694"/>
      <c r="AS27" s="695"/>
      <c r="AT27" s="694"/>
      <c r="AU27" s="694"/>
      <c r="AV27" s="694"/>
      <c r="AW27" s="695"/>
      <c r="AX27" s="694"/>
      <c r="AY27" s="694"/>
      <c r="AZ27" s="694"/>
      <c r="BA27" s="695"/>
      <c r="BB27" s="694"/>
      <c r="BC27" s="694"/>
      <c r="BD27" s="694"/>
      <c r="BE27" s="695"/>
      <c r="BF27" s="694"/>
      <c r="BG27" s="694"/>
      <c r="BH27" s="694"/>
      <c r="BI27" s="698"/>
    </row>
    <row r="28" spans="3:61" ht="15" customHeight="1">
      <c r="C28" s="672"/>
      <c r="D28" s="715" t="s">
        <v>518</v>
      </c>
      <c r="E28" s="716">
        <v>231</v>
      </c>
      <c r="F28" s="694"/>
      <c r="G28" s="694"/>
      <c r="H28" s="694"/>
      <c r="I28" s="695"/>
      <c r="J28" s="694"/>
      <c r="K28" s="694"/>
      <c r="L28" s="694"/>
      <c r="M28" s="695"/>
      <c r="N28" s="694"/>
      <c r="O28" s="694"/>
      <c r="P28" s="694"/>
      <c r="Q28" s="695"/>
      <c r="R28" s="694"/>
      <c r="S28" s="694"/>
      <c r="T28" s="694"/>
      <c r="U28" s="695"/>
      <c r="V28" s="694"/>
      <c r="W28" s="694"/>
      <c r="X28" s="694"/>
      <c r="Y28" s="695"/>
      <c r="Z28" s="694"/>
      <c r="AA28" s="694"/>
      <c r="AB28" s="694"/>
      <c r="AC28" s="695"/>
      <c r="AD28" s="694"/>
      <c r="AE28" s="694"/>
      <c r="AF28" s="694"/>
      <c r="AG28" s="695"/>
      <c r="AH28" s="694"/>
      <c r="AI28" s="694"/>
      <c r="AJ28" s="694"/>
      <c r="AK28" s="695"/>
      <c r="AL28" s="694"/>
      <c r="AM28" s="694"/>
      <c r="AN28" s="694"/>
      <c r="AO28" s="695"/>
      <c r="AP28" s="694"/>
      <c r="AQ28" s="694"/>
      <c r="AR28" s="694"/>
      <c r="AS28" s="695"/>
      <c r="AT28" s="694"/>
      <c r="AU28" s="694"/>
      <c r="AV28" s="694"/>
      <c r="AW28" s="695"/>
      <c r="AX28" s="694"/>
      <c r="AY28" s="694"/>
      <c r="AZ28" s="694"/>
      <c r="BA28" s="695"/>
      <c r="BB28" s="694"/>
      <c r="BC28" s="694"/>
      <c r="BD28" s="694"/>
      <c r="BE28" s="695"/>
      <c r="BF28" s="694"/>
      <c r="BG28" s="694"/>
      <c r="BH28" s="694"/>
      <c r="BI28" s="698"/>
    </row>
    <row r="29" spans="3:61" ht="15" customHeight="1">
      <c r="C29" s="672"/>
      <c r="D29" s="715" t="s">
        <v>519</v>
      </c>
      <c r="E29" s="716">
        <v>241</v>
      </c>
      <c r="F29" s="694"/>
      <c r="G29" s="694"/>
      <c r="H29" s="694"/>
      <c r="I29" s="695"/>
      <c r="J29" s="694"/>
      <c r="K29" s="694"/>
      <c r="L29" s="694"/>
      <c r="M29" s="695"/>
      <c r="N29" s="694"/>
      <c r="O29" s="694"/>
      <c r="P29" s="694"/>
      <c r="Q29" s="695"/>
      <c r="R29" s="694"/>
      <c r="S29" s="694"/>
      <c r="T29" s="694"/>
      <c r="U29" s="695"/>
      <c r="V29" s="694"/>
      <c r="W29" s="694"/>
      <c r="X29" s="694"/>
      <c r="Y29" s="695"/>
      <c r="Z29" s="694"/>
      <c r="AA29" s="694"/>
      <c r="AB29" s="694"/>
      <c r="AC29" s="695"/>
      <c r="AD29" s="694"/>
      <c r="AE29" s="694"/>
      <c r="AF29" s="694"/>
      <c r="AG29" s="695"/>
      <c r="AH29" s="694"/>
      <c r="AI29" s="694"/>
      <c r="AJ29" s="694"/>
      <c r="AK29" s="695"/>
      <c r="AL29" s="694"/>
      <c r="AM29" s="694"/>
      <c r="AN29" s="694"/>
      <c r="AO29" s="695"/>
      <c r="AP29" s="694"/>
      <c r="AQ29" s="694"/>
      <c r="AR29" s="694"/>
      <c r="AS29" s="695"/>
      <c r="AT29" s="694"/>
      <c r="AU29" s="694"/>
      <c r="AV29" s="694"/>
      <c r="AW29" s="695"/>
      <c r="AX29" s="694"/>
      <c r="AY29" s="694"/>
      <c r="AZ29" s="694"/>
      <c r="BA29" s="695"/>
      <c r="BB29" s="694"/>
      <c r="BC29" s="694"/>
      <c r="BD29" s="694"/>
      <c r="BE29" s="695"/>
      <c r="BF29" s="694"/>
      <c r="BG29" s="694"/>
      <c r="BH29" s="694"/>
      <c r="BI29" s="698"/>
    </row>
    <row r="30" spans="3:61" ht="15" customHeight="1">
      <c r="C30" s="672"/>
      <c r="D30" s="715" t="s">
        <v>631</v>
      </c>
      <c r="E30" s="716">
        <v>251</v>
      </c>
      <c r="F30" s="694"/>
      <c r="G30" s="694"/>
      <c r="H30" s="694"/>
      <c r="I30" s="695"/>
      <c r="J30" s="694"/>
      <c r="K30" s="694"/>
      <c r="L30" s="694"/>
      <c r="M30" s="695"/>
      <c r="N30" s="694"/>
      <c r="O30" s="694"/>
      <c r="P30" s="694"/>
      <c r="Q30" s="695"/>
      <c r="R30" s="694"/>
      <c r="S30" s="694"/>
      <c r="T30" s="694"/>
      <c r="U30" s="695"/>
      <c r="V30" s="694"/>
      <c r="W30" s="694"/>
      <c r="X30" s="694"/>
      <c r="Y30" s="695"/>
      <c r="Z30" s="694"/>
      <c r="AA30" s="694"/>
      <c r="AB30" s="694"/>
      <c r="AC30" s="695"/>
      <c r="AD30" s="694"/>
      <c r="AE30" s="694"/>
      <c r="AF30" s="694"/>
      <c r="AG30" s="695"/>
      <c r="AH30" s="694"/>
      <c r="AI30" s="694"/>
      <c r="AJ30" s="694"/>
      <c r="AK30" s="695"/>
      <c r="AL30" s="694"/>
      <c r="AM30" s="694"/>
      <c r="AN30" s="694"/>
      <c r="AO30" s="695"/>
      <c r="AP30" s="694"/>
      <c r="AQ30" s="694"/>
      <c r="AR30" s="694"/>
      <c r="AS30" s="695"/>
      <c r="AT30" s="694"/>
      <c r="AU30" s="694"/>
      <c r="AV30" s="694"/>
      <c r="AW30" s="695"/>
      <c r="AX30" s="694"/>
      <c r="AY30" s="694"/>
      <c r="AZ30" s="694"/>
      <c r="BA30" s="695"/>
      <c r="BB30" s="694"/>
      <c r="BC30" s="694"/>
      <c r="BD30" s="694"/>
      <c r="BE30" s="695"/>
      <c r="BF30" s="694"/>
      <c r="BG30" s="694"/>
      <c r="BH30" s="694"/>
      <c r="BI30" s="698"/>
    </row>
    <row r="31" spans="3:61" ht="15" customHeight="1">
      <c r="C31" s="672"/>
      <c r="D31" s="715" t="s">
        <v>521</v>
      </c>
      <c r="E31" s="716">
        <v>261</v>
      </c>
      <c r="F31" s="694"/>
      <c r="G31" s="694"/>
      <c r="H31" s="694"/>
      <c r="I31" s="695"/>
      <c r="J31" s="694"/>
      <c r="K31" s="694"/>
      <c r="L31" s="694"/>
      <c r="M31" s="695"/>
      <c r="N31" s="694"/>
      <c r="O31" s="694"/>
      <c r="P31" s="694"/>
      <c r="Q31" s="695"/>
      <c r="R31" s="694"/>
      <c r="S31" s="694"/>
      <c r="T31" s="694"/>
      <c r="U31" s="695"/>
      <c r="V31" s="694"/>
      <c r="W31" s="694"/>
      <c r="X31" s="694"/>
      <c r="Y31" s="695"/>
      <c r="Z31" s="694"/>
      <c r="AA31" s="694"/>
      <c r="AB31" s="694"/>
      <c r="AC31" s="695"/>
      <c r="AD31" s="694"/>
      <c r="AE31" s="694"/>
      <c r="AF31" s="694"/>
      <c r="AG31" s="695"/>
      <c r="AH31" s="694"/>
      <c r="AI31" s="694"/>
      <c r="AJ31" s="694"/>
      <c r="AK31" s="695"/>
      <c r="AL31" s="694"/>
      <c r="AM31" s="694"/>
      <c r="AN31" s="694"/>
      <c r="AO31" s="695"/>
      <c r="AP31" s="694"/>
      <c r="AQ31" s="694"/>
      <c r="AR31" s="694"/>
      <c r="AS31" s="695"/>
      <c r="AT31" s="694"/>
      <c r="AU31" s="694"/>
      <c r="AV31" s="694"/>
      <c r="AW31" s="695"/>
      <c r="AX31" s="694"/>
      <c r="AY31" s="694"/>
      <c r="AZ31" s="694"/>
      <c r="BA31" s="695"/>
      <c r="BB31" s="694"/>
      <c r="BC31" s="694"/>
      <c r="BD31" s="694"/>
      <c r="BE31" s="695"/>
      <c r="BF31" s="694"/>
      <c r="BG31" s="694"/>
      <c r="BH31" s="694"/>
      <c r="BI31" s="698"/>
    </row>
    <row r="32" spans="3:61" ht="15" customHeight="1">
      <c r="C32" s="672"/>
      <c r="D32" s="715" t="s">
        <v>522</v>
      </c>
      <c r="E32" s="716">
        <v>271</v>
      </c>
      <c r="F32" s="694"/>
      <c r="G32" s="694"/>
      <c r="H32" s="694"/>
      <c r="I32" s="695"/>
      <c r="J32" s="694"/>
      <c r="K32" s="694"/>
      <c r="L32" s="694"/>
      <c r="M32" s="695"/>
      <c r="N32" s="694"/>
      <c r="O32" s="694"/>
      <c r="P32" s="694"/>
      <c r="Q32" s="695"/>
      <c r="R32" s="694"/>
      <c r="S32" s="694"/>
      <c r="T32" s="694"/>
      <c r="U32" s="695"/>
      <c r="V32" s="694"/>
      <c r="W32" s="694"/>
      <c r="X32" s="694"/>
      <c r="Y32" s="695"/>
      <c r="Z32" s="694"/>
      <c r="AA32" s="694"/>
      <c r="AB32" s="694"/>
      <c r="AC32" s="695"/>
      <c r="AD32" s="694"/>
      <c r="AE32" s="694"/>
      <c r="AF32" s="694"/>
      <c r="AG32" s="695"/>
      <c r="AH32" s="694"/>
      <c r="AI32" s="694"/>
      <c r="AJ32" s="694"/>
      <c r="AK32" s="695"/>
      <c r="AL32" s="694"/>
      <c r="AM32" s="694"/>
      <c r="AN32" s="694"/>
      <c r="AO32" s="695"/>
      <c r="AP32" s="694"/>
      <c r="AQ32" s="694"/>
      <c r="AR32" s="694"/>
      <c r="AS32" s="695"/>
      <c r="AT32" s="694"/>
      <c r="AU32" s="694"/>
      <c r="AV32" s="694"/>
      <c r="AW32" s="695"/>
      <c r="AX32" s="694"/>
      <c r="AY32" s="694"/>
      <c r="AZ32" s="694"/>
      <c r="BA32" s="695"/>
      <c r="BB32" s="694"/>
      <c r="BC32" s="694"/>
      <c r="BD32" s="694"/>
      <c r="BE32" s="695"/>
      <c r="BF32" s="694"/>
      <c r="BG32" s="694"/>
      <c r="BH32" s="694"/>
      <c r="BI32" s="698"/>
    </row>
    <row r="33" spans="3:61" ht="33.75">
      <c r="C33" s="672"/>
      <c r="D33" s="715" t="s">
        <v>524</v>
      </c>
      <c r="E33" s="716">
        <v>300</v>
      </c>
      <c r="F33" s="689">
        <f t="shared" ref="F33:BI33" si="2">SUM(F34:F40)</f>
        <v>0</v>
      </c>
      <c r="G33" s="689">
        <f t="shared" si="2"/>
        <v>0</v>
      </c>
      <c r="H33" s="689">
        <f t="shared" si="2"/>
        <v>0</v>
      </c>
      <c r="I33" s="690">
        <f t="shared" si="2"/>
        <v>0</v>
      </c>
      <c r="J33" s="689">
        <f t="shared" si="2"/>
        <v>0</v>
      </c>
      <c r="K33" s="689">
        <f t="shared" si="2"/>
        <v>0</v>
      </c>
      <c r="L33" s="689">
        <f t="shared" si="2"/>
        <v>0</v>
      </c>
      <c r="M33" s="690">
        <f t="shared" si="2"/>
        <v>0</v>
      </c>
      <c r="N33" s="689">
        <f t="shared" si="2"/>
        <v>0</v>
      </c>
      <c r="O33" s="689">
        <f t="shared" si="2"/>
        <v>0</v>
      </c>
      <c r="P33" s="689">
        <f t="shared" si="2"/>
        <v>0</v>
      </c>
      <c r="Q33" s="690">
        <f t="shared" si="2"/>
        <v>0</v>
      </c>
      <c r="R33" s="689">
        <f t="shared" si="2"/>
        <v>0</v>
      </c>
      <c r="S33" s="689">
        <f t="shared" si="2"/>
        <v>0</v>
      </c>
      <c r="T33" s="689">
        <f t="shared" si="2"/>
        <v>0</v>
      </c>
      <c r="U33" s="690">
        <f t="shared" si="2"/>
        <v>0</v>
      </c>
      <c r="V33" s="689">
        <f t="shared" si="2"/>
        <v>0</v>
      </c>
      <c r="W33" s="689">
        <f t="shared" si="2"/>
        <v>0</v>
      </c>
      <c r="X33" s="689">
        <f t="shared" si="2"/>
        <v>0</v>
      </c>
      <c r="Y33" s="690">
        <f t="shared" si="2"/>
        <v>0</v>
      </c>
      <c r="Z33" s="689">
        <f t="shared" si="2"/>
        <v>0</v>
      </c>
      <c r="AA33" s="689">
        <f t="shared" si="2"/>
        <v>0</v>
      </c>
      <c r="AB33" s="689">
        <f t="shared" si="2"/>
        <v>0</v>
      </c>
      <c r="AC33" s="690">
        <f t="shared" si="2"/>
        <v>0</v>
      </c>
      <c r="AD33" s="689">
        <f t="shared" si="2"/>
        <v>0</v>
      </c>
      <c r="AE33" s="689">
        <f t="shared" si="2"/>
        <v>0</v>
      </c>
      <c r="AF33" s="689">
        <f t="shared" si="2"/>
        <v>0</v>
      </c>
      <c r="AG33" s="690">
        <f t="shared" si="2"/>
        <v>0</v>
      </c>
      <c r="AH33" s="689">
        <f t="shared" si="2"/>
        <v>0</v>
      </c>
      <c r="AI33" s="689">
        <f t="shared" si="2"/>
        <v>0</v>
      </c>
      <c r="AJ33" s="689">
        <f t="shared" si="2"/>
        <v>0</v>
      </c>
      <c r="AK33" s="690">
        <f t="shared" si="2"/>
        <v>0</v>
      </c>
      <c r="AL33" s="689">
        <f t="shared" si="2"/>
        <v>0</v>
      </c>
      <c r="AM33" s="689">
        <f t="shared" si="2"/>
        <v>0</v>
      </c>
      <c r="AN33" s="689">
        <f t="shared" si="2"/>
        <v>0</v>
      </c>
      <c r="AO33" s="690">
        <f t="shared" si="2"/>
        <v>0</v>
      </c>
      <c r="AP33" s="689">
        <f t="shared" si="2"/>
        <v>0</v>
      </c>
      <c r="AQ33" s="689">
        <f t="shared" si="2"/>
        <v>0</v>
      </c>
      <c r="AR33" s="689">
        <f t="shared" si="2"/>
        <v>0</v>
      </c>
      <c r="AS33" s="690">
        <f t="shared" si="2"/>
        <v>0</v>
      </c>
      <c r="AT33" s="689">
        <f t="shared" si="2"/>
        <v>0</v>
      </c>
      <c r="AU33" s="689">
        <f t="shared" si="2"/>
        <v>0</v>
      </c>
      <c r="AV33" s="689">
        <f t="shared" si="2"/>
        <v>0</v>
      </c>
      <c r="AW33" s="690">
        <f t="shared" si="2"/>
        <v>0</v>
      </c>
      <c r="AX33" s="689">
        <f t="shared" si="2"/>
        <v>0</v>
      </c>
      <c r="AY33" s="689">
        <f t="shared" si="2"/>
        <v>0</v>
      </c>
      <c r="AZ33" s="689">
        <f t="shared" si="2"/>
        <v>0</v>
      </c>
      <c r="BA33" s="690">
        <f t="shared" si="2"/>
        <v>0</v>
      </c>
      <c r="BB33" s="689">
        <f t="shared" si="2"/>
        <v>0</v>
      </c>
      <c r="BC33" s="689">
        <f t="shared" si="2"/>
        <v>0</v>
      </c>
      <c r="BD33" s="689">
        <f t="shared" si="2"/>
        <v>0</v>
      </c>
      <c r="BE33" s="690">
        <f t="shared" si="2"/>
        <v>0</v>
      </c>
      <c r="BF33" s="689">
        <f t="shared" si="2"/>
        <v>0</v>
      </c>
      <c r="BG33" s="689">
        <f t="shared" si="2"/>
        <v>0</v>
      </c>
      <c r="BH33" s="689">
        <f t="shared" si="2"/>
        <v>0</v>
      </c>
      <c r="BI33" s="699">
        <f t="shared" si="2"/>
        <v>0</v>
      </c>
    </row>
    <row r="34" spans="3:61" ht="22.5">
      <c r="C34" s="672"/>
      <c r="D34" s="715" t="s">
        <v>516</v>
      </c>
      <c r="E34" s="716">
        <v>311</v>
      </c>
      <c r="F34" s="694"/>
      <c r="G34" s="694"/>
      <c r="H34" s="694"/>
      <c r="I34" s="695"/>
      <c r="J34" s="694"/>
      <c r="K34" s="694"/>
      <c r="L34" s="694"/>
      <c r="M34" s="695"/>
      <c r="N34" s="694"/>
      <c r="O34" s="694"/>
      <c r="P34" s="694"/>
      <c r="Q34" s="695"/>
      <c r="R34" s="694"/>
      <c r="S34" s="694"/>
      <c r="T34" s="694"/>
      <c r="U34" s="695"/>
      <c r="V34" s="694"/>
      <c r="W34" s="694"/>
      <c r="X34" s="694"/>
      <c r="Y34" s="695"/>
      <c r="Z34" s="694"/>
      <c r="AA34" s="694"/>
      <c r="AB34" s="694"/>
      <c r="AC34" s="695"/>
      <c r="AD34" s="694"/>
      <c r="AE34" s="694"/>
      <c r="AF34" s="694"/>
      <c r="AG34" s="695"/>
      <c r="AH34" s="694"/>
      <c r="AI34" s="694"/>
      <c r="AJ34" s="694"/>
      <c r="AK34" s="695"/>
      <c r="AL34" s="694"/>
      <c r="AM34" s="694"/>
      <c r="AN34" s="694"/>
      <c r="AO34" s="695"/>
      <c r="AP34" s="694"/>
      <c r="AQ34" s="694"/>
      <c r="AR34" s="694"/>
      <c r="AS34" s="695"/>
      <c r="AT34" s="694"/>
      <c r="AU34" s="694"/>
      <c r="AV34" s="694"/>
      <c r="AW34" s="695"/>
      <c r="AX34" s="694"/>
      <c r="AY34" s="694"/>
      <c r="AZ34" s="694"/>
      <c r="BA34" s="695"/>
      <c r="BB34" s="694"/>
      <c r="BC34" s="694"/>
      <c r="BD34" s="694"/>
      <c r="BE34" s="695"/>
      <c r="BF34" s="694"/>
      <c r="BG34" s="694"/>
      <c r="BH34" s="694"/>
      <c r="BI34" s="698"/>
    </row>
    <row r="35" spans="3:61" ht="22.5">
      <c r="C35" s="672"/>
      <c r="D35" s="715" t="s">
        <v>517</v>
      </c>
      <c r="E35" s="716">
        <v>321</v>
      </c>
      <c r="F35" s="701"/>
      <c r="G35" s="701"/>
      <c r="H35" s="701"/>
      <c r="I35" s="702"/>
      <c r="J35" s="701"/>
      <c r="K35" s="701"/>
      <c r="L35" s="701"/>
      <c r="M35" s="702"/>
      <c r="N35" s="701"/>
      <c r="O35" s="701"/>
      <c r="P35" s="701"/>
      <c r="Q35" s="702"/>
      <c r="R35" s="701"/>
      <c r="S35" s="701"/>
      <c r="T35" s="701"/>
      <c r="U35" s="702"/>
      <c r="V35" s="701"/>
      <c r="W35" s="701"/>
      <c r="X35" s="701"/>
      <c r="Y35" s="702"/>
      <c r="Z35" s="701"/>
      <c r="AA35" s="701"/>
      <c r="AB35" s="701"/>
      <c r="AC35" s="702"/>
      <c r="AD35" s="701"/>
      <c r="AE35" s="701"/>
      <c r="AF35" s="701"/>
      <c r="AG35" s="702"/>
      <c r="AH35" s="701"/>
      <c r="AI35" s="701"/>
      <c r="AJ35" s="701"/>
      <c r="AK35" s="702"/>
      <c r="AL35" s="701"/>
      <c r="AM35" s="701"/>
      <c r="AN35" s="701"/>
      <c r="AO35" s="702"/>
      <c r="AP35" s="701"/>
      <c r="AQ35" s="701"/>
      <c r="AR35" s="701"/>
      <c r="AS35" s="702"/>
      <c r="AT35" s="701"/>
      <c r="AU35" s="701"/>
      <c r="AV35" s="701"/>
      <c r="AW35" s="702"/>
      <c r="AX35" s="701"/>
      <c r="AY35" s="701"/>
      <c r="AZ35" s="701"/>
      <c r="BA35" s="702"/>
      <c r="BB35" s="701"/>
      <c r="BC35" s="701"/>
      <c r="BD35" s="701"/>
      <c r="BE35" s="702"/>
      <c r="BF35" s="701"/>
      <c r="BG35" s="701"/>
      <c r="BH35" s="701"/>
      <c r="BI35" s="767"/>
    </row>
    <row r="36" spans="3:61" ht="15" customHeight="1">
      <c r="C36" s="672"/>
      <c r="D36" s="715" t="s">
        <v>518</v>
      </c>
      <c r="E36" s="716">
        <v>331</v>
      </c>
      <c r="F36" s="717"/>
      <c r="G36" s="717"/>
      <c r="H36" s="717"/>
      <c r="I36" s="718"/>
      <c r="J36" s="717"/>
      <c r="K36" s="717"/>
      <c r="L36" s="717"/>
      <c r="M36" s="718"/>
      <c r="N36" s="717"/>
      <c r="O36" s="717"/>
      <c r="P36" s="717"/>
      <c r="Q36" s="718"/>
      <c r="R36" s="717"/>
      <c r="S36" s="717"/>
      <c r="T36" s="717"/>
      <c r="U36" s="718"/>
      <c r="V36" s="717"/>
      <c r="W36" s="717"/>
      <c r="X36" s="717"/>
      <c r="Y36" s="718"/>
      <c r="Z36" s="717"/>
      <c r="AA36" s="717"/>
      <c r="AB36" s="717"/>
      <c r="AC36" s="718"/>
      <c r="AD36" s="717"/>
      <c r="AE36" s="717"/>
      <c r="AF36" s="717"/>
      <c r="AG36" s="718"/>
      <c r="AH36" s="717"/>
      <c r="AI36" s="717"/>
      <c r="AJ36" s="717"/>
      <c r="AK36" s="718"/>
      <c r="AL36" s="717"/>
      <c r="AM36" s="717"/>
      <c r="AN36" s="717"/>
      <c r="AO36" s="718"/>
      <c r="AP36" s="717"/>
      <c r="AQ36" s="717"/>
      <c r="AR36" s="717"/>
      <c r="AS36" s="718"/>
      <c r="AT36" s="717"/>
      <c r="AU36" s="717"/>
      <c r="AV36" s="717"/>
      <c r="AW36" s="718"/>
      <c r="AX36" s="717"/>
      <c r="AY36" s="717"/>
      <c r="AZ36" s="717"/>
      <c r="BA36" s="718"/>
      <c r="BB36" s="717"/>
      <c r="BC36" s="717"/>
      <c r="BD36" s="717"/>
      <c r="BE36" s="718"/>
      <c r="BF36" s="717"/>
      <c r="BG36" s="717"/>
      <c r="BH36" s="717"/>
      <c r="BI36" s="719"/>
    </row>
    <row r="37" spans="3:61" ht="15" customHeight="1">
      <c r="C37" s="672"/>
      <c r="D37" s="715" t="s">
        <v>519</v>
      </c>
      <c r="E37" s="716">
        <v>341</v>
      </c>
      <c r="F37" s="717"/>
      <c r="G37" s="717"/>
      <c r="H37" s="717"/>
      <c r="I37" s="718"/>
      <c r="J37" s="717"/>
      <c r="K37" s="717"/>
      <c r="L37" s="717"/>
      <c r="M37" s="718"/>
      <c r="N37" s="717"/>
      <c r="O37" s="717"/>
      <c r="P37" s="717"/>
      <c r="Q37" s="718"/>
      <c r="R37" s="717"/>
      <c r="S37" s="717"/>
      <c r="T37" s="717"/>
      <c r="U37" s="718"/>
      <c r="V37" s="717"/>
      <c r="W37" s="717"/>
      <c r="X37" s="717"/>
      <c r="Y37" s="718"/>
      <c r="Z37" s="717"/>
      <c r="AA37" s="717"/>
      <c r="AB37" s="717"/>
      <c r="AC37" s="718"/>
      <c r="AD37" s="717"/>
      <c r="AE37" s="717"/>
      <c r="AF37" s="717"/>
      <c r="AG37" s="718"/>
      <c r="AH37" s="717"/>
      <c r="AI37" s="717"/>
      <c r="AJ37" s="717"/>
      <c r="AK37" s="718"/>
      <c r="AL37" s="717"/>
      <c r="AM37" s="717"/>
      <c r="AN37" s="717"/>
      <c r="AO37" s="718"/>
      <c r="AP37" s="717"/>
      <c r="AQ37" s="717"/>
      <c r="AR37" s="717"/>
      <c r="AS37" s="718"/>
      <c r="AT37" s="717"/>
      <c r="AU37" s="717"/>
      <c r="AV37" s="717"/>
      <c r="AW37" s="718"/>
      <c r="AX37" s="717"/>
      <c r="AY37" s="717"/>
      <c r="AZ37" s="717"/>
      <c r="BA37" s="718"/>
      <c r="BB37" s="717"/>
      <c r="BC37" s="717"/>
      <c r="BD37" s="717"/>
      <c r="BE37" s="718"/>
      <c r="BF37" s="717"/>
      <c r="BG37" s="717"/>
      <c r="BH37" s="717"/>
      <c r="BI37" s="719"/>
    </row>
    <row r="38" spans="3:61" ht="15" customHeight="1">
      <c r="C38" s="672"/>
      <c r="D38" s="715" t="s">
        <v>631</v>
      </c>
      <c r="E38" s="716">
        <v>351</v>
      </c>
      <c r="F38" s="717"/>
      <c r="G38" s="717"/>
      <c r="H38" s="717"/>
      <c r="I38" s="718"/>
      <c r="J38" s="717"/>
      <c r="K38" s="717"/>
      <c r="L38" s="717"/>
      <c r="M38" s="718"/>
      <c r="N38" s="717"/>
      <c r="O38" s="717"/>
      <c r="P38" s="717"/>
      <c r="Q38" s="718"/>
      <c r="R38" s="717"/>
      <c r="S38" s="717"/>
      <c r="T38" s="717"/>
      <c r="U38" s="718"/>
      <c r="V38" s="717"/>
      <c r="W38" s="717"/>
      <c r="X38" s="717"/>
      <c r="Y38" s="718"/>
      <c r="Z38" s="717"/>
      <c r="AA38" s="717"/>
      <c r="AB38" s="717"/>
      <c r="AC38" s="718"/>
      <c r="AD38" s="717"/>
      <c r="AE38" s="717"/>
      <c r="AF38" s="717"/>
      <c r="AG38" s="718"/>
      <c r="AH38" s="717"/>
      <c r="AI38" s="717"/>
      <c r="AJ38" s="717"/>
      <c r="AK38" s="718"/>
      <c r="AL38" s="717"/>
      <c r="AM38" s="717"/>
      <c r="AN38" s="717"/>
      <c r="AO38" s="718"/>
      <c r="AP38" s="717"/>
      <c r="AQ38" s="717"/>
      <c r="AR38" s="717"/>
      <c r="AS38" s="718"/>
      <c r="AT38" s="717"/>
      <c r="AU38" s="717"/>
      <c r="AV38" s="717"/>
      <c r="AW38" s="718"/>
      <c r="AX38" s="717"/>
      <c r="AY38" s="717"/>
      <c r="AZ38" s="717"/>
      <c r="BA38" s="718"/>
      <c r="BB38" s="717"/>
      <c r="BC38" s="717"/>
      <c r="BD38" s="717"/>
      <c r="BE38" s="718"/>
      <c r="BF38" s="717"/>
      <c r="BG38" s="717"/>
      <c r="BH38" s="717"/>
      <c r="BI38" s="719"/>
    </row>
    <row r="39" spans="3:61" ht="15" customHeight="1">
      <c r="C39" s="672"/>
      <c r="D39" s="715" t="s">
        <v>521</v>
      </c>
      <c r="E39" s="716">
        <v>361</v>
      </c>
      <c r="F39" s="717"/>
      <c r="G39" s="717"/>
      <c r="H39" s="717"/>
      <c r="I39" s="718"/>
      <c r="J39" s="717"/>
      <c r="K39" s="717"/>
      <c r="L39" s="717"/>
      <c r="M39" s="718"/>
      <c r="N39" s="717"/>
      <c r="O39" s="717"/>
      <c r="P39" s="717"/>
      <c r="Q39" s="718"/>
      <c r="R39" s="717"/>
      <c r="S39" s="717"/>
      <c r="T39" s="717"/>
      <c r="U39" s="718"/>
      <c r="V39" s="717"/>
      <c r="W39" s="717"/>
      <c r="X39" s="717"/>
      <c r="Y39" s="718"/>
      <c r="Z39" s="717"/>
      <c r="AA39" s="717"/>
      <c r="AB39" s="717"/>
      <c r="AC39" s="718"/>
      <c r="AD39" s="717"/>
      <c r="AE39" s="717"/>
      <c r="AF39" s="717"/>
      <c r="AG39" s="718"/>
      <c r="AH39" s="717"/>
      <c r="AI39" s="717"/>
      <c r="AJ39" s="717"/>
      <c r="AK39" s="718"/>
      <c r="AL39" s="717"/>
      <c r="AM39" s="717"/>
      <c r="AN39" s="717"/>
      <c r="AO39" s="718"/>
      <c r="AP39" s="717"/>
      <c r="AQ39" s="717"/>
      <c r="AR39" s="717"/>
      <c r="AS39" s="718"/>
      <c r="AT39" s="717"/>
      <c r="AU39" s="717"/>
      <c r="AV39" s="717"/>
      <c r="AW39" s="718"/>
      <c r="AX39" s="717"/>
      <c r="AY39" s="717"/>
      <c r="AZ39" s="717"/>
      <c r="BA39" s="718"/>
      <c r="BB39" s="717"/>
      <c r="BC39" s="717"/>
      <c r="BD39" s="717"/>
      <c r="BE39" s="718"/>
      <c r="BF39" s="717"/>
      <c r="BG39" s="717"/>
      <c r="BH39" s="717"/>
      <c r="BI39" s="719"/>
    </row>
    <row r="40" spans="3:61" ht="15" customHeight="1">
      <c r="C40" s="672"/>
      <c r="D40" s="715" t="s">
        <v>522</v>
      </c>
      <c r="E40" s="716">
        <v>371</v>
      </c>
      <c r="F40" s="717"/>
      <c r="G40" s="717"/>
      <c r="H40" s="717"/>
      <c r="I40" s="718"/>
      <c r="J40" s="717"/>
      <c r="K40" s="717"/>
      <c r="L40" s="717"/>
      <c r="M40" s="718"/>
      <c r="N40" s="717"/>
      <c r="O40" s="717"/>
      <c r="P40" s="717"/>
      <c r="Q40" s="718"/>
      <c r="R40" s="717"/>
      <c r="S40" s="717"/>
      <c r="T40" s="717"/>
      <c r="U40" s="718"/>
      <c r="V40" s="717"/>
      <c r="W40" s="717"/>
      <c r="X40" s="717"/>
      <c r="Y40" s="718"/>
      <c r="Z40" s="717"/>
      <c r="AA40" s="717"/>
      <c r="AB40" s="717"/>
      <c r="AC40" s="718"/>
      <c r="AD40" s="717"/>
      <c r="AE40" s="717"/>
      <c r="AF40" s="717"/>
      <c r="AG40" s="718"/>
      <c r="AH40" s="717"/>
      <c r="AI40" s="717"/>
      <c r="AJ40" s="717"/>
      <c r="AK40" s="718"/>
      <c r="AL40" s="717"/>
      <c r="AM40" s="717"/>
      <c r="AN40" s="717"/>
      <c r="AO40" s="718"/>
      <c r="AP40" s="717"/>
      <c r="AQ40" s="717"/>
      <c r="AR40" s="717"/>
      <c r="AS40" s="718"/>
      <c r="AT40" s="717"/>
      <c r="AU40" s="717"/>
      <c r="AV40" s="717"/>
      <c r="AW40" s="718"/>
      <c r="AX40" s="717"/>
      <c r="AY40" s="717"/>
      <c r="AZ40" s="717"/>
      <c r="BA40" s="718"/>
      <c r="BB40" s="717"/>
      <c r="BC40" s="717"/>
      <c r="BD40" s="717"/>
      <c r="BE40" s="718"/>
      <c r="BF40" s="717"/>
      <c r="BG40" s="717"/>
      <c r="BH40" s="717"/>
      <c r="BI40" s="719"/>
    </row>
    <row r="41" spans="3:61" ht="33.75">
      <c r="C41" s="672"/>
      <c r="D41" s="715" t="s">
        <v>525</v>
      </c>
      <c r="E41" s="716">
        <v>400</v>
      </c>
      <c r="F41" s="689">
        <f t="shared" ref="F41:BI41" si="3">SUM(F42:F48)</f>
        <v>0</v>
      </c>
      <c r="G41" s="689">
        <f t="shared" si="3"/>
        <v>0</v>
      </c>
      <c r="H41" s="689">
        <f t="shared" si="3"/>
        <v>0</v>
      </c>
      <c r="I41" s="690">
        <f t="shared" si="3"/>
        <v>0</v>
      </c>
      <c r="J41" s="689">
        <f t="shared" si="3"/>
        <v>0</v>
      </c>
      <c r="K41" s="689">
        <f t="shared" si="3"/>
        <v>0</v>
      </c>
      <c r="L41" s="689">
        <f t="shared" si="3"/>
        <v>0</v>
      </c>
      <c r="M41" s="690">
        <f t="shared" si="3"/>
        <v>0</v>
      </c>
      <c r="N41" s="689">
        <f t="shared" si="3"/>
        <v>0</v>
      </c>
      <c r="O41" s="689">
        <f t="shared" si="3"/>
        <v>0</v>
      </c>
      <c r="P41" s="689">
        <f t="shared" si="3"/>
        <v>0</v>
      </c>
      <c r="Q41" s="690">
        <f t="shared" si="3"/>
        <v>0</v>
      </c>
      <c r="R41" s="689">
        <f t="shared" si="3"/>
        <v>0</v>
      </c>
      <c r="S41" s="689">
        <f t="shared" si="3"/>
        <v>0</v>
      </c>
      <c r="T41" s="689">
        <f t="shared" si="3"/>
        <v>0</v>
      </c>
      <c r="U41" s="690">
        <f t="shared" si="3"/>
        <v>0</v>
      </c>
      <c r="V41" s="689">
        <f t="shared" si="3"/>
        <v>0</v>
      </c>
      <c r="W41" s="689">
        <f t="shared" si="3"/>
        <v>0</v>
      </c>
      <c r="X41" s="689">
        <f t="shared" si="3"/>
        <v>0</v>
      </c>
      <c r="Y41" s="690">
        <f t="shared" si="3"/>
        <v>0</v>
      </c>
      <c r="Z41" s="689">
        <f t="shared" si="3"/>
        <v>0</v>
      </c>
      <c r="AA41" s="689">
        <f t="shared" si="3"/>
        <v>0</v>
      </c>
      <c r="AB41" s="689">
        <f t="shared" si="3"/>
        <v>0</v>
      </c>
      <c r="AC41" s="690">
        <f t="shared" si="3"/>
        <v>0</v>
      </c>
      <c r="AD41" s="689">
        <f t="shared" si="3"/>
        <v>0</v>
      </c>
      <c r="AE41" s="689">
        <f t="shared" si="3"/>
        <v>0</v>
      </c>
      <c r="AF41" s="689">
        <f t="shared" si="3"/>
        <v>0</v>
      </c>
      <c r="AG41" s="690">
        <f t="shared" si="3"/>
        <v>0</v>
      </c>
      <c r="AH41" s="689">
        <f t="shared" si="3"/>
        <v>0</v>
      </c>
      <c r="AI41" s="689">
        <f t="shared" si="3"/>
        <v>0</v>
      </c>
      <c r="AJ41" s="689">
        <f t="shared" si="3"/>
        <v>0</v>
      </c>
      <c r="AK41" s="690">
        <f t="shared" si="3"/>
        <v>0</v>
      </c>
      <c r="AL41" s="689">
        <f t="shared" si="3"/>
        <v>0</v>
      </c>
      <c r="AM41" s="689">
        <f t="shared" si="3"/>
        <v>0</v>
      </c>
      <c r="AN41" s="689">
        <f t="shared" si="3"/>
        <v>0</v>
      </c>
      <c r="AO41" s="690">
        <f t="shared" si="3"/>
        <v>0</v>
      </c>
      <c r="AP41" s="689">
        <f t="shared" si="3"/>
        <v>0</v>
      </c>
      <c r="AQ41" s="689">
        <f t="shared" si="3"/>
        <v>0</v>
      </c>
      <c r="AR41" s="689">
        <f t="shared" si="3"/>
        <v>0</v>
      </c>
      <c r="AS41" s="690">
        <f t="shared" si="3"/>
        <v>0</v>
      </c>
      <c r="AT41" s="689">
        <f t="shared" si="3"/>
        <v>0</v>
      </c>
      <c r="AU41" s="689">
        <f t="shared" si="3"/>
        <v>0</v>
      </c>
      <c r="AV41" s="689">
        <f t="shared" si="3"/>
        <v>0</v>
      </c>
      <c r="AW41" s="690">
        <f t="shared" si="3"/>
        <v>0</v>
      </c>
      <c r="AX41" s="689">
        <f t="shared" si="3"/>
        <v>0</v>
      </c>
      <c r="AY41" s="689">
        <f t="shared" si="3"/>
        <v>0</v>
      </c>
      <c r="AZ41" s="689">
        <f t="shared" si="3"/>
        <v>0</v>
      </c>
      <c r="BA41" s="690">
        <f t="shared" si="3"/>
        <v>0</v>
      </c>
      <c r="BB41" s="689">
        <f t="shared" si="3"/>
        <v>0</v>
      </c>
      <c r="BC41" s="689">
        <f t="shared" si="3"/>
        <v>0</v>
      </c>
      <c r="BD41" s="689">
        <f t="shared" si="3"/>
        <v>0</v>
      </c>
      <c r="BE41" s="690">
        <f t="shared" si="3"/>
        <v>0</v>
      </c>
      <c r="BF41" s="689">
        <f t="shared" si="3"/>
        <v>0</v>
      </c>
      <c r="BG41" s="689">
        <f t="shared" si="3"/>
        <v>0</v>
      </c>
      <c r="BH41" s="689">
        <f t="shared" si="3"/>
        <v>0</v>
      </c>
      <c r="BI41" s="699">
        <f t="shared" si="3"/>
        <v>0</v>
      </c>
    </row>
    <row r="42" spans="3:61" ht="22.5">
      <c r="C42" s="672"/>
      <c r="D42" s="715" t="s">
        <v>516</v>
      </c>
      <c r="E42" s="716">
        <v>411</v>
      </c>
      <c r="F42" s="717"/>
      <c r="G42" s="717"/>
      <c r="H42" s="717"/>
      <c r="I42" s="718"/>
      <c r="J42" s="717"/>
      <c r="K42" s="717"/>
      <c r="L42" s="717"/>
      <c r="M42" s="718"/>
      <c r="N42" s="717"/>
      <c r="O42" s="717"/>
      <c r="P42" s="717"/>
      <c r="Q42" s="718"/>
      <c r="R42" s="717"/>
      <c r="S42" s="717"/>
      <c r="T42" s="717"/>
      <c r="U42" s="718"/>
      <c r="V42" s="717"/>
      <c r="W42" s="717"/>
      <c r="X42" s="717"/>
      <c r="Y42" s="718"/>
      <c r="Z42" s="717"/>
      <c r="AA42" s="717"/>
      <c r="AB42" s="717"/>
      <c r="AC42" s="718"/>
      <c r="AD42" s="717"/>
      <c r="AE42" s="717"/>
      <c r="AF42" s="717"/>
      <c r="AG42" s="718"/>
      <c r="AH42" s="717"/>
      <c r="AI42" s="717"/>
      <c r="AJ42" s="717"/>
      <c r="AK42" s="718"/>
      <c r="AL42" s="717"/>
      <c r="AM42" s="717"/>
      <c r="AN42" s="717"/>
      <c r="AO42" s="718"/>
      <c r="AP42" s="717"/>
      <c r="AQ42" s="717"/>
      <c r="AR42" s="717"/>
      <c r="AS42" s="718"/>
      <c r="AT42" s="717"/>
      <c r="AU42" s="717"/>
      <c r="AV42" s="717"/>
      <c r="AW42" s="718"/>
      <c r="AX42" s="717"/>
      <c r="AY42" s="717"/>
      <c r="AZ42" s="717"/>
      <c r="BA42" s="718"/>
      <c r="BB42" s="717"/>
      <c r="BC42" s="717"/>
      <c r="BD42" s="717"/>
      <c r="BE42" s="718"/>
      <c r="BF42" s="717"/>
      <c r="BG42" s="717"/>
      <c r="BH42" s="717"/>
      <c r="BI42" s="719"/>
    </row>
    <row r="43" spans="3:61" ht="22.5">
      <c r="C43" s="672"/>
      <c r="D43" s="715" t="s">
        <v>517</v>
      </c>
      <c r="E43" s="716">
        <v>421</v>
      </c>
      <c r="F43" s="717"/>
      <c r="G43" s="717"/>
      <c r="H43" s="717"/>
      <c r="I43" s="718"/>
      <c r="J43" s="717"/>
      <c r="K43" s="717"/>
      <c r="L43" s="717"/>
      <c r="M43" s="718"/>
      <c r="N43" s="717"/>
      <c r="O43" s="717"/>
      <c r="P43" s="717"/>
      <c r="Q43" s="718"/>
      <c r="R43" s="717"/>
      <c r="S43" s="717"/>
      <c r="T43" s="717"/>
      <c r="U43" s="718"/>
      <c r="V43" s="717"/>
      <c r="W43" s="717"/>
      <c r="X43" s="717"/>
      <c r="Y43" s="718"/>
      <c r="Z43" s="717"/>
      <c r="AA43" s="717"/>
      <c r="AB43" s="717"/>
      <c r="AC43" s="718"/>
      <c r="AD43" s="717"/>
      <c r="AE43" s="717"/>
      <c r="AF43" s="717"/>
      <c r="AG43" s="718"/>
      <c r="AH43" s="717"/>
      <c r="AI43" s="717"/>
      <c r="AJ43" s="717"/>
      <c r="AK43" s="718"/>
      <c r="AL43" s="717"/>
      <c r="AM43" s="717"/>
      <c r="AN43" s="717"/>
      <c r="AO43" s="718"/>
      <c r="AP43" s="717"/>
      <c r="AQ43" s="717"/>
      <c r="AR43" s="717"/>
      <c r="AS43" s="718"/>
      <c r="AT43" s="717"/>
      <c r="AU43" s="717"/>
      <c r="AV43" s="717"/>
      <c r="AW43" s="718"/>
      <c r="AX43" s="717"/>
      <c r="AY43" s="717"/>
      <c r="AZ43" s="717"/>
      <c r="BA43" s="718"/>
      <c r="BB43" s="717"/>
      <c r="BC43" s="717"/>
      <c r="BD43" s="717"/>
      <c r="BE43" s="718"/>
      <c r="BF43" s="717"/>
      <c r="BG43" s="717"/>
      <c r="BH43" s="717"/>
      <c r="BI43" s="719"/>
    </row>
    <row r="44" spans="3:61" ht="15" customHeight="1">
      <c r="C44" s="672"/>
      <c r="D44" s="715" t="s">
        <v>518</v>
      </c>
      <c r="E44" s="716">
        <v>431</v>
      </c>
      <c r="F44" s="717"/>
      <c r="G44" s="717"/>
      <c r="H44" s="717"/>
      <c r="I44" s="718"/>
      <c r="J44" s="717"/>
      <c r="K44" s="717"/>
      <c r="L44" s="717"/>
      <c r="M44" s="718"/>
      <c r="N44" s="717"/>
      <c r="O44" s="717"/>
      <c r="P44" s="717"/>
      <c r="Q44" s="718"/>
      <c r="R44" s="717"/>
      <c r="S44" s="717"/>
      <c r="T44" s="717"/>
      <c r="U44" s="718"/>
      <c r="V44" s="717"/>
      <c r="W44" s="717"/>
      <c r="X44" s="717"/>
      <c r="Y44" s="718"/>
      <c r="Z44" s="717"/>
      <c r="AA44" s="717"/>
      <c r="AB44" s="717"/>
      <c r="AC44" s="718"/>
      <c r="AD44" s="717"/>
      <c r="AE44" s="717"/>
      <c r="AF44" s="717"/>
      <c r="AG44" s="718"/>
      <c r="AH44" s="717"/>
      <c r="AI44" s="717"/>
      <c r="AJ44" s="717"/>
      <c r="AK44" s="718"/>
      <c r="AL44" s="717"/>
      <c r="AM44" s="717"/>
      <c r="AN44" s="717"/>
      <c r="AO44" s="718"/>
      <c r="AP44" s="717"/>
      <c r="AQ44" s="717"/>
      <c r="AR44" s="717"/>
      <c r="AS44" s="718"/>
      <c r="AT44" s="717"/>
      <c r="AU44" s="717"/>
      <c r="AV44" s="717"/>
      <c r="AW44" s="718"/>
      <c r="AX44" s="717"/>
      <c r="AY44" s="717"/>
      <c r="AZ44" s="717"/>
      <c r="BA44" s="718"/>
      <c r="BB44" s="717"/>
      <c r="BC44" s="717"/>
      <c r="BD44" s="717"/>
      <c r="BE44" s="718"/>
      <c r="BF44" s="717"/>
      <c r="BG44" s="717"/>
      <c r="BH44" s="717"/>
      <c r="BI44" s="719"/>
    </row>
    <row r="45" spans="3:61" ht="15" customHeight="1">
      <c r="C45" s="672"/>
      <c r="D45" s="715" t="s">
        <v>519</v>
      </c>
      <c r="E45" s="716">
        <v>441</v>
      </c>
      <c r="F45" s="717"/>
      <c r="G45" s="717"/>
      <c r="H45" s="717"/>
      <c r="I45" s="718"/>
      <c r="J45" s="717"/>
      <c r="K45" s="717"/>
      <c r="L45" s="717"/>
      <c r="M45" s="718"/>
      <c r="N45" s="717"/>
      <c r="O45" s="717"/>
      <c r="P45" s="717"/>
      <c r="Q45" s="718"/>
      <c r="R45" s="717"/>
      <c r="S45" s="717"/>
      <c r="T45" s="717"/>
      <c r="U45" s="718"/>
      <c r="V45" s="717"/>
      <c r="W45" s="717"/>
      <c r="X45" s="717"/>
      <c r="Y45" s="718"/>
      <c r="Z45" s="717"/>
      <c r="AA45" s="717"/>
      <c r="AB45" s="717"/>
      <c r="AC45" s="718"/>
      <c r="AD45" s="717"/>
      <c r="AE45" s="717"/>
      <c r="AF45" s="717"/>
      <c r="AG45" s="718"/>
      <c r="AH45" s="717"/>
      <c r="AI45" s="717"/>
      <c r="AJ45" s="717"/>
      <c r="AK45" s="718"/>
      <c r="AL45" s="717"/>
      <c r="AM45" s="717"/>
      <c r="AN45" s="717"/>
      <c r="AO45" s="718"/>
      <c r="AP45" s="717"/>
      <c r="AQ45" s="717"/>
      <c r="AR45" s="717"/>
      <c r="AS45" s="718"/>
      <c r="AT45" s="717"/>
      <c r="AU45" s="717"/>
      <c r="AV45" s="717"/>
      <c r="AW45" s="718"/>
      <c r="AX45" s="717"/>
      <c r="AY45" s="717"/>
      <c r="AZ45" s="717"/>
      <c r="BA45" s="718"/>
      <c r="BB45" s="717"/>
      <c r="BC45" s="717"/>
      <c r="BD45" s="717"/>
      <c r="BE45" s="718"/>
      <c r="BF45" s="717"/>
      <c r="BG45" s="717"/>
      <c r="BH45" s="717"/>
      <c r="BI45" s="719"/>
    </row>
    <row r="46" spans="3:61" ht="15" customHeight="1">
      <c r="C46" s="672"/>
      <c r="D46" s="715" t="s">
        <v>631</v>
      </c>
      <c r="E46" s="716">
        <v>451</v>
      </c>
      <c r="F46" s="717"/>
      <c r="G46" s="717"/>
      <c r="H46" s="717"/>
      <c r="I46" s="718"/>
      <c r="J46" s="717"/>
      <c r="K46" s="717"/>
      <c r="L46" s="717"/>
      <c r="M46" s="718"/>
      <c r="N46" s="717"/>
      <c r="O46" s="717"/>
      <c r="P46" s="717"/>
      <c r="Q46" s="718"/>
      <c r="R46" s="717"/>
      <c r="S46" s="717"/>
      <c r="T46" s="717"/>
      <c r="U46" s="718"/>
      <c r="V46" s="717"/>
      <c r="W46" s="717"/>
      <c r="X46" s="717"/>
      <c r="Y46" s="718"/>
      <c r="Z46" s="717"/>
      <c r="AA46" s="717"/>
      <c r="AB46" s="717"/>
      <c r="AC46" s="718"/>
      <c r="AD46" s="717"/>
      <c r="AE46" s="717"/>
      <c r="AF46" s="717"/>
      <c r="AG46" s="718"/>
      <c r="AH46" s="717"/>
      <c r="AI46" s="717"/>
      <c r="AJ46" s="717"/>
      <c r="AK46" s="718"/>
      <c r="AL46" s="717"/>
      <c r="AM46" s="717"/>
      <c r="AN46" s="717"/>
      <c r="AO46" s="718"/>
      <c r="AP46" s="717"/>
      <c r="AQ46" s="717"/>
      <c r="AR46" s="717"/>
      <c r="AS46" s="718"/>
      <c r="AT46" s="717"/>
      <c r="AU46" s="717"/>
      <c r="AV46" s="717"/>
      <c r="AW46" s="718"/>
      <c r="AX46" s="717"/>
      <c r="AY46" s="717"/>
      <c r="AZ46" s="717"/>
      <c r="BA46" s="718"/>
      <c r="BB46" s="717"/>
      <c r="BC46" s="717"/>
      <c r="BD46" s="717"/>
      <c r="BE46" s="718"/>
      <c r="BF46" s="717"/>
      <c r="BG46" s="717"/>
      <c r="BH46" s="717"/>
      <c r="BI46" s="719"/>
    </row>
    <row r="47" spans="3:61" ht="15" customHeight="1">
      <c r="C47" s="672"/>
      <c r="D47" s="715" t="s">
        <v>521</v>
      </c>
      <c r="E47" s="716">
        <v>461</v>
      </c>
      <c r="F47" s="717"/>
      <c r="G47" s="717"/>
      <c r="H47" s="717"/>
      <c r="I47" s="718"/>
      <c r="J47" s="717"/>
      <c r="K47" s="717"/>
      <c r="L47" s="717"/>
      <c r="M47" s="718"/>
      <c r="N47" s="717"/>
      <c r="O47" s="717"/>
      <c r="P47" s="717"/>
      <c r="Q47" s="718"/>
      <c r="R47" s="717"/>
      <c r="S47" s="717"/>
      <c r="T47" s="717"/>
      <c r="U47" s="718"/>
      <c r="V47" s="717"/>
      <c r="W47" s="717"/>
      <c r="X47" s="717"/>
      <c r="Y47" s="718"/>
      <c r="Z47" s="717"/>
      <c r="AA47" s="717"/>
      <c r="AB47" s="717"/>
      <c r="AC47" s="718"/>
      <c r="AD47" s="717"/>
      <c r="AE47" s="717"/>
      <c r="AF47" s="717"/>
      <c r="AG47" s="718"/>
      <c r="AH47" s="717"/>
      <c r="AI47" s="717"/>
      <c r="AJ47" s="717"/>
      <c r="AK47" s="718"/>
      <c r="AL47" s="717"/>
      <c r="AM47" s="717"/>
      <c r="AN47" s="717"/>
      <c r="AO47" s="718"/>
      <c r="AP47" s="717"/>
      <c r="AQ47" s="717"/>
      <c r="AR47" s="717"/>
      <c r="AS47" s="718"/>
      <c r="AT47" s="717"/>
      <c r="AU47" s="717"/>
      <c r="AV47" s="717"/>
      <c r="AW47" s="718"/>
      <c r="AX47" s="717"/>
      <c r="AY47" s="717"/>
      <c r="AZ47" s="717"/>
      <c r="BA47" s="718"/>
      <c r="BB47" s="717"/>
      <c r="BC47" s="717"/>
      <c r="BD47" s="717"/>
      <c r="BE47" s="718"/>
      <c r="BF47" s="717"/>
      <c r="BG47" s="717"/>
      <c r="BH47" s="717"/>
      <c r="BI47" s="719"/>
    </row>
    <row r="48" spans="3:61" ht="15" customHeight="1">
      <c r="C48" s="672"/>
      <c r="D48" s="715" t="s">
        <v>522</v>
      </c>
      <c r="E48" s="716">
        <v>471</v>
      </c>
      <c r="F48" s="717"/>
      <c r="G48" s="717"/>
      <c r="H48" s="717"/>
      <c r="I48" s="718"/>
      <c r="J48" s="717"/>
      <c r="K48" s="717"/>
      <c r="L48" s="717"/>
      <c r="M48" s="718"/>
      <c r="N48" s="717"/>
      <c r="O48" s="717"/>
      <c r="P48" s="717"/>
      <c r="Q48" s="718"/>
      <c r="R48" s="717"/>
      <c r="S48" s="717"/>
      <c r="T48" s="717"/>
      <c r="U48" s="718"/>
      <c r="V48" s="717"/>
      <c r="W48" s="717"/>
      <c r="X48" s="717"/>
      <c r="Y48" s="718"/>
      <c r="Z48" s="717"/>
      <c r="AA48" s="717"/>
      <c r="AB48" s="717"/>
      <c r="AC48" s="718"/>
      <c r="AD48" s="717"/>
      <c r="AE48" s="717"/>
      <c r="AF48" s="717"/>
      <c r="AG48" s="718"/>
      <c r="AH48" s="717"/>
      <c r="AI48" s="717"/>
      <c r="AJ48" s="717"/>
      <c r="AK48" s="718"/>
      <c r="AL48" s="717"/>
      <c r="AM48" s="717"/>
      <c r="AN48" s="717"/>
      <c r="AO48" s="718"/>
      <c r="AP48" s="717"/>
      <c r="AQ48" s="717"/>
      <c r="AR48" s="717"/>
      <c r="AS48" s="718"/>
      <c r="AT48" s="717"/>
      <c r="AU48" s="717"/>
      <c r="AV48" s="717"/>
      <c r="AW48" s="718"/>
      <c r="AX48" s="717"/>
      <c r="AY48" s="717"/>
      <c r="AZ48" s="717"/>
      <c r="BA48" s="718"/>
      <c r="BB48" s="717"/>
      <c r="BC48" s="717"/>
      <c r="BD48" s="717"/>
      <c r="BE48" s="718"/>
      <c r="BF48" s="717"/>
      <c r="BG48" s="717"/>
      <c r="BH48" s="717"/>
      <c r="BI48" s="719"/>
    </row>
    <row r="49" spans="1:61" ht="33.75">
      <c r="C49" s="672"/>
      <c r="D49" s="715" t="s">
        <v>526</v>
      </c>
      <c r="E49" s="716">
        <v>500</v>
      </c>
      <c r="F49" s="717"/>
      <c r="G49" s="717"/>
      <c r="H49" s="717"/>
      <c r="I49" s="718"/>
      <c r="J49" s="717"/>
      <c r="K49" s="717"/>
      <c r="L49" s="717"/>
      <c r="M49" s="718"/>
      <c r="N49" s="717"/>
      <c r="O49" s="717"/>
      <c r="P49" s="717"/>
      <c r="Q49" s="718"/>
      <c r="R49" s="717"/>
      <c r="S49" s="717"/>
      <c r="T49" s="717"/>
      <c r="U49" s="718"/>
      <c r="V49" s="717"/>
      <c r="W49" s="717"/>
      <c r="X49" s="717"/>
      <c r="Y49" s="718"/>
      <c r="Z49" s="717"/>
      <c r="AA49" s="717"/>
      <c r="AB49" s="717"/>
      <c r="AC49" s="718"/>
      <c r="AD49" s="717"/>
      <c r="AE49" s="717"/>
      <c r="AF49" s="717"/>
      <c r="AG49" s="718"/>
      <c r="AH49" s="717"/>
      <c r="AI49" s="717"/>
      <c r="AJ49" s="717"/>
      <c r="AK49" s="718"/>
      <c r="AL49" s="717"/>
      <c r="AM49" s="717"/>
      <c r="AN49" s="717"/>
      <c r="AO49" s="718"/>
      <c r="AP49" s="717"/>
      <c r="AQ49" s="717"/>
      <c r="AR49" s="717"/>
      <c r="AS49" s="718"/>
      <c r="AT49" s="717"/>
      <c r="AU49" s="717"/>
      <c r="AV49" s="717"/>
      <c r="AW49" s="718"/>
      <c r="AX49" s="717"/>
      <c r="AY49" s="717"/>
      <c r="AZ49" s="717"/>
      <c r="BA49" s="718"/>
      <c r="BB49" s="717"/>
      <c r="BC49" s="717"/>
      <c r="BD49" s="717"/>
      <c r="BE49" s="718"/>
      <c r="BF49" s="717"/>
      <c r="BG49" s="717"/>
      <c r="BH49" s="717"/>
      <c r="BI49" s="719"/>
    </row>
    <row r="50" spans="1:61" ht="15" customHeight="1">
      <c r="C50" s="672"/>
      <c r="D50" s="720" t="s">
        <v>527</v>
      </c>
      <c r="E50" s="721">
        <v>600</v>
      </c>
      <c r="F50" s="689">
        <f>SUM(F18:F24)+SUM(F26:F32)+SUM(F34:F40)+SUM(F42:F48)</f>
        <v>0</v>
      </c>
      <c r="G50" s="689">
        <f t="shared" ref="G50:BI50" si="4">SUM(G18:G24)+SUM(G26:G32)+SUM(G34:G40)+SUM(G42:G48)</f>
        <v>0</v>
      </c>
      <c r="H50" s="689">
        <f t="shared" si="4"/>
        <v>0</v>
      </c>
      <c r="I50" s="690">
        <f t="shared" si="4"/>
        <v>0</v>
      </c>
      <c r="J50" s="689">
        <f t="shared" si="4"/>
        <v>0</v>
      </c>
      <c r="K50" s="689">
        <f t="shared" si="4"/>
        <v>0</v>
      </c>
      <c r="L50" s="689">
        <f t="shared" si="4"/>
        <v>0</v>
      </c>
      <c r="M50" s="690">
        <f t="shared" si="4"/>
        <v>0</v>
      </c>
      <c r="N50" s="689">
        <f t="shared" si="4"/>
        <v>0</v>
      </c>
      <c r="O50" s="689">
        <f t="shared" si="4"/>
        <v>0</v>
      </c>
      <c r="P50" s="689">
        <f t="shared" si="4"/>
        <v>0</v>
      </c>
      <c r="Q50" s="690">
        <f t="shared" si="4"/>
        <v>0</v>
      </c>
      <c r="R50" s="689">
        <f t="shared" si="4"/>
        <v>0</v>
      </c>
      <c r="S50" s="689">
        <f t="shared" si="4"/>
        <v>0</v>
      </c>
      <c r="T50" s="689">
        <f t="shared" si="4"/>
        <v>0</v>
      </c>
      <c r="U50" s="690">
        <f t="shared" si="4"/>
        <v>0</v>
      </c>
      <c r="V50" s="689">
        <f t="shared" si="4"/>
        <v>0</v>
      </c>
      <c r="W50" s="689">
        <f t="shared" si="4"/>
        <v>0</v>
      </c>
      <c r="X50" s="689">
        <f t="shared" si="4"/>
        <v>0</v>
      </c>
      <c r="Y50" s="690">
        <f t="shared" si="4"/>
        <v>0</v>
      </c>
      <c r="Z50" s="689">
        <f t="shared" si="4"/>
        <v>0</v>
      </c>
      <c r="AA50" s="689">
        <f t="shared" si="4"/>
        <v>0</v>
      </c>
      <c r="AB50" s="689">
        <f t="shared" si="4"/>
        <v>0</v>
      </c>
      <c r="AC50" s="690">
        <f t="shared" si="4"/>
        <v>0</v>
      </c>
      <c r="AD50" s="689">
        <f t="shared" si="4"/>
        <v>0</v>
      </c>
      <c r="AE50" s="689">
        <f t="shared" si="4"/>
        <v>0</v>
      </c>
      <c r="AF50" s="689">
        <f t="shared" si="4"/>
        <v>0</v>
      </c>
      <c r="AG50" s="690">
        <f t="shared" si="4"/>
        <v>0</v>
      </c>
      <c r="AH50" s="689">
        <f t="shared" si="4"/>
        <v>0</v>
      </c>
      <c r="AI50" s="689">
        <f t="shared" si="4"/>
        <v>0</v>
      </c>
      <c r="AJ50" s="689">
        <f t="shared" si="4"/>
        <v>0</v>
      </c>
      <c r="AK50" s="690">
        <f t="shared" si="4"/>
        <v>0</v>
      </c>
      <c r="AL50" s="689">
        <f t="shared" si="4"/>
        <v>0</v>
      </c>
      <c r="AM50" s="689">
        <f t="shared" si="4"/>
        <v>0</v>
      </c>
      <c r="AN50" s="689">
        <f t="shared" si="4"/>
        <v>0</v>
      </c>
      <c r="AO50" s="690">
        <f t="shared" si="4"/>
        <v>0</v>
      </c>
      <c r="AP50" s="689">
        <f t="shared" si="4"/>
        <v>0</v>
      </c>
      <c r="AQ50" s="689">
        <f t="shared" si="4"/>
        <v>0</v>
      </c>
      <c r="AR50" s="689">
        <f t="shared" si="4"/>
        <v>0</v>
      </c>
      <c r="AS50" s="690">
        <f t="shared" si="4"/>
        <v>0</v>
      </c>
      <c r="AT50" s="689">
        <f t="shared" si="4"/>
        <v>0</v>
      </c>
      <c r="AU50" s="689">
        <f t="shared" si="4"/>
        <v>0</v>
      </c>
      <c r="AV50" s="689">
        <f t="shared" si="4"/>
        <v>0</v>
      </c>
      <c r="AW50" s="690">
        <f t="shared" si="4"/>
        <v>0</v>
      </c>
      <c r="AX50" s="689">
        <f t="shared" si="4"/>
        <v>0</v>
      </c>
      <c r="AY50" s="689">
        <f t="shared" si="4"/>
        <v>0</v>
      </c>
      <c r="AZ50" s="689">
        <f t="shared" si="4"/>
        <v>0</v>
      </c>
      <c r="BA50" s="690">
        <f t="shared" si="4"/>
        <v>0</v>
      </c>
      <c r="BB50" s="689">
        <f t="shared" si="4"/>
        <v>0</v>
      </c>
      <c r="BC50" s="689">
        <f t="shared" si="4"/>
        <v>0</v>
      </c>
      <c r="BD50" s="689">
        <f t="shared" si="4"/>
        <v>0</v>
      </c>
      <c r="BE50" s="690">
        <f t="shared" si="4"/>
        <v>0</v>
      </c>
      <c r="BF50" s="689">
        <f t="shared" si="4"/>
        <v>0</v>
      </c>
      <c r="BG50" s="689">
        <f t="shared" si="4"/>
        <v>0</v>
      </c>
      <c r="BH50" s="689">
        <f t="shared" si="4"/>
        <v>0</v>
      </c>
      <c r="BI50" s="699">
        <f t="shared" si="4"/>
        <v>0</v>
      </c>
    </row>
    <row r="53" spans="1:61" s="708" customFormat="1" ht="12.75">
      <c r="A53" s="707"/>
      <c r="D53" s="708" t="s">
        <v>528</v>
      </c>
      <c r="E53" s="4186" t="s">
        <v>477</v>
      </c>
      <c r="F53" s="4186"/>
      <c r="G53" s="4186"/>
      <c r="H53" s="4186"/>
      <c r="J53" s="4187"/>
      <c r="K53" s="4188"/>
    </row>
    <row r="54" spans="1:61" s="708" customFormat="1" ht="12.75">
      <c r="A54" s="707"/>
      <c r="E54" s="4192" t="s">
        <v>529</v>
      </c>
      <c r="F54" s="4192"/>
      <c r="G54" s="4192"/>
      <c r="H54" s="4192"/>
      <c r="J54" s="4193" t="s">
        <v>530</v>
      </c>
      <c r="K54" s="4192"/>
    </row>
    <row r="55" spans="1:61" s="708" customFormat="1" ht="12.75">
      <c r="A55" s="707"/>
      <c r="G55" s="710"/>
      <c r="K55" s="710"/>
    </row>
    <row r="56" spans="1:61" s="708" customFormat="1" ht="12.75">
      <c r="A56" s="707"/>
    </row>
    <row r="57" spans="1:61" s="708" customFormat="1" ht="12.75">
      <c r="A57" s="707"/>
      <c r="D57" s="711" t="s">
        <v>531</v>
      </c>
      <c r="E57" s="4186" t="s">
        <v>486</v>
      </c>
      <c r="F57" s="4186"/>
      <c r="G57" s="709"/>
      <c r="H57" s="4186" t="s">
        <v>484</v>
      </c>
      <c r="I57" s="4186"/>
      <c r="J57" s="4186"/>
      <c r="K57" s="709"/>
      <c r="L57" s="712"/>
      <c r="M57" s="712"/>
    </row>
    <row r="58" spans="1:61" s="708" customFormat="1" ht="12.75">
      <c r="A58" s="707"/>
      <c r="D58" s="711" t="s">
        <v>532</v>
      </c>
      <c r="E58" s="4190" t="s">
        <v>533</v>
      </c>
      <c r="F58" s="4190"/>
      <c r="G58" s="710"/>
      <c r="H58" s="4190" t="s">
        <v>529</v>
      </c>
      <c r="I58" s="4190"/>
      <c r="J58" s="4190"/>
      <c r="K58" s="710"/>
      <c r="L58" s="4190" t="s">
        <v>530</v>
      </c>
      <c r="M58" s="4190"/>
    </row>
    <row r="59" spans="1:61" s="708" customFormat="1" ht="12.75">
      <c r="A59" s="707"/>
      <c r="D59" s="711" t="s">
        <v>534</v>
      </c>
    </row>
    <row r="60" spans="1:61" s="708" customFormat="1" ht="12.75">
      <c r="A60" s="707"/>
      <c r="E60" s="4186" t="s">
        <v>487</v>
      </c>
      <c r="F60" s="4186"/>
      <c r="G60" s="4186"/>
      <c r="I60" s="713" t="s">
        <v>535</v>
      </c>
      <c r="J60" s="711"/>
    </row>
    <row r="61" spans="1:61" s="708" customFormat="1" ht="12.75">
      <c r="A61" s="707"/>
      <c r="E61" s="4191" t="s">
        <v>536</v>
      </c>
      <c r="F61" s="4191"/>
      <c r="G61" s="4191"/>
      <c r="I61" s="714" t="s">
        <v>537</v>
      </c>
      <c r="J61" s="714"/>
    </row>
  </sheetData>
  <mergeCells count="62">
    <mergeCell ref="E54:H54"/>
    <mergeCell ref="J54:K54"/>
    <mergeCell ref="BC14:BE14"/>
    <mergeCell ref="BF14:BF15"/>
    <mergeCell ref="BB14:BB15"/>
    <mergeCell ref="AH14:AH15"/>
    <mergeCell ref="K14:M14"/>
    <mergeCell ref="AU14:AW14"/>
    <mergeCell ref="AX14:AX15"/>
    <mergeCell ref="AT14:AT15"/>
    <mergeCell ref="AE14:AG14"/>
    <mergeCell ref="N14:N15"/>
    <mergeCell ref="O14:Q14"/>
    <mergeCell ref="AP14:AP15"/>
    <mergeCell ref="AQ14:AS14"/>
    <mergeCell ref="AM14:AO14"/>
    <mergeCell ref="L58:M58"/>
    <mergeCell ref="AA14:AC14"/>
    <mergeCell ref="AD14:AD15"/>
    <mergeCell ref="AI14:AK14"/>
    <mergeCell ref="AL14:AL15"/>
    <mergeCell ref="R14:R15"/>
    <mergeCell ref="S14:U14"/>
    <mergeCell ref="E60:G60"/>
    <mergeCell ref="E61:G61"/>
    <mergeCell ref="E57:F57"/>
    <mergeCell ref="H57:J57"/>
    <mergeCell ref="E58:F58"/>
    <mergeCell ref="H58:J58"/>
    <mergeCell ref="BG14:BI14"/>
    <mergeCell ref="E53:H53"/>
    <mergeCell ref="J53:K53"/>
    <mergeCell ref="Z14:Z15"/>
    <mergeCell ref="V14:V15"/>
    <mergeCell ref="V13:Y13"/>
    <mergeCell ref="V12:AC12"/>
    <mergeCell ref="Z13:AC13"/>
    <mergeCell ref="AY14:BA14"/>
    <mergeCell ref="W14:Y14"/>
    <mergeCell ref="BB12:BE13"/>
    <mergeCell ref="BF12:BI13"/>
    <mergeCell ref="AD13:AG13"/>
    <mergeCell ref="AH13:AK13"/>
    <mergeCell ref="AL13:AO13"/>
    <mergeCell ref="AP13:AS13"/>
    <mergeCell ref="AT13:AW13"/>
    <mergeCell ref="AX13:BA13"/>
    <mergeCell ref="AD12:AK12"/>
    <mergeCell ref="AL12:AS12"/>
    <mergeCell ref="AT12:BA12"/>
    <mergeCell ref="D11:H11"/>
    <mergeCell ref="D12:D15"/>
    <mergeCell ref="E12:E15"/>
    <mergeCell ref="F12:M12"/>
    <mergeCell ref="N12:U12"/>
    <mergeCell ref="F14:F15"/>
    <mergeCell ref="G14:I14"/>
    <mergeCell ref="J14:J15"/>
    <mergeCell ref="F13:I13"/>
    <mergeCell ref="J13:M13"/>
    <mergeCell ref="N13:Q13"/>
    <mergeCell ref="R13:U13"/>
  </mergeCells>
  <dataValidations count="1">
    <dataValidation type="decimal" allowBlank="1" showErrorMessage="1" errorTitle="Ошибка" error="Допускается ввод только действительных чисел!" sqref="F17:BI50">
      <formula1>-9.99999999999999E+23</formula1>
      <formula2>9.99999999999999E+23</formula2>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topLeftCell="C7" workbookViewId="0">
      <selection activeCell="I27" sqref="I27"/>
    </sheetView>
  </sheetViews>
  <sheetFormatPr defaultColWidth="8.28515625" defaultRowHeight="11.25"/>
  <cols>
    <col min="1" max="2" width="8.28515625" style="768" hidden="1" customWidth="1"/>
    <col min="3" max="3" width="3.7109375" style="768" customWidth="1"/>
    <col min="4" max="4" width="37" style="768" customWidth="1"/>
    <col min="5" max="5" width="6.28515625" style="768" customWidth="1"/>
    <col min="6" max="10" width="17.7109375" style="768" customWidth="1"/>
    <col min="11" max="16384" width="8.28515625" style="768"/>
  </cols>
  <sheetData>
    <row r="1" spans="1:10" hidden="1"/>
    <row r="2" spans="1:10" hidden="1"/>
    <row r="3" spans="1:10" hidden="1"/>
    <row r="4" spans="1:10" hidden="1">
      <c r="A4" s="669"/>
      <c r="B4" s="769"/>
      <c r="C4" s="769"/>
      <c r="D4" s="769"/>
    </row>
    <row r="5" spans="1:10" hidden="1">
      <c r="A5" s="671"/>
    </row>
    <row r="6" spans="1:10" hidden="1">
      <c r="A6" s="671"/>
    </row>
    <row r="7" spans="1:10" ht="12" customHeight="1">
      <c r="A7" s="671"/>
      <c r="D7" s="770"/>
      <c r="E7" s="770"/>
      <c r="F7" s="770"/>
      <c r="J7" s="771"/>
    </row>
    <row r="8" spans="1:10" ht="12" customHeight="1">
      <c r="A8" s="671"/>
      <c r="D8" s="673" t="s">
        <v>632</v>
      </c>
      <c r="E8" s="772"/>
      <c r="F8" s="772"/>
    </row>
    <row r="9" spans="1:10" ht="12" customHeight="1">
      <c r="A9" s="671"/>
      <c r="D9" s="680" t="s">
        <v>2</v>
      </c>
      <c r="E9" s="770"/>
      <c r="F9" s="770"/>
    </row>
    <row r="10" spans="1:10" ht="12" customHeight="1">
      <c r="D10" s="772"/>
      <c r="E10" s="772"/>
      <c r="F10" s="772"/>
      <c r="G10" s="770"/>
      <c r="H10" s="773"/>
      <c r="I10" s="773"/>
      <c r="J10" s="723" t="s">
        <v>496</v>
      </c>
    </row>
    <row r="11" spans="1:10" ht="66.75" customHeight="1">
      <c r="C11" s="770"/>
      <c r="D11" s="774" t="s">
        <v>633</v>
      </c>
      <c r="E11" s="774" t="s">
        <v>498</v>
      </c>
      <c r="F11" s="774" t="s">
        <v>629</v>
      </c>
      <c r="G11" s="774" t="s">
        <v>634</v>
      </c>
      <c r="H11" s="774" t="s">
        <v>635</v>
      </c>
      <c r="I11" s="774" t="s">
        <v>636</v>
      </c>
      <c r="J11" s="775" t="s">
        <v>637</v>
      </c>
    </row>
    <row r="12" spans="1:10">
      <c r="D12" s="687">
        <v>1</v>
      </c>
      <c r="E12" s="687">
        <v>2</v>
      </c>
      <c r="F12" s="687">
        <v>3</v>
      </c>
      <c r="G12" s="687">
        <v>4</v>
      </c>
      <c r="H12" s="687">
        <v>5</v>
      </c>
      <c r="I12" s="687">
        <v>6</v>
      </c>
      <c r="J12" s="776">
        <v>7</v>
      </c>
    </row>
    <row r="13" spans="1:10" ht="15" customHeight="1">
      <c r="C13" s="770"/>
      <c r="D13" s="715" t="s">
        <v>638</v>
      </c>
      <c r="E13" s="716">
        <v>300</v>
      </c>
      <c r="F13" s="777">
        <f>F14+F15+F16+F17+F18+F19+F20+F21+F23+F24+F25+F26</f>
        <v>56177.478999999999</v>
      </c>
      <c r="G13" s="777">
        <f>G14+G15+G18+G19+G20+G21+G23+G24+G25+G26</f>
        <v>296376.24469000002</v>
      </c>
      <c r="H13" s="777">
        <f>H15+H16+H17+H18+H21+H22+H23+H24+H25+H26</f>
        <v>15.478999999999999</v>
      </c>
      <c r="I13" s="777">
        <f>I15+I18+I21+I22+I23+I24+I25+I26</f>
        <v>25852.945390000001</v>
      </c>
      <c r="J13" s="778">
        <f>J18+J21+J23+J24+J25+J26</f>
        <v>322071.08971000003</v>
      </c>
    </row>
    <row r="14" spans="1:10" ht="15" customHeight="1">
      <c r="C14" s="770"/>
      <c r="D14" s="715" t="s">
        <v>639</v>
      </c>
      <c r="E14" s="716">
        <v>301</v>
      </c>
      <c r="F14" s="779"/>
      <c r="G14" s="779"/>
      <c r="H14" s="780" t="s">
        <v>640</v>
      </c>
      <c r="I14" s="780" t="s">
        <v>640</v>
      </c>
      <c r="J14" s="781" t="s">
        <v>640</v>
      </c>
    </row>
    <row r="15" spans="1:10" ht="15" customHeight="1">
      <c r="C15" s="770"/>
      <c r="D15" s="715" t="s">
        <v>641</v>
      </c>
      <c r="E15" s="716">
        <v>302</v>
      </c>
      <c r="F15" s="779"/>
      <c r="G15" s="779"/>
      <c r="H15" s="779"/>
      <c r="I15" s="779"/>
      <c r="J15" s="781" t="s">
        <v>640</v>
      </c>
    </row>
    <row r="16" spans="1:10" ht="15" customHeight="1">
      <c r="C16" s="770"/>
      <c r="D16" s="715" t="s">
        <v>642</v>
      </c>
      <c r="E16" s="716">
        <v>303</v>
      </c>
      <c r="F16" s="779"/>
      <c r="G16" s="780" t="s">
        <v>640</v>
      </c>
      <c r="H16" s="779"/>
      <c r="I16" s="780" t="s">
        <v>640</v>
      </c>
      <c r="J16" s="782"/>
    </row>
    <row r="17" spans="3:10" ht="15" customHeight="1">
      <c r="C17" s="770"/>
      <c r="D17" s="715" t="s">
        <v>643</v>
      </c>
      <c r="E17" s="716">
        <v>304</v>
      </c>
      <c r="F17" s="779"/>
      <c r="G17" s="780" t="s">
        <v>640</v>
      </c>
      <c r="H17" s="779"/>
      <c r="I17" s="780" t="s">
        <v>640</v>
      </c>
      <c r="J17" s="782"/>
    </row>
    <row r="18" spans="3:10" ht="15" customHeight="1">
      <c r="C18" s="770"/>
      <c r="D18" s="715" t="s">
        <v>644</v>
      </c>
      <c r="E18" s="716">
        <v>305</v>
      </c>
      <c r="F18" s="779"/>
      <c r="G18" s="779"/>
      <c r="H18" s="779"/>
      <c r="I18" s="779"/>
      <c r="J18" s="783"/>
    </row>
    <row r="19" spans="3:10" ht="15" customHeight="1">
      <c r="C19" s="770"/>
      <c r="D19" s="715" t="s">
        <v>645</v>
      </c>
      <c r="E19" s="716">
        <v>306</v>
      </c>
      <c r="F19" s="779">
        <f>'Шаблон 46 ГП'!C22/1000</f>
        <v>367.52499999999998</v>
      </c>
      <c r="G19" s="779">
        <f>'Шаблон 46 ГП'!L22/1000</f>
        <v>158.10037</v>
      </c>
      <c r="H19" s="780" t="s">
        <v>640</v>
      </c>
      <c r="I19" s="780" t="s">
        <v>640</v>
      </c>
      <c r="J19" s="781" t="s">
        <v>640</v>
      </c>
    </row>
    <row r="20" spans="3:10" ht="15" customHeight="1">
      <c r="C20" s="770"/>
      <c r="D20" s="715" t="s">
        <v>646</v>
      </c>
      <c r="E20" s="716">
        <v>307</v>
      </c>
      <c r="F20" s="779">
        <f>'Шаблон 46 ГП'!C23/1000</f>
        <v>418.16199999999998</v>
      </c>
      <c r="G20" s="779">
        <f>'Шаблон 46 ГП'!L23/1000</f>
        <v>0</v>
      </c>
      <c r="H20" s="780" t="s">
        <v>640</v>
      </c>
      <c r="I20" s="780" t="s">
        <v>640</v>
      </c>
      <c r="J20" s="781" t="s">
        <v>640</v>
      </c>
    </row>
    <row r="21" spans="3:10" ht="15" customHeight="1">
      <c r="C21" s="770"/>
      <c r="D21" s="715" t="s">
        <v>647</v>
      </c>
      <c r="E21" s="716">
        <v>308</v>
      </c>
      <c r="F21" s="779"/>
      <c r="G21" s="779"/>
      <c r="H21" s="779"/>
      <c r="I21" s="779"/>
      <c r="J21" s="784"/>
    </row>
    <row r="22" spans="3:10" ht="15" customHeight="1">
      <c r="C22" s="770"/>
      <c r="D22" s="715" t="s">
        <v>648</v>
      </c>
      <c r="E22" s="716">
        <v>309</v>
      </c>
      <c r="F22" s="780" t="s">
        <v>640</v>
      </c>
      <c r="G22" s="780" t="s">
        <v>640</v>
      </c>
      <c r="H22" s="779"/>
      <c r="I22" s="779"/>
      <c r="J22" s="781" t="s">
        <v>640</v>
      </c>
    </row>
    <row r="23" spans="3:10" ht="15" customHeight="1">
      <c r="C23" s="770"/>
      <c r="D23" s="715" t="s">
        <v>649</v>
      </c>
      <c r="E23" s="716">
        <v>310</v>
      </c>
      <c r="F23" s="779"/>
      <c r="G23" s="779"/>
      <c r="H23" s="779"/>
      <c r="I23" s="779"/>
      <c r="J23" s="778">
        <f>I23+G23</f>
        <v>0</v>
      </c>
    </row>
    <row r="24" spans="3:10" ht="15" customHeight="1">
      <c r="C24" s="770"/>
      <c r="D24" s="715" t="s">
        <v>650</v>
      </c>
      <c r="E24" s="716">
        <v>311</v>
      </c>
      <c r="F24" s="779"/>
      <c r="G24" s="779"/>
      <c r="H24" s="779"/>
      <c r="I24" s="779"/>
      <c r="J24" s="778">
        <f>I24+G24</f>
        <v>0</v>
      </c>
    </row>
    <row r="25" spans="3:10" ht="22.5">
      <c r="C25" s="770"/>
      <c r="D25" s="715" t="s">
        <v>651</v>
      </c>
      <c r="E25" s="716">
        <v>312</v>
      </c>
      <c r="F25" s="779">
        <f>'Раздел 1 В'!F59</f>
        <v>24830.238999999998</v>
      </c>
      <c r="G25" s="779">
        <f>'Раздел 1 В'!H59</f>
        <v>57037.21976</v>
      </c>
      <c r="H25" s="779"/>
      <c r="I25" s="779"/>
      <c r="J25" s="778">
        <f>G25+I25</f>
        <v>57037.21976</v>
      </c>
    </row>
    <row r="26" spans="3:10" ht="22.5">
      <c r="C26" s="770"/>
      <c r="D26" s="715" t="s">
        <v>652</v>
      </c>
      <c r="E26" s="716">
        <v>313</v>
      </c>
      <c r="F26" s="779">
        <f>'Раздел 2А'!F50+'Раздел 2А'!T50+'Раздел 2А'!AH50+'Раздел 2А'!BJ50</f>
        <v>30561.553</v>
      </c>
      <c r="G26" s="779">
        <f>'Раздел 2А'!M50+'Раздел 2А'!AA50+'Раздел 2А'!AO50+'Раздел 2А'!BQ50</f>
        <v>239180.92456000004</v>
      </c>
      <c r="H26" s="779">
        <f>'Раздел 2А'!AV50+'Раздел 2А'!BX50</f>
        <v>15.478999999999999</v>
      </c>
      <c r="I26" s="779">
        <f>'Раздел 2А'!BC50+'Раздел 2А'!CE50+'Раздел 2А'!CS50</f>
        <v>25852.945390000001</v>
      </c>
      <c r="J26" s="778">
        <f>G26+I26</f>
        <v>265033.86995000002</v>
      </c>
    </row>
    <row r="27" spans="3:10" ht="15" customHeight="1">
      <c r="C27" s="770"/>
      <c r="D27" s="715" t="s">
        <v>653</v>
      </c>
      <c r="E27" s="716">
        <v>400</v>
      </c>
      <c r="F27" s="779"/>
      <c r="G27" s="780" t="s">
        <v>640</v>
      </c>
      <c r="H27" s="779"/>
      <c r="I27" s="780" t="s">
        <v>640</v>
      </c>
      <c r="J27" s="781" t="s">
        <v>640</v>
      </c>
    </row>
    <row r="28" spans="3:10" ht="15" customHeight="1">
      <c r="C28" s="770"/>
      <c r="D28" s="715" t="s">
        <v>654</v>
      </c>
      <c r="E28" s="716">
        <v>500</v>
      </c>
      <c r="F28" s="780" t="s">
        <v>640</v>
      </c>
      <c r="G28" s="780" t="s">
        <v>640</v>
      </c>
      <c r="H28" s="779"/>
      <c r="I28" s="779"/>
      <c r="J28" s="781" t="s">
        <v>640</v>
      </c>
    </row>
    <row r="29" spans="3:10" ht="15" customHeight="1">
      <c r="C29" s="770"/>
      <c r="D29" s="715" t="s">
        <v>655</v>
      </c>
      <c r="E29" s="716">
        <v>600</v>
      </c>
      <c r="F29" s="780" t="s">
        <v>640</v>
      </c>
      <c r="G29" s="780" t="s">
        <v>640</v>
      </c>
      <c r="H29" s="779"/>
      <c r="I29" s="780" t="s">
        <v>640</v>
      </c>
      <c r="J29" s="781" t="s">
        <v>640</v>
      </c>
    </row>
    <row r="30" spans="3:10" ht="15" customHeight="1">
      <c r="C30" s="770"/>
      <c r="D30" s="720" t="s">
        <v>656</v>
      </c>
      <c r="E30" s="721">
        <v>700</v>
      </c>
      <c r="F30" s="785" t="s">
        <v>640</v>
      </c>
      <c r="G30" s="785" t="s">
        <v>640</v>
      </c>
      <c r="H30" s="786"/>
      <c r="I30" s="786"/>
      <c r="J30" s="787" t="s">
        <v>640</v>
      </c>
    </row>
    <row r="33" spans="1:13" s="708" customFormat="1" ht="12.75">
      <c r="A33" s="707"/>
      <c r="D33" s="708" t="s">
        <v>528</v>
      </c>
      <c r="E33" s="4186" t="s">
        <v>477</v>
      </c>
      <c r="F33" s="4186"/>
      <c r="G33" s="4186"/>
      <c r="H33" s="4186"/>
      <c r="J33" s="4187"/>
      <c r="K33" s="4188"/>
    </row>
    <row r="34" spans="1:13" s="708" customFormat="1" ht="12.75">
      <c r="A34" s="707"/>
      <c r="E34" s="4192" t="s">
        <v>529</v>
      </c>
      <c r="F34" s="4192"/>
      <c r="G34" s="4192"/>
      <c r="H34" s="4192"/>
      <c r="J34" s="4193" t="s">
        <v>530</v>
      </c>
      <c r="K34" s="4192"/>
    </row>
    <row r="35" spans="1:13" s="708" customFormat="1" ht="12.75">
      <c r="A35" s="707"/>
      <c r="G35" s="710"/>
      <c r="K35" s="710"/>
    </row>
    <row r="36" spans="1:13" s="708" customFormat="1" ht="12.75">
      <c r="A36" s="707"/>
    </row>
    <row r="37" spans="1:13" s="708" customFormat="1" ht="12.75">
      <c r="A37" s="707"/>
      <c r="D37" s="711" t="s">
        <v>531</v>
      </c>
      <c r="E37" s="4186" t="s">
        <v>486</v>
      </c>
      <c r="F37" s="4186"/>
      <c r="G37" s="709"/>
      <c r="H37" s="4186" t="s">
        <v>484</v>
      </c>
      <c r="I37" s="4186"/>
      <c r="J37" s="4186"/>
      <c r="K37" s="709"/>
      <c r="L37" s="712"/>
      <c r="M37" s="712"/>
    </row>
    <row r="38" spans="1:13" s="708" customFormat="1" ht="12.75">
      <c r="A38" s="707"/>
      <c r="D38" s="711" t="s">
        <v>532</v>
      </c>
      <c r="E38" s="4190" t="s">
        <v>533</v>
      </c>
      <c r="F38" s="4190"/>
      <c r="G38" s="710"/>
      <c r="H38" s="4190" t="s">
        <v>529</v>
      </c>
      <c r="I38" s="4190"/>
      <c r="J38" s="4190"/>
      <c r="K38" s="710"/>
      <c r="L38" s="4190" t="s">
        <v>530</v>
      </c>
      <c r="M38" s="4190"/>
    </row>
    <row r="39" spans="1:13" s="708" customFormat="1" ht="12.75">
      <c r="A39" s="707"/>
      <c r="D39" s="711" t="s">
        <v>534</v>
      </c>
    </row>
    <row r="40" spans="1:13" s="708" customFormat="1" ht="12.75">
      <c r="A40" s="707"/>
      <c r="E40" s="4186" t="s">
        <v>487</v>
      </c>
      <c r="F40" s="4186"/>
      <c r="G40" s="4186"/>
      <c r="I40" s="713" t="s">
        <v>535</v>
      </c>
      <c r="J40" s="711"/>
    </row>
    <row r="41" spans="1:13" s="708" customFormat="1" ht="12.75">
      <c r="A41" s="707"/>
      <c r="E41" s="4191" t="s">
        <v>536</v>
      </c>
      <c r="F41" s="4191"/>
      <c r="G41" s="4191"/>
      <c r="I41" s="714" t="s">
        <v>537</v>
      </c>
      <c r="J41" s="714"/>
    </row>
  </sheetData>
  <mergeCells count="11">
    <mergeCell ref="L38:M38"/>
    <mergeCell ref="E40:G40"/>
    <mergeCell ref="E41:G41"/>
    <mergeCell ref="E33:H33"/>
    <mergeCell ref="J33:K33"/>
    <mergeCell ref="E34:H34"/>
    <mergeCell ref="J34:K34"/>
    <mergeCell ref="E37:F37"/>
    <mergeCell ref="H37:J37"/>
    <mergeCell ref="E38:F38"/>
    <mergeCell ref="H38:J38"/>
  </mergeCells>
  <dataValidations count="1">
    <dataValidation type="decimal" allowBlank="1" showErrorMessage="1" errorTitle="Ошибка" error="Допускается ввод только действительных чисел!" sqref="I13 I30 I28 H27:H30 F27 F13:G15 H22:I22 H21:J21 G18:G21 F23:I26 H16:H18 F16:F21 H15:I15 I18:J18 J16:J17">
      <formula1>-9.99999999999999E+23</formula1>
      <formula2>9.99999999999999E+23</formula2>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9"/>
  <sheetViews>
    <sheetView topLeftCell="C7" workbookViewId="0">
      <selection activeCell="H18" sqref="H18"/>
    </sheetView>
  </sheetViews>
  <sheetFormatPr defaultColWidth="8.28515625" defaultRowHeight="11.25"/>
  <cols>
    <col min="1" max="2" width="8.28515625" style="768" hidden="1" customWidth="1"/>
    <col min="3" max="3" width="3.7109375" style="768" customWidth="1"/>
    <col min="4" max="4" width="37" style="768" customWidth="1"/>
    <col min="5" max="5" width="6.28515625" style="768" customWidth="1"/>
    <col min="6" max="10" width="17.7109375" style="768" customWidth="1"/>
    <col min="11" max="16384" width="8.28515625" style="768"/>
  </cols>
  <sheetData>
    <row r="1" spans="1:10" hidden="1"/>
    <row r="2" spans="1:10" hidden="1"/>
    <row r="3" spans="1:10" hidden="1"/>
    <row r="4" spans="1:10" hidden="1">
      <c r="A4" s="669"/>
      <c r="B4" s="769"/>
      <c r="C4" s="769"/>
      <c r="D4" s="769"/>
    </row>
    <row r="5" spans="1:10" hidden="1">
      <c r="A5" s="671"/>
    </row>
    <row r="6" spans="1:10" hidden="1">
      <c r="A6" s="671"/>
    </row>
    <row r="7" spans="1:10" ht="12" customHeight="1">
      <c r="A7" s="671"/>
      <c r="D7" s="770"/>
      <c r="E7" s="770"/>
      <c r="F7" s="770"/>
      <c r="J7" s="771"/>
    </row>
    <row r="8" spans="1:10" ht="12" customHeight="1">
      <c r="A8" s="671"/>
      <c r="D8" s="673" t="s">
        <v>657</v>
      </c>
      <c r="E8" s="772"/>
      <c r="F8" s="772"/>
    </row>
    <row r="9" spans="1:10" ht="12" customHeight="1">
      <c r="A9" s="671"/>
      <c r="D9" s="680" t="s">
        <v>2</v>
      </c>
      <c r="E9" s="770"/>
      <c r="F9" s="770"/>
    </row>
    <row r="10" spans="1:10" ht="12" customHeight="1">
      <c r="D10" s="772"/>
      <c r="E10" s="772"/>
      <c r="F10" s="772"/>
      <c r="G10" s="770"/>
      <c r="H10" s="773"/>
      <c r="I10" s="773"/>
      <c r="J10" s="723" t="s">
        <v>658</v>
      </c>
    </row>
    <row r="11" spans="1:10" ht="66.75" customHeight="1">
      <c r="C11" s="770"/>
      <c r="D11" s="774" t="s">
        <v>633</v>
      </c>
      <c r="E11" s="774" t="s">
        <v>498</v>
      </c>
      <c r="F11" s="774" t="s">
        <v>629</v>
      </c>
      <c r="G11" s="774" t="s">
        <v>634</v>
      </c>
      <c r="H11" s="774" t="s">
        <v>635</v>
      </c>
      <c r="I11" s="774" t="s">
        <v>636</v>
      </c>
      <c r="J11" s="775" t="s">
        <v>637</v>
      </c>
    </row>
    <row r="12" spans="1:10" ht="12" customHeight="1">
      <c r="D12" s="788">
        <v>1</v>
      </c>
      <c r="E12" s="788">
        <v>2</v>
      </c>
      <c r="F12" s="788">
        <v>3</v>
      </c>
      <c r="G12" s="788">
        <v>4</v>
      </c>
      <c r="H12" s="788">
        <v>5</v>
      </c>
      <c r="I12" s="788">
        <v>6</v>
      </c>
      <c r="J12" s="789">
        <v>7</v>
      </c>
    </row>
    <row r="13" spans="1:10" ht="15" customHeight="1">
      <c r="C13" s="770"/>
      <c r="D13" s="715" t="s">
        <v>659</v>
      </c>
      <c r="E13" s="716">
        <v>100</v>
      </c>
      <c r="F13" s="777">
        <f>F14+F15+F16+F17+F18+F19+F20+F21+F23+F24+F25+F26</f>
        <v>57965.807000000212</v>
      </c>
      <c r="G13" s="777">
        <f>G14+G15+G18+G19+G20+G21+G23+G24+G25+G26</f>
        <v>53818.308530000002</v>
      </c>
      <c r="H13" s="777">
        <f>H15+H16+H17+H18+H21+H22+H23+H24+H25+H26</f>
        <v>0</v>
      </c>
      <c r="I13" s="777">
        <f>I15+I18+I21+I22+I23+I24+I25+I26</f>
        <v>0</v>
      </c>
      <c r="J13" s="778">
        <f>SUM(J16,J17,J18,J21,J23,J24,J25,J26)</f>
        <v>0</v>
      </c>
    </row>
    <row r="14" spans="1:10" ht="15" customHeight="1">
      <c r="C14" s="770"/>
      <c r="D14" s="715" t="s">
        <v>639</v>
      </c>
      <c r="E14" s="716">
        <v>101</v>
      </c>
      <c r="F14" s="779"/>
      <c r="G14" s="779"/>
      <c r="H14" s="780" t="s">
        <v>640</v>
      </c>
      <c r="I14" s="780" t="s">
        <v>640</v>
      </c>
      <c r="J14" s="781" t="s">
        <v>640</v>
      </c>
    </row>
    <row r="15" spans="1:10" ht="24.75" customHeight="1">
      <c r="C15" s="770"/>
      <c r="D15" s="715" t="s">
        <v>641</v>
      </c>
      <c r="E15" s="716">
        <v>102</v>
      </c>
      <c r="F15" s="779">
        <f>ОРЭМ!C68</f>
        <v>26300.028000000213</v>
      </c>
      <c r="G15" s="779">
        <f>ОРЭМ!C72/1000</f>
        <v>0</v>
      </c>
      <c r="H15" s="779">
        <f>ОРЭМ!C76</f>
        <v>0</v>
      </c>
      <c r="I15" s="779">
        <f>ОРЭМ!C78/1000</f>
        <v>0</v>
      </c>
      <c r="J15" s="781" t="s">
        <v>640</v>
      </c>
    </row>
    <row r="16" spans="1:10" ht="15" customHeight="1">
      <c r="C16" s="770"/>
      <c r="D16" s="715" t="s">
        <v>642</v>
      </c>
      <c r="E16" s="716">
        <v>103</v>
      </c>
      <c r="F16" s="779"/>
      <c r="G16" s="780" t="s">
        <v>640</v>
      </c>
      <c r="H16" s="779"/>
      <c r="I16" s="780" t="s">
        <v>640</v>
      </c>
      <c r="J16" s="782"/>
    </row>
    <row r="17" spans="1:11" ht="15" customHeight="1">
      <c r="C17" s="770"/>
      <c r="D17" s="715" t="s">
        <v>643</v>
      </c>
      <c r="E17" s="716">
        <v>104</v>
      </c>
      <c r="F17" s="779"/>
      <c r="G17" s="780" t="s">
        <v>640</v>
      </c>
      <c r="H17" s="779"/>
      <c r="I17" s="780" t="s">
        <v>640</v>
      </c>
      <c r="J17" s="782"/>
    </row>
    <row r="18" spans="1:11" ht="27.75" customHeight="1">
      <c r="C18" s="770"/>
      <c r="D18" s="715" t="s">
        <v>644</v>
      </c>
      <c r="E18" s="716">
        <v>105</v>
      </c>
      <c r="F18" s="779"/>
      <c r="G18" s="779"/>
      <c r="H18" s="779">
        <f>ОРЭМ!C222</f>
        <v>0</v>
      </c>
      <c r="I18" s="779">
        <f>ОРЭМ!C224/1000</f>
        <v>0</v>
      </c>
      <c r="J18" s="784"/>
    </row>
    <row r="19" spans="1:11" ht="15" customHeight="1">
      <c r="C19" s="770"/>
      <c r="D19" s="715" t="s">
        <v>645</v>
      </c>
      <c r="E19" s="716">
        <v>106</v>
      </c>
      <c r="F19" s="779">
        <f>ОРЭМ!C128</f>
        <v>31007.613000000001</v>
      </c>
      <c r="G19" s="779">
        <f>ОРЭМ!C133/1000</f>
        <v>53818.308530000002</v>
      </c>
      <c r="H19" s="780" t="s">
        <v>640</v>
      </c>
      <c r="I19" s="780" t="s">
        <v>640</v>
      </c>
      <c r="J19" s="787" t="s">
        <v>640</v>
      </c>
    </row>
    <row r="20" spans="1:11" ht="15" customHeight="1">
      <c r="C20" s="770"/>
      <c r="D20" s="715" t="s">
        <v>646</v>
      </c>
      <c r="E20" s="716">
        <v>107</v>
      </c>
      <c r="F20" s="779">
        <f>ОРЭМ!C148</f>
        <v>658.16600000000005</v>
      </c>
      <c r="G20" s="779">
        <f>ОРЭМ!C150/1000</f>
        <v>0</v>
      </c>
      <c r="H20" s="780" t="s">
        <v>640</v>
      </c>
      <c r="I20" s="780" t="s">
        <v>640</v>
      </c>
      <c r="J20" s="787" t="s">
        <v>640</v>
      </c>
    </row>
    <row r="21" spans="1:11" ht="22.5">
      <c r="C21" s="770"/>
      <c r="D21" s="715" t="s">
        <v>647</v>
      </c>
      <c r="E21" s="716">
        <v>108</v>
      </c>
      <c r="F21" s="779"/>
      <c r="G21" s="779"/>
      <c r="H21" s="779"/>
      <c r="I21" s="779"/>
      <c r="J21" s="784"/>
    </row>
    <row r="22" spans="1:11" ht="15" customHeight="1">
      <c r="C22" s="770"/>
      <c r="D22" s="715" t="s">
        <v>648</v>
      </c>
      <c r="E22" s="716">
        <v>109</v>
      </c>
      <c r="F22" s="780" t="s">
        <v>640</v>
      </c>
      <c r="G22" s="780" t="s">
        <v>640</v>
      </c>
      <c r="H22" s="779"/>
      <c r="I22" s="779">
        <f>ОРЭМ!C259/1000</f>
        <v>0</v>
      </c>
      <c r="J22" s="787" t="s">
        <v>640</v>
      </c>
    </row>
    <row r="23" spans="1:11" ht="22.5">
      <c r="C23" s="770"/>
      <c r="D23" s="715" t="s">
        <v>649</v>
      </c>
      <c r="E23" s="716">
        <v>110</v>
      </c>
      <c r="F23" s="779"/>
      <c r="G23" s="779"/>
      <c r="H23" s="779"/>
      <c r="I23" s="779"/>
      <c r="J23" s="778">
        <f>I23+G23</f>
        <v>0</v>
      </c>
    </row>
    <row r="24" spans="1:11" ht="22.5">
      <c r="C24" s="770"/>
      <c r="D24" s="715" t="s">
        <v>650</v>
      </c>
      <c r="E24" s="716">
        <v>111</v>
      </c>
      <c r="F24" s="779"/>
      <c r="G24" s="779"/>
      <c r="H24" s="779">
        <f>ОРЭМ!C229+ОРЭМ!C243+ОРЭМ!C236</f>
        <v>0</v>
      </c>
      <c r="I24" s="779">
        <f>ОРЭМ!C231/1000+ОРЭМ!C245/1000+ОРЭМ!C238/1000</f>
        <v>0</v>
      </c>
      <c r="J24" s="778">
        <f>I24+G24</f>
        <v>0</v>
      </c>
    </row>
    <row r="25" spans="1:11" ht="22.5">
      <c r="C25" s="770"/>
      <c r="D25" s="715" t="s">
        <v>651</v>
      </c>
      <c r="E25" s="716">
        <v>112</v>
      </c>
      <c r="F25" s="779"/>
      <c r="G25" s="779"/>
      <c r="H25" s="779"/>
      <c r="I25" s="779"/>
      <c r="J25" s="778">
        <f>I25+G25</f>
        <v>0</v>
      </c>
    </row>
    <row r="26" spans="1:11" ht="22.5">
      <c r="C26" s="770"/>
      <c r="D26" s="715" t="s">
        <v>652</v>
      </c>
      <c r="E26" s="716">
        <v>113</v>
      </c>
      <c r="F26" s="779"/>
      <c r="G26" s="779"/>
      <c r="H26" s="779"/>
      <c r="I26" s="779"/>
      <c r="J26" s="778">
        <f>I26+G26</f>
        <v>0</v>
      </c>
    </row>
    <row r="27" spans="1:11" ht="15" customHeight="1">
      <c r="C27" s="770"/>
      <c r="D27" s="715" t="s">
        <v>660</v>
      </c>
      <c r="E27" s="716">
        <v>114</v>
      </c>
      <c r="F27" s="777">
        <v>3939.4219999999987</v>
      </c>
      <c r="G27" s="777">
        <v>-119581.92016354002</v>
      </c>
      <c r="H27" s="777">
        <v>147.87200000000001</v>
      </c>
      <c r="I27" s="777">
        <v>24728.077510000003</v>
      </c>
      <c r="J27" s="778">
        <v>-169437.49499354005</v>
      </c>
    </row>
    <row r="28" spans="1:11" ht="15" customHeight="1">
      <c r="C28" s="770"/>
      <c r="D28" s="720" t="s">
        <v>661</v>
      </c>
      <c r="E28" s="721">
        <v>200</v>
      </c>
      <c r="F28" s="786"/>
      <c r="G28" s="785" t="s">
        <v>640</v>
      </c>
      <c r="H28" s="786"/>
      <c r="I28" s="785" t="s">
        <v>640</v>
      </c>
      <c r="J28" s="787" t="s">
        <v>640</v>
      </c>
    </row>
    <row r="31" spans="1:11" s="708" customFormat="1" ht="12.75">
      <c r="A31" s="707"/>
      <c r="D31" s="708" t="s">
        <v>528</v>
      </c>
      <c r="E31" s="4186" t="s">
        <v>477</v>
      </c>
      <c r="F31" s="4186"/>
      <c r="G31" s="4186"/>
      <c r="H31" s="4186"/>
      <c r="J31" s="4187"/>
      <c r="K31" s="4188"/>
    </row>
    <row r="32" spans="1:11" s="708" customFormat="1" ht="12.75">
      <c r="A32" s="707"/>
      <c r="E32" s="4192" t="s">
        <v>529</v>
      </c>
      <c r="F32" s="4192"/>
      <c r="G32" s="4192"/>
      <c r="H32" s="4192"/>
      <c r="J32" s="4193" t="s">
        <v>530</v>
      </c>
      <c r="K32" s="4192"/>
    </row>
    <row r="33" spans="1:13" s="708" customFormat="1" ht="12.75">
      <c r="A33" s="707"/>
      <c r="G33" s="710"/>
      <c r="K33" s="710"/>
    </row>
    <row r="34" spans="1:13" s="708" customFormat="1" ht="12.75">
      <c r="A34" s="707"/>
    </row>
    <row r="35" spans="1:13" s="708" customFormat="1" ht="12.75">
      <c r="A35" s="707"/>
      <c r="D35" s="711" t="s">
        <v>531</v>
      </c>
      <c r="E35" s="4186" t="s">
        <v>486</v>
      </c>
      <c r="F35" s="4186"/>
      <c r="G35" s="709"/>
      <c r="H35" s="4186" t="s">
        <v>484</v>
      </c>
      <c r="I35" s="4186"/>
      <c r="J35" s="4186"/>
      <c r="K35" s="709"/>
      <c r="L35" s="712"/>
      <c r="M35" s="712"/>
    </row>
    <row r="36" spans="1:13" s="708" customFormat="1" ht="12.75">
      <c r="A36" s="707"/>
      <c r="D36" s="711" t="s">
        <v>532</v>
      </c>
      <c r="E36" s="4190" t="s">
        <v>533</v>
      </c>
      <c r="F36" s="4190"/>
      <c r="G36" s="710"/>
      <c r="H36" s="4190" t="s">
        <v>529</v>
      </c>
      <c r="I36" s="4190"/>
      <c r="J36" s="4190"/>
      <c r="K36" s="710"/>
      <c r="L36" s="4190" t="s">
        <v>530</v>
      </c>
      <c r="M36" s="4190"/>
    </row>
    <row r="37" spans="1:13" s="708" customFormat="1" ht="12.75">
      <c r="A37" s="707"/>
      <c r="D37" s="711" t="s">
        <v>534</v>
      </c>
    </row>
    <row r="38" spans="1:13" s="708" customFormat="1" ht="12.75">
      <c r="A38" s="707"/>
      <c r="E38" s="4186" t="s">
        <v>487</v>
      </c>
      <c r="F38" s="4186"/>
      <c r="G38" s="4186"/>
      <c r="I38" s="713" t="s">
        <v>535</v>
      </c>
      <c r="J38" s="711"/>
    </row>
    <row r="39" spans="1:13" s="708" customFormat="1" ht="12.75">
      <c r="A39" s="707"/>
      <c r="E39" s="4191" t="s">
        <v>536</v>
      </c>
      <c r="F39" s="4191"/>
      <c r="G39" s="4191"/>
      <c r="I39" s="714" t="s">
        <v>537</v>
      </c>
      <c r="J39" s="714"/>
    </row>
  </sheetData>
  <mergeCells count="11">
    <mergeCell ref="L36:M36"/>
    <mergeCell ref="E38:G38"/>
    <mergeCell ref="E39:G39"/>
    <mergeCell ref="E31:H31"/>
    <mergeCell ref="J31:K31"/>
    <mergeCell ref="E32:H32"/>
    <mergeCell ref="J32:K32"/>
    <mergeCell ref="E35:F35"/>
    <mergeCell ref="H35:J35"/>
    <mergeCell ref="E36:F36"/>
    <mergeCell ref="H36:J36"/>
  </mergeCells>
  <dataValidations count="1">
    <dataValidation type="decimal" allowBlank="1" showErrorMessage="1" errorTitle="Ошибка" error="Допускается ввод только действительных чисел!" sqref="F13 H28 F28 I18:J18 H22:I22 H21:J21 G18:G21 F14:G15 H16:H18 F16:F21 H15:I15 F23:J27 J16:J17">
      <formula1>-9.99999999999999E+23</formula1>
      <formula2>9.99999999999999E+23</formula2>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I64"/>
  <sheetViews>
    <sheetView topLeftCell="D2" workbookViewId="0">
      <selection activeCell="K64" sqref="K64"/>
    </sheetView>
  </sheetViews>
  <sheetFormatPr defaultColWidth="9.28515625" defaultRowHeight="11.25"/>
  <cols>
    <col min="1" max="1" width="44.7109375" style="792" hidden="1" customWidth="1"/>
    <col min="2" max="2" width="28.28515625" style="791" hidden="1" customWidth="1"/>
    <col min="3" max="3" width="2.7109375" style="794" hidden="1" customWidth="1"/>
    <col min="4" max="4" width="4.7109375" style="795" customWidth="1"/>
    <col min="5" max="5" width="40.7109375" style="795" customWidth="1"/>
    <col min="6" max="6" width="50.7109375" style="795" customWidth="1"/>
    <col min="7" max="7" width="4.7109375" style="836" customWidth="1"/>
    <col min="8" max="8" width="30.7109375" style="795" hidden="1" customWidth="1"/>
    <col min="9" max="9" width="15.42578125" style="795" bestFit="1" customWidth="1"/>
    <col min="10" max="16384" width="9.28515625" style="795"/>
  </cols>
  <sheetData>
    <row r="1" spans="1:9" s="792" customFormat="1" ht="13.5" hidden="1" customHeight="1">
      <c r="A1" s="790"/>
      <c r="B1" s="791"/>
      <c r="G1" s="793"/>
    </row>
    <row r="2" spans="1:9" s="792" customFormat="1" ht="6" customHeight="1">
      <c r="A2" s="790"/>
      <c r="B2" s="791"/>
      <c r="G2" s="793"/>
    </row>
    <row r="3" spans="1:9" ht="12" customHeight="1">
      <c r="F3" s="796" t="s">
        <v>911</v>
      </c>
      <c r="G3" s="795"/>
    </row>
    <row r="4" spans="1:9" s="800" customFormat="1" ht="3" customHeight="1">
      <c r="A4" s="797"/>
      <c r="B4" s="798"/>
      <c r="C4" s="799"/>
      <c r="F4" s="4231"/>
      <c r="G4" s="4231"/>
    </row>
    <row r="5" spans="1:9" s="802" customFormat="1" ht="18" customHeight="1">
      <c r="A5" s="799"/>
      <c r="B5" s="798"/>
      <c r="C5" s="801"/>
      <c r="E5" s="4232" t="s">
        <v>662</v>
      </c>
      <c r="F5" s="4233"/>
      <c r="G5" s="803"/>
      <c r="H5" s="803"/>
    </row>
    <row r="6" spans="1:9" s="802" customFormat="1" ht="5.25" customHeight="1">
      <c r="A6" s="799"/>
      <c r="B6" s="798"/>
      <c r="C6" s="801"/>
      <c r="D6" s="803"/>
      <c r="E6" s="803"/>
      <c r="F6" s="803"/>
      <c r="G6" s="803"/>
      <c r="H6" s="803"/>
    </row>
    <row r="7" spans="1:9" s="802" customFormat="1" ht="6" customHeight="1">
      <c r="A7" s="799"/>
      <c r="B7" s="798"/>
      <c r="C7" s="801"/>
      <c r="D7" s="803"/>
      <c r="E7" s="803"/>
      <c r="F7" s="4234"/>
      <c r="G7" s="4234"/>
      <c r="H7" s="803"/>
    </row>
    <row r="8" spans="1:9" ht="21" customHeight="1">
      <c r="D8" s="804"/>
      <c r="E8" s="805" t="s">
        <v>443</v>
      </c>
      <c r="F8" s="806" t="s">
        <v>663</v>
      </c>
      <c r="G8" s="804"/>
      <c r="H8" s="807" t="s">
        <v>664</v>
      </c>
      <c r="I8" s="804"/>
    </row>
    <row r="9" spans="1:9" ht="9" customHeight="1">
      <c r="D9" s="808"/>
      <c r="E9" s="809"/>
      <c r="F9" s="810"/>
      <c r="G9" s="811"/>
      <c r="H9" s="807">
        <v>17</v>
      </c>
    </row>
    <row r="10" spans="1:9" ht="18" customHeight="1">
      <c r="D10" s="808"/>
      <c r="E10" s="805" t="s">
        <v>665</v>
      </c>
      <c r="F10" s="812" t="s">
        <v>1792</v>
      </c>
      <c r="G10" s="811"/>
      <c r="H10" s="807"/>
    </row>
    <row r="11" spans="1:9" ht="18" customHeight="1">
      <c r="D11" s="808"/>
      <c r="E11" s="809" t="s">
        <v>447</v>
      </c>
      <c r="F11" s="812" t="s">
        <v>666</v>
      </c>
      <c r="G11" s="811"/>
      <c r="H11" s="807"/>
    </row>
    <row r="12" spans="1:9" ht="18" customHeight="1">
      <c r="D12" s="808"/>
      <c r="E12" s="809" t="s">
        <v>667</v>
      </c>
      <c r="F12" s="813" t="s">
        <v>668</v>
      </c>
      <c r="G12" s="811"/>
      <c r="H12" s="807"/>
    </row>
    <row r="13" spans="1:9" ht="6" customHeight="1">
      <c r="D13" s="808"/>
      <c r="E13" s="809"/>
      <c r="F13" s="810"/>
      <c r="G13" s="811"/>
      <c r="H13" s="807"/>
    </row>
    <row r="14" spans="1:9" s="814" customFormat="1" ht="18" customHeight="1">
      <c r="E14" s="4235" t="s">
        <v>669</v>
      </c>
      <c r="F14" s="4236"/>
    </row>
    <row r="15" spans="1:9" s="814" customFormat="1" ht="18" customHeight="1">
      <c r="E15" s="815" t="s">
        <v>670</v>
      </c>
      <c r="F15" s="812" t="s">
        <v>671</v>
      </c>
    </row>
    <row r="16" spans="1:9" s="814" customFormat="1" ht="18" customHeight="1">
      <c r="E16" s="815" t="s">
        <v>444</v>
      </c>
      <c r="F16" s="813" t="s">
        <v>671</v>
      </c>
    </row>
    <row r="17" spans="3:9" s="814" customFormat="1" ht="18" customHeight="1">
      <c r="E17" s="815" t="s">
        <v>672</v>
      </c>
      <c r="F17" s="813" t="s">
        <v>673</v>
      </c>
    </row>
    <row r="18" spans="3:9" s="814" customFormat="1" ht="6" customHeight="1"/>
    <row r="19" spans="3:9" ht="39" customHeight="1">
      <c r="D19" s="808"/>
      <c r="E19" s="816"/>
      <c r="F19" s="817"/>
      <c r="G19" s="817"/>
      <c r="H19" s="818" t="s">
        <v>674</v>
      </c>
    </row>
    <row r="20" spans="3:9" ht="36" customHeight="1">
      <c r="C20" s="819"/>
      <c r="D20" s="808"/>
      <c r="E20" s="809" t="s">
        <v>675</v>
      </c>
      <c r="F20" s="813" t="s">
        <v>2</v>
      </c>
      <c r="G20" s="817"/>
      <c r="H20" s="820"/>
      <c r="I20" s="821"/>
    </row>
    <row r="21" spans="3:9" ht="3" customHeight="1">
      <c r="C21" s="819"/>
      <c r="D21" s="808"/>
      <c r="E21" s="809"/>
      <c r="F21" s="822"/>
      <c r="G21" s="817"/>
      <c r="H21" s="823"/>
      <c r="I21" s="823"/>
    </row>
    <row r="22" spans="3:9" s="814" customFormat="1" ht="18" hidden="1" customHeight="1"/>
    <row r="23" spans="3:9" ht="3" hidden="1" customHeight="1">
      <c r="C23" s="819"/>
      <c r="D23" s="808"/>
      <c r="E23" s="809"/>
      <c r="F23" s="822"/>
      <c r="G23" s="817"/>
      <c r="H23" s="823"/>
      <c r="I23" s="823"/>
    </row>
    <row r="24" spans="3:9" s="814" customFormat="1" ht="24" hidden="1" customHeight="1"/>
    <row r="25" spans="3:9" s="814" customFormat="1" ht="3" hidden="1" customHeight="1"/>
    <row r="26" spans="3:9" ht="18" customHeight="1">
      <c r="D26" s="808"/>
      <c r="E26" s="809" t="s">
        <v>452</v>
      </c>
      <c r="F26" s="824" t="s">
        <v>453</v>
      </c>
      <c r="G26" s="818"/>
      <c r="H26" s="823"/>
      <c r="I26" s="823"/>
    </row>
    <row r="27" spans="3:9" ht="18" customHeight="1">
      <c r="D27" s="808"/>
      <c r="E27" s="809" t="s">
        <v>454</v>
      </c>
      <c r="F27" s="825" t="s">
        <v>455</v>
      </c>
      <c r="G27" s="818"/>
      <c r="H27" s="823"/>
      <c r="I27" s="823"/>
    </row>
    <row r="28" spans="3:9" ht="3" customHeight="1">
      <c r="D28" s="808"/>
      <c r="E28" s="809"/>
      <c r="F28" s="826"/>
      <c r="G28" s="818"/>
      <c r="H28" s="823"/>
    </row>
    <row r="29" spans="3:9" s="814" customFormat="1" ht="24" hidden="1" customHeight="1"/>
    <row r="30" spans="3:9" s="814" customFormat="1" ht="3" hidden="1" customHeight="1"/>
    <row r="31" spans="3:9" s="814" customFormat="1" ht="24" hidden="1" customHeight="1"/>
    <row r="32" spans="3:9" s="814" customFormat="1" ht="9" hidden="1" customHeight="1"/>
    <row r="33" s="814" customFormat="1" ht="18" hidden="1" customHeight="1"/>
    <row r="34" s="814" customFormat="1" ht="3" hidden="1" customHeight="1"/>
    <row r="35" s="814" customFormat="1" ht="18" hidden="1" customHeight="1"/>
    <row r="36" s="814" customFormat="1" ht="3" hidden="1" customHeight="1"/>
    <row r="37" s="814" customFormat="1" ht="18" hidden="1" customHeight="1"/>
    <row r="38" s="814" customFormat="1" ht="3" hidden="1" customHeight="1"/>
    <row r="39" s="814" customFormat="1" ht="18" hidden="1" customHeight="1"/>
    <row r="40" s="814" customFormat="1" ht="6.75" hidden="1" customHeight="1"/>
    <row r="41" s="814" customFormat="1" ht="27" hidden="1" customHeight="1"/>
    <row r="42" s="814" customFormat="1" ht="24" hidden="1" customHeight="1"/>
    <row r="43" s="814" customFormat="1" ht="3" hidden="1" customHeight="1"/>
    <row r="44" s="814" customFormat="1" ht="24" hidden="1" customHeight="1"/>
    <row r="45" s="814" customFormat="1" ht="3" hidden="1" customHeight="1"/>
    <row r="46" s="814" customFormat="1" ht="24" hidden="1" customHeight="1"/>
    <row r="47" s="814" customFormat="1" ht="12.75" hidden="1" customHeight="1"/>
    <row r="48" s="814" customFormat="1" ht="12" customHeight="1"/>
    <row r="49" spans="1:8" s="814" customFormat="1" ht="24" customHeight="1">
      <c r="E49" s="809" t="s">
        <v>676</v>
      </c>
      <c r="F49" s="827" t="s">
        <v>473</v>
      </c>
    </row>
    <row r="50" spans="1:8" s="814" customFormat="1" ht="24" customHeight="1">
      <c r="E50" s="809" t="s">
        <v>677</v>
      </c>
      <c r="F50" s="828" t="s">
        <v>473</v>
      </c>
    </row>
    <row r="51" spans="1:8" s="814" customFormat="1" ht="18" customHeight="1">
      <c r="E51" s="4230" t="s">
        <v>475</v>
      </c>
      <c r="F51" s="4230"/>
    </row>
    <row r="52" spans="1:8" s="814" customFormat="1" ht="18" customHeight="1">
      <c r="E52" s="829" t="s">
        <v>476</v>
      </c>
      <c r="F52" s="827" t="s">
        <v>477</v>
      </c>
    </row>
    <row r="53" spans="1:8" s="814" customFormat="1" ht="18" customHeight="1">
      <c r="E53" s="829" t="s">
        <v>678</v>
      </c>
      <c r="F53" s="828" t="s">
        <v>479</v>
      </c>
    </row>
    <row r="54" spans="1:8" s="814" customFormat="1" ht="18" customHeight="1">
      <c r="E54" s="4230" t="s">
        <v>480</v>
      </c>
      <c r="F54" s="4230"/>
    </row>
    <row r="55" spans="1:8" s="814" customFormat="1" ht="18" customHeight="1">
      <c r="E55" s="829" t="s">
        <v>476</v>
      </c>
      <c r="F55" s="827" t="s">
        <v>481</v>
      </c>
    </row>
    <row r="56" spans="1:8" s="814" customFormat="1" ht="18" customHeight="1">
      <c r="E56" s="829" t="s">
        <v>678</v>
      </c>
      <c r="F56" s="828" t="s">
        <v>482</v>
      </c>
    </row>
    <row r="57" spans="1:8" ht="18" customHeight="1">
      <c r="A57" s="830"/>
      <c r="D57" s="804"/>
      <c r="E57" s="4230" t="s">
        <v>483</v>
      </c>
      <c r="F57" s="4230"/>
      <c r="G57" s="818"/>
      <c r="H57" s="804"/>
    </row>
    <row r="58" spans="1:8" ht="21" customHeight="1">
      <c r="A58" s="830" t="s">
        <v>679</v>
      </c>
      <c r="B58" s="831" t="s">
        <v>680</v>
      </c>
      <c r="D58" s="826"/>
      <c r="E58" s="829" t="s">
        <v>476</v>
      </c>
      <c r="F58" s="827" t="s">
        <v>484</v>
      </c>
      <c r="G58" s="818"/>
      <c r="H58" s="826"/>
    </row>
    <row r="59" spans="1:8" ht="21" customHeight="1">
      <c r="A59" s="830" t="s">
        <v>681</v>
      </c>
      <c r="B59" s="831" t="s">
        <v>682</v>
      </c>
      <c r="D59" s="826"/>
      <c r="E59" s="829" t="s">
        <v>485</v>
      </c>
      <c r="F59" s="827" t="s">
        <v>486</v>
      </c>
      <c r="G59" s="818"/>
      <c r="H59" s="826"/>
    </row>
    <row r="60" spans="1:8" ht="21" customHeight="1">
      <c r="A60" s="830" t="s">
        <v>683</v>
      </c>
      <c r="B60" s="831" t="s">
        <v>684</v>
      </c>
      <c r="D60" s="826"/>
      <c r="E60" s="829" t="s">
        <v>678</v>
      </c>
      <c r="F60" s="827" t="s">
        <v>487</v>
      </c>
      <c r="G60" s="818"/>
      <c r="H60" s="826"/>
    </row>
    <row r="61" spans="1:8" ht="21" customHeight="1">
      <c r="A61" s="830" t="s">
        <v>685</v>
      </c>
      <c r="B61" s="831" t="s">
        <v>686</v>
      </c>
      <c r="D61" s="826"/>
      <c r="E61" s="829" t="s">
        <v>488</v>
      </c>
      <c r="F61" s="832" t="s">
        <v>489</v>
      </c>
      <c r="G61" s="818"/>
      <c r="H61" s="826"/>
    </row>
    <row r="62" spans="1:8">
      <c r="D62" s="804"/>
      <c r="E62" s="804"/>
      <c r="F62" s="804"/>
      <c r="G62" s="833"/>
      <c r="H62" s="804"/>
    </row>
    <row r="63" spans="1:8">
      <c r="D63" s="804"/>
      <c r="E63" s="834"/>
      <c r="F63" s="834"/>
      <c r="G63" s="833"/>
      <c r="H63" s="804"/>
    </row>
    <row r="64" spans="1:8" ht="22.5">
      <c r="E64" s="829" t="s">
        <v>687</v>
      </c>
      <c r="F64" s="835" t="s">
        <v>688</v>
      </c>
    </row>
  </sheetData>
  <mergeCells count="7">
    <mergeCell ref="E57:F57"/>
    <mergeCell ref="F4:G4"/>
    <mergeCell ref="E5:F5"/>
    <mergeCell ref="F7:G7"/>
    <mergeCell ref="E14:F14"/>
    <mergeCell ref="E51:F51"/>
    <mergeCell ref="E54:F54"/>
  </mergeCells>
  <dataValidations count="2">
    <dataValidation type="list" allowBlank="1" showInputMessage="1" showErrorMessage="1" errorTitle="Внимание" error="Выберите значение из списка!" sqref="F64">
      <formula1>"0,1,2,3,4,5,6,7,8,9,10"</formula1>
    </dataValidation>
    <dataValidation operator="equal" allowBlank="1" showInputMessage="1" showErrorMessage="1" sqref="F28 F9 F13"/>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Z51"/>
  <sheetViews>
    <sheetView topLeftCell="C8" workbookViewId="0">
      <selection activeCell="V26" sqref="V26:Y26"/>
    </sheetView>
  </sheetViews>
  <sheetFormatPr defaultColWidth="9.28515625" defaultRowHeight="11.25"/>
  <cols>
    <col min="1" max="2" width="9.28515625" style="837" hidden="1" customWidth="1"/>
    <col min="3" max="3" width="2.7109375" style="837" customWidth="1"/>
    <col min="4" max="4" width="6.7109375" style="883" customWidth="1"/>
    <col min="5" max="5" width="50.7109375" style="882" customWidth="1"/>
    <col min="6" max="6" width="10.7109375" style="884" customWidth="1"/>
    <col min="7" max="14" width="4.7109375" style="882" customWidth="1"/>
    <col min="15" max="16" width="12.7109375" style="882" hidden="1" customWidth="1"/>
    <col min="17" max="20" width="4.7109375" style="882" customWidth="1"/>
    <col min="21" max="21" width="12.7109375" style="882" hidden="1" customWidth="1"/>
    <col min="22" max="25" width="4.7109375" style="882" customWidth="1"/>
    <col min="26" max="26" width="12.7109375" style="882" hidden="1" customWidth="1"/>
    <col min="27" max="30" width="4.7109375" style="882" hidden="1" customWidth="1"/>
    <col min="31" max="32" width="12.7109375" style="882" hidden="1" customWidth="1"/>
    <col min="33" max="34" width="2.7109375" style="837" customWidth="1"/>
    <col min="35" max="37" width="12.7109375" style="837" customWidth="1"/>
    <col min="38" max="38" width="9.28515625" style="837"/>
    <col min="39" max="16384" width="9.28515625" style="882"/>
  </cols>
  <sheetData>
    <row r="1" spans="1:52" s="837" customFormat="1" ht="12.75" hidden="1">
      <c r="B1" s="838"/>
      <c r="C1" s="838"/>
      <c r="D1" s="839"/>
      <c r="E1" s="840"/>
      <c r="F1" s="841"/>
      <c r="G1" s="840"/>
      <c r="H1" s="840"/>
      <c r="I1" s="840"/>
      <c r="J1" s="840"/>
      <c r="K1" s="840"/>
      <c r="L1" s="840"/>
      <c r="M1" s="840"/>
      <c r="N1" s="840"/>
      <c r="O1" s="840"/>
      <c r="P1" s="840"/>
      <c r="Q1" s="840"/>
      <c r="R1" s="840"/>
      <c r="S1" s="840"/>
      <c r="T1" s="840"/>
      <c r="U1" s="840"/>
      <c r="V1" s="840"/>
      <c r="W1" s="840"/>
      <c r="X1" s="840"/>
      <c r="Y1" s="840"/>
      <c r="Z1" s="840"/>
      <c r="AA1" s="840"/>
      <c r="AB1" s="840"/>
      <c r="AC1" s="840"/>
      <c r="AD1" s="840"/>
      <c r="AE1" s="840"/>
      <c r="AF1" s="842"/>
      <c r="AG1" s="838"/>
      <c r="AH1" s="838"/>
      <c r="AI1" s="838"/>
    </row>
    <row r="2" spans="1:52" s="837" customFormat="1" ht="12.75" hidden="1">
      <c r="B2" s="838"/>
      <c r="C2" s="838"/>
      <c r="D2" s="843"/>
      <c r="E2" s="844"/>
      <c r="F2" s="845"/>
      <c r="G2" s="844"/>
      <c r="H2" s="844"/>
      <c r="I2" s="844"/>
      <c r="J2" s="844"/>
      <c r="K2" s="844"/>
      <c r="L2" s="844"/>
      <c r="M2" s="844"/>
      <c r="N2" s="844"/>
      <c r="O2" s="844"/>
      <c r="P2" s="844"/>
      <c r="Q2" s="844"/>
      <c r="R2" s="844"/>
      <c r="S2" s="844"/>
      <c r="T2" s="844"/>
      <c r="U2" s="844"/>
      <c r="V2" s="844"/>
      <c r="W2" s="844"/>
      <c r="X2" s="844"/>
      <c r="Y2" s="844"/>
      <c r="Z2" s="844"/>
      <c r="AA2" s="844"/>
      <c r="AB2" s="844"/>
      <c r="AC2" s="844"/>
      <c r="AD2" s="844"/>
      <c r="AE2" s="844"/>
      <c r="AF2" s="842"/>
      <c r="AG2" s="838"/>
      <c r="AH2" s="838"/>
      <c r="AI2" s="838"/>
    </row>
    <row r="3" spans="1:52" s="837" customFormat="1" ht="12.75" hidden="1">
      <c r="B3" s="838"/>
      <c r="C3" s="838"/>
      <c r="D3" s="843"/>
      <c r="E3" s="844"/>
      <c r="F3" s="845"/>
      <c r="G3" s="844"/>
      <c r="H3" s="844"/>
      <c r="I3" s="844"/>
      <c r="J3" s="844"/>
      <c r="K3" s="844"/>
      <c r="L3" s="844"/>
      <c r="M3" s="844"/>
      <c r="N3" s="844"/>
      <c r="O3" s="844"/>
      <c r="P3" s="844"/>
      <c r="Q3" s="844"/>
      <c r="R3" s="844"/>
      <c r="S3" s="844"/>
      <c r="T3" s="844"/>
      <c r="U3" s="844"/>
      <c r="V3" s="844"/>
      <c r="W3" s="844"/>
      <c r="X3" s="844"/>
      <c r="Y3" s="844"/>
      <c r="Z3" s="844"/>
      <c r="AA3" s="844"/>
      <c r="AB3" s="844"/>
      <c r="AC3" s="844"/>
      <c r="AD3" s="844"/>
      <c r="AE3" s="844"/>
      <c r="AF3" s="842"/>
      <c r="AG3" s="838"/>
      <c r="AH3" s="838"/>
      <c r="AI3" s="838"/>
    </row>
    <row r="4" spans="1:52" s="837" customFormat="1" ht="12.75" hidden="1">
      <c r="B4" s="838"/>
      <c r="C4" s="838"/>
      <c r="D4" s="843"/>
      <c r="E4" s="844"/>
      <c r="F4" s="845"/>
      <c r="G4" s="844"/>
      <c r="H4" s="844"/>
      <c r="I4" s="844"/>
      <c r="J4" s="844"/>
      <c r="K4" s="844"/>
      <c r="L4" s="844"/>
      <c r="M4" s="844"/>
      <c r="N4" s="844"/>
      <c r="O4" s="844"/>
      <c r="P4" s="844"/>
      <c r="Q4" s="844"/>
      <c r="R4" s="844"/>
      <c r="S4" s="844"/>
      <c r="T4" s="844"/>
      <c r="U4" s="844"/>
      <c r="V4" s="844"/>
      <c r="W4" s="844"/>
      <c r="X4" s="844"/>
      <c r="Y4" s="844"/>
      <c r="Z4" s="844"/>
      <c r="AA4" s="844"/>
      <c r="AB4" s="844"/>
      <c r="AC4" s="844"/>
      <c r="AD4" s="844"/>
      <c r="AE4" s="844"/>
      <c r="AF4" s="842"/>
      <c r="AG4" s="838"/>
      <c r="AH4" s="838"/>
      <c r="AI4" s="838"/>
    </row>
    <row r="5" spans="1:52" s="837" customFormat="1" ht="12.75" hidden="1">
      <c r="B5" s="838"/>
      <c r="C5" s="838"/>
      <c r="D5" s="843"/>
      <c r="E5" s="844"/>
      <c r="F5" s="845"/>
      <c r="G5" s="844"/>
      <c r="H5" s="844"/>
      <c r="I5" s="844"/>
      <c r="J5" s="844"/>
      <c r="K5" s="844"/>
      <c r="L5" s="844"/>
      <c r="M5" s="844"/>
      <c r="N5" s="844"/>
      <c r="O5" s="844"/>
      <c r="P5" s="844"/>
      <c r="Q5" s="844"/>
      <c r="R5" s="844"/>
      <c r="S5" s="844"/>
      <c r="T5" s="844"/>
      <c r="U5" s="844"/>
      <c r="V5" s="844"/>
      <c r="W5" s="844"/>
      <c r="X5" s="844"/>
      <c r="Y5" s="844"/>
      <c r="Z5" s="844"/>
      <c r="AA5" s="844"/>
      <c r="AB5" s="844"/>
      <c r="AC5" s="844"/>
      <c r="AD5" s="844"/>
      <c r="AE5" s="844"/>
      <c r="AF5" s="842"/>
      <c r="AG5" s="838"/>
      <c r="AH5" s="838"/>
      <c r="AI5" s="838"/>
    </row>
    <row r="6" spans="1:52" s="837" customFormat="1" ht="12.75" hidden="1">
      <c r="B6" s="838"/>
      <c r="C6" s="838"/>
      <c r="D6" s="843"/>
      <c r="E6" s="844"/>
      <c r="F6" s="845"/>
      <c r="G6" s="844"/>
      <c r="H6" s="844"/>
      <c r="I6" s="844"/>
      <c r="J6" s="844"/>
      <c r="K6" s="844"/>
      <c r="L6" s="844"/>
      <c r="M6" s="844"/>
      <c r="N6" s="844"/>
      <c r="O6" s="844"/>
      <c r="P6" s="844"/>
      <c r="Q6" s="844"/>
      <c r="R6" s="844"/>
      <c r="S6" s="844"/>
      <c r="T6" s="844"/>
      <c r="U6" s="844"/>
      <c r="V6" s="844"/>
      <c r="W6" s="844"/>
      <c r="X6" s="844"/>
      <c r="Y6" s="844"/>
      <c r="Z6" s="844"/>
      <c r="AA6" s="844"/>
      <c r="AB6" s="844"/>
      <c r="AC6" s="844"/>
      <c r="AD6" s="844"/>
      <c r="AE6" s="844"/>
      <c r="AF6" s="842"/>
      <c r="AG6" s="838"/>
      <c r="AH6" s="838"/>
      <c r="AI6" s="838"/>
    </row>
    <row r="7" spans="1:52" s="837" customFormat="1" ht="12.75" hidden="1">
      <c r="B7" s="844"/>
      <c r="C7" s="844"/>
      <c r="D7" s="843"/>
      <c r="E7" s="844"/>
      <c r="F7" s="845"/>
      <c r="G7" s="844"/>
      <c r="H7" s="844"/>
      <c r="I7" s="844"/>
      <c r="J7" s="844"/>
      <c r="K7" s="844"/>
      <c r="L7" s="844"/>
      <c r="M7" s="844"/>
      <c r="N7" s="844"/>
      <c r="O7" s="844"/>
      <c r="P7" s="844"/>
      <c r="Q7" s="844"/>
      <c r="R7" s="844"/>
      <c r="S7" s="844"/>
      <c r="T7" s="844"/>
      <c r="U7" s="844"/>
      <c r="V7" s="842"/>
      <c r="W7" s="842"/>
      <c r="X7" s="842"/>
      <c r="Y7" s="842"/>
      <c r="Z7" s="844"/>
      <c r="AA7" s="844"/>
      <c r="AB7" s="844"/>
      <c r="AC7" s="844"/>
      <c r="AD7" s="844"/>
      <c r="AE7" s="844"/>
      <c r="AF7" s="844"/>
      <c r="AG7" s="844"/>
      <c r="AH7" s="844"/>
    </row>
    <row r="8" spans="1:52" s="837" customFormat="1" ht="12.75">
      <c r="C8" s="844"/>
      <c r="D8" s="843"/>
      <c r="E8" s="846"/>
      <c r="F8" s="845"/>
      <c r="G8" s="844"/>
      <c r="H8" s="844"/>
      <c r="I8" s="844"/>
      <c r="J8" s="844"/>
      <c r="K8" s="844"/>
      <c r="L8" s="844"/>
      <c r="M8" s="844"/>
      <c r="N8" s="844"/>
      <c r="O8" s="844"/>
      <c r="P8" s="844"/>
      <c r="Q8" s="844"/>
      <c r="R8" s="844"/>
      <c r="S8" s="844"/>
      <c r="T8" s="844"/>
      <c r="U8" s="844"/>
      <c r="V8" s="842"/>
      <c r="W8" s="842"/>
      <c r="X8" s="842"/>
      <c r="Y8" s="842"/>
      <c r="Z8" s="844"/>
      <c r="AA8" s="844"/>
      <c r="AB8" s="844"/>
      <c r="AC8" s="844"/>
      <c r="AD8" s="844"/>
      <c r="AE8" s="844"/>
      <c r="AF8" s="844"/>
      <c r="AG8" s="844"/>
    </row>
    <row r="9" spans="1:52" s="837" customFormat="1" ht="15" customHeight="1">
      <c r="C9" s="844"/>
      <c r="D9" s="4252" t="s">
        <v>890</v>
      </c>
      <c r="E9" s="4253"/>
      <c r="F9" s="4253"/>
      <c r="G9" s="4253"/>
      <c r="H9" s="4253"/>
      <c r="I9" s="4253"/>
      <c r="J9" s="4253"/>
      <c r="K9" s="4253"/>
      <c r="L9" s="4253"/>
      <c r="M9" s="4253"/>
      <c r="N9" s="4253"/>
      <c r="O9" s="4253"/>
      <c r="P9" s="4253"/>
      <c r="Q9" s="4253"/>
      <c r="R9" s="4253"/>
      <c r="S9" s="4253"/>
      <c r="T9" s="4253"/>
      <c r="U9" s="4253"/>
      <c r="V9" s="4253"/>
      <c r="W9" s="4253"/>
      <c r="X9" s="4253"/>
      <c r="Y9" s="4253"/>
      <c r="Z9" s="4253"/>
      <c r="AA9" s="4253"/>
      <c r="AB9" s="4253"/>
      <c r="AC9" s="4253"/>
      <c r="AD9" s="4253"/>
      <c r="AE9" s="4253"/>
      <c r="AF9" s="4254"/>
      <c r="AG9" s="844"/>
    </row>
    <row r="10" spans="1:52" s="837" customFormat="1" ht="15" customHeight="1">
      <c r="C10" s="844"/>
      <c r="D10" s="4252" t="s">
        <v>912</v>
      </c>
      <c r="E10" s="4253"/>
      <c r="F10" s="4253"/>
      <c r="G10" s="4253"/>
      <c r="H10" s="4253"/>
      <c r="I10" s="4253"/>
      <c r="J10" s="4253"/>
      <c r="K10" s="4253"/>
      <c r="L10" s="4253"/>
      <c r="M10" s="4253"/>
      <c r="N10" s="4253"/>
      <c r="O10" s="4253"/>
      <c r="P10" s="4253"/>
      <c r="Q10" s="4253"/>
      <c r="R10" s="4253"/>
      <c r="S10" s="4253"/>
      <c r="T10" s="4253"/>
      <c r="U10" s="4253"/>
      <c r="V10" s="4253"/>
      <c r="W10" s="4253"/>
      <c r="X10" s="4253"/>
      <c r="Y10" s="4253"/>
      <c r="Z10" s="4253"/>
      <c r="AA10" s="4253"/>
      <c r="AB10" s="4253"/>
      <c r="AC10" s="4253"/>
      <c r="AD10" s="4253"/>
      <c r="AE10" s="4253"/>
      <c r="AF10" s="4254"/>
      <c r="AG10" s="844"/>
    </row>
    <row r="11" spans="1:52" s="847" customFormat="1" ht="11.25" customHeight="1">
      <c r="C11" s="848"/>
      <c r="D11" s="4255"/>
      <c r="E11" s="4255"/>
      <c r="F11" s="849"/>
      <c r="G11" s="848"/>
      <c r="H11" s="848"/>
      <c r="I11" s="848"/>
      <c r="J11" s="848"/>
      <c r="K11" s="848"/>
      <c r="L11" s="848"/>
      <c r="M11" s="848"/>
      <c r="N11" s="848"/>
      <c r="O11" s="848"/>
      <c r="P11" s="850" t="s">
        <v>689</v>
      </c>
      <c r="Q11" s="848"/>
      <c r="R11" s="848"/>
      <c r="S11" s="848"/>
      <c r="T11" s="848"/>
      <c r="U11" s="848"/>
      <c r="V11" s="4256" t="s">
        <v>690</v>
      </c>
      <c r="W11" s="4256"/>
      <c r="X11" s="4256"/>
      <c r="Y11" s="4256"/>
      <c r="Z11" s="850" t="s">
        <v>689</v>
      </c>
      <c r="AA11" s="848"/>
      <c r="AB11" s="848"/>
      <c r="AC11" s="848"/>
      <c r="AD11" s="848"/>
      <c r="AE11" s="848"/>
      <c r="AF11" s="850" t="s">
        <v>689</v>
      </c>
      <c r="AG11" s="848"/>
    </row>
    <row r="12" spans="1:52" s="847" customFormat="1" ht="18" customHeight="1">
      <c r="C12" s="848"/>
      <c r="D12" s="4257" t="s">
        <v>400</v>
      </c>
      <c r="E12" s="4259" t="s">
        <v>691</v>
      </c>
      <c r="F12" s="4261" t="s">
        <v>692</v>
      </c>
      <c r="G12" s="4263" t="s">
        <v>693</v>
      </c>
      <c r="H12" s="4263"/>
      <c r="I12" s="4263"/>
      <c r="J12" s="4263"/>
      <c r="K12" s="4259" t="s">
        <v>694</v>
      </c>
      <c r="L12" s="4263"/>
      <c r="M12" s="4263"/>
      <c r="N12" s="4265"/>
      <c r="O12" s="851">
        <v>0</v>
      </c>
      <c r="P12" s="851"/>
      <c r="Q12" s="4259" t="s">
        <v>695</v>
      </c>
      <c r="R12" s="4263"/>
      <c r="S12" s="4263"/>
      <c r="T12" s="4265"/>
      <c r="U12" s="851">
        <v>0</v>
      </c>
      <c r="V12" s="4266">
        <v>1</v>
      </c>
      <c r="W12" s="4267"/>
      <c r="X12" s="4267"/>
      <c r="Y12" s="4268"/>
      <c r="Z12" s="851"/>
      <c r="AA12" s="4259" t="s">
        <v>696</v>
      </c>
      <c r="AB12" s="4263"/>
      <c r="AC12" s="4263"/>
      <c r="AD12" s="4265"/>
      <c r="AE12" s="852">
        <v>0</v>
      </c>
      <c r="AF12" s="852"/>
      <c r="AG12" s="853"/>
    </row>
    <row r="13" spans="1:52" s="847" customFormat="1" ht="23.25" customHeight="1">
      <c r="C13" s="848"/>
      <c r="D13" s="4258"/>
      <c r="E13" s="4260"/>
      <c r="F13" s="4262"/>
      <c r="G13" s="4264"/>
      <c r="H13" s="4264"/>
      <c r="I13" s="4264"/>
      <c r="J13" s="4264"/>
      <c r="K13" s="4260"/>
      <c r="L13" s="4264"/>
      <c r="M13" s="4264"/>
      <c r="N13" s="4264"/>
      <c r="O13" s="854"/>
      <c r="P13" s="854"/>
      <c r="Q13" s="4260"/>
      <c r="R13" s="4264"/>
      <c r="S13" s="4264"/>
      <c r="T13" s="4264"/>
      <c r="U13" s="854"/>
      <c r="V13" s="4269" t="s">
        <v>1194</v>
      </c>
      <c r="W13" s="4270"/>
      <c r="X13" s="4269" t="s">
        <v>1318</v>
      </c>
      <c r="Y13" s="4271"/>
      <c r="Z13" s="854"/>
      <c r="AA13" s="4260"/>
      <c r="AB13" s="4264"/>
      <c r="AC13" s="4264"/>
      <c r="AD13" s="4264"/>
      <c r="AE13" s="855"/>
      <c r="AF13" s="855"/>
      <c r="AG13" s="853"/>
    </row>
    <row r="14" spans="1:52" s="856" customFormat="1" ht="24" hidden="1" customHeight="1">
      <c r="C14" s="849"/>
      <c r="D14" s="4258"/>
      <c r="E14" s="4260"/>
      <c r="F14" s="4260"/>
      <c r="G14" s="4246"/>
      <c r="H14" s="4247"/>
      <c r="I14" s="4247"/>
      <c r="J14" s="4248"/>
      <c r="K14" s="4246"/>
      <c r="L14" s="4247"/>
      <c r="M14" s="4247"/>
      <c r="N14" s="4248"/>
      <c r="O14" s="854"/>
      <c r="P14" s="854"/>
      <c r="Q14" s="4246"/>
      <c r="R14" s="4247"/>
      <c r="S14" s="4247"/>
      <c r="T14" s="4248"/>
      <c r="U14" s="854"/>
      <c r="V14" s="4246"/>
      <c r="W14" s="4247"/>
      <c r="X14" s="4247"/>
      <c r="Y14" s="4248"/>
      <c r="Z14" s="854"/>
      <c r="AA14" s="4246"/>
      <c r="AB14" s="4247"/>
      <c r="AC14" s="4247"/>
      <c r="AD14" s="4248"/>
      <c r="AE14" s="855"/>
      <c r="AF14" s="855"/>
      <c r="AG14" s="857"/>
      <c r="AH14" s="849"/>
      <c r="AI14" s="849"/>
      <c r="AJ14" s="849"/>
      <c r="AK14" s="849"/>
      <c r="AL14" s="849"/>
      <c r="AM14" s="849"/>
      <c r="AN14" s="849"/>
      <c r="AO14" s="849"/>
      <c r="AP14" s="849"/>
      <c r="AQ14" s="849"/>
      <c r="AR14" s="849"/>
      <c r="AS14" s="849"/>
      <c r="AT14" s="849"/>
      <c r="AU14" s="849"/>
      <c r="AV14" s="849"/>
      <c r="AW14" s="849"/>
      <c r="AX14" s="849"/>
      <c r="AY14" s="849"/>
      <c r="AZ14" s="849"/>
    </row>
    <row r="15" spans="1:52" s="856" customFormat="1" ht="12" hidden="1" customHeight="1">
      <c r="C15" s="849"/>
      <c r="D15" s="858"/>
      <c r="E15" s="858"/>
      <c r="F15" s="858"/>
      <c r="G15" s="4246"/>
      <c r="H15" s="4247"/>
      <c r="I15" s="4247"/>
      <c r="J15" s="4248"/>
      <c r="K15" s="4246"/>
      <c r="L15" s="4247"/>
      <c r="M15" s="4247"/>
      <c r="N15" s="4248"/>
      <c r="O15" s="854"/>
      <c r="P15" s="854"/>
      <c r="Q15" s="4246"/>
      <c r="R15" s="4247"/>
      <c r="S15" s="4247"/>
      <c r="T15" s="4248"/>
      <c r="U15" s="854"/>
      <c r="V15" s="4249"/>
      <c r="W15" s="4250"/>
      <c r="X15" s="4250"/>
      <c r="Y15" s="4251"/>
      <c r="Z15" s="854"/>
      <c r="AA15" s="4246"/>
      <c r="AB15" s="4247"/>
      <c r="AC15" s="4247"/>
      <c r="AD15" s="4248"/>
      <c r="AE15" s="855"/>
      <c r="AF15" s="855"/>
      <c r="AG15" s="857"/>
      <c r="AH15" s="849"/>
      <c r="AI15" s="849"/>
      <c r="AJ15" s="849"/>
      <c r="AK15" s="849"/>
      <c r="AL15" s="849"/>
      <c r="AM15" s="849"/>
      <c r="AN15" s="849"/>
      <c r="AO15" s="849"/>
      <c r="AP15" s="849"/>
      <c r="AQ15" s="849"/>
      <c r="AR15" s="849"/>
      <c r="AS15" s="849"/>
      <c r="AT15" s="849"/>
      <c r="AU15" s="849"/>
      <c r="AV15" s="849"/>
      <c r="AW15" s="849"/>
      <c r="AX15" s="849"/>
      <c r="AY15" s="849"/>
      <c r="AZ15" s="849"/>
    </row>
    <row r="16" spans="1:52" s="865" customFormat="1" ht="18" customHeight="1">
      <c r="A16" s="847"/>
      <c r="B16" s="847"/>
      <c r="C16" s="848"/>
      <c r="D16" s="859" t="s">
        <v>697</v>
      </c>
      <c r="E16" s="860" t="s">
        <v>698</v>
      </c>
      <c r="F16" s="860"/>
      <c r="G16" s="861"/>
      <c r="H16" s="861"/>
      <c r="I16" s="861"/>
      <c r="J16" s="861"/>
      <c r="K16" s="861"/>
      <c r="L16" s="861"/>
      <c r="M16" s="861"/>
      <c r="N16" s="861"/>
      <c r="O16" s="862"/>
      <c r="P16" s="862"/>
      <c r="Q16" s="861"/>
      <c r="R16" s="861"/>
      <c r="S16" s="861"/>
      <c r="T16" s="861"/>
      <c r="U16" s="862"/>
      <c r="V16" s="861"/>
      <c r="W16" s="861"/>
      <c r="X16" s="861"/>
      <c r="Y16" s="861"/>
      <c r="Z16" s="862"/>
      <c r="AA16" s="861"/>
      <c r="AB16" s="861"/>
      <c r="AC16" s="861"/>
      <c r="AD16" s="861"/>
      <c r="AE16" s="862"/>
      <c r="AF16" s="863"/>
      <c r="AG16" s="853"/>
      <c r="AH16" s="848"/>
      <c r="AI16" s="848"/>
      <c r="AJ16" s="848"/>
      <c r="AK16" s="848"/>
      <c r="AL16" s="848"/>
      <c r="AM16" s="864"/>
      <c r="AN16" s="864"/>
      <c r="AO16" s="864"/>
      <c r="AP16" s="864"/>
      <c r="AQ16" s="864"/>
      <c r="AR16" s="864"/>
      <c r="AS16" s="864"/>
      <c r="AT16" s="864"/>
      <c r="AU16" s="864"/>
      <c r="AV16" s="864"/>
      <c r="AW16" s="864"/>
      <c r="AX16" s="864"/>
      <c r="AY16" s="864"/>
      <c r="AZ16" s="864"/>
    </row>
    <row r="17" spans="1:52" s="865" customFormat="1">
      <c r="A17" s="847"/>
      <c r="B17" s="847"/>
      <c r="C17" s="848"/>
      <c r="D17" s="866" t="s">
        <v>699</v>
      </c>
      <c r="E17" s="867" t="s">
        <v>700</v>
      </c>
      <c r="F17" s="868" t="s">
        <v>240</v>
      </c>
      <c r="G17" s="4237">
        <f t="shared" ref="G17:G30" si="0">K17+Q17+AA17</f>
        <v>57.180120000000002</v>
      </c>
      <c r="H17" s="4238"/>
      <c r="I17" s="4238"/>
      <c r="J17" s="4239"/>
      <c r="K17" s="4237">
        <f>SUM(O17:P17)</f>
        <v>0</v>
      </c>
      <c r="L17" s="4238"/>
      <c r="M17" s="4238"/>
      <c r="N17" s="4239"/>
      <c r="O17" s="863"/>
      <c r="P17" s="863"/>
      <c r="Q17" s="4237">
        <f>SUM(U17:Z17)</f>
        <v>57.180120000000002</v>
      </c>
      <c r="R17" s="4238"/>
      <c r="S17" s="4238"/>
      <c r="T17" s="4239"/>
      <c r="U17" s="863"/>
      <c r="V17" s="4240">
        <f>V18</f>
        <v>57.180120000000002</v>
      </c>
      <c r="W17" s="4241"/>
      <c r="X17" s="4241"/>
      <c r="Y17" s="4242"/>
      <c r="Z17" s="863"/>
      <c r="AA17" s="4237">
        <f>SUM(AE17:AF17)</f>
        <v>0</v>
      </c>
      <c r="AB17" s="4238"/>
      <c r="AC17" s="4238"/>
      <c r="AD17" s="4239"/>
      <c r="AE17" s="863"/>
      <c r="AF17" s="863"/>
      <c r="AG17" s="853"/>
      <c r="AH17" s="848"/>
      <c r="AI17" s="848"/>
      <c r="AJ17" s="848"/>
      <c r="AK17" s="848"/>
      <c r="AL17" s="848"/>
      <c r="AM17" s="864"/>
      <c r="AN17" s="864"/>
      <c r="AO17" s="864"/>
      <c r="AP17" s="864"/>
      <c r="AQ17" s="864"/>
      <c r="AR17" s="864"/>
      <c r="AS17" s="864"/>
      <c r="AT17" s="864"/>
      <c r="AU17" s="864"/>
      <c r="AV17" s="864"/>
      <c r="AW17" s="864"/>
      <c r="AX17" s="864"/>
      <c r="AY17" s="864"/>
      <c r="AZ17" s="864"/>
    </row>
    <row r="18" spans="1:52" s="865" customFormat="1">
      <c r="A18" s="847"/>
      <c r="B18" s="847"/>
      <c r="C18" s="848"/>
      <c r="D18" s="866" t="s">
        <v>688</v>
      </c>
      <c r="E18" s="867" t="s">
        <v>701</v>
      </c>
      <c r="F18" s="868" t="s">
        <v>240</v>
      </c>
      <c r="G18" s="4237">
        <f t="shared" si="0"/>
        <v>57.180120000000002</v>
      </c>
      <c r="H18" s="4238"/>
      <c r="I18" s="4238"/>
      <c r="J18" s="4239"/>
      <c r="K18" s="4237">
        <f t="shared" ref="K18:K30" si="1">SUM(O18:P18)</f>
        <v>0</v>
      </c>
      <c r="L18" s="4238"/>
      <c r="M18" s="4238"/>
      <c r="N18" s="4239"/>
      <c r="O18" s="863"/>
      <c r="P18" s="863"/>
      <c r="Q18" s="4237">
        <f t="shared" ref="Q18:Q30" si="2">SUM(U18:Z18)</f>
        <v>57.180120000000002</v>
      </c>
      <c r="R18" s="4238"/>
      <c r="S18" s="4238"/>
      <c r="T18" s="4239"/>
      <c r="U18" s="863"/>
      <c r="V18" s="4237">
        <f>SUM(V19,V21)</f>
        <v>57.180120000000002</v>
      </c>
      <c r="W18" s="4238"/>
      <c r="X18" s="4238"/>
      <c r="Y18" s="4239"/>
      <c r="Z18" s="863"/>
      <c r="AA18" s="4237">
        <f t="shared" ref="AA18:AA30" si="3">SUM(AE18:AF18)</f>
        <v>0</v>
      </c>
      <c r="AB18" s="4238"/>
      <c r="AC18" s="4238"/>
      <c r="AD18" s="4239"/>
      <c r="AE18" s="863"/>
      <c r="AF18" s="863"/>
      <c r="AG18" s="853"/>
      <c r="AH18" s="848"/>
      <c r="AI18" s="848"/>
      <c r="AJ18" s="848"/>
      <c r="AK18" s="848"/>
      <c r="AL18" s="848"/>
      <c r="AM18" s="864"/>
      <c r="AN18" s="864"/>
      <c r="AO18" s="864"/>
      <c r="AP18" s="864"/>
      <c r="AQ18" s="864"/>
      <c r="AR18" s="864"/>
      <c r="AS18" s="864"/>
      <c r="AT18" s="864"/>
      <c r="AU18" s="864"/>
      <c r="AV18" s="864"/>
      <c r="AW18" s="864"/>
      <c r="AX18" s="864"/>
      <c r="AY18" s="864"/>
      <c r="AZ18" s="864"/>
    </row>
    <row r="19" spans="1:52" s="865" customFormat="1">
      <c r="A19" s="847"/>
      <c r="B19" s="847"/>
      <c r="C19" s="848"/>
      <c r="D19" s="866" t="s">
        <v>702</v>
      </c>
      <c r="E19" s="869" t="s">
        <v>703</v>
      </c>
      <c r="F19" s="868" t="s">
        <v>240</v>
      </c>
      <c r="G19" s="4237">
        <f t="shared" si="0"/>
        <v>57.180120000000002</v>
      </c>
      <c r="H19" s="4238"/>
      <c r="I19" s="4238"/>
      <c r="J19" s="4239"/>
      <c r="K19" s="4237">
        <f t="shared" si="1"/>
        <v>0</v>
      </c>
      <c r="L19" s="4238"/>
      <c r="M19" s="4238"/>
      <c r="N19" s="4239"/>
      <c r="O19" s="863"/>
      <c r="P19" s="863"/>
      <c r="Q19" s="4237">
        <f t="shared" si="2"/>
        <v>57.180120000000002</v>
      </c>
      <c r="R19" s="4238"/>
      <c r="S19" s="4238"/>
      <c r="T19" s="4239"/>
      <c r="U19" s="863"/>
      <c r="V19" s="4240">
        <f>ОРЭМ!C9/1000</f>
        <v>57.180120000000002</v>
      </c>
      <c r="W19" s="4241"/>
      <c r="X19" s="4241"/>
      <c r="Y19" s="4242"/>
      <c r="Z19" s="863"/>
      <c r="AA19" s="4237">
        <f t="shared" si="3"/>
        <v>0</v>
      </c>
      <c r="AB19" s="4238"/>
      <c r="AC19" s="4238"/>
      <c r="AD19" s="4239"/>
      <c r="AE19" s="863"/>
      <c r="AF19" s="863"/>
      <c r="AG19" s="853"/>
      <c r="AH19" s="848"/>
      <c r="AI19" s="848"/>
      <c r="AJ19" s="848"/>
      <c r="AK19" s="848"/>
      <c r="AL19" s="848"/>
      <c r="AM19" s="864"/>
      <c r="AN19" s="864"/>
      <c r="AO19" s="864"/>
      <c r="AP19" s="864"/>
      <c r="AQ19" s="864"/>
      <c r="AR19" s="864"/>
      <c r="AS19" s="864"/>
      <c r="AT19" s="864"/>
      <c r="AU19" s="864"/>
      <c r="AV19" s="864"/>
      <c r="AW19" s="864"/>
      <c r="AX19" s="864"/>
      <c r="AY19" s="864"/>
      <c r="AZ19" s="864"/>
    </row>
    <row r="20" spans="1:52" s="865" customFormat="1">
      <c r="A20" s="847"/>
      <c r="B20" s="847"/>
      <c r="C20" s="848"/>
      <c r="D20" s="866" t="s">
        <v>704</v>
      </c>
      <c r="E20" s="870" t="s">
        <v>705</v>
      </c>
      <c r="F20" s="868" t="s">
        <v>240</v>
      </c>
      <c r="G20" s="4237">
        <f t="shared" si="0"/>
        <v>24.830238999999999</v>
      </c>
      <c r="H20" s="4238"/>
      <c r="I20" s="4238"/>
      <c r="J20" s="4239"/>
      <c r="K20" s="4237">
        <f t="shared" si="1"/>
        <v>0</v>
      </c>
      <c r="L20" s="4238"/>
      <c r="M20" s="4238"/>
      <c r="N20" s="4239"/>
      <c r="O20" s="863"/>
      <c r="P20" s="863"/>
      <c r="Q20" s="4237">
        <f t="shared" si="2"/>
        <v>24.830238999999999</v>
      </c>
      <c r="R20" s="4238"/>
      <c r="S20" s="4238"/>
      <c r="T20" s="4239"/>
      <c r="U20" s="863"/>
      <c r="V20" s="4240">
        <f>V23</f>
        <v>24.830238999999999</v>
      </c>
      <c r="W20" s="4241"/>
      <c r="X20" s="4241"/>
      <c r="Y20" s="4242"/>
      <c r="Z20" s="863"/>
      <c r="AA20" s="4237">
        <f t="shared" si="3"/>
        <v>0</v>
      </c>
      <c r="AB20" s="4238"/>
      <c r="AC20" s="4238"/>
      <c r="AD20" s="4239"/>
      <c r="AE20" s="863"/>
      <c r="AF20" s="863"/>
      <c r="AG20" s="853"/>
      <c r="AH20" s="848"/>
      <c r="AI20" s="848"/>
      <c r="AJ20" s="848"/>
      <c r="AK20" s="848"/>
      <c r="AL20" s="848"/>
      <c r="AM20" s="864"/>
      <c r="AN20" s="864"/>
      <c r="AO20" s="864"/>
      <c r="AP20" s="864"/>
      <c r="AQ20" s="864"/>
      <c r="AR20" s="864"/>
      <c r="AS20" s="864"/>
      <c r="AT20" s="864"/>
      <c r="AU20" s="864"/>
      <c r="AV20" s="864"/>
      <c r="AW20" s="864"/>
      <c r="AX20" s="864"/>
      <c r="AY20" s="864"/>
      <c r="AZ20" s="864"/>
    </row>
    <row r="21" spans="1:52" s="865" customFormat="1">
      <c r="A21" s="847"/>
      <c r="B21" s="847"/>
      <c r="C21" s="848"/>
      <c r="D21" s="866" t="s">
        <v>706</v>
      </c>
      <c r="E21" s="869" t="s">
        <v>707</v>
      </c>
      <c r="F21" s="868" t="s">
        <v>240</v>
      </c>
      <c r="G21" s="4237">
        <f t="shared" si="0"/>
        <v>0</v>
      </c>
      <c r="H21" s="4238"/>
      <c r="I21" s="4238"/>
      <c r="J21" s="4239"/>
      <c r="K21" s="4237">
        <f t="shared" si="1"/>
        <v>0</v>
      </c>
      <c r="L21" s="4238"/>
      <c r="M21" s="4238"/>
      <c r="N21" s="4239"/>
      <c r="O21" s="863"/>
      <c r="P21" s="863"/>
      <c r="Q21" s="4237">
        <f t="shared" si="2"/>
        <v>0</v>
      </c>
      <c r="R21" s="4238"/>
      <c r="S21" s="4238"/>
      <c r="T21" s="4239"/>
      <c r="U21" s="863"/>
      <c r="V21" s="4240"/>
      <c r="W21" s="4241"/>
      <c r="X21" s="4241"/>
      <c r="Y21" s="4242"/>
      <c r="Z21" s="863"/>
      <c r="AA21" s="4237">
        <f t="shared" si="3"/>
        <v>0</v>
      </c>
      <c r="AB21" s="4238"/>
      <c r="AC21" s="4238"/>
      <c r="AD21" s="4239"/>
      <c r="AE21" s="863"/>
      <c r="AF21" s="863"/>
      <c r="AG21" s="853"/>
      <c r="AH21" s="848"/>
      <c r="AI21" s="848"/>
      <c r="AJ21" s="848"/>
      <c r="AK21" s="848"/>
      <c r="AL21" s="848"/>
      <c r="AM21" s="864"/>
      <c r="AN21" s="864"/>
      <c r="AO21" s="864"/>
      <c r="AP21" s="864"/>
      <c r="AQ21" s="864"/>
      <c r="AR21" s="864"/>
      <c r="AS21" s="864"/>
      <c r="AT21" s="864"/>
      <c r="AU21" s="864"/>
      <c r="AV21" s="864"/>
      <c r="AW21" s="864"/>
      <c r="AX21" s="864"/>
      <c r="AY21" s="864"/>
      <c r="AZ21" s="864"/>
    </row>
    <row r="22" spans="1:52" s="865" customFormat="1" ht="22.5">
      <c r="A22" s="847"/>
      <c r="B22" s="847"/>
      <c r="C22" s="848"/>
      <c r="D22" s="866" t="s">
        <v>708</v>
      </c>
      <c r="E22" s="867" t="s">
        <v>709</v>
      </c>
      <c r="F22" s="868" t="s">
        <v>240</v>
      </c>
      <c r="G22" s="4237">
        <f t="shared" si="0"/>
        <v>55.095865000000003</v>
      </c>
      <c r="H22" s="4238"/>
      <c r="I22" s="4238"/>
      <c r="J22" s="4239"/>
      <c r="K22" s="4237">
        <f t="shared" si="1"/>
        <v>0</v>
      </c>
      <c r="L22" s="4238"/>
      <c r="M22" s="4238"/>
      <c r="N22" s="4239"/>
      <c r="O22" s="863"/>
      <c r="P22" s="863"/>
      <c r="Q22" s="4237">
        <f t="shared" si="2"/>
        <v>55.095865000000003</v>
      </c>
      <c r="R22" s="4238"/>
      <c r="S22" s="4238"/>
      <c r="T22" s="4239"/>
      <c r="U22" s="863"/>
      <c r="V22" s="4237">
        <f>SUM(V23,V24,V29)</f>
        <v>55.095865000000003</v>
      </c>
      <c r="W22" s="4238"/>
      <c r="X22" s="4238"/>
      <c r="Y22" s="4239"/>
      <c r="Z22" s="863"/>
      <c r="AA22" s="4237">
        <f t="shared" si="3"/>
        <v>0</v>
      </c>
      <c r="AB22" s="4238"/>
      <c r="AC22" s="4238"/>
      <c r="AD22" s="4239"/>
      <c r="AE22" s="863"/>
      <c r="AF22" s="863"/>
      <c r="AG22" s="853"/>
      <c r="AH22" s="848"/>
      <c r="AI22" s="848"/>
      <c r="AJ22" s="848"/>
      <c r="AK22" s="848"/>
      <c r="AL22" s="848"/>
      <c r="AM22" s="864"/>
      <c r="AN22" s="864"/>
      <c r="AO22" s="864"/>
      <c r="AP22" s="864"/>
      <c r="AQ22" s="864"/>
      <c r="AR22" s="864"/>
      <c r="AS22" s="864"/>
      <c r="AT22" s="864"/>
      <c r="AU22" s="864"/>
      <c r="AV22" s="864"/>
      <c r="AW22" s="864"/>
      <c r="AX22" s="864"/>
      <c r="AY22" s="864"/>
      <c r="AZ22" s="864"/>
    </row>
    <row r="23" spans="1:52" s="865" customFormat="1">
      <c r="A23" s="847"/>
      <c r="B23" s="847"/>
      <c r="C23" s="848"/>
      <c r="D23" s="866" t="s">
        <v>710</v>
      </c>
      <c r="E23" s="869" t="s">
        <v>705</v>
      </c>
      <c r="F23" s="868" t="s">
        <v>240</v>
      </c>
      <c r="G23" s="4237">
        <f t="shared" si="0"/>
        <v>24.830238999999999</v>
      </c>
      <c r="H23" s="4238"/>
      <c r="I23" s="4238"/>
      <c r="J23" s="4239"/>
      <c r="K23" s="4237">
        <f t="shared" si="1"/>
        <v>0</v>
      </c>
      <c r="L23" s="4238"/>
      <c r="M23" s="4238"/>
      <c r="N23" s="4239"/>
      <c r="O23" s="863"/>
      <c r="P23" s="863"/>
      <c r="Q23" s="4237">
        <f t="shared" si="2"/>
        <v>24.830238999999999</v>
      </c>
      <c r="R23" s="4238"/>
      <c r="S23" s="4238"/>
      <c r="T23" s="4239"/>
      <c r="U23" s="863"/>
      <c r="V23" s="4240">
        <f>'Продажа РР ХМО'!AB44/1000</f>
        <v>24.830238999999999</v>
      </c>
      <c r="W23" s="4241"/>
      <c r="X23" s="4241"/>
      <c r="Y23" s="4242"/>
      <c r="Z23" s="863"/>
      <c r="AA23" s="4237">
        <f t="shared" si="3"/>
        <v>0</v>
      </c>
      <c r="AB23" s="4238"/>
      <c r="AC23" s="4238"/>
      <c r="AD23" s="4239"/>
      <c r="AE23" s="863"/>
      <c r="AF23" s="863"/>
      <c r="AG23" s="853"/>
      <c r="AH23" s="848"/>
      <c r="AI23" s="848"/>
      <c r="AJ23" s="848"/>
      <c r="AK23" s="848"/>
      <c r="AL23" s="848"/>
      <c r="AM23" s="864"/>
      <c r="AN23" s="864"/>
      <c r="AO23" s="864"/>
      <c r="AP23" s="864"/>
      <c r="AQ23" s="864"/>
      <c r="AR23" s="864"/>
      <c r="AS23" s="864"/>
      <c r="AT23" s="864"/>
      <c r="AU23" s="864"/>
      <c r="AV23" s="864"/>
      <c r="AW23" s="864"/>
      <c r="AX23" s="864"/>
      <c r="AY23" s="864"/>
      <c r="AZ23" s="864"/>
    </row>
    <row r="24" spans="1:52" s="865" customFormat="1">
      <c r="A24" s="847"/>
      <c r="B24" s="847"/>
      <c r="C24" s="848"/>
      <c r="D24" s="866" t="s">
        <v>711</v>
      </c>
      <c r="E24" s="869" t="s">
        <v>712</v>
      </c>
      <c r="F24" s="868" t="s">
        <v>240</v>
      </c>
      <c r="G24" s="4237">
        <f t="shared" si="0"/>
        <v>30.265626000000001</v>
      </c>
      <c r="H24" s="4238"/>
      <c r="I24" s="4238"/>
      <c r="J24" s="4239"/>
      <c r="K24" s="4237">
        <f t="shared" si="1"/>
        <v>0</v>
      </c>
      <c r="L24" s="4238"/>
      <c r="M24" s="4238"/>
      <c r="N24" s="4239"/>
      <c r="O24" s="863"/>
      <c r="P24" s="863"/>
      <c r="Q24" s="4237">
        <f t="shared" si="2"/>
        <v>30.265626000000001</v>
      </c>
      <c r="R24" s="4238"/>
      <c r="S24" s="4238"/>
      <c r="T24" s="4239"/>
      <c r="U24" s="863"/>
      <c r="V24" s="4243">
        <f>SUM(V25:V28)</f>
        <v>30.265626000000001</v>
      </c>
      <c r="W24" s="4244"/>
      <c r="X24" s="4244"/>
      <c r="Y24" s="4245"/>
      <c r="Z24" s="863"/>
      <c r="AA24" s="4237">
        <f t="shared" si="3"/>
        <v>0</v>
      </c>
      <c r="AB24" s="4238"/>
      <c r="AC24" s="4238"/>
      <c r="AD24" s="4239"/>
      <c r="AE24" s="863"/>
      <c r="AF24" s="863"/>
      <c r="AG24" s="853"/>
      <c r="AH24" s="848"/>
      <c r="AI24" s="848"/>
      <c r="AJ24" s="848"/>
      <c r="AK24" s="848"/>
      <c r="AL24" s="848"/>
      <c r="AM24" s="864"/>
      <c r="AN24" s="864"/>
      <c r="AO24" s="864"/>
      <c r="AP24" s="864"/>
      <c r="AQ24" s="864"/>
      <c r="AR24" s="864"/>
      <c r="AS24" s="864"/>
      <c r="AT24" s="864"/>
      <c r="AU24" s="864"/>
      <c r="AV24" s="864"/>
      <c r="AW24" s="864"/>
      <c r="AX24" s="864"/>
      <c r="AY24" s="864"/>
      <c r="AZ24" s="864"/>
    </row>
    <row r="25" spans="1:52" s="865" customFormat="1">
      <c r="A25" s="847"/>
      <c r="B25" s="847"/>
      <c r="C25" s="848"/>
      <c r="D25" s="866" t="s">
        <v>713</v>
      </c>
      <c r="E25" s="871" t="s">
        <v>714</v>
      </c>
      <c r="F25" s="868" t="s">
        <v>240</v>
      </c>
      <c r="G25" s="4237">
        <f t="shared" si="0"/>
        <v>23.541557000000001</v>
      </c>
      <c r="H25" s="4238"/>
      <c r="I25" s="4238"/>
      <c r="J25" s="4239"/>
      <c r="K25" s="4237">
        <f t="shared" si="1"/>
        <v>0</v>
      </c>
      <c r="L25" s="4238"/>
      <c r="M25" s="4238"/>
      <c r="N25" s="4239"/>
      <c r="O25" s="863"/>
      <c r="P25" s="863"/>
      <c r="Q25" s="4237">
        <f t="shared" si="2"/>
        <v>23.541557000000001</v>
      </c>
      <c r="R25" s="4238"/>
      <c r="S25" s="4238"/>
      <c r="T25" s="4239"/>
      <c r="U25" s="863"/>
      <c r="V25" s="4240">
        <f>'Продажа РР ХМО'!AB25/1000+'Продажа РР ХМО'!AB27/1000+'Продажа РР ХМО'!AB38/1000</f>
        <v>23.541557000000001</v>
      </c>
      <c r="W25" s="4241"/>
      <c r="X25" s="4241"/>
      <c r="Y25" s="4242"/>
      <c r="Z25" s="863"/>
      <c r="AA25" s="4237">
        <f t="shared" si="3"/>
        <v>0</v>
      </c>
      <c r="AB25" s="4238"/>
      <c r="AC25" s="4238"/>
      <c r="AD25" s="4239"/>
      <c r="AE25" s="863"/>
      <c r="AF25" s="863"/>
      <c r="AG25" s="853"/>
      <c r="AH25" s="848"/>
      <c r="AI25" s="848"/>
      <c r="AJ25" s="848"/>
      <c r="AK25" s="848"/>
      <c r="AL25" s="848"/>
      <c r="AM25" s="864"/>
      <c r="AN25" s="864"/>
      <c r="AO25" s="864"/>
      <c r="AP25" s="864"/>
      <c r="AQ25" s="864"/>
      <c r="AR25" s="864"/>
      <c r="AS25" s="864"/>
      <c r="AT25" s="864"/>
      <c r="AU25" s="864"/>
      <c r="AV25" s="864"/>
      <c r="AW25" s="864"/>
      <c r="AX25" s="864"/>
      <c r="AY25" s="864"/>
      <c r="AZ25" s="864"/>
    </row>
    <row r="26" spans="1:52" s="865" customFormat="1">
      <c r="A26" s="847"/>
      <c r="B26" s="847"/>
      <c r="C26" s="848"/>
      <c r="D26" s="866" t="s">
        <v>715</v>
      </c>
      <c r="E26" s="871" t="s">
        <v>716</v>
      </c>
      <c r="F26" s="868" t="s">
        <v>240</v>
      </c>
      <c r="G26" s="4237">
        <f t="shared" si="0"/>
        <v>0</v>
      </c>
      <c r="H26" s="4238"/>
      <c r="I26" s="4238"/>
      <c r="J26" s="4239"/>
      <c r="K26" s="4237">
        <f t="shared" si="1"/>
        <v>0</v>
      </c>
      <c r="L26" s="4238"/>
      <c r="M26" s="4238"/>
      <c r="N26" s="4239"/>
      <c r="O26" s="863"/>
      <c r="P26" s="863"/>
      <c r="Q26" s="4237">
        <f t="shared" si="2"/>
        <v>0</v>
      </c>
      <c r="R26" s="4238"/>
      <c r="S26" s="4238"/>
      <c r="T26" s="4239"/>
      <c r="U26" s="863"/>
      <c r="V26" s="4240">
        <f>IFERROR('Шаблон 46 ГП'!C70/1000000,0)</f>
        <v>0</v>
      </c>
      <c r="W26" s="4241"/>
      <c r="X26" s="4241"/>
      <c r="Y26" s="4242"/>
      <c r="Z26" s="863"/>
      <c r="AA26" s="4237">
        <f t="shared" si="3"/>
        <v>0</v>
      </c>
      <c r="AB26" s="4238"/>
      <c r="AC26" s="4238"/>
      <c r="AD26" s="4239"/>
      <c r="AE26" s="863"/>
      <c r="AF26" s="863"/>
      <c r="AG26" s="853"/>
      <c r="AH26" s="848"/>
      <c r="AI26" s="848"/>
      <c r="AJ26" s="848"/>
      <c r="AK26" s="848"/>
      <c r="AL26" s="848"/>
      <c r="AM26" s="864"/>
      <c r="AN26" s="864"/>
      <c r="AO26" s="864"/>
      <c r="AP26" s="864"/>
      <c r="AQ26" s="864"/>
      <c r="AR26" s="864"/>
      <c r="AS26" s="864"/>
      <c r="AT26" s="864"/>
      <c r="AU26" s="864"/>
      <c r="AV26" s="864"/>
      <c r="AW26" s="864"/>
      <c r="AX26" s="864"/>
      <c r="AY26" s="864"/>
      <c r="AZ26" s="864"/>
    </row>
    <row r="27" spans="1:52" s="865" customFormat="1">
      <c r="A27" s="847"/>
      <c r="B27" s="847"/>
      <c r="C27" s="848"/>
      <c r="D27" s="866" t="s">
        <v>717</v>
      </c>
      <c r="E27" s="871" t="s">
        <v>718</v>
      </c>
      <c r="F27" s="868" t="s">
        <v>240</v>
      </c>
      <c r="G27" s="4237">
        <f t="shared" si="0"/>
        <v>6.7240690000000001</v>
      </c>
      <c r="H27" s="4238"/>
      <c r="I27" s="4238"/>
      <c r="J27" s="4239"/>
      <c r="K27" s="4237">
        <f t="shared" si="1"/>
        <v>0</v>
      </c>
      <c r="L27" s="4238"/>
      <c r="M27" s="4238"/>
      <c r="N27" s="4239"/>
      <c r="O27" s="863"/>
      <c r="P27" s="863"/>
      <c r="Q27" s="4237">
        <f t="shared" si="2"/>
        <v>6.7240690000000001</v>
      </c>
      <c r="R27" s="4238"/>
      <c r="S27" s="4238"/>
      <c r="T27" s="4239"/>
      <c r="U27" s="863"/>
      <c r="V27" s="4240">
        <f>'Продажа РР ХМО'!AB36/1000</f>
        <v>6.7240690000000001</v>
      </c>
      <c r="W27" s="4241"/>
      <c r="X27" s="4241"/>
      <c r="Y27" s="4242"/>
      <c r="Z27" s="863"/>
      <c r="AA27" s="4237">
        <f t="shared" si="3"/>
        <v>0</v>
      </c>
      <c r="AB27" s="4238"/>
      <c r="AC27" s="4238"/>
      <c r="AD27" s="4239"/>
      <c r="AE27" s="863"/>
      <c r="AF27" s="863"/>
      <c r="AG27" s="853"/>
      <c r="AH27" s="848"/>
      <c r="AI27" s="848"/>
      <c r="AJ27" s="848"/>
      <c r="AK27" s="848"/>
      <c r="AL27" s="848"/>
      <c r="AM27" s="864"/>
      <c r="AN27" s="864"/>
      <c r="AO27" s="864"/>
      <c r="AP27" s="864"/>
      <c r="AQ27" s="864"/>
      <c r="AR27" s="864"/>
      <c r="AS27" s="864"/>
      <c r="AT27" s="864"/>
      <c r="AU27" s="864"/>
      <c r="AV27" s="864"/>
      <c r="AW27" s="864"/>
      <c r="AX27" s="864"/>
      <c r="AY27" s="864"/>
      <c r="AZ27" s="864"/>
    </row>
    <row r="28" spans="1:52" s="865" customFormat="1">
      <c r="A28" s="847"/>
      <c r="B28" s="847"/>
      <c r="C28" s="848"/>
      <c r="D28" s="866" t="s">
        <v>719</v>
      </c>
      <c r="E28" s="871" t="s">
        <v>720</v>
      </c>
      <c r="F28" s="868" t="s">
        <v>240</v>
      </c>
      <c r="G28" s="4237">
        <f t="shared" si="0"/>
        <v>0</v>
      </c>
      <c r="H28" s="4238"/>
      <c r="I28" s="4238"/>
      <c r="J28" s="4239"/>
      <c r="K28" s="4237">
        <f t="shared" si="1"/>
        <v>0</v>
      </c>
      <c r="L28" s="4238"/>
      <c r="M28" s="4238"/>
      <c r="N28" s="4239"/>
      <c r="O28" s="863"/>
      <c r="P28" s="863"/>
      <c r="Q28" s="4237">
        <f t="shared" si="2"/>
        <v>0</v>
      </c>
      <c r="R28" s="4238"/>
      <c r="S28" s="4238"/>
      <c r="T28" s="4239"/>
      <c r="U28" s="863"/>
      <c r="V28" s="4240">
        <v>0</v>
      </c>
      <c r="W28" s="4241"/>
      <c r="X28" s="4241"/>
      <c r="Y28" s="4242"/>
      <c r="Z28" s="863"/>
      <c r="AA28" s="4237">
        <f t="shared" si="3"/>
        <v>0</v>
      </c>
      <c r="AB28" s="4238"/>
      <c r="AC28" s="4238"/>
      <c r="AD28" s="4239"/>
      <c r="AE28" s="863"/>
      <c r="AF28" s="863"/>
      <c r="AG28" s="853"/>
      <c r="AH28" s="848"/>
      <c r="AI28" s="848"/>
      <c r="AJ28" s="848"/>
      <c r="AK28" s="848"/>
      <c r="AL28" s="848"/>
      <c r="AM28" s="864"/>
      <c r="AN28" s="864"/>
      <c r="AO28" s="864"/>
      <c r="AP28" s="864"/>
      <c r="AQ28" s="864"/>
      <c r="AR28" s="864"/>
      <c r="AS28" s="864"/>
      <c r="AT28" s="864"/>
      <c r="AU28" s="864"/>
      <c r="AV28" s="864"/>
      <c r="AW28" s="864"/>
      <c r="AX28" s="864"/>
      <c r="AY28" s="864"/>
      <c r="AZ28" s="864"/>
    </row>
    <row r="29" spans="1:52" s="865" customFormat="1">
      <c r="A29" s="847"/>
      <c r="B29" s="847"/>
      <c r="C29" s="848"/>
      <c r="D29" s="866" t="s">
        <v>721</v>
      </c>
      <c r="E29" s="869" t="s">
        <v>722</v>
      </c>
      <c r="F29" s="868" t="s">
        <v>240</v>
      </c>
      <c r="G29" s="4237">
        <f t="shared" si="0"/>
        <v>0</v>
      </c>
      <c r="H29" s="4238"/>
      <c r="I29" s="4238"/>
      <c r="J29" s="4239"/>
      <c r="K29" s="4237">
        <f t="shared" si="1"/>
        <v>0</v>
      </c>
      <c r="L29" s="4238"/>
      <c r="M29" s="4238"/>
      <c r="N29" s="4239"/>
      <c r="O29" s="863"/>
      <c r="P29" s="863"/>
      <c r="Q29" s="4237">
        <f t="shared" si="2"/>
        <v>0</v>
      </c>
      <c r="R29" s="4238"/>
      <c r="S29" s="4238"/>
      <c r="T29" s="4239"/>
      <c r="U29" s="863"/>
      <c r="V29" s="4240">
        <v>0</v>
      </c>
      <c r="W29" s="4241"/>
      <c r="X29" s="4241"/>
      <c r="Y29" s="4242"/>
      <c r="Z29" s="863"/>
      <c r="AA29" s="4237">
        <f t="shared" si="3"/>
        <v>0</v>
      </c>
      <c r="AB29" s="4238"/>
      <c r="AC29" s="4238"/>
      <c r="AD29" s="4239"/>
      <c r="AE29" s="863"/>
      <c r="AF29" s="863"/>
      <c r="AG29" s="853"/>
      <c r="AH29" s="848"/>
      <c r="AI29" s="848"/>
      <c r="AJ29" s="848"/>
      <c r="AK29" s="848"/>
      <c r="AL29" s="848"/>
      <c r="AM29" s="864"/>
      <c r="AN29" s="864"/>
      <c r="AO29" s="864"/>
      <c r="AP29" s="864"/>
      <c r="AQ29" s="864"/>
      <c r="AR29" s="864"/>
      <c r="AS29" s="864"/>
      <c r="AT29" s="864"/>
      <c r="AU29" s="864"/>
      <c r="AV29" s="864"/>
      <c r="AW29" s="864"/>
      <c r="AX29" s="864"/>
      <c r="AY29" s="864"/>
      <c r="AZ29" s="864"/>
    </row>
    <row r="30" spans="1:52" s="865" customFormat="1">
      <c r="A30" s="847"/>
      <c r="B30" s="847"/>
      <c r="C30" s="848"/>
      <c r="D30" s="866" t="s">
        <v>723</v>
      </c>
      <c r="E30" s="867" t="s">
        <v>724</v>
      </c>
      <c r="F30" s="868" t="s">
        <v>240</v>
      </c>
      <c r="G30" s="4237">
        <f t="shared" si="0"/>
        <v>1.7883279999999999</v>
      </c>
      <c r="H30" s="4238"/>
      <c r="I30" s="4238"/>
      <c r="J30" s="4239"/>
      <c r="K30" s="4237">
        <f t="shared" si="1"/>
        <v>0</v>
      </c>
      <c r="L30" s="4238"/>
      <c r="M30" s="4238"/>
      <c r="N30" s="4239"/>
      <c r="O30" s="863"/>
      <c r="P30" s="863"/>
      <c r="Q30" s="4237">
        <f t="shared" si="2"/>
        <v>1.7883279999999999</v>
      </c>
      <c r="R30" s="4238"/>
      <c r="S30" s="4238"/>
      <c r="T30" s="4239"/>
      <c r="U30" s="863"/>
      <c r="V30" s="4240">
        <f>IFERROR('Шаблон 46 ГП'!C268/1000000,0)</f>
        <v>1.7883279999999999</v>
      </c>
      <c r="W30" s="4241"/>
      <c r="X30" s="4241"/>
      <c r="Y30" s="4242"/>
      <c r="Z30" s="863"/>
      <c r="AA30" s="4237">
        <f t="shared" si="3"/>
        <v>0</v>
      </c>
      <c r="AB30" s="4238"/>
      <c r="AC30" s="4238"/>
      <c r="AD30" s="4239"/>
      <c r="AE30" s="863"/>
      <c r="AF30" s="863"/>
      <c r="AG30" s="853"/>
      <c r="AH30" s="848"/>
      <c r="AI30" s="848"/>
      <c r="AJ30" s="848"/>
      <c r="AK30" s="848"/>
      <c r="AL30" s="848"/>
      <c r="AM30" s="864"/>
      <c r="AN30" s="864"/>
      <c r="AO30" s="864"/>
      <c r="AP30" s="864"/>
      <c r="AQ30" s="864"/>
      <c r="AR30" s="864"/>
      <c r="AS30" s="864"/>
      <c r="AT30" s="864"/>
      <c r="AU30" s="864"/>
      <c r="AV30" s="864"/>
      <c r="AW30" s="864"/>
      <c r="AX30" s="864"/>
      <c r="AY30" s="864"/>
      <c r="AZ30" s="864"/>
    </row>
    <row r="31" spans="1:52" s="865" customFormat="1" ht="18" customHeight="1">
      <c r="A31" s="847"/>
      <c r="B31" s="847"/>
      <c r="C31" s="848"/>
      <c r="D31" s="859" t="s">
        <v>725</v>
      </c>
      <c r="E31" s="860" t="s">
        <v>195</v>
      </c>
      <c r="F31" s="860"/>
      <c r="G31" s="860"/>
      <c r="H31" s="860"/>
      <c r="I31" s="860"/>
      <c r="J31" s="860"/>
      <c r="K31" s="872"/>
      <c r="L31" s="872"/>
      <c r="M31" s="872"/>
      <c r="N31" s="872"/>
      <c r="O31" s="862"/>
      <c r="P31" s="862"/>
      <c r="Q31" s="872"/>
      <c r="R31" s="872"/>
      <c r="S31" s="872"/>
      <c r="T31" s="872"/>
      <c r="U31" s="862"/>
      <c r="V31" s="873"/>
      <c r="W31" s="873"/>
      <c r="X31" s="873"/>
      <c r="Y31" s="873"/>
      <c r="Z31" s="862"/>
      <c r="AA31" s="872"/>
      <c r="AB31" s="872"/>
      <c r="AC31" s="872"/>
      <c r="AD31" s="872"/>
      <c r="AE31" s="862"/>
      <c r="AF31" s="863"/>
      <c r="AG31" s="853"/>
      <c r="AH31" s="848"/>
      <c r="AI31" s="848"/>
      <c r="AJ31" s="848"/>
      <c r="AK31" s="848"/>
      <c r="AL31" s="848"/>
      <c r="AM31" s="864"/>
      <c r="AN31" s="864"/>
      <c r="AO31" s="864"/>
      <c r="AP31" s="864"/>
      <c r="AQ31" s="864"/>
      <c r="AR31" s="864"/>
      <c r="AS31" s="864"/>
      <c r="AT31" s="864"/>
      <c r="AU31" s="864"/>
      <c r="AV31" s="864"/>
      <c r="AW31" s="864"/>
      <c r="AX31" s="864"/>
      <c r="AY31" s="864"/>
      <c r="AZ31" s="864"/>
    </row>
    <row r="32" spans="1:52" s="865" customFormat="1">
      <c r="A32" s="847"/>
      <c r="B32" s="847"/>
      <c r="C32" s="848"/>
      <c r="D32" s="866" t="s">
        <v>726</v>
      </c>
      <c r="E32" s="867" t="s">
        <v>727</v>
      </c>
      <c r="F32" s="868" t="s">
        <v>420</v>
      </c>
      <c r="G32" s="4237">
        <f t="shared" ref="G32:G42" si="4">K32+Q32+AA32</f>
        <v>0</v>
      </c>
      <c r="H32" s="4238"/>
      <c r="I32" s="4238"/>
      <c r="J32" s="4239"/>
      <c r="K32" s="4237">
        <f t="shared" ref="K32:K42" si="5">SUM(O32:P32)</f>
        <v>0</v>
      </c>
      <c r="L32" s="4238"/>
      <c r="M32" s="4238"/>
      <c r="N32" s="4239"/>
      <c r="O32" s="863"/>
      <c r="P32" s="863"/>
      <c r="Q32" s="4237">
        <f t="shared" ref="Q32:Q42" si="6">SUM(U32:Z32)</f>
        <v>0</v>
      </c>
      <c r="R32" s="4238"/>
      <c r="S32" s="4238"/>
      <c r="T32" s="4239"/>
      <c r="U32" s="863"/>
      <c r="V32" s="4237">
        <f>SUM(V33,V35)</f>
        <v>0</v>
      </c>
      <c r="W32" s="4238"/>
      <c r="X32" s="4238"/>
      <c r="Y32" s="4239"/>
      <c r="Z32" s="863"/>
      <c r="AA32" s="4237">
        <f t="shared" ref="AA32:AA42" si="7">SUM(AE32:AF32)</f>
        <v>0</v>
      </c>
      <c r="AB32" s="4238"/>
      <c r="AC32" s="4238"/>
      <c r="AD32" s="4239"/>
      <c r="AE32" s="863"/>
      <c r="AF32" s="863"/>
      <c r="AG32" s="853"/>
      <c r="AH32" s="848"/>
      <c r="AI32" s="848"/>
      <c r="AJ32" s="848"/>
      <c r="AK32" s="848"/>
      <c r="AL32" s="848"/>
      <c r="AM32" s="864"/>
      <c r="AN32" s="864"/>
      <c r="AO32" s="864"/>
      <c r="AP32" s="864"/>
      <c r="AQ32" s="864"/>
      <c r="AR32" s="864"/>
      <c r="AS32" s="864"/>
      <c r="AT32" s="864"/>
      <c r="AU32" s="864"/>
      <c r="AV32" s="864"/>
      <c r="AW32" s="864"/>
      <c r="AX32" s="864"/>
      <c r="AY32" s="864"/>
      <c r="AZ32" s="864"/>
    </row>
    <row r="33" spans="1:52" s="865" customFormat="1">
      <c r="A33" s="847"/>
      <c r="B33" s="847"/>
      <c r="C33" s="848"/>
      <c r="D33" s="866" t="s">
        <v>728</v>
      </c>
      <c r="E33" s="869" t="s">
        <v>729</v>
      </c>
      <c r="F33" s="868" t="s">
        <v>420</v>
      </c>
      <c r="G33" s="4237">
        <f t="shared" si="4"/>
        <v>0</v>
      </c>
      <c r="H33" s="4238"/>
      <c r="I33" s="4238"/>
      <c r="J33" s="4239"/>
      <c r="K33" s="4237">
        <f t="shared" si="5"/>
        <v>0</v>
      </c>
      <c r="L33" s="4238"/>
      <c r="M33" s="4238"/>
      <c r="N33" s="4239"/>
      <c r="O33" s="863"/>
      <c r="P33" s="863"/>
      <c r="Q33" s="4237">
        <f t="shared" si="6"/>
        <v>0</v>
      </c>
      <c r="R33" s="4238"/>
      <c r="S33" s="4238"/>
      <c r="T33" s="4239"/>
      <c r="U33" s="863"/>
      <c r="V33" s="4240">
        <f>ОРЭМ!C22</f>
        <v>0</v>
      </c>
      <c r="W33" s="4241"/>
      <c r="X33" s="4241"/>
      <c r="Y33" s="4242"/>
      <c r="Z33" s="863"/>
      <c r="AA33" s="4237">
        <f t="shared" si="7"/>
        <v>0</v>
      </c>
      <c r="AB33" s="4238"/>
      <c r="AC33" s="4238"/>
      <c r="AD33" s="4239"/>
      <c r="AE33" s="863"/>
      <c r="AF33" s="863"/>
      <c r="AG33" s="853"/>
      <c r="AH33" s="848"/>
      <c r="AI33" s="848"/>
      <c r="AJ33" s="848"/>
      <c r="AK33" s="848"/>
      <c r="AL33" s="848"/>
      <c r="AM33" s="864"/>
      <c r="AN33" s="864"/>
      <c r="AO33" s="864"/>
      <c r="AP33" s="864"/>
      <c r="AQ33" s="864"/>
      <c r="AR33" s="864"/>
      <c r="AS33" s="864"/>
      <c r="AT33" s="864"/>
      <c r="AU33" s="864"/>
      <c r="AV33" s="864"/>
      <c r="AW33" s="864"/>
      <c r="AX33" s="864"/>
      <c r="AY33" s="864"/>
      <c r="AZ33" s="864"/>
    </row>
    <row r="34" spans="1:52" s="865" customFormat="1">
      <c r="A34" s="847"/>
      <c r="B34" s="847"/>
      <c r="C34" s="848"/>
      <c r="D34" s="866" t="s">
        <v>730</v>
      </c>
      <c r="E34" s="870" t="s">
        <v>705</v>
      </c>
      <c r="F34" s="868" t="s">
        <v>420</v>
      </c>
      <c r="G34" s="4237">
        <f t="shared" si="4"/>
        <v>0</v>
      </c>
      <c r="H34" s="4238"/>
      <c r="I34" s="4238"/>
      <c r="J34" s="4239"/>
      <c r="K34" s="4237">
        <f t="shared" si="5"/>
        <v>0</v>
      </c>
      <c r="L34" s="4238"/>
      <c r="M34" s="4238"/>
      <c r="N34" s="4239"/>
      <c r="O34" s="863"/>
      <c r="P34" s="863"/>
      <c r="Q34" s="4237">
        <f t="shared" si="6"/>
        <v>0</v>
      </c>
      <c r="R34" s="4238"/>
      <c r="S34" s="4238"/>
      <c r="T34" s="4239"/>
      <c r="U34" s="863"/>
      <c r="V34" s="4240">
        <f>ОРЭМ!C76</f>
        <v>0</v>
      </c>
      <c r="W34" s="4241"/>
      <c r="X34" s="4241"/>
      <c r="Y34" s="4242"/>
      <c r="Z34" s="863"/>
      <c r="AA34" s="4237">
        <f t="shared" si="7"/>
        <v>0</v>
      </c>
      <c r="AB34" s="4238"/>
      <c r="AC34" s="4238"/>
      <c r="AD34" s="4239"/>
      <c r="AE34" s="863"/>
      <c r="AF34" s="863"/>
      <c r="AG34" s="853"/>
      <c r="AH34" s="848"/>
      <c r="AI34" s="848"/>
      <c r="AJ34" s="848"/>
      <c r="AK34" s="848"/>
      <c r="AL34" s="848"/>
      <c r="AM34" s="864"/>
      <c r="AN34" s="864"/>
      <c r="AO34" s="864"/>
      <c r="AP34" s="864"/>
      <c r="AQ34" s="864"/>
      <c r="AR34" s="864"/>
      <c r="AS34" s="864"/>
      <c r="AT34" s="864"/>
      <c r="AU34" s="864"/>
      <c r="AV34" s="864"/>
      <c r="AW34" s="864"/>
      <c r="AX34" s="864"/>
      <c r="AY34" s="864"/>
      <c r="AZ34" s="864"/>
    </row>
    <row r="35" spans="1:52" s="865" customFormat="1">
      <c r="A35" s="847"/>
      <c r="B35" s="847"/>
      <c r="C35" s="848"/>
      <c r="D35" s="866" t="s">
        <v>731</v>
      </c>
      <c r="E35" s="869" t="s">
        <v>732</v>
      </c>
      <c r="F35" s="868" t="s">
        <v>420</v>
      </c>
      <c r="G35" s="4237">
        <f t="shared" si="4"/>
        <v>0</v>
      </c>
      <c r="H35" s="4238"/>
      <c r="I35" s="4238"/>
      <c r="J35" s="4239"/>
      <c r="K35" s="4237">
        <f t="shared" si="5"/>
        <v>0</v>
      </c>
      <c r="L35" s="4238"/>
      <c r="M35" s="4238"/>
      <c r="N35" s="4239"/>
      <c r="O35" s="863"/>
      <c r="P35" s="863"/>
      <c r="Q35" s="4237">
        <f t="shared" si="6"/>
        <v>0</v>
      </c>
      <c r="R35" s="4238"/>
      <c r="S35" s="4238"/>
      <c r="T35" s="4239"/>
      <c r="U35" s="863"/>
      <c r="V35" s="4240">
        <v>0</v>
      </c>
      <c r="W35" s="4241"/>
      <c r="X35" s="4241"/>
      <c r="Y35" s="4242"/>
      <c r="Z35" s="863"/>
      <c r="AA35" s="4237">
        <f t="shared" si="7"/>
        <v>0</v>
      </c>
      <c r="AB35" s="4238"/>
      <c r="AC35" s="4238"/>
      <c r="AD35" s="4239"/>
      <c r="AE35" s="863"/>
      <c r="AF35" s="863"/>
      <c r="AG35" s="853"/>
      <c r="AH35" s="848"/>
      <c r="AI35" s="848"/>
      <c r="AJ35" s="848"/>
      <c r="AK35" s="848"/>
      <c r="AL35" s="848"/>
      <c r="AM35" s="864"/>
      <c r="AN35" s="864"/>
      <c r="AO35" s="864"/>
      <c r="AP35" s="864"/>
      <c r="AQ35" s="864"/>
      <c r="AR35" s="864"/>
      <c r="AS35" s="864"/>
      <c r="AT35" s="864"/>
      <c r="AU35" s="864"/>
      <c r="AV35" s="864"/>
      <c r="AW35" s="864"/>
      <c r="AX35" s="864"/>
      <c r="AY35" s="864"/>
      <c r="AZ35" s="864"/>
    </row>
    <row r="36" spans="1:52" s="865" customFormat="1" ht="33.75">
      <c r="A36" s="847"/>
      <c r="B36" s="847"/>
      <c r="C36" s="848"/>
      <c r="D36" s="866" t="s">
        <v>733</v>
      </c>
      <c r="E36" s="867" t="s">
        <v>734</v>
      </c>
      <c r="F36" s="868" t="s">
        <v>420</v>
      </c>
      <c r="G36" s="4237">
        <f t="shared" si="4"/>
        <v>0</v>
      </c>
      <c r="H36" s="4238"/>
      <c r="I36" s="4238"/>
      <c r="J36" s="4239"/>
      <c r="K36" s="4237">
        <f t="shared" si="5"/>
        <v>0</v>
      </c>
      <c r="L36" s="4238"/>
      <c r="M36" s="4238"/>
      <c r="N36" s="4239"/>
      <c r="O36" s="863"/>
      <c r="P36" s="863"/>
      <c r="Q36" s="4237">
        <f t="shared" si="6"/>
        <v>0</v>
      </c>
      <c r="R36" s="4238"/>
      <c r="S36" s="4238"/>
      <c r="T36" s="4239"/>
      <c r="U36" s="863"/>
      <c r="V36" s="4237">
        <f>V32*0.06</f>
        <v>0</v>
      </c>
      <c r="W36" s="4238"/>
      <c r="X36" s="4238"/>
      <c r="Y36" s="4239"/>
      <c r="Z36" s="863"/>
      <c r="AA36" s="4237">
        <f t="shared" si="7"/>
        <v>0</v>
      </c>
      <c r="AB36" s="4238"/>
      <c r="AC36" s="4238"/>
      <c r="AD36" s="4239"/>
      <c r="AE36" s="863"/>
      <c r="AF36" s="863"/>
      <c r="AG36" s="853"/>
      <c r="AH36" s="848"/>
      <c r="AI36" s="848"/>
      <c r="AJ36" s="848"/>
      <c r="AK36" s="848"/>
      <c r="AL36" s="848"/>
      <c r="AM36" s="864"/>
      <c r="AN36" s="864"/>
      <c r="AO36" s="864"/>
      <c r="AP36" s="864"/>
      <c r="AQ36" s="864"/>
      <c r="AR36" s="864"/>
      <c r="AS36" s="864"/>
      <c r="AT36" s="864"/>
      <c r="AU36" s="864"/>
      <c r="AV36" s="864"/>
      <c r="AW36" s="864"/>
      <c r="AX36" s="864"/>
      <c r="AY36" s="864"/>
      <c r="AZ36" s="864"/>
    </row>
    <row r="37" spans="1:52" s="865" customFormat="1">
      <c r="A37" s="847"/>
      <c r="B37" s="847"/>
      <c r="C37" s="848"/>
      <c r="D37" s="866" t="s">
        <v>735</v>
      </c>
      <c r="E37" s="869" t="s">
        <v>705</v>
      </c>
      <c r="F37" s="868" t="s">
        <v>420</v>
      </c>
      <c r="G37" s="4237">
        <f t="shared" si="4"/>
        <v>0</v>
      </c>
      <c r="H37" s="4238"/>
      <c r="I37" s="4238"/>
      <c r="J37" s="4239"/>
      <c r="K37" s="4237">
        <f t="shared" si="5"/>
        <v>0</v>
      </c>
      <c r="L37" s="4238"/>
      <c r="M37" s="4238"/>
      <c r="N37" s="4239"/>
      <c r="O37" s="863"/>
      <c r="P37" s="863"/>
      <c r="Q37" s="4237">
        <f t="shared" si="6"/>
        <v>0</v>
      </c>
      <c r="R37" s="4238"/>
      <c r="S37" s="4238"/>
      <c r="T37" s="4239"/>
      <c r="U37" s="863"/>
      <c r="V37" s="4240">
        <v>0</v>
      </c>
      <c r="W37" s="4241"/>
      <c r="X37" s="4241"/>
      <c r="Y37" s="4242"/>
      <c r="Z37" s="863"/>
      <c r="AA37" s="4237">
        <f t="shared" si="7"/>
        <v>0</v>
      </c>
      <c r="AB37" s="4238"/>
      <c r="AC37" s="4238"/>
      <c r="AD37" s="4239"/>
      <c r="AE37" s="863"/>
      <c r="AF37" s="863"/>
      <c r="AG37" s="853"/>
      <c r="AH37" s="848"/>
      <c r="AI37" s="848"/>
      <c r="AJ37" s="848"/>
      <c r="AK37" s="848"/>
      <c r="AL37" s="848"/>
      <c r="AM37" s="864"/>
      <c r="AN37" s="864"/>
      <c r="AO37" s="864"/>
      <c r="AP37" s="864"/>
      <c r="AQ37" s="864"/>
      <c r="AR37" s="864"/>
      <c r="AS37" s="864"/>
      <c r="AT37" s="864"/>
      <c r="AU37" s="864"/>
      <c r="AV37" s="864"/>
      <c r="AW37" s="864"/>
      <c r="AX37" s="864"/>
      <c r="AY37" s="864"/>
      <c r="AZ37" s="864"/>
    </row>
    <row r="38" spans="1:52" s="865" customFormat="1" ht="22.5">
      <c r="A38" s="847"/>
      <c r="B38" s="847"/>
      <c r="C38" s="848"/>
      <c r="D38" s="866" t="s">
        <v>736</v>
      </c>
      <c r="E38" s="874" t="s">
        <v>737</v>
      </c>
      <c r="F38" s="868" t="s">
        <v>420</v>
      </c>
      <c r="G38" s="4237">
        <f t="shared" si="4"/>
        <v>0</v>
      </c>
      <c r="H38" s="4238"/>
      <c r="I38" s="4238"/>
      <c r="J38" s="4239"/>
      <c r="K38" s="4237">
        <f t="shared" si="5"/>
        <v>0</v>
      </c>
      <c r="L38" s="4238"/>
      <c r="M38" s="4238"/>
      <c r="N38" s="4239"/>
      <c r="O38" s="863"/>
      <c r="P38" s="863"/>
      <c r="Q38" s="4237">
        <f t="shared" si="6"/>
        <v>0</v>
      </c>
      <c r="R38" s="4238"/>
      <c r="S38" s="4238"/>
      <c r="T38" s="4239"/>
      <c r="U38" s="863"/>
      <c r="V38" s="4240">
        <v>0</v>
      </c>
      <c r="W38" s="4241"/>
      <c r="X38" s="4241"/>
      <c r="Y38" s="4242"/>
      <c r="Z38" s="863"/>
      <c r="AA38" s="4237">
        <f t="shared" si="7"/>
        <v>0</v>
      </c>
      <c r="AB38" s="4238"/>
      <c r="AC38" s="4238"/>
      <c r="AD38" s="4239"/>
      <c r="AE38" s="863"/>
      <c r="AF38" s="863"/>
      <c r="AG38" s="853"/>
      <c r="AH38" s="848"/>
      <c r="AI38" s="848"/>
      <c r="AJ38" s="848"/>
      <c r="AK38" s="848"/>
      <c r="AL38" s="848"/>
      <c r="AM38" s="864"/>
      <c r="AN38" s="864"/>
      <c r="AO38" s="864"/>
      <c r="AP38" s="864"/>
      <c r="AQ38" s="864"/>
      <c r="AR38" s="864"/>
      <c r="AS38" s="864"/>
      <c r="AT38" s="864"/>
      <c r="AU38" s="864"/>
      <c r="AV38" s="864"/>
      <c r="AW38" s="864"/>
      <c r="AX38" s="864"/>
      <c r="AY38" s="864"/>
      <c r="AZ38" s="864"/>
    </row>
    <row r="39" spans="1:52" s="865" customFormat="1" ht="22.5">
      <c r="A39" s="847"/>
      <c r="B39" s="847"/>
      <c r="C39" s="848"/>
      <c r="D39" s="866" t="s">
        <v>738</v>
      </c>
      <c r="E39" s="867" t="s">
        <v>739</v>
      </c>
      <c r="F39" s="868" t="s">
        <v>420</v>
      </c>
      <c r="G39" s="4237">
        <f t="shared" si="4"/>
        <v>0</v>
      </c>
      <c r="H39" s="4238"/>
      <c r="I39" s="4238"/>
      <c r="J39" s="4239"/>
      <c r="K39" s="4237">
        <f t="shared" si="5"/>
        <v>0</v>
      </c>
      <c r="L39" s="4238"/>
      <c r="M39" s="4238"/>
      <c r="N39" s="4239"/>
      <c r="O39" s="863"/>
      <c r="P39" s="863"/>
      <c r="Q39" s="4237">
        <f t="shared" si="6"/>
        <v>0</v>
      </c>
      <c r="R39" s="4238"/>
      <c r="S39" s="4238"/>
      <c r="T39" s="4239"/>
      <c r="U39" s="863"/>
      <c r="V39" s="4237">
        <f>SUM(V33,V36)</f>
        <v>0</v>
      </c>
      <c r="W39" s="4238"/>
      <c r="X39" s="4238"/>
      <c r="Y39" s="4239"/>
      <c r="Z39" s="863"/>
      <c r="AA39" s="4237">
        <f t="shared" si="7"/>
        <v>0</v>
      </c>
      <c r="AB39" s="4238"/>
      <c r="AC39" s="4238"/>
      <c r="AD39" s="4239"/>
      <c r="AE39" s="863"/>
      <c r="AF39" s="863"/>
      <c r="AG39" s="853"/>
      <c r="AH39" s="848"/>
      <c r="AI39" s="848"/>
      <c r="AJ39" s="848"/>
      <c r="AK39" s="848"/>
      <c r="AL39" s="848"/>
      <c r="AM39" s="864"/>
      <c r="AN39" s="864"/>
      <c r="AO39" s="864"/>
      <c r="AP39" s="864"/>
      <c r="AQ39" s="864"/>
      <c r="AR39" s="864"/>
      <c r="AS39" s="864"/>
      <c r="AT39" s="864"/>
      <c r="AU39" s="864"/>
      <c r="AV39" s="864"/>
      <c r="AW39" s="864"/>
      <c r="AX39" s="864"/>
      <c r="AY39" s="864"/>
      <c r="AZ39" s="864"/>
    </row>
    <row r="40" spans="1:52" s="865" customFormat="1">
      <c r="A40" s="847"/>
      <c r="B40" s="847"/>
      <c r="C40" s="848"/>
      <c r="D40" s="866" t="s">
        <v>740</v>
      </c>
      <c r="E40" s="869" t="s">
        <v>741</v>
      </c>
      <c r="F40" s="868" t="s">
        <v>420</v>
      </c>
      <c r="G40" s="4237">
        <f t="shared" si="4"/>
        <v>0</v>
      </c>
      <c r="H40" s="4238"/>
      <c r="I40" s="4238"/>
      <c r="J40" s="4239"/>
      <c r="K40" s="4237">
        <f t="shared" si="5"/>
        <v>0</v>
      </c>
      <c r="L40" s="4238"/>
      <c r="M40" s="4238"/>
      <c r="N40" s="4239"/>
      <c r="O40" s="863"/>
      <c r="P40" s="863"/>
      <c r="Q40" s="4237">
        <f t="shared" si="6"/>
        <v>0</v>
      </c>
      <c r="R40" s="4238"/>
      <c r="S40" s="4238"/>
      <c r="T40" s="4239"/>
      <c r="U40" s="863"/>
      <c r="V40" s="4237">
        <f>SUM(V34,V37)</f>
        <v>0</v>
      </c>
      <c r="W40" s="4238"/>
      <c r="X40" s="4238"/>
      <c r="Y40" s="4239"/>
      <c r="Z40" s="863"/>
      <c r="AA40" s="4237">
        <f t="shared" si="7"/>
        <v>0</v>
      </c>
      <c r="AB40" s="4238"/>
      <c r="AC40" s="4238"/>
      <c r="AD40" s="4239"/>
      <c r="AE40" s="863"/>
      <c r="AF40" s="863"/>
      <c r="AG40" s="853"/>
      <c r="AH40" s="848"/>
      <c r="AI40" s="848"/>
      <c r="AJ40" s="848"/>
      <c r="AK40" s="848"/>
      <c r="AL40" s="848"/>
      <c r="AM40" s="864"/>
      <c r="AN40" s="864"/>
      <c r="AO40" s="864"/>
      <c r="AP40" s="864"/>
      <c r="AQ40" s="864"/>
      <c r="AR40" s="864"/>
      <c r="AS40" s="864"/>
      <c r="AT40" s="864"/>
      <c r="AU40" s="864"/>
      <c r="AV40" s="864"/>
      <c r="AW40" s="864"/>
      <c r="AX40" s="864"/>
      <c r="AY40" s="864"/>
      <c r="AZ40" s="864"/>
    </row>
    <row r="41" spans="1:52" s="865" customFormat="1" ht="22.5">
      <c r="A41" s="847"/>
      <c r="B41" s="847"/>
      <c r="C41" s="848"/>
      <c r="D41" s="866" t="s">
        <v>742</v>
      </c>
      <c r="E41" s="867" t="s">
        <v>743</v>
      </c>
      <c r="F41" s="868" t="s">
        <v>420</v>
      </c>
      <c r="G41" s="4237">
        <f t="shared" si="4"/>
        <v>0</v>
      </c>
      <c r="H41" s="4238"/>
      <c r="I41" s="4238"/>
      <c r="J41" s="4239"/>
      <c r="K41" s="4237">
        <f t="shared" si="5"/>
        <v>0</v>
      </c>
      <c r="L41" s="4238"/>
      <c r="M41" s="4238"/>
      <c r="N41" s="4239"/>
      <c r="O41" s="863"/>
      <c r="P41" s="863"/>
      <c r="Q41" s="4237">
        <f t="shared" si="6"/>
        <v>0</v>
      </c>
      <c r="R41" s="4238"/>
      <c r="S41" s="4238"/>
      <c r="T41" s="4239"/>
      <c r="U41" s="863"/>
      <c r="V41" s="4240">
        <f>V32*90%</f>
        <v>0</v>
      </c>
      <c r="W41" s="4241"/>
      <c r="X41" s="4241"/>
      <c r="Y41" s="4242"/>
      <c r="Z41" s="863"/>
      <c r="AA41" s="4237">
        <f t="shared" si="7"/>
        <v>0</v>
      </c>
      <c r="AB41" s="4238"/>
      <c r="AC41" s="4238"/>
      <c r="AD41" s="4239"/>
      <c r="AE41" s="863"/>
      <c r="AF41" s="863"/>
      <c r="AG41" s="853"/>
      <c r="AH41" s="848"/>
      <c r="AI41" s="848"/>
      <c r="AJ41" s="848"/>
      <c r="AK41" s="848"/>
      <c r="AL41" s="848"/>
      <c r="AM41" s="864"/>
      <c r="AN41" s="864"/>
      <c r="AO41" s="864"/>
      <c r="AP41" s="864"/>
      <c r="AQ41" s="864"/>
      <c r="AR41" s="864"/>
      <c r="AS41" s="864"/>
      <c r="AT41" s="864"/>
      <c r="AU41" s="864"/>
      <c r="AV41" s="864"/>
      <c r="AW41" s="864"/>
      <c r="AX41" s="864"/>
      <c r="AY41" s="864"/>
      <c r="AZ41" s="864"/>
    </row>
    <row r="42" spans="1:52" s="865" customFormat="1" ht="22.5">
      <c r="A42" s="847"/>
      <c r="B42" s="847"/>
      <c r="C42" s="848"/>
      <c r="D42" s="875" t="s">
        <v>744</v>
      </c>
      <c r="E42" s="876" t="s">
        <v>745</v>
      </c>
      <c r="F42" s="877" t="s">
        <v>420</v>
      </c>
      <c r="G42" s="4237">
        <f t="shared" si="4"/>
        <v>0</v>
      </c>
      <c r="H42" s="4238"/>
      <c r="I42" s="4238"/>
      <c r="J42" s="4239"/>
      <c r="K42" s="4237">
        <f t="shared" si="5"/>
        <v>0</v>
      </c>
      <c r="L42" s="4238"/>
      <c r="M42" s="4238"/>
      <c r="N42" s="4239"/>
      <c r="O42" s="878"/>
      <c r="P42" s="878"/>
      <c r="Q42" s="4237">
        <f t="shared" si="6"/>
        <v>0</v>
      </c>
      <c r="R42" s="4238"/>
      <c r="S42" s="4238"/>
      <c r="T42" s="4239"/>
      <c r="U42" s="878"/>
      <c r="V42" s="4240"/>
      <c r="W42" s="4241"/>
      <c r="X42" s="4241"/>
      <c r="Y42" s="4242"/>
      <c r="Z42" s="878"/>
      <c r="AA42" s="4237">
        <f t="shared" si="7"/>
        <v>0</v>
      </c>
      <c r="AB42" s="4238"/>
      <c r="AC42" s="4238"/>
      <c r="AD42" s="4239"/>
      <c r="AE42" s="878"/>
      <c r="AF42" s="878"/>
      <c r="AG42" s="853"/>
      <c r="AH42" s="848"/>
      <c r="AI42" s="848"/>
      <c r="AJ42" s="848"/>
      <c r="AK42" s="848"/>
      <c r="AL42" s="848"/>
      <c r="AM42" s="864"/>
      <c r="AN42" s="864"/>
      <c r="AO42" s="864"/>
      <c r="AP42" s="864"/>
      <c r="AQ42" s="864"/>
      <c r="AR42" s="864"/>
      <c r="AS42" s="864"/>
      <c r="AT42" s="864"/>
      <c r="AU42" s="864"/>
      <c r="AV42" s="864"/>
      <c r="AW42" s="864"/>
      <c r="AX42" s="864"/>
      <c r="AY42" s="864"/>
      <c r="AZ42" s="864"/>
    </row>
    <row r="43" spans="1:52" s="837" customFormat="1" ht="12.75">
      <c r="C43" s="844"/>
      <c r="D43" s="843"/>
      <c r="E43" s="844"/>
      <c r="F43" s="845"/>
      <c r="G43" s="844"/>
      <c r="H43" s="844"/>
      <c r="I43" s="844"/>
      <c r="J43" s="844"/>
      <c r="K43" s="844"/>
      <c r="L43" s="844"/>
      <c r="M43" s="844"/>
      <c r="N43" s="844"/>
      <c r="O43" s="844"/>
      <c r="P43" s="844"/>
      <c r="Q43" s="844"/>
      <c r="R43" s="844"/>
      <c r="S43" s="844"/>
      <c r="T43" s="844"/>
      <c r="U43" s="844"/>
      <c r="V43" s="842"/>
      <c r="W43" s="842"/>
      <c r="X43" s="842"/>
      <c r="Y43" s="842"/>
      <c r="Z43" s="879"/>
      <c r="AA43" s="844"/>
      <c r="AB43" s="844"/>
      <c r="AC43" s="844"/>
      <c r="AD43" s="844"/>
      <c r="AE43" s="844"/>
      <c r="AF43" s="879"/>
      <c r="AG43" s="844"/>
      <c r="AH43" s="844"/>
      <c r="AI43" s="844"/>
      <c r="AJ43" s="844"/>
      <c r="AK43" s="844"/>
      <c r="AL43" s="844"/>
      <c r="AM43" s="844"/>
      <c r="AN43" s="844"/>
      <c r="AO43" s="844"/>
      <c r="AP43" s="844"/>
      <c r="AQ43" s="844"/>
      <c r="AR43" s="844"/>
    </row>
    <row r="44" spans="1:52" s="837" customFormat="1" ht="12.75">
      <c r="D44" s="880"/>
      <c r="F44" s="881"/>
      <c r="V44" s="842"/>
      <c r="W44" s="842"/>
      <c r="X44" s="842"/>
      <c r="Y44" s="842"/>
      <c r="AA44" s="844"/>
      <c r="AB44" s="844"/>
      <c r="AC44" s="844"/>
      <c r="AD44" s="844"/>
      <c r="AE44" s="844"/>
      <c r="AF44" s="844"/>
      <c r="AG44" s="844"/>
      <c r="AH44" s="844"/>
      <c r="AI44" s="844"/>
      <c r="AJ44" s="844"/>
      <c r="AK44" s="844"/>
      <c r="AL44" s="844"/>
      <c r="AM44" s="844"/>
      <c r="AN44" s="844"/>
      <c r="AO44" s="844"/>
      <c r="AP44" s="844"/>
      <c r="AQ44" s="844"/>
      <c r="AR44" s="844"/>
    </row>
    <row r="45" spans="1:52" s="837" customFormat="1">
      <c r="D45" s="880"/>
      <c r="F45" s="881"/>
      <c r="V45" s="882"/>
      <c r="W45" s="882"/>
      <c r="X45" s="882"/>
      <c r="Y45" s="882"/>
      <c r="AA45" s="844"/>
      <c r="AB45" s="844"/>
      <c r="AC45" s="844"/>
      <c r="AD45" s="844"/>
      <c r="AE45" s="844"/>
      <c r="AF45" s="844"/>
      <c r="AG45" s="844"/>
      <c r="AH45" s="844"/>
      <c r="AI45" s="844"/>
      <c r="AJ45" s="844"/>
      <c r="AK45" s="844"/>
      <c r="AL45" s="844"/>
      <c r="AM45" s="844"/>
      <c r="AN45" s="844"/>
      <c r="AO45" s="844"/>
      <c r="AP45" s="844"/>
      <c r="AQ45" s="844"/>
      <c r="AR45" s="844"/>
    </row>
    <row r="46" spans="1:52" s="837" customFormat="1">
      <c r="D46" s="880"/>
      <c r="F46" s="881"/>
      <c r="V46" s="882"/>
      <c r="W46" s="882"/>
      <c r="X46" s="882"/>
      <c r="Y46" s="882"/>
      <c r="AA46" s="844"/>
      <c r="AB46" s="844"/>
      <c r="AC46" s="844"/>
      <c r="AD46" s="844"/>
      <c r="AE46" s="844"/>
      <c r="AF46" s="844"/>
      <c r="AG46" s="844"/>
      <c r="AH46" s="844"/>
      <c r="AI46" s="844"/>
      <c r="AJ46" s="844"/>
      <c r="AK46" s="844"/>
      <c r="AL46" s="844"/>
      <c r="AM46" s="844"/>
      <c r="AN46" s="844"/>
      <c r="AO46" s="844"/>
      <c r="AP46" s="844"/>
      <c r="AQ46" s="844"/>
      <c r="AR46" s="844"/>
    </row>
    <row r="47" spans="1:52" s="837" customFormat="1">
      <c r="D47" s="880"/>
      <c r="F47" s="881"/>
      <c r="V47" s="882"/>
      <c r="W47" s="882"/>
      <c r="X47" s="882"/>
      <c r="Y47" s="882"/>
      <c r="AA47" s="844"/>
      <c r="AB47" s="844"/>
      <c r="AC47" s="844"/>
      <c r="AD47" s="844"/>
      <c r="AE47" s="844"/>
      <c r="AF47" s="844"/>
      <c r="AG47" s="844"/>
      <c r="AH47" s="844"/>
      <c r="AI47" s="844"/>
      <c r="AJ47" s="844"/>
      <c r="AK47" s="844"/>
      <c r="AL47" s="844"/>
      <c r="AM47" s="844"/>
      <c r="AN47" s="844"/>
      <c r="AO47" s="844"/>
      <c r="AP47" s="844"/>
      <c r="AQ47" s="844"/>
      <c r="AR47" s="844"/>
    </row>
    <row r="48" spans="1:52" s="837" customFormat="1">
      <c r="D48" s="880"/>
      <c r="F48" s="881"/>
      <c r="V48" s="882"/>
      <c r="W48" s="882"/>
      <c r="X48" s="882"/>
      <c r="Y48" s="882"/>
      <c r="AA48" s="844"/>
      <c r="AB48" s="844"/>
      <c r="AC48" s="844"/>
      <c r="AD48" s="844"/>
      <c r="AE48" s="844"/>
      <c r="AF48" s="844"/>
      <c r="AG48" s="844"/>
      <c r="AH48" s="844"/>
      <c r="AI48" s="844"/>
      <c r="AJ48" s="844"/>
      <c r="AK48" s="844"/>
      <c r="AL48" s="844"/>
      <c r="AM48" s="844"/>
      <c r="AN48" s="844"/>
      <c r="AO48" s="844"/>
      <c r="AP48" s="844"/>
      <c r="AQ48" s="844"/>
      <c r="AR48" s="844"/>
    </row>
    <row r="49" spans="4:44" s="837" customFormat="1">
      <c r="D49" s="880"/>
      <c r="F49" s="881"/>
      <c r="V49" s="882"/>
      <c r="W49" s="882"/>
      <c r="X49" s="882"/>
      <c r="Y49" s="882"/>
      <c r="AA49" s="844"/>
      <c r="AB49" s="844"/>
      <c r="AC49" s="844"/>
      <c r="AD49" s="844"/>
      <c r="AE49" s="844"/>
      <c r="AF49" s="844"/>
      <c r="AG49" s="844"/>
      <c r="AH49" s="844"/>
      <c r="AI49" s="844"/>
      <c r="AJ49" s="844"/>
      <c r="AK49" s="844"/>
      <c r="AL49" s="844"/>
      <c r="AM49" s="844"/>
      <c r="AN49" s="844"/>
      <c r="AO49" s="844"/>
      <c r="AP49" s="844"/>
      <c r="AQ49" s="844"/>
      <c r="AR49" s="844"/>
    </row>
    <row r="50" spans="4:44" s="837" customFormat="1">
      <c r="D50" s="880"/>
      <c r="F50" s="881"/>
      <c r="V50" s="882"/>
      <c r="W50" s="882"/>
      <c r="X50" s="882"/>
      <c r="Y50" s="882"/>
    </row>
    <row r="51" spans="4:44" s="837" customFormat="1">
      <c r="D51" s="880"/>
      <c r="F51" s="881"/>
      <c r="V51" s="882"/>
      <c r="W51" s="882"/>
      <c r="X51" s="882"/>
      <c r="Y51" s="882"/>
    </row>
  </sheetData>
  <mergeCells count="149">
    <mergeCell ref="D9:AF9"/>
    <mergeCell ref="D10:AF10"/>
    <mergeCell ref="D11:E11"/>
    <mergeCell ref="V11:Y11"/>
    <mergeCell ref="D12:D14"/>
    <mergeCell ref="E12:E14"/>
    <mergeCell ref="F12:F14"/>
    <mergeCell ref="G12:J13"/>
    <mergeCell ref="K12:N13"/>
    <mergeCell ref="Q12:T13"/>
    <mergeCell ref="V12:Y12"/>
    <mergeCell ref="AA12:AD13"/>
    <mergeCell ref="V13:W13"/>
    <mergeCell ref="X13:Y13"/>
    <mergeCell ref="G14:J14"/>
    <mergeCell ref="K14:N14"/>
    <mergeCell ref="Q14:T14"/>
    <mergeCell ref="V14:Y14"/>
    <mergeCell ref="AA14:AD14"/>
    <mergeCell ref="G15:J15"/>
    <mergeCell ref="K15:N15"/>
    <mergeCell ref="Q15:T15"/>
    <mergeCell ref="V15:Y15"/>
    <mergeCell ref="AA15:AD15"/>
    <mergeCell ref="G17:J17"/>
    <mergeCell ref="K17:N17"/>
    <mergeCell ref="Q17:T17"/>
    <mergeCell ref="V17:Y17"/>
    <mergeCell ref="AA17:AD17"/>
    <mergeCell ref="G18:J18"/>
    <mergeCell ref="K18:N18"/>
    <mergeCell ref="Q18:T18"/>
    <mergeCell ref="V18:Y18"/>
    <mergeCell ref="AA18:AD18"/>
    <mergeCell ref="G19:J19"/>
    <mergeCell ref="K19:N19"/>
    <mergeCell ref="Q19:T19"/>
    <mergeCell ref="V19:Y19"/>
    <mergeCell ref="AA19:AD19"/>
    <mergeCell ref="G20:J20"/>
    <mergeCell ref="K20:N20"/>
    <mergeCell ref="Q20:T20"/>
    <mergeCell ref="V20:Y20"/>
    <mergeCell ref="AA20:AD20"/>
    <mergeCell ref="G21:J21"/>
    <mergeCell ref="K21:N21"/>
    <mergeCell ref="Q21:T21"/>
    <mergeCell ref="V21:Y21"/>
    <mergeCell ref="AA21:AD21"/>
    <mergeCell ref="G22:J22"/>
    <mergeCell ref="K22:N22"/>
    <mergeCell ref="Q22:T22"/>
    <mergeCell ref="V22:Y22"/>
    <mergeCell ref="AA22:AD22"/>
    <mergeCell ref="G23:J23"/>
    <mergeCell ref="K23:N23"/>
    <mergeCell ref="Q23:T23"/>
    <mergeCell ref="V23:Y23"/>
    <mergeCell ref="AA23:AD23"/>
    <mergeCell ref="G24:J24"/>
    <mergeCell ref="K24:N24"/>
    <mergeCell ref="Q24:T24"/>
    <mergeCell ref="V24:Y24"/>
    <mergeCell ref="AA24:AD24"/>
    <mergeCell ref="G25:J25"/>
    <mergeCell ref="K25:N25"/>
    <mergeCell ref="Q25:T25"/>
    <mergeCell ref="V25:Y25"/>
    <mergeCell ref="AA25:AD25"/>
    <mergeCell ref="G26:J26"/>
    <mergeCell ref="K26:N26"/>
    <mergeCell ref="Q26:T26"/>
    <mergeCell ref="V26:Y26"/>
    <mergeCell ref="AA26:AD26"/>
    <mergeCell ref="G27:J27"/>
    <mergeCell ref="K27:N27"/>
    <mergeCell ref="Q27:T27"/>
    <mergeCell ref="V27:Y27"/>
    <mergeCell ref="AA27:AD27"/>
    <mergeCell ref="G28:J28"/>
    <mergeCell ref="K28:N28"/>
    <mergeCell ref="Q28:T28"/>
    <mergeCell ref="V28:Y28"/>
    <mergeCell ref="AA28:AD28"/>
    <mergeCell ref="G29:J29"/>
    <mergeCell ref="K29:N29"/>
    <mergeCell ref="Q29:T29"/>
    <mergeCell ref="V29:Y29"/>
    <mergeCell ref="AA29:AD29"/>
    <mergeCell ref="G30:J30"/>
    <mergeCell ref="K30:N30"/>
    <mergeCell ref="Q30:T30"/>
    <mergeCell ref="V30:Y30"/>
    <mergeCell ref="AA30:AD30"/>
    <mergeCell ref="G32:J32"/>
    <mergeCell ref="K32:N32"/>
    <mergeCell ref="Q32:T32"/>
    <mergeCell ref="V32:Y32"/>
    <mergeCell ref="AA32:AD32"/>
    <mergeCell ref="G33:J33"/>
    <mergeCell ref="K33:N33"/>
    <mergeCell ref="Q33:T33"/>
    <mergeCell ref="V33:Y33"/>
    <mergeCell ref="AA33:AD33"/>
    <mergeCell ref="G34:J34"/>
    <mergeCell ref="K34:N34"/>
    <mergeCell ref="Q34:T34"/>
    <mergeCell ref="V34:Y34"/>
    <mergeCell ref="AA34:AD34"/>
    <mergeCell ref="G35:J35"/>
    <mergeCell ref="K35:N35"/>
    <mergeCell ref="Q35:T35"/>
    <mergeCell ref="V35:Y35"/>
    <mergeCell ref="AA35:AD35"/>
    <mergeCell ref="G36:J36"/>
    <mergeCell ref="K36:N36"/>
    <mergeCell ref="Q36:T36"/>
    <mergeCell ref="V36:Y36"/>
    <mergeCell ref="AA36:AD36"/>
    <mergeCell ref="G37:J37"/>
    <mergeCell ref="K37:N37"/>
    <mergeCell ref="Q37:T37"/>
    <mergeCell ref="V37:Y37"/>
    <mergeCell ref="AA37:AD37"/>
    <mergeCell ref="G38:J38"/>
    <mergeCell ref="K38:N38"/>
    <mergeCell ref="Q38:T38"/>
    <mergeCell ref="V38:Y38"/>
    <mergeCell ref="AA38:AD38"/>
    <mergeCell ref="G39:J39"/>
    <mergeCell ref="K39:N39"/>
    <mergeCell ref="Q39:T39"/>
    <mergeCell ref="V39:Y39"/>
    <mergeCell ref="AA39:AD39"/>
    <mergeCell ref="G40:J40"/>
    <mergeCell ref="K40:N40"/>
    <mergeCell ref="Q40:T40"/>
    <mergeCell ref="V40:Y40"/>
    <mergeCell ref="AA40:AD40"/>
    <mergeCell ref="G41:J41"/>
    <mergeCell ref="K41:N41"/>
    <mergeCell ref="Q41:T41"/>
    <mergeCell ref="V41:Y41"/>
    <mergeCell ref="AA41:AD41"/>
    <mergeCell ref="G42:J42"/>
    <mergeCell ref="K42:N42"/>
    <mergeCell ref="Q42:T42"/>
    <mergeCell ref="V42:Y42"/>
    <mergeCell ref="AA42:AD42"/>
  </mergeCells>
  <dataValidations count="1">
    <dataValidation type="decimal" allowBlank="1" showInputMessage="1" showErrorMessage="1" errorTitle="Внимание" error="Допускается ввод только действительных чисел!" sqref="V23:V30 V17 V33:V35 V19:V21 V37:V38 V41:V42">
      <formula1>-9.99999999999999E+23</formula1>
      <formula2>9.99999999999999E+23</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K77"/>
  <sheetViews>
    <sheetView topLeftCell="C8" workbookViewId="0">
      <selection activeCell="I19" sqref="I19"/>
    </sheetView>
  </sheetViews>
  <sheetFormatPr defaultColWidth="9.28515625" defaultRowHeight="11.25"/>
  <cols>
    <col min="1" max="2" width="9.28515625" style="885" hidden="1" customWidth="1"/>
    <col min="3" max="3" width="2.7109375" style="885" customWidth="1"/>
    <col min="4" max="4" width="6.7109375" style="885" customWidth="1"/>
    <col min="5" max="5" width="45.7109375" style="885" customWidth="1"/>
    <col min="6" max="6" width="7.5703125" style="885" customWidth="1"/>
    <col min="7" max="11" width="20.7109375" style="885" customWidth="1"/>
    <col min="12" max="13" width="2.7109375" style="885" customWidth="1"/>
    <col min="14" max="16384" width="9.28515625" style="885"/>
  </cols>
  <sheetData>
    <row r="1" spans="1:11" hidden="1"/>
    <row r="2" spans="1:11" hidden="1"/>
    <row r="3" spans="1:11" hidden="1"/>
    <row r="4" spans="1:11" hidden="1"/>
    <row r="5" spans="1:11" hidden="1"/>
    <row r="6" spans="1:11" hidden="1"/>
    <row r="7" spans="1:11" hidden="1"/>
    <row r="9" spans="1:11" ht="18" customHeight="1">
      <c r="D9" s="4274" t="s">
        <v>891</v>
      </c>
      <c r="E9" s="4275"/>
      <c r="F9" s="4275"/>
      <c r="G9" s="4275"/>
      <c r="H9" s="4275"/>
      <c r="I9" s="4275"/>
      <c r="J9" s="4275"/>
      <c r="K9" s="4276"/>
    </row>
    <row r="10" spans="1:11" ht="12" customHeight="1"/>
    <row r="11" spans="1:11" ht="60" customHeight="1">
      <c r="D11" s="886" t="s">
        <v>400</v>
      </c>
      <c r="E11" s="886" t="s">
        <v>746</v>
      </c>
      <c r="F11" s="886" t="s">
        <v>498</v>
      </c>
      <c r="G11" s="886" t="s">
        <v>747</v>
      </c>
      <c r="H11" s="886" t="s">
        <v>748</v>
      </c>
      <c r="I11" s="886" t="s">
        <v>749</v>
      </c>
      <c r="J11" s="886" t="s">
        <v>750</v>
      </c>
      <c r="K11" s="886" t="s">
        <v>751</v>
      </c>
    </row>
    <row r="12" spans="1:11">
      <c r="D12" s="887">
        <v>1</v>
      </c>
      <c r="E12" s="887">
        <f t="shared" ref="E12:K12" si="0">D12+1</f>
        <v>2</v>
      </c>
      <c r="F12" s="887">
        <f t="shared" si="0"/>
        <v>3</v>
      </c>
      <c r="G12" s="887">
        <f t="shared" si="0"/>
        <v>4</v>
      </c>
      <c r="H12" s="887">
        <f t="shared" si="0"/>
        <v>5</v>
      </c>
      <c r="I12" s="887">
        <f t="shared" si="0"/>
        <v>6</v>
      </c>
      <c r="J12" s="887">
        <f t="shared" si="0"/>
        <v>7</v>
      </c>
      <c r="K12" s="887">
        <f t="shared" si="0"/>
        <v>8</v>
      </c>
    </row>
    <row r="13" spans="1:11" ht="18" customHeight="1">
      <c r="A13" s="4272"/>
      <c r="B13" s="4272"/>
      <c r="C13" s="4272"/>
      <c r="D13" s="4273" t="s">
        <v>752</v>
      </c>
      <c r="E13" s="4273"/>
      <c r="F13" s="4273"/>
      <c r="G13" s="4273"/>
      <c r="H13" s="4273"/>
      <c r="I13" s="4273"/>
      <c r="J13" s="4273"/>
      <c r="K13" s="4273"/>
    </row>
    <row r="14" spans="1:11">
      <c r="A14" s="4272"/>
      <c r="B14" s="4272"/>
      <c r="C14" s="4272"/>
      <c r="D14" s="889" t="s">
        <v>699</v>
      </c>
      <c r="E14" s="890" t="s">
        <v>659</v>
      </c>
      <c r="F14" s="891">
        <v>100</v>
      </c>
      <c r="G14" s="892">
        <f>SUM(G15:G26)</f>
        <v>57965.807000000212</v>
      </c>
      <c r="H14" s="892">
        <f>SUM(H15:H26)</f>
        <v>53818.308530000002</v>
      </c>
      <c r="I14" s="892">
        <f>SUM(I15:I26)</f>
        <v>0</v>
      </c>
      <c r="J14" s="892">
        <f>SUM(J15:J26)</f>
        <v>0</v>
      </c>
      <c r="K14" s="892">
        <f>SUM(K15:K26)</f>
        <v>0</v>
      </c>
    </row>
    <row r="15" spans="1:11">
      <c r="A15" s="4272"/>
      <c r="B15" s="4272"/>
      <c r="C15" s="4272"/>
      <c r="D15" s="889" t="s">
        <v>753</v>
      </c>
      <c r="E15" s="893" t="s">
        <v>754</v>
      </c>
      <c r="F15" s="891">
        <v>101</v>
      </c>
      <c r="G15" s="892">
        <f t="shared" ref="G15:K27" si="1">G30+G45+G60</f>
        <v>26300.028000000213</v>
      </c>
      <c r="H15" s="892">
        <f t="shared" si="1"/>
        <v>0</v>
      </c>
      <c r="I15" s="892">
        <f t="shared" si="1"/>
        <v>0</v>
      </c>
      <c r="J15" s="892">
        <f t="shared" si="1"/>
        <v>0</v>
      </c>
      <c r="K15" s="892">
        <f t="shared" si="1"/>
        <v>0</v>
      </c>
    </row>
    <row r="16" spans="1:11">
      <c r="A16" s="4272"/>
      <c r="B16" s="4272"/>
      <c r="C16" s="4272"/>
      <c r="D16" s="889" t="s">
        <v>755</v>
      </c>
      <c r="E16" s="893" t="s">
        <v>756</v>
      </c>
      <c r="F16" s="891">
        <v>102</v>
      </c>
      <c r="G16" s="892">
        <f t="shared" si="1"/>
        <v>0</v>
      </c>
      <c r="H16" s="892">
        <f t="shared" si="1"/>
        <v>0</v>
      </c>
      <c r="I16" s="892">
        <f t="shared" si="1"/>
        <v>0</v>
      </c>
      <c r="J16" s="892">
        <f t="shared" si="1"/>
        <v>0</v>
      </c>
      <c r="K16" s="892">
        <f t="shared" si="1"/>
        <v>0</v>
      </c>
    </row>
    <row r="17" spans="1:11">
      <c r="A17" s="4272"/>
      <c r="B17" s="4272"/>
      <c r="C17" s="4272"/>
      <c r="D17" s="889" t="s">
        <v>757</v>
      </c>
      <c r="E17" s="893" t="s">
        <v>758</v>
      </c>
      <c r="F17" s="891">
        <v>103</v>
      </c>
      <c r="G17" s="892">
        <f t="shared" si="1"/>
        <v>0</v>
      </c>
      <c r="H17" s="892">
        <f t="shared" si="1"/>
        <v>0</v>
      </c>
      <c r="I17" s="892">
        <f t="shared" si="1"/>
        <v>0</v>
      </c>
      <c r="J17" s="892">
        <f t="shared" si="1"/>
        <v>0</v>
      </c>
      <c r="K17" s="892">
        <f t="shared" si="1"/>
        <v>0</v>
      </c>
    </row>
    <row r="18" spans="1:11">
      <c r="A18" s="4272"/>
      <c r="B18" s="4272"/>
      <c r="C18" s="4272"/>
      <c r="D18" s="889" t="s">
        <v>759</v>
      </c>
      <c r="E18" s="893" t="s">
        <v>760</v>
      </c>
      <c r="F18" s="891">
        <v>104</v>
      </c>
      <c r="G18" s="892">
        <f t="shared" si="1"/>
        <v>0</v>
      </c>
      <c r="H18" s="892">
        <f t="shared" si="1"/>
        <v>0</v>
      </c>
      <c r="I18" s="892">
        <f t="shared" si="1"/>
        <v>0</v>
      </c>
      <c r="J18" s="892">
        <f t="shared" si="1"/>
        <v>0</v>
      </c>
      <c r="K18" s="892">
        <f t="shared" si="1"/>
        <v>0</v>
      </c>
    </row>
    <row r="19" spans="1:11">
      <c r="A19" s="4272"/>
      <c r="B19" s="4272"/>
      <c r="C19" s="4272"/>
      <c r="D19" s="889" t="s">
        <v>761</v>
      </c>
      <c r="E19" s="893" t="s">
        <v>762</v>
      </c>
      <c r="F19" s="891">
        <v>105</v>
      </c>
      <c r="G19" s="892">
        <f t="shared" si="1"/>
        <v>0</v>
      </c>
      <c r="H19" s="892">
        <f t="shared" si="1"/>
        <v>0</v>
      </c>
      <c r="I19" s="892">
        <f t="shared" si="1"/>
        <v>0</v>
      </c>
      <c r="J19" s="892">
        <f t="shared" si="1"/>
        <v>0</v>
      </c>
      <c r="K19" s="892">
        <f t="shared" si="1"/>
        <v>0</v>
      </c>
    </row>
    <row r="20" spans="1:11">
      <c r="A20" s="4272"/>
      <c r="B20" s="4272"/>
      <c r="C20" s="4272"/>
      <c r="D20" s="889" t="s">
        <v>763</v>
      </c>
      <c r="E20" s="894" t="s">
        <v>645</v>
      </c>
      <c r="F20" s="891">
        <v>106</v>
      </c>
      <c r="G20" s="892">
        <f t="shared" si="1"/>
        <v>31007.613000000001</v>
      </c>
      <c r="H20" s="892">
        <f t="shared" si="1"/>
        <v>53818.308530000002</v>
      </c>
      <c r="I20" s="892">
        <f t="shared" si="1"/>
        <v>0</v>
      </c>
      <c r="J20" s="892">
        <f t="shared" si="1"/>
        <v>0</v>
      </c>
      <c r="K20" s="892">
        <f t="shared" si="1"/>
        <v>0</v>
      </c>
    </row>
    <row r="21" spans="1:11">
      <c r="A21" s="4272"/>
      <c r="B21" s="4272"/>
      <c r="C21" s="4272"/>
      <c r="D21" s="889" t="s">
        <v>764</v>
      </c>
      <c r="E21" s="894" t="s">
        <v>646</v>
      </c>
      <c r="F21" s="891">
        <v>107</v>
      </c>
      <c r="G21" s="892">
        <f t="shared" si="1"/>
        <v>658.16600000000005</v>
      </c>
      <c r="H21" s="892">
        <f t="shared" si="1"/>
        <v>0</v>
      </c>
      <c r="I21" s="892">
        <f t="shared" si="1"/>
        <v>0</v>
      </c>
      <c r="J21" s="892">
        <f t="shared" si="1"/>
        <v>0</v>
      </c>
      <c r="K21" s="892">
        <f t="shared" si="1"/>
        <v>0</v>
      </c>
    </row>
    <row r="22" spans="1:11">
      <c r="A22" s="4272"/>
      <c r="B22" s="4272"/>
      <c r="C22" s="4272"/>
      <c r="D22" s="889" t="s">
        <v>765</v>
      </c>
      <c r="E22" s="895" t="s">
        <v>647</v>
      </c>
      <c r="F22" s="891">
        <v>108</v>
      </c>
      <c r="G22" s="892">
        <f t="shared" si="1"/>
        <v>0</v>
      </c>
      <c r="H22" s="892">
        <f t="shared" si="1"/>
        <v>0</v>
      </c>
      <c r="I22" s="892">
        <f t="shared" si="1"/>
        <v>0</v>
      </c>
      <c r="J22" s="892">
        <f t="shared" si="1"/>
        <v>0</v>
      </c>
      <c r="K22" s="892">
        <f t="shared" si="1"/>
        <v>0</v>
      </c>
    </row>
    <row r="23" spans="1:11">
      <c r="A23" s="4272"/>
      <c r="B23" s="4272"/>
      <c r="C23" s="4272"/>
      <c r="D23" s="889" t="s">
        <v>766</v>
      </c>
      <c r="E23" s="895" t="s">
        <v>648</v>
      </c>
      <c r="F23" s="891">
        <v>109</v>
      </c>
      <c r="G23" s="892">
        <f t="shared" si="1"/>
        <v>0</v>
      </c>
      <c r="H23" s="892">
        <f t="shared" si="1"/>
        <v>0</v>
      </c>
      <c r="I23" s="892">
        <f t="shared" si="1"/>
        <v>0</v>
      </c>
      <c r="J23" s="892">
        <f t="shared" si="1"/>
        <v>0</v>
      </c>
      <c r="K23" s="892">
        <f t="shared" si="1"/>
        <v>0</v>
      </c>
    </row>
    <row r="24" spans="1:11">
      <c r="A24" s="4272"/>
      <c r="B24" s="4272"/>
      <c r="C24" s="4272"/>
      <c r="D24" s="889" t="s">
        <v>767</v>
      </c>
      <c r="E24" s="895" t="s">
        <v>768</v>
      </c>
      <c r="F24" s="891">
        <v>110</v>
      </c>
      <c r="G24" s="892">
        <f t="shared" si="1"/>
        <v>0</v>
      </c>
      <c r="H24" s="892">
        <f t="shared" si="1"/>
        <v>0</v>
      </c>
      <c r="I24" s="892">
        <f t="shared" si="1"/>
        <v>0</v>
      </c>
      <c r="J24" s="892">
        <f t="shared" si="1"/>
        <v>0</v>
      </c>
      <c r="K24" s="892">
        <f t="shared" si="1"/>
        <v>0</v>
      </c>
    </row>
    <row r="25" spans="1:11">
      <c r="A25" s="4272"/>
      <c r="B25" s="4272"/>
      <c r="C25" s="4272"/>
      <c r="D25" s="889" t="s">
        <v>769</v>
      </c>
      <c r="E25" s="895" t="s">
        <v>770</v>
      </c>
      <c r="F25" s="891">
        <v>111</v>
      </c>
      <c r="G25" s="892">
        <f t="shared" si="1"/>
        <v>0</v>
      </c>
      <c r="H25" s="892">
        <f t="shared" si="1"/>
        <v>0</v>
      </c>
      <c r="I25" s="892">
        <f t="shared" si="1"/>
        <v>0</v>
      </c>
      <c r="J25" s="892">
        <f t="shared" si="1"/>
        <v>0</v>
      </c>
      <c r="K25" s="892">
        <f t="shared" si="1"/>
        <v>0</v>
      </c>
    </row>
    <row r="26" spans="1:11">
      <c r="A26" s="4272"/>
      <c r="B26" s="4272"/>
      <c r="C26" s="4272"/>
      <c r="D26" s="889" t="s">
        <v>771</v>
      </c>
      <c r="E26" s="895" t="s">
        <v>772</v>
      </c>
      <c r="F26" s="891">
        <v>112</v>
      </c>
      <c r="G26" s="892">
        <f t="shared" si="1"/>
        <v>0</v>
      </c>
      <c r="H26" s="892">
        <f t="shared" si="1"/>
        <v>0</v>
      </c>
      <c r="I26" s="892">
        <f t="shared" si="1"/>
        <v>0</v>
      </c>
      <c r="J26" s="892">
        <f t="shared" si="1"/>
        <v>0</v>
      </c>
      <c r="K26" s="892">
        <f t="shared" si="1"/>
        <v>0</v>
      </c>
    </row>
    <row r="27" spans="1:11">
      <c r="A27" s="4272"/>
      <c r="B27" s="4272"/>
      <c r="C27" s="4272"/>
      <c r="D27" s="889" t="s">
        <v>688</v>
      </c>
      <c r="E27" s="896" t="s">
        <v>653</v>
      </c>
      <c r="F27" s="891">
        <v>200</v>
      </c>
      <c r="G27" s="892">
        <f t="shared" si="1"/>
        <v>0</v>
      </c>
      <c r="H27" s="892">
        <f t="shared" si="1"/>
        <v>0</v>
      </c>
      <c r="I27" s="892">
        <f t="shared" si="1"/>
        <v>0</v>
      </c>
      <c r="J27" s="892">
        <f t="shared" si="1"/>
        <v>0</v>
      </c>
      <c r="K27" s="892">
        <f t="shared" si="1"/>
        <v>0</v>
      </c>
    </row>
    <row r="28" spans="1:11" ht="18" customHeight="1">
      <c r="C28" s="4272"/>
      <c r="D28" s="4273" t="s">
        <v>773</v>
      </c>
      <c r="E28" s="4273"/>
      <c r="F28" s="4273"/>
      <c r="G28" s="4273"/>
      <c r="H28" s="4273"/>
      <c r="I28" s="4273"/>
      <c r="J28" s="4273"/>
      <c r="K28" s="4273"/>
    </row>
    <row r="29" spans="1:11">
      <c r="C29" s="4272"/>
      <c r="D29" s="889" t="s">
        <v>699</v>
      </c>
      <c r="E29" s="890" t="s">
        <v>659</v>
      </c>
      <c r="F29" s="891">
        <v>100</v>
      </c>
      <c r="G29" s="892">
        <f>SUM(G30:G41)</f>
        <v>0</v>
      </c>
      <c r="H29" s="892">
        <f>SUM(H30:H41)</f>
        <v>0</v>
      </c>
      <c r="I29" s="892">
        <f>SUM(I30:I41)</f>
        <v>0</v>
      </c>
      <c r="J29" s="892">
        <f>SUM(J30:J41)</f>
        <v>0</v>
      </c>
      <c r="K29" s="892">
        <f>SUM(K30:K41)</f>
        <v>0</v>
      </c>
    </row>
    <row r="30" spans="1:11">
      <c r="C30" s="4272"/>
      <c r="D30" s="889" t="s">
        <v>753</v>
      </c>
      <c r="E30" s="893" t="s">
        <v>754</v>
      </c>
      <c r="F30" s="891">
        <v>101</v>
      </c>
      <c r="G30" s="897"/>
      <c r="H30" s="897"/>
      <c r="I30" s="897"/>
      <c r="J30" s="897"/>
      <c r="K30" s="897"/>
    </row>
    <row r="31" spans="1:11">
      <c r="C31" s="4272"/>
      <c r="D31" s="889" t="s">
        <v>755</v>
      </c>
      <c r="E31" s="893" t="s">
        <v>756</v>
      </c>
      <c r="F31" s="891">
        <v>102</v>
      </c>
      <c r="G31" s="897"/>
      <c r="H31" s="897"/>
      <c r="I31" s="897"/>
      <c r="J31" s="897"/>
      <c r="K31" s="897"/>
    </row>
    <row r="32" spans="1:11">
      <c r="C32" s="4272"/>
      <c r="D32" s="889" t="s">
        <v>757</v>
      </c>
      <c r="E32" s="893" t="s">
        <v>758</v>
      </c>
      <c r="F32" s="891">
        <v>103</v>
      </c>
      <c r="G32" s="897"/>
      <c r="H32" s="897"/>
      <c r="I32" s="897"/>
      <c r="J32" s="897"/>
      <c r="K32" s="897"/>
    </row>
    <row r="33" spans="3:11">
      <c r="C33" s="4272"/>
      <c r="D33" s="889" t="s">
        <v>759</v>
      </c>
      <c r="E33" s="893" t="s">
        <v>760</v>
      </c>
      <c r="F33" s="891">
        <v>104</v>
      </c>
      <c r="G33" s="897"/>
      <c r="H33" s="897"/>
      <c r="I33" s="897"/>
      <c r="J33" s="897"/>
      <c r="K33" s="897"/>
    </row>
    <row r="34" spans="3:11">
      <c r="C34" s="4272"/>
      <c r="D34" s="889" t="s">
        <v>761</v>
      </c>
      <c r="E34" s="893" t="s">
        <v>762</v>
      </c>
      <c r="F34" s="891">
        <v>105</v>
      </c>
      <c r="G34" s="897"/>
      <c r="H34" s="897"/>
      <c r="I34" s="897"/>
      <c r="J34" s="897"/>
      <c r="K34" s="897"/>
    </row>
    <row r="35" spans="3:11">
      <c r="C35" s="4272"/>
      <c r="D35" s="889" t="s">
        <v>763</v>
      </c>
      <c r="E35" s="894" t="s">
        <v>645</v>
      </c>
      <c r="F35" s="891">
        <v>106</v>
      </c>
      <c r="G35" s="897"/>
      <c r="H35" s="897"/>
      <c r="I35" s="897"/>
      <c r="J35" s="897"/>
      <c r="K35" s="897"/>
    </row>
    <row r="36" spans="3:11">
      <c r="C36" s="4272"/>
      <c r="D36" s="889" t="s">
        <v>764</v>
      </c>
      <c r="E36" s="894" t="s">
        <v>646</v>
      </c>
      <c r="F36" s="891">
        <v>107</v>
      </c>
      <c r="G36" s="897"/>
      <c r="H36" s="897"/>
      <c r="I36" s="897"/>
      <c r="J36" s="897"/>
      <c r="K36" s="897"/>
    </row>
    <row r="37" spans="3:11">
      <c r="C37" s="4272"/>
      <c r="D37" s="889" t="s">
        <v>765</v>
      </c>
      <c r="E37" s="895" t="s">
        <v>647</v>
      </c>
      <c r="F37" s="891">
        <v>108</v>
      </c>
      <c r="G37" s="897"/>
      <c r="H37" s="897"/>
      <c r="I37" s="897"/>
      <c r="J37" s="897"/>
      <c r="K37" s="897"/>
    </row>
    <row r="38" spans="3:11">
      <c r="C38" s="4272"/>
      <c r="D38" s="889" t="s">
        <v>766</v>
      </c>
      <c r="E38" s="895" t="s">
        <v>648</v>
      </c>
      <c r="F38" s="891">
        <v>109</v>
      </c>
      <c r="G38" s="897"/>
      <c r="H38" s="897"/>
      <c r="I38" s="897"/>
      <c r="J38" s="897"/>
      <c r="K38" s="897"/>
    </row>
    <row r="39" spans="3:11">
      <c r="C39" s="4272"/>
      <c r="D39" s="889" t="s">
        <v>767</v>
      </c>
      <c r="E39" s="895" t="s">
        <v>768</v>
      </c>
      <c r="F39" s="891">
        <v>110</v>
      </c>
      <c r="G39" s="897"/>
      <c r="H39" s="897"/>
      <c r="I39" s="897"/>
      <c r="J39" s="897"/>
      <c r="K39" s="897"/>
    </row>
    <row r="40" spans="3:11">
      <c r="C40" s="4272"/>
      <c r="D40" s="889" t="s">
        <v>769</v>
      </c>
      <c r="E40" s="895" t="s">
        <v>770</v>
      </c>
      <c r="F40" s="891">
        <v>111</v>
      </c>
      <c r="G40" s="897"/>
      <c r="H40" s="897"/>
      <c r="I40" s="897"/>
      <c r="J40" s="897"/>
      <c r="K40" s="897"/>
    </row>
    <row r="41" spans="3:11">
      <c r="C41" s="4272"/>
      <c r="D41" s="889" t="s">
        <v>771</v>
      </c>
      <c r="E41" s="895" t="s">
        <v>772</v>
      </c>
      <c r="F41" s="891">
        <v>112</v>
      </c>
      <c r="G41" s="897"/>
      <c r="H41" s="897"/>
      <c r="I41" s="897"/>
      <c r="J41" s="897"/>
      <c r="K41" s="897"/>
    </row>
    <row r="42" spans="3:11">
      <c r="C42" s="4272"/>
      <c r="D42" s="889" t="s">
        <v>688</v>
      </c>
      <c r="E42" s="896" t="s">
        <v>653</v>
      </c>
      <c r="F42" s="891">
        <v>200</v>
      </c>
      <c r="G42" s="897"/>
      <c r="H42" s="897"/>
      <c r="I42" s="897"/>
      <c r="J42" s="897"/>
      <c r="K42" s="897"/>
    </row>
    <row r="43" spans="3:11" ht="18" customHeight="1">
      <c r="C43" s="4272"/>
      <c r="D43" s="4273" t="s">
        <v>444</v>
      </c>
      <c r="E43" s="4273"/>
      <c r="F43" s="4273"/>
      <c r="G43" s="4273"/>
      <c r="H43" s="4273"/>
      <c r="I43" s="4273"/>
      <c r="J43" s="4273"/>
      <c r="K43" s="4273"/>
    </row>
    <row r="44" spans="3:11">
      <c r="C44" s="4272"/>
      <c r="D44" s="889" t="s">
        <v>699</v>
      </c>
      <c r="E44" s="890" t="s">
        <v>659</v>
      </c>
      <c r="F44" s="891">
        <v>100</v>
      </c>
      <c r="G44" s="892">
        <f>SUM(G45:G56)</f>
        <v>57965.807000000212</v>
      </c>
      <c r="H44" s="892">
        <f>SUM(H45:H56)</f>
        <v>53818.308530000002</v>
      </c>
      <c r="I44" s="892">
        <f>SUM(I45:I56)</f>
        <v>0</v>
      </c>
      <c r="J44" s="892">
        <f>SUM(J45:J56)</f>
        <v>0</v>
      </c>
      <c r="K44" s="892">
        <f>SUM(K45:K56)</f>
        <v>0</v>
      </c>
    </row>
    <row r="45" spans="3:11">
      <c r="C45" s="4272"/>
      <c r="D45" s="889" t="s">
        <v>753</v>
      </c>
      <c r="E45" s="893" t="s">
        <v>754</v>
      </c>
      <c r="F45" s="891">
        <v>101</v>
      </c>
      <c r="G45" s="897">
        <f>ОРЭМ!C68</f>
        <v>26300.028000000213</v>
      </c>
      <c r="H45" s="897">
        <f>ОРЭМ!C72/1000</f>
        <v>0</v>
      </c>
      <c r="I45" s="897">
        <f>ОРЭМ!C76</f>
        <v>0</v>
      </c>
      <c r="J45" s="897">
        <f>ОРЭМ!C78/1000</f>
        <v>0</v>
      </c>
      <c r="K45" s="897"/>
    </row>
    <row r="46" spans="3:11">
      <c r="C46" s="4272"/>
      <c r="D46" s="889" t="s">
        <v>755</v>
      </c>
      <c r="E46" s="893" t="s">
        <v>756</v>
      </c>
      <c r="F46" s="891">
        <v>102</v>
      </c>
      <c r="G46" s="897"/>
      <c r="H46" s="897"/>
      <c r="I46" s="897"/>
      <c r="J46" s="897"/>
      <c r="K46" s="897"/>
    </row>
    <row r="47" spans="3:11">
      <c r="C47" s="4272"/>
      <c r="D47" s="889" t="s">
        <v>757</v>
      </c>
      <c r="E47" s="893" t="s">
        <v>758</v>
      </c>
      <c r="F47" s="891">
        <v>103</v>
      </c>
      <c r="G47" s="897"/>
      <c r="H47" s="897"/>
      <c r="I47" s="897"/>
      <c r="J47" s="897"/>
      <c r="K47" s="897"/>
    </row>
    <row r="48" spans="3:11">
      <c r="C48" s="4272"/>
      <c r="D48" s="889" t="s">
        <v>759</v>
      </c>
      <c r="E48" s="893" t="s">
        <v>760</v>
      </c>
      <c r="F48" s="891">
        <v>104</v>
      </c>
      <c r="G48" s="897"/>
      <c r="H48" s="897"/>
      <c r="I48" s="897"/>
      <c r="J48" s="897"/>
      <c r="K48" s="897"/>
    </row>
    <row r="49" spans="3:11">
      <c r="C49" s="4272"/>
      <c r="D49" s="889" t="s">
        <v>761</v>
      </c>
      <c r="E49" s="893" t="s">
        <v>762</v>
      </c>
      <c r="F49" s="891">
        <v>105</v>
      </c>
      <c r="G49" s="897"/>
      <c r="H49" s="897"/>
      <c r="I49" s="897">
        <f>ОРЭМ!C229</f>
        <v>0</v>
      </c>
      <c r="J49" s="897">
        <f>ОРЭМ!C231/1000</f>
        <v>0</v>
      </c>
      <c r="K49" s="897"/>
    </row>
    <row r="50" spans="3:11">
      <c r="C50" s="4272"/>
      <c r="D50" s="889" t="s">
        <v>763</v>
      </c>
      <c r="E50" s="894" t="s">
        <v>645</v>
      </c>
      <c r="F50" s="891">
        <v>106</v>
      </c>
      <c r="G50" s="897">
        <f>ОРЭМ!C128</f>
        <v>31007.613000000001</v>
      </c>
      <c r="H50" s="897">
        <f>ОРЭМ!C133/1000</f>
        <v>53818.308530000002</v>
      </c>
      <c r="I50" s="897"/>
      <c r="J50" s="897"/>
      <c r="K50" s="897"/>
    </row>
    <row r="51" spans="3:11">
      <c r="C51" s="4272"/>
      <c r="D51" s="889" t="s">
        <v>764</v>
      </c>
      <c r="E51" s="894" t="s">
        <v>646</v>
      </c>
      <c r="F51" s="891">
        <v>107</v>
      </c>
      <c r="G51" s="897">
        <f>ОРЭМ!C148</f>
        <v>658.16600000000005</v>
      </c>
      <c r="H51" s="897">
        <f>ОРЭМ!C150/1000</f>
        <v>0</v>
      </c>
      <c r="I51" s="897"/>
      <c r="J51" s="897"/>
      <c r="K51" s="897"/>
    </row>
    <row r="52" spans="3:11">
      <c r="C52" s="4272"/>
      <c r="D52" s="889" t="s">
        <v>765</v>
      </c>
      <c r="E52" s="895" t="s">
        <v>647</v>
      </c>
      <c r="F52" s="891">
        <v>108</v>
      </c>
      <c r="G52" s="897"/>
      <c r="H52" s="897"/>
      <c r="I52" s="897"/>
      <c r="J52" s="897"/>
      <c r="K52" s="897"/>
    </row>
    <row r="53" spans="3:11">
      <c r="C53" s="4272"/>
      <c r="D53" s="889" t="s">
        <v>766</v>
      </c>
      <c r="E53" s="895" t="s">
        <v>648</v>
      </c>
      <c r="F53" s="891">
        <v>109</v>
      </c>
      <c r="G53" s="897"/>
      <c r="H53" s="897"/>
      <c r="I53" s="897">
        <f>ОРЭМ!C257</f>
        <v>0</v>
      </c>
      <c r="J53" s="897">
        <f>ОРЭМ!C259/1000</f>
        <v>0</v>
      </c>
      <c r="K53" s="897"/>
    </row>
    <row r="54" spans="3:11">
      <c r="C54" s="4272"/>
      <c r="D54" s="889" t="s">
        <v>767</v>
      </c>
      <c r="E54" s="895" t="s">
        <v>768</v>
      </c>
      <c r="F54" s="891">
        <v>110</v>
      </c>
      <c r="G54" s="897"/>
      <c r="H54" s="897"/>
      <c r="I54" s="897"/>
      <c r="J54" s="897"/>
      <c r="K54" s="897"/>
    </row>
    <row r="55" spans="3:11">
      <c r="C55" s="4272"/>
      <c r="D55" s="889" t="s">
        <v>769</v>
      </c>
      <c r="E55" s="895" t="s">
        <v>770</v>
      </c>
      <c r="F55" s="891">
        <v>111</v>
      </c>
      <c r="G55" s="897"/>
      <c r="H55" s="897"/>
      <c r="I55" s="897"/>
      <c r="J55" s="897"/>
      <c r="K55" s="897"/>
    </row>
    <row r="56" spans="3:11">
      <c r="C56" s="4272"/>
      <c r="D56" s="889" t="s">
        <v>771</v>
      </c>
      <c r="E56" s="895" t="s">
        <v>772</v>
      </c>
      <c r="F56" s="891">
        <v>112</v>
      </c>
      <c r="G56" s="897"/>
      <c r="H56" s="897"/>
      <c r="I56" s="897">
        <f>ОРЭМ!C222+ОРЭМ!C243+ОРЭМ!C236</f>
        <v>0</v>
      </c>
      <c r="J56" s="897">
        <f>ОРЭМ!C224/1000+ОРЭМ!C238/1000+ОРЭМ!C245/1000</f>
        <v>0</v>
      </c>
      <c r="K56" s="897"/>
    </row>
    <row r="57" spans="3:11">
      <c r="C57" s="4272"/>
      <c r="D57" s="889" t="s">
        <v>688</v>
      </c>
      <c r="E57" s="896" t="s">
        <v>653</v>
      </c>
      <c r="F57" s="891">
        <v>200</v>
      </c>
      <c r="G57" s="897"/>
      <c r="H57" s="897"/>
      <c r="I57" s="897"/>
      <c r="J57" s="897"/>
      <c r="K57" s="897"/>
    </row>
    <row r="58" spans="3:11" ht="18" hidden="1" customHeight="1">
      <c r="C58" s="4272"/>
      <c r="D58" s="4273" t="s">
        <v>672</v>
      </c>
      <c r="E58" s="4273"/>
      <c r="F58" s="4273"/>
      <c r="G58" s="4273"/>
      <c r="H58" s="4273"/>
      <c r="I58" s="4273"/>
      <c r="J58" s="4273"/>
      <c r="K58" s="4273"/>
    </row>
    <row r="59" spans="3:11" hidden="1">
      <c r="C59" s="4272"/>
      <c r="D59" s="889" t="s">
        <v>699</v>
      </c>
      <c r="E59" s="890" t="s">
        <v>659</v>
      </c>
      <c r="F59" s="891">
        <v>100</v>
      </c>
      <c r="G59" s="892">
        <f>SUM(G60:G71)</f>
        <v>0</v>
      </c>
      <c r="H59" s="892">
        <f>SUM(H60:H71)</f>
        <v>0</v>
      </c>
      <c r="I59" s="892">
        <f>SUM(I60:I71)</f>
        <v>0</v>
      </c>
      <c r="J59" s="892">
        <f>SUM(J60:J71)</f>
        <v>0</v>
      </c>
      <c r="K59" s="892">
        <f>SUM(K60:K71)</f>
        <v>0</v>
      </c>
    </row>
    <row r="60" spans="3:11" hidden="1">
      <c r="C60" s="4272"/>
      <c r="D60" s="889" t="s">
        <v>753</v>
      </c>
      <c r="E60" s="893" t="s">
        <v>754</v>
      </c>
      <c r="F60" s="891">
        <v>101</v>
      </c>
      <c r="G60" s="898"/>
      <c r="H60" s="898"/>
      <c r="I60" s="898"/>
      <c r="J60" s="898"/>
      <c r="K60" s="898"/>
    </row>
    <row r="61" spans="3:11" hidden="1">
      <c r="C61" s="4272"/>
      <c r="D61" s="889" t="s">
        <v>755</v>
      </c>
      <c r="E61" s="893" t="s">
        <v>756</v>
      </c>
      <c r="F61" s="891">
        <v>102</v>
      </c>
      <c r="G61" s="898"/>
      <c r="H61" s="898"/>
      <c r="I61" s="898"/>
      <c r="J61" s="898"/>
      <c r="K61" s="898"/>
    </row>
    <row r="62" spans="3:11" hidden="1">
      <c r="C62" s="4272"/>
      <c r="D62" s="889" t="s">
        <v>757</v>
      </c>
      <c r="E62" s="893" t="s">
        <v>758</v>
      </c>
      <c r="F62" s="891">
        <v>103</v>
      </c>
      <c r="G62" s="898"/>
      <c r="H62" s="898"/>
      <c r="I62" s="898"/>
      <c r="J62" s="898"/>
      <c r="K62" s="898"/>
    </row>
    <row r="63" spans="3:11" hidden="1">
      <c r="C63" s="4272"/>
      <c r="D63" s="889" t="s">
        <v>759</v>
      </c>
      <c r="E63" s="893" t="s">
        <v>760</v>
      </c>
      <c r="F63" s="891">
        <v>104</v>
      </c>
      <c r="G63" s="898"/>
      <c r="H63" s="898"/>
      <c r="I63" s="898"/>
      <c r="J63" s="898"/>
      <c r="K63" s="898"/>
    </row>
    <row r="64" spans="3:11" hidden="1">
      <c r="C64" s="4272"/>
      <c r="D64" s="889" t="s">
        <v>761</v>
      </c>
      <c r="E64" s="893" t="s">
        <v>762</v>
      </c>
      <c r="F64" s="891">
        <v>105</v>
      </c>
      <c r="G64" s="898"/>
      <c r="H64" s="898"/>
      <c r="I64" s="898"/>
      <c r="J64" s="898"/>
      <c r="K64" s="898"/>
    </row>
    <row r="65" spans="3:11" hidden="1">
      <c r="C65" s="4272"/>
      <c r="D65" s="889" t="s">
        <v>763</v>
      </c>
      <c r="E65" s="894" t="s">
        <v>645</v>
      </c>
      <c r="F65" s="891">
        <v>106</v>
      </c>
      <c r="G65" s="898"/>
      <c r="H65" s="898"/>
      <c r="I65" s="898"/>
      <c r="J65" s="898"/>
      <c r="K65" s="898"/>
    </row>
    <row r="66" spans="3:11" hidden="1">
      <c r="C66" s="4272"/>
      <c r="D66" s="889" t="s">
        <v>764</v>
      </c>
      <c r="E66" s="894" t="s">
        <v>646</v>
      </c>
      <c r="F66" s="891">
        <v>107</v>
      </c>
      <c r="G66" s="898"/>
      <c r="H66" s="898"/>
      <c r="I66" s="898"/>
      <c r="J66" s="898"/>
      <c r="K66" s="898"/>
    </row>
    <row r="67" spans="3:11" hidden="1">
      <c r="C67" s="4272"/>
      <c r="D67" s="889" t="s">
        <v>765</v>
      </c>
      <c r="E67" s="895" t="s">
        <v>647</v>
      </c>
      <c r="F67" s="891">
        <v>108</v>
      </c>
      <c r="G67" s="898"/>
      <c r="H67" s="898"/>
      <c r="I67" s="898"/>
      <c r="J67" s="898"/>
      <c r="K67" s="898"/>
    </row>
    <row r="68" spans="3:11" hidden="1">
      <c r="C68" s="4272"/>
      <c r="D68" s="889" t="s">
        <v>766</v>
      </c>
      <c r="E68" s="895" t="s">
        <v>648</v>
      </c>
      <c r="F68" s="891">
        <v>109</v>
      </c>
      <c r="G68" s="898"/>
      <c r="H68" s="898"/>
      <c r="I68" s="898"/>
      <c r="J68" s="898"/>
      <c r="K68" s="898"/>
    </row>
    <row r="69" spans="3:11" hidden="1">
      <c r="C69" s="4272"/>
      <c r="D69" s="889" t="s">
        <v>767</v>
      </c>
      <c r="E69" s="895" t="s">
        <v>768</v>
      </c>
      <c r="F69" s="891">
        <v>110</v>
      </c>
      <c r="G69" s="898"/>
      <c r="H69" s="898"/>
      <c r="I69" s="898"/>
      <c r="J69" s="898"/>
      <c r="K69" s="898"/>
    </row>
    <row r="70" spans="3:11" hidden="1">
      <c r="C70" s="4272"/>
      <c r="D70" s="889" t="s">
        <v>769</v>
      </c>
      <c r="E70" s="895" t="s">
        <v>770</v>
      </c>
      <c r="F70" s="891">
        <v>111</v>
      </c>
      <c r="G70" s="898"/>
      <c r="H70" s="898"/>
      <c r="I70" s="898"/>
      <c r="J70" s="898"/>
      <c r="K70" s="898"/>
    </row>
    <row r="71" spans="3:11" hidden="1">
      <c r="C71" s="4272"/>
      <c r="D71" s="889" t="s">
        <v>771</v>
      </c>
      <c r="E71" s="895" t="s">
        <v>772</v>
      </c>
      <c r="F71" s="891">
        <v>112</v>
      </c>
      <c r="G71" s="898"/>
      <c r="H71" s="898"/>
      <c r="I71" s="898"/>
      <c r="J71" s="898"/>
      <c r="K71" s="898"/>
    </row>
    <row r="72" spans="3:11" hidden="1">
      <c r="C72" s="4272"/>
      <c r="D72" s="889" t="s">
        <v>688</v>
      </c>
      <c r="E72" s="896" t="s">
        <v>653</v>
      </c>
      <c r="F72" s="891">
        <v>200</v>
      </c>
      <c r="G72" s="898"/>
      <c r="H72" s="898"/>
      <c r="I72" s="898"/>
      <c r="J72" s="898"/>
      <c r="K72" s="898"/>
    </row>
    <row r="73" spans="3:11">
      <c r="D73" s="888"/>
      <c r="F73" s="888"/>
    </row>
    <row r="74" spans="3:11">
      <c r="D74" s="888"/>
      <c r="F74" s="888"/>
    </row>
    <row r="77" spans="3:11" ht="58.5" customHeight="1"/>
  </sheetData>
  <mergeCells count="9">
    <mergeCell ref="C58:C72"/>
    <mergeCell ref="D58:K58"/>
    <mergeCell ref="D9:K9"/>
    <mergeCell ref="A13:C27"/>
    <mergeCell ref="D13:K13"/>
    <mergeCell ref="C28:C42"/>
    <mergeCell ref="D28:K28"/>
    <mergeCell ref="C43:C57"/>
    <mergeCell ref="D43:K43"/>
  </mergeCells>
  <dataValidations count="1">
    <dataValidation type="decimal" allowBlank="1" showInputMessage="1" showErrorMessage="1" errorTitle="Внимание" error="Допускается ввод только действительных чисел!" sqref="G60:K72 G30:K42 G45:K57">
      <formula1>-9.99999999999999E+23</formula1>
      <formula2>9.99999999999999E+23</formula2>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K86"/>
  <sheetViews>
    <sheetView topLeftCell="C17" workbookViewId="0">
      <selection activeCell="J61" sqref="J61"/>
    </sheetView>
  </sheetViews>
  <sheetFormatPr defaultColWidth="9.28515625" defaultRowHeight="11.25"/>
  <cols>
    <col min="1" max="2" width="9.28515625" style="885" hidden="1" customWidth="1"/>
    <col min="3" max="3" width="2.7109375" style="885" customWidth="1"/>
    <col min="4" max="4" width="6.7109375" style="885" customWidth="1"/>
    <col min="5" max="5" width="45.7109375" style="885" customWidth="1"/>
    <col min="6" max="6" width="7.7109375" style="885" customWidth="1"/>
    <col min="7" max="11" width="20.7109375" style="885" customWidth="1"/>
    <col min="12" max="13" width="2.7109375" style="885" customWidth="1"/>
    <col min="14" max="16384" width="9.28515625" style="885"/>
  </cols>
  <sheetData>
    <row r="1" spans="3:11" hidden="1"/>
    <row r="2" spans="3:11" hidden="1"/>
    <row r="3" spans="3:11" hidden="1"/>
    <row r="4" spans="3:11" hidden="1"/>
    <row r="5" spans="3:11" hidden="1"/>
    <row r="6" spans="3:11" hidden="1"/>
    <row r="7" spans="3:11" hidden="1"/>
    <row r="9" spans="3:11" ht="18" customHeight="1">
      <c r="D9" s="4274" t="s">
        <v>892</v>
      </c>
      <c r="E9" s="4275"/>
      <c r="F9" s="4275"/>
      <c r="G9" s="4275"/>
      <c r="H9" s="4275"/>
      <c r="I9" s="4275"/>
      <c r="J9" s="4275"/>
      <c r="K9" s="4276"/>
    </row>
    <row r="10" spans="3:11">
      <c r="D10" s="888"/>
      <c r="F10" s="888"/>
    </row>
    <row r="11" spans="3:11" ht="60" customHeight="1">
      <c r="D11" s="886" t="s">
        <v>400</v>
      </c>
      <c r="E11" s="886" t="s">
        <v>746</v>
      </c>
      <c r="F11" s="886" t="s">
        <v>498</v>
      </c>
      <c r="G11" s="886" t="s">
        <v>747</v>
      </c>
      <c r="H11" s="886" t="s">
        <v>748</v>
      </c>
      <c r="I11" s="886" t="s">
        <v>749</v>
      </c>
      <c r="J11" s="886" t="s">
        <v>750</v>
      </c>
      <c r="K11" s="886" t="s">
        <v>751</v>
      </c>
    </row>
    <row r="12" spans="3:11">
      <c r="D12" s="887">
        <v>1</v>
      </c>
      <c r="E12" s="887">
        <f t="shared" ref="E12:K12" si="0">D12+1</f>
        <v>2</v>
      </c>
      <c r="F12" s="887">
        <f t="shared" si="0"/>
        <v>3</v>
      </c>
      <c r="G12" s="887">
        <f t="shared" si="0"/>
        <v>4</v>
      </c>
      <c r="H12" s="887">
        <f t="shared" si="0"/>
        <v>5</v>
      </c>
      <c r="I12" s="887">
        <f t="shared" si="0"/>
        <v>6</v>
      </c>
      <c r="J12" s="887">
        <f t="shared" si="0"/>
        <v>7</v>
      </c>
      <c r="K12" s="887">
        <f t="shared" si="0"/>
        <v>8</v>
      </c>
    </row>
    <row r="13" spans="3:11" ht="18" customHeight="1">
      <c r="C13" s="4272"/>
      <c r="D13" s="4273" t="s">
        <v>752</v>
      </c>
      <c r="E13" s="4273"/>
      <c r="F13" s="4273"/>
      <c r="G13" s="4273"/>
      <c r="H13" s="4273"/>
      <c r="I13" s="4273"/>
      <c r="J13" s="4273"/>
      <c r="K13" s="4273"/>
    </row>
    <row r="14" spans="3:11">
      <c r="C14" s="4272"/>
      <c r="D14" s="889" t="s">
        <v>699</v>
      </c>
      <c r="E14" s="890" t="s">
        <v>774</v>
      </c>
      <c r="F14" s="891">
        <v>300</v>
      </c>
      <c r="G14" s="892">
        <f>SUM(G15:G26)</f>
        <v>56177.478999999999</v>
      </c>
      <c r="H14" s="892">
        <f>SUM(H15:H26)</f>
        <v>296376.24469000002</v>
      </c>
      <c r="I14" s="892">
        <f>SUM(I15:I26)</f>
        <v>15.478999999999999</v>
      </c>
      <c r="J14" s="892">
        <f>SUM(J15:J26)</f>
        <v>25852.945390000001</v>
      </c>
      <c r="K14" s="892">
        <f>SUM(K15:K26)</f>
        <v>0</v>
      </c>
    </row>
    <row r="15" spans="3:11">
      <c r="C15" s="4272"/>
      <c r="D15" s="889" t="s">
        <v>753</v>
      </c>
      <c r="E15" s="893" t="s">
        <v>754</v>
      </c>
      <c r="F15" s="891">
        <v>301</v>
      </c>
      <c r="G15" s="892">
        <f t="shared" ref="G15:K30" si="1">G33+G51+G69</f>
        <v>0</v>
      </c>
      <c r="H15" s="892">
        <f t="shared" si="1"/>
        <v>0</v>
      </c>
      <c r="I15" s="892">
        <f t="shared" si="1"/>
        <v>0</v>
      </c>
      <c r="J15" s="892">
        <f t="shared" si="1"/>
        <v>0</v>
      </c>
      <c r="K15" s="892">
        <f t="shared" si="1"/>
        <v>0</v>
      </c>
    </row>
    <row r="16" spans="3:11">
      <c r="C16" s="4272"/>
      <c r="D16" s="889" t="s">
        <v>755</v>
      </c>
      <c r="E16" s="893" t="s">
        <v>756</v>
      </c>
      <c r="F16" s="891">
        <v>302</v>
      </c>
      <c r="G16" s="892">
        <f t="shared" si="1"/>
        <v>0</v>
      </c>
      <c r="H16" s="892">
        <f t="shared" si="1"/>
        <v>0</v>
      </c>
      <c r="I16" s="892">
        <f t="shared" si="1"/>
        <v>0</v>
      </c>
      <c r="J16" s="892">
        <f t="shared" si="1"/>
        <v>0</v>
      </c>
      <c r="K16" s="892">
        <f t="shared" si="1"/>
        <v>0</v>
      </c>
    </row>
    <row r="17" spans="3:11">
      <c r="C17" s="4272"/>
      <c r="D17" s="889" t="s">
        <v>757</v>
      </c>
      <c r="E17" s="893" t="s">
        <v>758</v>
      </c>
      <c r="F17" s="891">
        <v>303</v>
      </c>
      <c r="G17" s="892">
        <f t="shared" si="1"/>
        <v>0</v>
      </c>
      <c r="H17" s="892">
        <f t="shared" si="1"/>
        <v>0</v>
      </c>
      <c r="I17" s="892">
        <f t="shared" si="1"/>
        <v>0</v>
      </c>
      <c r="J17" s="892">
        <f t="shared" si="1"/>
        <v>0</v>
      </c>
      <c r="K17" s="892">
        <f t="shared" si="1"/>
        <v>0</v>
      </c>
    </row>
    <row r="18" spans="3:11">
      <c r="C18" s="4272"/>
      <c r="D18" s="889" t="s">
        <v>759</v>
      </c>
      <c r="E18" s="893" t="s">
        <v>760</v>
      </c>
      <c r="F18" s="891">
        <v>304</v>
      </c>
      <c r="G18" s="892">
        <f t="shared" si="1"/>
        <v>0</v>
      </c>
      <c r="H18" s="892">
        <f t="shared" si="1"/>
        <v>0</v>
      </c>
      <c r="I18" s="892">
        <f t="shared" si="1"/>
        <v>0</v>
      </c>
      <c r="J18" s="892">
        <f t="shared" si="1"/>
        <v>0</v>
      </c>
      <c r="K18" s="892">
        <f t="shared" si="1"/>
        <v>0</v>
      </c>
    </row>
    <row r="19" spans="3:11">
      <c r="C19" s="4272"/>
      <c r="D19" s="889" t="s">
        <v>761</v>
      </c>
      <c r="E19" s="893" t="s">
        <v>762</v>
      </c>
      <c r="F19" s="891">
        <v>305</v>
      </c>
      <c r="G19" s="892">
        <f t="shared" si="1"/>
        <v>0</v>
      </c>
      <c r="H19" s="892">
        <f t="shared" si="1"/>
        <v>0</v>
      </c>
      <c r="I19" s="892">
        <f t="shared" si="1"/>
        <v>0</v>
      </c>
      <c r="J19" s="892">
        <f t="shared" si="1"/>
        <v>0</v>
      </c>
      <c r="K19" s="892">
        <f t="shared" si="1"/>
        <v>0</v>
      </c>
    </row>
    <row r="20" spans="3:11">
      <c r="C20" s="4272"/>
      <c r="D20" s="889" t="s">
        <v>763</v>
      </c>
      <c r="E20" s="894" t="s">
        <v>645</v>
      </c>
      <c r="F20" s="891">
        <v>306</v>
      </c>
      <c r="G20" s="892">
        <f t="shared" si="1"/>
        <v>367.52499999999998</v>
      </c>
      <c r="H20" s="892">
        <f t="shared" si="1"/>
        <v>158.10037</v>
      </c>
      <c r="I20" s="892">
        <f t="shared" si="1"/>
        <v>0</v>
      </c>
      <c r="J20" s="892">
        <f t="shared" si="1"/>
        <v>0</v>
      </c>
      <c r="K20" s="892">
        <f t="shared" si="1"/>
        <v>0</v>
      </c>
    </row>
    <row r="21" spans="3:11">
      <c r="C21" s="4272"/>
      <c r="D21" s="889" t="s">
        <v>764</v>
      </c>
      <c r="E21" s="894" t="s">
        <v>646</v>
      </c>
      <c r="F21" s="891">
        <v>307</v>
      </c>
      <c r="G21" s="892">
        <f t="shared" si="1"/>
        <v>418.16199999999998</v>
      </c>
      <c r="H21" s="892">
        <f t="shared" si="1"/>
        <v>0</v>
      </c>
      <c r="I21" s="892">
        <f t="shared" si="1"/>
        <v>0</v>
      </c>
      <c r="J21" s="892">
        <f t="shared" si="1"/>
        <v>0</v>
      </c>
      <c r="K21" s="892">
        <f t="shared" si="1"/>
        <v>0</v>
      </c>
    </row>
    <row r="22" spans="3:11">
      <c r="C22" s="4272"/>
      <c r="D22" s="889" t="s">
        <v>765</v>
      </c>
      <c r="E22" s="895" t="s">
        <v>647</v>
      </c>
      <c r="F22" s="891">
        <v>308</v>
      </c>
      <c r="G22" s="892">
        <f t="shared" si="1"/>
        <v>0</v>
      </c>
      <c r="H22" s="892">
        <f t="shared" si="1"/>
        <v>0</v>
      </c>
      <c r="I22" s="892">
        <f t="shared" si="1"/>
        <v>0</v>
      </c>
      <c r="J22" s="892">
        <f t="shared" si="1"/>
        <v>0</v>
      </c>
      <c r="K22" s="892">
        <f t="shared" si="1"/>
        <v>0</v>
      </c>
    </row>
    <row r="23" spans="3:11">
      <c r="C23" s="4272"/>
      <c r="D23" s="889" t="s">
        <v>766</v>
      </c>
      <c r="E23" s="895" t="s">
        <v>648</v>
      </c>
      <c r="F23" s="891">
        <v>309</v>
      </c>
      <c r="G23" s="892">
        <f t="shared" si="1"/>
        <v>0</v>
      </c>
      <c r="H23" s="892">
        <f t="shared" si="1"/>
        <v>0</v>
      </c>
      <c r="I23" s="892">
        <f t="shared" si="1"/>
        <v>0</v>
      </c>
      <c r="J23" s="892">
        <f t="shared" si="1"/>
        <v>0</v>
      </c>
      <c r="K23" s="892">
        <f t="shared" si="1"/>
        <v>0</v>
      </c>
    </row>
    <row r="24" spans="3:11">
      <c r="C24" s="4272"/>
      <c r="D24" s="889" t="s">
        <v>767</v>
      </c>
      <c r="E24" s="895" t="s">
        <v>775</v>
      </c>
      <c r="F24" s="891">
        <v>310</v>
      </c>
      <c r="G24" s="892">
        <f t="shared" si="1"/>
        <v>24830.238999999998</v>
      </c>
      <c r="H24" s="892">
        <f t="shared" si="1"/>
        <v>57037.21976</v>
      </c>
      <c r="I24" s="892">
        <f t="shared" si="1"/>
        <v>0</v>
      </c>
      <c r="J24" s="892">
        <f t="shared" si="1"/>
        <v>0</v>
      </c>
      <c r="K24" s="892">
        <f t="shared" si="1"/>
        <v>0</v>
      </c>
    </row>
    <row r="25" spans="3:11">
      <c r="C25" s="4272"/>
      <c r="D25" s="889" t="s">
        <v>769</v>
      </c>
      <c r="E25" s="895" t="s">
        <v>776</v>
      </c>
      <c r="F25" s="891">
        <v>311</v>
      </c>
      <c r="G25" s="892">
        <f t="shared" si="1"/>
        <v>30561.553</v>
      </c>
      <c r="H25" s="892">
        <f t="shared" si="1"/>
        <v>239180.92456000004</v>
      </c>
      <c r="I25" s="892">
        <f t="shared" si="1"/>
        <v>15.478999999999999</v>
      </c>
      <c r="J25" s="892">
        <f t="shared" si="1"/>
        <v>25852.945390000001</v>
      </c>
      <c r="K25" s="892">
        <f t="shared" si="1"/>
        <v>0</v>
      </c>
    </row>
    <row r="26" spans="3:11">
      <c r="C26" s="4272"/>
      <c r="D26" s="889" t="s">
        <v>771</v>
      </c>
      <c r="E26" s="895" t="s">
        <v>772</v>
      </c>
      <c r="F26" s="891">
        <v>312</v>
      </c>
      <c r="G26" s="892">
        <f t="shared" si="1"/>
        <v>0</v>
      </c>
      <c r="H26" s="892">
        <f t="shared" si="1"/>
        <v>0</v>
      </c>
      <c r="I26" s="892">
        <f t="shared" si="1"/>
        <v>0</v>
      </c>
      <c r="J26" s="892">
        <f t="shared" si="1"/>
        <v>0</v>
      </c>
      <c r="K26" s="892">
        <f t="shared" si="1"/>
        <v>0</v>
      </c>
    </row>
    <row r="27" spans="3:11">
      <c r="C27" s="4272"/>
      <c r="D27" s="889" t="s">
        <v>688</v>
      </c>
      <c r="E27" s="896" t="s">
        <v>661</v>
      </c>
      <c r="F27" s="891">
        <v>400</v>
      </c>
      <c r="G27" s="892">
        <f t="shared" si="1"/>
        <v>0</v>
      </c>
      <c r="H27" s="892">
        <f t="shared" si="1"/>
        <v>0</v>
      </c>
      <c r="I27" s="892">
        <f t="shared" si="1"/>
        <v>0</v>
      </c>
      <c r="J27" s="892">
        <f t="shared" si="1"/>
        <v>0</v>
      </c>
      <c r="K27" s="892">
        <f t="shared" si="1"/>
        <v>0</v>
      </c>
    </row>
    <row r="28" spans="3:11">
      <c r="C28" s="4272"/>
      <c r="D28" s="889" t="s">
        <v>708</v>
      </c>
      <c r="E28" s="896" t="s">
        <v>654</v>
      </c>
      <c r="F28" s="891">
        <v>500</v>
      </c>
      <c r="G28" s="892">
        <f t="shared" si="1"/>
        <v>0</v>
      </c>
      <c r="H28" s="892">
        <f t="shared" si="1"/>
        <v>0</v>
      </c>
      <c r="I28" s="892">
        <f t="shared" si="1"/>
        <v>0</v>
      </c>
      <c r="J28" s="892">
        <f t="shared" si="1"/>
        <v>0</v>
      </c>
      <c r="K28" s="892">
        <f t="shared" si="1"/>
        <v>0</v>
      </c>
    </row>
    <row r="29" spans="3:11">
      <c r="C29" s="4272"/>
      <c r="D29" s="889" t="s">
        <v>723</v>
      </c>
      <c r="E29" s="896" t="s">
        <v>655</v>
      </c>
      <c r="F29" s="891">
        <v>600</v>
      </c>
      <c r="G29" s="892">
        <f t="shared" si="1"/>
        <v>0</v>
      </c>
      <c r="H29" s="892">
        <f t="shared" si="1"/>
        <v>0</v>
      </c>
      <c r="I29" s="892">
        <f t="shared" si="1"/>
        <v>0</v>
      </c>
      <c r="J29" s="892">
        <f t="shared" si="1"/>
        <v>0</v>
      </c>
      <c r="K29" s="892">
        <f t="shared" si="1"/>
        <v>0</v>
      </c>
    </row>
    <row r="30" spans="3:11">
      <c r="C30" s="4272"/>
      <c r="D30" s="889" t="s">
        <v>726</v>
      </c>
      <c r="E30" s="896" t="s">
        <v>656</v>
      </c>
      <c r="F30" s="891">
        <v>700</v>
      </c>
      <c r="G30" s="892">
        <f t="shared" si="1"/>
        <v>0</v>
      </c>
      <c r="H30" s="892">
        <f t="shared" si="1"/>
        <v>0</v>
      </c>
      <c r="I30" s="892">
        <f t="shared" si="1"/>
        <v>0</v>
      </c>
      <c r="J30" s="892">
        <f t="shared" si="1"/>
        <v>0</v>
      </c>
      <c r="K30" s="892">
        <f t="shared" si="1"/>
        <v>0</v>
      </c>
    </row>
    <row r="31" spans="3:11" ht="18" customHeight="1">
      <c r="C31" s="4272"/>
      <c r="D31" s="4273" t="s">
        <v>773</v>
      </c>
      <c r="E31" s="4273"/>
      <c r="F31" s="4273"/>
      <c r="G31" s="4273"/>
      <c r="H31" s="4273"/>
      <c r="I31" s="4273"/>
      <c r="J31" s="4273"/>
      <c r="K31" s="4273"/>
    </row>
    <row r="32" spans="3:11">
      <c r="C32" s="4272"/>
      <c r="D32" s="889" t="s">
        <v>699</v>
      </c>
      <c r="E32" s="890" t="s">
        <v>774</v>
      </c>
      <c r="F32" s="891">
        <v>300</v>
      </c>
      <c r="G32" s="892">
        <f>SUM(G33:G44)</f>
        <v>0</v>
      </c>
      <c r="H32" s="892">
        <f>SUM(H33:H44)</f>
        <v>0</v>
      </c>
      <c r="I32" s="892">
        <f>SUM(I33:I44)</f>
        <v>0</v>
      </c>
      <c r="J32" s="892">
        <f>SUM(J33:J44)</f>
        <v>0</v>
      </c>
      <c r="K32" s="892">
        <f>SUM(K33:K44)</f>
        <v>0</v>
      </c>
    </row>
    <row r="33" spans="3:11">
      <c r="C33" s="4272"/>
      <c r="D33" s="889" t="s">
        <v>753</v>
      </c>
      <c r="E33" s="893" t="s">
        <v>754</v>
      </c>
      <c r="F33" s="891">
        <v>301</v>
      </c>
      <c r="G33" s="897"/>
      <c r="H33" s="897"/>
      <c r="I33" s="897"/>
      <c r="J33" s="897"/>
      <c r="K33" s="897"/>
    </row>
    <row r="34" spans="3:11">
      <c r="C34" s="4272"/>
      <c r="D34" s="889" t="s">
        <v>755</v>
      </c>
      <c r="E34" s="893" t="s">
        <v>756</v>
      </c>
      <c r="F34" s="891">
        <v>302</v>
      </c>
      <c r="G34" s="897"/>
      <c r="H34" s="897"/>
      <c r="I34" s="897"/>
      <c r="J34" s="897"/>
      <c r="K34" s="897"/>
    </row>
    <row r="35" spans="3:11">
      <c r="C35" s="4272"/>
      <c r="D35" s="889" t="s">
        <v>757</v>
      </c>
      <c r="E35" s="893" t="s">
        <v>758</v>
      </c>
      <c r="F35" s="891">
        <v>303</v>
      </c>
      <c r="G35" s="897"/>
      <c r="H35" s="897"/>
      <c r="I35" s="897"/>
      <c r="J35" s="897"/>
      <c r="K35" s="897"/>
    </row>
    <row r="36" spans="3:11">
      <c r="C36" s="4272"/>
      <c r="D36" s="889" t="s">
        <v>759</v>
      </c>
      <c r="E36" s="893" t="s">
        <v>760</v>
      </c>
      <c r="F36" s="891">
        <v>304</v>
      </c>
      <c r="G36" s="897"/>
      <c r="H36" s="897"/>
      <c r="I36" s="897"/>
      <c r="J36" s="897"/>
      <c r="K36" s="897"/>
    </row>
    <row r="37" spans="3:11">
      <c r="C37" s="4272"/>
      <c r="D37" s="889" t="s">
        <v>761</v>
      </c>
      <c r="E37" s="893" t="s">
        <v>762</v>
      </c>
      <c r="F37" s="891">
        <v>305</v>
      </c>
      <c r="G37" s="897"/>
      <c r="H37" s="897"/>
      <c r="I37" s="897"/>
      <c r="J37" s="897"/>
      <c r="K37" s="897"/>
    </row>
    <row r="38" spans="3:11">
      <c r="C38" s="4272"/>
      <c r="D38" s="889" t="s">
        <v>763</v>
      </c>
      <c r="E38" s="894" t="s">
        <v>645</v>
      </c>
      <c r="F38" s="891">
        <v>306</v>
      </c>
      <c r="G38" s="897"/>
      <c r="H38" s="897"/>
      <c r="I38" s="897"/>
      <c r="J38" s="897"/>
      <c r="K38" s="897"/>
    </row>
    <row r="39" spans="3:11">
      <c r="C39" s="4272"/>
      <c r="D39" s="889" t="s">
        <v>764</v>
      </c>
      <c r="E39" s="894" t="s">
        <v>646</v>
      </c>
      <c r="F39" s="891">
        <v>307</v>
      </c>
      <c r="G39" s="897"/>
      <c r="H39" s="897"/>
      <c r="I39" s="897"/>
      <c r="J39" s="897"/>
      <c r="K39" s="897"/>
    </row>
    <row r="40" spans="3:11">
      <c r="C40" s="4272"/>
      <c r="D40" s="889" t="s">
        <v>765</v>
      </c>
      <c r="E40" s="895" t="s">
        <v>647</v>
      </c>
      <c r="F40" s="891">
        <v>308</v>
      </c>
      <c r="G40" s="897"/>
      <c r="H40" s="897"/>
      <c r="I40" s="897"/>
      <c r="J40" s="897"/>
      <c r="K40" s="897"/>
    </row>
    <row r="41" spans="3:11">
      <c r="C41" s="4272"/>
      <c r="D41" s="889" t="s">
        <v>766</v>
      </c>
      <c r="E41" s="895" t="s">
        <v>648</v>
      </c>
      <c r="F41" s="891">
        <v>309</v>
      </c>
      <c r="G41" s="897"/>
      <c r="H41" s="897"/>
      <c r="I41" s="897"/>
      <c r="J41" s="897"/>
      <c r="K41" s="897"/>
    </row>
    <row r="42" spans="3:11">
      <c r="C42" s="4272"/>
      <c r="D42" s="889" t="s">
        <v>767</v>
      </c>
      <c r="E42" s="895" t="s">
        <v>775</v>
      </c>
      <c r="F42" s="891">
        <v>310</v>
      </c>
      <c r="G42" s="897"/>
      <c r="H42" s="897"/>
      <c r="I42" s="897"/>
      <c r="J42" s="897"/>
      <c r="K42" s="897"/>
    </row>
    <row r="43" spans="3:11">
      <c r="C43" s="4272"/>
      <c r="D43" s="889" t="s">
        <v>769</v>
      </c>
      <c r="E43" s="895" t="s">
        <v>776</v>
      </c>
      <c r="F43" s="891">
        <v>311</v>
      </c>
      <c r="G43" s="897"/>
      <c r="H43" s="897"/>
      <c r="I43" s="897"/>
      <c r="J43" s="897"/>
      <c r="K43" s="897"/>
    </row>
    <row r="44" spans="3:11">
      <c r="C44" s="4272"/>
      <c r="D44" s="889" t="s">
        <v>771</v>
      </c>
      <c r="E44" s="895" t="s">
        <v>772</v>
      </c>
      <c r="F44" s="891">
        <v>312</v>
      </c>
      <c r="G44" s="897"/>
      <c r="H44" s="897"/>
      <c r="I44" s="897"/>
      <c r="J44" s="897"/>
      <c r="K44" s="897"/>
    </row>
    <row r="45" spans="3:11">
      <c r="C45" s="4272"/>
      <c r="D45" s="889" t="s">
        <v>688</v>
      </c>
      <c r="E45" s="896" t="s">
        <v>661</v>
      </c>
      <c r="F45" s="891">
        <v>400</v>
      </c>
      <c r="G45" s="897"/>
      <c r="H45" s="897"/>
      <c r="I45" s="897"/>
      <c r="J45" s="897"/>
      <c r="K45" s="897"/>
    </row>
    <row r="46" spans="3:11">
      <c r="C46" s="4272"/>
      <c r="D46" s="889" t="s">
        <v>708</v>
      </c>
      <c r="E46" s="896" t="s">
        <v>654</v>
      </c>
      <c r="F46" s="891">
        <v>500</v>
      </c>
      <c r="G46" s="897"/>
      <c r="H46" s="897"/>
      <c r="I46" s="897"/>
      <c r="J46" s="897"/>
      <c r="K46" s="897"/>
    </row>
    <row r="47" spans="3:11">
      <c r="C47" s="4272"/>
      <c r="D47" s="889" t="s">
        <v>723</v>
      </c>
      <c r="E47" s="896" t="s">
        <v>655</v>
      </c>
      <c r="F47" s="891">
        <v>600</v>
      </c>
      <c r="G47" s="897"/>
      <c r="H47" s="897"/>
      <c r="I47" s="897"/>
      <c r="J47" s="897"/>
      <c r="K47" s="897"/>
    </row>
    <row r="48" spans="3:11">
      <c r="C48" s="4272"/>
      <c r="D48" s="889" t="s">
        <v>726</v>
      </c>
      <c r="E48" s="896" t="s">
        <v>656</v>
      </c>
      <c r="F48" s="891">
        <v>700</v>
      </c>
      <c r="G48" s="897"/>
      <c r="H48" s="897"/>
      <c r="I48" s="897"/>
      <c r="J48" s="897"/>
      <c r="K48" s="897"/>
    </row>
    <row r="49" spans="3:11" ht="18" customHeight="1">
      <c r="C49" s="4272"/>
      <c r="D49" s="4273" t="s">
        <v>444</v>
      </c>
      <c r="E49" s="4273"/>
      <c r="F49" s="4273"/>
      <c r="G49" s="4273"/>
      <c r="H49" s="4273"/>
      <c r="I49" s="4273"/>
      <c r="J49" s="4273"/>
      <c r="K49" s="4273"/>
    </row>
    <row r="50" spans="3:11">
      <c r="C50" s="4272"/>
      <c r="D50" s="889" t="s">
        <v>699</v>
      </c>
      <c r="E50" s="890" t="s">
        <v>774</v>
      </c>
      <c r="F50" s="891">
        <v>300</v>
      </c>
      <c r="G50" s="892">
        <f>SUM(G51:G62)</f>
        <v>56177.478999999999</v>
      </c>
      <c r="H50" s="892">
        <f>SUM(H51:H62)</f>
        <v>296376.24469000002</v>
      </c>
      <c r="I50" s="892">
        <f>SUM(I51:I62)</f>
        <v>15.478999999999999</v>
      </c>
      <c r="J50" s="892">
        <f>SUM(J51:J62)</f>
        <v>25852.945390000001</v>
      </c>
      <c r="K50" s="892">
        <f>SUM(K51:K62)</f>
        <v>0</v>
      </c>
    </row>
    <row r="51" spans="3:11">
      <c r="C51" s="4272"/>
      <c r="D51" s="889" t="s">
        <v>753</v>
      </c>
      <c r="E51" s="893" t="s">
        <v>754</v>
      </c>
      <c r="F51" s="891">
        <v>301</v>
      </c>
      <c r="G51" s="897"/>
      <c r="H51" s="897"/>
      <c r="I51" s="897"/>
      <c r="J51" s="897"/>
      <c r="K51" s="897"/>
    </row>
    <row r="52" spans="3:11">
      <c r="C52" s="4272"/>
      <c r="D52" s="889" t="s">
        <v>755</v>
      </c>
      <c r="E52" s="893" t="s">
        <v>756</v>
      </c>
      <c r="F52" s="891">
        <v>302</v>
      </c>
      <c r="G52" s="897"/>
      <c r="H52" s="897"/>
      <c r="I52" s="897"/>
      <c r="J52" s="897"/>
      <c r="K52" s="897"/>
    </row>
    <row r="53" spans="3:11">
      <c r="C53" s="4272"/>
      <c r="D53" s="889" t="s">
        <v>757</v>
      </c>
      <c r="E53" s="893" t="s">
        <v>758</v>
      </c>
      <c r="F53" s="891">
        <v>303</v>
      </c>
      <c r="G53" s="897"/>
      <c r="H53" s="897"/>
      <c r="I53" s="897"/>
      <c r="J53" s="897"/>
      <c r="K53" s="897"/>
    </row>
    <row r="54" spans="3:11">
      <c r="C54" s="4272"/>
      <c r="D54" s="889" t="s">
        <v>759</v>
      </c>
      <c r="E54" s="893" t="s">
        <v>760</v>
      </c>
      <c r="F54" s="891">
        <v>304</v>
      </c>
      <c r="G54" s="897"/>
      <c r="H54" s="897"/>
      <c r="I54" s="897"/>
      <c r="J54" s="897"/>
      <c r="K54" s="897"/>
    </row>
    <row r="55" spans="3:11">
      <c r="C55" s="4272"/>
      <c r="D55" s="889" t="s">
        <v>761</v>
      </c>
      <c r="E55" s="893" t="s">
        <v>762</v>
      </c>
      <c r="F55" s="891">
        <v>305</v>
      </c>
      <c r="G55" s="897"/>
      <c r="H55" s="897"/>
      <c r="I55" s="897"/>
      <c r="J55" s="897"/>
      <c r="K55" s="897"/>
    </row>
    <row r="56" spans="3:11">
      <c r="C56" s="4272"/>
      <c r="D56" s="889" t="s">
        <v>763</v>
      </c>
      <c r="E56" s="894" t="s">
        <v>645</v>
      </c>
      <c r="F56" s="891">
        <v>306</v>
      </c>
      <c r="G56" s="897">
        <f>'Раздел 3'!F19</f>
        <v>367.52499999999998</v>
      </c>
      <c r="H56" s="897">
        <f>'Раздел 3'!G19</f>
        <v>158.10037</v>
      </c>
      <c r="I56" s="897"/>
      <c r="J56" s="897"/>
      <c r="K56" s="897"/>
    </row>
    <row r="57" spans="3:11">
      <c r="C57" s="4272"/>
      <c r="D57" s="889" t="s">
        <v>764</v>
      </c>
      <c r="E57" s="894" t="s">
        <v>646</v>
      </c>
      <c r="F57" s="891">
        <v>307</v>
      </c>
      <c r="G57" s="897">
        <f>'Раздел 3'!F20</f>
        <v>418.16199999999998</v>
      </c>
      <c r="H57" s="897">
        <f>'Раздел 3'!G20</f>
        <v>0</v>
      </c>
      <c r="I57" s="897"/>
      <c r="J57" s="897"/>
      <c r="K57" s="897"/>
    </row>
    <row r="58" spans="3:11">
      <c r="C58" s="4272"/>
      <c r="D58" s="889" t="s">
        <v>765</v>
      </c>
      <c r="E58" s="895" t="s">
        <v>647</v>
      </c>
      <c r="F58" s="891">
        <v>308</v>
      </c>
      <c r="G58" s="897"/>
      <c r="H58" s="897"/>
      <c r="I58" s="897"/>
      <c r="J58" s="897"/>
      <c r="K58" s="897"/>
    </row>
    <row r="59" spans="3:11">
      <c r="C59" s="4272"/>
      <c r="D59" s="889" t="s">
        <v>766</v>
      </c>
      <c r="E59" s="895" t="s">
        <v>648</v>
      </c>
      <c r="F59" s="891">
        <v>309</v>
      </c>
      <c r="G59" s="897"/>
      <c r="H59" s="897"/>
      <c r="I59" s="897"/>
      <c r="J59" s="897"/>
      <c r="K59" s="897"/>
    </row>
    <row r="60" spans="3:11">
      <c r="C60" s="4272"/>
      <c r="D60" s="889" t="s">
        <v>767</v>
      </c>
      <c r="E60" s="895" t="s">
        <v>775</v>
      </c>
      <c r="F60" s="891">
        <v>310</v>
      </c>
      <c r="G60" s="897">
        <f>'Раздел 3'!F25</f>
        <v>24830.238999999998</v>
      </c>
      <c r="H60" s="897">
        <f>'Раздел 3'!G25</f>
        <v>57037.21976</v>
      </c>
      <c r="I60" s="897"/>
      <c r="J60" s="897"/>
      <c r="K60" s="897"/>
    </row>
    <row r="61" spans="3:11">
      <c r="C61" s="4272"/>
      <c r="D61" s="889" t="s">
        <v>769</v>
      </c>
      <c r="E61" s="895" t="s">
        <v>776</v>
      </c>
      <c r="F61" s="891">
        <v>311</v>
      </c>
      <c r="G61" s="897">
        <f>'Раздел 3'!F26</f>
        <v>30561.553</v>
      </c>
      <c r="H61" s="897">
        <f>'Раздел 3'!G26</f>
        <v>239180.92456000004</v>
      </c>
      <c r="I61" s="897">
        <f>'Раздел 3'!H26</f>
        <v>15.478999999999999</v>
      </c>
      <c r="J61" s="897">
        <f>'Раздел 3'!I26</f>
        <v>25852.945390000001</v>
      </c>
      <c r="K61" s="897"/>
    </row>
    <row r="62" spans="3:11">
      <c r="C62" s="4272"/>
      <c r="D62" s="889" t="s">
        <v>771</v>
      </c>
      <c r="E62" s="895" t="s">
        <v>772</v>
      </c>
      <c r="F62" s="891">
        <v>312</v>
      </c>
      <c r="G62" s="897"/>
      <c r="H62" s="897"/>
      <c r="I62" s="897"/>
      <c r="J62" s="897"/>
      <c r="K62" s="897"/>
    </row>
    <row r="63" spans="3:11">
      <c r="C63" s="4272"/>
      <c r="D63" s="889" t="s">
        <v>688</v>
      </c>
      <c r="E63" s="896" t="s">
        <v>661</v>
      </c>
      <c r="F63" s="891">
        <v>400</v>
      </c>
      <c r="G63" s="897"/>
      <c r="H63" s="897"/>
      <c r="I63" s="897"/>
      <c r="J63" s="897"/>
      <c r="K63" s="897"/>
    </row>
    <row r="64" spans="3:11">
      <c r="C64" s="4272"/>
      <c r="D64" s="889" t="s">
        <v>708</v>
      </c>
      <c r="E64" s="896" t="s">
        <v>654</v>
      </c>
      <c r="F64" s="891">
        <v>500</v>
      </c>
      <c r="G64" s="897"/>
      <c r="H64" s="897"/>
      <c r="I64" s="897"/>
      <c r="J64" s="897"/>
      <c r="K64" s="897"/>
    </row>
    <row r="65" spans="3:11">
      <c r="C65" s="4272"/>
      <c r="D65" s="889" t="s">
        <v>723</v>
      </c>
      <c r="E65" s="896" t="s">
        <v>655</v>
      </c>
      <c r="F65" s="891">
        <v>600</v>
      </c>
      <c r="G65" s="897"/>
      <c r="H65" s="897"/>
      <c r="I65" s="897"/>
      <c r="J65" s="897"/>
      <c r="K65" s="897"/>
    </row>
    <row r="66" spans="3:11">
      <c r="C66" s="4272"/>
      <c r="D66" s="889" t="s">
        <v>726</v>
      </c>
      <c r="E66" s="896" t="s">
        <v>656</v>
      </c>
      <c r="F66" s="891">
        <v>700</v>
      </c>
      <c r="G66" s="897"/>
      <c r="H66" s="897"/>
      <c r="I66" s="897"/>
      <c r="J66" s="897"/>
      <c r="K66" s="897"/>
    </row>
    <row r="67" spans="3:11" ht="18" hidden="1" customHeight="1">
      <c r="C67" s="4272"/>
      <c r="D67" s="4273" t="s">
        <v>672</v>
      </c>
      <c r="E67" s="4273"/>
      <c r="F67" s="4273"/>
      <c r="G67" s="4273"/>
      <c r="H67" s="4273"/>
      <c r="I67" s="4273"/>
      <c r="J67" s="4273"/>
      <c r="K67" s="4273"/>
    </row>
    <row r="68" spans="3:11" hidden="1">
      <c r="C68" s="4272"/>
      <c r="D68" s="889" t="s">
        <v>699</v>
      </c>
      <c r="E68" s="890" t="s">
        <v>774</v>
      </c>
      <c r="F68" s="891">
        <v>300</v>
      </c>
      <c r="G68" s="892">
        <f>SUM(G69:G80)</f>
        <v>0</v>
      </c>
      <c r="H68" s="892">
        <f>SUM(H69:H80)</f>
        <v>0</v>
      </c>
      <c r="I68" s="892">
        <f>SUM(I69:I80)</f>
        <v>0</v>
      </c>
      <c r="J68" s="892">
        <f>SUM(J69:J80)</f>
        <v>0</v>
      </c>
      <c r="K68" s="892">
        <f>SUM(K69:K80)</f>
        <v>0</v>
      </c>
    </row>
    <row r="69" spans="3:11" hidden="1">
      <c r="C69" s="4272"/>
      <c r="D69" s="889" t="s">
        <v>753</v>
      </c>
      <c r="E69" s="893" t="s">
        <v>754</v>
      </c>
      <c r="F69" s="891">
        <v>301</v>
      </c>
      <c r="G69" s="898"/>
      <c r="H69" s="898"/>
      <c r="I69" s="898"/>
      <c r="J69" s="898"/>
      <c r="K69" s="898"/>
    </row>
    <row r="70" spans="3:11" hidden="1">
      <c r="C70" s="4272"/>
      <c r="D70" s="889" t="s">
        <v>755</v>
      </c>
      <c r="E70" s="893" t="s">
        <v>756</v>
      </c>
      <c r="F70" s="891">
        <v>302</v>
      </c>
      <c r="G70" s="898"/>
      <c r="H70" s="898"/>
      <c r="I70" s="898"/>
      <c r="J70" s="898"/>
      <c r="K70" s="898"/>
    </row>
    <row r="71" spans="3:11" hidden="1">
      <c r="C71" s="4272"/>
      <c r="D71" s="889" t="s">
        <v>757</v>
      </c>
      <c r="E71" s="893" t="s">
        <v>758</v>
      </c>
      <c r="F71" s="891">
        <v>303</v>
      </c>
      <c r="G71" s="898"/>
      <c r="H71" s="898"/>
      <c r="I71" s="898"/>
      <c r="J71" s="898"/>
      <c r="K71" s="898"/>
    </row>
    <row r="72" spans="3:11" hidden="1">
      <c r="C72" s="4272"/>
      <c r="D72" s="889" t="s">
        <v>759</v>
      </c>
      <c r="E72" s="893" t="s">
        <v>760</v>
      </c>
      <c r="F72" s="891">
        <v>304</v>
      </c>
      <c r="G72" s="898"/>
      <c r="H72" s="898"/>
      <c r="I72" s="898"/>
      <c r="J72" s="898"/>
      <c r="K72" s="898"/>
    </row>
    <row r="73" spans="3:11" hidden="1">
      <c r="C73" s="4272"/>
      <c r="D73" s="889" t="s">
        <v>761</v>
      </c>
      <c r="E73" s="893" t="s">
        <v>762</v>
      </c>
      <c r="F73" s="891">
        <v>305</v>
      </c>
      <c r="G73" s="898"/>
      <c r="H73" s="898"/>
      <c r="I73" s="898"/>
      <c r="J73" s="898"/>
      <c r="K73" s="898"/>
    </row>
    <row r="74" spans="3:11" hidden="1">
      <c r="C74" s="4272"/>
      <c r="D74" s="889" t="s">
        <v>763</v>
      </c>
      <c r="E74" s="894" t="s">
        <v>645</v>
      </c>
      <c r="F74" s="891">
        <v>306</v>
      </c>
      <c r="G74" s="898"/>
      <c r="H74" s="898"/>
      <c r="I74" s="898"/>
      <c r="J74" s="898"/>
      <c r="K74" s="898"/>
    </row>
    <row r="75" spans="3:11" hidden="1">
      <c r="C75" s="4272"/>
      <c r="D75" s="889" t="s">
        <v>764</v>
      </c>
      <c r="E75" s="894" t="s">
        <v>646</v>
      </c>
      <c r="F75" s="891">
        <v>307</v>
      </c>
      <c r="G75" s="898"/>
      <c r="H75" s="898"/>
      <c r="I75" s="898"/>
      <c r="J75" s="898"/>
      <c r="K75" s="898"/>
    </row>
    <row r="76" spans="3:11" hidden="1">
      <c r="C76" s="4272"/>
      <c r="D76" s="889" t="s">
        <v>765</v>
      </c>
      <c r="E76" s="895" t="s">
        <v>647</v>
      </c>
      <c r="F76" s="891">
        <v>308</v>
      </c>
      <c r="G76" s="898"/>
      <c r="H76" s="898"/>
      <c r="I76" s="898"/>
      <c r="J76" s="898"/>
      <c r="K76" s="898"/>
    </row>
    <row r="77" spans="3:11" hidden="1">
      <c r="C77" s="4272"/>
      <c r="D77" s="889" t="s">
        <v>766</v>
      </c>
      <c r="E77" s="895" t="s">
        <v>648</v>
      </c>
      <c r="F77" s="891">
        <v>309</v>
      </c>
      <c r="G77" s="898"/>
      <c r="H77" s="898"/>
      <c r="I77" s="898"/>
      <c r="J77" s="898"/>
      <c r="K77" s="898"/>
    </row>
    <row r="78" spans="3:11" hidden="1">
      <c r="C78" s="4272"/>
      <c r="D78" s="889" t="s">
        <v>767</v>
      </c>
      <c r="E78" s="895" t="s">
        <v>775</v>
      </c>
      <c r="F78" s="891">
        <v>310</v>
      </c>
      <c r="G78" s="898"/>
      <c r="H78" s="898"/>
      <c r="I78" s="898"/>
      <c r="J78" s="898"/>
      <c r="K78" s="898"/>
    </row>
    <row r="79" spans="3:11" hidden="1">
      <c r="C79" s="4272"/>
      <c r="D79" s="889" t="s">
        <v>769</v>
      </c>
      <c r="E79" s="895" t="s">
        <v>776</v>
      </c>
      <c r="F79" s="891">
        <v>311</v>
      </c>
      <c r="G79" s="898"/>
      <c r="H79" s="898"/>
      <c r="I79" s="898"/>
      <c r="J79" s="898"/>
      <c r="K79" s="898"/>
    </row>
    <row r="80" spans="3:11" hidden="1">
      <c r="C80" s="4272"/>
      <c r="D80" s="889" t="s">
        <v>771</v>
      </c>
      <c r="E80" s="895" t="s">
        <v>772</v>
      </c>
      <c r="F80" s="891">
        <v>312</v>
      </c>
      <c r="G80" s="898"/>
      <c r="H80" s="898"/>
      <c r="I80" s="898"/>
      <c r="J80" s="898"/>
      <c r="K80" s="898"/>
    </row>
    <row r="81" spans="3:11" hidden="1">
      <c r="C81" s="4272"/>
      <c r="D81" s="889" t="s">
        <v>688</v>
      </c>
      <c r="E81" s="896" t="s">
        <v>661</v>
      </c>
      <c r="F81" s="891">
        <v>400</v>
      </c>
      <c r="G81" s="898"/>
      <c r="H81" s="898"/>
      <c r="I81" s="898"/>
      <c r="J81" s="898"/>
      <c r="K81" s="898"/>
    </row>
    <row r="82" spans="3:11" hidden="1">
      <c r="C82" s="4272"/>
      <c r="D82" s="889" t="s">
        <v>708</v>
      </c>
      <c r="E82" s="896" t="s">
        <v>654</v>
      </c>
      <c r="F82" s="891">
        <v>500</v>
      </c>
      <c r="G82" s="898"/>
      <c r="H82" s="898"/>
      <c r="I82" s="898"/>
      <c r="J82" s="898"/>
      <c r="K82" s="898"/>
    </row>
    <row r="83" spans="3:11" hidden="1">
      <c r="C83" s="4272"/>
      <c r="D83" s="889" t="s">
        <v>723</v>
      </c>
      <c r="E83" s="896" t="s">
        <v>655</v>
      </c>
      <c r="F83" s="891">
        <v>600</v>
      </c>
      <c r="G83" s="898"/>
      <c r="H83" s="898"/>
      <c r="I83" s="898"/>
      <c r="J83" s="898"/>
      <c r="K83" s="898"/>
    </row>
    <row r="84" spans="3:11" hidden="1">
      <c r="C84" s="4272"/>
      <c r="D84" s="889" t="s">
        <v>726</v>
      </c>
      <c r="E84" s="896" t="s">
        <v>656</v>
      </c>
      <c r="F84" s="891">
        <v>700</v>
      </c>
      <c r="G84" s="898"/>
      <c r="H84" s="898"/>
      <c r="I84" s="898"/>
      <c r="J84" s="898"/>
      <c r="K84" s="898"/>
    </row>
    <row r="85" spans="3:11" ht="13.5" customHeight="1"/>
    <row r="86" spans="3:11" ht="15" customHeight="1">
      <c r="D86" s="899"/>
      <c r="E86" s="4277" t="s">
        <v>777</v>
      </c>
      <c r="F86" s="4277"/>
      <c r="G86" s="4277"/>
      <c r="H86" s="4277"/>
      <c r="I86" s="4277"/>
      <c r="J86" s="4277"/>
      <c r="K86" s="4277"/>
    </row>
  </sheetData>
  <mergeCells count="10">
    <mergeCell ref="C67:C84"/>
    <mergeCell ref="D67:K67"/>
    <mergeCell ref="E86:K86"/>
    <mergeCell ref="D9:K9"/>
    <mergeCell ref="C13:C30"/>
    <mergeCell ref="D13:K13"/>
    <mergeCell ref="C31:C48"/>
    <mergeCell ref="D31:K31"/>
    <mergeCell ref="C49:C66"/>
    <mergeCell ref="D49:K49"/>
  </mergeCells>
  <dataValidations count="1">
    <dataValidation type="decimal" allowBlank="1" showInputMessage="1" showErrorMessage="1" errorTitle="Внимание" error="Допускается ввод только действительных чисел!" sqref="G69:K84 G33:K48 G51:K66">
      <formula1>-9.99999999999999E+23</formula1>
      <formula2>9.99999999999999E+23</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CN709"/>
  <sheetViews>
    <sheetView view="pageBreakPreview" zoomScaleNormal="75" zoomScaleSheetLayoutView="100" workbookViewId="0">
      <pane xSplit="2" ySplit="7" topLeftCell="C8" activePane="bottomRight" state="frozenSplit"/>
      <selection activeCell="F87" sqref="F87"/>
      <selection pane="topRight" activeCell="F87" sqref="F87"/>
      <selection pane="bottomLeft" activeCell="F87" sqref="F87"/>
      <selection pane="bottomRight" activeCell="J305" sqref="J305"/>
    </sheetView>
  </sheetViews>
  <sheetFormatPr defaultColWidth="9.28515625" defaultRowHeight="15"/>
  <cols>
    <col min="1" max="1" width="6.28515625" style="153" customWidth="1"/>
    <col min="2" max="2" width="75.7109375" style="3" customWidth="1"/>
    <col min="3" max="3" width="15.42578125" style="3" customWidth="1"/>
    <col min="4" max="7" width="15.7109375" style="3" customWidth="1"/>
    <col min="8" max="8" width="10.42578125" style="3" customWidth="1"/>
    <col min="9" max="9" width="10" style="3" customWidth="1"/>
    <col min="10" max="10" width="10.28515625" style="3" customWidth="1"/>
    <col min="11" max="11" width="11" style="3" customWidth="1"/>
    <col min="12" max="12" width="20.42578125" style="3" customWidth="1"/>
    <col min="13" max="13" width="17.28515625" style="3" customWidth="1"/>
    <col min="14" max="14" width="18.42578125" style="3" customWidth="1"/>
    <col min="15" max="16" width="19.28515625" style="3" customWidth="1"/>
    <col min="17" max="17" width="17.28515625" style="2" customWidth="1"/>
    <col min="18" max="18" width="15" style="2" customWidth="1"/>
    <col min="19" max="19" width="12.7109375" style="2" customWidth="1"/>
    <col min="20" max="20" width="10.7109375" style="2" customWidth="1"/>
    <col min="21" max="21" width="11.28515625" style="2" customWidth="1"/>
    <col min="22" max="22" width="14.28515625" style="2" customWidth="1"/>
    <col min="23" max="23" width="12.7109375" style="2" customWidth="1"/>
    <col min="24" max="24" width="13.7109375" style="2" customWidth="1"/>
    <col min="25" max="16384" width="9.28515625" style="2"/>
  </cols>
  <sheetData>
    <row r="1" spans="1:17" ht="16.149999999999999" customHeight="1">
      <c r="A1" s="4114" t="s">
        <v>0</v>
      </c>
      <c r="B1" s="4114"/>
      <c r="C1" s="1"/>
      <c r="D1" s="2"/>
      <c r="E1" s="2"/>
      <c r="F1" s="2"/>
      <c r="G1" s="2"/>
      <c r="H1" s="2"/>
      <c r="I1" s="2"/>
      <c r="J1" s="2"/>
      <c r="K1" s="2"/>
    </row>
    <row r="2" spans="1:17" ht="16.149999999999999" customHeight="1">
      <c r="A2" s="4114"/>
      <c r="B2" s="4114"/>
      <c r="C2" s="4116" t="s">
        <v>1</v>
      </c>
      <c r="D2" s="4116"/>
      <c r="E2" s="4116"/>
      <c r="F2" s="4116"/>
      <c r="G2" s="4116"/>
      <c r="H2" s="4116"/>
      <c r="I2" s="4116"/>
      <c r="J2" s="4116"/>
      <c r="K2" s="4116"/>
      <c r="L2" s="4116"/>
      <c r="M2" s="4116"/>
      <c r="N2" s="4116"/>
      <c r="O2" s="4116"/>
      <c r="P2" s="4116"/>
    </row>
    <row r="3" spans="1:17" ht="16.149999999999999" customHeight="1">
      <c r="A3" s="4114"/>
      <c r="B3" s="4114"/>
      <c r="C3" s="4104" t="s">
        <v>2</v>
      </c>
      <c r="D3" s="4104"/>
      <c r="E3" s="4104"/>
      <c r="F3" s="4104"/>
      <c r="G3" s="4104"/>
      <c r="H3" s="4104"/>
      <c r="I3" s="4104"/>
      <c r="J3" s="4104"/>
      <c r="K3" s="4104"/>
      <c r="L3" s="4104"/>
      <c r="M3" s="4104"/>
      <c r="N3" s="4104"/>
      <c r="O3" s="4104"/>
      <c r="P3" s="4104"/>
    </row>
    <row r="4" spans="1:17" ht="16.149999999999999" customHeight="1" thickBot="1">
      <c r="A4" s="4115"/>
      <c r="B4" s="4115"/>
      <c r="C4" s="4"/>
      <c r="D4" s="4"/>
      <c r="E4" s="4"/>
      <c r="F4" s="4"/>
      <c r="G4" s="4"/>
      <c r="H4" s="4"/>
      <c r="I4" s="4"/>
      <c r="J4" s="4"/>
      <c r="K4" s="4"/>
      <c r="L4" s="4"/>
      <c r="M4" s="4"/>
      <c r="N4" s="4"/>
      <c r="O4" s="5"/>
    </row>
    <row r="5" spans="1:17" ht="47.25" customHeight="1">
      <c r="A5" s="4105" t="s">
        <v>3</v>
      </c>
      <c r="B5" s="4107" t="s">
        <v>4</v>
      </c>
      <c r="C5" s="4109" t="s">
        <v>5</v>
      </c>
      <c r="D5" s="4109"/>
      <c r="E5" s="4109"/>
      <c r="F5" s="4109"/>
      <c r="G5" s="4109"/>
      <c r="H5" s="4111" t="s">
        <v>6</v>
      </c>
      <c r="I5" s="4112"/>
      <c r="J5" s="4112"/>
      <c r="K5" s="4113"/>
      <c r="L5" s="4109" t="s">
        <v>7</v>
      </c>
      <c r="M5" s="4109"/>
      <c r="N5" s="4109"/>
      <c r="O5" s="4109"/>
      <c r="P5" s="4110"/>
    </row>
    <row r="6" spans="1:17" ht="45.75" customHeight="1" thickBot="1">
      <c r="A6" s="4106"/>
      <c r="B6" s="4108"/>
      <c r="C6" s="6" t="s">
        <v>8</v>
      </c>
      <c r="D6" s="6" t="s">
        <v>9</v>
      </c>
      <c r="E6" s="7" t="s">
        <v>10</v>
      </c>
      <c r="F6" s="7" t="s">
        <v>11</v>
      </c>
      <c r="G6" s="6" t="s">
        <v>12</v>
      </c>
      <c r="H6" s="6" t="s">
        <v>9</v>
      </c>
      <c r="I6" s="7" t="s">
        <v>10</v>
      </c>
      <c r="J6" s="7" t="s">
        <v>11</v>
      </c>
      <c r="K6" s="6" t="s">
        <v>12</v>
      </c>
      <c r="L6" s="6" t="s">
        <v>8</v>
      </c>
      <c r="M6" s="6" t="s">
        <v>9</v>
      </c>
      <c r="N6" s="7" t="s">
        <v>10</v>
      </c>
      <c r="O6" s="7" t="s">
        <v>11</v>
      </c>
      <c r="P6" s="8" t="s">
        <v>12</v>
      </c>
    </row>
    <row r="7" spans="1:17" ht="16.149999999999999" customHeight="1" thickBot="1">
      <c r="A7" s="9">
        <v>1</v>
      </c>
      <c r="B7" s="10">
        <f t="shared" ref="B7:G7" si="0">+A7+1</f>
        <v>2</v>
      </c>
      <c r="C7" s="11">
        <f t="shared" si="0"/>
        <v>3</v>
      </c>
      <c r="D7" s="11">
        <f t="shared" si="0"/>
        <v>4</v>
      </c>
      <c r="E7" s="11">
        <f t="shared" si="0"/>
        <v>5</v>
      </c>
      <c r="F7" s="11">
        <f t="shared" si="0"/>
        <v>6</v>
      </c>
      <c r="G7" s="11">
        <f t="shared" si="0"/>
        <v>7</v>
      </c>
      <c r="H7" s="11">
        <v>8</v>
      </c>
      <c r="I7" s="11">
        <v>9</v>
      </c>
      <c r="J7" s="11">
        <v>10</v>
      </c>
      <c r="K7" s="11">
        <v>11</v>
      </c>
      <c r="L7" s="11">
        <v>12</v>
      </c>
      <c r="M7" s="11">
        <v>13</v>
      </c>
      <c r="N7" s="11">
        <f>+M7+1</f>
        <v>14</v>
      </c>
      <c r="O7" s="11">
        <f>+N7+1</f>
        <v>15</v>
      </c>
      <c r="P7" s="12">
        <f>+O7+1</f>
        <v>16</v>
      </c>
    </row>
    <row r="8" spans="1:17" ht="24" customHeight="1" thickBot="1">
      <c r="A8" s="4125" t="s">
        <v>5146</v>
      </c>
      <c r="B8" s="4126"/>
      <c r="C8" s="4126"/>
      <c r="D8" s="4126"/>
      <c r="E8" s="4126"/>
      <c r="F8" s="4126"/>
      <c r="G8" s="4126"/>
      <c r="H8" s="4126"/>
      <c r="I8" s="4126"/>
      <c r="J8" s="4126"/>
      <c r="K8" s="4126"/>
      <c r="L8" s="4126"/>
      <c r="M8" s="4126"/>
      <c r="N8" s="4126"/>
      <c r="O8" s="4126"/>
      <c r="P8" s="4127"/>
    </row>
    <row r="9" spans="1:17" ht="16.149999999999999" customHeight="1" thickBot="1">
      <c r="A9" s="13"/>
      <c r="B9" s="14" t="s">
        <v>13</v>
      </c>
      <c r="C9" s="15">
        <f>D9+E9+F9+G9</f>
        <v>57180120</v>
      </c>
      <c r="D9" s="16">
        <f>D10+D13+D19</f>
        <v>57180120</v>
      </c>
      <c r="E9" s="16">
        <f>E10+E13+E19</f>
        <v>0</v>
      </c>
      <c r="F9" s="16">
        <f>F10+F13+F19</f>
        <v>0</v>
      </c>
      <c r="G9" s="16">
        <f>G10+G13+G19</f>
        <v>0</v>
      </c>
      <c r="H9" s="17"/>
      <c r="I9" s="18"/>
      <c r="J9" s="19"/>
      <c r="K9" s="19"/>
      <c r="L9" s="20">
        <f>M9+N9+O9+P9</f>
        <v>53818308.530000001</v>
      </c>
      <c r="M9" s="21">
        <f>M10+M13+M19</f>
        <v>53818308.530000001</v>
      </c>
      <c r="N9" s="22">
        <f>N10+N13+N19</f>
        <v>0</v>
      </c>
      <c r="O9" s="22">
        <f>O10+O13+O19</f>
        <v>0</v>
      </c>
      <c r="P9" s="22">
        <f>P10+P13+P19</f>
        <v>0</v>
      </c>
    </row>
    <row r="10" spans="1:17" ht="16.149999999999999" customHeight="1">
      <c r="A10" s="23">
        <v>1</v>
      </c>
      <c r="B10" s="24" t="s">
        <v>14</v>
      </c>
      <c r="C10" s="25">
        <f>D10+E10+F10+G10</f>
        <v>57180120</v>
      </c>
      <c r="D10" s="26">
        <f>D11+D12</f>
        <v>57180120</v>
      </c>
      <c r="E10" s="27"/>
      <c r="F10" s="27"/>
      <c r="G10" s="27"/>
      <c r="H10" s="4137"/>
      <c r="I10" s="4138"/>
      <c r="J10" s="4138"/>
      <c r="K10" s="4139"/>
      <c r="L10" s="29">
        <f t="shared" ref="L10:L19" si="1">SUM(M10:P10)</f>
        <v>53818308.530000001</v>
      </c>
      <c r="M10" s="29">
        <f>M11+M12</f>
        <v>53818308.530000001</v>
      </c>
      <c r="N10" s="30"/>
      <c r="O10" s="30"/>
      <c r="P10" s="30"/>
    </row>
    <row r="11" spans="1:17" ht="16.149999999999999" customHeight="1">
      <c r="A11" s="31"/>
      <c r="B11" s="32" t="s">
        <v>15</v>
      </c>
      <c r="C11" s="33">
        <f>D11+E11+F11+G11</f>
        <v>26300028</v>
      </c>
      <c r="D11" s="27">
        <f>ОРЭМ!C12*1000</f>
        <v>26300028</v>
      </c>
      <c r="E11" s="26"/>
      <c r="F11" s="26"/>
      <c r="G11" s="34"/>
      <c r="H11" s="4140"/>
      <c r="I11" s="4141"/>
      <c r="J11" s="4141"/>
      <c r="K11" s="4142"/>
      <c r="L11" s="30">
        <f t="shared" si="1"/>
        <v>0</v>
      </c>
      <c r="M11" s="37">
        <f>ОРЭМ!C72</f>
        <v>0</v>
      </c>
      <c r="N11" s="38"/>
      <c r="O11" s="38"/>
      <c r="P11" s="39"/>
    </row>
    <row r="12" spans="1:17" ht="16.149999999999999" customHeight="1" thickBot="1">
      <c r="A12" s="40"/>
      <c r="B12" s="32" t="s">
        <v>16</v>
      </c>
      <c r="C12" s="33">
        <f>D12</f>
        <v>30880092</v>
      </c>
      <c r="D12" s="27">
        <f>ОРЭМ!C13*1000</f>
        <v>30880092</v>
      </c>
      <c r="E12" s="42"/>
      <c r="F12" s="42"/>
      <c r="G12" s="42"/>
      <c r="H12" s="4143"/>
      <c r="I12" s="4144"/>
      <c r="J12" s="4144"/>
      <c r="K12" s="4145"/>
      <c r="L12" s="30">
        <f t="shared" si="1"/>
        <v>53818308.530000001</v>
      </c>
      <c r="M12" s="45">
        <f>ОРЭМ!C34+ОРЭМ!C39-'Шаблон 46 ГП'!M11</f>
        <v>53818308.530000001</v>
      </c>
      <c r="N12" s="46"/>
      <c r="O12" s="46"/>
      <c r="P12" s="47"/>
    </row>
    <row r="13" spans="1:17" ht="16.149999999999999" hidden="1" customHeight="1">
      <c r="A13" s="23">
        <v>2</v>
      </c>
      <c r="B13" s="24" t="s">
        <v>17</v>
      </c>
      <c r="C13" s="25">
        <f t="shared" ref="C13:C19" si="2">D13+E13+F13+G13</f>
        <v>0</v>
      </c>
      <c r="D13" s="25">
        <f>D14</f>
        <v>0</v>
      </c>
      <c r="E13" s="25">
        <f>E14+E16</f>
        <v>0</v>
      </c>
      <c r="F13" s="25"/>
      <c r="G13" s="48"/>
      <c r="H13" s="49"/>
      <c r="I13" s="50"/>
      <c r="J13" s="50"/>
      <c r="K13" s="50"/>
      <c r="L13" s="29">
        <f t="shared" si="1"/>
        <v>0</v>
      </c>
      <c r="M13" s="29">
        <f>SUM(M14)</f>
        <v>0</v>
      </c>
      <c r="N13" s="29">
        <f>N16</f>
        <v>0</v>
      </c>
      <c r="O13" s="29"/>
      <c r="P13" s="51"/>
      <c r="Q13" s="52"/>
    </row>
    <row r="14" spans="1:17" ht="16.149999999999999" hidden="1" customHeight="1">
      <c r="A14" s="23"/>
      <c r="B14" s="53" t="s">
        <v>197</v>
      </c>
      <c r="C14" s="33">
        <f t="shared" si="2"/>
        <v>0</v>
      </c>
      <c r="D14" s="33">
        <f>D15</f>
        <v>0</v>
      </c>
      <c r="E14" s="33"/>
      <c r="F14" s="25"/>
      <c r="G14" s="48"/>
      <c r="H14" s="49">
        <f>H15</f>
        <v>0</v>
      </c>
      <c r="I14" s="50"/>
      <c r="J14" s="50"/>
      <c r="K14" s="50"/>
      <c r="L14" s="30">
        <f t="shared" si="1"/>
        <v>0</v>
      </c>
      <c r="M14" s="30">
        <f>M15</f>
        <v>0</v>
      </c>
      <c r="N14" s="30"/>
      <c r="O14" s="29"/>
      <c r="P14" s="51"/>
      <c r="Q14" s="52"/>
    </row>
    <row r="15" spans="1:17" ht="16.149999999999999" hidden="1" customHeight="1">
      <c r="A15" s="23"/>
      <c r="B15" s="203" t="s">
        <v>204</v>
      </c>
      <c r="C15" s="33">
        <f t="shared" si="2"/>
        <v>0</v>
      </c>
      <c r="D15" s="33">
        <v>0</v>
      </c>
      <c r="E15" s="33"/>
      <c r="F15" s="25"/>
      <c r="G15" s="48"/>
      <c r="H15" s="49">
        <v>0</v>
      </c>
      <c r="I15" s="50"/>
      <c r="J15" s="50"/>
      <c r="K15" s="50"/>
      <c r="L15" s="30">
        <f t="shared" si="1"/>
        <v>0</v>
      </c>
      <c r="M15" s="175">
        <f>ROUND(D15*H15,2)</f>
        <v>0</v>
      </c>
      <c r="N15" s="30"/>
      <c r="O15" s="29"/>
      <c r="P15" s="51"/>
      <c r="Q15" s="52"/>
    </row>
    <row r="16" spans="1:17" ht="16.149999999999999" hidden="1" customHeight="1">
      <c r="A16" s="23"/>
      <c r="B16" s="53" t="s">
        <v>200</v>
      </c>
      <c r="C16" s="33">
        <f t="shared" si="2"/>
        <v>0</v>
      </c>
      <c r="D16" s="25"/>
      <c r="E16" s="33">
        <f>E17</f>
        <v>0</v>
      </c>
      <c r="F16" s="25"/>
      <c r="G16" s="48"/>
      <c r="H16" s="49"/>
      <c r="I16" s="50">
        <f>I17</f>
        <v>0</v>
      </c>
      <c r="J16" s="50"/>
      <c r="K16" s="50"/>
      <c r="L16" s="30">
        <f t="shared" si="1"/>
        <v>0</v>
      </c>
      <c r="M16" s="30"/>
      <c r="N16" s="30">
        <f>N17+N18</f>
        <v>0</v>
      </c>
      <c r="O16" s="29"/>
      <c r="P16" s="51"/>
      <c r="Q16" s="52"/>
    </row>
    <row r="17" spans="1:17" ht="16.149999999999999" hidden="1" customHeight="1">
      <c r="A17" s="23"/>
      <c r="B17" s="203" t="s">
        <v>204</v>
      </c>
      <c r="C17" s="33">
        <f t="shared" si="2"/>
        <v>0</v>
      </c>
      <c r="D17" s="25"/>
      <c r="E17" s="33">
        <v>0</v>
      </c>
      <c r="F17" s="25"/>
      <c r="G17" s="48"/>
      <c r="H17" s="49"/>
      <c r="I17" s="50">
        <v>0</v>
      </c>
      <c r="J17" s="50"/>
      <c r="K17" s="50"/>
      <c r="L17" s="30">
        <f t="shared" si="1"/>
        <v>0</v>
      </c>
      <c r="M17" s="30"/>
      <c r="N17" s="175">
        <f>ROUND(E17*I17,2)</f>
        <v>0</v>
      </c>
      <c r="O17" s="29"/>
      <c r="P17" s="51"/>
      <c r="Q17" s="52"/>
    </row>
    <row r="18" spans="1:17" ht="16.149999999999999" hidden="1" customHeight="1">
      <c r="A18" s="23"/>
      <c r="B18" s="203" t="s">
        <v>192</v>
      </c>
      <c r="C18" s="33">
        <f t="shared" si="2"/>
        <v>0</v>
      </c>
      <c r="D18" s="25"/>
      <c r="E18" s="33">
        <v>0</v>
      </c>
      <c r="F18" s="25"/>
      <c r="G18" s="48"/>
      <c r="H18" s="49"/>
      <c r="I18" s="318">
        <v>0</v>
      </c>
      <c r="J18" s="50"/>
      <c r="K18" s="50"/>
      <c r="L18" s="30">
        <f t="shared" si="1"/>
        <v>0</v>
      </c>
      <c r="M18" s="30"/>
      <c r="N18" s="175">
        <f>ROUND(E18*I18,2)</f>
        <v>0</v>
      </c>
      <c r="O18" s="29"/>
      <c r="P18" s="51"/>
      <c r="Q18" s="52"/>
    </row>
    <row r="19" spans="1:17" s="64" customFormat="1" ht="16.149999999999999" hidden="1" customHeight="1">
      <c r="A19" s="66">
        <v>3</v>
      </c>
      <c r="B19" s="67" t="s">
        <v>20</v>
      </c>
      <c r="C19" s="25">
        <f t="shared" si="2"/>
        <v>0</v>
      </c>
      <c r="D19" s="25"/>
      <c r="E19" s="25">
        <f>SUM(E20:E20)</f>
        <v>0</v>
      </c>
      <c r="F19" s="25">
        <f>SUM(F20:F20)</f>
        <v>0</v>
      </c>
      <c r="G19" s="59"/>
      <c r="H19" s="63"/>
      <c r="I19" s="50"/>
      <c r="J19" s="50"/>
      <c r="K19" s="63"/>
      <c r="L19" s="29">
        <f t="shared" si="1"/>
        <v>0</v>
      </c>
      <c r="M19" s="29"/>
      <c r="N19" s="29">
        <f>SUM(N20:N20)</f>
        <v>0</v>
      </c>
      <c r="O19" s="29">
        <f>SUM(O20:O20)</f>
        <v>0</v>
      </c>
      <c r="P19" s="65"/>
    </row>
    <row r="20" spans="1:17" s="64" customFormat="1" ht="16.149999999999999" hidden="1" customHeight="1" thickBot="1">
      <c r="A20" s="66"/>
      <c r="B20" s="53" t="s">
        <v>205</v>
      </c>
      <c r="C20" s="54">
        <f>SUM(D20:G20)</f>
        <v>0</v>
      </c>
      <c r="D20" s="25"/>
      <c r="E20" s="33">
        <v>0</v>
      </c>
      <c r="F20" s="33">
        <v>0</v>
      </c>
      <c r="G20" s="59"/>
      <c r="H20" s="63"/>
      <c r="I20" s="50">
        <v>0</v>
      </c>
      <c r="J20" s="50">
        <v>0</v>
      </c>
      <c r="K20" s="63"/>
      <c r="L20" s="175">
        <f>SUM(M20:P20)</f>
        <v>0</v>
      </c>
      <c r="M20" s="29"/>
      <c r="N20" s="175">
        <f>ROUND(E20*I20,2)</f>
        <v>0</v>
      </c>
      <c r="O20" s="175">
        <f>ROUND(F20*J20,2)</f>
        <v>0</v>
      </c>
      <c r="P20" s="202"/>
    </row>
    <row r="21" spans="1:17" ht="16.149999999999999" customHeight="1" thickBot="1">
      <c r="A21" s="70"/>
      <c r="B21" s="71" t="s">
        <v>21</v>
      </c>
      <c r="C21" s="72">
        <f>C22+C23</f>
        <v>785687</v>
      </c>
      <c r="D21" s="72"/>
      <c r="E21" s="72"/>
      <c r="F21" s="72"/>
      <c r="G21" s="72"/>
      <c r="H21" s="4128"/>
      <c r="I21" s="4129"/>
      <c r="J21" s="4129"/>
      <c r="K21" s="4130"/>
      <c r="L21" s="20">
        <f>L22+L23</f>
        <v>158100.37</v>
      </c>
      <c r="M21" s="20"/>
      <c r="N21" s="20"/>
      <c r="O21" s="20"/>
      <c r="P21" s="73"/>
    </row>
    <row r="22" spans="1:17" ht="16.149999999999999" customHeight="1">
      <c r="A22" s="74">
        <v>1</v>
      </c>
      <c r="B22" s="75" t="s">
        <v>22</v>
      </c>
      <c r="C22" s="33">
        <f>ОРЭМ!C137*1000</f>
        <v>367525</v>
      </c>
      <c r="D22" s="76"/>
      <c r="E22" s="76"/>
      <c r="F22" s="76"/>
      <c r="G22" s="77"/>
      <c r="H22" s="4131"/>
      <c r="I22" s="4132"/>
      <c r="J22" s="4132"/>
      <c r="K22" s="4133"/>
      <c r="L22" s="78">
        <f>ОРЭМ!C143</f>
        <v>158100.37</v>
      </c>
      <c r="M22" s="79"/>
      <c r="N22" s="79"/>
      <c r="O22" s="80"/>
      <c r="P22" s="81"/>
    </row>
    <row r="23" spans="1:17" ht="16.149999999999999" customHeight="1" thickBot="1">
      <c r="A23" s="82">
        <v>2</v>
      </c>
      <c r="B23" s="83" t="s">
        <v>23</v>
      </c>
      <c r="C23" s="33">
        <f>ОРЭМ!C154*1000</f>
        <v>418162</v>
      </c>
      <c r="D23" s="84"/>
      <c r="E23" s="84"/>
      <c r="F23" s="84"/>
      <c r="G23" s="84"/>
      <c r="H23" s="4134"/>
      <c r="I23" s="4135"/>
      <c r="J23" s="4135"/>
      <c r="K23" s="4136"/>
      <c r="L23" s="45">
        <f>ОРЭМ!C156</f>
        <v>0</v>
      </c>
      <c r="M23" s="85"/>
      <c r="N23" s="46"/>
      <c r="O23" s="46"/>
      <c r="P23" s="86"/>
    </row>
    <row r="24" spans="1:17" ht="16.149999999999999" customHeight="1" thickBot="1">
      <c r="A24" s="70"/>
      <c r="B24" s="71" t="s">
        <v>24</v>
      </c>
      <c r="C24" s="72">
        <v>0</v>
      </c>
      <c r="D24" s="72"/>
      <c r="E24" s="72"/>
      <c r="F24" s="72"/>
      <c r="G24" s="72"/>
      <c r="H24" s="993"/>
      <c r="I24" s="993"/>
      <c r="J24" s="993"/>
      <c r="K24" s="993"/>
      <c r="L24" s="20"/>
      <c r="M24" s="20"/>
      <c r="N24" s="20"/>
      <c r="O24" s="20"/>
      <c r="P24" s="73"/>
    </row>
    <row r="25" spans="1:17" ht="16.149999999999999" customHeight="1" thickBot="1">
      <c r="A25" s="87"/>
      <c r="B25" s="88"/>
      <c r="C25" s="90"/>
      <c r="D25" s="89"/>
      <c r="E25" s="89"/>
      <c r="F25" s="89"/>
      <c r="G25" s="89"/>
      <c r="H25" s="91"/>
      <c r="I25" s="92"/>
      <c r="J25" s="92"/>
      <c r="K25" s="93"/>
      <c r="L25" s="94"/>
      <c r="M25" s="85"/>
      <c r="N25" s="85"/>
      <c r="O25" s="85"/>
      <c r="P25" s="95"/>
    </row>
    <row r="26" spans="1:17" ht="16.149999999999999" customHeight="1" thickBot="1">
      <c r="A26" s="96" t="s">
        <v>25</v>
      </c>
      <c r="B26" s="97" t="s">
        <v>26</v>
      </c>
      <c r="C26" s="98"/>
      <c r="D26" s="98"/>
      <c r="E26" s="98"/>
      <c r="F26" s="98"/>
      <c r="G26" s="98"/>
      <c r="H26" s="17"/>
      <c r="I26" s="17"/>
      <c r="J26" s="17"/>
      <c r="K26" s="17"/>
      <c r="L26" s="20"/>
      <c r="M26" s="20"/>
      <c r="N26" s="20"/>
      <c r="O26" s="20"/>
      <c r="P26" s="73"/>
    </row>
    <row r="27" spans="1:17" ht="16.149999999999999" customHeight="1" thickBot="1">
      <c r="A27" s="96" t="s">
        <v>27</v>
      </c>
      <c r="B27" s="97" t="s">
        <v>28</v>
      </c>
      <c r="C27" s="72">
        <f>SUM(D27:G27)</f>
        <v>24830239</v>
      </c>
      <c r="D27" s="72">
        <f>SUM(D28:D65)</f>
        <v>0</v>
      </c>
      <c r="E27" s="72">
        <f>SUM(E28:E65)</f>
        <v>0</v>
      </c>
      <c r="F27" s="72">
        <f>SUM(F28:F65)</f>
        <v>3618243</v>
      </c>
      <c r="G27" s="72">
        <f>SUM(G28:G65)</f>
        <v>21211996</v>
      </c>
      <c r="H27" s="99"/>
      <c r="I27" s="99"/>
      <c r="J27" s="99"/>
      <c r="K27" s="99"/>
      <c r="L27" s="166">
        <f>M27+N27+O27+P27</f>
        <v>57037219.760000028</v>
      </c>
      <c r="M27" s="166">
        <f>SUM(M28:M65)</f>
        <v>0</v>
      </c>
      <c r="N27" s="166">
        <f>SUM(N28:N65)</f>
        <v>0</v>
      </c>
      <c r="O27" s="166">
        <f>SUM(O28:O65)</f>
        <v>9148480.1099999994</v>
      </c>
      <c r="P27" s="166">
        <f>SUM(P28:P65)</f>
        <v>47888739.650000028</v>
      </c>
      <c r="Q27" s="100"/>
    </row>
    <row r="28" spans="1:17" ht="16.149999999999999" customHeight="1">
      <c r="A28" s="101">
        <v>2.1</v>
      </c>
      <c r="B28" s="3714" t="s">
        <v>4744</v>
      </c>
      <c r="C28" s="3715">
        <f>SUM(D28:G28)</f>
        <v>7393218</v>
      </c>
      <c r="D28" s="3716"/>
      <c r="E28" s="3716"/>
      <c r="F28" s="3715">
        <v>44194</v>
      </c>
      <c r="G28" s="3715">
        <v>7349024</v>
      </c>
      <c r="H28" s="3717"/>
      <c r="I28" s="3717"/>
      <c r="J28" s="3718">
        <v>3</v>
      </c>
      <c r="K28" s="3718">
        <v>2.9324999999999997</v>
      </c>
      <c r="L28" s="1829">
        <f>SUM(M28:P28)</f>
        <v>18199021.23</v>
      </c>
      <c r="M28" s="3719"/>
      <c r="N28" s="3719"/>
      <c r="O28" s="1829">
        <v>108673.78</v>
      </c>
      <c r="P28" s="1829">
        <v>18090347.449999999</v>
      </c>
      <c r="Q28" s="100"/>
    </row>
    <row r="29" spans="1:17" ht="16.149999999999999" customHeight="1">
      <c r="A29" s="101"/>
      <c r="B29" s="3714" t="s">
        <v>4745</v>
      </c>
      <c r="C29" s="3715">
        <f t="shared" ref="C29:C36" si="3">SUM(D29:G29)</f>
        <v>12456</v>
      </c>
      <c r="D29" s="3716"/>
      <c r="E29" s="3716"/>
      <c r="F29" s="3715"/>
      <c r="G29" s="3715">
        <v>12456</v>
      </c>
      <c r="H29" s="3717"/>
      <c r="I29" s="3717"/>
      <c r="J29" s="3718"/>
      <c r="K29" s="3718">
        <v>7.14</v>
      </c>
      <c r="L29" s="1829">
        <f t="shared" ref="L29:L36" si="4">SUM(M29:P29)</f>
        <v>72898.23</v>
      </c>
      <c r="M29" s="3719"/>
      <c r="N29" s="3719"/>
      <c r="O29" s="1829"/>
      <c r="P29" s="1829">
        <v>72898.23</v>
      </c>
      <c r="Q29" s="100"/>
    </row>
    <row r="30" spans="1:17" ht="16.149999999999999" customHeight="1">
      <c r="A30" s="101"/>
      <c r="B30" s="3714" t="s">
        <v>4746</v>
      </c>
      <c r="C30" s="3715">
        <f t="shared" si="3"/>
        <v>41</v>
      </c>
      <c r="D30" s="3716"/>
      <c r="E30" s="3716"/>
      <c r="F30" s="3715"/>
      <c r="G30" s="3715">
        <v>41</v>
      </c>
      <c r="H30" s="3717"/>
      <c r="I30" s="3717"/>
      <c r="J30" s="3718" t="s">
        <v>4775</v>
      </c>
      <c r="K30" s="3718">
        <v>10.469999999999999</v>
      </c>
      <c r="L30" s="1829">
        <f t="shared" si="4"/>
        <v>351.86</v>
      </c>
      <c r="M30" s="3719"/>
      <c r="N30" s="3719"/>
      <c r="O30" s="1829"/>
      <c r="P30" s="1829">
        <v>351.86</v>
      </c>
      <c r="Q30" s="100"/>
    </row>
    <row r="31" spans="1:17" ht="16.149999999999999" customHeight="1">
      <c r="A31" s="101">
        <v>2.2000000000000002</v>
      </c>
      <c r="B31" s="3714" t="s">
        <v>4747</v>
      </c>
      <c r="C31" s="3715">
        <f t="shared" si="3"/>
        <v>10256021</v>
      </c>
      <c r="D31" s="3716"/>
      <c r="E31" s="3716"/>
      <c r="F31" s="3715">
        <v>1212745</v>
      </c>
      <c r="G31" s="3715">
        <v>9043276</v>
      </c>
      <c r="H31" s="3717"/>
      <c r="I31" s="3717"/>
      <c r="J31" s="3718">
        <v>2.73</v>
      </c>
      <c r="K31" s="3718">
        <v>2.714375</v>
      </c>
      <c r="L31" s="1829">
        <f t="shared" si="4"/>
        <v>22950898.640000001</v>
      </c>
      <c r="M31" s="3719"/>
      <c r="N31" s="3719"/>
      <c r="O31" s="1829">
        <v>2713765.45</v>
      </c>
      <c r="P31" s="1829">
        <v>20237133.190000001</v>
      </c>
      <c r="Q31" s="100"/>
    </row>
    <row r="32" spans="1:17" ht="16.149999999999999" customHeight="1">
      <c r="A32" s="101"/>
      <c r="B32" s="3714" t="s">
        <v>4748</v>
      </c>
      <c r="C32" s="3715">
        <f t="shared" si="3"/>
        <v>20319</v>
      </c>
      <c r="D32" s="3716"/>
      <c r="E32" s="3716"/>
      <c r="F32" s="3715"/>
      <c r="G32" s="3715">
        <v>20319</v>
      </c>
      <c r="H32" s="3717"/>
      <c r="I32" s="3717"/>
      <c r="J32" s="3718"/>
      <c r="K32" s="3718">
        <v>6.01</v>
      </c>
      <c r="L32" s="1829">
        <f t="shared" si="4"/>
        <v>100096.06</v>
      </c>
      <c r="M32" s="3719"/>
      <c r="N32" s="3719"/>
      <c r="O32" s="1829"/>
      <c r="P32" s="1829">
        <v>100096.06</v>
      </c>
      <c r="Q32" s="100"/>
    </row>
    <row r="33" spans="1:17" ht="16.149999999999999" customHeight="1">
      <c r="A33" s="101"/>
      <c r="B33" s="3714" t="s">
        <v>4749</v>
      </c>
      <c r="C33" s="3715">
        <f t="shared" si="3"/>
        <v>13582</v>
      </c>
      <c r="D33" s="3716"/>
      <c r="E33" s="3716"/>
      <c r="F33" s="3715"/>
      <c r="G33" s="3715">
        <v>13582</v>
      </c>
      <c r="H33" s="3717"/>
      <c r="I33" s="3717"/>
      <c r="J33" s="3718" t="s">
        <v>4780</v>
      </c>
      <c r="K33" s="3718">
        <v>10.1</v>
      </c>
      <c r="L33" s="1829">
        <f t="shared" si="4"/>
        <v>112441.15000000001</v>
      </c>
      <c r="M33" s="3719"/>
      <c r="N33" s="3719"/>
      <c r="O33" s="1829"/>
      <c r="P33" s="1829">
        <v>112441.15000000001</v>
      </c>
      <c r="Q33" s="100"/>
    </row>
    <row r="34" spans="1:17" ht="16.149999999999999" customHeight="1">
      <c r="A34" s="101">
        <v>2.2999999999999998</v>
      </c>
      <c r="B34" s="3714" t="s">
        <v>4750</v>
      </c>
      <c r="C34" s="3715">
        <f t="shared" si="3"/>
        <v>3530241</v>
      </c>
      <c r="D34" s="3716"/>
      <c r="E34" s="3716"/>
      <c r="F34" s="3715">
        <v>405184</v>
      </c>
      <c r="G34" s="3715">
        <v>3125057</v>
      </c>
      <c r="H34" s="3717"/>
      <c r="I34" s="3717"/>
      <c r="J34" s="3718">
        <v>1.7999999999999998</v>
      </c>
      <c r="K34" s="3718">
        <v>1.7487692307599998</v>
      </c>
      <c r="L34" s="1829">
        <f t="shared" si="4"/>
        <v>5204104.040000001</v>
      </c>
      <c r="M34" s="3719"/>
      <c r="N34" s="3719"/>
      <c r="O34" s="1829">
        <v>597812.47999999998</v>
      </c>
      <c r="P34" s="1829">
        <v>4606291.5600000005</v>
      </c>
      <c r="Q34" s="100"/>
    </row>
    <row r="35" spans="1:17" ht="16.149999999999999" customHeight="1">
      <c r="A35" s="101"/>
      <c r="B35" s="3714" t="s">
        <v>4751</v>
      </c>
      <c r="C35" s="3715">
        <f t="shared" si="3"/>
        <v>8163</v>
      </c>
      <c r="D35" s="3716"/>
      <c r="E35" s="3716"/>
      <c r="F35" s="3715"/>
      <c r="G35" s="3715">
        <v>8163</v>
      </c>
      <c r="H35" s="3717"/>
      <c r="I35" s="3717"/>
      <c r="J35" s="3718"/>
      <c r="K35" s="3718">
        <v>4.76</v>
      </c>
      <c r="L35" s="1829">
        <f t="shared" si="4"/>
        <v>31849.09</v>
      </c>
      <c r="M35" s="3719"/>
      <c r="N35" s="3719"/>
      <c r="O35" s="1829"/>
      <c r="P35" s="1829">
        <v>31849.09</v>
      </c>
      <c r="Q35" s="100"/>
    </row>
    <row r="36" spans="1:17" ht="16.149999999999999" customHeight="1">
      <c r="A36" s="101"/>
      <c r="B36" s="3714" t="s">
        <v>4752</v>
      </c>
      <c r="C36" s="3715">
        <f t="shared" si="3"/>
        <v>-19935</v>
      </c>
      <c r="D36" s="3716"/>
      <c r="E36" s="3716"/>
      <c r="F36" s="3715"/>
      <c r="G36" s="3715">
        <v>-19935</v>
      </c>
      <c r="H36" s="3717"/>
      <c r="I36" s="3717"/>
      <c r="J36" s="3718" t="s">
        <v>4785</v>
      </c>
      <c r="K36" s="3718">
        <v>6.2799999999999994</v>
      </c>
      <c r="L36" s="1829">
        <f t="shared" si="4"/>
        <v>-102616.23</v>
      </c>
      <c r="M36" s="3719"/>
      <c r="N36" s="3719"/>
      <c r="O36" s="1829"/>
      <c r="P36" s="1829">
        <v>-102616.23</v>
      </c>
      <c r="Q36" s="100"/>
    </row>
    <row r="37" spans="1:17" ht="16.149999999999999" customHeight="1">
      <c r="A37" s="101">
        <v>2.4</v>
      </c>
      <c r="B37" s="2936" t="s">
        <v>32</v>
      </c>
      <c r="C37" s="54">
        <f t="shared" ref="C37:C65" si="5">SUM(D37:G37)</f>
        <v>0</v>
      </c>
      <c r="D37" s="346"/>
      <c r="E37" s="346"/>
      <c r="F37" s="346"/>
      <c r="G37" s="54"/>
      <c r="H37" s="368"/>
      <c r="I37" s="368"/>
      <c r="J37" s="160"/>
      <c r="K37" s="160"/>
      <c r="L37" s="175">
        <f t="shared" ref="L37:L65" si="6">SUM(M37:P37)</f>
        <v>0</v>
      </c>
      <c r="M37" s="347"/>
      <c r="N37" s="347"/>
      <c r="O37" s="347"/>
      <c r="P37" s="175"/>
      <c r="Q37" s="100"/>
    </row>
    <row r="38" spans="1:17" ht="16.149999999999999" customHeight="1">
      <c r="A38" s="101">
        <v>2.5</v>
      </c>
      <c r="B38" s="2936" t="s">
        <v>33</v>
      </c>
      <c r="C38" s="54">
        <f t="shared" si="5"/>
        <v>0</v>
      </c>
      <c r="D38" s="346"/>
      <c r="E38" s="346"/>
      <c r="F38" s="346"/>
      <c r="G38" s="54"/>
      <c r="H38" s="368"/>
      <c r="I38" s="368"/>
      <c r="J38" s="160"/>
      <c r="K38" s="160"/>
      <c r="L38" s="175">
        <f t="shared" si="6"/>
        <v>0</v>
      </c>
      <c r="M38" s="347"/>
      <c r="N38" s="347"/>
      <c r="O38" s="347"/>
      <c r="P38" s="175"/>
      <c r="Q38" s="100"/>
    </row>
    <row r="39" spans="1:17" ht="16.149999999999999" customHeight="1">
      <c r="A39" s="101">
        <v>2.6</v>
      </c>
      <c r="B39" s="2936" t="s">
        <v>34</v>
      </c>
      <c r="C39" s="54">
        <f t="shared" si="5"/>
        <v>0</v>
      </c>
      <c r="D39" s="346"/>
      <c r="E39" s="346"/>
      <c r="F39" s="346"/>
      <c r="G39" s="54"/>
      <c r="H39" s="368"/>
      <c r="I39" s="368"/>
      <c r="J39" s="160"/>
      <c r="K39" s="160"/>
      <c r="L39" s="175">
        <f t="shared" si="6"/>
        <v>0</v>
      </c>
      <c r="M39" s="347"/>
      <c r="N39" s="347"/>
      <c r="O39" s="347"/>
      <c r="P39" s="175"/>
      <c r="Q39" s="100"/>
    </row>
    <row r="40" spans="1:17" ht="16.149999999999999" customHeight="1">
      <c r="A40" s="101">
        <v>2.7</v>
      </c>
      <c r="B40" s="3720" t="s">
        <v>4753</v>
      </c>
      <c r="C40" s="1837">
        <f t="shared" si="5"/>
        <v>101987</v>
      </c>
      <c r="D40" s="3721"/>
      <c r="E40" s="3721"/>
      <c r="F40" s="3721"/>
      <c r="G40" s="1837">
        <v>101987</v>
      </c>
      <c r="H40" s="3722"/>
      <c r="I40" s="3722"/>
      <c r="J40" s="3723"/>
      <c r="K40" s="3723">
        <v>4.29</v>
      </c>
      <c r="L40" s="1840">
        <f t="shared" si="6"/>
        <v>358626.42</v>
      </c>
      <c r="M40" s="3724"/>
      <c r="N40" s="3724"/>
      <c r="O40" s="3724"/>
      <c r="P40" s="1840">
        <v>358626.42</v>
      </c>
      <c r="Q40" s="100"/>
    </row>
    <row r="41" spans="1:17" ht="16.149999999999999" customHeight="1">
      <c r="A41" s="101"/>
      <c r="B41" s="3720" t="s">
        <v>4754</v>
      </c>
      <c r="C41" s="1837">
        <f t="shared" si="5"/>
        <v>-1187</v>
      </c>
      <c r="D41" s="3721"/>
      <c r="E41" s="3721"/>
      <c r="F41" s="3721"/>
      <c r="G41" s="1837">
        <v>-1187</v>
      </c>
      <c r="H41" s="3722"/>
      <c r="I41" s="3722"/>
      <c r="J41" s="3723" t="s">
        <v>4788</v>
      </c>
      <c r="K41" s="3723">
        <v>7.14</v>
      </c>
      <c r="L41" s="1840">
        <f t="shared" si="6"/>
        <v>-6946.87</v>
      </c>
      <c r="M41" s="3724"/>
      <c r="N41" s="3724"/>
      <c r="O41" s="3724"/>
      <c r="P41" s="1840">
        <v>-6946.87</v>
      </c>
      <c r="Q41" s="100"/>
    </row>
    <row r="42" spans="1:17" ht="16.149999999999999" customHeight="1">
      <c r="A42" s="101"/>
      <c r="B42" s="3720" t="s">
        <v>4755</v>
      </c>
      <c r="C42" s="1837">
        <f t="shared" si="5"/>
        <v>-1193</v>
      </c>
      <c r="D42" s="3721"/>
      <c r="E42" s="3721"/>
      <c r="F42" s="3721"/>
      <c r="G42" s="1837">
        <v>-1193</v>
      </c>
      <c r="H42" s="3722"/>
      <c r="I42" s="3722"/>
      <c r="J42" s="3723" t="s">
        <v>4790</v>
      </c>
      <c r="K42" s="3723">
        <v>10.469999999999999</v>
      </c>
      <c r="L42" s="1840">
        <f t="shared" si="6"/>
        <v>-10238.290000000001</v>
      </c>
      <c r="M42" s="3724"/>
      <c r="N42" s="3724"/>
      <c r="O42" s="3724"/>
      <c r="P42" s="1840">
        <v>-10238.290000000001</v>
      </c>
      <c r="Q42" s="100"/>
    </row>
    <row r="43" spans="1:17" ht="16.149999999999999" customHeight="1">
      <c r="A43" s="101">
        <v>2.8</v>
      </c>
      <c r="B43" s="3720" t="s">
        <v>4756</v>
      </c>
      <c r="C43" s="1837">
        <f t="shared" si="5"/>
        <v>936712</v>
      </c>
      <c r="D43" s="3721"/>
      <c r="E43" s="3721"/>
      <c r="F43" s="3721"/>
      <c r="G43" s="1837">
        <v>936712</v>
      </c>
      <c r="H43" s="3722"/>
      <c r="I43" s="3722"/>
      <c r="J43" s="3723"/>
      <c r="K43" s="3723">
        <v>3.9099999999999997</v>
      </c>
      <c r="L43" s="1840">
        <f t="shared" si="6"/>
        <v>3002085.18</v>
      </c>
      <c r="M43" s="3724"/>
      <c r="N43" s="3724"/>
      <c r="O43" s="3724"/>
      <c r="P43" s="1840">
        <v>3002085.18</v>
      </c>
      <c r="Q43" s="100"/>
    </row>
    <row r="44" spans="1:17" ht="16.149999999999999" customHeight="1">
      <c r="A44" s="101"/>
      <c r="B44" s="3720" t="s">
        <v>4757</v>
      </c>
      <c r="C44" s="1837">
        <f t="shared" si="5"/>
        <v>-1052</v>
      </c>
      <c r="D44" s="3725"/>
      <c r="E44" s="3725"/>
      <c r="F44" s="3725"/>
      <c r="G44" s="3726">
        <v>-1052</v>
      </c>
      <c r="H44" s="3727"/>
      <c r="I44" s="3727"/>
      <c r="J44" s="3728" t="s">
        <v>4793</v>
      </c>
      <c r="K44" s="3728">
        <v>6.01</v>
      </c>
      <c r="L44" s="1840">
        <f t="shared" si="6"/>
        <v>-5182.3900000000003</v>
      </c>
      <c r="M44" s="3729"/>
      <c r="N44" s="3729"/>
      <c r="O44" s="3729"/>
      <c r="P44" s="3730">
        <v>-5182.3900000000003</v>
      </c>
      <c r="Q44" s="100"/>
    </row>
    <row r="45" spans="1:17" ht="16.149999999999999" customHeight="1">
      <c r="A45" s="101"/>
      <c r="B45" s="3720" t="s">
        <v>4758</v>
      </c>
      <c r="C45" s="1837">
        <f t="shared" si="5"/>
        <v>-7925</v>
      </c>
      <c r="D45" s="3725"/>
      <c r="E45" s="3725"/>
      <c r="F45" s="3725"/>
      <c r="G45" s="3726">
        <v>-7925</v>
      </c>
      <c r="H45" s="3727"/>
      <c r="I45" s="3727"/>
      <c r="J45" s="3728" t="s">
        <v>4795</v>
      </c>
      <c r="K45" s="3728">
        <v>10.1</v>
      </c>
      <c r="L45" s="1840">
        <f t="shared" si="6"/>
        <v>-65608.61</v>
      </c>
      <c r="M45" s="3729"/>
      <c r="N45" s="3729"/>
      <c r="O45" s="3729"/>
      <c r="P45" s="3730">
        <v>-65608.61</v>
      </c>
      <c r="Q45" s="100"/>
    </row>
    <row r="46" spans="1:17" ht="16.149999999999999" customHeight="1">
      <c r="A46" s="101">
        <v>2.9</v>
      </c>
      <c r="B46" s="3720" t="s">
        <v>4759</v>
      </c>
      <c r="C46" s="1837">
        <f t="shared" si="5"/>
        <v>466150</v>
      </c>
      <c r="D46" s="3725"/>
      <c r="E46" s="3725"/>
      <c r="F46" s="3725"/>
      <c r="G46" s="3726">
        <v>466150</v>
      </c>
      <c r="H46" s="3727"/>
      <c r="I46" s="3727"/>
      <c r="J46" s="3728"/>
      <c r="K46" s="3728">
        <v>2.57</v>
      </c>
      <c r="L46" s="1840">
        <f t="shared" si="6"/>
        <v>981971.72</v>
      </c>
      <c r="M46" s="3729"/>
      <c r="N46" s="3729"/>
      <c r="O46" s="3729"/>
      <c r="P46" s="3730">
        <v>981971.72</v>
      </c>
      <c r="Q46" s="100"/>
    </row>
    <row r="47" spans="1:17" ht="16.149999999999999" customHeight="1">
      <c r="A47" s="101"/>
      <c r="B47" s="3720" t="s">
        <v>4760</v>
      </c>
      <c r="C47" s="1837">
        <f t="shared" si="5"/>
        <v>-634</v>
      </c>
      <c r="D47" s="3725"/>
      <c r="E47" s="3725"/>
      <c r="F47" s="3725"/>
      <c r="G47" s="3726">
        <v>-634</v>
      </c>
      <c r="H47" s="3727"/>
      <c r="I47" s="3727"/>
      <c r="J47" s="3728" t="s">
        <v>4798</v>
      </c>
      <c r="K47" s="3728">
        <v>4.76</v>
      </c>
      <c r="L47" s="1840">
        <f t="shared" si="6"/>
        <v>-2473.64</v>
      </c>
      <c r="M47" s="3729"/>
      <c r="N47" s="3729"/>
      <c r="O47" s="3729"/>
      <c r="P47" s="3730">
        <v>-2473.64</v>
      </c>
      <c r="Q47" s="100"/>
    </row>
    <row r="48" spans="1:17" ht="16.149999999999999" customHeight="1">
      <c r="A48" s="101"/>
      <c r="B48" s="3720" t="s">
        <v>4761</v>
      </c>
      <c r="C48" s="1837">
        <f t="shared" si="5"/>
        <v>-4116</v>
      </c>
      <c r="D48" s="3725"/>
      <c r="E48" s="3725"/>
      <c r="F48" s="3725"/>
      <c r="G48" s="3726">
        <v>-4116</v>
      </c>
      <c r="H48" s="3727"/>
      <c r="I48" s="3727"/>
      <c r="J48" s="3728" t="s">
        <v>4800</v>
      </c>
      <c r="K48" s="3728">
        <v>6.2799999999999994</v>
      </c>
      <c r="L48" s="1840">
        <f t="shared" si="6"/>
        <v>-21187.279999999999</v>
      </c>
      <c r="M48" s="3729"/>
      <c r="N48" s="3729"/>
      <c r="O48" s="3729"/>
      <c r="P48" s="3730">
        <v>-21187.279999999999</v>
      </c>
      <c r="Q48" s="100"/>
    </row>
    <row r="49" spans="1:92" ht="16.149999999999999" customHeight="1">
      <c r="A49" s="104">
        <v>2.1</v>
      </c>
      <c r="B49" s="3731" t="s">
        <v>4762</v>
      </c>
      <c r="C49" s="3732">
        <f t="shared" si="5"/>
        <v>1399760</v>
      </c>
      <c r="D49" s="3733"/>
      <c r="E49" s="3733"/>
      <c r="F49" s="3732">
        <v>1305828</v>
      </c>
      <c r="G49" s="3732">
        <v>93932</v>
      </c>
      <c r="H49" s="3734"/>
      <c r="I49" s="3734"/>
      <c r="J49" s="3735">
        <v>3.9099999999999997</v>
      </c>
      <c r="K49" s="3735">
        <v>3.9099999999999997</v>
      </c>
      <c r="L49" s="3736">
        <f t="shared" si="6"/>
        <v>4486116.1100000003</v>
      </c>
      <c r="M49" s="3737"/>
      <c r="N49" s="3737"/>
      <c r="O49" s="3736">
        <v>4185071.77</v>
      </c>
      <c r="P49" s="3736">
        <v>301044.34000000003</v>
      </c>
      <c r="Q49" s="100"/>
    </row>
    <row r="50" spans="1:92" ht="16.149999999999999" customHeight="1">
      <c r="A50" s="104"/>
      <c r="B50" s="3731" t="s">
        <v>4763</v>
      </c>
      <c r="C50" s="3732">
        <f t="shared" si="5"/>
        <v>2947</v>
      </c>
      <c r="D50" s="3738"/>
      <c r="E50" s="3738"/>
      <c r="F50" s="3739">
        <v>2866</v>
      </c>
      <c r="G50" s="3739">
        <v>81</v>
      </c>
      <c r="H50" s="3740"/>
      <c r="I50" s="3740"/>
      <c r="J50" s="3741">
        <v>6.01</v>
      </c>
      <c r="K50" s="3741">
        <v>6.01</v>
      </c>
      <c r="L50" s="3736">
        <f t="shared" si="6"/>
        <v>14517.6</v>
      </c>
      <c r="M50" s="3742"/>
      <c r="N50" s="3742"/>
      <c r="O50" s="3743">
        <v>14118.58</v>
      </c>
      <c r="P50" s="3743">
        <v>399.02</v>
      </c>
      <c r="Q50" s="100"/>
    </row>
    <row r="51" spans="1:92" ht="16.149999999999999" customHeight="1">
      <c r="A51" s="104"/>
      <c r="B51" s="3731" t="s">
        <v>4764</v>
      </c>
      <c r="C51" s="3732">
        <f t="shared" si="5"/>
        <v>11671</v>
      </c>
      <c r="D51" s="3738"/>
      <c r="E51" s="3738"/>
      <c r="F51" s="3739">
        <v>11671</v>
      </c>
      <c r="G51" s="3739"/>
      <c r="H51" s="3740"/>
      <c r="I51" s="3740"/>
      <c r="J51" s="3741">
        <v>10.1</v>
      </c>
      <c r="K51" s="3741"/>
      <c r="L51" s="3736">
        <f t="shared" si="6"/>
        <v>96620.58</v>
      </c>
      <c r="M51" s="3742"/>
      <c r="N51" s="3742"/>
      <c r="O51" s="3743">
        <v>96620.58</v>
      </c>
      <c r="P51" s="3743"/>
      <c r="Q51" s="100"/>
    </row>
    <row r="52" spans="1:92" ht="16.149999999999999" customHeight="1">
      <c r="A52" s="104">
        <v>2.11</v>
      </c>
      <c r="B52" s="3744" t="s">
        <v>4765</v>
      </c>
      <c r="C52" s="3732">
        <f t="shared" si="5"/>
        <v>622275</v>
      </c>
      <c r="D52" s="3738"/>
      <c r="E52" s="3738"/>
      <c r="F52" s="3739">
        <v>576722</v>
      </c>
      <c r="G52" s="3739">
        <v>45553</v>
      </c>
      <c r="H52" s="3740"/>
      <c r="I52" s="3740"/>
      <c r="J52" s="3741">
        <v>2.57</v>
      </c>
      <c r="K52" s="3741">
        <v>2.57</v>
      </c>
      <c r="L52" s="3736">
        <f>SUM(M52:P52)</f>
        <v>1310858.03</v>
      </c>
      <c r="M52" s="3742"/>
      <c r="N52" s="3742"/>
      <c r="O52" s="3743">
        <v>1214898</v>
      </c>
      <c r="P52" s="3743">
        <v>95960.03</v>
      </c>
      <c r="Q52" s="100"/>
    </row>
    <row r="53" spans="1:92" ht="16.149999999999999" customHeight="1">
      <c r="A53" s="101"/>
      <c r="B53" s="3744" t="s">
        <v>4766</v>
      </c>
      <c r="C53" s="3732">
        <f t="shared" si="5"/>
        <v>1380</v>
      </c>
      <c r="D53" s="3738"/>
      <c r="E53" s="3738"/>
      <c r="F53" s="3739">
        <v>1353</v>
      </c>
      <c r="G53" s="3739">
        <v>27</v>
      </c>
      <c r="H53" s="3740"/>
      <c r="I53" s="3740"/>
      <c r="J53" s="3741">
        <v>4.76</v>
      </c>
      <c r="K53" s="3741">
        <v>4.76</v>
      </c>
      <c r="L53" s="3736">
        <f>SUM(M53:P53)</f>
        <v>5384.26</v>
      </c>
      <c r="M53" s="3742"/>
      <c r="N53" s="3742"/>
      <c r="O53" s="3743">
        <v>5278.92</v>
      </c>
      <c r="P53" s="3743">
        <v>105.34</v>
      </c>
      <c r="Q53" s="100"/>
    </row>
    <row r="54" spans="1:92" ht="16.149999999999999" customHeight="1">
      <c r="A54" s="101"/>
      <c r="B54" s="3744" t="s">
        <v>4767</v>
      </c>
      <c r="C54" s="3732">
        <f t="shared" si="5"/>
        <v>5772</v>
      </c>
      <c r="D54" s="3738"/>
      <c r="E54" s="3738"/>
      <c r="F54" s="3739">
        <v>5772</v>
      </c>
      <c r="G54" s="3739"/>
      <c r="H54" s="3740"/>
      <c r="I54" s="3740"/>
      <c r="J54" s="3741">
        <v>6.2799999999999994</v>
      </c>
      <c r="K54" s="3741"/>
      <c r="L54" s="3736">
        <f t="shared" si="6"/>
        <v>29711.600000000002</v>
      </c>
      <c r="M54" s="3742"/>
      <c r="N54" s="3742"/>
      <c r="O54" s="3743">
        <v>29711.600000000002</v>
      </c>
      <c r="P54" s="3743"/>
      <c r="Q54" s="100"/>
    </row>
    <row r="55" spans="1:92" ht="18.75" customHeight="1">
      <c r="A55" s="104">
        <v>2.12</v>
      </c>
      <c r="B55" s="3745" t="s">
        <v>4768</v>
      </c>
      <c r="C55" s="3732">
        <f t="shared" si="5"/>
        <v>83586</v>
      </c>
      <c r="D55" s="3733"/>
      <c r="E55" s="3733"/>
      <c r="F55" s="3746">
        <v>51908</v>
      </c>
      <c r="G55" s="3732">
        <v>31678</v>
      </c>
      <c r="H55" s="3734"/>
      <c r="I55" s="3747"/>
      <c r="J55" s="3748">
        <v>4.29</v>
      </c>
      <c r="K55" s="3735">
        <v>4.29</v>
      </c>
      <c r="L55" s="3736">
        <f t="shared" si="6"/>
        <v>293921.27</v>
      </c>
      <c r="M55" s="3737"/>
      <c r="N55" s="3749"/>
      <c r="O55" s="3736">
        <v>182528.95</v>
      </c>
      <c r="P55" s="3750">
        <v>111392.32000000001</v>
      </c>
      <c r="Q55" s="100"/>
      <c r="CN55" s="2">
        <f>'Шаблон 46 ГП'!O255/1000</f>
        <v>95.170850000000002</v>
      </c>
    </row>
    <row r="56" spans="1:92" ht="18.75" customHeight="1">
      <c r="A56" s="104"/>
      <c r="B56" s="3744" t="s">
        <v>4769</v>
      </c>
      <c r="C56" s="3732">
        <f t="shared" si="5"/>
        <v>0</v>
      </c>
      <c r="D56" s="3751"/>
      <c r="E56" s="3751"/>
      <c r="F56" s="3746"/>
      <c r="G56" s="3752"/>
      <c r="H56" s="3753"/>
      <c r="I56" s="3747"/>
      <c r="J56" s="3748"/>
      <c r="K56" s="3754"/>
      <c r="L56" s="3736">
        <f t="shared" si="6"/>
        <v>0</v>
      </c>
      <c r="M56" s="3755"/>
      <c r="N56" s="3749"/>
      <c r="O56" s="3756"/>
      <c r="P56" s="3750"/>
      <c r="Q56" s="100"/>
    </row>
    <row r="57" spans="1:92" ht="18.75" customHeight="1">
      <c r="A57" s="104"/>
      <c r="B57" s="3744" t="s">
        <v>4770</v>
      </c>
      <c r="C57" s="3732">
        <f t="shared" si="5"/>
        <v>0</v>
      </c>
      <c r="D57" s="3751"/>
      <c r="E57" s="3751"/>
      <c r="F57" s="3746"/>
      <c r="G57" s="3752"/>
      <c r="H57" s="3753"/>
      <c r="I57" s="3747"/>
      <c r="J57" s="3748"/>
      <c r="K57" s="3754"/>
      <c r="L57" s="3736">
        <f t="shared" si="6"/>
        <v>0</v>
      </c>
      <c r="M57" s="3755"/>
      <c r="N57" s="3749"/>
      <c r="O57" s="3756"/>
      <c r="P57" s="3750"/>
      <c r="Q57" s="100"/>
    </row>
    <row r="58" spans="1:92" ht="16.149999999999999" customHeight="1">
      <c r="A58" s="104">
        <v>2.13</v>
      </c>
      <c r="B58" s="3731" t="s">
        <v>4762</v>
      </c>
      <c r="C58" s="3732">
        <f t="shared" si="5"/>
        <v>0</v>
      </c>
      <c r="D58" s="3751"/>
      <c r="E58" s="3751"/>
      <c r="F58" s="3732"/>
      <c r="G58" s="3751"/>
      <c r="H58" s="3753"/>
      <c r="I58" s="3734"/>
      <c r="J58" s="3735"/>
      <c r="K58" s="3753"/>
      <c r="L58" s="3736">
        <f t="shared" si="6"/>
        <v>0</v>
      </c>
      <c r="M58" s="3755"/>
      <c r="N58" s="3737"/>
      <c r="O58" s="3756"/>
      <c r="P58" s="3737"/>
      <c r="Q58" s="100"/>
    </row>
    <row r="59" spans="1:92" ht="16.149999999999999" customHeight="1">
      <c r="A59" s="104"/>
      <c r="B59" s="3731" t="s">
        <v>4763</v>
      </c>
      <c r="C59" s="3732">
        <f t="shared" si="5"/>
        <v>0</v>
      </c>
      <c r="D59" s="3738"/>
      <c r="E59" s="3738"/>
      <c r="F59" s="3739"/>
      <c r="G59" s="3738"/>
      <c r="H59" s="3740"/>
      <c r="I59" s="3740"/>
      <c r="J59" s="3741"/>
      <c r="K59" s="3740"/>
      <c r="L59" s="3736">
        <f t="shared" si="6"/>
        <v>0</v>
      </c>
      <c r="M59" s="3742"/>
      <c r="N59" s="3742"/>
      <c r="O59" s="3743"/>
      <c r="P59" s="3742"/>
      <c r="Q59" s="100"/>
    </row>
    <row r="60" spans="1:92" ht="16.149999999999999" customHeight="1">
      <c r="A60" s="104"/>
      <c r="B60" s="3731" t="s">
        <v>4764</v>
      </c>
      <c r="C60" s="3732">
        <f t="shared" si="5"/>
        <v>0</v>
      </c>
      <c r="D60" s="3738"/>
      <c r="E60" s="3738"/>
      <c r="F60" s="3739"/>
      <c r="G60" s="3738"/>
      <c r="H60" s="3740"/>
      <c r="I60" s="3740"/>
      <c r="J60" s="3741"/>
      <c r="K60" s="3740"/>
      <c r="L60" s="3736">
        <f t="shared" si="6"/>
        <v>0</v>
      </c>
      <c r="M60" s="3742"/>
      <c r="N60" s="3742"/>
      <c r="O60" s="3743"/>
      <c r="P60" s="3742"/>
      <c r="Q60" s="100"/>
    </row>
    <row r="61" spans="1:92" ht="16.149999999999999" customHeight="1">
      <c r="A61" s="104">
        <v>2.14</v>
      </c>
      <c r="B61" s="3744" t="s">
        <v>4765</v>
      </c>
      <c r="C61" s="3732">
        <f t="shared" si="5"/>
        <v>0</v>
      </c>
      <c r="D61" s="3738"/>
      <c r="E61" s="3738"/>
      <c r="F61" s="3739"/>
      <c r="G61" s="3738"/>
      <c r="H61" s="3740"/>
      <c r="I61" s="3740"/>
      <c r="J61" s="3741"/>
      <c r="K61" s="3740"/>
      <c r="L61" s="3736">
        <f t="shared" si="6"/>
        <v>0</v>
      </c>
      <c r="M61" s="3742"/>
      <c r="N61" s="3742"/>
      <c r="O61" s="3743"/>
      <c r="P61" s="3742"/>
      <c r="Q61" s="100"/>
    </row>
    <row r="62" spans="1:92" ht="16.149999999999999" customHeight="1">
      <c r="A62" s="104"/>
      <c r="B62" s="3744" t="s">
        <v>4766</v>
      </c>
      <c r="C62" s="3732">
        <f t="shared" si="5"/>
        <v>0</v>
      </c>
      <c r="D62" s="3738"/>
      <c r="E62" s="3738"/>
      <c r="F62" s="3739"/>
      <c r="G62" s="3738"/>
      <c r="H62" s="3740"/>
      <c r="I62" s="3740"/>
      <c r="J62" s="3741"/>
      <c r="K62" s="3740"/>
      <c r="L62" s="3736">
        <f t="shared" si="6"/>
        <v>0</v>
      </c>
      <c r="M62" s="3742"/>
      <c r="N62" s="3742"/>
      <c r="O62" s="3743"/>
      <c r="P62" s="3742"/>
      <c r="Q62" s="100"/>
    </row>
    <row r="63" spans="1:92" ht="16.149999999999999" customHeight="1">
      <c r="A63" s="104"/>
      <c r="B63" s="3744" t="s">
        <v>4767</v>
      </c>
      <c r="C63" s="3732">
        <f t="shared" si="5"/>
        <v>0</v>
      </c>
      <c r="D63" s="3738"/>
      <c r="E63" s="3738"/>
      <c r="F63" s="3739"/>
      <c r="G63" s="3738"/>
      <c r="H63" s="3740"/>
      <c r="I63" s="3740"/>
      <c r="J63" s="3741"/>
      <c r="K63" s="3740"/>
      <c r="L63" s="3736">
        <f t="shared" si="6"/>
        <v>0</v>
      </c>
      <c r="M63" s="3742"/>
      <c r="N63" s="3742"/>
      <c r="O63" s="3743"/>
      <c r="P63" s="3742"/>
      <c r="Q63" s="100"/>
    </row>
    <row r="64" spans="1:92" ht="16.149999999999999" customHeight="1">
      <c r="A64" s="104">
        <v>2.15</v>
      </c>
      <c r="B64" s="2936" t="s">
        <v>36</v>
      </c>
      <c r="C64" s="54">
        <f t="shared" si="5"/>
        <v>0</v>
      </c>
      <c r="D64" s="346"/>
      <c r="E64" s="346"/>
      <c r="F64" s="54"/>
      <c r="G64" s="346"/>
      <c r="H64" s="368"/>
      <c r="I64" s="368"/>
      <c r="J64" s="160"/>
      <c r="K64" s="368"/>
      <c r="L64" s="175">
        <f t="shared" si="6"/>
        <v>0</v>
      </c>
      <c r="M64" s="347"/>
      <c r="N64" s="347"/>
      <c r="O64" s="175"/>
      <c r="P64" s="347"/>
      <c r="Q64" s="100"/>
    </row>
    <row r="65" spans="1:17" ht="16.149999999999999" customHeight="1" thickBot="1">
      <c r="A65" s="104">
        <v>2.16</v>
      </c>
      <c r="B65" s="2936" t="s">
        <v>37</v>
      </c>
      <c r="C65" s="54">
        <f t="shared" si="5"/>
        <v>0</v>
      </c>
      <c r="D65" s="361"/>
      <c r="E65" s="361"/>
      <c r="F65" s="103"/>
      <c r="G65" s="361"/>
      <c r="H65" s="369"/>
      <c r="I65" s="369"/>
      <c r="J65" s="161"/>
      <c r="K65" s="369"/>
      <c r="L65" s="175">
        <f t="shared" si="6"/>
        <v>0</v>
      </c>
      <c r="M65" s="364"/>
      <c r="N65" s="364"/>
      <c r="O65" s="189"/>
      <c r="P65" s="364"/>
      <c r="Q65" s="100"/>
    </row>
    <row r="66" spans="1:17" ht="16.149999999999999" customHeight="1" thickBot="1">
      <c r="A66" s="96" t="s">
        <v>41</v>
      </c>
      <c r="B66" s="97" t="s">
        <v>42</v>
      </c>
      <c r="C66" s="72">
        <f>D66+E66+F66+G66</f>
        <v>30561553</v>
      </c>
      <c r="D66" s="72">
        <f>D67+D71+D74</f>
        <v>0</v>
      </c>
      <c r="E66" s="72">
        <f>E67+E71+E74+E101</f>
        <v>2685312</v>
      </c>
      <c r="F66" s="72">
        <f>F67+F71+F74+F101</f>
        <v>17141397</v>
      </c>
      <c r="G66" s="72">
        <f>G67+G71+G74+G101</f>
        <v>10734844</v>
      </c>
      <c r="H66" s="99"/>
      <c r="I66" s="99"/>
      <c r="J66" s="99"/>
      <c r="K66" s="99"/>
      <c r="L66" s="165">
        <f>N66+M66+O66+P66</f>
        <v>265033869.94999999</v>
      </c>
      <c r="M66" s="176">
        <f>M67+M71+M74</f>
        <v>0</v>
      </c>
      <c r="N66" s="176">
        <f>N67+N71+N74+N101</f>
        <v>22765084.16</v>
      </c>
      <c r="O66" s="176">
        <f>O67+O71+O74+O101</f>
        <v>151023789.47</v>
      </c>
      <c r="P66" s="176">
        <f>P67+P71+P74+P101</f>
        <v>91244996.319999993</v>
      </c>
      <c r="Q66" s="100"/>
    </row>
    <row r="67" spans="1:17" ht="16.149999999999999" customHeight="1">
      <c r="A67" s="109"/>
      <c r="B67" s="110" t="s">
        <v>155</v>
      </c>
      <c r="C67" s="111">
        <f>SUM(D67:G67)</f>
        <v>19850285</v>
      </c>
      <c r="D67" s="112">
        <f>SUM(D68:D70)</f>
        <v>0</v>
      </c>
      <c r="E67" s="112">
        <f>SUM(E68:E70)</f>
        <v>190533</v>
      </c>
      <c r="F67" s="112">
        <f>SUM(F68:F70)</f>
        <v>12530698</v>
      </c>
      <c r="G67" s="112">
        <f>SUM(G68:G70)</f>
        <v>7129054</v>
      </c>
      <c r="H67" s="50"/>
      <c r="I67" s="113"/>
      <c r="J67" s="50"/>
      <c r="K67" s="113"/>
      <c r="L67" s="123">
        <f>SUM(M67:P67)</f>
        <v>175036057.78</v>
      </c>
      <c r="M67" s="177">
        <f>SUM(M68:M70)</f>
        <v>0</v>
      </c>
      <c r="N67" s="177">
        <f>SUM(N68:N70)</f>
        <v>1611796.76</v>
      </c>
      <c r="O67" s="177">
        <f>SUM(O68:O70)</f>
        <v>109373097.69</v>
      </c>
      <c r="P67" s="177">
        <f>SUM(P68:P70)</f>
        <v>64051163.329999998</v>
      </c>
      <c r="Q67" s="100"/>
    </row>
    <row r="68" spans="1:17" ht="16.149999999999999" customHeight="1">
      <c r="A68" s="101">
        <v>3.1</v>
      </c>
      <c r="B68" s="203" t="s">
        <v>1934</v>
      </c>
      <c r="C68" s="54">
        <f>SUM(D68:G68)</f>
        <v>19778802</v>
      </c>
      <c r="D68" s="346"/>
      <c r="E68" s="54">
        <v>190533</v>
      </c>
      <c r="F68" s="54">
        <v>12467715</v>
      </c>
      <c r="G68" s="54">
        <v>7120554</v>
      </c>
      <c r="H68" s="160"/>
      <c r="I68" s="160">
        <v>8.4594100000000001</v>
      </c>
      <c r="J68" s="160">
        <v>8.7503299999999999</v>
      </c>
      <c r="K68" s="160">
        <v>8.9900099999999998</v>
      </c>
      <c r="L68" s="175">
        <f>SUM(M68:P68)</f>
        <v>174722268.14000002</v>
      </c>
      <c r="M68" s="347"/>
      <c r="N68" s="175">
        <v>1611796.76</v>
      </c>
      <c r="O68" s="175">
        <v>109096620.59</v>
      </c>
      <c r="P68" s="175">
        <v>64013850.789999999</v>
      </c>
      <c r="Q68" s="100"/>
    </row>
    <row r="69" spans="1:17" ht="16.149999999999999" customHeight="1">
      <c r="A69" s="101"/>
      <c r="B69" s="203" t="s">
        <v>1937</v>
      </c>
      <c r="C69" s="54">
        <f>SUM(D69:G69)</f>
        <v>71483</v>
      </c>
      <c r="D69" s="346"/>
      <c r="E69" s="54"/>
      <c r="F69" s="54">
        <v>62983</v>
      </c>
      <c r="G69" s="54">
        <v>8500</v>
      </c>
      <c r="H69" s="160"/>
      <c r="I69" s="160"/>
      <c r="J69" s="160">
        <v>4.38971</v>
      </c>
      <c r="K69" s="160">
        <v>4.38971</v>
      </c>
      <c r="L69" s="175">
        <f>SUM(M69:P69)</f>
        <v>313789.63999999996</v>
      </c>
      <c r="M69" s="347"/>
      <c r="N69" s="175"/>
      <c r="O69" s="175">
        <v>276477.09999999998</v>
      </c>
      <c r="P69" s="175">
        <v>37312.54</v>
      </c>
      <c r="Q69" s="100"/>
    </row>
    <row r="70" spans="1:17" ht="16.149999999999999" customHeight="1">
      <c r="A70" s="101">
        <v>3.2</v>
      </c>
      <c r="B70" s="203"/>
      <c r="C70" s="54">
        <f>SUM(D70:G70)</f>
        <v>0</v>
      </c>
      <c r="D70" s="346"/>
      <c r="E70" s="54"/>
      <c r="F70" s="54"/>
      <c r="G70" s="54"/>
      <c r="H70" s="160"/>
      <c r="I70" s="160"/>
      <c r="J70" s="160"/>
      <c r="K70" s="160"/>
      <c r="L70" s="175">
        <f>SUM(M70:P70)</f>
        <v>0</v>
      </c>
      <c r="M70" s="347"/>
      <c r="N70" s="175"/>
      <c r="O70" s="175"/>
      <c r="P70" s="175"/>
      <c r="Q70" s="100"/>
    </row>
    <row r="71" spans="1:17" ht="16.149999999999999" customHeight="1">
      <c r="A71" s="114"/>
      <c r="B71" s="115" t="s">
        <v>159</v>
      </c>
      <c r="C71" s="42">
        <f>D71+E71+F71+G71</f>
        <v>295927</v>
      </c>
      <c r="D71" s="42">
        <f>SUM(D72:D73)</f>
        <v>0</v>
      </c>
      <c r="E71" s="42">
        <f>SUM(E72:E73)</f>
        <v>0</v>
      </c>
      <c r="F71" s="42">
        <f>SUM(F72:F73)</f>
        <v>292866</v>
      </c>
      <c r="G71" s="42">
        <f>SUM(G72:G73)</f>
        <v>3061</v>
      </c>
      <c r="H71" s="116"/>
      <c r="I71" s="117"/>
      <c r="J71" s="118"/>
      <c r="K71" s="118"/>
      <c r="L71" s="181">
        <f>M71+N71+O71+P71</f>
        <v>2783478.08</v>
      </c>
      <c r="M71" s="181">
        <f>SUM(M72:M73)</f>
        <v>0</v>
      </c>
      <c r="N71" s="181">
        <f>SUM(N72:N73)</f>
        <v>0</v>
      </c>
      <c r="O71" s="181">
        <f>SUM(O72:O73)</f>
        <v>2754247.8200000003</v>
      </c>
      <c r="P71" s="181">
        <f>SUM(P72:P73)</f>
        <v>29230.260000000002</v>
      </c>
    </row>
    <row r="72" spans="1:17" ht="16.149999999999999" customHeight="1">
      <c r="A72" s="119">
        <v>3.8</v>
      </c>
      <c r="B72" s="120" t="s">
        <v>160</v>
      </c>
      <c r="C72" s="41">
        <f>SUM(D72:G72)</f>
        <v>165399</v>
      </c>
      <c r="D72" s="357"/>
      <c r="E72" s="357"/>
      <c r="F72" s="41">
        <v>163630</v>
      </c>
      <c r="G72" s="41">
        <v>1769</v>
      </c>
      <c r="H72" s="163"/>
      <c r="I72" s="163"/>
      <c r="J72" s="163">
        <v>7.2230699999999999</v>
      </c>
      <c r="K72" s="163">
        <v>7.4627499999999998</v>
      </c>
      <c r="L72" s="175">
        <f>SUM(M72:P72)</f>
        <v>1195112.55</v>
      </c>
      <c r="M72" s="359"/>
      <c r="N72" s="359"/>
      <c r="O72" s="182">
        <v>1181910.95</v>
      </c>
      <c r="P72" s="182">
        <v>13201.6</v>
      </c>
      <c r="Q72" s="100"/>
    </row>
    <row r="73" spans="1:17" ht="16.149999999999999" customHeight="1">
      <c r="A73" s="121">
        <v>3.9</v>
      </c>
      <c r="B73" s="120" t="s">
        <v>161</v>
      </c>
      <c r="C73" s="41">
        <f>SUM(D73:G73)</f>
        <v>130528</v>
      </c>
      <c r="D73" s="358"/>
      <c r="E73" s="358"/>
      <c r="F73" s="122">
        <v>129236</v>
      </c>
      <c r="G73" s="122">
        <v>1292</v>
      </c>
      <c r="H73" s="164"/>
      <c r="I73" s="164"/>
      <c r="J73" s="164">
        <v>12.166399999999999</v>
      </c>
      <c r="K73" s="164">
        <v>12.406079999999999</v>
      </c>
      <c r="L73" s="175">
        <f>SUM(M73:P73)</f>
        <v>1588365.53</v>
      </c>
      <c r="M73" s="360"/>
      <c r="N73" s="360"/>
      <c r="O73" s="184">
        <v>1572336.87</v>
      </c>
      <c r="P73" s="184">
        <v>16028.66</v>
      </c>
      <c r="Q73" s="100"/>
    </row>
    <row r="74" spans="1:17" ht="16.149999999999999" customHeight="1">
      <c r="A74" s="109"/>
      <c r="B74" s="110" t="s">
        <v>167</v>
      </c>
      <c r="C74" s="111">
        <f>D74+E74+F74+G74</f>
        <v>6724069</v>
      </c>
      <c r="D74" s="112">
        <f>SUM(D75)</f>
        <v>0</v>
      </c>
      <c r="E74" s="112">
        <f>SUM(E75)</f>
        <v>2494779</v>
      </c>
      <c r="F74" s="112">
        <f>SUM(F75)</f>
        <v>4215410</v>
      </c>
      <c r="G74" s="112">
        <f>SUM(G75)</f>
        <v>13880</v>
      </c>
      <c r="H74" s="50"/>
      <c r="I74" s="113"/>
      <c r="J74" s="50"/>
      <c r="K74" s="113"/>
      <c r="L74" s="123">
        <f>M74+N74+O74+P74</f>
        <v>59227528.810000002</v>
      </c>
      <c r="M74" s="200">
        <f>SUM(M75,M100)</f>
        <v>0</v>
      </c>
      <c r="N74" s="200">
        <f>SUM(N75+N99)</f>
        <v>21153287.399999999</v>
      </c>
      <c r="O74" s="200">
        <f>SUM(O75+O99)</f>
        <v>37922105.470000006</v>
      </c>
      <c r="P74" s="200">
        <f>SUM(P75+P99)</f>
        <v>152135.94</v>
      </c>
      <c r="Q74" s="100"/>
    </row>
    <row r="75" spans="1:17" s="356" customFormat="1" ht="16.149999999999999" customHeight="1">
      <c r="A75" s="1819">
        <v>3.3</v>
      </c>
      <c r="B75" s="1820" t="s">
        <v>201</v>
      </c>
      <c r="C75" s="1821">
        <f>SUM(D75:G75)</f>
        <v>6724069</v>
      </c>
      <c r="D75" s="1821">
        <f>SUM(D76:D98)</f>
        <v>0</v>
      </c>
      <c r="E75" s="1822">
        <f>SUM(E76:E98)</f>
        <v>2494779</v>
      </c>
      <c r="F75" s="1822">
        <f>SUM(F76:F98)</f>
        <v>4215410</v>
      </c>
      <c r="G75" s="1822">
        <f>SUM(G76:G98)</f>
        <v>13880</v>
      </c>
      <c r="H75" s="1823"/>
      <c r="I75" s="1823"/>
      <c r="J75" s="1823"/>
      <c r="K75" s="1823"/>
      <c r="L75" s="1824">
        <f>SUM(M75:P75)</f>
        <v>47691441.340000004</v>
      </c>
      <c r="M75" s="1825">
        <f>SUM(M76:M98)</f>
        <v>0</v>
      </c>
      <c r="N75" s="1825">
        <f>SUM(N76:N98)</f>
        <v>17193228.07</v>
      </c>
      <c r="O75" s="1825">
        <f>SUM(O76:O98)</f>
        <v>30394370.740000006</v>
      </c>
      <c r="P75" s="1825">
        <f>SUM(P76:P97)</f>
        <v>103842.53</v>
      </c>
      <c r="Q75" s="355"/>
    </row>
    <row r="76" spans="1:17" ht="16.149999999999999" customHeight="1">
      <c r="A76" s="199"/>
      <c r="B76" s="198" t="s">
        <v>4613</v>
      </c>
      <c r="C76" s="54">
        <f>SUM(D76:G76)</f>
        <v>206682</v>
      </c>
      <c r="D76" s="54"/>
      <c r="E76" s="54"/>
      <c r="F76" s="54">
        <v>206682</v>
      </c>
      <c r="G76" s="54"/>
      <c r="H76" s="160"/>
      <c r="I76" s="160"/>
      <c r="J76" s="160">
        <v>7.1683199999999996</v>
      </c>
      <c r="K76" s="160"/>
      <c r="L76" s="175">
        <f t="shared" ref="L76:L100" si="7">SUM(M76:P76)</f>
        <v>1481562.71</v>
      </c>
      <c r="M76" s="54"/>
      <c r="N76" s="54"/>
      <c r="O76" s="54">
        <v>1481562.71</v>
      </c>
      <c r="P76" s="54"/>
      <c r="Q76" s="100"/>
    </row>
    <row r="77" spans="1:17" ht="16.149999999999999" customHeight="1">
      <c r="A77" s="199"/>
      <c r="B77" s="198" t="s">
        <v>3770</v>
      </c>
      <c r="C77" s="54">
        <f>SUM(D77:G77)</f>
        <v>134454</v>
      </c>
      <c r="D77" s="54"/>
      <c r="E77" s="54"/>
      <c r="F77" s="2954">
        <v>134454</v>
      </c>
      <c r="G77" s="54"/>
      <c r="H77" s="160"/>
      <c r="I77" s="160"/>
      <c r="J77" s="160">
        <v>7.2218199999999992</v>
      </c>
      <c r="K77" s="160"/>
      <c r="L77" s="175">
        <f t="shared" si="7"/>
        <v>971002.59</v>
      </c>
      <c r="M77" s="54"/>
      <c r="N77" s="54"/>
      <c r="O77" s="54">
        <v>971002.59</v>
      </c>
      <c r="P77" s="54"/>
      <c r="Q77" s="100"/>
    </row>
    <row r="78" spans="1:17" ht="16.149999999999999" customHeight="1">
      <c r="A78" s="199"/>
      <c r="B78" s="198" t="s">
        <v>3771</v>
      </c>
      <c r="C78" s="54">
        <f t="shared" ref="C78" si="8">SUM(D78:G78)</f>
        <v>42703</v>
      </c>
      <c r="D78" s="54"/>
      <c r="E78" s="54"/>
      <c r="F78" s="54">
        <v>42703</v>
      </c>
      <c r="G78" s="54" t="s">
        <v>3802</v>
      </c>
      <c r="H78" s="160"/>
      <c r="I78" s="160"/>
      <c r="J78" s="160">
        <v>7.6029399999999994</v>
      </c>
      <c r="K78" s="160" t="s">
        <v>3803</v>
      </c>
      <c r="L78" s="175">
        <f t="shared" ref="L78" si="9">SUM(M78:P78)</f>
        <v>324668.35000000003</v>
      </c>
      <c r="M78" s="54"/>
      <c r="N78" s="54"/>
      <c r="O78" s="54">
        <v>324668.35000000003</v>
      </c>
      <c r="P78" s="54" t="s">
        <v>3804</v>
      </c>
      <c r="Q78" s="100"/>
    </row>
    <row r="79" spans="1:17" ht="16.149999999999999" customHeight="1">
      <c r="A79" s="199"/>
      <c r="B79" s="198" t="s">
        <v>4600</v>
      </c>
      <c r="C79" s="54">
        <f>SUM(D79:G79)</f>
        <v>5333809</v>
      </c>
      <c r="D79" s="54"/>
      <c r="E79" s="54">
        <v>2407493</v>
      </c>
      <c r="F79" s="54">
        <v>2926316</v>
      </c>
      <c r="G79" s="54"/>
      <c r="H79" s="160"/>
      <c r="I79" s="160">
        <v>6.8901999999999992</v>
      </c>
      <c r="J79" s="160">
        <v>7.1695099999999998</v>
      </c>
      <c r="K79" s="160"/>
      <c r="L79" s="175">
        <f t="shared" si="7"/>
        <v>37568360.100000001</v>
      </c>
      <c r="M79" s="54"/>
      <c r="N79" s="54">
        <v>16588108.27</v>
      </c>
      <c r="O79" s="54">
        <v>20980251.830000002</v>
      </c>
      <c r="P79" s="54"/>
      <c r="Q79" s="100"/>
    </row>
    <row r="80" spans="1:17" ht="16.149999999999999" customHeight="1">
      <c r="A80" s="121"/>
      <c r="B80" s="198" t="s">
        <v>168</v>
      </c>
      <c r="C80" s="54">
        <f t="shared" ref="C80:C100" si="10">SUM(D80:G80)</f>
        <v>60309</v>
      </c>
      <c r="D80" s="54"/>
      <c r="E80" s="54"/>
      <c r="F80" s="54">
        <v>60309</v>
      </c>
      <c r="G80" s="54"/>
      <c r="H80" s="160"/>
      <c r="I80" s="160"/>
      <c r="J80" s="160">
        <v>7.2746299999999993</v>
      </c>
      <c r="K80" s="160"/>
      <c r="L80" s="175">
        <f t="shared" si="7"/>
        <v>438725.66000000003</v>
      </c>
      <c r="M80" s="175"/>
      <c r="N80" s="175"/>
      <c r="O80" s="175">
        <v>438725.66000000003</v>
      </c>
      <c r="P80" s="175"/>
      <c r="Q80" s="100"/>
    </row>
    <row r="81" spans="1:17" ht="16.149999999999999" customHeight="1">
      <c r="A81" s="121"/>
      <c r="B81" s="198" t="s">
        <v>3796</v>
      </c>
      <c r="C81" s="54">
        <f t="shared" si="10"/>
        <v>0</v>
      </c>
      <c r="D81" s="54"/>
      <c r="E81" s="54"/>
      <c r="F81" s="54"/>
      <c r="G81" s="54"/>
      <c r="H81" s="160"/>
      <c r="I81" s="160"/>
      <c r="J81" s="160"/>
      <c r="K81" s="160"/>
      <c r="L81" s="175">
        <f t="shared" si="7"/>
        <v>0</v>
      </c>
      <c r="M81" s="175"/>
      <c r="N81" s="175"/>
      <c r="O81" s="175"/>
      <c r="P81" s="175"/>
      <c r="Q81" s="100"/>
    </row>
    <row r="82" spans="1:17" ht="16.149999999999999" customHeight="1">
      <c r="A82" s="121"/>
      <c r="B82" s="198" t="s">
        <v>169</v>
      </c>
      <c r="C82" s="54">
        <f t="shared" si="10"/>
        <v>0</v>
      </c>
      <c r="D82" s="54"/>
      <c r="E82" s="54"/>
      <c r="F82" s="54"/>
      <c r="G82" s="54"/>
      <c r="H82" s="160"/>
      <c r="I82" s="160"/>
      <c r="J82" s="160"/>
      <c r="K82" s="160"/>
      <c r="L82" s="175">
        <f t="shared" si="7"/>
        <v>0</v>
      </c>
      <c r="M82" s="175"/>
      <c r="N82" s="175"/>
      <c r="O82" s="175"/>
      <c r="P82" s="175"/>
      <c r="Q82" s="100"/>
    </row>
    <row r="83" spans="1:17" ht="16.149999999999999" customHeight="1">
      <c r="A83" s="121"/>
      <c r="B83" s="3228" t="s">
        <v>5141</v>
      </c>
      <c r="C83" s="54">
        <f t="shared" si="10"/>
        <v>111769</v>
      </c>
      <c r="D83" s="54"/>
      <c r="E83" s="54"/>
      <c r="F83" s="54">
        <v>111769</v>
      </c>
      <c r="G83" s="54"/>
      <c r="H83" s="160"/>
      <c r="I83" s="160"/>
      <c r="J83" s="160">
        <v>7.1817499999999992</v>
      </c>
      <c r="K83" s="160"/>
      <c r="L83" s="175">
        <f t="shared" si="7"/>
        <v>802697.02</v>
      </c>
      <c r="M83" s="175"/>
      <c r="N83" s="175"/>
      <c r="O83" s="175">
        <v>802697.02</v>
      </c>
      <c r="P83" s="175"/>
      <c r="Q83" s="100"/>
    </row>
    <row r="84" spans="1:17" ht="16.149999999999999" customHeight="1">
      <c r="A84" s="121"/>
      <c r="B84" s="198" t="s">
        <v>170</v>
      </c>
      <c r="C84" s="54">
        <f t="shared" si="10"/>
        <v>87286</v>
      </c>
      <c r="D84" s="54"/>
      <c r="E84" s="54">
        <v>87286</v>
      </c>
      <c r="F84" s="54"/>
      <c r="G84" s="54"/>
      <c r="H84" s="160"/>
      <c r="I84" s="160">
        <v>6.9326099999999995</v>
      </c>
      <c r="J84" s="160"/>
      <c r="K84" s="160"/>
      <c r="L84" s="175">
        <f t="shared" si="7"/>
        <v>605119.80000000005</v>
      </c>
      <c r="M84" s="175"/>
      <c r="N84" s="175">
        <v>605119.80000000005</v>
      </c>
      <c r="O84" s="175"/>
      <c r="P84" s="175"/>
      <c r="Q84" s="100"/>
    </row>
    <row r="85" spans="1:17" ht="16.149999999999999" customHeight="1">
      <c r="A85" s="121"/>
      <c r="B85" s="198" t="s">
        <v>4601</v>
      </c>
      <c r="C85" s="54">
        <f t="shared" si="10"/>
        <v>88172</v>
      </c>
      <c r="D85" s="54"/>
      <c r="E85" s="54"/>
      <c r="F85" s="54">
        <v>88172</v>
      </c>
      <c r="G85" s="54"/>
      <c r="H85" s="160"/>
      <c r="I85" s="160"/>
      <c r="J85" s="160">
        <v>7.2725499999999998</v>
      </c>
      <c r="K85" s="160"/>
      <c r="L85" s="175">
        <f t="shared" si="7"/>
        <v>641235.28</v>
      </c>
      <c r="M85" s="175"/>
      <c r="N85" s="175"/>
      <c r="O85" s="175">
        <v>641235.28</v>
      </c>
      <c r="P85" s="175"/>
      <c r="Q85" s="100"/>
    </row>
    <row r="86" spans="1:17" ht="16.149999999999999" customHeight="1">
      <c r="A86" s="121"/>
      <c r="B86" s="198" t="s">
        <v>171</v>
      </c>
      <c r="C86" s="54">
        <f t="shared" si="10"/>
        <v>170393</v>
      </c>
      <c r="D86" s="54"/>
      <c r="E86" s="54"/>
      <c r="F86" s="54">
        <v>170393</v>
      </c>
      <c r="G86" s="54"/>
      <c r="H86" s="160"/>
      <c r="I86" s="160"/>
      <c r="J86" s="160">
        <v>7.1862899999999996</v>
      </c>
      <c r="K86" s="160"/>
      <c r="L86" s="175">
        <f t="shared" si="7"/>
        <v>1224493.51</v>
      </c>
      <c r="M86" s="175"/>
      <c r="N86" s="175"/>
      <c r="O86" s="175">
        <v>1224493.51</v>
      </c>
      <c r="P86" s="175"/>
      <c r="Q86" s="100"/>
    </row>
    <row r="87" spans="1:17" ht="16.149999999999999" customHeight="1">
      <c r="A87" s="121"/>
      <c r="B87" s="198" t="s">
        <v>172</v>
      </c>
      <c r="C87" s="54">
        <f t="shared" si="10"/>
        <v>120279</v>
      </c>
      <c r="D87" s="54"/>
      <c r="E87" s="54"/>
      <c r="F87" s="54">
        <v>120279</v>
      </c>
      <c r="G87" s="54"/>
      <c r="H87" s="160"/>
      <c r="I87" s="160"/>
      <c r="J87" s="160">
        <v>7.2517899999999997</v>
      </c>
      <c r="K87" s="160"/>
      <c r="L87" s="175">
        <f t="shared" si="7"/>
        <v>872238.05</v>
      </c>
      <c r="M87" s="175"/>
      <c r="N87" s="175"/>
      <c r="O87" s="175">
        <v>872238.05</v>
      </c>
      <c r="P87" s="175"/>
      <c r="Q87" s="100"/>
    </row>
    <row r="88" spans="1:17" ht="16.149999999999999" customHeight="1">
      <c r="A88" s="121"/>
      <c r="B88" s="198" t="s">
        <v>4602</v>
      </c>
      <c r="C88" s="54">
        <f t="shared" si="10"/>
        <v>5190</v>
      </c>
      <c r="D88" s="54"/>
      <c r="E88" s="54"/>
      <c r="F88" s="54">
        <v>5190</v>
      </c>
      <c r="G88" s="54"/>
      <c r="H88" s="160"/>
      <c r="I88" s="160"/>
      <c r="J88" s="160">
        <v>7.2337999999999996</v>
      </c>
      <c r="K88" s="160"/>
      <c r="L88" s="175">
        <f t="shared" si="7"/>
        <v>37543.42</v>
      </c>
      <c r="M88" s="175"/>
      <c r="N88" s="175"/>
      <c r="O88" s="175">
        <v>37543.42</v>
      </c>
      <c r="P88" s="175"/>
      <c r="Q88" s="100"/>
    </row>
    <row r="89" spans="1:17" ht="16.149999999999999" customHeight="1">
      <c r="A89" s="121"/>
      <c r="B89" s="198" t="s">
        <v>5134</v>
      </c>
      <c r="C89" s="54">
        <f t="shared" si="10"/>
        <v>88848</v>
      </c>
      <c r="D89" s="54"/>
      <c r="E89" s="54"/>
      <c r="F89" s="54">
        <v>88848</v>
      </c>
      <c r="G89" s="54"/>
      <c r="H89" s="160"/>
      <c r="I89" s="160"/>
      <c r="J89" s="160">
        <v>7.2035499999999999</v>
      </c>
      <c r="K89" s="160"/>
      <c r="L89" s="175">
        <f t="shared" si="7"/>
        <v>640021.01</v>
      </c>
      <c r="M89" s="175"/>
      <c r="N89" s="175"/>
      <c r="O89" s="175">
        <v>640021.01</v>
      </c>
      <c r="P89" s="175"/>
      <c r="Q89" s="100"/>
    </row>
    <row r="90" spans="1:17" ht="16.149999999999999" customHeight="1">
      <c r="A90" s="121"/>
      <c r="B90" s="198" t="s">
        <v>173</v>
      </c>
      <c r="C90" s="54">
        <f t="shared" si="10"/>
        <v>11765</v>
      </c>
      <c r="D90" s="54"/>
      <c r="E90" s="54"/>
      <c r="F90" s="54">
        <v>11765</v>
      </c>
      <c r="G90" s="54"/>
      <c r="H90" s="160"/>
      <c r="I90" s="160"/>
      <c r="J90" s="160">
        <v>7.2334799999999992</v>
      </c>
      <c r="K90" s="160"/>
      <c r="L90" s="175">
        <f t="shared" si="7"/>
        <v>85101.89</v>
      </c>
      <c r="M90" s="175"/>
      <c r="N90" s="175"/>
      <c r="O90" s="175">
        <v>85101.89</v>
      </c>
      <c r="P90" s="175"/>
      <c r="Q90" s="100"/>
    </row>
    <row r="91" spans="1:17" ht="16.149999999999999" customHeight="1">
      <c r="A91" s="121"/>
      <c r="B91" s="3228" t="s">
        <v>4603</v>
      </c>
      <c r="C91" s="54">
        <f t="shared" si="10"/>
        <v>3984</v>
      </c>
      <c r="D91" s="54"/>
      <c r="E91" s="54"/>
      <c r="F91" s="54">
        <v>3984</v>
      </c>
      <c r="G91" s="54"/>
      <c r="H91" s="160"/>
      <c r="I91" s="160"/>
      <c r="J91" s="160">
        <v>7.6109299999999998</v>
      </c>
      <c r="K91" s="160"/>
      <c r="L91" s="175">
        <f t="shared" si="7"/>
        <v>30321.95</v>
      </c>
      <c r="M91" s="175"/>
      <c r="N91" s="175"/>
      <c r="O91" s="175">
        <v>30321.95</v>
      </c>
      <c r="P91" s="175"/>
      <c r="Q91" s="100"/>
    </row>
    <row r="92" spans="1:17" ht="16.149999999999999" customHeight="1">
      <c r="A92" s="121"/>
      <c r="B92" s="198" t="s">
        <v>4961</v>
      </c>
      <c r="C92" s="54">
        <f t="shared" si="10"/>
        <v>0</v>
      </c>
      <c r="D92" s="54"/>
      <c r="E92" s="54"/>
      <c r="F92" s="54" t="s">
        <v>187</v>
      </c>
      <c r="G92" s="54"/>
      <c r="H92" s="160"/>
      <c r="I92" s="160"/>
      <c r="J92" s="160" t="s">
        <v>190</v>
      </c>
      <c r="K92" s="160"/>
      <c r="L92" s="175">
        <f t="shared" si="7"/>
        <v>0</v>
      </c>
      <c r="M92" s="175"/>
      <c r="N92" s="175"/>
      <c r="O92" s="175" t="s">
        <v>191</v>
      </c>
      <c r="P92" s="175"/>
      <c r="Q92" s="100"/>
    </row>
    <row r="93" spans="1:17" ht="16.149999999999999" customHeight="1">
      <c r="A93" s="121"/>
      <c r="B93" s="198" t="s">
        <v>4604</v>
      </c>
      <c r="C93" s="54">
        <f t="shared" si="10"/>
        <v>13880</v>
      </c>
      <c r="D93" s="54"/>
      <c r="E93" s="54"/>
      <c r="F93" s="54"/>
      <c r="G93" s="54">
        <v>13880</v>
      </c>
      <c r="H93" s="160"/>
      <c r="I93" s="160"/>
      <c r="J93" s="160"/>
      <c r="K93" s="160">
        <v>7.4814499999999997</v>
      </c>
      <c r="L93" s="175">
        <f t="shared" si="7"/>
        <v>103842.53</v>
      </c>
      <c r="M93" s="175"/>
      <c r="N93" s="175"/>
      <c r="O93" s="175"/>
      <c r="P93" s="175">
        <v>103842.53</v>
      </c>
      <c r="Q93" s="100"/>
    </row>
    <row r="94" spans="1:17" ht="16.149999999999999" customHeight="1">
      <c r="A94" s="121"/>
      <c r="B94" s="3228" t="s">
        <v>4962</v>
      </c>
      <c r="C94" s="54">
        <f t="shared" si="10"/>
        <v>2049</v>
      </c>
      <c r="D94" s="54"/>
      <c r="E94" s="54"/>
      <c r="F94" s="54">
        <v>2049</v>
      </c>
      <c r="G94" s="54"/>
      <c r="H94" s="160"/>
      <c r="I94" s="160"/>
      <c r="J94" s="160">
        <v>7.15116</v>
      </c>
      <c r="K94" s="160"/>
      <c r="L94" s="175">
        <f t="shared" si="7"/>
        <v>14652.73</v>
      </c>
      <c r="M94" s="175"/>
      <c r="N94" s="175"/>
      <c r="O94" s="175">
        <v>14652.73</v>
      </c>
      <c r="P94" s="175"/>
      <c r="Q94" s="100"/>
    </row>
    <row r="95" spans="1:17" ht="16.149999999999999" customHeight="1">
      <c r="A95" s="121"/>
      <c r="B95" s="198" t="s">
        <v>4605</v>
      </c>
      <c r="C95" s="54">
        <f t="shared" ref="C95" si="11">SUM(D95:G95)</f>
        <v>0</v>
      </c>
      <c r="D95" s="54"/>
      <c r="E95" s="54"/>
      <c r="F95" s="54"/>
      <c r="G95" s="54"/>
      <c r="H95" s="160"/>
      <c r="I95" s="160"/>
      <c r="J95" s="160" t="s">
        <v>3812</v>
      </c>
      <c r="K95" s="160"/>
      <c r="L95" s="175">
        <f t="shared" ref="L95" si="12">SUM(M95:P95)</f>
        <v>0</v>
      </c>
      <c r="M95" s="175"/>
      <c r="N95" s="175"/>
      <c r="O95" s="175" t="s">
        <v>3811</v>
      </c>
      <c r="P95" s="175"/>
      <c r="Q95" s="100"/>
    </row>
    <row r="96" spans="1:17" ht="16.149999999999999" customHeight="1">
      <c r="A96" s="121"/>
      <c r="B96" s="198" t="s">
        <v>4073</v>
      </c>
      <c r="C96" s="54">
        <f>SUM(D96:G96)</f>
        <v>0</v>
      </c>
      <c r="D96" s="54"/>
      <c r="E96" s="54"/>
      <c r="F96" s="54"/>
      <c r="G96" s="54"/>
      <c r="H96" s="160"/>
      <c r="I96" s="160"/>
      <c r="J96" s="160" t="s">
        <v>193</v>
      </c>
      <c r="K96" s="160"/>
      <c r="L96" s="175">
        <f>SUM(M96:P96)</f>
        <v>0</v>
      </c>
      <c r="M96" s="175"/>
      <c r="N96" s="175"/>
      <c r="O96" s="175" t="s">
        <v>194</v>
      </c>
      <c r="P96" s="175"/>
      <c r="Q96" s="100"/>
    </row>
    <row r="97" spans="1:17" ht="16.149999999999999" customHeight="1">
      <c r="A97" s="121"/>
      <c r="B97" s="198" t="s">
        <v>4817</v>
      </c>
      <c r="C97" s="54">
        <f t="shared" ref="C97:C98" si="13">SUM(D97:G97)</f>
        <v>213171</v>
      </c>
      <c r="D97" s="54"/>
      <c r="E97" s="54"/>
      <c r="F97" s="54">
        <v>213171</v>
      </c>
      <c r="G97" s="54"/>
      <c r="H97" s="160"/>
      <c r="I97" s="160"/>
      <c r="J97" s="160">
        <v>7.6199999999999992</v>
      </c>
      <c r="K97" s="160"/>
      <c r="L97" s="175">
        <f t="shared" ref="L97:L98" si="14">SUM(M97:P97)</f>
        <v>1624363.02</v>
      </c>
      <c r="M97" s="175"/>
      <c r="N97" s="175"/>
      <c r="O97" s="175">
        <v>1624363.02</v>
      </c>
      <c r="P97" s="175"/>
      <c r="Q97" s="100"/>
    </row>
    <row r="98" spans="1:17" ht="16.149999999999999" customHeight="1">
      <c r="A98" s="121"/>
      <c r="B98" s="4033" t="s">
        <v>4963</v>
      </c>
      <c r="C98" s="54">
        <f t="shared" si="13"/>
        <v>29326</v>
      </c>
      <c r="D98" s="54"/>
      <c r="E98" s="54"/>
      <c r="F98" s="54">
        <v>29326</v>
      </c>
      <c r="G98" s="54"/>
      <c r="H98" s="160"/>
      <c r="I98" s="160"/>
      <c r="J98" s="160">
        <v>7.6891399999999992</v>
      </c>
      <c r="K98" s="160"/>
      <c r="L98" s="175">
        <f t="shared" si="14"/>
        <v>225491.72</v>
      </c>
      <c r="M98" s="175"/>
      <c r="N98" s="175"/>
      <c r="O98" s="175">
        <v>225491.72</v>
      </c>
      <c r="P98" s="175"/>
      <c r="Q98" s="100"/>
    </row>
    <row r="99" spans="1:17" ht="16.149999999999999" customHeight="1">
      <c r="A99" s="1826"/>
      <c r="B99" s="1827" t="s">
        <v>192</v>
      </c>
      <c r="C99" s="1822">
        <f>SUM(D99:G99)</f>
        <v>9555</v>
      </c>
      <c r="D99" s="1822"/>
      <c r="E99" s="1822">
        <f>SUM(E100)</f>
        <v>3280</v>
      </c>
      <c r="F99" s="1822">
        <f>SUM(F100)</f>
        <v>6235</v>
      </c>
      <c r="G99" s="1822">
        <f>SUM(G100)</f>
        <v>40</v>
      </c>
      <c r="H99" s="1828"/>
      <c r="I99" s="1828"/>
      <c r="J99" s="1828"/>
      <c r="K99" s="1828"/>
      <c r="L99" s="1829">
        <f>SUM(M99:P99)</f>
        <v>11536087.470000001</v>
      </c>
      <c r="M99" s="1830"/>
      <c r="N99" s="1830">
        <f>SUM(N100)</f>
        <v>3960059.33</v>
      </c>
      <c r="O99" s="1830">
        <f>SUM(O100)</f>
        <v>7527734.7300000004</v>
      </c>
      <c r="P99" s="1830">
        <f>SUM(P100)</f>
        <v>48293.41</v>
      </c>
      <c r="Q99" s="100"/>
    </row>
    <row r="100" spans="1:17" ht="16.149999999999999" customHeight="1">
      <c r="A100" s="121"/>
      <c r="B100" s="203" t="s">
        <v>328</v>
      </c>
      <c r="C100" s="54">
        <f t="shared" si="10"/>
        <v>9555</v>
      </c>
      <c r="D100" s="54"/>
      <c r="E100" s="54">
        <v>3280</v>
      </c>
      <c r="F100" s="54">
        <v>6235</v>
      </c>
      <c r="G100" s="54">
        <v>40</v>
      </c>
      <c r="H100" s="160"/>
      <c r="I100" s="160">
        <v>1207.3351599999999</v>
      </c>
      <c r="J100" s="160">
        <v>1207.3351599999999</v>
      </c>
      <c r="K100" s="160">
        <v>1207.3351599999999</v>
      </c>
      <c r="L100" s="175">
        <f t="shared" si="7"/>
        <v>11536087.470000001</v>
      </c>
      <c r="M100" s="175"/>
      <c r="N100" s="175">
        <v>3960059.33</v>
      </c>
      <c r="O100" s="175">
        <v>7527734.7300000004</v>
      </c>
      <c r="P100" s="175">
        <v>48293.41</v>
      </c>
      <c r="Q100" s="100"/>
    </row>
    <row r="101" spans="1:17" ht="16.149999999999999" customHeight="1">
      <c r="A101" s="109"/>
      <c r="B101" s="110" t="s">
        <v>329</v>
      </c>
      <c r="C101" s="111">
        <f>D101+E101+F101+G101</f>
        <v>3691272</v>
      </c>
      <c r="D101" s="112">
        <f>D102</f>
        <v>0</v>
      </c>
      <c r="E101" s="112">
        <f t="shared" ref="E101:G101" si="15">E102</f>
        <v>0</v>
      </c>
      <c r="F101" s="112">
        <f t="shared" si="15"/>
        <v>102423</v>
      </c>
      <c r="G101" s="112">
        <f t="shared" si="15"/>
        <v>3588849</v>
      </c>
      <c r="H101" s="50"/>
      <c r="I101" s="113"/>
      <c r="J101" s="50"/>
      <c r="K101" s="113"/>
      <c r="L101" s="123">
        <f>M101+N101+O101+P101</f>
        <v>27986805.279999997</v>
      </c>
      <c r="M101" s="200">
        <f>M102+M144</f>
        <v>0</v>
      </c>
      <c r="N101" s="200">
        <f>N102+N144</f>
        <v>0</v>
      </c>
      <c r="O101" s="200">
        <f>O102+O144</f>
        <v>974338.49</v>
      </c>
      <c r="P101" s="200">
        <f>P102+P144</f>
        <v>27012466.789999999</v>
      </c>
      <c r="Q101" s="100"/>
    </row>
    <row r="102" spans="1:17" ht="16.149999999999999" customHeight="1">
      <c r="A102" s="1831">
        <v>3.3</v>
      </c>
      <c r="B102" s="1832" t="s">
        <v>204</v>
      </c>
      <c r="C102" s="1822">
        <f>SUM(D102:G102)</f>
        <v>3691272</v>
      </c>
      <c r="D102" s="1822">
        <f>D103+D139</f>
        <v>0</v>
      </c>
      <c r="E102" s="1822">
        <f>E103+E139</f>
        <v>0</v>
      </c>
      <c r="F102" s="1822">
        <f>F103+F139</f>
        <v>102423</v>
      </c>
      <c r="G102" s="1822">
        <f>G103+G139</f>
        <v>3588849</v>
      </c>
      <c r="H102" s="1828"/>
      <c r="I102" s="1828"/>
      <c r="J102" s="1828"/>
      <c r="K102" s="1828"/>
      <c r="L102" s="1830">
        <f t="shared" ref="L102:L271" si="16">SUM(M102:P102)</f>
        <v>13669947.359999999</v>
      </c>
      <c r="M102" s="1833">
        <f>M103+M139</f>
        <v>0</v>
      </c>
      <c r="N102" s="1833">
        <f>N103+N139</f>
        <v>0</v>
      </c>
      <c r="O102" s="1833">
        <f>O103+O139</f>
        <v>359809.49</v>
      </c>
      <c r="P102" s="1833">
        <f>P103+P139</f>
        <v>13310137.869999999</v>
      </c>
      <c r="Q102" s="100"/>
    </row>
    <row r="103" spans="1:17" ht="16.149999999999999" customHeight="1">
      <c r="A103" s="1836"/>
      <c r="B103" s="1835" t="s">
        <v>1934</v>
      </c>
      <c r="C103" s="1837">
        <f>SUM(D103:G103)</f>
        <v>1211152</v>
      </c>
      <c r="D103" s="1838"/>
      <c r="E103" s="1838"/>
      <c r="F103" s="1837">
        <f>SUM(F104:F135)</f>
        <v>87923</v>
      </c>
      <c r="G103" s="1837">
        <f>SUM(G104:G138)</f>
        <v>1123229</v>
      </c>
      <c r="H103" s="1839"/>
      <c r="I103" s="1839"/>
      <c r="J103" s="1839"/>
      <c r="K103" s="1839"/>
      <c r="L103" s="1840">
        <f>SUM(M103:P103)</f>
        <v>4775937.0100000007</v>
      </c>
      <c r="M103" s="1841"/>
      <c r="N103" s="1841"/>
      <c r="O103" s="1865">
        <f>SUM(O104:O135)</f>
        <v>314457.69</v>
      </c>
      <c r="P103" s="1865">
        <f>SUM(P104:P138)</f>
        <v>4461479.32</v>
      </c>
      <c r="Q103" s="100"/>
    </row>
    <row r="104" spans="1:17" ht="16.149999999999999" customHeight="1">
      <c r="A104" s="121"/>
      <c r="B104" s="198" t="s">
        <v>4606</v>
      </c>
      <c r="C104" s="54">
        <f t="shared" ref="C104:C144" si="17">SUM(D104:G104)</f>
        <v>27439</v>
      </c>
      <c r="D104" s="54"/>
      <c r="E104" s="54"/>
      <c r="F104" s="54"/>
      <c r="G104" s="54">
        <v>27439</v>
      </c>
      <c r="H104" s="160"/>
      <c r="I104" s="160"/>
      <c r="J104" s="160" t="s">
        <v>334</v>
      </c>
      <c r="K104" s="160">
        <v>3.9484299999999997</v>
      </c>
      <c r="L104" s="175">
        <f t="shared" si="16"/>
        <v>108340.97</v>
      </c>
      <c r="M104" s="175"/>
      <c r="N104" s="175"/>
      <c r="O104" s="1844" t="s">
        <v>337</v>
      </c>
      <c r="P104" s="1844">
        <v>108340.97</v>
      </c>
      <c r="Q104" s="100"/>
    </row>
    <row r="105" spans="1:17" ht="16.149999999999999" customHeight="1">
      <c r="A105" s="121"/>
      <c r="B105" s="198" t="s">
        <v>4607</v>
      </c>
      <c r="C105" s="54">
        <f t="shared" si="17"/>
        <v>23357</v>
      </c>
      <c r="D105" s="54"/>
      <c r="E105" s="54"/>
      <c r="F105" s="54"/>
      <c r="G105" s="54">
        <v>23357</v>
      </c>
      <c r="H105" s="160"/>
      <c r="I105" s="160"/>
      <c r="J105" s="160"/>
      <c r="K105" s="160">
        <v>3.94556</v>
      </c>
      <c r="L105" s="175">
        <f>SUM(M105:P105)</f>
        <v>92156.44</v>
      </c>
      <c r="M105" s="175"/>
      <c r="N105" s="175"/>
      <c r="O105" s="1844"/>
      <c r="P105" s="1844">
        <v>92156.44</v>
      </c>
      <c r="Q105" s="100"/>
    </row>
    <row r="106" spans="1:17" ht="16.149999999999999" customHeight="1">
      <c r="A106" s="121"/>
      <c r="B106" s="198" t="s">
        <v>4742</v>
      </c>
      <c r="C106" s="54">
        <f t="shared" ref="C106:C112" si="18">SUM(D106:G106)</f>
        <v>0</v>
      </c>
      <c r="D106" s="54"/>
      <c r="E106" s="54"/>
      <c r="F106" s="54"/>
      <c r="G106" s="54" t="s">
        <v>1795</v>
      </c>
      <c r="H106" s="160"/>
      <c r="I106" s="160"/>
      <c r="J106" s="160"/>
      <c r="K106" s="160" t="s">
        <v>1796</v>
      </c>
      <c r="L106" s="175">
        <f t="shared" ref="L106:L139" si="19">SUM(M106:P106)</f>
        <v>0</v>
      </c>
      <c r="M106" s="175"/>
      <c r="N106" s="175"/>
      <c r="O106" s="1844"/>
      <c r="P106" s="1844" t="s">
        <v>1799</v>
      </c>
      <c r="Q106" s="100"/>
    </row>
    <row r="107" spans="1:17" ht="16.149999999999999" customHeight="1">
      <c r="A107" s="121"/>
      <c r="B107" s="198" t="s">
        <v>1794</v>
      </c>
      <c r="C107" s="54">
        <f t="shared" si="18"/>
        <v>0</v>
      </c>
      <c r="D107" s="54"/>
      <c r="E107" s="54"/>
      <c r="F107" s="54"/>
      <c r="G107" s="54" t="s">
        <v>1797</v>
      </c>
      <c r="H107" s="160"/>
      <c r="I107" s="160"/>
      <c r="J107" s="160"/>
      <c r="K107" s="160" t="s">
        <v>1798</v>
      </c>
      <c r="L107" s="175">
        <f t="shared" si="19"/>
        <v>0</v>
      </c>
      <c r="M107" s="175"/>
      <c r="N107" s="175"/>
      <c r="O107" s="1844"/>
      <c r="P107" s="1844" t="s">
        <v>1800</v>
      </c>
      <c r="Q107" s="100"/>
    </row>
    <row r="108" spans="1:17" ht="16.149999999999999" customHeight="1">
      <c r="A108" s="121"/>
      <c r="B108" s="198" t="s">
        <v>3799</v>
      </c>
      <c r="C108" s="54">
        <f t="shared" si="18"/>
        <v>89601</v>
      </c>
      <c r="D108" s="54"/>
      <c r="E108" s="54"/>
      <c r="F108" s="2954">
        <v>10597</v>
      </c>
      <c r="G108" s="2954">
        <v>79004</v>
      </c>
      <c r="H108" s="160"/>
      <c r="I108" s="160"/>
      <c r="J108" s="160">
        <v>3.5879099999999999</v>
      </c>
      <c r="K108" s="160">
        <v>3.9613599999999995</v>
      </c>
      <c r="L108" s="175">
        <f t="shared" si="19"/>
        <v>350984.37</v>
      </c>
      <c r="M108" s="175"/>
      <c r="N108" s="175"/>
      <c r="O108" s="1844">
        <v>38021.08</v>
      </c>
      <c r="P108" s="1844">
        <v>312963.28999999998</v>
      </c>
      <c r="Q108" s="100"/>
    </row>
    <row r="109" spans="1:17" ht="16.149999999999999" customHeight="1">
      <c r="A109" s="121"/>
      <c r="B109" s="198" t="s">
        <v>3673</v>
      </c>
      <c r="C109" s="54">
        <f t="shared" si="18"/>
        <v>55347</v>
      </c>
      <c r="D109" s="54"/>
      <c r="E109" s="54"/>
      <c r="F109" s="2954"/>
      <c r="G109" s="2954">
        <v>55347</v>
      </c>
      <c r="H109" s="160"/>
      <c r="I109" s="160"/>
      <c r="J109" s="160"/>
      <c r="K109" s="160">
        <v>3.9461299999999997</v>
      </c>
      <c r="L109" s="175">
        <f t="shared" si="19"/>
        <v>218406.46</v>
      </c>
      <c r="M109" s="175"/>
      <c r="N109" s="175"/>
      <c r="O109" s="1844"/>
      <c r="P109" s="1844">
        <v>218406.46</v>
      </c>
      <c r="Q109" s="100"/>
    </row>
    <row r="110" spans="1:17" ht="16.149999999999999" customHeight="1">
      <c r="A110" s="2951"/>
      <c r="B110" s="3759" t="s">
        <v>4825</v>
      </c>
      <c r="C110" s="54">
        <f t="shared" si="18"/>
        <v>15889</v>
      </c>
      <c r="D110" s="54"/>
      <c r="E110" s="54"/>
      <c r="F110" s="2954"/>
      <c r="G110" s="2954">
        <v>15889</v>
      </c>
      <c r="H110" s="160"/>
      <c r="I110" s="160"/>
      <c r="J110" s="160"/>
      <c r="K110" s="160">
        <v>3.9838999999999998</v>
      </c>
      <c r="L110" s="175">
        <f t="shared" si="19"/>
        <v>63300.19</v>
      </c>
      <c r="M110" s="175"/>
      <c r="N110" s="175"/>
      <c r="O110" s="1844"/>
      <c r="P110" s="1844">
        <v>63300.19</v>
      </c>
      <c r="Q110" s="100"/>
    </row>
    <row r="111" spans="1:17" ht="16.149999999999999" customHeight="1">
      <c r="A111" s="121"/>
      <c r="B111" s="3228" t="s">
        <v>4608</v>
      </c>
      <c r="C111" s="54">
        <f t="shared" si="18"/>
        <v>3154</v>
      </c>
      <c r="D111" s="54"/>
      <c r="E111" s="54"/>
      <c r="F111" s="2954"/>
      <c r="G111" s="2954">
        <v>3154</v>
      </c>
      <c r="H111" s="160"/>
      <c r="I111" s="160"/>
      <c r="J111" s="160"/>
      <c r="K111" s="3030">
        <v>3.9640399999999998</v>
      </c>
      <c r="L111" s="175">
        <f t="shared" si="19"/>
        <v>12502.58</v>
      </c>
      <c r="M111" s="175"/>
      <c r="N111" s="175"/>
      <c r="O111" s="1844"/>
      <c r="P111" s="54">
        <v>12502.58</v>
      </c>
      <c r="Q111" s="100"/>
    </row>
    <row r="112" spans="1:17" ht="16.149999999999999" customHeight="1">
      <c r="A112" s="121"/>
      <c r="B112" s="3228" t="s">
        <v>2025</v>
      </c>
      <c r="C112" s="54">
        <f t="shared" si="18"/>
        <v>0</v>
      </c>
      <c r="D112" s="54"/>
      <c r="E112" s="54"/>
      <c r="F112" s="2954"/>
      <c r="G112" s="2954"/>
      <c r="H112" s="160"/>
      <c r="I112" s="160"/>
      <c r="J112" s="160" t="s">
        <v>2030</v>
      </c>
      <c r="K112" s="3030"/>
      <c r="L112" s="175">
        <f t="shared" si="19"/>
        <v>0</v>
      </c>
      <c r="M112" s="175"/>
      <c r="N112" s="175"/>
      <c r="O112" s="1844" t="s">
        <v>2031</v>
      </c>
      <c r="P112" s="54"/>
      <c r="Q112" s="100"/>
    </row>
    <row r="113" spans="1:17" ht="16.149999999999999" customHeight="1">
      <c r="A113" s="121"/>
      <c r="B113" s="3757" t="s">
        <v>4824</v>
      </c>
      <c r="C113" s="54">
        <f t="shared" ref="C113" si="20">SUM(D113:G113)</f>
        <v>7938</v>
      </c>
      <c r="D113" s="54"/>
      <c r="E113" s="54"/>
      <c r="F113" s="2954"/>
      <c r="G113" s="2954">
        <v>7938</v>
      </c>
      <c r="H113" s="160"/>
      <c r="I113" s="160"/>
      <c r="J113" s="160"/>
      <c r="K113" s="3030">
        <v>3.9734799999999999</v>
      </c>
      <c r="L113" s="175">
        <f t="shared" ref="L113" si="21">SUM(M113:P113)</f>
        <v>31541.48</v>
      </c>
      <c r="M113" s="175"/>
      <c r="N113" s="175"/>
      <c r="O113" s="1844"/>
      <c r="P113" s="54">
        <v>31541.48</v>
      </c>
      <c r="Q113" s="100"/>
    </row>
    <row r="114" spans="1:17" ht="16.149999999999999" customHeight="1">
      <c r="A114" s="121"/>
      <c r="B114" s="3228" t="s">
        <v>4735</v>
      </c>
      <c r="C114" s="54">
        <f t="shared" ref="C114" si="22">SUM(D114:G114)</f>
        <v>1578</v>
      </c>
      <c r="D114" s="54"/>
      <c r="E114" s="54"/>
      <c r="F114" s="2954"/>
      <c r="G114" s="2954">
        <v>1578</v>
      </c>
      <c r="H114" s="160"/>
      <c r="I114" s="160"/>
      <c r="J114" s="160"/>
      <c r="K114" s="3030">
        <v>4.0222499999999997</v>
      </c>
      <c r="L114" s="175">
        <f t="shared" ref="L114" si="23">SUM(M114:P114)</f>
        <v>6347.1100000000006</v>
      </c>
      <c r="M114" s="175"/>
      <c r="N114" s="175"/>
      <c r="O114" s="1844"/>
      <c r="P114" s="54">
        <v>6347.1100000000006</v>
      </c>
      <c r="Q114" s="100"/>
    </row>
    <row r="115" spans="1:17" ht="16.149999999999999" customHeight="1">
      <c r="A115" s="121"/>
      <c r="B115" s="3761" t="s">
        <v>4826</v>
      </c>
      <c r="C115" s="54">
        <f t="shared" ref="C115" si="24">SUM(D115:G115)</f>
        <v>2632</v>
      </c>
      <c r="D115" s="54"/>
      <c r="E115" s="54"/>
      <c r="F115" s="2954"/>
      <c r="G115" s="2954">
        <v>2632</v>
      </c>
      <c r="H115" s="160"/>
      <c r="I115" s="160"/>
      <c r="J115" s="160"/>
      <c r="K115" s="3030">
        <v>3.9476199999999997</v>
      </c>
      <c r="L115" s="175">
        <f t="shared" ref="L115:L116" si="25">SUM(M115:P115)</f>
        <v>10390.14</v>
      </c>
      <c r="M115" s="175"/>
      <c r="N115" s="175"/>
      <c r="O115" s="1844"/>
      <c r="P115" s="54">
        <v>10390.14</v>
      </c>
      <c r="Q115" s="100"/>
    </row>
    <row r="116" spans="1:17" ht="16.149999999999999" customHeight="1">
      <c r="A116" s="121"/>
      <c r="B116" s="3228" t="s">
        <v>4609</v>
      </c>
      <c r="C116" s="54">
        <f>SUM(D116:G116)</f>
        <v>72095</v>
      </c>
      <c r="D116" s="54"/>
      <c r="E116" s="54"/>
      <c r="F116" s="2954">
        <v>72095</v>
      </c>
      <c r="G116" s="2954" t="s">
        <v>3590</v>
      </c>
      <c r="H116" s="160"/>
      <c r="I116" s="160"/>
      <c r="J116" s="160">
        <v>3.5734599999999999</v>
      </c>
      <c r="K116" s="54" t="s">
        <v>3591</v>
      </c>
      <c r="L116" s="175">
        <f t="shared" si="25"/>
        <v>257628.6</v>
      </c>
      <c r="M116" s="175"/>
      <c r="N116" s="175"/>
      <c r="O116" s="1844">
        <v>257628.6</v>
      </c>
      <c r="P116" s="54" t="s">
        <v>3592</v>
      </c>
      <c r="Q116" s="100"/>
    </row>
    <row r="117" spans="1:17" ht="16.149999999999999" customHeight="1">
      <c r="A117" s="121"/>
      <c r="B117" s="198" t="s">
        <v>3593</v>
      </c>
      <c r="C117" s="54">
        <f>SUM(D117:G117)</f>
        <v>31606</v>
      </c>
      <c r="D117" s="54"/>
      <c r="E117" s="54"/>
      <c r="F117" s="2954"/>
      <c r="G117" s="2954">
        <v>31606</v>
      </c>
      <c r="H117" s="160"/>
      <c r="I117" s="160"/>
      <c r="J117" s="160"/>
      <c r="K117" s="3030">
        <v>3.9644699999999999</v>
      </c>
      <c r="L117" s="175">
        <f t="shared" ref="L117:L120" si="26">SUM(M117:P117)</f>
        <v>125301.04000000001</v>
      </c>
      <c r="M117" s="175"/>
      <c r="N117" s="175"/>
      <c r="O117" s="1844"/>
      <c r="P117" s="54">
        <v>125301.04000000001</v>
      </c>
      <c r="Q117" s="100"/>
    </row>
    <row r="118" spans="1:17" ht="16.149999999999999" customHeight="1">
      <c r="A118" s="121"/>
      <c r="B118" s="198" t="s">
        <v>3813</v>
      </c>
      <c r="C118" s="54">
        <f t="shared" ref="C118:C132" si="27">SUM(D118:G118)</f>
        <v>9657</v>
      </c>
      <c r="D118" s="54"/>
      <c r="E118" s="54"/>
      <c r="F118" s="2954"/>
      <c r="G118" s="2954">
        <v>9657</v>
      </c>
      <c r="H118" s="160"/>
      <c r="I118" s="160"/>
      <c r="J118" s="160"/>
      <c r="K118" s="3030">
        <v>3.93485</v>
      </c>
      <c r="L118" s="175">
        <f t="shared" si="26"/>
        <v>37998.85</v>
      </c>
      <c r="M118" s="175"/>
      <c r="N118" s="175"/>
      <c r="O118" s="1844"/>
      <c r="P118" s="54">
        <v>37998.85</v>
      </c>
      <c r="Q118" s="100"/>
    </row>
    <row r="119" spans="1:17" ht="16.149999999999999" customHeight="1">
      <c r="A119" s="121"/>
      <c r="B119" s="198" t="s">
        <v>3815</v>
      </c>
      <c r="C119" s="54">
        <f t="shared" si="27"/>
        <v>17139</v>
      </c>
      <c r="D119" s="54"/>
      <c r="E119" s="54"/>
      <c r="F119" s="2954"/>
      <c r="G119" s="2954">
        <v>17139</v>
      </c>
      <c r="H119" s="160"/>
      <c r="I119" s="160"/>
      <c r="J119" s="160"/>
      <c r="K119" s="3030">
        <v>3.9665399999999997</v>
      </c>
      <c r="L119" s="175">
        <f t="shared" si="26"/>
        <v>67982.53</v>
      </c>
      <c r="M119" s="175"/>
      <c r="N119" s="175"/>
      <c r="O119" s="1844"/>
      <c r="P119" s="54">
        <v>67982.53</v>
      </c>
      <c r="Q119" s="100"/>
    </row>
    <row r="120" spans="1:17" ht="16.149999999999999" customHeight="1">
      <c r="A120" s="121"/>
      <c r="B120" s="198" t="s">
        <v>4074</v>
      </c>
      <c r="C120" s="54">
        <f t="shared" si="27"/>
        <v>95369</v>
      </c>
      <c r="D120" s="54"/>
      <c r="E120" s="54"/>
      <c r="F120" s="2954">
        <v>5231</v>
      </c>
      <c r="G120" s="2954">
        <v>90138</v>
      </c>
      <c r="H120" s="160"/>
      <c r="I120" s="160"/>
      <c r="J120" s="160">
        <v>3.5954899999999999</v>
      </c>
      <c r="K120" s="3030">
        <v>3.9589999999999996</v>
      </c>
      <c r="L120" s="175">
        <f t="shared" si="26"/>
        <v>375664.35000000003</v>
      </c>
      <c r="M120" s="175"/>
      <c r="N120" s="175"/>
      <c r="O120" s="1844">
        <v>18808.010000000002</v>
      </c>
      <c r="P120" s="54">
        <v>356856.34</v>
      </c>
      <c r="Q120" s="100"/>
    </row>
    <row r="121" spans="1:17" ht="16.149999999999999" customHeight="1">
      <c r="A121" s="121"/>
      <c r="B121" s="3228" t="s">
        <v>4614</v>
      </c>
      <c r="C121" s="54">
        <f t="shared" si="27"/>
        <v>0</v>
      </c>
      <c r="D121" s="54"/>
      <c r="E121" s="54"/>
      <c r="F121" s="2954"/>
      <c r="G121" s="2954" t="s">
        <v>4618</v>
      </c>
      <c r="H121" s="160"/>
      <c r="I121" s="160"/>
      <c r="J121" s="160"/>
      <c r="K121" s="3030" t="s">
        <v>4619</v>
      </c>
      <c r="L121" s="175">
        <f t="shared" ref="L121" si="28">SUM(M121:P121)</f>
        <v>0</v>
      </c>
      <c r="M121" s="175"/>
      <c r="N121" s="175"/>
      <c r="O121" s="1844"/>
      <c r="P121" s="54" t="s">
        <v>4620</v>
      </c>
      <c r="Q121" s="100"/>
    </row>
    <row r="122" spans="1:17" ht="16.149999999999999" customHeight="1">
      <c r="A122" s="121"/>
      <c r="B122" s="3228" t="s">
        <v>4615</v>
      </c>
      <c r="C122" s="54">
        <f t="shared" si="27"/>
        <v>158843</v>
      </c>
      <c r="D122" s="54"/>
      <c r="E122" s="54"/>
      <c r="F122" s="2954"/>
      <c r="G122" s="2954">
        <v>158843</v>
      </c>
      <c r="H122" s="160"/>
      <c r="I122" s="160"/>
      <c r="J122" s="160"/>
      <c r="K122" s="3030">
        <v>4.0042799999999996</v>
      </c>
      <c r="L122" s="175">
        <f t="shared" ref="L122" si="29">SUM(M122:P122)</f>
        <v>636051.85</v>
      </c>
      <c r="M122" s="175"/>
      <c r="N122" s="175"/>
      <c r="O122" s="1844"/>
      <c r="P122" s="54">
        <v>636051.85</v>
      </c>
      <c r="Q122" s="100"/>
    </row>
    <row r="123" spans="1:17" ht="16.149999999999999" customHeight="1">
      <c r="A123" s="121"/>
      <c r="B123" s="3228" t="s">
        <v>4616</v>
      </c>
      <c r="C123" s="54">
        <f t="shared" si="27"/>
        <v>77420</v>
      </c>
      <c r="D123" s="54"/>
      <c r="E123" s="54"/>
      <c r="F123" s="2954"/>
      <c r="G123" s="2954">
        <v>77420</v>
      </c>
      <c r="H123" s="160"/>
      <c r="I123" s="160"/>
      <c r="J123" s="160"/>
      <c r="K123" s="3030">
        <v>4.0295800000000002</v>
      </c>
      <c r="L123" s="175">
        <f t="shared" ref="L123" si="30">SUM(M123:P123)</f>
        <v>311970.08</v>
      </c>
      <c r="M123" s="175"/>
      <c r="N123" s="175"/>
      <c r="O123" s="1844"/>
      <c r="P123" s="54">
        <v>311970.08</v>
      </c>
      <c r="Q123" s="100"/>
    </row>
    <row r="124" spans="1:17" ht="16.149999999999999" customHeight="1">
      <c r="A124" s="121"/>
      <c r="B124" s="3228" t="s">
        <v>4617</v>
      </c>
      <c r="C124" s="54">
        <f t="shared" si="27"/>
        <v>0</v>
      </c>
      <c r="D124" s="54"/>
      <c r="E124" s="54"/>
      <c r="F124" s="2954"/>
      <c r="G124" s="2954" t="s">
        <v>4631</v>
      </c>
      <c r="H124" s="160"/>
      <c r="I124" s="160"/>
      <c r="J124" s="160"/>
      <c r="K124" s="3030" t="s">
        <v>4632</v>
      </c>
      <c r="L124" s="175">
        <f t="shared" ref="L124:L132" si="31">SUM(M124:P124)</f>
        <v>0</v>
      </c>
      <c r="M124" s="175"/>
      <c r="N124" s="175"/>
      <c r="O124" s="1844"/>
      <c r="P124" s="54" t="s">
        <v>4633</v>
      </c>
      <c r="Q124" s="100"/>
    </row>
    <row r="125" spans="1:17" ht="16.149999999999999" customHeight="1">
      <c r="A125" s="121"/>
      <c r="B125" s="3228" t="s">
        <v>4641</v>
      </c>
      <c r="C125" s="54">
        <f t="shared" si="27"/>
        <v>8024</v>
      </c>
      <c r="D125" s="54"/>
      <c r="E125" s="54"/>
      <c r="F125" s="2954"/>
      <c r="G125" s="2954">
        <v>8024</v>
      </c>
      <c r="H125" s="160"/>
      <c r="I125" s="160"/>
      <c r="J125" s="160" t="s">
        <v>4819</v>
      </c>
      <c r="K125" s="3030">
        <v>3.3009299999999997</v>
      </c>
      <c r="L125" s="175">
        <f t="shared" si="31"/>
        <v>26486.66</v>
      </c>
      <c r="M125" s="175"/>
      <c r="N125" s="175"/>
      <c r="O125" s="1844" t="s">
        <v>4820</v>
      </c>
      <c r="P125" s="54">
        <v>26486.66</v>
      </c>
      <c r="Q125" s="100"/>
    </row>
    <row r="126" spans="1:17" ht="16.149999999999999" customHeight="1">
      <c r="A126" s="121"/>
      <c r="B126" s="3228" t="s">
        <v>4647</v>
      </c>
      <c r="C126" s="54">
        <f t="shared" si="27"/>
        <v>17488</v>
      </c>
      <c r="D126" s="54"/>
      <c r="E126" s="54"/>
      <c r="F126" s="2954"/>
      <c r="G126" s="2954">
        <v>17488</v>
      </c>
      <c r="H126" s="160"/>
      <c r="I126" s="160"/>
      <c r="J126" s="160"/>
      <c r="K126" s="3030">
        <v>3.9388799999999997</v>
      </c>
      <c r="L126" s="175">
        <f t="shared" si="31"/>
        <v>68883.13</v>
      </c>
      <c r="M126" s="175"/>
      <c r="N126" s="175"/>
      <c r="O126" s="1844"/>
      <c r="P126" s="54">
        <v>68883.13</v>
      </c>
      <c r="Q126" s="100"/>
    </row>
    <row r="127" spans="1:17" ht="16.149999999999999" customHeight="1">
      <c r="A127" s="121"/>
      <c r="B127" s="3228" t="s">
        <v>4652</v>
      </c>
      <c r="C127" s="54">
        <f t="shared" si="27"/>
        <v>0</v>
      </c>
      <c r="D127" s="54"/>
      <c r="E127" s="54"/>
      <c r="F127" s="2954"/>
      <c r="G127" s="2954" t="s">
        <v>4653</v>
      </c>
      <c r="H127" s="160"/>
      <c r="I127" s="160"/>
      <c r="J127" s="160"/>
      <c r="K127" s="3030" t="s">
        <v>4654</v>
      </c>
      <c r="L127" s="175">
        <f t="shared" si="31"/>
        <v>0</v>
      </c>
      <c r="M127" s="175"/>
      <c r="N127" s="175"/>
      <c r="O127" s="1844"/>
      <c r="P127" s="54" t="s">
        <v>4655</v>
      </c>
      <c r="Q127" s="100"/>
    </row>
    <row r="128" spans="1:17" ht="16.149999999999999" customHeight="1">
      <c r="A128" s="121"/>
      <c r="B128" s="3228" t="s">
        <v>4651</v>
      </c>
      <c r="C128" s="54">
        <f t="shared" si="27"/>
        <v>742</v>
      </c>
      <c r="D128" s="54"/>
      <c r="E128" s="54"/>
      <c r="F128" s="2954"/>
      <c r="G128" s="2954">
        <v>742</v>
      </c>
      <c r="H128" s="160"/>
      <c r="I128" s="160"/>
      <c r="J128" s="160"/>
      <c r="K128" s="3030">
        <v>4.0801799999999995</v>
      </c>
      <c r="L128" s="175">
        <f t="shared" si="31"/>
        <v>3027.4900000000002</v>
      </c>
      <c r="M128" s="175"/>
      <c r="N128" s="175"/>
      <c r="O128" s="1844"/>
      <c r="P128" s="54">
        <v>3027.4900000000002</v>
      </c>
      <c r="Q128" s="100"/>
    </row>
    <row r="129" spans="1:17" ht="16.149999999999999" customHeight="1">
      <c r="A129" s="121"/>
      <c r="B129" s="3228" t="s">
        <v>4665</v>
      </c>
      <c r="C129" s="54">
        <f t="shared" si="27"/>
        <v>155668</v>
      </c>
      <c r="D129" s="54"/>
      <c r="E129" s="54"/>
      <c r="F129" s="2954"/>
      <c r="G129" s="2954">
        <v>155668</v>
      </c>
      <c r="H129" s="160"/>
      <c r="I129" s="160"/>
      <c r="J129" s="160"/>
      <c r="K129" s="3030">
        <v>3.9994899999999998</v>
      </c>
      <c r="L129" s="175">
        <f t="shared" si="31"/>
        <v>622592.61</v>
      </c>
      <c r="M129" s="175"/>
      <c r="N129" s="175"/>
      <c r="O129" s="1844"/>
      <c r="P129" s="54">
        <v>622592.61</v>
      </c>
      <c r="Q129" s="100"/>
    </row>
    <row r="130" spans="1:17" ht="16.149999999999999" customHeight="1">
      <c r="A130" s="121"/>
      <c r="B130" s="3228" t="s">
        <v>4669</v>
      </c>
      <c r="C130" s="54">
        <f t="shared" si="27"/>
        <v>13891</v>
      </c>
      <c r="D130" s="54"/>
      <c r="E130" s="54"/>
      <c r="F130" s="2954"/>
      <c r="G130" s="2954">
        <v>13891</v>
      </c>
      <c r="H130" s="160"/>
      <c r="I130" s="160"/>
      <c r="J130" s="160"/>
      <c r="K130" s="3030">
        <v>4.0682</v>
      </c>
      <c r="L130" s="175">
        <f t="shared" si="31"/>
        <v>56511.37</v>
      </c>
      <c r="M130" s="175"/>
      <c r="N130" s="175"/>
      <c r="O130" s="1844"/>
      <c r="P130" s="54">
        <v>56511.37</v>
      </c>
      <c r="Q130" s="100"/>
    </row>
    <row r="131" spans="1:17" ht="16.149999999999999" customHeight="1">
      <c r="A131" s="121"/>
      <c r="B131" s="3228" t="s">
        <v>4673</v>
      </c>
      <c r="C131" s="54">
        <f t="shared" si="27"/>
        <v>11966</v>
      </c>
      <c r="D131" s="54"/>
      <c r="E131" s="54"/>
      <c r="F131" s="2954"/>
      <c r="G131" s="2954">
        <v>11966</v>
      </c>
      <c r="H131" s="160"/>
      <c r="I131" s="160"/>
      <c r="J131" s="160"/>
      <c r="K131" s="3030">
        <v>3.9394699999999996</v>
      </c>
      <c r="L131" s="175">
        <f t="shared" si="31"/>
        <v>47139.700000000004</v>
      </c>
      <c r="M131" s="175"/>
      <c r="N131" s="175"/>
      <c r="O131" s="1844"/>
      <c r="P131" s="54">
        <v>47139.700000000004</v>
      </c>
      <c r="Q131" s="100"/>
    </row>
    <row r="132" spans="1:17" ht="16.149999999999999" customHeight="1">
      <c r="A132" s="121"/>
      <c r="B132" s="3763" t="s">
        <v>4828</v>
      </c>
      <c r="C132" s="54">
        <f t="shared" si="27"/>
        <v>6838</v>
      </c>
      <c r="D132" s="54"/>
      <c r="E132" s="54"/>
      <c r="F132" s="2954"/>
      <c r="G132" s="2954">
        <v>6838</v>
      </c>
      <c r="H132" s="160"/>
      <c r="I132" s="160"/>
      <c r="J132" s="160"/>
      <c r="K132" s="3030">
        <v>3.9336499999999996</v>
      </c>
      <c r="L132" s="175">
        <f t="shared" si="31"/>
        <v>26898.3</v>
      </c>
      <c r="M132" s="175"/>
      <c r="N132" s="175"/>
      <c r="O132" s="1844"/>
      <c r="P132" s="54">
        <v>26898.3</v>
      </c>
      <c r="Q132" s="100"/>
    </row>
    <row r="133" spans="1:17" ht="16.149999999999999" customHeight="1">
      <c r="A133" s="121"/>
      <c r="B133" s="3228" t="s">
        <v>4680</v>
      </c>
      <c r="C133" s="54">
        <f>SUM(D133:G133)</f>
        <v>24474</v>
      </c>
      <c r="D133" s="54"/>
      <c r="E133" s="54"/>
      <c r="F133" s="2954"/>
      <c r="G133" s="2954">
        <v>24474</v>
      </c>
      <c r="H133" s="160"/>
      <c r="I133" s="160"/>
      <c r="J133" s="160"/>
      <c r="K133" s="3030">
        <v>3.9740499999999996</v>
      </c>
      <c r="L133" s="175">
        <f t="shared" ref="L133:L134" si="32">SUM(M133:P133)</f>
        <v>97260.900000000009</v>
      </c>
      <c r="M133" s="175"/>
      <c r="N133" s="175"/>
      <c r="O133" s="1844"/>
      <c r="P133" s="54">
        <v>97260.900000000009</v>
      </c>
      <c r="Q133" s="100"/>
    </row>
    <row r="134" spans="1:17" ht="16.149999999999999" customHeight="1">
      <c r="A134" s="121"/>
      <c r="B134" s="3228" t="s">
        <v>4731</v>
      </c>
      <c r="C134" s="54">
        <f>SUM(D134:G134)</f>
        <v>213972</v>
      </c>
      <c r="D134" s="54"/>
      <c r="E134" s="54"/>
      <c r="F134" s="2954"/>
      <c r="G134" s="2954">
        <v>213972</v>
      </c>
      <c r="H134" s="160"/>
      <c r="I134" s="160"/>
      <c r="J134" s="160"/>
      <c r="K134" s="3030">
        <v>3.9522799999999996</v>
      </c>
      <c r="L134" s="175">
        <f t="shared" si="32"/>
        <v>845677.26</v>
      </c>
      <c r="M134" s="175"/>
      <c r="N134" s="175"/>
      <c r="O134" s="1844"/>
      <c r="P134" s="54">
        <v>845677.26</v>
      </c>
      <c r="Q134" s="100"/>
    </row>
    <row r="135" spans="1:17" ht="16.149999999999999" customHeight="1">
      <c r="A135" s="121"/>
      <c r="B135" s="3228" t="s">
        <v>4814</v>
      </c>
      <c r="C135" s="54">
        <f>SUM(D135:G135)</f>
        <v>37583</v>
      </c>
      <c r="D135" s="54"/>
      <c r="E135" s="54"/>
      <c r="F135" s="2954"/>
      <c r="G135" s="2954">
        <v>37583</v>
      </c>
      <c r="H135" s="160"/>
      <c r="I135" s="160"/>
      <c r="J135" s="160"/>
      <c r="K135" s="3030">
        <v>3.9611199999999998</v>
      </c>
      <c r="L135" s="175">
        <f t="shared" ref="L135:L138" si="33">SUM(M135:P135)</f>
        <v>148870.76999999999</v>
      </c>
      <c r="M135" s="175"/>
      <c r="N135" s="175"/>
      <c r="O135" s="1844"/>
      <c r="P135" s="54">
        <v>148870.76999999999</v>
      </c>
      <c r="Q135" s="100"/>
    </row>
    <row r="136" spans="1:17" ht="16.149999999999999" customHeight="1">
      <c r="A136" s="121"/>
      <c r="B136" s="3228" t="s">
        <v>5115</v>
      </c>
      <c r="C136" s="54">
        <f t="shared" ref="C136:C138" si="34">SUM(D136:G136)</f>
        <v>10570</v>
      </c>
      <c r="D136" s="54"/>
      <c r="E136" s="54"/>
      <c r="F136" s="2954"/>
      <c r="G136" s="2954">
        <v>10570</v>
      </c>
      <c r="H136" s="160"/>
      <c r="I136" s="160"/>
      <c r="J136" s="160"/>
      <c r="K136" s="3030">
        <v>4.0594199999999994</v>
      </c>
      <c r="L136" s="175">
        <f t="shared" si="33"/>
        <v>42908.07</v>
      </c>
      <c r="M136" s="175"/>
      <c r="N136" s="175"/>
      <c r="O136" s="1844"/>
      <c r="P136" s="54">
        <v>42908.07</v>
      </c>
      <c r="Q136" s="100"/>
    </row>
    <row r="137" spans="1:17" ht="16.149999999999999" customHeight="1">
      <c r="A137" s="121"/>
      <c r="B137" s="3228" t="s">
        <v>5116</v>
      </c>
      <c r="C137" s="54">
        <f t="shared" si="34"/>
        <v>4507</v>
      </c>
      <c r="D137" s="54"/>
      <c r="E137" s="54"/>
      <c r="F137" s="2954"/>
      <c r="G137" s="2954">
        <v>4507</v>
      </c>
      <c r="H137" s="160"/>
      <c r="I137" s="160"/>
      <c r="J137" s="160"/>
      <c r="K137" s="3030">
        <v>3.9993399999999997</v>
      </c>
      <c r="L137" s="175">
        <f t="shared" si="33"/>
        <v>18025.03</v>
      </c>
      <c r="M137" s="175"/>
      <c r="N137" s="175"/>
      <c r="O137" s="1844"/>
      <c r="P137" s="54">
        <v>18025.03</v>
      </c>
      <c r="Q137" s="100"/>
    </row>
    <row r="138" spans="1:17" ht="16.149999999999999" customHeight="1">
      <c r="A138" s="121"/>
      <c r="B138" s="3228" t="s">
        <v>5127</v>
      </c>
      <c r="C138" s="54">
        <f t="shared" si="34"/>
        <v>16365</v>
      </c>
      <c r="D138" s="54"/>
      <c r="E138" s="54"/>
      <c r="F138" s="2954"/>
      <c r="G138" s="2954">
        <v>16365</v>
      </c>
      <c r="H138" s="160"/>
      <c r="I138" s="160"/>
      <c r="J138" s="160"/>
      <c r="K138" s="3030">
        <v>3.9773099999999997</v>
      </c>
      <c r="L138" s="175">
        <f t="shared" si="33"/>
        <v>65088.68</v>
      </c>
      <c r="M138" s="175"/>
      <c r="N138" s="175"/>
      <c r="O138" s="1844"/>
      <c r="P138" s="54">
        <v>65088.68</v>
      </c>
      <c r="Q138" s="100"/>
    </row>
    <row r="139" spans="1:17" ht="16.149999999999999" customHeight="1">
      <c r="A139" s="1842"/>
      <c r="B139" s="1843" t="s">
        <v>201</v>
      </c>
      <c r="C139" s="1837">
        <f>SUM(D139:G139)</f>
        <v>2480120</v>
      </c>
      <c r="D139" s="1838"/>
      <c r="E139" s="1838"/>
      <c r="F139" s="1837">
        <f>SUM(F140:F142)</f>
        <v>14500</v>
      </c>
      <c r="G139" s="1837">
        <f>SUM(G140:G143)</f>
        <v>2465620</v>
      </c>
      <c r="H139" s="1839"/>
      <c r="I139" s="1839"/>
      <c r="J139" s="1839"/>
      <c r="K139" s="1839"/>
      <c r="L139" s="1840">
        <f t="shared" si="19"/>
        <v>8894010.3499999996</v>
      </c>
      <c r="M139" s="1841"/>
      <c r="N139" s="1841"/>
      <c r="O139" s="1837">
        <f>SUM(O140:O142)</f>
        <v>45351.8</v>
      </c>
      <c r="P139" s="1837">
        <f>SUM(P140:P143)</f>
        <v>8848658.5499999989</v>
      </c>
      <c r="Q139" s="100"/>
    </row>
    <row r="140" spans="1:17" ht="16.149999999999999" customHeight="1">
      <c r="A140" s="121"/>
      <c r="B140" s="198" t="s">
        <v>4610</v>
      </c>
      <c r="C140" s="54">
        <f t="shared" ref="C140:C143" si="35">SUM(D140:G140)</f>
        <v>975883</v>
      </c>
      <c r="D140" s="54"/>
      <c r="E140" s="54"/>
      <c r="F140" s="54"/>
      <c r="G140" s="54">
        <v>975883</v>
      </c>
      <c r="H140" s="160"/>
      <c r="I140" s="160"/>
      <c r="J140" s="160"/>
      <c r="K140" s="160">
        <v>3.6029</v>
      </c>
      <c r="L140" s="175">
        <f t="shared" ref="L140:L143" si="36">SUM(M140:P140)</f>
        <v>3516008.86</v>
      </c>
      <c r="M140" s="175"/>
      <c r="N140" s="175"/>
      <c r="O140" s="175"/>
      <c r="P140" s="175">
        <v>3516008.86</v>
      </c>
      <c r="Q140" s="100"/>
    </row>
    <row r="141" spans="1:17" ht="16.149999999999999" customHeight="1">
      <c r="A141" s="121"/>
      <c r="B141" s="198" t="s">
        <v>3768</v>
      </c>
      <c r="C141" s="54">
        <f t="shared" si="35"/>
        <v>570293</v>
      </c>
      <c r="D141" s="54"/>
      <c r="E141" s="54"/>
      <c r="F141" s="54">
        <v>14500</v>
      </c>
      <c r="G141" s="54">
        <v>555793</v>
      </c>
      <c r="H141" s="160"/>
      <c r="I141" s="160"/>
      <c r="J141" s="160">
        <v>3.12771</v>
      </c>
      <c r="K141" s="160">
        <v>3.6143299999999998</v>
      </c>
      <c r="L141" s="175">
        <f t="shared" si="36"/>
        <v>2054171.11</v>
      </c>
      <c r="M141" s="175"/>
      <c r="N141" s="175"/>
      <c r="O141" s="175">
        <v>45351.8</v>
      </c>
      <c r="P141" s="175">
        <v>2008819.31</v>
      </c>
      <c r="Q141" s="100"/>
    </row>
    <row r="142" spans="1:17" ht="16.149999999999999" customHeight="1">
      <c r="A142" s="121"/>
      <c r="B142" s="198" t="s">
        <v>4611</v>
      </c>
      <c r="C142" s="54">
        <f t="shared" si="35"/>
        <v>513972</v>
      </c>
      <c r="D142" s="54"/>
      <c r="E142" s="54"/>
      <c r="F142" s="54"/>
      <c r="G142" s="54">
        <v>513972</v>
      </c>
      <c r="H142" s="160"/>
      <c r="I142" s="160"/>
      <c r="J142" s="160"/>
      <c r="K142" s="160">
        <v>3.5898199999999996</v>
      </c>
      <c r="L142" s="175">
        <f t="shared" si="36"/>
        <v>1845066.97</v>
      </c>
      <c r="M142" s="175"/>
      <c r="N142" s="175"/>
      <c r="O142" s="175"/>
      <c r="P142" s="175">
        <v>1845066.97</v>
      </c>
      <c r="Q142" s="100"/>
    </row>
    <row r="143" spans="1:17" ht="16.149999999999999" customHeight="1">
      <c r="A143" s="121"/>
      <c r="B143" s="198" t="s">
        <v>4739</v>
      </c>
      <c r="C143" s="54">
        <f t="shared" si="35"/>
        <v>419972</v>
      </c>
      <c r="D143" s="54"/>
      <c r="E143" s="54"/>
      <c r="F143" s="54"/>
      <c r="G143" s="2954">
        <v>419972</v>
      </c>
      <c r="H143" s="160"/>
      <c r="I143" s="160"/>
      <c r="J143" s="160"/>
      <c r="K143" s="160">
        <v>3.5210999999999997</v>
      </c>
      <c r="L143" s="175">
        <f t="shared" si="36"/>
        <v>1478763.41</v>
      </c>
      <c r="M143" s="175"/>
      <c r="N143" s="175"/>
      <c r="O143" s="175"/>
      <c r="P143" s="175">
        <v>1478763.41</v>
      </c>
      <c r="Q143" s="100"/>
    </row>
    <row r="144" spans="1:17" ht="16.149999999999999" customHeight="1">
      <c r="A144" s="1826"/>
      <c r="B144" s="1834" t="s">
        <v>192</v>
      </c>
      <c r="C144" s="1822">
        <f t="shared" si="17"/>
        <v>12637</v>
      </c>
      <c r="D144" s="1822">
        <f>D145+D253</f>
        <v>0</v>
      </c>
      <c r="E144" s="1822">
        <f>E145+E253</f>
        <v>0</v>
      </c>
      <c r="F144" s="1822">
        <f>F145+F253</f>
        <v>302</v>
      </c>
      <c r="G144" s="1822">
        <f>G145+G253</f>
        <v>12335</v>
      </c>
      <c r="H144" s="1828"/>
      <c r="I144" s="1828"/>
      <c r="J144" s="1828"/>
      <c r="K144" s="1828"/>
      <c r="L144" s="1830">
        <f t="shared" si="16"/>
        <v>14316857.920000002</v>
      </c>
      <c r="M144" s="1830">
        <f>M145+M253</f>
        <v>0</v>
      </c>
      <c r="N144" s="1830">
        <f>N145+N253</f>
        <v>0</v>
      </c>
      <c r="O144" s="1830">
        <f>O145+O253</f>
        <v>614529</v>
      </c>
      <c r="P144" s="1830">
        <f>P145+P253</f>
        <v>13702328.920000002</v>
      </c>
      <c r="Q144" s="100"/>
    </row>
    <row r="145" spans="1:17" ht="16.149999999999999" customHeight="1">
      <c r="A145" s="1836"/>
      <c r="B145" s="1835" t="s">
        <v>1934</v>
      </c>
      <c r="C145" s="1837">
        <f>SUM(D145:G145)</f>
        <v>3900</v>
      </c>
      <c r="D145" s="1838">
        <f>SUM(D146:D147)</f>
        <v>0</v>
      </c>
      <c r="E145" s="1838">
        <f t="shared" ref="E145" si="37">SUM(E146:E147)</f>
        <v>0</v>
      </c>
      <c r="F145" s="1838">
        <f>SUM(F146:F147)</f>
        <v>241</v>
      </c>
      <c r="G145" s="1838">
        <f>SUM(G146:G147)</f>
        <v>3659</v>
      </c>
      <c r="H145" s="1839"/>
      <c r="I145" s="1839"/>
      <c r="J145" s="1839"/>
      <c r="K145" s="1839"/>
      <c r="L145" s="1840">
        <f t="shared" ref="L145:L258" si="38">SUM(M145:P145)</f>
        <v>4553308.8</v>
      </c>
      <c r="M145" s="1841">
        <f>SUM(M146:M147)</f>
        <v>0</v>
      </c>
      <c r="N145" s="1841">
        <f t="shared" ref="N145:O145" si="39">SUM(N146:N147)</f>
        <v>0</v>
      </c>
      <c r="O145" s="1841">
        <f t="shared" si="39"/>
        <v>486760.10000000003</v>
      </c>
      <c r="P145" s="1841">
        <f>SUM(P146:P147)</f>
        <v>4066548.7</v>
      </c>
      <c r="Q145" s="100"/>
    </row>
    <row r="146" spans="1:17" ht="16.149999999999999" customHeight="1">
      <c r="A146" s="1814"/>
      <c r="B146" s="1815" t="s">
        <v>1812</v>
      </c>
      <c r="C146" s="54">
        <f t="shared" ref="C146:C147" si="40">SUM(D146:G146)</f>
        <v>1843</v>
      </c>
      <c r="D146" s="320">
        <f t="shared" ref="D146" si="41">SUM(D149,D152,D155,D158)</f>
        <v>0</v>
      </c>
      <c r="E146" s="320">
        <f t="shared" ref="E146" si="42">SUM(E149,E152,E155,E158,E161,E164,E170,E173,E176,E167,E179,E182,E185,E188)</f>
        <v>0</v>
      </c>
      <c r="F146" s="320">
        <f>SUM(F149,F152,F155,F158,F161,F164,F170,F173,F176,F167,F179,F182,F185,F188,F191,F194,F197,F200,F203,F206,F209,F212,F215,F218,F221,F224,F227,F230,F233,F236,F239,F242)</f>
        <v>118</v>
      </c>
      <c r="G146" s="320">
        <f>SUM(G149,G152,G155,G158,G161,G164,G170,G173,G176,G167,G179,G182,G185,G188,G191,G194,G197,G200,G203,G206,G209,G212,G215,G218,G221,G224,G227,G230,G233,G236,G239,G242,G245,G248,G251)</f>
        <v>1725</v>
      </c>
      <c r="H146" s="1817"/>
      <c r="I146" s="1817"/>
      <c r="J146" s="1818"/>
      <c r="K146" s="1818"/>
      <c r="L146" s="30">
        <f t="shared" ref="L146:L147" si="43">SUM(M146:P146)</f>
        <v>2225118.75</v>
      </c>
      <c r="M146" s="353">
        <f t="shared" ref="M146" si="44">SUM(M149,M152,M155,M158)</f>
        <v>0</v>
      </c>
      <c r="N146" s="353">
        <f t="shared" ref="N146" si="45">SUM(N149,N152,N155,N158,N161,N164,N170,N173,N176,N167,N179,N182,N185,N188)</f>
        <v>0</v>
      </c>
      <c r="O146" s="353">
        <f t="shared" ref="O146" si="46">SUM(O149,O152,O155,O158,O161,O164,O170,O173,O176,O167,O179,O182,O185,O188,O191,O194,O197,O200,O203,O206,O209,O212,O215,O218,O221,O224,O227,O230,O233,O236,O239,O242)</f>
        <v>142465.54999999999</v>
      </c>
      <c r="P146" s="353">
        <f>SUM(P149,P152,P155,P158,P161,P164,P170,P173,P176,P167,P179,P182,P185,P188,P191,P194,P197,P200,P203,P206,P209,P212,P215,P218,P221,P224,P227,P230,P233,P236,P239,P242,P245,P248,P251)</f>
        <v>2082653.2000000002</v>
      </c>
      <c r="Q146" s="100"/>
    </row>
    <row r="147" spans="1:17" ht="16.149999999999999" customHeight="1">
      <c r="A147" s="1814"/>
      <c r="B147" s="1815" t="s">
        <v>1813</v>
      </c>
      <c r="C147" s="54">
        <f t="shared" si="40"/>
        <v>2057</v>
      </c>
      <c r="D147" s="320">
        <f t="shared" ref="D147:E147" si="47">SUM(D150,D153,D156,D159)</f>
        <v>0</v>
      </c>
      <c r="E147" s="320">
        <f t="shared" si="47"/>
        <v>0</v>
      </c>
      <c r="F147" s="320">
        <f>SUM(F150,F153,F156,F159,F162,F165,F171,F174,F177,F168,F180,F183,F186,F189,F192,F195,F198,F201,F204,F207,F210,F213,F216,F219,F222,F225,F228,F231,F234,F237,F240,F243)</f>
        <v>123</v>
      </c>
      <c r="G147" s="320">
        <f>SUM(G150,G153,G156,G159,G162,G165,G171,G174,G177,G168,G180,G183,G186,G189,G192,G195,G198,G201,G204,G207,G210,G213,G216,G219,G222,G225,G228,G231,G234,G237,G240,G243,G246,G249,G252)</f>
        <v>1934</v>
      </c>
      <c r="H147" s="1817"/>
      <c r="I147" s="1817"/>
      <c r="J147" s="1817"/>
      <c r="K147" s="1817"/>
      <c r="L147" s="30">
        <f t="shared" si="43"/>
        <v>2328190.0499999998</v>
      </c>
      <c r="M147" s="353">
        <f t="shared" ref="M147" si="48">SUM(M150,M153,M156,M159)</f>
        <v>0</v>
      </c>
      <c r="N147" s="353">
        <f t="shared" ref="N147" si="49">SUM(N150,N153,N156,N159,N162,N165,N171,N174,N177,N168,N180,N183,N186,N189)</f>
        <v>0</v>
      </c>
      <c r="O147" s="353">
        <f t="shared" ref="O147" si="50">SUM(O150,O153,O156,O159,O162,O165,O171,O174,O177,O168,O180,O183,O186,O189,O192,O195,O198,O201,O204,O207,O210,O213,O216,O219,O222,O225,O228,O231,O234,O237,O240,O243)</f>
        <v>344294.55000000005</v>
      </c>
      <c r="P147" s="353">
        <f>SUM(P150,P153,P156,P159,P162,P165,P171,P174,P177,P168,P180,P183,P186,P189,P192,P195,P198,P201,P204,P207,P210,P213,P216,P219,P222,P225,P228,P231,P234,P237,P240,P243,P246,P249,P252)</f>
        <v>1983895.4999999998</v>
      </c>
      <c r="Q147" s="100"/>
    </row>
    <row r="148" spans="1:17" ht="16.149999999999999" customHeight="1">
      <c r="A148" s="349"/>
      <c r="B148" s="198" t="s">
        <v>4606</v>
      </c>
      <c r="C148" s="54">
        <f t="shared" ref="C148:C258" si="51">SUM(D148:G148)</f>
        <v>0</v>
      </c>
      <c r="D148" s="1816"/>
      <c r="E148" s="1816"/>
      <c r="F148" s="320"/>
      <c r="G148" s="320"/>
      <c r="H148" s="1817"/>
      <c r="I148" s="1817"/>
      <c r="J148" s="1817"/>
      <c r="K148" s="1817"/>
      <c r="L148" s="175">
        <f t="shared" si="38"/>
        <v>0</v>
      </c>
      <c r="M148" s="350"/>
      <c r="N148" s="350"/>
      <c r="O148" s="350"/>
      <c r="P148" s="350"/>
      <c r="Q148" s="100"/>
    </row>
    <row r="149" spans="1:17" ht="16.149999999999999" customHeight="1">
      <c r="A149" s="121"/>
      <c r="B149" s="351" t="s">
        <v>1938</v>
      </c>
      <c r="C149" s="54">
        <f t="shared" si="51"/>
        <v>38</v>
      </c>
      <c r="D149" s="320"/>
      <c r="E149" s="320"/>
      <c r="F149" s="320"/>
      <c r="G149" s="108">
        <v>38</v>
      </c>
      <c r="H149" s="352"/>
      <c r="I149" s="341"/>
      <c r="J149" s="162" t="s">
        <v>332</v>
      </c>
      <c r="K149" s="162">
        <v>1207.3351599999999</v>
      </c>
      <c r="L149" s="175">
        <f t="shared" si="38"/>
        <v>45878.74</v>
      </c>
      <c r="M149" s="175"/>
      <c r="N149" s="175"/>
      <c r="O149" s="175" t="s">
        <v>336</v>
      </c>
      <c r="P149" s="175">
        <v>45878.74</v>
      </c>
      <c r="Q149" s="100"/>
    </row>
    <row r="150" spans="1:17" ht="16.149999999999999" customHeight="1">
      <c r="A150" s="121"/>
      <c r="B150" s="351" t="s">
        <v>1802</v>
      </c>
      <c r="C150" s="54">
        <f t="shared" si="51"/>
        <v>40</v>
      </c>
      <c r="D150" s="320"/>
      <c r="E150" s="320"/>
      <c r="F150" s="320"/>
      <c r="G150" s="320">
        <v>40</v>
      </c>
      <c r="H150" s="320"/>
      <c r="I150" s="320"/>
      <c r="J150" s="353" t="s">
        <v>333</v>
      </c>
      <c r="K150" s="320">
        <v>1025.7991099999999</v>
      </c>
      <c r="L150" s="175">
        <f t="shared" si="38"/>
        <v>41031.96</v>
      </c>
      <c r="M150" s="175"/>
      <c r="N150" s="175"/>
      <c r="O150" s="175" t="s">
        <v>335</v>
      </c>
      <c r="P150" s="175">
        <v>41031.96</v>
      </c>
      <c r="Q150" s="100"/>
    </row>
    <row r="151" spans="1:17" ht="16.149999999999999" customHeight="1">
      <c r="A151" s="121"/>
      <c r="B151" s="198" t="s">
        <v>4607</v>
      </c>
      <c r="C151" s="54">
        <f t="shared" si="51"/>
        <v>0</v>
      </c>
      <c r="D151" s="320"/>
      <c r="E151" s="320"/>
      <c r="F151" s="320"/>
      <c r="G151" s="320"/>
      <c r="H151" s="320"/>
      <c r="I151" s="320"/>
      <c r="J151" s="353"/>
      <c r="K151" s="320"/>
      <c r="L151" s="175">
        <f t="shared" si="38"/>
        <v>0</v>
      </c>
      <c r="M151" s="175"/>
      <c r="N151" s="175"/>
      <c r="O151" s="175"/>
      <c r="P151" s="175"/>
      <c r="Q151" s="100"/>
    </row>
    <row r="152" spans="1:17" ht="16.149999999999999" customHeight="1">
      <c r="A152" s="121"/>
      <c r="B152" s="351" t="s">
        <v>1938</v>
      </c>
      <c r="C152" s="54">
        <f t="shared" si="51"/>
        <v>32</v>
      </c>
      <c r="D152" s="320"/>
      <c r="E152" s="320"/>
      <c r="F152" s="320"/>
      <c r="G152" s="108">
        <v>32</v>
      </c>
      <c r="H152" s="352"/>
      <c r="I152" s="341"/>
      <c r="J152" s="162"/>
      <c r="K152" s="162">
        <v>1207.3351599999999</v>
      </c>
      <c r="L152" s="175">
        <f t="shared" si="38"/>
        <v>38634.730000000003</v>
      </c>
      <c r="M152" s="175"/>
      <c r="N152" s="175"/>
      <c r="O152" s="175"/>
      <c r="P152" s="175">
        <v>38634.730000000003</v>
      </c>
      <c r="Q152" s="100"/>
    </row>
    <row r="153" spans="1:17" ht="16.149999999999999" customHeight="1">
      <c r="A153" s="121"/>
      <c r="B153" s="351" t="s">
        <v>1804</v>
      </c>
      <c r="C153" s="54">
        <f t="shared" si="51"/>
        <v>32</v>
      </c>
      <c r="D153" s="320"/>
      <c r="E153" s="320"/>
      <c r="F153" s="320"/>
      <c r="G153" s="320">
        <v>32</v>
      </c>
      <c r="H153" s="320"/>
      <c r="I153" s="320"/>
      <c r="J153" s="320"/>
      <c r="K153" s="354">
        <v>1025.7991099999999</v>
      </c>
      <c r="L153" s="175">
        <f t="shared" si="38"/>
        <v>32825.57</v>
      </c>
      <c r="M153" s="175"/>
      <c r="N153" s="175"/>
      <c r="O153" s="175"/>
      <c r="P153" s="175">
        <v>32825.57</v>
      </c>
      <c r="Q153" s="100"/>
    </row>
    <row r="154" spans="1:17" ht="16.149999999999999" customHeight="1">
      <c r="A154" s="121"/>
      <c r="B154" s="198" t="s">
        <v>4742</v>
      </c>
      <c r="C154" s="54">
        <f t="shared" si="51"/>
        <v>0</v>
      </c>
      <c r="D154" s="320"/>
      <c r="E154" s="320"/>
      <c r="F154" s="320"/>
      <c r="G154" s="108"/>
      <c r="H154" s="320"/>
      <c r="I154" s="320"/>
      <c r="J154" s="108"/>
      <c r="K154" s="1813"/>
      <c r="L154" s="175">
        <f t="shared" si="38"/>
        <v>0</v>
      </c>
      <c r="M154" s="175"/>
      <c r="N154" s="175"/>
      <c r="O154" s="175"/>
      <c r="P154" s="175"/>
      <c r="Q154" s="100"/>
    </row>
    <row r="155" spans="1:17" ht="16.149999999999999" customHeight="1">
      <c r="A155" s="121"/>
      <c r="B155" s="351" t="s">
        <v>1938</v>
      </c>
      <c r="C155" s="54">
        <f t="shared" si="51"/>
        <v>0</v>
      </c>
      <c r="D155" s="320"/>
      <c r="E155" s="320"/>
      <c r="F155" s="320"/>
      <c r="G155" s="108"/>
      <c r="H155" s="352"/>
      <c r="I155" s="341"/>
      <c r="J155" s="162"/>
      <c r="K155" s="162" t="s">
        <v>1814</v>
      </c>
      <c r="L155" s="175">
        <f t="shared" si="38"/>
        <v>0</v>
      </c>
      <c r="M155" s="175"/>
      <c r="N155" s="175"/>
      <c r="O155" s="175"/>
      <c r="P155" s="175" t="s">
        <v>1805</v>
      </c>
      <c r="Q155" s="100"/>
    </row>
    <row r="156" spans="1:17" ht="16.149999999999999" customHeight="1">
      <c r="A156" s="121"/>
      <c r="B156" s="351" t="s">
        <v>1804</v>
      </c>
      <c r="C156" s="54">
        <f t="shared" si="51"/>
        <v>0</v>
      </c>
      <c r="D156" s="320"/>
      <c r="E156" s="320"/>
      <c r="F156" s="320"/>
      <c r="G156" s="320"/>
      <c r="H156" s="320"/>
      <c r="I156" s="320"/>
      <c r="J156" s="162"/>
      <c r="K156" s="354" t="s">
        <v>1815</v>
      </c>
      <c r="L156" s="175">
        <f t="shared" si="38"/>
        <v>0</v>
      </c>
      <c r="M156" s="175"/>
      <c r="N156" s="175"/>
      <c r="O156" s="175"/>
      <c r="P156" s="175" t="s">
        <v>1806</v>
      </c>
      <c r="Q156" s="100"/>
    </row>
    <row r="157" spans="1:17" ht="16.149999999999999" customHeight="1">
      <c r="A157" s="121"/>
      <c r="B157" s="198" t="s">
        <v>1794</v>
      </c>
      <c r="C157" s="54">
        <f t="shared" si="51"/>
        <v>0</v>
      </c>
      <c r="D157" s="320"/>
      <c r="E157" s="320"/>
      <c r="F157" s="320"/>
      <c r="G157" s="108"/>
      <c r="H157" s="320"/>
      <c r="I157" s="320"/>
      <c r="J157" s="162"/>
      <c r="K157" s="1813"/>
      <c r="L157" s="175">
        <f t="shared" si="38"/>
        <v>0</v>
      </c>
      <c r="M157" s="175"/>
      <c r="N157" s="175"/>
      <c r="O157" s="175"/>
      <c r="P157" s="175"/>
      <c r="Q157" s="100"/>
    </row>
    <row r="158" spans="1:17" ht="16.149999999999999" customHeight="1">
      <c r="A158" s="121"/>
      <c r="B158" s="351" t="s">
        <v>1938</v>
      </c>
      <c r="C158" s="54">
        <f t="shared" si="51"/>
        <v>0</v>
      </c>
      <c r="D158" s="320"/>
      <c r="E158" s="320"/>
      <c r="F158" s="320"/>
      <c r="G158" s="108"/>
      <c r="H158" s="352"/>
      <c r="I158" s="341"/>
      <c r="J158" s="162"/>
      <c r="K158" s="162" t="s">
        <v>1816</v>
      </c>
      <c r="L158" s="175">
        <f t="shared" si="38"/>
        <v>0</v>
      </c>
      <c r="M158" s="175"/>
      <c r="N158" s="175"/>
      <c r="O158" s="175"/>
      <c r="P158" s="175" t="s">
        <v>1808</v>
      </c>
      <c r="Q158" s="100"/>
    </row>
    <row r="159" spans="1:17" ht="16.149999999999999" customHeight="1">
      <c r="A159" s="121"/>
      <c r="B159" s="351" t="s">
        <v>1804</v>
      </c>
      <c r="C159" s="54">
        <f t="shared" si="51"/>
        <v>0</v>
      </c>
      <c r="D159" s="320"/>
      <c r="E159" s="320"/>
      <c r="F159" s="320"/>
      <c r="G159" s="320"/>
      <c r="H159" s="320"/>
      <c r="I159" s="320"/>
      <c r="J159" s="320"/>
      <c r="K159" s="354" t="s">
        <v>1817</v>
      </c>
      <c r="L159" s="175">
        <f t="shared" si="38"/>
        <v>0</v>
      </c>
      <c r="M159" s="175"/>
      <c r="N159" s="175"/>
      <c r="O159" s="175"/>
      <c r="P159" s="175" t="s">
        <v>1807</v>
      </c>
      <c r="Q159" s="100"/>
    </row>
    <row r="160" spans="1:17" ht="16.149999999999999" customHeight="1">
      <c r="A160" s="121"/>
      <c r="B160" s="198" t="s">
        <v>3672</v>
      </c>
      <c r="C160" s="54">
        <f t="shared" ref="C160:C162" si="52">SUM(D160:G160)</f>
        <v>0</v>
      </c>
      <c r="D160" s="320"/>
      <c r="E160" s="320"/>
      <c r="F160" s="320"/>
      <c r="G160" s="108"/>
      <c r="H160" s="320"/>
      <c r="I160" s="320"/>
      <c r="J160" s="108"/>
      <c r="K160" s="1813"/>
      <c r="L160" s="175">
        <f t="shared" ref="L160:L162" si="53">SUM(M160:P160)</f>
        <v>0</v>
      </c>
      <c r="M160" s="175"/>
      <c r="N160" s="175"/>
      <c r="O160" s="175"/>
      <c r="P160" s="175"/>
      <c r="Q160" s="100"/>
    </row>
    <row r="161" spans="1:17" ht="16.149999999999999" customHeight="1">
      <c r="A161" s="121"/>
      <c r="B161" s="351" t="s">
        <v>1938</v>
      </c>
      <c r="C161" s="54">
        <f t="shared" si="52"/>
        <v>125</v>
      </c>
      <c r="D161" s="320"/>
      <c r="E161" s="320"/>
      <c r="F161" s="2952">
        <v>14</v>
      </c>
      <c r="G161" s="2953">
        <v>111</v>
      </c>
      <c r="H161" s="352"/>
      <c r="I161" s="341"/>
      <c r="J161" s="162">
        <v>1207.3351599999999</v>
      </c>
      <c r="K161" s="162">
        <v>1207.3351599999999</v>
      </c>
      <c r="L161" s="175">
        <f t="shared" si="53"/>
        <v>150916.89000000001</v>
      </c>
      <c r="M161" s="175"/>
      <c r="N161" s="175"/>
      <c r="O161" s="175">
        <v>16902.689999999999</v>
      </c>
      <c r="P161" s="175">
        <v>134014.20000000001</v>
      </c>
      <c r="Q161" s="100"/>
    </row>
    <row r="162" spans="1:17" ht="16.149999999999999" customHeight="1">
      <c r="A162" s="121"/>
      <c r="B162" s="351" t="s">
        <v>1804</v>
      </c>
      <c r="C162" s="54">
        <f t="shared" si="52"/>
        <v>134</v>
      </c>
      <c r="D162" s="320"/>
      <c r="E162" s="320"/>
      <c r="F162" s="2952">
        <v>15</v>
      </c>
      <c r="G162" s="2952">
        <v>119</v>
      </c>
      <c r="H162" s="320"/>
      <c r="I162" s="320"/>
      <c r="J162" s="320">
        <v>2799.14266</v>
      </c>
      <c r="K162" s="354">
        <v>1025.7991099999999</v>
      </c>
      <c r="L162" s="175">
        <f t="shared" si="53"/>
        <v>164057.22999999998</v>
      </c>
      <c r="M162" s="175"/>
      <c r="N162" s="175"/>
      <c r="O162" s="175">
        <v>41987.14</v>
      </c>
      <c r="P162" s="175">
        <v>122070.09</v>
      </c>
      <c r="Q162" s="100"/>
    </row>
    <row r="163" spans="1:17" ht="16.149999999999999" customHeight="1">
      <c r="A163" s="121"/>
      <c r="B163" s="198" t="s">
        <v>4612</v>
      </c>
      <c r="C163" s="54">
        <f t="shared" ref="C163:C168" si="54">SUM(D163:G163)</f>
        <v>0</v>
      </c>
      <c r="D163" s="320"/>
      <c r="E163" s="320"/>
      <c r="F163" s="2952"/>
      <c r="G163" s="2953"/>
      <c r="H163" s="320"/>
      <c r="I163" s="320"/>
      <c r="J163" s="108"/>
      <c r="K163" s="1813"/>
      <c r="L163" s="175">
        <f t="shared" ref="L163:L168" si="55">SUM(M163:P163)</f>
        <v>0</v>
      </c>
      <c r="M163" s="175"/>
      <c r="N163" s="175"/>
      <c r="O163" s="175"/>
      <c r="P163" s="175"/>
      <c r="Q163" s="100"/>
    </row>
    <row r="164" spans="1:17" ht="16.149999999999999" customHeight="1">
      <c r="A164" s="121"/>
      <c r="B164" s="351" t="s">
        <v>1938</v>
      </c>
      <c r="C164" s="54">
        <f t="shared" si="54"/>
        <v>72</v>
      </c>
      <c r="D164" s="320"/>
      <c r="E164" s="320"/>
      <c r="F164" s="2952"/>
      <c r="G164" s="2953">
        <v>72</v>
      </c>
      <c r="H164" s="352"/>
      <c r="I164" s="341"/>
      <c r="J164" s="162"/>
      <c r="K164" s="162">
        <v>1207.3351599999999</v>
      </c>
      <c r="L164" s="175">
        <f t="shared" si="55"/>
        <v>86928.13</v>
      </c>
      <c r="M164" s="175"/>
      <c r="N164" s="175"/>
      <c r="O164" s="175"/>
      <c r="P164" s="175">
        <v>86928.13</v>
      </c>
      <c r="Q164" s="100"/>
    </row>
    <row r="165" spans="1:17" ht="16.149999999999999" customHeight="1">
      <c r="A165" s="121"/>
      <c r="B165" s="351" t="s">
        <v>1804</v>
      </c>
      <c r="C165" s="54">
        <f t="shared" si="54"/>
        <v>86</v>
      </c>
      <c r="D165" s="320"/>
      <c r="E165" s="320"/>
      <c r="F165" s="2952"/>
      <c r="G165" s="2952">
        <v>86</v>
      </c>
      <c r="H165" s="320"/>
      <c r="I165" s="320"/>
      <c r="J165" s="320"/>
      <c r="K165" s="354">
        <v>1025.7991099999999</v>
      </c>
      <c r="L165" s="175">
        <f t="shared" si="55"/>
        <v>88218.72</v>
      </c>
      <c r="M165" s="175"/>
      <c r="N165" s="175"/>
      <c r="O165" s="175"/>
      <c r="P165" s="175">
        <v>88218.72</v>
      </c>
      <c r="Q165" s="100"/>
    </row>
    <row r="166" spans="1:17" ht="16.149999999999999" customHeight="1">
      <c r="A166" s="2951"/>
      <c r="B166" s="3759" t="s">
        <v>4825</v>
      </c>
      <c r="C166" s="54">
        <f t="shared" si="54"/>
        <v>0</v>
      </c>
      <c r="D166" s="320"/>
      <c r="E166" s="320"/>
      <c r="F166" s="2952"/>
      <c r="G166" s="2953"/>
      <c r="H166" s="320"/>
      <c r="I166" s="320"/>
      <c r="J166" s="2"/>
      <c r="K166" s="1813"/>
      <c r="L166" s="175">
        <f t="shared" si="55"/>
        <v>0</v>
      </c>
      <c r="M166" s="175"/>
      <c r="N166" s="175"/>
      <c r="O166" s="2"/>
      <c r="P166" s="175"/>
      <c r="Q166" s="100"/>
    </row>
    <row r="167" spans="1:17" ht="16.149999999999999" customHeight="1">
      <c r="A167" s="121"/>
      <c r="B167" s="3760" t="s">
        <v>1938</v>
      </c>
      <c r="C167" s="54">
        <f t="shared" si="54"/>
        <v>17</v>
      </c>
      <c r="D167" s="320"/>
      <c r="E167" s="320"/>
      <c r="F167" s="2952"/>
      <c r="G167" s="2952">
        <v>17</v>
      </c>
      <c r="H167" s="352"/>
      <c r="I167" s="341"/>
      <c r="J167" s="108"/>
      <c r="K167" s="108">
        <v>1207.3351599999999</v>
      </c>
      <c r="L167" s="175">
        <f t="shared" si="55"/>
        <v>20524.7</v>
      </c>
      <c r="M167" s="175"/>
      <c r="N167" s="175"/>
      <c r="O167" s="175"/>
      <c r="P167" s="175">
        <v>20524.7</v>
      </c>
      <c r="Q167" s="100"/>
    </row>
    <row r="168" spans="1:17" ht="16.149999999999999" customHeight="1">
      <c r="A168" s="121"/>
      <c r="B168" s="3760" t="s">
        <v>1804</v>
      </c>
      <c r="C168" s="54">
        <f t="shared" si="54"/>
        <v>29</v>
      </c>
      <c r="D168" s="320"/>
      <c r="E168" s="320"/>
      <c r="F168" s="2952"/>
      <c r="G168" s="2952">
        <v>29</v>
      </c>
      <c r="H168" s="320"/>
      <c r="I168" s="320"/>
      <c r="J168" s="320"/>
      <c r="K168" s="320">
        <v>1025.7991099999999</v>
      </c>
      <c r="L168" s="175">
        <f t="shared" si="55"/>
        <v>29748.170000000002</v>
      </c>
      <c r="M168" s="175"/>
      <c r="N168" s="175"/>
      <c r="O168" s="175"/>
      <c r="P168" s="175">
        <v>29748.170000000002</v>
      </c>
      <c r="Q168" s="100"/>
    </row>
    <row r="169" spans="1:17" ht="16.149999999999999" customHeight="1">
      <c r="A169" s="121"/>
      <c r="B169" s="3228" t="s">
        <v>4608</v>
      </c>
      <c r="C169" s="54">
        <f t="shared" ref="C169:C171" si="56">SUM(D169:G169)</f>
        <v>0</v>
      </c>
      <c r="D169" s="320"/>
      <c r="E169" s="320"/>
      <c r="F169" s="2952"/>
      <c r="G169" s="2953"/>
      <c r="H169" s="320"/>
      <c r="I169" s="320"/>
      <c r="J169" s="108"/>
      <c r="K169" s="1813"/>
      <c r="L169" s="175">
        <f t="shared" ref="L169:L171" si="57">SUM(M169:P169)</f>
        <v>0</v>
      </c>
      <c r="M169" s="175"/>
      <c r="N169" s="175"/>
      <c r="O169" s="175"/>
      <c r="P169" s="175"/>
      <c r="Q169" s="100"/>
    </row>
    <row r="170" spans="1:17" ht="16.149999999999999" customHeight="1">
      <c r="A170" s="121"/>
      <c r="B170" s="3688" t="s">
        <v>1938</v>
      </c>
      <c r="C170" s="54">
        <f t="shared" si="56"/>
        <v>5</v>
      </c>
      <c r="D170" s="320"/>
      <c r="E170" s="320"/>
      <c r="F170" s="2952"/>
      <c r="G170" s="2953">
        <v>5</v>
      </c>
      <c r="H170" s="352"/>
      <c r="I170" s="341"/>
      <c r="J170" s="162"/>
      <c r="K170" s="162">
        <v>1207.3351599999999</v>
      </c>
      <c r="L170" s="175">
        <f t="shared" si="57"/>
        <v>6036.68</v>
      </c>
      <c r="M170" s="175"/>
      <c r="N170" s="175"/>
      <c r="O170" s="175"/>
      <c r="P170" s="175">
        <v>6036.68</v>
      </c>
      <c r="Q170" s="100"/>
    </row>
    <row r="171" spans="1:17" ht="16.149999999999999" customHeight="1">
      <c r="A171" s="121"/>
      <c r="B171" s="3688" t="s">
        <v>1804</v>
      </c>
      <c r="C171" s="54">
        <f t="shared" si="56"/>
        <v>5</v>
      </c>
      <c r="D171" s="320"/>
      <c r="E171" s="320"/>
      <c r="F171" s="2952"/>
      <c r="G171" s="2952">
        <v>5</v>
      </c>
      <c r="H171" s="320"/>
      <c r="I171" s="320"/>
      <c r="J171" s="320"/>
      <c r="K171" s="354">
        <v>1025.7991099999999</v>
      </c>
      <c r="L171" s="175">
        <f t="shared" si="57"/>
        <v>5129</v>
      </c>
      <c r="M171" s="175"/>
      <c r="N171" s="175"/>
      <c r="O171" s="175"/>
      <c r="P171" s="175">
        <v>5129</v>
      </c>
      <c r="Q171" s="100"/>
    </row>
    <row r="172" spans="1:17" ht="16.149999999999999" customHeight="1">
      <c r="A172" s="121"/>
      <c r="B172" s="3228" t="s">
        <v>2027</v>
      </c>
      <c r="C172" s="54">
        <f t="shared" ref="C172:C177" si="58">SUM(D172:G172)</f>
        <v>0</v>
      </c>
      <c r="D172" s="320"/>
      <c r="E172" s="320"/>
      <c r="F172" s="2952"/>
      <c r="G172" s="320"/>
      <c r="H172" s="320"/>
      <c r="I172" s="320"/>
      <c r="J172" s="108"/>
      <c r="K172" s="1813"/>
      <c r="L172" s="175">
        <f t="shared" ref="L172:L177" si="59">SUM(M172:P172)</f>
        <v>0</v>
      </c>
      <c r="M172" s="175"/>
      <c r="N172" s="175"/>
      <c r="O172" s="175"/>
      <c r="P172" s="175"/>
      <c r="Q172" s="100"/>
    </row>
    <row r="173" spans="1:17" ht="16.149999999999999" customHeight="1">
      <c r="A173" s="121"/>
      <c r="B173" s="3688" t="s">
        <v>1938</v>
      </c>
      <c r="C173" s="54">
        <f t="shared" si="58"/>
        <v>0</v>
      </c>
      <c r="D173" s="320"/>
      <c r="E173" s="320"/>
      <c r="F173" s="2952"/>
      <c r="G173" s="2953"/>
      <c r="H173" s="352"/>
      <c r="I173" s="341"/>
      <c r="J173" s="162" t="s">
        <v>2032</v>
      </c>
      <c r="K173" s="162"/>
      <c r="L173" s="175">
        <f t="shared" si="59"/>
        <v>0</v>
      </c>
      <c r="M173" s="175"/>
      <c r="N173" s="175"/>
      <c r="O173" s="175" t="s">
        <v>2034</v>
      </c>
      <c r="P173" s="175"/>
      <c r="Q173" s="100"/>
    </row>
    <row r="174" spans="1:17" ht="16.149999999999999" customHeight="1">
      <c r="A174" s="121"/>
      <c r="B174" s="3688" t="s">
        <v>1804</v>
      </c>
      <c r="C174" s="54">
        <f t="shared" si="58"/>
        <v>0</v>
      </c>
      <c r="D174" s="320"/>
      <c r="E174" s="320"/>
      <c r="F174" s="2952"/>
      <c r="G174" s="2952"/>
      <c r="H174" s="320"/>
      <c r="I174" s="320"/>
      <c r="J174" s="320" t="s">
        <v>2033</v>
      </c>
      <c r="K174" s="354"/>
      <c r="L174" s="175">
        <f t="shared" si="59"/>
        <v>0</v>
      </c>
      <c r="M174" s="175"/>
      <c r="N174" s="175"/>
      <c r="O174" s="175" t="s">
        <v>2035</v>
      </c>
      <c r="P174" s="175"/>
      <c r="Q174" s="100"/>
    </row>
    <row r="175" spans="1:17" ht="16.149999999999999" customHeight="1">
      <c r="A175" s="121"/>
      <c r="B175" s="3757" t="s">
        <v>4823</v>
      </c>
      <c r="C175" s="54">
        <f t="shared" si="58"/>
        <v>0</v>
      </c>
      <c r="D175" s="320"/>
      <c r="E175" s="320"/>
      <c r="F175" s="2952"/>
      <c r="G175" s="2953"/>
      <c r="H175" s="320"/>
      <c r="I175" s="320"/>
      <c r="J175" s="108"/>
      <c r="K175" s="1813"/>
      <c r="L175" s="175">
        <f t="shared" si="59"/>
        <v>0</v>
      </c>
      <c r="M175" s="175"/>
      <c r="N175" s="175"/>
      <c r="O175" s="175"/>
      <c r="P175" s="175"/>
      <c r="Q175" s="100"/>
    </row>
    <row r="176" spans="1:17" ht="16.149999999999999" customHeight="1">
      <c r="A176" s="121"/>
      <c r="B176" s="3758" t="s">
        <v>1938</v>
      </c>
      <c r="C176" s="54">
        <f t="shared" si="58"/>
        <v>13</v>
      </c>
      <c r="D176" s="320"/>
      <c r="E176" s="320"/>
      <c r="F176" s="2952"/>
      <c r="G176" s="2953">
        <v>13</v>
      </c>
      <c r="H176" s="352"/>
      <c r="I176" s="341"/>
      <c r="J176" s="341"/>
      <c r="K176" s="162">
        <v>1207.3351599999999</v>
      </c>
      <c r="L176" s="175">
        <f t="shared" si="59"/>
        <v>15695.36</v>
      </c>
      <c r="M176" s="175"/>
      <c r="N176" s="175"/>
      <c r="O176" s="175"/>
      <c r="P176" s="175">
        <v>15695.36</v>
      </c>
      <c r="Q176" s="100"/>
    </row>
    <row r="177" spans="1:17" ht="16.149999999999999" customHeight="1">
      <c r="A177" s="121"/>
      <c r="B177" s="3758" t="s">
        <v>1804</v>
      </c>
      <c r="C177" s="54">
        <f t="shared" si="58"/>
        <v>22</v>
      </c>
      <c r="D177" s="320"/>
      <c r="E177" s="320"/>
      <c r="F177" s="2952"/>
      <c r="G177" s="2952">
        <v>22</v>
      </c>
      <c r="H177" s="320"/>
      <c r="I177" s="320"/>
      <c r="J177" s="320"/>
      <c r="K177" s="354">
        <v>1025.7991099999999</v>
      </c>
      <c r="L177" s="175">
        <f t="shared" si="59"/>
        <v>22567.58</v>
      </c>
      <c r="M177" s="175"/>
      <c r="N177" s="175"/>
      <c r="O177" s="175"/>
      <c r="P177" s="175">
        <v>22567.58</v>
      </c>
      <c r="Q177" s="100"/>
    </row>
    <row r="178" spans="1:17" ht="16.149999999999999" customHeight="1">
      <c r="A178" s="121"/>
      <c r="B178" s="3228" t="s">
        <v>4735</v>
      </c>
      <c r="C178" s="54">
        <f t="shared" ref="C178:C186" si="60">SUM(D178:G178)</f>
        <v>0</v>
      </c>
      <c r="D178" s="320"/>
      <c r="E178" s="320"/>
      <c r="F178" s="2952"/>
      <c r="G178" s="2952"/>
      <c r="H178" s="320"/>
      <c r="I178" s="320"/>
      <c r="J178" s="320"/>
      <c r="K178" s="1813"/>
      <c r="L178" s="175">
        <f>SUM(M178:P178)</f>
        <v>0</v>
      </c>
      <c r="M178" s="175"/>
      <c r="N178" s="175"/>
      <c r="O178" s="175"/>
      <c r="P178" s="175"/>
      <c r="Q178" s="100"/>
    </row>
    <row r="179" spans="1:17" ht="16.149999999999999" customHeight="1">
      <c r="A179" s="121"/>
      <c r="B179" s="3688" t="s">
        <v>1938</v>
      </c>
      <c r="C179" s="54">
        <f t="shared" si="60"/>
        <v>3</v>
      </c>
      <c r="D179" s="320"/>
      <c r="E179" s="320"/>
      <c r="F179" s="2952"/>
      <c r="G179" s="2953">
        <v>3</v>
      </c>
      <c r="H179" s="352"/>
      <c r="I179" s="341"/>
      <c r="J179" s="341"/>
      <c r="K179" s="162">
        <v>1207.3351599999999</v>
      </c>
      <c r="L179" s="175">
        <f t="shared" ref="L179:L186" si="61">SUM(M179:P179)</f>
        <v>3622.01</v>
      </c>
      <c r="M179" s="175"/>
      <c r="N179" s="175"/>
      <c r="O179" s="175"/>
      <c r="P179" s="175">
        <v>3622.01</v>
      </c>
      <c r="Q179" s="100"/>
    </row>
    <row r="180" spans="1:17" ht="16.149999999999999" customHeight="1">
      <c r="A180" s="121"/>
      <c r="B180" s="3688" t="s">
        <v>1804</v>
      </c>
      <c r="C180" s="54">
        <f t="shared" si="60"/>
        <v>4</v>
      </c>
      <c r="D180" s="320"/>
      <c r="E180" s="320"/>
      <c r="F180" s="2952"/>
      <c r="G180" s="2952">
        <v>4</v>
      </c>
      <c r="H180" s="320"/>
      <c r="I180" s="320"/>
      <c r="J180" s="320"/>
      <c r="K180" s="354">
        <v>1025.7991099999999</v>
      </c>
      <c r="L180" s="175">
        <f t="shared" si="61"/>
        <v>4103.2</v>
      </c>
      <c r="M180" s="175"/>
      <c r="N180" s="175"/>
      <c r="O180" s="175"/>
      <c r="P180" s="175">
        <v>4103.2</v>
      </c>
      <c r="Q180" s="100"/>
    </row>
    <row r="181" spans="1:17" ht="16.149999999999999" customHeight="1">
      <c r="A181" s="121"/>
      <c r="B181" s="3761" t="s">
        <v>4827</v>
      </c>
      <c r="C181" s="54">
        <f t="shared" si="60"/>
        <v>0</v>
      </c>
      <c r="D181" s="320"/>
      <c r="E181" s="320"/>
      <c r="F181" s="2952"/>
      <c r="G181" s="2953"/>
      <c r="H181" s="320"/>
      <c r="I181" s="320"/>
      <c r="J181" s="320"/>
      <c r="K181" s="1813"/>
      <c r="L181" s="175">
        <f t="shared" si="61"/>
        <v>0</v>
      </c>
      <c r="M181" s="175"/>
      <c r="N181" s="175"/>
      <c r="O181" s="175"/>
      <c r="P181" s="175"/>
      <c r="Q181" s="100"/>
    </row>
    <row r="182" spans="1:17" ht="16.149999999999999" customHeight="1">
      <c r="A182" s="121"/>
      <c r="B182" s="3762" t="s">
        <v>1938</v>
      </c>
      <c r="C182" s="54">
        <f t="shared" si="60"/>
        <v>3</v>
      </c>
      <c r="D182" s="320"/>
      <c r="E182" s="320"/>
      <c r="F182" s="2952"/>
      <c r="G182" s="2953">
        <v>3</v>
      </c>
      <c r="H182" s="352"/>
      <c r="I182" s="341"/>
      <c r="J182" s="341"/>
      <c r="K182" s="162">
        <v>1207.3351599999999</v>
      </c>
      <c r="L182" s="175">
        <f t="shared" si="61"/>
        <v>3622.01</v>
      </c>
      <c r="M182" s="175"/>
      <c r="N182" s="175"/>
      <c r="O182" s="175"/>
      <c r="P182" s="175">
        <v>3622.01</v>
      </c>
      <c r="Q182" s="100"/>
    </row>
    <row r="183" spans="1:17" ht="16.149999999999999" customHeight="1">
      <c r="A183" s="121"/>
      <c r="B183" s="3762" t="s">
        <v>1804</v>
      </c>
      <c r="C183" s="54">
        <f t="shared" si="60"/>
        <v>4</v>
      </c>
      <c r="D183" s="320"/>
      <c r="E183" s="320"/>
      <c r="F183" s="2952"/>
      <c r="G183" s="2952">
        <v>4</v>
      </c>
      <c r="H183" s="320"/>
      <c r="I183" s="320"/>
      <c r="J183" s="320"/>
      <c r="K183" s="354">
        <v>1025.7991099999999</v>
      </c>
      <c r="L183" s="175">
        <f t="shared" si="61"/>
        <v>4103.2</v>
      </c>
      <c r="M183" s="175"/>
      <c r="N183" s="175"/>
      <c r="O183" s="175"/>
      <c r="P183" s="175">
        <v>4103.2</v>
      </c>
      <c r="Q183" s="100"/>
    </row>
    <row r="184" spans="1:17" ht="16.149999999999999" customHeight="1">
      <c r="A184" s="121"/>
      <c r="B184" s="3228" t="s">
        <v>4609</v>
      </c>
      <c r="C184" s="54">
        <f>SUM(D184:G184)</f>
        <v>0</v>
      </c>
      <c r="D184" s="320"/>
      <c r="E184" s="320"/>
      <c r="F184" s="2952"/>
      <c r="G184" s="2953"/>
      <c r="H184" s="320"/>
      <c r="I184" s="320"/>
      <c r="J184" s="320"/>
      <c r="K184" s="1813"/>
      <c r="L184" s="175">
        <f t="shared" si="61"/>
        <v>0</v>
      </c>
      <c r="M184" s="175"/>
      <c r="N184" s="175"/>
      <c r="O184" s="175"/>
      <c r="P184" s="175"/>
      <c r="Q184" s="100"/>
    </row>
    <row r="185" spans="1:17" ht="16.149999999999999" customHeight="1">
      <c r="A185" s="121"/>
      <c r="B185" s="3688" t="s">
        <v>1938</v>
      </c>
      <c r="C185" s="54">
        <f t="shared" si="60"/>
        <v>96</v>
      </c>
      <c r="D185" s="320"/>
      <c r="E185" s="320"/>
      <c r="F185" s="2952">
        <v>96</v>
      </c>
      <c r="G185" s="2953"/>
      <c r="H185" s="352"/>
      <c r="I185" s="341"/>
      <c r="J185" s="341">
        <v>1207.3351599999999</v>
      </c>
      <c r="K185" s="162"/>
      <c r="L185" s="175">
        <f t="shared" si="61"/>
        <v>115904.18000000001</v>
      </c>
      <c r="M185" s="175"/>
      <c r="N185" s="175"/>
      <c r="O185" s="175">
        <v>115904.18000000001</v>
      </c>
      <c r="P185" s="175"/>
      <c r="Q185" s="100"/>
    </row>
    <row r="186" spans="1:17" ht="16.149999999999999" customHeight="1">
      <c r="A186" s="121"/>
      <c r="B186" s="3688" t="s">
        <v>1804</v>
      </c>
      <c r="C186" s="54">
        <f t="shared" si="60"/>
        <v>100</v>
      </c>
      <c r="D186" s="320"/>
      <c r="E186" s="320"/>
      <c r="F186" s="2952">
        <v>100</v>
      </c>
      <c r="G186" s="2952"/>
      <c r="H186" s="320"/>
      <c r="I186" s="320"/>
      <c r="J186" s="320">
        <v>2799.14266</v>
      </c>
      <c r="K186" s="354"/>
      <c r="L186" s="175">
        <f t="shared" si="61"/>
        <v>279914.27</v>
      </c>
      <c r="M186" s="175"/>
      <c r="N186" s="175"/>
      <c r="O186" s="175">
        <v>279914.27</v>
      </c>
      <c r="P186" s="175"/>
      <c r="Q186" s="100"/>
    </row>
    <row r="187" spans="1:17" ht="16.149999999999999" customHeight="1">
      <c r="A187" s="121"/>
      <c r="B187" s="3228" t="s">
        <v>3593</v>
      </c>
      <c r="C187" s="54">
        <f>SUM(D187:G187)</f>
        <v>0</v>
      </c>
      <c r="D187" s="320"/>
      <c r="E187" s="320"/>
      <c r="F187" s="2952"/>
      <c r="G187" s="2953"/>
      <c r="H187" s="320"/>
      <c r="I187" s="320"/>
      <c r="J187" s="320"/>
      <c r="K187" s="1813"/>
      <c r="L187" s="175">
        <f t="shared" ref="L187:L210" si="62">SUM(M187:P187)</f>
        <v>0</v>
      </c>
      <c r="M187" s="175"/>
      <c r="N187" s="175"/>
      <c r="O187" s="175"/>
      <c r="P187" s="175"/>
      <c r="Q187" s="100"/>
    </row>
    <row r="188" spans="1:17" ht="16.149999999999999" customHeight="1">
      <c r="A188" s="121"/>
      <c r="B188" s="3688" t="s">
        <v>1938</v>
      </c>
      <c r="C188" s="54">
        <f t="shared" ref="C188:C189" si="63">SUM(D188:G188)</f>
        <v>67</v>
      </c>
      <c r="D188" s="320"/>
      <c r="E188" s="320"/>
      <c r="F188" s="2952"/>
      <c r="G188" s="2953">
        <v>67</v>
      </c>
      <c r="H188" s="352"/>
      <c r="I188" s="341"/>
      <c r="J188" s="341"/>
      <c r="K188" s="162">
        <v>1207.3351599999999</v>
      </c>
      <c r="L188" s="175">
        <f t="shared" si="62"/>
        <v>80891.460000000006</v>
      </c>
      <c r="M188" s="175"/>
      <c r="N188" s="175"/>
      <c r="O188" s="175"/>
      <c r="P188" s="175">
        <v>80891.460000000006</v>
      </c>
      <c r="Q188" s="100"/>
    </row>
    <row r="189" spans="1:17" ht="16.149999999999999" customHeight="1">
      <c r="A189" s="121"/>
      <c r="B189" s="3688" t="s">
        <v>1804</v>
      </c>
      <c r="C189" s="54">
        <f t="shared" si="63"/>
        <v>81</v>
      </c>
      <c r="D189" s="320"/>
      <c r="E189" s="320"/>
      <c r="F189" s="2952"/>
      <c r="G189" s="2952">
        <v>81</v>
      </c>
      <c r="H189" s="320"/>
      <c r="I189" s="320"/>
      <c r="J189" s="320"/>
      <c r="K189" s="354">
        <v>1025.7991099999999</v>
      </c>
      <c r="L189" s="175">
        <f t="shared" si="62"/>
        <v>83089.73</v>
      </c>
      <c r="M189" s="175"/>
      <c r="N189" s="175"/>
      <c r="O189" s="175"/>
      <c r="P189" s="175">
        <v>83089.73</v>
      </c>
      <c r="Q189" s="100"/>
    </row>
    <row r="190" spans="1:17" ht="16.149999999999999" customHeight="1">
      <c r="A190" s="121"/>
      <c r="B190" s="3228" t="s">
        <v>3813</v>
      </c>
      <c r="C190" s="54">
        <f>SUM(D190:G190)</f>
        <v>0</v>
      </c>
      <c r="D190" s="320"/>
      <c r="E190" s="320"/>
      <c r="F190" s="2952"/>
      <c r="G190" s="2953"/>
      <c r="H190" s="320"/>
      <c r="I190" s="320"/>
      <c r="J190" s="320"/>
      <c r="K190" s="1813"/>
      <c r="L190" s="175">
        <f t="shared" si="62"/>
        <v>0</v>
      </c>
      <c r="M190" s="175"/>
      <c r="N190" s="175"/>
      <c r="O190" s="175"/>
      <c r="P190" s="175"/>
      <c r="Q190" s="100"/>
    </row>
    <row r="191" spans="1:17" ht="16.149999999999999" customHeight="1">
      <c r="A191" s="121"/>
      <c r="B191" s="3688" t="s">
        <v>1938</v>
      </c>
      <c r="C191" s="54">
        <f t="shared" ref="C191:C192" si="64">SUM(D191:G191)</f>
        <v>13</v>
      </c>
      <c r="D191" s="320"/>
      <c r="E191" s="320"/>
      <c r="F191" s="2952"/>
      <c r="G191" s="2953">
        <v>13</v>
      </c>
      <c r="H191" s="352"/>
      <c r="I191" s="341"/>
      <c r="J191" s="341"/>
      <c r="K191" s="162">
        <v>1207.3351599999999</v>
      </c>
      <c r="L191" s="175">
        <f t="shared" si="62"/>
        <v>15695.36</v>
      </c>
      <c r="M191" s="175"/>
      <c r="N191" s="175"/>
      <c r="O191" s="175"/>
      <c r="P191" s="175">
        <v>15695.36</v>
      </c>
      <c r="Q191" s="100"/>
    </row>
    <row r="192" spans="1:17" ht="16.149999999999999" customHeight="1">
      <c r="A192" s="121"/>
      <c r="B192" s="3688" t="s">
        <v>1804</v>
      </c>
      <c r="C192" s="54">
        <f t="shared" si="64"/>
        <v>15</v>
      </c>
      <c r="D192" s="320"/>
      <c r="E192" s="320"/>
      <c r="F192" s="2952"/>
      <c r="G192" s="2952">
        <v>15</v>
      </c>
      <c r="H192" s="320"/>
      <c r="I192" s="320"/>
      <c r="J192" s="320"/>
      <c r="K192" s="354">
        <v>1025.7991099999999</v>
      </c>
      <c r="L192" s="175">
        <f t="shared" si="62"/>
        <v>15386.99</v>
      </c>
      <c r="M192" s="175"/>
      <c r="N192" s="175"/>
      <c r="O192" s="175"/>
      <c r="P192" s="175">
        <v>15386.99</v>
      </c>
      <c r="Q192" s="100"/>
    </row>
    <row r="193" spans="1:17" ht="16.149999999999999" customHeight="1">
      <c r="A193" s="121"/>
      <c r="B193" s="3228" t="s">
        <v>3815</v>
      </c>
      <c r="C193" s="54">
        <f>SUM(D193:G193)</f>
        <v>0</v>
      </c>
      <c r="D193" s="320"/>
      <c r="E193" s="320"/>
      <c r="F193" s="2952"/>
      <c r="G193" s="2953"/>
      <c r="H193" s="320"/>
      <c r="I193" s="320"/>
      <c r="J193" s="320"/>
      <c r="K193" s="1813"/>
      <c r="L193" s="175">
        <f t="shared" si="62"/>
        <v>0</v>
      </c>
      <c r="M193" s="175"/>
      <c r="N193" s="175"/>
      <c r="O193" s="175"/>
      <c r="P193" s="175"/>
      <c r="Q193" s="100"/>
    </row>
    <row r="194" spans="1:17" ht="16.149999999999999" customHeight="1">
      <c r="A194" s="121"/>
      <c r="B194" s="3688" t="s">
        <v>1938</v>
      </c>
      <c r="C194" s="54">
        <f t="shared" ref="C194:C210" si="65">SUM(D194:G194)</f>
        <v>24</v>
      </c>
      <c r="D194" s="320"/>
      <c r="E194" s="320"/>
      <c r="F194" s="2952"/>
      <c r="G194" s="2953">
        <v>24</v>
      </c>
      <c r="H194" s="352"/>
      <c r="I194" s="341"/>
      <c r="J194" s="341"/>
      <c r="K194" s="162">
        <v>1207.3351599999999</v>
      </c>
      <c r="L194" s="175">
        <f t="shared" si="62"/>
        <v>28976.04</v>
      </c>
      <c r="M194" s="175"/>
      <c r="N194" s="175"/>
      <c r="O194" s="175"/>
      <c r="P194" s="175">
        <v>28976.04</v>
      </c>
      <c r="Q194" s="100"/>
    </row>
    <row r="195" spans="1:17" ht="16.149999999999999" customHeight="1">
      <c r="A195" s="121"/>
      <c r="B195" s="3688" t="s">
        <v>1804</v>
      </c>
      <c r="C195" s="54">
        <f t="shared" si="65"/>
        <v>26</v>
      </c>
      <c r="D195" s="320"/>
      <c r="E195" s="320"/>
      <c r="F195" s="2952"/>
      <c r="G195" s="2952">
        <v>26</v>
      </c>
      <c r="H195" s="320"/>
      <c r="I195" s="320"/>
      <c r="J195" s="320"/>
      <c r="K195" s="354">
        <v>1025.7991099999999</v>
      </c>
      <c r="L195" s="175">
        <f t="shared" si="62"/>
        <v>26670.78</v>
      </c>
      <c r="M195" s="175"/>
      <c r="N195" s="175"/>
      <c r="O195" s="175"/>
      <c r="P195" s="175">
        <v>26670.78</v>
      </c>
      <c r="Q195" s="100"/>
    </row>
    <row r="196" spans="1:17" ht="16.149999999999999" customHeight="1">
      <c r="A196" s="121"/>
      <c r="B196" s="3228" t="s">
        <v>4074</v>
      </c>
      <c r="C196" s="54">
        <f t="shared" si="65"/>
        <v>0</v>
      </c>
      <c r="D196" s="320"/>
      <c r="E196" s="320"/>
      <c r="F196" s="2952"/>
      <c r="G196" s="2952"/>
      <c r="H196" s="320"/>
      <c r="I196" s="320"/>
      <c r="J196" s="320"/>
      <c r="K196" s="354"/>
      <c r="L196" s="175">
        <f t="shared" si="62"/>
        <v>0</v>
      </c>
      <c r="M196" s="175"/>
      <c r="N196" s="175"/>
      <c r="O196" s="175"/>
      <c r="P196" s="175"/>
      <c r="Q196" s="100"/>
    </row>
    <row r="197" spans="1:17" ht="16.149999999999999" customHeight="1">
      <c r="A197" s="121"/>
      <c r="B197" s="3688" t="s">
        <v>1938</v>
      </c>
      <c r="C197" s="54">
        <f t="shared" si="65"/>
        <v>132</v>
      </c>
      <c r="D197" s="320"/>
      <c r="E197" s="320"/>
      <c r="F197" s="2952">
        <v>8</v>
      </c>
      <c r="G197" s="2952">
        <v>124</v>
      </c>
      <c r="H197" s="320"/>
      <c r="I197" s="320"/>
      <c r="J197" s="320">
        <v>1207.3351599999999</v>
      </c>
      <c r="K197" s="354">
        <v>1207.3351599999999</v>
      </c>
      <c r="L197" s="175">
        <f t="shared" si="62"/>
        <v>159368.24</v>
      </c>
      <c r="M197" s="175"/>
      <c r="N197" s="175"/>
      <c r="O197" s="175">
        <v>9658.68</v>
      </c>
      <c r="P197" s="175">
        <v>149709.56</v>
      </c>
      <c r="Q197" s="100"/>
    </row>
    <row r="198" spans="1:17" ht="16.149999999999999" customHeight="1">
      <c r="A198" s="121"/>
      <c r="B198" s="3688" t="s">
        <v>1804</v>
      </c>
      <c r="C198" s="54">
        <f t="shared" si="65"/>
        <v>146</v>
      </c>
      <c r="D198" s="320"/>
      <c r="E198" s="320"/>
      <c r="F198" s="2952">
        <v>8</v>
      </c>
      <c r="G198" s="2952">
        <v>138</v>
      </c>
      <c r="H198" s="320"/>
      <c r="I198" s="320"/>
      <c r="J198" s="320">
        <v>2799.14266</v>
      </c>
      <c r="K198" s="354">
        <v>1025.7991099999999</v>
      </c>
      <c r="L198" s="175">
        <f t="shared" si="62"/>
        <v>163953.41999999998</v>
      </c>
      <c r="M198" s="175"/>
      <c r="N198" s="175"/>
      <c r="O198" s="175">
        <v>22393.14</v>
      </c>
      <c r="P198" s="175">
        <v>141560.28</v>
      </c>
      <c r="Q198" s="100"/>
    </row>
    <row r="199" spans="1:17" ht="16.149999999999999" customHeight="1">
      <c r="A199" s="121"/>
      <c r="B199" s="3228" t="s">
        <v>4614</v>
      </c>
      <c r="C199" s="54">
        <f t="shared" si="65"/>
        <v>0</v>
      </c>
      <c r="D199" s="320"/>
      <c r="E199" s="320"/>
      <c r="F199" s="2952"/>
      <c r="G199" s="2952"/>
      <c r="H199" s="320"/>
      <c r="I199" s="320"/>
      <c r="J199" s="320"/>
      <c r="K199" s="354"/>
      <c r="L199" s="175">
        <f t="shared" si="62"/>
        <v>0</v>
      </c>
      <c r="M199" s="175"/>
      <c r="N199" s="175"/>
      <c r="O199" s="175"/>
      <c r="P199" s="175"/>
      <c r="Q199" s="100"/>
    </row>
    <row r="200" spans="1:17" ht="16.149999999999999" customHeight="1">
      <c r="A200" s="121"/>
      <c r="B200" s="3688" t="s">
        <v>1938</v>
      </c>
      <c r="C200" s="54">
        <f t="shared" si="65"/>
        <v>0</v>
      </c>
      <c r="D200" s="320"/>
      <c r="E200" s="320"/>
      <c r="F200" s="2952"/>
      <c r="G200" s="2952"/>
      <c r="H200" s="320"/>
      <c r="I200" s="320"/>
      <c r="J200" s="320"/>
      <c r="K200" s="354" t="s">
        <v>4621</v>
      </c>
      <c r="L200" s="175">
        <f t="shared" ref="L200:L201" si="66">SUM(M200:P200)</f>
        <v>0</v>
      </c>
      <c r="M200" s="175"/>
      <c r="N200" s="175"/>
      <c r="O200" s="175"/>
      <c r="P200" s="175" t="s">
        <v>4623</v>
      </c>
      <c r="Q200" s="100"/>
    </row>
    <row r="201" spans="1:17" ht="16.149999999999999" customHeight="1">
      <c r="A201" s="121"/>
      <c r="B201" s="3688" t="s">
        <v>1804</v>
      </c>
      <c r="C201" s="54">
        <f t="shared" si="65"/>
        <v>0</v>
      </c>
      <c r="D201" s="320"/>
      <c r="E201" s="320"/>
      <c r="F201" s="2952"/>
      <c r="G201" s="2952"/>
      <c r="H201" s="320"/>
      <c r="I201" s="320"/>
      <c r="J201" s="320"/>
      <c r="K201" s="354" t="s">
        <v>4622</v>
      </c>
      <c r="L201" s="175">
        <f t="shared" si="66"/>
        <v>0</v>
      </c>
      <c r="M201" s="175"/>
      <c r="N201" s="175"/>
      <c r="O201" s="175"/>
      <c r="P201" s="175" t="s">
        <v>4624</v>
      </c>
      <c r="Q201" s="100"/>
    </row>
    <row r="202" spans="1:17" ht="16.149999999999999" customHeight="1">
      <c r="A202" s="121"/>
      <c r="B202" s="3228" t="s">
        <v>4615</v>
      </c>
      <c r="C202" s="54">
        <f t="shared" si="65"/>
        <v>0</v>
      </c>
      <c r="D202" s="320"/>
      <c r="E202" s="320"/>
      <c r="F202" s="2952"/>
      <c r="G202" s="2952"/>
      <c r="H202" s="320"/>
      <c r="I202" s="320"/>
      <c r="J202" s="320"/>
      <c r="K202" s="354"/>
      <c r="L202" s="175">
        <f t="shared" si="62"/>
        <v>0</v>
      </c>
      <c r="M202" s="175"/>
      <c r="N202" s="175"/>
      <c r="O202" s="175"/>
      <c r="P202" s="175"/>
      <c r="Q202" s="100"/>
    </row>
    <row r="203" spans="1:17" ht="16.149999999999999" customHeight="1">
      <c r="A203" s="121"/>
      <c r="B203" s="3688" t="s">
        <v>1938</v>
      </c>
      <c r="C203" s="54">
        <f t="shared" si="65"/>
        <v>251</v>
      </c>
      <c r="D203" s="320"/>
      <c r="E203" s="320"/>
      <c r="F203" s="2952"/>
      <c r="G203" s="2952">
        <v>251</v>
      </c>
      <c r="H203" s="320"/>
      <c r="I203" s="320"/>
      <c r="J203" s="320"/>
      <c r="K203" s="354">
        <v>1207.3351599999999</v>
      </c>
      <c r="L203" s="175">
        <f t="shared" si="62"/>
        <v>303041.13</v>
      </c>
      <c r="M203" s="175"/>
      <c r="N203" s="175"/>
      <c r="O203" s="175"/>
      <c r="P203" s="175">
        <v>303041.13</v>
      </c>
      <c r="Q203" s="100"/>
    </row>
    <row r="204" spans="1:17" ht="16.149999999999999" customHeight="1">
      <c r="A204" s="121"/>
      <c r="B204" s="3688" t="s">
        <v>1804</v>
      </c>
      <c r="C204" s="54">
        <f t="shared" si="65"/>
        <v>284</v>
      </c>
      <c r="D204" s="320"/>
      <c r="E204" s="320"/>
      <c r="F204" s="2952"/>
      <c r="G204" s="2952">
        <v>284</v>
      </c>
      <c r="H204" s="320"/>
      <c r="I204" s="320"/>
      <c r="J204" s="320"/>
      <c r="K204" s="354">
        <v>1025.7991099999999</v>
      </c>
      <c r="L204" s="175">
        <f t="shared" si="62"/>
        <v>291326.95</v>
      </c>
      <c r="M204" s="175"/>
      <c r="N204" s="175"/>
      <c r="O204" s="175"/>
      <c r="P204" s="175">
        <v>291326.95</v>
      </c>
      <c r="Q204" s="100"/>
    </row>
    <row r="205" spans="1:17" ht="16.149999999999999" customHeight="1">
      <c r="A205" s="121"/>
      <c r="B205" s="3228" t="s">
        <v>4616</v>
      </c>
      <c r="C205" s="54">
        <f t="shared" si="65"/>
        <v>0</v>
      </c>
      <c r="D205" s="320"/>
      <c r="E205" s="320"/>
      <c r="F205" s="2952"/>
      <c r="G205" s="2952"/>
      <c r="H205" s="320"/>
      <c r="I205" s="320"/>
      <c r="J205" s="320"/>
      <c r="K205" s="354"/>
      <c r="L205" s="175">
        <f t="shared" si="62"/>
        <v>0</v>
      </c>
      <c r="M205" s="175"/>
      <c r="N205" s="175"/>
      <c r="O205" s="175"/>
      <c r="P205" s="175"/>
      <c r="Q205" s="100"/>
    </row>
    <row r="206" spans="1:17" ht="16.149999999999999" customHeight="1">
      <c r="A206" s="121"/>
      <c r="B206" s="3688" t="s">
        <v>1938</v>
      </c>
      <c r="C206" s="54">
        <f t="shared" si="65"/>
        <v>141</v>
      </c>
      <c r="D206" s="320"/>
      <c r="E206" s="320"/>
      <c r="F206" s="2952"/>
      <c r="G206" s="2952">
        <v>141</v>
      </c>
      <c r="H206" s="320"/>
      <c r="I206" s="320"/>
      <c r="J206" s="320"/>
      <c r="K206" s="354">
        <v>1207.3351599999999</v>
      </c>
      <c r="L206" s="175">
        <f t="shared" ref="L206:L207" si="67">SUM(M206:P206)</f>
        <v>170234.26</v>
      </c>
      <c r="M206" s="175"/>
      <c r="N206" s="175"/>
      <c r="O206" s="175"/>
      <c r="P206" s="175">
        <v>170234.26</v>
      </c>
      <c r="Q206" s="100"/>
    </row>
    <row r="207" spans="1:17" ht="16.149999999999999" customHeight="1">
      <c r="A207" s="121"/>
      <c r="B207" s="3688" t="s">
        <v>1804</v>
      </c>
      <c r="C207" s="54">
        <f t="shared" si="65"/>
        <v>153</v>
      </c>
      <c r="D207" s="320"/>
      <c r="E207" s="320"/>
      <c r="F207" s="2952"/>
      <c r="G207" s="2952">
        <v>153</v>
      </c>
      <c r="H207" s="320"/>
      <c r="I207" s="320"/>
      <c r="J207" s="320"/>
      <c r="K207" s="354">
        <v>1025.7991099999999</v>
      </c>
      <c r="L207" s="175">
        <f t="shared" si="67"/>
        <v>156947.26</v>
      </c>
      <c r="M207" s="175"/>
      <c r="N207" s="175"/>
      <c r="O207" s="175"/>
      <c r="P207" s="175">
        <v>156947.26</v>
      </c>
      <c r="Q207" s="100"/>
    </row>
    <row r="208" spans="1:17" ht="16.149999999999999" customHeight="1">
      <c r="A208" s="121"/>
      <c r="B208" s="3228" t="s">
        <v>4617</v>
      </c>
      <c r="C208" s="54">
        <f t="shared" si="65"/>
        <v>0</v>
      </c>
      <c r="D208" s="320"/>
      <c r="E208" s="320"/>
      <c r="F208" s="2952"/>
      <c r="G208" s="2952"/>
      <c r="H208" s="320"/>
      <c r="I208" s="320"/>
      <c r="J208" s="320"/>
      <c r="K208" s="354"/>
      <c r="L208" s="175">
        <f t="shared" si="62"/>
        <v>0</v>
      </c>
      <c r="M208" s="175"/>
      <c r="N208" s="175"/>
      <c r="O208" s="175"/>
      <c r="P208" s="175"/>
      <c r="Q208" s="100"/>
    </row>
    <row r="209" spans="1:17" ht="16.149999999999999" customHeight="1">
      <c r="A209" s="121"/>
      <c r="B209" s="351" t="s">
        <v>1938</v>
      </c>
      <c r="C209" s="54">
        <f t="shared" si="65"/>
        <v>0</v>
      </c>
      <c r="D209" s="320"/>
      <c r="E209" s="320"/>
      <c r="F209" s="2952"/>
      <c r="G209" s="2952" t="s">
        <v>4634</v>
      </c>
      <c r="H209" s="320"/>
      <c r="I209" s="320"/>
      <c r="J209" s="320"/>
      <c r="K209" s="354" t="s">
        <v>4636</v>
      </c>
      <c r="L209" s="175">
        <f t="shared" si="62"/>
        <v>0</v>
      </c>
      <c r="M209" s="175"/>
      <c r="N209" s="175"/>
      <c r="O209" s="175"/>
      <c r="P209" s="175" t="s">
        <v>4638</v>
      </c>
      <c r="Q209" s="100"/>
    </row>
    <row r="210" spans="1:17" ht="16.149999999999999" customHeight="1">
      <c r="A210" s="121"/>
      <c r="B210" s="351" t="s">
        <v>1804</v>
      </c>
      <c r="C210" s="54">
        <f t="shared" si="65"/>
        <v>0</v>
      </c>
      <c r="D210" s="320"/>
      <c r="E210" s="320"/>
      <c r="F210" s="2952"/>
      <c r="G210" s="2952" t="s">
        <v>4635</v>
      </c>
      <c r="H210" s="320"/>
      <c r="I210" s="320"/>
      <c r="J210" s="320"/>
      <c r="K210" s="354" t="s">
        <v>4637</v>
      </c>
      <c r="L210" s="175">
        <f t="shared" si="62"/>
        <v>0</v>
      </c>
      <c r="M210" s="175"/>
      <c r="N210" s="175"/>
      <c r="O210" s="175"/>
      <c r="P210" s="175" t="s">
        <v>4639</v>
      </c>
      <c r="Q210" s="100"/>
    </row>
    <row r="211" spans="1:17" ht="16.149999999999999" customHeight="1">
      <c r="A211" s="121"/>
      <c r="B211" s="3228" t="s">
        <v>4641</v>
      </c>
      <c r="C211" s="54">
        <f t="shared" ref="C211:C213" si="68">SUM(D211:G211)</f>
        <v>0</v>
      </c>
      <c r="D211" s="320"/>
      <c r="E211" s="320"/>
      <c r="F211" s="2952"/>
      <c r="G211" s="2952"/>
      <c r="H211" s="320"/>
      <c r="I211" s="320"/>
      <c r="J211" s="320"/>
      <c r="K211" s="354"/>
      <c r="L211" s="175">
        <f t="shared" ref="L211:L213" si="69">SUM(M211:P211)</f>
        <v>0</v>
      </c>
      <c r="M211" s="175"/>
      <c r="N211" s="175"/>
      <c r="O211" s="175"/>
      <c r="P211" s="175"/>
      <c r="Q211" s="100"/>
    </row>
    <row r="212" spans="1:17" ht="16.149999999999999" customHeight="1">
      <c r="A212" s="121"/>
      <c r="B212" s="351" t="s">
        <v>1938</v>
      </c>
      <c r="C212" s="54">
        <f t="shared" si="68"/>
        <v>13</v>
      </c>
      <c r="D212" s="320"/>
      <c r="E212" s="320"/>
      <c r="F212" s="2952"/>
      <c r="G212" s="2952">
        <v>13</v>
      </c>
      <c r="H212" s="320"/>
      <c r="I212" s="320"/>
      <c r="J212" s="320" t="s">
        <v>4821</v>
      </c>
      <c r="K212" s="354">
        <v>1207.3351599999999</v>
      </c>
      <c r="L212" s="175">
        <f t="shared" si="69"/>
        <v>15695.36</v>
      </c>
      <c r="M212" s="175"/>
      <c r="N212" s="175"/>
      <c r="O212" s="175" t="s">
        <v>4822</v>
      </c>
      <c r="P212" s="175">
        <v>15695.36</v>
      </c>
      <c r="Q212" s="100"/>
    </row>
    <row r="213" spans="1:17" ht="16.149999999999999" customHeight="1">
      <c r="A213" s="121"/>
      <c r="B213" s="351" t="s">
        <v>1804</v>
      </c>
      <c r="C213" s="54">
        <f t="shared" si="68"/>
        <v>0</v>
      </c>
      <c r="D213" s="320"/>
      <c r="E213" s="320"/>
      <c r="F213" s="2952"/>
      <c r="G213" s="2952" t="s">
        <v>4644</v>
      </c>
      <c r="H213" s="320"/>
      <c r="I213" s="320"/>
      <c r="J213" s="320"/>
      <c r="K213" s="354" t="s">
        <v>4645</v>
      </c>
      <c r="L213" s="175">
        <f t="shared" si="69"/>
        <v>0</v>
      </c>
      <c r="M213" s="175"/>
      <c r="N213" s="175"/>
      <c r="O213" s="175"/>
      <c r="P213" s="175" t="s">
        <v>4646</v>
      </c>
      <c r="Q213" s="100"/>
    </row>
    <row r="214" spans="1:17" ht="16.149999999999999" customHeight="1">
      <c r="A214" s="121"/>
      <c r="B214" s="3228" t="s">
        <v>4647</v>
      </c>
      <c r="C214" s="54">
        <f t="shared" ref="C214:C234" si="70">SUM(D214:G214)</f>
        <v>0</v>
      </c>
      <c r="D214" s="320"/>
      <c r="E214" s="320"/>
      <c r="F214" s="2952"/>
      <c r="G214" s="2952"/>
      <c r="H214" s="320"/>
      <c r="I214" s="320"/>
      <c r="J214" s="320"/>
      <c r="K214" s="354"/>
      <c r="L214" s="175">
        <f t="shared" ref="L214:L234" si="71">SUM(M214:P214)</f>
        <v>0</v>
      </c>
      <c r="M214" s="175"/>
      <c r="N214" s="175"/>
      <c r="O214" s="175"/>
      <c r="P214" s="175"/>
      <c r="Q214" s="100"/>
    </row>
    <row r="215" spans="1:17" ht="16.149999999999999" customHeight="1">
      <c r="A215" s="121"/>
      <c r="B215" s="351" t="s">
        <v>1938</v>
      </c>
      <c r="C215" s="54">
        <f t="shared" si="70"/>
        <v>23</v>
      </c>
      <c r="D215" s="320"/>
      <c r="E215" s="320"/>
      <c r="F215" s="2952"/>
      <c r="G215" s="2952">
        <v>23</v>
      </c>
      <c r="H215" s="320"/>
      <c r="I215" s="320"/>
      <c r="J215" s="320"/>
      <c r="K215" s="354">
        <v>1207.3351599999999</v>
      </c>
      <c r="L215" s="175">
        <f t="shared" si="71"/>
        <v>27768.71</v>
      </c>
      <c r="M215" s="175"/>
      <c r="N215" s="175"/>
      <c r="O215" s="175"/>
      <c r="P215" s="175">
        <v>27768.71</v>
      </c>
      <c r="Q215" s="100"/>
    </row>
    <row r="216" spans="1:17" ht="16.149999999999999" customHeight="1">
      <c r="A216" s="121"/>
      <c r="B216" s="351" t="s">
        <v>1804</v>
      </c>
      <c r="C216" s="54">
        <f t="shared" si="70"/>
        <v>23</v>
      </c>
      <c r="D216" s="320"/>
      <c r="E216" s="320"/>
      <c r="F216" s="2952"/>
      <c r="G216" s="2952">
        <v>23</v>
      </c>
      <c r="H216" s="320"/>
      <c r="I216" s="320"/>
      <c r="J216" s="320"/>
      <c r="K216" s="354">
        <v>1025.7991099999999</v>
      </c>
      <c r="L216" s="175">
        <f t="shared" si="71"/>
        <v>23593.38</v>
      </c>
      <c r="M216" s="175"/>
      <c r="N216" s="175"/>
      <c r="O216" s="175"/>
      <c r="P216" s="175">
        <v>23593.38</v>
      </c>
      <c r="Q216" s="100"/>
    </row>
    <row r="217" spans="1:17" ht="16.149999999999999" customHeight="1">
      <c r="A217" s="121"/>
      <c r="B217" s="3228" t="s">
        <v>4652</v>
      </c>
      <c r="C217" s="54">
        <f t="shared" si="70"/>
        <v>0</v>
      </c>
      <c r="D217" s="320"/>
      <c r="E217" s="320"/>
      <c r="F217" s="2952"/>
      <c r="G217" s="2952"/>
      <c r="H217" s="320"/>
      <c r="I217" s="320"/>
      <c r="J217" s="320"/>
      <c r="K217" s="354"/>
      <c r="L217" s="175">
        <f t="shared" si="71"/>
        <v>0</v>
      </c>
      <c r="M217" s="175"/>
      <c r="N217" s="175"/>
      <c r="O217" s="175"/>
      <c r="P217" s="175"/>
      <c r="Q217" s="100"/>
    </row>
    <row r="218" spans="1:17" ht="16.149999999999999" customHeight="1">
      <c r="A218" s="121"/>
      <c r="B218" s="351" t="s">
        <v>1938</v>
      </c>
      <c r="C218" s="54">
        <f t="shared" si="70"/>
        <v>0</v>
      </c>
      <c r="D218" s="320"/>
      <c r="E218" s="320"/>
      <c r="F218" s="2952"/>
      <c r="G218" s="2952" t="s">
        <v>4656</v>
      </c>
      <c r="H218" s="320"/>
      <c r="I218" s="320"/>
      <c r="J218" s="320"/>
      <c r="K218" s="354" t="s">
        <v>4657</v>
      </c>
      <c r="L218" s="175">
        <f t="shared" si="71"/>
        <v>0</v>
      </c>
      <c r="M218" s="175"/>
      <c r="N218" s="175"/>
      <c r="O218" s="175"/>
      <c r="P218" s="175" t="s">
        <v>4658</v>
      </c>
      <c r="Q218" s="100"/>
    </row>
    <row r="219" spans="1:17" ht="16.149999999999999" customHeight="1">
      <c r="A219" s="121"/>
      <c r="B219" s="351" t="s">
        <v>1804</v>
      </c>
      <c r="C219" s="54">
        <f t="shared" si="70"/>
        <v>0</v>
      </c>
      <c r="D219" s="320"/>
      <c r="E219" s="320"/>
      <c r="F219" s="2952"/>
      <c r="G219" s="2952" t="s">
        <v>4659</v>
      </c>
      <c r="H219" s="320"/>
      <c r="I219" s="320"/>
      <c r="J219" s="320"/>
      <c r="K219" s="354" t="s">
        <v>4660</v>
      </c>
      <c r="L219" s="175">
        <f t="shared" si="71"/>
        <v>0</v>
      </c>
      <c r="M219" s="175"/>
      <c r="N219" s="175"/>
      <c r="O219" s="175"/>
      <c r="P219" s="175" t="s">
        <v>4661</v>
      </c>
      <c r="Q219" s="100"/>
    </row>
    <row r="220" spans="1:17" ht="16.149999999999999" customHeight="1">
      <c r="A220" s="121"/>
      <c r="B220" s="3228" t="s">
        <v>4651</v>
      </c>
      <c r="C220" s="54">
        <f t="shared" si="70"/>
        <v>0</v>
      </c>
      <c r="D220" s="320"/>
      <c r="E220" s="320"/>
      <c r="F220" s="2952"/>
      <c r="G220" s="2952"/>
      <c r="H220" s="320"/>
      <c r="I220" s="320"/>
      <c r="J220" s="320"/>
      <c r="K220" s="354"/>
      <c r="L220" s="175">
        <f t="shared" si="71"/>
        <v>0</v>
      </c>
      <c r="M220" s="175"/>
      <c r="N220" s="175"/>
      <c r="O220" s="175"/>
      <c r="P220" s="175"/>
      <c r="Q220" s="100"/>
    </row>
    <row r="221" spans="1:17" ht="16.149999999999999" customHeight="1">
      <c r="A221" s="121"/>
      <c r="B221" s="351" t="s">
        <v>1938</v>
      </c>
      <c r="C221" s="54">
        <f t="shared" si="70"/>
        <v>1</v>
      </c>
      <c r="D221" s="320"/>
      <c r="E221" s="320"/>
      <c r="F221" s="2952"/>
      <c r="G221" s="2952">
        <v>1</v>
      </c>
      <c r="H221" s="320"/>
      <c r="I221" s="320"/>
      <c r="J221" s="320"/>
      <c r="K221" s="354">
        <v>1207.3351599999999</v>
      </c>
      <c r="L221" s="175">
        <f t="shared" si="71"/>
        <v>1207.3399999999999</v>
      </c>
      <c r="M221" s="175"/>
      <c r="N221" s="175"/>
      <c r="O221" s="175"/>
      <c r="P221" s="175">
        <v>1207.3399999999999</v>
      </c>
      <c r="Q221" s="100"/>
    </row>
    <row r="222" spans="1:17" ht="16.149999999999999" customHeight="1">
      <c r="A222" s="121"/>
      <c r="B222" s="351" t="s">
        <v>1804</v>
      </c>
      <c r="C222" s="54">
        <f t="shared" si="70"/>
        <v>3</v>
      </c>
      <c r="D222" s="320"/>
      <c r="E222" s="320"/>
      <c r="F222" s="2952"/>
      <c r="G222" s="2952">
        <v>3</v>
      </c>
      <c r="H222" s="320"/>
      <c r="I222" s="320"/>
      <c r="J222" s="320"/>
      <c r="K222" s="354">
        <v>1025.7991099999999</v>
      </c>
      <c r="L222" s="175">
        <f t="shared" si="71"/>
        <v>3077.4</v>
      </c>
      <c r="M222" s="175"/>
      <c r="N222" s="175"/>
      <c r="O222" s="175"/>
      <c r="P222" s="175">
        <v>3077.4</v>
      </c>
      <c r="Q222" s="100"/>
    </row>
    <row r="223" spans="1:17" ht="16.149999999999999" customHeight="1">
      <c r="A223" s="121"/>
      <c r="B223" s="3228" t="s">
        <v>4665</v>
      </c>
      <c r="C223" s="54">
        <f t="shared" si="70"/>
        <v>0</v>
      </c>
      <c r="D223" s="320"/>
      <c r="E223" s="320"/>
      <c r="F223" s="2952"/>
      <c r="G223" s="2952"/>
      <c r="H223" s="320"/>
      <c r="I223" s="320"/>
      <c r="J223" s="320"/>
      <c r="K223" s="354"/>
      <c r="L223" s="175">
        <f t="shared" si="71"/>
        <v>0</v>
      </c>
      <c r="M223" s="175"/>
      <c r="N223" s="175"/>
      <c r="O223" s="175"/>
      <c r="P223" s="175"/>
      <c r="Q223" s="100"/>
    </row>
    <row r="224" spans="1:17" ht="16.149999999999999" customHeight="1">
      <c r="A224" s="121"/>
      <c r="B224" s="351" t="s">
        <v>1938</v>
      </c>
      <c r="C224" s="54">
        <f t="shared" si="70"/>
        <v>246</v>
      </c>
      <c r="D224" s="320"/>
      <c r="E224" s="320"/>
      <c r="F224" s="2952"/>
      <c r="G224" s="2952">
        <v>246</v>
      </c>
      <c r="H224" s="320"/>
      <c r="I224" s="320"/>
      <c r="J224" s="320"/>
      <c r="K224" s="354">
        <v>1207.3351599999999</v>
      </c>
      <c r="L224" s="175">
        <f t="shared" si="71"/>
        <v>297004.45</v>
      </c>
      <c r="M224" s="175"/>
      <c r="N224" s="175"/>
      <c r="O224" s="175"/>
      <c r="P224" s="175">
        <v>297004.45</v>
      </c>
      <c r="Q224" s="100"/>
    </row>
    <row r="225" spans="1:17" ht="16.149999999999999" customHeight="1">
      <c r="A225" s="121"/>
      <c r="B225" s="351" t="s">
        <v>1804</v>
      </c>
      <c r="C225" s="54">
        <f t="shared" si="70"/>
        <v>275</v>
      </c>
      <c r="D225" s="320"/>
      <c r="E225" s="320"/>
      <c r="F225" s="2952"/>
      <c r="G225" s="2952">
        <v>275</v>
      </c>
      <c r="H225" s="320"/>
      <c r="I225" s="320"/>
      <c r="J225" s="320"/>
      <c r="K225" s="354">
        <v>1025.7991099999999</v>
      </c>
      <c r="L225" s="175">
        <f t="shared" si="71"/>
        <v>282094.76</v>
      </c>
      <c r="M225" s="175"/>
      <c r="N225" s="175"/>
      <c r="O225" s="175"/>
      <c r="P225" s="175">
        <v>282094.76</v>
      </c>
      <c r="Q225" s="100"/>
    </row>
    <row r="226" spans="1:17" ht="16.149999999999999" customHeight="1">
      <c r="A226" s="121"/>
      <c r="B226" s="3228" t="s">
        <v>4669</v>
      </c>
      <c r="C226" s="54">
        <f t="shared" si="70"/>
        <v>0</v>
      </c>
      <c r="D226" s="320"/>
      <c r="E226" s="320"/>
      <c r="F226" s="2952"/>
      <c r="G226" s="2952"/>
      <c r="H226" s="320"/>
      <c r="I226" s="320"/>
      <c r="J226" s="320"/>
      <c r="K226" s="354"/>
      <c r="L226" s="175">
        <f t="shared" si="71"/>
        <v>0</v>
      </c>
      <c r="M226" s="175"/>
      <c r="N226" s="175"/>
      <c r="O226" s="175"/>
      <c r="P226" s="175"/>
      <c r="Q226" s="100"/>
    </row>
    <row r="227" spans="1:17" ht="16.149999999999999" customHeight="1">
      <c r="A227" s="121"/>
      <c r="B227" s="351" t="s">
        <v>1938</v>
      </c>
      <c r="C227" s="54">
        <f t="shared" si="70"/>
        <v>46</v>
      </c>
      <c r="D227" s="320"/>
      <c r="E227" s="320"/>
      <c r="F227" s="2952"/>
      <c r="G227" s="2952">
        <v>46</v>
      </c>
      <c r="H227" s="320"/>
      <c r="I227" s="320"/>
      <c r="J227" s="320"/>
      <c r="K227" s="354">
        <v>1207.3351599999999</v>
      </c>
      <c r="L227" s="175">
        <f t="shared" si="71"/>
        <v>55537.42</v>
      </c>
      <c r="M227" s="175"/>
      <c r="N227" s="175"/>
      <c r="O227" s="175"/>
      <c r="P227" s="175">
        <v>55537.42</v>
      </c>
      <c r="Q227" s="100"/>
    </row>
    <row r="228" spans="1:17" ht="16.149999999999999" customHeight="1">
      <c r="A228" s="121"/>
      <c r="B228" s="351" t="s">
        <v>1804</v>
      </c>
      <c r="C228" s="54">
        <f t="shared" si="70"/>
        <v>57</v>
      </c>
      <c r="D228" s="320"/>
      <c r="E228" s="320"/>
      <c r="F228" s="2952"/>
      <c r="G228" s="2952">
        <v>57</v>
      </c>
      <c r="H228" s="320"/>
      <c r="I228" s="320"/>
      <c r="J228" s="320"/>
      <c r="K228" s="354">
        <v>1025.7991099999999</v>
      </c>
      <c r="L228" s="175">
        <f t="shared" si="71"/>
        <v>58470.55</v>
      </c>
      <c r="M228" s="175"/>
      <c r="N228" s="175"/>
      <c r="O228" s="175"/>
      <c r="P228" s="175">
        <v>58470.55</v>
      </c>
      <c r="Q228" s="100"/>
    </row>
    <row r="229" spans="1:17" ht="16.149999999999999" customHeight="1">
      <c r="A229" s="121"/>
      <c r="B229" s="3228" t="s">
        <v>4673</v>
      </c>
      <c r="C229" s="54">
        <f t="shared" si="70"/>
        <v>0</v>
      </c>
      <c r="D229" s="320"/>
      <c r="E229" s="320"/>
      <c r="F229" s="2952"/>
      <c r="G229" s="2952"/>
      <c r="H229" s="320"/>
      <c r="I229" s="320"/>
      <c r="J229" s="320"/>
      <c r="K229" s="354"/>
      <c r="L229" s="175">
        <f t="shared" si="71"/>
        <v>0</v>
      </c>
      <c r="M229" s="175"/>
      <c r="N229" s="175"/>
      <c r="O229" s="175"/>
      <c r="P229" s="175"/>
      <c r="Q229" s="100"/>
    </row>
    <row r="230" spans="1:17" ht="16.149999999999999" customHeight="1">
      <c r="A230" s="121"/>
      <c r="B230" s="351" t="s">
        <v>1938</v>
      </c>
      <c r="C230" s="54">
        <f t="shared" si="70"/>
        <v>16</v>
      </c>
      <c r="D230" s="320"/>
      <c r="E230" s="320"/>
      <c r="F230" s="2952"/>
      <c r="G230" s="2952">
        <v>16</v>
      </c>
      <c r="H230" s="320"/>
      <c r="I230" s="320"/>
      <c r="J230" s="320"/>
      <c r="K230" s="354">
        <v>1207.3351599999999</v>
      </c>
      <c r="L230" s="175">
        <f t="shared" si="71"/>
        <v>19317.36</v>
      </c>
      <c r="M230" s="175"/>
      <c r="N230" s="175"/>
      <c r="O230" s="175"/>
      <c r="P230" s="175">
        <v>19317.36</v>
      </c>
      <c r="Q230" s="100"/>
    </row>
    <row r="231" spans="1:17" ht="16.149999999999999" customHeight="1">
      <c r="A231" s="121"/>
      <c r="B231" s="351" t="s">
        <v>1804</v>
      </c>
      <c r="C231" s="54">
        <f t="shared" si="70"/>
        <v>16</v>
      </c>
      <c r="D231" s="320"/>
      <c r="E231" s="320"/>
      <c r="F231" s="2952"/>
      <c r="G231" s="2952">
        <v>16</v>
      </c>
      <c r="H231" s="320"/>
      <c r="I231" s="320"/>
      <c r="J231" s="320"/>
      <c r="K231" s="354">
        <v>1025.7991099999999</v>
      </c>
      <c r="L231" s="175">
        <f t="shared" si="71"/>
        <v>16412.79</v>
      </c>
      <c r="M231" s="175"/>
      <c r="N231" s="175"/>
      <c r="O231" s="175"/>
      <c r="P231" s="175">
        <v>16412.79</v>
      </c>
      <c r="Q231" s="100"/>
    </row>
    <row r="232" spans="1:17" ht="16.149999999999999" customHeight="1">
      <c r="A232" s="121"/>
      <c r="B232" s="3763" t="s">
        <v>4828</v>
      </c>
      <c r="C232" s="54">
        <f t="shared" si="70"/>
        <v>0</v>
      </c>
      <c r="D232" s="320"/>
      <c r="E232" s="320"/>
      <c r="F232" s="2952"/>
      <c r="G232" s="2952"/>
      <c r="H232" s="320"/>
      <c r="I232" s="320"/>
      <c r="J232" s="320"/>
      <c r="K232" s="354"/>
      <c r="L232" s="175">
        <f t="shared" si="71"/>
        <v>0</v>
      </c>
      <c r="M232" s="175"/>
      <c r="N232" s="175"/>
      <c r="O232" s="175"/>
      <c r="P232" s="175"/>
      <c r="Q232" s="100"/>
    </row>
    <row r="233" spans="1:17" ht="16.149999999999999" customHeight="1">
      <c r="A233" s="121"/>
      <c r="B233" s="3764" t="s">
        <v>1938</v>
      </c>
      <c r="C233" s="54">
        <f t="shared" si="70"/>
        <v>9</v>
      </c>
      <c r="D233" s="320"/>
      <c r="E233" s="320"/>
      <c r="F233" s="2952"/>
      <c r="G233" s="2952">
        <v>9</v>
      </c>
      <c r="H233" s="320"/>
      <c r="I233" s="320"/>
      <c r="J233" s="320"/>
      <c r="K233" s="354">
        <v>1207.3351599999999</v>
      </c>
      <c r="L233" s="175">
        <f t="shared" si="71"/>
        <v>10866.02</v>
      </c>
      <c r="M233" s="175"/>
      <c r="N233" s="175"/>
      <c r="O233" s="175"/>
      <c r="P233" s="175">
        <v>10866.02</v>
      </c>
      <c r="Q233" s="100"/>
    </row>
    <row r="234" spans="1:17" ht="16.149999999999999" customHeight="1">
      <c r="A234" s="121"/>
      <c r="B234" s="3764" t="s">
        <v>1804</v>
      </c>
      <c r="C234" s="54">
        <f t="shared" si="70"/>
        <v>12</v>
      </c>
      <c r="D234" s="320"/>
      <c r="E234" s="320"/>
      <c r="F234" s="2952"/>
      <c r="G234" s="2952">
        <v>12</v>
      </c>
      <c r="H234" s="320"/>
      <c r="I234" s="320"/>
      <c r="J234" s="320"/>
      <c r="K234" s="354">
        <v>1025.7991099999999</v>
      </c>
      <c r="L234" s="175">
        <f t="shared" si="71"/>
        <v>12309.59</v>
      </c>
      <c r="M234" s="175"/>
      <c r="N234" s="175"/>
      <c r="O234" s="175"/>
      <c r="P234" s="175">
        <v>12309.59</v>
      </c>
      <c r="Q234" s="100"/>
    </row>
    <row r="235" spans="1:17" ht="16.149999999999999" customHeight="1">
      <c r="A235" s="121"/>
      <c r="B235" s="3228" t="s">
        <v>4680</v>
      </c>
      <c r="C235" s="54">
        <f t="shared" ref="C235:C240" si="72">SUM(D235:G235)</f>
        <v>0</v>
      </c>
      <c r="D235" s="320"/>
      <c r="E235" s="320"/>
      <c r="F235" s="2952"/>
      <c r="G235" s="2952"/>
      <c r="H235" s="320"/>
      <c r="I235" s="320"/>
      <c r="J235" s="320"/>
      <c r="K235" s="354"/>
      <c r="L235" s="175">
        <f t="shared" ref="L235:L240" si="73">SUM(M235:P235)</f>
        <v>0</v>
      </c>
      <c r="M235" s="175"/>
      <c r="N235" s="175"/>
      <c r="O235" s="175"/>
      <c r="P235" s="175"/>
      <c r="Q235" s="100"/>
    </row>
    <row r="236" spans="1:17" ht="16.149999999999999" customHeight="1">
      <c r="A236" s="121"/>
      <c r="B236" s="351" t="s">
        <v>1938</v>
      </c>
      <c r="C236" s="54">
        <f t="shared" si="72"/>
        <v>37</v>
      </c>
      <c r="D236" s="320"/>
      <c r="E236" s="320"/>
      <c r="F236" s="2952"/>
      <c r="G236" s="2952">
        <v>37</v>
      </c>
      <c r="H236" s="320"/>
      <c r="I236" s="320"/>
      <c r="J236" s="320"/>
      <c r="K236" s="354">
        <v>1207.3351599999999</v>
      </c>
      <c r="L236" s="175">
        <f t="shared" si="73"/>
        <v>44671.4</v>
      </c>
      <c r="M236" s="175"/>
      <c r="N236" s="175"/>
      <c r="O236" s="175"/>
      <c r="P236" s="175">
        <v>44671.4</v>
      </c>
      <c r="Q236" s="100"/>
    </row>
    <row r="237" spans="1:17" ht="16.149999999999999" customHeight="1">
      <c r="A237" s="121"/>
      <c r="B237" s="351" t="s">
        <v>1804</v>
      </c>
      <c r="C237" s="54">
        <f t="shared" si="72"/>
        <v>41</v>
      </c>
      <c r="D237" s="320"/>
      <c r="E237" s="320"/>
      <c r="F237" s="2952"/>
      <c r="G237" s="2952">
        <v>41</v>
      </c>
      <c r="H237" s="320"/>
      <c r="I237" s="320"/>
      <c r="J237" s="320"/>
      <c r="K237" s="354">
        <v>1025.7991099999999</v>
      </c>
      <c r="L237" s="175">
        <f t="shared" si="73"/>
        <v>42057.760000000002</v>
      </c>
      <c r="M237" s="175"/>
      <c r="N237" s="175"/>
      <c r="O237" s="175"/>
      <c r="P237" s="175">
        <v>42057.760000000002</v>
      </c>
      <c r="Q237" s="100"/>
    </row>
    <row r="238" spans="1:17" ht="16.149999999999999" customHeight="1">
      <c r="A238" s="121"/>
      <c r="B238" s="3228" t="s">
        <v>4731</v>
      </c>
      <c r="C238" s="54">
        <f t="shared" si="72"/>
        <v>0</v>
      </c>
      <c r="D238" s="320"/>
      <c r="E238" s="320"/>
      <c r="F238" s="2952"/>
      <c r="G238" s="2952"/>
      <c r="H238" s="320"/>
      <c r="I238" s="320"/>
      <c r="J238" s="320"/>
      <c r="K238" s="354"/>
      <c r="L238" s="175">
        <f t="shared" si="73"/>
        <v>0</v>
      </c>
      <c r="M238" s="175"/>
      <c r="N238" s="175"/>
      <c r="O238" s="175"/>
      <c r="P238" s="175"/>
      <c r="Q238" s="100"/>
    </row>
    <row r="239" spans="1:17" ht="16.149999999999999" customHeight="1">
      <c r="A239" s="121"/>
      <c r="B239" s="351" t="s">
        <v>1938</v>
      </c>
      <c r="C239" s="54">
        <f t="shared" si="72"/>
        <v>314</v>
      </c>
      <c r="D239" s="320"/>
      <c r="E239" s="320"/>
      <c r="F239" s="2952"/>
      <c r="G239" s="2952">
        <v>314</v>
      </c>
      <c r="H239" s="320"/>
      <c r="I239" s="320"/>
      <c r="J239" s="320"/>
      <c r="K239" s="354">
        <v>1207.3351599999999</v>
      </c>
      <c r="L239" s="175">
        <f t="shared" si="73"/>
        <v>379103.24</v>
      </c>
      <c r="M239" s="175"/>
      <c r="N239" s="175"/>
      <c r="O239" s="175"/>
      <c r="P239" s="175">
        <v>379103.24</v>
      </c>
      <c r="Q239" s="100"/>
    </row>
    <row r="240" spans="1:17" ht="16.149999999999999" customHeight="1">
      <c r="A240" s="121"/>
      <c r="B240" s="351" t="s">
        <v>1804</v>
      </c>
      <c r="C240" s="54">
        <f t="shared" si="72"/>
        <v>342</v>
      </c>
      <c r="D240" s="320"/>
      <c r="E240" s="320"/>
      <c r="F240" s="2952"/>
      <c r="G240" s="2952">
        <v>342</v>
      </c>
      <c r="H240" s="320"/>
      <c r="I240" s="320"/>
      <c r="J240" s="320"/>
      <c r="K240" s="354">
        <v>1025.7991099999999</v>
      </c>
      <c r="L240" s="175">
        <f t="shared" si="73"/>
        <v>350823.3</v>
      </c>
      <c r="M240" s="175"/>
      <c r="N240" s="175"/>
      <c r="O240" s="175"/>
      <c r="P240" s="175">
        <v>350823.3</v>
      </c>
      <c r="Q240" s="100"/>
    </row>
    <row r="241" spans="1:17" ht="16.149999999999999" customHeight="1">
      <c r="A241" s="121"/>
      <c r="B241" s="3228" t="s">
        <v>4814</v>
      </c>
      <c r="C241" s="54">
        <f t="shared" ref="C241:C252" si="74">SUM(D241:G241)</f>
        <v>0</v>
      </c>
      <c r="D241" s="320"/>
      <c r="E241" s="320"/>
      <c r="F241" s="2952"/>
      <c r="G241" s="2952"/>
      <c r="H241" s="320"/>
      <c r="I241" s="320"/>
      <c r="J241" s="320"/>
      <c r="K241" s="354"/>
      <c r="L241" s="175">
        <f t="shared" ref="L241:L252" si="75">SUM(M241:P241)</f>
        <v>0</v>
      </c>
      <c r="M241" s="175"/>
      <c r="N241" s="175"/>
      <c r="O241" s="175"/>
      <c r="P241" s="175"/>
      <c r="Q241" s="100"/>
    </row>
    <row r="242" spans="1:17" ht="16.149999999999999" customHeight="1">
      <c r="A242" s="121"/>
      <c r="B242" s="351" t="s">
        <v>1938</v>
      </c>
      <c r="C242" s="54">
        <f t="shared" si="74"/>
        <v>52</v>
      </c>
      <c r="D242" s="320"/>
      <c r="E242" s="320"/>
      <c r="F242" s="2952"/>
      <c r="G242" s="2952">
        <v>52</v>
      </c>
      <c r="H242" s="320"/>
      <c r="I242" s="320"/>
      <c r="J242" s="320"/>
      <c r="K242" s="354">
        <v>1207.3351599999999</v>
      </c>
      <c r="L242" s="175">
        <f t="shared" si="75"/>
        <v>62781.43</v>
      </c>
      <c r="M242" s="175"/>
      <c r="N242" s="175"/>
      <c r="O242" s="175"/>
      <c r="P242" s="175">
        <v>62781.43</v>
      </c>
      <c r="Q242" s="100"/>
    </row>
    <row r="243" spans="1:17" ht="16.149999999999999" customHeight="1">
      <c r="A243" s="121"/>
      <c r="B243" s="351" t="s">
        <v>1804</v>
      </c>
      <c r="C243" s="54">
        <f t="shared" si="74"/>
        <v>59</v>
      </c>
      <c r="D243" s="320"/>
      <c r="E243" s="320"/>
      <c r="F243" s="2952"/>
      <c r="G243" s="2952">
        <v>59</v>
      </c>
      <c r="H243" s="320"/>
      <c r="I243" s="320"/>
      <c r="J243" s="320"/>
      <c r="K243" s="354">
        <v>1025.7991099999999</v>
      </c>
      <c r="L243" s="175">
        <f t="shared" si="75"/>
        <v>60522.15</v>
      </c>
      <c r="M243" s="175"/>
      <c r="N243" s="175"/>
      <c r="O243" s="175"/>
      <c r="P243" s="175">
        <v>60522.15</v>
      </c>
      <c r="Q243" s="100"/>
    </row>
    <row r="244" spans="1:17" ht="16.149999999999999" customHeight="1">
      <c r="A244" s="121"/>
      <c r="B244" s="3228" t="s">
        <v>5115</v>
      </c>
      <c r="C244" s="54">
        <f t="shared" si="74"/>
        <v>0</v>
      </c>
      <c r="D244" s="320"/>
      <c r="E244" s="320"/>
      <c r="F244" s="2952"/>
      <c r="G244" s="2952"/>
      <c r="H244" s="320"/>
      <c r="I244" s="320"/>
      <c r="J244" s="320"/>
      <c r="K244" s="354"/>
      <c r="L244" s="175">
        <f t="shared" si="75"/>
        <v>0</v>
      </c>
      <c r="M244" s="175"/>
      <c r="N244" s="175"/>
      <c r="O244" s="175"/>
      <c r="P244" s="175"/>
      <c r="Q244" s="100"/>
    </row>
    <row r="245" spans="1:17" ht="16.149999999999999" customHeight="1">
      <c r="A245" s="121"/>
      <c r="B245" s="351" t="s">
        <v>1938</v>
      </c>
      <c r="C245" s="54">
        <f t="shared" si="74"/>
        <v>23</v>
      </c>
      <c r="D245" s="320"/>
      <c r="E245" s="320"/>
      <c r="F245" s="2952"/>
      <c r="G245" s="2952">
        <v>23</v>
      </c>
      <c r="H245" s="320"/>
      <c r="I245" s="320"/>
      <c r="J245" s="320"/>
      <c r="K245" s="354">
        <v>1207.3351599999999</v>
      </c>
      <c r="L245" s="175">
        <f t="shared" si="75"/>
        <v>27768.71</v>
      </c>
      <c r="M245" s="175"/>
      <c r="N245" s="175"/>
      <c r="O245" s="175"/>
      <c r="P245" s="175">
        <v>27768.71</v>
      </c>
      <c r="Q245" s="100"/>
    </row>
    <row r="246" spans="1:17" ht="16.149999999999999" customHeight="1">
      <c r="A246" s="121"/>
      <c r="B246" s="351" t="s">
        <v>1804</v>
      </c>
      <c r="C246" s="54">
        <f t="shared" si="74"/>
        <v>29</v>
      </c>
      <c r="D246" s="320"/>
      <c r="E246" s="320"/>
      <c r="F246" s="2952"/>
      <c r="G246" s="2952">
        <v>29</v>
      </c>
      <c r="H246" s="320"/>
      <c r="I246" s="320"/>
      <c r="J246" s="320"/>
      <c r="K246" s="354">
        <v>1025.7991099999999</v>
      </c>
      <c r="L246" s="175">
        <f t="shared" si="75"/>
        <v>29748.170000000002</v>
      </c>
      <c r="M246" s="175"/>
      <c r="N246" s="175"/>
      <c r="O246" s="175"/>
      <c r="P246" s="175">
        <v>29748.170000000002</v>
      </c>
      <c r="Q246" s="100"/>
    </row>
    <row r="247" spans="1:17" ht="16.149999999999999" customHeight="1">
      <c r="A247" s="121"/>
      <c r="B247" s="3228" t="s">
        <v>5116</v>
      </c>
      <c r="C247" s="54">
        <f t="shared" si="74"/>
        <v>0</v>
      </c>
      <c r="D247" s="320"/>
      <c r="E247" s="320"/>
      <c r="F247" s="2952"/>
      <c r="G247" s="2952"/>
      <c r="H247" s="320"/>
      <c r="I247" s="320"/>
      <c r="J247" s="320"/>
      <c r="K247" s="354"/>
      <c r="L247" s="175">
        <f t="shared" si="75"/>
        <v>0</v>
      </c>
      <c r="M247" s="175"/>
      <c r="N247" s="175"/>
      <c r="O247" s="175"/>
      <c r="P247" s="175"/>
      <c r="Q247" s="100"/>
    </row>
    <row r="248" spans="1:17" ht="16.149999999999999" customHeight="1">
      <c r="A248" s="121"/>
      <c r="B248" s="351" t="s">
        <v>1938</v>
      </c>
      <c r="C248" s="54">
        <f t="shared" si="74"/>
        <v>10</v>
      </c>
      <c r="D248" s="320"/>
      <c r="E248" s="320"/>
      <c r="F248" s="2952"/>
      <c r="G248" s="2952">
        <v>10</v>
      </c>
      <c r="H248" s="320"/>
      <c r="I248" s="320"/>
      <c r="J248" s="320"/>
      <c r="K248" s="354">
        <v>1207.3351599999999</v>
      </c>
      <c r="L248" s="175">
        <f t="shared" si="75"/>
        <v>12073.35</v>
      </c>
      <c r="M248" s="175"/>
      <c r="N248" s="175"/>
      <c r="O248" s="175"/>
      <c r="P248" s="175">
        <v>12073.35</v>
      </c>
      <c r="Q248" s="100"/>
    </row>
    <row r="249" spans="1:17" ht="16.149999999999999" customHeight="1">
      <c r="A249" s="121"/>
      <c r="B249" s="351" t="s">
        <v>1804</v>
      </c>
      <c r="C249" s="54">
        <f t="shared" si="74"/>
        <v>11</v>
      </c>
      <c r="D249" s="320"/>
      <c r="E249" s="320"/>
      <c r="F249" s="2952"/>
      <c r="G249" s="2952">
        <v>11</v>
      </c>
      <c r="H249" s="320"/>
      <c r="I249" s="320"/>
      <c r="J249" s="320"/>
      <c r="K249" s="4097">
        <v>1025.7991099999999</v>
      </c>
      <c r="L249" s="175">
        <f t="shared" si="75"/>
        <v>11283.79</v>
      </c>
      <c r="M249" s="175"/>
      <c r="N249" s="175"/>
      <c r="O249" s="175"/>
      <c r="P249" s="4098">
        <v>11283.79</v>
      </c>
      <c r="Q249" s="100"/>
    </row>
    <row r="250" spans="1:17" ht="16.149999999999999" customHeight="1">
      <c r="A250" s="121"/>
      <c r="B250" s="4095" t="s">
        <v>5127</v>
      </c>
      <c r="C250" s="54">
        <f t="shared" si="74"/>
        <v>0</v>
      </c>
      <c r="D250" s="320"/>
      <c r="E250" s="320"/>
      <c r="F250" s="2952"/>
      <c r="G250" s="106"/>
      <c r="H250" s="320"/>
      <c r="I250" s="320"/>
      <c r="J250" s="320"/>
      <c r="K250" s="4094"/>
      <c r="L250" s="175">
        <f t="shared" si="75"/>
        <v>0</v>
      </c>
      <c r="M250" s="175"/>
      <c r="N250" s="175"/>
      <c r="O250" s="175"/>
      <c r="P250" s="4098"/>
      <c r="Q250" s="100"/>
    </row>
    <row r="251" spans="1:17" ht="16.149999999999999" customHeight="1">
      <c r="A251" s="121"/>
      <c r="B251" s="4096" t="s">
        <v>1938</v>
      </c>
      <c r="C251" s="54">
        <f t="shared" si="74"/>
        <v>21</v>
      </c>
      <c r="D251" s="320"/>
      <c r="E251" s="320"/>
      <c r="F251" s="2952"/>
      <c r="G251" s="106">
        <v>21</v>
      </c>
      <c r="H251" s="320"/>
      <c r="I251" s="320"/>
      <c r="J251" s="320"/>
      <c r="K251" s="4094">
        <v>1207.3351599999999</v>
      </c>
      <c r="L251" s="175">
        <f t="shared" si="75"/>
        <v>25354.04</v>
      </c>
      <c r="M251" s="175"/>
      <c r="N251" s="175"/>
      <c r="O251" s="175"/>
      <c r="P251" s="4098">
        <v>25354.04</v>
      </c>
      <c r="Q251" s="100"/>
    </row>
    <row r="252" spans="1:17" ht="16.149999999999999" customHeight="1">
      <c r="A252" s="121"/>
      <c r="B252" s="4096" t="s">
        <v>1804</v>
      </c>
      <c r="C252" s="54">
        <f t="shared" si="74"/>
        <v>28</v>
      </c>
      <c r="D252" s="320"/>
      <c r="E252" s="320"/>
      <c r="F252" s="2952"/>
      <c r="G252" s="4092">
        <v>28</v>
      </c>
      <c r="H252" s="320"/>
      <c r="I252" s="320"/>
      <c r="J252" s="320"/>
      <c r="K252" s="4091">
        <v>1025.7991099999999</v>
      </c>
      <c r="L252" s="175">
        <f t="shared" si="75"/>
        <v>28722.38</v>
      </c>
      <c r="M252" s="175"/>
      <c r="N252" s="175"/>
      <c r="O252" s="175"/>
      <c r="P252" s="4093">
        <v>28722.38</v>
      </c>
      <c r="Q252" s="100"/>
    </row>
    <row r="253" spans="1:17" ht="16.149999999999999" customHeight="1">
      <c r="A253" s="1842"/>
      <c r="B253" s="1843" t="s">
        <v>1809</v>
      </c>
      <c r="C253" s="1837">
        <f>SUM(D253:G253)</f>
        <v>8737</v>
      </c>
      <c r="D253" s="1838">
        <f>D254+D255</f>
        <v>0</v>
      </c>
      <c r="E253" s="1838">
        <f t="shared" ref="E253" si="76">E254+E255</f>
        <v>0</v>
      </c>
      <c r="F253" s="1838">
        <f>F254+F255</f>
        <v>61</v>
      </c>
      <c r="G253" s="1838">
        <f>G254+G255</f>
        <v>8676</v>
      </c>
      <c r="H253" s="1839"/>
      <c r="I253" s="1839"/>
      <c r="J253" s="1839"/>
      <c r="K253" s="1839"/>
      <c r="L253" s="1840">
        <f>SUM(M253:P253)</f>
        <v>9763549.120000001</v>
      </c>
      <c r="M253" s="1841">
        <f>M254+M255</f>
        <v>0</v>
      </c>
      <c r="N253" s="1841">
        <f t="shared" ref="N253:O253" si="77">N254+N255</f>
        <v>0</v>
      </c>
      <c r="O253" s="1841">
        <f t="shared" si="77"/>
        <v>127768.90000000001</v>
      </c>
      <c r="P253" s="1841">
        <f>P254+P255</f>
        <v>9635780.2200000007</v>
      </c>
      <c r="Q253" s="100"/>
    </row>
    <row r="254" spans="1:17" ht="16.149999999999999" customHeight="1">
      <c r="A254" s="1814"/>
      <c r="B254" s="1815" t="s">
        <v>1812</v>
      </c>
      <c r="C254" s="54">
        <f>SUM(D254:G254)</f>
        <v>4081</v>
      </c>
      <c r="D254" s="320">
        <f t="shared" ref="D254:E254" si="78">SUM(D257)</f>
        <v>0</v>
      </c>
      <c r="E254" s="320">
        <f t="shared" si="78"/>
        <v>0</v>
      </c>
      <c r="F254" s="320">
        <f>SUM(F257,F260,F263)</f>
        <v>27</v>
      </c>
      <c r="G254" s="320">
        <f>SUM(G257,G260,G263,G266)</f>
        <v>4054</v>
      </c>
      <c r="H254" s="1817"/>
      <c r="I254" s="1817"/>
      <c r="J254" s="1818"/>
      <c r="K254" s="1818"/>
      <c r="L254" s="30">
        <f>SUM(M254:P254)</f>
        <v>4927134.78</v>
      </c>
      <c r="M254" s="353">
        <f t="shared" ref="M254:N254" si="79">SUM(M257)</f>
        <v>0</v>
      </c>
      <c r="N254" s="353">
        <f t="shared" si="79"/>
        <v>0</v>
      </c>
      <c r="O254" s="353">
        <f>SUM(O257,O260,O263)</f>
        <v>32598.05</v>
      </c>
      <c r="P254" s="353">
        <f>SUM(P257,P260,P263,P266)</f>
        <v>4894536.7300000004</v>
      </c>
      <c r="Q254" s="100"/>
    </row>
    <row r="255" spans="1:17" ht="16.149999999999999" customHeight="1">
      <c r="A255" s="1814"/>
      <c r="B255" s="1815" t="s">
        <v>1813</v>
      </c>
      <c r="C255" s="54">
        <f t="shared" si="51"/>
        <v>4656</v>
      </c>
      <c r="D255" s="320">
        <f t="shared" ref="D255:E255" si="80">SUM(D258)</f>
        <v>0</v>
      </c>
      <c r="E255" s="320">
        <f t="shared" si="80"/>
        <v>0</v>
      </c>
      <c r="F255" s="320">
        <f>SUM(F258,F261,F264)</f>
        <v>34</v>
      </c>
      <c r="G255" s="320">
        <f>SUM(G258,G261,G264,G267)</f>
        <v>4622</v>
      </c>
      <c r="H255" s="1817"/>
      <c r="I255" s="1817"/>
      <c r="J255" s="1818"/>
      <c r="K255" s="1818"/>
      <c r="L255" s="30">
        <f t="shared" ref="L255" si="81">SUM(M255:P255)</f>
        <v>4836414.34</v>
      </c>
      <c r="M255" s="353">
        <f t="shared" ref="M255:N255" si="82">SUM(M258)</f>
        <v>0</v>
      </c>
      <c r="N255" s="353">
        <f t="shared" si="82"/>
        <v>0</v>
      </c>
      <c r="O255" s="353">
        <f>SUM(O258,O261,O264)</f>
        <v>95170.85</v>
      </c>
      <c r="P255" s="353">
        <f>SUM(P258,P261,P264,P267)</f>
        <v>4741243.49</v>
      </c>
      <c r="Q255" s="100"/>
    </row>
    <row r="256" spans="1:17" ht="16.149999999999999" customHeight="1">
      <c r="A256" s="121"/>
      <c r="B256" s="198" t="s">
        <v>4610</v>
      </c>
      <c r="C256" s="54">
        <f t="shared" si="51"/>
        <v>0</v>
      </c>
      <c r="D256" s="320"/>
      <c r="E256" s="108"/>
      <c r="F256" s="320"/>
      <c r="G256" s="108"/>
      <c r="H256" s="320"/>
      <c r="I256" s="320"/>
      <c r="J256" s="108"/>
      <c r="K256" s="1813"/>
      <c r="L256" s="175">
        <f t="shared" si="38"/>
        <v>0</v>
      </c>
      <c r="M256" s="175"/>
      <c r="N256" s="175"/>
      <c r="O256" s="175"/>
      <c r="P256" s="175"/>
      <c r="Q256" s="100"/>
    </row>
    <row r="257" spans="1:17" ht="16.149999999999999" customHeight="1">
      <c r="A257" s="121"/>
      <c r="B257" s="351" t="s">
        <v>1793</v>
      </c>
      <c r="C257" s="54">
        <f t="shared" si="51"/>
        <v>1633</v>
      </c>
      <c r="D257" s="320"/>
      <c r="E257" s="108"/>
      <c r="F257" s="320"/>
      <c r="G257" s="108">
        <v>1633</v>
      </c>
      <c r="H257" s="352"/>
      <c r="I257" s="341"/>
      <c r="J257" s="162"/>
      <c r="K257" s="162">
        <v>1207.3351599999999</v>
      </c>
      <c r="L257" s="175">
        <f t="shared" si="38"/>
        <v>1971578.32</v>
      </c>
      <c r="M257" s="175"/>
      <c r="N257" s="175"/>
      <c r="O257" s="175"/>
      <c r="P257" s="175">
        <v>1971578.32</v>
      </c>
      <c r="Q257" s="100"/>
    </row>
    <row r="258" spans="1:17" ht="16.149999999999999" customHeight="1">
      <c r="A258" s="121"/>
      <c r="B258" s="351" t="s">
        <v>1804</v>
      </c>
      <c r="C258" s="54">
        <f t="shared" si="51"/>
        <v>1871</v>
      </c>
      <c r="D258" s="320"/>
      <c r="E258" s="320"/>
      <c r="F258" s="320"/>
      <c r="G258" s="320">
        <v>1871</v>
      </c>
      <c r="H258" s="320"/>
      <c r="I258" s="320"/>
      <c r="J258" s="320"/>
      <c r="K258" s="354">
        <v>1025.7991099999999</v>
      </c>
      <c r="L258" s="175">
        <f t="shared" si="38"/>
        <v>1919270.1300000001</v>
      </c>
      <c r="M258" s="175"/>
      <c r="N258" s="175"/>
      <c r="O258" s="175"/>
      <c r="P258" s="175">
        <v>1919270.1300000001</v>
      </c>
      <c r="Q258" s="100"/>
    </row>
    <row r="259" spans="1:17" ht="16.149999999999999" customHeight="1">
      <c r="A259" s="121"/>
      <c r="B259" s="198" t="s">
        <v>3768</v>
      </c>
      <c r="C259" s="54">
        <f t="shared" ref="C259:C260" si="83">SUM(D259:G259)</f>
        <v>0</v>
      </c>
      <c r="D259" s="320"/>
      <c r="E259" s="108"/>
      <c r="F259" s="320"/>
      <c r="G259" s="108"/>
      <c r="H259" s="320"/>
      <c r="I259" s="320"/>
      <c r="J259" s="108"/>
      <c r="K259" s="1813"/>
      <c r="L259" s="175">
        <f t="shared" ref="L259:L261" si="84">SUM(M259:P259)</f>
        <v>0</v>
      </c>
      <c r="M259" s="175"/>
      <c r="N259" s="175"/>
      <c r="O259" s="175"/>
      <c r="P259" s="175"/>
      <c r="Q259" s="100"/>
    </row>
    <row r="260" spans="1:17" ht="16.149999999999999" customHeight="1">
      <c r="A260" s="121"/>
      <c r="B260" s="351" t="s">
        <v>1793</v>
      </c>
      <c r="C260" s="54">
        <f t="shared" si="83"/>
        <v>960</v>
      </c>
      <c r="D260" s="320"/>
      <c r="E260" s="108"/>
      <c r="F260" s="320">
        <v>27</v>
      </c>
      <c r="G260" s="108">
        <v>933</v>
      </c>
      <c r="H260" s="352"/>
      <c r="I260" s="341"/>
      <c r="J260" s="162">
        <v>1207.3351599999999</v>
      </c>
      <c r="K260" s="162">
        <v>1207.3351599999999</v>
      </c>
      <c r="L260" s="175">
        <f>SUM(M260:P260)</f>
        <v>1159041.75</v>
      </c>
      <c r="M260" s="175"/>
      <c r="N260" s="175"/>
      <c r="O260" s="175">
        <v>32598.05</v>
      </c>
      <c r="P260" s="175">
        <v>1126443.7</v>
      </c>
      <c r="Q260" s="100"/>
    </row>
    <row r="261" spans="1:17" ht="16.149999999999999" customHeight="1">
      <c r="A261" s="121"/>
      <c r="B261" s="351" t="s">
        <v>1804</v>
      </c>
      <c r="C261" s="54">
        <f>SUM(D261:G261)</f>
        <v>1151</v>
      </c>
      <c r="D261" s="320"/>
      <c r="E261" s="320"/>
      <c r="F261" s="320">
        <v>34</v>
      </c>
      <c r="G261" s="320">
        <v>1117</v>
      </c>
      <c r="H261" s="320"/>
      <c r="I261" s="320"/>
      <c r="J261" s="320">
        <v>2799.14266</v>
      </c>
      <c r="K261" s="354">
        <v>1025.7991099999999</v>
      </c>
      <c r="L261" s="175">
        <f t="shared" si="84"/>
        <v>1240988.4600000002</v>
      </c>
      <c r="M261" s="175"/>
      <c r="N261" s="175"/>
      <c r="O261" s="175">
        <v>95170.85</v>
      </c>
      <c r="P261" s="175">
        <v>1145817.6100000001</v>
      </c>
      <c r="Q261" s="100"/>
    </row>
    <row r="262" spans="1:17" ht="16.149999999999999" customHeight="1">
      <c r="A262" s="3330"/>
      <c r="B262" s="198" t="s">
        <v>3807</v>
      </c>
      <c r="C262" s="54">
        <f t="shared" ref="C262:C263" si="85">SUM(D262:G262)</f>
        <v>0</v>
      </c>
      <c r="D262" s="320"/>
      <c r="E262" s="108"/>
      <c r="F262" s="320"/>
      <c r="G262" s="108"/>
      <c r="H262" s="320"/>
      <c r="I262" s="320"/>
      <c r="J262" s="108"/>
      <c r="K262" s="1813"/>
      <c r="L262" s="175">
        <f t="shared" ref="L262" si="86">SUM(M262:P262)</f>
        <v>0</v>
      </c>
      <c r="M262" s="175"/>
      <c r="N262" s="175"/>
      <c r="O262" s="175"/>
      <c r="P262" s="175"/>
      <c r="Q262" s="100"/>
    </row>
    <row r="263" spans="1:17" ht="16.149999999999999" customHeight="1">
      <c r="A263" s="3330"/>
      <c r="B263" s="351" t="s">
        <v>1793</v>
      </c>
      <c r="C263" s="54">
        <f t="shared" si="85"/>
        <v>836</v>
      </c>
      <c r="D263" s="320"/>
      <c r="E263" s="108"/>
      <c r="F263" s="320"/>
      <c r="G263" s="108">
        <v>836</v>
      </c>
      <c r="H263" s="352"/>
      <c r="I263" s="341"/>
      <c r="J263" s="162"/>
      <c r="K263" s="162">
        <v>1207.3351599999999</v>
      </c>
      <c r="L263" s="175">
        <f>SUM(M263:P263)</f>
        <v>1009332.1900000001</v>
      </c>
      <c r="M263" s="175"/>
      <c r="N263" s="175"/>
      <c r="O263" s="175"/>
      <c r="P263" s="175">
        <v>1009332.1900000001</v>
      </c>
      <c r="Q263" s="100"/>
    </row>
    <row r="264" spans="1:17" ht="16.149999999999999" customHeight="1">
      <c r="A264" s="3330"/>
      <c r="B264" s="351" t="s">
        <v>1804</v>
      </c>
      <c r="C264" s="54">
        <f>SUM(D264:G264)</f>
        <v>948</v>
      </c>
      <c r="D264" s="320"/>
      <c r="E264" s="320"/>
      <c r="F264" s="320"/>
      <c r="G264" s="320">
        <v>948</v>
      </c>
      <c r="H264" s="320"/>
      <c r="I264" s="320"/>
      <c r="J264" s="320"/>
      <c r="K264" s="354">
        <v>1025.7991099999999</v>
      </c>
      <c r="L264" s="175">
        <f t="shared" ref="L264:L265" si="87">SUM(M264:P264)</f>
        <v>972457.56</v>
      </c>
      <c r="M264" s="175"/>
      <c r="N264" s="175"/>
      <c r="O264" s="175"/>
      <c r="P264" s="175">
        <v>972457.56</v>
      </c>
      <c r="Q264" s="100"/>
    </row>
    <row r="265" spans="1:17" ht="16.149999999999999" customHeight="1">
      <c r="A265" s="3330"/>
      <c r="B265" s="198" t="s">
        <v>4739</v>
      </c>
      <c r="C265" s="54">
        <f t="shared" ref="C265:C266" si="88">SUM(D265:G265)</f>
        <v>0</v>
      </c>
      <c r="D265" s="320"/>
      <c r="E265" s="108"/>
      <c r="F265" s="320"/>
      <c r="G265" s="108"/>
      <c r="H265" s="320"/>
      <c r="I265" s="320"/>
      <c r="J265" s="108"/>
      <c r="K265" s="1813"/>
      <c r="L265" s="175">
        <f t="shared" si="87"/>
        <v>0</v>
      </c>
      <c r="M265" s="175"/>
      <c r="N265" s="175"/>
      <c r="O265" s="175"/>
      <c r="P265" s="175"/>
      <c r="Q265" s="100"/>
    </row>
    <row r="266" spans="1:17" ht="16.149999999999999" customHeight="1">
      <c r="A266" s="3330"/>
      <c r="B266" s="351" t="s">
        <v>1793</v>
      </c>
      <c r="C266" s="54">
        <f t="shared" si="88"/>
        <v>652</v>
      </c>
      <c r="D266" s="320"/>
      <c r="E266" s="108"/>
      <c r="F266" s="320"/>
      <c r="G266" s="108">
        <v>652</v>
      </c>
      <c r="H266" s="352"/>
      <c r="I266" s="341"/>
      <c r="J266" s="162"/>
      <c r="K266" s="162">
        <v>1207.3351599999999</v>
      </c>
      <c r="L266" s="175">
        <f>SUM(M266:P266)</f>
        <v>787182.52</v>
      </c>
      <c r="M266" s="175"/>
      <c r="N266" s="175"/>
      <c r="O266" s="175"/>
      <c r="P266" s="175">
        <v>787182.52</v>
      </c>
      <c r="Q266" s="100"/>
    </row>
    <row r="267" spans="1:17" ht="16.149999999999999" customHeight="1">
      <c r="A267" s="3330"/>
      <c r="B267" s="351" t="s">
        <v>1804</v>
      </c>
      <c r="C267" s="54">
        <f>SUM(D267:G267)</f>
        <v>686</v>
      </c>
      <c r="D267" s="320"/>
      <c r="E267" s="320"/>
      <c r="F267" s="320"/>
      <c r="G267" s="320">
        <v>686</v>
      </c>
      <c r="H267" s="320"/>
      <c r="I267" s="320"/>
      <c r="J267" s="320"/>
      <c r="K267" s="354">
        <v>1025.7991099999999</v>
      </c>
      <c r="L267" s="175">
        <f t="shared" ref="L267" si="89">SUM(M267:P267)</f>
        <v>703698.19000000006</v>
      </c>
      <c r="M267" s="175"/>
      <c r="N267" s="175"/>
      <c r="O267" s="175"/>
      <c r="P267" s="175">
        <v>703698.19000000006</v>
      </c>
      <c r="Q267" s="100"/>
    </row>
    <row r="268" spans="1:17" ht="16.149999999999999" customHeight="1">
      <c r="A268" s="328" t="s">
        <v>44</v>
      </c>
      <c r="B268" s="329" t="s">
        <v>287</v>
      </c>
      <c r="C268" s="330">
        <f>SUM(C269:C272)</f>
        <v>1788328</v>
      </c>
      <c r="D268" s="331"/>
      <c r="E268" s="330">
        <f>E269+E272+E271</f>
        <v>160949.52000000002</v>
      </c>
      <c r="F268" s="330">
        <f>F269+F272+F271</f>
        <v>608031.52</v>
      </c>
      <c r="G268" s="330">
        <f t="shared" ref="G268" si="90">G269+G272+G271</f>
        <v>1019346.96</v>
      </c>
      <c r="H268" s="332"/>
      <c r="I268" s="333"/>
      <c r="J268" s="333"/>
      <c r="K268" s="333"/>
      <c r="L268" s="334">
        <f>SUM(M268:P268)</f>
        <v>7063841.9500000002</v>
      </c>
      <c r="M268" s="334"/>
      <c r="N268" s="334">
        <f>N269+N272+N271</f>
        <v>635745.78</v>
      </c>
      <c r="O268" s="334">
        <f>O269+O272+O271</f>
        <v>2401706.2599999998</v>
      </c>
      <c r="P268" s="334">
        <f t="shared" ref="P268" si="91">P269+P272+P271</f>
        <v>4026389.91</v>
      </c>
      <c r="Q268" s="100"/>
    </row>
    <row r="269" spans="1:17" ht="16.149999999999999" customHeight="1">
      <c r="A269" s="328" t="s">
        <v>285</v>
      </c>
      <c r="B269" s="329" t="s">
        <v>5133</v>
      </c>
      <c r="C269" s="330">
        <f>SUM(E269:G269)</f>
        <v>1788328</v>
      </c>
      <c r="D269" s="331"/>
      <c r="E269" s="330">
        <f>IFERROR(F270-F269-G269,0)</f>
        <v>160949.52000000002</v>
      </c>
      <c r="F269" s="330">
        <f>IFERROR(ROUND(F270*0.34,6),0)</f>
        <v>608031.52</v>
      </c>
      <c r="G269" s="330">
        <f>IFERROR(ROUND(F270*0.57,6),0)</f>
        <v>1019346.96</v>
      </c>
      <c r="H269" s="332"/>
      <c r="I269" s="333">
        <f>IFERROR(AVERAGE(J270),0)</f>
        <v>3.94997</v>
      </c>
      <c r="J269" s="333">
        <f>I269</f>
        <v>3.94997</v>
      </c>
      <c r="K269" s="333">
        <f>J269</f>
        <v>3.94997</v>
      </c>
      <c r="L269" s="334">
        <f t="shared" si="16"/>
        <v>7063841.9500000002</v>
      </c>
      <c r="M269" s="334"/>
      <c r="N269" s="334">
        <f>ROUND(E269*I269,2)</f>
        <v>635745.78</v>
      </c>
      <c r="O269" s="334">
        <f t="shared" ref="O269:P269" si="92">ROUND(F269*J269,2)</f>
        <v>2401706.2599999998</v>
      </c>
      <c r="P269" s="334">
        <f t="shared" si="92"/>
        <v>4026389.91</v>
      </c>
      <c r="Q269" s="100"/>
    </row>
    <row r="270" spans="1:17" ht="16.149999999999999" customHeight="1">
      <c r="A270" s="328"/>
      <c r="B270" s="329"/>
      <c r="C270" s="330"/>
      <c r="D270" s="331"/>
      <c r="E270" s="330"/>
      <c r="F270" s="3031">
        <v>1788328</v>
      </c>
      <c r="G270" s="330"/>
      <c r="H270" s="332"/>
      <c r="I270" s="333"/>
      <c r="J270" s="3032">
        <v>3.94997</v>
      </c>
      <c r="K270" s="333"/>
      <c r="L270" s="334"/>
      <c r="M270" s="334"/>
      <c r="N270" s="334"/>
      <c r="O270" s="334">
        <v>7063841.9500000002</v>
      </c>
      <c r="P270" s="334"/>
      <c r="Q270" s="100"/>
    </row>
    <row r="271" spans="1:17" ht="16.149999999999999" customHeight="1">
      <c r="A271" s="328" t="s">
        <v>286</v>
      </c>
      <c r="B271" s="329" t="s">
        <v>5132</v>
      </c>
      <c r="C271" s="330">
        <f>SUM(E271:G271)</f>
        <v>0</v>
      </c>
      <c r="D271" s="331"/>
      <c r="E271" s="330"/>
      <c r="F271" s="330"/>
      <c r="G271" s="330"/>
      <c r="H271" s="332"/>
      <c r="I271" s="333"/>
      <c r="J271" s="333" t="s">
        <v>5131</v>
      </c>
      <c r="K271" s="333"/>
      <c r="L271" s="334">
        <f t="shared" si="16"/>
        <v>0</v>
      </c>
      <c r="M271" s="334"/>
      <c r="N271" s="334"/>
      <c r="O271" s="334"/>
      <c r="P271" s="334"/>
      <c r="Q271" s="100"/>
    </row>
    <row r="272" spans="1:17" ht="16.149999999999999" customHeight="1">
      <c r="A272" s="328"/>
      <c r="B272" s="329"/>
      <c r="C272" s="330"/>
      <c r="D272" s="331"/>
      <c r="E272" s="330"/>
      <c r="F272" s="330"/>
      <c r="G272" s="330"/>
      <c r="H272" s="332"/>
      <c r="I272" s="333"/>
      <c r="J272" s="333"/>
      <c r="K272" s="333"/>
      <c r="L272" s="334"/>
      <c r="M272" s="334"/>
      <c r="N272" s="334"/>
      <c r="O272" s="334"/>
      <c r="P272" s="334"/>
      <c r="Q272" s="100"/>
    </row>
    <row r="273" spans="1:17" ht="16.149999999999999" customHeight="1" thickBot="1">
      <c r="A273" s="322"/>
      <c r="B273" s="323"/>
      <c r="C273" s="48"/>
      <c r="D273" s="324"/>
      <c r="E273" s="325"/>
      <c r="F273" s="325"/>
      <c r="G273" s="325"/>
      <c r="H273" s="326"/>
      <c r="I273" s="326"/>
      <c r="J273" s="326"/>
      <c r="K273" s="326"/>
      <c r="L273" s="183"/>
      <c r="M273" s="183"/>
      <c r="N273" s="183"/>
      <c r="O273" s="183"/>
      <c r="P273" s="327"/>
      <c r="Q273" s="100"/>
    </row>
    <row r="274" spans="1:17" ht="16.149999999999999" customHeight="1" thickBot="1">
      <c r="A274" s="130" t="s">
        <v>45</v>
      </c>
      <c r="B274" s="125" t="s">
        <v>46</v>
      </c>
      <c r="C274" s="98">
        <f t="shared" ref="C274:C279" si="93">D274+E274+F274+G274</f>
        <v>57180120</v>
      </c>
      <c r="D274" s="98">
        <f>D275+D276</f>
        <v>0</v>
      </c>
      <c r="E274" s="98">
        <f>E275+E276</f>
        <v>2846261.52</v>
      </c>
      <c r="F274" s="98">
        <f>F275+F276</f>
        <v>21367671.52</v>
      </c>
      <c r="G274" s="98">
        <f>G275+G276</f>
        <v>32966186.960000001</v>
      </c>
      <c r="H274" s="99"/>
      <c r="I274" s="99"/>
      <c r="J274" s="99"/>
      <c r="K274" s="99"/>
      <c r="L274" s="166">
        <f t="shared" ref="L274:L279" si="94">M274+N274+O274+P274</f>
        <v>329134931.65999997</v>
      </c>
      <c r="M274" s="166">
        <f>M275+M276</f>
        <v>0</v>
      </c>
      <c r="N274" s="166">
        <f>N275+N276</f>
        <v>23400829.940000001</v>
      </c>
      <c r="O274" s="166">
        <f>O275+O276</f>
        <v>162573975.83999997</v>
      </c>
      <c r="P274" s="166">
        <f>P275+P276</f>
        <v>143160125.88000003</v>
      </c>
      <c r="Q274" s="100"/>
    </row>
    <row r="275" spans="1:17" ht="16.149999999999999" customHeight="1" thickBot="1">
      <c r="A275" s="131"/>
      <c r="B275" s="125" t="s">
        <v>47</v>
      </c>
      <c r="C275" s="98">
        <f t="shared" si="93"/>
        <v>24830239</v>
      </c>
      <c r="D275" s="16">
        <f>D278</f>
        <v>0</v>
      </c>
      <c r="E275" s="16">
        <f>E278</f>
        <v>0</v>
      </c>
      <c r="F275" s="16">
        <f>F278</f>
        <v>3618243</v>
      </c>
      <c r="G275" s="16">
        <f>G278</f>
        <v>21211996</v>
      </c>
      <c r="H275" s="99"/>
      <c r="I275" s="132"/>
      <c r="J275" s="99"/>
      <c r="K275" s="132"/>
      <c r="L275" s="166">
        <f t="shared" si="94"/>
        <v>57037219.760000028</v>
      </c>
      <c r="M275" s="165">
        <f>M278</f>
        <v>0</v>
      </c>
      <c r="N275" s="165">
        <f>N278</f>
        <v>0</v>
      </c>
      <c r="O275" s="165">
        <f>O278</f>
        <v>9148480.1099999994</v>
      </c>
      <c r="P275" s="165">
        <f>P278</f>
        <v>47888739.650000028</v>
      </c>
      <c r="Q275" s="100"/>
    </row>
    <row r="276" spans="1:17" ht="16.149999999999999" customHeight="1" thickBot="1">
      <c r="A276" s="131"/>
      <c r="B276" s="125" t="s">
        <v>48</v>
      </c>
      <c r="C276" s="98">
        <f t="shared" si="93"/>
        <v>32349881</v>
      </c>
      <c r="D276" s="16">
        <f>D279+D268</f>
        <v>0</v>
      </c>
      <c r="E276" s="16">
        <f>E279+E268</f>
        <v>2846261.52</v>
      </c>
      <c r="F276" s="16">
        <f>F279+F268</f>
        <v>17749428.52</v>
      </c>
      <c r="G276" s="16">
        <f>G279+G268</f>
        <v>11754190.960000001</v>
      </c>
      <c r="H276" s="99"/>
      <c r="I276" s="132"/>
      <c r="J276" s="99"/>
      <c r="K276" s="132"/>
      <c r="L276" s="166">
        <f t="shared" si="94"/>
        <v>272097711.89999998</v>
      </c>
      <c r="M276" s="165">
        <f>M279+M268</f>
        <v>0</v>
      </c>
      <c r="N276" s="165">
        <f>N279+N268</f>
        <v>23400829.940000001</v>
      </c>
      <c r="O276" s="165">
        <f>O279+O268</f>
        <v>153425495.72999999</v>
      </c>
      <c r="P276" s="165">
        <f>P279+P268</f>
        <v>95271386.229999989</v>
      </c>
      <c r="Q276" s="100"/>
    </row>
    <row r="277" spans="1:17" ht="16.149999999999999" customHeight="1" thickBot="1">
      <c r="A277" s="131"/>
      <c r="B277" s="125" t="s">
        <v>49</v>
      </c>
      <c r="C277" s="98">
        <f t="shared" si="93"/>
        <v>55391792</v>
      </c>
      <c r="D277" s="16">
        <f>D278+D279</f>
        <v>0</v>
      </c>
      <c r="E277" s="16">
        <f>E278+E279</f>
        <v>2685312</v>
      </c>
      <c r="F277" s="16">
        <f>F278+F279</f>
        <v>20759640</v>
      </c>
      <c r="G277" s="16">
        <f>G278+G279</f>
        <v>31946840</v>
      </c>
      <c r="H277" s="99"/>
      <c r="I277" s="132"/>
      <c r="J277" s="99"/>
      <c r="K277" s="132"/>
      <c r="L277" s="166">
        <f t="shared" si="94"/>
        <v>322071089.71000004</v>
      </c>
      <c r="M277" s="165">
        <f>M278+M279</f>
        <v>0</v>
      </c>
      <c r="N277" s="165">
        <f>N278+N279</f>
        <v>22765084.16</v>
      </c>
      <c r="O277" s="165">
        <f>O278+O279</f>
        <v>160172269.57999998</v>
      </c>
      <c r="P277" s="165">
        <f>P278+P279</f>
        <v>139133735.97000003</v>
      </c>
      <c r="Q277" s="100"/>
    </row>
    <row r="278" spans="1:17" ht="16.149999999999999" customHeight="1" thickBot="1">
      <c r="A278" s="133"/>
      <c r="B278" s="125" t="s">
        <v>50</v>
      </c>
      <c r="C278" s="98">
        <f t="shared" si="93"/>
        <v>24830239</v>
      </c>
      <c r="D278" s="16">
        <f>D27</f>
        <v>0</v>
      </c>
      <c r="E278" s="16">
        <f>E27</f>
        <v>0</v>
      </c>
      <c r="F278" s="16">
        <f>F27</f>
        <v>3618243</v>
      </c>
      <c r="G278" s="16">
        <f>G27</f>
        <v>21211996</v>
      </c>
      <c r="H278" s="134"/>
      <c r="I278" s="135"/>
      <c r="J278" s="134"/>
      <c r="K278" s="135"/>
      <c r="L278" s="166">
        <f t="shared" si="94"/>
        <v>57037219.760000028</v>
      </c>
      <c r="M278" s="165">
        <f>M27</f>
        <v>0</v>
      </c>
      <c r="N278" s="165">
        <f>N27</f>
        <v>0</v>
      </c>
      <c r="O278" s="165">
        <f>O27</f>
        <v>9148480.1099999994</v>
      </c>
      <c r="P278" s="165">
        <f>P27</f>
        <v>47888739.650000028</v>
      </c>
      <c r="Q278" s="100"/>
    </row>
    <row r="279" spans="1:17" ht="16.149999999999999" customHeight="1" thickBot="1">
      <c r="A279" s="133"/>
      <c r="B279" s="125" t="s">
        <v>51</v>
      </c>
      <c r="C279" s="98">
        <f t="shared" si="93"/>
        <v>30561553</v>
      </c>
      <c r="D279" s="16">
        <f>D66</f>
        <v>0</v>
      </c>
      <c r="E279" s="16">
        <f>E66</f>
        <v>2685312</v>
      </c>
      <c r="F279" s="16">
        <f>F66</f>
        <v>17141397</v>
      </c>
      <c r="G279" s="16">
        <f>G66</f>
        <v>10734844</v>
      </c>
      <c r="H279" s="134"/>
      <c r="I279" s="135"/>
      <c r="J279" s="134"/>
      <c r="K279" s="135"/>
      <c r="L279" s="166">
        <f t="shared" si="94"/>
        <v>265033869.94999999</v>
      </c>
      <c r="M279" s="165">
        <f>M66</f>
        <v>0</v>
      </c>
      <c r="N279" s="165">
        <f>N66</f>
        <v>22765084.16</v>
      </c>
      <c r="O279" s="165">
        <f>O66</f>
        <v>151023789.47</v>
      </c>
      <c r="P279" s="165">
        <f>P66</f>
        <v>91244996.319999993</v>
      </c>
      <c r="Q279" s="100"/>
    </row>
    <row r="280" spans="1:17" ht="16.149999999999999" customHeight="1" thickBot="1">
      <c r="A280" s="133" t="s">
        <v>52</v>
      </c>
      <c r="B280" s="125" t="s">
        <v>53</v>
      </c>
      <c r="C280" s="98">
        <f>C21+C274</f>
        <v>57965807</v>
      </c>
      <c r="D280" s="16"/>
      <c r="E280" s="16"/>
      <c r="F280" s="16"/>
      <c r="G280" s="16"/>
      <c r="H280" s="134"/>
      <c r="I280" s="135"/>
      <c r="J280" s="134"/>
      <c r="K280" s="135"/>
      <c r="L280" s="166">
        <f>L21+L274</f>
        <v>329293032.02999997</v>
      </c>
      <c r="M280" s="165"/>
      <c r="N280" s="165"/>
      <c r="O280" s="165"/>
      <c r="P280" s="165"/>
      <c r="Q280" s="100"/>
    </row>
    <row r="281" spans="1:17" s="143" customFormat="1" ht="16.149999999999999" customHeight="1">
      <c r="A281" s="136"/>
      <c r="B281" s="136"/>
      <c r="C281" s="137"/>
      <c r="D281" s="136"/>
      <c r="E281" s="138"/>
      <c r="F281" s="138"/>
      <c r="G281" s="138"/>
      <c r="H281" s="136"/>
      <c r="I281" s="136"/>
      <c r="J281" s="136"/>
      <c r="K281" s="136"/>
      <c r="L281" s="139"/>
      <c r="M281" s="140"/>
      <c r="N281" s="140"/>
      <c r="O281" s="141"/>
      <c r="P281" s="141"/>
      <c r="Q281" s="142"/>
    </row>
    <row r="282" spans="1:17" s="143" customFormat="1" ht="16.149999999999999" customHeight="1">
      <c r="A282" s="136"/>
      <c r="B282" s="144" t="s">
        <v>54</v>
      </c>
      <c r="C282" s="145">
        <f>C9-C274</f>
        <v>0</v>
      </c>
      <c r="D282" s="146"/>
      <c r="E282" s="147"/>
      <c r="F282" s="147"/>
      <c r="G282" s="147"/>
      <c r="L282" s="141"/>
      <c r="M282" s="136"/>
      <c r="N282" s="144"/>
      <c r="O282" s="144"/>
    </row>
    <row r="283" spans="1:17" s="143" customFormat="1" ht="16.149999999999999" customHeight="1">
      <c r="A283" s="136"/>
      <c r="B283" s="144" t="s">
        <v>55</v>
      </c>
      <c r="C283" s="2"/>
      <c r="D283" s="2"/>
      <c r="E283" s="2"/>
      <c r="F283" s="2"/>
      <c r="G283" s="2"/>
      <c r="H283" s="2"/>
      <c r="I283" s="2"/>
      <c r="J283" s="2"/>
      <c r="K283" s="2"/>
      <c r="L283" s="2"/>
      <c r="M283" s="2"/>
      <c r="N283" s="2"/>
      <c r="O283" s="2"/>
      <c r="P283" s="2"/>
    </row>
    <row r="284" spans="1:17" s="143" customFormat="1" ht="16.149999999999999" customHeight="1">
      <c r="A284" s="136"/>
      <c r="B284" s="144" t="s">
        <v>56</v>
      </c>
      <c r="C284" s="2"/>
      <c r="D284" s="2"/>
      <c r="E284" s="2"/>
      <c r="F284" s="2"/>
      <c r="G284" s="2"/>
      <c r="H284" s="2"/>
      <c r="I284" s="2"/>
      <c r="J284" s="2"/>
      <c r="K284" s="2"/>
      <c r="L284" s="2"/>
      <c r="M284" s="2"/>
      <c r="N284" s="2"/>
      <c r="O284" s="2"/>
      <c r="P284" s="2"/>
    </row>
    <row r="285" spans="1:17" s="143" customFormat="1" ht="15.75" customHeight="1">
      <c r="A285" s="136"/>
      <c r="B285" s="148"/>
      <c r="C285" s="2"/>
      <c r="D285" s="2"/>
      <c r="E285" s="2"/>
      <c r="F285" s="2"/>
      <c r="G285" s="2"/>
      <c r="H285" s="2"/>
      <c r="I285" s="2"/>
      <c r="J285" s="2"/>
      <c r="K285" s="2"/>
      <c r="L285" s="2"/>
      <c r="M285" s="2"/>
      <c r="N285" s="2"/>
      <c r="O285" s="2"/>
      <c r="P285" s="2"/>
    </row>
    <row r="286" spans="1:17" s="143" customFormat="1" ht="15.75" customHeight="1">
      <c r="A286" s="136"/>
      <c r="B286" s="149"/>
      <c r="C286" s="2"/>
      <c r="D286" s="2"/>
      <c r="E286" s="2"/>
      <c r="F286" s="2"/>
      <c r="G286" s="2"/>
      <c r="H286" s="2"/>
      <c r="I286" s="2"/>
      <c r="J286" s="2"/>
      <c r="K286" s="2"/>
      <c r="L286" s="2"/>
      <c r="M286" s="2"/>
      <c r="N286" s="2"/>
      <c r="O286" s="2"/>
      <c r="P286" s="2"/>
    </row>
    <row r="287" spans="1:17" s="143" customFormat="1" ht="15.75" customHeight="1">
      <c r="A287" s="136"/>
      <c r="B287" s="148"/>
      <c r="C287" s="2"/>
      <c r="D287" s="2"/>
      <c r="E287" s="2"/>
      <c r="F287" s="2"/>
      <c r="G287" s="2"/>
      <c r="H287" s="2"/>
      <c r="I287" s="2"/>
      <c r="J287" s="2"/>
      <c r="K287" s="2"/>
      <c r="L287" s="2"/>
      <c r="M287" s="2"/>
      <c r="N287" s="2"/>
      <c r="O287" s="2"/>
      <c r="P287" s="2"/>
    </row>
    <row r="288" spans="1:17" s="143" customFormat="1" ht="15.75" customHeight="1">
      <c r="A288" s="136"/>
      <c r="B288" s="148"/>
      <c r="C288" s="2"/>
      <c r="D288" s="2"/>
      <c r="E288" s="2"/>
      <c r="F288" s="2"/>
      <c r="G288" s="2"/>
      <c r="H288" s="2"/>
      <c r="I288" s="2"/>
      <c r="J288" s="2"/>
      <c r="K288" s="2"/>
      <c r="L288" s="2"/>
      <c r="M288" s="2"/>
      <c r="N288" s="2"/>
      <c r="O288" s="2"/>
      <c r="P288" s="2"/>
    </row>
    <row r="289" spans="1:16" s="143" customFormat="1" ht="15.75" customHeight="1">
      <c r="A289" s="136"/>
      <c r="B289" s="148"/>
      <c r="C289" s="2"/>
      <c r="D289" s="2"/>
      <c r="E289" s="2"/>
      <c r="F289" s="2"/>
      <c r="G289" s="2"/>
      <c r="H289" s="2"/>
      <c r="I289" s="2"/>
      <c r="J289" s="2"/>
      <c r="K289" s="2"/>
      <c r="L289" s="2"/>
      <c r="M289" s="2"/>
      <c r="N289" s="2"/>
      <c r="O289" s="2"/>
      <c r="P289" s="2"/>
    </row>
    <row r="290" spans="1:16" s="143" customFormat="1" ht="15.75" customHeight="1">
      <c r="A290" s="136"/>
      <c r="B290" s="144" t="s">
        <v>57</v>
      </c>
      <c r="C290" s="2"/>
      <c r="D290" s="495" t="s">
        <v>1827</v>
      </c>
      <c r="E290" s="495" t="s">
        <v>1517</v>
      </c>
      <c r="F290" s="2"/>
      <c r="G290" s="2"/>
      <c r="H290" s="2"/>
      <c r="I290" s="2"/>
      <c r="J290" s="2"/>
      <c r="K290" s="2"/>
      <c r="L290" s="2"/>
      <c r="M290" s="2"/>
      <c r="N290" s="2"/>
      <c r="O290" s="2"/>
      <c r="P290" s="2"/>
    </row>
    <row r="291" spans="1:16" ht="16.149999999999999" customHeight="1">
      <c r="A291" s="150"/>
      <c r="B291" s="151"/>
      <c r="C291" s="2" t="s">
        <v>553</v>
      </c>
      <c r="D291" s="1868">
        <f>'газ-ночь'!C49</f>
        <v>0.17256005420515169</v>
      </c>
      <c r="E291" s="1868">
        <f>'газ-ночь'!C50</f>
        <v>0.18664477254200681</v>
      </c>
      <c r="F291" s="2"/>
      <c r="G291" s="2"/>
      <c r="H291" s="2"/>
      <c r="I291" s="2"/>
      <c r="J291" s="2"/>
      <c r="K291" s="2"/>
      <c r="L291" s="2"/>
      <c r="M291" s="2"/>
      <c r="N291" s="2"/>
      <c r="O291" s="2"/>
      <c r="P291" s="2"/>
    </row>
    <row r="292" spans="1:16" ht="15" customHeight="1">
      <c r="A292" s="2"/>
      <c r="B292" s="2"/>
      <c r="C292" s="2" t="s">
        <v>1178</v>
      </c>
      <c r="D292" s="1868">
        <f>'газ-ночь'!J49</f>
        <v>0.1342716590724429</v>
      </c>
      <c r="E292" s="1868">
        <f>'газ-ночь'!J50</f>
        <v>0.14590259436810096</v>
      </c>
      <c r="F292" s="2"/>
      <c r="G292" s="2"/>
      <c r="H292" s="2"/>
      <c r="I292" s="2"/>
      <c r="J292" s="2"/>
      <c r="K292" s="2"/>
      <c r="L292" s="2"/>
      <c r="M292" s="2"/>
      <c r="N292" s="2"/>
      <c r="O292" s="2"/>
      <c r="P292" s="2"/>
    </row>
    <row r="293" spans="1:16" ht="15" customHeight="1">
      <c r="A293" s="2"/>
      <c r="B293" s="2"/>
      <c r="C293" s="2"/>
      <c r="D293" s="2"/>
      <c r="E293" s="2"/>
      <c r="F293" s="2"/>
      <c r="G293" s="2"/>
      <c r="H293" s="2"/>
      <c r="I293" s="2"/>
      <c r="J293" s="2"/>
      <c r="K293" s="2"/>
      <c r="L293" s="2"/>
      <c r="M293" s="2"/>
      <c r="N293" s="2"/>
      <c r="O293" s="2"/>
      <c r="P293" s="2"/>
    </row>
    <row r="294" spans="1:16" ht="12.75">
      <c r="A294" s="2"/>
      <c r="B294" s="2"/>
      <c r="C294" s="2"/>
      <c r="D294" s="2"/>
      <c r="E294" s="2"/>
      <c r="F294" s="2"/>
      <c r="G294" s="2"/>
      <c r="H294" s="2"/>
      <c r="I294" s="2"/>
      <c r="J294" s="2"/>
      <c r="K294" s="2"/>
      <c r="L294" s="2"/>
      <c r="M294" s="2"/>
      <c r="N294" s="2"/>
      <c r="O294" s="2"/>
      <c r="P294" s="2"/>
    </row>
    <row r="295" spans="1:16" ht="12.75">
      <c r="A295" s="2"/>
      <c r="B295" s="2"/>
      <c r="C295" s="2"/>
      <c r="D295" s="2"/>
      <c r="E295" s="2"/>
      <c r="F295" s="2"/>
      <c r="G295" s="2"/>
      <c r="H295" s="2"/>
      <c r="I295" s="2"/>
      <c r="J295" s="2"/>
      <c r="K295" s="2"/>
      <c r="L295" s="2"/>
      <c r="M295" s="2"/>
      <c r="N295" s="2"/>
      <c r="O295" s="2"/>
      <c r="P295" s="2"/>
    </row>
    <row r="296" spans="1:16" ht="12.75">
      <c r="A296" s="2"/>
      <c r="B296" s="2"/>
      <c r="C296" s="2"/>
      <c r="D296" s="2"/>
      <c r="E296" s="2"/>
      <c r="F296" s="2"/>
      <c r="G296" s="2"/>
      <c r="H296" s="2"/>
      <c r="I296" s="2"/>
      <c r="J296" s="2"/>
      <c r="K296" s="2"/>
      <c r="L296" s="2"/>
      <c r="M296" s="2"/>
      <c r="N296" s="2"/>
      <c r="O296" s="2"/>
      <c r="P296" s="2"/>
    </row>
    <row r="297" spans="1:16" ht="23.25">
      <c r="A297" s="2"/>
      <c r="B297" s="195" t="s">
        <v>166</v>
      </c>
      <c r="C297" s="197">
        <f>SUM(D297:G297)</f>
        <v>55312285</v>
      </c>
      <c r="D297" s="197"/>
      <c r="E297" s="197">
        <f>E298+E299</f>
        <v>2685312</v>
      </c>
      <c r="F297" s="197">
        <f>F298+F299</f>
        <v>20696657</v>
      </c>
      <c r="G297" s="197">
        <f>G298+G299</f>
        <v>31930316</v>
      </c>
      <c r="H297" s="2"/>
      <c r="I297" s="2"/>
      <c r="J297" s="2"/>
      <c r="K297" s="2"/>
      <c r="L297" s="2"/>
      <c r="M297" s="2"/>
      <c r="N297" s="2"/>
      <c r="O297" s="2"/>
      <c r="P297" s="2"/>
    </row>
    <row r="298" spans="1:16" ht="18.75">
      <c r="A298" s="2"/>
      <c r="B298" s="316" t="s">
        <v>280</v>
      </c>
      <c r="C298" s="197">
        <f>SUM(D298:G298)</f>
        <v>30482046</v>
      </c>
      <c r="D298" s="2"/>
      <c r="E298" s="317">
        <f>ROUND(E279-E69-E306,0)</f>
        <v>2685312</v>
      </c>
      <c r="F298" s="317">
        <f>IFERROR(ROUND(F279-F69-F125-F306-F310,0),0)</f>
        <v>17078414</v>
      </c>
      <c r="G298" s="317">
        <f>IFERROR(ROUND(G279-G69-G125-G306-G310,0),0)</f>
        <v>10718320</v>
      </c>
      <c r="H298" s="2"/>
      <c r="I298" s="2"/>
      <c r="J298" s="2"/>
      <c r="K298" s="2"/>
      <c r="L298" s="2"/>
      <c r="M298" s="2"/>
      <c r="N298" s="2"/>
      <c r="O298" s="2"/>
      <c r="P298" s="2"/>
    </row>
    <row r="299" spans="1:16" ht="18.75">
      <c r="A299" s="2"/>
      <c r="B299" s="316" t="s">
        <v>28</v>
      </c>
      <c r="C299" s="197">
        <f>SUM(D299:G299)</f>
        <v>24830239</v>
      </c>
      <c r="D299" s="2"/>
      <c r="E299" s="317">
        <f>E278-E307</f>
        <v>0</v>
      </c>
      <c r="F299" s="317">
        <f>F278-F307</f>
        <v>3618243</v>
      </c>
      <c r="G299" s="317">
        <f>G278-G307</f>
        <v>21211996</v>
      </c>
      <c r="H299" s="2"/>
      <c r="I299" s="2"/>
      <c r="J299" s="2"/>
      <c r="K299" s="2"/>
      <c r="L299" s="2"/>
      <c r="M299" s="2"/>
      <c r="N299" s="2"/>
      <c r="O299" s="2"/>
      <c r="P299" s="2"/>
    </row>
    <row r="300" spans="1:16" ht="12.75">
      <c r="A300" s="2"/>
      <c r="B300" s="348" t="s">
        <v>326</v>
      </c>
      <c r="C300" s="2"/>
      <c r="D300" s="2"/>
      <c r="E300" s="2"/>
      <c r="F300" s="317">
        <f>IFERROR(F40+F41+F42+F43+F44+F45+F46+F47+F48+F49+F50+F51+F52+F53+F54+F55+F56+F57+F58+F59+F60+F61+F62+F63,0)</f>
        <v>1956120</v>
      </c>
      <c r="G300" s="317">
        <f>IFERROR(G40+G41+G42+G43+G44+G45+G46+G47+G48+G49+G50+G51+G52+G53+G54+G55+G56+G57+G58+G59+G60+G61+G62+G63,0)</f>
        <v>1660013</v>
      </c>
      <c r="H300" s="2"/>
      <c r="I300" s="2"/>
      <c r="J300" s="2"/>
      <c r="K300" s="2"/>
      <c r="L300" s="2"/>
      <c r="M300" s="2"/>
      <c r="N300" s="2"/>
      <c r="O300" s="2"/>
      <c r="P300" s="2"/>
    </row>
    <row r="301" spans="1:16" ht="12.75">
      <c r="A301" s="2"/>
      <c r="B301" s="348" t="s">
        <v>327</v>
      </c>
      <c r="C301" s="2"/>
      <c r="D301" s="2"/>
      <c r="E301" s="2"/>
      <c r="F301" s="317">
        <f>F299-F300-F302</f>
        <v>133018</v>
      </c>
      <c r="G301" s="317">
        <f>G299-G300-G302</f>
        <v>14526077</v>
      </c>
      <c r="H301" s="2"/>
      <c r="I301" s="2"/>
      <c r="J301" s="2"/>
      <c r="K301" s="2"/>
      <c r="L301" s="2"/>
      <c r="M301" s="2"/>
      <c r="N301" s="2"/>
      <c r="O301" s="2"/>
      <c r="P301" s="2"/>
    </row>
    <row r="302" spans="1:16" ht="18">
      <c r="A302" s="2"/>
      <c r="B302" s="316" t="s">
        <v>4921</v>
      </c>
      <c r="C302" s="2"/>
      <c r="D302" s="2"/>
      <c r="E302" s="2"/>
      <c r="F302" s="3976">
        <v>1529105</v>
      </c>
      <c r="G302" s="3976">
        <v>5025906</v>
      </c>
      <c r="H302" s="2"/>
      <c r="I302" s="2"/>
      <c r="J302" s="2"/>
      <c r="K302" s="2"/>
      <c r="L302" s="2"/>
      <c r="M302" s="2"/>
      <c r="N302" s="2"/>
      <c r="O302" s="2"/>
      <c r="P302" s="2"/>
    </row>
    <row r="303" spans="1:16" ht="12.75">
      <c r="A303" s="2"/>
      <c r="B303" s="2"/>
      <c r="C303" s="2"/>
      <c r="D303" s="2"/>
      <c r="E303" s="2"/>
      <c r="F303" s="2"/>
      <c r="G303" s="2"/>
      <c r="H303" s="2"/>
      <c r="I303" s="2"/>
      <c r="J303" s="2"/>
      <c r="K303" s="2"/>
      <c r="L303" s="2"/>
      <c r="M303" s="2"/>
      <c r="N303" s="2"/>
      <c r="O303" s="2"/>
      <c r="P303" s="2"/>
    </row>
    <row r="304" spans="1:16" ht="12.75">
      <c r="A304" s="2"/>
      <c r="B304" s="2"/>
      <c r="C304" s="2"/>
      <c r="D304" s="2"/>
      <c r="E304" s="2"/>
      <c r="F304" s="2"/>
      <c r="G304" s="2"/>
      <c r="H304" s="2"/>
      <c r="I304" s="2"/>
      <c r="J304" s="2"/>
      <c r="K304" s="2"/>
      <c r="L304" s="2"/>
      <c r="M304" s="2"/>
      <c r="N304" s="2"/>
      <c r="O304" s="2"/>
      <c r="P304" s="2"/>
    </row>
    <row r="305" spans="1:16" ht="23.25">
      <c r="A305" s="2"/>
      <c r="B305" s="195" t="s">
        <v>325</v>
      </c>
      <c r="C305" s="197">
        <f>SUM(D305:G305)</f>
        <v>0</v>
      </c>
      <c r="D305" s="197"/>
      <c r="E305" s="197">
        <f>E306+E307</f>
        <v>0</v>
      </c>
      <c r="F305" s="197">
        <f>F306+F307</f>
        <v>0</v>
      </c>
      <c r="G305" s="197">
        <f>G306+G307</f>
        <v>0</v>
      </c>
      <c r="H305" s="2"/>
      <c r="I305" s="2"/>
      <c r="J305" s="2"/>
      <c r="K305" s="2"/>
      <c r="L305" s="2"/>
      <c r="M305" s="2"/>
      <c r="N305" s="2"/>
      <c r="O305" s="2"/>
      <c r="P305" s="2"/>
    </row>
    <row r="306" spans="1:16" ht="18.75">
      <c r="A306" s="2"/>
      <c r="B306" s="316" t="s">
        <v>280</v>
      </c>
      <c r="C306" s="197">
        <f>SUM(D306:G306)</f>
        <v>0</v>
      </c>
      <c r="D306" s="2"/>
      <c r="E306" s="317"/>
      <c r="F306" s="317">
        <v>0</v>
      </c>
      <c r="G306" s="317"/>
      <c r="H306" s="2"/>
      <c r="I306" s="2"/>
      <c r="J306" s="2"/>
      <c r="K306" s="2"/>
      <c r="L306" s="2"/>
      <c r="M306" s="2"/>
      <c r="N306" s="2"/>
      <c r="O306" s="2"/>
      <c r="P306" s="2"/>
    </row>
    <row r="307" spans="1:16" ht="18.75">
      <c r="A307" s="2"/>
      <c r="B307" s="316" t="s">
        <v>28</v>
      </c>
      <c r="C307" s="197">
        <f>SUM(D307:G307)</f>
        <v>0</v>
      </c>
      <c r="D307" s="2"/>
      <c r="E307" s="317"/>
      <c r="F307" s="317">
        <v>0</v>
      </c>
      <c r="G307" s="317"/>
      <c r="H307" s="2"/>
      <c r="I307" s="2"/>
      <c r="J307" s="2"/>
      <c r="K307" s="2"/>
      <c r="L307" s="2"/>
      <c r="M307" s="2"/>
      <c r="N307" s="2"/>
      <c r="O307" s="2"/>
      <c r="P307" s="2"/>
    </row>
    <row r="308" spans="1:16" ht="12.75">
      <c r="A308" s="2"/>
      <c r="B308" s="2"/>
      <c r="C308" s="2"/>
      <c r="D308" s="2"/>
      <c r="E308" s="2"/>
      <c r="F308" s="2"/>
      <c r="G308" s="2"/>
      <c r="H308" s="2"/>
      <c r="I308" s="2"/>
      <c r="J308" s="2"/>
      <c r="K308" s="2"/>
      <c r="L308" s="2"/>
      <c r="M308" s="2"/>
      <c r="N308" s="2"/>
      <c r="O308" s="2"/>
      <c r="P308" s="2"/>
    </row>
    <row r="309" spans="1:16" ht="23.25">
      <c r="A309" s="2"/>
      <c r="B309" s="195" t="s">
        <v>1820</v>
      </c>
      <c r="C309" s="197">
        <f>SUM(D309:G309)</f>
        <v>0</v>
      </c>
      <c r="D309" s="197"/>
      <c r="E309" s="197">
        <f>E310+E311</f>
        <v>0</v>
      </c>
      <c r="F309" s="197">
        <f>F310+F311</f>
        <v>0</v>
      </c>
      <c r="G309" s="197">
        <f>G310+G311</f>
        <v>0</v>
      </c>
      <c r="H309" s="2"/>
      <c r="I309" s="2"/>
      <c r="J309" s="2"/>
      <c r="K309" s="2"/>
      <c r="L309" s="2"/>
      <c r="M309" s="2"/>
      <c r="N309" s="2"/>
      <c r="O309" s="2"/>
      <c r="P309" s="2"/>
    </row>
    <row r="310" spans="1:16" ht="18.75">
      <c r="A310" s="2"/>
      <c r="B310" s="316" t="s">
        <v>280</v>
      </c>
      <c r="C310" s="197">
        <f>SUM(D310:G310)</f>
        <v>0</v>
      </c>
      <c r="D310" s="2"/>
      <c r="E310" s="317"/>
      <c r="F310" s="317">
        <v>0</v>
      </c>
      <c r="G310" s="317"/>
      <c r="H310" s="2"/>
      <c r="I310" s="2"/>
      <c r="J310" s="2"/>
      <c r="K310" s="2"/>
      <c r="L310" s="2"/>
      <c r="M310" s="2"/>
      <c r="N310" s="2"/>
      <c r="O310" s="2"/>
      <c r="P310" s="2"/>
    </row>
    <row r="311" spans="1:16" ht="18.75">
      <c r="A311" s="2"/>
      <c r="B311" s="316"/>
      <c r="C311" s="197"/>
      <c r="D311" s="2"/>
      <c r="E311" s="317"/>
      <c r="F311" s="317"/>
      <c r="G311" s="317"/>
      <c r="H311" s="2"/>
      <c r="I311" s="2"/>
      <c r="J311" s="2"/>
      <c r="K311" s="2"/>
      <c r="L311" s="2"/>
      <c r="M311" s="2"/>
      <c r="N311" s="2"/>
      <c r="O311" s="2"/>
      <c r="P311" s="2"/>
    </row>
    <row r="312" spans="1:16" ht="12.75">
      <c r="A312" s="2"/>
      <c r="B312" s="2"/>
      <c r="C312" s="2"/>
      <c r="D312" s="2"/>
      <c r="E312" s="2"/>
      <c r="F312" s="2"/>
      <c r="G312" s="2"/>
      <c r="H312" s="2"/>
      <c r="I312" s="2"/>
      <c r="J312" s="2"/>
      <c r="K312" s="2"/>
      <c r="L312" s="2"/>
      <c r="M312" s="2"/>
      <c r="N312" s="2"/>
      <c r="O312" s="2"/>
      <c r="P312" s="2"/>
    </row>
    <row r="313" spans="1:16" ht="12.75">
      <c r="A313" s="2"/>
      <c r="B313" s="2"/>
      <c r="C313" s="2"/>
      <c r="D313" s="2"/>
      <c r="E313" s="2"/>
      <c r="F313" s="2"/>
      <c r="G313" s="2"/>
      <c r="H313" s="2"/>
      <c r="I313" s="2"/>
      <c r="J313" s="2"/>
      <c r="K313" s="2"/>
      <c r="L313" s="2"/>
      <c r="M313" s="2"/>
      <c r="N313" s="2"/>
      <c r="O313" s="2"/>
      <c r="P313" s="2"/>
    </row>
    <row r="314" spans="1:16" ht="13.5" thickBot="1">
      <c r="A314" s="2"/>
      <c r="B314" s="2"/>
      <c r="C314" s="2"/>
      <c r="D314" s="2"/>
      <c r="E314" s="2"/>
      <c r="F314" s="2"/>
      <c r="G314" s="2"/>
      <c r="H314" s="2"/>
      <c r="I314" s="2"/>
      <c r="J314" s="2"/>
      <c r="K314" s="2"/>
      <c r="L314" s="2"/>
      <c r="M314" s="2"/>
      <c r="N314" s="2"/>
      <c r="O314" s="2"/>
      <c r="P314" s="2"/>
    </row>
    <row r="315" spans="1:16" ht="25.5">
      <c r="A315" s="2"/>
      <c r="B315" s="2"/>
      <c r="C315" s="518" t="s">
        <v>400</v>
      </c>
      <c r="D315" s="519" t="s">
        <v>401</v>
      </c>
      <c r="E315" s="519" t="s">
        <v>402</v>
      </c>
      <c r="F315" s="519" t="s">
        <v>403</v>
      </c>
      <c r="G315" s="519" t="s">
        <v>404</v>
      </c>
      <c r="H315" s="519" t="s">
        <v>405</v>
      </c>
      <c r="I315" s="519" t="s">
        <v>406</v>
      </c>
      <c r="J315" s="520" t="s">
        <v>407</v>
      </c>
      <c r="K315" s="2"/>
      <c r="L315" s="2"/>
      <c r="M315" s="2"/>
      <c r="N315" s="2"/>
      <c r="O315" s="2"/>
      <c r="P315" s="2"/>
    </row>
    <row r="316" spans="1:16" ht="12.75">
      <c r="A316" s="2"/>
      <c r="B316" s="2"/>
      <c r="C316" s="521" t="s">
        <v>25</v>
      </c>
      <c r="D316" s="4117" t="s">
        <v>408</v>
      </c>
      <c r="E316" s="4118"/>
      <c r="F316" s="4119"/>
      <c r="G316" s="4119"/>
      <c r="H316" s="4119"/>
      <c r="I316" s="4119"/>
      <c r="J316" s="4120"/>
      <c r="K316" s="2"/>
      <c r="L316" s="2"/>
      <c r="M316" s="2"/>
      <c r="N316" s="2"/>
      <c r="O316" s="2"/>
      <c r="P316" s="2"/>
    </row>
    <row r="317" spans="1:16" ht="12.75">
      <c r="A317" s="2"/>
      <c r="B317" s="2"/>
      <c r="C317" s="522" t="s">
        <v>339</v>
      </c>
      <c r="D317" s="523" t="s">
        <v>409</v>
      </c>
      <c r="E317" s="524" t="s">
        <v>410</v>
      </c>
      <c r="F317" s="525">
        <f>(E68+E71+E74)/1000</f>
        <v>2685.3119999999999</v>
      </c>
      <c r="G317" s="524">
        <f>ЕКТ!C15</f>
        <v>4069.7</v>
      </c>
      <c r="H317" s="594">
        <f t="shared" ref="H317:H332" si="95">+ROUND(F317*G317,2)</f>
        <v>10928414.25</v>
      </c>
      <c r="I317" s="594">
        <f>+ROUND(H317*0.22,2)</f>
        <v>2404251.14</v>
      </c>
      <c r="J317" s="595">
        <f t="shared" ref="J317:J332" si="96">+H317+I317</f>
        <v>13332665.390000001</v>
      </c>
      <c r="K317" s="2"/>
      <c r="L317" s="2"/>
      <c r="M317" s="2"/>
      <c r="N317" s="2"/>
      <c r="O317" s="2"/>
      <c r="P317" s="2"/>
    </row>
    <row r="318" spans="1:16" ht="12.75">
      <c r="A318" s="2"/>
      <c r="B318" s="2"/>
      <c r="C318" s="522" t="s">
        <v>390</v>
      </c>
      <c r="D318" s="523" t="s">
        <v>411</v>
      </c>
      <c r="E318" s="524" t="s">
        <v>410</v>
      </c>
      <c r="F318" s="525">
        <f>(F68+F71+F74)/1000</f>
        <v>16975.991000000002</v>
      </c>
      <c r="G318" s="524">
        <f>ЕКТ!D15</f>
        <v>4360.62</v>
      </c>
      <c r="H318" s="594">
        <f>+ROUND(F318*G318,2)</f>
        <v>74025845.870000005</v>
      </c>
      <c r="I318" s="594">
        <f>+ROUND(H318*0.22,2)</f>
        <v>16285686.09</v>
      </c>
      <c r="J318" s="595">
        <f t="shared" si="96"/>
        <v>90311531.960000008</v>
      </c>
      <c r="K318" s="2"/>
      <c r="L318" s="2"/>
      <c r="M318" s="2"/>
      <c r="N318" s="2"/>
      <c r="O318" s="2"/>
      <c r="P318" s="2"/>
    </row>
    <row r="319" spans="1:16" ht="12.75">
      <c r="A319" s="2"/>
      <c r="B319" s="2"/>
      <c r="C319" s="526" t="s">
        <v>391</v>
      </c>
      <c r="D319" s="527" t="s">
        <v>12</v>
      </c>
      <c r="E319" s="524" t="s">
        <v>410</v>
      </c>
      <c r="F319" s="525">
        <f>(G68+G71+G74)/1000</f>
        <v>7137.4949999999999</v>
      </c>
      <c r="G319" s="524">
        <f>ЕКТ!E15</f>
        <v>4600.3</v>
      </c>
      <c r="H319" s="594">
        <f t="shared" si="95"/>
        <v>32834618.25</v>
      </c>
      <c r="I319" s="594">
        <f>+ROUND(H319*0.22,2)</f>
        <v>7223616.0199999996</v>
      </c>
      <c r="J319" s="595">
        <f t="shared" si="96"/>
        <v>40058234.269999996</v>
      </c>
      <c r="K319" s="2"/>
      <c r="L319" s="2"/>
      <c r="M319" s="2"/>
      <c r="N319" s="2"/>
      <c r="O319" s="2"/>
      <c r="P319" s="2"/>
    </row>
    <row r="320" spans="1:16" ht="12.75">
      <c r="A320" s="2"/>
      <c r="B320" s="2"/>
      <c r="C320" s="526" t="s">
        <v>412</v>
      </c>
      <c r="D320" s="523" t="s">
        <v>413</v>
      </c>
      <c r="E320" s="524" t="s">
        <v>410</v>
      </c>
      <c r="F320" s="528">
        <f>F300/1000</f>
        <v>1956.12</v>
      </c>
      <c r="G320" s="524"/>
      <c r="H320" s="594">
        <f>+ROUND(F320*G320,2)</f>
        <v>0</v>
      </c>
      <c r="I320" s="594">
        <f t="shared" ref="I320:I324" si="97">+ROUND(H320*0.2,2)</f>
        <v>0</v>
      </c>
      <c r="J320" s="595">
        <f t="shared" si="96"/>
        <v>0</v>
      </c>
      <c r="K320" s="2"/>
      <c r="L320" s="2"/>
      <c r="M320" s="2"/>
      <c r="N320" s="2"/>
      <c r="O320" s="2"/>
      <c r="P320" s="2"/>
    </row>
    <row r="321" spans="1:16" ht="12.75">
      <c r="A321" s="2"/>
      <c r="B321" s="2"/>
      <c r="C321" s="3964"/>
      <c r="D321" s="3965" t="s">
        <v>4916</v>
      </c>
      <c r="E321" s="3966" t="s">
        <v>410</v>
      </c>
      <c r="F321" s="3967">
        <f>(F40+F43+F46+F49+F52+F55+F58+F61)/1000</f>
        <v>1934.4580000000001</v>
      </c>
      <c r="G321" s="3966">
        <f>ЕКТ!B20</f>
        <v>1044.56</v>
      </c>
      <c r="H321" s="594">
        <f t="shared" ref="H321:H323" si="98">+ROUND(F321*G321,2)</f>
        <v>2020657.45</v>
      </c>
      <c r="I321" s="594">
        <f>+ROUND(H321*0.22,2)</f>
        <v>444544.64</v>
      </c>
      <c r="J321" s="595">
        <f t="shared" ref="J321:J323" si="99">+H321+I321</f>
        <v>2465202.09</v>
      </c>
      <c r="K321" s="2"/>
      <c r="L321" s="2"/>
      <c r="M321" s="2"/>
      <c r="N321" s="2"/>
      <c r="O321" s="2"/>
      <c r="P321" s="2"/>
    </row>
    <row r="322" spans="1:16" ht="12.75">
      <c r="A322" s="2"/>
      <c r="B322" s="2"/>
      <c r="C322" s="3964"/>
      <c r="D322" s="3965" t="s">
        <v>4917</v>
      </c>
      <c r="E322" s="3966" t="s">
        <v>410</v>
      </c>
      <c r="F322" s="3967">
        <f>(F41+F44+F47+F50+F53+F56+F59+F62)/1000</f>
        <v>4.2190000000000003</v>
      </c>
      <c r="G322" s="3966">
        <f>ЕКТ!B24</f>
        <v>2850</v>
      </c>
      <c r="H322" s="594">
        <f t="shared" si="98"/>
        <v>12024.15</v>
      </c>
      <c r="I322" s="594">
        <f>+ROUND(H322*0.22,2)</f>
        <v>2645.31</v>
      </c>
      <c r="J322" s="595">
        <f t="shared" si="99"/>
        <v>14669.46</v>
      </c>
      <c r="K322" s="2"/>
      <c r="L322" s="2"/>
      <c r="M322" s="2"/>
      <c r="N322" s="2"/>
      <c r="O322" s="2"/>
      <c r="P322" s="2"/>
    </row>
    <row r="323" spans="1:16" ht="12.75">
      <c r="A323" s="2"/>
      <c r="B323" s="2"/>
      <c r="C323" s="3964"/>
      <c r="D323" s="3965" t="s">
        <v>4918</v>
      </c>
      <c r="E323" s="3966" t="s">
        <v>410</v>
      </c>
      <c r="F323" s="3967">
        <f>F320-F321-F322</f>
        <v>17.442999999999806</v>
      </c>
      <c r="G323" s="3966">
        <f>ЕКТ!B28</f>
        <v>5550</v>
      </c>
      <c r="H323" s="594">
        <f t="shared" si="98"/>
        <v>96808.65</v>
      </c>
      <c r="I323" s="594">
        <f>+ROUND(H323*0.22,2)</f>
        <v>21297.9</v>
      </c>
      <c r="J323" s="595">
        <f t="shared" si="99"/>
        <v>118106.54999999999</v>
      </c>
      <c r="K323" s="2"/>
      <c r="L323" s="2"/>
      <c r="M323" s="2"/>
      <c r="N323" s="2"/>
      <c r="O323" s="2"/>
      <c r="P323" s="2"/>
    </row>
    <row r="324" spans="1:16" ht="12.75">
      <c r="A324" s="2"/>
      <c r="B324" s="2"/>
      <c r="C324" s="526" t="s">
        <v>414</v>
      </c>
      <c r="D324" s="527" t="s">
        <v>415</v>
      </c>
      <c r="E324" s="524" t="s">
        <v>410</v>
      </c>
      <c r="F324" s="529">
        <f>G300/1000</f>
        <v>1660.0129999999999</v>
      </c>
      <c r="G324" s="524"/>
      <c r="H324" s="585">
        <f t="shared" si="95"/>
        <v>0</v>
      </c>
      <c r="I324" s="585">
        <f t="shared" si="97"/>
        <v>0</v>
      </c>
      <c r="J324" s="586">
        <f t="shared" si="96"/>
        <v>0</v>
      </c>
      <c r="K324" s="2"/>
      <c r="L324" s="2"/>
      <c r="M324" s="2"/>
      <c r="N324" s="2"/>
      <c r="O324" s="2"/>
      <c r="P324" s="2"/>
    </row>
    <row r="325" spans="1:16" ht="12.75">
      <c r="A325" s="2"/>
      <c r="B325" s="2"/>
      <c r="C325" s="3964"/>
      <c r="D325" s="3965" t="s">
        <v>4916</v>
      </c>
      <c r="E325" s="3966" t="s">
        <v>410</v>
      </c>
      <c r="F325" s="3967">
        <f>(G40+G43+G46+G49+G52+G55+G58+G61)/1000</f>
        <v>1676.0119999999999</v>
      </c>
      <c r="G325" s="3968">
        <f>G321</f>
        <v>1044.56</v>
      </c>
      <c r="H325" s="594">
        <f t="shared" ref="H325:H327" si="100">+ROUND(F325*G325,2)</f>
        <v>1750695.09</v>
      </c>
      <c r="I325" s="594">
        <f t="shared" ref="I325:I335" si="101">+ROUND(H325*0.22,2)</f>
        <v>385152.92</v>
      </c>
      <c r="J325" s="595">
        <f t="shared" ref="J325:J327" si="102">+H325+I325</f>
        <v>2135848.0100000002</v>
      </c>
      <c r="K325" s="2"/>
      <c r="L325" s="2"/>
      <c r="M325" s="2"/>
      <c r="N325" s="2"/>
      <c r="O325" s="2"/>
      <c r="P325" s="2"/>
    </row>
    <row r="326" spans="1:16" ht="12.75">
      <c r="A326" s="2"/>
      <c r="B326" s="2"/>
      <c r="C326" s="3964"/>
      <c r="D326" s="3965" t="s">
        <v>4917</v>
      </c>
      <c r="E326" s="3966" t="s">
        <v>410</v>
      </c>
      <c r="F326" s="3967">
        <f>(G41+G44+G47+G50+G53+G56+G59+G62)/1000</f>
        <v>-2.7650000000000001</v>
      </c>
      <c r="G326" s="3968">
        <f>G322</f>
        <v>2850</v>
      </c>
      <c r="H326" s="594">
        <f t="shared" si="100"/>
        <v>-7880.25</v>
      </c>
      <c r="I326" s="594">
        <f t="shared" si="101"/>
        <v>-1733.66</v>
      </c>
      <c r="J326" s="595">
        <f t="shared" si="102"/>
        <v>-9613.91</v>
      </c>
      <c r="K326" s="2"/>
      <c r="L326" s="2"/>
      <c r="M326" s="2"/>
      <c r="N326" s="2"/>
      <c r="O326" s="2"/>
      <c r="P326" s="2"/>
    </row>
    <row r="327" spans="1:16" ht="12.75">
      <c r="A327" s="2"/>
      <c r="B327" s="2"/>
      <c r="C327" s="3964"/>
      <c r="D327" s="3965" t="s">
        <v>4918</v>
      </c>
      <c r="E327" s="3966" t="s">
        <v>410</v>
      </c>
      <c r="F327" s="3967">
        <f>F324-F325-F326</f>
        <v>-13.234000000000023</v>
      </c>
      <c r="G327" s="3968">
        <f>G323</f>
        <v>5550</v>
      </c>
      <c r="H327" s="594">
        <f t="shared" si="100"/>
        <v>-73448.7</v>
      </c>
      <c r="I327" s="594">
        <f t="shared" si="101"/>
        <v>-16158.71</v>
      </c>
      <c r="J327" s="595">
        <f t="shared" si="102"/>
        <v>-89607.41</v>
      </c>
      <c r="K327" s="2"/>
      <c r="L327" s="2"/>
      <c r="M327" s="2"/>
      <c r="N327" s="2"/>
      <c r="O327" s="2"/>
      <c r="P327" s="2"/>
    </row>
    <row r="328" spans="1:16" ht="12.75">
      <c r="A328" s="2"/>
      <c r="B328" s="2"/>
      <c r="C328" s="526" t="s">
        <v>416</v>
      </c>
      <c r="D328" s="523" t="s">
        <v>1786</v>
      </c>
      <c r="E328" s="524" t="s">
        <v>410</v>
      </c>
      <c r="F328" s="529">
        <f>F301/1000+F302/1000</f>
        <v>1662.123</v>
      </c>
      <c r="G328" s="530"/>
      <c r="H328" s="585">
        <f>+ROUND(F328*G328,2)</f>
        <v>0</v>
      </c>
      <c r="I328" s="585">
        <f t="shared" si="101"/>
        <v>0</v>
      </c>
      <c r="J328" s="586">
        <f>+H328+I328</f>
        <v>0</v>
      </c>
      <c r="K328" s="2"/>
      <c r="L328" s="2"/>
      <c r="M328" s="2"/>
      <c r="N328" s="2"/>
      <c r="O328" s="2"/>
      <c r="P328" s="2"/>
    </row>
    <row r="329" spans="1:16" ht="12.75">
      <c r="A329" s="2"/>
      <c r="B329" s="2"/>
      <c r="C329" s="3964"/>
      <c r="D329" s="3965" t="s">
        <v>4916</v>
      </c>
      <c r="E329" s="3968" t="s">
        <v>410</v>
      </c>
      <c r="F329" s="3967">
        <f>(F28+F31+F34)/1000</f>
        <v>1662.123</v>
      </c>
      <c r="G329" s="3968">
        <f>ЕКТ!B21</f>
        <v>91.34</v>
      </c>
      <c r="H329" s="594">
        <f t="shared" ref="H329:H331" si="103">+ROUND(F329*G329,2)</f>
        <v>151818.31</v>
      </c>
      <c r="I329" s="594">
        <f t="shared" si="101"/>
        <v>33400.03</v>
      </c>
      <c r="J329" s="595">
        <f t="shared" ref="J329:J331" si="104">+H329+I329</f>
        <v>185218.34</v>
      </c>
      <c r="K329" s="2"/>
      <c r="L329" s="2"/>
      <c r="M329" s="2"/>
      <c r="N329" s="2"/>
      <c r="O329" s="2"/>
      <c r="P329" s="2"/>
    </row>
    <row r="330" spans="1:16" ht="12.75">
      <c r="A330" s="2"/>
      <c r="B330" s="2"/>
      <c r="C330" s="3964"/>
      <c r="D330" s="3965" t="s">
        <v>4917</v>
      </c>
      <c r="E330" s="3968" t="s">
        <v>410</v>
      </c>
      <c r="F330" s="3967">
        <f>(F29+F32+F35)/1000</f>
        <v>0</v>
      </c>
      <c r="G330" s="3968">
        <f>ЕКТ!B25</f>
        <v>2850</v>
      </c>
      <c r="H330" s="594">
        <f t="shared" si="103"/>
        <v>0</v>
      </c>
      <c r="I330" s="594">
        <f t="shared" si="101"/>
        <v>0</v>
      </c>
      <c r="J330" s="595">
        <f t="shared" si="104"/>
        <v>0</v>
      </c>
      <c r="K330" s="2"/>
      <c r="L330" s="2"/>
      <c r="M330" s="2"/>
      <c r="N330" s="2"/>
      <c r="O330" s="2"/>
      <c r="P330" s="2"/>
    </row>
    <row r="331" spans="1:16" ht="12.75">
      <c r="A331" s="2"/>
      <c r="B331" s="2"/>
      <c r="C331" s="3964"/>
      <c r="D331" s="3965" t="s">
        <v>4918</v>
      </c>
      <c r="E331" s="3968" t="s">
        <v>410</v>
      </c>
      <c r="F331" s="3967">
        <f>(F30+F33+F36)/1000</f>
        <v>0</v>
      </c>
      <c r="G331" s="3968">
        <f>ЕКТ!B29</f>
        <v>5550</v>
      </c>
      <c r="H331" s="594">
        <f t="shared" si="103"/>
        <v>0</v>
      </c>
      <c r="I331" s="594">
        <f t="shared" si="101"/>
        <v>0</v>
      </c>
      <c r="J331" s="595">
        <f t="shared" si="104"/>
        <v>0</v>
      </c>
      <c r="K331" s="2"/>
      <c r="L331" s="2"/>
      <c r="M331" s="2"/>
      <c r="N331" s="2"/>
      <c r="O331" s="2"/>
      <c r="P331" s="2"/>
    </row>
    <row r="332" spans="1:16" ht="12.75">
      <c r="A332" s="2"/>
      <c r="B332" s="2"/>
      <c r="C332" s="526" t="s">
        <v>419</v>
      </c>
      <c r="D332" s="527" t="s">
        <v>417</v>
      </c>
      <c r="E332" s="530" t="s">
        <v>410</v>
      </c>
      <c r="F332" s="529">
        <f>G301/1000+G302/1000</f>
        <v>19551.983</v>
      </c>
      <c r="G332" s="530"/>
      <c r="H332" s="587">
        <f t="shared" si="95"/>
        <v>0</v>
      </c>
      <c r="I332" s="587">
        <f t="shared" si="101"/>
        <v>0</v>
      </c>
      <c r="J332" s="588">
        <f t="shared" si="96"/>
        <v>0</v>
      </c>
      <c r="K332" s="2"/>
      <c r="L332" s="2"/>
      <c r="M332" s="2"/>
      <c r="N332" s="2"/>
      <c r="O332" s="2"/>
      <c r="P332" s="2"/>
    </row>
    <row r="333" spans="1:16" ht="12.75">
      <c r="A333" s="2"/>
      <c r="B333" s="2"/>
      <c r="C333" s="3969"/>
      <c r="D333" s="3970" t="s">
        <v>4916</v>
      </c>
      <c r="E333" s="3971" t="s">
        <v>410</v>
      </c>
      <c r="F333" s="3972">
        <f>(G28+G31+G34)/1000</f>
        <v>19517.357</v>
      </c>
      <c r="G333" s="3971">
        <f>G329</f>
        <v>91.34</v>
      </c>
      <c r="H333" s="594">
        <f t="shared" ref="H333:H335" si="105">+ROUND(F333*G333,2)</f>
        <v>1782715.39</v>
      </c>
      <c r="I333" s="594">
        <f t="shared" si="101"/>
        <v>392197.39</v>
      </c>
      <c r="J333" s="595">
        <f t="shared" ref="J333:J335" si="106">+H333+I333</f>
        <v>2174912.7799999998</v>
      </c>
      <c r="K333" s="2"/>
      <c r="L333" s="2"/>
      <c r="M333" s="2"/>
      <c r="N333" s="2"/>
      <c r="O333" s="2"/>
      <c r="P333" s="2"/>
    </row>
    <row r="334" spans="1:16" ht="12.75">
      <c r="A334" s="2"/>
      <c r="B334" s="2"/>
      <c r="C334" s="3969"/>
      <c r="D334" s="3970" t="s">
        <v>4917</v>
      </c>
      <c r="E334" s="3971" t="s">
        <v>410</v>
      </c>
      <c r="F334" s="3972">
        <f>(G29+G32+G35)/1000</f>
        <v>40.938000000000002</v>
      </c>
      <c r="G334" s="3971">
        <f t="shared" ref="G334:G335" si="107">G330</f>
        <v>2850</v>
      </c>
      <c r="H334" s="594">
        <f t="shared" si="105"/>
        <v>116673.3</v>
      </c>
      <c r="I334" s="594">
        <f t="shared" si="101"/>
        <v>25668.13</v>
      </c>
      <c r="J334" s="595">
        <f t="shared" si="106"/>
        <v>142341.43</v>
      </c>
      <c r="K334" s="2"/>
      <c r="L334" s="2"/>
      <c r="M334" s="2"/>
      <c r="N334" s="2"/>
      <c r="O334" s="2"/>
      <c r="P334" s="2"/>
    </row>
    <row r="335" spans="1:16" ht="12.75">
      <c r="A335" s="2"/>
      <c r="B335" s="2"/>
      <c r="C335" s="3969"/>
      <c r="D335" s="3970" t="s">
        <v>4918</v>
      </c>
      <c r="E335" s="3971" t="s">
        <v>410</v>
      </c>
      <c r="F335" s="3972">
        <f>(G30+G33+G36)/1000</f>
        <v>-6.3120000000000003</v>
      </c>
      <c r="G335" s="3971">
        <f t="shared" si="107"/>
        <v>5550</v>
      </c>
      <c r="H335" s="594">
        <f t="shared" si="105"/>
        <v>-35031.599999999999</v>
      </c>
      <c r="I335" s="594">
        <f t="shared" si="101"/>
        <v>-7706.95</v>
      </c>
      <c r="J335" s="595">
        <f t="shared" si="106"/>
        <v>-42738.549999999996</v>
      </c>
      <c r="K335" s="2"/>
      <c r="L335" s="2"/>
      <c r="M335" s="2"/>
      <c r="N335" s="2"/>
      <c r="O335" s="2"/>
      <c r="P335" s="2"/>
    </row>
    <row r="336" spans="1:16" ht="12.75">
      <c r="A336" s="2"/>
      <c r="B336" s="2"/>
      <c r="C336" s="532"/>
      <c r="D336" s="4117" t="s">
        <v>418</v>
      </c>
      <c r="E336" s="4118"/>
      <c r="F336" s="4118"/>
      <c r="G336" s="4118"/>
      <c r="H336" s="4118"/>
      <c r="I336" s="4118"/>
      <c r="J336" s="4121"/>
      <c r="K336" s="2"/>
      <c r="L336" s="2"/>
      <c r="M336" s="2"/>
      <c r="N336" s="2"/>
      <c r="O336" s="2"/>
      <c r="P336" s="2"/>
    </row>
    <row r="337" spans="1:16" ht="12.75">
      <c r="A337" s="2"/>
      <c r="B337" s="2"/>
      <c r="C337" s="532" t="s">
        <v>421</v>
      </c>
      <c r="D337" s="523" t="s">
        <v>411</v>
      </c>
      <c r="E337" s="524" t="s">
        <v>420</v>
      </c>
      <c r="F337" s="528">
        <f>F147/1000+F255/1000</f>
        <v>0.157</v>
      </c>
      <c r="G337" s="524">
        <f>ЕКТ!D17*1000</f>
        <v>2799142.66</v>
      </c>
      <c r="H337" s="530">
        <f>+ROUND(F337*G337,2)</f>
        <v>439465.4</v>
      </c>
      <c r="I337" s="530">
        <f>+ROUND(H337*0.22,2)</f>
        <v>96682.39</v>
      </c>
      <c r="J337" s="531">
        <f>+H337+I337</f>
        <v>536147.79</v>
      </c>
      <c r="K337" s="2"/>
      <c r="L337" s="2"/>
      <c r="M337" s="2"/>
      <c r="N337" s="2"/>
      <c r="O337" s="2"/>
      <c r="P337" s="2"/>
    </row>
    <row r="338" spans="1:16" ht="12.75">
      <c r="A338" s="2"/>
      <c r="B338" s="2"/>
      <c r="C338" s="532" t="s">
        <v>423</v>
      </c>
      <c r="D338" s="523" t="s">
        <v>12</v>
      </c>
      <c r="E338" s="524" t="s">
        <v>420</v>
      </c>
      <c r="F338" s="528">
        <f>G147/1000+G255/1000</f>
        <v>6.556</v>
      </c>
      <c r="G338" s="524">
        <f>ЕКТ!E17*1000</f>
        <v>1025799.1099999999</v>
      </c>
      <c r="H338" s="530">
        <f>+ROUND(F338*G338,2)</f>
        <v>6725138.9699999997</v>
      </c>
      <c r="I338" s="530">
        <f>+ROUND(H338*0.22,2)</f>
        <v>1479530.57</v>
      </c>
      <c r="J338" s="531">
        <f>+H338+I338</f>
        <v>8204669.54</v>
      </c>
      <c r="K338" s="2"/>
      <c r="L338" s="2"/>
      <c r="M338" s="2"/>
      <c r="N338" s="2"/>
      <c r="O338" s="2"/>
      <c r="P338" s="2"/>
    </row>
    <row r="339" spans="1:16" ht="12.75">
      <c r="A339" s="2"/>
      <c r="B339" s="2"/>
      <c r="C339" s="532"/>
      <c r="D339" s="4117" t="s">
        <v>422</v>
      </c>
      <c r="E339" s="4118"/>
      <c r="F339" s="4118"/>
      <c r="G339" s="4118"/>
      <c r="H339" s="4118"/>
      <c r="I339" s="4118"/>
      <c r="J339" s="4121"/>
      <c r="K339" s="2"/>
      <c r="L339" s="2"/>
      <c r="M339" s="2"/>
      <c r="N339" s="2"/>
      <c r="O339" s="2"/>
      <c r="P339" s="2"/>
    </row>
    <row r="340" spans="1:16" ht="12.75">
      <c r="A340" s="2"/>
      <c r="B340" s="2"/>
      <c r="C340" s="532" t="s">
        <v>424</v>
      </c>
      <c r="D340" s="523" t="s">
        <v>411</v>
      </c>
      <c r="E340" s="530" t="s">
        <v>410</v>
      </c>
      <c r="F340" s="528">
        <f>F102/1000-F125/1000</f>
        <v>102.423</v>
      </c>
      <c r="G340" s="524">
        <f>ЕКТ!D18*1000</f>
        <v>333.05</v>
      </c>
      <c r="H340" s="530">
        <f>+ROUND(F340*G340,2)</f>
        <v>34111.980000000003</v>
      </c>
      <c r="I340" s="530">
        <f>+ROUND(H340*0.22,2)</f>
        <v>7504.64</v>
      </c>
      <c r="J340" s="531">
        <f>+H340+I340</f>
        <v>41616.620000000003</v>
      </c>
      <c r="K340" s="2"/>
      <c r="L340" s="2"/>
      <c r="M340" s="2"/>
      <c r="N340" s="2"/>
      <c r="O340" s="2"/>
      <c r="P340" s="2"/>
    </row>
    <row r="341" spans="1:16" ht="13.5" thickBot="1">
      <c r="A341" s="2"/>
      <c r="B341" s="2"/>
      <c r="C341" s="533" t="s">
        <v>1785</v>
      </c>
      <c r="D341" s="534" t="s">
        <v>12</v>
      </c>
      <c r="E341" s="530" t="s">
        <v>410</v>
      </c>
      <c r="F341" s="535">
        <f>G102/1000-G125/1000</f>
        <v>3580.8250000000003</v>
      </c>
      <c r="G341" s="536">
        <f>ЕКТ!E18*1000</f>
        <v>705.67000000000007</v>
      </c>
      <c r="H341" s="530">
        <f>+ROUND(F341*G341,2)</f>
        <v>2526880.7799999998</v>
      </c>
      <c r="I341" s="530">
        <f>+ROUND(H341*0.22,2)</f>
        <v>555913.77</v>
      </c>
      <c r="J341" s="531">
        <f>+H341+I341</f>
        <v>3082794.55</v>
      </c>
      <c r="K341" s="2"/>
      <c r="L341" s="2"/>
      <c r="M341" s="2"/>
      <c r="N341" s="2"/>
      <c r="O341" s="2"/>
      <c r="P341" s="2"/>
    </row>
    <row r="342" spans="1:16" ht="13.5" thickBot="1">
      <c r="A342" s="2"/>
      <c r="B342" s="2"/>
      <c r="C342" s="537" t="s">
        <v>412</v>
      </c>
      <c r="D342" s="538" t="s">
        <v>425</v>
      </c>
      <c r="E342" s="539" t="s">
        <v>410</v>
      </c>
      <c r="F342" s="540">
        <f>F317+F318+F319+F320+F324+F328+F332+F340+F341</f>
        <v>55312.284999999996</v>
      </c>
      <c r="G342" s="539"/>
      <c r="H342" s="592">
        <f>ROUND(SUM(H317:H335)+H337+H338+H340+H341,2)</f>
        <v>133329507.29000001</v>
      </c>
      <c r="I342" s="592">
        <f t="shared" ref="I342:J342" si="108">ROUND(SUM(I317:I335)+I337+I338+I340+I341,2)</f>
        <v>29332491.620000001</v>
      </c>
      <c r="J342" s="592">
        <f t="shared" si="108"/>
        <v>162661998.91</v>
      </c>
      <c r="K342" s="2"/>
      <c r="L342" s="2"/>
      <c r="M342" s="2"/>
      <c r="N342" s="2"/>
      <c r="O342" s="2"/>
      <c r="P342" s="2"/>
    </row>
    <row r="343" spans="1:16" ht="12.75" hidden="1">
      <c r="A343" s="2"/>
      <c r="B343" s="2"/>
      <c r="C343" s="541" t="s">
        <v>27</v>
      </c>
      <c r="D343" s="4122" t="s">
        <v>426</v>
      </c>
      <c r="E343" s="4123"/>
      <c r="F343" s="4123"/>
      <c r="G343" s="4123"/>
      <c r="H343" s="4123"/>
      <c r="I343" s="4123"/>
      <c r="J343" s="4124"/>
      <c r="K343" s="2"/>
      <c r="L343" s="2"/>
      <c r="M343" s="2"/>
      <c r="N343" s="2"/>
      <c r="O343" s="2"/>
      <c r="P343" s="2"/>
    </row>
    <row r="344" spans="1:16" ht="12.75" hidden="1">
      <c r="A344" s="2"/>
      <c r="B344" s="2"/>
      <c r="C344" s="542" t="s">
        <v>427</v>
      </c>
      <c r="D344" s="543" t="s">
        <v>409</v>
      </c>
      <c r="E344" s="544" t="s">
        <v>410</v>
      </c>
      <c r="F344" s="545">
        <v>3196.4490000000001</v>
      </c>
      <c r="G344" s="546"/>
      <c r="H344" s="547">
        <f>+ROUND(F344*G344,2)</f>
        <v>0</v>
      </c>
      <c r="I344" s="547">
        <f>+ROUND(H344*0.18,2)</f>
        <v>0</v>
      </c>
      <c r="J344" s="548">
        <f>+H344+I344</f>
        <v>0</v>
      </c>
      <c r="K344" s="2"/>
      <c r="L344" s="2"/>
      <c r="M344" s="2"/>
      <c r="N344" s="2"/>
      <c r="O344" s="2"/>
      <c r="P344" s="2"/>
    </row>
    <row r="345" spans="1:16" ht="12.75" hidden="1">
      <c r="A345" s="2"/>
      <c r="B345" s="2"/>
      <c r="C345" s="542" t="s">
        <v>428</v>
      </c>
      <c r="D345" s="543" t="s">
        <v>411</v>
      </c>
      <c r="E345" s="544" t="s">
        <v>410</v>
      </c>
      <c r="F345" s="545">
        <v>18459.786</v>
      </c>
      <c r="G345" s="547"/>
      <c r="H345" s="547">
        <f>+ROUND(F345*G345,2)</f>
        <v>0</v>
      </c>
      <c r="I345" s="547">
        <f>+ROUND(H345*0.18,2)</f>
        <v>0</v>
      </c>
      <c r="J345" s="548">
        <f>+H345+I345</f>
        <v>0</v>
      </c>
      <c r="K345" s="2"/>
      <c r="L345" s="2"/>
      <c r="M345" s="2"/>
      <c r="N345" s="2"/>
      <c r="O345" s="2"/>
      <c r="P345" s="2"/>
    </row>
    <row r="346" spans="1:16" ht="13.5" hidden="1" thickBot="1">
      <c r="A346" s="2"/>
      <c r="B346" s="2"/>
      <c r="C346" s="549" t="s">
        <v>429</v>
      </c>
      <c r="D346" s="550" t="s">
        <v>12</v>
      </c>
      <c r="E346" s="551" t="s">
        <v>410</v>
      </c>
      <c r="F346" s="552">
        <v>23339.738000000001</v>
      </c>
      <c r="G346" s="553"/>
      <c r="H346" s="553">
        <f>+ROUND(F346*G346,2)</f>
        <v>0</v>
      </c>
      <c r="I346" s="553">
        <f>+ROUND(H346*0.18,2)</f>
        <v>0</v>
      </c>
      <c r="J346" s="554">
        <f>+H346+I346</f>
        <v>0</v>
      </c>
      <c r="K346" s="2"/>
      <c r="L346" s="2"/>
      <c r="M346" s="2"/>
      <c r="N346" s="2"/>
      <c r="O346" s="2"/>
      <c r="P346" s="2"/>
    </row>
    <row r="347" spans="1:16" ht="13.5" hidden="1" thickBot="1">
      <c r="A347" s="2"/>
      <c r="B347" s="2"/>
      <c r="C347" s="555" t="s">
        <v>430</v>
      </c>
      <c r="D347" s="556" t="s">
        <v>425</v>
      </c>
      <c r="E347" s="557" t="s">
        <v>410</v>
      </c>
      <c r="F347" s="558">
        <f>+SUM(F344:F346)</f>
        <v>44995.972999999998</v>
      </c>
      <c r="G347" s="559"/>
      <c r="H347" s="559">
        <f>+SUM(H344:H346)</f>
        <v>0</v>
      </c>
      <c r="I347" s="559">
        <f>+SUM(I344:I346)</f>
        <v>0</v>
      </c>
      <c r="J347" s="560">
        <f>+SUM(J344:J346)</f>
        <v>0</v>
      </c>
      <c r="K347" s="2"/>
      <c r="L347" s="2"/>
      <c r="M347" s="2"/>
      <c r="N347" s="2"/>
      <c r="O347" s="2"/>
      <c r="P347" s="2"/>
    </row>
    <row r="348" spans="1:16" ht="13.5" hidden="1" thickBot="1">
      <c r="A348" s="2"/>
      <c r="B348" s="2"/>
      <c r="C348" s="561"/>
      <c r="D348" s="562" t="s">
        <v>431</v>
      </c>
      <c r="E348" s="563"/>
      <c r="F348" s="564"/>
      <c r="G348" s="565"/>
      <c r="H348" s="565">
        <f>+H342+H347</f>
        <v>133329507.29000001</v>
      </c>
      <c r="I348" s="565">
        <f>+I342+I347</f>
        <v>29332491.620000001</v>
      </c>
      <c r="J348" s="566">
        <f>+J342+J347</f>
        <v>162661998.91</v>
      </c>
      <c r="K348" s="2"/>
      <c r="L348" s="2"/>
      <c r="M348" s="2"/>
      <c r="N348" s="2"/>
      <c r="O348" s="2"/>
      <c r="P348" s="2"/>
    </row>
    <row r="349" spans="1:16" ht="12.75">
      <c r="A349" s="2"/>
      <c r="B349" s="2"/>
      <c r="C349" s="518">
        <v>1</v>
      </c>
      <c r="D349" s="567" t="s">
        <v>439</v>
      </c>
      <c r="E349" s="568" t="s">
        <v>410</v>
      </c>
      <c r="F349" s="569">
        <v>0</v>
      </c>
      <c r="G349" s="570">
        <v>0</v>
      </c>
      <c r="H349" s="568">
        <f t="shared" ref="H349:H354" si="109">+ROUND(F349*G349,2)</f>
        <v>0</v>
      </c>
      <c r="I349" s="568">
        <f>+ROUND(H349*0.22,2)</f>
        <v>0</v>
      </c>
      <c r="J349" s="571">
        <f t="shared" ref="J349:J354" si="110">+H349+I349</f>
        <v>0</v>
      </c>
      <c r="K349" s="2"/>
      <c r="L349" s="2"/>
      <c r="M349" s="2"/>
      <c r="N349" s="2"/>
      <c r="O349" s="2"/>
      <c r="P349" s="2"/>
    </row>
    <row r="350" spans="1:16" ht="13.5" thickBot="1">
      <c r="A350" s="2"/>
      <c r="B350" s="2"/>
      <c r="C350" s="572">
        <v>2</v>
      </c>
      <c r="D350" s="573" t="s">
        <v>441</v>
      </c>
      <c r="E350" s="574" t="s">
        <v>410</v>
      </c>
      <c r="F350" s="575">
        <v>0</v>
      </c>
      <c r="G350" s="576">
        <f>+G349</f>
        <v>0</v>
      </c>
      <c r="H350" s="574">
        <f t="shared" si="109"/>
        <v>0</v>
      </c>
      <c r="I350" s="574">
        <f>+ROUND(H350*0.22,2)</f>
        <v>0</v>
      </c>
      <c r="J350" s="577">
        <f t="shared" si="110"/>
        <v>0</v>
      </c>
      <c r="K350" s="2"/>
      <c r="L350" s="2"/>
      <c r="M350" s="2"/>
      <c r="N350" s="2"/>
      <c r="O350" s="2"/>
      <c r="P350" s="2"/>
    </row>
    <row r="351" spans="1:16" ht="13.5" thickBot="1">
      <c r="A351" s="2"/>
      <c r="B351" s="2"/>
      <c r="C351" s="572">
        <v>2</v>
      </c>
      <c r="D351" s="573" t="s">
        <v>440</v>
      </c>
      <c r="E351" s="574" t="s">
        <v>410</v>
      </c>
      <c r="F351" s="575">
        <v>0</v>
      </c>
      <c r="G351" s="576">
        <f>+G349</f>
        <v>0</v>
      </c>
      <c r="H351" s="574">
        <f t="shared" si="109"/>
        <v>0</v>
      </c>
      <c r="I351" s="574">
        <f>+ROUND(H351*0.22,2)</f>
        <v>0</v>
      </c>
      <c r="J351" s="577">
        <f t="shared" si="110"/>
        <v>0</v>
      </c>
      <c r="K351" s="2"/>
      <c r="L351" s="2"/>
      <c r="M351" s="2"/>
      <c r="N351" s="2"/>
      <c r="O351" s="2"/>
      <c r="P351" s="2"/>
    </row>
    <row r="352" spans="1:16" ht="140.25" hidden="1">
      <c r="A352" s="2"/>
      <c r="B352" s="2"/>
      <c r="C352" s="518">
        <v>1</v>
      </c>
      <c r="D352" s="567" t="s">
        <v>432</v>
      </c>
      <c r="E352" s="568" t="s">
        <v>410</v>
      </c>
      <c r="F352" s="569">
        <v>0</v>
      </c>
      <c r="G352" s="570">
        <f>+G349</f>
        <v>0</v>
      </c>
      <c r="H352" s="568">
        <f t="shared" si="109"/>
        <v>0</v>
      </c>
      <c r="I352" s="568">
        <f t="shared" ref="I352:I354" si="111">+ROUND(H352*0.18,2)</f>
        <v>0</v>
      </c>
      <c r="J352" s="571">
        <f t="shared" si="110"/>
        <v>0</v>
      </c>
      <c r="K352" s="2"/>
      <c r="L352" s="2"/>
      <c r="M352" s="2"/>
      <c r="N352" s="2"/>
      <c r="O352" s="2"/>
      <c r="P352" s="2"/>
    </row>
    <row r="353" spans="1:16" ht="141" hidden="1" thickBot="1">
      <c r="A353" s="2"/>
      <c r="B353" s="2"/>
      <c r="C353" s="572">
        <v>2</v>
      </c>
      <c r="D353" s="573" t="s">
        <v>433</v>
      </c>
      <c r="E353" s="574" t="s">
        <v>410</v>
      </c>
      <c r="F353" s="575">
        <v>0</v>
      </c>
      <c r="G353" s="576">
        <f>+G352</f>
        <v>0</v>
      </c>
      <c r="H353" s="574">
        <f t="shared" si="109"/>
        <v>0</v>
      </c>
      <c r="I353" s="574">
        <f t="shared" si="111"/>
        <v>0</v>
      </c>
      <c r="J353" s="577">
        <f t="shared" si="110"/>
        <v>0</v>
      </c>
      <c r="K353" s="2"/>
      <c r="L353" s="2"/>
      <c r="M353" s="2"/>
      <c r="N353" s="2"/>
      <c r="O353" s="2"/>
      <c r="P353" s="2"/>
    </row>
    <row r="354" spans="1:16" ht="141" hidden="1" thickBot="1">
      <c r="A354" s="2"/>
      <c r="B354" s="2"/>
      <c r="C354" s="572">
        <v>2</v>
      </c>
      <c r="D354" s="573" t="s">
        <v>433</v>
      </c>
      <c r="E354" s="574" t="s">
        <v>410</v>
      </c>
      <c r="F354" s="575">
        <v>0</v>
      </c>
      <c r="G354" s="578">
        <f>+G352</f>
        <v>0</v>
      </c>
      <c r="H354" s="574">
        <f t="shared" si="109"/>
        <v>0</v>
      </c>
      <c r="I354" s="574">
        <f t="shared" si="111"/>
        <v>0</v>
      </c>
      <c r="J354" s="577">
        <f t="shared" si="110"/>
        <v>0</v>
      </c>
      <c r="K354" s="2"/>
      <c r="L354" s="2"/>
      <c r="M354" s="2"/>
      <c r="N354" s="2"/>
      <c r="O354" s="2"/>
      <c r="P354" s="2"/>
    </row>
    <row r="355" spans="1:16" ht="13.5" thickBot="1">
      <c r="A355" s="2"/>
      <c r="B355" s="2"/>
      <c r="C355" s="537">
        <v>3</v>
      </c>
      <c r="D355" s="579" t="s">
        <v>431</v>
      </c>
      <c r="E355" s="579" t="s">
        <v>410</v>
      </c>
      <c r="F355" s="580">
        <f>+F349+F350+F351+F352+F353</f>
        <v>0</v>
      </c>
      <c r="G355" s="579"/>
      <c r="H355" s="589">
        <f>+H349+H350+H351+H352+H353</f>
        <v>0</v>
      </c>
      <c r="I355" s="589">
        <f>+I349+I350+I351+I352+I353</f>
        <v>0</v>
      </c>
      <c r="J355" s="589">
        <f>+J349+J350+J351+J352+J353</f>
        <v>0</v>
      </c>
      <c r="K355" s="2"/>
      <c r="L355" s="2"/>
      <c r="M355" s="2"/>
      <c r="N355" s="2"/>
      <c r="O355" s="2"/>
      <c r="P355" s="2"/>
    </row>
    <row r="356" spans="1:16" ht="13.5" thickBot="1">
      <c r="A356" s="2"/>
      <c r="B356" s="2"/>
      <c r="C356" s="581"/>
      <c r="D356" s="582"/>
      <c r="E356" s="582"/>
      <c r="F356" s="583"/>
      <c r="G356" s="582"/>
      <c r="H356" s="590"/>
      <c r="I356" s="590"/>
      <c r="J356" s="591"/>
      <c r="K356" s="2"/>
      <c r="L356" s="2"/>
      <c r="M356" s="2"/>
      <c r="N356" s="2"/>
      <c r="O356" s="2"/>
      <c r="P356" s="2"/>
    </row>
    <row r="357" spans="1:16" ht="64.5" thickBot="1">
      <c r="A357" s="2"/>
      <c r="B357" s="2"/>
      <c r="C357" s="537">
        <v>1</v>
      </c>
      <c r="D357" s="538" t="s">
        <v>434</v>
      </c>
      <c r="E357" s="539"/>
      <c r="F357" s="540"/>
      <c r="G357" s="584" t="s">
        <v>435</v>
      </c>
      <c r="H357" s="592">
        <f>ROUND(H348-H355,2)</f>
        <v>133329507.29000001</v>
      </c>
      <c r="I357" s="592">
        <f>ROUND(I348-I355,2)</f>
        <v>29332491.620000001</v>
      </c>
      <c r="J357" s="593">
        <f>ROUND(J348-J355,2)</f>
        <v>162661998.91</v>
      </c>
      <c r="K357" s="2"/>
      <c r="L357" s="2"/>
      <c r="M357" s="2"/>
      <c r="N357" s="2"/>
      <c r="O357" s="2"/>
      <c r="P357" s="2"/>
    </row>
    <row r="358" spans="1:16" ht="12.75">
      <c r="A358" s="2"/>
      <c r="B358" s="2"/>
      <c r="C358" s="2"/>
      <c r="D358" s="2"/>
      <c r="E358" s="2"/>
      <c r="F358" s="2"/>
      <c r="G358" s="2"/>
      <c r="H358" s="2"/>
      <c r="I358" s="2"/>
      <c r="J358" s="2"/>
      <c r="K358" s="2"/>
      <c r="L358" s="2"/>
      <c r="M358" s="2"/>
      <c r="N358" s="2"/>
      <c r="O358" s="2"/>
      <c r="P358" s="2"/>
    </row>
    <row r="359" spans="1:16" ht="12.75">
      <c r="A359" s="2"/>
      <c r="B359" s="2"/>
      <c r="C359" s="2"/>
      <c r="D359" s="2"/>
      <c r="E359" s="2"/>
      <c r="F359" s="2"/>
      <c r="G359" s="2"/>
      <c r="H359" s="2"/>
      <c r="I359" s="2"/>
      <c r="J359" s="2"/>
      <c r="K359" s="2"/>
      <c r="L359" s="2"/>
      <c r="M359" s="2"/>
      <c r="N359" s="2"/>
      <c r="O359" s="2"/>
      <c r="P359" s="2"/>
    </row>
    <row r="360" spans="1:16" ht="12.75">
      <c r="A360" s="2"/>
      <c r="B360" s="2"/>
      <c r="C360" s="2"/>
      <c r="D360" s="2"/>
      <c r="E360" s="2"/>
      <c r="F360" s="2"/>
      <c r="G360" s="2"/>
      <c r="H360" s="2"/>
      <c r="I360" s="2"/>
      <c r="J360" s="2"/>
      <c r="K360" s="2"/>
      <c r="L360" s="2"/>
      <c r="M360" s="2"/>
      <c r="N360" s="2"/>
      <c r="O360" s="2"/>
      <c r="P360" s="2"/>
    </row>
    <row r="361" spans="1:16" ht="12.75">
      <c r="A361" s="2"/>
      <c r="B361" s="2"/>
      <c r="C361" s="2"/>
      <c r="D361" s="2"/>
      <c r="E361" s="2"/>
      <c r="F361" s="2"/>
      <c r="G361" s="2"/>
      <c r="H361" s="2"/>
      <c r="I361" s="2"/>
      <c r="J361" s="2"/>
      <c r="K361" s="2"/>
      <c r="L361" s="2"/>
      <c r="M361" s="2"/>
      <c r="N361" s="2"/>
      <c r="O361" s="2"/>
      <c r="P361" s="2"/>
    </row>
    <row r="362" spans="1:16" ht="12.75">
      <c r="A362" s="2"/>
      <c r="B362" s="2"/>
      <c r="C362" s="2"/>
      <c r="D362" s="2"/>
      <c r="E362" s="2"/>
      <c r="F362" s="2"/>
      <c r="G362" s="2"/>
      <c r="H362" s="2"/>
      <c r="I362" s="2"/>
      <c r="J362" s="2"/>
      <c r="K362" s="2"/>
      <c r="L362" s="2"/>
      <c r="M362" s="2"/>
      <c r="N362" s="2"/>
      <c r="O362" s="2"/>
      <c r="P362" s="2"/>
    </row>
    <row r="363" spans="1:16" ht="12.75">
      <c r="A363" s="2"/>
      <c r="B363" s="2"/>
      <c r="C363" s="2"/>
      <c r="D363" s="2"/>
      <c r="E363" s="2"/>
      <c r="F363" s="2"/>
      <c r="G363" s="2"/>
      <c r="H363" s="2"/>
      <c r="I363" s="2"/>
      <c r="J363" s="2"/>
      <c r="K363" s="2"/>
      <c r="L363" s="2"/>
      <c r="M363" s="2"/>
      <c r="N363" s="2"/>
      <c r="O363" s="2"/>
      <c r="P363" s="2"/>
    </row>
    <row r="364" spans="1:16" ht="12.75">
      <c r="A364" s="2"/>
      <c r="B364" s="2"/>
      <c r="C364" s="2"/>
      <c r="D364" s="2"/>
      <c r="E364" s="2"/>
      <c r="F364" s="2"/>
      <c r="G364" s="2"/>
      <c r="H364" s="2"/>
      <c r="I364" s="2"/>
      <c r="J364" s="2"/>
      <c r="K364" s="2"/>
      <c r="L364" s="2"/>
      <c r="M364" s="2"/>
      <c r="N364" s="2"/>
      <c r="O364" s="2"/>
      <c r="P364" s="2"/>
    </row>
    <row r="365" spans="1:16" ht="12.75">
      <c r="A365" s="2"/>
      <c r="B365" s="2"/>
      <c r="C365" s="2"/>
      <c r="D365" s="2"/>
      <c r="E365" s="2"/>
      <c r="F365" s="2"/>
      <c r="G365" s="2"/>
      <c r="H365" s="2"/>
      <c r="I365" s="2"/>
      <c r="J365" s="2"/>
      <c r="K365" s="2"/>
      <c r="L365" s="2"/>
      <c r="M365" s="2"/>
      <c r="N365" s="2"/>
      <c r="O365" s="2"/>
      <c r="P365" s="2"/>
    </row>
    <row r="366" spans="1:16" ht="12.75">
      <c r="A366" s="2"/>
      <c r="B366" s="2"/>
      <c r="C366" s="2">
        <f>C277</f>
        <v>55391792</v>
      </c>
      <c r="D366" s="2"/>
      <c r="E366" s="2"/>
      <c r="F366" s="2"/>
      <c r="G366" s="2"/>
      <c r="H366" s="2"/>
      <c r="I366" s="2"/>
      <c r="J366" s="2"/>
      <c r="K366" s="2"/>
      <c r="L366" s="2"/>
      <c r="M366" s="2"/>
      <c r="N366" s="2"/>
      <c r="O366" s="2"/>
      <c r="P366" s="2"/>
    </row>
    <row r="367" spans="1:16" ht="12.75">
      <c r="A367" s="2"/>
      <c r="B367" s="2"/>
      <c r="C367" s="2">
        <f>C275</f>
        <v>24830239</v>
      </c>
      <c r="D367" s="2"/>
      <c r="E367" s="2"/>
      <c r="F367" s="2"/>
      <c r="G367" s="2"/>
      <c r="H367" s="2"/>
      <c r="I367" s="2"/>
      <c r="J367" s="2"/>
      <c r="K367" s="2"/>
      <c r="L367" s="2"/>
      <c r="M367" s="2"/>
      <c r="N367" s="2"/>
      <c r="O367" s="2"/>
      <c r="P367" s="2"/>
    </row>
    <row r="368" spans="1:16" ht="12.75">
      <c r="A368" s="2"/>
      <c r="B368" s="2"/>
      <c r="C368" s="2"/>
      <c r="D368" s="2"/>
      <c r="E368" s="2"/>
      <c r="F368" s="2"/>
      <c r="G368" s="2"/>
      <c r="H368" s="2"/>
      <c r="I368" s="2"/>
      <c r="J368" s="2"/>
      <c r="K368" s="2"/>
      <c r="L368" s="2"/>
      <c r="M368" s="2"/>
      <c r="N368" s="2"/>
      <c r="O368" s="2"/>
      <c r="P368" s="2"/>
    </row>
    <row r="369" spans="1:16" ht="12.75">
      <c r="A369" s="2"/>
      <c r="B369" s="2"/>
      <c r="C369" s="2"/>
      <c r="D369" s="2"/>
      <c r="E369" s="2"/>
      <c r="F369" s="2"/>
      <c r="G369" s="2"/>
      <c r="H369" s="2"/>
      <c r="I369" s="2"/>
      <c r="J369" s="2"/>
      <c r="K369" s="2"/>
      <c r="L369" s="2"/>
      <c r="M369" s="2"/>
      <c r="N369" s="2"/>
      <c r="O369" s="2"/>
      <c r="P369" s="2"/>
    </row>
    <row r="370" spans="1:16" ht="12.75">
      <c r="A370" s="2"/>
      <c r="B370" s="2"/>
      <c r="C370" s="2">
        <f>C366-C367</f>
        <v>30561553</v>
      </c>
      <c r="D370" s="2"/>
      <c r="E370" s="2"/>
      <c r="F370" s="2"/>
      <c r="G370" s="2"/>
      <c r="H370" s="2"/>
      <c r="I370" s="2"/>
      <c r="J370" s="2"/>
      <c r="K370" s="2"/>
      <c r="L370" s="2"/>
      <c r="M370" s="2"/>
      <c r="N370" s="2"/>
      <c r="O370" s="2"/>
      <c r="P370" s="2"/>
    </row>
    <row r="371" spans="1:16" ht="12.75">
      <c r="A371" s="2"/>
      <c r="B371" s="2"/>
      <c r="C371" s="2"/>
      <c r="D371" s="2"/>
      <c r="E371" s="2"/>
      <c r="F371" s="2"/>
      <c r="G371" s="2"/>
      <c r="H371" s="2"/>
      <c r="I371" s="2"/>
      <c r="J371" s="2"/>
      <c r="K371" s="2"/>
      <c r="L371" s="2"/>
      <c r="M371" s="2"/>
      <c r="N371" s="2"/>
      <c r="O371" s="2"/>
      <c r="P371" s="2"/>
    </row>
    <row r="372" spans="1:16" ht="12.75">
      <c r="A372" s="2"/>
      <c r="B372" s="2"/>
      <c r="C372" s="2">
        <f>C67</f>
        <v>19850285</v>
      </c>
      <c r="D372" s="2"/>
      <c r="E372" s="2"/>
      <c r="F372" s="2"/>
      <c r="G372" s="2"/>
      <c r="H372" s="2"/>
      <c r="I372" s="2"/>
      <c r="J372" s="2"/>
      <c r="K372" s="2"/>
      <c r="L372" s="2"/>
      <c r="M372" s="2"/>
      <c r="N372" s="2"/>
      <c r="O372" s="2"/>
      <c r="P372" s="2"/>
    </row>
    <row r="373" spans="1:16" ht="12.75">
      <c r="A373" s="2"/>
      <c r="B373" s="2"/>
      <c r="C373" s="2"/>
      <c r="D373" s="2"/>
      <c r="E373" s="2"/>
      <c r="F373" s="2"/>
      <c r="G373" s="2"/>
      <c r="H373" s="2"/>
      <c r="I373" s="2"/>
      <c r="J373" s="2"/>
      <c r="K373" s="2"/>
      <c r="L373" s="2"/>
      <c r="M373" s="2"/>
      <c r="N373" s="2"/>
      <c r="O373" s="2"/>
      <c r="P373" s="2"/>
    </row>
    <row r="374" spans="1:16" ht="12.75">
      <c r="A374" s="2"/>
      <c r="B374" s="2"/>
      <c r="C374" s="2">
        <f>C370-C372</f>
        <v>10711268</v>
      </c>
      <c r="D374" s="2"/>
      <c r="E374" s="2"/>
      <c r="F374" s="2"/>
      <c r="G374" s="2"/>
      <c r="H374" s="2"/>
      <c r="I374" s="2"/>
      <c r="J374" s="2"/>
      <c r="K374" s="2"/>
      <c r="L374" s="2"/>
      <c r="M374" s="2"/>
      <c r="N374" s="2"/>
      <c r="O374" s="2"/>
      <c r="P374" s="2"/>
    </row>
    <row r="375" spans="1:16" ht="12.75">
      <c r="A375" s="2"/>
      <c r="B375" s="2"/>
      <c r="C375" s="2"/>
      <c r="D375" s="2"/>
      <c r="E375" s="2"/>
      <c r="F375" s="2"/>
      <c r="G375" s="2"/>
      <c r="H375" s="2"/>
      <c r="I375" s="2"/>
      <c r="J375" s="2"/>
      <c r="K375" s="2"/>
      <c r="L375" s="2"/>
      <c r="M375" s="2"/>
      <c r="N375" s="2"/>
      <c r="O375" s="2"/>
      <c r="P375" s="2"/>
    </row>
    <row r="376" spans="1:16" ht="12.75">
      <c r="A376" s="2"/>
      <c r="B376" s="2"/>
      <c r="C376" s="2"/>
      <c r="D376" s="2"/>
      <c r="E376" s="2"/>
      <c r="F376" s="2"/>
      <c r="G376" s="2"/>
      <c r="H376" s="2"/>
      <c r="I376" s="2"/>
      <c r="J376" s="2"/>
      <c r="K376" s="2"/>
      <c r="L376" s="2"/>
      <c r="M376" s="2"/>
      <c r="N376" s="2"/>
      <c r="O376" s="2"/>
      <c r="P376" s="2"/>
    </row>
    <row r="377" spans="1:16" ht="12.75">
      <c r="A377" s="2"/>
      <c r="B377" s="2"/>
      <c r="C377" s="2"/>
      <c r="D377" s="2"/>
      <c r="E377" s="2"/>
      <c r="F377" s="2"/>
      <c r="G377" s="2"/>
      <c r="H377" s="2"/>
      <c r="I377" s="2"/>
      <c r="J377" s="2"/>
      <c r="K377" s="2"/>
      <c r="L377" s="2"/>
      <c r="M377" s="2"/>
      <c r="N377" s="2"/>
      <c r="O377" s="2"/>
      <c r="P377" s="2"/>
    </row>
    <row r="378" spans="1:16" ht="12.75">
      <c r="A378" s="2"/>
      <c r="B378" s="2"/>
      <c r="C378" s="2"/>
      <c r="D378" s="2"/>
      <c r="E378" s="2"/>
      <c r="F378" s="2"/>
      <c r="G378" s="2"/>
      <c r="H378" s="2"/>
      <c r="I378" s="2"/>
      <c r="J378" s="2"/>
      <c r="K378" s="2"/>
      <c r="L378" s="2"/>
      <c r="M378" s="2"/>
      <c r="N378" s="2"/>
      <c r="O378" s="2"/>
      <c r="P378" s="2"/>
    </row>
    <row r="379" spans="1:16" ht="12.75">
      <c r="A379" s="2"/>
      <c r="B379" s="2"/>
      <c r="C379" s="2"/>
      <c r="D379" s="2"/>
      <c r="E379" s="2"/>
      <c r="F379" s="2"/>
      <c r="G379" s="2"/>
      <c r="H379" s="2"/>
      <c r="I379" s="2"/>
      <c r="J379" s="2"/>
      <c r="K379" s="2"/>
      <c r="L379" s="2"/>
      <c r="M379" s="2"/>
      <c r="N379" s="2"/>
      <c r="O379" s="2"/>
      <c r="P379" s="2"/>
    </row>
    <row r="380" spans="1:16" ht="12.75">
      <c r="A380" s="2"/>
      <c r="B380" s="2"/>
      <c r="C380" s="2"/>
      <c r="D380" s="2"/>
      <c r="E380" s="2"/>
      <c r="F380" s="2"/>
      <c r="G380" s="2"/>
      <c r="H380" s="2"/>
      <c r="I380" s="2"/>
      <c r="J380" s="2"/>
      <c r="K380" s="2"/>
      <c r="L380" s="2"/>
      <c r="M380" s="2"/>
      <c r="N380" s="2"/>
      <c r="O380" s="2"/>
      <c r="P380" s="2"/>
    </row>
    <row r="381" spans="1:16" ht="12.75">
      <c r="A381" s="2"/>
      <c r="B381" s="2"/>
      <c r="C381" s="2"/>
      <c r="D381" s="2"/>
      <c r="E381" s="2"/>
      <c r="F381" s="2"/>
      <c r="G381" s="2"/>
      <c r="H381" s="2"/>
      <c r="I381" s="2"/>
      <c r="J381" s="2"/>
      <c r="K381" s="2"/>
      <c r="L381" s="2"/>
      <c r="M381" s="2"/>
      <c r="N381" s="2"/>
      <c r="O381" s="2"/>
      <c r="P381" s="2"/>
    </row>
    <row r="382" spans="1:16" ht="12.75">
      <c r="A382" s="2"/>
      <c r="B382" s="2"/>
      <c r="C382" s="2"/>
      <c r="D382" s="2"/>
      <c r="E382" s="2"/>
      <c r="F382" s="2"/>
      <c r="G382" s="2"/>
      <c r="H382" s="2"/>
      <c r="I382" s="2"/>
      <c r="J382" s="2"/>
      <c r="K382" s="2"/>
      <c r="L382" s="2"/>
      <c r="M382" s="2"/>
      <c r="N382" s="2"/>
      <c r="O382" s="2"/>
      <c r="P382" s="2"/>
    </row>
    <row r="383" spans="1:16" ht="12.75">
      <c r="A383" s="2"/>
      <c r="B383" s="2"/>
      <c r="C383" s="2"/>
      <c r="D383" s="2"/>
      <c r="E383" s="2"/>
      <c r="F383" s="2"/>
      <c r="G383" s="2"/>
      <c r="H383" s="2"/>
      <c r="I383" s="2"/>
      <c r="J383" s="2"/>
      <c r="K383" s="2"/>
      <c r="L383" s="2"/>
      <c r="M383" s="2"/>
      <c r="N383" s="2"/>
      <c r="O383" s="2"/>
      <c r="P383" s="2"/>
    </row>
    <row r="384" spans="1:16" ht="12.75">
      <c r="A384" s="2"/>
      <c r="B384" s="2"/>
      <c r="C384" s="2"/>
      <c r="D384" s="2"/>
      <c r="E384" s="2"/>
      <c r="F384" s="2"/>
      <c r="G384" s="2"/>
      <c r="H384" s="2"/>
      <c r="I384" s="2"/>
      <c r="J384" s="2"/>
      <c r="K384" s="2"/>
      <c r="L384" s="2"/>
      <c r="M384" s="2"/>
      <c r="N384" s="2"/>
      <c r="O384" s="2"/>
      <c r="P384" s="2"/>
    </row>
    <row r="385" spans="1:16" ht="12.75">
      <c r="A385" s="2"/>
      <c r="B385" s="2"/>
      <c r="C385" s="2"/>
      <c r="D385" s="2"/>
      <c r="E385" s="2"/>
      <c r="F385" s="2"/>
      <c r="G385" s="2"/>
      <c r="H385" s="2"/>
      <c r="I385" s="2"/>
      <c r="J385" s="2"/>
      <c r="K385" s="2"/>
      <c r="L385" s="2"/>
      <c r="M385" s="2"/>
      <c r="N385" s="2"/>
      <c r="O385" s="2"/>
      <c r="P385" s="2"/>
    </row>
    <row r="386" spans="1:16" ht="12.75">
      <c r="A386" s="2"/>
      <c r="B386" s="2"/>
      <c r="C386" s="2"/>
      <c r="D386" s="2"/>
      <c r="E386" s="2"/>
      <c r="F386" s="2"/>
      <c r="G386" s="2"/>
      <c r="H386" s="2"/>
      <c r="I386" s="2"/>
      <c r="J386" s="2"/>
      <c r="K386" s="2"/>
      <c r="L386" s="2"/>
      <c r="M386" s="2"/>
      <c r="N386" s="2"/>
      <c r="O386" s="2"/>
      <c r="P386" s="2"/>
    </row>
    <row r="387" spans="1:16" ht="12.75">
      <c r="A387" s="2"/>
      <c r="B387" s="2"/>
      <c r="C387" s="2"/>
      <c r="D387" s="2"/>
      <c r="E387" s="2"/>
      <c r="F387" s="2"/>
      <c r="G387" s="2"/>
      <c r="H387" s="2"/>
      <c r="I387" s="2"/>
      <c r="J387" s="2"/>
      <c r="K387" s="2"/>
      <c r="L387" s="2"/>
      <c r="M387" s="2"/>
      <c r="N387" s="2"/>
      <c r="O387" s="2"/>
      <c r="P387" s="2"/>
    </row>
    <row r="388" spans="1:16" ht="12.75">
      <c r="A388" s="2"/>
      <c r="B388" s="2"/>
      <c r="C388" s="2"/>
      <c r="D388" s="2"/>
      <c r="E388" s="2"/>
      <c r="F388" s="2"/>
      <c r="G388" s="2"/>
      <c r="H388" s="2"/>
      <c r="I388" s="2"/>
      <c r="J388" s="2"/>
      <c r="K388" s="2"/>
      <c r="L388" s="2"/>
      <c r="M388" s="2"/>
      <c r="N388" s="2"/>
      <c r="O388" s="2"/>
      <c r="P388" s="2"/>
    </row>
    <row r="389" spans="1:16" ht="12.75">
      <c r="A389" s="2"/>
      <c r="B389" s="2"/>
      <c r="C389" s="2"/>
      <c r="D389" s="2"/>
      <c r="E389" s="2"/>
      <c r="F389" s="2"/>
      <c r="G389" s="2"/>
      <c r="H389" s="2"/>
      <c r="I389" s="2"/>
      <c r="J389" s="2"/>
      <c r="K389" s="2"/>
      <c r="L389" s="2"/>
      <c r="M389" s="2"/>
      <c r="N389" s="2"/>
      <c r="O389" s="2"/>
      <c r="P389" s="2"/>
    </row>
    <row r="390" spans="1:16" ht="12.75">
      <c r="A390" s="2"/>
      <c r="B390" s="2"/>
      <c r="C390" s="2"/>
      <c r="D390" s="2"/>
      <c r="E390" s="2"/>
      <c r="F390" s="2"/>
      <c r="G390" s="2"/>
      <c r="H390" s="2"/>
      <c r="I390" s="2"/>
      <c r="J390" s="2"/>
      <c r="K390" s="2"/>
      <c r="L390" s="2"/>
      <c r="M390" s="2"/>
      <c r="N390" s="2"/>
      <c r="O390" s="2"/>
      <c r="P390" s="2"/>
    </row>
    <row r="391" spans="1:16" ht="12.75">
      <c r="A391" s="2"/>
      <c r="B391" s="2"/>
      <c r="C391" s="2"/>
      <c r="D391" s="2"/>
      <c r="E391" s="2"/>
      <c r="F391" s="2"/>
      <c r="G391" s="2"/>
      <c r="H391" s="2"/>
      <c r="I391" s="2"/>
      <c r="J391" s="2"/>
      <c r="K391" s="2"/>
      <c r="L391" s="2"/>
      <c r="M391" s="2"/>
      <c r="N391" s="2"/>
      <c r="O391" s="2"/>
      <c r="P391" s="2"/>
    </row>
    <row r="392" spans="1:16" ht="12.75">
      <c r="A392" s="2"/>
      <c r="B392" s="2"/>
      <c r="C392" s="2"/>
      <c r="D392" s="2"/>
      <c r="E392" s="2"/>
      <c r="F392" s="2"/>
      <c r="G392" s="2"/>
      <c r="H392" s="2"/>
      <c r="I392" s="2"/>
      <c r="J392" s="2"/>
      <c r="K392" s="2"/>
      <c r="L392" s="2"/>
      <c r="M392" s="2"/>
      <c r="N392" s="2"/>
      <c r="O392" s="2"/>
      <c r="P392" s="2"/>
    </row>
    <row r="393" spans="1:16" ht="12.75">
      <c r="A393" s="2"/>
      <c r="B393" s="2"/>
      <c r="C393" s="2"/>
      <c r="D393" s="2"/>
      <c r="E393" s="2"/>
      <c r="F393" s="2"/>
      <c r="G393" s="2"/>
      <c r="H393" s="2"/>
      <c r="I393" s="2"/>
      <c r="J393" s="2"/>
      <c r="K393" s="2"/>
      <c r="L393" s="2"/>
      <c r="M393" s="2"/>
      <c r="N393" s="2"/>
      <c r="O393" s="2"/>
      <c r="P393" s="2"/>
    </row>
    <row r="394" spans="1:16" ht="12.75">
      <c r="A394" s="2"/>
      <c r="B394" s="2"/>
      <c r="C394" s="2"/>
      <c r="D394" s="2"/>
      <c r="E394" s="2"/>
      <c r="F394" s="2"/>
      <c r="G394" s="2"/>
      <c r="H394" s="2"/>
      <c r="I394" s="2"/>
      <c r="J394" s="2"/>
      <c r="K394" s="2"/>
      <c r="L394" s="2"/>
      <c r="M394" s="2"/>
      <c r="N394" s="2"/>
      <c r="O394" s="2"/>
      <c r="P394" s="2"/>
    </row>
    <row r="395" spans="1:16" ht="12.75">
      <c r="A395" s="2"/>
      <c r="B395" s="2"/>
      <c r="C395" s="2"/>
      <c r="D395" s="2"/>
      <c r="E395" s="2"/>
      <c r="F395" s="2"/>
      <c r="G395" s="2"/>
      <c r="H395" s="2"/>
      <c r="I395" s="2"/>
      <c r="J395" s="2"/>
      <c r="K395" s="2"/>
      <c r="L395" s="2"/>
      <c r="M395" s="2"/>
      <c r="N395" s="2"/>
      <c r="O395" s="2"/>
      <c r="P395" s="2"/>
    </row>
    <row r="396" spans="1:16" ht="12.75">
      <c r="A396" s="2"/>
      <c r="B396" s="2"/>
      <c r="C396" s="2"/>
      <c r="D396" s="2"/>
      <c r="E396" s="2"/>
      <c r="F396" s="2"/>
      <c r="G396" s="2"/>
      <c r="H396" s="2"/>
      <c r="I396" s="2"/>
      <c r="J396" s="2"/>
      <c r="K396" s="2"/>
      <c r="L396" s="2"/>
      <c r="M396" s="2"/>
      <c r="N396" s="2"/>
      <c r="O396" s="2"/>
      <c r="P396" s="2"/>
    </row>
    <row r="397" spans="1:16" ht="12.75">
      <c r="A397" s="2"/>
      <c r="B397" s="2"/>
      <c r="C397" s="2"/>
      <c r="D397" s="2"/>
      <c r="E397" s="2"/>
      <c r="F397" s="2"/>
      <c r="G397" s="2"/>
      <c r="H397" s="2"/>
      <c r="I397" s="2"/>
      <c r="J397" s="2"/>
      <c r="K397" s="2"/>
      <c r="L397" s="2"/>
      <c r="M397" s="2"/>
      <c r="N397" s="2"/>
      <c r="O397" s="2"/>
      <c r="P397" s="2"/>
    </row>
    <row r="398" spans="1:16" ht="12.75">
      <c r="A398" s="2"/>
      <c r="B398" s="2"/>
      <c r="C398" s="2"/>
      <c r="D398" s="2"/>
      <c r="E398" s="2"/>
      <c r="F398" s="2"/>
      <c r="G398" s="2"/>
      <c r="H398" s="2"/>
      <c r="I398" s="2"/>
      <c r="J398" s="2"/>
      <c r="K398" s="2"/>
      <c r="L398" s="2"/>
      <c r="M398" s="2"/>
      <c r="N398" s="2"/>
      <c r="O398" s="2"/>
      <c r="P398" s="2"/>
    </row>
    <row r="399" spans="1:16" ht="12.75">
      <c r="A399" s="2"/>
      <c r="B399" s="2"/>
      <c r="C399" s="2"/>
      <c r="D399" s="2"/>
      <c r="E399" s="2"/>
      <c r="F399" s="2"/>
      <c r="G399" s="2"/>
      <c r="H399" s="2"/>
      <c r="I399" s="2"/>
      <c r="J399" s="2"/>
      <c r="K399" s="2"/>
      <c r="L399" s="2"/>
      <c r="M399" s="2"/>
      <c r="N399" s="2"/>
      <c r="O399" s="2"/>
      <c r="P399" s="2"/>
    </row>
    <row r="400" spans="1:16" ht="12.75">
      <c r="A400" s="2"/>
      <c r="B400" s="2"/>
      <c r="C400" s="2"/>
      <c r="D400" s="2"/>
      <c r="E400" s="2"/>
      <c r="F400" s="2"/>
      <c r="G400" s="2"/>
      <c r="H400" s="2"/>
      <c r="I400" s="2"/>
      <c r="J400" s="2"/>
      <c r="K400" s="2"/>
      <c r="L400" s="2"/>
      <c r="M400" s="2"/>
      <c r="N400" s="2"/>
      <c r="O400" s="2"/>
      <c r="P400" s="2"/>
    </row>
    <row r="401" spans="1:16" ht="12.75">
      <c r="A401" s="2"/>
      <c r="B401" s="2"/>
      <c r="C401" s="2"/>
      <c r="D401" s="2"/>
      <c r="E401" s="2"/>
      <c r="F401" s="2"/>
      <c r="G401" s="2"/>
      <c r="H401" s="2"/>
      <c r="I401" s="2"/>
      <c r="J401" s="2"/>
      <c r="K401" s="2"/>
      <c r="L401" s="2"/>
      <c r="M401" s="2"/>
      <c r="N401" s="2"/>
      <c r="O401" s="2"/>
      <c r="P401" s="2"/>
    </row>
    <row r="402" spans="1:16" ht="12.75">
      <c r="A402" s="2"/>
      <c r="B402" s="2"/>
      <c r="C402" s="2"/>
      <c r="D402" s="2"/>
      <c r="E402" s="2"/>
      <c r="F402" s="2"/>
      <c r="G402" s="2"/>
      <c r="H402" s="2"/>
      <c r="I402" s="2"/>
      <c r="J402" s="2"/>
      <c r="K402" s="2"/>
      <c r="L402" s="2"/>
      <c r="M402" s="2"/>
      <c r="N402" s="2"/>
      <c r="O402" s="2"/>
      <c r="P402" s="2"/>
    </row>
    <row r="403" spans="1:16" ht="12.75">
      <c r="A403" s="2"/>
      <c r="B403" s="2"/>
      <c r="C403" s="2"/>
      <c r="D403" s="2"/>
      <c r="E403" s="2"/>
      <c r="F403" s="2"/>
      <c r="G403" s="2"/>
      <c r="H403" s="2"/>
      <c r="I403" s="2"/>
      <c r="J403" s="2"/>
      <c r="K403" s="2"/>
      <c r="L403" s="2"/>
      <c r="M403" s="2"/>
      <c r="N403" s="2"/>
      <c r="O403" s="2"/>
      <c r="P403" s="2"/>
    </row>
    <row r="404" spans="1:16" ht="12.75">
      <c r="A404" s="2"/>
      <c r="B404" s="2"/>
      <c r="C404" s="2"/>
      <c r="D404" s="2"/>
      <c r="E404" s="2"/>
      <c r="F404" s="2"/>
      <c r="G404" s="2"/>
      <c r="H404" s="2"/>
      <c r="I404" s="2"/>
      <c r="J404" s="2"/>
      <c r="K404" s="2"/>
      <c r="L404" s="2"/>
      <c r="M404" s="2"/>
      <c r="N404" s="2"/>
      <c r="O404" s="2"/>
      <c r="P404" s="2"/>
    </row>
    <row r="405" spans="1:16" ht="12.75">
      <c r="A405" s="2"/>
      <c r="B405" s="2"/>
      <c r="C405" s="2"/>
      <c r="D405" s="2"/>
      <c r="E405" s="2"/>
      <c r="F405" s="2"/>
      <c r="G405" s="2"/>
      <c r="H405" s="2"/>
      <c r="I405" s="2"/>
      <c r="J405" s="2"/>
      <c r="K405" s="2"/>
      <c r="L405" s="2"/>
      <c r="M405" s="2"/>
      <c r="N405" s="2"/>
      <c r="O405" s="2"/>
      <c r="P405" s="2"/>
    </row>
    <row r="406" spans="1:16" ht="12.75">
      <c r="A406" s="2"/>
      <c r="B406" s="2"/>
      <c r="C406" s="2"/>
      <c r="D406" s="2"/>
      <c r="E406" s="2"/>
      <c r="F406" s="2"/>
      <c r="G406" s="2"/>
      <c r="H406" s="2"/>
      <c r="I406" s="2"/>
      <c r="J406" s="2"/>
      <c r="K406" s="2"/>
      <c r="L406" s="2"/>
      <c r="M406" s="2"/>
      <c r="N406" s="2"/>
      <c r="O406" s="2"/>
      <c r="P406" s="2"/>
    </row>
    <row r="407" spans="1:16" ht="12.75">
      <c r="A407" s="2"/>
      <c r="B407" s="2"/>
      <c r="C407" s="2"/>
      <c r="D407" s="2"/>
      <c r="E407" s="2"/>
      <c r="F407" s="2"/>
      <c r="G407" s="2"/>
      <c r="H407" s="2"/>
      <c r="I407" s="2"/>
      <c r="J407" s="2"/>
      <c r="K407" s="2"/>
      <c r="L407" s="2"/>
      <c r="M407" s="2"/>
      <c r="N407" s="2"/>
      <c r="O407" s="2"/>
      <c r="P407" s="2"/>
    </row>
    <row r="408" spans="1:16" ht="12.75">
      <c r="A408" s="2"/>
      <c r="B408" s="2"/>
      <c r="C408" s="2"/>
      <c r="D408" s="2"/>
      <c r="E408" s="2"/>
      <c r="F408" s="2"/>
      <c r="G408" s="2"/>
      <c r="H408" s="2"/>
      <c r="I408" s="2"/>
      <c r="J408" s="2"/>
      <c r="K408" s="2"/>
      <c r="L408" s="2"/>
      <c r="M408" s="2"/>
      <c r="N408" s="2"/>
      <c r="O408" s="2"/>
      <c r="P408" s="2"/>
    </row>
    <row r="409" spans="1:16" ht="12.75">
      <c r="A409" s="2"/>
      <c r="B409" s="2"/>
      <c r="C409" s="2"/>
      <c r="D409" s="2"/>
      <c r="E409" s="2"/>
      <c r="F409" s="2"/>
      <c r="G409" s="2"/>
      <c r="H409" s="2"/>
      <c r="I409" s="2"/>
      <c r="J409" s="2"/>
      <c r="K409" s="2"/>
      <c r="L409" s="2"/>
      <c r="M409" s="2"/>
      <c r="N409" s="2"/>
      <c r="O409" s="2"/>
      <c r="P409" s="2"/>
    </row>
    <row r="410" spans="1:16" ht="12.75">
      <c r="A410" s="2"/>
      <c r="B410" s="2"/>
      <c r="C410" s="2"/>
      <c r="D410" s="2"/>
      <c r="E410" s="2"/>
      <c r="F410" s="2"/>
      <c r="G410" s="2"/>
      <c r="H410" s="2"/>
      <c r="I410" s="2"/>
      <c r="J410" s="2"/>
      <c r="K410" s="2"/>
      <c r="L410" s="2"/>
      <c r="M410" s="2"/>
      <c r="N410" s="2"/>
      <c r="O410" s="2"/>
      <c r="P410" s="2"/>
    </row>
    <row r="411" spans="1:16" ht="12.75">
      <c r="A411" s="2"/>
      <c r="B411" s="2"/>
      <c r="C411" s="2"/>
      <c r="D411" s="2"/>
      <c r="E411" s="2"/>
      <c r="F411" s="2"/>
      <c r="G411" s="2"/>
      <c r="H411" s="2"/>
      <c r="I411" s="2"/>
      <c r="J411" s="2"/>
      <c r="K411" s="2"/>
      <c r="L411" s="2"/>
      <c r="M411" s="2"/>
      <c r="N411" s="2"/>
      <c r="O411" s="2"/>
      <c r="P411" s="2"/>
    </row>
    <row r="412" spans="1:16" ht="12.75">
      <c r="A412" s="2"/>
      <c r="B412" s="2"/>
      <c r="C412" s="2"/>
      <c r="D412" s="2"/>
      <c r="E412" s="2"/>
      <c r="F412" s="2"/>
      <c r="G412" s="2"/>
      <c r="H412" s="2"/>
      <c r="I412" s="2"/>
      <c r="J412" s="2"/>
      <c r="K412" s="2"/>
      <c r="L412" s="2"/>
      <c r="M412" s="2"/>
      <c r="N412" s="2"/>
      <c r="O412" s="2"/>
      <c r="P412" s="2"/>
    </row>
    <row r="413" spans="1:16" ht="12.75">
      <c r="A413" s="2"/>
      <c r="B413" s="2"/>
      <c r="C413" s="2"/>
      <c r="D413" s="2"/>
      <c r="E413" s="2"/>
      <c r="F413" s="2"/>
      <c r="G413" s="2"/>
      <c r="H413" s="2"/>
      <c r="I413" s="2"/>
      <c r="J413" s="2"/>
      <c r="K413" s="2"/>
      <c r="L413" s="2"/>
      <c r="M413" s="2"/>
      <c r="N413" s="2"/>
      <c r="O413" s="2"/>
      <c r="P413" s="2"/>
    </row>
    <row r="414" spans="1:16" ht="12.75">
      <c r="A414" s="2"/>
      <c r="B414" s="2"/>
      <c r="C414" s="2"/>
      <c r="D414" s="2"/>
      <c r="E414" s="2"/>
      <c r="F414" s="2"/>
      <c r="G414" s="2"/>
      <c r="H414" s="2"/>
      <c r="I414" s="2"/>
      <c r="J414" s="2"/>
      <c r="K414" s="2"/>
      <c r="L414" s="2"/>
      <c r="M414" s="2"/>
      <c r="N414" s="2"/>
      <c r="O414" s="2"/>
      <c r="P414" s="2"/>
    </row>
    <row r="415" spans="1:16" ht="12.75">
      <c r="A415" s="2"/>
      <c r="B415" s="2"/>
      <c r="C415" s="2"/>
      <c r="D415" s="2"/>
      <c r="E415" s="2"/>
      <c r="F415" s="2"/>
      <c r="G415" s="2"/>
      <c r="H415" s="2"/>
      <c r="I415" s="2"/>
      <c r="J415" s="2"/>
      <c r="K415" s="2"/>
      <c r="L415" s="2"/>
      <c r="M415" s="2"/>
      <c r="N415" s="2"/>
      <c r="O415" s="2"/>
      <c r="P415" s="2"/>
    </row>
    <row r="416" spans="1:16" ht="12.75">
      <c r="A416" s="2"/>
      <c r="B416" s="2"/>
      <c r="C416" s="2"/>
      <c r="D416" s="2"/>
      <c r="E416" s="2"/>
      <c r="F416" s="2"/>
      <c r="G416" s="2"/>
      <c r="H416" s="2"/>
      <c r="I416" s="2"/>
      <c r="J416" s="2"/>
      <c r="K416" s="2"/>
      <c r="L416" s="2"/>
      <c r="M416" s="2"/>
      <c r="N416" s="2"/>
      <c r="O416" s="2"/>
      <c r="P416" s="2"/>
    </row>
    <row r="417" spans="1:16" ht="12.75">
      <c r="A417" s="2"/>
      <c r="B417" s="2"/>
      <c r="C417" s="2"/>
      <c r="D417" s="2"/>
      <c r="E417" s="2"/>
      <c r="F417" s="2"/>
      <c r="G417" s="2"/>
      <c r="H417" s="2"/>
      <c r="I417" s="2"/>
      <c r="J417" s="2"/>
      <c r="K417" s="2"/>
      <c r="L417" s="2"/>
      <c r="M417" s="2"/>
      <c r="N417" s="2"/>
      <c r="O417" s="2"/>
      <c r="P417" s="2"/>
    </row>
    <row r="418" spans="1:16" ht="12.75">
      <c r="A418" s="2"/>
      <c r="B418" s="2"/>
      <c r="C418" s="2"/>
      <c r="D418" s="2"/>
      <c r="E418" s="2"/>
      <c r="F418" s="2"/>
      <c r="G418" s="2"/>
      <c r="H418" s="2"/>
      <c r="I418" s="2"/>
      <c r="J418" s="2"/>
      <c r="K418" s="2"/>
      <c r="L418" s="2"/>
      <c r="M418" s="2"/>
      <c r="N418" s="2"/>
      <c r="O418" s="2"/>
      <c r="P418" s="2"/>
    </row>
    <row r="419" spans="1:16" ht="12.75">
      <c r="A419" s="2"/>
      <c r="B419" s="2"/>
      <c r="C419" s="2"/>
      <c r="D419" s="2"/>
      <c r="E419" s="2"/>
      <c r="F419" s="2"/>
      <c r="G419" s="2"/>
      <c r="H419" s="2"/>
      <c r="I419" s="2"/>
      <c r="J419" s="2"/>
      <c r="K419" s="2"/>
      <c r="L419" s="2"/>
      <c r="M419" s="2"/>
      <c r="N419" s="2"/>
      <c r="O419" s="2"/>
      <c r="P419" s="2"/>
    </row>
    <row r="420" spans="1:16" ht="12.75">
      <c r="A420" s="2"/>
      <c r="B420" s="2"/>
      <c r="C420" s="2"/>
      <c r="D420" s="2"/>
      <c r="E420" s="2"/>
      <c r="F420" s="2"/>
      <c r="G420" s="2"/>
      <c r="H420" s="2"/>
      <c r="I420" s="2"/>
      <c r="J420" s="2"/>
      <c r="K420" s="2"/>
      <c r="L420" s="2"/>
      <c r="M420" s="2"/>
      <c r="N420" s="2"/>
      <c r="O420" s="2"/>
      <c r="P420" s="2"/>
    </row>
    <row r="421" spans="1:16" ht="12.75">
      <c r="A421" s="2"/>
      <c r="B421" s="2"/>
      <c r="C421" s="2"/>
      <c r="D421" s="2"/>
      <c r="E421" s="2"/>
      <c r="F421" s="2"/>
      <c r="G421" s="2"/>
      <c r="H421" s="2"/>
      <c r="I421" s="2"/>
      <c r="J421" s="2"/>
      <c r="K421" s="2"/>
      <c r="L421" s="2"/>
      <c r="M421" s="2"/>
      <c r="N421" s="2"/>
      <c r="O421" s="2"/>
      <c r="P421" s="2"/>
    </row>
    <row r="422" spans="1:16" ht="12.75">
      <c r="A422" s="2"/>
      <c r="B422" s="2"/>
      <c r="C422" s="2"/>
      <c r="D422" s="2"/>
      <c r="E422" s="2"/>
      <c r="F422" s="2"/>
      <c r="G422" s="2"/>
      <c r="H422" s="2"/>
      <c r="I422" s="2"/>
      <c r="J422" s="2"/>
      <c r="K422" s="2"/>
      <c r="L422" s="2"/>
      <c r="M422" s="2"/>
      <c r="N422" s="2"/>
      <c r="O422" s="2"/>
      <c r="P422" s="2"/>
    </row>
    <row r="423" spans="1:16" ht="12.75">
      <c r="A423" s="2"/>
      <c r="B423" s="2"/>
      <c r="C423" s="2"/>
      <c r="D423" s="2"/>
      <c r="E423" s="2"/>
      <c r="F423" s="2"/>
      <c r="G423" s="2"/>
      <c r="H423" s="2"/>
      <c r="I423" s="2"/>
      <c r="J423" s="2"/>
      <c r="K423" s="2"/>
      <c r="L423" s="2"/>
      <c r="M423" s="2"/>
      <c r="N423" s="2"/>
      <c r="O423" s="2"/>
      <c r="P423" s="2"/>
    </row>
    <row r="424" spans="1:16" ht="12.75">
      <c r="A424" s="2"/>
      <c r="B424" s="2"/>
      <c r="C424" s="2"/>
      <c r="D424" s="2"/>
      <c r="E424" s="2"/>
      <c r="F424" s="2"/>
      <c r="G424" s="2"/>
      <c r="H424" s="2"/>
      <c r="I424" s="2"/>
      <c r="J424" s="2"/>
      <c r="K424" s="2"/>
      <c r="L424" s="2"/>
      <c r="M424" s="2"/>
      <c r="N424" s="2"/>
      <c r="O424" s="2"/>
      <c r="P424" s="2"/>
    </row>
    <row r="425" spans="1:16" ht="12.75">
      <c r="A425" s="2"/>
      <c r="B425" s="2"/>
      <c r="C425" s="2"/>
      <c r="D425" s="2"/>
      <c r="E425" s="2"/>
      <c r="F425" s="2"/>
      <c r="G425" s="2"/>
      <c r="H425" s="2"/>
      <c r="I425" s="2"/>
      <c r="J425" s="2"/>
      <c r="K425" s="2"/>
      <c r="L425" s="2"/>
      <c r="M425" s="2"/>
      <c r="N425" s="2"/>
      <c r="O425" s="2"/>
      <c r="P425" s="2"/>
    </row>
    <row r="426" spans="1:16" ht="12.75">
      <c r="A426" s="2"/>
      <c r="B426" s="2"/>
      <c r="C426" s="2"/>
      <c r="D426" s="2"/>
      <c r="E426" s="2"/>
      <c r="F426" s="2"/>
      <c r="G426" s="2"/>
      <c r="H426" s="2"/>
      <c r="I426" s="2"/>
      <c r="J426" s="2"/>
      <c r="K426" s="2"/>
      <c r="L426" s="2"/>
      <c r="M426" s="2"/>
      <c r="N426" s="2"/>
      <c r="O426" s="2"/>
      <c r="P426" s="2"/>
    </row>
    <row r="427" spans="1:16" ht="12.75">
      <c r="A427" s="2"/>
      <c r="B427" s="2"/>
      <c r="C427" s="2"/>
      <c r="D427" s="2"/>
      <c r="E427" s="2"/>
      <c r="F427" s="2"/>
      <c r="G427" s="2"/>
      <c r="H427" s="2"/>
      <c r="I427" s="2"/>
      <c r="J427" s="2"/>
      <c r="K427" s="2"/>
      <c r="L427" s="2"/>
      <c r="M427" s="2"/>
      <c r="N427" s="2"/>
      <c r="O427" s="2"/>
      <c r="P427" s="2"/>
    </row>
    <row r="428" spans="1:16" ht="12.75">
      <c r="A428" s="2"/>
      <c r="B428" s="2"/>
      <c r="C428" s="2"/>
      <c r="D428" s="2"/>
      <c r="E428" s="2"/>
      <c r="F428" s="2"/>
      <c r="G428" s="2"/>
      <c r="H428" s="2"/>
      <c r="I428" s="2"/>
      <c r="J428" s="2"/>
      <c r="K428" s="2"/>
      <c r="L428" s="2"/>
      <c r="M428" s="2"/>
      <c r="N428" s="2"/>
      <c r="O428" s="2"/>
      <c r="P428" s="2"/>
    </row>
    <row r="429" spans="1:16" ht="12.75">
      <c r="A429" s="2"/>
      <c r="B429" s="2"/>
      <c r="C429" s="2"/>
      <c r="D429" s="2"/>
      <c r="E429" s="2"/>
      <c r="F429" s="2"/>
      <c r="G429" s="2"/>
      <c r="H429" s="2"/>
      <c r="I429" s="2"/>
      <c r="J429" s="2"/>
      <c r="K429" s="2"/>
      <c r="L429" s="2"/>
      <c r="M429" s="2"/>
      <c r="N429" s="2"/>
      <c r="O429" s="2"/>
      <c r="P429" s="2"/>
    </row>
    <row r="430" spans="1:16" ht="12.75">
      <c r="A430" s="2"/>
      <c r="B430" s="2"/>
      <c r="C430" s="2"/>
      <c r="D430" s="2"/>
      <c r="E430" s="2"/>
      <c r="F430" s="2"/>
      <c r="G430" s="2"/>
      <c r="H430" s="2"/>
      <c r="I430" s="2"/>
      <c r="J430" s="2"/>
      <c r="K430" s="2"/>
      <c r="L430" s="2"/>
      <c r="M430" s="2"/>
      <c r="N430" s="2"/>
      <c r="O430" s="2"/>
      <c r="P430" s="2"/>
    </row>
    <row r="431" spans="1:16" ht="12.75">
      <c r="A431" s="2"/>
      <c r="B431" s="2"/>
      <c r="C431" s="2"/>
      <c r="D431" s="2"/>
      <c r="E431" s="2"/>
      <c r="F431" s="2"/>
      <c r="G431" s="2"/>
      <c r="H431" s="2"/>
      <c r="I431" s="2"/>
      <c r="J431" s="2"/>
      <c r="K431" s="2"/>
      <c r="L431" s="2"/>
      <c r="M431" s="2"/>
      <c r="N431" s="2"/>
      <c r="O431" s="2"/>
      <c r="P431" s="2"/>
    </row>
    <row r="432" spans="1:16" ht="12.75">
      <c r="A432" s="2"/>
      <c r="B432" s="2"/>
      <c r="C432" s="2"/>
      <c r="D432" s="2"/>
      <c r="E432" s="2"/>
      <c r="F432" s="2"/>
      <c r="G432" s="2"/>
      <c r="H432" s="2"/>
      <c r="I432" s="2"/>
      <c r="J432" s="2"/>
      <c r="K432" s="2"/>
      <c r="L432" s="2"/>
      <c r="M432" s="2"/>
      <c r="N432" s="2"/>
      <c r="O432" s="2"/>
      <c r="P432" s="2"/>
    </row>
    <row r="433" spans="1:16" ht="12.75">
      <c r="A433" s="2"/>
      <c r="B433" s="2"/>
      <c r="C433" s="2"/>
      <c r="D433" s="2"/>
      <c r="E433" s="2"/>
      <c r="F433" s="2"/>
      <c r="G433" s="2"/>
      <c r="H433" s="2"/>
      <c r="I433" s="2"/>
      <c r="J433" s="2"/>
      <c r="K433" s="2"/>
      <c r="L433" s="2"/>
      <c r="M433" s="2"/>
      <c r="N433" s="2"/>
      <c r="O433" s="2"/>
      <c r="P433" s="2"/>
    </row>
    <row r="434" spans="1:16" ht="12.75">
      <c r="A434" s="2"/>
      <c r="B434" s="2"/>
      <c r="C434" s="2"/>
      <c r="D434" s="2"/>
      <c r="E434" s="2"/>
      <c r="F434" s="2"/>
      <c r="G434" s="2"/>
      <c r="H434" s="2"/>
      <c r="I434" s="2"/>
      <c r="J434" s="2"/>
      <c r="K434" s="2"/>
      <c r="L434" s="2"/>
      <c r="M434" s="2"/>
      <c r="N434" s="2"/>
      <c r="O434" s="2"/>
      <c r="P434" s="2"/>
    </row>
    <row r="435" spans="1:16" ht="12.75">
      <c r="A435" s="2"/>
      <c r="B435" s="2"/>
      <c r="C435" s="2"/>
      <c r="D435" s="2"/>
      <c r="E435" s="2"/>
      <c r="F435" s="2"/>
      <c r="G435" s="2"/>
      <c r="H435" s="2"/>
      <c r="I435" s="2"/>
      <c r="J435" s="2"/>
      <c r="K435" s="2"/>
      <c r="L435" s="2"/>
      <c r="M435" s="2"/>
      <c r="N435" s="2"/>
      <c r="O435" s="2"/>
      <c r="P435" s="2"/>
    </row>
    <row r="436" spans="1:16" ht="12.75">
      <c r="A436" s="2"/>
      <c r="B436" s="2"/>
      <c r="C436" s="2"/>
      <c r="D436" s="2"/>
      <c r="E436" s="2"/>
      <c r="F436" s="2"/>
      <c r="G436" s="2"/>
      <c r="H436" s="2"/>
      <c r="I436" s="2"/>
      <c r="J436" s="2"/>
      <c r="K436" s="2"/>
      <c r="L436" s="2"/>
      <c r="M436" s="2"/>
      <c r="N436" s="2"/>
      <c r="O436" s="2"/>
      <c r="P436" s="2"/>
    </row>
    <row r="437" spans="1:16" ht="12.75">
      <c r="A437" s="2"/>
      <c r="B437" s="2"/>
      <c r="C437" s="2"/>
      <c r="D437" s="2"/>
      <c r="E437" s="2"/>
      <c r="F437" s="2"/>
      <c r="G437" s="2"/>
      <c r="H437" s="2"/>
      <c r="I437" s="2"/>
      <c r="J437" s="2"/>
      <c r="K437" s="2"/>
      <c r="L437" s="2"/>
      <c r="M437" s="2"/>
      <c r="N437" s="2"/>
      <c r="O437" s="2"/>
      <c r="P437" s="2"/>
    </row>
    <row r="438" spans="1:16" ht="12.75">
      <c r="A438" s="2"/>
      <c r="B438" s="2"/>
      <c r="C438" s="2"/>
      <c r="D438" s="2"/>
      <c r="E438" s="2"/>
      <c r="F438" s="2"/>
      <c r="G438" s="2"/>
      <c r="H438" s="2"/>
      <c r="I438" s="2"/>
      <c r="J438" s="2"/>
      <c r="K438" s="2"/>
      <c r="L438" s="2"/>
      <c r="M438" s="2"/>
      <c r="N438" s="2"/>
      <c r="O438" s="2"/>
      <c r="P438" s="2"/>
    </row>
    <row r="439" spans="1:16" ht="12.75">
      <c r="A439" s="2"/>
      <c r="B439" s="2"/>
      <c r="C439" s="2"/>
      <c r="D439" s="2"/>
      <c r="E439" s="2"/>
      <c r="F439" s="2"/>
      <c r="G439" s="2"/>
      <c r="H439" s="2"/>
      <c r="I439" s="2"/>
      <c r="J439" s="2"/>
      <c r="K439" s="2"/>
      <c r="L439" s="2"/>
      <c r="M439" s="2"/>
      <c r="N439" s="2"/>
      <c r="O439" s="2"/>
      <c r="P439" s="2"/>
    </row>
    <row r="440" spans="1:16" ht="12.75">
      <c r="A440" s="2"/>
      <c r="B440" s="2"/>
      <c r="C440" s="2"/>
      <c r="D440" s="2"/>
      <c r="E440" s="2"/>
      <c r="F440" s="2"/>
      <c r="G440" s="2"/>
      <c r="H440" s="2"/>
      <c r="I440" s="2"/>
      <c r="J440" s="2"/>
      <c r="K440" s="2"/>
      <c r="L440" s="2"/>
      <c r="M440" s="2"/>
      <c r="N440" s="2"/>
      <c r="O440" s="2"/>
      <c r="P440" s="2"/>
    </row>
    <row r="441" spans="1:16" ht="12.75">
      <c r="A441" s="2"/>
      <c r="B441" s="2"/>
      <c r="C441" s="2"/>
      <c r="D441" s="2"/>
      <c r="E441" s="2"/>
      <c r="F441" s="2"/>
      <c r="G441" s="2"/>
      <c r="H441" s="2"/>
      <c r="I441" s="2"/>
      <c r="J441" s="2"/>
      <c r="K441" s="2"/>
      <c r="L441" s="2"/>
      <c r="M441" s="2"/>
      <c r="N441" s="2"/>
      <c r="O441" s="2"/>
      <c r="P441" s="2"/>
    </row>
    <row r="442" spans="1:16" ht="12.75">
      <c r="A442" s="2"/>
      <c r="B442" s="2"/>
      <c r="C442" s="2"/>
      <c r="D442" s="2"/>
      <c r="E442" s="2"/>
      <c r="F442" s="2"/>
      <c r="G442" s="2"/>
      <c r="H442" s="2"/>
      <c r="I442" s="2"/>
      <c r="J442" s="2"/>
      <c r="K442" s="2"/>
      <c r="L442" s="2"/>
      <c r="M442" s="2"/>
      <c r="N442" s="2"/>
      <c r="O442" s="2"/>
      <c r="P442" s="2"/>
    </row>
    <row r="443" spans="1:16" ht="12.75">
      <c r="A443" s="2"/>
      <c r="B443" s="2"/>
      <c r="C443" s="2"/>
      <c r="D443" s="2"/>
      <c r="E443" s="2"/>
      <c r="F443" s="2"/>
      <c r="G443" s="2"/>
      <c r="H443" s="2"/>
      <c r="I443" s="2"/>
      <c r="J443" s="2"/>
      <c r="K443" s="2"/>
      <c r="L443" s="2"/>
      <c r="M443" s="2"/>
      <c r="N443" s="2"/>
      <c r="O443" s="2"/>
      <c r="P443" s="2"/>
    </row>
    <row r="444" spans="1:16" ht="12.75">
      <c r="A444" s="2"/>
      <c r="B444" s="2"/>
      <c r="C444" s="2"/>
      <c r="D444" s="2"/>
      <c r="E444" s="2"/>
      <c r="F444" s="2"/>
      <c r="G444" s="2"/>
      <c r="H444" s="2"/>
      <c r="I444" s="2"/>
      <c r="J444" s="2"/>
      <c r="K444" s="2"/>
      <c r="L444" s="2"/>
      <c r="M444" s="2"/>
      <c r="N444" s="2"/>
      <c r="O444" s="2"/>
      <c r="P444" s="2"/>
    </row>
    <row r="445" spans="1:16" ht="12.75">
      <c r="A445" s="2"/>
      <c r="B445" s="2"/>
      <c r="C445" s="2"/>
      <c r="D445" s="2"/>
      <c r="E445" s="2"/>
      <c r="F445" s="2"/>
      <c r="G445" s="2"/>
      <c r="H445" s="2"/>
      <c r="I445" s="2"/>
      <c r="J445" s="2"/>
      <c r="K445" s="2"/>
      <c r="L445" s="2"/>
      <c r="M445" s="2"/>
      <c r="N445" s="2"/>
      <c r="O445" s="2"/>
      <c r="P445" s="2"/>
    </row>
    <row r="446" spans="1:16" ht="12.75">
      <c r="A446" s="2"/>
      <c r="B446" s="2"/>
      <c r="C446" s="2"/>
      <c r="D446" s="2"/>
      <c r="E446" s="2"/>
      <c r="F446" s="2"/>
      <c r="G446" s="2"/>
      <c r="H446" s="2"/>
      <c r="I446" s="2"/>
      <c r="J446" s="2"/>
      <c r="K446" s="2"/>
      <c r="L446" s="2"/>
      <c r="M446" s="2"/>
      <c r="N446" s="2"/>
      <c r="O446" s="2"/>
      <c r="P446" s="2"/>
    </row>
    <row r="447" spans="1:16" ht="12.75">
      <c r="A447" s="2"/>
      <c r="B447" s="2"/>
      <c r="C447" s="2"/>
      <c r="D447" s="2"/>
      <c r="E447" s="2"/>
      <c r="F447" s="2"/>
      <c r="G447" s="2"/>
      <c r="H447" s="2"/>
      <c r="I447" s="2"/>
      <c r="J447" s="2"/>
      <c r="K447" s="2"/>
      <c r="L447" s="2"/>
      <c r="M447" s="2"/>
      <c r="N447" s="2"/>
      <c r="O447" s="2"/>
      <c r="P447" s="2"/>
    </row>
    <row r="448" spans="1:16" ht="12.75">
      <c r="A448" s="2"/>
      <c r="B448" s="2"/>
      <c r="C448" s="2"/>
      <c r="D448" s="2"/>
      <c r="E448" s="2"/>
      <c r="F448" s="2"/>
      <c r="G448" s="2"/>
      <c r="H448" s="2"/>
      <c r="I448" s="2"/>
      <c r="J448" s="2"/>
      <c r="K448" s="2"/>
      <c r="L448" s="2"/>
      <c r="M448" s="2"/>
      <c r="N448" s="2"/>
      <c r="O448" s="2"/>
      <c r="P448" s="2"/>
    </row>
    <row r="449" spans="1:16" ht="12.75">
      <c r="A449" s="2"/>
      <c r="B449" s="2"/>
      <c r="C449" s="2"/>
      <c r="D449" s="2"/>
      <c r="E449" s="2"/>
      <c r="F449" s="2"/>
      <c r="G449" s="2"/>
      <c r="H449" s="2"/>
      <c r="I449" s="2"/>
      <c r="J449" s="2"/>
      <c r="K449" s="2"/>
      <c r="L449" s="2"/>
      <c r="M449" s="2"/>
      <c r="N449" s="2"/>
      <c r="O449" s="2"/>
      <c r="P449" s="2"/>
    </row>
    <row r="450" spans="1:16" ht="12.75">
      <c r="A450" s="2"/>
      <c r="B450" s="2"/>
      <c r="C450" s="2"/>
      <c r="D450" s="2"/>
      <c r="E450" s="2"/>
      <c r="F450" s="2"/>
      <c r="G450" s="2"/>
      <c r="H450" s="2"/>
      <c r="I450" s="2"/>
      <c r="J450" s="2"/>
      <c r="K450" s="2"/>
      <c r="L450" s="2"/>
      <c r="M450" s="2"/>
      <c r="N450" s="2"/>
      <c r="O450" s="2"/>
      <c r="P450" s="2"/>
    </row>
    <row r="451" spans="1:16" ht="12.75">
      <c r="A451" s="2"/>
      <c r="B451" s="2"/>
      <c r="C451" s="2"/>
      <c r="D451" s="2"/>
      <c r="E451" s="2"/>
      <c r="F451" s="2"/>
      <c r="G451" s="2"/>
      <c r="H451" s="2"/>
      <c r="I451" s="2"/>
      <c r="J451" s="2"/>
      <c r="K451" s="2"/>
      <c r="L451" s="2"/>
      <c r="M451" s="2"/>
      <c r="N451" s="2"/>
      <c r="O451" s="2"/>
      <c r="P451" s="2"/>
    </row>
    <row r="452" spans="1:16" ht="12.75">
      <c r="A452" s="2"/>
      <c r="B452" s="2"/>
      <c r="C452" s="2"/>
      <c r="D452" s="2"/>
      <c r="E452" s="2"/>
      <c r="F452" s="2"/>
      <c r="G452" s="2"/>
      <c r="H452" s="2"/>
      <c r="I452" s="2"/>
      <c r="J452" s="2"/>
      <c r="K452" s="2"/>
      <c r="L452" s="2"/>
      <c r="M452" s="2"/>
      <c r="N452" s="2"/>
      <c r="O452" s="2"/>
      <c r="P452" s="2"/>
    </row>
    <row r="453" spans="1:16" ht="12.75">
      <c r="A453" s="2"/>
      <c r="B453" s="2"/>
      <c r="C453" s="2"/>
      <c r="D453" s="2"/>
      <c r="E453" s="2"/>
      <c r="F453" s="2"/>
      <c r="G453" s="2"/>
      <c r="H453" s="2"/>
      <c r="I453" s="2"/>
      <c r="J453" s="2"/>
      <c r="K453" s="2"/>
      <c r="L453" s="2"/>
      <c r="M453" s="2"/>
      <c r="N453" s="2"/>
      <c r="O453" s="2"/>
      <c r="P453" s="2"/>
    </row>
    <row r="454" spans="1:16" ht="12.75">
      <c r="A454" s="2"/>
      <c r="B454" s="2"/>
      <c r="C454" s="2"/>
      <c r="D454" s="2"/>
      <c r="E454" s="2"/>
      <c r="F454" s="2"/>
      <c r="G454" s="2"/>
      <c r="H454" s="2"/>
      <c r="I454" s="2"/>
      <c r="J454" s="2"/>
      <c r="K454" s="2"/>
      <c r="L454" s="2"/>
      <c r="M454" s="2"/>
      <c r="N454" s="2"/>
      <c r="O454" s="2"/>
      <c r="P454" s="2"/>
    </row>
    <row r="455" spans="1:16" ht="12.75">
      <c r="A455" s="2"/>
      <c r="B455" s="2"/>
      <c r="C455" s="2"/>
      <c r="D455" s="2"/>
      <c r="E455" s="2"/>
      <c r="F455" s="2"/>
      <c r="G455" s="2"/>
      <c r="H455" s="2"/>
      <c r="I455" s="2"/>
      <c r="J455" s="2"/>
      <c r="K455" s="2"/>
      <c r="L455" s="2"/>
      <c r="M455" s="2"/>
      <c r="N455" s="2"/>
      <c r="O455" s="2"/>
      <c r="P455" s="2"/>
    </row>
    <row r="456" spans="1:16" ht="12.75">
      <c r="A456" s="2"/>
      <c r="B456" s="2"/>
      <c r="C456" s="2"/>
      <c r="D456" s="2"/>
      <c r="E456" s="2"/>
      <c r="F456" s="2"/>
      <c r="G456" s="2"/>
      <c r="H456" s="2"/>
      <c r="I456" s="2"/>
      <c r="J456" s="2"/>
      <c r="K456" s="2"/>
      <c r="L456" s="2"/>
      <c r="M456" s="2"/>
      <c r="N456" s="2"/>
      <c r="O456" s="2"/>
      <c r="P456" s="2"/>
    </row>
    <row r="457" spans="1:16" ht="12.75">
      <c r="A457" s="2"/>
      <c r="B457" s="2"/>
      <c r="C457" s="2"/>
      <c r="D457" s="2"/>
      <c r="E457" s="2"/>
      <c r="F457" s="2"/>
      <c r="G457" s="2"/>
      <c r="H457" s="2"/>
      <c r="I457" s="2"/>
      <c r="J457" s="2"/>
      <c r="K457" s="2"/>
      <c r="L457" s="2"/>
      <c r="M457" s="2"/>
      <c r="N457" s="2"/>
      <c r="O457" s="2"/>
      <c r="P457" s="2"/>
    </row>
    <row r="458" spans="1:16" ht="12.75">
      <c r="A458" s="2"/>
      <c r="B458" s="2"/>
      <c r="C458" s="2"/>
      <c r="D458" s="2"/>
      <c r="E458" s="2"/>
      <c r="F458" s="2"/>
      <c r="G458" s="2"/>
      <c r="H458" s="2"/>
      <c r="I458" s="2"/>
      <c r="J458" s="2"/>
      <c r="K458" s="2"/>
      <c r="L458" s="2"/>
      <c r="M458" s="2"/>
      <c r="N458" s="2"/>
      <c r="O458" s="2"/>
      <c r="P458" s="2"/>
    </row>
    <row r="459" spans="1:16" ht="12.75">
      <c r="A459" s="2"/>
      <c r="B459" s="2"/>
      <c r="C459" s="2"/>
      <c r="D459" s="2"/>
      <c r="E459" s="2"/>
      <c r="F459" s="2"/>
      <c r="G459" s="2"/>
      <c r="H459" s="2"/>
      <c r="I459" s="2"/>
      <c r="J459" s="2"/>
      <c r="K459" s="2"/>
      <c r="L459" s="2"/>
      <c r="M459" s="2"/>
      <c r="N459" s="2"/>
      <c r="O459" s="2"/>
      <c r="P459" s="2"/>
    </row>
    <row r="460" spans="1:16" ht="12.75">
      <c r="A460" s="2"/>
      <c r="B460" s="2"/>
      <c r="C460" s="2"/>
      <c r="D460" s="2"/>
      <c r="E460" s="2"/>
      <c r="F460" s="2"/>
      <c r="G460" s="2"/>
      <c r="H460" s="2"/>
      <c r="I460" s="2"/>
      <c r="J460" s="2"/>
      <c r="K460" s="2"/>
      <c r="L460" s="2"/>
      <c r="M460" s="2"/>
      <c r="N460" s="2"/>
      <c r="O460" s="2"/>
      <c r="P460" s="2"/>
    </row>
    <row r="461" spans="1:16" ht="12.75">
      <c r="A461" s="2"/>
      <c r="B461" s="2"/>
      <c r="C461" s="2"/>
      <c r="D461" s="2"/>
      <c r="E461" s="2"/>
      <c r="F461" s="2"/>
      <c r="G461" s="2"/>
      <c r="H461" s="2"/>
      <c r="I461" s="2"/>
      <c r="J461" s="2"/>
      <c r="K461" s="2"/>
      <c r="L461" s="2"/>
      <c r="M461" s="2"/>
      <c r="N461" s="2"/>
      <c r="O461" s="2"/>
      <c r="P461" s="2"/>
    </row>
    <row r="462" spans="1:16" ht="12.75">
      <c r="A462" s="2"/>
      <c r="B462" s="2"/>
      <c r="C462" s="2"/>
      <c r="D462" s="2"/>
      <c r="E462" s="2"/>
      <c r="F462" s="2"/>
      <c r="G462" s="2"/>
      <c r="H462" s="2"/>
      <c r="I462" s="2"/>
      <c r="J462" s="2"/>
      <c r="K462" s="2"/>
      <c r="L462" s="2"/>
      <c r="M462" s="2"/>
      <c r="N462" s="2"/>
      <c r="O462" s="2"/>
      <c r="P462" s="2"/>
    </row>
    <row r="463" spans="1:16" ht="12.75">
      <c r="A463" s="2"/>
      <c r="B463" s="2"/>
      <c r="C463" s="2"/>
      <c r="D463" s="2"/>
      <c r="E463" s="2"/>
      <c r="F463" s="2"/>
      <c r="G463" s="2"/>
      <c r="H463" s="2"/>
      <c r="I463" s="2"/>
      <c r="J463" s="2"/>
      <c r="K463" s="2"/>
      <c r="L463" s="2"/>
      <c r="M463" s="2"/>
      <c r="N463" s="2"/>
      <c r="O463" s="2"/>
      <c r="P463" s="2"/>
    </row>
    <row r="464" spans="1:16" ht="12.75">
      <c r="A464" s="2"/>
      <c r="B464" s="2"/>
      <c r="C464" s="2"/>
      <c r="D464" s="2"/>
      <c r="E464" s="2"/>
      <c r="F464" s="2"/>
      <c r="G464" s="2"/>
      <c r="H464" s="2"/>
      <c r="I464" s="2"/>
      <c r="J464" s="2"/>
      <c r="K464" s="2"/>
      <c r="L464" s="2"/>
      <c r="M464" s="2"/>
      <c r="N464" s="2"/>
      <c r="O464" s="2"/>
      <c r="P464" s="2"/>
    </row>
    <row r="465" spans="1:16" ht="12.75">
      <c r="A465" s="2"/>
      <c r="B465" s="2"/>
      <c r="C465" s="2"/>
      <c r="D465" s="2"/>
      <c r="E465" s="2"/>
      <c r="F465" s="2"/>
      <c r="G465" s="2"/>
      <c r="H465" s="2"/>
      <c r="I465" s="2"/>
      <c r="J465" s="2"/>
      <c r="K465" s="2"/>
      <c r="L465" s="2"/>
      <c r="M465" s="2"/>
      <c r="N465" s="2"/>
      <c r="O465" s="2"/>
      <c r="P465" s="2"/>
    </row>
    <row r="466" spans="1:16" ht="12.75">
      <c r="A466" s="2"/>
      <c r="B466" s="2"/>
      <c r="C466" s="2"/>
      <c r="D466" s="2"/>
      <c r="E466" s="2"/>
      <c r="F466" s="2"/>
      <c r="G466" s="2"/>
      <c r="H466" s="2"/>
      <c r="I466" s="2"/>
      <c r="J466" s="2"/>
      <c r="K466" s="2"/>
      <c r="L466" s="2"/>
      <c r="M466" s="2"/>
      <c r="N466" s="2"/>
      <c r="O466" s="2"/>
      <c r="P466" s="2"/>
    </row>
    <row r="467" spans="1:16" ht="12.75">
      <c r="A467" s="2"/>
      <c r="B467" s="2"/>
      <c r="C467" s="2"/>
      <c r="D467" s="2"/>
      <c r="E467" s="2"/>
      <c r="F467" s="2"/>
      <c r="G467" s="2"/>
      <c r="H467" s="2"/>
      <c r="I467" s="2"/>
      <c r="J467" s="2"/>
      <c r="K467" s="2"/>
      <c r="L467" s="2"/>
      <c r="M467" s="2"/>
      <c r="N467" s="2"/>
      <c r="O467" s="2"/>
      <c r="P467" s="2"/>
    </row>
    <row r="468" spans="1:16" ht="12.75">
      <c r="A468" s="2"/>
      <c r="B468" s="2"/>
      <c r="C468" s="2"/>
      <c r="D468" s="2"/>
      <c r="E468" s="2"/>
      <c r="F468" s="2"/>
      <c r="G468" s="2"/>
      <c r="H468" s="2"/>
      <c r="I468" s="2"/>
      <c r="J468" s="2"/>
      <c r="K468" s="2"/>
      <c r="L468" s="2"/>
      <c r="M468" s="2"/>
      <c r="N468" s="2"/>
      <c r="O468" s="2"/>
      <c r="P468" s="2"/>
    </row>
    <row r="469" spans="1:16" ht="12.75">
      <c r="A469" s="2"/>
      <c r="B469" s="2"/>
      <c r="C469" s="2"/>
      <c r="D469" s="2"/>
      <c r="E469" s="2"/>
      <c r="F469" s="2"/>
      <c r="G469" s="2"/>
      <c r="H469" s="2"/>
      <c r="I469" s="2"/>
      <c r="J469" s="2"/>
      <c r="K469" s="2"/>
      <c r="L469" s="2"/>
      <c r="M469" s="2"/>
      <c r="N469" s="2"/>
      <c r="O469" s="2"/>
      <c r="P469" s="2"/>
    </row>
    <row r="470" spans="1:16" ht="12.75">
      <c r="A470" s="2"/>
      <c r="B470" s="2"/>
      <c r="C470" s="2"/>
      <c r="D470" s="2"/>
      <c r="E470" s="2"/>
      <c r="F470" s="2"/>
      <c r="G470" s="2"/>
      <c r="H470" s="2"/>
      <c r="I470" s="2"/>
      <c r="J470" s="2"/>
      <c r="K470" s="2"/>
      <c r="L470" s="2"/>
      <c r="M470" s="2"/>
      <c r="N470" s="2"/>
      <c r="O470" s="2"/>
      <c r="P470" s="2"/>
    </row>
    <row r="471" spans="1:16" ht="12.75">
      <c r="A471" s="2"/>
      <c r="B471" s="2"/>
      <c r="C471" s="2"/>
      <c r="D471" s="2"/>
      <c r="E471" s="2"/>
      <c r="F471" s="2"/>
      <c r="G471" s="2"/>
      <c r="H471" s="2"/>
      <c r="I471" s="2"/>
      <c r="J471" s="2"/>
      <c r="K471" s="2"/>
      <c r="L471" s="2"/>
      <c r="M471" s="2"/>
      <c r="N471" s="2"/>
      <c r="O471" s="2"/>
      <c r="P471" s="2"/>
    </row>
    <row r="472" spans="1:16" ht="12.75">
      <c r="A472" s="2"/>
      <c r="B472" s="2"/>
      <c r="C472" s="2"/>
      <c r="D472" s="2"/>
      <c r="E472" s="2"/>
      <c r="F472" s="2"/>
      <c r="G472" s="2"/>
      <c r="H472" s="2"/>
      <c r="I472" s="2"/>
      <c r="J472" s="2"/>
      <c r="K472" s="2"/>
      <c r="L472" s="2"/>
      <c r="M472" s="2"/>
      <c r="N472" s="2"/>
      <c r="O472" s="2"/>
      <c r="P472" s="2"/>
    </row>
    <row r="473" spans="1:16" ht="12.75">
      <c r="A473" s="2"/>
      <c r="B473" s="2"/>
      <c r="C473" s="2"/>
      <c r="D473" s="2"/>
      <c r="E473" s="2"/>
      <c r="F473" s="2"/>
      <c r="G473" s="2"/>
      <c r="H473" s="2"/>
      <c r="I473" s="2"/>
      <c r="J473" s="2"/>
      <c r="K473" s="2"/>
      <c r="L473" s="2"/>
      <c r="M473" s="2"/>
      <c r="N473" s="2"/>
      <c r="O473" s="2"/>
      <c r="P473" s="2"/>
    </row>
    <row r="474" spans="1:16" ht="12.75">
      <c r="A474" s="2"/>
      <c r="B474" s="2"/>
      <c r="C474" s="2"/>
      <c r="D474" s="2"/>
      <c r="E474" s="2"/>
      <c r="F474" s="2"/>
      <c r="G474" s="2"/>
      <c r="H474" s="2"/>
      <c r="I474" s="2"/>
      <c r="J474" s="2"/>
      <c r="K474" s="2"/>
      <c r="L474" s="2"/>
      <c r="M474" s="2"/>
      <c r="N474" s="2"/>
      <c r="O474" s="2"/>
      <c r="P474" s="2"/>
    </row>
    <row r="475" spans="1:16" ht="12.75">
      <c r="A475" s="2"/>
      <c r="B475" s="2"/>
      <c r="C475" s="2"/>
      <c r="D475" s="2"/>
      <c r="E475" s="2"/>
      <c r="F475" s="2"/>
      <c r="G475" s="2"/>
      <c r="H475" s="2"/>
      <c r="I475" s="2"/>
      <c r="J475" s="2"/>
      <c r="K475" s="2"/>
      <c r="L475" s="2"/>
      <c r="M475" s="2"/>
      <c r="N475" s="2"/>
      <c r="O475" s="2"/>
      <c r="P475" s="2"/>
    </row>
    <row r="476" spans="1:16" ht="12.75">
      <c r="A476" s="2"/>
      <c r="B476" s="2"/>
      <c r="C476" s="2"/>
      <c r="D476" s="2"/>
      <c r="E476" s="2"/>
      <c r="F476" s="2"/>
      <c r="G476" s="2"/>
      <c r="H476" s="2"/>
      <c r="I476" s="2"/>
      <c r="J476" s="2"/>
      <c r="K476" s="2"/>
      <c r="L476" s="2"/>
      <c r="M476" s="2"/>
      <c r="N476" s="2"/>
      <c r="O476" s="2"/>
      <c r="P476" s="2"/>
    </row>
    <row r="477" spans="1:16" ht="12.75">
      <c r="A477" s="2"/>
      <c r="B477" s="2"/>
      <c r="C477" s="2"/>
      <c r="D477" s="2"/>
      <c r="E477" s="2"/>
      <c r="F477" s="2"/>
      <c r="G477" s="2"/>
      <c r="H477" s="2"/>
      <c r="I477" s="2"/>
      <c r="J477" s="2"/>
      <c r="K477" s="2"/>
      <c r="L477" s="2"/>
      <c r="M477" s="2"/>
      <c r="N477" s="2"/>
      <c r="O477" s="2"/>
      <c r="P477" s="2"/>
    </row>
    <row r="478" spans="1:16" ht="12.75">
      <c r="A478" s="2"/>
      <c r="B478" s="2"/>
      <c r="C478" s="2"/>
      <c r="D478" s="2"/>
      <c r="E478" s="2"/>
      <c r="F478" s="2"/>
      <c r="G478" s="2"/>
      <c r="H478" s="2"/>
      <c r="I478" s="2"/>
      <c r="J478" s="2"/>
      <c r="K478" s="2"/>
      <c r="L478" s="2"/>
      <c r="M478" s="2"/>
      <c r="N478" s="2"/>
      <c r="O478" s="2"/>
      <c r="P478" s="2"/>
    </row>
    <row r="479" spans="1:16" ht="12.75">
      <c r="A479" s="2"/>
      <c r="B479" s="2"/>
      <c r="C479" s="2"/>
      <c r="D479" s="2"/>
      <c r="E479" s="2"/>
      <c r="F479" s="2"/>
      <c r="G479" s="2"/>
      <c r="H479" s="2"/>
      <c r="I479" s="2"/>
      <c r="J479" s="2"/>
      <c r="K479" s="2"/>
      <c r="L479" s="2"/>
      <c r="M479" s="2"/>
      <c r="N479" s="2"/>
      <c r="O479" s="2"/>
      <c r="P479" s="2"/>
    </row>
    <row r="480" spans="1:16" ht="12.75">
      <c r="A480" s="2"/>
      <c r="B480" s="2"/>
      <c r="C480" s="2"/>
      <c r="D480" s="2"/>
      <c r="E480" s="2"/>
      <c r="F480" s="2"/>
      <c r="G480" s="2"/>
      <c r="H480" s="2"/>
      <c r="I480" s="2"/>
      <c r="J480" s="2"/>
      <c r="K480" s="2"/>
      <c r="L480" s="2"/>
      <c r="M480" s="2"/>
      <c r="N480" s="2"/>
      <c r="O480" s="2"/>
      <c r="P480" s="2"/>
    </row>
    <row r="481" spans="1:16" ht="12.75">
      <c r="A481" s="2"/>
      <c r="B481" s="2"/>
      <c r="C481" s="2"/>
      <c r="D481" s="2"/>
      <c r="E481" s="2"/>
      <c r="F481" s="2"/>
      <c r="G481" s="2"/>
      <c r="H481" s="2"/>
      <c r="I481" s="2"/>
      <c r="J481" s="2"/>
      <c r="K481" s="2"/>
      <c r="L481" s="2"/>
      <c r="M481" s="2"/>
      <c r="N481" s="2"/>
      <c r="O481" s="2"/>
      <c r="P481" s="2"/>
    </row>
    <row r="482" spans="1:16" ht="12.75">
      <c r="A482" s="2"/>
      <c r="B482" s="2"/>
      <c r="C482" s="2"/>
      <c r="D482" s="2"/>
      <c r="E482" s="2"/>
      <c r="F482" s="2"/>
      <c r="G482" s="2"/>
      <c r="H482" s="2"/>
      <c r="I482" s="2"/>
      <c r="J482" s="2"/>
      <c r="K482" s="2"/>
      <c r="L482" s="2"/>
      <c r="M482" s="2"/>
      <c r="N482" s="2"/>
      <c r="O482" s="2"/>
      <c r="P482" s="2"/>
    </row>
    <row r="483" spans="1:16" ht="12.75">
      <c r="A483" s="2"/>
      <c r="B483" s="2"/>
      <c r="C483" s="2"/>
      <c r="D483" s="2"/>
      <c r="E483" s="2"/>
      <c r="F483" s="2"/>
      <c r="G483" s="2"/>
      <c r="H483" s="2"/>
      <c r="I483" s="2"/>
      <c r="J483" s="2"/>
      <c r="K483" s="2"/>
      <c r="L483" s="2"/>
      <c r="M483" s="2"/>
      <c r="N483" s="2"/>
      <c r="O483" s="2"/>
      <c r="P483" s="2"/>
    </row>
    <row r="484" spans="1:16" ht="12.75">
      <c r="A484" s="2"/>
      <c r="B484" s="2"/>
      <c r="C484" s="2"/>
      <c r="D484" s="2"/>
      <c r="E484" s="2"/>
      <c r="F484" s="2"/>
      <c r="G484" s="2"/>
      <c r="H484" s="2"/>
      <c r="I484" s="2"/>
      <c r="J484" s="2"/>
      <c r="K484" s="2"/>
      <c r="L484" s="2"/>
      <c r="M484" s="2"/>
      <c r="N484" s="2"/>
      <c r="O484" s="2"/>
      <c r="P484" s="2"/>
    </row>
    <row r="485" spans="1:16" ht="12.75">
      <c r="A485" s="2"/>
      <c r="B485" s="2"/>
      <c r="C485" s="2"/>
      <c r="D485" s="2"/>
      <c r="E485" s="2"/>
      <c r="F485" s="2"/>
      <c r="G485" s="2"/>
      <c r="H485" s="2"/>
      <c r="I485" s="2"/>
      <c r="J485" s="2"/>
      <c r="K485" s="2"/>
      <c r="L485" s="2"/>
      <c r="M485" s="2"/>
      <c r="N485" s="2"/>
      <c r="O485" s="2"/>
      <c r="P485" s="2"/>
    </row>
    <row r="486" spans="1:16" ht="12.75">
      <c r="A486" s="2"/>
      <c r="B486" s="2"/>
      <c r="C486" s="2"/>
      <c r="D486" s="2"/>
      <c r="E486" s="2"/>
      <c r="F486" s="2"/>
      <c r="G486" s="2"/>
      <c r="H486" s="2"/>
      <c r="I486" s="2"/>
      <c r="J486" s="2"/>
      <c r="K486" s="2"/>
      <c r="L486" s="2"/>
      <c r="M486" s="2"/>
      <c r="N486" s="2"/>
      <c r="O486" s="2"/>
      <c r="P486" s="2"/>
    </row>
    <row r="487" spans="1:16" ht="12.75">
      <c r="A487" s="2"/>
      <c r="B487" s="2"/>
      <c r="C487" s="2"/>
      <c r="D487" s="2"/>
      <c r="E487" s="2"/>
      <c r="F487" s="2"/>
      <c r="G487" s="2"/>
      <c r="H487" s="2"/>
      <c r="I487" s="2"/>
      <c r="J487" s="2"/>
      <c r="K487" s="2"/>
      <c r="L487" s="2"/>
      <c r="M487" s="2"/>
      <c r="N487" s="2"/>
      <c r="O487" s="2"/>
      <c r="P487" s="2"/>
    </row>
    <row r="488" spans="1:16" ht="12.75">
      <c r="A488" s="2"/>
      <c r="B488" s="2"/>
      <c r="C488" s="2"/>
      <c r="D488" s="2"/>
      <c r="E488" s="2"/>
      <c r="F488" s="2"/>
      <c r="G488" s="2"/>
      <c r="H488" s="2"/>
      <c r="I488" s="2"/>
      <c r="J488" s="2"/>
      <c r="K488" s="2"/>
      <c r="L488" s="2"/>
      <c r="M488" s="2"/>
      <c r="N488" s="2"/>
      <c r="O488" s="2"/>
      <c r="P488" s="2"/>
    </row>
    <row r="489" spans="1:16" ht="12.75">
      <c r="A489" s="2"/>
      <c r="B489" s="2"/>
      <c r="C489" s="2"/>
      <c r="D489" s="2"/>
      <c r="E489" s="2"/>
      <c r="F489" s="2"/>
      <c r="G489" s="2"/>
      <c r="H489" s="2"/>
      <c r="I489" s="2"/>
      <c r="J489" s="2"/>
      <c r="K489" s="2"/>
      <c r="L489" s="2"/>
      <c r="M489" s="2"/>
      <c r="N489" s="2"/>
      <c r="O489" s="2"/>
      <c r="P489" s="2"/>
    </row>
    <row r="490" spans="1:16" ht="12.75">
      <c r="A490" s="2"/>
      <c r="B490" s="2"/>
      <c r="C490" s="2"/>
      <c r="D490" s="2"/>
      <c r="E490" s="2"/>
      <c r="F490" s="2"/>
      <c r="G490" s="2"/>
      <c r="H490" s="2"/>
      <c r="I490" s="2"/>
      <c r="J490" s="2"/>
      <c r="K490" s="2"/>
      <c r="L490" s="2"/>
      <c r="M490" s="2"/>
      <c r="N490" s="2"/>
      <c r="O490" s="2"/>
      <c r="P490" s="2"/>
    </row>
    <row r="491" spans="1:16" ht="12.75">
      <c r="A491" s="2"/>
      <c r="B491" s="2"/>
      <c r="C491" s="2"/>
      <c r="D491" s="2"/>
      <c r="E491" s="2"/>
      <c r="F491" s="2"/>
      <c r="G491" s="2"/>
      <c r="H491" s="2"/>
      <c r="I491" s="2"/>
      <c r="J491" s="2"/>
      <c r="K491" s="2"/>
      <c r="L491" s="2"/>
      <c r="M491" s="2"/>
      <c r="N491" s="2"/>
      <c r="O491" s="2"/>
      <c r="P491" s="2"/>
    </row>
    <row r="492" spans="1:16" ht="12.75">
      <c r="A492" s="2"/>
      <c r="B492" s="2"/>
      <c r="C492" s="2"/>
      <c r="D492" s="2"/>
      <c r="E492" s="2"/>
      <c r="F492" s="2"/>
      <c r="G492" s="2"/>
      <c r="H492" s="2"/>
      <c r="I492" s="2"/>
      <c r="J492" s="2"/>
      <c r="K492" s="2"/>
      <c r="L492" s="2"/>
      <c r="M492" s="2"/>
      <c r="N492" s="2"/>
      <c r="O492" s="2"/>
      <c r="P492" s="2"/>
    </row>
    <row r="493" spans="1:16" ht="12.75">
      <c r="A493" s="2"/>
      <c r="B493" s="2"/>
      <c r="C493" s="2"/>
      <c r="D493" s="2"/>
      <c r="E493" s="2"/>
      <c r="F493" s="2"/>
      <c r="G493" s="2"/>
      <c r="H493" s="2"/>
      <c r="I493" s="2"/>
      <c r="J493" s="2"/>
      <c r="K493" s="2"/>
      <c r="L493" s="2"/>
      <c r="M493" s="2"/>
      <c r="N493" s="2"/>
      <c r="O493" s="2"/>
      <c r="P493" s="2"/>
    </row>
    <row r="494" spans="1:16" ht="12.75">
      <c r="A494" s="2"/>
      <c r="B494" s="2"/>
      <c r="C494" s="2"/>
      <c r="D494" s="2"/>
      <c r="E494" s="2"/>
      <c r="F494" s="2"/>
      <c r="G494" s="2"/>
      <c r="H494" s="2"/>
      <c r="I494" s="2"/>
      <c r="J494" s="2"/>
      <c r="K494" s="2"/>
      <c r="L494" s="2"/>
      <c r="M494" s="2"/>
      <c r="N494" s="2"/>
      <c r="O494" s="2"/>
      <c r="P494" s="2"/>
    </row>
    <row r="495" spans="1:16" ht="12.75">
      <c r="A495" s="2"/>
      <c r="B495" s="2"/>
      <c r="C495" s="2"/>
      <c r="D495" s="2"/>
      <c r="E495" s="2"/>
      <c r="F495" s="2"/>
      <c r="G495" s="2"/>
      <c r="H495" s="2"/>
      <c r="I495" s="2"/>
      <c r="J495" s="2"/>
      <c r="K495" s="2"/>
      <c r="L495" s="2"/>
      <c r="M495" s="2"/>
      <c r="N495" s="2"/>
      <c r="O495" s="2"/>
      <c r="P495" s="2"/>
    </row>
    <row r="496" spans="1:16" ht="12.75">
      <c r="A496" s="2"/>
      <c r="B496" s="2"/>
      <c r="C496" s="2"/>
      <c r="D496" s="2"/>
      <c r="E496" s="2"/>
      <c r="F496" s="2"/>
      <c r="G496" s="2"/>
      <c r="H496" s="2"/>
      <c r="I496" s="2"/>
      <c r="J496" s="2"/>
      <c r="K496" s="2"/>
      <c r="L496" s="2"/>
      <c r="M496" s="2"/>
      <c r="N496" s="2"/>
      <c r="O496" s="2"/>
      <c r="P496" s="2"/>
    </row>
    <row r="497" spans="1:16" ht="12.75">
      <c r="A497" s="2"/>
      <c r="B497" s="2"/>
      <c r="C497" s="2"/>
      <c r="D497" s="2"/>
      <c r="E497" s="2"/>
      <c r="F497" s="2"/>
      <c r="G497" s="2"/>
      <c r="H497" s="2"/>
      <c r="I497" s="2"/>
      <c r="J497" s="2"/>
      <c r="K497" s="2"/>
      <c r="L497" s="2"/>
      <c r="M497" s="2"/>
      <c r="N497" s="2"/>
      <c r="O497" s="2"/>
      <c r="P497" s="2"/>
    </row>
    <row r="498" spans="1:16" ht="12.75">
      <c r="A498" s="2"/>
      <c r="B498" s="2"/>
      <c r="C498" s="2"/>
      <c r="D498" s="2"/>
      <c r="E498" s="2"/>
      <c r="F498" s="2"/>
      <c r="G498" s="2"/>
      <c r="H498" s="2"/>
      <c r="I498" s="2"/>
      <c r="J498" s="2"/>
      <c r="K498" s="2"/>
      <c r="L498" s="2"/>
      <c r="M498" s="2"/>
      <c r="N498" s="2"/>
      <c r="O498" s="2"/>
      <c r="P498" s="2"/>
    </row>
    <row r="499" spans="1:16" ht="12.75">
      <c r="A499" s="2"/>
      <c r="B499" s="2"/>
      <c r="C499" s="2"/>
      <c r="D499" s="2"/>
      <c r="E499" s="2"/>
      <c r="F499" s="2"/>
      <c r="G499" s="2"/>
      <c r="H499" s="2"/>
      <c r="I499" s="2"/>
      <c r="J499" s="2"/>
      <c r="K499" s="2"/>
      <c r="L499" s="2"/>
      <c r="M499" s="2"/>
      <c r="N499" s="2"/>
      <c r="O499" s="2"/>
      <c r="P499" s="2"/>
    </row>
    <row r="500" spans="1:16" ht="12.75">
      <c r="A500" s="2"/>
      <c r="B500" s="2"/>
      <c r="C500" s="2"/>
      <c r="D500" s="2"/>
      <c r="E500" s="2"/>
      <c r="F500" s="2"/>
      <c r="G500" s="2"/>
      <c r="H500" s="2"/>
      <c r="I500" s="2"/>
      <c r="J500" s="2"/>
      <c r="K500" s="2"/>
      <c r="L500" s="2"/>
      <c r="M500" s="2"/>
      <c r="N500" s="2"/>
      <c r="O500" s="2"/>
      <c r="P500" s="2"/>
    </row>
    <row r="501" spans="1:16" ht="12.75">
      <c r="A501" s="2"/>
      <c r="B501" s="2"/>
      <c r="C501" s="2"/>
      <c r="D501" s="2"/>
      <c r="E501" s="2"/>
      <c r="F501" s="2"/>
      <c r="G501" s="2"/>
      <c r="H501" s="2"/>
      <c r="I501" s="2"/>
      <c r="J501" s="2"/>
      <c r="K501" s="2"/>
      <c r="L501" s="2"/>
      <c r="M501" s="2"/>
      <c r="N501" s="2"/>
      <c r="O501" s="2"/>
      <c r="P501" s="2"/>
    </row>
    <row r="502" spans="1:16" ht="12.75">
      <c r="A502" s="2"/>
      <c r="B502" s="2"/>
      <c r="C502" s="2"/>
      <c r="D502" s="2"/>
      <c r="E502" s="2"/>
      <c r="F502" s="2"/>
      <c r="G502" s="2"/>
      <c r="H502" s="2"/>
      <c r="I502" s="2"/>
      <c r="J502" s="2"/>
      <c r="K502" s="2"/>
      <c r="L502" s="2"/>
      <c r="M502" s="2"/>
      <c r="N502" s="2"/>
      <c r="O502" s="2"/>
      <c r="P502" s="2"/>
    </row>
    <row r="503" spans="1:16" ht="12.75">
      <c r="A503" s="2"/>
      <c r="B503" s="2"/>
      <c r="C503" s="2"/>
      <c r="D503" s="2"/>
      <c r="E503" s="2"/>
      <c r="F503" s="2"/>
      <c r="G503" s="2"/>
      <c r="H503" s="2"/>
      <c r="I503" s="2"/>
      <c r="J503" s="2"/>
      <c r="K503" s="2"/>
      <c r="L503" s="2"/>
      <c r="M503" s="2"/>
      <c r="N503" s="2"/>
      <c r="O503" s="2"/>
      <c r="P503" s="2"/>
    </row>
    <row r="504" spans="1:16" ht="12.75">
      <c r="A504" s="2"/>
      <c r="B504" s="2"/>
      <c r="C504" s="2"/>
      <c r="D504" s="2"/>
      <c r="E504" s="2"/>
      <c r="F504" s="2"/>
      <c r="G504" s="2"/>
      <c r="H504" s="2"/>
      <c r="I504" s="2"/>
      <c r="J504" s="2"/>
      <c r="K504" s="2"/>
      <c r="L504" s="2"/>
      <c r="M504" s="2"/>
      <c r="N504" s="2"/>
      <c r="O504" s="2"/>
      <c r="P504" s="2"/>
    </row>
    <row r="505" spans="1:16" ht="12.75">
      <c r="A505" s="2"/>
      <c r="B505" s="2"/>
      <c r="C505" s="2"/>
      <c r="D505" s="2"/>
      <c r="E505" s="2"/>
      <c r="F505" s="2"/>
      <c r="G505" s="2"/>
      <c r="H505" s="2"/>
      <c r="I505" s="2"/>
      <c r="J505" s="2"/>
      <c r="K505" s="2"/>
      <c r="L505" s="2"/>
      <c r="M505" s="2"/>
      <c r="N505" s="2"/>
      <c r="O505" s="2"/>
      <c r="P505" s="2"/>
    </row>
    <row r="506" spans="1:16" ht="12.75">
      <c r="A506" s="2"/>
      <c r="B506" s="2"/>
      <c r="C506" s="2"/>
      <c r="D506" s="2"/>
      <c r="E506" s="2"/>
      <c r="F506" s="2"/>
      <c r="G506" s="2"/>
      <c r="H506" s="2"/>
      <c r="I506" s="2"/>
      <c r="J506" s="2"/>
      <c r="K506" s="2"/>
      <c r="L506" s="2"/>
      <c r="M506" s="2"/>
      <c r="N506" s="2"/>
      <c r="O506" s="2"/>
      <c r="P506" s="2"/>
    </row>
    <row r="507" spans="1:16" ht="12.75">
      <c r="A507" s="2"/>
      <c r="B507" s="2"/>
      <c r="C507" s="2"/>
      <c r="D507" s="2"/>
      <c r="E507" s="2"/>
      <c r="F507" s="2"/>
      <c r="G507" s="2"/>
      <c r="H507" s="2"/>
      <c r="I507" s="2"/>
      <c r="J507" s="2"/>
      <c r="K507" s="2"/>
      <c r="L507" s="2"/>
      <c r="M507" s="2"/>
      <c r="N507" s="2"/>
      <c r="O507" s="2"/>
      <c r="P507" s="2"/>
    </row>
    <row r="508" spans="1:16" ht="12.75">
      <c r="A508" s="2"/>
      <c r="B508" s="2"/>
      <c r="C508" s="2"/>
      <c r="D508" s="2"/>
      <c r="E508" s="2"/>
      <c r="F508" s="2"/>
      <c r="G508" s="2"/>
      <c r="H508" s="2"/>
      <c r="I508" s="2"/>
      <c r="J508" s="2"/>
      <c r="K508" s="2"/>
      <c r="L508" s="2"/>
      <c r="M508" s="2"/>
      <c r="N508" s="2"/>
      <c r="O508" s="2"/>
      <c r="P508" s="2"/>
    </row>
    <row r="509" spans="1:16" ht="12.75">
      <c r="A509" s="2"/>
      <c r="B509" s="2"/>
      <c r="C509" s="2"/>
      <c r="D509" s="2"/>
      <c r="E509" s="2"/>
      <c r="F509" s="2"/>
      <c r="G509" s="2"/>
      <c r="H509" s="2"/>
      <c r="I509" s="2"/>
      <c r="J509" s="2"/>
      <c r="K509" s="2"/>
      <c r="L509" s="2"/>
      <c r="M509" s="2"/>
      <c r="N509" s="2"/>
      <c r="O509" s="2"/>
      <c r="P509" s="2"/>
    </row>
    <row r="510" spans="1:16" ht="12.75">
      <c r="A510" s="2"/>
      <c r="B510" s="2"/>
      <c r="C510" s="2"/>
      <c r="D510" s="2"/>
      <c r="E510" s="2"/>
      <c r="F510" s="2"/>
      <c r="G510" s="2"/>
      <c r="H510" s="2"/>
      <c r="I510" s="2"/>
      <c r="J510" s="2"/>
      <c r="K510" s="2"/>
      <c r="L510" s="2"/>
      <c r="M510" s="2"/>
      <c r="N510" s="2"/>
      <c r="O510" s="2"/>
      <c r="P510" s="2"/>
    </row>
    <row r="511" spans="1:16" ht="12.75">
      <c r="A511" s="2"/>
      <c r="B511" s="2"/>
      <c r="C511" s="2"/>
      <c r="D511" s="2"/>
      <c r="E511" s="2"/>
      <c r="F511" s="2"/>
      <c r="G511" s="2"/>
      <c r="H511" s="2"/>
      <c r="I511" s="2"/>
      <c r="J511" s="2"/>
      <c r="K511" s="2"/>
      <c r="L511" s="2"/>
      <c r="M511" s="2"/>
      <c r="N511" s="2"/>
      <c r="O511" s="2"/>
      <c r="P511" s="2"/>
    </row>
    <row r="512" spans="1:16" ht="12.75">
      <c r="A512" s="2"/>
      <c r="B512" s="2"/>
      <c r="C512" s="2"/>
      <c r="D512" s="2"/>
      <c r="E512" s="2"/>
      <c r="F512" s="2"/>
      <c r="G512" s="2"/>
      <c r="H512" s="2"/>
      <c r="I512" s="2"/>
      <c r="J512" s="2"/>
      <c r="K512" s="2"/>
      <c r="L512" s="2"/>
      <c r="M512" s="2"/>
      <c r="N512" s="2"/>
      <c r="O512" s="2"/>
      <c r="P512" s="2"/>
    </row>
    <row r="513" spans="1:16" ht="12.75">
      <c r="A513" s="2"/>
      <c r="B513" s="2"/>
      <c r="C513" s="2"/>
      <c r="D513" s="2"/>
      <c r="E513" s="2"/>
      <c r="F513" s="2"/>
      <c r="G513" s="2"/>
      <c r="H513" s="2"/>
      <c r="I513" s="2"/>
      <c r="J513" s="2"/>
      <c r="K513" s="2"/>
      <c r="L513" s="2"/>
      <c r="M513" s="2"/>
      <c r="N513" s="2"/>
      <c r="O513" s="2"/>
      <c r="P513" s="2"/>
    </row>
    <row r="514" spans="1:16" ht="12.75">
      <c r="A514" s="2"/>
      <c r="B514" s="2"/>
      <c r="C514" s="2"/>
      <c r="D514" s="2"/>
      <c r="E514" s="2"/>
      <c r="F514" s="2"/>
      <c r="G514" s="2"/>
      <c r="H514" s="2"/>
      <c r="I514" s="2"/>
      <c r="J514" s="2"/>
      <c r="K514" s="2"/>
      <c r="L514" s="2"/>
      <c r="M514" s="2"/>
      <c r="N514" s="2"/>
      <c r="O514" s="2"/>
      <c r="P514" s="2"/>
    </row>
    <row r="515" spans="1:16" ht="12.75">
      <c r="A515" s="2"/>
      <c r="B515" s="2"/>
      <c r="C515" s="2"/>
      <c r="D515" s="2"/>
      <c r="E515" s="2"/>
      <c r="F515" s="2"/>
      <c r="G515" s="2"/>
      <c r="H515" s="2"/>
      <c r="I515" s="2"/>
      <c r="J515" s="2"/>
      <c r="K515" s="2"/>
      <c r="L515" s="2"/>
      <c r="M515" s="2"/>
      <c r="N515" s="2"/>
      <c r="O515" s="2"/>
      <c r="P515" s="2"/>
    </row>
    <row r="516" spans="1:16" ht="12.75">
      <c r="A516" s="2"/>
      <c r="B516" s="2"/>
      <c r="C516" s="2"/>
      <c r="D516" s="2"/>
      <c r="E516" s="2"/>
      <c r="F516" s="2"/>
      <c r="G516" s="2"/>
      <c r="H516" s="2"/>
      <c r="I516" s="2"/>
      <c r="J516" s="2"/>
      <c r="K516" s="2"/>
      <c r="L516" s="2"/>
      <c r="M516" s="2"/>
      <c r="N516" s="2"/>
      <c r="O516" s="2"/>
      <c r="P516" s="2"/>
    </row>
    <row r="517" spans="1:16" ht="12.75">
      <c r="A517" s="2"/>
      <c r="B517" s="2"/>
      <c r="C517" s="2"/>
      <c r="D517" s="2"/>
      <c r="E517" s="2"/>
      <c r="F517" s="2"/>
      <c r="G517" s="2"/>
      <c r="H517" s="2"/>
      <c r="I517" s="2"/>
      <c r="J517" s="2"/>
      <c r="K517" s="2"/>
      <c r="L517" s="2"/>
      <c r="M517" s="2"/>
      <c r="N517" s="2"/>
      <c r="O517" s="2"/>
      <c r="P517" s="2"/>
    </row>
    <row r="518" spans="1:16" ht="12.75">
      <c r="A518" s="2"/>
      <c r="B518" s="2"/>
      <c r="C518" s="2"/>
      <c r="D518" s="2"/>
      <c r="E518" s="2"/>
      <c r="F518" s="2"/>
      <c r="G518" s="2"/>
      <c r="H518" s="2"/>
      <c r="I518" s="2"/>
      <c r="J518" s="2"/>
      <c r="K518" s="2"/>
      <c r="L518" s="2"/>
      <c r="M518" s="2"/>
      <c r="N518" s="2"/>
      <c r="O518" s="2"/>
      <c r="P518" s="2"/>
    </row>
    <row r="519" spans="1:16" ht="12.75">
      <c r="A519" s="2"/>
      <c r="B519" s="2"/>
      <c r="C519" s="2"/>
      <c r="D519" s="2"/>
      <c r="E519" s="2"/>
      <c r="F519" s="2"/>
      <c r="G519" s="2"/>
      <c r="H519" s="2"/>
      <c r="I519" s="2"/>
      <c r="J519" s="2"/>
      <c r="K519" s="2"/>
      <c r="L519" s="2"/>
      <c r="M519" s="2"/>
      <c r="N519" s="2"/>
      <c r="O519" s="2"/>
      <c r="P519" s="2"/>
    </row>
    <row r="520" spans="1:16" ht="12.75">
      <c r="A520" s="2"/>
      <c r="B520" s="2"/>
      <c r="C520" s="2"/>
      <c r="D520" s="2"/>
      <c r="E520" s="2"/>
      <c r="F520" s="2"/>
      <c r="G520" s="2"/>
      <c r="H520" s="2"/>
      <c r="I520" s="2"/>
      <c r="J520" s="2"/>
      <c r="K520" s="2"/>
      <c r="L520" s="2"/>
      <c r="M520" s="2"/>
      <c r="N520" s="2"/>
      <c r="O520" s="2"/>
      <c r="P520" s="2"/>
    </row>
    <row r="521" spans="1:16" ht="12.75">
      <c r="A521" s="2"/>
      <c r="B521" s="2"/>
      <c r="C521" s="2"/>
      <c r="D521" s="2"/>
      <c r="E521" s="2"/>
      <c r="F521" s="2"/>
      <c r="G521" s="2"/>
      <c r="H521" s="2"/>
      <c r="I521" s="2"/>
      <c r="J521" s="2"/>
      <c r="K521" s="2"/>
      <c r="L521" s="2"/>
      <c r="M521" s="2"/>
      <c r="N521" s="2"/>
      <c r="O521" s="2"/>
      <c r="P521" s="2"/>
    </row>
    <row r="522" spans="1:16" ht="12.75">
      <c r="A522" s="2"/>
      <c r="B522" s="2"/>
      <c r="C522" s="2"/>
      <c r="D522" s="2"/>
      <c r="E522" s="2"/>
      <c r="F522" s="2"/>
      <c r="G522" s="2"/>
      <c r="H522" s="2"/>
      <c r="I522" s="2"/>
      <c r="J522" s="2"/>
      <c r="K522" s="2"/>
      <c r="L522" s="2"/>
      <c r="M522" s="2"/>
      <c r="N522" s="2"/>
      <c r="O522" s="2"/>
      <c r="P522" s="2"/>
    </row>
    <row r="523" spans="1:16" ht="12.75">
      <c r="A523" s="2"/>
      <c r="B523" s="2"/>
      <c r="C523" s="2"/>
      <c r="D523" s="2"/>
      <c r="E523" s="2"/>
      <c r="F523" s="2"/>
      <c r="G523" s="2"/>
      <c r="H523" s="2"/>
      <c r="I523" s="2"/>
      <c r="J523" s="2"/>
      <c r="K523" s="2"/>
      <c r="L523" s="2"/>
      <c r="M523" s="2"/>
      <c r="N523" s="2"/>
      <c r="O523" s="2"/>
      <c r="P523" s="2"/>
    </row>
    <row r="524" spans="1:16" ht="12.75">
      <c r="A524" s="2"/>
      <c r="B524" s="2"/>
      <c r="C524" s="2"/>
      <c r="D524" s="2"/>
      <c r="E524" s="2"/>
      <c r="F524" s="2"/>
      <c r="G524" s="2"/>
      <c r="H524" s="2"/>
      <c r="I524" s="2"/>
      <c r="J524" s="2"/>
      <c r="K524" s="2"/>
      <c r="L524" s="2"/>
      <c r="M524" s="2"/>
      <c r="N524" s="2"/>
      <c r="O524" s="2"/>
      <c r="P524" s="2"/>
    </row>
    <row r="525" spans="1:16" ht="12.75">
      <c r="A525" s="2"/>
      <c r="B525" s="2"/>
      <c r="C525" s="2"/>
      <c r="D525" s="2"/>
      <c r="E525" s="2"/>
      <c r="F525" s="2"/>
      <c r="G525" s="2"/>
      <c r="H525" s="2"/>
      <c r="I525" s="2"/>
      <c r="J525" s="2"/>
      <c r="K525" s="2"/>
      <c r="L525" s="2"/>
      <c r="M525" s="2"/>
      <c r="N525" s="2"/>
      <c r="O525" s="2"/>
      <c r="P525" s="2"/>
    </row>
    <row r="526" spans="1:16" ht="12.75">
      <c r="A526" s="2"/>
      <c r="B526" s="2"/>
      <c r="C526" s="2"/>
      <c r="D526" s="2"/>
      <c r="E526" s="2"/>
      <c r="F526" s="2"/>
      <c r="G526" s="2"/>
      <c r="H526" s="2"/>
      <c r="I526" s="2"/>
      <c r="J526" s="2"/>
      <c r="K526" s="2"/>
      <c r="L526" s="2"/>
      <c r="M526" s="2"/>
      <c r="N526" s="2"/>
      <c r="O526" s="2"/>
      <c r="P526" s="2"/>
    </row>
    <row r="527" spans="1:16" ht="12.75">
      <c r="A527" s="2"/>
      <c r="B527" s="2"/>
      <c r="C527" s="2"/>
      <c r="D527" s="2"/>
      <c r="E527" s="2"/>
      <c r="F527" s="2"/>
      <c r="G527" s="2"/>
      <c r="H527" s="2"/>
      <c r="I527" s="2"/>
      <c r="J527" s="2"/>
      <c r="K527" s="2"/>
      <c r="L527" s="2"/>
      <c r="M527" s="2"/>
      <c r="N527" s="2"/>
      <c r="O527" s="2"/>
      <c r="P527" s="2"/>
    </row>
    <row r="528" spans="1:16" ht="12.75">
      <c r="A528" s="2"/>
      <c r="B528" s="2"/>
      <c r="C528" s="2"/>
      <c r="D528" s="2"/>
      <c r="E528" s="2"/>
      <c r="F528" s="2"/>
      <c r="G528" s="2"/>
      <c r="H528" s="2"/>
      <c r="I528" s="2"/>
      <c r="J528" s="2"/>
      <c r="K528" s="2"/>
      <c r="L528" s="2"/>
      <c r="M528" s="2"/>
      <c r="N528" s="2"/>
      <c r="O528" s="2"/>
      <c r="P528" s="2"/>
    </row>
    <row r="529" spans="1:16" ht="12.75">
      <c r="A529" s="2"/>
      <c r="B529" s="2"/>
      <c r="C529" s="2"/>
      <c r="D529" s="2"/>
      <c r="E529" s="2"/>
      <c r="F529" s="2"/>
      <c r="G529" s="2"/>
      <c r="H529" s="2"/>
      <c r="I529" s="2"/>
      <c r="J529" s="2"/>
      <c r="K529" s="2"/>
      <c r="L529" s="2"/>
      <c r="M529" s="2"/>
      <c r="N529" s="2"/>
      <c r="O529" s="2"/>
      <c r="P529" s="2"/>
    </row>
    <row r="530" spans="1:16" ht="12.75">
      <c r="A530" s="2"/>
      <c r="B530" s="2"/>
      <c r="C530" s="2"/>
      <c r="D530" s="2"/>
      <c r="E530" s="2"/>
      <c r="F530" s="2"/>
      <c r="G530" s="2"/>
      <c r="H530" s="2"/>
      <c r="I530" s="2"/>
      <c r="J530" s="2"/>
      <c r="K530" s="2"/>
      <c r="L530" s="2"/>
      <c r="M530" s="2"/>
      <c r="N530" s="2"/>
      <c r="O530" s="2"/>
      <c r="P530" s="2"/>
    </row>
    <row r="531" spans="1:16" ht="12.75">
      <c r="A531" s="2"/>
      <c r="B531" s="2"/>
      <c r="C531" s="2"/>
      <c r="D531" s="2"/>
      <c r="E531" s="2"/>
      <c r="F531" s="2"/>
      <c r="G531" s="2"/>
      <c r="H531" s="2"/>
      <c r="I531" s="2"/>
      <c r="J531" s="2"/>
      <c r="K531" s="2"/>
      <c r="L531" s="2"/>
      <c r="M531" s="2"/>
      <c r="N531" s="2"/>
      <c r="O531" s="2"/>
      <c r="P531" s="2"/>
    </row>
    <row r="532" spans="1:16" ht="12.75">
      <c r="A532" s="2"/>
      <c r="B532" s="2"/>
      <c r="C532" s="2"/>
      <c r="D532" s="2"/>
      <c r="E532" s="2"/>
      <c r="F532" s="2"/>
      <c r="G532" s="2"/>
      <c r="H532" s="2"/>
      <c r="I532" s="2"/>
      <c r="J532" s="2"/>
      <c r="K532" s="2"/>
      <c r="L532" s="2"/>
      <c r="M532" s="2"/>
      <c r="N532" s="2"/>
      <c r="O532" s="2"/>
      <c r="P532" s="2"/>
    </row>
    <row r="533" spans="1:16" ht="12.75">
      <c r="A533" s="2"/>
      <c r="B533" s="2"/>
      <c r="C533" s="2"/>
      <c r="D533" s="2"/>
      <c r="E533" s="2"/>
      <c r="F533" s="2"/>
      <c r="G533" s="2"/>
      <c r="H533" s="2"/>
      <c r="I533" s="2"/>
      <c r="J533" s="2"/>
      <c r="K533" s="2"/>
      <c r="L533" s="2"/>
      <c r="M533" s="2"/>
      <c r="N533" s="2"/>
      <c r="O533" s="2"/>
      <c r="P533" s="2"/>
    </row>
    <row r="534" spans="1:16" ht="12.75">
      <c r="A534" s="2"/>
      <c r="B534" s="2"/>
      <c r="C534" s="2"/>
      <c r="D534" s="2"/>
      <c r="E534" s="2"/>
      <c r="F534" s="2"/>
      <c r="G534" s="2"/>
      <c r="H534" s="2"/>
      <c r="I534" s="2"/>
      <c r="J534" s="2"/>
      <c r="K534" s="2"/>
      <c r="L534" s="2"/>
      <c r="M534" s="2"/>
      <c r="N534" s="2"/>
      <c r="O534" s="2"/>
      <c r="P534" s="2"/>
    </row>
    <row r="535" spans="1:16" ht="12.75">
      <c r="A535" s="2"/>
      <c r="B535" s="2"/>
      <c r="C535" s="2"/>
      <c r="D535" s="2"/>
      <c r="E535" s="2"/>
      <c r="F535" s="2"/>
      <c r="G535" s="2"/>
      <c r="H535" s="2"/>
      <c r="I535" s="2"/>
      <c r="J535" s="2"/>
      <c r="K535" s="2"/>
      <c r="L535" s="2"/>
      <c r="M535" s="2"/>
      <c r="N535" s="2"/>
      <c r="O535" s="2"/>
      <c r="P535" s="2"/>
    </row>
    <row r="536" spans="1:16" ht="12.75">
      <c r="A536" s="2"/>
      <c r="B536" s="2"/>
      <c r="C536" s="2"/>
      <c r="D536" s="2"/>
      <c r="E536" s="2"/>
      <c r="F536" s="2"/>
      <c r="G536" s="2"/>
      <c r="H536" s="2"/>
      <c r="I536" s="2"/>
      <c r="J536" s="2"/>
      <c r="K536" s="2"/>
      <c r="L536" s="2"/>
      <c r="M536" s="2"/>
      <c r="N536" s="2"/>
      <c r="O536" s="2"/>
      <c r="P536" s="2"/>
    </row>
    <row r="537" spans="1:16" ht="12.75">
      <c r="A537" s="2"/>
      <c r="B537" s="2"/>
      <c r="C537" s="2"/>
      <c r="D537" s="2"/>
      <c r="E537" s="2"/>
      <c r="F537" s="2"/>
      <c r="G537" s="2"/>
      <c r="H537" s="2"/>
      <c r="I537" s="2"/>
      <c r="J537" s="2"/>
      <c r="K537" s="2"/>
      <c r="L537" s="2"/>
      <c r="M537" s="2"/>
      <c r="N537" s="2"/>
      <c r="O537" s="2"/>
      <c r="P537" s="2"/>
    </row>
    <row r="538" spans="1:16" ht="12.75">
      <c r="A538" s="2"/>
      <c r="B538" s="2"/>
      <c r="C538" s="2"/>
      <c r="D538" s="2"/>
      <c r="E538" s="2"/>
      <c r="F538" s="2"/>
      <c r="G538" s="2"/>
      <c r="H538" s="2"/>
      <c r="I538" s="2"/>
      <c r="J538" s="2"/>
      <c r="K538" s="2"/>
      <c r="L538" s="2"/>
      <c r="M538" s="2"/>
      <c r="N538" s="2"/>
      <c r="O538" s="2"/>
      <c r="P538" s="2"/>
    </row>
    <row r="539" spans="1:16" ht="12.75">
      <c r="A539" s="2"/>
      <c r="B539" s="2"/>
      <c r="C539" s="2"/>
      <c r="D539" s="2"/>
      <c r="E539" s="2"/>
      <c r="F539" s="2"/>
      <c r="G539" s="2"/>
      <c r="H539" s="2"/>
      <c r="I539" s="2"/>
      <c r="J539" s="2"/>
      <c r="K539" s="2"/>
      <c r="L539" s="2"/>
      <c r="M539" s="2"/>
      <c r="N539" s="2"/>
      <c r="O539" s="2"/>
      <c r="P539" s="2"/>
    </row>
    <row r="540" spans="1:16" ht="12.75">
      <c r="A540" s="2"/>
      <c r="B540" s="2"/>
      <c r="C540" s="2"/>
      <c r="D540" s="2"/>
      <c r="E540" s="2"/>
      <c r="F540" s="2"/>
      <c r="G540" s="2"/>
      <c r="H540" s="2"/>
      <c r="I540" s="2"/>
      <c r="J540" s="2"/>
      <c r="K540" s="2"/>
      <c r="L540" s="2"/>
      <c r="M540" s="2"/>
      <c r="N540" s="2"/>
      <c r="O540" s="2"/>
      <c r="P540" s="2"/>
    </row>
    <row r="541" spans="1:16" ht="12.75">
      <c r="A541" s="2"/>
      <c r="B541" s="2"/>
      <c r="C541" s="2"/>
      <c r="D541" s="2"/>
      <c r="E541" s="2"/>
      <c r="F541" s="2"/>
      <c r="G541" s="2"/>
      <c r="H541" s="2"/>
      <c r="I541" s="2"/>
      <c r="J541" s="2"/>
      <c r="K541" s="2"/>
      <c r="L541" s="2"/>
      <c r="M541" s="2"/>
      <c r="N541" s="2"/>
      <c r="O541" s="2"/>
      <c r="P541" s="2"/>
    </row>
    <row r="542" spans="1:16" ht="12.75">
      <c r="A542" s="2"/>
      <c r="B542" s="2"/>
      <c r="C542" s="2"/>
      <c r="D542" s="2"/>
      <c r="E542" s="2"/>
      <c r="F542" s="2"/>
      <c r="G542" s="2"/>
      <c r="H542" s="2"/>
      <c r="I542" s="2"/>
      <c r="J542" s="2"/>
      <c r="K542" s="2"/>
      <c r="L542" s="2"/>
      <c r="M542" s="2"/>
      <c r="N542" s="2"/>
      <c r="O542" s="2"/>
      <c r="P542" s="2"/>
    </row>
    <row r="543" spans="1:16" ht="12.75">
      <c r="A543" s="2"/>
      <c r="B543" s="2"/>
      <c r="C543" s="2"/>
      <c r="D543" s="2"/>
      <c r="E543" s="2"/>
      <c r="F543" s="2"/>
      <c r="G543" s="2"/>
      <c r="H543" s="2"/>
      <c r="I543" s="2"/>
      <c r="J543" s="2"/>
      <c r="K543" s="2"/>
      <c r="L543" s="2"/>
      <c r="M543" s="2"/>
      <c r="N543" s="2"/>
      <c r="O543" s="2"/>
      <c r="P543" s="2"/>
    </row>
    <row r="544" spans="1:16" ht="12.75">
      <c r="A544" s="2"/>
      <c r="B544" s="2"/>
      <c r="C544" s="2"/>
      <c r="D544" s="2"/>
      <c r="E544" s="2"/>
      <c r="F544" s="2"/>
      <c r="G544" s="2"/>
      <c r="H544" s="2"/>
      <c r="I544" s="2"/>
      <c r="J544" s="2"/>
      <c r="K544" s="2"/>
      <c r="L544" s="2"/>
      <c r="M544" s="2"/>
      <c r="N544" s="2"/>
      <c r="O544" s="2"/>
      <c r="P544" s="2"/>
    </row>
    <row r="545" spans="1:16" ht="12.75">
      <c r="A545" s="2"/>
      <c r="B545" s="2"/>
      <c r="C545" s="2"/>
      <c r="D545" s="2"/>
      <c r="E545" s="2"/>
      <c r="F545" s="2"/>
      <c r="G545" s="2"/>
      <c r="H545" s="2"/>
      <c r="I545" s="2"/>
      <c r="J545" s="2"/>
      <c r="K545" s="2"/>
      <c r="L545" s="2"/>
      <c r="M545" s="2"/>
      <c r="N545" s="2"/>
      <c r="O545" s="2"/>
      <c r="P545" s="2"/>
    </row>
    <row r="546" spans="1:16" ht="12.75">
      <c r="A546" s="2"/>
      <c r="B546" s="2"/>
      <c r="C546" s="2"/>
      <c r="D546" s="2"/>
      <c r="E546" s="2"/>
      <c r="F546" s="2"/>
      <c r="G546" s="2"/>
      <c r="H546" s="2"/>
      <c r="I546" s="2"/>
      <c r="J546" s="2"/>
      <c r="K546" s="2"/>
      <c r="L546" s="2"/>
      <c r="M546" s="2"/>
      <c r="N546" s="2"/>
      <c r="O546" s="2"/>
      <c r="P546" s="2"/>
    </row>
    <row r="547" spans="1:16" ht="12.75">
      <c r="A547" s="2"/>
      <c r="B547" s="2"/>
      <c r="C547" s="2"/>
      <c r="D547" s="2"/>
      <c r="E547" s="2"/>
      <c r="F547" s="2"/>
      <c r="G547" s="2"/>
      <c r="H547" s="2"/>
      <c r="I547" s="2"/>
      <c r="J547" s="2"/>
      <c r="K547" s="2"/>
      <c r="L547" s="2"/>
      <c r="M547" s="2"/>
      <c r="N547" s="2"/>
      <c r="O547" s="2"/>
      <c r="P547" s="2"/>
    </row>
    <row r="548" spans="1:16" ht="12.75">
      <c r="A548" s="2"/>
      <c r="B548" s="2"/>
      <c r="C548" s="2"/>
      <c r="D548" s="2"/>
      <c r="E548" s="2"/>
      <c r="F548" s="2"/>
      <c r="G548" s="2"/>
      <c r="H548" s="2"/>
      <c r="I548" s="2"/>
      <c r="J548" s="2"/>
      <c r="K548" s="2"/>
      <c r="L548" s="2"/>
      <c r="M548" s="2"/>
      <c r="N548" s="2"/>
      <c r="O548" s="2"/>
      <c r="P548" s="2"/>
    </row>
    <row r="549" spans="1:16" ht="12.75">
      <c r="A549" s="2"/>
      <c r="B549" s="2"/>
      <c r="C549" s="2"/>
      <c r="D549" s="2"/>
      <c r="E549" s="2"/>
      <c r="F549" s="2"/>
      <c r="G549" s="2"/>
      <c r="H549" s="2"/>
      <c r="I549" s="2"/>
      <c r="J549" s="2"/>
      <c r="K549" s="2"/>
      <c r="L549" s="2"/>
      <c r="M549" s="2"/>
      <c r="N549" s="2"/>
      <c r="O549" s="2"/>
      <c r="P549" s="2"/>
    </row>
    <row r="550" spans="1:16" ht="12.75">
      <c r="A550" s="2"/>
      <c r="B550" s="2"/>
      <c r="C550" s="2"/>
      <c r="D550" s="2"/>
      <c r="E550" s="2"/>
      <c r="F550" s="2"/>
      <c r="G550" s="2"/>
      <c r="H550" s="2"/>
      <c r="I550" s="2"/>
      <c r="J550" s="2"/>
      <c r="K550" s="2"/>
      <c r="L550" s="2"/>
      <c r="M550" s="2"/>
      <c r="N550" s="2"/>
      <c r="O550" s="2"/>
      <c r="P550" s="2"/>
    </row>
    <row r="551" spans="1:16" ht="12.75">
      <c r="A551" s="2"/>
      <c r="B551" s="2"/>
      <c r="C551" s="2"/>
      <c r="D551" s="2"/>
      <c r="E551" s="2"/>
      <c r="F551" s="2"/>
      <c r="G551" s="2"/>
      <c r="H551" s="2"/>
      <c r="I551" s="2"/>
      <c r="J551" s="2"/>
      <c r="K551" s="2"/>
      <c r="L551" s="2"/>
      <c r="M551" s="2"/>
      <c r="N551" s="2"/>
      <c r="O551" s="2"/>
      <c r="P551" s="2"/>
    </row>
    <row r="552" spans="1:16" ht="12.75">
      <c r="A552" s="2"/>
      <c r="B552" s="2"/>
      <c r="C552" s="2"/>
      <c r="D552" s="2"/>
      <c r="E552" s="2"/>
      <c r="F552" s="2"/>
      <c r="G552" s="2"/>
      <c r="H552" s="2"/>
      <c r="I552" s="2"/>
      <c r="J552" s="2"/>
      <c r="K552" s="2"/>
      <c r="L552" s="2"/>
      <c r="M552" s="2"/>
      <c r="N552" s="2"/>
      <c r="O552" s="2"/>
      <c r="P552" s="2"/>
    </row>
    <row r="553" spans="1:16" ht="12.75">
      <c r="A553" s="2"/>
      <c r="B553" s="2"/>
      <c r="C553" s="2"/>
      <c r="D553" s="2"/>
      <c r="E553" s="2"/>
      <c r="F553" s="2"/>
      <c r="G553" s="2"/>
      <c r="H553" s="2"/>
      <c r="I553" s="2"/>
      <c r="J553" s="2"/>
      <c r="K553" s="2"/>
      <c r="L553" s="2"/>
      <c r="M553" s="2"/>
      <c r="N553" s="2"/>
      <c r="O553" s="2"/>
      <c r="P553" s="2"/>
    </row>
    <row r="554" spans="1:16" ht="12.75">
      <c r="A554" s="2"/>
      <c r="B554" s="2"/>
      <c r="C554" s="2"/>
      <c r="D554" s="2"/>
      <c r="E554" s="2"/>
      <c r="F554" s="2"/>
      <c r="G554" s="2"/>
      <c r="H554" s="2"/>
      <c r="I554" s="2"/>
      <c r="J554" s="2"/>
      <c r="K554" s="2"/>
      <c r="L554" s="2"/>
      <c r="M554" s="2"/>
      <c r="N554" s="2"/>
      <c r="O554" s="2"/>
      <c r="P554" s="2"/>
    </row>
    <row r="555" spans="1:16" ht="12.75">
      <c r="A555" s="2"/>
      <c r="B555" s="2"/>
      <c r="C555" s="2"/>
      <c r="D555" s="2"/>
      <c r="E555" s="2"/>
      <c r="F555" s="2"/>
      <c r="G555" s="2"/>
      <c r="H555" s="2"/>
      <c r="I555" s="2"/>
      <c r="J555" s="2"/>
      <c r="K555" s="2"/>
      <c r="L555" s="2"/>
      <c r="M555" s="2"/>
      <c r="N555" s="2"/>
      <c r="O555" s="2"/>
      <c r="P555" s="2"/>
    </row>
    <row r="556" spans="1:16" ht="12.75">
      <c r="A556" s="2"/>
      <c r="B556" s="2"/>
      <c r="C556" s="2"/>
      <c r="D556" s="2"/>
      <c r="E556" s="2"/>
      <c r="F556" s="2"/>
      <c r="G556" s="2"/>
      <c r="H556" s="2"/>
      <c r="I556" s="2"/>
      <c r="J556" s="2"/>
      <c r="K556" s="2"/>
      <c r="L556" s="2"/>
      <c r="M556" s="2"/>
      <c r="N556" s="2"/>
      <c r="O556" s="2"/>
      <c r="P556" s="2"/>
    </row>
    <row r="557" spans="1:16" ht="12.75">
      <c r="A557" s="2"/>
      <c r="B557" s="2"/>
      <c r="C557" s="2"/>
      <c r="D557" s="2"/>
      <c r="E557" s="2"/>
      <c r="F557" s="2"/>
      <c r="G557" s="2"/>
      <c r="H557" s="2"/>
      <c r="I557" s="2"/>
      <c r="J557" s="2"/>
      <c r="K557" s="2"/>
      <c r="L557" s="2"/>
      <c r="M557" s="2"/>
      <c r="N557" s="2"/>
      <c r="O557" s="2"/>
      <c r="P557" s="2"/>
    </row>
    <row r="558" spans="1:16" ht="12.75">
      <c r="A558" s="2"/>
      <c r="B558" s="2"/>
      <c r="C558" s="2"/>
      <c r="D558" s="2"/>
      <c r="E558" s="2"/>
      <c r="F558" s="2"/>
      <c r="G558" s="2"/>
      <c r="H558" s="2"/>
      <c r="I558" s="2"/>
      <c r="J558" s="2"/>
      <c r="K558" s="2"/>
      <c r="L558" s="2"/>
      <c r="M558" s="2"/>
      <c r="N558" s="2"/>
      <c r="O558" s="2"/>
      <c r="P558" s="2"/>
    </row>
    <row r="559" spans="1:16" ht="12.75">
      <c r="A559" s="2"/>
      <c r="B559" s="2"/>
      <c r="C559" s="2"/>
      <c r="D559" s="2"/>
      <c r="E559" s="2"/>
      <c r="F559" s="2"/>
      <c r="G559" s="2"/>
      <c r="H559" s="2"/>
      <c r="I559" s="2"/>
      <c r="J559" s="2"/>
      <c r="K559" s="2"/>
      <c r="L559" s="2"/>
      <c r="M559" s="2"/>
      <c r="N559" s="2"/>
      <c r="O559" s="2"/>
      <c r="P559" s="2"/>
    </row>
    <row r="560" spans="1:16" ht="12.75">
      <c r="A560" s="2"/>
      <c r="B560" s="2"/>
      <c r="C560" s="2"/>
      <c r="D560" s="2"/>
      <c r="E560" s="2"/>
      <c r="F560" s="2"/>
      <c r="G560" s="2"/>
      <c r="H560" s="2"/>
      <c r="I560" s="2"/>
      <c r="J560" s="2"/>
      <c r="K560" s="2"/>
      <c r="L560" s="2"/>
      <c r="M560" s="2"/>
      <c r="N560" s="2"/>
      <c r="O560" s="2"/>
      <c r="P560" s="2"/>
    </row>
    <row r="561" spans="1:16" ht="12.75">
      <c r="A561" s="2"/>
      <c r="B561" s="2"/>
      <c r="C561" s="2"/>
      <c r="D561" s="2"/>
      <c r="E561" s="2"/>
      <c r="F561" s="2"/>
      <c r="G561" s="2"/>
      <c r="H561" s="2"/>
      <c r="I561" s="2"/>
      <c r="J561" s="2"/>
      <c r="K561" s="2"/>
      <c r="L561" s="2"/>
      <c r="M561" s="2"/>
      <c r="N561" s="2"/>
      <c r="O561" s="2"/>
      <c r="P561" s="2"/>
    </row>
    <row r="562" spans="1:16" ht="12.75">
      <c r="A562" s="2"/>
      <c r="B562" s="2"/>
      <c r="C562" s="2"/>
      <c r="D562" s="2"/>
      <c r="E562" s="2"/>
      <c r="F562" s="2"/>
      <c r="G562" s="2"/>
      <c r="H562" s="2"/>
      <c r="I562" s="2"/>
      <c r="J562" s="2"/>
      <c r="K562" s="2"/>
      <c r="L562" s="2"/>
      <c r="M562" s="2"/>
      <c r="N562" s="2"/>
      <c r="O562" s="2"/>
      <c r="P562" s="2"/>
    </row>
    <row r="563" spans="1:16" ht="12.75">
      <c r="A563" s="2"/>
      <c r="B563" s="2"/>
      <c r="C563" s="2"/>
      <c r="D563" s="2"/>
      <c r="E563" s="2"/>
      <c r="F563" s="2"/>
      <c r="G563" s="2"/>
      <c r="H563" s="2"/>
      <c r="I563" s="2"/>
      <c r="J563" s="2"/>
      <c r="K563" s="2"/>
      <c r="L563" s="2"/>
      <c r="M563" s="2"/>
      <c r="N563" s="2"/>
      <c r="O563" s="2"/>
      <c r="P563" s="2"/>
    </row>
    <row r="564" spans="1:16" ht="12.75">
      <c r="A564" s="2"/>
      <c r="B564" s="2"/>
      <c r="C564" s="2"/>
      <c r="D564" s="2"/>
      <c r="E564" s="2"/>
      <c r="F564" s="2"/>
      <c r="G564" s="2"/>
      <c r="H564" s="2"/>
      <c r="I564" s="2"/>
      <c r="J564" s="2"/>
      <c r="K564" s="2"/>
      <c r="L564" s="2"/>
      <c r="M564" s="2"/>
      <c r="N564" s="2"/>
      <c r="O564" s="2"/>
      <c r="P564" s="2"/>
    </row>
    <row r="565" spans="1:16" ht="12.75">
      <c r="A565" s="2"/>
      <c r="B565" s="2"/>
      <c r="C565" s="2"/>
      <c r="D565" s="2"/>
      <c r="E565" s="2"/>
      <c r="F565" s="2"/>
      <c r="G565" s="2"/>
      <c r="H565" s="2"/>
      <c r="I565" s="2"/>
      <c r="J565" s="2"/>
      <c r="K565" s="2"/>
      <c r="L565" s="2"/>
      <c r="M565" s="2"/>
      <c r="N565" s="2"/>
      <c r="O565" s="2"/>
      <c r="P565" s="2"/>
    </row>
    <row r="566" spans="1:16" ht="12.75">
      <c r="A566" s="2"/>
      <c r="B566" s="2"/>
      <c r="C566" s="2"/>
      <c r="D566" s="2"/>
      <c r="E566" s="2"/>
      <c r="F566" s="2"/>
      <c r="G566" s="2"/>
      <c r="H566" s="2"/>
      <c r="I566" s="2"/>
      <c r="J566" s="2"/>
      <c r="K566" s="2"/>
      <c r="L566" s="2"/>
      <c r="M566" s="2"/>
      <c r="N566" s="2"/>
      <c r="O566" s="2"/>
      <c r="P566" s="2"/>
    </row>
    <row r="567" spans="1:16" ht="12.75">
      <c r="A567" s="2"/>
      <c r="B567" s="2"/>
      <c r="C567" s="2"/>
      <c r="D567" s="2"/>
      <c r="E567" s="2"/>
      <c r="F567" s="2"/>
      <c r="G567" s="2"/>
      <c r="H567" s="2"/>
      <c r="I567" s="2"/>
      <c r="J567" s="2"/>
      <c r="K567" s="2"/>
      <c r="L567" s="2"/>
      <c r="M567" s="2"/>
      <c r="N567" s="2"/>
      <c r="O567" s="2"/>
      <c r="P567" s="2"/>
    </row>
    <row r="568" spans="1:16" ht="12.75">
      <c r="A568" s="2"/>
      <c r="B568" s="2"/>
      <c r="C568" s="2"/>
      <c r="D568" s="2"/>
      <c r="E568" s="2"/>
      <c r="F568" s="2"/>
      <c r="G568" s="2"/>
      <c r="H568" s="2"/>
      <c r="I568" s="2"/>
      <c r="J568" s="2"/>
      <c r="K568" s="2"/>
      <c r="L568" s="2"/>
      <c r="M568" s="2"/>
      <c r="N568" s="2"/>
      <c r="O568" s="2"/>
      <c r="P568" s="2"/>
    </row>
    <row r="569" spans="1:16" ht="12.75">
      <c r="A569" s="2"/>
      <c r="B569" s="2"/>
      <c r="C569" s="2"/>
      <c r="D569" s="2"/>
      <c r="E569" s="2"/>
      <c r="F569" s="2"/>
      <c r="G569" s="2"/>
      <c r="H569" s="2"/>
      <c r="I569" s="2"/>
      <c r="J569" s="2"/>
      <c r="K569" s="2"/>
      <c r="L569" s="2"/>
      <c r="M569" s="2"/>
      <c r="N569" s="2"/>
      <c r="O569" s="2"/>
      <c r="P569" s="2"/>
    </row>
    <row r="570" spans="1:16" ht="12.75">
      <c r="A570" s="2"/>
      <c r="B570" s="2"/>
      <c r="C570" s="2"/>
      <c r="D570" s="2"/>
      <c r="E570" s="2"/>
      <c r="F570" s="2"/>
      <c r="G570" s="2"/>
      <c r="H570" s="2"/>
      <c r="I570" s="2"/>
      <c r="J570" s="2"/>
      <c r="K570" s="2"/>
      <c r="L570" s="2"/>
      <c r="M570" s="2"/>
      <c r="N570" s="2"/>
      <c r="O570" s="2"/>
      <c r="P570" s="2"/>
    </row>
    <row r="571" spans="1:16" ht="12.75">
      <c r="A571" s="2"/>
      <c r="B571" s="2"/>
      <c r="C571" s="2"/>
      <c r="D571" s="2"/>
      <c r="E571" s="2"/>
      <c r="F571" s="2"/>
      <c r="G571" s="2"/>
      <c r="H571" s="2"/>
      <c r="I571" s="2"/>
      <c r="J571" s="2"/>
      <c r="K571" s="2"/>
      <c r="L571" s="2"/>
      <c r="M571" s="2"/>
      <c r="N571" s="2"/>
      <c r="O571" s="2"/>
      <c r="P571" s="2"/>
    </row>
    <row r="572" spans="1:16" ht="12.75">
      <c r="A572" s="2"/>
      <c r="B572" s="2"/>
      <c r="C572" s="2"/>
      <c r="D572" s="2"/>
      <c r="E572" s="2"/>
      <c r="F572" s="2"/>
      <c r="G572" s="2"/>
      <c r="H572" s="2"/>
      <c r="I572" s="2"/>
      <c r="J572" s="2"/>
      <c r="K572" s="2"/>
      <c r="L572" s="2"/>
      <c r="M572" s="2"/>
      <c r="N572" s="2"/>
      <c r="O572" s="2"/>
      <c r="P572" s="2"/>
    </row>
    <row r="573" spans="1:16" ht="12.75">
      <c r="A573" s="2"/>
      <c r="B573" s="2"/>
      <c r="C573" s="2"/>
      <c r="D573" s="2"/>
      <c r="E573" s="2"/>
      <c r="F573" s="2"/>
      <c r="G573" s="2"/>
      <c r="H573" s="2"/>
      <c r="I573" s="2"/>
      <c r="J573" s="2"/>
      <c r="K573" s="2"/>
      <c r="L573" s="2"/>
      <c r="M573" s="2"/>
      <c r="N573" s="2"/>
      <c r="O573" s="2"/>
      <c r="P573" s="2"/>
    </row>
    <row r="574" spans="1:16" ht="12.75">
      <c r="A574" s="2"/>
      <c r="B574" s="2"/>
      <c r="C574" s="2"/>
      <c r="D574" s="2"/>
      <c r="E574" s="2"/>
      <c r="F574" s="2"/>
      <c r="G574" s="2"/>
      <c r="H574" s="2"/>
      <c r="I574" s="2"/>
      <c r="J574" s="2"/>
      <c r="K574" s="2"/>
      <c r="L574" s="2"/>
      <c r="M574" s="2"/>
      <c r="N574" s="2"/>
      <c r="O574" s="2"/>
      <c r="P574" s="2"/>
    </row>
    <row r="575" spans="1:16" ht="12.75">
      <c r="A575" s="2"/>
      <c r="B575" s="2"/>
      <c r="C575" s="2"/>
      <c r="D575" s="2"/>
      <c r="E575" s="2"/>
      <c r="F575" s="2"/>
      <c r="G575" s="2"/>
      <c r="H575" s="2"/>
      <c r="I575" s="2"/>
      <c r="J575" s="2"/>
      <c r="K575" s="2"/>
      <c r="L575" s="2"/>
      <c r="M575" s="2"/>
      <c r="N575" s="2"/>
      <c r="O575" s="2"/>
      <c r="P575" s="2"/>
    </row>
    <row r="576" spans="1:16" ht="12.75">
      <c r="A576" s="2"/>
      <c r="B576" s="2"/>
      <c r="C576" s="2"/>
      <c r="D576" s="2"/>
      <c r="E576" s="2"/>
      <c r="F576" s="2"/>
      <c r="G576" s="2"/>
      <c r="H576" s="2"/>
      <c r="I576" s="2"/>
      <c r="J576" s="2"/>
      <c r="K576" s="2"/>
      <c r="L576" s="2"/>
      <c r="M576" s="2"/>
      <c r="N576" s="2"/>
      <c r="O576" s="2"/>
      <c r="P576" s="2"/>
    </row>
    <row r="577" spans="1:16" ht="12.75">
      <c r="A577" s="2"/>
      <c r="B577" s="2"/>
      <c r="C577" s="2"/>
      <c r="D577" s="2"/>
      <c r="E577" s="2"/>
      <c r="F577" s="2"/>
      <c r="G577" s="2"/>
      <c r="H577" s="2"/>
      <c r="I577" s="2"/>
      <c r="J577" s="2"/>
      <c r="K577" s="2"/>
      <c r="L577" s="2"/>
      <c r="M577" s="2"/>
      <c r="N577" s="2"/>
      <c r="O577" s="2"/>
      <c r="P577" s="2"/>
    </row>
    <row r="578" spans="1:16" ht="12.75">
      <c r="A578" s="2"/>
      <c r="B578" s="2"/>
      <c r="C578" s="2"/>
      <c r="D578" s="2"/>
      <c r="E578" s="2"/>
      <c r="F578" s="2"/>
      <c r="G578" s="2"/>
      <c r="H578" s="2"/>
      <c r="I578" s="2"/>
      <c r="J578" s="2"/>
      <c r="K578" s="2"/>
      <c r="L578" s="2"/>
      <c r="M578" s="2"/>
      <c r="N578" s="2"/>
      <c r="O578" s="2"/>
      <c r="P578" s="2"/>
    </row>
    <row r="579" spans="1:16" ht="12.75">
      <c r="A579" s="2"/>
      <c r="B579" s="2"/>
      <c r="C579" s="2"/>
      <c r="D579" s="2"/>
      <c r="E579" s="2"/>
      <c r="F579" s="2"/>
      <c r="G579" s="2"/>
      <c r="H579" s="2"/>
      <c r="I579" s="2"/>
      <c r="J579" s="2"/>
      <c r="K579" s="2"/>
      <c r="L579" s="2"/>
      <c r="M579" s="2"/>
      <c r="N579" s="2"/>
      <c r="O579" s="2"/>
      <c r="P579" s="2"/>
    </row>
    <row r="580" spans="1:16" ht="12.75">
      <c r="A580" s="2"/>
      <c r="B580" s="2"/>
      <c r="C580" s="2"/>
      <c r="D580" s="2"/>
      <c r="E580" s="2"/>
      <c r="F580" s="2"/>
      <c r="G580" s="2"/>
      <c r="H580" s="2"/>
      <c r="I580" s="2"/>
      <c r="J580" s="2"/>
      <c r="K580" s="2"/>
      <c r="L580" s="2"/>
      <c r="M580" s="2"/>
      <c r="N580" s="2"/>
      <c r="O580" s="2"/>
      <c r="P580" s="2"/>
    </row>
    <row r="581" spans="1:16" ht="12.75">
      <c r="A581" s="2"/>
      <c r="B581" s="2"/>
      <c r="C581" s="2"/>
      <c r="D581" s="2"/>
      <c r="E581" s="2"/>
      <c r="F581" s="2"/>
      <c r="G581" s="2"/>
      <c r="H581" s="2"/>
      <c r="I581" s="2"/>
      <c r="J581" s="2"/>
      <c r="K581" s="2"/>
      <c r="L581" s="2"/>
      <c r="M581" s="2"/>
      <c r="N581" s="2"/>
      <c r="O581" s="2"/>
      <c r="P581" s="2"/>
    </row>
    <row r="582" spans="1:16" ht="12.75">
      <c r="A582" s="2"/>
      <c r="B582" s="2"/>
      <c r="C582" s="2"/>
      <c r="D582" s="2"/>
      <c r="E582" s="2"/>
      <c r="F582" s="2"/>
      <c r="G582" s="2"/>
      <c r="H582" s="2"/>
      <c r="I582" s="2"/>
      <c r="J582" s="2"/>
      <c r="K582" s="2"/>
      <c r="L582" s="2"/>
      <c r="M582" s="2"/>
      <c r="N582" s="2"/>
      <c r="O582" s="2"/>
      <c r="P582" s="2"/>
    </row>
    <row r="583" spans="1:16" ht="12.75">
      <c r="A583" s="2"/>
      <c r="B583" s="2"/>
      <c r="C583" s="2"/>
      <c r="D583" s="2"/>
      <c r="E583" s="2"/>
      <c r="F583" s="2"/>
      <c r="G583" s="2"/>
      <c r="H583" s="2"/>
      <c r="I583" s="2"/>
      <c r="J583" s="2"/>
      <c r="K583" s="2"/>
      <c r="L583" s="2"/>
      <c r="M583" s="2"/>
      <c r="N583" s="2"/>
      <c r="O583" s="2"/>
      <c r="P583" s="2"/>
    </row>
    <row r="584" spans="1:16" ht="12.75">
      <c r="A584" s="2"/>
      <c r="B584" s="2"/>
      <c r="C584" s="2"/>
      <c r="D584" s="2"/>
      <c r="E584" s="2"/>
      <c r="F584" s="2"/>
      <c r="G584" s="2"/>
      <c r="H584" s="2"/>
      <c r="I584" s="2"/>
      <c r="J584" s="2"/>
      <c r="K584" s="2"/>
      <c r="L584" s="2"/>
      <c r="M584" s="2"/>
      <c r="N584" s="2"/>
      <c r="O584" s="2"/>
      <c r="P584" s="2"/>
    </row>
    <row r="585" spans="1:16" ht="12.75">
      <c r="A585" s="2"/>
      <c r="B585" s="2"/>
      <c r="C585" s="2"/>
      <c r="D585" s="2"/>
      <c r="E585" s="2"/>
      <c r="F585" s="2"/>
      <c r="G585" s="2"/>
      <c r="H585" s="2"/>
      <c r="I585" s="2"/>
      <c r="J585" s="2"/>
      <c r="K585" s="2"/>
      <c r="L585" s="2"/>
      <c r="M585" s="2"/>
      <c r="N585" s="2"/>
      <c r="O585" s="2"/>
      <c r="P585" s="2"/>
    </row>
    <row r="586" spans="1:16" ht="12.75">
      <c r="A586" s="2"/>
      <c r="B586" s="2"/>
      <c r="C586" s="2"/>
      <c r="D586" s="2"/>
      <c r="E586" s="2"/>
      <c r="F586" s="2"/>
      <c r="G586" s="2"/>
      <c r="H586" s="2"/>
      <c r="I586" s="2"/>
      <c r="J586" s="2"/>
      <c r="K586" s="2"/>
      <c r="L586" s="2"/>
      <c r="M586" s="2"/>
      <c r="N586" s="2"/>
      <c r="O586" s="2"/>
      <c r="P586" s="2"/>
    </row>
    <row r="587" spans="1:16" ht="12.75">
      <c r="A587" s="2"/>
      <c r="B587" s="2"/>
      <c r="C587" s="2"/>
      <c r="D587" s="2"/>
      <c r="E587" s="2"/>
      <c r="F587" s="2"/>
      <c r="G587" s="2"/>
      <c r="H587" s="2"/>
      <c r="I587" s="2"/>
      <c r="J587" s="2"/>
      <c r="K587" s="2"/>
      <c r="L587" s="2"/>
      <c r="M587" s="2"/>
      <c r="N587" s="2"/>
      <c r="O587" s="2"/>
      <c r="P587" s="2"/>
    </row>
    <row r="588" spans="1:16" ht="12.75">
      <c r="A588" s="2"/>
      <c r="B588" s="2"/>
      <c r="C588" s="2"/>
      <c r="D588" s="2"/>
      <c r="E588" s="2"/>
      <c r="F588" s="2"/>
      <c r="G588" s="2"/>
      <c r="H588" s="2"/>
      <c r="I588" s="2"/>
      <c r="J588" s="2"/>
      <c r="K588" s="2"/>
      <c r="L588" s="2"/>
      <c r="M588" s="2"/>
      <c r="N588" s="2"/>
      <c r="O588" s="2"/>
      <c r="P588" s="2"/>
    </row>
    <row r="589" spans="1:16" ht="12.75">
      <c r="A589" s="2"/>
      <c r="B589" s="2"/>
      <c r="C589" s="2"/>
      <c r="D589" s="2"/>
      <c r="E589" s="2"/>
      <c r="F589" s="2"/>
      <c r="G589" s="2"/>
      <c r="H589" s="2"/>
      <c r="I589" s="2"/>
      <c r="J589" s="2"/>
      <c r="K589" s="2"/>
      <c r="L589" s="2"/>
      <c r="M589" s="2"/>
      <c r="N589" s="2"/>
      <c r="O589" s="2"/>
      <c r="P589" s="2"/>
    </row>
    <row r="590" spans="1:16" ht="12.75">
      <c r="A590" s="2"/>
      <c r="B590" s="2"/>
      <c r="C590" s="2"/>
      <c r="D590" s="2"/>
      <c r="E590" s="2"/>
      <c r="F590" s="2"/>
      <c r="G590" s="2"/>
      <c r="H590" s="2"/>
      <c r="I590" s="2"/>
      <c r="J590" s="2"/>
      <c r="K590" s="2"/>
      <c r="L590" s="2"/>
      <c r="M590" s="2"/>
      <c r="N590" s="2"/>
      <c r="O590" s="2"/>
      <c r="P590" s="2"/>
    </row>
    <row r="591" spans="1:16" ht="12.75">
      <c r="A591" s="2"/>
      <c r="B591" s="2"/>
      <c r="C591" s="2"/>
      <c r="D591" s="2"/>
      <c r="E591" s="2"/>
      <c r="F591" s="2"/>
      <c r="G591" s="2"/>
      <c r="H591" s="2"/>
      <c r="I591" s="2"/>
      <c r="J591" s="2"/>
      <c r="K591" s="2"/>
      <c r="L591" s="2"/>
      <c r="M591" s="2"/>
      <c r="N591" s="2"/>
      <c r="O591" s="2"/>
      <c r="P591" s="2"/>
    </row>
    <row r="592" spans="1:16" ht="12.75">
      <c r="A592" s="2"/>
      <c r="B592" s="2"/>
      <c r="C592" s="2"/>
      <c r="D592" s="2"/>
      <c r="E592" s="2"/>
      <c r="F592" s="2"/>
      <c r="G592" s="2"/>
      <c r="H592" s="2"/>
      <c r="I592" s="2"/>
      <c r="J592" s="2"/>
      <c r="K592" s="2"/>
      <c r="L592" s="2"/>
      <c r="M592" s="2"/>
      <c r="N592" s="2"/>
      <c r="O592" s="2"/>
      <c r="P592" s="2"/>
    </row>
    <row r="593" spans="1:16" ht="12.75">
      <c r="A593" s="2"/>
      <c r="B593" s="2"/>
      <c r="C593" s="2"/>
      <c r="D593" s="2"/>
      <c r="E593" s="2"/>
      <c r="F593" s="2"/>
      <c r="G593" s="2"/>
      <c r="H593" s="2"/>
      <c r="I593" s="2"/>
      <c r="J593" s="2"/>
      <c r="K593" s="2"/>
      <c r="L593" s="2"/>
      <c r="M593" s="2"/>
      <c r="N593" s="2"/>
      <c r="O593" s="2"/>
      <c r="P593" s="2"/>
    </row>
    <row r="594" spans="1:16" ht="12.75">
      <c r="A594" s="2"/>
      <c r="B594" s="2"/>
      <c r="C594" s="2"/>
      <c r="D594" s="2"/>
      <c r="E594" s="2"/>
      <c r="F594" s="2"/>
      <c r="G594" s="2"/>
      <c r="H594" s="2"/>
      <c r="I594" s="2"/>
      <c r="J594" s="2"/>
      <c r="K594" s="2"/>
      <c r="L594" s="2"/>
      <c r="M594" s="2"/>
      <c r="N594" s="2"/>
      <c r="O594" s="2"/>
      <c r="P594" s="2"/>
    </row>
    <row r="595" spans="1:16" ht="12.75">
      <c r="A595" s="2"/>
      <c r="B595" s="2"/>
      <c r="C595" s="2"/>
      <c r="D595" s="2"/>
      <c r="E595" s="2"/>
      <c r="F595" s="2"/>
      <c r="G595" s="2"/>
      <c r="H595" s="2"/>
      <c r="I595" s="2"/>
      <c r="J595" s="2"/>
      <c r="K595" s="2"/>
      <c r="L595" s="2"/>
      <c r="M595" s="2"/>
      <c r="N595" s="2"/>
      <c r="O595" s="2"/>
      <c r="P595" s="2"/>
    </row>
    <row r="596" spans="1:16" ht="12.75">
      <c r="A596" s="2"/>
      <c r="B596" s="2"/>
      <c r="C596" s="2"/>
      <c r="D596" s="2"/>
      <c r="E596" s="2"/>
      <c r="F596" s="2"/>
      <c r="G596" s="2"/>
      <c r="H596" s="2"/>
      <c r="I596" s="2"/>
      <c r="J596" s="2"/>
      <c r="K596" s="2"/>
      <c r="L596" s="2"/>
      <c r="M596" s="2"/>
      <c r="N596" s="2"/>
      <c r="O596" s="2"/>
      <c r="P596" s="2"/>
    </row>
    <row r="597" spans="1:16" ht="12.75">
      <c r="A597" s="2"/>
      <c r="B597" s="2"/>
      <c r="C597" s="2"/>
      <c r="D597" s="2"/>
      <c r="E597" s="2"/>
      <c r="F597" s="2"/>
      <c r="G597" s="2"/>
      <c r="H597" s="2"/>
      <c r="I597" s="2"/>
      <c r="J597" s="2"/>
      <c r="K597" s="2"/>
      <c r="L597" s="2"/>
      <c r="M597" s="2"/>
      <c r="N597" s="2"/>
      <c r="O597" s="2"/>
      <c r="P597" s="2"/>
    </row>
    <row r="598" spans="1:16" ht="12.75">
      <c r="A598" s="2"/>
      <c r="B598" s="2"/>
      <c r="C598" s="2"/>
      <c r="D598" s="2"/>
      <c r="E598" s="2"/>
      <c r="F598" s="2"/>
      <c r="G598" s="2"/>
      <c r="H598" s="2"/>
      <c r="I598" s="2"/>
      <c r="J598" s="2"/>
      <c r="K598" s="2"/>
      <c r="L598" s="2"/>
      <c r="M598" s="2"/>
      <c r="N598" s="2"/>
      <c r="O598" s="2"/>
      <c r="P598" s="2"/>
    </row>
    <row r="599" spans="1:16" ht="12.75">
      <c r="A599" s="2"/>
      <c r="B599" s="2"/>
      <c r="C599" s="2"/>
      <c r="D599" s="2"/>
      <c r="E599" s="2"/>
      <c r="F599" s="2"/>
      <c r="G599" s="2"/>
      <c r="H599" s="2"/>
      <c r="I599" s="2"/>
      <c r="J599" s="2"/>
      <c r="K599" s="2"/>
      <c r="L599" s="2"/>
      <c r="M599" s="2"/>
      <c r="N599" s="2"/>
      <c r="O599" s="2"/>
      <c r="P599" s="2"/>
    </row>
    <row r="600" spans="1:16" ht="12.75">
      <c r="A600" s="2"/>
      <c r="B600" s="2"/>
      <c r="C600" s="2"/>
      <c r="D600" s="2"/>
      <c r="E600" s="2"/>
      <c r="F600" s="2"/>
      <c r="G600" s="2"/>
      <c r="H600" s="2"/>
      <c r="I600" s="2"/>
      <c r="J600" s="2"/>
      <c r="K600" s="2"/>
      <c r="L600" s="2"/>
      <c r="M600" s="2"/>
      <c r="N600" s="2"/>
      <c r="O600" s="2"/>
      <c r="P600" s="2"/>
    </row>
    <row r="601" spans="1:16" ht="12.75">
      <c r="A601" s="2"/>
      <c r="B601" s="2"/>
      <c r="C601" s="2"/>
      <c r="D601" s="2"/>
      <c r="E601" s="2"/>
      <c r="F601" s="2"/>
      <c r="G601" s="2"/>
      <c r="H601" s="2"/>
      <c r="I601" s="2"/>
      <c r="J601" s="2"/>
      <c r="K601" s="2"/>
      <c r="L601" s="2"/>
      <c r="M601" s="2"/>
      <c r="N601" s="2"/>
      <c r="O601" s="2"/>
      <c r="P601" s="2"/>
    </row>
    <row r="602" spans="1:16" ht="12.75">
      <c r="A602" s="2"/>
      <c r="B602" s="2"/>
      <c r="C602" s="2"/>
      <c r="D602" s="2"/>
      <c r="E602" s="2"/>
      <c r="F602" s="2"/>
      <c r="G602" s="2"/>
      <c r="H602" s="2"/>
      <c r="I602" s="2"/>
      <c r="J602" s="2"/>
      <c r="K602" s="2"/>
      <c r="L602" s="2"/>
      <c r="M602" s="2"/>
      <c r="N602" s="2"/>
      <c r="O602" s="2"/>
      <c r="P602" s="2"/>
    </row>
    <row r="603" spans="1:16" ht="12.75">
      <c r="A603" s="2"/>
      <c r="B603" s="2"/>
      <c r="C603" s="2"/>
      <c r="D603" s="2"/>
      <c r="E603" s="2"/>
      <c r="F603" s="2"/>
      <c r="G603" s="2"/>
      <c r="H603" s="2"/>
      <c r="I603" s="2"/>
      <c r="J603" s="2"/>
      <c r="K603" s="2"/>
      <c r="L603" s="2"/>
      <c r="M603" s="2"/>
      <c r="N603" s="2"/>
      <c r="O603" s="2"/>
      <c r="P603" s="2"/>
    </row>
    <row r="604" spans="1:16" ht="12.75">
      <c r="A604" s="2"/>
      <c r="B604" s="2"/>
      <c r="C604" s="2"/>
      <c r="D604" s="2"/>
      <c r="E604" s="2"/>
      <c r="F604" s="2"/>
      <c r="G604" s="2"/>
      <c r="H604" s="2"/>
      <c r="I604" s="2"/>
      <c r="J604" s="2"/>
      <c r="K604" s="2"/>
      <c r="L604" s="2"/>
      <c r="M604" s="2"/>
      <c r="N604" s="2"/>
      <c r="O604" s="2"/>
      <c r="P604" s="2"/>
    </row>
    <row r="605" spans="1:16" ht="12.75">
      <c r="A605" s="2"/>
      <c r="B605" s="2"/>
      <c r="C605" s="2"/>
      <c r="D605" s="2"/>
      <c r="E605" s="2"/>
      <c r="F605" s="2"/>
      <c r="G605" s="2"/>
      <c r="H605" s="2"/>
      <c r="I605" s="2"/>
      <c r="J605" s="2"/>
      <c r="K605" s="2"/>
      <c r="L605" s="2"/>
      <c r="M605" s="2"/>
      <c r="N605" s="2"/>
      <c r="O605" s="2"/>
      <c r="P605" s="2"/>
    </row>
    <row r="606" spans="1:16" ht="12.75">
      <c r="A606" s="2"/>
      <c r="B606" s="2"/>
      <c r="C606" s="2"/>
      <c r="D606" s="2"/>
      <c r="E606" s="2"/>
      <c r="F606" s="2"/>
      <c r="G606" s="2"/>
      <c r="H606" s="2"/>
      <c r="I606" s="2"/>
      <c r="J606" s="2"/>
      <c r="K606" s="2"/>
      <c r="L606" s="2"/>
      <c r="M606" s="2"/>
      <c r="N606" s="2"/>
      <c r="O606" s="2"/>
      <c r="P606" s="2"/>
    </row>
    <row r="607" spans="1:16" ht="12.75">
      <c r="A607" s="2"/>
      <c r="B607" s="2"/>
      <c r="C607" s="2"/>
      <c r="D607" s="2"/>
      <c r="E607" s="2"/>
      <c r="F607" s="2"/>
      <c r="G607" s="2"/>
      <c r="H607" s="2"/>
      <c r="I607" s="2"/>
      <c r="J607" s="2"/>
      <c r="K607" s="2"/>
      <c r="L607" s="2"/>
      <c r="M607" s="2"/>
      <c r="N607" s="2"/>
      <c r="O607" s="2"/>
      <c r="P607" s="2"/>
    </row>
    <row r="608" spans="1:16" ht="12.75">
      <c r="A608" s="2"/>
      <c r="B608" s="2"/>
      <c r="C608" s="2"/>
      <c r="D608" s="2"/>
      <c r="E608" s="2"/>
      <c r="F608" s="2"/>
      <c r="G608" s="2"/>
      <c r="H608" s="2"/>
      <c r="I608" s="2"/>
      <c r="J608" s="2"/>
      <c r="K608" s="2"/>
      <c r="L608" s="2"/>
      <c r="M608" s="2"/>
      <c r="N608" s="2"/>
      <c r="O608" s="2"/>
      <c r="P608" s="2"/>
    </row>
    <row r="609" spans="1:16" ht="12.75">
      <c r="A609" s="2"/>
      <c r="B609" s="2"/>
      <c r="C609" s="2"/>
      <c r="D609" s="2"/>
      <c r="E609" s="2"/>
      <c r="F609" s="2"/>
      <c r="G609" s="2"/>
      <c r="H609" s="2"/>
      <c r="I609" s="2"/>
      <c r="J609" s="2"/>
      <c r="K609" s="2"/>
      <c r="L609" s="2"/>
      <c r="M609" s="2"/>
      <c r="N609" s="2"/>
      <c r="O609" s="2"/>
      <c r="P609" s="2"/>
    </row>
    <row r="610" spans="1:16" ht="12.75">
      <c r="A610" s="2"/>
      <c r="B610" s="2"/>
      <c r="C610" s="2"/>
      <c r="D610" s="2"/>
      <c r="E610" s="2"/>
      <c r="F610" s="2"/>
      <c r="G610" s="2"/>
      <c r="H610" s="2"/>
      <c r="I610" s="2"/>
      <c r="J610" s="2"/>
      <c r="K610" s="2"/>
      <c r="L610" s="2"/>
      <c r="M610" s="2"/>
      <c r="N610" s="2"/>
      <c r="O610" s="2"/>
      <c r="P610" s="2"/>
    </row>
    <row r="611" spans="1:16" ht="12.75">
      <c r="A611" s="2"/>
      <c r="B611" s="2"/>
      <c r="C611" s="2"/>
      <c r="D611" s="2"/>
      <c r="E611" s="2"/>
      <c r="F611" s="2"/>
      <c r="G611" s="2"/>
      <c r="H611" s="2"/>
      <c r="I611" s="2"/>
      <c r="J611" s="2"/>
      <c r="K611" s="2"/>
      <c r="L611" s="2"/>
      <c r="M611" s="2"/>
      <c r="N611" s="2"/>
      <c r="O611" s="2"/>
      <c r="P611" s="2"/>
    </row>
    <row r="612" spans="1:16" ht="12.75">
      <c r="A612" s="2"/>
      <c r="B612" s="2"/>
      <c r="C612" s="2"/>
      <c r="D612" s="2"/>
      <c r="E612" s="2"/>
      <c r="F612" s="2"/>
      <c r="G612" s="2"/>
      <c r="H612" s="2"/>
      <c r="I612" s="2"/>
      <c r="J612" s="2"/>
      <c r="K612" s="2"/>
      <c r="L612" s="2"/>
      <c r="M612" s="2"/>
      <c r="N612" s="2"/>
      <c r="O612" s="2"/>
      <c r="P612" s="2"/>
    </row>
    <row r="613" spans="1:16" ht="12.75">
      <c r="A613" s="2"/>
      <c r="B613" s="2"/>
      <c r="C613" s="2"/>
      <c r="D613" s="2"/>
      <c r="E613" s="2"/>
      <c r="F613" s="2"/>
      <c r="G613" s="2"/>
      <c r="H613" s="2"/>
      <c r="I613" s="2"/>
      <c r="J613" s="2"/>
      <c r="K613" s="2"/>
      <c r="L613" s="2"/>
      <c r="M613" s="2"/>
      <c r="N613" s="2"/>
      <c r="O613" s="2"/>
      <c r="P613" s="2"/>
    </row>
    <row r="614" spans="1:16" ht="12.75">
      <c r="A614" s="2"/>
      <c r="B614" s="2"/>
      <c r="C614" s="2"/>
      <c r="D614" s="2"/>
      <c r="E614" s="2"/>
      <c r="F614" s="2"/>
      <c r="G614" s="2"/>
      <c r="H614" s="2"/>
      <c r="I614" s="2"/>
      <c r="J614" s="2"/>
      <c r="K614" s="2"/>
      <c r="L614" s="2"/>
      <c r="M614" s="2"/>
      <c r="N614" s="2"/>
      <c r="O614" s="2"/>
      <c r="P614" s="2"/>
    </row>
    <row r="615" spans="1:16" ht="12.75">
      <c r="A615" s="2"/>
      <c r="B615" s="2"/>
      <c r="C615" s="2"/>
      <c r="D615" s="2"/>
      <c r="E615" s="2"/>
      <c r="F615" s="2"/>
      <c r="G615" s="2"/>
      <c r="H615" s="2"/>
      <c r="I615" s="2"/>
      <c r="J615" s="2"/>
      <c r="K615" s="2"/>
      <c r="L615" s="2"/>
      <c r="M615" s="2"/>
      <c r="N615" s="2"/>
      <c r="O615" s="2"/>
      <c r="P615" s="2"/>
    </row>
    <row r="616" spans="1:16" ht="12.75">
      <c r="A616" s="2"/>
      <c r="B616" s="2"/>
      <c r="C616" s="2"/>
      <c r="D616" s="2"/>
      <c r="E616" s="2"/>
      <c r="F616" s="2"/>
      <c r="G616" s="2"/>
      <c r="H616" s="2"/>
      <c r="I616" s="2"/>
      <c r="J616" s="2"/>
      <c r="K616" s="2"/>
      <c r="L616" s="2"/>
      <c r="M616" s="2"/>
      <c r="N616" s="2"/>
      <c r="O616" s="2"/>
      <c r="P616" s="2"/>
    </row>
    <row r="617" spans="1:16" ht="12.75">
      <c r="A617" s="2"/>
      <c r="B617" s="2"/>
      <c r="C617" s="2"/>
      <c r="D617" s="2"/>
      <c r="E617" s="2"/>
      <c r="F617" s="2"/>
      <c r="G617" s="2"/>
      <c r="H617" s="2"/>
      <c r="I617" s="2"/>
      <c r="J617" s="2"/>
      <c r="K617" s="2"/>
      <c r="L617" s="2"/>
      <c r="M617" s="2"/>
      <c r="N617" s="2"/>
      <c r="O617" s="2"/>
      <c r="P617" s="2"/>
    </row>
    <row r="618" spans="1:16" ht="12.75">
      <c r="A618" s="2"/>
      <c r="B618" s="2"/>
      <c r="C618" s="2"/>
      <c r="D618" s="2"/>
      <c r="E618" s="2"/>
      <c r="F618" s="2"/>
      <c r="G618" s="2"/>
      <c r="H618" s="2"/>
      <c r="I618" s="2"/>
      <c r="J618" s="2"/>
      <c r="K618" s="2"/>
      <c r="L618" s="2"/>
      <c r="M618" s="2"/>
      <c r="N618" s="2"/>
      <c r="O618" s="2"/>
      <c r="P618" s="2"/>
    </row>
    <row r="619" spans="1:16" ht="12.75">
      <c r="A619" s="2"/>
      <c r="B619" s="2"/>
      <c r="C619" s="2"/>
      <c r="D619" s="2"/>
      <c r="E619" s="2"/>
      <c r="F619" s="2"/>
      <c r="G619" s="2"/>
      <c r="H619" s="2"/>
      <c r="I619" s="2"/>
      <c r="J619" s="2"/>
      <c r="K619" s="2"/>
      <c r="L619" s="2"/>
      <c r="M619" s="2"/>
      <c r="N619" s="2"/>
      <c r="O619" s="2"/>
      <c r="P619" s="2"/>
    </row>
    <row r="620" spans="1:16" ht="12.75">
      <c r="A620" s="2"/>
      <c r="B620" s="2"/>
      <c r="C620" s="2"/>
      <c r="D620" s="2"/>
      <c r="E620" s="2"/>
      <c r="F620" s="2"/>
      <c r="G620" s="2"/>
      <c r="H620" s="2"/>
      <c r="I620" s="2"/>
      <c r="J620" s="2"/>
      <c r="K620" s="2"/>
      <c r="L620" s="2"/>
      <c r="M620" s="2"/>
      <c r="N620" s="2"/>
      <c r="O620" s="2"/>
      <c r="P620" s="2"/>
    </row>
    <row r="621" spans="1:16" ht="12.75">
      <c r="A621" s="2"/>
      <c r="B621" s="2"/>
      <c r="C621" s="2"/>
      <c r="D621" s="2"/>
      <c r="E621" s="2"/>
      <c r="F621" s="2"/>
      <c r="G621" s="2"/>
      <c r="H621" s="2"/>
      <c r="I621" s="2"/>
      <c r="J621" s="2"/>
      <c r="K621" s="2"/>
      <c r="L621" s="2"/>
      <c r="M621" s="2"/>
      <c r="N621" s="2"/>
      <c r="O621" s="2"/>
      <c r="P621" s="2"/>
    </row>
    <row r="622" spans="1:16" ht="12.75">
      <c r="A622" s="2"/>
      <c r="B622" s="2"/>
      <c r="C622" s="2"/>
      <c r="D622" s="2"/>
      <c r="E622" s="2"/>
      <c r="F622" s="2"/>
      <c r="G622" s="2"/>
      <c r="H622" s="2"/>
      <c r="I622" s="2"/>
      <c r="J622" s="2"/>
      <c r="K622" s="2"/>
      <c r="L622" s="2"/>
      <c r="M622" s="2"/>
      <c r="N622" s="2"/>
      <c r="O622" s="2"/>
      <c r="P622" s="2"/>
    </row>
    <row r="623" spans="1:16" ht="12.75">
      <c r="A623" s="2"/>
      <c r="B623" s="2"/>
      <c r="C623" s="2"/>
      <c r="D623" s="2"/>
      <c r="E623" s="2"/>
      <c r="F623" s="2"/>
      <c r="G623" s="2"/>
      <c r="H623" s="2"/>
      <c r="I623" s="2"/>
      <c r="J623" s="2"/>
      <c r="K623" s="2"/>
      <c r="L623" s="2"/>
      <c r="M623" s="2"/>
      <c r="N623" s="2"/>
      <c r="O623" s="2"/>
      <c r="P623" s="2"/>
    </row>
    <row r="624" spans="1:16" ht="12.75">
      <c r="A624" s="2"/>
      <c r="B624" s="2"/>
      <c r="C624" s="2"/>
      <c r="D624" s="2"/>
      <c r="E624" s="2"/>
      <c r="F624" s="2"/>
      <c r="G624" s="2"/>
      <c r="H624" s="2"/>
      <c r="I624" s="2"/>
      <c r="J624" s="2"/>
      <c r="K624" s="2"/>
      <c r="L624" s="2"/>
      <c r="M624" s="2"/>
      <c r="N624" s="2"/>
      <c r="O624" s="2"/>
      <c r="P624" s="2"/>
    </row>
    <row r="625" spans="1:16" ht="12.75">
      <c r="A625" s="2"/>
      <c r="B625" s="2"/>
      <c r="C625" s="2"/>
      <c r="D625" s="2"/>
      <c r="E625" s="2"/>
      <c r="F625" s="2"/>
      <c r="G625" s="2"/>
      <c r="H625" s="2"/>
      <c r="I625" s="2"/>
      <c r="J625" s="2"/>
      <c r="K625" s="2"/>
      <c r="L625" s="2"/>
      <c r="M625" s="2"/>
      <c r="N625" s="2"/>
      <c r="O625" s="2"/>
      <c r="P625" s="2"/>
    </row>
    <row r="626" spans="1:16" ht="12.75">
      <c r="A626" s="2"/>
      <c r="B626" s="2"/>
      <c r="C626" s="2"/>
      <c r="D626" s="2"/>
      <c r="E626" s="2"/>
      <c r="F626" s="2"/>
      <c r="G626" s="2"/>
      <c r="H626" s="2"/>
      <c r="I626" s="2"/>
      <c r="J626" s="2"/>
      <c r="K626" s="2"/>
      <c r="L626" s="2"/>
      <c r="M626" s="2"/>
      <c r="N626" s="2"/>
      <c r="O626" s="2"/>
      <c r="P626" s="2"/>
    </row>
    <row r="627" spans="1:16" ht="12.75">
      <c r="A627" s="2"/>
      <c r="B627" s="2"/>
      <c r="C627" s="2"/>
      <c r="D627" s="2"/>
      <c r="E627" s="2"/>
      <c r="F627" s="2"/>
      <c r="G627" s="2"/>
      <c r="H627" s="2"/>
      <c r="I627" s="2"/>
      <c r="J627" s="2"/>
      <c r="K627" s="2"/>
      <c r="L627" s="2"/>
      <c r="M627" s="2"/>
      <c r="N627" s="2"/>
      <c r="O627" s="2"/>
      <c r="P627" s="2"/>
    </row>
    <row r="628" spans="1:16" ht="12.75">
      <c r="A628" s="2"/>
      <c r="B628" s="2"/>
      <c r="C628" s="2"/>
      <c r="D628" s="2"/>
      <c r="E628" s="2"/>
      <c r="F628" s="2"/>
      <c r="G628" s="2"/>
      <c r="H628" s="2"/>
      <c r="I628" s="2"/>
      <c r="J628" s="2"/>
      <c r="K628" s="2"/>
      <c r="L628" s="2"/>
      <c r="M628" s="2"/>
      <c r="N628" s="2"/>
      <c r="O628" s="2"/>
      <c r="P628" s="2"/>
    </row>
    <row r="629" spans="1:16" ht="12.75">
      <c r="A629" s="2"/>
      <c r="B629" s="2"/>
      <c r="C629" s="2"/>
      <c r="D629" s="2"/>
      <c r="E629" s="2"/>
      <c r="F629" s="2"/>
      <c r="G629" s="2"/>
      <c r="H629" s="2"/>
      <c r="I629" s="2"/>
      <c r="J629" s="2"/>
      <c r="K629" s="2"/>
      <c r="L629" s="2"/>
      <c r="M629" s="2"/>
      <c r="N629" s="2"/>
      <c r="O629" s="2"/>
      <c r="P629" s="2"/>
    </row>
    <row r="630" spans="1:16" ht="12.75">
      <c r="A630" s="2"/>
      <c r="B630" s="2"/>
      <c r="C630" s="2"/>
      <c r="D630" s="2"/>
      <c r="E630" s="2"/>
      <c r="F630" s="2"/>
      <c r="G630" s="2"/>
      <c r="H630" s="2"/>
      <c r="I630" s="2"/>
      <c r="J630" s="2"/>
      <c r="K630" s="2"/>
      <c r="L630" s="2"/>
      <c r="M630" s="2"/>
      <c r="N630" s="2"/>
      <c r="O630" s="2"/>
      <c r="P630" s="2"/>
    </row>
    <row r="631" spans="1:16" ht="12.75">
      <c r="A631" s="2"/>
      <c r="B631" s="2"/>
      <c r="C631" s="2"/>
      <c r="D631" s="2"/>
      <c r="E631" s="2"/>
      <c r="F631" s="2"/>
      <c r="G631" s="2"/>
      <c r="H631" s="2"/>
      <c r="I631" s="2"/>
      <c r="J631" s="2"/>
      <c r="K631" s="2"/>
      <c r="L631" s="2"/>
      <c r="M631" s="2"/>
      <c r="N631" s="2"/>
      <c r="O631" s="2"/>
      <c r="P631" s="2"/>
    </row>
    <row r="632" spans="1:16" ht="12.75">
      <c r="A632" s="2"/>
      <c r="B632" s="2"/>
      <c r="C632" s="2"/>
      <c r="D632" s="2"/>
      <c r="E632" s="2"/>
      <c r="F632" s="2"/>
      <c r="G632" s="2"/>
      <c r="H632" s="2"/>
      <c r="I632" s="2"/>
      <c r="J632" s="2"/>
      <c r="K632" s="2"/>
      <c r="L632" s="2"/>
      <c r="M632" s="2"/>
      <c r="N632" s="2"/>
      <c r="O632" s="2"/>
      <c r="P632" s="2"/>
    </row>
    <row r="633" spans="1:16" ht="12.75">
      <c r="A633" s="2"/>
      <c r="B633" s="2"/>
      <c r="C633" s="2"/>
      <c r="D633" s="2"/>
      <c r="E633" s="2"/>
      <c r="F633" s="2"/>
      <c r="G633" s="2"/>
      <c r="H633" s="2"/>
      <c r="I633" s="2"/>
      <c r="J633" s="2"/>
      <c r="K633" s="2"/>
      <c r="L633" s="2"/>
      <c r="M633" s="2"/>
      <c r="N633" s="2"/>
      <c r="O633" s="2"/>
      <c r="P633" s="2"/>
    </row>
    <row r="634" spans="1:16" ht="12.75">
      <c r="A634" s="2"/>
      <c r="B634" s="2"/>
      <c r="C634" s="2"/>
      <c r="D634" s="2"/>
      <c r="E634" s="2"/>
      <c r="F634" s="2"/>
      <c r="G634" s="2"/>
      <c r="H634" s="2"/>
      <c r="I634" s="2"/>
      <c r="J634" s="2"/>
      <c r="K634" s="2"/>
      <c r="L634" s="2"/>
      <c r="M634" s="2"/>
      <c r="N634" s="2"/>
      <c r="O634" s="2"/>
      <c r="P634" s="2"/>
    </row>
    <row r="635" spans="1:16" ht="12.75">
      <c r="A635" s="2"/>
      <c r="B635" s="2"/>
      <c r="C635" s="2"/>
      <c r="D635" s="2"/>
      <c r="E635" s="2"/>
      <c r="F635" s="2"/>
      <c r="G635" s="2"/>
      <c r="H635" s="2"/>
      <c r="I635" s="2"/>
      <c r="J635" s="2"/>
      <c r="K635" s="2"/>
      <c r="L635" s="2"/>
      <c r="M635" s="2"/>
      <c r="N635" s="2"/>
      <c r="O635" s="2"/>
      <c r="P635" s="2"/>
    </row>
    <row r="636" spans="1:16" ht="12.75">
      <c r="A636" s="2"/>
      <c r="B636" s="2"/>
      <c r="C636" s="2"/>
      <c r="D636" s="2"/>
      <c r="E636" s="2"/>
      <c r="F636" s="2"/>
      <c r="G636" s="2"/>
      <c r="H636" s="2"/>
      <c r="I636" s="2"/>
      <c r="J636" s="2"/>
      <c r="K636" s="2"/>
      <c r="L636" s="2"/>
      <c r="M636" s="2"/>
      <c r="N636" s="2"/>
      <c r="O636" s="2"/>
      <c r="P636" s="2"/>
    </row>
    <row r="637" spans="1:16" ht="12.75">
      <c r="A637" s="2"/>
      <c r="B637" s="2"/>
      <c r="C637" s="2"/>
      <c r="D637" s="2"/>
      <c r="E637" s="2"/>
      <c r="F637" s="2"/>
      <c r="G637" s="2"/>
      <c r="H637" s="2"/>
      <c r="I637" s="2"/>
      <c r="J637" s="2"/>
      <c r="K637" s="2"/>
      <c r="L637" s="2"/>
      <c r="M637" s="2"/>
      <c r="N637" s="2"/>
      <c r="O637" s="2"/>
      <c r="P637" s="2"/>
    </row>
    <row r="638" spans="1:16" ht="12.75">
      <c r="A638" s="2"/>
      <c r="B638" s="2"/>
      <c r="C638" s="2"/>
      <c r="D638" s="2"/>
      <c r="E638" s="2"/>
      <c r="F638" s="2"/>
      <c r="G638" s="2"/>
      <c r="H638" s="2"/>
      <c r="I638" s="2"/>
      <c r="J638" s="2"/>
      <c r="K638" s="2"/>
      <c r="L638" s="2"/>
      <c r="M638" s="2"/>
      <c r="N638" s="2"/>
      <c r="O638" s="2"/>
      <c r="P638" s="2"/>
    </row>
    <row r="639" spans="1:16" ht="12.75">
      <c r="A639" s="2"/>
      <c r="B639" s="2"/>
      <c r="C639" s="2"/>
      <c r="D639" s="2"/>
      <c r="E639" s="2"/>
      <c r="F639" s="2"/>
      <c r="G639" s="2"/>
      <c r="H639" s="2"/>
      <c r="I639" s="2"/>
      <c r="J639" s="2"/>
      <c r="K639" s="2"/>
      <c r="L639" s="2"/>
      <c r="M639" s="2"/>
      <c r="N639" s="2"/>
      <c r="O639" s="2"/>
      <c r="P639" s="2"/>
    </row>
    <row r="640" spans="1:16" ht="12.75">
      <c r="A640" s="2"/>
      <c r="B640" s="2"/>
      <c r="C640" s="2"/>
      <c r="D640" s="2"/>
      <c r="E640" s="2"/>
      <c r="F640" s="2"/>
      <c r="G640" s="2"/>
      <c r="H640" s="2"/>
      <c r="I640" s="2"/>
      <c r="J640" s="2"/>
      <c r="K640" s="2"/>
      <c r="L640" s="2"/>
      <c r="M640" s="2"/>
      <c r="N640" s="2"/>
      <c r="O640" s="2"/>
      <c r="P640" s="2"/>
    </row>
    <row r="641" spans="1:16" ht="12.75">
      <c r="A641" s="2"/>
      <c r="B641" s="2"/>
      <c r="C641" s="2"/>
      <c r="D641" s="2"/>
      <c r="E641" s="2"/>
      <c r="F641" s="2"/>
      <c r="G641" s="2"/>
      <c r="H641" s="2"/>
      <c r="I641" s="2"/>
      <c r="J641" s="2"/>
      <c r="K641" s="2"/>
      <c r="L641" s="2"/>
      <c r="M641" s="2"/>
      <c r="N641" s="2"/>
      <c r="O641" s="2"/>
      <c r="P641" s="2"/>
    </row>
    <row r="642" spans="1:16" ht="12.75">
      <c r="A642" s="2"/>
      <c r="B642" s="2"/>
      <c r="C642" s="2"/>
      <c r="D642" s="2"/>
      <c r="E642" s="2"/>
      <c r="F642" s="2"/>
      <c r="G642" s="2"/>
      <c r="H642" s="2"/>
      <c r="I642" s="2"/>
      <c r="J642" s="2"/>
      <c r="K642" s="2"/>
      <c r="L642" s="2"/>
      <c r="M642" s="2"/>
      <c r="N642" s="2"/>
      <c r="O642" s="2"/>
      <c r="P642" s="2"/>
    </row>
    <row r="643" spans="1:16" ht="12.75">
      <c r="A643" s="2"/>
      <c r="B643" s="2"/>
      <c r="C643" s="2"/>
      <c r="D643" s="2"/>
      <c r="E643" s="2"/>
      <c r="F643" s="2"/>
      <c r="G643" s="2"/>
      <c r="H643" s="2"/>
      <c r="I643" s="2"/>
      <c r="J643" s="2"/>
      <c r="K643" s="2"/>
      <c r="L643" s="2"/>
      <c r="M643" s="2"/>
      <c r="N643" s="2"/>
      <c r="O643" s="2"/>
      <c r="P643" s="2"/>
    </row>
    <row r="644" spans="1:16" ht="12.75">
      <c r="A644" s="2"/>
      <c r="B644" s="2"/>
      <c r="C644" s="2"/>
      <c r="D644" s="2"/>
      <c r="E644" s="2"/>
      <c r="F644" s="2"/>
      <c r="G644" s="2"/>
      <c r="H644" s="2"/>
      <c r="I644" s="2"/>
      <c r="J644" s="2"/>
      <c r="K644" s="2"/>
      <c r="L644" s="2"/>
      <c r="M644" s="2"/>
      <c r="N644" s="2"/>
      <c r="O644" s="2"/>
      <c r="P644" s="2"/>
    </row>
    <row r="645" spans="1:16" ht="12.75">
      <c r="A645" s="2"/>
      <c r="B645" s="2"/>
      <c r="C645" s="2"/>
      <c r="D645" s="2"/>
      <c r="E645" s="2"/>
      <c r="F645" s="2"/>
      <c r="G645" s="2"/>
      <c r="H645" s="2"/>
      <c r="I645" s="2"/>
      <c r="J645" s="2"/>
      <c r="K645" s="2"/>
      <c r="L645" s="2"/>
      <c r="M645" s="2"/>
      <c r="N645" s="2"/>
      <c r="O645" s="2"/>
      <c r="P645" s="2"/>
    </row>
    <row r="646" spans="1:16" ht="12.75">
      <c r="A646" s="2"/>
      <c r="B646" s="2"/>
      <c r="C646" s="2"/>
      <c r="D646" s="2"/>
      <c r="E646" s="2"/>
      <c r="F646" s="2"/>
      <c r="G646" s="2"/>
      <c r="H646" s="2"/>
      <c r="I646" s="2"/>
      <c r="J646" s="2"/>
      <c r="K646" s="2"/>
      <c r="L646" s="2"/>
      <c r="M646" s="2"/>
      <c r="N646" s="2"/>
      <c r="O646" s="2"/>
      <c r="P646" s="2"/>
    </row>
    <row r="647" spans="1:16" ht="12.75">
      <c r="A647" s="2"/>
      <c r="B647" s="2"/>
      <c r="C647" s="2"/>
      <c r="D647" s="2"/>
      <c r="E647" s="2"/>
      <c r="F647" s="2"/>
      <c r="G647" s="2"/>
      <c r="H647" s="2"/>
      <c r="I647" s="2"/>
      <c r="J647" s="2"/>
      <c r="K647" s="2"/>
      <c r="L647" s="2"/>
      <c r="M647" s="2"/>
      <c r="N647" s="2"/>
      <c r="O647" s="2"/>
      <c r="P647" s="2"/>
    </row>
    <row r="648" spans="1:16" ht="12.75">
      <c r="A648" s="2"/>
      <c r="B648" s="2"/>
      <c r="C648" s="2"/>
      <c r="D648" s="2"/>
      <c r="E648" s="2"/>
      <c r="F648" s="2"/>
      <c r="G648" s="2"/>
      <c r="H648" s="2"/>
      <c r="I648" s="2"/>
      <c r="J648" s="2"/>
      <c r="K648" s="2"/>
      <c r="L648" s="2"/>
      <c r="M648" s="2"/>
      <c r="N648" s="2"/>
      <c r="O648" s="2"/>
      <c r="P648" s="2"/>
    </row>
    <row r="649" spans="1:16" ht="12.75">
      <c r="A649" s="2"/>
      <c r="B649" s="2"/>
      <c r="C649" s="2"/>
      <c r="D649" s="2"/>
      <c r="E649" s="2"/>
      <c r="F649" s="2"/>
      <c r="G649" s="2"/>
      <c r="H649" s="2"/>
      <c r="I649" s="2"/>
      <c r="J649" s="2"/>
      <c r="K649" s="2"/>
      <c r="L649" s="2"/>
      <c r="M649" s="2"/>
      <c r="N649" s="2"/>
      <c r="O649" s="2"/>
      <c r="P649" s="2"/>
    </row>
    <row r="650" spans="1:16" ht="12.75">
      <c r="A650" s="2"/>
      <c r="B650" s="2"/>
      <c r="C650" s="2"/>
      <c r="D650" s="2"/>
      <c r="E650" s="2"/>
      <c r="F650" s="2"/>
      <c r="G650" s="2"/>
      <c r="H650" s="2"/>
      <c r="I650" s="2"/>
      <c r="J650" s="2"/>
      <c r="K650" s="2"/>
      <c r="L650" s="2"/>
      <c r="M650" s="2"/>
      <c r="N650" s="2"/>
      <c r="O650" s="2"/>
      <c r="P650" s="2"/>
    </row>
    <row r="651" spans="1:16" ht="12.75">
      <c r="A651" s="2"/>
      <c r="B651" s="2"/>
      <c r="C651" s="2"/>
      <c r="D651" s="2"/>
      <c r="E651" s="2"/>
      <c r="F651" s="2"/>
      <c r="G651" s="2"/>
      <c r="H651" s="2"/>
      <c r="I651" s="2"/>
      <c r="J651" s="2"/>
      <c r="K651" s="2"/>
      <c r="L651" s="2"/>
      <c r="M651" s="2"/>
      <c r="N651" s="2"/>
      <c r="O651" s="2"/>
      <c r="P651" s="2"/>
    </row>
    <row r="652" spans="1:16" ht="12.75">
      <c r="A652" s="2"/>
      <c r="B652" s="2"/>
      <c r="C652" s="2"/>
      <c r="D652" s="2"/>
      <c r="E652" s="2"/>
      <c r="F652" s="2"/>
      <c r="G652" s="2"/>
      <c r="H652" s="2"/>
      <c r="I652" s="2"/>
      <c r="J652" s="2"/>
      <c r="K652" s="2"/>
      <c r="L652" s="2"/>
      <c r="M652" s="2"/>
      <c r="N652" s="2"/>
      <c r="O652" s="2"/>
      <c r="P652" s="2"/>
    </row>
    <row r="653" spans="1:16" ht="12.75">
      <c r="A653" s="2"/>
      <c r="B653" s="2"/>
      <c r="C653" s="2"/>
      <c r="D653" s="2"/>
      <c r="E653" s="2"/>
      <c r="F653" s="2"/>
      <c r="G653" s="2"/>
      <c r="H653" s="2"/>
      <c r="I653" s="2"/>
      <c r="J653" s="2"/>
      <c r="K653" s="2"/>
      <c r="L653" s="2"/>
      <c r="M653" s="2"/>
      <c r="N653" s="2"/>
      <c r="O653" s="2"/>
      <c r="P653" s="2"/>
    </row>
    <row r="654" spans="1:16" ht="12.75">
      <c r="A654" s="2"/>
      <c r="B654" s="2"/>
      <c r="C654" s="2"/>
      <c r="D654" s="2"/>
      <c r="E654" s="2"/>
      <c r="F654" s="2"/>
      <c r="G654" s="2"/>
      <c r="H654" s="2"/>
      <c r="I654" s="2"/>
      <c r="J654" s="2"/>
      <c r="K654" s="2"/>
      <c r="L654" s="2"/>
      <c r="M654" s="2"/>
      <c r="N654" s="2"/>
      <c r="O654" s="2"/>
      <c r="P654" s="2"/>
    </row>
    <row r="655" spans="1:16" ht="12.75">
      <c r="A655" s="2"/>
      <c r="B655" s="2"/>
      <c r="C655" s="2"/>
      <c r="D655" s="2"/>
      <c r="E655" s="2"/>
      <c r="F655" s="2"/>
      <c r="G655" s="2"/>
      <c r="H655" s="2"/>
      <c r="I655" s="2"/>
      <c r="J655" s="2"/>
      <c r="K655" s="2"/>
      <c r="L655" s="2"/>
      <c r="M655" s="2"/>
      <c r="N655" s="2"/>
      <c r="O655" s="2"/>
      <c r="P655" s="2"/>
    </row>
    <row r="656" spans="1:16" ht="12.75">
      <c r="A656" s="2"/>
      <c r="B656" s="2"/>
      <c r="C656" s="2"/>
      <c r="D656" s="2"/>
      <c r="E656" s="2"/>
      <c r="F656" s="2"/>
      <c r="G656" s="2"/>
      <c r="H656" s="2"/>
      <c r="I656" s="2"/>
      <c r="J656" s="2"/>
      <c r="K656" s="2"/>
      <c r="L656" s="2"/>
      <c r="M656" s="2"/>
      <c r="N656" s="2"/>
      <c r="O656" s="2"/>
      <c r="P656" s="2"/>
    </row>
    <row r="657" spans="1:16" ht="12.75">
      <c r="A657" s="2"/>
      <c r="B657" s="2"/>
      <c r="C657" s="2"/>
      <c r="D657" s="2"/>
      <c r="E657" s="2"/>
      <c r="F657" s="2"/>
      <c r="G657" s="2"/>
      <c r="H657" s="2"/>
      <c r="I657" s="2"/>
      <c r="J657" s="2"/>
      <c r="K657" s="2"/>
      <c r="L657" s="2"/>
      <c r="M657" s="2"/>
      <c r="N657" s="2"/>
      <c r="O657" s="2"/>
      <c r="P657" s="2"/>
    </row>
    <row r="658" spans="1:16" ht="12.75">
      <c r="A658" s="2"/>
      <c r="B658" s="2"/>
      <c r="C658" s="2"/>
      <c r="D658" s="2"/>
      <c r="E658" s="2"/>
      <c r="F658" s="2"/>
      <c r="G658" s="2"/>
      <c r="H658" s="2"/>
      <c r="I658" s="2"/>
      <c r="J658" s="2"/>
      <c r="K658" s="2"/>
      <c r="L658" s="2"/>
      <c r="M658" s="2"/>
      <c r="N658" s="2"/>
      <c r="O658" s="2"/>
      <c r="P658" s="2"/>
    </row>
    <row r="659" spans="1:16" ht="12.75">
      <c r="A659" s="2"/>
      <c r="B659" s="2"/>
      <c r="C659" s="2"/>
      <c r="D659" s="2"/>
      <c r="E659" s="2"/>
      <c r="F659" s="2"/>
      <c r="G659" s="2"/>
      <c r="H659" s="2"/>
      <c r="I659" s="2"/>
      <c r="J659" s="2"/>
      <c r="K659" s="2"/>
      <c r="L659" s="2"/>
      <c r="M659" s="2"/>
      <c r="N659" s="2"/>
      <c r="O659" s="2"/>
      <c r="P659" s="2"/>
    </row>
    <row r="660" spans="1:16" ht="12.75">
      <c r="A660" s="2"/>
      <c r="B660" s="2"/>
      <c r="C660" s="2"/>
      <c r="D660" s="2"/>
      <c r="E660" s="2"/>
      <c r="F660" s="2"/>
      <c r="G660" s="2"/>
      <c r="H660" s="2"/>
      <c r="I660" s="2"/>
      <c r="J660" s="2"/>
      <c r="K660" s="2"/>
      <c r="L660" s="2"/>
      <c r="M660" s="2"/>
      <c r="N660" s="2"/>
      <c r="O660" s="2"/>
      <c r="P660" s="2"/>
    </row>
    <row r="661" spans="1:16" ht="12.75">
      <c r="A661" s="2"/>
      <c r="B661" s="2"/>
      <c r="C661" s="2"/>
      <c r="D661" s="2"/>
      <c r="E661" s="2"/>
      <c r="F661" s="2"/>
      <c r="G661" s="2"/>
      <c r="H661" s="2"/>
      <c r="I661" s="2"/>
      <c r="J661" s="2"/>
      <c r="K661" s="2"/>
      <c r="L661" s="2"/>
      <c r="M661" s="2"/>
      <c r="N661" s="2"/>
      <c r="O661" s="2"/>
      <c r="P661" s="2"/>
    </row>
    <row r="662" spans="1:16" ht="12.75">
      <c r="A662" s="2"/>
      <c r="B662" s="2"/>
      <c r="C662" s="2"/>
      <c r="D662" s="2"/>
      <c r="E662" s="2"/>
      <c r="F662" s="2"/>
      <c r="G662" s="2"/>
      <c r="H662" s="2"/>
      <c r="I662" s="2"/>
      <c r="J662" s="2"/>
      <c r="K662" s="2"/>
      <c r="L662" s="2"/>
      <c r="M662" s="2"/>
      <c r="N662" s="2"/>
      <c r="O662" s="2"/>
      <c r="P662" s="2"/>
    </row>
    <row r="663" spans="1:16" ht="12.75">
      <c r="A663" s="2"/>
      <c r="B663" s="2"/>
      <c r="C663" s="2"/>
      <c r="D663" s="2"/>
      <c r="E663" s="2"/>
      <c r="F663" s="2"/>
      <c r="G663" s="2"/>
      <c r="H663" s="2"/>
      <c r="I663" s="2"/>
      <c r="J663" s="2"/>
      <c r="K663" s="2"/>
      <c r="L663" s="2"/>
      <c r="M663" s="2"/>
      <c r="N663" s="2"/>
      <c r="O663" s="2"/>
      <c r="P663" s="2"/>
    </row>
    <row r="664" spans="1:16" ht="12.75">
      <c r="A664" s="2"/>
      <c r="B664" s="2"/>
      <c r="C664" s="2"/>
      <c r="D664" s="2"/>
      <c r="E664" s="2"/>
      <c r="F664" s="2"/>
      <c r="G664" s="2"/>
      <c r="H664" s="2"/>
      <c r="I664" s="2"/>
      <c r="J664" s="2"/>
      <c r="K664" s="2"/>
      <c r="L664" s="2"/>
      <c r="M664" s="2"/>
      <c r="N664" s="2"/>
      <c r="O664" s="2"/>
      <c r="P664" s="2"/>
    </row>
    <row r="665" spans="1:16" ht="12.75">
      <c r="A665" s="2"/>
      <c r="B665" s="2"/>
      <c r="C665" s="2"/>
      <c r="D665" s="2"/>
      <c r="E665" s="2"/>
      <c r="F665" s="2"/>
      <c r="G665" s="2"/>
      <c r="H665" s="2"/>
      <c r="I665" s="2"/>
      <c r="J665" s="2"/>
      <c r="K665" s="2"/>
      <c r="L665" s="2"/>
      <c r="M665" s="2"/>
      <c r="N665" s="2"/>
      <c r="O665" s="2"/>
      <c r="P665" s="2"/>
    </row>
    <row r="666" spans="1:16" ht="12.75">
      <c r="A666" s="2"/>
      <c r="B666" s="2"/>
      <c r="C666" s="2"/>
      <c r="D666" s="2"/>
      <c r="E666" s="2"/>
      <c r="F666" s="2"/>
      <c r="G666" s="2"/>
      <c r="H666" s="2"/>
      <c r="I666" s="2"/>
      <c r="J666" s="2"/>
      <c r="K666" s="2"/>
      <c r="L666" s="2"/>
      <c r="M666" s="2"/>
      <c r="N666" s="2"/>
      <c r="O666" s="2"/>
      <c r="P666" s="2"/>
    </row>
    <row r="667" spans="1:16" ht="12.75">
      <c r="A667" s="2"/>
      <c r="B667" s="2"/>
      <c r="C667" s="2"/>
      <c r="D667" s="2"/>
      <c r="E667" s="2"/>
      <c r="F667" s="2"/>
      <c r="G667" s="2"/>
      <c r="H667" s="2"/>
      <c r="I667" s="2"/>
      <c r="J667" s="2"/>
      <c r="K667" s="2"/>
      <c r="L667" s="2"/>
      <c r="M667" s="2"/>
      <c r="N667" s="2"/>
      <c r="O667" s="2"/>
      <c r="P667" s="2"/>
    </row>
    <row r="668" spans="1:16" ht="12.75">
      <c r="A668" s="2"/>
      <c r="B668" s="2"/>
      <c r="C668" s="2"/>
      <c r="D668" s="2"/>
      <c r="E668" s="2"/>
      <c r="F668" s="2"/>
      <c r="G668" s="2"/>
      <c r="H668" s="2"/>
      <c r="I668" s="2"/>
      <c r="J668" s="2"/>
      <c r="K668" s="2"/>
      <c r="L668" s="2"/>
      <c r="M668" s="2"/>
      <c r="N668" s="2"/>
      <c r="O668" s="2"/>
      <c r="P668" s="2"/>
    </row>
    <row r="669" spans="1:16" ht="12.75">
      <c r="A669" s="2"/>
      <c r="B669" s="2"/>
      <c r="C669" s="2"/>
      <c r="D669" s="2"/>
      <c r="E669" s="2"/>
      <c r="F669" s="2"/>
      <c r="G669" s="2"/>
      <c r="H669" s="2"/>
      <c r="I669" s="2"/>
      <c r="J669" s="2"/>
      <c r="K669" s="2"/>
      <c r="L669" s="2"/>
      <c r="M669" s="2"/>
      <c r="N669" s="2"/>
      <c r="O669" s="2"/>
      <c r="P669" s="2"/>
    </row>
    <row r="670" spans="1:16" ht="12.75">
      <c r="A670" s="2"/>
      <c r="B670" s="2"/>
      <c r="C670" s="2"/>
      <c r="D670" s="2"/>
      <c r="E670" s="2"/>
      <c r="F670" s="2"/>
      <c r="G670" s="2"/>
      <c r="H670" s="2"/>
      <c r="I670" s="2"/>
      <c r="J670" s="2"/>
      <c r="K670" s="2"/>
      <c r="L670" s="2"/>
      <c r="M670" s="2"/>
      <c r="N670" s="2"/>
      <c r="O670" s="2"/>
      <c r="P670" s="2"/>
    </row>
    <row r="671" spans="1:16" ht="12.75">
      <c r="A671" s="2"/>
      <c r="B671" s="2"/>
      <c r="C671" s="2"/>
      <c r="D671" s="2"/>
      <c r="E671" s="2"/>
      <c r="F671" s="2"/>
      <c r="G671" s="2"/>
      <c r="H671" s="2"/>
      <c r="I671" s="2"/>
      <c r="J671" s="2"/>
      <c r="K671" s="2"/>
      <c r="L671" s="2"/>
      <c r="M671" s="2"/>
      <c r="N671" s="2"/>
      <c r="O671" s="2"/>
      <c r="P671" s="2"/>
    </row>
    <row r="672" spans="1:16" ht="12.75">
      <c r="A672" s="2"/>
      <c r="B672" s="2"/>
      <c r="C672" s="2"/>
      <c r="D672" s="2"/>
      <c r="E672" s="2"/>
      <c r="F672" s="2"/>
      <c r="G672" s="2"/>
      <c r="H672" s="2"/>
      <c r="I672" s="2"/>
      <c r="J672" s="2"/>
      <c r="K672" s="2"/>
      <c r="L672" s="2"/>
      <c r="M672" s="2"/>
      <c r="N672" s="2"/>
      <c r="O672" s="2"/>
      <c r="P672" s="2"/>
    </row>
    <row r="673" spans="1:16" ht="12.75">
      <c r="A673" s="2"/>
      <c r="B673" s="2"/>
      <c r="C673" s="2"/>
      <c r="D673" s="2"/>
      <c r="E673" s="2"/>
      <c r="F673" s="2"/>
      <c r="G673" s="2"/>
      <c r="H673" s="2"/>
      <c r="I673" s="2"/>
      <c r="J673" s="2"/>
      <c r="K673" s="2"/>
      <c r="L673" s="2"/>
      <c r="M673" s="2"/>
      <c r="N673" s="2"/>
      <c r="O673" s="2"/>
      <c r="P673" s="2"/>
    </row>
    <row r="674" spans="1:16" ht="12.75">
      <c r="A674" s="2"/>
      <c r="B674" s="2"/>
      <c r="C674" s="2"/>
      <c r="D674" s="2"/>
      <c r="E674" s="2"/>
      <c r="F674" s="2"/>
      <c r="G674" s="2"/>
      <c r="H674" s="2"/>
      <c r="I674" s="2"/>
      <c r="J674" s="2"/>
      <c r="K674" s="2"/>
      <c r="L674" s="2"/>
      <c r="M674" s="2"/>
      <c r="N674" s="2"/>
      <c r="O674" s="2"/>
      <c r="P674" s="2"/>
    </row>
    <row r="675" spans="1:16" ht="12.75">
      <c r="A675" s="2"/>
      <c r="B675" s="2"/>
      <c r="C675" s="2"/>
      <c r="D675" s="2"/>
      <c r="E675" s="2"/>
      <c r="F675" s="2"/>
      <c r="G675" s="2"/>
      <c r="H675" s="2"/>
      <c r="I675" s="2"/>
      <c r="J675" s="2"/>
      <c r="K675" s="2"/>
      <c r="L675" s="2"/>
      <c r="M675" s="2"/>
      <c r="N675" s="2"/>
      <c r="O675" s="2"/>
      <c r="P675" s="2"/>
    </row>
    <row r="676" spans="1:16" ht="12.75">
      <c r="A676" s="2"/>
      <c r="B676" s="2"/>
      <c r="C676" s="2"/>
      <c r="D676" s="2"/>
      <c r="E676" s="2"/>
      <c r="F676" s="2"/>
      <c r="G676" s="2"/>
      <c r="H676" s="2"/>
      <c r="I676" s="2"/>
      <c r="J676" s="2"/>
      <c r="K676" s="2"/>
      <c r="L676" s="2"/>
      <c r="M676" s="2"/>
      <c r="N676" s="2"/>
      <c r="O676" s="2"/>
      <c r="P676" s="2"/>
    </row>
    <row r="677" spans="1:16" ht="12.75">
      <c r="A677" s="2"/>
      <c r="B677" s="2"/>
      <c r="C677" s="2"/>
      <c r="D677" s="2"/>
      <c r="E677" s="2"/>
      <c r="F677" s="2"/>
      <c r="G677" s="2"/>
      <c r="H677" s="2"/>
      <c r="I677" s="2"/>
      <c r="J677" s="2"/>
      <c r="K677" s="2"/>
      <c r="L677" s="2"/>
      <c r="M677" s="2"/>
      <c r="N677" s="2"/>
      <c r="O677" s="2"/>
      <c r="P677" s="2"/>
    </row>
    <row r="678" spans="1:16" ht="12.75">
      <c r="A678" s="2"/>
      <c r="B678" s="2"/>
      <c r="C678" s="2"/>
      <c r="D678" s="2"/>
      <c r="E678" s="2"/>
      <c r="F678" s="2"/>
      <c r="G678" s="2"/>
      <c r="H678" s="2"/>
      <c r="I678" s="2"/>
      <c r="J678" s="2"/>
      <c r="K678" s="2"/>
      <c r="L678" s="2"/>
      <c r="M678" s="2"/>
      <c r="N678" s="2"/>
      <c r="O678" s="2"/>
      <c r="P678" s="2"/>
    </row>
    <row r="679" spans="1:16" ht="12.75">
      <c r="A679" s="2"/>
      <c r="B679" s="2"/>
      <c r="C679" s="2"/>
      <c r="D679" s="2"/>
      <c r="E679" s="2"/>
      <c r="F679" s="2"/>
      <c r="G679" s="2"/>
      <c r="H679" s="2"/>
      <c r="I679" s="2"/>
      <c r="J679" s="2"/>
      <c r="K679" s="2"/>
      <c r="L679" s="2"/>
      <c r="M679" s="2"/>
      <c r="N679" s="2"/>
      <c r="O679" s="2"/>
      <c r="P679" s="2"/>
    </row>
    <row r="680" spans="1:16" ht="12.75">
      <c r="A680" s="2"/>
      <c r="B680" s="2"/>
      <c r="C680" s="2"/>
      <c r="D680" s="2"/>
      <c r="E680" s="2"/>
      <c r="F680" s="2"/>
      <c r="G680" s="2"/>
      <c r="H680" s="2"/>
      <c r="I680" s="2"/>
      <c r="J680" s="2"/>
      <c r="K680" s="2"/>
      <c r="L680" s="2"/>
      <c r="M680" s="2"/>
      <c r="N680" s="2"/>
      <c r="O680" s="2"/>
      <c r="P680" s="2"/>
    </row>
    <row r="681" spans="1:16" ht="12.75">
      <c r="A681" s="2"/>
      <c r="B681" s="2"/>
      <c r="C681" s="2"/>
      <c r="D681" s="2"/>
      <c r="E681" s="2"/>
      <c r="F681" s="2"/>
      <c r="G681" s="2"/>
      <c r="H681" s="2"/>
      <c r="I681" s="2"/>
      <c r="J681" s="2"/>
      <c r="K681" s="2"/>
      <c r="L681" s="2"/>
      <c r="M681" s="2"/>
      <c r="N681" s="2"/>
      <c r="O681" s="2"/>
      <c r="P681" s="2"/>
    </row>
    <row r="682" spans="1:16" ht="12.75">
      <c r="A682" s="2"/>
      <c r="B682" s="2"/>
      <c r="C682" s="2"/>
      <c r="D682" s="2"/>
      <c r="E682" s="2"/>
      <c r="F682" s="2"/>
      <c r="G682" s="2"/>
      <c r="H682" s="2"/>
      <c r="I682" s="2"/>
      <c r="J682" s="2"/>
      <c r="K682" s="2"/>
      <c r="L682" s="2"/>
      <c r="M682" s="2"/>
      <c r="N682" s="2"/>
      <c r="O682" s="2"/>
      <c r="P682" s="2"/>
    </row>
    <row r="683" spans="1:16" ht="12.75">
      <c r="A683" s="2"/>
      <c r="B683" s="2"/>
      <c r="C683" s="2"/>
      <c r="D683" s="2"/>
      <c r="E683" s="2"/>
      <c r="F683" s="2"/>
      <c r="G683" s="2"/>
      <c r="H683" s="2"/>
      <c r="I683" s="2"/>
      <c r="J683" s="2"/>
      <c r="K683" s="2"/>
      <c r="L683" s="2"/>
      <c r="M683" s="2"/>
      <c r="N683" s="2"/>
      <c r="O683" s="2"/>
      <c r="P683" s="2"/>
    </row>
    <row r="684" spans="1:16" ht="12.75">
      <c r="A684" s="2"/>
      <c r="B684" s="2"/>
      <c r="C684" s="2"/>
      <c r="D684" s="2"/>
      <c r="E684" s="2"/>
      <c r="F684" s="2"/>
      <c r="G684" s="2"/>
      <c r="H684" s="2"/>
      <c r="I684" s="2"/>
      <c r="J684" s="2"/>
      <c r="K684" s="2"/>
      <c r="L684" s="2"/>
      <c r="M684" s="2"/>
      <c r="N684" s="2"/>
      <c r="O684" s="2"/>
      <c r="P684" s="2"/>
    </row>
    <row r="685" spans="1:16" ht="12.75">
      <c r="A685" s="2"/>
      <c r="B685" s="2"/>
      <c r="C685" s="2"/>
      <c r="D685" s="2"/>
      <c r="E685" s="2"/>
      <c r="F685" s="2"/>
      <c r="G685" s="2"/>
      <c r="H685" s="2"/>
      <c r="I685" s="2"/>
      <c r="J685" s="2"/>
      <c r="K685" s="2"/>
      <c r="L685" s="2"/>
      <c r="M685" s="2"/>
      <c r="N685" s="2"/>
      <c r="O685" s="2"/>
      <c r="P685" s="2"/>
    </row>
    <row r="686" spans="1:16">
      <c r="A686" s="2"/>
      <c r="B686" s="2"/>
    </row>
    <row r="687" spans="1:16">
      <c r="A687" s="2"/>
      <c r="B687" s="2"/>
    </row>
    <row r="688" spans="1:16">
      <c r="A688" s="2"/>
      <c r="B688" s="2"/>
    </row>
    <row r="689" spans="1:2">
      <c r="A689" s="2"/>
      <c r="B689" s="2"/>
    </row>
    <row r="690" spans="1:2">
      <c r="A690" s="2"/>
      <c r="B690" s="2"/>
    </row>
    <row r="691" spans="1:2">
      <c r="A691" s="2"/>
      <c r="B691" s="2"/>
    </row>
    <row r="692" spans="1:2">
      <c r="A692" s="2"/>
      <c r="B692" s="2"/>
    </row>
    <row r="693" spans="1:2">
      <c r="A693" s="2"/>
      <c r="B693" s="2"/>
    </row>
    <row r="694" spans="1:2">
      <c r="A694" s="2"/>
      <c r="B694" s="2"/>
    </row>
    <row r="695" spans="1:2">
      <c r="A695" s="2"/>
      <c r="B695" s="2"/>
    </row>
    <row r="696" spans="1:2">
      <c r="A696" s="2"/>
      <c r="B696" s="2"/>
    </row>
    <row r="697" spans="1:2">
      <c r="A697" s="2"/>
      <c r="B697" s="2"/>
    </row>
    <row r="698" spans="1:2">
      <c r="A698" s="2"/>
      <c r="B698" s="2"/>
    </row>
    <row r="699" spans="1:2">
      <c r="A699" s="2"/>
      <c r="B699" s="2"/>
    </row>
    <row r="700" spans="1:2">
      <c r="A700" s="2"/>
      <c r="B700" s="2"/>
    </row>
    <row r="701" spans="1:2">
      <c r="A701" s="2"/>
      <c r="B701" s="2"/>
    </row>
    <row r="702" spans="1:2">
      <c r="A702" s="2"/>
      <c r="B702" s="2"/>
    </row>
    <row r="703" spans="1:2">
      <c r="A703" s="2"/>
      <c r="B703" s="2"/>
    </row>
    <row r="704" spans="1:2">
      <c r="A704" s="2"/>
      <c r="B704" s="2"/>
    </row>
    <row r="705" spans="1:2">
      <c r="A705" s="2"/>
      <c r="B705" s="2"/>
    </row>
    <row r="706" spans="1:2">
      <c r="A706" s="2"/>
      <c r="B706" s="2"/>
    </row>
    <row r="707" spans="1:2">
      <c r="A707" s="2"/>
      <c r="B707" s="2"/>
    </row>
    <row r="708" spans="1:2">
      <c r="A708" s="2"/>
      <c r="B708" s="2"/>
    </row>
    <row r="709" spans="1:2">
      <c r="A709" s="2"/>
      <c r="B709" s="2"/>
    </row>
  </sheetData>
  <mergeCells count="16">
    <mergeCell ref="D316:J316"/>
    <mergeCell ref="D336:J336"/>
    <mergeCell ref="D339:J339"/>
    <mergeCell ref="D343:J343"/>
    <mergeCell ref="A8:P8"/>
    <mergeCell ref="H21:K21"/>
    <mergeCell ref="H22:K23"/>
    <mergeCell ref="H10:K12"/>
    <mergeCell ref="C3:P3"/>
    <mergeCell ref="A5:A6"/>
    <mergeCell ref="B5:B6"/>
    <mergeCell ref="C5:G5"/>
    <mergeCell ref="L5:P5"/>
    <mergeCell ref="H5:K5"/>
    <mergeCell ref="A1:B4"/>
    <mergeCell ref="C2:P2"/>
  </mergeCells>
  <phoneticPr fontId="0" type="noConversion"/>
  <printOptions horizontalCentered="1" gridLines="1"/>
  <pageMargins left="0.25" right="0" top="0.18" bottom="0.25" header="0.2" footer="0.25"/>
  <pageSetup paperSize="9" scale="49" orientation="landscape" r:id="rId1"/>
  <headerFooter alignWithMargins="0">
    <oddFooter>&amp;R&amp;F, &amp;A, &amp;P из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AY157"/>
  <sheetViews>
    <sheetView topLeftCell="C8" zoomScale="115" zoomScaleNormal="115" workbookViewId="0">
      <selection activeCell="AR77" sqref="AR77"/>
    </sheetView>
  </sheetViews>
  <sheetFormatPr defaultColWidth="9.28515625" defaultRowHeight="12.75"/>
  <cols>
    <col min="1" max="2" width="9.28515625" style="900" hidden="1" customWidth="1"/>
    <col min="3" max="3" width="3.7109375" style="900" customWidth="1"/>
    <col min="4" max="4" width="9.7109375" style="959" customWidth="1"/>
    <col min="5" max="5" width="58.7109375" style="910" customWidth="1"/>
    <col min="6" max="6" width="2.7109375" style="900" hidden="1" customWidth="1"/>
    <col min="7" max="11" width="12.7109375" style="900" hidden="1" customWidth="1"/>
    <col min="12" max="12" width="0.28515625" style="900" hidden="1" customWidth="1"/>
    <col min="13" max="17" width="12.7109375" style="900" hidden="1" customWidth="1"/>
    <col min="18" max="18" width="0.28515625" style="900" hidden="1" customWidth="1"/>
    <col min="19" max="23" width="12.7109375" style="900" hidden="1" customWidth="1"/>
    <col min="24" max="24" width="0.28515625" style="900" hidden="1" customWidth="1"/>
    <col min="25" max="25" width="2.7109375" style="900" hidden="1" customWidth="1"/>
    <col min="26" max="26" width="5.7109375" style="900" customWidth="1"/>
    <col min="27" max="27" width="15.7109375" style="900" customWidth="1"/>
    <col min="28" max="32" width="12.7109375" style="910" customWidth="1"/>
    <col min="33" max="33" width="0.28515625" style="960" customWidth="1"/>
    <col min="34" max="38" width="12.7109375" style="910" customWidth="1"/>
    <col min="39" max="39" width="0.28515625" style="961" customWidth="1"/>
    <col min="40" max="44" width="12.7109375" style="910" customWidth="1"/>
    <col min="45" max="45" width="0.28515625" style="962" customWidth="1"/>
    <col min="46" max="48" width="15.7109375" style="962" customWidth="1"/>
    <col min="49" max="50" width="2.7109375" style="909" customWidth="1"/>
    <col min="51" max="51" width="13.28515625" style="909" customWidth="1"/>
    <col min="52" max="16384" width="9.28515625" style="910"/>
  </cols>
  <sheetData>
    <row r="1" spans="4:51" s="900" customFormat="1" hidden="1">
      <c r="D1" s="901"/>
      <c r="AG1" s="902"/>
      <c r="AW1" s="814"/>
      <c r="AX1" s="814"/>
      <c r="AY1" s="814"/>
    </row>
    <row r="2" spans="4:51" s="900" customFormat="1" hidden="1">
      <c r="D2" s="901"/>
      <c r="AG2" s="902"/>
      <c r="AW2" s="814"/>
      <c r="AX2" s="814"/>
      <c r="AY2" s="814"/>
    </row>
    <row r="3" spans="4:51" s="900" customFormat="1" hidden="1">
      <c r="D3" s="901"/>
      <c r="AG3" s="902"/>
      <c r="AW3" s="814"/>
      <c r="AX3" s="814"/>
      <c r="AY3" s="814"/>
    </row>
    <row r="4" spans="4:51" s="900" customFormat="1" hidden="1">
      <c r="D4" s="901"/>
      <c r="AG4" s="902"/>
      <c r="AW4" s="814"/>
      <c r="AX4" s="814"/>
      <c r="AY4" s="814"/>
    </row>
    <row r="5" spans="4:51" s="900" customFormat="1" hidden="1">
      <c r="D5" s="901"/>
      <c r="AG5" s="902"/>
      <c r="AW5" s="814"/>
      <c r="AX5" s="814"/>
      <c r="AY5" s="814"/>
    </row>
    <row r="6" spans="4:51" s="814" customFormat="1" hidden="1"/>
    <row r="7" spans="4:51" s="814" customFormat="1" hidden="1"/>
    <row r="8" spans="4:51" s="814" customFormat="1"/>
    <row r="9" spans="4:51" s="900" customFormat="1" ht="18" customHeight="1">
      <c r="D9" s="4278" t="s">
        <v>1317</v>
      </c>
      <c r="E9" s="4278"/>
      <c r="F9" s="4278"/>
      <c r="G9" s="4278"/>
      <c r="H9" s="4278"/>
      <c r="I9" s="4278"/>
      <c r="J9" s="4278"/>
      <c r="K9" s="4278"/>
      <c r="L9" s="4278"/>
      <c r="M9" s="4278"/>
      <c r="N9" s="4278"/>
      <c r="O9" s="4278"/>
      <c r="P9" s="4278"/>
      <c r="Q9" s="4278"/>
      <c r="R9" s="4278"/>
      <c r="S9" s="4278"/>
      <c r="T9" s="4278"/>
      <c r="U9" s="4278"/>
      <c r="V9" s="4278"/>
      <c r="W9" s="4278"/>
      <c r="X9" s="4278"/>
      <c r="Y9" s="4278"/>
      <c r="Z9" s="4278"/>
      <c r="AA9" s="4278"/>
      <c r="AB9" s="4278"/>
      <c r="AC9" s="4278"/>
      <c r="AD9" s="4278"/>
      <c r="AE9" s="4278"/>
      <c r="AF9" s="4278"/>
      <c r="AG9" s="4278"/>
      <c r="AH9" s="4278"/>
      <c r="AI9" s="4278"/>
      <c r="AJ9" s="4278"/>
      <c r="AK9" s="4278"/>
      <c r="AL9" s="4278"/>
      <c r="AM9" s="4278"/>
      <c r="AN9" s="4278"/>
      <c r="AO9" s="4278"/>
      <c r="AP9" s="4278"/>
      <c r="AQ9" s="4278"/>
      <c r="AR9" s="4278"/>
      <c r="AS9" s="4278"/>
      <c r="AT9" s="4278"/>
      <c r="AU9" s="4278"/>
      <c r="AV9" s="4278"/>
      <c r="AW9" s="814"/>
      <c r="AX9" s="814"/>
      <c r="AY9" s="814"/>
    </row>
    <row r="10" spans="4:51" s="814" customFormat="1" ht="24" customHeight="1">
      <c r="G10" s="4279"/>
      <c r="H10" s="4279"/>
      <c r="I10" s="4279"/>
      <c r="J10" s="4279"/>
      <c r="K10" s="4279"/>
      <c r="L10" s="4279"/>
      <c r="M10" s="4279"/>
      <c r="N10" s="4279"/>
      <c r="O10" s="4279"/>
      <c r="P10" s="4279"/>
      <c r="Q10" s="4279"/>
      <c r="R10" s="4279"/>
      <c r="S10" s="4279"/>
      <c r="T10" s="4279"/>
      <c r="U10" s="4279"/>
      <c r="V10" s="4279"/>
      <c r="W10" s="4279"/>
      <c r="X10" s="4279"/>
      <c r="Y10" s="814">
        <v>3</v>
      </c>
      <c r="Z10" s="903" t="s">
        <v>778</v>
      </c>
    </row>
    <row r="11" spans="4:51" ht="12" customHeight="1">
      <c r="D11" s="4280" t="s">
        <v>400</v>
      </c>
      <c r="E11" s="4281" t="s">
        <v>779</v>
      </c>
      <c r="F11" s="906"/>
      <c r="G11" s="4282"/>
      <c r="H11" s="4282"/>
      <c r="I11" s="4282"/>
      <c r="J11" s="4282"/>
      <c r="K11" s="4282"/>
      <c r="L11" s="4282"/>
      <c r="M11" s="4282"/>
      <c r="N11" s="4282"/>
      <c r="O11" s="4282"/>
      <c r="P11" s="4282"/>
      <c r="Q11" s="4282"/>
      <c r="R11" s="4282"/>
      <c r="S11" s="4282"/>
      <c r="T11" s="4282"/>
      <c r="U11" s="4282"/>
      <c r="V11" s="4282"/>
      <c r="W11" s="4282"/>
      <c r="X11" s="4282"/>
      <c r="Y11" s="907">
        <v>0</v>
      </c>
      <c r="Z11" s="908"/>
      <c r="AA11" s="4283" t="s">
        <v>780</v>
      </c>
      <c r="AB11" s="4286"/>
      <c r="AC11" s="4282"/>
      <c r="AD11" s="4282"/>
      <c r="AE11" s="4282"/>
      <c r="AF11" s="4282"/>
      <c r="AG11" s="4282"/>
      <c r="AH11" s="4282"/>
      <c r="AI11" s="4282"/>
      <c r="AJ11" s="4282"/>
      <c r="AK11" s="4282"/>
      <c r="AL11" s="4282"/>
      <c r="AM11" s="4282"/>
      <c r="AN11" s="4282"/>
      <c r="AO11" s="4282"/>
      <c r="AP11" s="4282"/>
      <c r="AQ11" s="4282"/>
      <c r="AR11" s="4282"/>
      <c r="AS11" s="4282"/>
      <c r="AT11" s="4283" t="s">
        <v>781</v>
      </c>
      <c r="AU11" s="4283" t="s">
        <v>782</v>
      </c>
      <c r="AV11" s="4283" t="s">
        <v>783</v>
      </c>
    </row>
    <row r="12" spans="4:51" ht="12" customHeight="1">
      <c r="D12" s="4280"/>
      <c r="E12" s="4281"/>
      <c r="F12" s="906"/>
      <c r="G12" s="4287" t="s">
        <v>784</v>
      </c>
      <c r="H12" s="4287"/>
      <c r="I12" s="4287"/>
      <c r="J12" s="4287"/>
      <c r="K12" s="4287"/>
      <c r="L12" s="4287"/>
      <c r="M12" s="4287"/>
      <c r="N12" s="4287"/>
      <c r="O12" s="4287"/>
      <c r="P12" s="4287"/>
      <c r="Q12" s="4287"/>
      <c r="R12" s="4287"/>
      <c r="S12" s="4287"/>
      <c r="T12" s="4287"/>
      <c r="U12" s="4287"/>
      <c r="V12" s="4287"/>
      <c r="W12" s="4287"/>
      <c r="X12" s="4287"/>
      <c r="Y12" s="906"/>
      <c r="Z12" s="911"/>
      <c r="AA12" s="4283"/>
      <c r="AB12" s="4288" t="s">
        <v>784</v>
      </c>
      <c r="AC12" s="4287"/>
      <c r="AD12" s="4287"/>
      <c r="AE12" s="4287"/>
      <c r="AF12" s="4287"/>
      <c r="AG12" s="4287"/>
      <c r="AH12" s="4287"/>
      <c r="AI12" s="4287"/>
      <c r="AJ12" s="4287"/>
      <c r="AK12" s="4287"/>
      <c r="AL12" s="4287"/>
      <c r="AM12" s="4287"/>
      <c r="AN12" s="4287"/>
      <c r="AO12" s="4287"/>
      <c r="AP12" s="4287"/>
      <c r="AQ12" s="4287"/>
      <c r="AR12" s="4287"/>
      <c r="AS12" s="4287"/>
      <c r="AT12" s="4283"/>
      <c r="AU12" s="4283"/>
      <c r="AV12" s="4283"/>
    </row>
    <row r="13" spans="4:51" ht="12" customHeight="1">
      <c r="D13" s="4280"/>
      <c r="E13" s="4281"/>
      <c r="F13" s="906"/>
      <c r="G13" s="4289"/>
      <c r="H13" s="4289"/>
      <c r="I13" s="4289"/>
      <c r="J13" s="4289"/>
      <c r="K13" s="4289"/>
      <c r="L13" s="4289"/>
      <c r="M13" s="4289"/>
      <c r="N13" s="4289"/>
      <c r="O13" s="4289"/>
      <c r="P13" s="4289"/>
      <c r="Q13" s="4289"/>
      <c r="R13" s="4289"/>
      <c r="S13" s="4289"/>
      <c r="T13" s="4289"/>
      <c r="U13" s="4289"/>
      <c r="V13" s="4289"/>
      <c r="W13" s="4289"/>
      <c r="X13" s="4289"/>
      <c r="Y13" s="906"/>
      <c r="Z13" s="911"/>
      <c r="AA13" s="4283"/>
      <c r="AB13" s="4290" t="s">
        <v>666</v>
      </c>
      <c r="AC13" s="4291"/>
      <c r="AD13" s="4291"/>
      <c r="AE13" s="4291"/>
      <c r="AF13" s="4291"/>
      <c r="AG13" s="4291"/>
      <c r="AH13" s="4291"/>
      <c r="AI13" s="4291"/>
      <c r="AJ13" s="4291"/>
      <c r="AK13" s="4291"/>
      <c r="AL13" s="4291"/>
      <c r="AM13" s="4291"/>
      <c r="AN13" s="4291"/>
      <c r="AO13" s="4291"/>
      <c r="AP13" s="4291"/>
      <c r="AQ13" s="4291"/>
      <c r="AR13" s="4291"/>
      <c r="AS13" s="4291"/>
      <c r="AT13" s="4283"/>
      <c r="AU13" s="4283"/>
      <c r="AV13" s="4283"/>
    </row>
    <row r="14" spans="4:51" ht="12" customHeight="1">
      <c r="D14" s="4280"/>
      <c r="E14" s="4281"/>
      <c r="F14" s="912"/>
      <c r="G14" s="913"/>
      <c r="H14" s="913"/>
      <c r="I14" s="913"/>
      <c r="J14" s="913"/>
      <c r="K14" s="913"/>
      <c r="L14" s="913"/>
      <c r="M14" s="913"/>
      <c r="N14" s="913"/>
      <c r="O14" s="913"/>
      <c r="P14" s="913"/>
      <c r="Q14" s="913"/>
      <c r="R14" s="913"/>
      <c r="S14" s="907" t="s">
        <v>785</v>
      </c>
      <c r="T14" s="913"/>
      <c r="U14" s="913"/>
      <c r="V14" s="913"/>
      <c r="W14" s="913"/>
      <c r="X14" s="913"/>
      <c r="Y14" s="914"/>
      <c r="Z14" s="911"/>
      <c r="AA14" s="4284"/>
      <c r="AB14" s="913"/>
      <c r="AC14" s="913"/>
      <c r="AD14" s="913"/>
      <c r="AE14" s="913"/>
      <c r="AF14" s="913"/>
      <c r="AG14" s="913"/>
      <c r="AH14" s="913"/>
      <c r="AI14" s="913"/>
      <c r="AJ14" s="913"/>
      <c r="AK14" s="913"/>
      <c r="AL14" s="913"/>
      <c r="AM14" s="913"/>
      <c r="AN14" s="907" t="s">
        <v>785</v>
      </c>
      <c r="AO14" s="913"/>
      <c r="AP14" s="913"/>
      <c r="AQ14" s="913"/>
      <c r="AR14" s="913"/>
      <c r="AS14" s="913"/>
      <c r="AT14" s="4285"/>
      <c r="AU14" s="4283"/>
      <c r="AV14" s="4283"/>
    </row>
    <row r="15" spans="4:51" ht="12" customHeight="1">
      <c r="D15" s="4280"/>
      <c r="E15" s="4281"/>
      <c r="F15" s="912"/>
      <c r="G15" s="4283" t="s">
        <v>786</v>
      </c>
      <c r="H15" s="4283"/>
      <c r="I15" s="4283"/>
      <c r="J15" s="4283"/>
      <c r="K15" s="4283"/>
      <c r="L15" s="916"/>
      <c r="M15" s="4283" t="s">
        <v>787</v>
      </c>
      <c r="N15" s="4283"/>
      <c r="O15" s="4283"/>
      <c r="P15" s="4283"/>
      <c r="Q15" s="4283"/>
      <c r="R15" s="916"/>
      <c r="S15" s="4283" t="s">
        <v>788</v>
      </c>
      <c r="T15" s="4283"/>
      <c r="U15" s="4283"/>
      <c r="V15" s="4283"/>
      <c r="W15" s="4283"/>
      <c r="X15" s="913"/>
      <c r="Y15" s="915"/>
      <c r="Z15" s="911"/>
      <c r="AA15" s="4284"/>
      <c r="AB15" s="4283" t="s">
        <v>786</v>
      </c>
      <c r="AC15" s="4283"/>
      <c r="AD15" s="4283"/>
      <c r="AE15" s="4283"/>
      <c r="AF15" s="4283"/>
      <c r="AG15" s="916"/>
      <c r="AH15" s="4283" t="s">
        <v>787</v>
      </c>
      <c r="AI15" s="4283"/>
      <c r="AJ15" s="4283"/>
      <c r="AK15" s="4283"/>
      <c r="AL15" s="4283"/>
      <c r="AM15" s="916"/>
      <c r="AN15" s="4283" t="s">
        <v>788</v>
      </c>
      <c r="AO15" s="4283"/>
      <c r="AP15" s="4283"/>
      <c r="AQ15" s="4283"/>
      <c r="AR15" s="4283"/>
      <c r="AS15" s="913"/>
      <c r="AT15" s="4285"/>
      <c r="AU15" s="4283"/>
      <c r="AV15" s="4283"/>
    </row>
    <row r="16" spans="4:51">
      <c r="D16" s="904"/>
      <c r="E16" s="905"/>
      <c r="F16" s="906"/>
      <c r="G16" s="917" t="s">
        <v>693</v>
      </c>
      <c r="H16" s="917" t="s">
        <v>9</v>
      </c>
      <c r="I16" s="917" t="s">
        <v>513</v>
      </c>
      <c r="J16" s="917" t="s">
        <v>279</v>
      </c>
      <c r="K16" s="917" t="s">
        <v>12</v>
      </c>
      <c r="L16" s="918"/>
      <c r="M16" s="917" t="s">
        <v>693</v>
      </c>
      <c r="N16" s="917" t="s">
        <v>9</v>
      </c>
      <c r="O16" s="917" t="s">
        <v>513</v>
      </c>
      <c r="P16" s="917" t="s">
        <v>279</v>
      </c>
      <c r="Q16" s="917" t="s">
        <v>12</v>
      </c>
      <c r="R16" s="918"/>
      <c r="S16" s="917" t="s">
        <v>693</v>
      </c>
      <c r="T16" s="917" t="s">
        <v>9</v>
      </c>
      <c r="U16" s="917" t="s">
        <v>513</v>
      </c>
      <c r="V16" s="917" t="s">
        <v>279</v>
      </c>
      <c r="W16" s="917" t="s">
        <v>12</v>
      </c>
      <c r="X16" s="917"/>
      <c r="Y16" s="912"/>
      <c r="Z16" s="906"/>
      <c r="AA16" s="4285"/>
      <c r="AB16" s="919" t="s">
        <v>693</v>
      </c>
      <c r="AC16" s="917" t="s">
        <v>9</v>
      </c>
      <c r="AD16" s="917" t="s">
        <v>513</v>
      </c>
      <c r="AE16" s="917" t="s">
        <v>279</v>
      </c>
      <c r="AF16" s="917" t="s">
        <v>12</v>
      </c>
      <c r="AG16" s="918"/>
      <c r="AH16" s="917" t="s">
        <v>693</v>
      </c>
      <c r="AI16" s="917" t="s">
        <v>9</v>
      </c>
      <c r="AJ16" s="917" t="s">
        <v>513</v>
      </c>
      <c r="AK16" s="917" t="s">
        <v>279</v>
      </c>
      <c r="AL16" s="917" t="s">
        <v>12</v>
      </c>
      <c r="AM16" s="918"/>
      <c r="AN16" s="917" t="s">
        <v>693</v>
      </c>
      <c r="AO16" s="917" t="s">
        <v>9</v>
      </c>
      <c r="AP16" s="917" t="s">
        <v>513</v>
      </c>
      <c r="AQ16" s="917" t="s">
        <v>279</v>
      </c>
      <c r="AR16" s="917" t="s">
        <v>12</v>
      </c>
      <c r="AS16" s="917"/>
      <c r="AT16" s="906"/>
      <c r="AU16" s="906"/>
      <c r="AV16" s="906"/>
    </row>
    <row r="17" spans="4:48" ht="12" hidden="1" customHeight="1">
      <c r="D17" s="920"/>
      <c r="E17" s="921"/>
      <c r="F17" s="922"/>
      <c r="G17" s="920"/>
      <c r="H17" s="920"/>
      <c r="I17" s="920"/>
      <c r="J17" s="920"/>
      <c r="K17" s="920"/>
      <c r="L17" s="923"/>
      <c r="M17" s="920"/>
      <c r="N17" s="920"/>
      <c r="O17" s="920"/>
      <c r="P17" s="920"/>
      <c r="Q17" s="920"/>
      <c r="R17" s="923"/>
      <c r="S17" s="920"/>
      <c r="T17" s="920"/>
      <c r="U17" s="920"/>
      <c r="V17" s="920"/>
      <c r="W17" s="920"/>
      <c r="X17" s="920"/>
      <c r="Y17" s="920"/>
      <c r="Z17" s="924"/>
      <c r="AA17" s="924"/>
      <c r="AB17" s="920"/>
      <c r="AC17" s="920"/>
      <c r="AD17" s="920"/>
      <c r="AE17" s="920"/>
      <c r="AF17" s="920"/>
      <c r="AG17" s="923"/>
      <c r="AH17" s="920"/>
      <c r="AI17" s="920"/>
      <c r="AJ17" s="920"/>
      <c r="AK17" s="920"/>
      <c r="AL17" s="920"/>
      <c r="AM17" s="923"/>
      <c r="AN17" s="920"/>
      <c r="AO17" s="920"/>
      <c r="AP17" s="920"/>
      <c r="AQ17" s="920"/>
      <c r="AR17" s="920"/>
      <c r="AS17" s="920"/>
      <c r="AT17" s="920"/>
      <c r="AU17" s="920"/>
      <c r="AV17" s="920"/>
    </row>
    <row r="18" spans="4:48" ht="12" hidden="1" customHeight="1">
      <c r="D18" s="925"/>
      <c r="E18" s="925"/>
      <c r="F18" s="926"/>
      <c r="G18" s="927"/>
      <c r="H18" s="927"/>
      <c r="I18" s="927"/>
      <c r="J18" s="927"/>
      <c r="K18" s="927"/>
      <c r="L18" s="927"/>
      <c r="M18" s="927"/>
      <c r="N18" s="927"/>
      <c r="O18" s="927"/>
      <c r="P18" s="927"/>
      <c r="Q18" s="927"/>
      <c r="R18" s="927"/>
      <c r="S18" s="927"/>
      <c r="T18" s="927"/>
      <c r="U18" s="927"/>
      <c r="V18" s="927"/>
      <c r="W18" s="927"/>
      <c r="X18" s="928"/>
      <c r="Y18" s="926"/>
      <c r="Z18" s="926"/>
      <c r="AA18" s="926"/>
      <c r="AB18" s="925"/>
      <c r="AC18" s="925"/>
      <c r="AD18" s="925"/>
      <c r="AE18" s="925"/>
      <c r="AF18" s="925"/>
      <c r="AG18" s="925"/>
      <c r="AH18" s="925"/>
      <c r="AI18" s="925"/>
      <c r="AJ18" s="925"/>
      <c r="AK18" s="925"/>
      <c r="AL18" s="925"/>
      <c r="AM18" s="925"/>
      <c r="AN18" s="925"/>
      <c r="AO18" s="925"/>
      <c r="AP18" s="925"/>
      <c r="AQ18" s="925"/>
      <c r="AR18" s="925"/>
      <c r="AS18" s="928"/>
      <c r="AT18" s="925"/>
      <c r="AU18" s="925"/>
      <c r="AV18" s="925"/>
    </row>
    <row r="19" spans="4:48" ht="17.25" customHeight="1">
      <c r="D19" s="929" t="s">
        <v>697</v>
      </c>
      <c r="E19" s="930" t="s">
        <v>698</v>
      </c>
      <c r="F19" s="931"/>
      <c r="G19" s="931"/>
      <c r="H19" s="931"/>
      <c r="I19" s="931"/>
      <c r="J19" s="931"/>
      <c r="K19" s="931"/>
      <c r="L19" s="931"/>
      <c r="M19" s="931"/>
      <c r="N19" s="931"/>
      <c r="O19" s="931"/>
      <c r="P19" s="931"/>
      <c r="Q19" s="931"/>
      <c r="R19" s="931"/>
      <c r="S19" s="931"/>
      <c r="T19" s="931"/>
      <c r="U19" s="931"/>
      <c r="V19" s="931"/>
      <c r="W19" s="931"/>
      <c r="X19" s="931"/>
      <c r="Y19" s="931"/>
      <c r="Z19" s="931"/>
      <c r="AA19" s="931"/>
      <c r="AB19" s="931"/>
      <c r="AC19" s="931"/>
      <c r="AD19" s="931"/>
      <c r="AE19" s="931"/>
      <c r="AF19" s="931"/>
      <c r="AG19" s="931"/>
      <c r="AH19" s="931"/>
      <c r="AI19" s="931"/>
      <c r="AJ19" s="931"/>
      <c r="AK19" s="931"/>
      <c r="AL19" s="931"/>
      <c r="AM19" s="931"/>
      <c r="AN19" s="931"/>
      <c r="AO19" s="931"/>
      <c r="AP19" s="931"/>
      <c r="AQ19" s="931"/>
      <c r="AR19" s="931"/>
      <c r="AS19" s="931"/>
      <c r="AT19" s="931"/>
      <c r="AU19" s="931"/>
      <c r="AV19" s="932"/>
    </row>
    <row r="20" spans="4:48" ht="5.25" customHeight="1">
      <c r="D20" s="933"/>
      <c r="E20" s="933"/>
      <c r="F20" s="926"/>
      <c r="G20" s="927"/>
      <c r="H20" s="927"/>
      <c r="I20" s="927"/>
      <c r="J20" s="927"/>
      <c r="K20" s="927"/>
      <c r="L20" s="927"/>
      <c r="M20" s="927"/>
      <c r="N20" s="927"/>
      <c r="O20" s="927"/>
      <c r="P20" s="927"/>
      <c r="Q20" s="927"/>
      <c r="R20" s="927"/>
      <c r="S20" s="927"/>
      <c r="T20" s="927"/>
      <c r="U20" s="927"/>
      <c r="V20" s="927"/>
      <c r="W20" s="927"/>
      <c r="X20" s="928"/>
      <c r="Y20" s="926"/>
      <c r="Z20" s="926"/>
      <c r="AA20" s="926"/>
      <c r="AB20" s="925"/>
      <c r="AC20" s="925"/>
      <c r="AD20" s="925"/>
      <c r="AE20" s="925"/>
      <c r="AF20" s="925"/>
      <c r="AG20" s="925"/>
      <c r="AH20" s="925"/>
      <c r="AI20" s="925"/>
      <c r="AJ20" s="925"/>
      <c r="AK20" s="925"/>
      <c r="AL20" s="925"/>
      <c r="AM20" s="925"/>
      <c r="AN20" s="925"/>
      <c r="AO20" s="925"/>
      <c r="AP20" s="925"/>
      <c r="AQ20" s="925"/>
      <c r="AR20" s="925"/>
      <c r="AS20" s="928"/>
      <c r="AT20" s="928"/>
      <c r="AU20" s="928"/>
      <c r="AV20" s="928"/>
    </row>
    <row r="21" spans="4:48">
      <c r="D21" s="934" t="s">
        <v>699</v>
      </c>
      <c r="E21" s="935" t="s">
        <v>789</v>
      </c>
      <c r="F21" s="922"/>
      <c r="G21" s="892">
        <f>SUM(H21:K21)</f>
        <v>0</v>
      </c>
      <c r="H21" s="892">
        <f>SUM(H23,H44)</f>
        <v>0</v>
      </c>
      <c r="I21" s="892">
        <f>SUM(I23,I44)</f>
        <v>0</v>
      </c>
      <c r="J21" s="892">
        <f>SUM(J23,J44)</f>
        <v>0</v>
      </c>
      <c r="K21" s="892">
        <f>SUM(K23,K44)</f>
        <v>0</v>
      </c>
      <c r="L21" s="936"/>
      <c r="M21" s="892">
        <f>SUM(N21:Q21)</f>
        <v>0</v>
      </c>
      <c r="N21" s="892">
        <f>IF(H21=0,0,T21/H21)</f>
        <v>0</v>
      </c>
      <c r="O21" s="892">
        <f>IF(I21=0,0,U21/I21)</f>
        <v>0</v>
      </c>
      <c r="P21" s="892">
        <f>IF(J21=0,0,V21/J21)</f>
        <v>0</v>
      </c>
      <c r="Q21" s="892">
        <f>IF(K21=0,0,W21/K21)</f>
        <v>0</v>
      </c>
      <c r="R21" s="936"/>
      <c r="S21" s="892">
        <f>SUM(T21:W21)</f>
        <v>0</v>
      </c>
      <c r="T21" s="892">
        <f>SUM(T23,T44)</f>
        <v>0</v>
      </c>
      <c r="U21" s="892">
        <f>SUM(U23,U44)</f>
        <v>0</v>
      </c>
      <c r="V21" s="892">
        <f>SUM(V23,V44)</f>
        <v>0</v>
      </c>
      <c r="W21" s="892">
        <f>SUM(W23,W44)</f>
        <v>0</v>
      </c>
      <c r="X21" s="937"/>
      <c r="Y21" s="938"/>
      <c r="Z21" s="938"/>
      <c r="AA21" s="939">
        <v>0</v>
      </c>
      <c r="AB21" s="892">
        <f>SUM(AC21:AF21)</f>
        <v>55391.792000000001</v>
      </c>
      <c r="AC21" s="892">
        <f>SUM(AC23,AC44)</f>
        <v>0</v>
      </c>
      <c r="AD21" s="892">
        <f>SUM(AD23,AD44)</f>
        <v>2685.3119999999999</v>
      </c>
      <c r="AE21" s="892">
        <f>SUM(AE23,AE44)</f>
        <v>20759.64</v>
      </c>
      <c r="AF21" s="892">
        <f>SUM(AF23,AF44)</f>
        <v>31946.84</v>
      </c>
      <c r="AG21" s="936"/>
      <c r="AH21" s="892">
        <f>SUM(AI21:AL21)</f>
        <v>18.251007177314197</v>
      </c>
      <c r="AI21" s="892">
        <f>IF(AC21=0,0,AO21/AC21)</f>
        <v>0</v>
      </c>
      <c r="AJ21" s="892">
        <f>IF(AD21=0,0,AP21/AD21)</f>
        <v>7.0029198953417717</v>
      </c>
      <c r="AK21" s="892">
        <f>IF(AE21=0,0,AQ21/AE21)</f>
        <v>7.3233450026108367</v>
      </c>
      <c r="AL21" s="892">
        <f>IF(AF21=0,0,AR21/AF21)</f>
        <v>3.9247422793615887</v>
      </c>
      <c r="AM21" s="936"/>
      <c r="AN21" s="892">
        <f>SUM(AO21:AR21)</f>
        <v>296218.14432000002</v>
      </c>
      <c r="AO21" s="892">
        <f>SUM(AO23,AO44)</f>
        <v>0</v>
      </c>
      <c r="AP21" s="892">
        <f>SUM(AP23,AP44)</f>
        <v>18805.024830000002</v>
      </c>
      <c r="AQ21" s="892">
        <f>SUM(AQ23,AQ44)</f>
        <v>152030.00585000002</v>
      </c>
      <c r="AR21" s="892">
        <f>SUM(AR23,AR44)</f>
        <v>125383.11363999998</v>
      </c>
      <c r="AS21" s="937"/>
      <c r="AT21" s="892">
        <f>SUM(AT23,AT44)</f>
        <v>296218.14432000002</v>
      </c>
      <c r="AU21" s="940">
        <f>(Сбор!C7-Сбор!C12)/1000/1.2</f>
        <v>0</v>
      </c>
      <c r="AV21" s="892">
        <f>AA21+AT21-AU21</f>
        <v>296218.14432000002</v>
      </c>
    </row>
    <row r="22" spans="4:48" ht="5.25" customHeight="1">
      <c r="D22" s="933"/>
      <c r="E22" s="933"/>
      <c r="F22" s="926"/>
      <c r="G22" s="927"/>
      <c r="H22" s="927"/>
      <c r="I22" s="927"/>
      <c r="J22" s="927"/>
      <c r="K22" s="927"/>
      <c r="L22" s="927"/>
      <c r="M22" s="927"/>
      <c r="N22" s="927"/>
      <c r="O22" s="927"/>
      <c r="P22" s="927"/>
      <c r="Q22" s="927"/>
      <c r="R22" s="927"/>
      <c r="S22" s="927"/>
      <c r="T22" s="927"/>
      <c r="U22" s="927"/>
      <c r="V22" s="927"/>
      <c r="W22" s="927"/>
      <c r="X22" s="928"/>
      <c r="Y22" s="926"/>
      <c r="Z22" s="926"/>
      <c r="AA22" s="926"/>
      <c r="AB22" s="925"/>
      <c r="AC22" s="925"/>
      <c r="AD22" s="925"/>
      <c r="AE22" s="925"/>
      <c r="AF22" s="925"/>
      <c r="AG22" s="925"/>
      <c r="AH22" s="925"/>
      <c r="AI22" s="925"/>
      <c r="AJ22" s="925"/>
      <c r="AK22" s="925"/>
      <c r="AL22" s="925"/>
      <c r="AM22" s="925"/>
      <c r="AN22" s="925"/>
      <c r="AO22" s="925"/>
      <c r="AP22" s="925"/>
      <c r="AQ22" s="925"/>
      <c r="AR22" s="925"/>
      <c r="AS22" s="928"/>
      <c r="AT22" s="928"/>
      <c r="AU22" s="928"/>
      <c r="AV22" s="928"/>
    </row>
    <row r="23" spans="4:48">
      <c r="D23" s="934" t="s">
        <v>688</v>
      </c>
      <c r="E23" s="941" t="s">
        <v>790</v>
      </c>
      <c r="F23" s="922"/>
      <c r="G23" s="892">
        <f>SUM(H23:K23)</f>
        <v>0</v>
      </c>
      <c r="H23" s="892">
        <f>SUM(H25,H28:H30,H33:H34,H36,H38,H40,H42)</f>
        <v>0</v>
      </c>
      <c r="I23" s="892">
        <f>SUM(I25,I28:I30,I33:I34,I36,I38,I40,I42)</f>
        <v>0</v>
      </c>
      <c r="J23" s="892">
        <f>SUM(J25,J28:J30,J33:J34,J36,J38,J40,J42)</f>
        <v>0</v>
      </c>
      <c r="K23" s="892">
        <f>SUM(K25,K28:K30,K33:K34,K36,K38,K40,K42)</f>
        <v>0</v>
      </c>
      <c r="L23" s="936"/>
      <c r="M23" s="892">
        <f>SUM(N23:Q23)</f>
        <v>0</v>
      </c>
      <c r="N23" s="892">
        <f>IF(H23=0,0,T23/H23)</f>
        <v>0</v>
      </c>
      <c r="O23" s="892">
        <f>IF(I23=0,0,U23/I23)</f>
        <v>0</v>
      </c>
      <c r="P23" s="892">
        <f>IF(J23=0,0,V23/J23)</f>
        <v>0</v>
      </c>
      <c r="Q23" s="892">
        <f>IF(K23=0,0,W23/K23)</f>
        <v>0</v>
      </c>
      <c r="R23" s="936"/>
      <c r="S23" s="892">
        <f>SUM(T23:W23)</f>
        <v>0</v>
      </c>
      <c r="T23" s="892">
        <f>SUM(T25,T28,T29,T30,T36,T38,T40,T42)</f>
        <v>0</v>
      </c>
      <c r="U23" s="892">
        <f>SUM(U25,U28,U29,U30,U36,U38,U40,U42)</f>
        <v>0</v>
      </c>
      <c r="V23" s="892">
        <f>SUM(V25,V28,V29,V30,V36,V38,V40,V42)</f>
        <v>0</v>
      </c>
      <c r="W23" s="892">
        <f>SUM(W25,W28,W29,W30,W36,W38,W40,W42)</f>
        <v>0</v>
      </c>
      <c r="X23" s="938"/>
      <c r="Y23" s="938"/>
      <c r="Z23" s="938"/>
      <c r="AA23" s="938"/>
      <c r="AB23" s="942">
        <f>SUM(AC23:AF23)</f>
        <v>30561.553000000004</v>
      </c>
      <c r="AC23" s="942">
        <f>SUM(AC25,AC28:AC30,AC33:AC34,AC36,AC38,AC40,AC42)</f>
        <v>0</v>
      </c>
      <c r="AD23" s="942">
        <f>SUM(AD25,AD28:AD30,AD33:AD34,AD36,AD38,AD40,AD42)</f>
        <v>2685.3119999999999</v>
      </c>
      <c r="AE23" s="942">
        <f>SUM(AE25,AE28:AE30,AE33:AE34,AE36,AE38,AE40,AE42)</f>
        <v>17141.397000000001</v>
      </c>
      <c r="AF23" s="942">
        <f>SUM(AF25,AF28:AF30,AF33:AF34,AF36,AF38,AF40,AF42)</f>
        <v>10734.844000000001</v>
      </c>
      <c r="AG23" s="943"/>
      <c r="AH23" s="892">
        <f>SUM(AI23:AL23)</f>
        <v>22.557342234255536</v>
      </c>
      <c r="AI23" s="892">
        <f>IF(AC23=0,0,AO23/AC23)</f>
        <v>0</v>
      </c>
      <c r="AJ23" s="892">
        <f>IF(AD23=0,0,AP23/AD23)</f>
        <v>7.0029198953417717</v>
      </c>
      <c r="AK23" s="892">
        <f>IF(AE23=0,0,AQ23/AE23)</f>
        <v>8.3354656414526769</v>
      </c>
      <c r="AL23" s="892">
        <f>IF(AF23=0,0,AR23/AF23)</f>
        <v>7.2189566974610893</v>
      </c>
      <c r="AM23" s="936"/>
      <c r="AN23" s="942">
        <f>SUM(AO23:AR23)</f>
        <v>239180.92456000001</v>
      </c>
      <c r="AO23" s="942">
        <f>SUM(AO25,AO28,AO29,AO30,AO36,AO38,AO40,AO42)</f>
        <v>0</v>
      </c>
      <c r="AP23" s="942">
        <f>SUM(AP25,AP28,AP29,AP30,AP36,AP38,AP40,AP42)</f>
        <v>18805.024830000002</v>
      </c>
      <c r="AQ23" s="942">
        <f>SUM(AQ25,AQ28,AQ29,AQ30,AQ36,AQ38,AQ40,AQ42)</f>
        <v>142881.52574000001</v>
      </c>
      <c r="AR23" s="942">
        <f>SUM(AR25,AR28,AR29,AR30,AR36,AR38,AR40,AR42)</f>
        <v>77494.373989999993</v>
      </c>
      <c r="AS23" s="938"/>
      <c r="AT23" s="942">
        <f>SUMIF($F$14:$AS$14,$S$14,$F23:$AS23)</f>
        <v>239180.92456000001</v>
      </c>
      <c r="AU23" s="938"/>
      <c r="AV23" s="937"/>
    </row>
    <row r="24" spans="4:48" ht="5.25" customHeight="1">
      <c r="D24" s="933"/>
      <c r="E24" s="933"/>
      <c r="F24" s="926"/>
      <c r="G24" s="927"/>
      <c r="H24" s="927"/>
      <c r="I24" s="927"/>
      <c r="J24" s="927"/>
      <c r="K24" s="927"/>
      <c r="L24" s="927"/>
      <c r="M24" s="927"/>
      <c r="N24" s="927"/>
      <c r="O24" s="927"/>
      <c r="P24" s="927"/>
      <c r="Q24" s="927"/>
      <c r="R24" s="927"/>
      <c r="S24" s="927"/>
      <c r="T24" s="927"/>
      <c r="U24" s="927"/>
      <c r="V24" s="927"/>
      <c r="W24" s="927"/>
      <c r="X24" s="928"/>
      <c r="Y24" s="926"/>
      <c r="Z24" s="926"/>
      <c r="AA24" s="926"/>
      <c r="AB24" s="925"/>
      <c r="AC24" s="925"/>
      <c r="AD24" s="925"/>
      <c r="AE24" s="925"/>
      <c r="AF24" s="925"/>
      <c r="AG24" s="925"/>
      <c r="AH24" s="925"/>
      <c r="AI24" s="925"/>
      <c r="AJ24" s="925"/>
      <c r="AK24" s="925"/>
      <c r="AL24" s="925"/>
      <c r="AM24" s="925"/>
      <c r="AN24" s="925"/>
      <c r="AO24" s="925"/>
      <c r="AP24" s="925"/>
      <c r="AQ24" s="925"/>
      <c r="AR24" s="925"/>
      <c r="AS24" s="928"/>
      <c r="AT24" s="925"/>
      <c r="AU24" s="928"/>
      <c r="AV24" s="928"/>
    </row>
    <row r="25" spans="4:48">
      <c r="D25" s="934" t="s">
        <v>708</v>
      </c>
      <c r="E25" s="941" t="s">
        <v>791</v>
      </c>
      <c r="F25" s="922"/>
      <c r="G25" s="892">
        <f>SUM(H25:K25)</f>
        <v>0</v>
      </c>
      <c r="H25" s="944"/>
      <c r="I25" s="944"/>
      <c r="J25" s="944"/>
      <c r="K25" s="944"/>
      <c r="L25" s="936"/>
      <c r="M25" s="892">
        <f>SUM(N25:Q25)</f>
        <v>0</v>
      </c>
      <c r="N25" s="892">
        <f>IF(H25=0,0,T25/H25)</f>
        <v>0</v>
      </c>
      <c r="O25" s="892">
        <f>IF(I25=0,0,U25/I25)</f>
        <v>0</v>
      </c>
      <c r="P25" s="892">
        <f>IF(J25=0,0,V25/J25)</f>
        <v>0</v>
      </c>
      <c r="Q25" s="892">
        <f>IF(K25=0,0,W25/K25)</f>
        <v>0</v>
      </c>
      <c r="R25" s="936"/>
      <c r="S25" s="892">
        <f>SUM(T25:W25)</f>
        <v>0</v>
      </c>
      <c r="T25" s="944"/>
      <c r="U25" s="944"/>
      <c r="V25" s="944"/>
      <c r="W25" s="944"/>
      <c r="X25" s="938"/>
      <c r="Y25" s="938"/>
      <c r="Z25" s="938"/>
      <c r="AA25" s="938"/>
      <c r="AB25" s="942">
        <f>SUM(AC25:AF25)</f>
        <v>19850.285</v>
      </c>
      <c r="AC25" s="939"/>
      <c r="AD25" s="939">
        <f>'Шаблон 46 ГП'!E67/1000</f>
        <v>190.53299999999999</v>
      </c>
      <c r="AE25" s="939">
        <f>'Шаблон 46 ГП'!F67/1000</f>
        <v>12530.698</v>
      </c>
      <c r="AF25" s="939">
        <f>'Шаблон 46 ГП'!G67/1000</f>
        <v>7129.0540000000001</v>
      </c>
      <c r="AG25" s="939">
        <f>'Шаблон 46 ГП'!H67/1000</f>
        <v>0</v>
      </c>
      <c r="AH25" s="892">
        <f>SUM(AI25:AL25)</f>
        <v>26.396247315423725</v>
      </c>
      <c r="AI25" s="892">
        <f>IF(AC25=0,0,AO25/AC25)</f>
        <v>0</v>
      </c>
      <c r="AJ25" s="892">
        <f>IF(AD25=0,0,AP25/AD25)</f>
        <v>8.4594099709761572</v>
      </c>
      <c r="AK25" s="892">
        <f>IF(AE25=0,0,AQ25/AE25)</f>
        <v>8.9482122631955541</v>
      </c>
      <c r="AL25" s="892">
        <f>IF(AF25=0,0,AR25/AF25)</f>
        <v>8.9886250812520139</v>
      </c>
      <c r="AM25" s="936"/>
      <c r="AN25" s="942">
        <f>SUM(AO25:AR25)</f>
        <v>177819.53586</v>
      </c>
      <c r="AO25" s="939"/>
      <c r="AP25" s="939">
        <f>'Шаблон 46 ГП'!N67/1000</f>
        <v>1611.7967599999999</v>
      </c>
      <c r="AQ25" s="939">
        <f>'Шаблон 46 ГП'!O67/1000+AQ32</f>
        <v>112127.34551</v>
      </c>
      <c r="AR25" s="939">
        <f>'Шаблон 46 ГП'!P67/1000+AR32</f>
        <v>64080.393589999992</v>
      </c>
      <c r="AS25" s="938"/>
      <c r="AT25" s="942">
        <f>SUMIF($F$14:$AS$14,$S$14,$F25:$AS25)</f>
        <v>177819.53586</v>
      </c>
      <c r="AU25" s="938"/>
      <c r="AV25" s="937"/>
    </row>
    <row r="26" spans="4:48" ht="5.25" customHeight="1">
      <c r="D26" s="933"/>
      <c r="E26" s="933"/>
      <c r="F26" s="926"/>
      <c r="G26" s="927"/>
      <c r="H26" s="927"/>
      <c r="I26" s="927"/>
      <c r="J26" s="927"/>
      <c r="K26" s="927"/>
      <c r="L26" s="927"/>
      <c r="M26" s="927"/>
      <c r="N26" s="927"/>
      <c r="O26" s="927"/>
      <c r="P26" s="927"/>
      <c r="Q26" s="927"/>
      <c r="R26" s="927"/>
      <c r="S26" s="927"/>
      <c r="T26" s="927"/>
      <c r="U26" s="927"/>
      <c r="V26" s="927"/>
      <c r="W26" s="927"/>
      <c r="X26" s="928"/>
      <c r="Y26" s="926"/>
      <c r="Z26" s="926"/>
      <c r="AA26" s="926"/>
      <c r="AB26" s="925"/>
      <c r="AC26" s="925"/>
      <c r="AD26" s="925"/>
      <c r="AE26" s="925"/>
      <c r="AF26" s="925"/>
      <c r="AG26" s="925"/>
      <c r="AH26" s="925"/>
      <c r="AI26" s="925"/>
      <c r="AJ26" s="925"/>
      <c r="AK26" s="925"/>
      <c r="AL26" s="925"/>
      <c r="AM26" s="925"/>
      <c r="AN26" s="925"/>
      <c r="AO26" s="925"/>
      <c r="AP26" s="925"/>
      <c r="AQ26" s="925"/>
      <c r="AR26" s="925"/>
      <c r="AS26" s="928"/>
      <c r="AT26" s="925"/>
      <c r="AU26" s="928"/>
      <c r="AV26" s="928"/>
    </row>
    <row r="27" spans="4:48">
      <c r="D27" s="934" t="s">
        <v>792</v>
      </c>
      <c r="E27" s="945" t="s">
        <v>793</v>
      </c>
      <c r="F27" s="922"/>
      <c r="G27" s="892">
        <f>SUM(H27:K27)</f>
        <v>0</v>
      </c>
      <c r="H27" s="892">
        <f>SUM(H28:H30)</f>
        <v>0</v>
      </c>
      <c r="I27" s="892">
        <f>SUM(I28:I30)</f>
        <v>0</v>
      </c>
      <c r="J27" s="892">
        <f>SUM(J28:J30)</f>
        <v>0</v>
      </c>
      <c r="K27" s="892">
        <f>SUM(K28:K30)</f>
        <v>0</v>
      </c>
      <c r="L27" s="936"/>
      <c r="M27" s="892">
        <f>SUM(N27:Q27)</f>
        <v>0</v>
      </c>
      <c r="N27" s="892">
        <f>SUM(N28:N30)</f>
        <v>0</v>
      </c>
      <c r="O27" s="892">
        <f>SUM(O28:O30)</f>
        <v>0</v>
      </c>
      <c r="P27" s="892">
        <f>SUM(P28:P30)</f>
        <v>0</v>
      </c>
      <c r="Q27" s="892">
        <f>SUM(Q28:Q30)</f>
        <v>0</v>
      </c>
      <c r="R27" s="936"/>
      <c r="S27" s="892">
        <f>SUM(T27:W27)</f>
        <v>0</v>
      </c>
      <c r="T27" s="892">
        <f>SUM(T28:T30)</f>
        <v>0</v>
      </c>
      <c r="U27" s="892">
        <f>SUM(U28:U30)</f>
        <v>0</v>
      </c>
      <c r="V27" s="892">
        <f>SUM(V28:V30)</f>
        <v>0</v>
      </c>
      <c r="W27" s="892">
        <f>SUM(W28:W30)</f>
        <v>0</v>
      </c>
      <c r="X27" s="938"/>
      <c r="Y27" s="938"/>
      <c r="Z27" s="938"/>
      <c r="AA27" s="938"/>
      <c r="AB27" s="942">
        <f>SUM(AC27:AF27)</f>
        <v>0</v>
      </c>
      <c r="AC27" s="942">
        <f>SUM(AC28:AC30)</f>
        <v>0</v>
      </c>
      <c r="AD27" s="942">
        <f>SUM(AD28:AD30)</f>
        <v>0</v>
      </c>
      <c r="AE27" s="942">
        <f>SUM(AE28:AE30)</f>
        <v>0</v>
      </c>
      <c r="AF27" s="942">
        <f>SUM(AF28:AF30)</f>
        <v>0</v>
      </c>
      <c r="AG27" s="943"/>
      <c r="AH27" s="892">
        <f>SUM(AI27:AL27)</f>
        <v>0</v>
      </c>
      <c r="AI27" s="892">
        <f>SUM(AI28:AI30)</f>
        <v>0</v>
      </c>
      <c r="AJ27" s="892">
        <f>SUM(AJ28:AJ30)</f>
        <v>0</v>
      </c>
      <c r="AK27" s="892">
        <f>SUM(AK28:AK30)</f>
        <v>0</v>
      </c>
      <c r="AL27" s="892">
        <f>SUM(AL28:AL30)</f>
        <v>0</v>
      </c>
      <c r="AM27" s="936"/>
      <c r="AN27" s="942">
        <f>SUM(AO27:AR27)</f>
        <v>0</v>
      </c>
      <c r="AO27" s="942">
        <f>SUM(AO28:AO30)</f>
        <v>0</v>
      </c>
      <c r="AP27" s="942">
        <f>SUM(AP28:AP30)</f>
        <v>0</v>
      </c>
      <c r="AQ27" s="942">
        <f>SUM(AQ28:AQ30)</f>
        <v>0</v>
      </c>
      <c r="AR27" s="942">
        <f>SUM(AR28:AR30)</f>
        <v>0</v>
      </c>
      <c r="AS27" s="938"/>
      <c r="AT27" s="942">
        <f>SUMIF($F$14:$AS$14,$S$14,$F27:$AS27)</f>
        <v>0</v>
      </c>
      <c r="AU27" s="938"/>
      <c r="AV27" s="937"/>
    </row>
    <row r="28" spans="4:48">
      <c r="D28" s="934" t="s">
        <v>794</v>
      </c>
      <c r="E28" s="946" t="s">
        <v>795</v>
      </c>
      <c r="F28" s="922"/>
      <c r="G28" s="892">
        <f>SUM(H28:K28)</f>
        <v>0</v>
      </c>
      <c r="H28" s="944"/>
      <c r="I28" s="944"/>
      <c r="J28" s="944"/>
      <c r="K28" s="944"/>
      <c r="L28" s="936"/>
      <c r="M28" s="892">
        <f>SUM(N28:Q28)</f>
        <v>0</v>
      </c>
      <c r="N28" s="892">
        <f t="shared" ref="N28:Q30" si="0">IF(H28=0,0,T28/H28)</f>
        <v>0</v>
      </c>
      <c r="O28" s="892">
        <f t="shared" si="0"/>
        <v>0</v>
      </c>
      <c r="P28" s="892">
        <f t="shared" si="0"/>
        <v>0</v>
      </c>
      <c r="Q28" s="892">
        <f t="shared" si="0"/>
        <v>0</v>
      </c>
      <c r="R28" s="936"/>
      <c r="S28" s="892">
        <f>SUM(T28:W28)</f>
        <v>0</v>
      </c>
      <c r="T28" s="944"/>
      <c r="U28" s="944"/>
      <c r="V28" s="944"/>
      <c r="W28" s="944"/>
      <c r="X28" s="938"/>
      <c r="Y28" s="938"/>
      <c r="Z28" s="938"/>
      <c r="AA28" s="938"/>
      <c r="AB28" s="942">
        <f>SUM(AC28:AF28)</f>
        <v>0</v>
      </c>
      <c r="AC28" s="939"/>
      <c r="AD28" s="939"/>
      <c r="AE28" s="939"/>
      <c r="AF28" s="939"/>
      <c r="AG28" s="943"/>
      <c r="AH28" s="892">
        <f>SUM(AI28:AL28)</f>
        <v>0</v>
      </c>
      <c r="AI28" s="892">
        <f t="shared" ref="AI28:AL30" si="1">IF(AC28=0,0,AO28/AC28)</f>
        <v>0</v>
      </c>
      <c r="AJ28" s="892">
        <f t="shared" si="1"/>
        <v>0</v>
      </c>
      <c r="AK28" s="892">
        <f t="shared" si="1"/>
        <v>0</v>
      </c>
      <c r="AL28" s="892">
        <f t="shared" si="1"/>
        <v>0</v>
      </c>
      <c r="AM28" s="936"/>
      <c r="AN28" s="942">
        <f>SUM(AO28:AR28)</f>
        <v>0</v>
      </c>
      <c r="AO28" s="939"/>
      <c r="AP28" s="939"/>
      <c r="AQ28" s="939"/>
      <c r="AR28" s="939"/>
      <c r="AS28" s="938"/>
      <c r="AT28" s="942">
        <f>SUMIF($F$14:$AS$14,$S$14,$F28:$AS28)</f>
        <v>0</v>
      </c>
      <c r="AU28" s="938"/>
      <c r="AV28" s="937"/>
    </row>
    <row r="29" spans="4:48">
      <c r="D29" s="934" t="s">
        <v>796</v>
      </c>
      <c r="E29" s="946" t="s">
        <v>797</v>
      </c>
      <c r="F29" s="922"/>
      <c r="G29" s="892">
        <f>SUM(H29:K29)</f>
        <v>0</v>
      </c>
      <c r="H29" s="944"/>
      <c r="I29" s="944"/>
      <c r="J29" s="944"/>
      <c r="K29" s="944"/>
      <c r="L29" s="936"/>
      <c r="M29" s="892">
        <f>SUM(N29:Q29)</f>
        <v>0</v>
      </c>
      <c r="N29" s="892">
        <f t="shared" si="0"/>
        <v>0</v>
      </c>
      <c r="O29" s="892">
        <f t="shared" si="0"/>
        <v>0</v>
      </c>
      <c r="P29" s="892">
        <f t="shared" si="0"/>
        <v>0</v>
      </c>
      <c r="Q29" s="892">
        <f t="shared" si="0"/>
        <v>0</v>
      </c>
      <c r="R29" s="936"/>
      <c r="S29" s="892">
        <f>SUM(T29:W29)</f>
        <v>0</v>
      </c>
      <c r="T29" s="944"/>
      <c r="U29" s="944"/>
      <c r="V29" s="944"/>
      <c r="W29" s="944"/>
      <c r="X29" s="938"/>
      <c r="Y29" s="938"/>
      <c r="Z29" s="938"/>
      <c r="AA29" s="938"/>
      <c r="AB29" s="942">
        <f>SUM(AC29:AF29)</f>
        <v>0</v>
      </c>
      <c r="AC29" s="939"/>
      <c r="AD29" s="939"/>
      <c r="AE29" s="939"/>
      <c r="AF29" s="939"/>
      <c r="AG29" s="943"/>
      <c r="AH29" s="892">
        <f>SUM(AI29:AL29)</f>
        <v>0</v>
      </c>
      <c r="AI29" s="892">
        <f t="shared" si="1"/>
        <v>0</v>
      </c>
      <c r="AJ29" s="892">
        <f t="shared" si="1"/>
        <v>0</v>
      </c>
      <c r="AK29" s="892">
        <f t="shared" si="1"/>
        <v>0</v>
      </c>
      <c r="AL29" s="892">
        <f t="shared" si="1"/>
        <v>0</v>
      </c>
      <c r="AM29" s="936"/>
      <c r="AN29" s="942">
        <f>SUM(AO29:AR29)</f>
        <v>0</v>
      </c>
      <c r="AO29" s="939"/>
      <c r="AP29" s="939"/>
      <c r="AQ29" s="939"/>
      <c r="AR29" s="939"/>
      <c r="AS29" s="938"/>
      <c r="AT29" s="942">
        <f>SUMIF($F$14:$AS$14,$S$14,$F29:$AS29)</f>
        <v>0</v>
      </c>
      <c r="AU29" s="938"/>
      <c r="AV29" s="937"/>
    </row>
    <row r="30" spans="4:48">
      <c r="D30" s="934" t="s">
        <v>798</v>
      </c>
      <c r="E30" s="946" t="s">
        <v>799</v>
      </c>
      <c r="F30" s="922"/>
      <c r="G30" s="892">
        <f>SUM(H30:K30)</f>
        <v>0</v>
      </c>
      <c r="H30" s="944"/>
      <c r="I30" s="944"/>
      <c r="J30" s="944"/>
      <c r="K30" s="944"/>
      <c r="L30" s="936"/>
      <c r="M30" s="892">
        <f>SUM(N30:Q30)</f>
        <v>0</v>
      </c>
      <c r="N30" s="892">
        <f t="shared" si="0"/>
        <v>0</v>
      </c>
      <c r="O30" s="892">
        <f t="shared" si="0"/>
        <v>0</v>
      </c>
      <c r="P30" s="892">
        <f t="shared" si="0"/>
        <v>0</v>
      </c>
      <c r="Q30" s="892">
        <f t="shared" si="0"/>
        <v>0</v>
      </c>
      <c r="R30" s="936"/>
      <c r="S30" s="892">
        <f>SUM(T30:W30)</f>
        <v>0</v>
      </c>
      <c r="T30" s="944"/>
      <c r="U30" s="944"/>
      <c r="V30" s="944"/>
      <c r="W30" s="944"/>
      <c r="X30" s="938"/>
      <c r="Y30" s="938"/>
      <c r="Z30" s="938"/>
      <c r="AA30" s="938"/>
      <c r="AB30" s="942">
        <f>SUM(AC30:AF30)</f>
        <v>0</v>
      </c>
      <c r="AC30" s="939"/>
      <c r="AD30" s="939"/>
      <c r="AE30" s="939"/>
      <c r="AF30" s="939"/>
      <c r="AG30" s="943"/>
      <c r="AH30" s="892">
        <f>SUM(AI30:AL30)</f>
        <v>0</v>
      </c>
      <c r="AI30" s="892">
        <f t="shared" si="1"/>
        <v>0</v>
      </c>
      <c r="AJ30" s="892">
        <f t="shared" si="1"/>
        <v>0</v>
      </c>
      <c r="AK30" s="892">
        <f t="shared" si="1"/>
        <v>0</v>
      </c>
      <c r="AL30" s="892">
        <f t="shared" si="1"/>
        <v>0</v>
      </c>
      <c r="AM30" s="936"/>
      <c r="AN30" s="942">
        <f>SUM(AO30:AR30)</f>
        <v>0</v>
      </c>
      <c r="AO30" s="939"/>
      <c r="AP30" s="939"/>
      <c r="AQ30" s="939"/>
      <c r="AR30" s="939"/>
      <c r="AS30" s="938"/>
      <c r="AT30" s="942">
        <f>SUMIF($F$14:$AS$14,$S$14,$F30:$AS30)</f>
        <v>0</v>
      </c>
      <c r="AU30" s="938"/>
      <c r="AV30" s="937"/>
    </row>
    <row r="31" spans="4:48" ht="5.25" customHeight="1">
      <c r="D31" s="933"/>
      <c r="E31" s="933"/>
      <c r="F31" s="926"/>
      <c r="G31" s="927"/>
      <c r="H31" s="927"/>
      <c r="I31" s="927"/>
      <c r="J31" s="927"/>
      <c r="K31" s="927"/>
      <c r="L31" s="927"/>
      <c r="M31" s="927"/>
      <c r="N31" s="927"/>
      <c r="O31" s="927"/>
      <c r="P31" s="927"/>
      <c r="Q31" s="927"/>
      <c r="R31" s="927"/>
      <c r="S31" s="927"/>
      <c r="T31" s="927"/>
      <c r="U31" s="927"/>
      <c r="V31" s="927"/>
      <c r="W31" s="927"/>
      <c r="X31" s="928"/>
      <c r="Y31" s="926"/>
      <c r="Z31" s="926"/>
      <c r="AA31" s="926"/>
      <c r="AB31" s="925"/>
      <c r="AC31" s="925"/>
      <c r="AD31" s="925"/>
      <c r="AE31" s="925"/>
      <c r="AF31" s="925"/>
      <c r="AG31" s="925"/>
      <c r="AH31" s="925"/>
      <c r="AI31" s="925"/>
      <c r="AJ31" s="925"/>
      <c r="AK31" s="925"/>
      <c r="AL31" s="925"/>
      <c r="AM31" s="925"/>
      <c r="AN31" s="925"/>
      <c r="AO31" s="925"/>
      <c r="AP31" s="925"/>
      <c r="AQ31" s="925"/>
      <c r="AR31" s="925"/>
      <c r="AS31" s="928"/>
      <c r="AT31" s="925"/>
      <c r="AU31" s="928"/>
      <c r="AV31" s="928"/>
    </row>
    <row r="32" spans="4:48">
      <c r="D32" s="934" t="s">
        <v>800</v>
      </c>
      <c r="E32" s="945" t="s">
        <v>801</v>
      </c>
      <c r="F32" s="922"/>
      <c r="G32" s="892">
        <f>SUM(H32:K32)</f>
        <v>0</v>
      </c>
      <c r="H32" s="892">
        <f>SUM(H33:H34)</f>
        <v>0</v>
      </c>
      <c r="I32" s="892">
        <f>SUM(I33:I34)</f>
        <v>0</v>
      </c>
      <c r="J32" s="892">
        <f>SUM(J33:J34)</f>
        <v>0</v>
      </c>
      <c r="K32" s="892">
        <f>SUM(K33:K34)</f>
        <v>0</v>
      </c>
      <c r="L32" s="936"/>
      <c r="M32" s="892">
        <f>SUM(N32:Q32)</f>
        <v>0</v>
      </c>
      <c r="N32" s="892">
        <f>SUM(N33:N34)</f>
        <v>0</v>
      </c>
      <c r="O32" s="892">
        <f>SUM(O33:O34)</f>
        <v>0</v>
      </c>
      <c r="P32" s="892">
        <f>SUM(P33:P34)</f>
        <v>0</v>
      </c>
      <c r="Q32" s="892">
        <f>SUM(Q33:Q34)</f>
        <v>0</v>
      </c>
      <c r="R32" s="936"/>
      <c r="S32" s="892">
        <f>SUM(T32:W32)</f>
        <v>0</v>
      </c>
      <c r="T32" s="892">
        <f>SUM(T33:T34)</f>
        <v>0</v>
      </c>
      <c r="U32" s="892">
        <f>SUM(U33:U34)</f>
        <v>0</v>
      </c>
      <c r="V32" s="892">
        <f>SUM(V33:V34)</f>
        <v>0</v>
      </c>
      <c r="W32" s="892">
        <f>SUM(W33:W34)</f>
        <v>0</v>
      </c>
      <c r="X32" s="938"/>
      <c r="Y32" s="938"/>
      <c r="Z32" s="938"/>
      <c r="AA32" s="938"/>
      <c r="AB32" s="942">
        <f>SUM(AC32:AF32)</f>
        <v>295.92699999999996</v>
      </c>
      <c r="AC32" s="942">
        <f>SUM(AC33:AC34)</f>
        <v>0</v>
      </c>
      <c r="AD32" s="942">
        <f>SUM(AD33:AD34)</f>
        <v>0</v>
      </c>
      <c r="AE32" s="942">
        <f>SUM(AE33:AE34)</f>
        <v>292.86599999999999</v>
      </c>
      <c r="AF32" s="942">
        <f>SUM(AF33:AF34)</f>
        <v>3.0609999999999999</v>
      </c>
      <c r="AG32" s="943"/>
      <c r="AH32" s="892">
        <f>SUM(AI32:AL32)</f>
        <v>39.258300939160272</v>
      </c>
      <c r="AI32" s="892">
        <f>SUM(AI33:AI34)</f>
        <v>0</v>
      </c>
      <c r="AJ32" s="892">
        <f>SUM(AJ33:AJ34)</f>
        <v>0</v>
      </c>
      <c r="AK32" s="892">
        <f>SUM(AK33:AK34)</f>
        <v>19.389470032961846</v>
      </c>
      <c r="AL32" s="892">
        <f>SUM(AL33:AL34)</f>
        <v>19.868830906198426</v>
      </c>
      <c r="AM32" s="936"/>
      <c r="AN32" s="942">
        <f>SUM(AO32:AR32)</f>
        <v>2783.4780799999999</v>
      </c>
      <c r="AO32" s="942">
        <f>SUM(AO33:AO34)</f>
        <v>0</v>
      </c>
      <c r="AP32" s="942">
        <f>SUM(AP33:AP34)</f>
        <v>0</v>
      </c>
      <c r="AQ32" s="942">
        <f>SUM(AQ33:AQ34)</f>
        <v>2754.24782</v>
      </c>
      <c r="AR32" s="942">
        <f>SUM(AR33:AR34)</f>
        <v>29.230260000000001</v>
      </c>
      <c r="AS32" s="938"/>
      <c r="AT32" s="942">
        <f>SUMIF($F$14:$AS$14,$S$14,$F32:$AS32)</f>
        <v>2783.4780799999999</v>
      </c>
      <c r="AU32" s="938"/>
      <c r="AV32" s="937"/>
    </row>
    <row r="33" spans="1:51">
      <c r="D33" s="934" t="s">
        <v>802</v>
      </c>
      <c r="E33" s="946" t="s">
        <v>795</v>
      </c>
      <c r="F33" s="922"/>
      <c r="G33" s="892">
        <f>SUM(H33:K33)</f>
        <v>0</v>
      </c>
      <c r="H33" s="944"/>
      <c r="I33" s="944"/>
      <c r="J33" s="944"/>
      <c r="K33" s="944"/>
      <c r="L33" s="936"/>
      <c r="M33" s="892">
        <f>SUM(N33:Q33)</f>
        <v>0</v>
      </c>
      <c r="N33" s="892">
        <f t="shared" ref="N33:Q34" si="2">IF(H33=0,0,T33/H33)</f>
        <v>0</v>
      </c>
      <c r="O33" s="892">
        <f t="shared" si="2"/>
        <v>0</v>
      </c>
      <c r="P33" s="892">
        <f t="shared" si="2"/>
        <v>0</v>
      </c>
      <c r="Q33" s="892">
        <f t="shared" si="2"/>
        <v>0</v>
      </c>
      <c r="R33" s="936"/>
      <c r="S33" s="892">
        <f>SUM(T33:W33)</f>
        <v>0</v>
      </c>
      <c r="T33" s="944"/>
      <c r="U33" s="944"/>
      <c r="V33" s="944"/>
      <c r="W33" s="944"/>
      <c r="X33" s="938"/>
      <c r="Y33" s="938"/>
      <c r="Z33" s="938"/>
      <c r="AA33" s="938"/>
      <c r="AB33" s="942">
        <f>SUM(AC33:AF33)</f>
        <v>165.399</v>
      </c>
      <c r="AC33" s="939"/>
      <c r="AD33" s="939"/>
      <c r="AE33" s="939">
        <f>IFERROR('Шаблон 46 ГП'!F72/1000,0)</f>
        <v>163.63</v>
      </c>
      <c r="AF33" s="939">
        <f>IFERROR('Шаблон 46 ГП'!G72/1000,0)</f>
        <v>1.7689999999999999</v>
      </c>
      <c r="AG33" s="943"/>
      <c r="AH33" s="892">
        <f>SUM(AI33:AL33)</f>
        <v>14.685817350924115</v>
      </c>
      <c r="AI33" s="892">
        <f t="shared" ref="AI33:AL34" si="3">IF(AC33=0,0,AO33/AC33)</f>
        <v>0</v>
      </c>
      <c r="AJ33" s="892">
        <f t="shared" si="3"/>
        <v>0</v>
      </c>
      <c r="AK33" s="892">
        <f t="shared" si="3"/>
        <v>7.2230700360569573</v>
      </c>
      <c r="AL33" s="892">
        <f t="shared" si="3"/>
        <v>7.4627473148671575</v>
      </c>
      <c r="AM33" s="936"/>
      <c r="AN33" s="942">
        <f>SUM(AO33:AR33)</f>
        <v>1195.1125500000001</v>
      </c>
      <c r="AO33" s="939"/>
      <c r="AP33" s="939"/>
      <c r="AQ33" s="939">
        <f>IFERROR('Шаблон 46 ГП'!O72/1000,0)</f>
        <v>1181.91095</v>
      </c>
      <c r="AR33" s="939">
        <f>IFERROR('Шаблон 46 ГП'!P72/1000,0)</f>
        <v>13.201600000000001</v>
      </c>
      <c r="AS33" s="938"/>
      <c r="AT33" s="942">
        <f>SUMIF($F$14:$AS$14,$S$14,$F33:$AS33)</f>
        <v>1195.1125500000001</v>
      </c>
      <c r="AU33" s="938"/>
      <c r="AV33" s="937"/>
    </row>
    <row r="34" spans="1:51">
      <c r="D34" s="934" t="s">
        <v>803</v>
      </c>
      <c r="E34" s="946" t="s">
        <v>804</v>
      </c>
      <c r="F34" s="922"/>
      <c r="G34" s="892">
        <f>SUM(H34:K34)</f>
        <v>0</v>
      </c>
      <c r="H34" s="944"/>
      <c r="I34" s="944"/>
      <c r="J34" s="944"/>
      <c r="K34" s="944"/>
      <c r="L34" s="936"/>
      <c r="M34" s="892">
        <f>SUM(N34:Q34)</f>
        <v>0</v>
      </c>
      <c r="N34" s="892">
        <f t="shared" si="2"/>
        <v>0</v>
      </c>
      <c r="O34" s="892">
        <f t="shared" si="2"/>
        <v>0</v>
      </c>
      <c r="P34" s="892">
        <f t="shared" si="2"/>
        <v>0</v>
      </c>
      <c r="Q34" s="892">
        <f t="shared" si="2"/>
        <v>0</v>
      </c>
      <c r="R34" s="936"/>
      <c r="S34" s="892">
        <f>SUM(T34:W34)</f>
        <v>0</v>
      </c>
      <c r="T34" s="944"/>
      <c r="U34" s="944"/>
      <c r="V34" s="944"/>
      <c r="W34" s="944"/>
      <c r="X34" s="938"/>
      <c r="Y34" s="938"/>
      <c r="Z34" s="938"/>
      <c r="AA34" s="938"/>
      <c r="AB34" s="942">
        <f>SUM(AC34:AF34)</f>
        <v>130.52799999999999</v>
      </c>
      <c r="AC34" s="939"/>
      <c r="AD34" s="939"/>
      <c r="AE34" s="939">
        <f>IFERROR('Шаблон 46 ГП'!F73/1000,0)</f>
        <v>129.23599999999999</v>
      </c>
      <c r="AF34" s="939">
        <f>IFERROR('Шаблон 46 ГП'!G73/1000,0)</f>
        <v>1.292</v>
      </c>
      <c r="AG34" s="939">
        <f>AG40/1000</f>
        <v>0</v>
      </c>
      <c r="AH34" s="892">
        <f>SUM(AI34:AL34)</f>
        <v>24.572483588236157</v>
      </c>
      <c r="AI34" s="892">
        <f t="shared" si="3"/>
        <v>0</v>
      </c>
      <c r="AJ34" s="892">
        <f t="shared" si="3"/>
        <v>0</v>
      </c>
      <c r="AK34" s="892">
        <f t="shared" si="3"/>
        <v>12.166399996904889</v>
      </c>
      <c r="AL34" s="892">
        <f t="shared" si="3"/>
        <v>12.406083591331267</v>
      </c>
      <c r="AM34" s="936"/>
      <c r="AN34" s="942">
        <f>SUM(AO34:AR34)</f>
        <v>1588.36553</v>
      </c>
      <c r="AO34" s="939"/>
      <c r="AP34" s="939"/>
      <c r="AQ34" s="939">
        <f>IFERROR('Шаблон 46 ГП'!O73/1000,0)</f>
        <v>1572.3368700000001</v>
      </c>
      <c r="AR34" s="939">
        <f>IFERROR('Шаблон 46 ГП'!P73/1000,0)</f>
        <v>16.028659999999999</v>
      </c>
      <c r="AS34" s="938"/>
      <c r="AT34" s="942">
        <f>SUMIF($F$14:$AS$14,$S$14,$F34:$AS34)</f>
        <v>1588.36553</v>
      </c>
      <c r="AU34" s="938"/>
      <c r="AV34" s="937"/>
    </row>
    <row r="35" spans="1:51" s="909" customFormat="1" ht="5.25" customHeight="1">
      <c r="A35" s="900"/>
      <c r="B35" s="900"/>
      <c r="C35" s="900"/>
      <c r="D35" s="933"/>
      <c r="E35" s="933"/>
      <c r="F35" s="926"/>
      <c r="G35" s="927"/>
      <c r="H35" s="927"/>
      <c r="I35" s="927"/>
      <c r="J35" s="927"/>
      <c r="K35" s="927"/>
      <c r="L35" s="927"/>
      <c r="M35" s="927"/>
      <c r="N35" s="927"/>
      <c r="O35" s="927"/>
      <c r="P35" s="927"/>
      <c r="Q35" s="927"/>
      <c r="R35" s="927"/>
      <c r="S35" s="927"/>
      <c r="T35" s="927"/>
      <c r="U35" s="927"/>
      <c r="V35" s="927"/>
      <c r="W35" s="927"/>
      <c r="X35" s="928"/>
      <c r="Y35" s="926"/>
      <c r="Z35" s="926"/>
      <c r="AA35" s="926"/>
      <c r="AB35" s="925"/>
      <c r="AC35" s="925"/>
      <c r="AD35" s="925"/>
      <c r="AE35" s="925"/>
      <c r="AF35" s="925"/>
      <c r="AG35" s="925"/>
      <c r="AH35" s="925"/>
      <c r="AI35" s="925"/>
      <c r="AJ35" s="925"/>
      <c r="AK35" s="925"/>
      <c r="AL35" s="925"/>
      <c r="AM35" s="925"/>
      <c r="AN35" s="925"/>
      <c r="AO35" s="925"/>
      <c r="AP35" s="925"/>
      <c r="AQ35" s="925"/>
      <c r="AR35" s="925"/>
      <c r="AS35" s="928"/>
      <c r="AT35" s="925"/>
      <c r="AU35" s="928"/>
      <c r="AV35" s="928"/>
    </row>
    <row r="36" spans="1:51" ht="22.5">
      <c r="D36" s="934" t="s">
        <v>726</v>
      </c>
      <c r="E36" s="941" t="s">
        <v>805</v>
      </c>
      <c r="F36" s="922"/>
      <c r="G36" s="892">
        <f>SUM(H36:K36)</f>
        <v>0</v>
      </c>
      <c r="H36" s="944"/>
      <c r="I36" s="944"/>
      <c r="J36" s="944"/>
      <c r="K36" s="944"/>
      <c r="L36" s="936"/>
      <c r="M36" s="892">
        <f>SUM(N36:Q36)</f>
        <v>0</v>
      </c>
      <c r="N36" s="892">
        <f>IF(H36=0,0,T36/H36)</f>
        <v>0</v>
      </c>
      <c r="O36" s="892">
        <f>IF(I36=0,0,U36/I36)</f>
        <v>0</v>
      </c>
      <c r="P36" s="892">
        <f>IF(J36=0,0,V36/J36)</f>
        <v>0</v>
      </c>
      <c r="Q36" s="892">
        <f>IF(K36=0,0,W36/K36)</f>
        <v>0</v>
      </c>
      <c r="R36" s="936"/>
      <c r="S36" s="892">
        <f>SUM(T36:W36)</f>
        <v>0</v>
      </c>
      <c r="T36" s="944"/>
      <c r="U36" s="944"/>
      <c r="V36" s="944"/>
      <c r="W36" s="944"/>
      <c r="X36" s="938"/>
      <c r="Y36" s="938"/>
      <c r="Z36" s="938"/>
      <c r="AA36" s="938"/>
      <c r="AB36" s="942">
        <f>SUM(AC36:AF36)</f>
        <v>6724.0690000000004</v>
      </c>
      <c r="AC36" s="939"/>
      <c r="AD36" s="939">
        <f>'Шаблон 46 ГП'!E75/1000</f>
        <v>2494.779</v>
      </c>
      <c r="AE36" s="939">
        <f>'Шаблон 46 ГП'!F75/1000</f>
        <v>4215.41</v>
      </c>
      <c r="AF36" s="939">
        <f>'Шаблон 46 ГП'!G75/1000</f>
        <v>13.88</v>
      </c>
      <c r="AG36" s="943"/>
      <c r="AH36" s="892">
        <f>SUM(AI36:AL36)</f>
        <v>21.583434112707973</v>
      </c>
      <c r="AI36" s="892">
        <f>IF(AC36=0,0,AO36/AC36)</f>
        <v>0</v>
      </c>
      <c r="AJ36" s="892">
        <f>IF(AD36=0,0,AP36/AD36)</f>
        <v>6.8916838204907132</v>
      </c>
      <c r="AK36" s="892">
        <f>IF(AE36=0,0,AQ36/AE36)</f>
        <v>7.210300004032824</v>
      </c>
      <c r="AL36" s="892">
        <f>IF(AF36=0,0,AR36/AF36)</f>
        <v>7.4814502881844378</v>
      </c>
      <c r="AM36" s="936"/>
      <c r="AN36" s="942">
        <f>SUM(AO36:AR36)</f>
        <v>47691.441340000012</v>
      </c>
      <c r="AO36" s="939"/>
      <c r="AP36" s="939">
        <f>'Шаблон 46 ГП'!N75/1000</f>
        <v>17193.228070000001</v>
      </c>
      <c r="AQ36" s="939">
        <f>'Шаблон 46 ГП'!O75/1000</f>
        <v>30394.370740000006</v>
      </c>
      <c r="AR36" s="939">
        <f>'Шаблон 46 ГП'!P75/1000</f>
        <v>103.84253</v>
      </c>
      <c r="AS36" s="938"/>
      <c r="AT36" s="942">
        <f>SUMIF($F$14:$AS$14,$S$14,$F36:$AS36)</f>
        <v>47691.441340000012</v>
      </c>
      <c r="AU36" s="938"/>
      <c r="AV36" s="937"/>
    </row>
    <row r="37" spans="1:51" s="909" customFormat="1" ht="5.25" customHeight="1">
      <c r="A37" s="900"/>
      <c r="B37" s="900"/>
      <c r="C37" s="900"/>
      <c r="D37" s="933"/>
      <c r="E37" s="933"/>
      <c r="F37" s="926"/>
      <c r="G37" s="927"/>
      <c r="H37" s="927"/>
      <c r="I37" s="927"/>
      <c r="J37" s="927"/>
      <c r="K37" s="927"/>
      <c r="L37" s="927"/>
      <c r="M37" s="927"/>
      <c r="N37" s="927"/>
      <c r="O37" s="927"/>
      <c r="P37" s="927"/>
      <c r="Q37" s="927"/>
      <c r="R37" s="927"/>
      <c r="S37" s="927"/>
      <c r="T37" s="927"/>
      <c r="U37" s="927"/>
      <c r="V37" s="927"/>
      <c r="W37" s="927"/>
      <c r="X37" s="928"/>
      <c r="Y37" s="926"/>
      <c r="Z37" s="926"/>
      <c r="AA37" s="926"/>
      <c r="AB37" s="925"/>
      <c r="AC37" s="925"/>
      <c r="AD37" s="925"/>
      <c r="AE37" s="925"/>
      <c r="AF37" s="925"/>
      <c r="AG37" s="925"/>
      <c r="AH37" s="925"/>
      <c r="AI37" s="925"/>
      <c r="AJ37" s="925"/>
      <c r="AK37" s="925"/>
      <c r="AL37" s="925"/>
      <c r="AM37" s="925"/>
      <c r="AN37" s="925"/>
      <c r="AO37" s="925"/>
      <c r="AP37" s="925"/>
      <c r="AQ37" s="925"/>
      <c r="AR37" s="925"/>
      <c r="AS37" s="928"/>
      <c r="AT37" s="925"/>
      <c r="AU37" s="928"/>
      <c r="AV37" s="928"/>
    </row>
    <row r="38" spans="1:51" ht="22.5">
      <c r="D38" s="934" t="s">
        <v>733</v>
      </c>
      <c r="E38" s="941" t="s">
        <v>806</v>
      </c>
      <c r="F38" s="922"/>
      <c r="G38" s="892">
        <f>SUM(H38:K38)</f>
        <v>0</v>
      </c>
      <c r="H38" s="944"/>
      <c r="I38" s="944"/>
      <c r="J38" s="944"/>
      <c r="K38" s="944"/>
      <c r="L38" s="936"/>
      <c r="M38" s="892">
        <f>SUM(N38:Q38)</f>
        <v>0</v>
      </c>
      <c r="N38" s="892">
        <f>IF(H38=0,0,T38/H38)</f>
        <v>0</v>
      </c>
      <c r="O38" s="892">
        <f>IF(I38=0,0,U38/I38)</f>
        <v>0</v>
      </c>
      <c r="P38" s="892">
        <f>IF(J38=0,0,V38/J38)</f>
        <v>0</v>
      </c>
      <c r="Q38" s="892">
        <f>IF(K38=0,0,W38/K38)</f>
        <v>0</v>
      </c>
      <c r="R38" s="936"/>
      <c r="S38" s="892">
        <f>SUM(T38:W38)</f>
        <v>0</v>
      </c>
      <c r="T38" s="944"/>
      <c r="U38" s="944"/>
      <c r="V38" s="944"/>
      <c r="W38" s="944"/>
      <c r="X38" s="938"/>
      <c r="Y38" s="938"/>
      <c r="Z38" s="938"/>
      <c r="AA38" s="938"/>
      <c r="AB38" s="942">
        <f>SUM(AC38:AF38)</f>
        <v>3691.2719999999999</v>
      </c>
      <c r="AC38" s="939"/>
      <c r="AD38" s="939"/>
      <c r="AE38" s="939">
        <f>'Шаблон 46 ГП'!F102/1000</f>
        <v>102.423</v>
      </c>
      <c r="AF38" s="939">
        <f>'Шаблон 46 ГП'!G102/1000</f>
        <v>3588.8490000000002</v>
      </c>
      <c r="AG38" s="943"/>
      <c r="AH38" s="892">
        <f>SUM(AI38:AL38)</f>
        <v>7.2217238710618226</v>
      </c>
      <c r="AI38" s="892">
        <f>IF(AC38=0,0,AO38/AC38)</f>
        <v>0</v>
      </c>
      <c r="AJ38" s="892">
        <f>IF(AD38=0,0,AP38/AD38)</f>
        <v>0</v>
      </c>
      <c r="AK38" s="892">
        <f>IF(AE38=0,0,AQ38/AE38)</f>
        <v>3.5129755035490073</v>
      </c>
      <c r="AL38" s="892">
        <f>IF(AF38=0,0,AR38/AF38)</f>
        <v>3.7087483675128148</v>
      </c>
      <c r="AM38" s="936"/>
      <c r="AN38" s="942">
        <f>SUM(AO38:AR38)</f>
        <v>13669.947359999998</v>
      </c>
      <c r="AO38" s="939"/>
      <c r="AP38" s="939"/>
      <c r="AQ38" s="939">
        <f>'Шаблон 46 ГП'!O102/1000</f>
        <v>359.80948999999998</v>
      </c>
      <c r="AR38" s="939">
        <f>'Шаблон 46 ГП'!P102/1000</f>
        <v>13310.137869999999</v>
      </c>
      <c r="AS38" s="938"/>
      <c r="AT38" s="942">
        <f>SUMIF($F$14:$AS$14,$S$14,$F38:$AS38)</f>
        <v>13669.947359999998</v>
      </c>
      <c r="AU38" s="938"/>
      <c r="AV38" s="937"/>
    </row>
    <row r="39" spans="1:51" s="909" customFormat="1" ht="5.25" customHeight="1">
      <c r="A39" s="900"/>
      <c r="B39" s="900"/>
      <c r="C39" s="900"/>
      <c r="D39" s="933"/>
      <c r="E39" s="933"/>
      <c r="F39" s="926"/>
      <c r="G39" s="927"/>
      <c r="H39" s="927"/>
      <c r="I39" s="927"/>
      <c r="J39" s="927"/>
      <c r="K39" s="927"/>
      <c r="L39" s="927"/>
      <c r="M39" s="927"/>
      <c r="N39" s="927"/>
      <c r="O39" s="927"/>
      <c r="P39" s="927"/>
      <c r="Q39" s="927"/>
      <c r="R39" s="927"/>
      <c r="S39" s="927"/>
      <c r="T39" s="927"/>
      <c r="U39" s="927"/>
      <c r="V39" s="927"/>
      <c r="W39" s="927"/>
      <c r="X39" s="928"/>
      <c r="Y39" s="926"/>
      <c r="Z39" s="926"/>
      <c r="AA39" s="926"/>
      <c r="AB39" s="925"/>
      <c r="AC39" s="925"/>
      <c r="AD39" s="925"/>
      <c r="AE39" s="925"/>
      <c r="AF39" s="925"/>
      <c r="AG39" s="925"/>
      <c r="AH39" s="925"/>
      <c r="AI39" s="925"/>
      <c r="AJ39" s="925"/>
      <c r="AK39" s="925"/>
      <c r="AL39" s="925"/>
      <c r="AM39" s="925"/>
      <c r="AN39" s="925"/>
      <c r="AO39" s="925"/>
      <c r="AP39" s="925"/>
      <c r="AQ39" s="925"/>
      <c r="AR39" s="925"/>
      <c r="AS39" s="928"/>
      <c r="AT39" s="925"/>
      <c r="AU39" s="928"/>
      <c r="AV39" s="928"/>
    </row>
    <row r="40" spans="1:51" ht="22.5">
      <c r="D40" s="934" t="s">
        <v>736</v>
      </c>
      <c r="E40" s="941" t="s">
        <v>807</v>
      </c>
      <c r="F40" s="922"/>
      <c r="G40" s="892">
        <f>SUM(H40:K40)</f>
        <v>0</v>
      </c>
      <c r="H40" s="944"/>
      <c r="I40" s="944"/>
      <c r="J40" s="944"/>
      <c r="K40" s="944"/>
      <c r="L40" s="936"/>
      <c r="M40" s="892">
        <f>SUM(N40:Q40)</f>
        <v>0</v>
      </c>
      <c r="N40" s="892">
        <f>IF(H40=0,0,T40/H40)</f>
        <v>0</v>
      </c>
      <c r="O40" s="892">
        <f>IF(I40=0,0,U40/I40)</f>
        <v>0</v>
      </c>
      <c r="P40" s="892">
        <f>IF(J40=0,0,V40/J40)</f>
        <v>0</v>
      </c>
      <c r="Q40" s="892">
        <f>IF(K40=0,0,W40/K40)</f>
        <v>0</v>
      </c>
      <c r="R40" s="936"/>
      <c r="S40" s="892">
        <f>SUM(T40:W40)</f>
        <v>0</v>
      </c>
      <c r="T40" s="944"/>
      <c r="U40" s="944"/>
      <c r="V40" s="944"/>
      <c r="W40" s="944"/>
      <c r="X40" s="938"/>
      <c r="Y40" s="938"/>
      <c r="Z40" s="938"/>
      <c r="AA40" s="938"/>
      <c r="AB40" s="942">
        <f>SUM(AC40:AF40)</f>
        <v>0</v>
      </c>
      <c r="AC40" s="939"/>
      <c r="AD40" s="939"/>
      <c r="AE40" s="939"/>
      <c r="AF40" s="939"/>
      <c r="AG40" s="943"/>
      <c r="AH40" s="892">
        <f>SUM(AI40:AL40)</f>
        <v>0</v>
      </c>
      <c r="AI40" s="892">
        <f>IF(AC40=0,0,AO40/AC40)</f>
        <v>0</v>
      </c>
      <c r="AJ40" s="892">
        <f>IF(AD40=0,0,AP40/AD40)</f>
        <v>0</v>
      </c>
      <c r="AK40" s="892">
        <f>IF(AE40=0,0,AQ40/AE40)</f>
        <v>0</v>
      </c>
      <c r="AL40" s="892">
        <f>IF(AF40=0,0,AR40/AF40)</f>
        <v>0</v>
      </c>
      <c r="AM40" s="936"/>
      <c r="AN40" s="942">
        <f>SUM(AO40:AR40)</f>
        <v>0</v>
      </c>
      <c r="AO40" s="939"/>
      <c r="AP40" s="939"/>
      <c r="AQ40" s="939"/>
      <c r="AR40" s="939"/>
      <c r="AS40" s="938"/>
      <c r="AT40" s="942">
        <f>SUMIF($F$14:$AS$14,$S$14,$F40:$AS40)</f>
        <v>0</v>
      </c>
      <c r="AU40" s="938"/>
      <c r="AV40" s="937"/>
    </row>
    <row r="41" spans="1:51" s="909" customFormat="1" ht="5.25" customHeight="1">
      <c r="A41" s="900"/>
      <c r="B41" s="900"/>
      <c r="C41" s="900"/>
      <c r="D41" s="933"/>
      <c r="E41" s="933"/>
      <c r="F41" s="926"/>
      <c r="G41" s="927"/>
      <c r="H41" s="927"/>
      <c r="I41" s="927"/>
      <c r="J41" s="927"/>
      <c r="K41" s="927"/>
      <c r="L41" s="927"/>
      <c r="M41" s="927"/>
      <c r="N41" s="927"/>
      <c r="O41" s="927"/>
      <c r="P41" s="927"/>
      <c r="Q41" s="927"/>
      <c r="R41" s="927"/>
      <c r="S41" s="927"/>
      <c r="T41" s="927"/>
      <c r="U41" s="927"/>
      <c r="V41" s="927"/>
      <c r="W41" s="927"/>
      <c r="X41" s="928"/>
      <c r="Y41" s="926"/>
      <c r="Z41" s="926"/>
      <c r="AA41" s="926"/>
      <c r="AB41" s="925"/>
      <c r="AC41" s="925"/>
      <c r="AD41" s="925"/>
      <c r="AE41" s="925"/>
      <c r="AF41" s="925"/>
      <c r="AG41" s="925"/>
      <c r="AH41" s="925"/>
      <c r="AI41" s="925"/>
      <c r="AJ41" s="925"/>
      <c r="AK41" s="925"/>
      <c r="AL41" s="925"/>
      <c r="AM41" s="925"/>
      <c r="AN41" s="925"/>
      <c r="AO41" s="925"/>
      <c r="AP41" s="925"/>
      <c r="AQ41" s="925"/>
      <c r="AR41" s="925"/>
      <c r="AS41" s="928"/>
      <c r="AT41" s="925"/>
      <c r="AU41" s="928"/>
      <c r="AV41" s="928"/>
    </row>
    <row r="42" spans="1:51" ht="22.5">
      <c r="D42" s="934" t="s">
        <v>738</v>
      </c>
      <c r="E42" s="941" t="s">
        <v>808</v>
      </c>
      <c r="F42" s="922"/>
      <c r="G42" s="892">
        <f>SUM(H42:K42)</f>
        <v>0</v>
      </c>
      <c r="H42" s="944"/>
      <c r="I42" s="944"/>
      <c r="J42" s="944"/>
      <c r="K42" s="944"/>
      <c r="L42" s="936"/>
      <c r="M42" s="892">
        <f>SUM(N42:Q42)</f>
        <v>0</v>
      </c>
      <c r="N42" s="892">
        <f>IF(H42=0,0,T42/H42)</f>
        <v>0</v>
      </c>
      <c r="O42" s="892">
        <f>IF(I42=0,0,U42/I42)</f>
        <v>0</v>
      </c>
      <c r="P42" s="892">
        <f>IF(J42=0,0,V42/J42)</f>
        <v>0</v>
      </c>
      <c r="Q42" s="892">
        <f>IF(K42=0,0,W42/K42)</f>
        <v>0</v>
      </c>
      <c r="R42" s="936"/>
      <c r="S42" s="892">
        <f>SUM(T42:W42)</f>
        <v>0</v>
      </c>
      <c r="T42" s="944"/>
      <c r="U42" s="944"/>
      <c r="V42" s="944"/>
      <c r="W42" s="944"/>
      <c r="X42" s="938"/>
      <c r="Y42" s="938"/>
      <c r="Z42" s="938"/>
      <c r="AA42" s="938"/>
      <c r="AB42" s="942">
        <f>SUM(AC42:AF42)</f>
        <v>0</v>
      </c>
      <c r="AC42" s="939"/>
      <c r="AD42" s="939"/>
      <c r="AE42" s="939"/>
      <c r="AF42" s="939"/>
      <c r="AG42" s="943"/>
      <c r="AH42" s="892">
        <f>SUM(AI42:AL42)</f>
        <v>0</v>
      </c>
      <c r="AI42" s="892">
        <f>IF(AC42=0,0,AO42/AC42)</f>
        <v>0</v>
      </c>
      <c r="AJ42" s="892">
        <f>IF(AD42=0,0,AP42/AD42)</f>
        <v>0</v>
      </c>
      <c r="AK42" s="892">
        <f>IF(AE42=0,0,AQ42/AE42)</f>
        <v>0</v>
      </c>
      <c r="AL42" s="892">
        <f>IF(AF42=0,0,AR42/AF42)</f>
        <v>0</v>
      </c>
      <c r="AM42" s="936"/>
      <c r="AN42" s="942">
        <f>SUM(AO42:AR42)</f>
        <v>0</v>
      </c>
      <c r="AO42" s="939"/>
      <c r="AP42" s="939"/>
      <c r="AQ42" s="939"/>
      <c r="AR42" s="939"/>
      <c r="AS42" s="938"/>
      <c r="AT42" s="942">
        <f>SUMIF($F$14:$AS$14,$S$14,$F42:$AS42)</f>
        <v>0</v>
      </c>
      <c r="AU42" s="938"/>
      <c r="AV42" s="937"/>
    </row>
    <row r="43" spans="1:51" s="909" customFormat="1" ht="5.25" customHeight="1">
      <c r="A43" s="900"/>
      <c r="B43" s="900"/>
      <c r="C43" s="900"/>
      <c r="D43" s="933"/>
      <c r="E43" s="933"/>
      <c r="F43" s="926"/>
      <c r="G43" s="927"/>
      <c r="H43" s="927"/>
      <c r="I43" s="927"/>
      <c r="J43" s="927"/>
      <c r="K43" s="927"/>
      <c r="L43" s="927"/>
      <c r="M43" s="927"/>
      <c r="N43" s="927"/>
      <c r="O43" s="927"/>
      <c r="P43" s="927"/>
      <c r="Q43" s="927"/>
      <c r="R43" s="927"/>
      <c r="S43" s="927"/>
      <c r="T43" s="927"/>
      <c r="U43" s="927"/>
      <c r="V43" s="927"/>
      <c r="W43" s="927"/>
      <c r="X43" s="928"/>
      <c r="Y43" s="926"/>
      <c r="Z43" s="926"/>
      <c r="AA43" s="926"/>
      <c r="AB43" s="925"/>
      <c r="AC43" s="925"/>
      <c r="AD43" s="925"/>
      <c r="AE43" s="925"/>
      <c r="AF43" s="925"/>
      <c r="AG43" s="925"/>
      <c r="AH43" s="925"/>
      <c r="AI43" s="925"/>
      <c r="AJ43" s="925"/>
      <c r="AK43" s="925"/>
      <c r="AL43" s="925"/>
      <c r="AM43" s="925"/>
      <c r="AN43" s="925"/>
      <c r="AO43" s="925"/>
      <c r="AP43" s="925"/>
      <c r="AQ43" s="925"/>
      <c r="AR43" s="925"/>
      <c r="AS43" s="928"/>
      <c r="AT43" s="925"/>
      <c r="AU43" s="928"/>
      <c r="AV43" s="928"/>
    </row>
    <row r="44" spans="1:51">
      <c r="D44" s="934" t="s">
        <v>742</v>
      </c>
      <c r="E44" s="941" t="s">
        <v>809</v>
      </c>
      <c r="F44" s="922"/>
      <c r="G44" s="892">
        <f t="shared" ref="G44:G89" si="4">SUM(H44:K44)</f>
        <v>0</v>
      </c>
      <c r="H44" s="892">
        <f>H45+H54+H63+H72+H81</f>
        <v>0</v>
      </c>
      <c r="I44" s="892">
        <f>I45+I54+I63+I72+I81</f>
        <v>0</v>
      </c>
      <c r="J44" s="892">
        <f>J45+J54+J63+J72+J81</f>
        <v>0</v>
      </c>
      <c r="K44" s="892">
        <f>K45+K54+K63+K72+K81</f>
        <v>0</v>
      </c>
      <c r="L44" s="936"/>
      <c r="M44" s="892">
        <f t="shared" ref="M44:M89" si="5">SUM(N44:Q44)</f>
        <v>0</v>
      </c>
      <c r="N44" s="892">
        <f>N45+N54+N63+N72+N81</f>
        <v>0</v>
      </c>
      <c r="O44" s="892">
        <f>O45+O54+O63+O72+O81</f>
        <v>0</v>
      </c>
      <c r="P44" s="892">
        <f>P45+P54+P63+P72+P81</f>
        <v>0</v>
      </c>
      <c r="Q44" s="892">
        <f>Q45+Q54+Q63+Q72+Q81</f>
        <v>0</v>
      </c>
      <c r="R44" s="936"/>
      <c r="S44" s="892">
        <f t="shared" ref="S44:S89" si="6">SUM(T44:W44)</f>
        <v>0</v>
      </c>
      <c r="T44" s="892">
        <f>T45+T54+T63+T72+T81</f>
        <v>0</v>
      </c>
      <c r="U44" s="892">
        <f>U45+U54+U63+U72+U81</f>
        <v>0</v>
      </c>
      <c r="V44" s="892">
        <f>V45+V54+V63+V72+V81</f>
        <v>0</v>
      </c>
      <c r="W44" s="892">
        <f>W45+W54+W63+W72+W81</f>
        <v>0</v>
      </c>
      <c r="X44" s="938"/>
      <c r="Y44" s="938"/>
      <c r="Z44" s="938"/>
      <c r="AA44" s="938"/>
      <c r="AB44" s="942">
        <f>SUM(AC44:AF44)</f>
        <v>24830.238999999998</v>
      </c>
      <c r="AC44" s="942">
        <f>AC45+AC54+AC72</f>
        <v>0</v>
      </c>
      <c r="AD44" s="942">
        <f>AD45+AD54+AD72</f>
        <v>0</v>
      </c>
      <c r="AE44" s="942">
        <f>AE45+AE54+AE72</f>
        <v>3618.2429999999995</v>
      </c>
      <c r="AF44" s="942">
        <f>AF45+AF54+AF72</f>
        <v>21211.995999999999</v>
      </c>
      <c r="AG44" s="943"/>
      <c r="AH44" s="892">
        <f t="shared" ref="AH44:AH89" si="7">SUM(AI44:AL44)</f>
        <v>23.367703766808127</v>
      </c>
      <c r="AI44" s="942">
        <f>AI45+AI54+AI63+AI72+AI81</f>
        <v>0</v>
      </c>
      <c r="AJ44" s="942">
        <f>AJ45+AJ54+AJ63+AJ72+AJ81</f>
        <v>0</v>
      </c>
      <c r="AK44" s="942">
        <f>AK45+AK54+AK63+AK72+AK81</f>
        <v>9.1073983059186894</v>
      </c>
      <c r="AL44" s="942">
        <f>AL45+AL54+AL63+AL72+AL81</f>
        <v>14.260305460889436</v>
      </c>
      <c r="AM44" s="936"/>
      <c r="AN44" s="942">
        <f t="shared" ref="AN44:AN80" si="8">SUM(AO44:AR44)</f>
        <v>57037.219759999993</v>
      </c>
      <c r="AO44" s="942">
        <f>AO45+AO54+AO63+AO72+AO81</f>
        <v>0</v>
      </c>
      <c r="AP44" s="942">
        <f>AP45+AP54+AP63+AP72+AP81</f>
        <v>0</v>
      </c>
      <c r="AQ44" s="942">
        <f>AQ45+AQ54+AQ63+AQ72+AQ81</f>
        <v>9148.4801100000004</v>
      </c>
      <c r="AR44" s="942">
        <f>AR45+AR54+AR63+AR72+AR81</f>
        <v>47888.739649999989</v>
      </c>
      <c r="AS44" s="938"/>
      <c r="AT44" s="942">
        <f t="shared" ref="AT44:AT89" si="9">SUMIF($F$14:$AS$14,$S$14,$F44:$AS44)</f>
        <v>57037.219759999993</v>
      </c>
      <c r="AU44" s="938"/>
      <c r="AV44" s="937"/>
    </row>
    <row r="45" spans="1:51" s="950" customFormat="1">
      <c r="A45" s="900"/>
      <c r="B45" s="900"/>
      <c r="C45" s="900"/>
      <c r="D45" s="934" t="s">
        <v>744</v>
      </c>
      <c r="E45" s="947" t="s">
        <v>810</v>
      </c>
      <c r="F45" s="948"/>
      <c r="G45" s="892">
        <f t="shared" si="4"/>
        <v>0</v>
      </c>
      <c r="H45" s="892">
        <f>H47+H50+H46</f>
        <v>0</v>
      </c>
      <c r="I45" s="892">
        <f>I47+I50+I46</f>
        <v>0</v>
      </c>
      <c r="J45" s="892">
        <f>J47+J50+J46</f>
        <v>0</v>
      </c>
      <c r="K45" s="892">
        <f>K47+K50+K46</f>
        <v>0</v>
      </c>
      <c r="L45" s="949"/>
      <c r="M45" s="892">
        <f t="shared" si="5"/>
        <v>0</v>
      </c>
      <c r="N45" s="892">
        <f>N47+N50</f>
        <v>0</v>
      </c>
      <c r="O45" s="892">
        <f>O47+O50</f>
        <v>0</v>
      </c>
      <c r="P45" s="892">
        <f>P47+P50</f>
        <v>0</v>
      </c>
      <c r="Q45" s="892">
        <f>Q47+Q50</f>
        <v>0</v>
      </c>
      <c r="R45" s="949"/>
      <c r="S45" s="892">
        <f t="shared" si="6"/>
        <v>0</v>
      </c>
      <c r="T45" s="892">
        <f>T47+T50+T46</f>
        <v>0</v>
      </c>
      <c r="U45" s="892">
        <f>U47+U50+U46</f>
        <v>0</v>
      </c>
      <c r="V45" s="892">
        <f>V47+V50+V46</f>
        <v>0</v>
      </c>
      <c r="W45" s="892">
        <f>W47+W50+W46</f>
        <v>0</v>
      </c>
      <c r="X45" s="938"/>
      <c r="Y45" s="948"/>
      <c r="Z45" s="948"/>
      <c r="AA45" s="948"/>
      <c r="AB45" s="942">
        <f t="shared" ref="AB45:AB76" si="10">SUM(AC45:AF45)</f>
        <v>1488.742</v>
      </c>
      <c r="AC45" s="942">
        <f>AC46+AC47</f>
        <v>0</v>
      </c>
      <c r="AD45" s="942">
        <f>AD46+AD47</f>
        <v>0</v>
      </c>
      <c r="AE45" s="942">
        <f>AE46+AE47</f>
        <v>0</v>
      </c>
      <c r="AF45" s="942">
        <f>AF46+AF47</f>
        <v>1488.742</v>
      </c>
      <c r="AG45" s="949"/>
      <c r="AH45" s="942">
        <f t="shared" si="7"/>
        <v>5.2365875957821491</v>
      </c>
      <c r="AI45" s="892">
        <f>AI47+AI50</f>
        <v>0</v>
      </c>
      <c r="AJ45" s="892">
        <f>AJ47+AJ50</f>
        <v>0</v>
      </c>
      <c r="AK45" s="892">
        <f>AK47+AK50</f>
        <v>0</v>
      </c>
      <c r="AL45" s="892">
        <f>AL47+AL50</f>
        <v>5.2365875957821491</v>
      </c>
      <c r="AM45" s="949"/>
      <c r="AN45" s="942">
        <f t="shared" si="8"/>
        <v>4231.0462399999997</v>
      </c>
      <c r="AO45" s="942">
        <f>AO47+AO50+AO46</f>
        <v>0</v>
      </c>
      <c r="AP45" s="942">
        <f>AP47+AP50+AP46</f>
        <v>0</v>
      </c>
      <c r="AQ45" s="942">
        <f>AQ47+AQ50+AQ46</f>
        <v>0</v>
      </c>
      <c r="AR45" s="942">
        <f>AR47+AR50+AR46</f>
        <v>4231.0462399999997</v>
      </c>
      <c r="AS45" s="938"/>
      <c r="AT45" s="942">
        <f t="shared" si="9"/>
        <v>4231.0462399999997</v>
      </c>
      <c r="AU45" s="948"/>
      <c r="AV45" s="948"/>
      <c r="AW45" s="909"/>
      <c r="AX45" s="909"/>
      <c r="AY45" s="909"/>
    </row>
    <row r="46" spans="1:51" s="950" customFormat="1">
      <c r="A46" s="900"/>
      <c r="B46" s="900"/>
      <c r="C46" s="900"/>
      <c r="D46" s="934" t="s">
        <v>811</v>
      </c>
      <c r="E46" s="947" t="s">
        <v>812</v>
      </c>
      <c r="F46" s="948"/>
      <c r="G46" s="892">
        <f t="shared" si="4"/>
        <v>0</v>
      </c>
      <c r="H46" s="944"/>
      <c r="I46" s="944"/>
      <c r="J46" s="944"/>
      <c r="K46" s="944"/>
      <c r="L46" s="949"/>
      <c r="M46" s="892">
        <f t="shared" si="5"/>
        <v>0</v>
      </c>
      <c r="N46" s="892">
        <f>IF(H46=0,0,T46/H46)</f>
        <v>0</v>
      </c>
      <c r="O46" s="892">
        <f>IF(I46=0,0,U46/I46)</f>
        <v>0</v>
      </c>
      <c r="P46" s="892">
        <f>IF(J46=0,0,V46/J46)</f>
        <v>0</v>
      </c>
      <c r="Q46" s="892">
        <f>IF(K46=0,0,W46/K46)</f>
        <v>0</v>
      </c>
      <c r="R46" s="949"/>
      <c r="S46" s="892">
        <f t="shared" si="6"/>
        <v>0</v>
      </c>
      <c r="T46" s="944"/>
      <c r="U46" s="944"/>
      <c r="V46" s="944"/>
      <c r="W46" s="944"/>
      <c r="X46" s="938"/>
      <c r="Y46" s="948"/>
      <c r="Z46" s="948"/>
      <c r="AA46" s="948"/>
      <c r="AB46" s="942">
        <f t="shared" si="10"/>
        <v>99.606999999999999</v>
      </c>
      <c r="AC46" s="939"/>
      <c r="AD46" s="939"/>
      <c r="AE46" s="939">
        <f>IFERROR('Шаблон 46 ГП'!F40/1000,0)</f>
        <v>0</v>
      </c>
      <c r="AF46" s="939">
        <f>IFERROR('Шаблон 46 ГП'!G40/1000+'Шаблон 46 ГП'!G41/1000+'Шаблон 46 ГП'!G42/1000,0)</f>
        <v>99.606999999999999</v>
      </c>
      <c r="AG46" s="949"/>
      <c r="AH46" s="942">
        <f t="shared" si="7"/>
        <v>3.4278841848464467</v>
      </c>
      <c r="AI46" s="892">
        <f>IF(AC46=0,0,AO46/AC46)</f>
        <v>0</v>
      </c>
      <c r="AJ46" s="892">
        <f>IF(AD46=0,0,AP46/AD46)</f>
        <v>0</v>
      </c>
      <c r="AK46" s="892">
        <f>IF(AE46=0,0,AQ46/AE46)</f>
        <v>0</v>
      </c>
      <c r="AL46" s="892">
        <f>IF(AF46=0,0,AR46/AF46)</f>
        <v>3.4278841848464467</v>
      </c>
      <c r="AM46" s="949"/>
      <c r="AN46" s="942">
        <f>SUM(AO46:AR46)</f>
        <v>341.44126</v>
      </c>
      <c r="AO46" s="939"/>
      <c r="AP46" s="939"/>
      <c r="AQ46" s="939">
        <f>IFERROR('Шаблон 46 ГП'!O40/1000,0)</f>
        <v>0</v>
      </c>
      <c r="AR46" s="939">
        <f>IFERROR('Шаблон 46 ГП'!P40/1000+'Шаблон 46 ГП'!P41/1000+'Шаблон 46 ГП'!P42/1000,0)</f>
        <v>341.44126</v>
      </c>
      <c r="AS46" s="938"/>
      <c r="AT46" s="942">
        <f t="shared" si="9"/>
        <v>341.44126</v>
      </c>
      <c r="AU46" s="948"/>
      <c r="AV46" s="948"/>
      <c r="AW46" s="909"/>
      <c r="AX46" s="909"/>
      <c r="AY46" s="909"/>
    </row>
    <row r="47" spans="1:51">
      <c r="D47" s="934" t="s">
        <v>813</v>
      </c>
      <c r="E47" s="947" t="s">
        <v>814</v>
      </c>
      <c r="F47" s="948"/>
      <c r="G47" s="892">
        <f t="shared" si="4"/>
        <v>0</v>
      </c>
      <c r="H47" s="892">
        <f>SUM(H48:H49)</f>
        <v>0</v>
      </c>
      <c r="I47" s="892">
        <f>SUM(I48:I49)</f>
        <v>0</v>
      </c>
      <c r="J47" s="892">
        <f>SUM(J48:J49)</f>
        <v>0</v>
      </c>
      <c r="K47" s="892">
        <f>SUM(K48:K49)</f>
        <v>0</v>
      </c>
      <c r="L47" s="949"/>
      <c r="M47" s="892">
        <f t="shared" si="5"/>
        <v>0</v>
      </c>
      <c r="N47" s="892">
        <f>SUM(N48:N49)</f>
        <v>0</v>
      </c>
      <c r="O47" s="892">
        <f>SUM(O48:O49)</f>
        <v>0</v>
      </c>
      <c r="P47" s="892">
        <f>SUM(P48:P49)</f>
        <v>0</v>
      </c>
      <c r="Q47" s="892">
        <f>SUM(Q48:Q49)</f>
        <v>0</v>
      </c>
      <c r="R47" s="949"/>
      <c r="S47" s="892">
        <f t="shared" si="6"/>
        <v>0</v>
      </c>
      <c r="T47" s="892">
        <f>SUM(T48:T49)</f>
        <v>0</v>
      </c>
      <c r="U47" s="892">
        <f>SUM(U48:U49)</f>
        <v>0</v>
      </c>
      <c r="V47" s="892">
        <f>SUM(V48:V49)</f>
        <v>0</v>
      </c>
      <c r="W47" s="892">
        <f>SUM(W48:W49)</f>
        <v>0</v>
      </c>
      <c r="X47" s="938"/>
      <c r="Y47" s="948"/>
      <c r="Z47" s="948"/>
      <c r="AA47" s="948"/>
      <c r="AB47" s="942">
        <f t="shared" si="10"/>
        <v>1389.135</v>
      </c>
      <c r="AC47" s="942">
        <f>AC48+AC49</f>
        <v>0</v>
      </c>
      <c r="AD47" s="942">
        <f>AD48+AD49</f>
        <v>0</v>
      </c>
      <c r="AE47" s="942">
        <f>AE48+AE49</f>
        <v>0</v>
      </c>
      <c r="AF47" s="942">
        <f>AF48+AF49</f>
        <v>1389.135</v>
      </c>
      <c r="AG47" s="949"/>
      <c r="AH47" s="942">
        <f t="shared" si="7"/>
        <v>5.2365875957821491</v>
      </c>
      <c r="AI47" s="942">
        <f>SUM(AI48:AI49)</f>
        <v>0</v>
      </c>
      <c r="AJ47" s="942">
        <f>SUM(AJ48:AJ49)</f>
        <v>0</v>
      </c>
      <c r="AK47" s="942">
        <f>SUM(AK48:AK49)</f>
        <v>0</v>
      </c>
      <c r="AL47" s="942">
        <f>SUM(AL48:AL49)</f>
        <v>5.2365875957821491</v>
      </c>
      <c r="AM47" s="949"/>
      <c r="AN47" s="942">
        <f t="shared" si="8"/>
        <v>3889.6049800000001</v>
      </c>
      <c r="AO47" s="942">
        <f>SUM(AO48:AO49)</f>
        <v>0</v>
      </c>
      <c r="AP47" s="942">
        <f>SUM(AP48:AP49)</f>
        <v>0</v>
      </c>
      <c r="AQ47" s="942">
        <f>SUM(AQ48:AQ49)</f>
        <v>0</v>
      </c>
      <c r="AR47" s="942">
        <f>SUM(AR48:AR49)</f>
        <v>3889.6049800000001</v>
      </c>
      <c r="AS47" s="938"/>
      <c r="AT47" s="942">
        <f t="shared" si="9"/>
        <v>3889.6049800000001</v>
      </c>
      <c r="AU47" s="948"/>
      <c r="AV47" s="948"/>
    </row>
    <row r="48" spans="1:51">
      <c r="D48" s="934" t="s">
        <v>815</v>
      </c>
      <c r="E48" s="951" t="s">
        <v>816</v>
      </c>
      <c r="F48" s="948"/>
      <c r="G48" s="892">
        <f t="shared" si="4"/>
        <v>0</v>
      </c>
      <c r="H48" s="944"/>
      <c r="I48" s="944"/>
      <c r="J48" s="944"/>
      <c r="K48" s="944"/>
      <c r="L48" s="949"/>
      <c r="M48" s="892">
        <f t="shared" si="5"/>
        <v>0</v>
      </c>
      <c r="N48" s="892">
        <f t="shared" ref="N48:Q49" si="11">IF(H48=0,0,T48/H48)</f>
        <v>0</v>
      </c>
      <c r="O48" s="892">
        <f t="shared" si="11"/>
        <v>0</v>
      </c>
      <c r="P48" s="892">
        <f t="shared" si="11"/>
        <v>0</v>
      </c>
      <c r="Q48" s="892">
        <f t="shared" si="11"/>
        <v>0</v>
      </c>
      <c r="R48" s="949"/>
      <c r="S48" s="892">
        <f t="shared" si="6"/>
        <v>0</v>
      </c>
      <c r="T48" s="944"/>
      <c r="U48" s="944"/>
      <c r="V48" s="944"/>
      <c r="W48" s="944"/>
      <c r="X48" s="938"/>
      <c r="Y48" s="948"/>
      <c r="Z48" s="948"/>
      <c r="AA48" s="948"/>
      <c r="AB48" s="942">
        <f t="shared" si="10"/>
        <v>927.73500000000001</v>
      </c>
      <c r="AC48" s="939"/>
      <c r="AD48" s="939"/>
      <c r="AE48" s="939">
        <f>IFERROR('Шаблон 46 ГП'!F64/1000,0)</f>
        <v>0</v>
      </c>
      <c r="AF48" s="939">
        <f>IFERROR('Шаблон 46 ГП'!G43/1000+'Шаблон 46 ГП'!G44/1000+'Шаблон 46 ГП'!G45/1000,0)</f>
        <v>927.73500000000001</v>
      </c>
      <c r="AG48" s="949"/>
      <c r="AH48" s="942">
        <f t="shared" si="7"/>
        <v>3.1596244401687978</v>
      </c>
      <c r="AI48" s="892">
        <f t="shared" ref="AI48:AL49" si="12">IF(AC48=0,0,AO48/AC48)</f>
        <v>0</v>
      </c>
      <c r="AJ48" s="892">
        <f t="shared" si="12"/>
        <v>0</v>
      </c>
      <c r="AK48" s="892">
        <f t="shared" si="12"/>
        <v>0</v>
      </c>
      <c r="AL48" s="892">
        <f t="shared" si="12"/>
        <v>3.1596244401687978</v>
      </c>
      <c r="AM48" s="949"/>
      <c r="AN48" s="942">
        <f t="shared" si="8"/>
        <v>2931.2941799999999</v>
      </c>
      <c r="AO48" s="939"/>
      <c r="AP48" s="939"/>
      <c r="AQ48" s="939">
        <f>IFERROR('Шаблон 46 ГП'!O64/1000,0)</f>
        <v>0</v>
      </c>
      <c r="AR48" s="939">
        <f>IFERROR('Шаблон 46 ГП'!P43/1000+'Шаблон 46 ГП'!P44/1000+'Шаблон 46 ГП'!P45/1000,0)</f>
        <v>2931.2941799999999</v>
      </c>
      <c r="AS48" s="938"/>
      <c r="AT48" s="942">
        <f t="shared" si="9"/>
        <v>2931.2941799999999</v>
      </c>
      <c r="AU48" s="948"/>
      <c r="AV48" s="948"/>
    </row>
    <row r="49" spans="1:51">
      <c r="D49" s="934" t="s">
        <v>817</v>
      </c>
      <c r="E49" s="951" t="s">
        <v>818</v>
      </c>
      <c r="F49" s="948"/>
      <c r="G49" s="892">
        <f t="shared" si="4"/>
        <v>0</v>
      </c>
      <c r="H49" s="944"/>
      <c r="I49" s="944"/>
      <c r="J49" s="944"/>
      <c r="K49" s="944"/>
      <c r="L49" s="949"/>
      <c r="M49" s="892">
        <f t="shared" si="5"/>
        <v>0</v>
      </c>
      <c r="N49" s="892">
        <f t="shared" si="11"/>
        <v>0</v>
      </c>
      <c r="O49" s="892">
        <f t="shared" si="11"/>
        <v>0</v>
      </c>
      <c r="P49" s="892">
        <f t="shared" si="11"/>
        <v>0</v>
      </c>
      <c r="Q49" s="892">
        <f t="shared" si="11"/>
        <v>0</v>
      </c>
      <c r="R49" s="949"/>
      <c r="S49" s="892">
        <f t="shared" si="6"/>
        <v>0</v>
      </c>
      <c r="T49" s="944"/>
      <c r="U49" s="944"/>
      <c r="V49" s="944"/>
      <c r="W49" s="944"/>
      <c r="X49" s="938"/>
      <c r="Y49" s="948"/>
      <c r="Z49" s="948"/>
      <c r="AA49" s="948"/>
      <c r="AB49" s="942">
        <f t="shared" si="10"/>
        <v>461.4</v>
      </c>
      <c r="AC49" s="939"/>
      <c r="AD49" s="939"/>
      <c r="AE49" s="939">
        <f>IFERROR('Шаблон 46 ГП'!F65/1000,0)</f>
        <v>0</v>
      </c>
      <c r="AF49" s="939">
        <f>IFERROR('Шаблон 46 ГП'!G46/1000+'Шаблон 46 ГП'!G47/1000+'Шаблон 46 ГП'!G48/1000,0)</f>
        <v>461.4</v>
      </c>
      <c r="AG49" s="949"/>
      <c r="AH49" s="942">
        <f t="shared" si="7"/>
        <v>2.0769631556133508</v>
      </c>
      <c r="AI49" s="892">
        <f t="shared" si="12"/>
        <v>0</v>
      </c>
      <c r="AJ49" s="892">
        <f t="shared" si="12"/>
        <v>0</v>
      </c>
      <c r="AK49" s="892">
        <f t="shared" si="12"/>
        <v>0</v>
      </c>
      <c r="AL49" s="892">
        <f t="shared" si="12"/>
        <v>2.0769631556133508</v>
      </c>
      <c r="AM49" s="949"/>
      <c r="AN49" s="942">
        <f t="shared" si="8"/>
        <v>958.31079999999997</v>
      </c>
      <c r="AO49" s="939"/>
      <c r="AP49" s="939"/>
      <c r="AQ49" s="939">
        <f>IFERROR('Шаблон 46 ГП'!O65/1000,0)</f>
        <v>0</v>
      </c>
      <c r="AR49" s="939">
        <f>IFERROR('Шаблон 46 ГП'!P46/1000+'Шаблон 46 ГП'!P47/1000+'Шаблон 46 ГП'!P48/1000,0)</f>
        <v>958.31079999999997</v>
      </c>
      <c r="AS49" s="938"/>
      <c r="AT49" s="942">
        <f t="shared" si="9"/>
        <v>958.31079999999997</v>
      </c>
      <c r="AU49" s="948"/>
      <c r="AV49" s="948"/>
    </row>
    <row r="50" spans="1:51">
      <c r="D50" s="934" t="s">
        <v>819</v>
      </c>
      <c r="E50" s="947" t="s">
        <v>820</v>
      </c>
      <c r="F50" s="948"/>
      <c r="G50" s="892">
        <f t="shared" si="4"/>
        <v>0</v>
      </c>
      <c r="H50" s="892">
        <f>SUM(H51:H53)</f>
        <v>0</v>
      </c>
      <c r="I50" s="892">
        <f>SUM(I51:I53)</f>
        <v>0</v>
      </c>
      <c r="J50" s="892">
        <f>SUM(J51:J53)</f>
        <v>0</v>
      </c>
      <c r="K50" s="892">
        <f>SUM(K51:K53)</f>
        <v>0</v>
      </c>
      <c r="L50" s="949"/>
      <c r="M50" s="892">
        <f t="shared" si="5"/>
        <v>0</v>
      </c>
      <c r="N50" s="892">
        <f>SUM(N51:N53)</f>
        <v>0</v>
      </c>
      <c r="O50" s="892">
        <f>SUM(O51:O53)</f>
        <v>0</v>
      </c>
      <c r="P50" s="892">
        <f>SUM(P51:P53)</f>
        <v>0</v>
      </c>
      <c r="Q50" s="892">
        <f>SUM(Q51:Q53)</f>
        <v>0</v>
      </c>
      <c r="R50" s="949"/>
      <c r="S50" s="892">
        <f t="shared" si="6"/>
        <v>0</v>
      </c>
      <c r="T50" s="892">
        <f>SUM(T51:T53)</f>
        <v>0</v>
      </c>
      <c r="U50" s="892">
        <f>SUM(U51:U53)</f>
        <v>0</v>
      </c>
      <c r="V50" s="892">
        <f>SUM(V51:V53)</f>
        <v>0</v>
      </c>
      <c r="W50" s="892">
        <f>SUM(W51:W53)</f>
        <v>0</v>
      </c>
      <c r="X50" s="938"/>
      <c r="Y50" s="948"/>
      <c r="Z50" s="948"/>
      <c r="AA50" s="948"/>
      <c r="AB50" s="942">
        <f t="shared" si="10"/>
        <v>0</v>
      </c>
      <c r="AC50" s="942">
        <v>0</v>
      </c>
      <c r="AD50" s="942">
        <v>0</v>
      </c>
      <c r="AE50" s="942">
        <v>0</v>
      </c>
      <c r="AF50" s="942">
        <v>0</v>
      </c>
      <c r="AG50" s="949"/>
      <c r="AH50" s="942">
        <f t="shared" si="7"/>
        <v>0</v>
      </c>
      <c r="AI50" s="942">
        <f>SUM(AI51:AI53)</f>
        <v>0</v>
      </c>
      <c r="AJ50" s="942">
        <f>SUM(AJ51:AJ53)</f>
        <v>0</v>
      </c>
      <c r="AK50" s="942">
        <f>SUM(AK51:AK53)</f>
        <v>0</v>
      </c>
      <c r="AL50" s="942">
        <f>SUM(AL51:AL53)</f>
        <v>0</v>
      </c>
      <c r="AM50" s="949"/>
      <c r="AN50" s="942">
        <f t="shared" si="8"/>
        <v>0</v>
      </c>
      <c r="AO50" s="942">
        <f>SUM(AO51:AO53)</f>
        <v>0</v>
      </c>
      <c r="AP50" s="942">
        <f>SUM(AP51:AP53)</f>
        <v>0</v>
      </c>
      <c r="AQ50" s="942">
        <f>SUM(AQ51:AQ53)</f>
        <v>0</v>
      </c>
      <c r="AR50" s="942">
        <f>SUM(AR51:AR53)</f>
        <v>0</v>
      </c>
      <c r="AS50" s="938"/>
      <c r="AT50" s="942">
        <f t="shared" si="9"/>
        <v>0</v>
      </c>
      <c r="AU50" s="948"/>
      <c r="AV50" s="948"/>
    </row>
    <row r="51" spans="1:51">
      <c r="D51" s="934" t="s">
        <v>821</v>
      </c>
      <c r="E51" s="951" t="s">
        <v>822</v>
      </c>
      <c r="F51" s="948"/>
      <c r="G51" s="892">
        <f t="shared" si="4"/>
        <v>0</v>
      </c>
      <c r="H51" s="944"/>
      <c r="I51" s="944"/>
      <c r="J51" s="944"/>
      <c r="K51" s="944"/>
      <c r="L51" s="949"/>
      <c r="M51" s="892">
        <f t="shared" si="5"/>
        <v>0</v>
      </c>
      <c r="N51" s="892">
        <f t="shared" ref="N51:Q53" si="13">IF(H51=0,0,T51/H51)</f>
        <v>0</v>
      </c>
      <c r="O51" s="892">
        <f t="shared" si="13"/>
        <v>0</v>
      </c>
      <c r="P51" s="892">
        <f t="shared" si="13"/>
        <v>0</v>
      </c>
      <c r="Q51" s="892">
        <f t="shared" si="13"/>
        <v>0</v>
      </c>
      <c r="R51" s="949"/>
      <c r="S51" s="892">
        <f t="shared" si="6"/>
        <v>0</v>
      </c>
      <c r="T51" s="944"/>
      <c r="U51" s="944"/>
      <c r="V51" s="944"/>
      <c r="W51" s="944"/>
      <c r="X51" s="938"/>
      <c r="Y51" s="948"/>
      <c r="Z51" s="948"/>
      <c r="AA51" s="948"/>
      <c r="AB51" s="942">
        <f t="shared" si="10"/>
        <v>0</v>
      </c>
      <c r="AC51" s="939"/>
      <c r="AD51" s="939"/>
      <c r="AE51" s="939"/>
      <c r="AF51" s="939"/>
      <c r="AG51" s="949"/>
      <c r="AH51" s="942">
        <f t="shared" si="7"/>
        <v>0</v>
      </c>
      <c r="AI51" s="892">
        <f t="shared" ref="AI51:AL53" si="14">IF(AC51=0,0,AO51/AC51)</f>
        <v>0</v>
      </c>
      <c r="AJ51" s="892">
        <f t="shared" si="14"/>
        <v>0</v>
      </c>
      <c r="AK51" s="892">
        <f t="shared" si="14"/>
        <v>0</v>
      </c>
      <c r="AL51" s="892">
        <f t="shared" si="14"/>
        <v>0</v>
      </c>
      <c r="AM51" s="949"/>
      <c r="AN51" s="942">
        <f t="shared" si="8"/>
        <v>0</v>
      </c>
      <c r="AO51" s="939"/>
      <c r="AP51" s="939"/>
      <c r="AQ51" s="939"/>
      <c r="AR51" s="939"/>
      <c r="AS51" s="938"/>
      <c r="AT51" s="942">
        <f t="shared" si="9"/>
        <v>0</v>
      </c>
      <c r="AU51" s="948"/>
      <c r="AV51" s="948"/>
    </row>
    <row r="52" spans="1:51">
      <c r="D52" s="934" t="s">
        <v>823</v>
      </c>
      <c r="E52" s="951" t="s">
        <v>824</v>
      </c>
      <c r="F52" s="948"/>
      <c r="G52" s="892">
        <f t="shared" si="4"/>
        <v>0</v>
      </c>
      <c r="H52" s="944"/>
      <c r="I52" s="944"/>
      <c r="J52" s="944"/>
      <c r="K52" s="944"/>
      <c r="L52" s="949"/>
      <c r="M52" s="892">
        <f t="shared" si="5"/>
        <v>0</v>
      </c>
      <c r="N52" s="892">
        <f t="shared" si="13"/>
        <v>0</v>
      </c>
      <c r="O52" s="892">
        <f t="shared" si="13"/>
        <v>0</v>
      </c>
      <c r="P52" s="892">
        <f t="shared" si="13"/>
        <v>0</v>
      </c>
      <c r="Q52" s="892">
        <f t="shared" si="13"/>
        <v>0</v>
      </c>
      <c r="R52" s="949"/>
      <c r="S52" s="892">
        <f t="shared" si="6"/>
        <v>0</v>
      </c>
      <c r="T52" s="944"/>
      <c r="U52" s="944"/>
      <c r="V52" s="944"/>
      <c r="W52" s="944"/>
      <c r="X52" s="938"/>
      <c r="Y52" s="948"/>
      <c r="Z52" s="948"/>
      <c r="AA52" s="948"/>
      <c r="AB52" s="942">
        <f t="shared" si="10"/>
        <v>0</v>
      </c>
      <c r="AC52" s="939"/>
      <c r="AD52" s="939"/>
      <c r="AE52" s="939"/>
      <c r="AF52" s="939"/>
      <c r="AG52" s="949"/>
      <c r="AH52" s="942">
        <f t="shared" si="7"/>
        <v>0</v>
      </c>
      <c r="AI52" s="892">
        <f t="shared" si="14"/>
        <v>0</v>
      </c>
      <c r="AJ52" s="892">
        <f t="shared" si="14"/>
        <v>0</v>
      </c>
      <c r="AK52" s="892">
        <f t="shared" si="14"/>
        <v>0</v>
      </c>
      <c r="AL52" s="892">
        <f t="shared" si="14"/>
        <v>0</v>
      </c>
      <c r="AM52" s="949"/>
      <c r="AN52" s="942">
        <f t="shared" si="8"/>
        <v>0</v>
      </c>
      <c r="AO52" s="939"/>
      <c r="AP52" s="939"/>
      <c r="AQ52" s="939"/>
      <c r="AR52" s="939"/>
      <c r="AS52" s="938"/>
      <c r="AT52" s="942">
        <f t="shared" si="9"/>
        <v>0</v>
      </c>
      <c r="AU52" s="948"/>
      <c r="AV52" s="948"/>
    </row>
    <row r="53" spans="1:51">
      <c r="D53" s="934" t="s">
        <v>825</v>
      </c>
      <c r="E53" s="951" t="s">
        <v>818</v>
      </c>
      <c r="F53" s="948"/>
      <c r="G53" s="892">
        <f t="shared" si="4"/>
        <v>0</v>
      </c>
      <c r="H53" s="944"/>
      <c r="I53" s="944"/>
      <c r="J53" s="944"/>
      <c r="K53" s="944"/>
      <c r="L53" s="949"/>
      <c r="M53" s="892">
        <f t="shared" si="5"/>
        <v>0</v>
      </c>
      <c r="N53" s="892">
        <f t="shared" si="13"/>
        <v>0</v>
      </c>
      <c r="O53" s="892">
        <f t="shared" si="13"/>
        <v>0</v>
      </c>
      <c r="P53" s="892">
        <f t="shared" si="13"/>
        <v>0</v>
      </c>
      <c r="Q53" s="892">
        <f t="shared" si="13"/>
        <v>0</v>
      </c>
      <c r="R53" s="949"/>
      <c r="S53" s="892">
        <f t="shared" si="6"/>
        <v>0</v>
      </c>
      <c r="T53" s="944"/>
      <c r="U53" s="944"/>
      <c r="V53" s="944"/>
      <c r="W53" s="944"/>
      <c r="X53" s="938"/>
      <c r="Y53" s="948"/>
      <c r="Z53" s="948"/>
      <c r="AA53" s="948"/>
      <c r="AB53" s="942">
        <f t="shared" si="10"/>
        <v>0</v>
      </c>
      <c r="AC53" s="939"/>
      <c r="AD53" s="939"/>
      <c r="AE53" s="939"/>
      <c r="AF53" s="939"/>
      <c r="AG53" s="949"/>
      <c r="AH53" s="942">
        <f t="shared" si="7"/>
        <v>0</v>
      </c>
      <c r="AI53" s="892">
        <f t="shared" si="14"/>
        <v>0</v>
      </c>
      <c r="AJ53" s="892">
        <f t="shared" si="14"/>
        <v>0</v>
      </c>
      <c r="AK53" s="892">
        <f t="shared" si="14"/>
        <v>0</v>
      </c>
      <c r="AL53" s="892">
        <f t="shared" si="14"/>
        <v>0</v>
      </c>
      <c r="AM53" s="949"/>
      <c r="AN53" s="942">
        <f t="shared" si="8"/>
        <v>0</v>
      </c>
      <c r="AO53" s="939"/>
      <c r="AP53" s="939"/>
      <c r="AQ53" s="939"/>
      <c r="AR53" s="939"/>
      <c r="AS53" s="938"/>
      <c r="AT53" s="942">
        <f t="shared" si="9"/>
        <v>0</v>
      </c>
      <c r="AU53" s="948"/>
      <c r="AV53" s="948"/>
    </row>
    <row r="54" spans="1:51" ht="34.5">
      <c r="D54" s="934" t="s">
        <v>826</v>
      </c>
      <c r="E54" s="952" t="s">
        <v>827</v>
      </c>
      <c r="F54" s="948"/>
      <c r="G54" s="892">
        <f t="shared" si="4"/>
        <v>0</v>
      </c>
      <c r="H54" s="892">
        <f>H56+H59+H55</f>
        <v>0</v>
      </c>
      <c r="I54" s="892">
        <f>I56+I59+I55</f>
        <v>0</v>
      </c>
      <c r="J54" s="892">
        <f>J56+J59+J55</f>
        <v>0</v>
      </c>
      <c r="K54" s="892">
        <f>K56+K59+K55</f>
        <v>0</v>
      </c>
      <c r="L54" s="949"/>
      <c r="M54" s="892">
        <f t="shared" si="5"/>
        <v>0</v>
      </c>
      <c r="N54" s="892">
        <f>N56+N59</f>
        <v>0</v>
      </c>
      <c r="O54" s="892">
        <f>O56+O59</f>
        <v>0</v>
      </c>
      <c r="P54" s="892">
        <f>P56+P59</f>
        <v>0</v>
      </c>
      <c r="Q54" s="892">
        <f>Q56+Q59</f>
        <v>0</v>
      </c>
      <c r="R54" s="949"/>
      <c r="S54" s="892">
        <f t="shared" si="6"/>
        <v>0</v>
      </c>
      <c r="T54" s="892">
        <f>T56+T59+T55</f>
        <v>0</v>
      </c>
      <c r="U54" s="892">
        <f>U56+U59+U55</f>
        <v>0</v>
      </c>
      <c r="V54" s="892">
        <f>V56+V59+V55</f>
        <v>0</v>
      </c>
      <c r="W54" s="892">
        <f>W56+W59+W55</f>
        <v>0</v>
      </c>
      <c r="X54" s="938"/>
      <c r="Y54" s="948"/>
      <c r="Z54" s="948"/>
      <c r="AA54" s="948"/>
      <c r="AB54" s="942">
        <f t="shared" si="10"/>
        <v>21214.106</v>
      </c>
      <c r="AC54" s="942">
        <f>AC55+AC56</f>
        <v>0</v>
      </c>
      <c r="AD54" s="942">
        <f>AD55+AD56</f>
        <v>0</v>
      </c>
      <c r="AE54" s="942">
        <f>AE55+AE56</f>
        <v>1662.1229999999998</v>
      </c>
      <c r="AF54" s="942">
        <f>AF55+AF56</f>
        <v>19551.983</v>
      </c>
      <c r="AG54" s="949"/>
      <c r="AH54" s="892">
        <f t="shared" si="7"/>
        <v>7.4228107476611758</v>
      </c>
      <c r="AI54" s="942">
        <f>AI56+AI59</f>
        <v>0</v>
      </c>
      <c r="AJ54" s="942">
        <f>AJ56+AJ59</f>
        <v>0</v>
      </c>
      <c r="AK54" s="942">
        <f>AK56+AK59</f>
        <v>3.7131148052103251</v>
      </c>
      <c r="AL54" s="942">
        <f>AL56+AL59</f>
        <v>3.7096959424508507</v>
      </c>
      <c r="AM54" s="949"/>
      <c r="AN54" s="942">
        <f t="shared" si="8"/>
        <v>46569.044069999989</v>
      </c>
      <c r="AO54" s="942">
        <f>AO56+AO59+AO55</f>
        <v>0</v>
      </c>
      <c r="AP54" s="942">
        <f>AP56+AP59+AP55</f>
        <v>0</v>
      </c>
      <c r="AQ54" s="942">
        <f>AQ56+AQ59+AQ55</f>
        <v>3420.2517100000005</v>
      </c>
      <c r="AR54" s="942">
        <f>AR56+AR59+AR55</f>
        <v>43148.792359999992</v>
      </c>
      <c r="AS54" s="938"/>
      <c r="AT54" s="942">
        <f t="shared" si="9"/>
        <v>46569.044069999989</v>
      </c>
      <c r="AU54" s="948"/>
      <c r="AV54" s="948"/>
    </row>
    <row r="55" spans="1:51" s="950" customFormat="1">
      <c r="A55" s="902"/>
      <c r="B55" s="902"/>
      <c r="C55" s="902"/>
      <c r="D55" s="934" t="s">
        <v>828</v>
      </c>
      <c r="E55" s="947" t="s">
        <v>812</v>
      </c>
      <c r="F55" s="948"/>
      <c r="G55" s="892">
        <f t="shared" si="4"/>
        <v>0</v>
      </c>
      <c r="H55" s="944"/>
      <c r="I55" s="944"/>
      <c r="J55" s="944"/>
      <c r="K55" s="944"/>
      <c r="L55" s="949"/>
      <c r="M55" s="892">
        <f t="shared" si="5"/>
        <v>0</v>
      </c>
      <c r="N55" s="892">
        <f>IF(H55=0,0,T55/H55)</f>
        <v>0</v>
      </c>
      <c r="O55" s="892">
        <f>IF(I55=0,0,U55/I55)</f>
        <v>0</v>
      </c>
      <c r="P55" s="892">
        <f>IF(J55=0,0,V55/J55)</f>
        <v>0</v>
      </c>
      <c r="Q55" s="892">
        <f>IF(K55=0,0,W55/K55)</f>
        <v>0</v>
      </c>
      <c r="R55" s="949"/>
      <c r="S55" s="892">
        <f t="shared" si="6"/>
        <v>0</v>
      </c>
      <c r="T55" s="944"/>
      <c r="U55" s="944"/>
      <c r="V55" s="944"/>
      <c r="W55" s="944"/>
      <c r="X55" s="938"/>
      <c r="Y55" s="948"/>
      <c r="Z55" s="948"/>
      <c r="AA55" s="948"/>
      <c r="AB55" s="942">
        <f t="shared" si="10"/>
        <v>7405.7150000000011</v>
      </c>
      <c r="AC55" s="939"/>
      <c r="AD55" s="939"/>
      <c r="AE55" s="939">
        <f>IFERROR('Шаблон 46 ГП'!F28/1000+'Шаблон 46 ГП'!F37/1000+'Шаблон 46 ГП'!F29/1000+'Шаблон 46 ГП'!F30/1000,0)</f>
        <v>44.194000000000003</v>
      </c>
      <c r="AF55" s="939">
        <f>IFERROR('Шаблон 46 ГП'!G28/1000+'Шаблон 46 ГП'!G37/1000+'Шаблон 46 ГП'!G29/1000+'Шаблон 46 ГП'!G30/1000,0)</f>
        <v>7361.5210000000006</v>
      </c>
      <c r="AG55" s="949"/>
      <c r="AH55" s="942">
        <f t="shared" si="7"/>
        <v>4.9263868083076385</v>
      </c>
      <c r="AI55" s="892">
        <f>IF(AC55=0,0,AO55/AC55)</f>
        <v>0</v>
      </c>
      <c r="AJ55" s="892">
        <f>IF(AD55=0,0,AP55/AD55)</f>
        <v>0</v>
      </c>
      <c r="AK55" s="892">
        <f>IF(AE55=0,0,AQ55/AE55)</f>
        <v>2.4590166085894012</v>
      </c>
      <c r="AL55" s="892">
        <f>IF(AF55=0,0,AR55/AF55)</f>
        <v>2.4673701997182369</v>
      </c>
      <c r="AM55" s="949"/>
      <c r="AN55" s="942">
        <f>SUM(AO55:AR55)</f>
        <v>18272.271319999996</v>
      </c>
      <c r="AO55" s="939"/>
      <c r="AP55" s="939"/>
      <c r="AQ55" s="939">
        <f>IFERROR('Шаблон 46 ГП'!O28/1000+'Шаблон 46 ГП'!O37/1000+'Шаблон 46 ГП'!O29/1000+'Шаблон 46 ГП'!O30/1000,0)</f>
        <v>108.67377999999999</v>
      </c>
      <c r="AR55" s="939">
        <f>IFERROR('Шаблон 46 ГП'!P28/1000+'Шаблон 46 ГП'!P37/1000+'Шаблон 46 ГП'!P29/1000+'Шаблон 46 ГП'!P30/1000,0)</f>
        <v>18163.597539999995</v>
      </c>
      <c r="AS55" s="938"/>
      <c r="AT55" s="942">
        <f t="shared" si="9"/>
        <v>18272.271319999996</v>
      </c>
      <c r="AU55" s="948"/>
      <c r="AV55" s="948"/>
      <c r="AW55" s="909"/>
      <c r="AX55" s="909"/>
      <c r="AY55" s="909"/>
    </row>
    <row r="56" spans="1:51">
      <c r="D56" s="934" t="s">
        <v>829</v>
      </c>
      <c r="E56" s="947" t="s">
        <v>814</v>
      </c>
      <c r="F56" s="948"/>
      <c r="G56" s="892">
        <f t="shared" si="4"/>
        <v>0</v>
      </c>
      <c r="H56" s="892">
        <f>SUM(H57:H58)</f>
        <v>0</v>
      </c>
      <c r="I56" s="892">
        <f>SUM(I57:I58)</f>
        <v>0</v>
      </c>
      <c r="J56" s="892">
        <f>SUM(J57:J58)</f>
        <v>0</v>
      </c>
      <c r="K56" s="892">
        <f>SUM(K57:K58)</f>
        <v>0</v>
      </c>
      <c r="L56" s="949"/>
      <c r="M56" s="892">
        <f t="shared" si="5"/>
        <v>0</v>
      </c>
      <c r="N56" s="892">
        <f>SUM(N57:N58)</f>
        <v>0</v>
      </c>
      <c r="O56" s="892">
        <f>SUM(O57:O58)</f>
        <v>0</v>
      </c>
      <c r="P56" s="892">
        <f>SUM(P57:P58)</f>
        <v>0</v>
      </c>
      <c r="Q56" s="892">
        <f>SUM(Q57:Q58)</f>
        <v>0</v>
      </c>
      <c r="R56" s="949"/>
      <c r="S56" s="892">
        <f t="shared" si="6"/>
        <v>0</v>
      </c>
      <c r="T56" s="892">
        <f>SUM(T57:T58)</f>
        <v>0</v>
      </c>
      <c r="U56" s="892">
        <f>SUM(U57:U58)</f>
        <v>0</v>
      </c>
      <c r="V56" s="892">
        <f>SUM(V57:V58)</f>
        <v>0</v>
      </c>
      <c r="W56" s="892">
        <f>SUM(W57:W58)</f>
        <v>0</v>
      </c>
      <c r="X56" s="938"/>
      <c r="Y56" s="948"/>
      <c r="Z56" s="948"/>
      <c r="AA56" s="948"/>
      <c r="AB56" s="942">
        <f t="shared" si="10"/>
        <v>13808.391</v>
      </c>
      <c r="AC56" s="942">
        <f>AC57+AC58</f>
        <v>0</v>
      </c>
      <c r="AD56" s="942">
        <f>AD57+AD58</f>
        <v>0</v>
      </c>
      <c r="AE56" s="942">
        <f>AE57+AE58</f>
        <v>1617.9289999999999</v>
      </c>
      <c r="AF56" s="942">
        <f>AF57+AF58</f>
        <v>12190.462</v>
      </c>
      <c r="AG56" s="949"/>
      <c r="AH56" s="942">
        <f t="shared" si="7"/>
        <v>7.4228107476611758</v>
      </c>
      <c r="AI56" s="942">
        <f>SUM(AI57:AI58)</f>
        <v>0</v>
      </c>
      <c r="AJ56" s="942">
        <f>SUM(AJ57:AJ58)</f>
        <v>0</v>
      </c>
      <c r="AK56" s="942">
        <f>SUM(AK57:AK58)</f>
        <v>3.7131148052103251</v>
      </c>
      <c r="AL56" s="942">
        <f>SUM(AL57:AL58)</f>
        <v>3.7096959424508507</v>
      </c>
      <c r="AM56" s="949"/>
      <c r="AN56" s="942">
        <f t="shared" si="8"/>
        <v>28296.77275</v>
      </c>
      <c r="AO56" s="942">
        <f>SUM(AO57:AO58)</f>
        <v>0</v>
      </c>
      <c r="AP56" s="942">
        <f>SUM(AP57:AP58)</f>
        <v>0</v>
      </c>
      <c r="AQ56" s="942">
        <f>SUM(AQ57:AQ58)</f>
        <v>3311.5779300000004</v>
      </c>
      <c r="AR56" s="942">
        <f>SUM(AR57:AR58)</f>
        <v>24985.194820000001</v>
      </c>
      <c r="AS56" s="938"/>
      <c r="AT56" s="942">
        <f t="shared" si="9"/>
        <v>28296.77275</v>
      </c>
      <c r="AU56" s="948"/>
      <c r="AV56" s="948"/>
    </row>
    <row r="57" spans="1:51">
      <c r="D57" s="934" t="s">
        <v>830</v>
      </c>
      <c r="E57" s="951" t="s">
        <v>816</v>
      </c>
      <c r="F57" s="948"/>
      <c r="G57" s="892">
        <f t="shared" si="4"/>
        <v>0</v>
      </c>
      <c r="H57" s="944"/>
      <c r="I57" s="944"/>
      <c r="J57" s="944"/>
      <c r="K57" s="944"/>
      <c r="L57" s="949"/>
      <c r="M57" s="892">
        <f t="shared" si="5"/>
        <v>0</v>
      </c>
      <c r="N57" s="892">
        <f t="shared" ref="N57:Q58" si="15">IF(H57=0,0,T57/H57)</f>
        <v>0</v>
      </c>
      <c r="O57" s="892">
        <f t="shared" si="15"/>
        <v>0</v>
      </c>
      <c r="P57" s="892">
        <f t="shared" si="15"/>
        <v>0</v>
      </c>
      <c r="Q57" s="892">
        <f t="shared" si="15"/>
        <v>0</v>
      </c>
      <c r="R57" s="949"/>
      <c r="S57" s="892">
        <f t="shared" si="6"/>
        <v>0</v>
      </c>
      <c r="T57" s="944"/>
      <c r="U57" s="944"/>
      <c r="V57" s="944"/>
      <c r="W57" s="944"/>
      <c r="X57" s="938"/>
      <c r="Y57" s="948"/>
      <c r="Z57" s="948"/>
      <c r="AA57" s="948"/>
      <c r="AB57" s="942">
        <f t="shared" si="10"/>
        <v>10289.921999999999</v>
      </c>
      <c r="AC57" s="939"/>
      <c r="AD57" s="939"/>
      <c r="AE57" s="939">
        <f>IFERROR('Шаблон 46 ГП'!F31/1000+'Шаблон 46 ГП'!F32/1000+'Шаблон 46 ГП'!F33/1000,0)</f>
        <v>1212.7449999999999</v>
      </c>
      <c r="AF57" s="939">
        <f>IFERROR('Шаблон 46 ГП'!G31/1000+'Шаблон 46 ГП'!G38/1000+'Шаблон 46 ГП'!G32/1000+'Шаблон 46 ГП'!G33/1000,0)</f>
        <v>9077.1769999999997</v>
      </c>
      <c r="AG57" s="949"/>
      <c r="AH57" s="942">
        <f t="shared" si="7"/>
        <v>4.490571684194216</v>
      </c>
      <c r="AI57" s="892">
        <f t="shared" ref="AI57:AL58" si="16">IF(AC57=0,0,AO57/AC57)</f>
        <v>0</v>
      </c>
      <c r="AJ57" s="892">
        <f t="shared" si="16"/>
        <v>0</v>
      </c>
      <c r="AK57" s="892">
        <f t="shared" si="16"/>
        <v>2.2377049173569055</v>
      </c>
      <c r="AL57" s="892">
        <f t="shared" si="16"/>
        <v>2.2528667668373106</v>
      </c>
      <c r="AM57" s="949"/>
      <c r="AN57" s="942">
        <f t="shared" si="8"/>
        <v>23163.435849999998</v>
      </c>
      <c r="AO57" s="939"/>
      <c r="AP57" s="939"/>
      <c r="AQ57" s="939">
        <f>IFERROR('Шаблон 46 ГП'!O31/1000+'Шаблон 46 ГП'!O32/1000+'Шаблон 46 ГП'!O33/1000,0)</f>
        <v>2713.7654500000003</v>
      </c>
      <c r="AR57" s="939">
        <f>IFERROR('Шаблон 46 ГП'!P31/1000+'Шаблон 46 ГП'!P38/1000+'Шаблон 46 ГП'!P32/1000+'Шаблон 46 ГП'!P33/1000,0)</f>
        <v>20449.670399999999</v>
      </c>
      <c r="AS57" s="938"/>
      <c r="AT57" s="942">
        <f t="shared" si="9"/>
        <v>23163.435849999998</v>
      </c>
      <c r="AU57" s="948"/>
      <c r="AV57" s="948"/>
    </row>
    <row r="58" spans="1:51">
      <c r="D58" s="934" t="s">
        <v>831</v>
      </c>
      <c r="E58" s="951" t="s">
        <v>818</v>
      </c>
      <c r="F58" s="948"/>
      <c r="G58" s="892">
        <f t="shared" si="4"/>
        <v>0</v>
      </c>
      <c r="H58" s="944"/>
      <c r="I58" s="944"/>
      <c r="J58" s="944"/>
      <c r="K58" s="944"/>
      <c r="L58" s="949"/>
      <c r="M58" s="892">
        <f t="shared" si="5"/>
        <v>0</v>
      </c>
      <c r="N58" s="892">
        <f t="shared" si="15"/>
        <v>0</v>
      </c>
      <c r="O58" s="892">
        <f t="shared" si="15"/>
        <v>0</v>
      </c>
      <c r="P58" s="892">
        <f t="shared" si="15"/>
        <v>0</v>
      </c>
      <c r="Q58" s="892">
        <f t="shared" si="15"/>
        <v>0</v>
      </c>
      <c r="R58" s="949"/>
      <c r="S58" s="892">
        <f t="shared" si="6"/>
        <v>0</v>
      </c>
      <c r="T58" s="944"/>
      <c r="U58" s="944"/>
      <c r="V58" s="944"/>
      <c r="W58" s="944"/>
      <c r="X58" s="938"/>
      <c r="Y58" s="948"/>
      <c r="Z58" s="948"/>
      <c r="AA58" s="948"/>
      <c r="AB58" s="942">
        <f t="shared" si="10"/>
        <v>3518.4690000000001</v>
      </c>
      <c r="AC58" s="939"/>
      <c r="AD58" s="939"/>
      <c r="AE58" s="939">
        <f>IFERROR('Шаблон 46 ГП'!F34/1000+'Шаблон 46 ГП'!F35/1000+'Шаблон 46 ГП'!F36/1000,0)</f>
        <v>405.18400000000003</v>
      </c>
      <c r="AF58" s="939">
        <f>IFERROR('Шаблон 46 ГП'!G34/1000+'Шаблон 46 ГП'!G39/1000+'Шаблон 46 ГП'!G35/1000+'Шаблон 46 ГП'!G36/1000,0)</f>
        <v>3113.2849999999999</v>
      </c>
      <c r="AG58" s="949"/>
      <c r="AH58" s="942">
        <f t="shared" si="7"/>
        <v>2.9322390634669597</v>
      </c>
      <c r="AI58" s="892">
        <f t="shared" si="16"/>
        <v>0</v>
      </c>
      <c r="AJ58" s="892">
        <f t="shared" si="16"/>
        <v>0</v>
      </c>
      <c r="AK58" s="892">
        <f t="shared" si="16"/>
        <v>1.4754098878534194</v>
      </c>
      <c r="AL58" s="892">
        <f t="shared" si="16"/>
        <v>1.4568291756135403</v>
      </c>
      <c r="AM58" s="949"/>
      <c r="AN58" s="942">
        <f t="shared" si="8"/>
        <v>5133.3369000000002</v>
      </c>
      <c r="AO58" s="939"/>
      <c r="AP58" s="939"/>
      <c r="AQ58" s="939">
        <f>IFERROR('Шаблон 46 ГП'!O34/1000+'Шаблон 46 ГП'!O35/1000+'Шаблон 46 ГП'!O36/1000,0)</f>
        <v>597.81247999999994</v>
      </c>
      <c r="AR58" s="939">
        <f>IFERROR('Шаблон 46 ГП'!P34/1000+'Шаблон 46 ГП'!P39/1000+'Шаблон 46 ГП'!P35/1000+'Шаблон 46 ГП'!P36/1000,0)</f>
        <v>4535.5244200000006</v>
      </c>
      <c r="AS58" s="938"/>
      <c r="AT58" s="942">
        <f t="shared" si="9"/>
        <v>5133.3369000000002</v>
      </c>
      <c r="AU58" s="948"/>
      <c r="AV58" s="948"/>
    </row>
    <row r="59" spans="1:51">
      <c r="D59" s="934" t="s">
        <v>832</v>
      </c>
      <c r="E59" s="947" t="s">
        <v>820</v>
      </c>
      <c r="F59" s="948"/>
      <c r="G59" s="892">
        <f t="shared" si="4"/>
        <v>0</v>
      </c>
      <c r="H59" s="892">
        <f>SUM(H60:H62)</f>
        <v>0</v>
      </c>
      <c r="I59" s="892">
        <f>SUM(I60:I62)</f>
        <v>0</v>
      </c>
      <c r="J59" s="892">
        <f>SUM(J60:J62)</f>
        <v>0</v>
      </c>
      <c r="K59" s="892">
        <f>SUM(K60:K62)</f>
        <v>0</v>
      </c>
      <c r="L59" s="949"/>
      <c r="M59" s="892">
        <f t="shared" si="5"/>
        <v>0</v>
      </c>
      <c r="N59" s="892">
        <f>SUM(N60:N62)</f>
        <v>0</v>
      </c>
      <c r="O59" s="892">
        <f>SUM(O60:O62)</f>
        <v>0</v>
      </c>
      <c r="P59" s="892">
        <f>SUM(P60:P62)</f>
        <v>0</v>
      </c>
      <c r="Q59" s="892">
        <f>SUM(Q60:Q62)</f>
        <v>0</v>
      </c>
      <c r="R59" s="949"/>
      <c r="S59" s="892">
        <f t="shared" si="6"/>
        <v>0</v>
      </c>
      <c r="T59" s="892">
        <f>SUM(T60:T62)</f>
        <v>0</v>
      </c>
      <c r="U59" s="892">
        <f>SUM(U60:U62)</f>
        <v>0</v>
      </c>
      <c r="V59" s="892">
        <f>SUM(V60:V62)</f>
        <v>0</v>
      </c>
      <c r="W59" s="892">
        <f>SUM(W60:W62)</f>
        <v>0</v>
      </c>
      <c r="X59" s="938"/>
      <c r="Y59" s="948"/>
      <c r="Z59" s="948"/>
      <c r="AA59" s="948"/>
      <c r="AB59" s="942">
        <f t="shared" si="10"/>
        <v>0</v>
      </c>
      <c r="AC59" s="942">
        <v>0</v>
      </c>
      <c r="AD59" s="942">
        <v>0</v>
      </c>
      <c r="AE59" s="942">
        <v>0</v>
      </c>
      <c r="AF59" s="942">
        <v>0</v>
      </c>
      <c r="AG59" s="949"/>
      <c r="AH59" s="942">
        <f t="shared" si="7"/>
        <v>0</v>
      </c>
      <c r="AI59" s="942">
        <f>SUM(AI60:AI62)</f>
        <v>0</v>
      </c>
      <c r="AJ59" s="942">
        <f>SUM(AJ60:AJ62)</f>
        <v>0</v>
      </c>
      <c r="AK59" s="942">
        <f>SUM(AK60:AK62)</f>
        <v>0</v>
      </c>
      <c r="AL59" s="942">
        <f>SUM(AL60:AL62)</f>
        <v>0</v>
      </c>
      <c r="AM59" s="949"/>
      <c r="AN59" s="942">
        <f t="shared" si="8"/>
        <v>0</v>
      </c>
      <c r="AO59" s="942">
        <f>SUM(AO60:AO62)</f>
        <v>0</v>
      </c>
      <c r="AP59" s="942">
        <f>SUM(AP60:AP62)</f>
        <v>0</v>
      </c>
      <c r="AQ59" s="942">
        <f>SUM(AQ60:AQ62)</f>
        <v>0</v>
      </c>
      <c r="AR59" s="942">
        <f>SUM(AR60:AR62)</f>
        <v>0</v>
      </c>
      <c r="AS59" s="938"/>
      <c r="AT59" s="942">
        <f t="shared" si="9"/>
        <v>0</v>
      </c>
      <c r="AU59" s="948"/>
      <c r="AV59" s="948"/>
    </row>
    <row r="60" spans="1:51">
      <c r="D60" s="934" t="s">
        <v>833</v>
      </c>
      <c r="E60" s="951" t="s">
        <v>822</v>
      </c>
      <c r="F60" s="948"/>
      <c r="G60" s="892">
        <f t="shared" si="4"/>
        <v>0</v>
      </c>
      <c r="H60" s="944"/>
      <c r="I60" s="944"/>
      <c r="J60" s="944"/>
      <c r="K60" s="944"/>
      <c r="L60" s="949"/>
      <c r="M60" s="892">
        <f t="shared" si="5"/>
        <v>0</v>
      </c>
      <c r="N60" s="892">
        <f t="shared" ref="N60:Q62" si="17">IF(H60=0,0,T60/H60)</f>
        <v>0</v>
      </c>
      <c r="O60" s="892">
        <f t="shared" si="17"/>
        <v>0</v>
      </c>
      <c r="P60" s="892">
        <f t="shared" si="17"/>
        <v>0</v>
      </c>
      <c r="Q60" s="892">
        <f t="shared" si="17"/>
        <v>0</v>
      </c>
      <c r="R60" s="949"/>
      <c r="S60" s="892">
        <f t="shared" si="6"/>
        <v>0</v>
      </c>
      <c r="T60" s="944"/>
      <c r="U60" s="944"/>
      <c r="V60" s="944"/>
      <c r="W60" s="944"/>
      <c r="X60" s="938"/>
      <c r="Y60" s="948"/>
      <c r="Z60" s="948"/>
      <c r="AA60" s="948"/>
      <c r="AB60" s="942">
        <f t="shared" si="10"/>
        <v>0</v>
      </c>
      <c r="AC60" s="939"/>
      <c r="AD60" s="939"/>
      <c r="AE60" s="939"/>
      <c r="AF60" s="939"/>
      <c r="AG60" s="949"/>
      <c r="AH60" s="942">
        <f t="shared" si="7"/>
        <v>0</v>
      </c>
      <c r="AI60" s="892">
        <f t="shared" ref="AI60:AL62" si="18">IF(AC60=0,0,AO60/AC60)</f>
        <v>0</v>
      </c>
      <c r="AJ60" s="892">
        <f t="shared" si="18"/>
        <v>0</v>
      </c>
      <c r="AK60" s="892">
        <f t="shared" si="18"/>
        <v>0</v>
      </c>
      <c r="AL60" s="892">
        <f t="shared" si="18"/>
        <v>0</v>
      </c>
      <c r="AM60" s="949"/>
      <c r="AN60" s="942">
        <f t="shared" si="8"/>
        <v>0</v>
      </c>
      <c r="AO60" s="939"/>
      <c r="AP60" s="939"/>
      <c r="AQ60" s="939"/>
      <c r="AR60" s="939"/>
      <c r="AS60" s="938"/>
      <c r="AT60" s="942">
        <f t="shared" si="9"/>
        <v>0</v>
      </c>
      <c r="AU60" s="948"/>
      <c r="AV60" s="948"/>
    </row>
    <row r="61" spans="1:51">
      <c r="D61" s="934" t="s">
        <v>834</v>
      </c>
      <c r="E61" s="951" t="s">
        <v>824</v>
      </c>
      <c r="F61" s="948"/>
      <c r="G61" s="892">
        <f t="shared" si="4"/>
        <v>0</v>
      </c>
      <c r="H61" s="944"/>
      <c r="I61" s="944"/>
      <c r="J61" s="944"/>
      <c r="K61" s="944"/>
      <c r="L61" s="949"/>
      <c r="M61" s="892">
        <f t="shared" si="5"/>
        <v>0</v>
      </c>
      <c r="N61" s="892">
        <f t="shared" si="17"/>
        <v>0</v>
      </c>
      <c r="O61" s="892">
        <f t="shared" si="17"/>
        <v>0</v>
      </c>
      <c r="P61" s="892">
        <f t="shared" si="17"/>
        <v>0</v>
      </c>
      <c r="Q61" s="892">
        <f t="shared" si="17"/>
        <v>0</v>
      </c>
      <c r="R61" s="949"/>
      <c r="S61" s="892">
        <f t="shared" si="6"/>
        <v>0</v>
      </c>
      <c r="T61" s="944"/>
      <c r="U61" s="944"/>
      <c r="V61" s="944"/>
      <c r="W61" s="944"/>
      <c r="X61" s="938"/>
      <c r="Y61" s="948"/>
      <c r="Z61" s="948"/>
      <c r="AA61" s="948"/>
      <c r="AB61" s="942">
        <f t="shared" si="10"/>
        <v>0</v>
      </c>
      <c r="AC61" s="939"/>
      <c r="AD61" s="939"/>
      <c r="AE61" s="939"/>
      <c r="AF61" s="939"/>
      <c r="AG61" s="949"/>
      <c r="AH61" s="942">
        <f t="shared" si="7"/>
        <v>0</v>
      </c>
      <c r="AI61" s="892">
        <f t="shared" si="18"/>
        <v>0</v>
      </c>
      <c r="AJ61" s="892">
        <f t="shared" si="18"/>
        <v>0</v>
      </c>
      <c r="AK61" s="892">
        <f t="shared" si="18"/>
        <v>0</v>
      </c>
      <c r="AL61" s="892">
        <f t="shared" si="18"/>
        <v>0</v>
      </c>
      <c r="AM61" s="949"/>
      <c r="AN61" s="942">
        <f t="shared" si="8"/>
        <v>0</v>
      </c>
      <c r="AO61" s="939"/>
      <c r="AP61" s="939"/>
      <c r="AQ61" s="939"/>
      <c r="AR61" s="939"/>
      <c r="AS61" s="938"/>
      <c r="AT61" s="942">
        <f t="shared" si="9"/>
        <v>0</v>
      </c>
      <c r="AU61" s="948"/>
      <c r="AV61" s="948"/>
    </row>
    <row r="62" spans="1:51">
      <c r="D62" s="934" t="s">
        <v>835</v>
      </c>
      <c r="E62" s="951" t="s">
        <v>818</v>
      </c>
      <c r="F62" s="948"/>
      <c r="G62" s="892">
        <f t="shared" si="4"/>
        <v>0</v>
      </c>
      <c r="H62" s="944"/>
      <c r="I62" s="944"/>
      <c r="J62" s="944"/>
      <c r="K62" s="944"/>
      <c r="L62" s="949"/>
      <c r="M62" s="892">
        <f t="shared" si="5"/>
        <v>0</v>
      </c>
      <c r="N62" s="892">
        <f t="shared" si="17"/>
        <v>0</v>
      </c>
      <c r="O62" s="892">
        <f t="shared" si="17"/>
        <v>0</v>
      </c>
      <c r="P62" s="892">
        <f t="shared" si="17"/>
        <v>0</v>
      </c>
      <c r="Q62" s="892">
        <f t="shared" si="17"/>
        <v>0</v>
      </c>
      <c r="R62" s="949"/>
      <c r="S62" s="892">
        <f t="shared" si="6"/>
        <v>0</v>
      </c>
      <c r="T62" s="944"/>
      <c r="U62" s="944"/>
      <c r="V62" s="944"/>
      <c r="W62" s="944"/>
      <c r="X62" s="938"/>
      <c r="Y62" s="948"/>
      <c r="Z62" s="948"/>
      <c r="AA62" s="948"/>
      <c r="AB62" s="942">
        <f t="shared" si="10"/>
        <v>0</v>
      </c>
      <c r="AC62" s="939"/>
      <c r="AD62" s="939"/>
      <c r="AE62" s="939"/>
      <c r="AF62" s="939"/>
      <c r="AG62" s="949"/>
      <c r="AH62" s="942">
        <f t="shared" si="7"/>
        <v>0</v>
      </c>
      <c r="AI62" s="892">
        <f t="shared" si="18"/>
        <v>0</v>
      </c>
      <c r="AJ62" s="892">
        <f t="shared" si="18"/>
        <v>0</v>
      </c>
      <c r="AK62" s="892">
        <f t="shared" si="18"/>
        <v>0</v>
      </c>
      <c r="AL62" s="892">
        <f t="shared" si="18"/>
        <v>0</v>
      </c>
      <c r="AM62" s="949"/>
      <c r="AN62" s="942">
        <f t="shared" si="8"/>
        <v>0</v>
      </c>
      <c r="AO62" s="939"/>
      <c r="AP62" s="939"/>
      <c r="AQ62" s="939"/>
      <c r="AR62" s="939"/>
      <c r="AS62" s="938"/>
      <c r="AT62" s="942">
        <f t="shared" si="9"/>
        <v>0</v>
      </c>
      <c r="AU62" s="948"/>
      <c r="AV62" s="948"/>
    </row>
    <row r="63" spans="1:51">
      <c r="D63" s="934" t="s">
        <v>836</v>
      </c>
      <c r="E63" s="947" t="s">
        <v>837</v>
      </c>
      <c r="F63" s="948"/>
      <c r="G63" s="892">
        <f t="shared" si="4"/>
        <v>0</v>
      </c>
      <c r="H63" s="892">
        <f>SUM(H64,H65,H68)</f>
        <v>0</v>
      </c>
      <c r="I63" s="892">
        <f>SUM(I64,I65,I68)</f>
        <v>0</v>
      </c>
      <c r="J63" s="892">
        <f>SUM(J64,J65,J68)</f>
        <v>0</v>
      </c>
      <c r="K63" s="892">
        <f>SUM(K64,K65,K68)</f>
        <v>0</v>
      </c>
      <c r="L63" s="949"/>
      <c r="M63" s="892">
        <f t="shared" si="5"/>
        <v>0</v>
      </c>
      <c r="N63" s="892">
        <f>N65+N68</f>
        <v>0</v>
      </c>
      <c r="O63" s="892">
        <f>O65+O68</f>
        <v>0</v>
      </c>
      <c r="P63" s="892">
        <f>P65+P68</f>
        <v>0</v>
      </c>
      <c r="Q63" s="892">
        <f>Q65+Q68</f>
        <v>0</v>
      </c>
      <c r="R63" s="949"/>
      <c r="S63" s="892">
        <f t="shared" si="6"/>
        <v>0</v>
      </c>
      <c r="T63" s="892">
        <f>T65+T69+T64</f>
        <v>0</v>
      </c>
      <c r="U63" s="892">
        <f>U65+U69+U64</f>
        <v>0</v>
      </c>
      <c r="V63" s="892">
        <f>V65+V69+V64</f>
        <v>0</v>
      </c>
      <c r="W63" s="892">
        <f>W65+W69+W64</f>
        <v>0</v>
      </c>
      <c r="X63" s="938"/>
      <c r="Y63" s="948"/>
      <c r="Z63" s="948"/>
      <c r="AA63" s="948"/>
      <c r="AB63" s="942">
        <f t="shared" si="10"/>
        <v>0</v>
      </c>
      <c r="AC63" s="942">
        <v>0</v>
      </c>
      <c r="AD63" s="942">
        <v>0</v>
      </c>
      <c r="AE63" s="942">
        <v>0</v>
      </c>
      <c r="AF63" s="942">
        <v>0</v>
      </c>
      <c r="AG63" s="949"/>
      <c r="AH63" s="942">
        <f t="shared" si="7"/>
        <v>0</v>
      </c>
      <c r="AI63" s="942">
        <f>AI65+AI68</f>
        <v>0</v>
      </c>
      <c r="AJ63" s="942">
        <f>AJ65+AJ68</f>
        <v>0</v>
      </c>
      <c r="AK63" s="942">
        <f>AK65+AK68</f>
        <v>0</v>
      </c>
      <c r="AL63" s="942">
        <f>AL65+AL68</f>
        <v>0</v>
      </c>
      <c r="AM63" s="949"/>
      <c r="AN63" s="942">
        <f t="shared" si="8"/>
        <v>0</v>
      </c>
      <c r="AO63" s="942">
        <f>AO65+AO69+AO64</f>
        <v>0</v>
      </c>
      <c r="AP63" s="942">
        <f>AP65+AP69+AP64</f>
        <v>0</v>
      </c>
      <c r="AQ63" s="942">
        <f>AQ65+AQ69+AQ64</f>
        <v>0</v>
      </c>
      <c r="AR63" s="942">
        <f>AR65+AR69+AR64</f>
        <v>0</v>
      </c>
      <c r="AS63" s="938"/>
      <c r="AT63" s="942">
        <f t="shared" si="9"/>
        <v>0</v>
      </c>
      <c r="AU63" s="948"/>
      <c r="AV63" s="948"/>
    </row>
    <row r="64" spans="1:51" s="950" customFormat="1">
      <c r="A64" s="902"/>
      <c r="B64" s="902"/>
      <c r="C64" s="902"/>
      <c r="D64" s="934" t="s">
        <v>838</v>
      </c>
      <c r="E64" s="947" t="s">
        <v>812</v>
      </c>
      <c r="F64" s="948"/>
      <c r="G64" s="892">
        <f t="shared" si="4"/>
        <v>0</v>
      </c>
      <c r="H64" s="944"/>
      <c r="I64" s="944"/>
      <c r="J64" s="944"/>
      <c r="K64" s="944"/>
      <c r="L64" s="949"/>
      <c r="M64" s="892">
        <f t="shared" si="5"/>
        <v>0</v>
      </c>
      <c r="N64" s="892">
        <f>IF(H64=0,0,T64/H64)</f>
        <v>0</v>
      </c>
      <c r="O64" s="892">
        <f>IF(I64=0,0,U64/I64)</f>
        <v>0</v>
      </c>
      <c r="P64" s="892">
        <f>IF(J64=0,0,V64/J64)</f>
        <v>0</v>
      </c>
      <c r="Q64" s="892">
        <f>IF(K64=0,0,W64/K64)</f>
        <v>0</v>
      </c>
      <c r="R64" s="949"/>
      <c r="S64" s="892">
        <f t="shared" si="6"/>
        <v>0</v>
      </c>
      <c r="T64" s="944"/>
      <c r="U64" s="944"/>
      <c r="V64" s="944"/>
      <c r="W64" s="944"/>
      <c r="X64" s="938"/>
      <c r="Y64" s="948"/>
      <c r="Z64" s="948"/>
      <c r="AA64" s="948"/>
      <c r="AB64" s="942">
        <f t="shared" si="10"/>
        <v>0</v>
      </c>
      <c r="AC64" s="939"/>
      <c r="AD64" s="939"/>
      <c r="AE64" s="939"/>
      <c r="AF64" s="939"/>
      <c r="AG64" s="949"/>
      <c r="AH64" s="942">
        <f t="shared" si="7"/>
        <v>0</v>
      </c>
      <c r="AI64" s="892">
        <f>IF(AC64=0,0,AO64/AC64)</f>
        <v>0</v>
      </c>
      <c r="AJ64" s="892">
        <f>IF(AD64=0,0,AP64/AD64)</f>
        <v>0</v>
      </c>
      <c r="AK64" s="892">
        <f>IF(AE64=0,0,AQ64/AE64)</f>
        <v>0</v>
      </c>
      <c r="AL64" s="892">
        <f>IF(AF64=0,0,AR64/AF64)</f>
        <v>0</v>
      </c>
      <c r="AM64" s="949"/>
      <c r="AN64" s="942">
        <f>SUM(AO64:AR64)</f>
        <v>0</v>
      </c>
      <c r="AO64" s="939"/>
      <c r="AP64" s="939"/>
      <c r="AQ64" s="939"/>
      <c r="AR64" s="939"/>
      <c r="AS64" s="938"/>
      <c r="AT64" s="942">
        <f t="shared" si="9"/>
        <v>0</v>
      </c>
      <c r="AU64" s="948"/>
      <c r="AV64" s="948"/>
      <c r="AW64" s="909"/>
      <c r="AX64" s="909"/>
      <c r="AY64" s="909"/>
    </row>
    <row r="65" spans="1:51">
      <c r="D65" s="934" t="s">
        <v>839</v>
      </c>
      <c r="E65" s="947" t="s">
        <v>814</v>
      </c>
      <c r="F65" s="948"/>
      <c r="G65" s="892">
        <f t="shared" si="4"/>
        <v>0</v>
      </c>
      <c r="H65" s="892">
        <f>SUM(H66:H67)</f>
        <v>0</v>
      </c>
      <c r="I65" s="892">
        <f>SUM(I66:I67)</f>
        <v>0</v>
      </c>
      <c r="J65" s="892">
        <f>SUM(J66:J67)</f>
        <v>0</v>
      </c>
      <c r="K65" s="892">
        <f>SUM(K66:K67)</f>
        <v>0</v>
      </c>
      <c r="L65" s="949"/>
      <c r="M65" s="892">
        <f t="shared" si="5"/>
        <v>0</v>
      </c>
      <c r="N65" s="892">
        <f>SUM(N66:N67)</f>
        <v>0</v>
      </c>
      <c r="O65" s="892">
        <f>SUM(O66:O67)</f>
        <v>0</v>
      </c>
      <c r="P65" s="892">
        <f>SUM(P66:P67)</f>
        <v>0</v>
      </c>
      <c r="Q65" s="892">
        <f>SUM(Q66:Q67)</f>
        <v>0</v>
      </c>
      <c r="R65" s="949"/>
      <c r="S65" s="892">
        <f t="shared" si="6"/>
        <v>0</v>
      </c>
      <c r="T65" s="892">
        <f>SUM(T66:T67)</f>
        <v>0</v>
      </c>
      <c r="U65" s="892">
        <f>SUM(U66:U67)</f>
        <v>0</v>
      </c>
      <c r="V65" s="892">
        <f>SUM(V66:V67)</f>
        <v>0</v>
      </c>
      <c r="W65" s="892">
        <f>SUM(W66:W67)</f>
        <v>0</v>
      </c>
      <c r="X65" s="938"/>
      <c r="Y65" s="948"/>
      <c r="Z65" s="948"/>
      <c r="AA65" s="948"/>
      <c r="AB65" s="942">
        <f t="shared" si="10"/>
        <v>0</v>
      </c>
      <c r="AC65" s="942">
        <v>0</v>
      </c>
      <c r="AD65" s="942">
        <v>0</v>
      </c>
      <c r="AE65" s="942">
        <v>0</v>
      </c>
      <c r="AF65" s="942">
        <v>0</v>
      </c>
      <c r="AG65" s="949"/>
      <c r="AH65" s="942">
        <f t="shared" si="7"/>
        <v>0</v>
      </c>
      <c r="AI65" s="942">
        <f>SUM(AI66:AI67)</f>
        <v>0</v>
      </c>
      <c r="AJ65" s="942">
        <f>SUM(AJ66:AJ67)</f>
        <v>0</v>
      </c>
      <c r="AK65" s="942">
        <f>SUM(AK66:AK67)</f>
        <v>0</v>
      </c>
      <c r="AL65" s="942">
        <f>SUM(AL66:AL67)</f>
        <v>0</v>
      </c>
      <c r="AM65" s="949"/>
      <c r="AN65" s="942">
        <f t="shared" si="8"/>
        <v>0</v>
      </c>
      <c r="AO65" s="942">
        <f>SUM(AO66:AO67)</f>
        <v>0</v>
      </c>
      <c r="AP65" s="942">
        <f>SUM(AP66:AP67)</f>
        <v>0</v>
      </c>
      <c r="AQ65" s="942">
        <f>SUM(AQ66:AQ67)</f>
        <v>0</v>
      </c>
      <c r="AR65" s="942">
        <f>SUM(AR66:AR67)</f>
        <v>0</v>
      </c>
      <c r="AS65" s="938"/>
      <c r="AT65" s="942">
        <f t="shared" si="9"/>
        <v>0</v>
      </c>
      <c r="AU65" s="948"/>
      <c r="AV65" s="948"/>
    </row>
    <row r="66" spans="1:51">
      <c r="D66" s="934" t="s">
        <v>840</v>
      </c>
      <c r="E66" s="951" t="s">
        <v>816</v>
      </c>
      <c r="F66" s="948"/>
      <c r="G66" s="892">
        <f t="shared" si="4"/>
        <v>0</v>
      </c>
      <c r="H66" s="944"/>
      <c r="I66" s="944"/>
      <c r="J66" s="944"/>
      <c r="K66" s="944"/>
      <c r="L66" s="949"/>
      <c r="M66" s="892">
        <f t="shared" si="5"/>
        <v>0</v>
      </c>
      <c r="N66" s="892">
        <f t="shared" ref="N66:Q67" si="19">IF(H66=0,0,T66/H66)</f>
        <v>0</v>
      </c>
      <c r="O66" s="892">
        <f t="shared" si="19"/>
        <v>0</v>
      </c>
      <c r="P66" s="892">
        <f t="shared" si="19"/>
        <v>0</v>
      </c>
      <c r="Q66" s="892">
        <f t="shared" si="19"/>
        <v>0</v>
      </c>
      <c r="R66" s="949"/>
      <c r="S66" s="892">
        <f t="shared" si="6"/>
        <v>0</v>
      </c>
      <c r="T66" s="944"/>
      <c r="U66" s="944"/>
      <c r="V66" s="944"/>
      <c r="W66" s="944"/>
      <c r="X66" s="938"/>
      <c r="Y66" s="948"/>
      <c r="Z66" s="948"/>
      <c r="AA66" s="948"/>
      <c r="AB66" s="942">
        <f t="shared" si="10"/>
        <v>0</v>
      </c>
      <c r="AC66" s="939"/>
      <c r="AD66" s="939"/>
      <c r="AE66" s="939"/>
      <c r="AF66" s="939"/>
      <c r="AG66" s="949"/>
      <c r="AH66" s="942">
        <f t="shared" si="7"/>
        <v>0</v>
      </c>
      <c r="AI66" s="892">
        <f t="shared" ref="AI66:AL67" si="20">IF(AC66=0,0,AO66/AC66)</f>
        <v>0</v>
      </c>
      <c r="AJ66" s="892">
        <f t="shared" si="20"/>
        <v>0</v>
      </c>
      <c r="AK66" s="892">
        <f t="shared" si="20"/>
        <v>0</v>
      </c>
      <c r="AL66" s="892">
        <f t="shared" si="20"/>
        <v>0</v>
      </c>
      <c r="AM66" s="949"/>
      <c r="AN66" s="942">
        <f t="shared" si="8"/>
        <v>0</v>
      </c>
      <c r="AO66" s="939"/>
      <c r="AP66" s="939"/>
      <c r="AQ66" s="939"/>
      <c r="AR66" s="939"/>
      <c r="AS66" s="938"/>
      <c r="AT66" s="942">
        <f t="shared" si="9"/>
        <v>0</v>
      </c>
      <c r="AU66" s="948"/>
      <c r="AV66" s="948"/>
    </row>
    <row r="67" spans="1:51">
      <c r="D67" s="934" t="s">
        <v>841</v>
      </c>
      <c r="E67" s="951" t="s">
        <v>818</v>
      </c>
      <c r="F67" s="948"/>
      <c r="G67" s="892">
        <f t="shared" si="4"/>
        <v>0</v>
      </c>
      <c r="H67" s="944"/>
      <c r="I67" s="944"/>
      <c r="J67" s="944"/>
      <c r="K67" s="944"/>
      <c r="L67" s="949"/>
      <c r="M67" s="892">
        <f t="shared" si="5"/>
        <v>0</v>
      </c>
      <c r="N67" s="892">
        <f t="shared" si="19"/>
        <v>0</v>
      </c>
      <c r="O67" s="892">
        <f t="shared" si="19"/>
        <v>0</v>
      </c>
      <c r="P67" s="892">
        <f t="shared" si="19"/>
        <v>0</v>
      </c>
      <c r="Q67" s="892">
        <f t="shared" si="19"/>
        <v>0</v>
      </c>
      <c r="R67" s="949"/>
      <c r="S67" s="892">
        <f t="shared" si="6"/>
        <v>0</v>
      </c>
      <c r="T67" s="944"/>
      <c r="U67" s="944"/>
      <c r="V67" s="944"/>
      <c r="W67" s="944"/>
      <c r="X67" s="938"/>
      <c r="Y67" s="948"/>
      <c r="Z67" s="948"/>
      <c r="AA67" s="948"/>
      <c r="AB67" s="942">
        <f t="shared" si="10"/>
        <v>0</v>
      </c>
      <c r="AC67" s="939"/>
      <c r="AD67" s="939"/>
      <c r="AE67" s="939"/>
      <c r="AF67" s="939"/>
      <c r="AG67" s="949"/>
      <c r="AH67" s="942">
        <f t="shared" si="7"/>
        <v>0</v>
      </c>
      <c r="AI67" s="892">
        <f t="shared" si="20"/>
        <v>0</v>
      </c>
      <c r="AJ67" s="892">
        <f t="shared" si="20"/>
        <v>0</v>
      </c>
      <c r="AK67" s="892">
        <f t="shared" si="20"/>
        <v>0</v>
      </c>
      <c r="AL67" s="892">
        <f t="shared" si="20"/>
        <v>0</v>
      </c>
      <c r="AM67" s="949"/>
      <c r="AN67" s="942">
        <f t="shared" si="8"/>
        <v>0</v>
      </c>
      <c r="AO67" s="939"/>
      <c r="AP67" s="939"/>
      <c r="AQ67" s="939"/>
      <c r="AR67" s="939"/>
      <c r="AS67" s="938"/>
      <c r="AT67" s="942">
        <f t="shared" si="9"/>
        <v>0</v>
      </c>
      <c r="AU67" s="948"/>
      <c r="AV67" s="948"/>
    </row>
    <row r="68" spans="1:51">
      <c r="D68" s="934" t="s">
        <v>842</v>
      </c>
      <c r="E68" s="947" t="s">
        <v>820</v>
      </c>
      <c r="F68" s="948"/>
      <c r="G68" s="892">
        <f t="shared" si="4"/>
        <v>0</v>
      </c>
      <c r="H68" s="892">
        <f>SUM(H69:H71)</f>
        <v>0</v>
      </c>
      <c r="I68" s="892">
        <f>SUM(I69:I71)</f>
        <v>0</v>
      </c>
      <c r="J68" s="892">
        <f>SUM(J69:J71)</f>
        <v>0</v>
      </c>
      <c r="K68" s="892">
        <f>SUM(K69:K71)</f>
        <v>0</v>
      </c>
      <c r="L68" s="949"/>
      <c r="M68" s="892">
        <f t="shared" si="5"/>
        <v>0</v>
      </c>
      <c r="N68" s="892">
        <f>SUM(N69:N71)</f>
        <v>0</v>
      </c>
      <c r="O68" s="892">
        <f>SUM(O69:O71)</f>
        <v>0</v>
      </c>
      <c r="P68" s="892">
        <f>SUM(P69:P71)</f>
        <v>0</v>
      </c>
      <c r="Q68" s="892">
        <f>SUM(Q69:Q71)</f>
        <v>0</v>
      </c>
      <c r="R68" s="949"/>
      <c r="S68" s="892">
        <f t="shared" si="6"/>
        <v>0</v>
      </c>
      <c r="T68" s="892">
        <f>SUM(T69:T71)</f>
        <v>0</v>
      </c>
      <c r="U68" s="892">
        <f>SUM(U69:U71)</f>
        <v>0</v>
      </c>
      <c r="V68" s="892">
        <f>SUM(V69:V71)</f>
        <v>0</v>
      </c>
      <c r="W68" s="892">
        <f>SUM(W69:W71)</f>
        <v>0</v>
      </c>
      <c r="X68" s="938"/>
      <c r="Y68" s="948"/>
      <c r="Z68" s="948"/>
      <c r="AA68" s="948"/>
      <c r="AB68" s="942">
        <f t="shared" si="10"/>
        <v>0</v>
      </c>
      <c r="AC68" s="942">
        <v>0</v>
      </c>
      <c r="AD68" s="942">
        <v>0</v>
      </c>
      <c r="AE68" s="942">
        <v>0</v>
      </c>
      <c r="AF68" s="942">
        <v>0</v>
      </c>
      <c r="AG68" s="949"/>
      <c r="AH68" s="942">
        <f t="shared" si="7"/>
        <v>0</v>
      </c>
      <c r="AI68" s="942">
        <f>SUM(AI69:AI71)</f>
        <v>0</v>
      </c>
      <c r="AJ68" s="942">
        <f>SUM(AJ69:AJ71)</f>
        <v>0</v>
      </c>
      <c r="AK68" s="942">
        <f>SUM(AK69:AK71)</f>
        <v>0</v>
      </c>
      <c r="AL68" s="942">
        <f>SUM(AL69:AL71)</f>
        <v>0</v>
      </c>
      <c r="AM68" s="949"/>
      <c r="AN68" s="942">
        <f t="shared" si="8"/>
        <v>0</v>
      </c>
      <c r="AO68" s="942">
        <f>SUM(AO69:AO71)</f>
        <v>0</v>
      </c>
      <c r="AP68" s="942">
        <f>SUM(AP69:AP71)</f>
        <v>0</v>
      </c>
      <c r="AQ68" s="942">
        <f>SUM(AQ69:AQ71)</f>
        <v>0</v>
      </c>
      <c r="AR68" s="942">
        <f>SUM(AR69:AR71)</f>
        <v>0</v>
      </c>
      <c r="AS68" s="938"/>
      <c r="AT68" s="942">
        <f t="shared" si="9"/>
        <v>0</v>
      </c>
      <c r="AU68" s="948"/>
      <c r="AV68" s="948"/>
    </row>
    <row r="69" spans="1:51">
      <c r="D69" s="934" t="s">
        <v>843</v>
      </c>
      <c r="E69" s="951" t="s">
        <v>822</v>
      </c>
      <c r="F69" s="948"/>
      <c r="G69" s="892">
        <f t="shared" si="4"/>
        <v>0</v>
      </c>
      <c r="H69" s="944"/>
      <c r="I69" s="944"/>
      <c r="J69" s="944"/>
      <c r="K69" s="944"/>
      <c r="L69" s="949"/>
      <c r="M69" s="892">
        <f t="shared" si="5"/>
        <v>0</v>
      </c>
      <c r="N69" s="892">
        <f t="shared" ref="N69:Q71" si="21">IF(H69=0,0,T69/H69)</f>
        <v>0</v>
      </c>
      <c r="O69" s="892">
        <f t="shared" si="21"/>
        <v>0</v>
      </c>
      <c r="P69" s="892">
        <f t="shared" si="21"/>
        <v>0</v>
      </c>
      <c r="Q69" s="892">
        <f t="shared" si="21"/>
        <v>0</v>
      </c>
      <c r="R69" s="949"/>
      <c r="S69" s="892">
        <f t="shared" si="6"/>
        <v>0</v>
      </c>
      <c r="T69" s="944"/>
      <c r="U69" s="944"/>
      <c r="V69" s="944"/>
      <c r="W69" s="944"/>
      <c r="X69" s="938"/>
      <c r="Y69" s="948"/>
      <c r="Z69" s="948"/>
      <c r="AA69" s="948"/>
      <c r="AB69" s="942">
        <f t="shared" si="10"/>
        <v>0</v>
      </c>
      <c r="AC69" s="939"/>
      <c r="AD69" s="939"/>
      <c r="AE69" s="939"/>
      <c r="AF69" s="939"/>
      <c r="AG69" s="949"/>
      <c r="AH69" s="942">
        <f t="shared" si="7"/>
        <v>0</v>
      </c>
      <c r="AI69" s="892">
        <f t="shared" ref="AI69:AL71" si="22">IF(AC69=0,0,AO69/AC69)</f>
        <v>0</v>
      </c>
      <c r="AJ69" s="892">
        <f t="shared" si="22"/>
        <v>0</v>
      </c>
      <c r="AK69" s="892">
        <f t="shared" si="22"/>
        <v>0</v>
      </c>
      <c r="AL69" s="892">
        <f t="shared" si="22"/>
        <v>0</v>
      </c>
      <c r="AM69" s="949"/>
      <c r="AN69" s="942">
        <f t="shared" si="8"/>
        <v>0</v>
      </c>
      <c r="AO69" s="939"/>
      <c r="AP69" s="939"/>
      <c r="AQ69" s="939"/>
      <c r="AR69" s="939"/>
      <c r="AS69" s="938"/>
      <c r="AT69" s="942">
        <f t="shared" si="9"/>
        <v>0</v>
      </c>
      <c r="AU69" s="948"/>
      <c r="AV69" s="948"/>
    </row>
    <row r="70" spans="1:51">
      <c r="D70" s="934" t="s">
        <v>844</v>
      </c>
      <c r="E70" s="951" t="s">
        <v>824</v>
      </c>
      <c r="F70" s="948"/>
      <c r="G70" s="892">
        <f t="shared" si="4"/>
        <v>0</v>
      </c>
      <c r="H70" s="944"/>
      <c r="I70" s="944"/>
      <c r="J70" s="944"/>
      <c r="K70" s="944"/>
      <c r="L70" s="949"/>
      <c r="M70" s="892">
        <f t="shared" si="5"/>
        <v>0</v>
      </c>
      <c r="N70" s="892">
        <f t="shared" si="21"/>
        <v>0</v>
      </c>
      <c r="O70" s="892">
        <f t="shared" si="21"/>
        <v>0</v>
      </c>
      <c r="P70" s="892">
        <f t="shared" si="21"/>
        <v>0</v>
      </c>
      <c r="Q70" s="892">
        <f t="shared" si="21"/>
        <v>0</v>
      </c>
      <c r="R70" s="949"/>
      <c r="S70" s="892">
        <f t="shared" si="6"/>
        <v>0</v>
      </c>
      <c r="T70" s="944"/>
      <c r="U70" s="944"/>
      <c r="V70" s="944"/>
      <c r="W70" s="944"/>
      <c r="X70" s="938"/>
      <c r="Y70" s="948"/>
      <c r="Z70" s="948"/>
      <c r="AA70" s="948"/>
      <c r="AB70" s="942">
        <f t="shared" si="10"/>
        <v>0</v>
      </c>
      <c r="AC70" s="939"/>
      <c r="AD70" s="939"/>
      <c r="AE70" s="939"/>
      <c r="AF70" s="939"/>
      <c r="AG70" s="949"/>
      <c r="AH70" s="942">
        <f t="shared" si="7"/>
        <v>0</v>
      </c>
      <c r="AI70" s="892">
        <f t="shared" si="22"/>
        <v>0</v>
      </c>
      <c r="AJ70" s="892">
        <f t="shared" si="22"/>
        <v>0</v>
      </c>
      <c r="AK70" s="892">
        <f t="shared" si="22"/>
        <v>0</v>
      </c>
      <c r="AL70" s="892">
        <f t="shared" si="22"/>
        <v>0</v>
      </c>
      <c r="AM70" s="949"/>
      <c r="AN70" s="942">
        <f t="shared" si="8"/>
        <v>0</v>
      </c>
      <c r="AO70" s="939"/>
      <c r="AP70" s="939"/>
      <c r="AQ70" s="939"/>
      <c r="AR70" s="939"/>
      <c r="AS70" s="938"/>
      <c r="AT70" s="942">
        <f t="shared" si="9"/>
        <v>0</v>
      </c>
      <c r="AU70" s="948"/>
      <c r="AV70" s="948"/>
    </row>
    <row r="71" spans="1:51">
      <c r="D71" s="934" t="s">
        <v>845</v>
      </c>
      <c r="E71" s="951" t="s">
        <v>818</v>
      </c>
      <c r="F71" s="948"/>
      <c r="G71" s="892">
        <f t="shared" si="4"/>
        <v>0</v>
      </c>
      <c r="H71" s="944"/>
      <c r="I71" s="944"/>
      <c r="J71" s="944"/>
      <c r="K71" s="944"/>
      <c r="L71" s="949"/>
      <c r="M71" s="892">
        <f t="shared" si="5"/>
        <v>0</v>
      </c>
      <c r="N71" s="892">
        <f t="shared" si="21"/>
        <v>0</v>
      </c>
      <c r="O71" s="892">
        <f t="shared" si="21"/>
        <v>0</v>
      </c>
      <c r="P71" s="892">
        <f t="shared" si="21"/>
        <v>0</v>
      </c>
      <c r="Q71" s="892">
        <f t="shared" si="21"/>
        <v>0</v>
      </c>
      <c r="R71" s="949"/>
      <c r="S71" s="892">
        <f t="shared" si="6"/>
        <v>0</v>
      </c>
      <c r="T71" s="944"/>
      <c r="U71" s="944"/>
      <c r="V71" s="944"/>
      <c r="W71" s="944"/>
      <c r="X71" s="938"/>
      <c r="Y71" s="948"/>
      <c r="Z71" s="948"/>
      <c r="AA71" s="948"/>
      <c r="AB71" s="942">
        <f t="shared" si="10"/>
        <v>0</v>
      </c>
      <c r="AC71" s="939"/>
      <c r="AD71" s="939"/>
      <c r="AE71" s="939"/>
      <c r="AF71" s="939"/>
      <c r="AG71" s="949"/>
      <c r="AH71" s="942">
        <f t="shared" si="7"/>
        <v>0</v>
      </c>
      <c r="AI71" s="892">
        <f t="shared" si="22"/>
        <v>0</v>
      </c>
      <c r="AJ71" s="892">
        <f t="shared" si="22"/>
        <v>0</v>
      </c>
      <c r="AK71" s="892">
        <f t="shared" si="22"/>
        <v>0</v>
      </c>
      <c r="AL71" s="892">
        <f t="shared" si="22"/>
        <v>0</v>
      </c>
      <c r="AM71" s="949"/>
      <c r="AN71" s="942">
        <f t="shared" si="8"/>
        <v>0</v>
      </c>
      <c r="AO71" s="939"/>
      <c r="AP71" s="939"/>
      <c r="AQ71" s="939"/>
      <c r="AR71" s="939"/>
      <c r="AS71" s="938"/>
      <c r="AT71" s="942">
        <f t="shared" si="9"/>
        <v>0</v>
      </c>
      <c r="AU71" s="948"/>
      <c r="AV71" s="948"/>
    </row>
    <row r="72" spans="1:51">
      <c r="D72" s="934" t="s">
        <v>846</v>
      </c>
      <c r="E72" s="953" t="s">
        <v>847</v>
      </c>
      <c r="F72" s="948"/>
      <c r="G72" s="892">
        <f t="shared" si="4"/>
        <v>0</v>
      </c>
      <c r="H72" s="892">
        <f>SUM(H73,H74,H77)</f>
        <v>0</v>
      </c>
      <c r="I72" s="892">
        <f>SUM(I73,I74,I77)</f>
        <v>0</v>
      </c>
      <c r="J72" s="892">
        <f>SUM(J73,J74,J77)</f>
        <v>0</v>
      </c>
      <c r="K72" s="892">
        <f>SUM(K73,K74,K77)</f>
        <v>0</v>
      </c>
      <c r="L72" s="949"/>
      <c r="M72" s="892">
        <f t="shared" si="5"/>
        <v>0</v>
      </c>
      <c r="N72" s="892">
        <f>N74+N77</f>
        <v>0</v>
      </c>
      <c r="O72" s="892">
        <f>O74+O77</f>
        <v>0</v>
      </c>
      <c r="P72" s="892">
        <f>P74+P77</f>
        <v>0</v>
      </c>
      <c r="Q72" s="892">
        <f>Q74+Q77</f>
        <v>0</v>
      </c>
      <c r="R72" s="949"/>
      <c r="S72" s="892">
        <f t="shared" si="6"/>
        <v>0</v>
      </c>
      <c r="T72" s="892">
        <f>T74+T78+T73</f>
        <v>0</v>
      </c>
      <c r="U72" s="892">
        <f>U74+U78+U73</f>
        <v>0</v>
      </c>
      <c r="V72" s="892">
        <f>V74+V78+V73</f>
        <v>0</v>
      </c>
      <c r="W72" s="892">
        <f>W74+W78+W73</f>
        <v>0</v>
      </c>
      <c r="X72" s="938"/>
      <c r="Y72" s="948"/>
      <c r="Z72" s="948"/>
      <c r="AA72" s="948"/>
      <c r="AB72" s="942">
        <f t="shared" si="10"/>
        <v>2127.3910000000001</v>
      </c>
      <c r="AC72" s="942">
        <f>AC73+AC74</f>
        <v>0</v>
      </c>
      <c r="AD72" s="942">
        <f>AD73+AD74</f>
        <v>0</v>
      </c>
      <c r="AE72" s="942">
        <f>AE73+AE74</f>
        <v>1956.12</v>
      </c>
      <c r="AF72" s="942">
        <f>AF73+AF74</f>
        <v>171.27100000000002</v>
      </c>
      <c r="AG72" s="949"/>
      <c r="AH72" s="942">
        <f t="shared" si="7"/>
        <v>10.7083054233648</v>
      </c>
      <c r="AI72" s="942">
        <f>AI74+AI77</f>
        <v>0</v>
      </c>
      <c r="AJ72" s="942">
        <f>AJ74+AJ77</f>
        <v>0</v>
      </c>
      <c r="AK72" s="942">
        <f>AK74+AK77</f>
        <v>5.3942835007083652</v>
      </c>
      <c r="AL72" s="942">
        <f>AL74+AL77</f>
        <v>5.3140219226564351</v>
      </c>
      <c r="AM72" s="949"/>
      <c r="AN72" s="942">
        <f t="shared" si="8"/>
        <v>6237.1294500000004</v>
      </c>
      <c r="AO72" s="942">
        <f>AO74+AO78+AO73</f>
        <v>0</v>
      </c>
      <c r="AP72" s="942">
        <f>AP74+AP78+AP73</f>
        <v>0</v>
      </c>
      <c r="AQ72" s="942">
        <f>AQ74+AQ78+AQ73</f>
        <v>5728.2284</v>
      </c>
      <c r="AR72" s="942">
        <f>AR74+AR78+AR73</f>
        <v>508.90105000000005</v>
      </c>
      <c r="AS72" s="938"/>
      <c r="AT72" s="942">
        <f t="shared" si="9"/>
        <v>6237.1294500000004</v>
      </c>
      <c r="AU72" s="948"/>
      <c r="AV72" s="948"/>
    </row>
    <row r="73" spans="1:51" s="950" customFormat="1">
      <c r="A73" s="902"/>
      <c r="B73" s="902"/>
      <c r="C73" s="902"/>
      <c r="D73" s="934" t="s">
        <v>848</v>
      </c>
      <c r="E73" s="947" t="s">
        <v>812</v>
      </c>
      <c r="F73" s="948"/>
      <c r="G73" s="892">
        <f t="shared" si="4"/>
        <v>0</v>
      </c>
      <c r="H73" s="944"/>
      <c r="I73" s="944"/>
      <c r="J73" s="944"/>
      <c r="K73" s="944"/>
      <c r="L73" s="949"/>
      <c r="M73" s="892">
        <f t="shared" si="5"/>
        <v>0</v>
      </c>
      <c r="N73" s="892">
        <f>IF(H73=0,0,T73/H73)</f>
        <v>0</v>
      </c>
      <c r="O73" s="892">
        <f>IF(I73=0,0,U73/I73)</f>
        <v>0</v>
      </c>
      <c r="P73" s="892">
        <f>IF(J73=0,0,V73/J73)</f>
        <v>0</v>
      </c>
      <c r="Q73" s="892">
        <f>IF(K73=0,0,W73/K73)</f>
        <v>0</v>
      </c>
      <c r="R73" s="949"/>
      <c r="S73" s="892">
        <f t="shared" si="6"/>
        <v>0</v>
      </c>
      <c r="T73" s="944"/>
      <c r="U73" s="944"/>
      <c r="V73" s="944"/>
      <c r="W73" s="944"/>
      <c r="X73" s="938"/>
      <c r="Y73" s="948"/>
      <c r="Z73" s="948"/>
      <c r="AA73" s="948"/>
      <c r="AB73" s="942">
        <f t="shared" si="10"/>
        <v>83.585999999999999</v>
      </c>
      <c r="AC73" s="939"/>
      <c r="AD73" s="939"/>
      <c r="AE73" s="939">
        <f>IFERROR('Шаблон 46 ГП'!F55/1000+'Шаблон 46 ГП'!F56/1000+'Шаблон 46 ГП'!F57/1000,0)</f>
        <v>51.908000000000001</v>
      </c>
      <c r="AF73" s="939">
        <f>IFERROR('Шаблон 46 ГП'!G55/1000+'Шаблон 46 ГП'!G56/1000+'Шаблон 46 ГП'!G57/1000,0)</f>
        <v>31.678000000000001</v>
      </c>
      <c r="AG73" s="949"/>
      <c r="AH73" s="942">
        <f t="shared" si="7"/>
        <v>7.032787138556313</v>
      </c>
      <c r="AI73" s="892">
        <f>IF(AC73=0,0,AO73/AC73)</f>
        <v>0</v>
      </c>
      <c r="AJ73" s="892">
        <f>IF(AD73=0,0,AP73/AD73)</f>
        <v>0</v>
      </c>
      <c r="AK73" s="892">
        <f>IF(AE73=0,0,AQ73/AE73)</f>
        <v>3.5163934268320878</v>
      </c>
      <c r="AL73" s="892">
        <f>IF(AF73=0,0,AR73/AF73)</f>
        <v>3.5163937117242252</v>
      </c>
      <c r="AM73" s="949"/>
      <c r="AN73" s="942">
        <f>SUM(AO73:AR73)</f>
        <v>293.92127000000005</v>
      </c>
      <c r="AO73" s="939"/>
      <c r="AP73" s="939"/>
      <c r="AQ73" s="939">
        <f>IFERROR('Шаблон 46 ГП'!O55/1000+'Шаблон 46 ГП'!O56/1000+'Шаблон 46 ГП'!O57/1000,0)</f>
        <v>182.52895000000001</v>
      </c>
      <c r="AR73" s="939">
        <f>IFERROR('Шаблон 46 ГП'!P55/1000+'Шаблон 46 ГП'!P56/1000+'Шаблон 46 ГП'!P57/1000,0)</f>
        <v>111.39232000000001</v>
      </c>
      <c r="AS73" s="938"/>
      <c r="AT73" s="942">
        <f t="shared" si="9"/>
        <v>293.92127000000005</v>
      </c>
      <c r="AU73" s="948"/>
      <c r="AV73" s="948"/>
      <c r="AW73" s="909"/>
      <c r="AX73" s="909"/>
      <c r="AY73" s="909"/>
    </row>
    <row r="74" spans="1:51">
      <c r="D74" s="934" t="s">
        <v>849</v>
      </c>
      <c r="E74" s="947" t="s">
        <v>814</v>
      </c>
      <c r="F74" s="948"/>
      <c r="G74" s="892">
        <f t="shared" si="4"/>
        <v>0</v>
      </c>
      <c r="H74" s="892">
        <f>SUM(H75:H76)</f>
        <v>0</v>
      </c>
      <c r="I74" s="892">
        <f>SUM(I75:I76)</f>
        <v>0</v>
      </c>
      <c r="J74" s="892">
        <f>SUM(J75:J76)</f>
        <v>0</v>
      </c>
      <c r="K74" s="892">
        <f>SUM(K75:K76)</f>
        <v>0</v>
      </c>
      <c r="L74" s="949"/>
      <c r="M74" s="892">
        <f t="shared" si="5"/>
        <v>0</v>
      </c>
      <c r="N74" s="892">
        <f>SUM(N75:N76)</f>
        <v>0</v>
      </c>
      <c r="O74" s="892">
        <f>SUM(O75:O76)</f>
        <v>0</v>
      </c>
      <c r="P74" s="892">
        <f>SUM(P75:P76)</f>
        <v>0</v>
      </c>
      <c r="Q74" s="892">
        <f>SUM(Q75:Q76)</f>
        <v>0</v>
      </c>
      <c r="R74" s="949"/>
      <c r="S74" s="892">
        <f t="shared" si="6"/>
        <v>0</v>
      </c>
      <c r="T74" s="892">
        <f>SUM(T75:T76)</f>
        <v>0</v>
      </c>
      <c r="U74" s="892">
        <f>SUM(U75:U76)</f>
        <v>0</v>
      </c>
      <c r="V74" s="892">
        <f>SUM(V75:V76)</f>
        <v>0</v>
      </c>
      <c r="W74" s="892">
        <f>SUM(W75:W76)</f>
        <v>0</v>
      </c>
      <c r="X74" s="938"/>
      <c r="Y74" s="948"/>
      <c r="Z74" s="948"/>
      <c r="AA74" s="948"/>
      <c r="AB74" s="942">
        <f t="shared" si="10"/>
        <v>2043.8050000000001</v>
      </c>
      <c r="AC74" s="942">
        <f>AC75+AC76</f>
        <v>0</v>
      </c>
      <c r="AD74" s="942">
        <f>AD75+AD76</f>
        <v>0</v>
      </c>
      <c r="AE74" s="942">
        <f>AE75+AE76</f>
        <v>1904.212</v>
      </c>
      <c r="AF74" s="942">
        <f>AF75+AF76</f>
        <v>139.59300000000002</v>
      </c>
      <c r="AG74" s="949"/>
      <c r="AH74" s="942">
        <f t="shared" si="7"/>
        <v>10.7083054233648</v>
      </c>
      <c r="AI74" s="942">
        <f>SUM(AI75:AI76)</f>
        <v>0</v>
      </c>
      <c r="AJ74" s="942">
        <f>SUM(AJ75:AJ76)</f>
        <v>0</v>
      </c>
      <c r="AK74" s="942">
        <f>SUM(AK75:AK76)</f>
        <v>5.3942835007083652</v>
      </c>
      <c r="AL74" s="942">
        <f>SUM(AL75:AL76)</f>
        <v>5.3140219226564351</v>
      </c>
      <c r="AM74" s="949"/>
      <c r="AN74" s="942">
        <f t="shared" si="8"/>
        <v>5943.2081799999996</v>
      </c>
      <c r="AO74" s="942">
        <f>SUM(AO75:AO76)</f>
        <v>0</v>
      </c>
      <c r="AP74" s="942">
        <f>SUM(AP75:AP76)</f>
        <v>0</v>
      </c>
      <c r="AQ74" s="942">
        <f>SUM(AQ75:AQ76)</f>
        <v>5545.6994500000001</v>
      </c>
      <c r="AR74" s="942">
        <f>SUM(AR75:AR76)</f>
        <v>397.50873000000001</v>
      </c>
      <c r="AS74" s="938"/>
      <c r="AT74" s="942">
        <f t="shared" si="9"/>
        <v>5943.2081799999996</v>
      </c>
      <c r="AU74" s="948"/>
      <c r="AV74" s="948"/>
    </row>
    <row r="75" spans="1:51">
      <c r="D75" s="934" t="s">
        <v>850</v>
      </c>
      <c r="E75" s="951" t="s">
        <v>816</v>
      </c>
      <c r="F75" s="948"/>
      <c r="G75" s="892">
        <f t="shared" si="4"/>
        <v>0</v>
      </c>
      <c r="H75" s="944"/>
      <c r="I75" s="944"/>
      <c r="J75" s="944"/>
      <c r="K75" s="944"/>
      <c r="L75" s="949"/>
      <c r="M75" s="892">
        <f t="shared" si="5"/>
        <v>0</v>
      </c>
      <c r="N75" s="892">
        <f t="shared" ref="N75:Q76" si="23">IF(H75=0,0,T75/H75)</f>
        <v>0</v>
      </c>
      <c r="O75" s="892">
        <f t="shared" si="23"/>
        <v>0</v>
      </c>
      <c r="P75" s="892">
        <f t="shared" si="23"/>
        <v>0</v>
      </c>
      <c r="Q75" s="892">
        <f t="shared" si="23"/>
        <v>0</v>
      </c>
      <c r="R75" s="949"/>
      <c r="S75" s="892">
        <f t="shared" si="6"/>
        <v>0</v>
      </c>
      <c r="T75" s="944"/>
      <c r="U75" s="944"/>
      <c r="V75" s="944"/>
      <c r="W75" s="944"/>
      <c r="X75" s="938"/>
      <c r="Y75" s="948"/>
      <c r="Z75" s="948"/>
      <c r="AA75" s="948"/>
      <c r="AB75" s="942">
        <f t="shared" si="10"/>
        <v>1414.3779999999999</v>
      </c>
      <c r="AC75" s="939"/>
      <c r="AD75" s="939"/>
      <c r="AE75" s="939">
        <f>IFERROR('Шаблон 46 ГП'!F49/1000+'Шаблон 46 ГП'!F58/1000+'Шаблон 46 ГП'!F50/1000+'Шаблон 46 ГП'!F51/1000,0)</f>
        <v>1320.365</v>
      </c>
      <c r="AF75" s="939">
        <f>IFERROR('Шаблон 46 ГП'!G49/1000+'Шаблон 46 ГП'!G50/1000+'Шаблон 46 ГП'!G51/1000,0)</f>
        <v>94.013000000000005</v>
      </c>
      <c r="AG75" s="949"/>
      <c r="AH75" s="942">
        <f t="shared" si="7"/>
        <v>6.4599033938472523</v>
      </c>
      <c r="AI75" s="892">
        <f t="shared" ref="AI75:AL76" si="24">IF(AC75=0,0,AO75/AC75)</f>
        <v>0</v>
      </c>
      <c r="AJ75" s="892">
        <f t="shared" si="24"/>
        <v>0</v>
      </c>
      <c r="AK75" s="892">
        <f t="shared" si="24"/>
        <v>3.2535025769389527</v>
      </c>
      <c r="AL75" s="892">
        <f t="shared" si="24"/>
        <v>3.2064008169083</v>
      </c>
      <c r="AM75" s="949"/>
      <c r="AN75" s="942">
        <f t="shared" si="8"/>
        <v>4597.2542900000008</v>
      </c>
      <c r="AO75" s="939"/>
      <c r="AP75" s="939"/>
      <c r="AQ75" s="939">
        <f>IFERROR('Шаблон 46 ГП'!O49/1000+'Шаблон 46 ГП'!O58/1000+'Шаблон 46 ГП'!O50/1000+'Шаблон 46 ГП'!O51/1000,0)</f>
        <v>4295.8109300000006</v>
      </c>
      <c r="AR75" s="939">
        <f>IFERROR('Шаблон 46 ГП'!P49/1000+'Шаблон 46 ГП'!P50/1000+'Шаблон 46 ГП'!P51/1000,0)</f>
        <v>301.44336000000004</v>
      </c>
      <c r="AS75" s="938"/>
      <c r="AT75" s="942">
        <f t="shared" si="9"/>
        <v>4597.2542900000008</v>
      </c>
      <c r="AU75" s="948"/>
      <c r="AV75" s="948"/>
    </row>
    <row r="76" spans="1:51">
      <c r="D76" s="934" t="s">
        <v>851</v>
      </c>
      <c r="E76" s="951" t="s">
        <v>818</v>
      </c>
      <c r="F76" s="948"/>
      <c r="G76" s="892">
        <f t="shared" si="4"/>
        <v>0</v>
      </c>
      <c r="H76" s="944"/>
      <c r="I76" s="944"/>
      <c r="J76" s="944"/>
      <c r="K76" s="944"/>
      <c r="L76" s="949"/>
      <c r="M76" s="892">
        <f t="shared" si="5"/>
        <v>0</v>
      </c>
      <c r="N76" s="892">
        <f t="shared" si="23"/>
        <v>0</v>
      </c>
      <c r="O76" s="892">
        <f t="shared" si="23"/>
        <v>0</v>
      </c>
      <c r="P76" s="892">
        <f t="shared" si="23"/>
        <v>0</v>
      </c>
      <c r="Q76" s="892">
        <f t="shared" si="23"/>
        <v>0</v>
      </c>
      <c r="R76" s="949"/>
      <c r="S76" s="892">
        <f t="shared" si="6"/>
        <v>0</v>
      </c>
      <c r="T76" s="944"/>
      <c r="U76" s="944"/>
      <c r="V76" s="944"/>
      <c r="W76" s="944"/>
      <c r="X76" s="938"/>
      <c r="Y76" s="948"/>
      <c r="Z76" s="948"/>
      <c r="AA76" s="948"/>
      <c r="AB76" s="942">
        <f t="shared" si="10"/>
        <v>629.42700000000002</v>
      </c>
      <c r="AC76" s="939"/>
      <c r="AD76" s="939"/>
      <c r="AE76" s="939">
        <f>IFERROR('Шаблон 46 ГП'!F52/1000+'Шаблон 46 ГП'!F61/1000+'Шаблон 46 ГП'!F53/1000+'Шаблон 46 ГП'!F54/1000,0)</f>
        <v>583.84699999999998</v>
      </c>
      <c r="AF76" s="939">
        <f>IFERROR('Шаблон 46 ГП'!G52/1000+'Шаблон 46 ГП'!G53/1000+'Шаблон 46 ГП'!G54/1000,0)</f>
        <v>45.58</v>
      </c>
      <c r="AG76" s="949"/>
      <c r="AH76" s="942">
        <f t="shared" si="7"/>
        <v>4.248402029517548</v>
      </c>
      <c r="AI76" s="892">
        <f t="shared" si="24"/>
        <v>0</v>
      </c>
      <c r="AJ76" s="892">
        <f t="shared" si="24"/>
        <v>0</v>
      </c>
      <c r="AK76" s="892">
        <f t="shared" si="24"/>
        <v>2.1407809237694124</v>
      </c>
      <c r="AL76" s="892">
        <f t="shared" si="24"/>
        <v>2.1076211057481351</v>
      </c>
      <c r="AM76" s="949"/>
      <c r="AN76" s="942">
        <f t="shared" si="8"/>
        <v>1345.95389</v>
      </c>
      <c r="AO76" s="939"/>
      <c r="AP76" s="939"/>
      <c r="AQ76" s="939">
        <f>IFERROR('Шаблон 46 ГП'!O52/1000+'Шаблон 46 ГП'!O61/1000+'Шаблон 46 ГП'!O53/1000+'Шаблон 46 ГП'!O54/1000,0)</f>
        <v>1249.88852</v>
      </c>
      <c r="AR76" s="939">
        <f>IFERROR('Шаблон 46 ГП'!P52/1000+'Шаблон 46 ГП'!P53/1000+'Шаблон 46 ГП'!P54/1000,0)</f>
        <v>96.065370000000001</v>
      </c>
      <c r="AS76" s="938"/>
      <c r="AT76" s="942">
        <f t="shared" si="9"/>
        <v>1345.95389</v>
      </c>
      <c r="AU76" s="948"/>
      <c r="AV76" s="948"/>
    </row>
    <row r="77" spans="1:51">
      <c r="D77" s="934" t="s">
        <v>852</v>
      </c>
      <c r="E77" s="947" t="s">
        <v>820</v>
      </c>
      <c r="F77" s="948"/>
      <c r="G77" s="892">
        <f t="shared" si="4"/>
        <v>0</v>
      </c>
      <c r="H77" s="892">
        <f>SUM(H78:H80)</f>
        <v>0</v>
      </c>
      <c r="I77" s="892">
        <f>SUM(I78:I80)</f>
        <v>0</v>
      </c>
      <c r="J77" s="892">
        <f>SUM(J78:J80)</f>
        <v>0</v>
      </c>
      <c r="K77" s="892">
        <f>SUM(K78:K80)</f>
        <v>0</v>
      </c>
      <c r="L77" s="949"/>
      <c r="M77" s="892">
        <f t="shared" si="5"/>
        <v>0</v>
      </c>
      <c r="N77" s="892">
        <f>SUM(N78:N80)</f>
        <v>0</v>
      </c>
      <c r="O77" s="892">
        <f>SUM(O78:O80)</f>
        <v>0</v>
      </c>
      <c r="P77" s="892">
        <f>SUM(P78:P80)</f>
        <v>0</v>
      </c>
      <c r="Q77" s="892">
        <f>SUM(Q78:Q80)</f>
        <v>0</v>
      </c>
      <c r="R77" s="949"/>
      <c r="S77" s="892">
        <f t="shared" si="6"/>
        <v>0</v>
      </c>
      <c r="T77" s="892">
        <f>SUM(T78:T80)</f>
        <v>0</v>
      </c>
      <c r="U77" s="892">
        <f>SUM(U78:U80)</f>
        <v>0</v>
      </c>
      <c r="V77" s="892">
        <f>SUM(V78:V80)</f>
        <v>0</v>
      </c>
      <c r="W77" s="892">
        <f>SUM(W78:W80)</f>
        <v>0</v>
      </c>
      <c r="X77" s="938"/>
      <c r="Y77" s="948"/>
      <c r="Z77" s="948"/>
      <c r="AA77" s="948"/>
      <c r="AB77" s="942">
        <f t="shared" ref="AB77:AB82" si="25">SUM(AC77:AF77)</f>
        <v>0</v>
      </c>
      <c r="AC77" s="942">
        <f>SUM(AC78:AC80)</f>
        <v>0</v>
      </c>
      <c r="AD77" s="942">
        <f>SUM(AD78:AD80)</f>
        <v>0</v>
      </c>
      <c r="AE77" s="942">
        <f>SUM(AE78:AE80)</f>
        <v>0</v>
      </c>
      <c r="AF77" s="942">
        <f>SUM(AF78:AF80)</f>
        <v>0</v>
      </c>
      <c r="AG77" s="949"/>
      <c r="AH77" s="942">
        <f t="shared" si="7"/>
        <v>0</v>
      </c>
      <c r="AI77" s="942">
        <f>SUM(AI78:AI80)</f>
        <v>0</v>
      </c>
      <c r="AJ77" s="942">
        <f>SUM(AJ78:AJ80)</f>
        <v>0</v>
      </c>
      <c r="AK77" s="942">
        <f>SUM(AK78:AK80)</f>
        <v>0</v>
      </c>
      <c r="AL77" s="942">
        <f>SUM(AL78:AL80)</f>
        <v>0</v>
      </c>
      <c r="AM77" s="949"/>
      <c r="AN77" s="942">
        <f t="shared" si="8"/>
        <v>0</v>
      </c>
      <c r="AO77" s="942">
        <f>SUM(AO78:AO80)</f>
        <v>0</v>
      </c>
      <c r="AP77" s="942">
        <f>SUM(AP78:AP80)</f>
        <v>0</v>
      </c>
      <c r="AQ77" s="942">
        <f>SUM(AQ78:AQ80)</f>
        <v>0</v>
      </c>
      <c r="AR77" s="942">
        <f>SUM(AR78:AR80)</f>
        <v>0</v>
      </c>
      <c r="AS77" s="938"/>
      <c r="AT77" s="942">
        <f t="shared" si="9"/>
        <v>0</v>
      </c>
      <c r="AU77" s="948"/>
      <c r="AV77" s="948"/>
    </row>
    <row r="78" spans="1:51">
      <c r="D78" s="934" t="s">
        <v>853</v>
      </c>
      <c r="E78" s="951" t="s">
        <v>822</v>
      </c>
      <c r="F78" s="948"/>
      <c r="G78" s="892">
        <f t="shared" si="4"/>
        <v>0</v>
      </c>
      <c r="H78" s="944"/>
      <c r="I78" s="944"/>
      <c r="J78" s="944"/>
      <c r="K78" s="944"/>
      <c r="L78" s="949"/>
      <c r="M78" s="892">
        <f t="shared" si="5"/>
        <v>0</v>
      </c>
      <c r="N78" s="892">
        <f t="shared" ref="N78:Q80" si="26">IF(H78=0,0,T78/H78)</f>
        <v>0</v>
      </c>
      <c r="O78" s="892">
        <f t="shared" si="26"/>
        <v>0</v>
      </c>
      <c r="P78" s="892">
        <f t="shared" si="26"/>
        <v>0</v>
      </c>
      <c r="Q78" s="892">
        <f t="shared" si="26"/>
        <v>0</v>
      </c>
      <c r="R78" s="949"/>
      <c r="S78" s="892">
        <f t="shared" si="6"/>
        <v>0</v>
      </c>
      <c r="T78" s="944"/>
      <c r="U78" s="944"/>
      <c r="V78" s="944"/>
      <c r="W78" s="944"/>
      <c r="X78" s="938"/>
      <c r="Y78" s="948"/>
      <c r="Z78" s="948"/>
      <c r="AA78" s="948"/>
      <c r="AB78" s="942">
        <f t="shared" si="25"/>
        <v>0</v>
      </c>
      <c r="AC78" s="939"/>
      <c r="AD78" s="939"/>
      <c r="AE78" s="939"/>
      <c r="AF78" s="939"/>
      <c r="AG78" s="949"/>
      <c r="AH78" s="942">
        <f t="shared" si="7"/>
        <v>0</v>
      </c>
      <c r="AI78" s="892">
        <f t="shared" ref="AI78:AL80" si="27">IF(AC78=0,0,AO78/AC78)</f>
        <v>0</v>
      </c>
      <c r="AJ78" s="892">
        <f t="shared" si="27"/>
        <v>0</v>
      </c>
      <c r="AK78" s="892">
        <f t="shared" si="27"/>
        <v>0</v>
      </c>
      <c r="AL78" s="892">
        <f t="shared" si="27"/>
        <v>0</v>
      </c>
      <c r="AM78" s="949"/>
      <c r="AN78" s="942">
        <f t="shared" si="8"/>
        <v>0</v>
      </c>
      <c r="AO78" s="939"/>
      <c r="AP78" s="939"/>
      <c r="AQ78" s="939"/>
      <c r="AR78" s="939"/>
      <c r="AS78" s="938"/>
      <c r="AT78" s="942">
        <f t="shared" si="9"/>
        <v>0</v>
      </c>
      <c r="AU78" s="948"/>
      <c r="AV78" s="948"/>
    </row>
    <row r="79" spans="1:51">
      <c r="D79" s="934" t="s">
        <v>854</v>
      </c>
      <c r="E79" s="951" t="s">
        <v>824</v>
      </c>
      <c r="F79" s="948"/>
      <c r="G79" s="892">
        <f t="shared" si="4"/>
        <v>0</v>
      </c>
      <c r="H79" s="944"/>
      <c r="I79" s="944"/>
      <c r="J79" s="944"/>
      <c r="K79" s="944"/>
      <c r="L79" s="949"/>
      <c r="M79" s="892">
        <f t="shared" si="5"/>
        <v>0</v>
      </c>
      <c r="N79" s="892">
        <f t="shared" si="26"/>
        <v>0</v>
      </c>
      <c r="O79" s="892">
        <f t="shared" si="26"/>
        <v>0</v>
      </c>
      <c r="P79" s="892">
        <f t="shared" si="26"/>
        <v>0</v>
      </c>
      <c r="Q79" s="892">
        <f t="shared" si="26"/>
        <v>0</v>
      </c>
      <c r="R79" s="949"/>
      <c r="S79" s="892">
        <f t="shared" si="6"/>
        <v>0</v>
      </c>
      <c r="T79" s="944"/>
      <c r="U79" s="944"/>
      <c r="V79" s="944"/>
      <c r="W79" s="944"/>
      <c r="X79" s="938"/>
      <c r="Y79" s="948"/>
      <c r="Z79" s="948"/>
      <c r="AA79" s="948"/>
      <c r="AB79" s="942">
        <f t="shared" si="25"/>
        <v>0</v>
      </c>
      <c r="AC79" s="939"/>
      <c r="AD79" s="939"/>
      <c r="AE79" s="939"/>
      <c r="AF79" s="939"/>
      <c r="AG79" s="949"/>
      <c r="AH79" s="942">
        <f t="shared" si="7"/>
        <v>0</v>
      </c>
      <c r="AI79" s="892">
        <f t="shared" si="27"/>
        <v>0</v>
      </c>
      <c r="AJ79" s="892">
        <f t="shared" si="27"/>
        <v>0</v>
      </c>
      <c r="AK79" s="892">
        <f t="shared" si="27"/>
        <v>0</v>
      </c>
      <c r="AL79" s="892">
        <f t="shared" si="27"/>
        <v>0</v>
      </c>
      <c r="AM79" s="949"/>
      <c r="AN79" s="942">
        <f t="shared" si="8"/>
        <v>0</v>
      </c>
      <c r="AO79" s="939"/>
      <c r="AP79" s="939"/>
      <c r="AQ79" s="939"/>
      <c r="AR79" s="939"/>
      <c r="AS79" s="938"/>
      <c r="AT79" s="942">
        <f t="shared" si="9"/>
        <v>0</v>
      </c>
      <c r="AU79" s="948"/>
      <c r="AV79" s="948"/>
    </row>
    <row r="80" spans="1:51">
      <c r="D80" s="934" t="s">
        <v>855</v>
      </c>
      <c r="E80" s="951" t="s">
        <v>818</v>
      </c>
      <c r="F80" s="948"/>
      <c r="G80" s="892">
        <f t="shared" si="4"/>
        <v>0</v>
      </c>
      <c r="H80" s="944"/>
      <c r="I80" s="944"/>
      <c r="J80" s="944"/>
      <c r="K80" s="944"/>
      <c r="L80" s="949"/>
      <c r="M80" s="892">
        <f t="shared" si="5"/>
        <v>0</v>
      </c>
      <c r="N80" s="892">
        <f t="shared" si="26"/>
        <v>0</v>
      </c>
      <c r="O80" s="892">
        <f t="shared" si="26"/>
        <v>0</v>
      </c>
      <c r="P80" s="892">
        <f t="shared" si="26"/>
        <v>0</v>
      </c>
      <c r="Q80" s="892">
        <f t="shared" si="26"/>
        <v>0</v>
      </c>
      <c r="R80" s="949"/>
      <c r="S80" s="892">
        <f t="shared" si="6"/>
        <v>0</v>
      </c>
      <c r="T80" s="944"/>
      <c r="U80" s="944"/>
      <c r="V80" s="944"/>
      <c r="W80" s="944"/>
      <c r="X80" s="938"/>
      <c r="Y80" s="948"/>
      <c r="Z80" s="948"/>
      <c r="AA80" s="948"/>
      <c r="AB80" s="942">
        <f t="shared" si="25"/>
        <v>0</v>
      </c>
      <c r="AC80" s="939"/>
      <c r="AD80" s="939"/>
      <c r="AE80" s="939"/>
      <c r="AF80" s="939"/>
      <c r="AG80" s="949"/>
      <c r="AH80" s="942">
        <f t="shared" si="7"/>
        <v>0</v>
      </c>
      <c r="AI80" s="892">
        <f t="shared" si="27"/>
        <v>0</v>
      </c>
      <c r="AJ80" s="892">
        <f t="shared" si="27"/>
        <v>0</v>
      </c>
      <c r="AK80" s="892">
        <f t="shared" si="27"/>
        <v>0</v>
      </c>
      <c r="AL80" s="892">
        <f t="shared" si="27"/>
        <v>0</v>
      </c>
      <c r="AM80" s="949"/>
      <c r="AN80" s="942">
        <f t="shared" si="8"/>
        <v>0</v>
      </c>
      <c r="AO80" s="939"/>
      <c r="AP80" s="939"/>
      <c r="AQ80" s="939"/>
      <c r="AR80" s="939"/>
      <c r="AS80" s="938"/>
      <c r="AT80" s="942">
        <f t="shared" si="9"/>
        <v>0</v>
      </c>
      <c r="AU80" s="948"/>
      <c r="AV80" s="948"/>
    </row>
    <row r="81" spans="1:51" ht="23.25">
      <c r="D81" s="934" t="s">
        <v>856</v>
      </c>
      <c r="E81" s="954" t="s">
        <v>857</v>
      </c>
      <c r="F81" s="948"/>
      <c r="G81" s="892">
        <f t="shared" si="4"/>
        <v>0</v>
      </c>
      <c r="H81" s="892">
        <f>SUM(H82,H83,H86)</f>
        <v>0</v>
      </c>
      <c r="I81" s="892">
        <f>SUM(I82,I83,I86)</f>
        <v>0</v>
      </c>
      <c r="J81" s="892">
        <f>SUM(J82,J83,J86)</f>
        <v>0</v>
      </c>
      <c r="K81" s="892">
        <f>SUM(K82,K83,K86)</f>
        <v>0</v>
      </c>
      <c r="L81" s="949"/>
      <c r="M81" s="892">
        <f t="shared" si="5"/>
        <v>0</v>
      </c>
      <c r="N81" s="892">
        <f>N83+N86</f>
        <v>0</v>
      </c>
      <c r="O81" s="892">
        <f>O83+O86</f>
        <v>0</v>
      </c>
      <c r="P81" s="892">
        <f>P83+P86</f>
        <v>0</v>
      </c>
      <c r="Q81" s="892">
        <f>Q83+Q86</f>
        <v>0</v>
      </c>
      <c r="R81" s="949"/>
      <c r="S81" s="892">
        <f t="shared" si="6"/>
        <v>0</v>
      </c>
      <c r="T81" s="892">
        <f>T83+T87+T82</f>
        <v>0</v>
      </c>
      <c r="U81" s="892">
        <f>U83+U87+U82</f>
        <v>0</v>
      </c>
      <c r="V81" s="892">
        <f>V83+V87+V82</f>
        <v>0</v>
      </c>
      <c r="W81" s="892">
        <f>W83+W87+W82</f>
        <v>0</v>
      </c>
      <c r="X81" s="938"/>
      <c r="Y81" s="948"/>
      <c r="Z81" s="948"/>
      <c r="AA81" s="948"/>
      <c r="AB81" s="942">
        <f t="shared" si="25"/>
        <v>0</v>
      </c>
      <c r="AC81" s="942">
        <f>SUM(AC82,AC83,AC86)</f>
        <v>0</v>
      </c>
      <c r="AD81" s="942">
        <f>SUM(AD82,AD83,AD86)</f>
        <v>0</v>
      </c>
      <c r="AE81" s="942">
        <f>SUM(AE82,AE83,AE86)</f>
        <v>0</v>
      </c>
      <c r="AF81" s="942">
        <f>SUM(AF82,AF83,AF86)</f>
        <v>0</v>
      </c>
      <c r="AG81" s="949"/>
      <c r="AH81" s="942">
        <f t="shared" si="7"/>
        <v>0</v>
      </c>
      <c r="AI81" s="942">
        <f>AI83+AI86</f>
        <v>0</v>
      </c>
      <c r="AJ81" s="942">
        <f>AJ83+AJ86</f>
        <v>0</v>
      </c>
      <c r="AK81" s="942">
        <f>AK83+AK86</f>
        <v>0</v>
      </c>
      <c r="AL81" s="942">
        <f>AL83+AL86</f>
        <v>0</v>
      </c>
      <c r="AM81" s="949"/>
      <c r="AN81" s="942">
        <f>SUM(AO81:AR81)</f>
        <v>0</v>
      </c>
      <c r="AO81" s="942">
        <f>AO83+AO87+AO82</f>
        <v>0</v>
      </c>
      <c r="AP81" s="942">
        <f>AP83+AP87+AP82</f>
        <v>0</v>
      </c>
      <c r="AQ81" s="942">
        <f>AQ83+AQ87+AQ82</f>
        <v>0</v>
      </c>
      <c r="AR81" s="942">
        <f>AR83+AR87+AR82</f>
        <v>0</v>
      </c>
      <c r="AS81" s="938"/>
      <c r="AT81" s="942">
        <f t="shared" si="9"/>
        <v>0</v>
      </c>
      <c r="AU81" s="948"/>
      <c r="AV81" s="948"/>
    </row>
    <row r="82" spans="1:51" s="950" customFormat="1">
      <c r="A82" s="902"/>
      <c r="B82" s="902"/>
      <c r="C82" s="902"/>
      <c r="D82" s="934" t="s">
        <v>858</v>
      </c>
      <c r="E82" s="947" t="s">
        <v>812</v>
      </c>
      <c r="F82" s="948"/>
      <c r="G82" s="892">
        <f t="shared" si="4"/>
        <v>0</v>
      </c>
      <c r="H82" s="944"/>
      <c r="I82" s="944"/>
      <c r="J82" s="944"/>
      <c r="K82" s="944"/>
      <c r="L82" s="949"/>
      <c r="M82" s="892">
        <f t="shared" si="5"/>
        <v>0</v>
      </c>
      <c r="N82" s="892">
        <f>IF(H82=0,0,T82/H82)</f>
        <v>0</v>
      </c>
      <c r="O82" s="892">
        <f>IF(I82=0,0,U82/I82)</f>
        <v>0</v>
      </c>
      <c r="P82" s="892">
        <f>IF(J82=0,0,V82/J82)</f>
        <v>0</v>
      </c>
      <c r="Q82" s="892">
        <f>IF(K82=0,0,W82/K82)</f>
        <v>0</v>
      </c>
      <c r="R82" s="949"/>
      <c r="S82" s="892">
        <f t="shared" si="6"/>
        <v>0</v>
      </c>
      <c r="T82" s="944"/>
      <c r="U82" s="944"/>
      <c r="V82" s="944"/>
      <c r="W82" s="944"/>
      <c r="X82" s="938"/>
      <c r="Y82" s="948"/>
      <c r="Z82" s="948"/>
      <c r="AA82" s="948"/>
      <c r="AB82" s="942">
        <f t="shared" si="25"/>
        <v>0</v>
      </c>
      <c r="AC82" s="939"/>
      <c r="AD82" s="939"/>
      <c r="AE82" s="939"/>
      <c r="AF82" s="939"/>
      <c r="AG82" s="949"/>
      <c r="AH82" s="942">
        <f t="shared" si="7"/>
        <v>0</v>
      </c>
      <c r="AI82" s="892">
        <f>IF(AC82=0,0,AO82/AC82)</f>
        <v>0</v>
      </c>
      <c r="AJ82" s="892">
        <f>IF(AD82=0,0,AP82/AD82)</f>
        <v>0</v>
      </c>
      <c r="AK82" s="892">
        <f>IF(AE82=0,0,AQ82/AE82)</f>
        <v>0</v>
      </c>
      <c r="AL82" s="892">
        <f>IF(AF82=0,0,AR82/AF82)</f>
        <v>0</v>
      </c>
      <c r="AM82" s="949"/>
      <c r="AN82" s="942">
        <f>SUM(AO82:AR82)</f>
        <v>0</v>
      </c>
      <c r="AO82" s="939"/>
      <c r="AP82" s="939"/>
      <c r="AQ82" s="939"/>
      <c r="AR82" s="939"/>
      <c r="AS82" s="938"/>
      <c r="AT82" s="942">
        <f t="shared" si="9"/>
        <v>0</v>
      </c>
      <c r="AU82" s="948"/>
      <c r="AV82" s="948"/>
      <c r="AW82" s="909"/>
      <c r="AX82" s="909"/>
      <c r="AY82" s="909"/>
    </row>
    <row r="83" spans="1:51">
      <c r="D83" s="934" t="s">
        <v>859</v>
      </c>
      <c r="E83" s="947" t="s">
        <v>814</v>
      </c>
      <c r="F83" s="948"/>
      <c r="G83" s="892">
        <f t="shared" si="4"/>
        <v>0</v>
      </c>
      <c r="H83" s="892">
        <f>SUM(H84:H85)</f>
        <v>0</v>
      </c>
      <c r="I83" s="892">
        <f>SUM(I84:I85)</f>
        <v>0</v>
      </c>
      <c r="J83" s="892">
        <f>SUM(J84:J85)</f>
        <v>0</v>
      </c>
      <c r="K83" s="892">
        <f>SUM(K84:K85)</f>
        <v>0</v>
      </c>
      <c r="L83" s="949"/>
      <c r="M83" s="892">
        <f t="shared" si="5"/>
        <v>0</v>
      </c>
      <c r="N83" s="892">
        <f>SUM(N84:N85)</f>
        <v>0</v>
      </c>
      <c r="O83" s="892">
        <f>SUM(O84:O85)</f>
        <v>0</v>
      </c>
      <c r="P83" s="892">
        <f>SUM(P84:P85)</f>
        <v>0</v>
      </c>
      <c r="Q83" s="892">
        <f>SUM(Q84:Q85)</f>
        <v>0</v>
      </c>
      <c r="R83" s="949"/>
      <c r="S83" s="892">
        <f t="shared" si="6"/>
        <v>0</v>
      </c>
      <c r="T83" s="892">
        <f>SUM(T84:T85)</f>
        <v>0</v>
      </c>
      <c r="U83" s="892">
        <f>SUM(U84:U85)</f>
        <v>0</v>
      </c>
      <c r="V83" s="892">
        <f>SUM(V84:V85)</f>
        <v>0</v>
      </c>
      <c r="W83" s="892">
        <f>SUM(W84:W85)</f>
        <v>0</v>
      </c>
      <c r="X83" s="938"/>
      <c r="Y83" s="948"/>
      <c r="Z83" s="948"/>
      <c r="AA83" s="948"/>
      <c r="AB83" s="942">
        <f t="shared" ref="AB83:AB89" si="28">SUM(AC83:AF83)</f>
        <v>0</v>
      </c>
      <c r="AC83" s="942">
        <f>SUM(AC84:AC85)</f>
        <v>0</v>
      </c>
      <c r="AD83" s="942">
        <f>SUM(AD84:AD85)</f>
        <v>0</v>
      </c>
      <c r="AE83" s="942">
        <f>SUM(AE84:AE85)</f>
        <v>0</v>
      </c>
      <c r="AF83" s="942">
        <f>SUM(AF84:AF85)</f>
        <v>0</v>
      </c>
      <c r="AG83" s="949"/>
      <c r="AH83" s="942">
        <f t="shared" si="7"/>
        <v>0</v>
      </c>
      <c r="AI83" s="942">
        <f>SUM(AI84:AI85)</f>
        <v>0</v>
      </c>
      <c r="AJ83" s="942">
        <f>SUM(AJ84:AJ85)</f>
        <v>0</v>
      </c>
      <c r="AK83" s="942">
        <f>SUM(AK84:AK85)</f>
        <v>0</v>
      </c>
      <c r="AL83" s="942">
        <f>SUM(AL84:AL85)</f>
        <v>0</v>
      </c>
      <c r="AM83" s="949"/>
      <c r="AN83" s="942">
        <f t="shared" ref="AN83:AN89" si="29">SUM(AO83:AR83)</f>
        <v>0</v>
      </c>
      <c r="AO83" s="942">
        <f>SUM(AO84:AO85)</f>
        <v>0</v>
      </c>
      <c r="AP83" s="942">
        <f>SUM(AP84:AP85)</f>
        <v>0</v>
      </c>
      <c r="AQ83" s="942">
        <f>SUM(AQ84:AQ85)</f>
        <v>0</v>
      </c>
      <c r="AR83" s="942">
        <f>SUM(AR84:AR85)</f>
        <v>0</v>
      </c>
      <c r="AS83" s="938"/>
      <c r="AT83" s="942">
        <f t="shared" si="9"/>
        <v>0</v>
      </c>
      <c r="AU83" s="948"/>
      <c r="AV83" s="948"/>
    </row>
    <row r="84" spans="1:51">
      <c r="D84" s="934" t="s">
        <v>860</v>
      </c>
      <c r="E84" s="951" t="s">
        <v>816</v>
      </c>
      <c r="F84" s="948"/>
      <c r="G84" s="892">
        <f t="shared" si="4"/>
        <v>0</v>
      </c>
      <c r="H84" s="944"/>
      <c r="I84" s="944"/>
      <c r="J84" s="944"/>
      <c r="K84" s="944"/>
      <c r="L84" s="949"/>
      <c r="M84" s="892">
        <f t="shared" si="5"/>
        <v>0</v>
      </c>
      <c r="N84" s="892">
        <f t="shared" ref="N84:Q85" si="30">IF(H84=0,0,T84/H84)</f>
        <v>0</v>
      </c>
      <c r="O84" s="892">
        <f t="shared" si="30"/>
        <v>0</v>
      </c>
      <c r="P84" s="892">
        <f t="shared" si="30"/>
        <v>0</v>
      </c>
      <c r="Q84" s="892">
        <f t="shared" si="30"/>
        <v>0</v>
      </c>
      <c r="R84" s="949"/>
      <c r="S84" s="892">
        <f t="shared" si="6"/>
        <v>0</v>
      </c>
      <c r="T84" s="944"/>
      <c r="U84" s="944"/>
      <c r="V84" s="944"/>
      <c r="W84" s="944"/>
      <c r="X84" s="938"/>
      <c r="Y84" s="948"/>
      <c r="Z84" s="948"/>
      <c r="AA84" s="948"/>
      <c r="AB84" s="942">
        <f t="shared" si="28"/>
        <v>0</v>
      </c>
      <c r="AC84" s="939"/>
      <c r="AD84" s="939"/>
      <c r="AE84" s="939"/>
      <c r="AF84" s="939"/>
      <c r="AG84" s="949"/>
      <c r="AH84" s="942">
        <f t="shared" si="7"/>
        <v>0</v>
      </c>
      <c r="AI84" s="892">
        <f t="shared" ref="AI84:AL85" si="31">IF(AC84=0,0,AO84/AC84)</f>
        <v>0</v>
      </c>
      <c r="AJ84" s="892">
        <f t="shared" si="31"/>
        <v>0</v>
      </c>
      <c r="AK84" s="892">
        <f t="shared" si="31"/>
        <v>0</v>
      </c>
      <c r="AL84" s="892">
        <f t="shared" si="31"/>
        <v>0</v>
      </c>
      <c r="AM84" s="949"/>
      <c r="AN84" s="942">
        <f t="shared" si="29"/>
        <v>0</v>
      </c>
      <c r="AO84" s="939"/>
      <c r="AP84" s="939"/>
      <c r="AQ84" s="939"/>
      <c r="AR84" s="939"/>
      <c r="AS84" s="938"/>
      <c r="AT84" s="942">
        <f t="shared" si="9"/>
        <v>0</v>
      </c>
      <c r="AU84" s="948"/>
      <c r="AV84" s="948"/>
    </row>
    <row r="85" spans="1:51">
      <c r="D85" s="934" t="s">
        <v>861</v>
      </c>
      <c r="E85" s="951" t="s">
        <v>818</v>
      </c>
      <c r="F85" s="948"/>
      <c r="G85" s="892">
        <f t="shared" si="4"/>
        <v>0</v>
      </c>
      <c r="H85" s="944"/>
      <c r="I85" s="944"/>
      <c r="J85" s="944"/>
      <c r="K85" s="944"/>
      <c r="L85" s="949"/>
      <c r="M85" s="892">
        <f t="shared" si="5"/>
        <v>0</v>
      </c>
      <c r="N85" s="892">
        <f t="shared" si="30"/>
        <v>0</v>
      </c>
      <c r="O85" s="892">
        <f t="shared" si="30"/>
        <v>0</v>
      </c>
      <c r="P85" s="892">
        <f t="shared" si="30"/>
        <v>0</v>
      </c>
      <c r="Q85" s="892">
        <f t="shared" si="30"/>
        <v>0</v>
      </c>
      <c r="R85" s="949"/>
      <c r="S85" s="892">
        <f t="shared" si="6"/>
        <v>0</v>
      </c>
      <c r="T85" s="944"/>
      <c r="U85" s="944"/>
      <c r="V85" s="944"/>
      <c r="W85" s="944"/>
      <c r="X85" s="938"/>
      <c r="Y85" s="948"/>
      <c r="Z85" s="948"/>
      <c r="AA85" s="948"/>
      <c r="AB85" s="942">
        <f t="shared" si="28"/>
        <v>0</v>
      </c>
      <c r="AC85" s="939"/>
      <c r="AD85" s="939"/>
      <c r="AE85" s="939"/>
      <c r="AF85" s="939"/>
      <c r="AG85" s="949"/>
      <c r="AH85" s="942">
        <f t="shared" si="7"/>
        <v>0</v>
      </c>
      <c r="AI85" s="892">
        <f t="shared" si="31"/>
        <v>0</v>
      </c>
      <c r="AJ85" s="892">
        <f t="shared" si="31"/>
        <v>0</v>
      </c>
      <c r="AK85" s="892">
        <f t="shared" si="31"/>
        <v>0</v>
      </c>
      <c r="AL85" s="892">
        <f t="shared" si="31"/>
        <v>0</v>
      </c>
      <c r="AM85" s="949"/>
      <c r="AN85" s="942">
        <f t="shared" si="29"/>
        <v>0</v>
      </c>
      <c r="AO85" s="939"/>
      <c r="AP85" s="939"/>
      <c r="AQ85" s="939"/>
      <c r="AR85" s="939"/>
      <c r="AS85" s="938"/>
      <c r="AT85" s="942">
        <f t="shared" si="9"/>
        <v>0</v>
      </c>
      <c r="AU85" s="948"/>
      <c r="AV85" s="948"/>
    </row>
    <row r="86" spans="1:51">
      <c r="D86" s="934" t="s">
        <v>862</v>
      </c>
      <c r="E86" s="947" t="s">
        <v>820</v>
      </c>
      <c r="F86" s="948"/>
      <c r="G86" s="892">
        <f t="shared" si="4"/>
        <v>0</v>
      </c>
      <c r="H86" s="892">
        <f>SUM(H87:H89)</f>
        <v>0</v>
      </c>
      <c r="I86" s="892">
        <f>SUM(I87:I89)</f>
        <v>0</v>
      </c>
      <c r="J86" s="892">
        <f>SUM(J87:J89)</f>
        <v>0</v>
      </c>
      <c r="K86" s="892">
        <f>SUM(K87:K89)</f>
        <v>0</v>
      </c>
      <c r="L86" s="949"/>
      <c r="M86" s="892">
        <f t="shared" si="5"/>
        <v>0</v>
      </c>
      <c r="N86" s="892">
        <f>SUM(N87:N89)</f>
        <v>0</v>
      </c>
      <c r="O86" s="892">
        <f>SUM(O87:O89)</f>
        <v>0</v>
      </c>
      <c r="P86" s="892">
        <f>SUM(P87:P89)</f>
        <v>0</v>
      </c>
      <c r="Q86" s="892">
        <f>SUM(Q87:Q89)</f>
        <v>0</v>
      </c>
      <c r="R86" s="949"/>
      <c r="S86" s="892">
        <f t="shared" si="6"/>
        <v>0</v>
      </c>
      <c r="T86" s="892">
        <f>SUM(T87:T89)</f>
        <v>0</v>
      </c>
      <c r="U86" s="892">
        <f>SUM(U87:U89)</f>
        <v>0</v>
      </c>
      <c r="V86" s="892">
        <f>SUM(V87:V89)</f>
        <v>0</v>
      </c>
      <c r="W86" s="892">
        <f>SUM(W87:W89)</f>
        <v>0</v>
      </c>
      <c r="X86" s="938"/>
      <c r="Y86" s="948"/>
      <c r="Z86" s="948"/>
      <c r="AA86" s="948"/>
      <c r="AB86" s="942">
        <f t="shared" si="28"/>
        <v>0</v>
      </c>
      <c r="AC86" s="942">
        <f>SUM(AC87:AC89)</f>
        <v>0</v>
      </c>
      <c r="AD86" s="942">
        <f>SUM(AD87:AD89)</f>
        <v>0</v>
      </c>
      <c r="AE86" s="942">
        <f>SUM(AE87:AE89)</f>
        <v>0</v>
      </c>
      <c r="AF86" s="942">
        <f>SUM(AF87:AF89)</f>
        <v>0</v>
      </c>
      <c r="AG86" s="949"/>
      <c r="AH86" s="942">
        <f t="shared" si="7"/>
        <v>0</v>
      </c>
      <c r="AI86" s="942">
        <f>SUM(AI87:AI89)</f>
        <v>0</v>
      </c>
      <c r="AJ86" s="942">
        <f>SUM(AJ87:AJ89)</f>
        <v>0</v>
      </c>
      <c r="AK86" s="942">
        <f>SUM(AK87:AK89)</f>
        <v>0</v>
      </c>
      <c r="AL86" s="942">
        <f>SUM(AL87:AL89)</f>
        <v>0</v>
      </c>
      <c r="AM86" s="949"/>
      <c r="AN86" s="942">
        <f t="shared" si="29"/>
        <v>0</v>
      </c>
      <c r="AO86" s="942">
        <f>SUM(AO87:AO89)</f>
        <v>0</v>
      </c>
      <c r="AP86" s="942">
        <f>SUM(AP87:AP89)</f>
        <v>0</v>
      </c>
      <c r="AQ86" s="942">
        <f>SUM(AQ87:AQ89)</f>
        <v>0</v>
      </c>
      <c r="AR86" s="942">
        <f>SUM(AR87:AR89)</f>
        <v>0</v>
      </c>
      <c r="AS86" s="938"/>
      <c r="AT86" s="942">
        <f t="shared" si="9"/>
        <v>0</v>
      </c>
      <c r="AU86" s="948"/>
      <c r="AV86" s="948"/>
    </row>
    <row r="87" spans="1:51">
      <c r="D87" s="934" t="s">
        <v>863</v>
      </c>
      <c r="E87" s="951" t="s">
        <v>822</v>
      </c>
      <c r="F87" s="948"/>
      <c r="G87" s="892">
        <f t="shared" si="4"/>
        <v>0</v>
      </c>
      <c r="H87" s="944"/>
      <c r="I87" s="944"/>
      <c r="J87" s="944"/>
      <c r="K87" s="944"/>
      <c r="L87" s="949"/>
      <c r="M87" s="892">
        <f t="shared" si="5"/>
        <v>0</v>
      </c>
      <c r="N87" s="892">
        <f t="shared" ref="N87:Q89" si="32">IF(H87=0,0,T87/H87)</f>
        <v>0</v>
      </c>
      <c r="O87" s="892">
        <f t="shared" si="32"/>
        <v>0</v>
      </c>
      <c r="P87" s="892">
        <f t="shared" si="32"/>
        <v>0</v>
      </c>
      <c r="Q87" s="892">
        <f t="shared" si="32"/>
        <v>0</v>
      </c>
      <c r="R87" s="949"/>
      <c r="S87" s="892">
        <f t="shared" si="6"/>
        <v>0</v>
      </c>
      <c r="T87" s="944"/>
      <c r="U87" s="944"/>
      <c r="V87" s="944"/>
      <c r="W87" s="944"/>
      <c r="X87" s="938"/>
      <c r="Y87" s="948"/>
      <c r="Z87" s="948"/>
      <c r="AA87" s="948"/>
      <c r="AB87" s="942">
        <f t="shared" si="28"/>
        <v>0</v>
      </c>
      <c r="AC87" s="939"/>
      <c r="AD87" s="939"/>
      <c r="AE87" s="939"/>
      <c r="AF87" s="939"/>
      <c r="AG87" s="949"/>
      <c r="AH87" s="942">
        <f t="shared" si="7"/>
        <v>0</v>
      </c>
      <c r="AI87" s="892">
        <f t="shared" ref="AI87:AL89" si="33">IF(AC87=0,0,AO87/AC87)</f>
        <v>0</v>
      </c>
      <c r="AJ87" s="892">
        <f t="shared" si="33"/>
        <v>0</v>
      </c>
      <c r="AK87" s="892">
        <f t="shared" si="33"/>
        <v>0</v>
      </c>
      <c r="AL87" s="892">
        <f t="shared" si="33"/>
        <v>0</v>
      </c>
      <c r="AM87" s="949"/>
      <c r="AN87" s="942">
        <f t="shared" si="29"/>
        <v>0</v>
      </c>
      <c r="AO87" s="939"/>
      <c r="AP87" s="939"/>
      <c r="AQ87" s="939"/>
      <c r="AR87" s="939"/>
      <c r="AS87" s="938"/>
      <c r="AT87" s="942">
        <f t="shared" si="9"/>
        <v>0</v>
      </c>
      <c r="AU87" s="948"/>
      <c r="AV87" s="948"/>
    </row>
    <row r="88" spans="1:51">
      <c r="D88" s="934" t="s">
        <v>864</v>
      </c>
      <c r="E88" s="951" t="s">
        <v>824</v>
      </c>
      <c r="F88" s="948"/>
      <c r="G88" s="892">
        <f t="shared" si="4"/>
        <v>0</v>
      </c>
      <c r="H88" s="944"/>
      <c r="I88" s="944"/>
      <c r="J88" s="944"/>
      <c r="K88" s="944"/>
      <c r="L88" s="949"/>
      <c r="M88" s="892">
        <f t="shared" si="5"/>
        <v>0</v>
      </c>
      <c r="N88" s="892">
        <f t="shared" si="32"/>
        <v>0</v>
      </c>
      <c r="O88" s="892">
        <f t="shared" si="32"/>
        <v>0</v>
      </c>
      <c r="P88" s="892">
        <f t="shared" si="32"/>
        <v>0</v>
      </c>
      <c r="Q88" s="892">
        <f t="shared" si="32"/>
        <v>0</v>
      </c>
      <c r="R88" s="949"/>
      <c r="S88" s="892">
        <f t="shared" si="6"/>
        <v>0</v>
      </c>
      <c r="T88" s="944"/>
      <c r="U88" s="944"/>
      <c r="V88" s="944"/>
      <c r="W88" s="944"/>
      <c r="X88" s="938"/>
      <c r="Y88" s="948"/>
      <c r="Z88" s="948"/>
      <c r="AA88" s="948"/>
      <c r="AB88" s="942">
        <f t="shared" si="28"/>
        <v>0</v>
      </c>
      <c r="AC88" s="939"/>
      <c r="AD88" s="939"/>
      <c r="AE88" s="939"/>
      <c r="AF88" s="939"/>
      <c r="AG88" s="949"/>
      <c r="AH88" s="942">
        <f t="shared" si="7"/>
        <v>0</v>
      </c>
      <c r="AI88" s="892">
        <f t="shared" si="33"/>
        <v>0</v>
      </c>
      <c r="AJ88" s="892">
        <f t="shared" si="33"/>
        <v>0</v>
      </c>
      <c r="AK88" s="892">
        <f t="shared" si="33"/>
        <v>0</v>
      </c>
      <c r="AL88" s="892">
        <f t="shared" si="33"/>
        <v>0</v>
      </c>
      <c r="AM88" s="949"/>
      <c r="AN88" s="942">
        <f t="shared" si="29"/>
        <v>0</v>
      </c>
      <c r="AO88" s="939"/>
      <c r="AP88" s="939"/>
      <c r="AQ88" s="939"/>
      <c r="AR88" s="939"/>
      <c r="AS88" s="938"/>
      <c r="AT88" s="942">
        <f t="shared" si="9"/>
        <v>0</v>
      </c>
      <c r="AU88" s="948"/>
      <c r="AV88" s="948"/>
    </row>
    <row r="89" spans="1:51">
      <c r="D89" s="934" t="s">
        <v>865</v>
      </c>
      <c r="E89" s="951" t="s">
        <v>818</v>
      </c>
      <c r="F89" s="948"/>
      <c r="G89" s="892">
        <f t="shared" si="4"/>
        <v>0</v>
      </c>
      <c r="H89" s="944"/>
      <c r="I89" s="944"/>
      <c r="J89" s="944"/>
      <c r="K89" s="944"/>
      <c r="L89" s="949"/>
      <c r="M89" s="892">
        <f t="shared" si="5"/>
        <v>0</v>
      </c>
      <c r="N89" s="892">
        <f t="shared" si="32"/>
        <v>0</v>
      </c>
      <c r="O89" s="892">
        <f t="shared" si="32"/>
        <v>0</v>
      </c>
      <c r="P89" s="892">
        <f t="shared" si="32"/>
        <v>0</v>
      </c>
      <c r="Q89" s="892">
        <f t="shared" si="32"/>
        <v>0</v>
      </c>
      <c r="R89" s="949"/>
      <c r="S89" s="892">
        <f t="shared" si="6"/>
        <v>0</v>
      </c>
      <c r="T89" s="944"/>
      <c r="U89" s="944"/>
      <c r="V89" s="944"/>
      <c r="W89" s="944"/>
      <c r="X89" s="938"/>
      <c r="Y89" s="948"/>
      <c r="Z89" s="948"/>
      <c r="AA89" s="948"/>
      <c r="AB89" s="942">
        <f t="shared" si="28"/>
        <v>0</v>
      </c>
      <c r="AC89" s="939"/>
      <c r="AD89" s="939"/>
      <c r="AE89" s="939"/>
      <c r="AF89" s="939"/>
      <c r="AG89" s="949"/>
      <c r="AH89" s="942">
        <f t="shared" si="7"/>
        <v>0</v>
      </c>
      <c r="AI89" s="892">
        <f t="shared" si="33"/>
        <v>0</v>
      </c>
      <c r="AJ89" s="892">
        <f t="shared" si="33"/>
        <v>0</v>
      </c>
      <c r="AK89" s="892">
        <f t="shared" si="33"/>
        <v>0</v>
      </c>
      <c r="AL89" s="892">
        <f t="shared" si="33"/>
        <v>0</v>
      </c>
      <c r="AM89" s="949"/>
      <c r="AN89" s="942">
        <f t="shared" si="29"/>
        <v>0</v>
      </c>
      <c r="AO89" s="939"/>
      <c r="AP89" s="939"/>
      <c r="AQ89" s="939"/>
      <c r="AR89" s="939"/>
      <c r="AS89" s="938"/>
      <c r="AT89" s="942">
        <f t="shared" si="9"/>
        <v>0</v>
      </c>
      <c r="AU89" s="948"/>
      <c r="AV89" s="948"/>
    </row>
    <row r="90" spans="1:51" s="909" customFormat="1" ht="5.25" customHeight="1">
      <c r="A90" s="814"/>
      <c r="B90" s="814"/>
      <c r="C90" s="814"/>
      <c r="D90" s="933"/>
      <c r="E90" s="933"/>
      <c r="F90" s="926"/>
      <c r="G90" s="927"/>
      <c r="H90" s="927"/>
      <c r="I90" s="927"/>
      <c r="J90" s="927"/>
      <c r="K90" s="927"/>
      <c r="L90" s="927"/>
      <c r="M90" s="927"/>
      <c r="N90" s="927"/>
      <c r="O90" s="927"/>
      <c r="P90" s="927"/>
      <c r="Q90" s="927"/>
      <c r="R90" s="927"/>
      <c r="S90" s="927"/>
      <c r="T90" s="927"/>
      <c r="U90" s="927"/>
      <c r="V90" s="927"/>
      <c r="W90" s="927"/>
      <c r="X90" s="928"/>
      <c r="Y90" s="926"/>
      <c r="Z90" s="926"/>
      <c r="AA90" s="926"/>
      <c r="AB90" s="925"/>
      <c r="AC90" s="925"/>
      <c r="AD90" s="925"/>
      <c r="AE90" s="925"/>
      <c r="AF90" s="925"/>
      <c r="AG90" s="925"/>
      <c r="AH90" s="925"/>
      <c r="AI90" s="925"/>
      <c r="AJ90" s="925"/>
      <c r="AK90" s="925"/>
      <c r="AL90" s="925"/>
      <c r="AM90" s="925"/>
      <c r="AN90" s="925"/>
      <c r="AO90" s="925"/>
      <c r="AP90" s="925"/>
      <c r="AQ90" s="925"/>
      <c r="AR90" s="925"/>
      <c r="AS90" s="928"/>
      <c r="AT90" s="928"/>
      <c r="AU90" s="928"/>
      <c r="AV90" s="928"/>
    </row>
    <row r="91" spans="1:51" ht="18" customHeight="1">
      <c r="C91" s="955"/>
      <c r="D91" s="929" t="s">
        <v>725</v>
      </c>
      <c r="E91" s="930" t="s">
        <v>195</v>
      </c>
      <c r="F91" s="931"/>
      <c r="G91" s="931"/>
      <c r="H91" s="931"/>
      <c r="I91" s="931"/>
      <c r="J91" s="931"/>
      <c r="K91" s="931"/>
      <c r="L91" s="931"/>
      <c r="M91" s="931"/>
      <c r="N91" s="931"/>
      <c r="O91" s="931"/>
      <c r="P91" s="931"/>
      <c r="Q91" s="931"/>
      <c r="R91" s="931"/>
      <c r="S91" s="931"/>
      <c r="T91" s="931"/>
      <c r="U91" s="931"/>
      <c r="V91" s="931"/>
      <c r="W91" s="931"/>
      <c r="X91" s="931"/>
      <c r="Y91" s="931"/>
      <c r="Z91" s="931"/>
      <c r="AA91" s="931"/>
      <c r="AB91" s="931"/>
      <c r="AC91" s="931"/>
      <c r="AD91" s="931"/>
      <c r="AE91" s="931"/>
      <c r="AF91" s="931"/>
      <c r="AG91" s="931"/>
      <c r="AH91" s="931"/>
      <c r="AI91" s="931"/>
      <c r="AJ91" s="931"/>
      <c r="AK91" s="931"/>
      <c r="AL91" s="931"/>
      <c r="AM91" s="931"/>
      <c r="AN91" s="931"/>
      <c r="AO91" s="931"/>
      <c r="AP91" s="931"/>
      <c r="AQ91" s="931"/>
      <c r="AR91" s="931"/>
      <c r="AS91" s="931"/>
      <c r="AT91" s="931"/>
      <c r="AU91" s="931"/>
      <c r="AV91" s="932"/>
    </row>
    <row r="92" spans="1:51" s="909" customFormat="1" ht="5.25" customHeight="1">
      <c r="A92" s="814"/>
      <c r="B92" s="814"/>
      <c r="C92" s="814"/>
      <c r="D92" s="933"/>
      <c r="E92" s="933"/>
      <c r="F92" s="926"/>
      <c r="G92" s="927"/>
      <c r="H92" s="927"/>
      <c r="I92" s="927"/>
      <c r="J92" s="927"/>
      <c r="K92" s="927"/>
      <c r="L92" s="927"/>
      <c r="M92" s="927"/>
      <c r="N92" s="927"/>
      <c r="O92" s="927"/>
      <c r="P92" s="927"/>
      <c r="Q92" s="927"/>
      <c r="R92" s="927"/>
      <c r="S92" s="927"/>
      <c r="T92" s="927"/>
      <c r="U92" s="927"/>
      <c r="V92" s="927"/>
      <c r="W92" s="927"/>
      <c r="X92" s="928"/>
      <c r="Y92" s="926"/>
      <c r="Z92" s="926"/>
      <c r="AA92" s="926"/>
      <c r="AB92" s="925"/>
      <c r="AC92" s="925"/>
      <c r="AD92" s="925"/>
      <c r="AE92" s="925"/>
      <c r="AF92" s="925"/>
      <c r="AG92" s="925"/>
      <c r="AH92" s="925"/>
      <c r="AI92" s="925"/>
      <c r="AJ92" s="925"/>
      <c r="AK92" s="925"/>
      <c r="AL92" s="925"/>
      <c r="AM92" s="925"/>
      <c r="AN92" s="925"/>
      <c r="AO92" s="925"/>
      <c r="AP92" s="925"/>
      <c r="AQ92" s="925"/>
      <c r="AR92" s="925"/>
      <c r="AS92" s="928"/>
      <c r="AT92" s="928"/>
      <c r="AU92" s="928"/>
      <c r="AV92" s="956"/>
    </row>
    <row r="93" spans="1:51">
      <c r="C93" s="955"/>
      <c r="D93" s="934" t="s">
        <v>866</v>
      </c>
      <c r="E93" s="935" t="s">
        <v>789</v>
      </c>
      <c r="F93" s="922"/>
      <c r="G93" s="892">
        <f>SUM(H93:K93)</f>
        <v>0</v>
      </c>
      <c r="H93" s="892">
        <f>H95</f>
        <v>0</v>
      </c>
      <c r="I93" s="892">
        <f>I95</f>
        <v>0</v>
      </c>
      <c r="J93" s="892">
        <f>J95</f>
        <v>0</v>
      </c>
      <c r="K93" s="892">
        <f>K95</f>
        <v>0</v>
      </c>
      <c r="L93" s="936"/>
      <c r="M93" s="892">
        <f>SUM(N93:Q93)</f>
        <v>0</v>
      </c>
      <c r="N93" s="892">
        <f>IF(H93=0,0,T93/H93)</f>
        <v>0</v>
      </c>
      <c r="O93" s="892">
        <f>IF(I93=0,0,U93/I93)</f>
        <v>0</v>
      </c>
      <c r="P93" s="892">
        <f>IF(J93=0,0,V93/J93)</f>
        <v>0</v>
      </c>
      <c r="Q93" s="892">
        <f>IF(K93=0,0,W93/K93)</f>
        <v>0</v>
      </c>
      <c r="R93" s="936"/>
      <c r="S93" s="892">
        <f>SUM(T93:W93)</f>
        <v>0</v>
      </c>
      <c r="T93" s="892">
        <f>T95</f>
        <v>0</v>
      </c>
      <c r="U93" s="892">
        <f>U95</f>
        <v>0</v>
      </c>
      <c r="V93" s="892">
        <f>V95</f>
        <v>0</v>
      </c>
      <c r="W93" s="892">
        <f>W95</f>
        <v>0</v>
      </c>
      <c r="X93" s="938"/>
      <c r="Y93" s="938"/>
      <c r="Z93" s="938"/>
      <c r="AA93" s="939">
        <v>0</v>
      </c>
      <c r="AB93" s="892">
        <f>SUM(AC93:AF93)</f>
        <v>15.478999999999999</v>
      </c>
      <c r="AC93" s="892">
        <f>AC95</f>
        <v>0</v>
      </c>
      <c r="AD93" s="892">
        <f>AD95</f>
        <v>3.28</v>
      </c>
      <c r="AE93" s="892">
        <f>AE95</f>
        <v>6.38</v>
      </c>
      <c r="AF93" s="892">
        <f>AF95</f>
        <v>5.819</v>
      </c>
      <c r="AG93" s="936"/>
      <c r="AH93" s="892">
        <f>SUM(AI93:AL93)</f>
        <v>4846.6079553969594</v>
      </c>
      <c r="AI93" s="892">
        <f>IF(AC93=0,0,AO93/AC93)</f>
        <v>0</v>
      </c>
      <c r="AJ93" s="892">
        <f>IF(AD93=0,0,AP93/AD93)</f>
        <v>1207.335161585366</v>
      </c>
      <c r="AK93" s="892">
        <f>IF(AE93=0,0,AQ93/AE93)</f>
        <v>1276.2168855799375</v>
      </c>
      <c r="AL93" s="892">
        <f>IF(AF93=0,0,AR93/AF93)</f>
        <v>2363.0559082316554</v>
      </c>
      <c r="AM93" s="936"/>
      <c r="AN93" s="892">
        <f>SUM(AO93:AR93)</f>
        <v>25852.945390000001</v>
      </c>
      <c r="AO93" s="892">
        <f>AO95</f>
        <v>0</v>
      </c>
      <c r="AP93" s="892">
        <f>AP95</f>
        <v>3960.05933</v>
      </c>
      <c r="AQ93" s="892">
        <f>AQ95</f>
        <v>8142.2637300000006</v>
      </c>
      <c r="AR93" s="892">
        <f>AR95</f>
        <v>13750.622330000002</v>
      </c>
      <c r="AS93" s="938"/>
      <c r="AT93" s="892">
        <f>AT95</f>
        <v>25852.945390000001</v>
      </c>
      <c r="AU93" s="940">
        <f>AN93</f>
        <v>25852.945390000001</v>
      </c>
      <c r="AV93" s="892">
        <f>AA93+AT93-AU93</f>
        <v>0</v>
      </c>
    </row>
    <row r="94" spans="1:51" s="909" customFormat="1" ht="5.25" customHeight="1">
      <c r="A94" s="814"/>
      <c r="B94" s="814"/>
      <c r="C94" s="814"/>
      <c r="D94" s="933"/>
      <c r="E94" s="933"/>
      <c r="F94" s="926"/>
      <c r="G94" s="927"/>
      <c r="H94" s="927"/>
      <c r="I94" s="927"/>
      <c r="J94" s="927"/>
      <c r="K94" s="927"/>
      <c r="L94" s="927"/>
      <c r="M94" s="927"/>
      <c r="N94" s="927"/>
      <c r="O94" s="927"/>
      <c r="P94" s="927"/>
      <c r="Q94" s="927"/>
      <c r="R94" s="927"/>
      <c r="S94" s="927"/>
      <c r="T94" s="927"/>
      <c r="U94" s="927"/>
      <c r="V94" s="927"/>
      <c r="W94" s="927"/>
      <c r="X94" s="928"/>
      <c r="Y94" s="926"/>
      <c r="Z94" s="926"/>
      <c r="AA94" s="926"/>
      <c r="AB94" s="925"/>
      <c r="AC94" s="925"/>
      <c r="AD94" s="925"/>
      <c r="AE94" s="925"/>
      <c r="AF94" s="925"/>
      <c r="AG94" s="925"/>
      <c r="AH94" s="925"/>
      <c r="AI94" s="925"/>
      <c r="AJ94" s="925"/>
      <c r="AK94" s="925"/>
      <c r="AL94" s="925"/>
      <c r="AM94" s="925"/>
      <c r="AN94" s="925"/>
      <c r="AO94" s="925"/>
      <c r="AP94" s="925"/>
      <c r="AQ94" s="925"/>
      <c r="AR94" s="925"/>
      <c r="AS94" s="928"/>
      <c r="AT94" s="928"/>
      <c r="AU94" s="928"/>
      <c r="AV94" s="957"/>
    </row>
    <row r="95" spans="1:51">
      <c r="D95" s="934" t="s">
        <v>867</v>
      </c>
      <c r="E95" s="941" t="s">
        <v>790</v>
      </c>
      <c r="F95" s="922"/>
      <c r="G95" s="892">
        <f>SUM(H95:K95)</f>
        <v>0</v>
      </c>
      <c r="H95" s="892">
        <f>SUM(H97,H99,H104,H108,H110,H112,H114)</f>
        <v>0</v>
      </c>
      <c r="I95" s="892">
        <f>SUM(I97,I99,I104,I108,I110,I112,I114)</f>
        <v>0</v>
      </c>
      <c r="J95" s="892">
        <f>SUM(J97,J99,J104,J108,J110,J112,J114)</f>
        <v>0</v>
      </c>
      <c r="K95" s="892">
        <f>SUM(K97,K99,K104,K108,K110,K112,K114)</f>
        <v>0</v>
      </c>
      <c r="L95" s="936"/>
      <c r="M95" s="892">
        <f>SUM(N95:Q95)</f>
        <v>0</v>
      </c>
      <c r="N95" s="892">
        <f>IF(H95=0,0,T95/H95)</f>
        <v>0</v>
      </c>
      <c r="O95" s="892">
        <f>IF(I95=0,0,U95/I95)</f>
        <v>0</v>
      </c>
      <c r="P95" s="892">
        <f>IF(J95=0,0,V95/J95)</f>
        <v>0</v>
      </c>
      <c r="Q95" s="892">
        <f>IF(K95=0,0,W95/K95)</f>
        <v>0</v>
      </c>
      <c r="R95" s="936"/>
      <c r="S95" s="892">
        <f>SUM(T95:W95)</f>
        <v>0</v>
      </c>
      <c r="T95" s="892">
        <f>SUM(T97,T99,T104,T108,T110,T112,T114)</f>
        <v>0</v>
      </c>
      <c r="U95" s="892">
        <f>SUM(U97,U99,U104,U108,U110,U112,U114)</f>
        <v>0</v>
      </c>
      <c r="V95" s="892">
        <f>SUM(V97,V99,V104,V108,V110,V112,V114)</f>
        <v>0</v>
      </c>
      <c r="W95" s="892">
        <f>SUM(W97,W99,W104,W108,W110,W112,W114)</f>
        <v>0</v>
      </c>
      <c r="X95" s="938"/>
      <c r="Y95" s="938"/>
      <c r="Z95" s="938"/>
      <c r="AA95" s="938"/>
      <c r="AB95" s="942">
        <f>SUM(AC95:AF95)</f>
        <v>15.478999999999999</v>
      </c>
      <c r="AC95" s="942">
        <f>SUM(AC97,AC99,AC104,AC108,AC110,AC112,AC114)</f>
        <v>0</v>
      </c>
      <c r="AD95" s="942">
        <f>SUM(AD97,AD99,AD104,AD108,AD110,AD112,AD114)</f>
        <v>3.28</v>
      </c>
      <c r="AE95" s="942">
        <f>SUM(AE97,AE99,AE104,AE108,AE110,AE112,AE114)</f>
        <v>6.38</v>
      </c>
      <c r="AF95" s="942">
        <f>SUM(AF97,AF99,AF104,AF108,AF110,AF112,AF114)</f>
        <v>5.819</v>
      </c>
      <c r="AG95" s="943"/>
      <c r="AH95" s="892">
        <f>SUM(AI95:AL95)</f>
        <v>4846.6079553969594</v>
      </c>
      <c r="AI95" s="892">
        <f>IF(AC95=0,0,AO95/AC95)</f>
        <v>0</v>
      </c>
      <c r="AJ95" s="892">
        <f>IF(AD95=0,0,AP95/AD95)</f>
        <v>1207.335161585366</v>
      </c>
      <c r="AK95" s="892">
        <f>IF(AE95=0,0,AQ95/AE95)</f>
        <v>1276.2168855799375</v>
      </c>
      <c r="AL95" s="892">
        <f>IF(AF95=0,0,AR95/AF95)</f>
        <v>2363.0559082316554</v>
      </c>
      <c r="AM95" s="936"/>
      <c r="AN95" s="942">
        <f>SUM(AO95:AR95)</f>
        <v>25852.945390000001</v>
      </c>
      <c r="AO95" s="942">
        <f>SUM(AO97,AO99,AO104,AO108,AO110,AO112,AO114)</f>
        <v>0</v>
      </c>
      <c r="AP95" s="942">
        <f>SUM(AP97,AP99,AP104,AP108,AP110,AP112,AP114)</f>
        <v>3960.05933</v>
      </c>
      <c r="AQ95" s="942">
        <f>SUM(AQ97,AQ99,AQ104,AQ108,AQ110,AQ112,AQ114)</f>
        <v>8142.2637300000006</v>
      </c>
      <c r="AR95" s="942">
        <f>SUM(AR97,AR99,AR104,AR108,AR110,AR112,AR114)</f>
        <v>13750.622330000002</v>
      </c>
      <c r="AS95" s="938"/>
      <c r="AT95" s="942">
        <f>SUMIF($F$14:$AS$14,$S$14,$F95:$AS95)</f>
        <v>25852.945390000001</v>
      </c>
      <c r="AU95" s="948"/>
      <c r="AV95" s="948"/>
    </row>
    <row r="96" spans="1:51" s="909" customFormat="1" ht="5.25" customHeight="1">
      <c r="A96" s="814"/>
      <c r="B96" s="814"/>
      <c r="C96" s="814"/>
      <c r="D96" s="933"/>
      <c r="E96" s="933"/>
      <c r="F96" s="926"/>
      <c r="G96" s="927"/>
      <c r="H96" s="927"/>
      <c r="I96" s="927"/>
      <c r="J96" s="927"/>
      <c r="K96" s="927"/>
      <c r="L96" s="927"/>
      <c r="M96" s="927"/>
      <c r="N96" s="927"/>
      <c r="O96" s="927"/>
      <c r="P96" s="927"/>
      <c r="Q96" s="927"/>
      <c r="R96" s="927"/>
      <c r="S96" s="927"/>
      <c r="T96" s="927"/>
      <c r="U96" s="927"/>
      <c r="V96" s="927"/>
      <c r="W96" s="927"/>
      <c r="X96" s="928"/>
      <c r="Y96" s="926"/>
      <c r="Z96" s="926"/>
      <c r="AA96" s="926"/>
      <c r="AB96" s="925"/>
      <c r="AC96" s="925"/>
      <c r="AD96" s="925"/>
      <c r="AE96" s="925"/>
      <c r="AF96" s="925"/>
      <c r="AG96" s="925"/>
      <c r="AH96" s="925"/>
      <c r="AI96" s="925"/>
      <c r="AJ96" s="925"/>
      <c r="AK96" s="925"/>
      <c r="AL96" s="925"/>
      <c r="AM96" s="925"/>
      <c r="AN96" s="925"/>
      <c r="AO96" s="925"/>
      <c r="AP96" s="925"/>
      <c r="AQ96" s="925"/>
      <c r="AR96" s="925"/>
      <c r="AS96" s="928"/>
      <c r="AT96" s="928"/>
      <c r="AU96" s="928"/>
      <c r="AV96" s="928"/>
    </row>
    <row r="97" spans="1:48">
      <c r="D97" s="934" t="s">
        <v>868</v>
      </c>
      <c r="E97" s="941" t="s">
        <v>791</v>
      </c>
      <c r="F97" s="922"/>
      <c r="G97" s="892">
        <f>SUM(H97:K97)</f>
        <v>0</v>
      </c>
      <c r="H97" s="944"/>
      <c r="I97" s="944"/>
      <c r="J97" s="944"/>
      <c r="K97" s="944"/>
      <c r="L97" s="936"/>
      <c r="M97" s="892">
        <f>SUM(N97:Q97)</f>
        <v>0</v>
      </c>
      <c r="N97" s="892">
        <f>IF(H97=0,0,T97/H97)</f>
        <v>0</v>
      </c>
      <c r="O97" s="892">
        <f>IF(I97=0,0,U97/I97)</f>
        <v>0</v>
      </c>
      <c r="P97" s="892">
        <f>IF(J97=0,0,V97/J97)</f>
        <v>0</v>
      </c>
      <c r="Q97" s="892">
        <f>IF(K97=0,0,W97/K97)</f>
        <v>0</v>
      </c>
      <c r="R97" s="936"/>
      <c r="S97" s="892">
        <f>SUM(T97:W97)</f>
        <v>0</v>
      </c>
      <c r="T97" s="944"/>
      <c r="U97" s="944"/>
      <c r="V97" s="944"/>
      <c r="W97" s="944"/>
      <c r="X97" s="938"/>
      <c r="Y97" s="938"/>
      <c r="Z97" s="938"/>
      <c r="AA97" s="938"/>
      <c r="AB97" s="942">
        <f>SUM(AC97:AF97)</f>
        <v>0</v>
      </c>
      <c r="AC97" s="939"/>
      <c r="AD97" s="939"/>
      <c r="AE97" s="939"/>
      <c r="AF97" s="939"/>
      <c r="AG97" s="943"/>
      <c r="AH97" s="892">
        <f>SUM(AI97:AL97)</f>
        <v>0</v>
      </c>
      <c r="AI97" s="892">
        <f>IF(AC97=0,0,AO97/AC97)</f>
        <v>0</v>
      </c>
      <c r="AJ97" s="892">
        <f>IF(AD97=0,0,AP97/AD97)</f>
        <v>0</v>
      </c>
      <c r="AK97" s="892">
        <f>IF(AE97=0,0,AQ97/AE97)</f>
        <v>0</v>
      </c>
      <c r="AL97" s="892">
        <f>IF(AF97=0,0,AR97/AF97)</f>
        <v>0</v>
      </c>
      <c r="AM97" s="936"/>
      <c r="AN97" s="942">
        <f>SUM(AO97:AR97)</f>
        <v>0</v>
      </c>
      <c r="AO97" s="939"/>
      <c r="AP97" s="939"/>
      <c r="AQ97" s="939"/>
      <c r="AR97" s="939"/>
      <c r="AS97" s="938"/>
      <c r="AT97" s="942">
        <f>SUMIF($F$14:$AS$14,$S$14,$F97:$AS97)</f>
        <v>0</v>
      </c>
      <c r="AU97" s="948"/>
      <c r="AV97" s="948"/>
    </row>
    <row r="98" spans="1:48" ht="5.25" customHeight="1">
      <c r="A98" s="814"/>
      <c r="B98" s="814"/>
      <c r="C98" s="814"/>
      <c r="D98" s="933"/>
      <c r="E98" s="933"/>
      <c r="F98" s="926"/>
      <c r="G98" s="927"/>
      <c r="H98" s="927"/>
      <c r="I98" s="927"/>
      <c r="J98" s="927"/>
      <c r="K98" s="927"/>
      <c r="L98" s="927"/>
      <c r="M98" s="927"/>
      <c r="N98" s="927"/>
      <c r="O98" s="927"/>
      <c r="P98" s="927"/>
      <c r="Q98" s="927"/>
      <c r="R98" s="927"/>
      <c r="S98" s="927"/>
      <c r="T98" s="927"/>
      <c r="U98" s="927"/>
      <c r="V98" s="927"/>
      <c r="W98" s="927"/>
      <c r="X98" s="928"/>
      <c r="Y98" s="926"/>
      <c r="Z98" s="926"/>
      <c r="AA98" s="926"/>
      <c r="AB98" s="925"/>
      <c r="AC98" s="925"/>
      <c r="AD98" s="925"/>
      <c r="AE98" s="925"/>
      <c r="AF98" s="925"/>
      <c r="AG98" s="925"/>
      <c r="AH98" s="925"/>
      <c r="AI98" s="925"/>
      <c r="AJ98" s="925"/>
      <c r="AK98" s="925"/>
      <c r="AL98" s="925"/>
      <c r="AM98" s="925"/>
      <c r="AN98" s="925"/>
      <c r="AO98" s="925"/>
      <c r="AP98" s="925"/>
      <c r="AQ98" s="925"/>
      <c r="AR98" s="925"/>
      <c r="AS98" s="928"/>
      <c r="AT98" s="928"/>
      <c r="AU98" s="928"/>
      <c r="AV98" s="928"/>
    </row>
    <row r="99" spans="1:48">
      <c r="D99" s="934" t="s">
        <v>869</v>
      </c>
      <c r="E99" s="945" t="s">
        <v>793</v>
      </c>
      <c r="F99" s="922"/>
      <c r="G99" s="892">
        <f>SUM(H99:K99)</f>
        <v>0</v>
      </c>
      <c r="H99" s="892">
        <f>ROUND((H102*8+H101*10+H100*6)/24,6)</f>
        <v>0</v>
      </c>
      <c r="I99" s="892">
        <f>ROUND((I102*8+I101*10+I100*6)/24,6)</f>
        <v>0</v>
      </c>
      <c r="J99" s="892">
        <f>ROUND((J102*8+J101*10+J100*6)/24,6)</f>
        <v>0</v>
      </c>
      <c r="K99" s="892">
        <f>ROUND((K102*8+K101*10+K100*6)/24,6)</f>
        <v>0</v>
      </c>
      <c r="L99" s="936"/>
      <c r="M99" s="892">
        <f>SUM(N99:Q99)</f>
        <v>0</v>
      </c>
      <c r="N99" s="892">
        <f>SUM(N100:N102)</f>
        <v>0</v>
      </c>
      <c r="O99" s="892">
        <f>SUM(O100:O102)</f>
        <v>0</v>
      </c>
      <c r="P99" s="892">
        <f>SUM(P100:P102)</f>
        <v>0</v>
      </c>
      <c r="Q99" s="892">
        <f>SUM(Q100:Q102)</f>
        <v>0</v>
      </c>
      <c r="R99" s="936"/>
      <c r="S99" s="892">
        <f>SUM(T99:W99)</f>
        <v>0</v>
      </c>
      <c r="T99" s="892">
        <f>SUM(T100:T102)</f>
        <v>0</v>
      </c>
      <c r="U99" s="892">
        <f>SUM(U100:U102)</f>
        <v>0</v>
      </c>
      <c r="V99" s="892">
        <f>SUM(V100:V102)</f>
        <v>0</v>
      </c>
      <c r="W99" s="892">
        <f>SUM(W100:W102)</f>
        <v>0</v>
      </c>
      <c r="X99" s="938"/>
      <c r="Y99" s="938"/>
      <c r="Z99" s="938"/>
      <c r="AA99" s="938"/>
      <c r="AB99" s="942">
        <f>SUM(AC99:AF99)</f>
        <v>0</v>
      </c>
      <c r="AC99" s="942">
        <f>ROUND((AC102*8+AC101*10+AC100*6)/24,6)</f>
        <v>0</v>
      </c>
      <c r="AD99" s="942">
        <f>ROUND((AD102*8+AD101*10+AD100*6)/24,6)</f>
        <v>0</v>
      </c>
      <c r="AE99" s="942">
        <f>ROUND((AE102*8+AE101*10+AE100*6)/24,6)</f>
        <v>0</v>
      </c>
      <c r="AF99" s="942">
        <f>ROUND((AF102*8+AF101*10+AF100*6)/24,6)</f>
        <v>0</v>
      </c>
      <c r="AG99" s="943"/>
      <c r="AH99" s="892">
        <f>SUM(AI99:AL99)</f>
        <v>0</v>
      </c>
      <c r="AI99" s="892">
        <f>SUM(AI100:AI102)</f>
        <v>0</v>
      </c>
      <c r="AJ99" s="892">
        <f>SUM(AJ100:AJ102)</f>
        <v>0</v>
      </c>
      <c r="AK99" s="892">
        <f>SUM(AK100:AK102)</f>
        <v>0</v>
      </c>
      <c r="AL99" s="892">
        <f>SUM(AL100:AL102)</f>
        <v>0</v>
      </c>
      <c r="AM99" s="936"/>
      <c r="AN99" s="942">
        <f>SUM(AO99:AR99)</f>
        <v>0</v>
      </c>
      <c r="AO99" s="942">
        <f>SUM(AO100:AO102)</f>
        <v>0</v>
      </c>
      <c r="AP99" s="942">
        <f>SUM(AP100:AP102)</f>
        <v>0</v>
      </c>
      <c r="AQ99" s="942">
        <f>SUM(AQ100:AQ102)</f>
        <v>0</v>
      </c>
      <c r="AR99" s="942">
        <f>SUM(AR100:AR102)</f>
        <v>0</v>
      </c>
      <c r="AS99" s="938"/>
      <c r="AT99" s="942">
        <f>SUMIF($F$14:$AS$14,$S$14,$F99:$AS99)</f>
        <v>0</v>
      </c>
      <c r="AU99" s="948"/>
      <c r="AV99" s="948"/>
    </row>
    <row r="100" spans="1:48">
      <c r="D100" s="934" t="s">
        <v>870</v>
      </c>
      <c r="E100" s="946" t="s">
        <v>795</v>
      </c>
      <c r="F100" s="922"/>
      <c r="G100" s="892">
        <f>SUM(H100:K100)</f>
        <v>0</v>
      </c>
      <c r="H100" s="944"/>
      <c r="I100" s="944"/>
      <c r="J100" s="944"/>
      <c r="K100" s="944"/>
      <c r="L100" s="936"/>
      <c r="M100" s="892">
        <f>SUM(N100:Q100)</f>
        <v>0</v>
      </c>
      <c r="N100" s="892">
        <f t="shared" ref="N100:Q102" si="34">IF(H100=0,0,T100/H100)</f>
        <v>0</v>
      </c>
      <c r="O100" s="892">
        <f t="shared" si="34"/>
        <v>0</v>
      </c>
      <c r="P100" s="892">
        <f t="shared" si="34"/>
        <v>0</v>
      </c>
      <c r="Q100" s="892">
        <f t="shared" si="34"/>
        <v>0</v>
      </c>
      <c r="R100" s="936"/>
      <c r="S100" s="892">
        <f>SUM(T100:W100)</f>
        <v>0</v>
      </c>
      <c r="T100" s="944"/>
      <c r="U100" s="944"/>
      <c r="V100" s="944"/>
      <c r="W100" s="944"/>
      <c r="X100" s="938"/>
      <c r="Y100" s="938"/>
      <c r="Z100" s="938"/>
      <c r="AA100" s="938"/>
      <c r="AB100" s="942">
        <f>SUM(AC100:AF100)</f>
        <v>0</v>
      </c>
      <c r="AC100" s="939"/>
      <c r="AD100" s="939"/>
      <c r="AE100" s="939"/>
      <c r="AF100" s="939"/>
      <c r="AG100" s="943"/>
      <c r="AH100" s="892">
        <f>SUM(AI100:AL100)</f>
        <v>0</v>
      </c>
      <c r="AI100" s="892">
        <f t="shared" ref="AI100:AL102" si="35">IF(AC100=0,0,AO100/AC100)</f>
        <v>0</v>
      </c>
      <c r="AJ100" s="892">
        <f t="shared" si="35"/>
        <v>0</v>
      </c>
      <c r="AK100" s="892">
        <f t="shared" si="35"/>
        <v>0</v>
      </c>
      <c r="AL100" s="892">
        <f t="shared" si="35"/>
        <v>0</v>
      </c>
      <c r="AM100" s="936"/>
      <c r="AN100" s="942">
        <f>SUM(AO100:AR100)</f>
        <v>0</v>
      </c>
      <c r="AO100" s="939"/>
      <c r="AP100" s="939"/>
      <c r="AQ100" s="939"/>
      <c r="AR100" s="939"/>
      <c r="AS100" s="938"/>
      <c r="AT100" s="942">
        <f>SUMIF($F$14:$AS$14,$S$14,$F100:$AS100)</f>
        <v>0</v>
      </c>
      <c r="AU100" s="948"/>
      <c r="AV100" s="948"/>
    </row>
    <row r="101" spans="1:48">
      <c r="D101" s="934" t="s">
        <v>871</v>
      </c>
      <c r="E101" s="946" t="s">
        <v>797</v>
      </c>
      <c r="F101" s="922"/>
      <c r="G101" s="892">
        <f>SUM(H101:K101)</f>
        <v>0</v>
      </c>
      <c r="H101" s="944"/>
      <c r="I101" s="944"/>
      <c r="J101" s="944"/>
      <c r="K101" s="944"/>
      <c r="L101" s="936"/>
      <c r="M101" s="892">
        <f>SUM(N101:Q101)</f>
        <v>0</v>
      </c>
      <c r="N101" s="892">
        <f t="shared" si="34"/>
        <v>0</v>
      </c>
      <c r="O101" s="892">
        <f t="shared" si="34"/>
        <v>0</v>
      </c>
      <c r="P101" s="892">
        <f t="shared" si="34"/>
        <v>0</v>
      </c>
      <c r="Q101" s="892">
        <f t="shared" si="34"/>
        <v>0</v>
      </c>
      <c r="R101" s="936"/>
      <c r="S101" s="892">
        <f>SUM(T101:W101)</f>
        <v>0</v>
      </c>
      <c r="T101" s="944"/>
      <c r="U101" s="944"/>
      <c r="V101" s="944"/>
      <c r="W101" s="944"/>
      <c r="X101" s="938"/>
      <c r="Y101" s="938"/>
      <c r="Z101" s="938"/>
      <c r="AA101" s="938"/>
      <c r="AB101" s="942">
        <f>SUM(AC101:AF101)</f>
        <v>0</v>
      </c>
      <c r="AC101" s="939"/>
      <c r="AD101" s="939"/>
      <c r="AE101" s="939"/>
      <c r="AF101" s="939"/>
      <c r="AG101" s="943"/>
      <c r="AH101" s="892">
        <f>SUM(AI101:AL101)</f>
        <v>0</v>
      </c>
      <c r="AI101" s="892">
        <f t="shared" si="35"/>
        <v>0</v>
      </c>
      <c r="AJ101" s="892">
        <f t="shared" si="35"/>
        <v>0</v>
      </c>
      <c r="AK101" s="892">
        <f t="shared" si="35"/>
        <v>0</v>
      </c>
      <c r="AL101" s="892">
        <f t="shared" si="35"/>
        <v>0</v>
      </c>
      <c r="AM101" s="936"/>
      <c r="AN101" s="942">
        <f>SUM(AO101:AR101)</f>
        <v>0</v>
      </c>
      <c r="AO101" s="939"/>
      <c r="AP101" s="939"/>
      <c r="AQ101" s="939"/>
      <c r="AR101" s="939"/>
      <c r="AS101" s="938"/>
      <c r="AT101" s="942">
        <f>SUMIF($F$14:$AS$14,$S$14,$F101:$AS101)</f>
        <v>0</v>
      </c>
      <c r="AU101" s="948"/>
      <c r="AV101" s="948"/>
    </row>
    <row r="102" spans="1:48">
      <c r="D102" s="934" t="s">
        <v>872</v>
      </c>
      <c r="E102" s="946" t="s">
        <v>799</v>
      </c>
      <c r="F102" s="922"/>
      <c r="G102" s="892">
        <f>SUM(H102:K102)</f>
        <v>0</v>
      </c>
      <c r="H102" s="944"/>
      <c r="I102" s="944"/>
      <c r="J102" s="944"/>
      <c r="K102" s="944"/>
      <c r="L102" s="936"/>
      <c r="M102" s="892">
        <f>SUM(N102:Q102)</f>
        <v>0</v>
      </c>
      <c r="N102" s="892">
        <f t="shared" si="34"/>
        <v>0</v>
      </c>
      <c r="O102" s="892">
        <f t="shared" si="34"/>
        <v>0</v>
      </c>
      <c r="P102" s="892">
        <f t="shared" si="34"/>
        <v>0</v>
      </c>
      <c r="Q102" s="892">
        <f t="shared" si="34"/>
        <v>0</v>
      </c>
      <c r="R102" s="936"/>
      <c r="S102" s="892">
        <f>SUM(T102:W102)</f>
        <v>0</v>
      </c>
      <c r="T102" s="944"/>
      <c r="U102" s="944"/>
      <c r="V102" s="944"/>
      <c r="W102" s="944"/>
      <c r="X102" s="938"/>
      <c r="Y102" s="938"/>
      <c r="Z102" s="938"/>
      <c r="AA102" s="938"/>
      <c r="AB102" s="942">
        <f>SUM(AC102:AF102)</f>
        <v>0</v>
      </c>
      <c r="AC102" s="939"/>
      <c r="AD102" s="939"/>
      <c r="AE102" s="939"/>
      <c r="AF102" s="939"/>
      <c r="AG102" s="943"/>
      <c r="AH102" s="892">
        <f>SUM(AI102:AL102)</f>
        <v>0</v>
      </c>
      <c r="AI102" s="892">
        <f t="shared" si="35"/>
        <v>0</v>
      </c>
      <c r="AJ102" s="892">
        <f t="shared" si="35"/>
        <v>0</v>
      </c>
      <c r="AK102" s="892">
        <f t="shared" si="35"/>
        <v>0</v>
      </c>
      <c r="AL102" s="892">
        <f t="shared" si="35"/>
        <v>0</v>
      </c>
      <c r="AM102" s="936"/>
      <c r="AN102" s="942">
        <f>SUM(AO102:AR102)</f>
        <v>0</v>
      </c>
      <c r="AO102" s="939"/>
      <c r="AP102" s="939"/>
      <c r="AQ102" s="939"/>
      <c r="AR102" s="939"/>
      <c r="AS102" s="938"/>
      <c r="AT102" s="942">
        <f>SUMIF($F$14:$AS$14,$S$14,$F102:$AS102)</f>
        <v>0</v>
      </c>
      <c r="AU102" s="948"/>
      <c r="AV102" s="948"/>
    </row>
    <row r="103" spans="1:48" ht="5.25" customHeight="1">
      <c r="A103" s="814"/>
      <c r="B103" s="814"/>
      <c r="C103" s="814"/>
      <c r="D103" s="933"/>
      <c r="E103" s="933"/>
      <c r="F103" s="926"/>
      <c r="G103" s="927"/>
      <c r="H103" s="927"/>
      <c r="I103" s="927"/>
      <c r="J103" s="927"/>
      <c r="K103" s="927"/>
      <c r="L103" s="927"/>
      <c r="M103" s="927"/>
      <c r="N103" s="927"/>
      <c r="O103" s="927"/>
      <c r="P103" s="927"/>
      <c r="Q103" s="927"/>
      <c r="R103" s="927"/>
      <c r="S103" s="927"/>
      <c r="T103" s="927"/>
      <c r="U103" s="927"/>
      <c r="V103" s="927"/>
      <c r="W103" s="927"/>
      <c r="X103" s="928"/>
      <c r="Y103" s="926"/>
      <c r="Z103" s="926"/>
      <c r="AA103" s="926"/>
      <c r="AB103" s="925"/>
      <c r="AC103" s="925"/>
      <c r="AD103" s="925"/>
      <c r="AE103" s="925"/>
      <c r="AF103" s="925"/>
      <c r="AG103" s="925"/>
      <c r="AH103" s="925"/>
      <c r="AI103" s="925"/>
      <c r="AJ103" s="925"/>
      <c r="AK103" s="925"/>
      <c r="AL103" s="925"/>
      <c r="AM103" s="925"/>
      <c r="AN103" s="925"/>
      <c r="AO103" s="925"/>
      <c r="AP103" s="925"/>
      <c r="AQ103" s="925"/>
      <c r="AR103" s="925"/>
      <c r="AS103" s="928"/>
      <c r="AT103" s="928"/>
      <c r="AU103" s="928"/>
      <c r="AV103" s="928"/>
    </row>
    <row r="104" spans="1:48">
      <c r="C104" s="955"/>
      <c r="D104" s="934" t="s">
        <v>873</v>
      </c>
      <c r="E104" s="945" t="s">
        <v>801</v>
      </c>
      <c r="F104" s="922"/>
      <c r="G104" s="892">
        <f>SUM(H104:K104)</f>
        <v>0</v>
      </c>
      <c r="H104" s="892">
        <f>ROUND((H105*16+H106*8)/24,6)</f>
        <v>0</v>
      </c>
      <c r="I104" s="892">
        <f>ROUND((I105*16+I106*8)/24,6)</f>
        <v>0</v>
      </c>
      <c r="J104" s="892">
        <f>ROUND((J105*16+J106*8)/24,6)</f>
        <v>0</v>
      </c>
      <c r="K104" s="892">
        <f>ROUND((K105*16+K106*8)/24,6)</f>
        <v>0</v>
      </c>
      <c r="L104" s="936"/>
      <c r="M104" s="892">
        <f>SUM(N104:Q104)</f>
        <v>0</v>
      </c>
      <c r="N104" s="892">
        <f>SUM(N105:N106)</f>
        <v>0</v>
      </c>
      <c r="O104" s="892">
        <f>SUM(O105:O106)</f>
        <v>0</v>
      </c>
      <c r="P104" s="892">
        <f>SUM(P105:P106)</f>
        <v>0</v>
      </c>
      <c r="Q104" s="892">
        <f>SUM(Q105:Q106)</f>
        <v>0</v>
      </c>
      <c r="R104" s="936"/>
      <c r="S104" s="892">
        <f>SUM(T104:W104)</f>
        <v>0</v>
      </c>
      <c r="T104" s="892">
        <f>SUM(T105:T106)</f>
        <v>0</v>
      </c>
      <c r="U104" s="892">
        <f>SUM(U105:U106)</f>
        <v>0</v>
      </c>
      <c r="V104" s="892">
        <f>SUM(V105:V106)</f>
        <v>0</v>
      </c>
      <c r="W104" s="892">
        <f>SUM(W105:W106)</f>
        <v>0</v>
      </c>
      <c r="X104" s="938"/>
      <c r="Y104" s="938"/>
      <c r="Z104" s="938"/>
      <c r="AA104" s="938"/>
      <c r="AB104" s="942">
        <f>SUM(AC104:AF104)</f>
        <v>0</v>
      </c>
      <c r="AC104" s="942">
        <f>ROUND((AC105*16+AC106*8)/24,6)</f>
        <v>0</v>
      </c>
      <c r="AD104" s="942">
        <f>ROUND((AD105*16+AD106*8)/24,6)</f>
        <v>0</v>
      </c>
      <c r="AE104" s="942">
        <f>ROUND((AE105*16+AE106*8)/24,6)</f>
        <v>0</v>
      </c>
      <c r="AF104" s="942">
        <f>ROUND((AF105*16+AF106*8)/24,6)</f>
        <v>0</v>
      </c>
      <c r="AG104" s="943"/>
      <c r="AH104" s="892">
        <f>SUM(AI104:AL104)</f>
        <v>0</v>
      </c>
      <c r="AI104" s="892">
        <f>SUM(AI105:AI106)</f>
        <v>0</v>
      </c>
      <c r="AJ104" s="892">
        <f>SUM(AJ105:AJ106)</f>
        <v>0</v>
      </c>
      <c r="AK104" s="892">
        <f>SUM(AK105:AK106)</f>
        <v>0</v>
      </c>
      <c r="AL104" s="892">
        <f>SUM(AL105:AL106)</f>
        <v>0</v>
      </c>
      <c r="AM104" s="936"/>
      <c r="AN104" s="942">
        <f>SUM(AO104:AR104)</f>
        <v>0</v>
      </c>
      <c r="AO104" s="942">
        <f>SUM(AO105:AO106)</f>
        <v>0</v>
      </c>
      <c r="AP104" s="942">
        <f>SUM(AP105:AP106)</f>
        <v>0</v>
      </c>
      <c r="AQ104" s="942">
        <f>SUM(AQ105:AQ106)</f>
        <v>0</v>
      </c>
      <c r="AR104" s="942">
        <f>SUM(AR105:AR106)</f>
        <v>0</v>
      </c>
      <c r="AS104" s="938"/>
      <c r="AT104" s="942">
        <f>SUMIF($F$14:$AS$14,$S$14,$F104:$AS104)</f>
        <v>0</v>
      </c>
      <c r="AU104" s="938"/>
      <c r="AV104" s="937"/>
    </row>
    <row r="105" spans="1:48">
      <c r="C105" s="955"/>
      <c r="D105" s="934" t="s">
        <v>874</v>
      </c>
      <c r="E105" s="946" t="s">
        <v>795</v>
      </c>
      <c r="F105" s="922"/>
      <c r="G105" s="892">
        <f>SUM(H105:K105)</f>
        <v>0</v>
      </c>
      <c r="H105" s="944"/>
      <c r="I105" s="944"/>
      <c r="J105" s="944"/>
      <c r="K105" s="944"/>
      <c r="L105" s="936"/>
      <c r="M105" s="892">
        <f>SUM(N105:Q105)</f>
        <v>0</v>
      </c>
      <c r="N105" s="892">
        <f t="shared" ref="N105:Q106" si="36">IF(H105=0,0,T105/H105)</f>
        <v>0</v>
      </c>
      <c r="O105" s="892">
        <f t="shared" si="36"/>
        <v>0</v>
      </c>
      <c r="P105" s="892">
        <f t="shared" si="36"/>
        <v>0</v>
      </c>
      <c r="Q105" s="892">
        <f t="shared" si="36"/>
        <v>0</v>
      </c>
      <c r="R105" s="936"/>
      <c r="S105" s="892">
        <f>SUM(T105:W105)</f>
        <v>0</v>
      </c>
      <c r="T105" s="944"/>
      <c r="U105" s="944"/>
      <c r="V105" s="944"/>
      <c r="W105" s="944"/>
      <c r="X105" s="938"/>
      <c r="Y105" s="938"/>
      <c r="Z105" s="938"/>
      <c r="AA105" s="938"/>
      <c r="AB105" s="942">
        <f>SUM(AC105:AF105)</f>
        <v>0</v>
      </c>
      <c r="AC105" s="939"/>
      <c r="AD105" s="939"/>
      <c r="AE105" s="939"/>
      <c r="AF105" s="939"/>
      <c r="AG105" s="943"/>
      <c r="AH105" s="892">
        <f>SUM(AI105:AL105)</f>
        <v>0</v>
      </c>
      <c r="AI105" s="892">
        <f t="shared" ref="AI105:AL106" si="37">IF(AC105=0,0,AO105/AC105)</f>
        <v>0</v>
      </c>
      <c r="AJ105" s="892">
        <f t="shared" si="37"/>
        <v>0</v>
      </c>
      <c r="AK105" s="892">
        <f t="shared" si="37"/>
        <v>0</v>
      </c>
      <c r="AL105" s="892">
        <f t="shared" si="37"/>
        <v>0</v>
      </c>
      <c r="AM105" s="936"/>
      <c r="AN105" s="942">
        <f>SUM(AO105:AR105)</f>
        <v>0</v>
      </c>
      <c r="AO105" s="939"/>
      <c r="AP105" s="939"/>
      <c r="AQ105" s="939"/>
      <c r="AR105" s="939"/>
      <c r="AS105" s="938"/>
      <c r="AT105" s="942">
        <f>SUMIF($F$14:$AS$14,$S$14,$F105:$AS105)</f>
        <v>0</v>
      </c>
      <c r="AU105" s="938"/>
      <c r="AV105" s="937"/>
    </row>
    <row r="106" spans="1:48">
      <c r="C106" s="955"/>
      <c r="D106" s="934" t="s">
        <v>875</v>
      </c>
      <c r="E106" s="946" t="s">
        <v>804</v>
      </c>
      <c r="F106" s="922"/>
      <c r="G106" s="892">
        <f>SUM(H106:K106)</f>
        <v>0</v>
      </c>
      <c r="H106" s="944"/>
      <c r="I106" s="944"/>
      <c r="J106" s="944"/>
      <c r="K106" s="944"/>
      <c r="L106" s="936"/>
      <c r="M106" s="892">
        <f>SUM(N106:Q106)</f>
        <v>0</v>
      </c>
      <c r="N106" s="892">
        <f t="shared" si="36"/>
        <v>0</v>
      </c>
      <c r="O106" s="892">
        <f t="shared" si="36"/>
        <v>0</v>
      </c>
      <c r="P106" s="892">
        <f t="shared" si="36"/>
        <v>0</v>
      </c>
      <c r="Q106" s="892">
        <f t="shared" si="36"/>
        <v>0</v>
      </c>
      <c r="R106" s="936"/>
      <c r="S106" s="892">
        <f>SUM(T106:W106)</f>
        <v>0</v>
      </c>
      <c r="T106" s="944"/>
      <c r="U106" s="944"/>
      <c r="V106" s="944"/>
      <c r="W106" s="944"/>
      <c r="X106" s="938"/>
      <c r="Y106" s="938"/>
      <c r="Z106" s="938"/>
      <c r="AA106" s="938"/>
      <c r="AB106" s="942">
        <f>SUM(AC106:AF106)</f>
        <v>0</v>
      </c>
      <c r="AC106" s="939"/>
      <c r="AD106" s="939"/>
      <c r="AE106" s="939"/>
      <c r="AF106" s="939"/>
      <c r="AG106" s="943"/>
      <c r="AH106" s="892">
        <f>SUM(AI106:AL106)</f>
        <v>0</v>
      </c>
      <c r="AI106" s="892">
        <f t="shared" si="37"/>
        <v>0</v>
      </c>
      <c r="AJ106" s="892">
        <f t="shared" si="37"/>
        <v>0</v>
      </c>
      <c r="AK106" s="892">
        <f t="shared" si="37"/>
        <v>0</v>
      </c>
      <c r="AL106" s="892">
        <f t="shared" si="37"/>
        <v>0</v>
      </c>
      <c r="AM106" s="936"/>
      <c r="AN106" s="942">
        <f>SUM(AO106:AR106)</f>
        <v>0</v>
      </c>
      <c r="AO106" s="939"/>
      <c r="AP106" s="939"/>
      <c r="AQ106" s="939"/>
      <c r="AR106" s="939"/>
      <c r="AS106" s="938"/>
      <c r="AT106" s="942">
        <f>SUMIF($F$14:$AS$14,$S$14,$F106:$AS106)</f>
        <v>0</v>
      </c>
      <c r="AU106" s="938"/>
      <c r="AV106" s="937"/>
    </row>
    <row r="107" spans="1:48" ht="5.25" customHeight="1">
      <c r="A107" s="814"/>
      <c r="B107" s="814"/>
      <c r="C107" s="814"/>
      <c r="D107" s="933"/>
      <c r="E107" s="933"/>
      <c r="F107" s="926"/>
      <c r="G107" s="927"/>
      <c r="H107" s="927"/>
      <c r="I107" s="927"/>
      <c r="J107" s="927"/>
      <c r="K107" s="927"/>
      <c r="L107" s="927"/>
      <c r="M107" s="927"/>
      <c r="N107" s="927"/>
      <c r="O107" s="927"/>
      <c r="P107" s="927"/>
      <c r="Q107" s="927"/>
      <c r="R107" s="927"/>
      <c r="S107" s="927"/>
      <c r="T107" s="927"/>
      <c r="U107" s="927"/>
      <c r="V107" s="927"/>
      <c r="W107" s="927"/>
      <c r="X107" s="928"/>
      <c r="Y107" s="926"/>
      <c r="Z107" s="926"/>
      <c r="AA107" s="926"/>
      <c r="AB107" s="925"/>
      <c r="AC107" s="925"/>
      <c r="AD107" s="925"/>
      <c r="AE107" s="925"/>
      <c r="AF107" s="925"/>
      <c r="AG107" s="925"/>
      <c r="AH107" s="925"/>
      <c r="AI107" s="925"/>
      <c r="AJ107" s="925"/>
      <c r="AK107" s="925"/>
      <c r="AL107" s="925"/>
      <c r="AM107" s="925"/>
      <c r="AN107" s="925"/>
      <c r="AO107" s="925"/>
      <c r="AP107" s="925"/>
      <c r="AQ107" s="925"/>
      <c r="AR107" s="925"/>
      <c r="AS107" s="928"/>
      <c r="AT107" s="928"/>
      <c r="AU107" s="928"/>
      <c r="AV107" s="928"/>
    </row>
    <row r="108" spans="1:48" ht="22.5">
      <c r="D108" s="934" t="s">
        <v>876</v>
      </c>
      <c r="E108" s="941" t="s">
        <v>805</v>
      </c>
      <c r="F108" s="922"/>
      <c r="G108" s="892">
        <f>SUM(H108:K108)</f>
        <v>0</v>
      </c>
      <c r="H108" s="944"/>
      <c r="I108" s="944"/>
      <c r="J108" s="944"/>
      <c r="K108" s="944"/>
      <c r="L108" s="936"/>
      <c r="M108" s="892">
        <f>SUM(N108:Q108)</f>
        <v>0</v>
      </c>
      <c r="N108" s="892">
        <f>IF(H108=0,0,T108/H108)</f>
        <v>0</v>
      </c>
      <c r="O108" s="892">
        <f>IF(I108=0,0,U108/I108)</f>
        <v>0</v>
      </c>
      <c r="P108" s="892">
        <f>IF(J108=0,0,V108/J108)</f>
        <v>0</v>
      </c>
      <c r="Q108" s="892">
        <f>IF(K108=0,0,W108/K108)</f>
        <v>0</v>
      </c>
      <c r="R108" s="936"/>
      <c r="S108" s="892">
        <f>SUM(T108:W108)</f>
        <v>0</v>
      </c>
      <c r="T108" s="944"/>
      <c r="U108" s="944"/>
      <c r="V108" s="944"/>
      <c r="W108" s="944"/>
      <c r="X108" s="938"/>
      <c r="Y108" s="938"/>
      <c r="Z108" s="938"/>
      <c r="AA108" s="938"/>
      <c r="AB108" s="942">
        <f>SUM(AC108:AF108)</f>
        <v>9.5549999999999997</v>
      </c>
      <c r="AC108" s="939"/>
      <c r="AD108" s="939">
        <f>'Шаблон 46 ГП'!E99/1000</f>
        <v>3.28</v>
      </c>
      <c r="AE108" s="939">
        <f>'Шаблон 46 ГП'!F99/1000</f>
        <v>6.2350000000000003</v>
      </c>
      <c r="AF108" s="939">
        <f>'Шаблон 46 ГП'!G99/1000</f>
        <v>0.04</v>
      </c>
      <c r="AG108" s="943"/>
      <c r="AH108" s="892">
        <f>SUM(AI108:AL108)</f>
        <v>3622.0055727722147</v>
      </c>
      <c r="AI108" s="892">
        <f>IF(AC108=0,0,AO108/AC108)</f>
        <v>0</v>
      </c>
      <c r="AJ108" s="892">
        <f>IF(AD108=0,0,AP108/AD108)</f>
        <v>1207.335161585366</v>
      </c>
      <c r="AK108" s="892">
        <f>IF(AE108=0,0,AQ108/AE108)</f>
        <v>1207.3351611868484</v>
      </c>
      <c r="AL108" s="892">
        <f>IF(AF108=0,0,AR108/AF108)</f>
        <v>1207.3352500000001</v>
      </c>
      <c r="AM108" s="936"/>
      <c r="AN108" s="942">
        <f>SUM(AO108:AR108)</f>
        <v>11536.08747</v>
      </c>
      <c r="AO108" s="939"/>
      <c r="AP108" s="939">
        <f>'Шаблон 46 ГП'!N99/1000</f>
        <v>3960.05933</v>
      </c>
      <c r="AQ108" s="939">
        <f>'Шаблон 46 ГП'!O99/1000</f>
        <v>7527.7347300000001</v>
      </c>
      <c r="AR108" s="939">
        <f>'Шаблон 46 ГП'!P99/1000</f>
        <v>48.293410000000002</v>
      </c>
      <c r="AS108" s="938"/>
      <c r="AT108" s="942">
        <f>SUMIF($F$14:$AS$14,$S$14,$F108:$AS108)</f>
        <v>11536.08747</v>
      </c>
      <c r="AU108" s="948"/>
      <c r="AV108" s="948"/>
    </row>
    <row r="109" spans="1:48" ht="5.25" customHeight="1">
      <c r="A109" s="814"/>
      <c r="B109" s="814"/>
      <c r="C109" s="814"/>
      <c r="D109" s="933"/>
      <c r="E109" s="933"/>
      <c r="F109" s="926"/>
      <c r="G109" s="927"/>
      <c r="H109" s="927"/>
      <c r="I109" s="927"/>
      <c r="J109" s="927"/>
      <c r="K109" s="927"/>
      <c r="L109" s="927"/>
      <c r="M109" s="927"/>
      <c r="N109" s="927"/>
      <c r="O109" s="927"/>
      <c r="P109" s="927"/>
      <c r="Q109" s="927"/>
      <c r="R109" s="927"/>
      <c r="S109" s="927"/>
      <c r="T109" s="927"/>
      <c r="U109" s="927"/>
      <c r="V109" s="927"/>
      <c r="W109" s="927"/>
      <c r="X109" s="928"/>
      <c r="Y109" s="926"/>
      <c r="Z109" s="926"/>
      <c r="AA109" s="926"/>
      <c r="AB109" s="925"/>
      <c r="AC109" s="925"/>
      <c r="AD109" s="925"/>
      <c r="AE109" s="925"/>
      <c r="AF109" s="925"/>
      <c r="AG109" s="925"/>
      <c r="AH109" s="925"/>
      <c r="AI109" s="925"/>
      <c r="AJ109" s="925"/>
      <c r="AK109" s="925"/>
      <c r="AL109" s="925"/>
      <c r="AM109" s="925"/>
      <c r="AN109" s="925"/>
      <c r="AO109" s="925"/>
      <c r="AP109" s="925"/>
      <c r="AQ109" s="925"/>
      <c r="AR109" s="925"/>
      <c r="AS109" s="928"/>
      <c r="AT109" s="928"/>
      <c r="AU109" s="928"/>
      <c r="AV109" s="928"/>
    </row>
    <row r="110" spans="1:48" ht="22.5">
      <c r="D110" s="934" t="s">
        <v>877</v>
      </c>
      <c r="E110" s="941" t="s">
        <v>806</v>
      </c>
      <c r="F110" s="922"/>
      <c r="G110" s="892">
        <f>SUM(H110:K110)</f>
        <v>0</v>
      </c>
      <c r="H110" s="944"/>
      <c r="I110" s="944"/>
      <c r="J110" s="944"/>
      <c r="K110" s="944"/>
      <c r="L110" s="936"/>
      <c r="M110" s="892">
        <f>SUM(N110:Q110)</f>
        <v>0</v>
      </c>
      <c r="N110" s="892">
        <f>IF(H110=0,0,T110/H110)</f>
        <v>0</v>
      </c>
      <c r="O110" s="892">
        <f>IF(I110=0,0,U110/I110)</f>
        <v>0</v>
      </c>
      <c r="P110" s="892">
        <f>IF(J110=0,0,V110/J110)</f>
        <v>0</v>
      </c>
      <c r="Q110" s="892">
        <f>IF(K110=0,0,W110/K110)</f>
        <v>0</v>
      </c>
      <c r="R110" s="936"/>
      <c r="S110" s="892">
        <f>SUM(T110:W110)</f>
        <v>0</v>
      </c>
      <c r="T110" s="944"/>
      <c r="U110" s="944"/>
      <c r="V110" s="944"/>
      <c r="W110" s="944"/>
      <c r="X110" s="938"/>
      <c r="Y110" s="938"/>
      <c r="Z110" s="938"/>
      <c r="AA110" s="938"/>
      <c r="AB110" s="942">
        <f>SUM(AC110:AF110)</f>
        <v>5.9239999999999995</v>
      </c>
      <c r="AC110" s="939"/>
      <c r="AD110" s="939"/>
      <c r="AE110" s="939">
        <f>'Шаблон 46 ГП'!F146/1000+'Шаблон 46 ГП'!F254/1000</f>
        <v>0.14499999999999999</v>
      </c>
      <c r="AF110" s="939">
        <f>'Шаблон 46 ГП'!G146/1000+'Шаблон 46 ГП'!G254/1000</f>
        <v>5.7789999999999999</v>
      </c>
      <c r="AG110" s="943"/>
      <c r="AH110" s="892">
        <f>SUM(AI110:AL110)</f>
        <v>6609.1863935414203</v>
      </c>
      <c r="AI110" s="892">
        <f>IF(AC110=0,0,AO110/AC110)</f>
        <v>0</v>
      </c>
      <c r="AJ110" s="892">
        <f>IF(AD110=0,0,AP110/AD110)</f>
        <v>0</v>
      </c>
      <c r="AK110" s="892">
        <f>IF(AE110=0,0,AQ110/AE110)</f>
        <v>4238.1310344827589</v>
      </c>
      <c r="AL110" s="892">
        <f>IF(AF110=0,0,AR110/AF110)</f>
        <v>2371.055359058661</v>
      </c>
      <c r="AM110" s="936"/>
      <c r="AN110" s="942">
        <f>SUM(AO110:AR110)</f>
        <v>14316.857920000002</v>
      </c>
      <c r="AO110" s="939"/>
      <c r="AP110" s="939"/>
      <c r="AQ110" s="939">
        <f>'Шаблон 46 ГП'!O144/1000</f>
        <v>614.529</v>
      </c>
      <c r="AR110" s="939">
        <f>'Шаблон 46 ГП'!P144/1000</f>
        <v>13702.328920000002</v>
      </c>
      <c r="AS110" s="938"/>
      <c r="AT110" s="942">
        <f>SUMIF($F$14:$AS$14,$S$14,$F110:$AS110)</f>
        <v>14316.857920000002</v>
      </c>
      <c r="AU110" s="948"/>
      <c r="AV110" s="948"/>
    </row>
    <row r="111" spans="1:48" ht="5.25" customHeight="1">
      <c r="A111" s="814"/>
      <c r="B111" s="814"/>
      <c r="C111" s="814"/>
      <c r="D111" s="933"/>
      <c r="E111" s="933"/>
      <c r="F111" s="926"/>
      <c r="G111" s="927"/>
      <c r="H111" s="927"/>
      <c r="I111" s="927"/>
      <c r="J111" s="927"/>
      <c r="K111" s="927"/>
      <c r="L111" s="927"/>
      <c r="M111" s="927"/>
      <c r="N111" s="927"/>
      <c r="O111" s="927"/>
      <c r="P111" s="927"/>
      <c r="Q111" s="927"/>
      <c r="R111" s="927"/>
      <c r="S111" s="927"/>
      <c r="T111" s="927"/>
      <c r="U111" s="927"/>
      <c r="V111" s="927"/>
      <c r="W111" s="927"/>
      <c r="X111" s="928"/>
      <c r="Y111" s="926"/>
      <c r="Z111" s="926"/>
      <c r="AA111" s="926"/>
      <c r="AB111" s="925"/>
      <c r="AC111" s="925"/>
      <c r="AD111" s="925"/>
      <c r="AE111" s="925"/>
      <c r="AF111" s="925"/>
      <c r="AG111" s="925"/>
      <c r="AH111" s="925"/>
      <c r="AI111" s="925"/>
      <c r="AJ111" s="925"/>
      <c r="AK111" s="925"/>
      <c r="AL111" s="925"/>
      <c r="AM111" s="925"/>
      <c r="AN111" s="925"/>
      <c r="AO111" s="925"/>
      <c r="AP111" s="925"/>
      <c r="AQ111" s="925"/>
      <c r="AR111" s="925"/>
      <c r="AS111" s="928"/>
      <c r="AT111" s="928"/>
      <c r="AU111" s="928"/>
      <c r="AV111" s="928"/>
    </row>
    <row r="112" spans="1:48" ht="22.5">
      <c r="D112" s="934" t="s">
        <v>878</v>
      </c>
      <c r="E112" s="941" t="s">
        <v>807</v>
      </c>
      <c r="F112" s="922"/>
      <c r="G112" s="892">
        <f>SUM(H112:K112)</f>
        <v>0</v>
      </c>
      <c r="H112" s="944"/>
      <c r="I112" s="944"/>
      <c r="J112" s="944"/>
      <c r="K112" s="944"/>
      <c r="L112" s="936"/>
      <c r="M112" s="892">
        <f>SUM(N112:Q112)</f>
        <v>0</v>
      </c>
      <c r="N112" s="892">
        <f>IF(H112=0,0,T112/H112)</f>
        <v>0</v>
      </c>
      <c r="O112" s="892">
        <f>IF(I112=0,0,U112/I112)</f>
        <v>0</v>
      </c>
      <c r="P112" s="892">
        <f>IF(J112=0,0,V112/J112)</f>
        <v>0</v>
      </c>
      <c r="Q112" s="892">
        <f>IF(K112=0,0,W112/K112)</f>
        <v>0</v>
      </c>
      <c r="R112" s="936"/>
      <c r="S112" s="892">
        <f>SUM(T112:W112)</f>
        <v>0</v>
      </c>
      <c r="T112" s="944"/>
      <c r="U112" s="944"/>
      <c r="V112" s="944"/>
      <c r="W112" s="944"/>
      <c r="X112" s="938"/>
      <c r="Y112" s="938"/>
      <c r="Z112" s="938"/>
      <c r="AA112" s="938"/>
      <c r="AB112" s="942">
        <f>SUM(AC112:AF112)</f>
        <v>0</v>
      </c>
      <c r="AC112" s="939"/>
      <c r="AD112" s="939"/>
      <c r="AE112" s="939"/>
      <c r="AF112" s="939"/>
      <c r="AG112" s="943"/>
      <c r="AH112" s="892">
        <f>SUM(AI112:AL112)</f>
        <v>0</v>
      </c>
      <c r="AI112" s="892">
        <f>IF(AC112=0,0,AO112/AC112)</f>
        <v>0</v>
      </c>
      <c r="AJ112" s="892">
        <f>IF(AD112=0,0,AP112/AD112)</f>
        <v>0</v>
      </c>
      <c r="AK112" s="892">
        <f>IF(AE112=0,0,AQ112/AE112)</f>
        <v>0</v>
      </c>
      <c r="AL112" s="892">
        <f>IF(AF112=0,0,AR112/AF112)</f>
        <v>0</v>
      </c>
      <c r="AM112" s="936"/>
      <c r="AN112" s="942">
        <f>SUM(AO112:AR112)</f>
        <v>0</v>
      </c>
      <c r="AO112" s="939"/>
      <c r="AP112" s="939"/>
      <c r="AQ112" s="939"/>
      <c r="AR112" s="939"/>
      <c r="AS112" s="938"/>
      <c r="AT112" s="942">
        <f>SUMIF($F$14:$AS$14,$S$14,$F112:$AS112)</f>
        <v>0</v>
      </c>
      <c r="AU112" s="948"/>
      <c r="AV112" s="948"/>
    </row>
    <row r="113" spans="1:48" ht="5.25" customHeight="1">
      <c r="A113" s="814"/>
      <c r="B113" s="814"/>
      <c r="C113" s="814"/>
      <c r="D113" s="933"/>
      <c r="E113" s="933"/>
      <c r="F113" s="926"/>
      <c r="G113" s="927"/>
      <c r="H113" s="927"/>
      <c r="I113" s="927"/>
      <c r="J113" s="927"/>
      <c r="K113" s="927"/>
      <c r="L113" s="927"/>
      <c r="M113" s="927"/>
      <c r="N113" s="927"/>
      <c r="O113" s="927"/>
      <c r="P113" s="927"/>
      <c r="Q113" s="927"/>
      <c r="R113" s="927"/>
      <c r="S113" s="927"/>
      <c r="T113" s="927"/>
      <c r="U113" s="927"/>
      <c r="V113" s="927"/>
      <c r="W113" s="927"/>
      <c r="X113" s="928"/>
      <c r="Y113" s="926"/>
      <c r="Z113" s="926"/>
      <c r="AA113" s="926"/>
      <c r="AB113" s="925"/>
      <c r="AC113" s="925"/>
      <c r="AD113" s="925"/>
      <c r="AE113" s="925"/>
      <c r="AF113" s="925"/>
      <c r="AG113" s="925"/>
      <c r="AH113" s="925"/>
      <c r="AI113" s="925"/>
      <c r="AJ113" s="925"/>
      <c r="AK113" s="925"/>
      <c r="AL113" s="925"/>
      <c r="AM113" s="925"/>
      <c r="AN113" s="925"/>
      <c r="AO113" s="925"/>
      <c r="AP113" s="925"/>
      <c r="AQ113" s="925"/>
      <c r="AR113" s="925"/>
      <c r="AS113" s="928"/>
      <c r="AT113" s="928"/>
      <c r="AU113" s="928"/>
      <c r="AV113" s="928"/>
    </row>
    <row r="114" spans="1:48" ht="22.5">
      <c r="D114" s="934" t="s">
        <v>879</v>
      </c>
      <c r="E114" s="941" t="s">
        <v>808</v>
      </c>
      <c r="F114" s="922"/>
      <c r="G114" s="892">
        <f>SUM(H114:K114)</f>
        <v>0</v>
      </c>
      <c r="H114" s="944"/>
      <c r="I114" s="944"/>
      <c r="J114" s="944"/>
      <c r="K114" s="944"/>
      <c r="L114" s="936"/>
      <c r="M114" s="892">
        <f>SUM(N114:Q114)</f>
        <v>0</v>
      </c>
      <c r="N114" s="892">
        <f>IF(H114=0,0,T114/H114)</f>
        <v>0</v>
      </c>
      <c r="O114" s="892">
        <f>IF(I114=0,0,U114/I114)</f>
        <v>0</v>
      </c>
      <c r="P114" s="892">
        <f>IF(J114=0,0,V114/J114)</f>
        <v>0</v>
      </c>
      <c r="Q114" s="892">
        <f>IF(K114=0,0,W114/K114)</f>
        <v>0</v>
      </c>
      <c r="R114" s="936"/>
      <c r="S114" s="892">
        <f>SUM(T114:W114)</f>
        <v>0</v>
      </c>
      <c r="T114" s="944"/>
      <c r="U114" s="944"/>
      <c r="V114" s="944"/>
      <c r="W114" s="944"/>
      <c r="X114" s="938"/>
      <c r="Y114" s="938"/>
      <c r="Z114" s="938"/>
      <c r="AA114" s="938"/>
      <c r="AB114" s="942">
        <f>SUM(AC114:AF114)</f>
        <v>0</v>
      </c>
      <c r="AC114" s="939"/>
      <c r="AD114" s="939"/>
      <c r="AE114" s="939"/>
      <c r="AF114" s="939"/>
      <c r="AG114" s="943"/>
      <c r="AH114" s="892">
        <f>SUM(AI114:AL114)</f>
        <v>0</v>
      </c>
      <c r="AI114" s="892">
        <f>IF(AC114=0,0,AO114/AC114)</f>
        <v>0</v>
      </c>
      <c r="AJ114" s="892">
        <f>IF(AD114=0,0,AP114/AD114)</f>
        <v>0</v>
      </c>
      <c r="AK114" s="892">
        <f>IF(AE114=0,0,AQ114/AE114)</f>
        <v>0</v>
      </c>
      <c r="AL114" s="892">
        <f>IF(AF114=0,0,AR114/AF114)</f>
        <v>0</v>
      </c>
      <c r="AM114" s="936"/>
      <c r="AN114" s="942">
        <f>SUM(AO114:AR114)</f>
        <v>0</v>
      </c>
      <c r="AO114" s="939"/>
      <c r="AP114" s="939"/>
      <c r="AQ114" s="939"/>
      <c r="AR114" s="939"/>
      <c r="AS114" s="938"/>
      <c r="AT114" s="942">
        <f>SUMIF($F$14:$AS$14,$S$14,$F114:$AS114)</f>
        <v>0</v>
      </c>
      <c r="AU114" s="948"/>
      <c r="AV114" s="948"/>
    </row>
    <row r="115" spans="1:48">
      <c r="A115" s="814"/>
      <c r="B115" s="814"/>
      <c r="C115" s="814"/>
      <c r="D115" s="909"/>
      <c r="E115" s="909"/>
      <c r="F115" s="958"/>
      <c r="G115" s="958"/>
      <c r="H115" s="958"/>
      <c r="I115" s="958"/>
      <c r="J115" s="958"/>
      <c r="K115" s="958"/>
      <c r="L115" s="958"/>
      <c r="M115" s="958"/>
      <c r="N115" s="958"/>
      <c r="O115" s="958"/>
      <c r="P115" s="958"/>
      <c r="Q115" s="958"/>
      <c r="R115" s="958"/>
      <c r="S115" s="958"/>
      <c r="T115" s="958"/>
      <c r="U115" s="958"/>
      <c r="V115" s="958"/>
      <c r="W115" s="958"/>
      <c r="X115" s="958"/>
      <c r="Y115" s="958"/>
      <c r="Z115" s="958"/>
      <c r="AA115" s="958"/>
      <c r="AB115" s="909"/>
      <c r="AC115" s="909"/>
      <c r="AD115" s="909"/>
      <c r="AE115" s="909"/>
      <c r="AF115" s="909"/>
      <c r="AG115" s="909"/>
      <c r="AH115" s="909"/>
      <c r="AI115" s="909"/>
      <c r="AJ115" s="909"/>
      <c r="AK115" s="909"/>
      <c r="AL115" s="909"/>
      <c r="AM115" s="909"/>
      <c r="AN115" s="909"/>
      <c r="AO115" s="909"/>
      <c r="AP115" s="909"/>
      <c r="AQ115" s="909"/>
      <c r="AR115" s="909"/>
      <c r="AS115" s="909"/>
      <c r="AT115" s="909"/>
      <c r="AU115" s="909"/>
      <c r="AV115" s="909"/>
    </row>
    <row r="116" spans="1:48">
      <c r="A116" s="814"/>
      <c r="B116" s="814"/>
      <c r="C116" s="814"/>
      <c r="D116" s="909"/>
      <c r="E116" s="909"/>
      <c r="F116" s="958"/>
      <c r="G116" s="958"/>
      <c r="H116" s="958"/>
      <c r="I116" s="958"/>
      <c r="J116" s="958"/>
      <c r="K116" s="958"/>
      <c r="L116" s="958"/>
      <c r="M116" s="958"/>
      <c r="N116" s="958"/>
      <c r="O116" s="958"/>
      <c r="P116" s="958"/>
      <c r="Q116" s="958"/>
      <c r="R116" s="958"/>
      <c r="S116" s="958"/>
      <c r="T116" s="958"/>
      <c r="U116" s="958"/>
      <c r="V116" s="958"/>
      <c r="W116" s="958"/>
      <c r="X116" s="958"/>
      <c r="Y116" s="958"/>
      <c r="Z116" s="958"/>
      <c r="AA116" s="958"/>
      <c r="AB116" s="909"/>
      <c r="AC116" s="909"/>
      <c r="AD116" s="909"/>
      <c r="AE116" s="909"/>
      <c r="AF116" s="909"/>
      <c r="AG116" s="909"/>
      <c r="AH116" s="909"/>
      <c r="AI116" s="909"/>
      <c r="AJ116" s="909"/>
      <c r="AK116" s="909"/>
      <c r="AL116" s="909"/>
      <c r="AM116" s="909"/>
      <c r="AN116" s="909"/>
      <c r="AO116" s="909"/>
      <c r="AP116" s="909"/>
      <c r="AQ116" s="909"/>
      <c r="AR116" s="909"/>
      <c r="AS116" s="909"/>
      <c r="AT116" s="909"/>
      <c r="AU116" s="909"/>
      <c r="AV116" s="909"/>
    </row>
    <row r="117" spans="1:48">
      <c r="A117" s="814"/>
      <c r="B117" s="814"/>
      <c r="C117" s="814"/>
      <c r="D117" s="909"/>
      <c r="E117" s="909"/>
      <c r="F117" s="958"/>
      <c r="G117" s="958"/>
      <c r="H117" s="958"/>
      <c r="I117" s="958"/>
      <c r="J117" s="958"/>
      <c r="K117" s="958"/>
      <c r="L117" s="958"/>
      <c r="M117" s="958"/>
      <c r="N117" s="958"/>
      <c r="O117" s="958"/>
      <c r="P117" s="958"/>
      <c r="Q117" s="958"/>
      <c r="R117" s="958"/>
      <c r="S117" s="958"/>
      <c r="T117" s="958"/>
      <c r="U117" s="958"/>
      <c r="V117" s="958"/>
      <c r="W117" s="958"/>
      <c r="X117" s="958"/>
      <c r="Y117" s="958"/>
      <c r="Z117" s="958"/>
      <c r="AA117" s="958"/>
      <c r="AB117" s="909"/>
      <c r="AC117" s="909"/>
      <c r="AD117" s="909"/>
      <c r="AE117" s="909"/>
      <c r="AF117" s="909"/>
      <c r="AG117" s="909"/>
      <c r="AH117" s="909"/>
      <c r="AI117" s="909"/>
      <c r="AJ117" s="909"/>
      <c r="AK117" s="909"/>
      <c r="AL117" s="909"/>
      <c r="AM117" s="909"/>
      <c r="AN117" s="909"/>
      <c r="AO117" s="909"/>
      <c r="AP117" s="909"/>
      <c r="AQ117" s="909"/>
      <c r="AR117" s="909"/>
      <c r="AS117" s="909"/>
      <c r="AT117" s="909"/>
      <c r="AU117" s="909"/>
      <c r="AV117" s="909"/>
    </row>
    <row r="118" spans="1:48">
      <c r="A118" s="814"/>
      <c r="B118" s="814"/>
      <c r="C118" s="814"/>
      <c r="D118" s="909"/>
      <c r="E118" s="909"/>
      <c r="F118" s="958"/>
      <c r="G118" s="958"/>
      <c r="H118" s="958"/>
      <c r="I118" s="958"/>
      <c r="J118" s="958"/>
      <c r="K118" s="958"/>
      <c r="L118" s="958"/>
      <c r="M118" s="958"/>
      <c r="N118" s="958"/>
      <c r="O118" s="958"/>
      <c r="P118" s="958"/>
      <c r="Q118" s="958"/>
      <c r="R118" s="958"/>
      <c r="S118" s="958"/>
      <c r="T118" s="958"/>
      <c r="U118" s="958"/>
      <c r="V118" s="958"/>
      <c r="W118" s="958"/>
      <c r="X118" s="958"/>
      <c r="Y118" s="958"/>
      <c r="Z118" s="958"/>
      <c r="AA118" s="958"/>
      <c r="AB118" s="909"/>
      <c r="AC118" s="909"/>
      <c r="AD118" s="909"/>
      <c r="AE118" s="909"/>
      <c r="AF118" s="909"/>
      <c r="AG118" s="909"/>
      <c r="AH118" s="909"/>
      <c r="AI118" s="909"/>
      <c r="AJ118" s="909"/>
      <c r="AK118" s="909"/>
      <c r="AL118" s="909"/>
      <c r="AM118" s="909"/>
      <c r="AN118" s="909"/>
      <c r="AO118" s="909"/>
      <c r="AP118" s="909"/>
      <c r="AQ118" s="909"/>
      <c r="AR118" s="909"/>
      <c r="AS118" s="909"/>
      <c r="AT118" s="909"/>
      <c r="AU118" s="909"/>
      <c r="AV118" s="909"/>
    </row>
    <row r="119" spans="1:48">
      <c r="A119" s="814"/>
      <c r="B119" s="814"/>
      <c r="C119" s="814"/>
      <c r="D119" s="909"/>
      <c r="E119" s="909"/>
      <c r="F119" s="958"/>
      <c r="G119" s="958"/>
      <c r="H119" s="958"/>
      <c r="I119" s="958"/>
      <c r="J119" s="958"/>
      <c r="K119" s="958"/>
      <c r="L119" s="958"/>
      <c r="M119" s="958"/>
      <c r="N119" s="958"/>
      <c r="O119" s="958"/>
      <c r="P119" s="958"/>
      <c r="Q119" s="958"/>
      <c r="R119" s="958"/>
      <c r="S119" s="958"/>
      <c r="T119" s="958"/>
      <c r="U119" s="958"/>
      <c r="V119" s="958"/>
      <c r="W119" s="958"/>
      <c r="X119" s="958"/>
      <c r="Y119" s="958"/>
      <c r="Z119" s="958"/>
      <c r="AA119" s="958"/>
      <c r="AB119" s="909"/>
      <c r="AC119" s="909"/>
      <c r="AD119" s="909"/>
      <c r="AE119" s="909"/>
      <c r="AF119" s="909"/>
      <c r="AG119" s="909"/>
      <c r="AH119" s="909"/>
      <c r="AI119" s="909"/>
      <c r="AJ119" s="909"/>
      <c r="AK119" s="909"/>
      <c r="AL119" s="909"/>
      <c r="AM119" s="909"/>
      <c r="AN119" s="909"/>
      <c r="AO119" s="909"/>
      <c r="AP119" s="909"/>
      <c r="AQ119" s="909"/>
      <c r="AR119" s="909"/>
      <c r="AS119" s="909"/>
      <c r="AT119" s="909"/>
      <c r="AU119" s="909"/>
      <c r="AV119" s="909"/>
    </row>
    <row r="120" spans="1:48">
      <c r="A120" s="814"/>
      <c r="B120" s="814"/>
      <c r="C120" s="814"/>
      <c r="D120" s="909"/>
      <c r="E120" s="909"/>
      <c r="F120" s="958"/>
      <c r="G120" s="958"/>
      <c r="H120" s="958"/>
      <c r="I120" s="958"/>
      <c r="J120" s="958"/>
      <c r="K120" s="958"/>
      <c r="L120" s="958"/>
      <c r="M120" s="958"/>
      <c r="N120" s="958"/>
      <c r="O120" s="958"/>
      <c r="P120" s="958"/>
      <c r="Q120" s="958"/>
      <c r="R120" s="958"/>
      <c r="S120" s="958"/>
      <c r="T120" s="958"/>
      <c r="U120" s="958"/>
      <c r="V120" s="958"/>
      <c r="W120" s="958"/>
      <c r="X120" s="958"/>
      <c r="Y120" s="958"/>
      <c r="Z120" s="958"/>
      <c r="AA120" s="958"/>
      <c r="AB120" s="909"/>
      <c r="AC120" s="909"/>
      <c r="AD120" s="909"/>
      <c r="AE120" s="909"/>
      <c r="AF120" s="909"/>
      <c r="AG120" s="909"/>
      <c r="AH120" s="909"/>
      <c r="AI120" s="909"/>
      <c r="AJ120" s="909"/>
      <c r="AK120" s="909"/>
      <c r="AL120" s="909"/>
      <c r="AM120" s="909"/>
      <c r="AN120" s="909"/>
      <c r="AO120" s="909"/>
      <c r="AP120" s="909"/>
      <c r="AQ120" s="909"/>
      <c r="AR120" s="909"/>
      <c r="AS120" s="909"/>
      <c r="AT120" s="909"/>
      <c r="AU120" s="909"/>
      <c r="AV120" s="909"/>
    </row>
    <row r="121" spans="1:48">
      <c r="A121" s="814"/>
      <c r="B121" s="814"/>
      <c r="C121" s="814"/>
      <c r="D121" s="909"/>
      <c r="E121" s="909"/>
      <c r="F121" s="958"/>
      <c r="G121" s="958"/>
      <c r="H121" s="958"/>
      <c r="I121" s="958"/>
      <c r="J121" s="958"/>
      <c r="K121" s="958"/>
      <c r="L121" s="958"/>
      <c r="M121" s="958"/>
      <c r="N121" s="958"/>
      <c r="O121" s="958"/>
      <c r="P121" s="958"/>
      <c r="Q121" s="958"/>
      <c r="R121" s="958"/>
      <c r="S121" s="958"/>
      <c r="T121" s="958"/>
      <c r="U121" s="958"/>
      <c r="V121" s="958"/>
      <c r="W121" s="958"/>
      <c r="X121" s="958"/>
      <c r="Y121" s="958"/>
      <c r="Z121" s="958"/>
      <c r="AA121" s="958"/>
      <c r="AB121" s="909"/>
      <c r="AC121" s="909"/>
      <c r="AD121" s="909"/>
      <c r="AE121" s="909"/>
      <c r="AF121" s="909"/>
      <c r="AG121" s="909"/>
      <c r="AH121" s="909"/>
      <c r="AI121" s="909"/>
      <c r="AJ121" s="909"/>
      <c r="AK121" s="909"/>
      <c r="AL121" s="909"/>
      <c r="AM121" s="909"/>
      <c r="AN121" s="909"/>
      <c r="AO121" s="909"/>
      <c r="AP121" s="909"/>
      <c r="AQ121" s="909"/>
      <c r="AR121" s="909"/>
      <c r="AS121" s="909"/>
      <c r="AT121" s="909"/>
      <c r="AU121" s="909"/>
      <c r="AV121" s="909"/>
    </row>
    <row r="122" spans="1:48">
      <c r="A122" s="814"/>
      <c r="B122" s="814"/>
      <c r="C122" s="814"/>
      <c r="D122" s="909"/>
      <c r="E122" s="909"/>
      <c r="F122" s="958"/>
      <c r="G122" s="958"/>
      <c r="H122" s="958"/>
      <c r="I122" s="958"/>
      <c r="J122" s="958"/>
      <c r="K122" s="958"/>
      <c r="L122" s="958"/>
      <c r="M122" s="958"/>
      <c r="N122" s="958"/>
      <c r="O122" s="958"/>
      <c r="P122" s="958"/>
      <c r="Q122" s="958"/>
      <c r="R122" s="958"/>
      <c r="S122" s="958"/>
      <c r="T122" s="958"/>
      <c r="U122" s="958"/>
      <c r="V122" s="958"/>
      <c r="W122" s="958"/>
      <c r="X122" s="958"/>
      <c r="Y122" s="958"/>
      <c r="Z122" s="958"/>
      <c r="AA122" s="958"/>
      <c r="AB122" s="909"/>
      <c r="AC122" s="909"/>
      <c r="AD122" s="909"/>
      <c r="AE122" s="909"/>
      <c r="AF122" s="909"/>
      <c r="AG122" s="909"/>
      <c r="AH122" s="909"/>
      <c r="AI122" s="909"/>
      <c r="AJ122" s="909"/>
      <c r="AK122" s="909"/>
      <c r="AL122" s="909"/>
      <c r="AM122" s="909"/>
      <c r="AN122" s="909"/>
      <c r="AO122" s="909"/>
      <c r="AP122" s="909"/>
      <c r="AQ122" s="909"/>
      <c r="AR122" s="909"/>
      <c r="AS122" s="909"/>
      <c r="AT122" s="909"/>
      <c r="AU122" s="909"/>
      <c r="AV122" s="909"/>
    </row>
    <row r="123" spans="1:48">
      <c r="A123" s="814"/>
      <c r="B123" s="814"/>
      <c r="C123" s="814"/>
      <c r="D123" s="909"/>
      <c r="E123" s="909"/>
      <c r="F123" s="958"/>
      <c r="G123" s="958"/>
      <c r="H123" s="958"/>
      <c r="I123" s="958"/>
      <c r="J123" s="958"/>
      <c r="K123" s="958"/>
      <c r="L123" s="958"/>
      <c r="M123" s="958"/>
      <c r="N123" s="958"/>
      <c r="O123" s="958"/>
      <c r="P123" s="958"/>
      <c r="Q123" s="958"/>
      <c r="R123" s="958"/>
      <c r="S123" s="958"/>
      <c r="T123" s="958"/>
      <c r="U123" s="958"/>
      <c r="V123" s="958"/>
      <c r="W123" s="958"/>
      <c r="X123" s="958"/>
      <c r="Y123" s="958"/>
      <c r="Z123" s="958"/>
      <c r="AA123" s="958"/>
      <c r="AB123" s="909"/>
      <c r="AC123" s="909"/>
      <c r="AD123" s="909"/>
      <c r="AE123" s="909"/>
      <c r="AF123" s="909"/>
      <c r="AG123" s="909"/>
      <c r="AH123" s="909"/>
      <c r="AI123" s="909"/>
      <c r="AJ123" s="909"/>
      <c r="AK123" s="909"/>
      <c r="AL123" s="909"/>
      <c r="AM123" s="909"/>
      <c r="AN123" s="909"/>
      <c r="AO123" s="909"/>
      <c r="AP123" s="909"/>
      <c r="AQ123" s="909"/>
      <c r="AR123" s="909"/>
      <c r="AS123" s="909"/>
      <c r="AT123" s="909"/>
      <c r="AU123" s="909"/>
      <c r="AV123" s="909"/>
    </row>
    <row r="124" spans="1:48">
      <c r="A124" s="814"/>
      <c r="B124" s="814"/>
      <c r="C124" s="814"/>
      <c r="D124" s="909"/>
      <c r="E124" s="909"/>
      <c r="F124" s="958"/>
      <c r="G124" s="958"/>
      <c r="H124" s="958"/>
      <c r="I124" s="958"/>
      <c r="J124" s="958"/>
      <c r="K124" s="958"/>
      <c r="L124" s="958"/>
      <c r="M124" s="958"/>
      <c r="N124" s="958"/>
      <c r="O124" s="958"/>
      <c r="P124" s="958"/>
      <c r="Q124" s="958"/>
      <c r="R124" s="958"/>
      <c r="S124" s="958"/>
      <c r="T124" s="958"/>
      <c r="U124" s="958"/>
      <c r="V124" s="958"/>
      <c r="W124" s="958"/>
      <c r="X124" s="958"/>
      <c r="Y124" s="958"/>
      <c r="Z124" s="958"/>
      <c r="AA124" s="958"/>
      <c r="AB124" s="909"/>
      <c r="AC124" s="909"/>
      <c r="AD124" s="909"/>
      <c r="AE124" s="909"/>
      <c r="AF124" s="909"/>
      <c r="AG124" s="909"/>
      <c r="AH124" s="909"/>
      <c r="AI124" s="909"/>
      <c r="AJ124" s="909"/>
      <c r="AK124" s="909"/>
      <c r="AL124" s="909"/>
      <c r="AM124" s="909"/>
      <c r="AN124" s="909"/>
      <c r="AO124" s="909"/>
      <c r="AP124" s="909"/>
      <c r="AQ124" s="909"/>
      <c r="AR124" s="909"/>
      <c r="AS124" s="909"/>
      <c r="AT124" s="909"/>
      <c r="AU124" s="909"/>
      <c r="AV124" s="909"/>
    </row>
    <row r="125" spans="1:48">
      <c r="A125" s="814"/>
      <c r="B125" s="814"/>
      <c r="C125" s="814"/>
      <c r="D125" s="909"/>
      <c r="E125" s="909"/>
      <c r="F125" s="958"/>
      <c r="G125" s="958"/>
      <c r="H125" s="958"/>
      <c r="I125" s="958"/>
      <c r="J125" s="958"/>
      <c r="K125" s="958"/>
      <c r="L125" s="958"/>
      <c r="M125" s="958"/>
      <c r="N125" s="958"/>
      <c r="O125" s="958"/>
      <c r="P125" s="958"/>
      <c r="Q125" s="958"/>
      <c r="R125" s="958"/>
      <c r="S125" s="958"/>
      <c r="T125" s="958"/>
      <c r="U125" s="958"/>
      <c r="V125" s="958"/>
      <c r="W125" s="958"/>
      <c r="X125" s="958"/>
      <c r="Y125" s="958"/>
      <c r="Z125" s="958"/>
      <c r="AA125" s="958"/>
      <c r="AB125" s="909"/>
      <c r="AC125" s="909"/>
      <c r="AD125" s="909"/>
      <c r="AE125" s="909"/>
      <c r="AF125" s="909"/>
      <c r="AG125" s="909"/>
      <c r="AH125" s="909"/>
      <c r="AI125" s="909"/>
      <c r="AJ125" s="909"/>
      <c r="AK125" s="909"/>
      <c r="AL125" s="909"/>
      <c r="AM125" s="909"/>
      <c r="AN125" s="909"/>
      <c r="AO125" s="909"/>
      <c r="AP125" s="909"/>
      <c r="AQ125" s="909"/>
      <c r="AR125" s="909"/>
      <c r="AS125" s="909"/>
      <c r="AT125" s="909"/>
      <c r="AU125" s="909"/>
      <c r="AV125" s="909"/>
    </row>
    <row r="126" spans="1:48">
      <c r="A126" s="814"/>
      <c r="B126" s="814"/>
      <c r="C126" s="814"/>
      <c r="D126" s="909"/>
      <c r="E126" s="909"/>
      <c r="F126" s="958"/>
      <c r="G126" s="958"/>
      <c r="H126" s="958"/>
      <c r="I126" s="958"/>
      <c r="J126" s="958"/>
      <c r="K126" s="958"/>
      <c r="L126" s="958"/>
      <c r="M126" s="958"/>
      <c r="N126" s="958"/>
      <c r="O126" s="958"/>
      <c r="P126" s="958"/>
      <c r="Q126" s="958"/>
      <c r="R126" s="958"/>
      <c r="S126" s="958"/>
      <c r="T126" s="958"/>
      <c r="U126" s="958"/>
      <c r="V126" s="958"/>
      <c r="W126" s="958"/>
      <c r="X126" s="958"/>
      <c r="Y126" s="958"/>
      <c r="Z126" s="958"/>
      <c r="AA126" s="958"/>
      <c r="AB126" s="909"/>
      <c r="AC126" s="909"/>
      <c r="AD126" s="909"/>
      <c r="AE126" s="909"/>
      <c r="AF126" s="909"/>
      <c r="AG126" s="909"/>
      <c r="AH126" s="909"/>
      <c r="AI126" s="909"/>
      <c r="AJ126" s="909"/>
      <c r="AK126" s="909"/>
      <c r="AL126" s="909"/>
      <c r="AM126" s="909"/>
      <c r="AN126" s="909"/>
      <c r="AO126" s="909"/>
      <c r="AP126" s="909"/>
      <c r="AQ126" s="909"/>
      <c r="AR126" s="909"/>
      <c r="AS126" s="909"/>
      <c r="AT126" s="909"/>
      <c r="AU126" s="909"/>
      <c r="AV126" s="909"/>
    </row>
    <row r="127" spans="1:48">
      <c r="A127" s="814"/>
      <c r="B127" s="814"/>
      <c r="C127" s="814"/>
      <c r="D127" s="909"/>
      <c r="E127" s="909"/>
      <c r="F127" s="958"/>
      <c r="G127" s="958"/>
      <c r="H127" s="958"/>
      <c r="I127" s="958"/>
      <c r="J127" s="958"/>
      <c r="K127" s="958"/>
      <c r="L127" s="958"/>
      <c r="M127" s="958"/>
      <c r="N127" s="958"/>
      <c r="O127" s="958"/>
      <c r="P127" s="958"/>
      <c r="Q127" s="958"/>
      <c r="R127" s="958"/>
      <c r="S127" s="958"/>
      <c r="T127" s="958"/>
      <c r="U127" s="958"/>
      <c r="V127" s="958"/>
      <c r="W127" s="958"/>
      <c r="X127" s="958"/>
      <c r="Y127" s="958"/>
      <c r="Z127" s="958"/>
      <c r="AA127" s="958"/>
      <c r="AB127" s="909"/>
      <c r="AC127" s="909"/>
      <c r="AD127" s="909"/>
      <c r="AE127" s="909"/>
      <c r="AF127" s="909"/>
      <c r="AG127" s="909"/>
      <c r="AH127" s="909"/>
      <c r="AI127" s="909"/>
      <c r="AJ127" s="909"/>
      <c r="AK127" s="909"/>
      <c r="AL127" s="909"/>
      <c r="AM127" s="909"/>
      <c r="AN127" s="909"/>
      <c r="AO127" s="909"/>
      <c r="AP127" s="909"/>
      <c r="AQ127" s="909"/>
      <c r="AR127" s="909"/>
      <c r="AS127" s="909"/>
      <c r="AT127" s="909"/>
      <c r="AU127" s="909"/>
      <c r="AV127" s="909"/>
    </row>
    <row r="128" spans="1:48">
      <c r="A128" s="814"/>
      <c r="B128" s="814"/>
      <c r="C128" s="814"/>
      <c r="D128" s="909"/>
      <c r="E128" s="909"/>
      <c r="F128" s="958"/>
      <c r="G128" s="958"/>
      <c r="H128" s="958"/>
      <c r="I128" s="958"/>
      <c r="J128" s="958"/>
      <c r="K128" s="958"/>
      <c r="L128" s="958"/>
      <c r="M128" s="958"/>
      <c r="N128" s="958"/>
      <c r="O128" s="958"/>
      <c r="P128" s="958"/>
      <c r="Q128" s="958"/>
      <c r="R128" s="958"/>
      <c r="S128" s="958"/>
      <c r="T128" s="958"/>
      <c r="U128" s="958"/>
      <c r="V128" s="958"/>
      <c r="W128" s="958"/>
      <c r="X128" s="958"/>
      <c r="Y128" s="958"/>
      <c r="Z128" s="958"/>
      <c r="AA128" s="958"/>
      <c r="AB128" s="909"/>
      <c r="AC128" s="909"/>
      <c r="AD128" s="909"/>
      <c r="AE128" s="909"/>
      <c r="AF128" s="909"/>
      <c r="AG128" s="909"/>
      <c r="AH128" s="909"/>
      <c r="AI128" s="909"/>
      <c r="AJ128" s="909"/>
      <c r="AK128" s="909"/>
      <c r="AL128" s="909"/>
      <c r="AM128" s="909"/>
      <c r="AN128" s="909"/>
      <c r="AO128" s="909"/>
      <c r="AP128" s="909"/>
      <c r="AQ128" s="909"/>
      <c r="AR128" s="909"/>
      <c r="AS128" s="909"/>
      <c r="AT128" s="909"/>
      <c r="AU128" s="909"/>
      <c r="AV128" s="909"/>
    </row>
    <row r="129" spans="1:27" s="909" customFormat="1">
      <c r="A129" s="814"/>
      <c r="B129" s="814"/>
      <c r="C129" s="814"/>
      <c r="F129" s="958"/>
      <c r="G129" s="958"/>
      <c r="H129" s="958"/>
      <c r="I129" s="958"/>
      <c r="J129" s="958"/>
      <c r="K129" s="958"/>
      <c r="L129" s="958"/>
      <c r="M129" s="958"/>
      <c r="N129" s="958"/>
      <c r="O129" s="958"/>
      <c r="P129" s="958"/>
      <c r="Q129" s="958"/>
      <c r="R129" s="958"/>
      <c r="S129" s="958"/>
      <c r="T129" s="958"/>
      <c r="U129" s="958"/>
      <c r="V129" s="958"/>
      <c r="W129" s="958"/>
      <c r="X129" s="958"/>
      <c r="Y129" s="958"/>
      <c r="Z129" s="958"/>
      <c r="AA129" s="958"/>
    </row>
    <row r="130" spans="1:27" s="909" customFormat="1">
      <c r="A130" s="814"/>
      <c r="B130" s="814"/>
      <c r="C130" s="814"/>
      <c r="F130" s="958"/>
      <c r="G130" s="958"/>
      <c r="H130" s="958"/>
      <c r="I130" s="958"/>
      <c r="J130" s="958"/>
      <c r="K130" s="958"/>
      <c r="L130" s="958"/>
      <c r="M130" s="958"/>
      <c r="N130" s="958"/>
      <c r="O130" s="958"/>
      <c r="P130" s="958"/>
      <c r="Q130" s="958"/>
      <c r="R130" s="958"/>
      <c r="S130" s="958"/>
      <c r="T130" s="958"/>
      <c r="U130" s="958"/>
      <c r="V130" s="958"/>
      <c r="W130" s="958"/>
      <c r="X130" s="958"/>
      <c r="Y130" s="958"/>
      <c r="Z130" s="958"/>
      <c r="AA130" s="958"/>
    </row>
    <row r="131" spans="1:27" s="909" customFormat="1">
      <c r="A131" s="814"/>
      <c r="B131" s="814"/>
      <c r="C131" s="814"/>
      <c r="F131" s="958"/>
      <c r="G131" s="958"/>
      <c r="H131" s="958"/>
      <c r="I131" s="958"/>
      <c r="J131" s="958"/>
      <c r="K131" s="958"/>
      <c r="L131" s="958"/>
      <c r="M131" s="958"/>
      <c r="N131" s="958"/>
      <c r="O131" s="958"/>
      <c r="P131" s="958"/>
      <c r="Q131" s="958"/>
      <c r="R131" s="958"/>
      <c r="S131" s="958"/>
      <c r="T131" s="958"/>
      <c r="U131" s="958"/>
      <c r="V131" s="958"/>
      <c r="W131" s="958"/>
      <c r="X131" s="958"/>
      <c r="Y131" s="958"/>
      <c r="Z131" s="958"/>
      <c r="AA131" s="958"/>
    </row>
    <row r="132" spans="1:27" s="909" customFormat="1">
      <c r="A132" s="814"/>
      <c r="B132" s="814"/>
      <c r="C132" s="814"/>
      <c r="F132" s="958"/>
      <c r="G132" s="958"/>
      <c r="H132" s="958"/>
      <c r="I132" s="958"/>
      <c r="J132" s="958"/>
      <c r="K132" s="958"/>
      <c r="L132" s="958"/>
      <c r="M132" s="958"/>
      <c r="N132" s="958"/>
      <c r="O132" s="958"/>
      <c r="P132" s="958"/>
      <c r="Q132" s="958"/>
      <c r="R132" s="958"/>
      <c r="S132" s="958"/>
      <c r="T132" s="958"/>
      <c r="U132" s="958"/>
      <c r="V132" s="958"/>
      <c r="W132" s="958"/>
      <c r="X132" s="958"/>
      <c r="Y132" s="958"/>
      <c r="Z132" s="958"/>
      <c r="AA132" s="958"/>
    </row>
    <row r="133" spans="1:27" s="909" customFormat="1">
      <c r="A133" s="814"/>
      <c r="B133" s="814"/>
      <c r="C133" s="814"/>
      <c r="F133" s="958"/>
      <c r="G133" s="958"/>
      <c r="H133" s="958"/>
      <c r="I133" s="958"/>
      <c r="J133" s="958"/>
      <c r="K133" s="958"/>
      <c r="L133" s="958"/>
      <c r="M133" s="958"/>
      <c r="N133" s="958"/>
      <c r="O133" s="958"/>
      <c r="P133" s="958"/>
      <c r="Q133" s="958"/>
      <c r="R133" s="958"/>
      <c r="S133" s="958"/>
      <c r="T133" s="958"/>
      <c r="U133" s="958"/>
      <c r="V133" s="958"/>
      <c r="W133" s="958"/>
      <c r="X133" s="958"/>
      <c r="Y133" s="958"/>
      <c r="Z133" s="958"/>
      <c r="AA133" s="958"/>
    </row>
    <row r="134" spans="1:27" s="909" customFormat="1">
      <c r="A134" s="814"/>
      <c r="B134" s="814"/>
      <c r="C134" s="814"/>
      <c r="F134" s="958"/>
      <c r="G134" s="958"/>
      <c r="H134" s="958"/>
      <c r="I134" s="958"/>
      <c r="J134" s="958"/>
      <c r="K134" s="958"/>
      <c r="L134" s="958"/>
      <c r="M134" s="958"/>
      <c r="N134" s="958"/>
      <c r="O134" s="958"/>
      <c r="P134" s="958"/>
      <c r="Q134" s="958"/>
      <c r="R134" s="958"/>
      <c r="S134" s="958"/>
      <c r="T134" s="958"/>
      <c r="U134" s="958"/>
      <c r="V134" s="958"/>
      <c r="W134" s="958"/>
      <c r="X134" s="958"/>
      <c r="Y134" s="958"/>
      <c r="Z134" s="958"/>
      <c r="AA134" s="958"/>
    </row>
    <row r="135" spans="1:27" s="909" customFormat="1">
      <c r="A135" s="814"/>
      <c r="B135" s="814"/>
      <c r="C135" s="814"/>
      <c r="F135" s="958"/>
      <c r="G135" s="958"/>
      <c r="H135" s="958"/>
      <c r="I135" s="958"/>
      <c r="J135" s="958"/>
      <c r="K135" s="958"/>
      <c r="L135" s="958"/>
      <c r="M135" s="958"/>
      <c r="N135" s="958"/>
      <c r="O135" s="958"/>
      <c r="P135" s="958"/>
      <c r="Q135" s="958"/>
      <c r="R135" s="958"/>
      <c r="S135" s="958"/>
      <c r="T135" s="958"/>
      <c r="U135" s="958"/>
      <c r="V135" s="958"/>
      <c r="W135" s="958"/>
      <c r="X135" s="958"/>
      <c r="Y135" s="958"/>
      <c r="Z135" s="958"/>
      <c r="AA135" s="958"/>
    </row>
    <row r="136" spans="1:27" s="909" customFormat="1">
      <c r="A136" s="814"/>
      <c r="B136" s="814"/>
      <c r="C136" s="814"/>
      <c r="F136" s="958"/>
      <c r="G136" s="958"/>
      <c r="H136" s="958"/>
      <c r="I136" s="958"/>
      <c r="J136" s="958"/>
      <c r="K136" s="958"/>
      <c r="L136" s="958"/>
      <c r="M136" s="958"/>
      <c r="N136" s="958"/>
      <c r="O136" s="958"/>
      <c r="P136" s="958"/>
      <c r="Q136" s="958"/>
      <c r="R136" s="958"/>
      <c r="S136" s="958"/>
      <c r="T136" s="958"/>
      <c r="U136" s="958"/>
      <c r="V136" s="958"/>
      <c r="W136" s="958"/>
      <c r="X136" s="958"/>
      <c r="Y136" s="958"/>
      <c r="Z136" s="958"/>
      <c r="AA136" s="958"/>
    </row>
    <row r="137" spans="1:27" s="909" customFormat="1">
      <c r="A137" s="814"/>
      <c r="B137" s="814"/>
      <c r="C137" s="814"/>
      <c r="F137" s="958"/>
      <c r="G137" s="958"/>
      <c r="H137" s="958"/>
      <c r="I137" s="958"/>
      <c r="J137" s="958"/>
      <c r="K137" s="958"/>
      <c r="L137" s="958"/>
      <c r="M137" s="958"/>
      <c r="N137" s="958"/>
      <c r="O137" s="958"/>
      <c r="P137" s="958"/>
      <c r="Q137" s="958"/>
      <c r="R137" s="958"/>
      <c r="S137" s="958"/>
      <c r="T137" s="958"/>
      <c r="U137" s="958"/>
      <c r="V137" s="958"/>
      <c r="W137" s="958"/>
      <c r="X137" s="958"/>
      <c r="Y137" s="958"/>
      <c r="Z137" s="958"/>
      <c r="AA137" s="958"/>
    </row>
    <row r="138" spans="1:27" s="909" customFormat="1">
      <c r="A138" s="814"/>
      <c r="B138" s="814"/>
      <c r="C138" s="814"/>
      <c r="F138" s="958"/>
      <c r="G138" s="958"/>
      <c r="H138" s="958"/>
      <c r="I138" s="958"/>
      <c r="J138" s="958"/>
      <c r="K138" s="958"/>
      <c r="L138" s="958"/>
      <c r="M138" s="958"/>
      <c r="N138" s="958"/>
      <c r="O138" s="958"/>
      <c r="P138" s="958"/>
      <c r="Q138" s="958"/>
      <c r="R138" s="958"/>
      <c r="S138" s="958"/>
      <c r="T138" s="958"/>
      <c r="U138" s="958"/>
      <c r="V138" s="958"/>
      <c r="W138" s="958"/>
      <c r="X138" s="958"/>
      <c r="Y138" s="958"/>
      <c r="Z138" s="958"/>
      <c r="AA138" s="958"/>
    </row>
    <row r="139" spans="1:27" s="909" customFormat="1">
      <c r="A139" s="814"/>
      <c r="B139" s="814"/>
      <c r="C139" s="814"/>
      <c r="F139" s="958"/>
      <c r="G139" s="958"/>
      <c r="H139" s="958"/>
      <c r="I139" s="958"/>
      <c r="J139" s="958"/>
      <c r="K139" s="958"/>
      <c r="L139" s="958"/>
      <c r="M139" s="958"/>
      <c r="N139" s="958"/>
      <c r="O139" s="958"/>
      <c r="P139" s="958"/>
      <c r="Q139" s="958"/>
      <c r="R139" s="958"/>
      <c r="S139" s="958"/>
      <c r="T139" s="958"/>
      <c r="U139" s="958"/>
      <c r="V139" s="958"/>
      <c r="W139" s="958"/>
      <c r="X139" s="958"/>
      <c r="Y139" s="958"/>
      <c r="Z139" s="958"/>
      <c r="AA139" s="958"/>
    </row>
    <row r="140" spans="1:27" s="909" customFormat="1">
      <c r="A140" s="814"/>
      <c r="B140" s="814"/>
      <c r="C140" s="814"/>
      <c r="F140" s="958"/>
      <c r="G140" s="958"/>
      <c r="H140" s="958"/>
      <c r="I140" s="958"/>
      <c r="J140" s="958"/>
      <c r="K140" s="958"/>
      <c r="L140" s="958"/>
      <c r="M140" s="958"/>
      <c r="N140" s="958"/>
      <c r="O140" s="958"/>
      <c r="P140" s="958"/>
      <c r="Q140" s="958"/>
      <c r="R140" s="958"/>
      <c r="S140" s="958"/>
      <c r="T140" s="958"/>
      <c r="U140" s="958"/>
      <c r="V140" s="958"/>
      <c r="W140" s="958"/>
      <c r="X140" s="958"/>
      <c r="Y140" s="958"/>
      <c r="Z140" s="958"/>
      <c r="AA140" s="958"/>
    </row>
    <row r="141" spans="1:27" s="909" customFormat="1">
      <c r="A141" s="814"/>
      <c r="B141" s="814"/>
      <c r="C141" s="814"/>
      <c r="F141" s="958"/>
      <c r="G141" s="958"/>
      <c r="H141" s="958"/>
      <c r="I141" s="958"/>
      <c r="J141" s="958"/>
      <c r="K141" s="958"/>
      <c r="L141" s="958"/>
      <c r="M141" s="958"/>
      <c r="N141" s="958"/>
      <c r="O141" s="958"/>
      <c r="P141" s="958"/>
      <c r="Q141" s="958"/>
      <c r="R141" s="958"/>
      <c r="S141" s="958"/>
      <c r="T141" s="958"/>
      <c r="U141" s="958"/>
      <c r="V141" s="958"/>
      <c r="W141" s="958"/>
      <c r="X141" s="958"/>
      <c r="Y141" s="958"/>
      <c r="Z141" s="958"/>
      <c r="AA141" s="958"/>
    </row>
    <row r="142" spans="1:27" s="909" customFormat="1">
      <c r="A142" s="814"/>
      <c r="B142" s="814"/>
      <c r="C142" s="814"/>
      <c r="F142" s="958"/>
      <c r="G142" s="958"/>
      <c r="H142" s="958"/>
      <c r="I142" s="958"/>
      <c r="J142" s="958"/>
      <c r="K142" s="958"/>
      <c r="L142" s="958"/>
      <c r="M142" s="958"/>
      <c r="N142" s="958"/>
      <c r="O142" s="958"/>
      <c r="P142" s="958"/>
      <c r="Q142" s="958"/>
      <c r="R142" s="958"/>
      <c r="S142" s="958"/>
      <c r="T142" s="958"/>
      <c r="U142" s="958"/>
      <c r="V142" s="958"/>
      <c r="W142" s="958"/>
      <c r="X142" s="958"/>
      <c r="Y142" s="958"/>
      <c r="Z142" s="958"/>
      <c r="AA142" s="958"/>
    </row>
    <row r="143" spans="1:27" s="909" customFormat="1">
      <c r="A143" s="814"/>
      <c r="B143" s="814"/>
      <c r="C143" s="814"/>
      <c r="F143" s="958"/>
      <c r="G143" s="958"/>
      <c r="H143" s="958"/>
      <c r="I143" s="958"/>
      <c r="J143" s="958"/>
      <c r="K143" s="958"/>
      <c r="L143" s="958"/>
      <c r="M143" s="958"/>
      <c r="N143" s="958"/>
      <c r="O143" s="958"/>
      <c r="P143" s="958"/>
      <c r="Q143" s="958"/>
      <c r="R143" s="958"/>
      <c r="S143" s="958"/>
      <c r="T143" s="958"/>
      <c r="U143" s="958"/>
      <c r="V143" s="958"/>
      <c r="W143" s="958"/>
      <c r="X143" s="958"/>
      <c r="Y143" s="958"/>
      <c r="Z143" s="958"/>
      <c r="AA143" s="958"/>
    </row>
    <row r="144" spans="1:27" s="909" customFormat="1">
      <c r="A144" s="814"/>
      <c r="B144" s="814"/>
      <c r="C144" s="814"/>
      <c r="F144" s="958"/>
      <c r="G144" s="958"/>
      <c r="H144" s="958"/>
      <c r="I144" s="958"/>
      <c r="J144" s="958"/>
      <c r="K144" s="958"/>
      <c r="L144" s="958"/>
      <c r="M144" s="958"/>
      <c r="N144" s="958"/>
      <c r="O144" s="958"/>
      <c r="P144" s="958"/>
      <c r="Q144" s="958"/>
      <c r="R144" s="958"/>
      <c r="S144" s="958"/>
      <c r="T144" s="958"/>
      <c r="U144" s="958"/>
      <c r="V144" s="958"/>
      <c r="W144" s="958"/>
      <c r="X144" s="958"/>
      <c r="Y144" s="958"/>
      <c r="Z144" s="958"/>
      <c r="AA144" s="958"/>
    </row>
    <row r="145" spans="1:27" s="909" customFormat="1">
      <c r="A145" s="814"/>
      <c r="B145" s="814"/>
      <c r="C145" s="814"/>
      <c r="F145" s="958"/>
      <c r="G145" s="958"/>
      <c r="H145" s="958"/>
      <c r="I145" s="958"/>
      <c r="J145" s="958"/>
      <c r="K145" s="958"/>
      <c r="L145" s="958"/>
      <c r="M145" s="958"/>
      <c r="N145" s="958"/>
      <c r="O145" s="958"/>
      <c r="P145" s="958"/>
      <c r="Q145" s="958"/>
      <c r="R145" s="958"/>
      <c r="S145" s="958"/>
      <c r="T145" s="958"/>
      <c r="U145" s="958"/>
      <c r="V145" s="958"/>
      <c r="W145" s="958"/>
      <c r="X145" s="958"/>
      <c r="Y145" s="958"/>
      <c r="Z145" s="958"/>
      <c r="AA145" s="958"/>
    </row>
    <row r="146" spans="1:27" s="909" customFormat="1">
      <c r="A146" s="814"/>
      <c r="B146" s="814"/>
      <c r="C146" s="814"/>
      <c r="F146" s="958"/>
      <c r="G146" s="958"/>
      <c r="H146" s="958"/>
      <c r="I146" s="958"/>
      <c r="J146" s="958"/>
      <c r="K146" s="958"/>
      <c r="L146" s="958"/>
      <c r="M146" s="958"/>
      <c r="N146" s="958"/>
      <c r="O146" s="958"/>
      <c r="P146" s="958"/>
      <c r="Q146" s="958"/>
      <c r="R146" s="958"/>
      <c r="S146" s="958"/>
      <c r="T146" s="958"/>
      <c r="U146" s="958"/>
      <c r="V146" s="958"/>
      <c r="W146" s="958"/>
      <c r="X146" s="958"/>
      <c r="Y146" s="958"/>
      <c r="Z146" s="958"/>
      <c r="AA146" s="958"/>
    </row>
    <row r="147" spans="1:27" s="909" customFormat="1">
      <c r="A147" s="814"/>
      <c r="B147" s="814"/>
      <c r="C147" s="814"/>
      <c r="F147" s="958"/>
      <c r="G147" s="958"/>
      <c r="H147" s="958"/>
      <c r="I147" s="958"/>
      <c r="J147" s="958"/>
      <c r="K147" s="958"/>
      <c r="L147" s="958"/>
      <c r="M147" s="958"/>
      <c r="N147" s="958"/>
      <c r="O147" s="958"/>
      <c r="P147" s="958"/>
      <c r="Q147" s="958"/>
      <c r="R147" s="958"/>
      <c r="S147" s="958"/>
      <c r="T147" s="958"/>
      <c r="U147" s="958"/>
      <c r="V147" s="958"/>
      <c r="W147" s="958"/>
      <c r="X147" s="958"/>
      <c r="Y147" s="958"/>
      <c r="Z147" s="958"/>
      <c r="AA147" s="958"/>
    </row>
    <row r="148" spans="1:27" s="909" customFormat="1">
      <c r="A148" s="814"/>
      <c r="B148" s="814"/>
      <c r="C148" s="814"/>
      <c r="F148" s="958"/>
      <c r="G148" s="958"/>
      <c r="H148" s="958"/>
      <c r="I148" s="958"/>
      <c r="J148" s="958"/>
      <c r="K148" s="958"/>
      <c r="L148" s="958"/>
      <c r="M148" s="958"/>
      <c r="N148" s="958"/>
      <c r="O148" s="958"/>
      <c r="P148" s="958"/>
      <c r="Q148" s="958"/>
      <c r="R148" s="958"/>
      <c r="S148" s="958"/>
      <c r="T148" s="958"/>
      <c r="U148" s="958"/>
      <c r="V148" s="958"/>
      <c r="W148" s="958"/>
      <c r="X148" s="958"/>
      <c r="Y148" s="958"/>
      <c r="Z148" s="958"/>
      <c r="AA148" s="958"/>
    </row>
    <row r="149" spans="1:27" s="909" customFormat="1">
      <c r="A149" s="814"/>
      <c r="B149" s="814"/>
      <c r="C149" s="814"/>
      <c r="F149" s="958"/>
      <c r="G149" s="958"/>
      <c r="H149" s="958"/>
      <c r="I149" s="958"/>
      <c r="J149" s="958"/>
      <c r="K149" s="958"/>
      <c r="L149" s="958"/>
      <c r="M149" s="958"/>
      <c r="N149" s="958"/>
      <c r="O149" s="958"/>
      <c r="P149" s="958"/>
      <c r="Q149" s="958"/>
      <c r="R149" s="958"/>
      <c r="S149" s="958"/>
      <c r="T149" s="958"/>
      <c r="U149" s="958"/>
      <c r="V149" s="958"/>
      <c r="W149" s="958"/>
      <c r="X149" s="958"/>
      <c r="Y149" s="958"/>
      <c r="Z149" s="958"/>
      <c r="AA149" s="958"/>
    </row>
    <row r="150" spans="1:27" s="909" customFormat="1">
      <c r="A150" s="814"/>
      <c r="B150" s="814"/>
      <c r="C150" s="814"/>
      <c r="F150" s="958"/>
      <c r="G150" s="958"/>
      <c r="H150" s="958"/>
      <c r="I150" s="958"/>
      <c r="J150" s="958"/>
      <c r="K150" s="958"/>
      <c r="L150" s="958"/>
      <c r="M150" s="958"/>
      <c r="N150" s="958"/>
      <c r="O150" s="958"/>
      <c r="P150" s="958"/>
      <c r="Q150" s="958"/>
      <c r="R150" s="958"/>
      <c r="S150" s="958"/>
      <c r="T150" s="958"/>
      <c r="U150" s="958"/>
      <c r="V150" s="958"/>
      <c r="W150" s="958"/>
      <c r="X150" s="958"/>
      <c r="Y150" s="958"/>
      <c r="Z150" s="958"/>
      <c r="AA150" s="958"/>
    </row>
    <row r="151" spans="1:27" s="909" customFormat="1">
      <c r="A151" s="814"/>
      <c r="B151" s="814"/>
      <c r="C151" s="814"/>
      <c r="F151" s="958"/>
      <c r="G151" s="958"/>
      <c r="H151" s="958"/>
      <c r="I151" s="958"/>
      <c r="J151" s="958"/>
      <c r="K151" s="958"/>
      <c r="L151" s="958"/>
      <c r="M151" s="958"/>
      <c r="N151" s="958"/>
      <c r="O151" s="958"/>
      <c r="P151" s="958"/>
      <c r="Q151" s="958"/>
      <c r="R151" s="958"/>
      <c r="S151" s="958"/>
      <c r="T151" s="958"/>
      <c r="U151" s="958"/>
      <c r="V151" s="958"/>
      <c r="W151" s="958"/>
      <c r="X151" s="958"/>
      <c r="Y151" s="958"/>
      <c r="Z151" s="958"/>
      <c r="AA151" s="958"/>
    </row>
    <row r="152" spans="1:27" s="909" customFormat="1">
      <c r="A152" s="814"/>
      <c r="B152" s="814"/>
      <c r="C152" s="814"/>
      <c r="F152" s="958"/>
      <c r="G152" s="958"/>
      <c r="H152" s="958"/>
      <c r="I152" s="958"/>
      <c r="J152" s="958"/>
      <c r="K152" s="958"/>
      <c r="L152" s="958"/>
      <c r="M152" s="958"/>
      <c r="N152" s="958"/>
      <c r="O152" s="958"/>
      <c r="P152" s="958"/>
      <c r="Q152" s="958"/>
      <c r="R152" s="958"/>
      <c r="S152" s="958"/>
      <c r="T152" s="958"/>
      <c r="U152" s="958"/>
      <c r="V152" s="958"/>
      <c r="W152" s="958"/>
      <c r="X152" s="958"/>
      <c r="Y152" s="958"/>
      <c r="Z152" s="958"/>
      <c r="AA152" s="958"/>
    </row>
    <row r="153" spans="1:27" s="909" customFormat="1">
      <c r="A153" s="814"/>
      <c r="B153" s="814"/>
      <c r="C153" s="814"/>
      <c r="F153" s="958"/>
      <c r="G153" s="958"/>
      <c r="H153" s="958"/>
      <c r="I153" s="958"/>
      <c r="J153" s="958"/>
      <c r="K153" s="958"/>
      <c r="L153" s="958"/>
      <c r="M153" s="958"/>
      <c r="N153" s="958"/>
      <c r="O153" s="958"/>
      <c r="P153" s="958"/>
      <c r="Q153" s="958"/>
      <c r="R153" s="958"/>
      <c r="S153" s="958"/>
      <c r="T153" s="958"/>
      <c r="U153" s="958"/>
      <c r="V153" s="958"/>
      <c r="W153" s="958"/>
      <c r="X153" s="958"/>
      <c r="Y153" s="958"/>
      <c r="Z153" s="958"/>
      <c r="AA153" s="958"/>
    </row>
    <row r="154" spans="1:27" s="909" customFormat="1">
      <c r="A154" s="814"/>
      <c r="B154" s="814"/>
      <c r="C154" s="814"/>
      <c r="F154" s="958"/>
      <c r="G154" s="958"/>
      <c r="H154" s="958"/>
      <c r="I154" s="958"/>
      <c r="J154" s="958"/>
      <c r="K154" s="958"/>
      <c r="L154" s="958"/>
      <c r="M154" s="958"/>
      <c r="N154" s="958"/>
      <c r="O154" s="958"/>
      <c r="P154" s="958"/>
      <c r="Q154" s="958"/>
      <c r="R154" s="958"/>
      <c r="S154" s="958"/>
      <c r="T154" s="958"/>
      <c r="U154" s="958"/>
      <c r="V154" s="958"/>
      <c r="W154" s="958"/>
      <c r="X154" s="958"/>
      <c r="Y154" s="958"/>
      <c r="Z154" s="958"/>
      <c r="AA154" s="958"/>
    </row>
    <row r="155" spans="1:27" s="909" customFormat="1">
      <c r="A155" s="814"/>
      <c r="B155" s="814"/>
      <c r="C155" s="814"/>
      <c r="F155" s="958"/>
      <c r="G155" s="958"/>
      <c r="H155" s="958"/>
      <c r="I155" s="958"/>
      <c r="J155" s="958"/>
      <c r="K155" s="958"/>
      <c r="L155" s="958"/>
      <c r="M155" s="958"/>
      <c r="N155" s="958"/>
      <c r="O155" s="958"/>
      <c r="P155" s="958"/>
      <c r="Q155" s="958"/>
      <c r="R155" s="958"/>
      <c r="S155" s="958"/>
      <c r="T155" s="958"/>
      <c r="U155" s="958"/>
      <c r="V155" s="958"/>
      <c r="W155" s="958"/>
      <c r="X155" s="958"/>
      <c r="Y155" s="958"/>
      <c r="Z155" s="958"/>
      <c r="AA155" s="958"/>
    </row>
    <row r="156" spans="1:27" s="909" customFormat="1">
      <c r="A156" s="814"/>
      <c r="B156" s="814"/>
      <c r="C156" s="814"/>
      <c r="F156" s="958"/>
      <c r="G156" s="958"/>
      <c r="H156" s="958"/>
      <c r="I156" s="958"/>
      <c r="J156" s="958"/>
      <c r="K156" s="958"/>
      <c r="L156" s="958"/>
      <c r="M156" s="958"/>
      <c r="N156" s="958"/>
      <c r="O156" s="958"/>
      <c r="P156" s="958"/>
      <c r="Q156" s="958"/>
      <c r="R156" s="958"/>
      <c r="S156" s="958"/>
      <c r="T156" s="958"/>
      <c r="U156" s="958"/>
      <c r="V156" s="958"/>
      <c r="W156" s="958"/>
      <c r="X156" s="958"/>
      <c r="Y156" s="958"/>
      <c r="Z156" s="958"/>
      <c r="AA156" s="958"/>
    </row>
    <row r="157" spans="1:27" s="909" customFormat="1">
      <c r="A157" s="814"/>
      <c r="B157" s="814"/>
      <c r="C157" s="814"/>
      <c r="F157" s="958"/>
      <c r="G157" s="958"/>
      <c r="H157" s="958"/>
      <c r="I157" s="958"/>
      <c r="J157" s="958"/>
      <c r="K157" s="958"/>
      <c r="L157" s="958"/>
      <c r="M157" s="958"/>
      <c r="N157" s="958"/>
      <c r="O157" s="958"/>
      <c r="P157" s="958"/>
      <c r="Q157" s="958"/>
      <c r="R157" s="958"/>
      <c r="S157" s="958"/>
      <c r="T157" s="958"/>
      <c r="U157" s="958"/>
      <c r="V157" s="958"/>
      <c r="W157" s="958"/>
      <c r="X157" s="958"/>
      <c r="Y157" s="958"/>
      <c r="Z157" s="958"/>
      <c r="AA157" s="958"/>
    </row>
  </sheetData>
  <mergeCells count="20">
    <mergeCell ref="S15:W15"/>
    <mergeCell ref="AB15:AF15"/>
    <mergeCell ref="AH15:AL15"/>
    <mergeCell ref="AN15:AR15"/>
    <mergeCell ref="D9:AV9"/>
    <mergeCell ref="G10:X10"/>
    <mergeCell ref="D11:D15"/>
    <mergeCell ref="E11:E15"/>
    <mergeCell ref="G11:X11"/>
    <mergeCell ref="AA11:AA16"/>
    <mergeCell ref="AB11:AS11"/>
    <mergeCell ref="AT11:AT15"/>
    <mergeCell ref="AU11:AU15"/>
    <mergeCell ref="AV11:AV15"/>
    <mergeCell ref="G12:X12"/>
    <mergeCell ref="AB12:AS12"/>
    <mergeCell ref="G13:X13"/>
    <mergeCell ref="AB13:AS13"/>
    <mergeCell ref="G15:K15"/>
    <mergeCell ref="M15:Q15"/>
  </mergeCells>
  <dataValidations count="1">
    <dataValidation type="decimal" allowBlank="1" showInputMessage="1" showErrorMessage="1" errorTitle="Внимание" error="Допускается ввод только действительных чисел!" sqref="AA93 AB40:AG40 AI44:AL44 AI50:AL50 AI56:AL56 AH55:AH89 AB44:AG44 AI47:AL47 AI81:AL81 AI54:AL54 AH45:AH53 AB45:AF89 AB95:AG95 AB97:AG97 AN95:AT95 AB99:AG102 AB104:AG106 AN104:AT106 AN110:AT110 AI74:AL74 G40:L40 AI59:AL59 AI68:AL68 AI77:AL77 AN112:AT112 AI65:AL65 AI63:AL63 AB108:AG108 AI72:AL72 AB110:AG110 AN108:AT108 AB112:AG112 AB114:AG114 AN25:AT25 AN40:AT40 AI83:AL83 AI86:AL86 AN36:AT36 AB36:AG36 AB42:AG42 AN23:AT23 AB23:AG23 AN32:AT34 AU21 AN99:AT102 AB27:AG30 AN38:AT38 AB25:AG25 AB38:AG38 AN27:AT30 AB32:AG34 AN114:AT114 AA21 AN42:AT42 AN97:AT97 AU93 S38:X38 S36:X36 G36:L36 S32:X34 G32:L34 G27:L30 S27:X30 S25:X25 G25:L25 G23:L23 S23:X23 G42:L42 S42:X42 S40:X40 N86:Q86 N83:Q83 S44:X89 G45:K89 G114:L114 G112:L112 S112:X112 S110:X110 N72:Q72 G110:L110 N63:Q63 N65:Q65 S114:X114 N77:Q77 N68:Q68 N59:Q59 G108:L108 N74:Q74 G38:L38 S108:X108 S104:X106 G104:L106 G99:L102 S99:X102 S97:X97 G97:L97 G95:L95 S95:X95 M45:M53 N54:Q54 N81:Q81 N47:Q47 G44:L44 M55:M89 N56:Q56 N50:Q50 N44:Q44 AN44:AT89">
      <formula1>-9.99999999999999E+23</formula1>
      <formula2>9.99999999999999E+23</formula2>
    </dataValidation>
  </dataValidations>
  <hyperlinks>
    <hyperlink ref="Z10" location="'Продажа на РР - Юг ТО'!A1" tooltip="Добавить месяц" display="Добавить месяц"/>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T19"/>
  <sheetViews>
    <sheetView topLeftCell="C8" workbookViewId="0">
      <selection activeCell="O16" sqref="O16"/>
    </sheetView>
  </sheetViews>
  <sheetFormatPr defaultColWidth="9.28515625" defaultRowHeight="11.25"/>
  <cols>
    <col min="1" max="2" width="9.28515625" style="885" hidden="1" customWidth="1"/>
    <col min="3" max="3" width="2.7109375" style="885" customWidth="1"/>
    <col min="4" max="4" width="7.42578125" style="888" customWidth="1"/>
    <col min="5" max="5" width="25.5703125" style="885" customWidth="1"/>
    <col min="6" max="6" width="9.42578125" style="885" customWidth="1"/>
    <col min="7" max="15" width="8.7109375" style="885" customWidth="1"/>
    <col min="16" max="16" width="9.5703125" style="885" customWidth="1"/>
    <col min="17" max="17" width="8.7109375" style="885" customWidth="1"/>
    <col min="18" max="18" width="8.42578125" style="885" customWidth="1"/>
    <col min="19" max="20" width="8.7109375" style="885" customWidth="1"/>
    <col min="21" max="22" width="2.7109375" style="885" customWidth="1"/>
    <col min="23" max="16384" width="9.28515625" style="885"/>
  </cols>
  <sheetData>
    <row r="1" spans="4:20" hidden="1"/>
    <row r="2" spans="4:20" hidden="1"/>
    <row r="3" spans="4:20" hidden="1"/>
    <row r="4" spans="4:20" hidden="1"/>
    <row r="5" spans="4:20" hidden="1"/>
    <row r="6" spans="4:20" hidden="1"/>
    <row r="7" spans="4:20" hidden="1"/>
    <row r="9" spans="4:20" ht="18" customHeight="1">
      <c r="D9" s="4274" t="s">
        <v>893</v>
      </c>
      <c r="E9" s="4275"/>
      <c r="F9" s="4275"/>
      <c r="G9" s="4275"/>
      <c r="H9" s="4275"/>
      <c r="I9" s="4275"/>
      <c r="J9" s="4275"/>
      <c r="K9" s="4275"/>
      <c r="L9" s="4275"/>
      <c r="M9" s="4275"/>
      <c r="N9" s="4275"/>
      <c r="O9" s="4275"/>
      <c r="P9" s="4275"/>
      <c r="Q9" s="4275"/>
      <c r="R9" s="4275"/>
      <c r="S9" s="4275"/>
      <c r="T9" s="4276"/>
    </row>
    <row r="11" spans="4:20" ht="12" customHeight="1">
      <c r="D11" s="4292" t="s">
        <v>400</v>
      </c>
      <c r="E11" s="4292" t="s">
        <v>746</v>
      </c>
      <c r="F11" s="4292" t="s">
        <v>880</v>
      </c>
      <c r="G11" s="4292"/>
      <c r="H11" s="4292"/>
      <c r="I11" s="4292"/>
      <c r="J11" s="4292"/>
      <c r="K11" s="4292" t="s">
        <v>881</v>
      </c>
      <c r="L11" s="4292"/>
      <c r="M11" s="4292"/>
      <c r="N11" s="4292"/>
      <c r="O11" s="4292"/>
      <c r="P11" s="4292" t="s">
        <v>788</v>
      </c>
      <c r="Q11" s="4292"/>
      <c r="R11" s="4292"/>
      <c r="S11" s="4292"/>
      <c r="T11" s="4292"/>
    </row>
    <row r="12" spans="4:20" ht="12" customHeight="1">
      <c r="D12" s="4292"/>
      <c r="E12" s="4292"/>
      <c r="F12" s="891" t="s">
        <v>693</v>
      </c>
      <c r="G12" s="891" t="s">
        <v>9</v>
      </c>
      <c r="H12" s="891" t="s">
        <v>882</v>
      </c>
      <c r="I12" s="891" t="s">
        <v>883</v>
      </c>
      <c r="J12" s="891" t="s">
        <v>12</v>
      </c>
      <c r="K12" s="891" t="s">
        <v>693</v>
      </c>
      <c r="L12" s="891" t="s">
        <v>9</v>
      </c>
      <c r="M12" s="891" t="s">
        <v>882</v>
      </c>
      <c r="N12" s="891" t="s">
        <v>883</v>
      </c>
      <c r="O12" s="891" t="s">
        <v>12</v>
      </c>
      <c r="P12" s="891" t="s">
        <v>693</v>
      </c>
      <c r="Q12" s="891" t="s">
        <v>9</v>
      </c>
      <c r="R12" s="891" t="s">
        <v>882</v>
      </c>
      <c r="S12" s="891" t="s">
        <v>883</v>
      </c>
      <c r="T12" s="891" t="s">
        <v>12</v>
      </c>
    </row>
    <row r="13" spans="4:20">
      <c r="D13" s="887">
        <v>1</v>
      </c>
      <c r="E13" s="887">
        <f t="shared" ref="E13:T13" si="0">D13+1</f>
        <v>2</v>
      </c>
      <c r="F13" s="887">
        <f t="shared" si="0"/>
        <v>3</v>
      </c>
      <c r="G13" s="887">
        <f t="shared" si="0"/>
        <v>4</v>
      </c>
      <c r="H13" s="887">
        <f t="shared" si="0"/>
        <v>5</v>
      </c>
      <c r="I13" s="887">
        <f t="shared" si="0"/>
        <v>6</v>
      </c>
      <c r="J13" s="887">
        <f t="shared" si="0"/>
        <v>7</v>
      </c>
      <c r="K13" s="887">
        <f t="shared" si="0"/>
        <v>8</v>
      </c>
      <c r="L13" s="887">
        <f t="shared" si="0"/>
        <v>9</v>
      </c>
      <c r="M13" s="887">
        <f t="shared" si="0"/>
        <v>10</v>
      </c>
      <c r="N13" s="887">
        <f t="shared" si="0"/>
        <v>11</v>
      </c>
      <c r="O13" s="887">
        <f t="shared" si="0"/>
        <v>12</v>
      </c>
      <c r="P13" s="887">
        <f t="shared" si="0"/>
        <v>13</v>
      </c>
      <c r="Q13" s="887">
        <f t="shared" si="0"/>
        <v>14</v>
      </c>
      <c r="R13" s="887">
        <f t="shared" si="0"/>
        <v>15</v>
      </c>
      <c r="S13" s="887">
        <f t="shared" si="0"/>
        <v>16</v>
      </c>
      <c r="T13" s="887">
        <f t="shared" si="0"/>
        <v>17</v>
      </c>
    </row>
    <row r="14" spans="4:20">
      <c r="D14" s="889" t="s">
        <v>699</v>
      </c>
      <c r="E14" s="890" t="s">
        <v>884</v>
      </c>
      <c r="F14" s="892">
        <f t="shared" ref="F14:F19" si="1">G14+H14+I14+J14</f>
        <v>55312.285000000003</v>
      </c>
      <c r="G14" s="892">
        <f>G15+G16</f>
        <v>0</v>
      </c>
      <c r="H14" s="892">
        <f>H15+H16</f>
        <v>2685.3119999999999</v>
      </c>
      <c r="I14" s="892">
        <f>I15+I16</f>
        <v>20696.656999999999</v>
      </c>
      <c r="J14" s="892">
        <f>J15+J16</f>
        <v>31930.316000000003</v>
      </c>
      <c r="K14" s="892">
        <f t="shared" ref="K14:K19" si="2">L14+M14+N14+O14</f>
        <v>6.7130000000000001</v>
      </c>
      <c r="L14" s="892">
        <f>L15+L16</f>
        <v>0</v>
      </c>
      <c r="M14" s="892">
        <f>M15+M16</f>
        <v>0</v>
      </c>
      <c r="N14" s="892">
        <f>N15+N16</f>
        <v>0.157</v>
      </c>
      <c r="O14" s="892">
        <f>O15+O16</f>
        <v>6.556</v>
      </c>
      <c r="P14" s="892">
        <f t="shared" ref="P14:P19" si="3">Q14+R14+S14+T14</f>
        <v>127514.4755</v>
      </c>
      <c r="Q14" s="892">
        <f>Q15+Q16</f>
        <v>0</v>
      </c>
      <c r="R14" s="892">
        <f>R15+R16</f>
        <v>10928.41425</v>
      </c>
      <c r="S14" s="892">
        <f>S15+S16</f>
        <v>74499.423250000007</v>
      </c>
      <c r="T14" s="892">
        <f>T15+T16</f>
        <v>42086.637999999999</v>
      </c>
    </row>
    <row r="15" spans="4:20">
      <c r="D15" s="889" t="s">
        <v>753</v>
      </c>
      <c r="E15" s="963" t="s">
        <v>885</v>
      </c>
      <c r="F15" s="892">
        <f t="shared" si="1"/>
        <v>55312.285000000003</v>
      </c>
      <c r="G15" s="897"/>
      <c r="H15" s="897">
        <f>IFERROR('01'!D12,0)</f>
        <v>2685.3119999999999</v>
      </c>
      <c r="I15" s="897">
        <f>IFERROR('01'!D13+'01'!D15+'01'!D17+'01'!D23+ККП!D506*1000+ККП!D535*1000,0)</f>
        <v>20696.656999999999</v>
      </c>
      <c r="J15" s="897">
        <f>IFERROR('01'!D14+'01'!D16+'01'!D18+'01'!D24,0)</f>
        <v>31930.316000000003</v>
      </c>
      <c r="K15" s="892">
        <f t="shared" si="2"/>
        <v>6.7130000000000001</v>
      </c>
      <c r="L15" s="897"/>
      <c r="M15" s="897"/>
      <c r="N15" s="897">
        <f>'01'!D20</f>
        <v>0.157</v>
      </c>
      <c r="O15" s="897">
        <f>'01'!D21</f>
        <v>6.556</v>
      </c>
      <c r="P15" s="892">
        <f t="shared" si="3"/>
        <v>127514.4755</v>
      </c>
      <c r="Q15" s="897"/>
      <c r="R15" s="897">
        <f>IFERROR('01'!F12/1000,0)</f>
        <v>10928.41425</v>
      </c>
      <c r="S15" s="897">
        <f>IFERROR('01'!F13/1000+'01'!F15/1000+'01'!F17/1000+'01'!F20/1000+'01'!F23/1000+ККП!D517*1000+ККП!D532*1000+ККП!D546*1000,0)</f>
        <v>74499.423250000007</v>
      </c>
      <c r="T15" s="897">
        <f>IFERROR('01'!F14/1000+'01'!F16/1000+'01'!F18/1000+'01'!F21/1000+'01'!F24/1000,0)</f>
        <v>42086.637999999999</v>
      </c>
    </row>
    <row r="16" spans="4:20">
      <c r="D16" s="889" t="s">
        <v>755</v>
      </c>
      <c r="E16" s="963" t="s">
        <v>886</v>
      </c>
      <c r="F16" s="892">
        <f t="shared" si="1"/>
        <v>0</v>
      </c>
      <c r="G16" s="897"/>
      <c r="H16" s="897"/>
      <c r="I16" s="897"/>
      <c r="J16" s="897"/>
      <c r="K16" s="892">
        <f t="shared" si="2"/>
        <v>0</v>
      </c>
      <c r="L16" s="897"/>
      <c r="M16" s="897"/>
      <c r="N16" s="897"/>
      <c r="O16" s="897"/>
      <c r="P16" s="892">
        <f t="shared" si="3"/>
        <v>0</v>
      </c>
      <c r="Q16" s="897"/>
      <c r="R16" s="897"/>
      <c r="S16" s="897"/>
      <c r="T16" s="897"/>
    </row>
    <row r="17" spans="4:20">
      <c r="D17" s="889" t="s">
        <v>688</v>
      </c>
      <c r="E17" s="890" t="s">
        <v>887</v>
      </c>
      <c r="F17" s="892">
        <f t="shared" si="1"/>
        <v>0</v>
      </c>
      <c r="G17" s="897"/>
      <c r="H17" s="897"/>
      <c r="I17" s="897"/>
      <c r="J17" s="897"/>
      <c r="K17" s="892">
        <f t="shared" si="2"/>
        <v>0</v>
      </c>
      <c r="L17" s="897"/>
      <c r="M17" s="897"/>
      <c r="N17" s="897"/>
      <c r="O17" s="897"/>
      <c r="P17" s="892">
        <f t="shared" si="3"/>
        <v>0</v>
      </c>
      <c r="Q17" s="897"/>
      <c r="R17" s="897"/>
      <c r="S17" s="897"/>
      <c r="T17" s="897"/>
    </row>
    <row r="18" spans="4:20">
      <c r="D18" s="889" t="s">
        <v>708</v>
      </c>
      <c r="E18" s="890" t="s">
        <v>888</v>
      </c>
      <c r="F18" s="892">
        <f t="shared" si="1"/>
        <v>27561.961442399988</v>
      </c>
      <c r="G18" s="897">
        <f>ОРЭМ!C294</f>
        <v>27561.961442399988</v>
      </c>
      <c r="H18" s="897"/>
      <c r="I18" s="897"/>
      <c r="J18" s="897"/>
      <c r="K18" s="892">
        <f t="shared" si="2"/>
        <v>0</v>
      </c>
      <c r="L18" s="897"/>
      <c r="M18" s="897"/>
      <c r="N18" s="897"/>
      <c r="O18" s="897"/>
      <c r="P18" s="892">
        <f t="shared" si="3"/>
        <v>57.180120000000002</v>
      </c>
      <c r="Q18" s="897">
        <f>ОРЭМ!C296/1000</f>
        <v>57.180120000000002</v>
      </c>
      <c r="R18" s="897"/>
      <c r="S18" s="897"/>
      <c r="T18" s="897"/>
    </row>
    <row r="19" spans="4:20">
      <c r="D19" s="889" t="s">
        <v>723</v>
      </c>
      <c r="E19" s="890" t="s">
        <v>889</v>
      </c>
      <c r="F19" s="892">
        <f t="shared" si="1"/>
        <v>0</v>
      </c>
      <c r="G19" s="897">
        <f>ОРЭМ!C276</f>
        <v>0</v>
      </c>
      <c r="H19" s="897"/>
      <c r="I19" s="897"/>
      <c r="J19" s="897"/>
      <c r="K19" s="892">
        <f t="shared" si="2"/>
        <v>0</v>
      </c>
      <c r="L19" s="897"/>
      <c r="M19" s="897"/>
      <c r="N19" s="897"/>
      <c r="O19" s="897"/>
      <c r="P19" s="892">
        <f t="shared" si="3"/>
        <v>57.180120000000002</v>
      </c>
      <c r="Q19" s="897">
        <f>ОРЭМ!C278/1000+ОРЭМ!C290/1000</f>
        <v>57.180120000000002</v>
      </c>
      <c r="R19" s="897"/>
      <c r="S19" s="897"/>
      <c r="T19" s="897"/>
    </row>
  </sheetData>
  <mergeCells count="6">
    <mergeCell ref="D9:T9"/>
    <mergeCell ref="D11:D12"/>
    <mergeCell ref="E11:E12"/>
    <mergeCell ref="F11:J11"/>
    <mergeCell ref="K11:O11"/>
    <mergeCell ref="P11:T11"/>
  </mergeCells>
  <dataValidations count="1">
    <dataValidation type="decimal" allowBlank="1" showInputMessage="1" showErrorMessage="1" errorTitle="Внимание" error="Допускается ввод только действительных чисел!" sqref="G15:J19 Q15:T19 L15:O19">
      <formula1>-9.99999999999999E+23</formula1>
      <formula2>9.99999999999999E+23</formula2>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X25"/>
  <sheetViews>
    <sheetView topLeftCell="F7" workbookViewId="0">
      <selection activeCell="R24" sqref="R24"/>
    </sheetView>
  </sheetViews>
  <sheetFormatPr defaultColWidth="9.28515625" defaultRowHeight="11.25"/>
  <cols>
    <col min="1" max="2" width="0" style="964" hidden="1" customWidth="1"/>
    <col min="3" max="3" width="10.7109375" style="964" customWidth="1"/>
    <col min="4" max="4" width="6.7109375" style="964" customWidth="1"/>
    <col min="5" max="5" width="30.7109375" style="964" customWidth="1"/>
    <col min="6" max="6" width="13.7109375" style="964" customWidth="1"/>
    <col min="7" max="7" width="10.7109375" style="964" customWidth="1"/>
    <col min="8" max="11" width="8.7109375" style="964" customWidth="1"/>
    <col min="12" max="12" width="10.7109375" style="964" customWidth="1"/>
    <col min="13" max="14" width="8.7109375" style="964" customWidth="1"/>
    <col min="15" max="15" width="9.28515625" style="964" customWidth="1"/>
    <col min="16" max="16" width="9.5703125" style="964" customWidth="1"/>
    <col min="17" max="23" width="13.7109375" style="964" customWidth="1"/>
    <col min="24" max="25" width="2.7109375" style="964" customWidth="1"/>
    <col min="26" max="16384" width="9.28515625" style="964"/>
  </cols>
  <sheetData>
    <row r="1" spans="3:24" hidden="1"/>
    <row r="2" spans="3:24" hidden="1"/>
    <row r="3" spans="3:24" hidden="1"/>
    <row r="4" spans="3:24" hidden="1"/>
    <row r="5" spans="3:24" hidden="1"/>
    <row r="6" spans="3:24" hidden="1"/>
    <row r="9" spans="3:24">
      <c r="C9" s="965"/>
      <c r="D9" s="966"/>
      <c r="E9" s="966"/>
      <c r="F9" s="966"/>
      <c r="G9" s="966"/>
      <c r="H9" s="966"/>
      <c r="I9" s="966"/>
      <c r="J9" s="966"/>
      <c r="K9" s="966"/>
      <c r="L9" s="966"/>
      <c r="M9" s="966"/>
      <c r="N9" s="966"/>
      <c r="O9" s="966"/>
      <c r="P9" s="966"/>
      <c r="Q9" s="966"/>
      <c r="R9" s="966"/>
      <c r="S9" s="966"/>
      <c r="T9" s="966"/>
      <c r="U9" s="966"/>
      <c r="V9" s="966"/>
      <c r="W9" s="966"/>
      <c r="X9" s="967"/>
    </row>
    <row r="10" spans="3:24" ht="15" customHeight="1">
      <c r="C10" s="968"/>
      <c r="D10" s="4298" t="s">
        <v>910</v>
      </c>
      <c r="E10" s="4298"/>
      <c r="F10" s="4298"/>
      <c r="G10" s="4298"/>
      <c r="H10" s="4298"/>
      <c r="I10" s="4298"/>
      <c r="J10" s="4298"/>
      <c r="K10" s="4298"/>
      <c r="L10" s="4298"/>
      <c r="M10" s="4298"/>
      <c r="N10" s="4298"/>
      <c r="O10" s="4298"/>
      <c r="P10" s="4298"/>
      <c r="Q10" s="4298"/>
      <c r="R10" s="4298"/>
      <c r="S10" s="4298"/>
      <c r="T10" s="4298"/>
      <c r="U10" s="4298"/>
      <c r="V10" s="4298"/>
      <c r="W10" s="4298"/>
      <c r="X10" s="969"/>
    </row>
    <row r="11" spans="3:24" ht="15" customHeight="1">
      <c r="C11" s="968"/>
      <c r="D11" s="4298" t="s">
        <v>913</v>
      </c>
      <c r="E11" s="4298"/>
      <c r="F11" s="4298"/>
      <c r="G11" s="4298"/>
      <c r="H11" s="4298"/>
      <c r="I11" s="4298"/>
      <c r="J11" s="4298"/>
      <c r="K11" s="4298"/>
      <c r="L11" s="4298"/>
      <c r="M11" s="4298"/>
      <c r="N11" s="4298"/>
      <c r="O11" s="4298"/>
      <c r="P11" s="4298"/>
      <c r="Q11" s="4298"/>
      <c r="R11" s="4298"/>
      <c r="S11" s="4298"/>
      <c r="T11" s="4298"/>
      <c r="U11" s="4298"/>
      <c r="V11" s="4298"/>
      <c r="W11" s="4298"/>
      <c r="X11" s="969"/>
    </row>
    <row r="12" spans="3:24" ht="12" thickBot="1">
      <c r="C12" s="968"/>
      <c r="D12" s="970"/>
      <c r="E12" s="970"/>
      <c r="F12" s="970"/>
      <c r="G12" s="970"/>
      <c r="H12" s="970"/>
      <c r="I12" s="970"/>
      <c r="J12" s="970"/>
      <c r="K12" s="970"/>
      <c r="L12" s="970"/>
      <c r="M12" s="970"/>
      <c r="N12" s="970"/>
      <c r="O12" s="970"/>
      <c r="P12" s="970"/>
      <c r="Q12" s="970"/>
      <c r="R12" s="970"/>
      <c r="S12" s="970"/>
      <c r="T12" s="970"/>
      <c r="U12" s="970"/>
      <c r="V12" s="970"/>
      <c r="W12" s="970"/>
      <c r="X12" s="969"/>
    </row>
    <row r="13" spans="3:24" ht="30" customHeight="1">
      <c r="C13" s="968"/>
      <c r="D13" s="4299" t="s">
        <v>400</v>
      </c>
      <c r="E13" s="4302" t="s">
        <v>894</v>
      </c>
      <c r="F13" s="4305" t="s">
        <v>895</v>
      </c>
      <c r="G13" s="4305"/>
      <c r="H13" s="4305"/>
      <c r="I13" s="4305"/>
      <c r="J13" s="4305"/>
      <c r="K13" s="4305"/>
      <c r="L13" s="4305"/>
      <c r="M13" s="4305"/>
      <c r="N13" s="4305"/>
      <c r="O13" s="4305"/>
      <c r="P13" s="4305"/>
      <c r="Q13" s="4305" t="s">
        <v>896</v>
      </c>
      <c r="R13" s="4305"/>
      <c r="S13" s="4305" t="s">
        <v>897</v>
      </c>
      <c r="T13" s="4305"/>
      <c r="U13" s="4305"/>
      <c r="V13" s="4306" t="s">
        <v>898</v>
      </c>
      <c r="W13" s="4308" t="s">
        <v>899</v>
      </c>
      <c r="X13" s="969"/>
    </row>
    <row r="14" spans="3:24" ht="20.25" customHeight="1">
      <c r="C14" s="968"/>
      <c r="D14" s="4300"/>
      <c r="E14" s="4303"/>
      <c r="F14" s="4303" t="s">
        <v>693</v>
      </c>
      <c r="G14" s="4296" t="s">
        <v>900</v>
      </c>
      <c r="H14" s="4296"/>
      <c r="I14" s="4296"/>
      <c r="J14" s="4296"/>
      <c r="K14" s="4296"/>
      <c r="L14" s="4296" t="s">
        <v>901</v>
      </c>
      <c r="M14" s="4296"/>
      <c r="N14" s="4296"/>
      <c r="O14" s="4296"/>
      <c r="P14" s="4296"/>
      <c r="Q14" s="4296" t="s">
        <v>902</v>
      </c>
      <c r="R14" s="4296" t="s">
        <v>903</v>
      </c>
      <c r="S14" s="4296" t="s">
        <v>693</v>
      </c>
      <c r="T14" s="4296" t="s">
        <v>904</v>
      </c>
      <c r="U14" s="4296"/>
      <c r="V14" s="4307"/>
      <c r="W14" s="4309"/>
      <c r="X14" s="969"/>
    </row>
    <row r="15" spans="3:24" ht="40.5" customHeight="1" thickBot="1">
      <c r="C15" s="968"/>
      <c r="D15" s="4301"/>
      <c r="E15" s="4304"/>
      <c r="F15" s="4304"/>
      <c r="G15" s="971" t="s">
        <v>693</v>
      </c>
      <c r="H15" s="971" t="s">
        <v>9</v>
      </c>
      <c r="I15" s="971" t="s">
        <v>882</v>
      </c>
      <c r="J15" s="971" t="s">
        <v>883</v>
      </c>
      <c r="K15" s="971" t="s">
        <v>12</v>
      </c>
      <c r="L15" s="971" t="s">
        <v>693</v>
      </c>
      <c r="M15" s="971" t="s">
        <v>9</v>
      </c>
      <c r="N15" s="971" t="s">
        <v>882</v>
      </c>
      <c r="O15" s="971" t="s">
        <v>883</v>
      </c>
      <c r="P15" s="971" t="s">
        <v>12</v>
      </c>
      <c r="Q15" s="4297"/>
      <c r="R15" s="4297"/>
      <c r="S15" s="4297"/>
      <c r="T15" s="972" t="s">
        <v>905</v>
      </c>
      <c r="U15" s="972" t="s">
        <v>906</v>
      </c>
      <c r="V15" s="4307"/>
      <c r="W15" s="4309"/>
      <c r="X15" s="969"/>
    </row>
    <row r="16" spans="3:24" ht="12" thickBot="1">
      <c r="C16" s="968"/>
      <c r="D16" s="973">
        <v>1</v>
      </c>
      <c r="E16" s="974">
        <v>2</v>
      </c>
      <c r="F16" s="974">
        <v>3</v>
      </c>
      <c r="G16" s="974">
        <v>4</v>
      </c>
      <c r="H16" s="974">
        <v>5</v>
      </c>
      <c r="I16" s="974">
        <v>6</v>
      </c>
      <c r="J16" s="974">
        <v>7</v>
      </c>
      <c r="K16" s="974">
        <v>8</v>
      </c>
      <c r="L16" s="974">
        <v>9</v>
      </c>
      <c r="M16" s="974">
        <v>10</v>
      </c>
      <c r="N16" s="974">
        <v>11</v>
      </c>
      <c r="O16" s="974">
        <v>12</v>
      </c>
      <c r="P16" s="974">
        <v>13</v>
      </c>
      <c r="Q16" s="974">
        <v>14</v>
      </c>
      <c r="R16" s="974">
        <v>15</v>
      </c>
      <c r="S16" s="974">
        <v>16</v>
      </c>
      <c r="T16" s="974">
        <v>17</v>
      </c>
      <c r="U16" s="974">
        <v>18</v>
      </c>
      <c r="V16" s="974">
        <v>19</v>
      </c>
      <c r="W16" s="975">
        <v>20</v>
      </c>
      <c r="X16" s="969"/>
    </row>
    <row r="17" spans="3:24" hidden="1">
      <c r="C17" s="968"/>
      <c r="D17" s="976"/>
      <c r="E17" s="977"/>
      <c r="F17" s="977"/>
      <c r="G17" s="977"/>
      <c r="H17" s="977"/>
      <c r="I17" s="977"/>
      <c r="J17" s="977"/>
      <c r="K17" s="977"/>
      <c r="L17" s="977"/>
      <c r="M17" s="977"/>
      <c r="N17" s="977"/>
      <c r="O17" s="977"/>
      <c r="P17" s="977"/>
      <c r="Q17" s="977"/>
      <c r="R17" s="977"/>
      <c r="S17" s="977"/>
      <c r="T17" s="977"/>
      <c r="U17" s="977"/>
      <c r="V17" s="978"/>
      <c r="W17" s="979"/>
      <c r="X17" s="969"/>
    </row>
    <row r="18" spans="3:24" ht="18" customHeight="1">
      <c r="C18" s="968"/>
      <c r="D18" s="4293" t="s">
        <v>666</v>
      </c>
      <c r="E18" s="4294"/>
      <c r="F18" s="4294"/>
      <c r="G18" s="4294"/>
      <c r="H18" s="4294"/>
      <c r="I18" s="4294"/>
      <c r="J18" s="4294"/>
      <c r="K18" s="4294"/>
      <c r="L18" s="4294"/>
      <c r="M18" s="4294"/>
      <c r="N18" s="4294"/>
      <c r="O18" s="4294"/>
      <c r="P18" s="4294"/>
      <c r="Q18" s="4294"/>
      <c r="R18" s="4294"/>
      <c r="S18" s="4294"/>
      <c r="T18" s="4294"/>
      <c r="U18" s="4294"/>
      <c r="V18" s="4294"/>
      <c r="W18" s="4295"/>
      <c r="X18" s="969"/>
    </row>
    <row r="19" spans="3:24">
      <c r="C19" s="968"/>
      <c r="D19" s="976"/>
      <c r="E19" s="977"/>
      <c r="F19" s="977"/>
      <c r="G19" s="977"/>
      <c r="H19" s="977"/>
      <c r="I19" s="977"/>
      <c r="J19" s="977"/>
      <c r="K19" s="977"/>
      <c r="L19" s="977"/>
      <c r="M19" s="977"/>
      <c r="N19" s="977"/>
      <c r="O19" s="977"/>
      <c r="P19" s="977"/>
      <c r="Q19" s="977"/>
      <c r="R19" s="977"/>
      <c r="S19" s="977"/>
      <c r="T19" s="977"/>
      <c r="U19" s="978"/>
      <c r="V19" s="980"/>
      <c r="W19" s="981"/>
      <c r="X19" s="969"/>
    </row>
    <row r="20" spans="3:24" ht="30" customHeight="1">
      <c r="C20" s="968"/>
      <c r="D20" s="982"/>
      <c r="E20" s="983" t="s">
        <v>693</v>
      </c>
      <c r="F20" s="984">
        <f t="shared" ref="F20:P20" si="0">SUM(F21:F24)</f>
        <v>1788.328</v>
      </c>
      <c r="G20" s="984">
        <f t="shared" si="0"/>
        <v>0</v>
      </c>
      <c r="H20" s="984">
        <f t="shared" si="0"/>
        <v>0</v>
      </c>
      <c r="I20" s="984">
        <f t="shared" si="0"/>
        <v>0</v>
      </c>
      <c r="J20" s="984">
        <f t="shared" si="0"/>
        <v>0</v>
      </c>
      <c r="K20" s="984">
        <f t="shared" si="0"/>
        <v>0</v>
      </c>
      <c r="L20" s="984">
        <f t="shared" si="0"/>
        <v>1788.328</v>
      </c>
      <c r="M20" s="984">
        <f t="shared" si="0"/>
        <v>0</v>
      </c>
      <c r="N20" s="984">
        <f t="shared" si="0"/>
        <v>160.94952000000001</v>
      </c>
      <c r="O20" s="984">
        <f t="shared" si="0"/>
        <v>608.03152</v>
      </c>
      <c r="P20" s="984">
        <f t="shared" si="0"/>
        <v>1019.34696</v>
      </c>
      <c r="Q20" s="984">
        <f>IF(G20=0,0,T20/G20)</f>
        <v>0</v>
      </c>
      <c r="R20" s="984">
        <f>IF(L20=0,0,U20/L20)</f>
        <v>3.94997</v>
      </c>
      <c r="S20" s="984">
        <f>SUM(S21:S24)</f>
        <v>7063.8419501600001</v>
      </c>
      <c r="T20" s="984">
        <f>SUM(T21:T24)</f>
        <v>0</v>
      </c>
      <c r="U20" s="984">
        <f>SUM(U21:U24)</f>
        <v>7063.8419501600001</v>
      </c>
      <c r="V20" s="984">
        <f>SUM(V21:V24)</f>
        <v>0</v>
      </c>
      <c r="W20" s="985">
        <f>SUM(W21:W24)</f>
        <v>7063.8419501600001</v>
      </c>
      <c r="X20" s="969"/>
    </row>
    <row r="21" spans="3:24" hidden="1">
      <c r="C21" s="968"/>
      <c r="D21" s="982">
        <v>0</v>
      </c>
      <c r="E21" s="977"/>
      <c r="F21" s="977"/>
      <c r="G21" s="977"/>
      <c r="H21" s="977"/>
      <c r="I21" s="977"/>
      <c r="J21" s="977"/>
      <c r="K21" s="977"/>
      <c r="L21" s="977"/>
      <c r="M21" s="977"/>
      <c r="N21" s="977"/>
      <c r="O21" s="977"/>
      <c r="P21" s="977"/>
      <c r="Q21" s="977"/>
      <c r="R21" s="977"/>
      <c r="S21" s="977"/>
      <c r="T21" s="977"/>
      <c r="U21" s="978"/>
      <c r="V21" s="980"/>
      <c r="W21" s="981"/>
      <c r="X21" s="969"/>
    </row>
    <row r="22" spans="3:24" ht="30" customHeight="1">
      <c r="C22" s="986" t="s">
        <v>907</v>
      </c>
      <c r="D22" s="987" t="s">
        <v>699</v>
      </c>
      <c r="E22" s="988" t="s">
        <v>908</v>
      </c>
      <c r="F22" s="984">
        <f>G22+L22</f>
        <v>1788.328</v>
      </c>
      <c r="G22" s="984">
        <f>H22+I22+J22+K22</f>
        <v>0</v>
      </c>
      <c r="H22" s="989"/>
      <c r="I22" s="989"/>
      <c r="J22" s="989"/>
      <c r="K22" s="989"/>
      <c r="L22" s="984">
        <f>M22+N22+O22+P22</f>
        <v>1788.328</v>
      </c>
      <c r="M22" s="989"/>
      <c r="N22" s="989">
        <f>IFERROR('Шаблон 46 ГП'!E269/1000,0)</f>
        <v>160.94952000000001</v>
      </c>
      <c r="O22" s="989">
        <f>IFERROR('Шаблон 46 ГП'!F269/1000,0)</f>
        <v>608.03152</v>
      </c>
      <c r="P22" s="989">
        <f>IFERROR('Шаблон 46 ГП'!G269/1000,0)</f>
        <v>1019.34696</v>
      </c>
      <c r="Q22" s="989"/>
      <c r="R22" s="989">
        <f>IFERROR('Шаблон 46 ГП'!J269,0)</f>
        <v>3.94997</v>
      </c>
      <c r="S22" s="984">
        <f>T22+U22</f>
        <v>7063.8419501600001</v>
      </c>
      <c r="T22" s="984">
        <f>G22*Q22</f>
        <v>0</v>
      </c>
      <c r="U22" s="984">
        <f>L22*R22</f>
        <v>7063.8419501600001</v>
      </c>
      <c r="V22" s="989"/>
      <c r="W22" s="985">
        <f>S22-V22</f>
        <v>7063.8419501600001</v>
      </c>
      <c r="X22" s="969"/>
    </row>
    <row r="23" spans="3:24" ht="30" customHeight="1">
      <c r="C23" s="986" t="s">
        <v>907</v>
      </c>
      <c r="D23" s="987" t="s">
        <v>688</v>
      </c>
      <c r="E23" s="988" t="s">
        <v>909</v>
      </c>
      <c r="F23" s="984">
        <f>G23+L23</f>
        <v>0</v>
      </c>
      <c r="G23" s="984">
        <f>H23+I23+J23+K23</f>
        <v>0</v>
      </c>
      <c r="H23" s="989"/>
      <c r="I23" s="989"/>
      <c r="J23" s="989"/>
      <c r="K23" s="989"/>
      <c r="L23" s="984">
        <f>M23+N23+O23+P23</f>
        <v>0</v>
      </c>
      <c r="M23" s="989"/>
      <c r="N23" s="989"/>
      <c r="O23" s="989">
        <f>IFERROR('Шаблон 46 ГП'!F272/1000,0)</f>
        <v>0</v>
      </c>
      <c r="P23" s="989"/>
      <c r="Q23" s="989"/>
      <c r="R23" s="989">
        <f>R22</f>
        <v>3.94997</v>
      </c>
      <c r="S23" s="984">
        <f>T23+U23</f>
        <v>0</v>
      </c>
      <c r="T23" s="984">
        <f>G23*Q23</f>
        <v>0</v>
      </c>
      <c r="U23" s="984">
        <f>L23*R23</f>
        <v>0</v>
      </c>
      <c r="V23" s="989"/>
      <c r="W23" s="985">
        <f>S23-V23</f>
        <v>0</v>
      </c>
      <c r="X23" s="969"/>
    </row>
    <row r="24" spans="3:24" ht="30" customHeight="1">
      <c r="C24" s="986" t="s">
        <v>907</v>
      </c>
      <c r="D24" s="987" t="s">
        <v>688</v>
      </c>
      <c r="E24" s="988" t="s">
        <v>1821</v>
      </c>
      <c r="F24" s="984">
        <f>G24+L24</f>
        <v>0</v>
      </c>
      <c r="G24" s="984">
        <f>H24+I24+J24+K24</f>
        <v>0</v>
      </c>
      <c r="H24" s="989"/>
      <c r="I24" s="989"/>
      <c r="J24" s="989"/>
      <c r="K24" s="989"/>
      <c r="L24" s="984">
        <f>M24+N24+O24+P24</f>
        <v>0</v>
      </c>
      <c r="M24" s="989"/>
      <c r="N24" s="989"/>
      <c r="O24" s="989">
        <f>IFERROR('Шаблон 46 ГП'!C271/1000,0)</f>
        <v>0</v>
      </c>
      <c r="P24" s="989"/>
      <c r="Q24" s="989"/>
      <c r="R24" s="989">
        <f>R23</f>
        <v>3.94997</v>
      </c>
      <c r="S24" s="984">
        <f>T24+U24</f>
        <v>0</v>
      </c>
      <c r="T24" s="984">
        <f>G24*Q24</f>
        <v>0</v>
      </c>
      <c r="U24" s="984">
        <f>L24*R24</f>
        <v>0</v>
      </c>
      <c r="V24" s="989"/>
      <c r="W24" s="985">
        <f>S24-V24</f>
        <v>0</v>
      </c>
      <c r="X24" s="969"/>
    </row>
    <row r="25" spans="3:24">
      <c r="C25" s="990"/>
      <c r="D25" s="978"/>
      <c r="E25" s="978"/>
      <c r="F25" s="978"/>
      <c r="G25" s="978"/>
      <c r="H25" s="978"/>
      <c r="I25" s="978"/>
      <c r="J25" s="978"/>
      <c r="K25" s="978"/>
      <c r="L25" s="978"/>
      <c r="M25" s="978"/>
      <c r="N25" s="978"/>
      <c r="O25" s="978"/>
      <c r="P25" s="978"/>
      <c r="Q25" s="978"/>
      <c r="R25" s="978"/>
      <c r="S25" s="978"/>
      <c r="T25" s="978"/>
      <c r="U25" s="978"/>
      <c r="V25" s="978"/>
      <c r="W25" s="978"/>
      <c r="X25" s="991"/>
    </row>
  </sheetData>
  <mergeCells count="17">
    <mergeCell ref="D10:W10"/>
    <mergeCell ref="D11:W11"/>
    <mergeCell ref="D13:D15"/>
    <mergeCell ref="E13:E15"/>
    <mergeCell ref="F13:P13"/>
    <mergeCell ref="Q13:R13"/>
    <mergeCell ref="S13:U13"/>
    <mergeCell ref="V13:V15"/>
    <mergeCell ref="W13:W15"/>
    <mergeCell ref="F14:F15"/>
    <mergeCell ref="D18:W18"/>
    <mergeCell ref="G14:K14"/>
    <mergeCell ref="L14:P14"/>
    <mergeCell ref="Q14:Q15"/>
    <mergeCell ref="R14:R15"/>
    <mergeCell ref="S14:S15"/>
    <mergeCell ref="T14:U14"/>
  </mergeCells>
  <dataValidations count="2">
    <dataValidation type="decimal" allowBlank="1" showInputMessage="1" showErrorMessage="1" errorTitle="Внимание" error="Допускается ввод только действительных чисел!" sqref="H22:K24 V22:V24 M22:R24">
      <formula1>-9.99999999999999E+23</formula1>
      <formula2>9.99999999999999E+23</formula2>
    </dataValidation>
    <dataValidation type="decimal" allowBlank="1" showInputMessage="1" showErrorMessage="1" sqref="F20:W20 L22:L24 S22:U24 F22:G24">
      <formula1>-9.99999999999999E+29</formula1>
      <formula2>9.99999999999999E+30</formula2>
    </dataValidation>
  </dataValidations>
  <hyperlinks>
    <hyperlink ref="C22" location="'Потери'!$A$1" tooltip="Удалить" display="Удалить"/>
    <hyperlink ref="C23" location="'Потери'!$A$1" tooltip="Удалить" display="Удалить"/>
    <hyperlink ref="C24" location="'Потери'!$A$1" tooltip="Удалить" display="Удалить"/>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N53"/>
  <sheetViews>
    <sheetView zoomScale="50" zoomScaleNormal="50" workbookViewId="0">
      <selection activeCell="AD83" sqref="AD83"/>
    </sheetView>
  </sheetViews>
  <sheetFormatPr defaultColWidth="8.7109375" defaultRowHeight="12.75"/>
  <cols>
    <col min="1" max="1" width="8.7109375" style="842"/>
    <col min="2" max="2" width="54.7109375" style="842" customWidth="1"/>
    <col min="3" max="3" width="8.7109375" style="842"/>
    <col min="4" max="9" width="8.7109375" style="842" hidden="1" customWidth="1"/>
    <col min="10" max="10" width="8.7109375" style="842" customWidth="1"/>
    <col min="11" max="11" width="9.5703125" style="842" customWidth="1"/>
    <col min="12" max="14" width="8.7109375" style="842" customWidth="1"/>
    <col min="15" max="28" width="8.7109375" style="842" hidden="1" customWidth="1"/>
    <col min="29" max="29" width="8.7109375" style="842" customWidth="1"/>
    <col min="30" max="30" width="9.42578125" style="842" customWidth="1"/>
    <col min="31" max="31" width="80.7109375" style="842" customWidth="1"/>
    <col min="32" max="32" width="16.42578125" style="842" customWidth="1"/>
    <col min="33" max="34" width="8.7109375" style="842" customWidth="1"/>
    <col min="35" max="35" width="14.5703125" style="842" customWidth="1"/>
    <col min="36" max="36" width="15.5703125" style="842" customWidth="1"/>
    <col min="37" max="40" width="8.7109375" style="842" customWidth="1"/>
    <col min="41" max="41" width="17.5703125" style="842" customWidth="1"/>
    <col min="42" max="42" width="15.5703125" style="842" customWidth="1"/>
    <col min="43" max="43" width="14.42578125" style="842" customWidth="1"/>
    <col min="44" max="44" width="15.28515625" style="842" customWidth="1"/>
    <col min="45" max="45" width="18" style="842" customWidth="1"/>
    <col min="46" max="55" width="8.7109375" style="842" customWidth="1"/>
    <col min="56" max="57" width="8.7109375" style="842"/>
    <col min="58" max="58" width="71.7109375" style="842" customWidth="1"/>
    <col min="59" max="59" width="21.42578125" style="842" customWidth="1"/>
    <col min="60" max="61" width="8.7109375" style="842"/>
    <col min="62" max="62" width="14.42578125" style="842" customWidth="1"/>
    <col min="63" max="63" width="15.28515625" style="842" customWidth="1"/>
    <col min="64" max="16384" width="8.7109375" style="842"/>
  </cols>
  <sheetData>
    <row r="1" spans="1:66" ht="23.25" thickBot="1">
      <c r="A1" s="934" t="s">
        <v>742</v>
      </c>
      <c r="B1" s="941" t="s">
        <v>809</v>
      </c>
      <c r="C1" s="922"/>
      <c r="D1" s="942">
        <f>SUM(E1:H1)</f>
        <v>33714.476000000002</v>
      </c>
      <c r="E1" s="942">
        <f>E2+E11+E29</f>
        <v>0</v>
      </c>
      <c r="F1" s="942">
        <f>F2+F11+F29</f>
        <v>0</v>
      </c>
      <c r="G1" s="942">
        <f>G2+G11+G29</f>
        <v>4241.3328259869959</v>
      </c>
      <c r="H1" s="942">
        <f>H2+H11+H29</f>
        <v>29473.143174013007</v>
      </c>
      <c r="I1" s="922"/>
      <c r="J1" s="942">
        <f>SUM(K1:N1)</f>
        <v>24745.755999999998</v>
      </c>
      <c r="K1" s="942">
        <f>K2+K11+K29</f>
        <v>0</v>
      </c>
      <c r="L1" s="942">
        <f>L2+L11+L29</f>
        <v>0</v>
      </c>
      <c r="M1" s="942">
        <f>M2+M11+M29</f>
        <v>3552.3869999999997</v>
      </c>
      <c r="N1" s="942">
        <f>N2+N11+N29</f>
        <v>21193.368999999999</v>
      </c>
      <c r="P1" s="942"/>
      <c r="Q1" s="942"/>
      <c r="R1" s="942"/>
      <c r="S1" s="942">
        <f>ROUND(Y1/M1*1000,2)</f>
        <v>887.36</v>
      </c>
      <c r="T1" s="942">
        <f>ROUND(Z1/N1*1000,2)</f>
        <v>1263.3800000000001</v>
      </c>
      <c r="V1" s="942">
        <f>SUM(W1:Z1)</f>
        <v>29927.62</v>
      </c>
      <c r="W1" s="942">
        <f>W2+W11+W29</f>
        <v>0</v>
      </c>
      <c r="X1" s="942">
        <f>X2+X11+X29</f>
        <v>0</v>
      </c>
      <c r="Y1" s="942">
        <f>Y2+Y11+Y29</f>
        <v>3152.2499999999995</v>
      </c>
      <c r="Z1" s="942">
        <f>Z2+Z11+Z29</f>
        <v>26775.37</v>
      </c>
      <c r="AD1" s="96" t="s">
        <v>27</v>
      </c>
      <c r="AE1" s="97" t="s">
        <v>28</v>
      </c>
      <c r="AF1" s="72">
        <f>SUM(AG1:AJ1)</f>
        <v>24745756</v>
      </c>
      <c r="AG1" s="72">
        <f>SUM(AG2:AG17)</f>
        <v>0</v>
      </c>
      <c r="AH1" s="72">
        <f>SUM(AH2:AH17)</f>
        <v>0</v>
      </c>
      <c r="AI1" s="72">
        <f>SUM(AI2:AI17)</f>
        <v>3552387</v>
      </c>
      <c r="AJ1" s="72">
        <f>SUM(AJ2:AJ17)</f>
        <v>21193369</v>
      </c>
      <c r="AK1" s="99"/>
      <c r="AL1" s="99"/>
      <c r="AM1" s="99"/>
      <c r="AN1" s="99"/>
      <c r="AO1" s="166">
        <f>AP1+AQ1+AR1+AS1</f>
        <v>57908431.93938233</v>
      </c>
      <c r="AP1" s="166">
        <f>SUM(AP2:AP17)</f>
        <v>0</v>
      </c>
      <c r="AQ1" s="166">
        <f>SUM(AQ2:AQ17)</f>
        <v>0</v>
      </c>
      <c r="AR1" s="166">
        <f>SUM(AR2:AR17)</f>
        <v>9195570.6694915257</v>
      </c>
      <c r="AS1" s="165">
        <f>SUM(AS2:AS17)</f>
        <v>48712861.269890808</v>
      </c>
      <c r="AT1" s="1111"/>
      <c r="AU1" s="1111"/>
      <c r="AV1" s="1111"/>
      <c r="AW1" s="1111"/>
      <c r="AX1" s="1112"/>
      <c r="AY1" s="1111"/>
      <c r="AZ1" s="1111"/>
      <c r="BA1" s="1111"/>
      <c r="BB1" s="1111"/>
      <c r="BC1" s="1111"/>
      <c r="BD1" s="1112"/>
      <c r="BE1" s="1119"/>
      <c r="BF1" s="1120"/>
      <c r="BG1" s="1121"/>
      <c r="BH1" s="1121"/>
      <c r="BI1" s="1121"/>
      <c r="BJ1" s="1121"/>
      <c r="BK1" s="1121"/>
      <c r="BL1" s="1112"/>
      <c r="BM1" s="1112"/>
      <c r="BN1" s="1112"/>
    </row>
    <row r="2" spans="1:66" ht="16.5">
      <c r="A2" s="934" t="s">
        <v>744</v>
      </c>
      <c r="B2" s="947" t="s">
        <v>810</v>
      </c>
      <c r="C2" s="948"/>
      <c r="D2" s="942">
        <f t="shared" ref="D2:D33" si="0">SUM(E2:H2)</f>
        <v>804.04725381520234</v>
      </c>
      <c r="E2" s="942">
        <f>E3+E4</f>
        <v>0</v>
      </c>
      <c r="F2" s="942">
        <f>F3+F4</f>
        <v>0</v>
      </c>
      <c r="G2" s="942">
        <f>G3+G4</f>
        <v>105.6533216512061</v>
      </c>
      <c r="H2" s="942">
        <f>H3+H4</f>
        <v>698.39393216399628</v>
      </c>
      <c r="I2" s="948"/>
      <c r="J2" s="942">
        <f t="shared" ref="J2:J33" si="1">SUM(K2:N2)</f>
        <v>1504.8490000000002</v>
      </c>
      <c r="K2" s="942">
        <f>K3+K4</f>
        <v>0</v>
      </c>
      <c r="L2" s="942">
        <f>L3+L4</f>
        <v>0</v>
      </c>
      <c r="M2" s="942">
        <f>M3+M4</f>
        <v>0</v>
      </c>
      <c r="N2" s="942">
        <f>N3+N4</f>
        <v>1504.8490000000002</v>
      </c>
      <c r="P2" s="942"/>
      <c r="Q2" s="942"/>
      <c r="R2" s="942"/>
      <c r="S2" s="942"/>
      <c r="T2" s="942"/>
      <c r="V2" s="942">
        <f t="shared" ref="V2:V33" si="2">SUM(W2:Z2)</f>
        <v>2434.91</v>
      </c>
      <c r="W2" s="942">
        <f>W3+W4</f>
        <v>0</v>
      </c>
      <c r="X2" s="942">
        <f>X3+X4</f>
        <v>0</v>
      </c>
      <c r="Y2" s="942">
        <f>Y3+Y4</f>
        <v>0</v>
      </c>
      <c r="Z2" s="942">
        <f>Z3+Z4</f>
        <v>2434.91</v>
      </c>
      <c r="AD2" s="101">
        <v>2.1</v>
      </c>
      <c r="AE2" s="102" t="s">
        <v>29</v>
      </c>
      <c r="AF2" s="54">
        <f>SUM(AG2:AJ2)</f>
        <v>7349024</v>
      </c>
      <c r="AG2" s="346" t="s">
        <v>58</v>
      </c>
      <c r="AH2" s="346" t="s">
        <v>59</v>
      </c>
      <c r="AI2" s="346" t="s">
        <v>60</v>
      </c>
      <c r="AJ2" s="54">
        <f>IFERROR('Шаблон 46 ГП'!G28,0)</f>
        <v>7349024</v>
      </c>
      <c r="AK2" s="1126" t="s">
        <v>97</v>
      </c>
      <c r="AL2" s="1126" t="s">
        <v>98</v>
      </c>
      <c r="AM2" s="1126" t="s">
        <v>60</v>
      </c>
      <c r="AN2" s="1127">
        <f>IFERROR('Шаблон 46 ГП'!K28,0)</f>
        <v>2.9324999999999997</v>
      </c>
      <c r="AO2" s="175">
        <f>SUM(AP2:AS2)</f>
        <v>18263570.237288136</v>
      </c>
      <c r="AP2" s="347" t="s">
        <v>99</v>
      </c>
      <c r="AQ2" s="347" t="s">
        <v>100</v>
      </c>
      <c r="AR2" s="347" t="s">
        <v>101</v>
      </c>
      <c r="AS2" s="1114">
        <f>IFERROR(AJ2*AN2/1.18,0)</f>
        <v>18263570.237288136</v>
      </c>
      <c r="AT2" s="1111"/>
      <c r="AU2" s="1111"/>
      <c r="AV2" s="1111"/>
      <c r="AW2" s="1111"/>
      <c r="AX2" s="1112"/>
      <c r="AY2" s="1111"/>
      <c r="AZ2" s="1111"/>
      <c r="BA2" s="1111"/>
      <c r="BB2" s="1111"/>
      <c r="BC2" s="1111"/>
      <c r="BD2" s="1112"/>
      <c r="BE2" s="1122"/>
      <c r="BF2" s="1118"/>
      <c r="BG2" s="1123"/>
      <c r="BH2" s="1124"/>
      <c r="BI2" s="1124"/>
      <c r="BJ2" s="1124"/>
      <c r="BK2" s="1123"/>
      <c r="BL2" s="1112"/>
      <c r="BM2" s="1112"/>
      <c r="BN2" s="1112"/>
    </row>
    <row r="3" spans="1:66" ht="16.5">
      <c r="A3" s="934" t="s">
        <v>811</v>
      </c>
      <c r="B3" s="947" t="s">
        <v>812</v>
      </c>
      <c r="C3" s="948"/>
      <c r="D3" s="942">
        <f t="shared" si="0"/>
        <v>411.77927260592662</v>
      </c>
      <c r="E3" s="939"/>
      <c r="F3" s="939"/>
      <c r="G3" s="939"/>
      <c r="H3" s="939">
        <v>411.77927260592662</v>
      </c>
      <c r="I3" s="948"/>
      <c r="J3" s="942">
        <f t="shared" si="1"/>
        <v>101.98699999999999</v>
      </c>
      <c r="K3" s="939"/>
      <c r="L3" s="939"/>
      <c r="M3" s="939"/>
      <c r="N3" s="939">
        <f>AJ8/1000</f>
        <v>101.98699999999999</v>
      </c>
      <c r="P3" s="942"/>
      <c r="Q3" s="939"/>
      <c r="R3" s="939"/>
      <c r="S3" s="939"/>
      <c r="T3" s="939">
        <v>2.25</v>
      </c>
      <c r="V3" s="942">
        <f t="shared" si="2"/>
        <v>194.47</v>
      </c>
      <c r="W3" s="939"/>
      <c r="X3" s="939"/>
      <c r="Y3" s="939"/>
      <c r="Z3" s="939">
        <f>ROUND(N3*T3/1.18,2)</f>
        <v>194.47</v>
      </c>
      <c r="AD3" s="101">
        <v>2.2000000000000002</v>
      </c>
      <c r="AE3" s="102" t="s">
        <v>30</v>
      </c>
      <c r="AF3" s="54">
        <f t="shared" ref="AF3:AF17" si="3">SUM(AG3:AJ3)</f>
        <v>10256021</v>
      </c>
      <c r="AG3" s="346" t="s">
        <v>61</v>
      </c>
      <c r="AH3" s="346" t="s">
        <v>62</v>
      </c>
      <c r="AI3" s="54">
        <f>IFERROR('Шаблон 46 ГП'!F31,0)</f>
        <v>1212745</v>
      </c>
      <c r="AJ3" s="54">
        <f>IFERROR('Шаблон 46 ГП'!G31,0)</f>
        <v>9043276</v>
      </c>
      <c r="AK3" s="1126" t="s">
        <v>102</v>
      </c>
      <c r="AL3" s="1126" t="s">
        <v>103</v>
      </c>
      <c r="AM3" s="1127">
        <f>IFERROR('Шаблон 46 ГП'!J31,0)</f>
        <v>2.73</v>
      </c>
      <c r="AN3" s="1127">
        <f>IFERROR('Шаблон 46 ГП'!K31,0)</f>
        <v>2.714375</v>
      </c>
      <c r="AO3" s="175">
        <f>SUM(AP3:AS3)</f>
        <v>23608166.222457629</v>
      </c>
      <c r="AP3" s="347" t="s">
        <v>104</v>
      </c>
      <c r="AQ3" s="347" t="s">
        <v>105</v>
      </c>
      <c r="AR3" s="1114">
        <f t="shared" ref="AR3:AS17" si="4">IFERROR(AI3*AM3/1.18,0)</f>
        <v>2805757.5</v>
      </c>
      <c r="AS3" s="1114">
        <f t="shared" si="4"/>
        <v>20802408.722457629</v>
      </c>
      <c r="AT3" s="1111"/>
      <c r="AU3" s="1111"/>
      <c r="AV3" s="1111"/>
      <c r="AW3" s="1111"/>
      <c r="AX3" s="1112"/>
      <c r="AY3" s="1111"/>
      <c r="AZ3" s="1111"/>
      <c r="BA3" s="1111"/>
      <c r="BB3" s="1111"/>
      <c r="BC3" s="1111"/>
      <c r="BD3" s="1112"/>
      <c r="BE3" s="1122"/>
      <c r="BF3" s="1118"/>
      <c r="BG3" s="1123"/>
      <c r="BH3" s="1124"/>
      <c r="BI3" s="1124"/>
      <c r="BJ3" s="1124"/>
      <c r="BK3" s="1123"/>
      <c r="BL3" s="1112"/>
      <c r="BM3" s="1112"/>
      <c r="BN3" s="1112"/>
    </row>
    <row r="4" spans="1:66" ht="16.5">
      <c r="A4" s="934" t="s">
        <v>813</v>
      </c>
      <c r="B4" s="947" t="s">
        <v>814</v>
      </c>
      <c r="C4" s="948"/>
      <c r="D4" s="942">
        <f t="shared" si="0"/>
        <v>392.26798120927577</v>
      </c>
      <c r="E4" s="942">
        <f>E5+E6</f>
        <v>0</v>
      </c>
      <c r="F4" s="942">
        <f>F5+F6</f>
        <v>0</v>
      </c>
      <c r="G4" s="942">
        <f>G5+G6</f>
        <v>105.6533216512061</v>
      </c>
      <c r="H4" s="942">
        <f>H5+H6</f>
        <v>286.61465955806966</v>
      </c>
      <c r="I4" s="948"/>
      <c r="J4" s="942">
        <f t="shared" si="1"/>
        <v>1402.8620000000001</v>
      </c>
      <c r="K4" s="942">
        <f>K5+K6</f>
        <v>0</v>
      </c>
      <c r="L4" s="942">
        <f>L5+L6</f>
        <v>0</v>
      </c>
      <c r="M4" s="942">
        <f>M5+M6</f>
        <v>0</v>
      </c>
      <c r="N4" s="942">
        <f>N5+N6</f>
        <v>1402.8620000000001</v>
      </c>
      <c r="P4" s="942"/>
      <c r="Q4" s="942"/>
      <c r="R4" s="942"/>
      <c r="S4" s="942"/>
      <c r="T4" s="942"/>
      <c r="V4" s="942">
        <f t="shared" si="2"/>
        <v>2240.44</v>
      </c>
      <c r="W4" s="942">
        <f>W5+W6</f>
        <v>0</v>
      </c>
      <c r="X4" s="942">
        <f>X5+X6</f>
        <v>0</v>
      </c>
      <c r="Y4" s="942">
        <f>Y5+Y6</f>
        <v>0</v>
      </c>
      <c r="Z4" s="942">
        <f>Z5+Z6</f>
        <v>2240.44</v>
      </c>
      <c r="AD4" s="101">
        <v>2.2999999999999998</v>
      </c>
      <c r="AE4" s="102" t="s">
        <v>31</v>
      </c>
      <c r="AF4" s="54">
        <f t="shared" si="3"/>
        <v>3530241</v>
      </c>
      <c r="AG4" s="346" t="s">
        <v>63</v>
      </c>
      <c r="AH4" s="346" t="s">
        <v>73</v>
      </c>
      <c r="AI4" s="54">
        <f>IFERROR('Шаблон 46 ГП'!F34,0)</f>
        <v>405184</v>
      </c>
      <c r="AJ4" s="54">
        <f>IFERROR('Шаблон 46 ГП'!G34,0)</f>
        <v>3125057</v>
      </c>
      <c r="AK4" s="1126" t="s">
        <v>106</v>
      </c>
      <c r="AL4" s="1126" t="s">
        <v>107</v>
      </c>
      <c r="AM4" s="1127">
        <f>IFERROR('Шаблон 46 ГП'!J34,0)</f>
        <v>1.7999999999999998</v>
      </c>
      <c r="AN4" s="1127">
        <f>IFERROR('Шаблон 46 ГП'!K34,0)</f>
        <v>1.7487692307599998</v>
      </c>
      <c r="AO4" s="175">
        <f t="shared" ref="AO4:AO17" si="5">SUM(AP4:AS4)</f>
        <v>5249436.2084501293</v>
      </c>
      <c r="AP4" s="347" t="s">
        <v>108</v>
      </c>
      <c r="AQ4" s="347" t="s">
        <v>109</v>
      </c>
      <c r="AR4" s="1114">
        <f t="shared" si="4"/>
        <v>618077.28813559317</v>
      </c>
      <c r="AS4" s="1114">
        <f t="shared" si="4"/>
        <v>4631358.9203145364</v>
      </c>
      <c r="AT4" s="1111"/>
      <c r="AU4" s="1111"/>
      <c r="AV4" s="1111"/>
      <c r="AW4" s="1111"/>
      <c r="AX4" s="1112"/>
      <c r="AY4" s="1111"/>
      <c r="AZ4" s="1111"/>
      <c r="BA4" s="1111"/>
      <c r="BB4" s="1111"/>
      <c r="BC4" s="1111"/>
      <c r="BD4" s="1112"/>
      <c r="BE4" s="1122"/>
      <c r="BF4" s="1118"/>
      <c r="BG4" s="1123"/>
      <c r="BH4" s="1124"/>
      <c r="BI4" s="1124"/>
      <c r="BJ4" s="1124"/>
      <c r="BK4" s="1123"/>
      <c r="BL4" s="1112"/>
      <c r="BM4" s="1112"/>
      <c r="BN4" s="1112"/>
    </row>
    <row r="5" spans="1:66" ht="16.5">
      <c r="A5" s="934" t="s">
        <v>815</v>
      </c>
      <c r="B5" s="951" t="s">
        <v>816</v>
      </c>
      <c r="C5" s="948"/>
      <c r="D5" s="942">
        <f t="shared" si="0"/>
        <v>306.87984498014549</v>
      </c>
      <c r="E5" s="939"/>
      <c r="F5" s="939"/>
      <c r="G5" s="939">
        <v>69.024138214189406</v>
      </c>
      <c r="H5" s="939">
        <v>237.85570676595609</v>
      </c>
      <c r="I5" s="948"/>
      <c r="J5" s="942">
        <f t="shared" si="1"/>
        <v>936.71199999999999</v>
      </c>
      <c r="K5" s="939"/>
      <c r="L5" s="939"/>
      <c r="M5" s="939">
        <f>AI16/1000</f>
        <v>0</v>
      </c>
      <c r="N5" s="939">
        <f>AJ9/1000</f>
        <v>936.71199999999999</v>
      </c>
      <c r="P5" s="942"/>
      <c r="Q5" s="939"/>
      <c r="R5" s="939"/>
      <c r="S5" s="939">
        <v>2.2599999999999998</v>
      </c>
      <c r="T5" s="939">
        <v>2.2599999999999998</v>
      </c>
      <c r="V5" s="942">
        <f t="shared" si="2"/>
        <v>1794.04</v>
      </c>
      <c r="W5" s="939"/>
      <c r="X5" s="939"/>
      <c r="Y5" s="939">
        <f>ROUND(M5*S5/1.18,2)</f>
        <v>0</v>
      </c>
      <c r="Z5" s="939">
        <f>ROUND(N5*T5/1.18,2)</f>
        <v>1794.04</v>
      </c>
      <c r="AD5" s="101">
        <v>2.4</v>
      </c>
      <c r="AE5" s="102" t="s">
        <v>32</v>
      </c>
      <c r="AF5" s="54">
        <f t="shared" si="3"/>
        <v>0</v>
      </c>
      <c r="AG5" s="346" t="s">
        <v>64</v>
      </c>
      <c r="AH5" s="346" t="s">
        <v>74</v>
      </c>
      <c r="AI5" s="346"/>
      <c r="AJ5" s="54">
        <f>IFERROR('Шаблон 46 ГП'!G37,0)</f>
        <v>0</v>
      </c>
      <c r="AK5" s="1126" t="s">
        <v>110</v>
      </c>
      <c r="AL5" s="1126" t="s">
        <v>111</v>
      </c>
      <c r="AM5" s="1126" t="s">
        <v>75</v>
      </c>
      <c r="AN5" s="1127">
        <f>IFERROR('Шаблон 46 ГП'!K37,0)</f>
        <v>0</v>
      </c>
      <c r="AO5" s="175">
        <f t="shared" si="5"/>
        <v>0</v>
      </c>
      <c r="AP5" s="347" t="s">
        <v>112</v>
      </c>
      <c r="AQ5" s="347" t="s">
        <v>113</v>
      </c>
      <c r="AR5" s="347" t="s">
        <v>114</v>
      </c>
      <c r="AS5" s="1114">
        <f t="shared" si="4"/>
        <v>0</v>
      </c>
      <c r="AT5" s="1111"/>
      <c r="AU5" s="1111"/>
      <c r="AV5" s="1111"/>
      <c r="AW5" s="1111"/>
      <c r="AX5" s="1112"/>
      <c r="AY5" s="1111"/>
      <c r="AZ5" s="1111"/>
      <c r="BA5" s="1111"/>
      <c r="BB5" s="1111"/>
      <c r="BC5" s="1111"/>
      <c r="BD5" s="1112"/>
      <c r="BE5" s="1122"/>
      <c r="BF5" s="1118"/>
      <c r="BG5" s="1123"/>
      <c r="BH5" s="1124"/>
      <c r="BI5" s="1124"/>
      <c r="BJ5" s="1124"/>
      <c r="BK5" s="1123"/>
      <c r="BL5" s="1112"/>
      <c r="BM5" s="1112"/>
      <c r="BN5" s="1112"/>
    </row>
    <row r="6" spans="1:66" ht="16.5">
      <c r="A6" s="934" t="s">
        <v>817</v>
      </c>
      <c r="B6" s="951" t="s">
        <v>818</v>
      </c>
      <c r="C6" s="948"/>
      <c r="D6" s="942">
        <f t="shared" si="0"/>
        <v>85.388136229130254</v>
      </c>
      <c r="E6" s="939"/>
      <c r="F6" s="939"/>
      <c r="G6" s="939">
        <v>36.629183437016692</v>
      </c>
      <c r="H6" s="939">
        <v>48.758952792113554</v>
      </c>
      <c r="I6" s="948"/>
      <c r="J6" s="942">
        <f t="shared" si="1"/>
        <v>466.15</v>
      </c>
      <c r="K6" s="939"/>
      <c r="L6" s="939"/>
      <c r="M6" s="939">
        <f>AI17/1000</f>
        <v>0</v>
      </c>
      <c r="N6" s="939">
        <f>AJ10/1000</f>
        <v>466.15</v>
      </c>
      <c r="P6" s="942"/>
      <c r="Q6" s="939"/>
      <c r="R6" s="939"/>
      <c r="S6" s="939">
        <v>1.1299999999999999</v>
      </c>
      <c r="T6" s="939">
        <v>1.1299999999999999</v>
      </c>
      <c r="V6" s="942">
        <f t="shared" si="2"/>
        <v>446.4</v>
      </c>
      <c r="W6" s="939"/>
      <c r="X6" s="939"/>
      <c r="Y6" s="939">
        <f>ROUND(M6*S6/1.18,2)</f>
        <v>0</v>
      </c>
      <c r="Z6" s="939">
        <f>ROUND(N6*T6/1.18,2)</f>
        <v>446.4</v>
      </c>
      <c r="AD6" s="101">
        <v>2.5</v>
      </c>
      <c r="AE6" s="102" t="s">
        <v>33</v>
      </c>
      <c r="AF6" s="54">
        <f t="shared" si="3"/>
        <v>0</v>
      </c>
      <c r="AG6" s="346" t="s">
        <v>65</v>
      </c>
      <c r="AH6" s="346" t="s">
        <v>76</v>
      </c>
      <c r="AI6" s="346"/>
      <c r="AJ6" s="54">
        <f>IFERROR('Шаблон 46 ГП'!G38,0)</f>
        <v>0</v>
      </c>
      <c r="AK6" s="1126" t="s">
        <v>115</v>
      </c>
      <c r="AL6" s="1126" t="s">
        <v>116</v>
      </c>
      <c r="AM6" s="1126" t="s">
        <v>77</v>
      </c>
      <c r="AN6" s="1127">
        <f>IFERROR('Шаблон 46 ГП'!K38,0)</f>
        <v>0</v>
      </c>
      <c r="AO6" s="175">
        <f t="shared" si="5"/>
        <v>0</v>
      </c>
      <c r="AP6" s="347" t="s">
        <v>117</v>
      </c>
      <c r="AQ6" s="347" t="s">
        <v>118</v>
      </c>
      <c r="AR6" s="347" t="s">
        <v>119</v>
      </c>
      <c r="AS6" s="1114">
        <f t="shared" si="4"/>
        <v>0</v>
      </c>
      <c r="AT6" s="1111"/>
      <c r="AU6" s="1111"/>
      <c r="AV6" s="1111"/>
      <c r="AW6" s="1111"/>
      <c r="AX6" s="1112"/>
      <c r="AY6" s="1111"/>
      <c r="AZ6" s="1111"/>
      <c r="BA6" s="1111"/>
      <c r="BB6" s="1111"/>
      <c r="BC6" s="1111"/>
      <c r="BD6" s="1112"/>
      <c r="BE6" s="1122"/>
      <c r="BF6" s="1118"/>
      <c r="BG6" s="1123"/>
      <c r="BH6" s="1124"/>
      <c r="BI6" s="1124"/>
      <c r="BJ6" s="1124"/>
      <c r="BK6" s="1123"/>
      <c r="BL6" s="1112"/>
      <c r="BM6" s="1112"/>
      <c r="BN6" s="1112"/>
    </row>
    <row r="7" spans="1:66" ht="16.5">
      <c r="A7" s="934" t="s">
        <v>819</v>
      </c>
      <c r="B7" s="947" t="s">
        <v>820</v>
      </c>
      <c r="C7" s="948"/>
      <c r="D7" s="942">
        <f t="shared" si="0"/>
        <v>0</v>
      </c>
      <c r="E7" s="942">
        <v>0</v>
      </c>
      <c r="F7" s="942">
        <v>0</v>
      </c>
      <c r="G7" s="942">
        <v>0</v>
      </c>
      <c r="H7" s="942">
        <v>0</v>
      </c>
      <c r="I7" s="948"/>
      <c r="J7" s="942">
        <f t="shared" si="1"/>
        <v>0</v>
      </c>
      <c r="K7" s="942">
        <v>0</v>
      </c>
      <c r="L7" s="942">
        <v>0</v>
      </c>
      <c r="M7" s="942">
        <v>0</v>
      </c>
      <c r="N7" s="942">
        <v>0</v>
      </c>
      <c r="P7" s="942"/>
      <c r="Q7" s="942"/>
      <c r="R7" s="942"/>
      <c r="S7" s="942"/>
      <c r="T7" s="942"/>
      <c r="V7" s="942">
        <f t="shared" si="2"/>
        <v>0</v>
      </c>
      <c r="W7" s="942">
        <v>0</v>
      </c>
      <c r="X7" s="942">
        <v>0</v>
      </c>
      <c r="Y7" s="942">
        <v>0</v>
      </c>
      <c r="Z7" s="942">
        <v>0</v>
      </c>
      <c r="AD7" s="101">
        <v>2.6</v>
      </c>
      <c r="AE7" s="102" t="s">
        <v>34</v>
      </c>
      <c r="AF7" s="54">
        <f t="shared" si="3"/>
        <v>0</v>
      </c>
      <c r="AG7" s="346" t="s">
        <v>66</v>
      </c>
      <c r="AH7" s="346" t="s">
        <v>78</v>
      </c>
      <c r="AI7" s="346"/>
      <c r="AJ7" s="54">
        <f>IFERROR('Шаблон 46 ГП'!G39,0)</f>
        <v>0</v>
      </c>
      <c r="AK7" s="1126" t="s">
        <v>120</v>
      </c>
      <c r="AL7" s="1126" t="s">
        <v>121</v>
      </c>
      <c r="AM7" s="1126" t="s">
        <v>79</v>
      </c>
      <c r="AN7" s="1127">
        <f>IFERROR('Шаблон 46 ГП'!K39,0)</f>
        <v>0</v>
      </c>
      <c r="AO7" s="175">
        <f t="shared" si="5"/>
        <v>0</v>
      </c>
      <c r="AP7" s="347" t="s">
        <v>122</v>
      </c>
      <c r="AQ7" s="347" t="s">
        <v>123</v>
      </c>
      <c r="AR7" s="347" t="s">
        <v>124</v>
      </c>
      <c r="AS7" s="1114">
        <f t="shared" si="4"/>
        <v>0</v>
      </c>
      <c r="AT7" s="1111"/>
      <c r="AU7" s="1111"/>
      <c r="AV7" s="1111"/>
      <c r="AW7" s="1111"/>
      <c r="AX7" s="1112"/>
      <c r="AY7" s="1111"/>
      <c r="AZ7" s="1111"/>
      <c r="BA7" s="1111"/>
      <c r="BB7" s="1111"/>
      <c r="BC7" s="1111"/>
      <c r="BD7" s="1112"/>
      <c r="BE7" s="1122"/>
      <c r="BF7" s="1118"/>
      <c r="BG7" s="1123"/>
      <c r="BH7" s="1124"/>
      <c r="BI7" s="1124"/>
      <c r="BJ7" s="1124"/>
      <c r="BK7" s="1123"/>
      <c r="BL7" s="1112"/>
      <c r="BM7" s="1112"/>
      <c r="BN7" s="1112"/>
    </row>
    <row r="8" spans="1:66" ht="16.5">
      <c r="A8" s="934" t="s">
        <v>821</v>
      </c>
      <c r="B8" s="951" t="s">
        <v>822</v>
      </c>
      <c r="C8" s="948"/>
      <c r="D8" s="942">
        <f t="shared" si="0"/>
        <v>0</v>
      </c>
      <c r="E8" s="939"/>
      <c r="F8" s="939"/>
      <c r="G8" s="939"/>
      <c r="H8" s="939"/>
      <c r="I8" s="948"/>
      <c r="J8" s="942">
        <f t="shared" si="1"/>
        <v>0</v>
      </c>
      <c r="K8" s="939"/>
      <c r="L8" s="939"/>
      <c r="M8" s="939"/>
      <c r="N8" s="939"/>
      <c r="P8" s="942"/>
      <c r="Q8" s="939"/>
      <c r="R8" s="939"/>
      <c r="S8" s="939"/>
      <c r="T8" s="939"/>
      <c r="V8" s="942">
        <f t="shared" si="2"/>
        <v>0</v>
      </c>
      <c r="W8" s="939"/>
      <c r="X8" s="939"/>
      <c r="Y8" s="939"/>
      <c r="Z8" s="939"/>
      <c r="AD8" s="101">
        <v>2.7</v>
      </c>
      <c r="AE8" s="102" t="s">
        <v>35</v>
      </c>
      <c r="AF8" s="54">
        <f t="shared" si="3"/>
        <v>101987</v>
      </c>
      <c r="AG8" s="346" t="s">
        <v>67</v>
      </c>
      <c r="AH8" s="346" t="s">
        <v>80</v>
      </c>
      <c r="AI8" s="346" t="s">
        <v>81</v>
      </c>
      <c r="AJ8" s="54">
        <f>IFERROR('Шаблон 46 ГП'!G40,0)</f>
        <v>101987</v>
      </c>
      <c r="AK8" s="1126" t="s">
        <v>125</v>
      </c>
      <c r="AL8" s="1126" t="s">
        <v>126</v>
      </c>
      <c r="AM8" s="1126" t="s">
        <v>81</v>
      </c>
      <c r="AN8" s="1127">
        <f>IFERROR('Шаблон 46 ГП'!K40,0)</f>
        <v>4.29</v>
      </c>
      <c r="AO8" s="175">
        <f t="shared" si="5"/>
        <v>370783.24576271186</v>
      </c>
      <c r="AP8" s="347" t="s">
        <v>127</v>
      </c>
      <c r="AQ8" s="347" t="s">
        <v>128</v>
      </c>
      <c r="AR8" s="347" t="s">
        <v>129</v>
      </c>
      <c r="AS8" s="1114">
        <f t="shared" si="4"/>
        <v>370783.24576271186</v>
      </c>
      <c r="AT8" s="1111"/>
      <c r="AU8" s="1111"/>
      <c r="AV8" s="1111"/>
      <c r="AW8" s="1111"/>
      <c r="AX8" s="1112"/>
      <c r="AY8" s="1111"/>
      <c r="AZ8" s="1111"/>
      <c r="BA8" s="1111"/>
      <c r="BB8" s="1111"/>
      <c r="BC8" s="1111"/>
      <c r="BD8" s="1112"/>
      <c r="BE8" s="1122"/>
      <c r="BF8" s="1118"/>
      <c r="BG8" s="1123"/>
      <c r="BH8" s="1124"/>
      <c r="BI8" s="1124"/>
      <c r="BJ8" s="1124"/>
      <c r="BK8" s="1123"/>
      <c r="BL8" s="1112"/>
      <c r="BM8" s="1112"/>
      <c r="BN8" s="1112"/>
    </row>
    <row r="9" spans="1:66" ht="16.5">
      <c r="A9" s="934" t="s">
        <v>823</v>
      </c>
      <c r="B9" s="951" t="s">
        <v>824</v>
      </c>
      <c r="C9" s="948"/>
      <c r="D9" s="942">
        <f t="shared" si="0"/>
        <v>0</v>
      </c>
      <c r="E9" s="939"/>
      <c r="F9" s="939"/>
      <c r="G9" s="939"/>
      <c r="H9" s="939"/>
      <c r="I9" s="948"/>
      <c r="J9" s="942">
        <f t="shared" si="1"/>
        <v>0</v>
      </c>
      <c r="K9" s="939"/>
      <c r="L9" s="939"/>
      <c r="M9" s="939"/>
      <c r="N9" s="939"/>
      <c r="P9" s="942"/>
      <c r="Q9" s="939"/>
      <c r="R9" s="939"/>
      <c r="S9" s="939"/>
      <c r="T9" s="939"/>
      <c r="V9" s="942">
        <f t="shared" si="2"/>
        <v>0</v>
      </c>
      <c r="W9" s="939"/>
      <c r="X9" s="939"/>
      <c r="Y9" s="939"/>
      <c r="Z9" s="939"/>
      <c r="AD9" s="101">
        <v>2.8</v>
      </c>
      <c r="AE9" s="102" t="s">
        <v>36</v>
      </c>
      <c r="AF9" s="54">
        <f t="shared" si="3"/>
        <v>936712</v>
      </c>
      <c r="AG9" s="346" t="s">
        <v>68</v>
      </c>
      <c r="AH9" s="346" t="s">
        <v>82</v>
      </c>
      <c r="AI9" s="346" t="s">
        <v>83</v>
      </c>
      <c r="AJ9" s="54">
        <f>IFERROR('Шаблон 46 ГП'!G43,0)</f>
        <v>936712</v>
      </c>
      <c r="AK9" s="1126" t="s">
        <v>130</v>
      </c>
      <c r="AL9" s="1126" t="s">
        <v>131</v>
      </c>
      <c r="AM9" s="1126" t="s">
        <v>83</v>
      </c>
      <c r="AN9" s="1127">
        <f>IFERROR('Шаблон 46 ГП'!K43,0)</f>
        <v>3.9099999999999997</v>
      </c>
      <c r="AO9" s="175">
        <f t="shared" si="5"/>
        <v>3103850.779661017</v>
      </c>
      <c r="AP9" s="347" t="s">
        <v>132</v>
      </c>
      <c r="AQ9" s="347" t="s">
        <v>133</v>
      </c>
      <c r="AR9" s="347" t="s">
        <v>134</v>
      </c>
      <c r="AS9" s="1114">
        <f t="shared" si="4"/>
        <v>3103850.779661017</v>
      </c>
      <c r="AT9" s="1111"/>
      <c r="AU9" s="1111"/>
      <c r="AV9" s="1111"/>
      <c r="AW9" s="1111"/>
      <c r="AX9" s="1112"/>
      <c r="AY9" s="1111"/>
      <c r="AZ9" s="1111"/>
      <c r="BA9" s="1111"/>
      <c r="BB9" s="1111"/>
      <c r="BC9" s="1111"/>
      <c r="BD9" s="1112"/>
      <c r="BE9" s="1122"/>
      <c r="BF9" s="1118"/>
      <c r="BG9" s="1123"/>
      <c r="BH9" s="1124"/>
      <c r="BI9" s="1124"/>
      <c r="BJ9" s="1124"/>
      <c r="BK9" s="1123"/>
      <c r="BL9" s="1112"/>
      <c r="BM9" s="1112"/>
      <c r="BN9" s="1112"/>
    </row>
    <row r="10" spans="1:66" ht="16.5">
      <c r="A10" s="934" t="s">
        <v>825</v>
      </c>
      <c r="B10" s="951" t="s">
        <v>818</v>
      </c>
      <c r="C10" s="948"/>
      <c r="D10" s="942">
        <f t="shared" si="0"/>
        <v>0</v>
      </c>
      <c r="E10" s="939"/>
      <c r="F10" s="939"/>
      <c r="G10" s="939"/>
      <c r="H10" s="939"/>
      <c r="I10" s="948"/>
      <c r="J10" s="942">
        <f t="shared" si="1"/>
        <v>0</v>
      </c>
      <c r="K10" s="939"/>
      <c r="L10" s="939"/>
      <c r="M10" s="939"/>
      <c r="N10" s="939"/>
      <c r="P10" s="942"/>
      <c r="Q10" s="939"/>
      <c r="R10" s="939"/>
      <c r="S10" s="939"/>
      <c r="T10" s="939"/>
      <c r="V10" s="942">
        <f t="shared" si="2"/>
        <v>0</v>
      </c>
      <c r="W10" s="939"/>
      <c r="X10" s="939"/>
      <c r="Y10" s="939"/>
      <c r="Z10" s="939"/>
      <c r="AD10" s="101">
        <v>2.9</v>
      </c>
      <c r="AE10" s="102" t="s">
        <v>37</v>
      </c>
      <c r="AF10" s="54">
        <f t="shared" si="3"/>
        <v>466150</v>
      </c>
      <c r="AG10" s="361" t="s">
        <v>69</v>
      </c>
      <c r="AH10" s="361" t="s">
        <v>84</v>
      </c>
      <c r="AI10" s="361" t="s">
        <v>85</v>
      </c>
      <c r="AJ10" s="54">
        <f>IFERROR('Шаблон 46 ГП'!G46,0)</f>
        <v>466150</v>
      </c>
      <c r="AK10" s="1128" t="s">
        <v>135</v>
      </c>
      <c r="AL10" s="1128" t="s">
        <v>136</v>
      </c>
      <c r="AM10" s="1128" t="s">
        <v>85</v>
      </c>
      <c r="AN10" s="1129">
        <f>IFERROR('Шаблон 46 ГП'!K46,0)</f>
        <v>2.57</v>
      </c>
      <c r="AO10" s="175">
        <f t="shared" si="5"/>
        <v>1015258.8983050848</v>
      </c>
      <c r="AP10" s="364" t="s">
        <v>137</v>
      </c>
      <c r="AQ10" s="364" t="s">
        <v>138</v>
      </c>
      <c r="AR10" s="364" t="s">
        <v>139</v>
      </c>
      <c r="AS10" s="1114">
        <f t="shared" si="4"/>
        <v>1015258.8983050848</v>
      </c>
      <c r="AT10" s="1111"/>
      <c r="AU10" s="1111"/>
      <c r="AV10" s="1111"/>
      <c r="AW10" s="1111"/>
      <c r="AX10" s="1112"/>
      <c r="AY10" s="1111"/>
      <c r="AZ10" s="1111"/>
      <c r="BA10" s="1111"/>
      <c r="BB10" s="1111"/>
      <c r="BC10" s="1111"/>
      <c r="BD10" s="1112"/>
      <c r="BE10" s="1122"/>
      <c r="BF10" s="1118"/>
      <c r="BG10" s="1123"/>
      <c r="BH10" s="1124"/>
      <c r="BI10" s="1124"/>
      <c r="BJ10" s="1124"/>
      <c r="BK10" s="1123"/>
      <c r="BL10" s="1112"/>
      <c r="BM10" s="1112"/>
      <c r="BN10" s="1112"/>
    </row>
    <row r="11" spans="1:66" ht="46.5">
      <c r="A11" s="934" t="s">
        <v>826</v>
      </c>
      <c r="B11" s="952" t="s">
        <v>827</v>
      </c>
      <c r="C11" s="948"/>
      <c r="D11" s="942">
        <f t="shared" si="0"/>
        <v>28580.501592616227</v>
      </c>
      <c r="E11" s="942">
        <f>E12+E13</f>
        <v>0</v>
      </c>
      <c r="F11" s="942">
        <f>F12+F13</f>
        <v>0</v>
      </c>
      <c r="G11" s="942">
        <f>G12+G13</f>
        <v>0</v>
      </c>
      <c r="H11" s="942">
        <f>H12+H13</f>
        <v>28580.501592616227</v>
      </c>
      <c r="I11" s="948"/>
      <c r="J11" s="942">
        <f t="shared" si="1"/>
        <v>21135.286</v>
      </c>
      <c r="K11" s="942">
        <f>K12+K13</f>
        <v>0</v>
      </c>
      <c r="L11" s="942">
        <f>L12+L13</f>
        <v>0</v>
      </c>
      <c r="M11" s="942">
        <f>M12+M13</f>
        <v>1617.9289999999999</v>
      </c>
      <c r="N11" s="942">
        <f>N12+N13</f>
        <v>19517.357</v>
      </c>
      <c r="P11" s="942"/>
      <c r="Q11" s="942"/>
      <c r="R11" s="942"/>
      <c r="S11" s="942"/>
      <c r="T11" s="942"/>
      <c r="V11" s="942">
        <f t="shared" si="2"/>
        <v>24056.54</v>
      </c>
      <c r="W11" s="942">
        <f>W12+W13</f>
        <v>0</v>
      </c>
      <c r="X11" s="942">
        <f>X12+X13</f>
        <v>0</v>
      </c>
      <c r="Y11" s="942">
        <f>Y12+Y13</f>
        <v>0</v>
      </c>
      <c r="Z11" s="942">
        <f>Z12+Z13</f>
        <v>24056.54</v>
      </c>
      <c r="AD11" s="104">
        <v>2.1</v>
      </c>
      <c r="AE11" s="105" t="s">
        <v>38</v>
      </c>
      <c r="AF11" s="54">
        <f t="shared" si="3"/>
        <v>1399760</v>
      </c>
      <c r="AG11" s="346" t="s">
        <v>70</v>
      </c>
      <c r="AH11" s="346" t="s">
        <v>86</v>
      </c>
      <c r="AI11" s="54">
        <f>IFERROR('Шаблон 46 ГП'!F49,0)</f>
        <v>1305828</v>
      </c>
      <c r="AJ11" s="54">
        <f>IFERROR('Шаблон 46 ГП'!G49,0)</f>
        <v>93932</v>
      </c>
      <c r="AK11" s="1126" t="s">
        <v>140</v>
      </c>
      <c r="AL11" s="1126" t="s">
        <v>141</v>
      </c>
      <c r="AM11" s="1127">
        <f>IFERROR('Шаблон 46 ГП'!J49,0)</f>
        <v>3.9099999999999997</v>
      </c>
      <c r="AN11" s="1127">
        <f>IFERROR('Шаблон 46 ГП'!K49,0)</f>
        <v>3.9099999999999997</v>
      </c>
      <c r="AO11" s="175">
        <f t="shared" si="5"/>
        <v>4638187.7966101691</v>
      </c>
      <c r="AP11" s="347" t="s">
        <v>142</v>
      </c>
      <c r="AQ11" s="347" t="s">
        <v>143</v>
      </c>
      <c r="AR11" s="1114">
        <f t="shared" si="4"/>
        <v>4326938.5423728814</v>
      </c>
      <c r="AS11" s="1114">
        <f t="shared" si="4"/>
        <v>311249.25423728814</v>
      </c>
      <c r="AT11" s="1111"/>
      <c r="AU11" s="1111"/>
      <c r="AV11" s="1111"/>
      <c r="AW11" s="1111"/>
      <c r="AX11" s="1112"/>
      <c r="AY11" s="1111"/>
      <c r="AZ11" s="1111"/>
      <c r="BA11" s="1111"/>
      <c r="BB11" s="1111"/>
      <c r="BC11" s="1111"/>
      <c r="BD11" s="1112"/>
      <c r="BE11" s="1125"/>
      <c r="BF11" s="1118"/>
      <c r="BG11" s="1123"/>
      <c r="BH11" s="1124"/>
      <c r="BI11" s="1124"/>
      <c r="BJ11" s="1123"/>
      <c r="BK11" s="1123"/>
      <c r="BL11" s="1112"/>
      <c r="BM11" s="1112"/>
      <c r="BN11" s="1112"/>
    </row>
    <row r="12" spans="1:66" ht="16.5">
      <c r="A12" s="934" t="s">
        <v>828</v>
      </c>
      <c r="B12" s="947" t="s">
        <v>812</v>
      </c>
      <c r="C12" s="948"/>
      <c r="D12" s="942">
        <f t="shared" si="0"/>
        <v>15336.25091390813</v>
      </c>
      <c r="E12" s="939"/>
      <c r="F12" s="939"/>
      <c r="G12" s="939"/>
      <c r="H12" s="939">
        <v>15336.25091390813</v>
      </c>
      <c r="I12" s="948"/>
      <c r="J12" s="942">
        <f t="shared" si="1"/>
        <v>7349.0240000000003</v>
      </c>
      <c r="K12" s="939"/>
      <c r="L12" s="939"/>
      <c r="M12" s="939"/>
      <c r="N12" s="939">
        <f>AJ2/1000+AJ5/1000</f>
        <v>7349.0240000000003</v>
      </c>
      <c r="P12" s="942"/>
      <c r="Q12" s="939"/>
      <c r="R12" s="939"/>
      <c r="S12" s="939"/>
      <c r="T12" s="939">
        <v>1.579999999999999</v>
      </c>
      <c r="V12" s="942">
        <f t="shared" si="2"/>
        <v>9840.2199999999993</v>
      </c>
      <c r="W12" s="939"/>
      <c r="X12" s="939"/>
      <c r="Y12" s="939"/>
      <c r="Z12" s="939">
        <f>ROUND(N12*T12/1.18,2)</f>
        <v>9840.2199999999993</v>
      </c>
      <c r="AD12" s="104">
        <v>2.11</v>
      </c>
      <c r="AE12" s="107" t="s">
        <v>39</v>
      </c>
      <c r="AF12" s="54">
        <f t="shared" si="3"/>
        <v>622275</v>
      </c>
      <c r="AG12" s="362" t="s">
        <v>71</v>
      </c>
      <c r="AH12" s="362" t="s">
        <v>87</v>
      </c>
      <c r="AI12" s="54">
        <f>IFERROR('Шаблон 46 ГП'!F52,0)</f>
        <v>576722</v>
      </c>
      <c r="AJ12" s="54">
        <f>IFERROR('Шаблон 46 ГП'!G52,0)</f>
        <v>45553</v>
      </c>
      <c r="AK12" s="1130" t="s">
        <v>144</v>
      </c>
      <c r="AL12" s="1130" t="s">
        <v>145</v>
      </c>
      <c r="AM12" s="1131">
        <f>IFERROR('Шаблон 46 ГП'!J52,0)</f>
        <v>2.57</v>
      </c>
      <c r="AN12" s="1131">
        <f>IFERROR('Шаблон 46 ГП'!K52,0)</f>
        <v>2.57</v>
      </c>
      <c r="AO12" s="175">
        <f t="shared" si="5"/>
        <v>1355293.8559322034</v>
      </c>
      <c r="AP12" s="365" t="s">
        <v>146</v>
      </c>
      <c r="AQ12" s="365" t="s">
        <v>147</v>
      </c>
      <c r="AR12" s="1114">
        <f t="shared" si="4"/>
        <v>1256080.9661016949</v>
      </c>
      <c r="AS12" s="1114">
        <f t="shared" si="4"/>
        <v>99212.889830508473</v>
      </c>
      <c r="AT12" s="1111"/>
      <c r="AU12" s="1111"/>
      <c r="AV12" s="1111"/>
      <c r="AW12" s="1111"/>
      <c r="AX12" s="1112"/>
      <c r="AY12" s="1111"/>
      <c r="AZ12" s="1111"/>
      <c r="BA12" s="1111"/>
      <c r="BB12" s="1111"/>
      <c r="BC12" s="1111"/>
      <c r="BD12" s="1112"/>
      <c r="BE12" s="1125"/>
      <c r="BF12" s="1118"/>
      <c r="BG12" s="1123"/>
      <c r="BH12" s="1124"/>
      <c r="BI12" s="1124"/>
      <c r="BJ12" s="1123"/>
      <c r="BK12" s="1123"/>
      <c r="BL12" s="1112"/>
      <c r="BM12" s="1112"/>
      <c r="BN12" s="1112"/>
    </row>
    <row r="13" spans="1:66" ht="16.5">
      <c r="A13" s="934" t="s">
        <v>829</v>
      </c>
      <c r="B13" s="947" t="s">
        <v>814</v>
      </c>
      <c r="C13" s="948"/>
      <c r="D13" s="942">
        <f t="shared" si="0"/>
        <v>13244.250678708097</v>
      </c>
      <c r="E13" s="942">
        <f>E14+E15</f>
        <v>0</v>
      </c>
      <c r="F13" s="942">
        <f>F14+F15</f>
        <v>0</v>
      </c>
      <c r="G13" s="942">
        <f>G14+G15</f>
        <v>0</v>
      </c>
      <c r="H13" s="942">
        <f>H14+H15</f>
        <v>13244.250678708097</v>
      </c>
      <c r="I13" s="948"/>
      <c r="J13" s="942">
        <f t="shared" si="1"/>
        <v>13786.261999999999</v>
      </c>
      <c r="K13" s="942">
        <f>K14+K15</f>
        <v>0</v>
      </c>
      <c r="L13" s="942">
        <f>L14+L15</f>
        <v>0</v>
      </c>
      <c r="M13" s="942">
        <f>M14+M15</f>
        <v>1617.9289999999999</v>
      </c>
      <c r="N13" s="942">
        <f>N14+N15</f>
        <v>12168.332999999999</v>
      </c>
      <c r="P13" s="942"/>
      <c r="Q13" s="942"/>
      <c r="R13" s="942"/>
      <c r="S13" s="942"/>
      <c r="T13" s="942"/>
      <c r="V13" s="942">
        <f t="shared" si="2"/>
        <v>14216.32</v>
      </c>
      <c r="W13" s="942">
        <f>W14+W15</f>
        <v>0</v>
      </c>
      <c r="X13" s="942">
        <f>X14+X15</f>
        <v>0</v>
      </c>
      <c r="Y13" s="942">
        <f>Y14+Y15</f>
        <v>0</v>
      </c>
      <c r="Z13" s="942">
        <f>Z14+Z15</f>
        <v>14216.32</v>
      </c>
      <c r="AD13" s="104">
        <v>2.12</v>
      </c>
      <c r="AE13" s="68" t="s">
        <v>40</v>
      </c>
      <c r="AF13" s="54">
        <f t="shared" si="3"/>
        <v>83586</v>
      </c>
      <c r="AG13" s="346" t="s">
        <v>72</v>
      </c>
      <c r="AH13" s="346" t="s">
        <v>88</v>
      </c>
      <c r="AI13" s="54">
        <f>IFERROR('Шаблон 46 ГП'!F55,0)</f>
        <v>51908</v>
      </c>
      <c r="AJ13" s="54">
        <f>IFERROR('Шаблон 46 ГП'!G55,0)</f>
        <v>31678</v>
      </c>
      <c r="AK13" s="1126" t="s">
        <v>148</v>
      </c>
      <c r="AL13" s="1132" t="s">
        <v>149</v>
      </c>
      <c r="AM13" s="1133">
        <f>IFERROR('Шаблон 46 ГП'!J55,0)</f>
        <v>4.29</v>
      </c>
      <c r="AN13" s="1127">
        <f>IFERROR('Шаблон 46 ГП'!K55,0)</f>
        <v>4.29</v>
      </c>
      <c r="AO13" s="175">
        <f t="shared" si="5"/>
        <v>303884.69491525425</v>
      </c>
      <c r="AP13" s="347" t="s">
        <v>150</v>
      </c>
      <c r="AQ13" s="366" t="s">
        <v>151</v>
      </c>
      <c r="AR13" s="1114">
        <f t="shared" si="4"/>
        <v>188716.37288135596</v>
      </c>
      <c r="AS13" s="1114">
        <f t="shared" si="4"/>
        <v>115168.32203389831</v>
      </c>
      <c r="AT13" s="1111"/>
      <c r="AU13" s="1111"/>
      <c r="AV13" s="1111"/>
      <c r="AW13" s="1111"/>
      <c r="AX13" s="1112"/>
      <c r="AY13" s="1111"/>
      <c r="AZ13" s="1111"/>
      <c r="BA13" s="1111"/>
      <c r="BB13" s="1111"/>
      <c r="BC13" s="1111"/>
      <c r="BD13" s="1112"/>
      <c r="BE13" s="1125"/>
      <c r="BF13" s="1118"/>
      <c r="BG13" s="1123"/>
      <c r="BH13" s="1124"/>
      <c r="BI13" s="1124"/>
      <c r="BJ13" s="1123"/>
      <c r="BK13" s="1123"/>
      <c r="BL13" s="1112"/>
      <c r="BM13" s="1112"/>
      <c r="BN13" s="1112"/>
    </row>
    <row r="14" spans="1:66" ht="16.5">
      <c r="A14" s="934" t="s">
        <v>830</v>
      </c>
      <c r="B14" s="951" t="s">
        <v>816</v>
      </c>
      <c r="C14" s="948"/>
      <c r="D14" s="942">
        <f t="shared" si="0"/>
        <v>7029.9375659128355</v>
      </c>
      <c r="E14" s="939"/>
      <c r="F14" s="939"/>
      <c r="G14" s="939"/>
      <c r="H14" s="939">
        <v>7029.9375659128355</v>
      </c>
      <c r="I14" s="948"/>
      <c r="J14" s="942">
        <f t="shared" si="1"/>
        <v>10256.021000000001</v>
      </c>
      <c r="K14" s="939"/>
      <c r="L14" s="939"/>
      <c r="M14" s="939">
        <f>AI3/1000+AI6/1000</f>
        <v>1212.7449999999999</v>
      </c>
      <c r="N14" s="939">
        <f>AJ3/1000+AJ6/1000</f>
        <v>9043.2759999999998</v>
      </c>
      <c r="P14" s="942"/>
      <c r="Q14" s="939"/>
      <c r="R14" s="939"/>
      <c r="S14" s="939"/>
      <c r="T14" s="939">
        <v>1.5819999999999996</v>
      </c>
      <c r="V14" s="942">
        <f t="shared" si="2"/>
        <v>12124.12</v>
      </c>
      <c r="W14" s="939"/>
      <c r="X14" s="939"/>
      <c r="Y14" s="939"/>
      <c r="Z14" s="939">
        <f>ROUND(N14*T14/1.18,2)</f>
        <v>12124.12</v>
      </c>
      <c r="AD14" s="104">
        <v>2.13</v>
      </c>
      <c r="AE14" s="105" t="s">
        <v>320</v>
      </c>
      <c r="AF14" s="54">
        <f t="shared" si="3"/>
        <v>0</v>
      </c>
      <c r="AG14" s="363" t="s">
        <v>288</v>
      </c>
      <c r="AH14" s="363" t="s">
        <v>289</v>
      </c>
      <c r="AI14" s="54">
        <f>IFERROR('Шаблон 46 ГП'!F58,0)</f>
        <v>0</v>
      </c>
      <c r="AJ14" s="363" t="s">
        <v>290</v>
      </c>
      <c r="AK14" s="1134" t="s">
        <v>291</v>
      </c>
      <c r="AL14" s="1126" t="s">
        <v>292</v>
      </c>
      <c r="AM14" s="1127">
        <f>IFERROR('Шаблон 46 ГП'!J58,0)</f>
        <v>0</v>
      </c>
      <c r="AN14" s="1134" t="s">
        <v>290</v>
      </c>
      <c r="AO14" s="175">
        <f t="shared" si="5"/>
        <v>0</v>
      </c>
      <c r="AP14" s="367" t="s">
        <v>293</v>
      </c>
      <c r="AQ14" s="347" t="s">
        <v>294</v>
      </c>
      <c r="AR14" s="1114">
        <f t="shared" si="4"/>
        <v>0</v>
      </c>
      <c r="AS14" s="1115" t="s">
        <v>295</v>
      </c>
      <c r="AT14" s="1111"/>
      <c r="AU14" s="1111"/>
      <c r="AV14" s="1111"/>
      <c r="AW14" s="1111"/>
      <c r="AX14" s="1112"/>
      <c r="AY14" s="1111"/>
      <c r="AZ14" s="1111"/>
      <c r="BA14" s="1111"/>
      <c r="BB14" s="1111"/>
      <c r="BC14" s="1111"/>
      <c r="BD14" s="1112"/>
      <c r="BE14" s="1125"/>
      <c r="BF14" s="1118"/>
      <c r="BG14" s="1123"/>
      <c r="BH14" s="1124"/>
      <c r="BI14" s="1124"/>
      <c r="BJ14" s="1123"/>
      <c r="BK14" s="1124"/>
      <c r="BL14" s="1112"/>
      <c r="BM14" s="1112"/>
      <c r="BN14" s="1112"/>
    </row>
    <row r="15" spans="1:66" ht="16.5">
      <c r="A15" s="934" t="s">
        <v>831</v>
      </c>
      <c r="B15" s="951" t="s">
        <v>818</v>
      </c>
      <c r="C15" s="948"/>
      <c r="D15" s="942">
        <f t="shared" si="0"/>
        <v>6214.313112795262</v>
      </c>
      <c r="E15" s="939"/>
      <c r="F15" s="939"/>
      <c r="G15" s="939"/>
      <c r="H15" s="939">
        <v>6214.313112795262</v>
      </c>
      <c r="I15" s="948"/>
      <c r="J15" s="942">
        <f t="shared" si="1"/>
        <v>3530.241</v>
      </c>
      <c r="K15" s="939"/>
      <c r="L15" s="939"/>
      <c r="M15" s="939">
        <f>AI4/1000+AI7/1000</f>
        <v>405.18400000000003</v>
      </c>
      <c r="N15" s="939">
        <f>AJ4/1000+AJ7/1000</f>
        <v>3125.0569999999998</v>
      </c>
      <c r="P15" s="942"/>
      <c r="Q15" s="939"/>
      <c r="R15" s="939"/>
      <c r="S15" s="939"/>
      <c r="T15" s="939">
        <v>0.78999999999999948</v>
      </c>
      <c r="V15" s="942">
        <f t="shared" si="2"/>
        <v>2092.1999999999998</v>
      </c>
      <c r="W15" s="939"/>
      <c r="X15" s="939"/>
      <c r="Y15" s="939"/>
      <c r="Z15" s="939">
        <f>ROUND(N15*T15/1.18,2)</f>
        <v>2092.1999999999998</v>
      </c>
      <c r="AD15" s="104">
        <v>2.14</v>
      </c>
      <c r="AE15" s="107" t="s">
        <v>321</v>
      </c>
      <c r="AF15" s="54">
        <f t="shared" si="3"/>
        <v>0</v>
      </c>
      <c r="AG15" s="362" t="s">
        <v>296</v>
      </c>
      <c r="AH15" s="362" t="s">
        <v>297</v>
      </c>
      <c r="AI15" s="54">
        <f>IFERROR('Шаблон 46 ГП'!F61,0)</f>
        <v>0</v>
      </c>
      <c r="AJ15" s="362" t="s">
        <v>298</v>
      </c>
      <c r="AK15" s="1130" t="s">
        <v>299</v>
      </c>
      <c r="AL15" s="1130" t="s">
        <v>300</v>
      </c>
      <c r="AM15" s="1131">
        <f>IFERROR('Шаблон 46 ГП'!J61,0)</f>
        <v>0</v>
      </c>
      <c r="AN15" s="1130" t="s">
        <v>298</v>
      </c>
      <c r="AO15" s="175">
        <f t="shared" si="5"/>
        <v>0</v>
      </c>
      <c r="AP15" s="365" t="s">
        <v>301</v>
      </c>
      <c r="AQ15" s="365" t="s">
        <v>302</v>
      </c>
      <c r="AR15" s="1114">
        <f t="shared" si="4"/>
        <v>0</v>
      </c>
      <c r="AS15" s="1116" t="s">
        <v>303</v>
      </c>
      <c r="AT15" s="1111"/>
      <c r="AU15" s="1111"/>
      <c r="AV15" s="1111"/>
      <c r="AW15" s="1111"/>
      <c r="AX15" s="1112"/>
      <c r="AY15" s="1111"/>
      <c r="AZ15" s="1111"/>
      <c r="BA15" s="1111"/>
      <c r="BB15" s="1111"/>
      <c r="BC15" s="1111"/>
      <c r="BD15" s="1112"/>
      <c r="BE15" s="1125"/>
      <c r="BF15" s="1118"/>
      <c r="BG15" s="1123"/>
      <c r="BH15" s="1124"/>
      <c r="BI15" s="1124"/>
      <c r="BJ15" s="1123"/>
      <c r="BK15" s="1124"/>
      <c r="BL15" s="1112"/>
      <c r="BM15" s="1112"/>
      <c r="BN15" s="1112"/>
    </row>
    <row r="16" spans="1:66" ht="16.5">
      <c r="A16" s="934" t="s">
        <v>832</v>
      </c>
      <c r="B16" s="947" t="s">
        <v>820</v>
      </c>
      <c r="C16" s="948"/>
      <c r="D16" s="942">
        <f t="shared" si="0"/>
        <v>0</v>
      </c>
      <c r="E16" s="942">
        <v>0</v>
      </c>
      <c r="F16" s="942">
        <v>0</v>
      </c>
      <c r="G16" s="942">
        <v>0</v>
      </c>
      <c r="H16" s="942">
        <v>0</v>
      </c>
      <c r="I16" s="948"/>
      <c r="J16" s="942">
        <f t="shared" si="1"/>
        <v>0</v>
      </c>
      <c r="K16" s="942">
        <v>0</v>
      </c>
      <c r="L16" s="942">
        <v>0</v>
      </c>
      <c r="M16" s="942">
        <v>0</v>
      </c>
      <c r="N16" s="942">
        <v>0</v>
      </c>
      <c r="P16" s="942"/>
      <c r="Q16" s="942"/>
      <c r="R16" s="942"/>
      <c r="S16" s="942"/>
      <c r="T16" s="942"/>
      <c r="V16" s="942">
        <f t="shared" si="2"/>
        <v>0</v>
      </c>
      <c r="W16" s="942">
        <v>0</v>
      </c>
      <c r="X16" s="942">
        <v>0</v>
      </c>
      <c r="Y16" s="942">
        <v>0</v>
      </c>
      <c r="Z16" s="942">
        <v>0</v>
      </c>
      <c r="AD16" s="104">
        <v>2.15</v>
      </c>
      <c r="AE16" s="102" t="s">
        <v>322</v>
      </c>
      <c r="AF16" s="54">
        <f t="shared" si="3"/>
        <v>0</v>
      </c>
      <c r="AG16" s="346" t="s">
        <v>304</v>
      </c>
      <c r="AH16" s="346" t="s">
        <v>305</v>
      </c>
      <c r="AI16" s="54">
        <f>IFERROR('Шаблон 46 ГП'!F64,0)</f>
        <v>0</v>
      </c>
      <c r="AJ16" s="346" t="s">
        <v>306</v>
      </c>
      <c r="AK16" s="1126" t="s">
        <v>307</v>
      </c>
      <c r="AL16" s="1126" t="s">
        <v>308</v>
      </c>
      <c r="AM16" s="1127">
        <f>IFERROR('Шаблон 46 ГП'!J64,0)</f>
        <v>0</v>
      </c>
      <c r="AN16" s="1126" t="s">
        <v>306</v>
      </c>
      <c r="AO16" s="175">
        <f t="shared" si="5"/>
        <v>0</v>
      </c>
      <c r="AP16" s="347" t="s">
        <v>309</v>
      </c>
      <c r="AQ16" s="347" t="s">
        <v>310</v>
      </c>
      <c r="AR16" s="1114">
        <f t="shared" si="4"/>
        <v>0</v>
      </c>
      <c r="AS16" s="1115" t="s">
        <v>311</v>
      </c>
      <c r="AT16" s="1111"/>
      <c r="AU16" s="1111"/>
      <c r="AV16" s="1111"/>
      <c r="AW16" s="1111"/>
      <c r="AX16" s="1112"/>
      <c r="AY16" s="1111"/>
      <c r="AZ16" s="1111"/>
      <c r="BA16" s="1111"/>
      <c r="BB16" s="1111"/>
      <c r="BC16" s="1111"/>
      <c r="BD16" s="1112"/>
      <c r="BE16" s="1125"/>
      <c r="BF16" s="1118"/>
      <c r="BG16" s="1123"/>
      <c r="BH16" s="1124"/>
      <c r="BI16" s="1124"/>
      <c r="BJ16" s="1123"/>
      <c r="BK16" s="1124"/>
      <c r="BL16" s="1112"/>
      <c r="BM16" s="1112"/>
      <c r="BN16" s="1112"/>
    </row>
    <row r="17" spans="1:66" ht="16.5">
      <c r="A17" s="934" t="s">
        <v>833</v>
      </c>
      <c r="B17" s="951" t="s">
        <v>822</v>
      </c>
      <c r="C17" s="948"/>
      <c r="D17" s="942">
        <f t="shared" si="0"/>
        <v>0</v>
      </c>
      <c r="E17" s="939"/>
      <c r="F17" s="939"/>
      <c r="G17" s="939"/>
      <c r="H17" s="939"/>
      <c r="I17" s="948"/>
      <c r="J17" s="942">
        <f t="shared" si="1"/>
        <v>0</v>
      </c>
      <c r="K17" s="939"/>
      <c r="L17" s="939"/>
      <c r="M17" s="939"/>
      <c r="N17" s="939"/>
      <c r="P17" s="942"/>
      <c r="Q17" s="939"/>
      <c r="R17" s="939"/>
      <c r="S17" s="939"/>
      <c r="T17" s="939"/>
      <c r="V17" s="942">
        <f t="shared" si="2"/>
        <v>0</v>
      </c>
      <c r="W17" s="939"/>
      <c r="X17" s="939"/>
      <c r="Y17" s="939"/>
      <c r="Z17" s="939"/>
      <c r="AD17" s="104">
        <v>2.16</v>
      </c>
      <c r="AE17" s="102" t="s">
        <v>323</v>
      </c>
      <c r="AF17" s="54">
        <f t="shared" si="3"/>
        <v>0</v>
      </c>
      <c r="AG17" s="361" t="s">
        <v>312</v>
      </c>
      <c r="AH17" s="361" t="s">
        <v>313</v>
      </c>
      <c r="AI17" s="54">
        <f>IFERROR('Шаблон 46 ГП'!F65,0)</f>
        <v>0</v>
      </c>
      <c r="AJ17" s="361" t="s">
        <v>314</v>
      </c>
      <c r="AK17" s="1128" t="s">
        <v>315</v>
      </c>
      <c r="AL17" s="1128" t="s">
        <v>316</v>
      </c>
      <c r="AM17" s="1135">
        <f>IFERROR('Шаблон 46 ГП'!J65,0)</f>
        <v>0</v>
      </c>
      <c r="AN17" s="1136" t="s">
        <v>314</v>
      </c>
      <c r="AO17" s="321">
        <f t="shared" si="5"/>
        <v>0</v>
      </c>
      <c r="AP17" s="1110" t="s">
        <v>317</v>
      </c>
      <c r="AQ17" s="1110" t="s">
        <v>318</v>
      </c>
      <c r="AR17" s="1114">
        <f t="shared" si="4"/>
        <v>0</v>
      </c>
      <c r="AS17" s="1117" t="s">
        <v>319</v>
      </c>
      <c r="AT17" s="1111"/>
      <c r="AU17" s="1111"/>
      <c r="AV17" s="1111"/>
      <c r="AW17" s="1111"/>
      <c r="AX17" s="1112"/>
      <c r="AY17" s="1111"/>
      <c r="AZ17" s="1111"/>
      <c r="BA17" s="1111"/>
      <c r="BB17" s="1111"/>
      <c r="BC17" s="1111"/>
      <c r="BD17" s="1112"/>
      <c r="BE17" s="1125"/>
      <c r="BF17" s="1118"/>
      <c r="BG17" s="1123"/>
      <c r="BH17" s="1124"/>
      <c r="BI17" s="1124"/>
      <c r="BJ17" s="1123"/>
      <c r="BK17" s="1124"/>
      <c r="BL17" s="1112"/>
      <c r="BM17" s="1112"/>
      <c r="BN17" s="1112"/>
    </row>
    <row r="18" spans="1:66">
      <c r="A18" s="934" t="s">
        <v>834</v>
      </c>
      <c r="B18" s="951" t="s">
        <v>824</v>
      </c>
      <c r="C18" s="948"/>
      <c r="D18" s="942">
        <f t="shared" si="0"/>
        <v>0</v>
      </c>
      <c r="E18" s="939"/>
      <c r="F18" s="939"/>
      <c r="G18" s="939"/>
      <c r="H18" s="939"/>
      <c r="I18" s="948"/>
      <c r="J18" s="942">
        <f t="shared" si="1"/>
        <v>0</v>
      </c>
      <c r="K18" s="939"/>
      <c r="L18" s="939"/>
      <c r="M18" s="939"/>
      <c r="N18" s="939"/>
      <c r="P18" s="942"/>
      <c r="Q18" s="939"/>
      <c r="R18" s="939"/>
      <c r="S18" s="939"/>
      <c r="T18" s="939"/>
      <c r="V18" s="942">
        <f t="shared" si="2"/>
        <v>0</v>
      </c>
      <c r="W18" s="939"/>
      <c r="X18" s="939"/>
      <c r="Y18" s="939"/>
      <c r="Z18" s="939"/>
      <c r="AM18" s="1111"/>
      <c r="AN18" s="1111"/>
      <c r="AO18" s="1111"/>
      <c r="AP18" s="1111"/>
      <c r="AQ18" s="1111"/>
      <c r="AR18" s="1112"/>
      <c r="AS18" s="1111"/>
      <c r="AT18" s="1111"/>
      <c r="AU18" s="1111"/>
      <c r="AV18" s="1111"/>
      <c r="AW18" s="1111"/>
      <c r="AX18" s="1112"/>
      <c r="AY18" s="1111"/>
      <c r="AZ18" s="1111"/>
      <c r="BA18" s="1111"/>
      <c r="BB18" s="1111"/>
      <c r="BC18" s="1111"/>
      <c r="BD18" s="1112"/>
      <c r="BE18" s="1112"/>
      <c r="BF18" s="1112"/>
      <c r="BG18" s="1112"/>
      <c r="BH18" s="1112"/>
      <c r="BI18" s="1112"/>
      <c r="BJ18" s="1112"/>
      <c r="BK18" s="1112"/>
      <c r="BL18" s="1112"/>
      <c r="BM18" s="1112"/>
      <c r="BN18" s="1112"/>
    </row>
    <row r="19" spans="1:66">
      <c r="A19" s="934" t="s">
        <v>835</v>
      </c>
      <c r="B19" s="951" t="s">
        <v>818</v>
      </c>
      <c r="C19" s="948"/>
      <c r="D19" s="942">
        <f t="shared" si="0"/>
        <v>0</v>
      </c>
      <c r="E19" s="939"/>
      <c r="F19" s="939"/>
      <c r="G19" s="939"/>
      <c r="H19" s="939"/>
      <c r="I19" s="948"/>
      <c r="J19" s="942">
        <f t="shared" si="1"/>
        <v>0</v>
      </c>
      <c r="K19" s="939"/>
      <c r="L19" s="939"/>
      <c r="M19" s="939"/>
      <c r="N19" s="939"/>
      <c r="P19" s="942"/>
      <c r="Q19" s="939"/>
      <c r="R19" s="939"/>
      <c r="S19" s="939"/>
      <c r="T19" s="939"/>
      <c r="V19" s="942">
        <f t="shared" si="2"/>
        <v>0</v>
      </c>
      <c r="W19" s="939"/>
      <c r="X19" s="939"/>
      <c r="Y19" s="939"/>
      <c r="Z19" s="939"/>
      <c r="AM19" s="1111"/>
      <c r="AN19" s="1111"/>
      <c r="AO19" s="1111"/>
      <c r="AP19" s="1111"/>
      <c r="AQ19" s="1111"/>
      <c r="AR19" s="1112"/>
      <c r="AS19" s="1111"/>
      <c r="AT19" s="1111"/>
      <c r="AU19" s="1111"/>
      <c r="AV19" s="1111"/>
      <c r="AW19" s="1111"/>
      <c r="AX19" s="1112"/>
      <c r="AY19" s="1111"/>
      <c r="AZ19" s="1111"/>
      <c r="BA19" s="1111"/>
      <c r="BB19" s="1111"/>
      <c r="BC19" s="1111"/>
    </row>
    <row r="20" spans="1:66">
      <c r="A20" s="934" t="s">
        <v>836</v>
      </c>
      <c r="B20" s="947" t="s">
        <v>837</v>
      </c>
      <c r="C20" s="948"/>
      <c r="D20" s="942">
        <f t="shared" si="0"/>
        <v>0</v>
      </c>
      <c r="E20" s="942">
        <v>0</v>
      </c>
      <c r="F20" s="942">
        <v>0</v>
      </c>
      <c r="G20" s="942">
        <v>0</v>
      </c>
      <c r="H20" s="942">
        <v>0</v>
      </c>
      <c r="I20" s="948"/>
      <c r="J20" s="942">
        <f t="shared" si="1"/>
        <v>0</v>
      </c>
      <c r="K20" s="942">
        <v>0</v>
      </c>
      <c r="L20" s="942">
        <v>0</v>
      </c>
      <c r="M20" s="942">
        <v>0</v>
      </c>
      <c r="N20" s="942">
        <v>0</v>
      </c>
      <c r="P20" s="942"/>
      <c r="Q20" s="942"/>
      <c r="R20" s="942"/>
      <c r="S20" s="942"/>
      <c r="T20" s="942"/>
      <c r="V20" s="942">
        <f t="shared" si="2"/>
        <v>0</v>
      </c>
      <c r="W20" s="942">
        <v>0</v>
      </c>
      <c r="X20" s="942">
        <v>0</v>
      </c>
      <c r="Y20" s="942">
        <v>0</v>
      </c>
      <c r="Z20" s="942">
        <v>0</v>
      </c>
      <c r="AM20" s="1111"/>
      <c r="AN20" s="1111"/>
      <c r="AO20" s="1111"/>
      <c r="AP20" s="1111"/>
      <c r="AQ20" s="1111"/>
      <c r="AR20" s="1112"/>
      <c r="AS20" s="1111"/>
      <c r="AT20" s="1111"/>
      <c r="AU20" s="1111"/>
      <c r="AV20" s="1111"/>
      <c r="AW20" s="1111"/>
      <c r="AX20" s="1112"/>
      <c r="AY20" s="1111"/>
      <c r="AZ20" s="1111"/>
      <c r="BA20" s="1111"/>
      <c r="BB20" s="1111"/>
      <c r="BC20" s="1111"/>
    </row>
    <row r="21" spans="1:66">
      <c r="A21" s="934" t="s">
        <v>838</v>
      </c>
      <c r="B21" s="947" t="s">
        <v>812</v>
      </c>
      <c r="C21" s="948"/>
      <c r="D21" s="942">
        <f t="shared" si="0"/>
        <v>0</v>
      </c>
      <c r="E21" s="939"/>
      <c r="F21" s="939"/>
      <c r="G21" s="939"/>
      <c r="H21" s="939"/>
      <c r="I21" s="948"/>
      <c r="J21" s="942">
        <f t="shared" si="1"/>
        <v>0</v>
      </c>
      <c r="K21" s="939"/>
      <c r="L21" s="939"/>
      <c r="M21" s="939"/>
      <c r="N21" s="939"/>
      <c r="P21" s="942"/>
      <c r="Q21" s="939"/>
      <c r="R21" s="939"/>
      <c r="S21" s="939"/>
      <c r="T21" s="939"/>
      <c r="V21" s="942">
        <f t="shared" si="2"/>
        <v>0</v>
      </c>
      <c r="W21" s="939"/>
      <c r="X21" s="939"/>
      <c r="Y21" s="939"/>
      <c r="Z21" s="939"/>
      <c r="AM21" s="1111"/>
      <c r="AN21" s="1111"/>
      <c r="AO21" s="1111"/>
      <c r="AP21" s="1111"/>
      <c r="AQ21" s="1111"/>
      <c r="AR21" s="1112"/>
      <c r="AS21" s="1111"/>
      <c r="AT21" s="1111"/>
      <c r="AU21" s="1111"/>
      <c r="AV21" s="1111"/>
      <c r="AW21" s="1111"/>
      <c r="AX21" s="1112"/>
      <c r="AY21" s="1111"/>
      <c r="AZ21" s="1111"/>
      <c r="BA21" s="1111"/>
      <c r="BB21" s="1111"/>
      <c r="BC21" s="1111"/>
    </row>
    <row r="22" spans="1:66">
      <c r="A22" s="934" t="s">
        <v>839</v>
      </c>
      <c r="B22" s="947" t="s">
        <v>814</v>
      </c>
      <c r="C22" s="948"/>
      <c r="D22" s="942">
        <f t="shared" si="0"/>
        <v>0</v>
      </c>
      <c r="E22" s="942">
        <v>0</v>
      </c>
      <c r="F22" s="942">
        <v>0</v>
      </c>
      <c r="G22" s="942">
        <v>0</v>
      </c>
      <c r="H22" s="942">
        <v>0</v>
      </c>
      <c r="I22" s="948"/>
      <c r="J22" s="942">
        <f t="shared" si="1"/>
        <v>0</v>
      </c>
      <c r="K22" s="942">
        <v>0</v>
      </c>
      <c r="L22" s="942">
        <v>0</v>
      </c>
      <c r="M22" s="942">
        <v>0</v>
      </c>
      <c r="N22" s="942">
        <v>0</v>
      </c>
      <c r="P22" s="942"/>
      <c r="Q22" s="942"/>
      <c r="R22" s="942"/>
      <c r="S22" s="942"/>
      <c r="T22" s="942"/>
      <c r="V22" s="942">
        <f t="shared" si="2"/>
        <v>0</v>
      </c>
      <c r="W22" s="942">
        <v>0</v>
      </c>
      <c r="X22" s="942">
        <v>0</v>
      </c>
      <c r="Y22" s="942">
        <v>0</v>
      </c>
      <c r="Z22" s="942">
        <v>0</v>
      </c>
      <c r="AM22" s="1111"/>
      <c r="AN22" s="1111"/>
      <c r="AO22" s="1111"/>
      <c r="AP22" s="1111"/>
      <c r="AQ22" s="1111"/>
      <c r="AR22" s="1112"/>
      <c r="AS22" s="1111"/>
      <c r="AT22" s="1111"/>
      <c r="AU22" s="1111"/>
      <c r="AV22" s="1111"/>
      <c r="AW22" s="1111"/>
      <c r="AX22" s="1112"/>
      <c r="AY22" s="1111"/>
      <c r="AZ22" s="1111"/>
      <c r="BA22" s="1111"/>
      <c r="BB22" s="1111"/>
      <c r="BC22" s="1111"/>
    </row>
    <row r="23" spans="1:66">
      <c r="A23" s="934" t="s">
        <v>840</v>
      </c>
      <c r="B23" s="951" t="s">
        <v>816</v>
      </c>
      <c r="C23" s="948"/>
      <c r="D23" s="942">
        <f t="shared" si="0"/>
        <v>0</v>
      </c>
      <c r="E23" s="939"/>
      <c r="F23" s="939"/>
      <c r="G23" s="939"/>
      <c r="H23" s="939"/>
      <c r="I23" s="948"/>
      <c r="J23" s="942">
        <f t="shared" si="1"/>
        <v>0</v>
      </c>
      <c r="K23" s="939"/>
      <c r="L23" s="939"/>
      <c r="M23" s="939"/>
      <c r="N23" s="939"/>
      <c r="P23" s="942"/>
      <c r="Q23" s="939"/>
      <c r="R23" s="939"/>
      <c r="S23" s="939"/>
      <c r="T23" s="939"/>
      <c r="V23" s="942">
        <f t="shared" si="2"/>
        <v>0</v>
      </c>
      <c r="W23" s="939"/>
      <c r="X23" s="939"/>
      <c r="Y23" s="939"/>
      <c r="Z23" s="939"/>
      <c r="AM23" s="1111"/>
      <c r="AN23" s="1111"/>
      <c r="AO23" s="1111"/>
      <c r="AP23" s="1111"/>
      <c r="AQ23" s="1111"/>
      <c r="AR23" s="1112"/>
      <c r="AS23" s="1111"/>
      <c r="AT23" s="1111"/>
      <c r="AU23" s="1111"/>
      <c r="AV23" s="1111"/>
      <c r="AW23" s="1111"/>
      <c r="AX23" s="1112"/>
      <c r="AY23" s="1111"/>
      <c r="AZ23" s="1111"/>
      <c r="BA23" s="1111"/>
      <c r="BB23" s="1111"/>
      <c r="BC23" s="1111"/>
    </row>
    <row r="24" spans="1:66">
      <c r="A24" s="934" t="s">
        <v>841</v>
      </c>
      <c r="B24" s="951" t="s">
        <v>818</v>
      </c>
      <c r="C24" s="948"/>
      <c r="D24" s="942">
        <f t="shared" si="0"/>
        <v>0</v>
      </c>
      <c r="E24" s="939"/>
      <c r="F24" s="939"/>
      <c r="G24" s="939"/>
      <c r="H24" s="939"/>
      <c r="I24" s="948"/>
      <c r="J24" s="942">
        <f t="shared" si="1"/>
        <v>0</v>
      </c>
      <c r="K24" s="939"/>
      <c r="L24" s="939"/>
      <c r="M24" s="939"/>
      <c r="N24" s="939"/>
      <c r="P24" s="942"/>
      <c r="Q24" s="939"/>
      <c r="R24" s="939"/>
      <c r="S24" s="939"/>
      <c r="T24" s="939"/>
      <c r="V24" s="942">
        <f t="shared" si="2"/>
        <v>0</v>
      </c>
      <c r="W24" s="939"/>
      <c r="X24" s="939"/>
      <c r="Y24" s="939"/>
      <c r="Z24" s="939"/>
      <c r="AM24" s="1111"/>
      <c r="AN24" s="1111"/>
      <c r="AO24" s="1111"/>
      <c r="AP24" s="1111"/>
      <c r="AQ24" s="1111"/>
      <c r="AR24" s="1112"/>
      <c r="AS24" s="1111"/>
      <c r="AT24" s="1111"/>
      <c r="AU24" s="1111"/>
      <c r="AV24" s="1111"/>
      <c r="AW24" s="1111"/>
      <c r="AX24" s="1112"/>
      <c r="AY24" s="1111"/>
      <c r="AZ24" s="1111"/>
      <c r="BA24" s="1111"/>
      <c r="BB24" s="1111"/>
      <c r="BC24" s="1111"/>
    </row>
    <row r="25" spans="1:66">
      <c r="A25" s="934" t="s">
        <v>842</v>
      </c>
      <c r="B25" s="947" t="s">
        <v>820</v>
      </c>
      <c r="C25" s="948"/>
      <c r="D25" s="942">
        <f t="shared" si="0"/>
        <v>0</v>
      </c>
      <c r="E25" s="942">
        <v>0</v>
      </c>
      <c r="F25" s="942">
        <v>0</v>
      </c>
      <c r="G25" s="942">
        <v>0</v>
      </c>
      <c r="H25" s="942">
        <v>0</v>
      </c>
      <c r="I25" s="948"/>
      <c r="J25" s="942">
        <f t="shared" si="1"/>
        <v>0</v>
      </c>
      <c r="K25" s="942">
        <v>0</v>
      </c>
      <c r="L25" s="942">
        <v>0</v>
      </c>
      <c r="M25" s="942">
        <v>0</v>
      </c>
      <c r="N25" s="942">
        <v>0</v>
      </c>
      <c r="P25" s="942"/>
      <c r="Q25" s="942"/>
      <c r="R25" s="942"/>
      <c r="S25" s="942"/>
      <c r="T25" s="942"/>
      <c r="V25" s="942">
        <f t="shared" si="2"/>
        <v>0</v>
      </c>
      <c r="W25" s="942">
        <v>0</v>
      </c>
      <c r="X25" s="942">
        <v>0</v>
      </c>
      <c r="Y25" s="942">
        <v>0</v>
      </c>
      <c r="Z25" s="942">
        <v>0</v>
      </c>
      <c r="AM25" s="1111"/>
      <c r="AN25" s="1111"/>
      <c r="AO25" s="1111"/>
      <c r="AP25" s="1111"/>
      <c r="AQ25" s="1111"/>
      <c r="AR25" s="1112"/>
      <c r="AS25" s="1111"/>
      <c r="AT25" s="1111"/>
      <c r="AU25" s="1111"/>
      <c r="AV25" s="1111"/>
      <c r="AW25" s="1111"/>
      <c r="AX25" s="1112"/>
      <c r="AY25" s="1111"/>
      <c r="AZ25" s="1111"/>
      <c r="BA25" s="1111"/>
      <c r="BB25" s="1111"/>
      <c r="BC25" s="1111"/>
    </row>
    <row r="26" spans="1:66">
      <c r="A26" s="934" t="s">
        <v>843</v>
      </c>
      <c r="B26" s="951" t="s">
        <v>822</v>
      </c>
      <c r="C26" s="948"/>
      <c r="D26" s="942">
        <f t="shared" si="0"/>
        <v>0</v>
      </c>
      <c r="E26" s="939"/>
      <c r="F26" s="939"/>
      <c r="G26" s="939"/>
      <c r="H26" s="939"/>
      <c r="I26" s="948"/>
      <c r="J26" s="942">
        <f t="shared" si="1"/>
        <v>0</v>
      </c>
      <c r="K26" s="939"/>
      <c r="L26" s="939"/>
      <c r="M26" s="939"/>
      <c r="N26" s="939"/>
      <c r="P26" s="942"/>
      <c r="Q26" s="939"/>
      <c r="R26" s="939"/>
      <c r="S26" s="939"/>
      <c r="T26" s="939"/>
      <c r="V26" s="942">
        <f t="shared" si="2"/>
        <v>0</v>
      </c>
      <c r="W26" s="939"/>
      <c r="X26" s="939"/>
      <c r="Y26" s="939"/>
      <c r="Z26" s="939"/>
      <c r="AM26" s="1111"/>
      <c r="AN26" s="1111"/>
      <c r="AO26" s="1111"/>
      <c r="AP26" s="1111"/>
      <c r="AQ26" s="1111"/>
      <c r="AR26" s="1112"/>
      <c r="AS26" s="1111"/>
      <c r="AT26" s="1111"/>
      <c r="AU26" s="1111"/>
      <c r="AV26" s="1111"/>
      <c r="AW26" s="1111"/>
      <c r="AX26" s="1112"/>
      <c r="AY26" s="1111"/>
      <c r="AZ26" s="1111"/>
      <c r="BA26" s="1111"/>
      <c r="BB26" s="1111"/>
      <c r="BC26" s="1111"/>
    </row>
    <row r="27" spans="1:66">
      <c r="A27" s="934" t="s">
        <v>844</v>
      </c>
      <c r="B27" s="951" t="s">
        <v>824</v>
      </c>
      <c r="C27" s="948"/>
      <c r="D27" s="942">
        <f t="shared" si="0"/>
        <v>0</v>
      </c>
      <c r="E27" s="939"/>
      <c r="F27" s="939"/>
      <c r="G27" s="939"/>
      <c r="H27" s="939"/>
      <c r="I27" s="948"/>
      <c r="J27" s="942">
        <f t="shared" si="1"/>
        <v>0</v>
      </c>
      <c r="K27" s="939"/>
      <c r="L27" s="939"/>
      <c r="M27" s="939"/>
      <c r="N27" s="939"/>
      <c r="P27" s="942"/>
      <c r="Q27" s="939"/>
      <c r="R27" s="939"/>
      <c r="S27" s="939"/>
      <c r="T27" s="939"/>
      <c r="V27" s="942">
        <f t="shared" si="2"/>
        <v>0</v>
      </c>
      <c r="W27" s="939"/>
      <c r="X27" s="939"/>
      <c r="Y27" s="939"/>
      <c r="Z27" s="939"/>
      <c r="AM27" s="1111"/>
      <c r="AN27" s="1111"/>
      <c r="AO27" s="1111"/>
      <c r="AP27" s="1111"/>
      <c r="AQ27" s="1111"/>
      <c r="AR27" s="1112"/>
      <c r="AS27" s="1111"/>
      <c r="AT27" s="1111"/>
      <c r="AU27" s="1111"/>
      <c r="AV27" s="1111"/>
      <c r="AW27" s="1111"/>
      <c r="AX27" s="1112"/>
      <c r="AY27" s="1111"/>
      <c r="AZ27" s="1111"/>
      <c r="BA27" s="1111"/>
      <c r="BB27" s="1111"/>
      <c r="BC27" s="1111"/>
    </row>
    <row r="28" spans="1:66">
      <c r="A28" s="934" t="s">
        <v>845</v>
      </c>
      <c r="B28" s="951" t="s">
        <v>818</v>
      </c>
      <c r="C28" s="948"/>
      <c r="D28" s="942">
        <f t="shared" si="0"/>
        <v>0</v>
      </c>
      <c r="E28" s="939"/>
      <c r="F28" s="939"/>
      <c r="G28" s="939"/>
      <c r="H28" s="939"/>
      <c r="I28" s="948"/>
      <c r="J28" s="942">
        <f t="shared" si="1"/>
        <v>0</v>
      </c>
      <c r="K28" s="939"/>
      <c r="L28" s="939"/>
      <c r="M28" s="939"/>
      <c r="N28" s="939"/>
      <c r="P28" s="942"/>
      <c r="Q28" s="939"/>
      <c r="R28" s="939"/>
      <c r="S28" s="939"/>
      <c r="T28" s="939"/>
      <c r="V28" s="942">
        <f t="shared" si="2"/>
        <v>0</v>
      </c>
      <c r="W28" s="939"/>
      <c r="X28" s="939"/>
      <c r="Y28" s="939"/>
      <c r="Z28" s="939"/>
      <c r="AM28" s="1111"/>
      <c r="AN28" s="1111"/>
      <c r="AO28" s="1111"/>
      <c r="AP28" s="1111"/>
      <c r="AQ28" s="1111"/>
      <c r="AR28" s="1112"/>
      <c r="AS28" s="1111"/>
      <c r="AT28" s="1111"/>
      <c r="AU28" s="1111"/>
      <c r="AV28" s="1111"/>
      <c r="AW28" s="1111"/>
      <c r="AX28" s="1112"/>
      <c r="AY28" s="1111"/>
      <c r="AZ28" s="1111"/>
      <c r="BA28" s="1111"/>
      <c r="BB28" s="1111"/>
      <c r="BC28" s="1111"/>
    </row>
    <row r="29" spans="1:66">
      <c r="A29" s="934" t="s">
        <v>846</v>
      </c>
      <c r="B29" s="953" t="s">
        <v>847</v>
      </c>
      <c r="C29" s="948"/>
      <c r="D29" s="942">
        <f t="shared" si="0"/>
        <v>4329.9271535685721</v>
      </c>
      <c r="E29" s="942">
        <f>E30+E31</f>
        <v>0</v>
      </c>
      <c r="F29" s="942">
        <f>F30+F31</f>
        <v>0</v>
      </c>
      <c r="G29" s="942">
        <f>G30+G31</f>
        <v>4135.6795043357897</v>
      </c>
      <c r="H29" s="942">
        <f>H30+H31</f>
        <v>194.24764923278275</v>
      </c>
      <c r="I29" s="948"/>
      <c r="J29" s="942">
        <f t="shared" si="1"/>
        <v>2105.6210000000001</v>
      </c>
      <c r="K29" s="942">
        <f>K30+K31</f>
        <v>0</v>
      </c>
      <c r="L29" s="942">
        <f>L30+L31</f>
        <v>0</v>
      </c>
      <c r="M29" s="942">
        <f>M30+M31</f>
        <v>1934.4579999999999</v>
      </c>
      <c r="N29" s="942">
        <f>N30+N31</f>
        <v>171.16300000000001</v>
      </c>
      <c r="P29" s="942"/>
      <c r="Q29" s="942"/>
      <c r="R29" s="942"/>
      <c r="S29" s="942"/>
      <c r="T29" s="942"/>
      <c r="V29" s="942">
        <f t="shared" si="2"/>
        <v>3436.1699999999996</v>
      </c>
      <c r="W29" s="942">
        <f>W30+W31</f>
        <v>0</v>
      </c>
      <c r="X29" s="942">
        <f>X30+X31</f>
        <v>0</v>
      </c>
      <c r="Y29" s="942">
        <f>Y30+Y31</f>
        <v>3152.2499999999995</v>
      </c>
      <c r="Z29" s="942">
        <f>Z30+Z31</f>
        <v>283.92</v>
      </c>
      <c r="AM29" s="1111"/>
      <c r="AN29" s="1111"/>
      <c r="AO29" s="1111"/>
      <c r="AP29" s="1111"/>
      <c r="AQ29" s="1111"/>
      <c r="AR29" s="1112"/>
      <c r="AS29" s="1111"/>
      <c r="AT29" s="1111"/>
      <c r="AU29" s="1111"/>
      <c r="AV29" s="1111"/>
      <c r="AW29" s="1111"/>
      <c r="AX29" s="1112"/>
      <c r="AY29" s="1111"/>
      <c r="AZ29" s="1111"/>
      <c r="BA29" s="1111"/>
      <c r="BB29" s="1111"/>
      <c r="BC29" s="1111"/>
    </row>
    <row r="30" spans="1:66">
      <c r="A30" s="934" t="s">
        <v>848</v>
      </c>
      <c r="B30" s="947" t="s">
        <v>812</v>
      </c>
      <c r="C30" s="948"/>
      <c r="D30" s="942">
        <f t="shared" si="0"/>
        <v>493.58212872550769</v>
      </c>
      <c r="E30" s="939"/>
      <c r="F30" s="939"/>
      <c r="G30" s="939">
        <v>390.05984274276125</v>
      </c>
      <c r="H30" s="939">
        <v>103.52228598274642</v>
      </c>
      <c r="I30" s="948"/>
      <c r="J30" s="942">
        <f t="shared" si="1"/>
        <v>83.585999999999999</v>
      </c>
      <c r="K30" s="939"/>
      <c r="L30" s="939"/>
      <c r="M30" s="939">
        <f>AI13/1000</f>
        <v>51.908000000000001</v>
      </c>
      <c r="N30" s="939">
        <f>AJ13/1000</f>
        <v>31.678000000000001</v>
      </c>
      <c r="P30" s="942"/>
      <c r="Q30" s="939"/>
      <c r="R30" s="939"/>
      <c r="S30" s="939">
        <v>2.25</v>
      </c>
      <c r="T30" s="939">
        <v>2.25</v>
      </c>
      <c r="V30" s="942">
        <f t="shared" si="2"/>
        <v>159.38</v>
      </c>
      <c r="W30" s="939"/>
      <c r="X30" s="939"/>
      <c r="Y30" s="939">
        <f>ROUND(M30*S30/1.18,2)</f>
        <v>98.98</v>
      </c>
      <c r="Z30" s="939">
        <f>ROUND(N30*T30/1.18,2)</f>
        <v>60.4</v>
      </c>
      <c r="AM30" s="1111"/>
      <c r="AN30" s="1111"/>
      <c r="AO30" s="1111"/>
      <c r="AP30" s="1111"/>
      <c r="AQ30" s="1111"/>
      <c r="AR30" s="1112"/>
      <c r="AS30" s="1111"/>
      <c r="AT30" s="1111"/>
      <c r="AU30" s="1111"/>
      <c r="AV30" s="1111"/>
      <c r="AW30" s="1111"/>
      <c r="AX30" s="1112"/>
      <c r="AY30" s="1111"/>
      <c r="AZ30" s="1111"/>
      <c r="BA30" s="1111"/>
      <c r="BB30" s="1111"/>
      <c r="BC30" s="1111"/>
    </row>
    <row r="31" spans="1:66">
      <c r="A31" s="934" t="s">
        <v>849</v>
      </c>
      <c r="B31" s="947" t="s">
        <v>814</v>
      </c>
      <c r="C31" s="948"/>
      <c r="D31" s="942">
        <f t="shared" si="0"/>
        <v>3836.3450248430649</v>
      </c>
      <c r="E31" s="942">
        <f>E32+E33</f>
        <v>0</v>
      </c>
      <c r="F31" s="942">
        <f>F32+F33</f>
        <v>0</v>
      </c>
      <c r="G31" s="942">
        <f>G32+G33</f>
        <v>3745.6196615930285</v>
      </c>
      <c r="H31" s="942">
        <f>H32+H33</f>
        <v>90.72536325003631</v>
      </c>
      <c r="I31" s="948"/>
      <c r="J31" s="942">
        <f t="shared" si="1"/>
        <v>2022.0349999999999</v>
      </c>
      <c r="K31" s="942">
        <f>K32+K33</f>
        <v>0</v>
      </c>
      <c r="L31" s="942">
        <f>L32+L33</f>
        <v>0</v>
      </c>
      <c r="M31" s="942">
        <f>M32+M33</f>
        <v>1882.55</v>
      </c>
      <c r="N31" s="942">
        <f>N32+N33</f>
        <v>139.48500000000001</v>
      </c>
      <c r="P31" s="942"/>
      <c r="Q31" s="942"/>
      <c r="R31" s="942"/>
      <c r="S31" s="942"/>
      <c r="T31" s="942"/>
      <c r="V31" s="942">
        <f t="shared" si="2"/>
        <v>3276.7899999999995</v>
      </c>
      <c r="W31" s="942">
        <f>W32+W33</f>
        <v>0</v>
      </c>
      <c r="X31" s="942">
        <f>X32+X33</f>
        <v>0</v>
      </c>
      <c r="Y31" s="942">
        <f>Y32+Y33</f>
        <v>3053.2699999999995</v>
      </c>
      <c r="Z31" s="942">
        <f>Z32+Z33</f>
        <v>223.52</v>
      </c>
      <c r="AM31" s="1111"/>
      <c r="AN31" s="1111"/>
      <c r="AO31" s="1111"/>
      <c r="AP31" s="1111"/>
      <c r="AQ31" s="1111"/>
      <c r="AR31" s="1112"/>
      <c r="AS31" s="1111"/>
      <c r="AT31" s="1111"/>
      <c r="AU31" s="1111"/>
      <c r="AV31" s="1111"/>
      <c r="AW31" s="1111"/>
      <c r="AX31" s="1112"/>
      <c r="AY31" s="1111"/>
      <c r="AZ31" s="1111"/>
      <c r="BA31" s="1111"/>
      <c r="BB31" s="1111"/>
      <c r="BC31" s="1111"/>
    </row>
    <row r="32" spans="1:66">
      <c r="A32" s="934" t="s">
        <v>850</v>
      </c>
      <c r="B32" s="951" t="s">
        <v>816</v>
      </c>
      <c r="C32" s="948"/>
      <c r="D32" s="942">
        <f t="shared" si="0"/>
        <v>1524.1038596160179</v>
      </c>
      <c r="E32" s="939"/>
      <c r="F32" s="939"/>
      <c r="G32" s="939">
        <v>1467.9066285560043</v>
      </c>
      <c r="H32" s="939">
        <v>56.197231060013522</v>
      </c>
      <c r="I32" s="948"/>
      <c r="J32" s="942">
        <f t="shared" si="1"/>
        <v>1399.76</v>
      </c>
      <c r="K32" s="939"/>
      <c r="L32" s="939"/>
      <c r="M32" s="939">
        <f>AI11/1000+AI14/1000</f>
        <v>1305.828</v>
      </c>
      <c r="N32" s="939">
        <f>AJ11/1000</f>
        <v>93.932000000000002</v>
      </c>
      <c r="P32" s="942"/>
      <c r="Q32" s="939"/>
      <c r="R32" s="939"/>
      <c r="S32" s="939">
        <v>2.2599999999999998</v>
      </c>
      <c r="T32" s="939">
        <v>2.2599999999999998</v>
      </c>
      <c r="V32" s="942">
        <f t="shared" si="2"/>
        <v>2680.89</v>
      </c>
      <c r="W32" s="939"/>
      <c r="X32" s="939"/>
      <c r="Y32" s="939">
        <f>ROUND(M32*S32/1.18,2)</f>
        <v>2500.9899999999998</v>
      </c>
      <c r="Z32" s="939">
        <f>ROUND(N32*T32/1.18,2)</f>
        <v>179.9</v>
      </c>
      <c r="AM32" s="1111"/>
      <c r="AN32" s="1111"/>
      <c r="AO32" s="1111"/>
      <c r="AP32" s="1111"/>
      <c r="AQ32" s="1111"/>
      <c r="AR32" s="1112"/>
      <c r="AS32" s="1111"/>
      <c r="AT32" s="1111"/>
      <c r="AU32" s="1111"/>
      <c r="AV32" s="1111"/>
      <c r="AW32" s="1111"/>
      <c r="AX32" s="1112"/>
      <c r="AY32" s="1111"/>
      <c r="AZ32" s="1111"/>
      <c r="BA32" s="1111"/>
      <c r="BB32" s="1111"/>
      <c r="BC32" s="1111"/>
    </row>
    <row r="33" spans="1:55">
      <c r="A33" s="934" t="s">
        <v>851</v>
      </c>
      <c r="B33" s="951" t="s">
        <v>818</v>
      </c>
      <c r="C33" s="948"/>
      <c r="D33" s="942">
        <f t="shared" si="0"/>
        <v>2312.2411652270471</v>
      </c>
      <c r="E33" s="939"/>
      <c r="F33" s="939"/>
      <c r="G33" s="939">
        <v>2277.7130330370242</v>
      </c>
      <c r="H33" s="939">
        <v>34.528132190022788</v>
      </c>
      <c r="I33" s="948"/>
      <c r="J33" s="942">
        <f t="shared" si="1"/>
        <v>622.27499999999998</v>
      </c>
      <c r="K33" s="939"/>
      <c r="L33" s="939"/>
      <c r="M33" s="939">
        <f>AI12/1000+AI15/1000</f>
        <v>576.72199999999998</v>
      </c>
      <c r="N33" s="939">
        <f>AJ12/1000</f>
        <v>45.552999999999997</v>
      </c>
      <c r="P33" s="942"/>
      <c r="Q33" s="939"/>
      <c r="R33" s="939"/>
      <c r="S33" s="939">
        <v>1.1299999999999999</v>
      </c>
      <c r="T33" s="939">
        <v>1.1299999999999999</v>
      </c>
      <c r="V33" s="942">
        <f t="shared" si="2"/>
        <v>595.9</v>
      </c>
      <c r="W33" s="939"/>
      <c r="X33" s="939"/>
      <c r="Y33" s="939">
        <f>ROUND(M33*S33/1.18,2)</f>
        <v>552.28</v>
      </c>
      <c r="Z33" s="939">
        <f>ROUND(N33*T33/1.18,2)</f>
        <v>43.62</v>
      </c>
      <c r="AM33" s="1111"/>
      <c r="AN33" s="1111"/>
      <c r="AO33" s="1111"/>
      <c r="AP33" s="1111"/>
      <c r="AQ33" s="1111"/>
      <c r="AR33" s="1112"/>
      <c r="AS33" s="1111"/>
      <c r="AT33" s="1111"/>
      <c r="AU33" s="1111"/>
      <c r="AV33" s="1111"/>
      <c r="AW33" s="1111"/>
      <c r="AX33" s="1112"/>
      <c r="AY33" s="1111"/>
      <c r="AZ33" s="1111"/>
      <c r="BA33" s="1111"/>
      <c r="BB33" s="1111"/>
      <c r="BC33" s="1111"/>
    </row>
    <row r="34" spans="1:55" ht="15">
      <c r="B34" s="1096"/>
      <c r="P34" s="1096"/>
      <c r="Q34" s="1096"/>
      <c r="R34" s="1096"/>
      <c r="AM34" s="1112"/>
      <c r="AN34" s="1112"/>
      <c r="AO34" s="1112"/>
      <c r="AP34" s="1112"/>
      <c r="AQ34" s="1112"/>
      <c r="AR34" s="1112"/>
      <c r="AS34" s="1113"/>
      <c r="AT34" s="1113"/>
      <c r="AU34" s="1113"/>
      <c r="AV34" s="1112"/>
      <c r="AW34" s="1112"/>
      <c r="AX34" s="1112"/>
      <c r="AY34" s="1112"/>
      <c r="AZ34" s="1112"/>
      <c r="BA34" s="1112"/>
      <c r="BB34" s="1112"/>
      <c r="BC34" s="1112"/>
    </row>
    <row r="35" spans="1:55" ht="15">
      <c r="B35" s="1097"/>
      <c r="C35" s="842" t="s">
        <v>553</v>
      </c>
      <c r="D35" s="1098">
        <f>(D6+D15+D33)/D1</f>
        <v>0.25543752820751059</v>
      </c>
      <c r="I35" s="842" t="s">
        <v>553</v>
      </c>
      <c r="J35" s="1140">
        <f>(J6+J15+J33)/J1</f>
        <v>0.18664477254200681</v>
      </c>
      <c r="P35" s="1098"/>
      <c r="R35" s="1098"/>
      <c r="V35" s="1098"/>
      <c r="AE35" s="1139">
        <f>IFERROR('Шаблон 46 ГП'!C27/1000,0)</f>
        <v>24830.239000000001</v>
      </c>
      <c r="AM35" s="1107"/>
      <c r="AN35" s="1106"/>
      <c r="AO35" s="1106"/>
      <c r="AP35" s="1106"/>
      <c r="AQ35" s="1108"/>
      <c r="AR35" s="1106"/>
      <c r="AS35" s="1107"/>
      <c r="AT35" s="1106"/>
      <c r="AU35" s="1107"/>
      <c r="AV35" s="1106"/>
      <c r="AW35" s="1106"/>
      <c r="AX35" s="1106"/>
      <c r="AY35" s="1106"/>
      <c r="AZ35" s="1106"/>
      <c r="BA35" s="1106"/>
      <c r="BB35" s="1106"/>
      <c r="BC35" s="1106"/>
    </row>
    <row r="36" spans="1:55" ht="15">
      <c r="B36" s="1097"/>
      <c r="C36" s="842" t="s">
        <v>1178</v>
      </c>
      <c r="D36" s="1098">
        <f>(D2+D29)/D1</f>
        <v>0.15227804244633</v>
      </c>
      <c r="I36" s="842" t="s">
        <v>1178</v>
      </c>
      <c r="J36" s="1140">
        <f>(J2+J29)/J1</f>
        <v>0.14590259436810096</v>
      </c>
      <c r="P36" s="1098"/>
      <c r="R36" s="1098"/>
      <c r="V36" s="1098"/>
      <c r="AE36" s="1139">
        <f>J1</f>
        <v>24745.755999999998</v>
      </c>
      <c r="AM36" s="1107"/>
      <c r="AN36" s="1106"/>
      <c r="AO36" s="1106"/>
      <c r="AP36" s="1106"/>
      <c r="AQ36" s="1106"/>
      <c r="AR36" s="1106"/>
      <c r="AS36" s="1107"/>
      <c r="AT36" s="1106"/>
      <c r="AU36" s="1107"/>
      <c r="AV36" s="1106"/>
      <c r="AW36" s="1106"/>
      <c r="AX36" s="1106"/>
      <c r="AY36" s="1106"/>
      <c r="AZ36" s="1106"/>
      <c r="BA36" s="1106"/>
      <c r="BB36" s="1106"/>
      <c r="BC36" s="1106"/>
    </row>
    <row r="37" spans="1:55" ht="15">
      <c r="AE37" s="1139">
        <f>AE35-AE36</f>
        <v>84.483000000003813</v>
      </c>
      <c r="AM37" s="1106"/>
      <c r="AN37" s="1106"/>
      <c r="AO37" s="1106"/>
      <c r="AP37" s="1106"/>
      <c r="AQ37" s="1106"/>
      <c r="AR37" s="1106"/>
      <c r="AS37" s="1106"/>
      <c r="AT37" s="1106"/>
      <c r="AU37" s="1106"/>
      <c r="AV37" s="1106"/>
      <c r="AW37" s="1106"/>
      <c r="AX37" s="1106"/>
      <c r="AY37" s="1106"/>
      <c r="AZ37" s="1106"/>
      <c r="BA37" s="1106"/>
      <c r="BB37" s="1106"/>
      <c r="BC37" s="1106"/>
    </row>
    <row r="38" spans="1:55" ht="18.75">
      <c r="B38" s="1137">
        <v>2014</v>
      </c>
      <c r="C38" s="842" t="s">
        <v>553</v>
      </c>
      <c r="D38" s="1098">
        <f>(D9+D18+D36)/D4</f>
        <v>3.8819901123943472E-4</v>
      </c>
      <c r="I38" s="842" t="s">
        <v>553</v>
      </c>
      <c r="J38" s="1098">
        <v>0.235322275995756</v>
      </c>
      <c r="AM38" s="1111"/>
      <c r="AN38" s="1106"/>
      <c r="AO38" s="1106"/>
      <c r="AP38" s="1106"/>
      <c r="AQ38" s="1109"/>
      <c r="AR38" s="1106"/>
      <c r="AS38" s="1106"/>
      <c r="AT38" s="1106"/>
      <c r="AU38" s="1106"/>
      <c r="AV38" s="1106"/>
      <c r="AW38" s="1106"/>
      <c r="AX38" s="1106"/>
      <c r="AY38" s="1106"/>
      <c r="AZ38" s="1106"/>
      <c r="BA38" s="1106"/>
      <c r="BB38" s="1106"/>
      <c r="BC38" s="1106"/>
    </row>
    <row r="39" spans="1:55">
      <c r="B39" s="1138"/>
      <c r="C39" s="842" t="s">
        <v>1178</v>
      </c>
      <c r="D39" s="1098">
        <f>(D5+D32)/D4</f>
        <v>4.6676858482092873</v>
      </c>
      <c r="I39" s="842" t="s">
        <v>1178</v>
      </c>
      <c r="J39" s="1098">
        <v>0.13427171274509953</v>
      </c>
      <c r="AM39" s="1107"/>
      <c r="AN39" s="1106"/>
      <c r="AO39" s="1106"/>
      <c r="AP39" s="1106"/>
      <c r="AQ39" s="1106"/>
      <c r="AR39" s="1106"/>
      <c r="AS39" s="1106"/>
      <c r="AT39" s="1106"/>
      <c r="AU39" s="1106"/>
      <c r="AV39" s="1106"/>
      <c r="AW39" s="1106"/>
      <c r="AX39" s="1106"/>
      <c r="AY39" s="1106"/>
      <c r="AZ39" s="1106"/>
      <c r="BA39" s="1106"/>
      <c r="BB39" s="1106"/>
      <c r="BC39" s="1106"/>
    </row>
    <row r="40" spans="1:55">
      <c r="B40" s="1138"/>
    </row>
    <row r="41" spans="1:55" ht="18.75">
      <c r="B41" s="1137">
        <v>2015</v>
      </c>
      <c r="C41" s="842" t="s">
        <v>553</v>
      </c>
      <c r="D41" s="1098" t="e">
        <f>(D12+D21+D39)/D7</f>
        <v>#DIV/0!</v>
      </c>
      <c r="I41" s="842" t="s">
        <v>553</v>
      </c>
      <c r="J41" s="1098">
        <v>0.17256005420515169</v>
      </c>
      <c r="AM41" s="1098"/>
    </row>
    <row r="42" spans="1:55">
      <c r="C42" s="842" t="s">
        <v>1178</v>
      </c>
      <c r="D42" s="1098" t="e">
        <f>(D8+D35)/D7</f>
        <v>#DIV/0!</v>
      </c>
      <c r="I42" s="842" t="s">
        <v>1178</v>
      </c>
      <c r="J42" s="1098">
        <v>0.1342716590724429</v>
      </c>
      <c r="AM42" s="1098"/>
    </row>
    <row r="44" spans="1:55" ht="26.25">
      <c r="B44" s="1099" t="s">
        <v>1179</v>
      </c>
    </row>
    <row r="46" spans="1:55" ht="40.5" customHeight="1">
      <c r="A46" s="4312" t="s">
        <v>1180</v>
      </c>
      <c r="B46" s="4312" t="s">
        <v>1181</v>
      </c>
      <c r="C46" s="4313" t="s">
        <v>1182</v>
      </c>
      <c r="D46" s="4313"/>
      <c r="E46" s="4313"/>
      <c r="F46" s="4313"/>
      <c r="G46" s="4313"/>
      <c r="H46" s="4313"/>
      <c r="I46" s="4313"/>
      <c r="J46" s="4313"/>
      <c r="K46" s="4312" t="s">
        <v>1183</v>
      </c>
      <c r="L46" s="4312"/>
    </row>
    <row r="47" spans="1:55" ht="18.75">
      <c r="A47" s="4312" t="s">
        <v>1180</v>
      </c>
      <c r="B47" s="4312"/>
      <c r="C47" s="1100" t="s">
        <v>553</v>
      </c>
      <c r="D47" s="1100"/>
      <c r="E47" s="1100"/>
      <c r="F47" s="1100"/>
      <c r="G47" s="1100"/>
      <c r="H47" s="1100"/>
      <c r="I47" s="1100"/>
      <c r="J47" s="1100" t="s">
        <v>1178</v>
      </c>
      <c r="K47" s="4314" t="s">
        <v>1184</v>
      </c>
      <c r="L47" s="4314"/>
    </row>
    <row r="48" spans="1:55" ht="18.75">
      <c r="A48" s="1101">
        <v>1</v>
      </c>
      <c r="B48" s="1101" t="s">
        <v>1185</v>
      </c>
      <c r="C48" s="1102">
        <f>J38</f>
        <v>0.235322275995756</v>
      </c>
      <c r="D48" s="1102">
        <v>0.13427171274509953</v>
      </c>
      <c r="E48" s="1102"/>
      <c r="F48" s="1102"/>
      <c r="G48" s="1102"/>
      <c r="H48" s="1102"/>
      <c r="I48" s="1102"/>
      <c r="J48" s="1102">
        <f>J39</f>
        <v>0.13427171274509953</v>
      </c>
      <c r="K48" s="4315"/>
      <c r="L48" s="4315"/>
    </row>
    <row r="49" spans="1:55" ht="18.75">
      <c r="A49" s="1101">
        <v>2</v>
      </c>
      <c r="B49" s="1101" t="s">
        <v>1186</v>
      </c>
      <c r="C49" s="1102">
        <f>J41</f>
        <v>0.17256005420515169</v>
      </c>
      <c r="D49" s="1102"/>
      <c r="E49" s="1102"/>
      <c r="F49" s="1102"/>
      <c r="G49" s="1102"/>
      <c r="H49" s="1102"/>
      <c r="I49" s="1102"/>
      <c r="J49" s="1102">
        <f>J42</f>
        <v>0.1342716590724429</v>
      </c>
      <c r="K49" s="4315"/>
      <c r="L49" s="4315"/>
    </row>
    <row r="50" spans="1:55" ht="18.75">
      <c r="A50" s="1101">
        <v>3</v>
      </c>
      <c r="B50" s="1101" t="s">
        <v>1187</v>
      </c>
      <c r="C50" s="1102">
        <f>J35</f>
        <v>0.18664477254200681</v>
      </c>
      <c r="D50" s="1102"/>
      <c r="E50" s="1102"/>
      <c r="F50" s="1102"/>
      <c r="G50" s="1102"/>
      <c r="H50" s="1102"/>
      <c r="I50" s="1102"/>
      <c r="J50" s="1102">
        <f>J36</f>
        <v>0.14590259436810096</v>
      </c>
      <c r="K50" s="4310">
        <f>V1</f>
        <v>29927.62</v>
      </c>
      <c r="L50" s="4310"/>
    </row>
    <row r="51" spans="1:55" ht="18.75">
      <c r="A51" s="1104"/>
      <c r="B51" s="1104"/>
      <c r="C51" s="1105"/>
      <c r="D51" s="1105"/>
      <c r="E51" s="1105"/>
      <c r="F51" s="1105"/>
      <c r="G51" s="1105"/>
      <c r="H51" s="1105"/>
      <c r="I51" s="1105"/>
      <c r="J51" s="1105"/>
      <c r="K51" s="1104"/>
      <c r="M51" s="1103"/>
      <c r="N51" s="1103"/>
      <c r="O51" s="1103"/>
      <c r="P51" s="1103"/>
      <c r="Q51" s="1103"/>
      <c r="R51" s="1103"/>
      <c r="S51" s="1103"/>
      <c r="T51" s="1103"/>
      <c r="U51" s="1103"/>
      <c r="V51" s="1103"/>
      <c r="W51" s="1103"/>
      <c r="X51" s="1103"/>
      <c r="Y51" s="1103"/>
      <c r="Z51" s="1103"/>
      <c r="AA51" s="1103"/>
      <c r="AB51" s="1103"/>
      <c r="AC51" s="1103"/>
      <c r="AD51" s="1103"/>
      <c r="AE51" s="1103"/>
      <c r="AF51" s="1103"/>
      <c r="AG51" s="1103"/>
      <c r="AH51" s="1103"/>
      <c r="AI51" s="1103"/>
      <c r="AJ51" s="1103"/>
      <c r="AK51" s="1103"/>
      <c r="AL51" s="1103"/>
      <c r="AM51" s="1103"/>
      <c r="AN51" s="1103"/>
      <c r="AO51" s="1103"/>
      <c r="AP51" s="1103"/>
      <c r="AQ51" s="1103"/>
      <c r="AR51" s="1103"/>
      <c r="AS51" s="1103"/>
      <c r="AT51" s="1103"/>
      <c r="AU51" s="1103"/>
      <c r="AV51" s="1103"/>
      <c r="AW51" s="1103"/>
      <c r="AX51" s="1103"/>
      <c r="AY51" s="1103"/>
      <c r="AZ51" s="1103"/>
      <c r="BA51" s="1103"/>
      <c r="BB51" s="1103"/>
      <c r="BC51" s="1103"/>
    </row>
    <row r="52" spans="1:55" ht="18.75">
      <c r="A52" s="1104"/>
      <c r="B52" s="4311" t="s">
        <v>1188</v>
      </c>
      <c r="C52" s="4311"/>
      <c r="D52" s="4311"/>
      <c r="E52" s="4311"/>
      <c r="F52" s="4311"/>
      <c r="G52" s="4311"/>
      <c r="H52" s="4311"/>
      <c r="I52" s="4311"/>
      <c r="J52" s="4311"/>
      <c r="K52" s="4311"/>
      <c r="L52" s="4311"/>
      <c r="M52" s="4311"/>
      <c r="N52" s="4311"/>
      <c r="O52" s="4311"/>
      <c r="P52" s="4311"/>
      <c r="Q52" s="4311"/>
      <c r="R52" s="4311"/>
      <c r="S52" s="4311"/>
      <c r="T52" s="4311"/>
      <c r="U52" s="4311"/>
      <c r="V52" s="4311"/>
      <c r="W52" s="4311"/>
      <c r="X52" s="4311"/>
      <c r="Y52" s="4311"/>
      <c r="Z52" s="4311"/>
      <c r="AA52" s="4311"/>
      <c r="AB52" s="4311"/>
      <c r="AC52" s="4311"/>
      <c r="AD52" s="4311"/>
      <c r="AE52" s="4311"/>
      <c r="AF52" s="4311"/>
      <c r="AG52" s="4311"/>
      <c r="AH52" s="4311"/>
      <c r="AI52" s="4311"/>
      <c r="AJ52" s="4311"/>
      <c r="AK52" s="4311"/>
      <c r="AL52" s="4311"/>
      <c r="AM52" s="4311"/>
      <c r="AN52" s="4311"/>
      <c r="AO52" s="4311"/>
      <c r="AP52" s="4311"/>
      <c r="AQ52" s="4311"/>
      <c r="AR52" s="4311"/>
    </row>
    <row r="53" spans="1:55" ht="18.75">
      <c r="A53" s="1104"/>
      <c r="B53" s="4311"/>
      <c r="C53" s="4311"/>
      <c r="D53" s="4311"/>
      <c r="E53" s="4311"/>
      <c r="F53" s="4311"/>
      <c r="G53" s="4311"/>
      <c r="H53" s="4311"/>
      <c r="I53" s="4311"/>
      <c r="J53" s="4311"/>
      <c r="K53" s="4311"/>
      <c r="L53" s="4311"/>
      <c r="M53" s="4311"/>
      <c r="N53" s="4311"/>
      <c r="O53" s="4311"/>
      <c r="P53" s="4311"/>
      <c r="Q53" s="4311"/>
      <c r="R53" s="4311"/>
      <c r="S53" s="4311"/>
      <c r="T53" s="4311"/>
      <c r="U53" s="4311"/>
      <c r="V53" s="4311"/>
      <c r="W53" s="4311"/>
      <c r="X53" s="4311"/>
      <c r="Y53" s="4311"/>
      <c r="Z53" s="4311"/>
      <c r="AA53" s="4311"/>
      <c r="AB53" s="4311"/>
      <c r="AC53" s="4311"/>
      <c r="AD53" s="4311"/>
      <c r="AE53" s="4311"/>
      <c r="AF53" s="4311"/>
      <c r="AG53" s="4311"/>
      <c r="AH53" s="4311"/>
      <c r="AI53" s="4311"/>
      <c r="AJ53" s="4311"/>
      <c r="AK53" s="4311"/>
      <c r="AL53" s="4311"/>
      <c r="AM53" s="4311"/>
      <c r="AN53" s="4311"/>
      <c r="AO53" s="4311"/>
      <c r="AP53" s="4311"/>
      <c r="AQ53" s="4311"/>
      <c r="AR53" s="4311"/>
    </row>
  </sheetData>
  <mergeCells count="8">
    <mergeCell ref="K50:L50"/>
    <mergeCell ref="B52:AR53"/>
    <mergeCell ref="A46:A47"/>
    <mergeCell ref="B46:B47"/>
    <mergeCell ref="C46:J46"/>
    <mergeCell ref="K46:L46"/>
    <mergeCell ref="K47:L47"/>
    <mergeCell ref="K48:L49"/>
  </mergeCells>
  <dataValidations count="1">
    <dataValidation type="decimal" allowBlank="1" showInputMessage="1" showErrorMessage="1" errorTitle="Внимание" error="Допускается ввод только действительных чисел!" sqref="D1:H33 AR11:AR17 V1:Z33 P1:T33 AR3:AR4 AY1:BC33 AS1:AW33 AM1:AQ33 J1:N33">
      <formula1>-9.99999999999999E+23</formula1>
      <formula2>9.99999999999999E+23</formula2>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5"/>
  <sheetViews>
    <sheetView topLeftCell="A3" workbookViewId="0">
      <selection activeCell="K51" sqref="K51"/>
    </sheetView>
  </sheetViews>
  <sheetFormatPr defaultColWidth="8.7109375" defaultRowHeight="12.75"/>
  <cols>
    <col min="1" max="1" width="51.7109375" style="842" customWidth="1"/>
    <col min="2" max="2" width="18.42578125" style="842" bestFit="1" customWidth="1"/>
    <col min="3" max="3" width="19.7109375" style="842" customWidth="1"/>
    <col min="4" max="16384" width="8.7109375" style="842"/>
  </cols>
  <sheetData>
    <row r="1" spans="1:2" hidden="1">
      <c r="A1" s="1141"/>
      <c r="B1" s="1141" t="s">
        <v>1189</v>
      </c>
    </row>
    <row r="2" spans="1:2" ht="15" hidden="1">
      <c r="A2" s="1142"/>
      <c r="B2" s="1141" t="s">
        <v>1190</v>
      </c>
    </row>
    <row r="3" spans="1:2" ht="16.5" customHeight="1">
      <c r="A3" s="1143" t="s">
        <v>1191</v>
      </c>
      <c r="B3" s="1144" t="s">
        <v>1192</v>
      </c>
    </row>
    <row r="4" spans="1:2">
      <c r="A4" s="1143" t="s">
        <v>1193</v>
      </c>
      <c r="B4" s="1144" t="s">
        <v>1194</v>
      </c>
    </row>
    <row r="5" spans="1:2">
      <c r="A5" s="1143" t="s">
        <v>1195</v>
      </c>
      <c r="B5" s="1145">
        <v>71</v>
      </c>
    </row>
  </sheetData>
  <dataValidations count="2">
    <dataValidation type="textLength" operator="equal" allowBlank="1" showInputMessage="1" showErrorMessage="1" error="Код участника должен содержать 8 символов" sqref="B4">
      <formula1>8</formula1>
    </dataValidation>
    <dataValidation type="textLength" operator="equal" allowBlank="1" showInputMessage="1" showErrorMessage="1" error="Длина поля должна быть 8 символов" sqref="B3">
      <formula1>8</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68"/>
  <sheetViews>
    <sheetView workbookViewId="0">
      <selection activeCell="K51" sqref="K51"/>
    </sheetView>
  </sheetViews>
  <sheetFormatPr defaultColWidth="8.7109375" defaultRowHeight="12.75"/>
  <cols>
    <col min="1" max="1" width="8.28515625" style="842" customWidth="1"/>
    <col min="2" max="2" width="42.7109375" style="842" customWidth="1"/>
    <col min="3" max="16384" width="8.7109375" style="842"/>
  </cols>
  <sheetData>
    <row r="1" spans="1:2">
      <c r="A1" s="1143" t="s">
        <v>1196</v>
      </c>
      <c r="B1" s="1143" t="s">
        <v>746</v>
      </c>
    </row>
    <row r="2" spans="1:2">
      <c r="A2" s="1143">
        <v>1</v>
      </c>
      <c r="B2" s="1143" t="s">
        <v>1197</v>
      </c>
    </row>
    <row r="3" spans="1:2">
      <c r="A3" s="1143">
        <v>3</v>
      </c>
      <c r="B3" s="1143" t="s">
        <v>1198</v>
      </c>
    </row>
    <row r="4" spans="1:2">
      <c r="A4" s="1143">
        <v>4</v>
      </c>
      <c r="B4" s="1143" t="s">
        <v>1199</v>
      </c>
    </row>
    <row r="5" spans="1:2">
      <c r="A5" s="1143">
        <v>7</v>
      </c>
      <c r="B5" s="1143" t="s">
        <v>1200</v>
      </c>
    </row>
    <row r="6" spans="1:2">
      <c r="A6" s="1143">
        <v>12</v>
      </c>
      <c r="B6" s="1143" t="s">
        <v>1201</v>
      </c>
    </row>
    <row r="7" spans="1:2">
      <c r="A7" s="1143">
        <v>14</v>
      </c>
      <c r="B7" s="1143" t="s">
        <v>1202</v>
      </c>
    </row>
    <row r="8" spans="1:2">
      <c r="A8" s="1143">
        <v>15</v>
      </c>
      <c r="B8" s="1143" t="s">
        <v>1203</v>
      </c>
    </row>
    <row r="9" spans="1:2">
      <c r="A9" s="1143">
        <v>17</v>
      </c>
      <c r="B9" s="1143" t="s">
        <v>1204</v>
      </c>
    </row>
    <row r="10" spans="1:2">
      <c r="A10" s="1143">
        <v>18</v>
      </c>
      <c r="B10" s="1143" t="s">
        <v>1205</v>
      </c>
    </row>
    <row r="11" spans="1:2">
      <c r="A11" s="1143">
        <v>19</v>
      </c>
      <c r="B11" s="1143" t="s">
        <v>1206</v>
      </c>
    </row>
    <row r="12" spans="1:2">
      <c r="A12" s="1143">
        <v>20</v>
      </c>
      <c r="B12" s="1143" t="s">
        <v>1207</v>
      </c>
    </row>
    <row r="13" spans="1:2">
      <c r="A13" s="1143">
        <v>22</v>
      </c>
      <c r="B13" s="1143" t="s">
        <v>1208</v>
      </c>
    </row>
    <row r="14" spans="1:2">
      <c r="A14" s="1143">
        <v>24</v>
      </c>
      <c r="B14" s="1143" t="s">
        <v>1209</v>
      </c>
    </row>
    <row r="15" spans="1:2">
      <c r="A15" s="1143">
        <v>25</v>
      </c>
      <c r="B15" s="1143" t="s">
        <v>1210</v>
      </c>
    </row>
    <row r="16" spans="1:2">
      <c r="A16" s="1143">
        <v>26</v>
      </c>
      <c r="B16" s="1143" t="s">
        <v>1211</v>
      </c>
    </row>
    <row r="17" spans="1:2">
      <c r="A17" s="1143">
        <v>28</v>
      </c>
      <c r="B17" s="1143" t="s">
        <v>1212</v>
      </c>
    </row>
    <row r="18" spans="1:2">
      <c r="A18" s="1143">
        <v>29</v>
      </c>
      <c r="B18" s="1143" t="s">
        <v>1213</v>
      </c>
    </row>
    <row r="19" spans="1:2">
      <c r="A19" s="1143">
        <v>32</v>
      </c>
      <c r="B19" s="1143" t="s">
        <v>1214</v>
      </c>
    </row>
    <row r="20" spans="1:2">
      <c r="A20" s="1143">
        <v>33</v>
      </c>
      <c r="B20" s="1143" t="s">
        <v>1215</v>
      </c>
    </row>
    <row r="21" spans="1:2">
      <c r="A21" s="1143">
        <v>34</v>
      </c>
      <c r="B21" s="1143" t="s">
        <v>1216</v>
      </c>
    </row>
    <row r="22" spans="1:2">
      <c r="A22" s="1143">
        <v>36</v>
      </c>
      <c r="B22" s="1143" t="s">
        <v>1217</v>
      </c>
    </row>
    <row r="23" spans="1:2">
      <c r="A23" s="1143">
        <v>37</v>
      </c>
      <c r="B23" s="1143" t="s">
        <v>1218</v>
      </c>
    </row>
    <row r="24" spans="1:2">
      <c r="A24" s="1143">
        <v>38</v>
      </c>
      <c r="B24" s="1143" t="s">
        <v>1219</v>
      </c>
    </row>
    <row r="25" spans="1:2">
      <c r="A25" s="1143">
        <v>40</v>
      </c>
      <c r="B25" s="1143" t="s">
        <v>1220</v>
      </c>
    </row>
    <row r="26" spans="1:2">
      <c r="A26" s="1143">
        <v>41</v>
      </c>
      <c r="B26" s="1143" t="s">
        <v>1221</v>
      </c>
    </row>
    <row r="27" spans="1:2">
      <c r="A27" s="1143">
        <v>42</v>
      </c>
      <c r="B27" s="1143" t="s">
        <v>1222</v>
      </c>
    </row>
    <row r="28" spans="1:2">
      <c r="A28" s="1143">
        <v>45</v>
      </c>
      <c r="B28" s="1143" t="s">
        <v>1223</v>
      </c>
    </row>
    <row r="29" spans="1:2">
      <c r="A29" s="1143">
        <v>46</v>
      </c>
      <c r="B29" s="1143" t="s">
        <v>1224</v>
      </c>
    </row>
    <row r="30" spans="1:2">
      <c r="A30" s="1143">
        <v>47</v>
      </c>
      <c r="B30" s="1143" t="s">
        <v>1225</v>
      </c>
    </row>
    <row r="31" spans="1:2">
      <c r="A31" s="1143">
        <v>49</v>
      </c>
      <c r="B31" s="1143" t="s">
        <v>1226</v>
      </c>
    </row>
    <row r="32" spans="1:2">
      <c r="A32" s="1143">
        <v>50</v>
      </c>
      <c r="B32" s="1143" t="s">
        <v>1227</v>
      </c>
    </row>
    <row r="33" spans="1:2">
      <c r="A33" s="1143">
        <v>52</v>
      </c>
      <c r="B33" s="1143" t="s">
        <v>1228</v>
      </c>
    </row>
    <row r="34" spans="1:2">
      <c r="A34" s="1143">
        <v>53</v>
      </c>
      <c r="B34" s="1143" t="s">
        <v>1229</v>
      </c>
    </row>
    <row r="35" spans="1:2">
      <c r="A35" s="1143">
        <v>54</v>
      </c>
      <c r="B35" s="1143" t="s">
        <v>1230</v>
      </c>
    </row>
    <row r="36" spans="1:2">
      <c r="A36" s="1143">
        <v>56</v>
      </c>
      <c r="B36" s="1143" t="s">
        <v>1231</v>
      </c>
    </row>
    <row r="37" spans="1:2">
      <c r="A37" s="1143">
        <v>57</v>
      </c>
      <c r="B37" s="1143" t="s">
        <v>1232</v>
      </c>
    </row>
    <row r="38" spans="1:2">
      <c r="A38" s="1143">
        <v>58</v>
      </c>
      <c r="B38" s="1143" t="s">
        <v>1233</v>
      </c>
    </row>
    <row r="39" spans="1:2">
      <c r="A39" s="1143">
        <v>60</v>
      </c>
      <c r="B39" s="1143" t="s">
        <v>1234</v>
      </c>
    </row>
    <row r="40" spans="1:2">
      <c r="A40" s="1143">
        <v>61</v>
      </c>
      <c r="B40" s="1143" t="s">
        <v>1235</v>
      </c>
    </row>
    <row r="41" spans="1:2">
      <c r="A41" s="1143">
        <v>63</v>
      </c>
      <c r="B41" s="1143" t="s">
        <v>1236</v>
      </c>
    </row>
    <row r="42" spans="1:2">
      <c r="A42" s="1143">
        <v>65</v>
      </c>
      <c r="B42" s="1143" t="s">
        <v>1237</v>
      </c>
    </row>
    <row r="43" spans="1:2">
      <c r="A43" s="1143">
        <v>66</v>
      </c>
      <c r="B43" s="1143" t="s">
        <v>1238</v>
      </c>
    </row>
    <row r="44" spans="1:2">
      <c r="A44" s="1143">
        <v>68</v>
      </c>
      <c r="B44" s="1143" t="s">
        <v>1239</v>
      </c>
    </row>
    <row r="45" spans="1:2">
      <c r="A45" s="1143">
        <v>69</v>
      </c>
      <c r="B45" s="1143" t="s">
        <v>1240</v>
      </c>
    </row>
    <row r="46" spans="1:2">
      <c r="A46" s="1143">
        <v>70</v>
      </c>
      <c r="B46" s="1143" t="s">
        <v>1241</v>
      </c>
    </row>
    <row r="47" spans="1:2">
      <c r="A47" s="1143">
        <v>71</v>
      </c>
      <c r="B47" s="1143" t="s">
        <v>1242</v>
      </c>
    </row>
    <row r="48" spans="1:2">
      <c r="A48" s="1143">
        <v>73</v>
      </c>
      <c r="B48" s="1143" t="s">
        <v>1243</v>
      </c>
    </row>
    <row r="49" spans="1:2">
      <c r="A49" s="1143">
        <v>75</v>
      </c>
      <c r="B49" s="1143" t="s">
        <v>1244</v>
      </c>
    </row>
    <row r="50" spans="1:2">
      <c r="A50" s="1143">
        <v>76200</v>
      </c>
      <c r="B50" s="1143" t="s">
        <v>1245</v>
      </c>
    </row>
    <row r="51" spans="1:2">
      <c r="A51" s="1143">
        <v>78</v>
      </c>
      <c r="B51" s="1143" t="s">
        <v>1246</v>
      </c>
    </row>
    <row r="52" spans="1:2">
      <c r="A52" s="1143">
        <v>80</v>
      </c>
      <c r="B52" s="1143" t="s">
        <v>1247</v>
      </c>
    </row>
    <row r="53" spans="1:2">
      <c r="A53" s="1143">
        <v>81</v>
      </c>
      <c r="B53" s="1143" t="s">
        <v>1248</v>
      </c>
    </row>
    <row r="54" spans="1:2">
      <c r="A54" s="1143">
        <v>82</v>
      </c>
      <c r="B54" s="1143" t="s">
        <v>1249</v>
      </c>
    </row>
    <row r="55" spans="1:2">
      <c r="A55" s="1143">
        <v>83</v>
      </c>
      <c r="B55" s="1143" t="s">
        <v>1250</v>
      </c>
    </row>
    <row r="56" spans="1:2">
      <c r="A56" s="1143">
        <v>84</v>
      </c>
      <c r="B56" s="1143" t="s">
        <v>1251</v>
      </c>
    </row>
    <row r="57" spans="1:2">
      <c r="A57" s="1143">
        <v>85</v>
      </c>
      <c r="B57" s="1143" t="s">
        <v>1252</v>
      </c>
    </row>
    <row r="58" spans="1:2">
      <c r="A58" s="1143">
        <v>86</v>
      </c>
      <c r="B58" s="1143" t="s">
        <v>1253</v>
      </c>
    </row>
    <row r="59" spans="1:2">
      <c r="A59" s="1143">
        <v>88</v>
      </c>
      <c r="B59" s="1143" t="s">
        <v>1254</v>
      </c>
    </row>
    <row r="60" spans="1:2">
      <c r="A60" s="1143">
        <v>89</v>
      </c>
      <c r="B60" s="1143" t="s">
        <v>1255</v>
      </c>
    </row>
    <row r="61" spans="1:2">
      <c r="A61" s="1143">
        <v>90</v>
      </c>
      <c r="B61" s="1143" t="s">
        <v>1256</v>
      </c>
    </row>
    <row r="62" spans="1:2">
      <c r="A62" s="1143">
        <v>91</v>
      </c>
      <c r="B62" s="1143" t="s">
        <v>1257</v>
      </c>
    </row>
    <row r="63" spans="1:2">
      <c r="A63" s="1143">
        <v>92</v>
      </c>
      <c r="B63" s="1143" t="s">
        <v>1258</v>
      </c>
    </row>
    <row r="64" spans="1:2">
      <c r="A64" s="1143">
        <v>93</v>
      </c>
      <c r="B64" s="1143" t="s">
        <v>1259</v>
      </c>
    </row>
    <row r="65" spans="1:2">
      <c r="A65" s="1143">
        <v>94</v>
      </c>
      <c r="B65" s="1143" t="s">
        <v>1260</v>
      </c>
    </row>
    <row r="66" spans="1:2">
      <c r="A66" s="1143">
        <v>95</v>
      </c>
      <c r="B66" s="1143" t="s">
        <v>1261</v>
      </c>
    </row>
    <row r="67" spans="1:2">
      <c r="A67" s="1143">
        <v>96</v>
      </c>
      <c r="B67" s="1143" t="s">
        <v>1262</v>
      </c>
    </row>
    <row r="68" spans="1:2">
      <c r="A68" s="1143">
        <v>97</v>
      </c>
      <c r="B68" s="1143" t="s">
        <v>1263</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14"/>
  <sheetViews>
    <sheetView workbookViewId="0">
      <selection activeCell="K51" sqref="K51"/>
    </sheetView>
  </sheetViews>
  <sheetFormatPr defaultRowHeight="12.75"/>
  <cols>
    <col min="2" max="2" width="52.7109375" customWidth="1"/>
  </cols>
  <sheetData>
    <row r="1" spans="1:2">
      <c r="A1" s="1143" t="s">
        <v>1196</v>
      </c>
      <c r="B1" s="1143" t="s">
        <v>746</v>
      </c>
    </row>
    <row r="2" spans="1:2">
      <c r="A2" s="1146">
        <v>0</v>
      </c>
      <c r="B2" s="1146" t="s">
        <v>1264</v>
      </c>
    </row>
    <row r="3" spans="1:2">
      <c r="A3" s="1146">
        <v>1</v>
      </c>
      <c r="B3" s="1146" t="s">
        <v>1265</v>
      </c>
    </row>
    <row r="4" spans="1:2">
      <c r="A4" s="1146">
        <v>2</v>
      </c>
      <c r="B4" s="1146" t="s">
        <v>439</v>
      </c>
    </row>
    <row r="5" spans="1:2">
      <c r="A5" s="1146">
        <v>3</v>
      </c>
      <c r="B5" s="1146" t="s">
        <v>514</v>
      </c>
    </row>
    <row r="6" spans="1:2">
      <c r="A6" s="1146">
        <v>4</v>
      </c>
      <c r="B6" s="1146" t="s">
        <v>1266</v>
      </c>
    </row>
    <row r="7" spans="1:2">
      <c r="A7" s="1146">
        <v>5</v>
      </c>
      <c r="B7" s="1146" t="s">
        <v>1267</v>
      </c>
    </row>
    <row r="8" spans="1:2">
      <c r="A8" s="1146">
        <v>6</v>
      </c>
      <c r="B8" s="1146" t="s">
        <v>1268</v>
      </c>
    </row>
    <row r="9" spans="1:2">
      <c r="A9" s="1146">
        <v>7</v>
      </c>
      <c r="B9" s="1146" t="s">
        <v>1269</v>
      </c>
    </row>
    <row r="10" spans="1:2">
      <c r="A10" s="1146">
        <v>8</v>
      </c>
      <c r="B10" s="1146" t="s">
        <v>1270</v>
      </c>
    </row>
    <row r="11" spans="1:2">
      <c r="A11" s="1146">
        <v>9</v>
      </c>
      <c r="B11" s="1146" t="s">
        <v>1271</v>
      </c>
    </row>
    <row r="12" spans="1:2">
      <c r="A12" s="1146">
        <v>10</v>
      </c>
      <c r="B12" s="1146" t="s">
        <v>1272</v>
      </c>
    </row>
    <row r="13" spans="1:2">
      <c r="A13" s="1146">
        <v>11</v>
      </c>
      <c r="B13" s="1146" t="s">
        <v>1273</v>
      </c>
    </row>
    <row r="14" spans="1:2">
      <c r="A14" s="1146">
        <v>12</v>
      </c>
      <c r="B14" s="1146" t="s">
        <v>1274</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15"/>
  <sheetViews>
    <sheetView zoomScale="80" zoomScaleNormal="80" workbookViewId="0">
      <selection activeCell="K51" sqref="K51"/>
    </sheetView>
  </sheetViews>
  <sheetFormatPr defaultColWidth="8.7109375" defaultRowHeight="12.75"/>
  <cols>
    <col min="1" max="1" width="13.7109375" style="842" customWidth="1"/>
    <col min="2" max="2" width="16.28515625" style="842" customWidth="1"/>
    <col min="3" max="3" width="36.7109375" style="842" customWidth="1"/>
    <col min="4" max="4" width="31.7109375" style="842" customWidth="1"/>
    <col min="5" max="6" width="19.28515625" style="842" customWidth="1"/>
    <col min="7" max="7" width="15.7109375" style="842" customWidth="1"/>
    <col min="8" max="8" width="11.7109375" style="842" customWidth="1"/>
    <col min="9" max="9" width="13" style="842" customWidth="1"/>
    <col min="10" max="10" width="12.42578125" style="842" customWidth="1"/>
    <col min="11" max="11" width="18.7109375" style="842" customWidth="1"/>
    <col min="12" max="12" width="18.5703125" style="842" customWidth="1"/>
    <col min="13" max="14" width="18.42578125" style="842" customWidth="1"/>
    <col min="15" max="15" width="18.5703125" style="842" customWidth="1"/>
    <col min="16" max="16" width="18.28515625" style="842" customWidth="1"/>
    <col min="17" max="17" width="17.7109375" style="842" customWidth="1"/>
    <col min="18" max="19" width="18.28515625" style="842" customWidth="1"/>
    <col min="20" max="20" width="18.42578125" style="842" customWidth="1"/>
    <col min="21" max="21" width="17.7109375" style="842" customWidth="1"/>
    <col min="22" max="16384" width="8.7109375" style="842"/>
  </cols>
  <sheetData>
    <row r="1" spans="1:21" ht="15.75">
      <c r="A1" s="4318" t="s">
        <v>1275</v>
      </c>
      <c r="B1" s="4318"/>
      <c r="C1" s="4318"/>
      <c r="D1" s="4318"/>
      <c r="E1" s="4318"/>
      <c r="F1" s="4318"/>
      <c r="G1" s="4318"/>
      <c r="H1" s="4318"/>
      <c r="I1" s="4318"/>
    </row>
    <row r="3" spans="1:21" ht="43.5" customHeight="1">
      <c r="A3" s="4316" t="s">
        <v>1276</v>
      </c>
      <c r="B3" s="4320" t="s">
        <v>1277</v>
      </c>
      <c r="C3" s="4320" t="s">
        <v>1278</v>
      </c>
      <c r="D3" s="4320" t="s">
        <v>1279</v>
      </c>
      <c r="E3" s="4320" t="s">
        <v>1280</v>
      </c>
      <c r="F3" s="4321" t="s">
        <v>1789</v>
      </c>
      <c r="G3" s="4325" t="s">
        <v>1281</v>
      </c>
      <c r="H3" s="4326"/>
      <c r="I3" s="4326"/>
      <c r="J3" s="4326"/>
      <c r="K3" s="4324" t="s">
        <v>1790</v>
      </c>
      <c r="L3" s="4320" t="s">
        <v>1282</v>
      </c>
      <c r="M3" s="4320"/>
      <c r="N3" s="4325" t="s">
        <v>1283</v>
      </c>
      <c r="O3" s="4326"/>
      <c r="P3" s="4325" t="s">
        <v>1284</v>
      </c>
      <c r="Q3" s="4326"/>
      <c r="R3" s="4320" t="s">
        <v>1285</v>
      </c>
      <c r="S3" s="4320"/>
      <c r="T3" s="4320" t="s">
        <v>1286</v>
      </c>
      <c r="U3" s="4320"/>
    </row>
    <row r="4" spans="1:21" ht="15" customHeight="1">
      <c r="A4" s="4319"/>
      <c r="B4" s="4320"/>
      <c r="C4" s="4320"/>
      <c r="D4" s="4320"/>
      <c r="E4" s="4320"/>
      <c r="F4" s="4322"/>
      <c r="G4" s="4320" t="s">
        <v>1287</v>
      </c>
      <c r="H4" s="4320" t="s">
        <v>1288</v>
      </c>
      <c r="I4" s="4320" t="s">
        <v>1289</v>
      </c>
      <c r="J4" s="4320" t="s">
        <v>1290</v>
      </c>
      <c r="K4" s="4324"/>
      <c r="L4" s="4316" t="s">
        <v>1291</v>
      </c>
      <c r="M4" s="4316" t="s">
        <v>1292</v>
      </c>
      <c r="N4" s="4316" t="s">
        <v>1293</v>
      </c>
      <c r="O4" s="1147" t="s">
        <v>1294</v>
      </c>
      <c r="P4" s="4316" t="s">
        <v>1295</v>
      </c>
      <c r="Q4" s="1147" t="s">
        <v>1294</v>
      </c>
      <c r="R4" s="4316" t="s">
        <v>1295</v>
      </c>
      <c r="S4" s="1147" t="s">
        <v>1294</v>
      </c>
      <c r="T4" s="4320" t="s">
        <v>1295</v>
      </c>
      <c r="U4" s="1148" t="s">
        <v>1294</v>
      </c>
    </row>
    <row r="5" spans="1:21" ht="132" customHeight="1">
      <c r="A5" s="4317"/>
      <c r="B5" s="4320"/>
      <c r="C5" s="4320"/>
      <c r="D5" s="4320"/>
      <c r="E5" s="4320"/>
      <c r="F5" s="4323"/>
      <c r="G5" s="4320"/>
      <c r="H5" s="4320"/>
      <c r="I5" s="4320"/>
      <c r="J5" s="4320"/>
      <c r="K5" s="4324"/>
      <c r="L5" s="4317"/>
      <c r="M5" s="4317"/>
      <c r="N5" s="4317"/>
      <c r="O5" s="1148" t="s">
        <v>1296</v>
      </c>
      <c r="P5" s="4317"/>
      <c r="Q5" s="1148" t="s">
        <v>1297</v>
      </c>
      <c r="R5" s="4317"/>
      <c r="S5" s="1148" t="s">
        <v>1296</v>
      </c>
      <c r="T5" s="4320"/>
      <c r="U5" s="1148" t="s">
        <v>1296</v>
      </c>
    </row>
    <row r="6" spans="1:21">
      <c r="A6" s="1149" t="s">
        <v>1298</v>
      </c>
      <c r="B6" s="1152">
        <v>1</v>
      </c>
      <c r="C6" s="1152">
        <v>2</v>
      </c>
      <c r="D6" s="1152">
        <v>3</v>
      </c>
      <c r="E6" s="1152">
        <v>4</v>
      </c>
      <c r="F6" s="1152">
        <v>5</v>
      </c>
      <c r="G6" s="1152">
        <v>6</v>
      </c>
      <c r="H6" s="1152">
        <v>7</v>
      </c>
      <c r="I6" s="1152">
        <v>8</v>
      </c>
      <c r="J6" s="1152">
        <v>9</v>
      </c>
      <c r="K6" s="1152">
        <v>10</v>
      </c>
      <c r="L6" s="1152">
        <v>11</v>
      </c>
      <c r="M6" s="1152">
        <v>12</v>
      </c>
      <c r="N6" s="1152">
        <v>13</v>
      </c>
      <c r="O6" s="1152">
        <v>14</v>
      </c>
      <c r="P6" s="1152">
        <v>15</v>
      </c>
      <c r="Q6" s="1152">
        <v>16</v>
      </c>
      <c r="R6" s="1152">
        <v>17</v>
      </c>
      <c r="S6" s="1152">
        <v>18</v>
      </c>
      <c r="T6" s="1152">
        <v>19</v>
      </c>
      <c r="U6" s="1152">
        <v>20</v>
      </c>
    </row>
    <row r="7" spans="1:21" ht="12.4" hidden="1" customHeight="1">
      <c r="A7" s="842" t="s">
        <v>1298</v>
      </c>
      <c r="B7" s="842" t="s">
        <v>1299</v>
      </c>
      <c r="C7" s="842" t="s">
        <v>1300</v>
      </c>
      <c r="D7" s="842" t="s">
        <v>1301</v>
      </c>
      <c r="E7" s="842" t="s">
        <v>1302</v>
      </c>
      <c r="F7" s="842" t="s">
        <v>1788</v>
      </c>
      <c r="G7" s="842" t="s">
        <v>1303</v>
      </c>
      <c r="H7" s="842" t="s">
        <v>1304</v>
      </c>
      <c r="I7" s="842" t="s">
        <v>1305</v>
      </c>
      <c r="J7" s="842" t="s">
        <v>1306</v>
      </c>
      <c r="K7" s="842" t="s">
        <v>1791</v>
      </c>
      <c r="L7" s="842" t="s">
        <v>1307</v>
      </c>
      <c r="M7" s="842" t="s">
        <v>1308</v>
      </c>
      <c r="N7" s="842" t="s">
        <v>1309</v>
      </c>
      <c r="O7" s="842" t="s">
        <v>1310</v>
      </c>
      <c r="P7" s="842" t="s">
        <v>1311</v>
      </c>
      <c r="Q7" s="842" t="s">
        <v>1312</v>
      </c>
      <c r="R7" s="842" t="s">
        <v>1313</v>
      </c>
      <c r="S7" s="842" t="s">
        <v>1314</v>
      </c>
      <c r="T7" s="842" t="s">
        <v>1315</v>
      </c>
      <c r="U7" s="842" t="s">
        <v>1316</v>
      </c>
    </row>
    <row r="8" spans="1:21">
      <c r="A8" s="842">
        <v>0</v>
      </c>
      <c r="B8" s="1150">
        <f>AVERAGE(B9:B12)</f>
        <v>1873.6325000000002</v>
      </c>
      <c r="C8" s="1150">
        <f>AVERAGE(C9:C12)</f>
        <v>214.16500000000002</v>
      </c>
      <c r="D8" s="1150">
        <f>AVERAGE(D9:D12)</f>
        <v>1025524.31</v>
      </c>
      <c r="E8" s="1150">
        <f>ROUND(IFERROR('Шаблон 46 ГП'!L67/'Шаблон 46 ГП'!C67*1000,0),2)</f>
        <v>8817.81</v>
      </c>
      <c r="F8" s="1150">
        <f>F10+F11+F12</f>
        <v>19850.285</v>
      </c>
      <c r="G8" s="1150">
        <f>ROUND(IFERROR('Шаблон 46 ГП'!L72/'Шаблон 46 ГП'!C72*1000,0),2)</f>
        <v>7225.63</v>
      </c>
      <c r="H8" s="1150">
        <f>ROUND(IFERROR('Шаблон 46 ГП'!L73/'Шаблон 46 ГП'!C73*1000,0),2)</f>
        <v>12168.77</v>
      </c>
      <c r="I8" s="1150"/>
      <c r="J8" s="1150"/>
      <c r="K8" s="1150">
        <f>K11+K12</f>
        <v>19659.752</v>
      </c>
      <c r="L8" s="513">
        <f>L11+L12</f>
        <v>24830.238999999998</v>
      </c>
      <c r="M8" s="1150">
        <f>ROUND(IFERROR('Шаблон 46 ГП'!L27/'Шаблон 46 ГП'!C27*1000,0),2)</f>
        <v>2297.09</v>
      </c>
      <c r="N8" s="1150"/>
      <c r="O8" s="1150"/>
      <c r="P8" s="1150"/>
      <c r="Q8" s="1150"/>
      <c r="R8" s="1150"/>
      <c r="S8" s="1150"/>
      <c r="T8" s="1150"/>
      <c r="U8" s="1150"/>
    </row>
    <row r="9" spans="1:21">
      <c r="A9" s="842">
        <v>4</v>
      </c>
      <c r="B9" s="1150">
        <v>1202.94</v>
      </c>
      <c r="C9" s="1150">
        <v>63</v>
      </c>
      <c r="D9" s="1150">
        <v>828629.72</v>
      </c>
      <c r="E9" s="1150"/>
      <c r="F9" s="1150"/>
      <c r="G9" s="1150"/>
      <c r="H9" s="1150"/>
      <c r="I9" s="1150"/>
      <c r="J9" s="1150"/>
      <c r="K9" s="1150"/>
      <c r="L9" s="513"/>
      <c r="M9" s="1150"/>
      <c r="N9" s="1150"/>
      <c r="O9" s="1150"/>
      <c r="P9" s="1150"/>
      <c r="Q9" s="1150"/>
      <c r="R9" s="1150"/>
      <c r="S9" s="1150"/>
      <c r="T9" s="1150"/>
      <c r="U9" s="1150"/>
    </row>
    <row r="10" spans="1:21">
      <c r="A10" s="842">
        <v>5</v>
      </c>
      <c r="B10" s="1151">
        <v>1965.01</v>
      </c>
      <c r="C10" s="1150">
        <v>180.91</v>
      </c>
      <c r="D10" s="1150">
        <v>1261596.29</v>
      </c>
      <c r="E10" s="1150">
        <f>ROUND(IFERROR('Шаблон 46 ГП'!N67/'Шаблон 46 ГП'!E67*1000,0),2)</f>
        <v>8459.41</v>
      </c>
      <c r="F10" s="1150">
        <f>ROUND(IFERROR('Шаблон 46 ГП'!E67/1000,0),3)</f>
        <v>190.53299999999999</v>
      </c>
      <c r="G10" s="1150"/>
      <c r="H10" s="1150"/>
      <c r="I10" s="1150"/>
      <c r="J10" s="1150"/>
      <c r="K10" s="1150"/>
      <c r="L10" s="513"/>
      <c r="M10" s="1150"/>
      <c r="N10" s="1150"/>
      <c r="O10" s="1150"/>
      <c r="P10" s="1150"/>
      <c r="Q10" s="1150"/>
      <c r="R10" s="1150"/>
      <c r="S10" s="1150"/>
      <c r="T10" s="1150"/>
      <c r="U10" s="1150"/>
    </row>
    <row r="11" spans="1:21">
      <c r="A11" s="842">
        <v>6</v>
      </c>
      <c r="B11" s="1151">
        <v>2105.48</v>
      </c>
      <c r="C11" s="1150">
        <v>203.69</v>
      </c>
      <c r="D11" s="1150">
        <v>1354977.31</v>
      </c>
      <c r="E11" s="1150">
        <f>ROUND(IFERROR('Шаблон 46 ГП'!O67/'Шаблон 46 ГП'!F67*1000,0),2)</f>
        <v>8728.41</v>
      </c>
      <c r="F11" s="1150">
        <f>ROUND(IFERROR('Шаблон 46 ГП'!F67/1000,0),3)</f>
        <v>12530.698</v>
      </c>
      <c r="G11" s="1150">
        <f>ROUND(IFERROR('Шаблон 46 ГП'!O72/'Шаблон 46 ГП'!F72*1000,0),2)</f>
        <v>7223.07</v>
      </c>
      <c r="H11" s="1150">
        <f>ROUND(IFERROR('Шаблон 46 ГП'!O73/'Шаблон 46 ГП'!F73*1000,0),2)</f>
        <v>12166.4</v>
      </c>
      <c r="I11" s="1150"/>
      <c r="J11" s="1150"/>
      <c r="K11" s="1150">
        <f>ROUND(IFERROR('Шаблон 46 ГП'!F67/1000,0),3)</f>
        <v>12530.698</v>
      </c>
      <c r="L11" s="513">
        <f>ROUND(IFERROR('Шаблон 46 ГП'!F27/1000,0),3)</f>
        <v>3618.2429999999999</v>
      </c>
      <c r="M11" s="1150">
        <f>ROUND(IFERROR('Шаблон 46 ГП'!O27/'Шаблон 46 ГП'!F27*1000,0),2)</f>
        <v>2528.4299999999998</v>
      </c>
      <c r="N11" s="1150"/>
      <c r="O11" s="1150"/>
      <c r="P11" s="1150"/>
      <c r="Q11" s="1150"/>
      <c r="R11" s="1150"/>
      <c r="S11" s="1150"/>
      <c r="T11" s="1150"/>
      <c r="U11" s="1150"/>
    </row>
    <row r="12" spans="1:21">
      <c r="A12" s="842">
        <v>7</v>
      </c>
      <c r="B12" s="1151">
        <v>2221.1</v>
      </c>
      <c r="C12" s="1150">
        <v>409.06</v>
      </c>
      <c r="D12" s="1150">
        <v>656893.91999999993</v>
      </c>
      <c r="E12" s="1150">
        <f>ROUND(IFERROR('Шаблон 46 ГП'!P67/'Шаблон 46 ГП'!G67*1000,0),2)</f>
        <v>8984.52</v>
      </c>
      <c r="F12" s="1150">
        <f>ROUND(IFERROR('Шаблон 46 ГП'!G67/1000,0),3)</f>
        <v>7129.0540000000001</v>
      </c>
      <c r="G12" s="1150">
        <f>ROUND(IFERROR('Шаблон 46 ГП'!P72/'Шаблон 46 ГП'!G72*1000,0),2)</f>
        <v>7462.75</v>
      </c>
      <c r="H12" s="1150">
        <f>ROUND(IFERROR('Шаблон 46 ГП'!P73/'Шаблон 46 ГП'!G73*1000,0),2)</f>
        <v>12406.08</v>
      </c>
      <c r="I12" s="1150"/>
      <c r="J12" s="1150"/>
      <c r="K12" s="1150">
        <f>ROUND(IFERROR('Шаблон 46 ГП'!G67/1000,0),3)</f>
        <v>7129.0540000000001</v>
      </c>
      <c r="L12" s="513">
        <f>ROUND(IFERROR('Шаблон 46 ГП'!G27/1000,0),3)</f>
        <v>21211.995999999999</v>
      </c>
      <c r="M12" s="1150">
        <f>ROUND(IFERROR('Шаблон 46 ГП'!P27/'Шаблон 46 ГП'!G27*1000,0),2)</f>
        <v>2257.63</v>
      </c>
      <c r="N12" s="1150"/>
      <c r="O12" s="1150"/>
      <c r="P12" s="1150"/>
      <c r="Q12" s="1150"/>
      <c r="R12" s="1150"/>
      <c r="S12" s="1150"/>
      <c r="T12" s="1150"/>
      <c r="U12" s="1150"/>
    </row>
    <row r="13" spans="1:21">
      <c r="A13" s="842">
        <v>14</v>
      </c>
      <c r="B13" s="1151">
        <f>B8</f>
        <v>1873.6325000000002</v>
      </c>
      <c r="C13" s="1151">
        <f t="shared" ref="C13:U13" si="0">C8</f>
        <v>214.16500000000002</v>
      </c>
      <c r="D13" s="1151">
        <f t="shared" si="0"/>
        <v>1025524.31</v>
      </c>
      <c r="E13" s="1151">
        <f t="shared" si="0"/>
        <v>8817.81</v>
      </c>
      <c r="F13" s="1150">
        <f>F8</f>
        <v>19850.285</v>
      </c>
      <c r="G13" s="1151">
        <f t="shared" si="0"/>
        <v>7225.63</v>
      </c>
      <c r="H13" s="1151">
        <f t="shared" si="0"/>
        <v>12168.77</v>
      </c>
      <c r="I13" s="1151">
        <f t="shared" si="0"/>
        <v>0</v>
      </c>
      <c r="J13" s="1151">
        <f t="shared" si="0"/>
        <v>0</v>
      </c>
      <c r="K13" s="1150">
        <f>K8</f>
        <v>19659.752</v>
      </c>
      <c r="L13" s="1151">
        <f t="shared" si="0"/>
        <v>24830.238999999998</v>
      </c>
      <c r="M13" s="1151">
        <f t="shared" si="0"/>
        <v>2297.09</v>
      </c>
      <c r="N13" s="1151">
        <f t="shared" si="0"/>
        <v>0</v>
      </c>
      <c r="O13" s="1151">
        <f t="shared" si="0"/>
        <v>0</v>
      </c>
      <c r="P13" s="1151">
        <f t="shared" si="0"/>
        <v>0</v>
      </c>
      <c r="Q13" s="1151">
        <f t="shared" si="0"/>
        <v>0</v>
      </c>
      <c r="R13" s="1151">
        <f t="shared" si="0"/>
        <v>0</v>
      </c>
      <c r="S13" s="1151">
        <f t="shared" si="0"/>
        <v>0</v>
      </c>
      <c r="T13" s="1151">
        <f t="shared" si="0"/>
        <v>0</v>
      </c>
      <c r="U13" s="1151">
        <f t="shared" si="0"/>
        <v>0</v>
      </c>
    </row>
    <row r="14" spans="1:21">
      <c r="B14" s="1151"/>
      <c r="C14" s="1151"/>
      <c r="D14" s="1151"/>
      <c r="E14" s="1150"/>
      <c r="G14" s="1150"/>
      <c r="H14" s="1150"/>
      <c r="I14" s="1150"/>
      <c r="J14" s="1150"/>
      <c r="L14" s="513"/>
      <c r="M14" s="1150"/>
      <c r="N14" s="1150"/>
      <c r="O14" s="1150"/>
      <c r="P14" s="1150"/>
      <c r="Q14" s="1150"/>
      <c r="R14" s="1150"/>
      <c r="S14" s="1150"/>
      <c r="T14" s="1150"/>
      <c r="U14" s="1150"/>
    </row>
    <row r="15" spans="1:21">
      <c r="B15" s="1151"/>
      <c r="C15" s="1151"/>
      <c r="D15" s="1151"/>
      <c r="E15" s="1150"/>
      <c r="G15" s="1150"/>
      <c r="H15" s="1150"/>
      <c r="I15" s="1150"/>
      <c r="J15" s="1150"/>
      <c r="L15" s="513"/>
      <c r="M15" s="1150"/>
      <c r="N15" s="1150"/>
      <c r="O15" s="1150"/>
      <c r="P15" s="1150"/>
      <c r="Q15" s="1150"/>
      <c r="R15" s="1150"/>
      <c r="S15" s="1150"/>
      <c r="T15" s="1150"/>
      <c r="U15" s="1150"/>
    </row>
  </sheetData>
  <mergeCells count="24">
    <mergeCell ref="P4:P5"/>
    <mergeCell ref="R4:R5"/>
    <mergeCell ref="E3:E5"/>
    <mergeCell ref="G3:J3"/>
    <mergeCell ref="T4:T5"/>
    <mergeCell ref="L3:M3"/>
    <mergeCell ref="N3:O3"/>
    <mergeCell ref="P3:Q3"/>
    <mergeCell ref="R3:S3"/>
    <mergeCell ref="T3:U3"/>
    <mergeCell ref="M4:M5"/>
    <mergeCell ref="N4:N5"/>
    <mergeCell ref="G4:G5"/>
    <mergeCell ref="H4:H5"/>
    <mergeCell ref="I4:I5"/>
    <mergeCell ref="J4:J5"/>
    <mergeCell ref="L4:L5"/>
    <mergeCell ref="A1:I1"/>
    <mergeCell ref="A3:A5"/>
    <mergeCell ref="B3:B5"/>
    <mergeCell ref="C3:C5"/>
    <mergeCell ref="D3:D5"/>
    <mergeCell ref="F3:F5"/>
    <mergeCell ref="K3:K5"/>
  </mergeCells>
  <dataValidations count="3">
    <dataValidation type="decimal" operator="greaterThanOrEqual" allowBlank="1" showInputMessage="1" showErrorMessage="1" errorTitle="НЕВЕРНОЕ ЗНАЧЕНИЕ" error="Проверьть введенное значение:_x000a_нельзя вводить отрицательные значения и содержацие более 3-х знаков после запятой" prompt="Значение должно быть неотрицательно и содержать не более 3-х знаков после запятой" sqref="L8:L12 L14:L15">
      <formula1>0</formula1>
    </dataValidation>
    <dataValidation type="decimal" operator="greaterThanOrEqual" allowBlank="1" showInputMessage="1" showErrorMessage="1" errorTitle="НЕВЕРНОЕ ЗНАЧЕНИЕ" error="Проверьть введенное значение:_x000a_нельзя вводить отрицательные значения и содержацие более 2-х знаков после запятой" prompt="Значение должно быть неотрицательно и содержать не более 2-х знаков после запятой" sqref="M14:U15 M8:U12 B8:B15 L13:U13 C14:E15 K8:K13 G8:J15 C8:F13">
      <formula1>0</formula1>
    </dataValidation>
    <dataValidation type="list" allowBlank="1" showInputMessage="1" showErrorMessage="1" sqref="A8:A15">
      <formula1>lvl</formula1>
    </dataValidation>
  </dataValidations>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51"/>
  <sheetViews>
    <sheetView topLeftCell="C7" zoomScale="50" zoomScaleNormal="50" workbookViewId="0">
      <selection activeCell="K51" sqref="K51"/>
    </sheetView>
  </sheetViews>
  <sheetFormatPr defaultColWidth="9.28515625" defaultRowHeight="15"/>
  <cols>
    <col min="1" max="1" width="5.42578125" style="1652" hidden="1" customWidth="1"/>
    <col min="2" max="2" width="5.28515625" style="1652" hidden="1" customWidth="1"/>
    <col min="3" max="3" width="45.7109375" style="1652" customWidth="1"/>
    <col min="4" max="4" width="7.28515625" style="1652" customWidth="1"/>
    <col min="5" max="19" width="15.7109375" style="1652" customWidth="1"/>
    <col min="20" max="16384" width="9.28515625" style="1652"/>
  </cols>
  <sheetData>
    <row r="1" spans="1:19" ht="15.75">
      <c r="A1" s="1649"/>
      <c r="B1" s="1649"/>
      <c r="C1" s="1650" t="s">
        <v>1526</v>
      </c>
      <c r="D1" s="1649"/>
      <c r="E1" s="1651"/>
      <c r="F1" s="1651"/>
      <c r="N1" s="1653"/>
      <c r="O1" s="1653"/>
      <c r="P1" s="1653"/>
      <c r="Q1" s="1653"/>
      <c r="R1" s="1653"/>
      <c r="S1" s="1653"/>
    </row>
    <row r="2" spans="1:19" s="1655" customFormat="1" ht="15.75">
      <c r="A2" s="1654"/>
      <c r="B2" s="1654"/>
      <c r="C2" s="1650" t="s">
        <v>1527</v>
      </c>
      <c r="D2" s="1654"/>
      <c r="F2" s="1656"/>
      <c r="G2" s="1656"/>
      <c r="H2" s="1656"/>
      <c r="I2" s="1656"/>
      <c r="J2" s="1656"/>
      <c r="K2" s="1656"/>
      <c r="L2" s="1656"/>
      <c r="M2" s="1656"/>
      <c r="N2" s="1656"/>
      <c r="O2" s="1656"/>
      <c r="P2" s="1656"/>
      <c r="Q2" s="1656"/>
      <c r="R2" s="1656"/>
      <c r="S2" s="1656"/>
    </row>
    <row r="3" spans="1:19">
      <c r="A3" s="1649"/>
      <c r="B3" s="1649"/>
      <c r="D3" s="1649"/>
      <c r="E3" s="1651"/>
      <c r="F3" s="1651"/>
      <c r="G3" s="1651"/>
    </row>
    <row r="4" spans="1:19" ht="15.75">
      <c r="A4" s="1649"/>
      <c r="B4" s="1649"/>
      <c r="C4" s="1656" t="s">
        <v>1528</v>
      </c>
      <c r="D4" s="1649"/>
      <c r="N4" s="1653"/>
      <c r="O4" s="1653"/>
      <c r="P4" s="1653"/>
      <c r="Q4" s="1653"/>
      <c r="R4" s="1653"/>
      <c r="S4" s="1653"/>
    </row>
    <row r="5" spans="1:19" ht="114.75" customHeight="1">
      <c r="A5" s="1657"/>
      <c r="B5" s="1658"/>
      <c r="C5" s="4328" t="s">
        <v>497</v>
      </c>
      <c r="D5" s="4327" t="s">
        <v>498</v>
      </c>
      <c r="E5" s="4327" t="s">
        <v>1529</v>
      </c>
      <c r="F5" s="4327" t="s">
        <v>1530</v>
      </c>
      <c r="G5" s="4327" t="s">
        <v>1531</v>
      </c>
      <c r="H5" s="4329" t="s">
        <v>1532</v>
      </c>
      <c r="I5" s="4329" t="s">
        <v>1533</v>
      </c>
      <c r="J5" s="4329" t="s">
        <v>1534</v>
      </c>
      <c r="K5" s="4327" t="s">
        <v>1535</v>
      </c>
      <c r="L5" s="4327"/>
      <c r="M5" s="4327"/>
      <c r="N5" s="4327" t="s">
        <v>1536</v>
      </c>
      <c r="O5" s="4327"/>
      <c r="P5" s="4327"/>
      <c r="Q5" s="4327" t="s">
        <v>1537</v>
      </c>
      <c r="R5" s="4327"/>
      <c r="S5" s="4327"/>
    </row>
    <row r="6" spans="1:19" ht="15" customHeight="1">
      <c r="A6" s="1658"/>
      <c r="B6" s="1658"/>
      <c r="C6" s="4328"/>
      <c r="D6" s="4327"/>
      <c r="E6" s="4327"/>
      <c r="F6" s="4327"/>
      <c r="G6" s="4327"/>
      <c r="H6" s="4330"/>
      <c r="I6" s="4330"/>
      <c r="J6" s="4330"/>
      <c r="K6" s="1660" t="s">
        <v>553</v>
      </c>
      <c r="L6" s="1660" t="s">
        <v>554</v>
      </c>
      <c r="M6" s="1660" t="s">
        <v>555</v>
      </c>
      <c r="N6" s="1660" t="s">
        <v>553</v>
      </c>
      <c r="O6" s="1660" t="s">
        <v>554</v>
      </c>
      <c r="P6" s="1660" t="s">
        <v>555</v>
      </c>
      <c r="Q6" s="1660" t="s">
        <v>553</v>
      </c>
      <c r="R6" s="1660" t="s">
        <v>554</v>
      </c>
      <c r="S6" s="1660" t="s">
        <v>555</v>
      </c>
    </row>
    <row r="7" spans="1:19">
      <c r="A7" s="1663"/>
      <c r="B7" s="1663"/>
      <c r="C7" s="1659">
        <v>1</v>
      </c>
      <c r="D7" s="1659">
        <v>2</v>
      </c>
      <c r="E7" s="1664">
        <v>3</v>
      </c>
      <c r="F7" s="1664">
        <v>4</v>
      </c>
      <c r="G7" s="1664">
        <v>5</v>
      </c>
      <c r="H7" s="1664">
        <v>6</v>
      </c>
      <c r="I7" s="1661">
        <v>7</v>
      </c>
      <c r="J7" s="1661">
        <v>8</v>
      </c>
      <c r="K7" s="1661">
        <v>9</v>
      </c>
      <c r="L7" s="1661">
        <v>10</v>
      </c>
      <c r="M7" s="1661">
        <v>11</v>
      </c>
      <c r="N7" s="1661">
        <v>12</v>
      </c>
      <c r="O7" s="1661">
        <v>13</v>
      </c>
      <c r="P7" s="1661">
        <v>14</v>
      </c>
      <c r="Q7" s="1661">
        <v>15</v>
      </c>
      <c r="R7" s="1661">
        <v>16</v>
      </c>
      <c r="S7" s="1661">
        <v>17</v>
      </c>
    </row>
    <row r="8" spans="1:19" ht="15.75" hidden="1" thickBot="1">
      <c r="A8" s="1665" t="s">
        <v>1538</v>
      </c>
      <c r="B8" s="1665" t="s">
        <v>1539</v>
      </c>
      <c r="C8" s="1665" t="s">
        <v>497</v>
      </c>
      <c r="D8" s="1665" t="s">
        <v>1540</v>
      </c>
      <c r="E8" s="1666" t="s">
        <v>1299</v>
      </c>
      <c r="F8" s="1666" t="s">
        <v>1300</v>
      </c>
      <c r="G8" s="1666" t="s">
        <v>1301</v>
      </c>
      <c r="H8" s="1666" t="s">
        <v>1302</v>
      </c>
      <c r="I8" s="1666" t="s">
        <v>1303</v>
      </c>
      <c r="J8" s="1666" t="s">
        <v>1304</v>
      </c>
      <c r="K8" s="1666" t="s">
        <v>1305</v>
      </c>
      <c r="L8" s="1666" t="s">
        <v>1306</v>
      </c>
      <c r="M8" s="1666" t="s">
        <v>1307</v>
      </c>
      <c r="N8" s="1666" t="s">
        <v>1308</v>
      </c>
      <c r="O8" s="1666" t="s">
        <v>1309</v>
      </c>
      <c r="P8" s="1666" t="s">
        <v>1310</v>
      </c>
      <c r="Q8" s="1666" t="s">
        <v>1311</v>
      </c>
      <c r="R8" s="1666" t="s">
        <v>1312</v>
      </c>
      <c r="S8" s="1666" t="s">
        <v>1313</v>
      </c>
    </row>
    <row r="9" spans="1:19" s="1671" customFormat="1" ht="12.75">
      <c r="A9" s="1667">
        <v>100</v>
      </c>
      <c r="B9" s="1668">
        <v>0</v>
      </c>
      <c r="C9" s="1669" t="s">
        <v>556</v>
      </c>
      <c r="D9" s="1670">
        <v>100</v>
      </c>
      <c r="E9" s="693">
        <f>SUM(E10:E11)</f>
        <v>24830.238999999998</v>
      </c>
      <c r="F9" s="693">
        <f>SUM(F10:F11)</f>
        <v>67303.919316800006</v>
      </c>
      <c r="G9" s="693">
        <f>SUM(G10:G11)</f>
        <v>57037.21976</v>
      </c>
      <c r="H9" s="693">
        <f t="shared" ref="H9:R9" si="0">SUM(H10:H11)</f>
        <v>7588.9080000000004</v>
      </c>
      <c r="I9" s="693">
        <f t="shared" si="0"/>
        <v>22311.007942999997</v>
      </c>
      <c r="J9" s="696">
        <f t="shared" si="0"/>
        <v>18907.633849999998</v>
      </c>
      <c r="K9" s="705">
        <f t="shared" si="0"/>
        <v>4609.2960000000003</v>
      </c>
      <c r="L9" s="693">
        <f t="shared" si="0"/>
        <v>0</v>
      </c>
      <c r="M9" s="696">
        <f t="shared" si="0"/>
        <v>12632.035000000002</v>
      </c>
      <c r="N9" s="705">
        <f t="shared" si="0"/>
        <v>8776.3698762000004</v>
      </c>
      <c r="O9" s="693">
        <f t="shared" si="0"/>
        <v>0</v>
      </c>
      <c r="P9" s="696">
        <f t="shared" si="0"/>
        <v>36216.541497599996</v>
      </c>
      <c r="Q9" s="697">
        <f t="shared" si="0"/>
        <v>7437.601590000002</v>
      </c>
      <c r="R9" s="693">
        <f t="shared" si="0"/>
        <v>0</v>
      </c>
      <c r="S9" s="706">
        <f>SUM(S10:S11)</f>
        <v>30691.98432</v>
      </c>
    </row>
    <row r="10" spans="1:19">
      <c r="A10" s="1668">
        <v>100</v>
      </c>
      <c r="B10" s="1668">
        <v>1</v>
      </c>
      <c r="C10" s="1672" t="s">
        <v>557</v>
      </c>
      <c r="D10" s="1659">
        <v>110</v>
      </c>
      <c r="E10" s="693">
        <f>E13+E16+E19+E22+E25+E28</f>
        <v>24830.238999999998</v>
      </c>
      <c r="F10" s="693">
        <f t="shared" ref="F10:S10" si="1">F13+F16+F19+F22+F25+F28</f>
        <v>67303.919316800006</v>
      </c>
      <c r="G10" s="693">
        <f t="shared" si="1"/>
        <v>57037.21976</v>
      </c>
      <c r="H10" s="693">
        <f t="shared" si="1"/>
        <v>7588.9080000000004</v>
      </c>
      <c r="I10" s="693">
        <f t="shared" si="1"/>
        <v>22311.007942999997</v>
      </c>
      <c r="J10" s="696">
        <f t="shared" si="1"/>
        <v>18907.633849999998</v>
      </c>
      <c r="K10" s="705">
        <f t="shared" si="1"/>
        <v>4609.2960000000003</v>
      </c>
      <c r="L10" s="693">
        <f t="shared" si="1"/>
        <v>0</v>
      </c>
      <c r="M10" s="696">
        <f t="shared" si="1"/>
        <v>12632.035000000002</v>
      </c>
      <c r="N10" s="705">
        <f t="shared" si="1"/>
        <v>8776.3698762000004</v>
      </c>
      <c r="O10" s="693">
        <f t="shared" si="1"/>
        <v>0</v>
      </c>
      <c r="P10" s="696">
        <f t="shared" si="1"/>
        <v>36216.541497599996</v>
      </c>
      <c r="Q10" s="697">
        <f t="shared" si="1"/>
        <v>7437.601590000002</v>
      </c>
      <c r="R10" s="693">
        <f t="shared" si="1"/>
        <v>0</v>
      </c>
      <c r="S10" s="706">
        <f t="shared" si="1"/>
        <v>30691.98432</v>
      </c>
    </row>
    <row r="11" spans="1:19">
      <c r="A11" s="1668">
        <v>100</v>
      </c>
      <c r="B11" s="1668">
        <v>2</v>
      </c>
      <c r="C11" s="1672" t="s">
        <v>558</v>
      </c>
      <c r="D11" s="1659">
        <v>120</v>
      </c>
      <c r="E11" s="693">
        <f>E14+E17+E20+E23+E26+E29</f>
        <v>0</v>
      </c>
      <c r="F11" s="693">
        <f t="shared" ref="F11:S11" si="2">F14+F17+F20+F23+F26+F29</f>
        <v>0</v>
      </c>
      <c r="G11" s="693">
        <f t="shared" si="2"/>
        <v>0</v>
      </c>
      <c r="H11" s="693">
        <f t="shared" si="2"/>
        <v>0</v>
      </c>
      <c r="I11" s="693">
        <f t="shared" si="2"/>
        <v>0</v>
      </c>
      <c r="J11" s="696">
        <f t="shared" si="2"/>
        <v>0</v>
      </c>
      <c r="K11" s="705">
        <f t="shared" si="2"/>
        <v>0</v>
      </c>
      <c r="L11" s="693">
        <f t="shared" si="2"/>
        <v>0</v>
      </c>
      <c r="M11" s="696">
        <f t="shared" si="2"/>
        <v>0</v>
      </c>
      <c r="N11" s="705">
        <f t="shared" si="2"/>
        <v>0</v>
      </c>
      <c r="O11" s="693">
        <f t="shared" si="2"/>
        <v>0</v>
      </c>
      <c r="P11" s="696">
        <f t="shared" si="2"/>
        <v>0</v>
      </c>
      <c r="Q11" s="697">
        <f t="shared" si="2"/>
        <v>0</v>
      </c>
      <c r="R11" s="693">
        <f t="shared" si="2"/>
        <v>0</v>
      </c>
      <c r="S11" s="706">
        <f t="shared" si="2"/>
        <v>0</v>
      </c>
    </row>
    <row r="12" spans="1:19" ht="63.75">
      <c r="A12" s="1668">
        <v>200</v>
      </c>
      <c r="B12" s="1668">
        <v>0</v>
      </c>
      <c r="C12" s="1669" t="s">
        <v>559</v>
      </c>
      <c r="D12" s="1670">
        <v>200</v>
      </c>
      <c r="E12" s="693">
        <f>SUM(E13:E14)</f>
        <v>1488.742</v>
      </c>
      <c r="F12" s="693">
        <f>SUM(F13:F14)</f>
        <v>4992.6345631999993</v>
      </c>
      <c r="G12" s="693">
        <f>SUM(G13:G14)</f>
        <v>4231.0462399999997</v>
      </c>
      <c r="H12" s="693">
        <f t="shared" ref="H12:R12" si="3">SUM(H13:H14)</f>
        <v>99.606999999999999</v>
      </c>
      <c r="I12" s="693">
        <f t="shared" si="3"/>
        <v>402.90068679999996</v>
      </c>
      <c r="J12" s="696">
        <f t="shared" si="3"/>
        <v>341.44126</v>
      </c>
      <c r="K12" s="705">
        <f t="shared" si="3"/>
        <v>461.4</v>
      </c>
      <c r="L12" s="693">
        <f t="shared" si="3"/>
        <v>0</v>
      </c>
      <c r="M12" s="696">
        <f t="shared" si="3"/>
        <v>927.73500000000001</v>
      </c>
      <c r="N12" s="705">
        <f t="shared" si="3"/>
        <v>1130.806744</v>
      </c>
      <c r="O12" s="693">
        <f t="shared" si="3"/>
        <v>0</v>
      </c>
      <c r="P12" s="696">
        <f t="shared" si="3"/>
        <v>3458.9271323999997</v>
      </c>
      <c r="Q12" s="697">
        <f t="shared" si="3"/>
        <v>958.31079999999997</v>
      </c>
      <c r="R12" s="693">
        <f t="shared" si="3"/>
        <v>0</v>
      </c>
      <c r="S12" s="706">
        <f>SUM(S13:S14)</f>
        <v>2931.2941799999999</v>
      </c>
    </row>
    <row r="13" spans="1:19">
      <c r="A13" s="1668">
        <v>200</v>
      </c>
      <c r="B13" s="1668">
        <v>1</v>
      </c>
      <c r="C13" s="1672" t="s">
        <v>557</v>
      </c>
      <c r="D13" s="1659">
        <v>210</v>
      </c>
      <c r="E13" s="693">
        <f>H13+K13+L13+M13</f>
        <v>1488.742</v>
      </c>
      <c r="F13" s="693">
        <f t="shared" ref="F13:F26" si="4">I13+N13+O13+P13</f>
        <v>4992.6345631999993</v>
      </c>
      <c r="G13" s="693">
        <f t="shared" ref="G13:G26" si="5">J13+Q13+R13+S13</f>
        <v>4231.0462399999997</v>
      </c>
      <c r="H13" s="694">
        <f>'Раздел 1 В'!I19</f>
        <v>99.606999999999999</v>
      </c>
      <c r="I13" s="689">
        <f>J13*1.18</f>
        <v>402.90068679999996</v>
      </c>
      <c r="J13" s="694">
        <f>'Раздел 1 В'!K19</f>
        <v>341.44126</v>
      </c>
      <c r="K13" s="694">
        <f>'Раздел 1 В'!L19</f>
        <v>461.4</v>
      </c>
      <c r="L13" s="694">
        <f>'Раздел 1 В'!M19</f>
        <v>0</v>
      </c>
      <c r="M13" s="694">
        <f>'Раздел 1 В'!N19</f>
        <v>927.73500000000001</v>
      </c>
      <c r="N13" s="705">
        <f t="shared" ref="N13:P14" si="6">Q13*1.18</f>
        <v>1130.806744</v>
      </c>
      <c r="O13" s="693">
        <f t="shared" si="6"/>
        <v>0</v>
      </c>
      <c r="P13" s="696">
        <f t="shared" si="6"/>
        <v>3458.9271323999997</v>
      </c>
      <c r="Q13" s="694">
        <f>'Раздел 1 В'!R19</f>
        <v>958.31079999999997</v>
      </c>
      <c r="R13" s="694">
        <f>'Раздел 1 В'!S19</f>
        <v>0</v>
      </c>
      <c r="S13" s="694">
        <f>'Раздел 1 В'!T19</f>
        <v>2931.2941799999999</v>
      </c>
    </row>
    <row r="14" spans="1:19">
      <c r="A14" s="1668">
        <v>200</v>
      </c>
      <c r="B14" s="1668">
        <v>2</v>
      </c>
      <c r="C14" s="1672" t="s">
        <v>558</v>
      </c>
      <c r="D14" s="1659">
        <v>220</v>
      </c>
      <c r="E14" s="693">
        <f t="shared" ref="E14:E26" si="7">H14+K14+L14+M14</f>
        <v>0</v>
      </c>
      <c r="F14" s="693">
        <f t="shared" si="4"/>
        <v>0</v>
      </c>
      <c r="G14" s="693">
        <f t="shared" si="5"/>
        <v>0</v>
      </c>
      <c r="H14" s="694"/>
      <c r="I14" s="689">
        <f>J14*1.18</f>
        <v>0</v>
      </c>
      <c r="J14" s="695"/>
      <c r="K14" s="728"/>
      <c r="L14" s="694"/>
      <c r="M14" s="695"/>
      <c r="N14" s="705">
        <f t="shared" si="6"/>
        <v>0</v>
      </c>
      <c r="O14" s="693">
        <f t="shared" si="6"/>
        <v>0</v>
      </c>
      <c r="P14" s="696">
        <f t="shared" si="6"/>
        <v>0</v>
      </c>
      <c r="Q14" s="729"/>
      <c r="R14" s="694"/>
      <c r="S14" s="698"/>
    </row>
    <row r="15" spans="1:19" ht="38.25">
      <c r="A15" s="1668">
        <v>230</v>
      </c>
      <c r="B15" s="1668">
        <v>0</v>
      </c>
      <c r="C15" s="1669" t="s">
        <v>560</v>
      </c>
      <c r="D15" s="1670">
        <v>230</v>
      </c>
      <c r="E15" s="693">
        <f>SUM(E16:E17)</f>
        <v>21214.106</v>
      </c>
      <c r="F15" s="693">
        <f>SUM(F16:F17)</f>
        <v>54951.4720026</v>
      </c>
      <c r="G15" s="693">
        <f>SUM(G16:G17)</f>
        <v>46569.044070000004</v>
      </c>
      <c r="H15" s="693">
        <f t="shared" ref="H15:R15" si="8">SUM(H16:H17)</f>
        <v>7405.7150000000001</v>
      </c>
      <c r="I15" s="693">
        <f t="shared" si="8"/>
        <v>21561.280157599998</v>
      </c>
      <c r="J15" s="696">
        <f t="shared" si="8"/>
        <v>18272.27132</v>
      </c>
      <c r="K15" s="705">
        <f t="shared" si="8"/>
        <v>3518.4690000000001</v>
      </c>
      <c r="L15" s="693">
        <f t="shared" si="8"/>
        <v>0</v>
      </c>
      <c r="M15" s="696">
        <f t="shared" si="8"/>
        <v>10289.922</v>
      </c>
      <c r="N15" s="705">
        <f t="shared" si="8"/>
        <v>6057.3375420000011</v>
      </c>
      <c r="O15" s="693">
        <f t="shared" si="8"/>
        <v>0</v>
      </c>
      <c r="P15" s="696">
        <f t="shared" si="8"/>
        <v>27332.854302999996</v>
      </c>
      <c r="Q15" s="697">
        <f t="shared" si="8"/>
        <v>5133.3369000000012</v>
      </c>
      <c r="R15" s="693">
        <f t="shared" si="8"/>
        <v>0</v>
      </c>
      <c r="S15" s="706">
        <f>SUM(S16:S17)</f>
        <v>23163.435849999998</v>
      </c>
    </row>
    <row r="16" spans="1:19">
      <c r="A16" s="1668">
        <v>230</v>
      </c>
      <c r="B16" s="1668">
        <v>1</v>
      </c>
      <c r="C16" s="1672" t="s">
        <v>557</v>
      </c>
      <c r="D16" s="1659">
        <v>240</v>
      </c>
      <c r="E16" s="693">
        <f t="shared" si="7"/>
        <v>21214.106</v>
      </c>
      <c r="F16" s="693">
        <f t="shared" si="4"/>
        <v>54951.4720026</v>
      </c>
      <c r="G16" s="693">
        <f t="shared" si="5"/>
        <v>46569.044070000004</v>
      </c>
      <c r="H16" s="694">
        <f>'Раздел 1 В'!I22</f>
        <v>7405.7150000000001</v>
      </c>
      <c r="I16" s="689">
        <f>J16*1.18</f>
        <v>21561.280157599998</v>
      </c>
      <c r="J16" s="694">
        <f>'Раздел 1 В'!K22</f>
        <v>18272.27132</v>
      </c>
      <c r="K16" s="694">
        <f>'Раздел 1 В'!L22</f>
        <v>3518.4690000000001</v>
      </c>
      <c r="L16" s="694">
        <f>'Раздел 1 В'!M22</f>
        <v>0</v>
      </c>
      <c r="M16" s="694">
        <f>'Раздел 1 В'!N22</f>
        <v>10289.922</v>
      </c>
      <c r="N16" s="705">
        <f t="shared" ref="N16:P17" si="9">Q16*1.18</f>
        <v>6057.3375420000011</v>
      </c>
      <c r="O16" s="693">
        <f t="shared" si="9"/>
        <v>0</v>
      </c>
      <c r="P16" s="696">
        <f t="shared" si="9"/>
        <v>27332.854302999996</v>
      </c>
      <c r="Q16" s="694">
        <f>'Раздел 1 В'!R22</f>
        <v>5133.3369000000012</v>
      </c>
      <c r="R16" s="694">
        <f>'Раздел 1 В'!S22</f>
        <v>0</v>
      </c>
      <c r="S16" s="694">
        <f>'Раздел 1 В'!T22</f>
        <v>23163.435849999998</v>
      </c>
    </row>
    <row r="17" spans="1:19">
      <c r="A17" s="1668">
        <v>230</v>
      </c>
      <c r="B17" s="1668">
        <v>2</v>
      </c>
      <c r="C17" s="1672" t="s">
        <v>558</v>
      </c>
      <c r="D17" s="1659">
        <v>250</v>
      </c>
      <c r="E17" s="693">
        <f t="shared" si="7"/>
        <v>0</v>
      </c>
      <c r="F17" s="693">
        <f t="shared" si="4"/>
        <v>0</v>
      </c>
      <c r="G17" s="693">
        <f t="shared" si="5"/>
        <v>0</v>
      </c>
      <c r="H17" s="694"/>
      <c r="I17" s="689">
        <f>J17*1.18</f>
        <v>0</v>
      </c>
      <c r="J17" s="695"/>
      <c r="K17" s="728"/>
      <c r="L17" s="694"/>
      <c r="M17" s="695"/>
      <c r="N17" s="705">
        <f t="shared" si="9"/>
        <v>0</v>
      </c>
      <c r="O17" s="693">
        <f t="shared" si="9"/>
        <v>0</v>
      </c>
      <c r="P17" s="696">
        <f t="shared" si="9"/>
        <v>0</v>
      </c>
      <c r="Q17" s="729"/>
      <c r="R17" s="694"/>
      <c r="S17" s="698"/>
    </row>
    <row r="18" spans="1:19" ht="51">
      <c r="A18" s="1668">
        <v>260</v>
      </c>
      <c r="B18" s="1668">
        <v>0</v>
      </c>
      <c r="C18" s="1669" t="s">
        <v>561</v>
      </c>
      <c r="D18" s="1670">
        <v>260</v>
      </c>
      <c r="E18" s="693">
        <f>SUM(E19:E20)</f>
        <v>0</v>
      </c>
      <c r="F18" s="693">
        <f>SUM(F19:F20)</f>
        <v>0</v>
      </c>
      <c r="G18" s="693">
        <f>SUM(G19:G20)</f>
        <v>0</v>
      </c>
      <c r="H18" s="693">
        <f t="shared" ref="H18:R18" si="10">SUM(H19:H20)</f>
        <v>0</v>
      </c>
      <c r="I18" s="693">
        <f t="shared" si="10"/>
        <v>0</v>
      </c>
      <c r="J18" s="696">
        <f t="shared" si="10"/>
        <v>0</v>
      </c>
      <c r="K18" s="705">
        <f t="shared" si="10"/>
        <v>0</v>
      </c>
      <c r="L18" s="693">
        <f t="shared" si="10"/>
        <v>0</v>
      </c>
      <c r="M18" s="696">
        <f t="shared" si="10"/>
        <v>0</v>
      </c>
      <c r="N18" s="705">
        <f t="shared" si="10"/>
        <v>0</v>
      </c>
      <c r="O18" s="693">
        <f t="shared" si="10"/>
        <v>0</v>
      </c>
      <c r="P18" s="696">
        <f t="shared" si="10"/>
        <v>0</v>
      </c>
      <c r="Q18" s="697">
        <f t="shared" si="10"/>
        <v>0</v>
      </c>
      <c r="R18" s="693">
        <f t="shared" si="10"/>
        <v>0</v>
      </c>
      <c r="S18" s="706">
        <f>SUM(S19:S20)</f>
        <v>0</v>
      </c>
    </row>
    <row r="19" spans="1:19">
      <c r="A19" s="1668">
        <v>260</v>
      </c>
      <c r="B19" s="1668">
        <v>1</v>
      </c>
      <c r="C19" s="1672" t="s">
        <v>557</v>
      </c>
      <c r="D19" s="1659">
        <v>270</v>
      </c>
      <c r="E19" s="693">
        <f t="shared" si="7"/>
        <v>0</v>
      </c>
      <c r="F19" s="693">
        <f t="shared" si="4"/>
        <v>0</v>
      </c>
      <c r="G19" s="693">
        <f t="shared" si="5"/>
        <v>0</v>
      </c>
      <c r="H19" s="694"/>
      <c r="I19" s="689">
        <f>J19*1.18</f>
        <v>0</v>
      </c>
      <c r="J19" s="695"/>
      <c r="K19" s="728"/>
      <c r="L19" s="694"/>
      <c r="M19" s="695"/>
      <c r="N19" s="705">
        <f t="shared" ref="N19:P20" si="11">Q19*1.18</f>
        <v>0</v>
      </c>
      <c r="O19" s="693">
        <f t="shared" si="11"/>
        <v>0</v>
      </c>
      <c r="P19" s="696">
        <f t="shared" si="11"/>
        <v>0</v>
      </c>
      <c r="Q19" s="729"/>
      <c r="R19" s="694"/>
      <c r="S19" s="698"/>
    </row>
    <row r="20" spans="1:19">
      <c r="A20" s="1668">
        <v>260</v>
      </c>
      <c r="B20" s="1668">
        <v>2</v>
      </c>
      <c r="C20" s="1672" t="s">
        <v>558</v>
      </c>
      <c r="D20" s="1659">
        <v>280</v>
      </c>
      <c r="E20" s="693">
        <f t="shared" si="7"/>
        <v>0</v>
      </c>
      <c r="F20" s="693">
        <f t="shared" si="4"/>
        <v>0</v>
      </c>
      <c r="G20" s="693">
        <f t="shared" si="5"/>
        <v>0</v>
      </c>
      <c r="H20" s="694"/>
      <c r="I20" s="689">
        <f>J20*1.18</f>
        <v>0</v>
      </c>
      <c r="J20" s="695"/>
      <c r="K20" s="728"/>
      <c r="L20" s="694"/>
      <c r="M20" s="695"/>
      <c r="N20" s="705">
        <f t="shared" si="11"/>
        <v>0</v>
      </c>
      <c r="O20" s="693">
        <f t="shared" si="11"/>
        <v>0</v>
      </c>
      <c r="P20" s="696">
        <f t="shared" si="11"/>
        <v>0</v>
      </c>
      <c r="Q20" s="729"/>
      <c r="R20" s="694"/>
      <c r="S20" s="698"/>
    </row>
    <row r="21" spans="1:19" ht="51">
      <c r="A21" s="1668">
        <v>290</v>
      </c>
      <c r="B21" s="1668">
        <v>0</v>
      </c>
      <c r="C21" s="1669" t="s">
        <v>564</v>
      </c>
      <c r="D21" s="1670">
        <v>290</v>
      </c>
      <c r="E21" s="693">
        <f>SUM(E22:E23)</f>
        <v>0</v>
      </c>
      <c r="F21" s="693">
        <f>SUM(F22:F23)</f>
        <v>0</v>
      </c>
      <c r="G21" s="693">
        <f>SUM(G22:G23)</f>
        <v>0</v>
      </c>
      <c r="H21" s="693">
        <f t="shared" ref="H21:R21" si="12">SUM(H22:H23)</f>
        <v>0</v>
      </c>
      <c r="I21" s="693">
        <f t="shared" si="12"/>
        <v>0</v>
      </c>
      <c r="J21" s="696">
        <f t="shared" si="12"/>
        <v>0</v>
      </c>
      <c r="K21" s="705">
        <f t="shared" si="12"/>
        <v>0</v>
      </c>
      <c r="L21" s="693">
        <f t="shared" si="12"/>
        <v>0</v>
      </c>
      <c r="M21" s="696">
        <f t="shared" si="12"/>
        <v>0</v>
      </c>
      <c r="N21" s="705">
        <f t="shared" si="12"/>
        <v>0</v>
      </c>
      <c r="O21" s="693">
        <f t="shared" si="12"/>
        <v>0</v>
      </c>
      <c r="P21" s="696">
        <f t="shared" si="12"/>
        <v>0</v>
      </c>
      <c r="Q21" s="697">
        <f t="shared" si="12"/>
        <v>0</v>
      </c>
      <c r="R21" s="693">
        <f t="shared" si="12"/>
        <v>0</v>
      </c>
      <c r="S21" s="706">
        <f>SUM(S22:S23)</f>
        <v>0</v>
      </c>
    </row>
    <row r="22" spans="1:19">
      <c r="A22" s="1668">
        <v>290</v>
      </c>
      <c r="B22" s="1668">
        <v>1</v>
      </c>
      <c r="C22" s="1672" t="s">
        <v>557</v>
      </c>
      <c r="D22" s="1659">
        <v>300</v>
      </c>
      <c r="E22" s="693">
        <f t="shared" si="7"/>
        <v>0</v>
      </c>
      <c r="F22" s="693">
        <f t="shared" si="4"/>
        <v>0</v>
      </c>
      <c r="G22" s="693">
        <f t="shared" si="5"/>
        <v>0</v>
      </c>
      <c r="H22" s="694"/>
      <c r="I22" s="689">
        <f>J22*1.18</f>
        <v>0</v>
      </c>
      <c r="J22" s="695"/>
      <c r="K22" s="728"/>
      <c r="L22" s="694"/>
      <c r="M22" s="695"/>
      <c r="N22" s="705">
        <f t="shared" ref="N22:P23" si="13">Q22*1.18</f>
        <v>0</v>
      </c>
      <c r="O22" s="693">
        <f t="shared" si="13"/>
        <v>0</v>
      </c>
      <c r="P22" s="696">
        <f t="shared" si="13"/>
        <v>0</v>
      </c>
      <c r="Q22" s="729"/>
      <c r="R22" s="694"/>
      <c r="S22" s="698"/>
    </row>
    <row r="23" spans="1:19" ht="12.75" customHeight="1">
      <c r="A23" s="1668">
        <v>290</v>
      </c>
      <c r="B23" s="1668">
        <v>2</v>
      </c>
      <c r="C23" s="1672" t="s">
        <v>558</v>
      </c>
      <c r="D23" s="1659">
        <v>310</v>
      </c>
      <c r="E23" s="693">
        <f t="shared" si="7"/>
        <v>0</v>
      </c>
      <c r="F23" s="693">
        <f t="shared" si="4"/>
        <v>0</v>
      </c>
      <c r="G23" s="693">
        <f t="shared" si="5"/>
        <v>0</v>
      </c>
      <c r="H23" s="694"/>
      <c r="I23" s="689">
        <f>J23*1.18</f>
        <v>0</v>
      </c>
      <c r="J23" s="695"/>
      <c r="K23" s="728"/>
      <c r="L23" s="694"/>
      <c r="M23" s="695"/>
      <c r="N23" s="705">
        <f t="shared" si="13"/>
        <v>0</v>
      </c>
      <c r="O23" s="693">
        <f t="shared" si="13"/>
        <v>0</v>
      </c>
      <c r="P23" s="696">
        <f t="shared" si="13"/>
        <v>0</v>
      </c>
      <c r="Q23" s="729"/>
      <c r="R23" s="694"/>
      <c r="S23" s="698"/>
    </row>
    <row r="24" spans="1:19" ht="12.75" customHeight="1">
      <c r="A24" s="1668">
        <v>320</v>
      </c>
      <c r="B24" s="1668">
        <v>0</v>
      </c>
      <c r="C24" s="1669" t="s">
        <v>568</v>
      </c>
      <c r="D24" s="1670">
        <v>320</v>
      </c>
      <c r="E24" s="693">
        <f>SUM(E25:E26)</f>
        <v>0</v>
      </c>
      <c r="F24" s="693">
        <f>SUM(F25:F26)</f>
        <v>0</v>
      </c>
      <c r="G24" s="693">
        <f>SUM(G25:G26)</f>
        <v>0</v>
      </c>
      <c r="H24" s="693">
        <f t="shared" ref="H24:R24" si="14">SUM(H25:H26)</f>
        <v>0</v>
      </c>
      <c r="I24" s="693">
        <f t="shared" si="14"/>
        <v>0</v>
      </c>
      <c r="J24" s="696">
        <f t="shared" si="14"/>
        <v>0</v>
      </c>
      <c r="K24" s="705">
        <f t="shared" si="14"/>
        <v>0</v>
      </c>
      <c r="L24" s="693">
        <f t="shared" si="14"/>
        <v>0</v>
      </c>
      <c r="M24" s="696">
        <f t="shared" si="14"/>
        <v>0</v>
      </c>
      <c r="N24" s="705">
        <f t="shared" si="14"/>
        <v>0</v>
      </c>
      <c r="O24" s="693">
        <f t="shared" si="14"/>
        <v>0</v>
      </c>
      <c r="P24" s="696">
        <f t="shared" si="14"/>
        <v>0</v>
      </c>
      <c r="Q24" s="697">
        <f t="shared" si="14"/>
        <v>0</v>
      </c>
      <c r="R24" s="693">
        <f t="shared" si="14"/>
        <v>0</v>
      </c>
      <c r="S24" s="706">
        <f>SUM(S25:S26)</f>
        <v>0</v>
      </c>
    </row>
    <row r="25" spans="1:19">
      <c r="A25" s="1668">
        <v>320</v>
      </c>
      <c r="B25" s="1668">
        <v>1</v>
      </c>
      <c r="C25" s="1672" t="s">
        <v>557</v>
      </c>
      <c r="D25" s="1659">
        <v>330</v>
      </c>
      <c r="E25" s="693">
        <f t="shared" si="7"/>
        <v>0</v>
      </c>
      <c r="F25" s="693">
        <f t="shared" si="4"/>
        <v>0</v>
      </c>
      <c r="G25" s="693">
        <f t="shared" si="5"/>
        <v>0</v>
      </c>
      <c r="H25" s="694"/>
      <c r="I25" s="689">
        <f>J25*1.18</f>
        <v>0</v>
      </c>
      <c r="J25" s="695"/>
      <c r="K25" s="728"/>
      <c r="L25" s="694"/>
      <c r="M25" s="695"/>
      <c r="N25" s="705">
        <f t="shared" ref="N25:P26" si="15">Q25*1.18</f>
        <v>0</v>
      </c>
      <c r="O25" s="693">
        <f t="shared" si="15"/>
        <v>0</v>
      </c>
      <c r="P25" s="696">
        <f t="shared" si="15"/>
        <v>0</v>
      </c>
      <c r="Q25" s="729"/>
      <c r="R25" s="694"/>
      <c r="S25" s="698"/>
    </row>
    <row r="26" spans="1:19">
      <c r="A26" s="1668">
        <v>320</v>
      </c>
      <c r="B26" s="1668">
        <v>2</v>
      </c>
      <c r="C26" s="1672" t="s">
        <v>558</v>
      </c>
      <c r="D26" s="1659">
        <v>340</v>
      </c>
      <c r="E26" s="693">
        <f t="shared" si="7"/>
        <v>0</v>
      </c>
      <c r="F26" s="693">
        <f t="shared" si="4"/>
        <v>0</v>
      </c>
      <c r="G26" s="693">
        <f t="shared" si="5"/>
        <v>0</v>
      </c>
      <c r="H26" s="694"/>
      <c r="I26" s="689">
        <f>J26*1.18</f>
        <v>0</v>
      </c>
      <c r="J26" s="695"/>
      <c r="K26" s="728"/>
      <c r="L26" s="694"/>
      <c r="M26" s="695"/>
      <c r="N26" s="705">
        <f t="shared" si="15"/>
        <v>0</v>
      </c>
      <c r="O26" s="693">
        <f t="shared" si="15"/>
        <v>0</v>
      </c>
      <c r="P26" s="696">
        <f t="shared" si="15"/>
        <v>0</v>
      </c>
      <c r="Q26" s="729"/>
      <c r="R26" s="694"/>
      <c r="S26" s="698"/>
    </row>
    <row r="27" spans="1:19">
      <c r="A27" s="1668">
        <v>400</v>
      </c>
      <c r="B27" s="1668">
        <v>0</v>
      </c>
      <c r="C27" s="1669" t="s">
        <v>572</v>
      </c>
      <c r="D27" s="1670">
        <v>400</v>
      </c>
      <c r="E27" s="693">
        <f>SUM(E28:E29)</f>
        <v>2127.3910000000001</v>
      </c>
      <c r="F27" s="693">
        <f>SUM(F28:F29)</f>
        <v>7359.8127510000004</v>
      </c>
      <c r="G27" s="693">
        <f>SUM(G28:G29)</f>
        <v>6237.1294500000004</v>
      </c>
      <c r="H27" s="693">
        <f>SUM(H28:H29)</f>
        <v>83.585999999999999</v>
      </c>
      <c r="I27" s="693">
        <f t="shared" ref="I27:R27" si="16">SUM(I28:I29)</f>
        <v>346.8270986</v>
      </c>
      <c r="J27" s="696">
        <f t="shared" si="16"/>
        <v>293.92126999999999</v>
      </c>
      <c r="K27" s="705">
        <f t="shared" si="16"/>
        <v>629.42700000000002</v>
      </c>
      <c r="L27" s="693">
        <f t="shared" si="16"/>
        <v>0</v>
      </c>
      <c r="M27" s="696">
        <f t="shared" si="16"/>
        <v>1414.3779999999999</v>
      </c>
      <c r="N27" s="705">
        <f t="shared" si="16"/>
        <v>1588.2255902000002</v>
      </c>
      <c r="O27" s="693">
        <f t="shared" si="16"/>
        <v>0</v>
      </c>
      <c r="P27" s="696">
        <f t="shared" si="16"/>
        <v>5424.7600622</v>
      </c>
      <c r="Q27" s="697">
        <f t="shared" si="16"/>
        <v>1345.9538900000002</v>
      </c>
      <c r="R27" s="693">
        <f t="shared" si="16"/>
        <v>0</v>
      </c>
      <c r="S27" s="706">
        <f>SUM(S28:S29)</f>
        <v>4597.2542899999999</v>
      </c>
    </row>
    <row r="28" spans="1:19">
      <c r="A28" s="1668">
        <v>400</v>
      </c>
      <c r="B28" s="1668">
        <v>1</v>
      </c>
      <c r="C28" s="1672" t="s">
        <v>557</v>
      </c>
      <c r="D28" s="1659">
        <v>410</v>
      </c>
      <c r="E28" s="693">
        <f>E32+E35+E38+E41+E44+E47+E50</f>
        <v>2127.3910000000001</v>
      </c>
      <c r="F28" s="693">
        <f t="shared" ref="F28:R29" si="17">F32+F35+F38+F41+F44+F47+F50</f>
        <v>7359.8127510000004</v>
      </c>
      <c r="G28" s="693">
        <f t="shared" si="17"/>
        <v>6237.1294500000004</v>
      </c>
      <c r="H28" s="693">
        <f>H32+H35+H38+H41+H44+H47+H50</f>
        <v>83.585999999999999</v>
      </c>
      <c r="I28" s="693">
        <f t="shared" si="17"/>
        <v>346.8270986</v>
      </c>
      <c r="J28" s="696">
        <f t="shared" si="17"/>
        <v>293.92126999999999</v>
      </c>
      <c r="K28" s="705">
        <f t="shared" si="17"/>
        <v>629.42700000000002</v>
      </c>
      <c r="L28" s="693">
        <f t="shared" si="17"/>
        <v>0</v>
      </c>
      <c r="M28" s="696">
        <f t="shared" si="17"/>
        <v>1414.3779999999999</v>
      </c>
      <c r="N28" s="705">
        <f t="shared" si="17"/>
        <v>1588.2255902000002</v>
      </c>
      <c r="O28" s="693">
        <f t="shared" si="17"/>
        <v>0</v>
      </c>
      <c r="P28" s="696">
        <f t="shared" si="17"/>
        <v>5424.7600622</v>
      </c>
      <c r="Q28" s="697">
        <f t="shared" si="17"/>
        <v>1345.9538900000002</v>
      </c>
      <c r="R28" s="693">
        <f t="shared" si="17"/>
        <v>0</v>
      </c>
      <c r="S28" s="706">
        <f>S32+S35+S38+S41+S44+S47+S50</f>
        <v>4597.2542899999999</v>
      </c>
    </row>
    <row r="29" spans="1:19">
      <c r="A29" s="1668">
        <v>400</v>
      </c>
      <c r="B29" s="1668">
        <v>2</v>
      </c>
      <c r="C29" s="1672" t="s">
        <v>558</v>
      </c>
      <c r="D29" s="1659">
        <v>420</v>
      </c>
      <c r="E29" s="693">
        <f>E33+E36+E39+E42+E45+E48+E51</f>
        <v>0</v>
      </c>
      <c r="F29" s="693">
        <f t="shared" si="17"/>
        <v>0</v>
      </c>
      <c r="G29" s="693">
        <f t="shared" si="17"/>
        <v>0</v>
      </c>
      <c r="H29" s="693">
        <f>H33+H36+H39+H42+H45+H48+H51</f>
        <v>0</v>
      </c>
      <c r="I29" s="693">
        <f t="shared" si="17"/>
        <v>0</v>
      </c>
      <c r="J29" s="696">
        <f t="shared" si="17"/>
        <v>0</v>
      </c>
      <c r="K29" s="705">
        <f t="shared" si="17"/>
        <v>0</v>
      </c>
      <c r="L29" s="693">
        <f t="shared" si="17"/>
        <v>0</v>
      </c>
      <c r="M29" s="696">
        <f t="shared" si="17"/>
        <v>0</v>
      </c>
      <c r="N29" s="705">
        <f t="shared" si="17"/>
        <v>0</v>
      </c>
      <c r="O29" s="693">
        <f t="shared" si="17"/>
        <v>0</v>
      </c>
      <c r="P29" s="696">
        <f t="shared" si="17"/>
        <v>0</v>
      </c>
      <c r="Q29" s="697">
        <f t="shared" si="17"/>
        <v>0</v>
      </c>
      <c r="R29" s="693">
        <f t="shared" si="17"/>
        <v>0</v>
      </c>
      <c r="S29" s="706">
        <f>S33+S36+S39+S42+S45+S48+S51</f>
        <v>0</v>
      </c>
    </row>
    <row r="30" spans="1:19">
      <c r="A30" s="1668">
        <v>430</v>
      </c>
      <c r="B30" s="1668" t="s">
        <v>1541</v>
      </c>
      <c r="C30" s="1672" t="s">
        <v>512</v>
      </c>
      <c r="D30" s="1659">
        <v>430</v>
      </c>
      <c r="E30" s="730"/>
      <c r="F30" s="731"/>
      <c r="G30" s="731"/>
      <c r="H30" s="731"/>
      <c r="I30" s="731"/>
      <c r="J30" s="732"/>
      <c r="K30" s="733"/>
      <c r="L30" s="731"/>
      <c r="M30" s="732"/>
      <c r="N30" s="733"/>
      <c r="O30" s="731"/>
      <c r="P30" s="732"/>
      <c r="Q30" s="734"/>
      <c r="R30" s="731"/>
      <c r="S30" s="735"/>
    </row>
    <row r="31" spans="1:19">
      <c r="A31" s="1668">
        <v>440</v>
      </c>
      <c r="B31" s="1668">
        <v>0</v>
      </c>
      <c r="C31" s="1669" t="s">
        <v>577</v>
      </c>
      <c r="D31" s="1670">
        <v>440</v>
      </c>
      <c r="E31" s="693">
        <f>SUM(E32:E33)</f>
        <v>2127.3910000000001</v>
      </c>
      <c r="F31" s="693">
        <f>SUM(F32:F33)</f>
        <v>7359.8127510000004</v>
      </c>
      <c r="G31" s="693">
        <f>SUM(G32:G33)</f>
        <v>6237.1294500000004</v>
      </c>
      <c r="H31" s="693">
        <f t="shared" ref="H31:R31" si="18">SUM(H32:H33)</f>
        <v>83.585999999999999</v>
      </c>
      <c r="I31" s="693">
        <f t="shared" si="18"/>
        <v>346.8270986</v>
      </c>
      <c r="J31" s="696">
        <f t="shared" si="18"/>
        <v>293.92126999999999</v>
      </c>
      <c r="K31" s="697">
        <f t="shared" si="18"/>
        <v>629.42700000000002</v>
      </c>
      <c r="L31" s="693">
        <f t="shared" si="18"/>
        <v>0</v>
      </c>
      <c r="M31" s="693">
        <f t="shared" si="18"/>
        <v>1414.3779999999999</v>
      </c>
      <c r="N31" s="705">
        <f t="shared" si="18"/>
        <v>1588.2255902000002</v>
      </c>
      <c r="O31" s="693">
        <f t="shared" si="18"/>
        <v>0</v>
      </c>
      <c r="P31" s="696">
        <f t="shared" si="18"/>
        <v>5424.7600622</v>
      </c>
      <c r="Q31" s="697">
        <f t="shared" si="18"/>
        <v>1345.9538900000002</v>
      </c>
      <c r="R31" s="693">
        <f t="shared" si="18"/>
        <v>0</v>
      </c>
      <c r="S31" s="706">
        <f>SUM(S32:S33)</f>
        <v>4597.2542899999999</v>
      </c>
    </row>
    <row r="32" spans="1:19">
      <c r="A32" s="1668">
        <v>440</v>
      </c>
      <c r="B32" s="1668">
        <v>1</v>
      </c>
      <c r="C32" s="1672" t="s">
        <v>557</v>
      </c>
      <c r="D32" s="1659">
        <v>450</v>
      </c>
      <c r="E32" s="693">
        <f t="shared" ref="E32:E51" si="19">H32+K32+L32+M32</f>
        <v>2127.3910000000001</v>
      </c>
      <c r="F32" s="693">
        <f t="shared" ref="F32:F51" si="20">I32+N32+O32+P32</f>
        <v>7359.8127510000004</v>
      </c>
      <c r="G32" s="693">
        <f t="shared" ref="G32:G51" si="21">J32+Q32+R32+S32</f>
        <v>6237.1294500000004</v>
      </c>
      <c r="H32" s="694">
        <f>'Раздел 1 В'!I38</f>
        <v>83.585999999999999</v>
      </c>
      <c r="I32" s="689">
        <f>J32*1.18</f>
        <v>346.8270986</v>
      </c>
      <c r="J32" s="694">
        <f>'Раздел 1 В'!K38</f>
        <v>293.92126999999999</v>
      </c>
      <c r="K32" s="694">
        <f>'Раздел 1 В'!L38</f>
        <v>629.42700000000002</v>
      </c>
      <c r="L32" s="694">
        <f>'Раздел 1 В'!M38</f>
        <v>0</v>
      </c>
      <c r="M32" s="694">
        <f>'Раздел 1 В'!N38</f>
        <v>1414.3779999999999</v>
      </c>
      <c r="N32" s="705">
        <f t="shared" ref="N32:P33" si="22">Q32*1.18</f>
        <v>1588.2255902000002</v>
      </c>
      <c r="O32" s="693">
        <f t="shared" si="22"/>
        <v>0</v>
      </c>
      <c r="P32" s="696">
        <f t="shared" si="22"/>
        <v>5424.7600622</v>
      </c>
      <c r="Q32" s="694">
        <f>'Раздел 1 В'!R38</f>
        <v>1345.9538900000002</v>
      </c>
      <c r="R32" s="694">
        <f>'Раздел 1 В'!S38</f>
        <v>0</v>
      </c>
      <c r="S32" s="694">
        <f>'Раздел 1 В'!T38</f>
        <v>4597.2542899999999</v>
      </c>
    </row>
    <row r="33" spans="1:19">
      <c r="A33" s="1668">
        <v>440</v>
      </c>
      <c r="B33" s="1668">
        <v>2</v>
      </c>
      <c r="C33" s="1672" t="s">
        <v>558</v>
      </c>
      <c r="D33" s="1659">
        <v>460</v>
      </c>
      <c r="E33" s="693">
        <f t="shared" si="19"/>
        <v>0</v>
      </c>
      <c r="F33" s="693">
        <f t="shared" si="20"/>
        <v>0</v>
      </c>
      <c r="G33" s="693">
        <f t="shared" si="21"/>
        <v>0</v>
      </c>
      <c r="H33" s="717"/>
      <c r="I33" s="689">
        <f>J33*1.18</f>
        <v>0</v>
      </c>
      <c r="J33" s="718"/>
      <c r="K33" s="736"/>
      <c r="L33" s="717"/>
      <c r="M33" s="717"/>
      <c r="N33" s="705">
        <f t="shared" si="22"/>
        <v>0</v>
      </c>
      <c r="O33" s="693">
        <f t="shared" si="22"/>
        <v>0</v>
      </c>
      <c r="P33" s="696">
        <f t="shared" si="22"/>
        <v>0</v>
      </c>
      <c r="Q33" s="736"/>
      <c r="R33" s="717"/>
      <c r="S33" s="719"/>
    </row>
    <row r="34" spans="1:19" ht="25.5">
      <c r="A34" s="1668">
        <v>470</v>
      </c>
      <c r="B34" s="1668">
        <v>0</v>
      </c>
      <c r="C34" s="1669" t="s">
        <v>581</v>
      </c>
      <c r="D34" s="1670">
        <v>470</v>
      </c>
      <c r="E34" s="693">
        <f>SUM(E35:E36)</f>
        <v>0</v>
      </c>
      <c r="F34" s="693">
        <f>SUM(F35:F36)</f>
        <v>0</v>
      </c>
      <c r="G34" s="693">
        <f>SUM(G35:G36)</f>
        <v>0</v>
      </c>
      <c r="H34" s="693">
        <f t="shared" ref="H34:R34" si="23">SUM(H35:H36)</f>
        <v>0</v>
      </c>
      <c r="I34" s="693">
        <f t="shared" si="23"/>
        <v>0</v>
      </c>
      <c r="J34" s="696">
        <f t="shared" si="23"/>
        <v>0</v>
      </c>
      <c r="K34" s="697">
        <f t="shared" si="23"/>
        <v>0</v>
      </c>
      <c r="L34" s="693">
        <f t="shared" si="23"/>
        <v>0</v>
      </c>
      <c r="M34" s="693">
        <f t="shared" si="23"/>
        <v>0</v>
      </c>
      <c r="N34" s="705">
        <f t="shared" si="23"/>
        <v>0</v>
      </c>
      <c r="O34" s="693">
        <f t="shared" si="23"/>
        <v>0</v>
      </c>
      <c r="P34" s="696">
        <f t="shared" si="23"/>
        <v>0</v>
      </c>
      <c r="Q34" s="697">
        <f t="shared" si="23"/>
        <v>0</v>
      </c>
      <c r="R34" s="693">
        <f t="shared" si="23"/>
        <v>0</v>
      </c>
      <c r="S34" s="706">
        <f>SUM(S35:S36)</f>
        <v>0</v>
      </c>
    </row>
    <row r="35" spans="1:19">
      <c r="A35" s="1668">
        <v>470</v>
      </c>
      <c r="B35" s="1668">
        <v>1</v>
      </c>
      <c r="C35" s="1672" t="s">
        <v>557</v>
      </c>
      <c r="D35" s="1659">
        <v>480</v>
      </c>
      <c r="E35" s="693">
        <f t="shared" si="19"/>
        <v>0</v>
      </c>
      <c r="F35" s="693">
        <f t="shared" si="20"/>
        <v>0</v>
      </c>
      <c r="G35" s="693">
        <f t="shared" si="21"/>
        <v>0</v>
      </c>
      <c r="H35" s="717"/>
      <c r="I35" s="689">
        <f>J35*1.18</f>
        <v>0</v>
      </c>
      <c r="J35" s="718"/>
      <c r="K35" s="736"/>
      <c r="L35" s="717"/>
      <c r="M35" s="717"/>
      <c r="N35" s="705">
        <f t="shared" ref="N35:P36" si="24">Q35*1.18</f>
        <v>0</v>
      </c>
      <c r="O35" s="693">
        <f t="shared" si="24"/>
        <v>0</v>
      </c>
      <c r="P35" s="696">
        <f t="shared" si="24"/>
        <v>0</v>
      </c>
      <c r="Q35" s="736"/>
      <c r="R35" s="717"/>
      <c r="S35" s="719"/>
    </row>
    <row r="36" spans="1:19">
      <c r="A36" s="1668">
        <v>470</v>
      </c>
      <c r="B36" s="1668">
        <v>2</v>
      </c>
      <c r="C36" s="1672" t="s">
        <v>558</v>
      </c>
      <c r="D36" s="1659">
        <v>490</v>
      </c>
      <c r="E36" s="693">
        <f t="shared" si="19"/>
        <v>0</v>
      </c>
      <c r="F36" s="693">
        <f>I36+N36+O36+P36</f>
        <v>0</v>
      </c>
      <c r="G36" s="693">
        <f t="shared" si="21"/>
        <v>0</v>
      </c>
      <c r="H36" s="717"/>
      <c r="I36" s="689">
        <f>J36*1.18</f>
        <v>0</v>
      </c>
      <c r="J36" s="718"/>
      <c r="K36" s="736"/>
      <c r="L36" s="717"/>
      <c r="M36" s="717"/>
      <c r="N36" s="705">
        <f t="shared" si="24"/>
        <v>0</v>
      </c>
      <c r="O36" s="693">
        <f t="shared" si="24"/>
        <v>0</v>
      </c>
      <c r="P36" s="696">
        <f t="shared" si="24"/>
        <v>0</v>
      </c>
      <c r="Q36" s="736"/>
      <c r="R36" s="717"/>
      <c r="S36" s="719"/>
    </row>
    <row r="37" spans="1:19">
      <c r="A37" s="1668">
        <v>500</v>
      </c>
      <c r="B37" s="1668">
        <v>0</v>
      </c>
      <c r="C37" s="1669" t="s">
        <v>585</v>
      </c>
      <c r="D37" s="1670">
        <v>500</v>
      </c>
      <c r="E37" s="693">
        <f>SUM(E38:E39)</f>
        <v>0</v>
      </c>
      <c r="F37" s="693">
        <f>SUM(F38:F39)</f>
        <v>0</v>
      </c>
      <c r="G37" s="693">
        <f>SUM(G38:G39)</f>
        <v>0</v>
      </c>
      <c r="H37" s="693">
        <f t="shared" ref="H37:R37" si="25">SUM(H38:H39)</f>
        <v>0</v>
      </c>
      <c r="I37" s="693">
        <f t="shared" si="25"/>
        <v>0</v>
      </c>
      <c r="J37" s="696">
        <f t="shared" si="25"/>
        <v>0</v>
      </c>
      <c r="K37" s="697">
        <f t="shared" si="25"/>
        <v>0</v>
      </c>
      <c r="L37" s="693">
        <f t="shared" si="25"/>
        <v>0</v>
      </c>
      <c r="M37" s="693">
        <f t="shared" si="25"/>
        <v>0</v>
      </c>
      <c r="N37" s="705">
        <f t="shared" si="25"/>
        <v>0</v>
      </c>
      <c r="O37" s="693">
        <f t="shared" si="25"/>
        <v>0</v>
      </c>
      <c r="P37" s="696">
        <f t="shared" si="25"/>
        <v>0</v>
      </c>
      <c r="Q37" s="697">
        <f t="shared" si="25"/>
        <v>0</v>
      </c>
      <c r="R37" s="693">
        <f t="shared" si="25"/>
        <v>0</v>
      </c>
      <c r="S37" s="706">
        <f>SUM(S38:S39)</f>
        <v>0</v>
      </c>
    </row>
    <row r="38" spans="1:19">
      <c r="A38" s="1668">
        <v>500</v>
      </c>
      <c r="B38" s="1668">
        <v>1</v>
      </c>
      <c r="C38" s="1672" t="s">
        <v>557</v>
      </c>
      <c r="D38" s="1659">
        <v>510</v>
      </c>
      <c r="E38" s="693">
        <f t="shared" si="19"/>
        <v>0</v>
      </c>
      <c r="F38" s="693">
        <f t="shared" si="20"/>
        <v>0</v>
      </c>
      <c r="G38" s="693">
        <f t="shared" si="21"/>
        <v>0</v>
      </c>
      <c r="H38" s="717"/>
      <c r="I38" s="689">
        <f t="shared" ref="I38:I51" si="26">J38*1.18</f>
        <v>0</v>
      </c>
      <c r="J38" s="718"/>
      <c r="K38" s="736"/>
      <c r="L38" s="717"/>
      <c r="M38" s="717"/>
      <c r="N38" s="705">
        <f t="shared" ref="N38:P39" si="27">Q38*1.18</f>
        <v>0</v>
      </c>
      <c r="O38" s="693">
        <f t="shared" si="27"/>
        <v>0</v>
      </c>
      <c r="P38" s="696">
        <f t="shared" si="27"/>
        <v>0</v>
      </c>
      <c r="Q38" s="736"/>
      <c r="R38" s="717"/>
      <c r="S38" s="719"/>
    </row>
    <row r="39" spans="1:19">
      <c r="A39" s="1668">
        <v>500</v>
      </c>
      <c r="B39" s="1668">
        <v>2</v>
      </c>
      <c r="C39" s="1672" t="s">
        <v>558</v>
      </c>
      <c r="D39" s="1659">
        <v>520</v>
      </c>
      <c r="E39" s="693">
        <f t="shared" si="19"/>
        <v>0</v>
      </c>
      <c r="F39" s="693">
        <f t="shared" si="20"/>
        <v>0</v>
      </c>
      <c r="G39" s="693">
        <f t="shared" si="21"/>
        <v>0</v>
      </c>
      <c r="H39" s="717"/>
      <c r="I39" s="689">
        <f t="shared" si="26"/>
        <v>0</v>
      </c>
      <c r="J39" s="718"/>
      <c r="K39" s="736"/>
      <c r="L39" s="717"/>
      <c r="M39" s="717"/>
      <c r="N39" s="705">
        <f t="shared" si="27"/>
        <v>0</v>
      </c>
      <c r="O39" s="693">
        <f t="shared" si="27"/>
        <v>0</v>
      </c>
      <c r="P39" s="696">
        <f t="shared" si="27"/>
        <v>0</v>
      </c>
      <c r="Q39" s="736"/>
      <c r="R39" s="717"/>
      <c r="S39" s="719"/>
    </row>
    <row r="40" spans="1:19" ht="25.5">
      <c r="A40" s="1668">
        <v>530</v>
      </c>
      <c r="B40" s="1668">
        <v>0</v>
      </c>
      <c r="C40" s="1669" t="s">
        <v>589</v>
      </c>
      <c r="D40" s="1670">
        <v>530</v>
      </c>
      <c r="E40" s="693">
        <f>SUM(E41:E42)</f>
        <v>0</v>
      </c>
      <c r="F40" s="693">
        <f>SUM(F41:F42)</f>
        <v>0</v>
      </c>
      <c r="G40" s="693">
        <f>SUM(G41:G42)</f>
        <v>0</v>
      </c>
      <c r="H40" s="693">
        <f t="shared" ref="H40:R40" si="28">SUM(H41:H42)</f>
        <v>0</v>
      </c>
      <c r="I40" s="693">
        <f t="shared" si="28"/>
        <v>0</v>
      </c>
      <c r="J40" s="696">
        <f t="shared" si="28"/>
        <v>0</v>
      </c>
      <c r="K40" s="697">
        <f t="shared" si="28"/>
        <v>0</v>
      </c>
      <c r="L40" s="693">
        <f t="shared" si="28"/>
        <v>0</v>
      </c>
      <c r="M40" s="693">
        <f t="shared" si="28"/>
        <v>0</v>
      </c>
      <c r="N40" s="705">
        <f t="shared" si="28"/>
        <v>0</v>
      </c>
      <c r="O40" s="693">
        <f t="shared" si="28"/>
        <v>0</v>
      </c>
      <c r="P40" s="696">
        <f t="shared" si="28"/>
        <v>0</v>
      </c>
      <c r="Q40" s="697">
        <f t="shared" si="28"/>
        <v>0</v>
      </c>
      <c r="R40" s="693">
        <f t="shared" si="28"/>
        <v>0</v>
      </c>
      <c r="S40" s="706">
        <f>SUM(S41:S42)</f>
        <v>0</v>
      </c>
    </row>
    <row r="41" spans="1:19">
      <c r="A41" s="1668">
        <v>530</v>
      </c>
      <c r="B41" s="1668">
        <v>1</v>
      </c>
      <c r="C41" s="1672" t="s">
        <v>557</v>
      </c>
      <c r="D41" s="1659">
        <v>540</v>
      </c>
      <c r="E41" s="693">
        <f t="shared" si="19"/>
        <v>0</v>
      </c>
      <c r="F41" s="693">
        <f t="shared" si="20"/>
        <v>0</v>
      </c>
      <c r="G41" s="693">
        <f t="shared" si="21"/>
        <v>0</v>
      </c>
      <c r="H41" s="717"/>
      <c r="I41" s="689">
        <f t="shared" si="26"/>
        <v>0</v>
      </c>
      <c r="J41" s="718"/>
      <c r="K41" s="736"/>
      <c r="L41" s="717"/>
      <c r="M41" s="717"/>
      <c r="N41" s="705">
        <f t="shared" ref="N41:P42" si="29">Q41*1.18</f>
        <v>0</v>
      </c>
      <c r="O41" s="693">
        <f t="shared" si="29"/>
        <v>0</v>
      </c>
      <c r="P41" s="696">
        <f t="shared" si="29"/>
        <v>0</v>
      </c>
      <c r="Q41" s="736"/>
      <c r="R41" s="717"/>
      <c r="S41" s="719"/>
    </row>
    <row r="42" spans="1:19">
      <c r="A42" s="1668">
        <v>530</v>
      </c>
      <c r="B42" s="1668">
        <v>2</v>
      </c>
      <c r="C42" s="1672" t="s">
        <v>558</v>
      </c>
      <c r="D42" s="1659">
        <v>550</v>
      </c>
      <c r="E42" s="693">
        <f t="shared" si="19"/>
        <v>0</v>
      </c>
      <c r="F42" s="693">
        <f t="shared" si="20"/>
        <v>0</v>
      </c>
      <c r="G42" s="693">
        <f t="shared" si="21"/>
        <v>0</v>
      </c>
      <c r="H42" s="717"/>
      <c r="I42" s="689">
        <f t="shared" si="26"/>
        <v>0</v>
      </c>
      <c r="J42" s="718"/>
      <c r="K42" s="736"/>
      <c r="L42" s="717"/>
      <c r="M42" s="717"/>
      <c r="N42" s="705">
        <f t="shared" si="29"/>
        <v>0</v>
      </c>
      <c r="O42" s="693">
        <f t="shared" si="29"/>
        <v>0</v>
      </c>
      <c r="P42" s="696">
        <f t="shared" si="29"/>
        <v>0</v>
      </c>
      <c r="Q42" s="736"/>
      <c r="R42" s="717"/>
      <c r="S42" s="719"/>
    </row>
    <row r="43" spans="1:19" ht="25.5">
      <c r="A43" s="1668">
        <v>560</v>
      </c>
      <c r="B43" s="1668">
        <v>0</v>
      </c>
      <c r="C43" s="1669" t="s">
        <v>593</v>
      </c>
      <c r="D43" s="1670">
        <v>560</v>
      </c>
      <c r="E43" s="693">
        <f>SUM(E44:E45)</f>
        <v>0</v>
      </c>
      <c r="F43" s="693">
        <f>SUM(F44:F45)</f>
        <v>0</v>
      </c>
      <c r="G43" s="693">
        <f>SUM(G44:G45)</f>
        <v>0</v>
      </c>
      <c r="H43" s="693">
        <f>SUM(H44:H45)</f>
        <v>0</v>
      </c>
      <c r="I43" s="693">
        <f t="shared" ref="I43:R43" si="30">SUM(I44:I45)</f>
        <v>0</v>
      </c>
      <c r="J43" s="696">
        <f t="shared" si="30"/>
        <v>0</v>
      </c>
      <c r="K43" s="697">
        <f t="shared" si="30"/>
        <v>0</v>
      </c>
      <c r="L43" s="693">
        <f t="shared" si="30"/>
        <v>0</v>
      </c>
      <c r="M43" s="693">
        <f t="shared" si="30"/>
        <v>0</v>
      </c>
      <c r="N43" s="705">
        <f t="shared" si="30"/>
        <v>0</v>
      </c>
      <c r="O43" s="693">
        <f t="shared" si="30"/>
        <v>0</v>
      </c>
      <c r="P43" s="696">
        <f t="shared" si="30"/>
        <v>0</v>
      </c>
      <c r="Q43" s="697">
        <f t="shared" si="30"/>
        <v>0</v>
      </c>
      <c r="R43" s="693">
        <f t="shared" si="30"/>
        <v>0</v>
      </c>
      <c r="S43" s="706">
        <f>SUM(S44:S45)</f>
        <v>0</v>
      </c>
    </row>
    <row r="44" spans="1:19">
      <c r="A44" s="1668">
        <v>560</v>
      </c>
      <c r="B44" s="1668">
        <v>1</v>
      </c>
      <c r="C44" s="1672" t="s">
        <v>557</v>
      </c>
      <c r="D44" s="1659">
        <v>570</v>
      </c>
      <c r="E44" s="693">
        <f t="shared" si="19"/>
        <v>0</v>
      </c>
      <c r="F44" s="693">
        <f t="shared" si="20"/>
        <v>0</v>
      </c>
      <c r="G44" s="693">
        <f t="shared" si="21"/>
        <v>0</v>
      </c>
      <c r="H44" s="717"/>
      <c r="I44" s="689">
        <f t="shared" si="26"/>
        <v>0</v>
      </c>
      <c r="J44" s="718"/>
      <c r="K44" s="736"/>
      <c r="L44" s="717"/>
      <c r="M44" s="717"/>
      <c r="N44" s="705">
        <f t="shared" ref="N44:P45" si="31">Q44*1.18</f>
        <v>0</v>
      </c>
      <c r="O44" s="693">
        <f t="shared" si="31"/>
        <v>0</v>
      </c>
      <c r="P44" s="696">
        <f t="shared" si="31"/>
        <v>0</v>
      </c>
      <c r="Q44" s="736"/>
      <c r="R44" s="717"/>
      <c r="S44" s="719"/>
    </row>
    <row r="45" spans="1:19">
      <c r="A45" s="1668">
        <v>560</v>
      </c>
      <c r="B45" s="1668">
        <v>2</v>
      </c>
      <c r="C45" s="1672" t="s">
        <v>558</v>
      </c>
      <c r="D45" s="1659">
        <v>580</v>
      </c>
      <c r="E45" s="693">
        <f t="shared" si="19"/>
        <v>0</v>
      </c>
      <c r="F45" s="693">
        <f t="shared" si="20"/>
        <v>0</v>
      </c>
      <c r="G45" s="693">
        <f t="shared" si="21"/>
        <v>0</v>
      </c>
      <c r="H45" s="717"/>
      <c r="I45" s="689">
        <f t="shared" si="26"/>
        <v>0</v>
      </c>
      <c r="J45" s="718"/>
      <c r="K45" s="736"/>
      <c r="L45" s="717"/>
      <c r="M45" s="717"/>
      <c r="N45" s="705">
        <f t="shared" si="31"/>
        <v>0</v>
      </c>
      <c r="O45" s="693">
        <f t="shared" si="31"/>
        <v>0</v>
      </c>
      <c r="P45" s="696">
        <f t="shared" si="31"/>
        <v>0</v>
      </c>
      <c r="Q45" s="736"/>
      <c r="R45" s="717"/>
      <c r="S45" s="719"/>
    </row>
    <row r="46" spans="1:19" ht="15.75" customHeight="1">
      <c r="A46" s="1668">
        <v>590</v>
      </c>
      <c r="B46" s="1668">
        <v>0</v>
      </c>
      <c r="C46" s="1669" t="s">
        <v>597</v>
      </c>
      <c r="D46" s="1670">
        <v>590</v>
      </c>
      <c r="E46" s="693">
        <f>SUM(E47:E48)</f>
        <v>0</v>
      </c>
      <c r="F46" s="693">
        <f>SUM(F47:F48)</f>
        <v>0</v>
      </c>
      <c r="G46" s="693">
        <f>SUM(G47:G48)</f>
        <v>0</v>
      </c>
      <c r="H46" s="693">
        <f t="shared" ref="H46:R46" si="32">SUM(H47:H48)</f>
        <v>0</v>
      </c>
      <c r="I46" s="693">
        <f t="shared" si="32"/>
        <v>0</v>
      </c>
      <c r="J46" s="696">
        <f t="shared" si="32"/>
        <v>0</v>
      </c>
      <c r="K46" s="697">
        <f t="shared" si="32"/>
        <v>0</v>
      </c>
      <c r="L46" s="693">
        <f t="shared" si="32"/>
        <v>0</v>
      </c>
      <c r="M46" s="693">
        <f t="shared" si="32"/>
        <v>0</v>
      </c>
      <c r="N46" s="705">
        <f t="shared" si="32"/>
        <v>0</v>
      </c>
      <c r="O46" s="693">
        <f t="shared" si="32"/>
        <v>0</v>
      </c>
      <c r="P46" s="696">
        <f t="shared" si="32"/>
        <v>0</v>
      </c>
      <c r="Q46" s="697">
        <f t="shared" si="32"/>
        <v>0</v>
      </c>
      <c r="R46" s="693">
        <f t="shared" si="32"/>
        <v>0</v>
      </c>
      <c r="S46" s="706">
        <f>SUM(S47:S48)</f>
        <v>0</v>
      </c>
    </row>
    <row r="47" spans="1:19">
      <c r="A47" s="1668">
        <v>590</v>
      </c>
      <c r="B47" s="1668">
        <v>1</v>
      </c>
      <c r="C47" s="1672" t="s">
        <v>557</v>
      </c>
      <c r="D47" s="1659">
        <v>600</v>
      </c>
      <c r="E47" s="693">
        <f t="shared" si="19"/>
        <v>0</v>
      </c>
      <c r="F47" s="693">
        <f t="shared" si="20"/>
        <v>0</v>
      </c>
      <c r="G47" s="693">
        <f t="shared" si="21"/>
        <v>0</v>
      </c>
      <c r="H47" s="717"/>
      <c r="I47" s="689">
        <f t="shared" si="26"/>
        <v>0</v>
      </c>
      <c r="J47" s="718"/>
      <c r="K47" s="736"/>
      <c r="L47" s="717"/>
      <c r="M47" s="717"/>
      <c r="N47" s="705">
        <f t="shared" ref="N47:P48" si="33">Q47*1.18</f>
        <v>0</v>
      </c>
      <c r="O47" s="693">
        <f t="shared" si="33"/>
        <v>0</v>
      </c>
      <c r="P47" s="696">
        <f t="shared" si="33"/>
        <v>0</v>
      </c>
      <c r="Q47" s="736"/>
      <c r="R47" s="717"/>
      <c r="S47" s="719"/>
    </row>
    <row r="48" spans="1:19">
      <c r="A48" s="1668">
        <v>590</v>
      </c>
      <c r="B48" s="1668">
        <v>2</v>
      </c>
      <c r="C48" s="1672" t="s">
        <v>558</v>
      </c>
      <c r="D48" s="1659">
        <v>610</v>
      </c>
      <c r="E48" s="693">
        <f t="shared" si="19"/>
        <v>0</v>
      </c>
      <c r="F48" s="693">
        <f t="shared" si="20"/>
        <v>0</v>
      </c>
      <c r="G48" s="693">
        <f t="shared" si="21"/>
        <v>0</v>
      </c>
      <c r="H48" s="717"/>
      <c r="I48" s="689">
        <f t="shared" si="26"/>
        <v>0</v>
      </c>
      <c r="J48" s="718"/>
      <c r="K48" s="736"/>
      <c r="L48" s="717"/>
      <c r="M48" s="717"/>
      <c r="N48" s="705">
        <f t="shared" si="33"/>
        <v>0</v>
      </c>
      <c r="O48" s="693">
        <f t="shared" si="33"/>
        <v>0</v>
      </c>
      <c r="P48" s="696">
        <f t="shared" si="33"/>
        <v>0</v>
      </c>
      <c r="Q48" s="736"/>
      <c r="R48" s="717"/>
      <c r="S48" s="719"/>
    </row>
    <row r="49" spans="1:19" ht="51">
      <c r="A49" s="1668">
        <v>700</v>
      </c>
      <c r="B49" s="1668">
        <v>0</v>
      </c>
      <c r="C49" s="1669" t="s">
        <v>601</v>
      </c>
      <c r="D49" s="1670">
        <v>700</v>
      </c>
      <c r="E49" s="693">
        <f>SUM(E50:E51)</f>
        <v>0</v>
      </c>
      <c r="F49" s="693">
        <f>SUM(F50:F51)</f>
        <v>0</v>
      </c>
      <c r="G49" s="693">
        <f>SUM(G50:G51)</f>
        <v>0</v>
      </c>
      <c r="H49" s="693">
        <f t="shared" ref="H49:R49" si="34">SUM(H50:H51)</f>
        <v>0</v>
      </c>
      <c r="I49" s="693">
        <f t="shared" si="34"/>
        <v>0</v>
      </c>
      <c r="J49" s="696">
        <f t="shared" si="34"/>
        <v>0</v>
      </c>
      <c r="K49" s="697">
        <f t="shared" si="34"/>
        <v>0</v>
      </c>
      <c r="L49" s="693">
        <f t="shared" si="34"/>
        <v>0</v>
      </c>
      <c r="M49" s="693">
        <f t="shared" si="34"/>
        <v>0</v>
      </c>
      <c r="N49" s="705">
        <f t="shared" si="34"/>
        <v>0</v>
      </c>
      <c r="O49" s="693">
        <f t="shared" si="34"/>
        <v>0</v>
      </c>
      <c r="P49" s="696">
        <f t="shared" si="34"/>
        <v>0</v>
      </c>
      <c r="Q49" s="697">
        <f t="shared" si="34"/>
        <v>0</v>
      </c>
      <c r="R49" s="693">
        <f t="shared" si="34"/>
        <v>0</v>
      </c>
      <c r="S49" s="706">
        <f>SUM(S50:S51)</f>
        <v>0</v>
      </c>
    </row>
    <row r="50" spans="1:19">
      <c r="A50" s="1668">
        <v>700</v>
      </c>
      <c r="B50" s="1668">
        <v>1</v>
      </c>
      <c r="C50" s="1672" t="s">
        <v>557</v>
      </c>
      <c r="D50" s="1659">
        <v>710</v>
      </c>
      <c r="E50" s="693">
        <f t="shared" si="19"/>
        <v>0</v>
      </c>
      <c r="F50" s="693">
        <f t="shared" si="20"/>
        <v>0</v>
      </c>
      <c r="G50" s="693">
        <f t="shared" si="21"/>
        <v>0</v>
      </c>
      <c r="H50" s="737"/>
      <c r="I50" s="689">
        <f t="shared" si="26"/>
        <v>0</v>
      </c>
      <c r="J50" s="738"/>
      <c r="K50" s="736"/>
      <c r="L50" s="717"/>
      <c r="M50" s="717"/>
      <c r="N50" s="705">
        <f t="shared" ref="N50:P51" si="35">Q50*1.18</f>
        <v>0</v>
      </c>
      <c r="O50" s="693">
        <f t="shared" si="35"/>
        <v>0</v>
      </c>
      <c r="P50" s="696">
        <f t="shared" si="35"/>
        <v>0</v>
      </c>
      <c r="Q50" s="736"/>
      <c r="R50" s="717"/>
      <c r="S50" s="719"/>
    </row>
    <row r="51" spans="1:19">
      <c r="A51" s="1668">
        <v>700</v>
      </c>
      <c r="B51" s="1668">
        <v>2</v>
      </c>
      <c r="C51" s="1672" t="s">
        <v>558</v>
      </c>
      <c r="D51" s="1659">
        <v>720</v>
      </c>
      <c r="E51" s="693">
        <f t="shared" si="19"/>
        <v>0</v>
      </c>
      <c r="F51" s="693">
        <f t="shared" si="20"/>
        <v>0</v>
      </c>
      <c r="G51" s="693">
        <f t="shared" si="21"/>
        <v>0</v>
      </c>
      <c r="H51" s="737"/>
      <c r="I51" s="689">
        <f t="shared" si="26"/>
        <v>0</v>
      </c>
      <c r="J51" s="738"/>
      <c r="K51" s="739"/>
      <c r="L51" s="737"/>
      <c r="M51" s="737"/>
      <c r="N51" s="705">
        <f t="shared" si="35"/>
        <v>0</v>
      </c>
      <c r="O51" s="693">
        <f t="shared" si="35"/>
        <v>0</v>
      </c>
      <c r="P51" s="696">
        <f t="shared" si="35"/>
        <v>0</v>
      </c>
      <c r="Q51" s="739"/>
      <c r="R51" s="737"/>
      <c r="S51" s="740"/>
    </row>
    <row r="63" spans="1:19" ht="12.75" customHeight="1"/>
    <row r="64" spans="1:19" ht="12.75" customHeight="1"/>
    <row r="102" spans="1:19" s="1655" customFormat="1">
      <c r="A102" s="1652"/>
      <c r="B102" s="1652"/>
      <c r="C102" s="1652"/>
      <c r="D102" s="1652"/>
      <c r="E102" s="1652"/>
      <c r="F102" s="1652"/>
      <c r="G102" s="1652"/>
      <c r="H102" s="1652"/>
      <c r="I102" s="1652"/>
      <c r="J102" s="1652"/>
      <c r="K102" s="1652"/>
      <c r="L102" s="1652"/>
      <c r="M102" s="1652"/>
      <c r="N102" s="1652"/>
      <c r="O102" s="1652"/>
      <c r="P102" s="1652"/>
      <c r="Q102" s="1652"/>
      <c r="R102" s="1652"/>
      <c r="S102" s="1652"/>
    </row>
    <row r="105" spans="1:19" ht="38.25" customHeight="1"/>
    <row r="106" spans="1:19" ht="25.5" customHeight="1"/>
    <row r="107" spans="1:19" ht="38.25" customHeight="1"/>
    <row r="108" spans="1:19" ht="13.5" customHeight="1"/>
    <row r="111" spans="1:19" s="1671" customFormat="1">
      <c r="A111" s="1652"/>
      <c r="B111" s="1652"/>
      <c r="C111" s="1652"/>
      <c r="D111" s="1652"/>
      <c r="E111" s="1652"/>
      <c r="F111" s="1652"/>
      <c r="G111" s="1652"/>
      <c r="H111" s="1652"/>
      <c r="I111" s="1652"/>
      <c r="J111" s="1652"/>
      <c r="K111" s="1652"/>
      <c r="L111" s="1652"/>
      <c r="M111" s="1652"/>
      <c r="N111" s="1652"/>
      <c r="O111" s="1652"/>
      <c r="P111" s="1652"/>
      <c r="Q111" s="1652"/>
      <c r="R111" s="1652"/>
      <c r="S111" s="1652"/>
    </row>
    <row r="119" spans="1:19" s="1671" customFormat="1">
      <c r="A119" s="1652"/>
      <c r="B119" s="1652"/>
      <c r="C119" s="1652"/>
      <c r="D119" s="1652"/>
      <c r="E119" s="1652"/>
      <c r="F119" s="1652"/>
      <c r="G119" s="1652"/>
      <c r="H119" s="1652"/>
      <c r="I119" s="1652"/>
      <c r="J119" s="1652"/>
      <c r="K119" s="1652"/>
      <c r="L119" s="1652"/>
      <c r="M119" s="1652"/>
      <c r="N119" s="1652"/>
      <c r="O119" s="1652"/>
      <c r="P119" s="1652"/>
      <c r="Q119" s="1652"/>
      <c r="R119" s="1652"/>
      <c r="S119" s="1652"/>
    </row>
    <row r="127" spans="1:19" s="1671" customFormat="1">
      <c r="A127" s="1652"/>
      <c r="B127" s="1652"/>
      <c r="C127" s="1652"/>
      <c r="D127" s="1652"/>
      <c r="E127" s="1652"/>
      <c r="F127" s="1652"/>
      <c r="G127" s="1652"/>
      <c r="H127" s="1652"/>
      <c r="I127" s="1652"/>
      <c r="J127" s="1652"/>
      <c r="K127" s="1652"/>
      <c r="L127" s="1652"/>
      <c r="M127" s="1652"/>
      <c r="N127" s="1652"/>
      <c r="O127" s="1652"/>
      <c r="P127" s="1652"/>
      <c r="Q127" s="1652"/>
      <c r="R127" s="1652"/>
      <c r="S127" s="1652"/>
    </row>
    <row r="135" spans="1:19" s="1671" customFormat="1">
      <c r="A135" s="1652"/>
      <c r="B135" s="1652"/>
      <c r="C135" s="1652"/>
      <c r="D135" s="1652"/>
      <c r="E135" s="1652"/>
      <c r="F135" s="1652"/>
      <c r="G135" s="1652"/>
      <c r="H135" s="1652"/>
      <c r="I135" s="1652"/>
      <c r="J135" s="1652"/>
      <c r="K135" s="1652"/>
      <c r="L135" s="1652"/>
      <c r="M135" s="1652"/>
      <c r="N135" s="1652"/>
      <c r="O135" s="1652"/>
      <c r="P135" s="1652"/>
      <c r="Q135" s="1652"/>
      <c r="R135" s="1652"/>
      <c r="S135" s="1652"/>
    </row>
    <row r="143" spans="1:19" s="1671" customFormat="1">
      <c r="A143" s="1652"/>
      <c r="B143" s="1652"/>
      <c r="C143" s="1652"/>
      <c r="D143" s="1652"/>
      <c r="E143" s="1652"/>
      <c r="F143" s="1652"/>
      <c r="G143" s="1652"/>
      <c r="H143" s="1652"/>
      <c r="I143" s="1652"/>
      <c r="J143" s="1652"/>
      <c r="K143" s="1652"/>
      <c r="L143" s="1652"/>
      <c r="M143" s="1652"/>
      <c r="N143" s="1652"/>
      <c r="O143" s="1652"/>
      <c r="P143" s="1652"/>
      <c r="Q143" s="1652"/>
      <c r="R143" s="1652"/>
      <c r="S143" s="1652"/>
    </row>
    <row r="144" spans="1:19" s="1671" customFormat="1">
      <c r="A144" s="1652"/>
      <c r="B144" s="1652"/>
      <c r="C144" s="1652"/>
      <c r="D144" s="1652"/>
      <c r="E144" s="1652"/>
      <c r="F144" s="1652"/>
      <c r="G144" s="1652"/>
      <c r="H144" s="1652"/>
      <c r="I144" s="1652"/>
      <c r="J144" s="1652"/>
      <c r="K144" s="1652"/>
      <c r="L144" s="1652"/>
      <c r="M144" s="1652"/>
      <c r="N144" s="1652"/>
      <c r="O144" s="1652"/>
      <c r="P144" s="1652"/>
      <c r="Q144" s="1652"/>
      <c r="R144" s="1652"/>
      <c r="S144" s="1652"/>
    </row>
    <row r="149" ht="12.75" customHeight="1"/>
    <row r="150" ht="12.75" customHeight="1"/>
    <row r="151" ht="12.75" customHeight="1"/>
  </sheetData>
  <mergeCells count="11">
    <mergeCell ref="N5:P5"/>
    <mergeCell ref="Q5:S5"/>
    <mergeCell ref="C5:C6"/>
    <mergeCell ref="D5:D6"/>
    <mergeCell ref="E5:E6"/>
    <mergeCell ref="F5:F6"/>
    <mergeCell ref="G5:G6"/>
    <mergeCell ref="H5:H6"/>
    <mergeCell ref="I5:I6"/>
    <mergeCell ref="J5:J6"/>
    <mergeCell ref="K5:M5"/>
  </mergeCells>
  <dataValidations count="1">
    <dataValidation type="decimal" allowBlank="1" showErrorMessage="1" errorTitle="Ошибка" error="Допускается ввод только действительных чисел!" sqref="E9:S51">
      <formula1>-9.99999999999999E+23</formula1>
      <formula2>9.99999999999999E+23</formula2>
    </dataValidation>
  </dataValidations>
  <pageMargins left="0.7" right="0.7" top="0.75" bottom="0.75" header="0.3" footer="0.3"/>
  <tableParts count="1">
    <tablePart r:id="rId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L44"/>
  <sheetViews>
    <sheetView topLeftCell="BY1" zoomScale="60" zoomScaleNormal="60" workbookViewId="0">
      <selection activeCell="CN20" sqref="CN20"/>
    </sheetView>
  </sheetViews>
  <sheetFormatPr defaultColWidth="9.28515625" defaultRowHeight="15"/>
  <cols>
    <col min="1" max="1" width="6" style="1652" hidden="1" customWidth="1"/>
    <col min="2" max="2" width="7.42578125" style="1652" hidden="1" customWidth="1"/>
    <col min="3" max="3" width="45.7109375" style="1652" customWidth="1"/>
    <col min="4" max="4" width="7.28515625" style="1652" customWidth="1"/>
    <col min="5" max="116" width="15.7109375" style="1652" customWidth="1"/>
    <col min="117" max="16384" width="9.28515625" style="1652"/>
  </cols>
  <sheetData>
    <row r="1" spans="1:116" s="1655" customFormat="1" ht="15.75">
      <c r="A1" s="1673"/>
      <c r="B1" s="1673"/>
      <c r="C1" s="1650" t="s">
        <v>1526</v>
      </c>
      <c r="D1" s="1673"/>
      <c r="E1" s="1673"/>
      <c r="F1" s="1673"/>
      <c r="G1" s="1673"/>
      <c r="H1" s="1673"/>
      <c r="I1" s="1673"/>
      <c r="J1" s="1673"/>
      <c r="K1" s="1673"/>
      <c r="L1" s="1673"/>
      <c r="M1" s="1673"/>
      <c r="N1" s="1673"/>
      <c r="O1" s="1673"/>
      <c r="P1" s="1673"/>
      <c r="Q1" s="1673"/>
      <c r="R1" s="1673"/>
      <c r="S1" s="1673"/>
      <c r="T1" s="1673"/>
      <c r="U1" s="1673"/>
      <c r="V1" s="1673"/>
      <c r="W1" s="1673"/>
      <c r="X1" s="1673"/>
      <c r="Y1" s="1673"/>
      <c r="Z1" s="1673"/>
      <c r="AA1" s="1673"/>
      <c r="AB1" s="1673"/>
      <c r="AC1" s="1673"/>
      <c r="AD1" s="1673"/>
      <c r="AE1" s="1673"/>
      <c r="AF1" s="1673"/>
      <c r="AM1" s="1671"/>
      <c r="AN1" s="1671"/>
      <c r="AO1" s="1671"/>
      <c r="AP1" s="1671"/>
      <c r="AQ1" s="1671"/>
      <c r="AR1" s="1671"/>
      <c r="AS1" s="1671"/>
      <c r="AT1" s="1671"/>
      <c r="AU1" s="1671"/>
      <c r="AV1" s="1671"/>
      <c r="AW1" s="1671"/>
      <c r="AX1" s="1671"/>
      <c r="AY1" s="1671"/>
      <c r="AZ1" s="1671"/>
      <c r="BA1" s="1671"/>
      <c r="BB1" s="1671"/>
      <c r="BC1" s="1671"/>
      <c r="BD1" s="1671"/>
      <c r="BE1" s="1671"/>
      <c r="BF1" s="1671"/>
      <c r="BG1" s="1671"/>
      <c r="BH1" s="1671"/>
      <c r="BI1" s="1671"/>
      <c r="BJ1" s="1671"/>
      <c r="BK1" s="1671"/>
      <c r="BL1" s="1671"/>
      <c r="BM1" s="1671"/>
      <c r="BN1" s="1671"/>
      <c r="BO1" s="1671"/>
      <c r="BP1" s="1671"/>
      <c r="BQ1" s="1671"/>
      <c r="BR1" s="1671"/>
      <c r="BS1" s="1671"/>
    </row>
    <row r="2" spans="1:116" s="1655" customFormat="1" ht="15.75">
      <c r="A2" s="1656"/>
      <c r="B2" s="1656"/>
      <c r="C2" s="1650" t="s">
        <v>1527</v>
      </c>
      <c r="D2" s="1656"/>
      <c r="F2" s="1656"/>
      <c r="G2" s="1656"/>
      <c r="H2" s="1656"/>
      <c r="I2" s="1656"/>
      <c r="J2" s="1656"/>
      <c r="K2" s="1656"/>
      <c r="L2" s="1656"/>
      <c r="M2" s="1656"/>
      <c r="N2" s="1656"/>
      <c r="O2" s="1656"/>
      <c r="P2" s="1656"/>
      <c r="Q2" s="1656"/>
      <c r="R2" s="1656"/>
      <c r="S2" s="1656"/>
      <c r="T2" s="1656"/>
      <c r="U2" s="1656"/>
      <c r="V2" s="1656"/>
      <c r="W2" s="1656"/>
      <c r="X2" s="1656"/>
      <c r="Y2" s="1656"/>
      <c r="Z2" s="1656"/>
      <c r="AA2" s="1656"/>
      <c r="AB2" s="1656"/>
      <c r="AC2" s="1656"/>
      <c r="AD2" s="1656"/>
      <c r="AE2" s="1656"/>
      <c r="AF2" s="1656"/>
      <c r="AM2" s="1671"/>
      <c r="AN2" s="1671"/>
      <c r="AO2" s="1671"/>
      <c r="AP2" s="1671"/>
      <c r="AQ2" s="1671"/>
      <c r="AR2" s="1671"/>
      <c r="AS2" s="1671"/>
      <c r="AT2" s="1671"/>
      <c r="AU2" s="1671"/>
      <c r="AV2" s="1671"/>
      <c r="AW2" s="1671"/>
      <c r="AX2" s="1671"/>
      <c r="AY2" s="1671"/>
      <c r="AZ2" s="1671"/>
      <c r="BA2" s="1671"/>
      <c r="BB2" s="1671"/>
      <c r="BC2" s="1671"/>
      <c r="BD2" s="1671"/>
      <c r="BE2" s="1671"/>
      <c r="BF2" s="1671"/>
      <c r="BG2" s="1671"/>
      <c r="BH2" s="1671"/>
      <c r="BI2" s="1671"/>
      <c r="BJ2" s="1671"/>
      <c r="BK2" s="1671"/>
      <c r="BL2" s="1671"/>
      <c r="BM2" s="1671"/>
      <c r="BN2" s="1671"/>
      <c r="BO2" s="1671"/>
      <c r="BP2" s="1671"/>
      <c r="BQ2" s="1671"/>
      <c r="BR2" s="1671"/>
      <c r="BS2" s="1671"/>
    </row>
    <row r="3" spans="1:116">
      <c r="A3" s="1663"/>
      <c r="B3" s="1663"/>
      <c r="C3" s="1674"/>
      <c r="D3" s="1663"/>
      <c r="E3" s="1675"/>
      <c r="F3" s="1675"/>
      <c r="G3" s="1675"/>
      <c r="H3" s="1675"/>
      <c r="I3" s="1676"/>
      <c r="J3" s="1676"/>
      <c r="K3" s="1676"/>
      <c r="L3" s="1676"/>
      <c r="M3" s="1676"/>
      <c r="N3" s="1676"/>
      <c r="O3" s="1676"/>
      <c r="P3" s="1676"/>
      <c r="Q3" s="1676"/>
      <c r="R3" s="1676"/>
      <c r="S3" s="1676"/>
      <c r="AM3" s="1671"/>
      <c r="AN3" s="1671"/>
      <c r="AO3" s="1671"/>
      <c r="AP3" s="1671"/>
      <c r="AQ3" s="1671"/>
      <c r="AR3" s="1671"/>
      <c r="AS3" s="1671"/>
      <c r="AT3" s="1671"/>
      <c r="AU3" s="1671"/>
      <c r="AV3" s="1671"/>
      <c r="AW3" s="1671"/>
      <c r="AX3" s="1671"/>
      <c r="AY3" s="1671"/>
      <c r="AZ3" s="1671"/>
      <c r="BA3" s="1671"/>
      <c r="BB3" s="1671"/>
      <c r="BC3" s="1671"/>
      <c r="BD3" s="1671"/>
      <c r="BE3" s="1671"/>
      <c r="BF3" s="1671"/>
      <c r="BG3" s="1671"/>
      <c r="BH3" s="1671"/>
      <c r="BI3" s="1671"/>
      <c r="BJ3" s="1671"/>
      <c r="BK3" s="1671"/>
      <c r="BL3" s="1671"/>
      <c r="BM3" s="1671"/>
      <c r="BN3" s="1671"/>
      <c r="BO3" s="1671"/>
      <c r="BP3" s="1671"/>
      <c r="BQ3" s="1671"/>
      <c r="BR3" s="1671"/>
      <c r="BS3" s="1671"/>
    </row>
    <row r="4" spans="1:116" ht="15.75">
      <c r="A4" s="1663"/>
      <c r="B4" s="1663"/>
      <c r="C4" s="1656" t="s">
        <v>1542</v>
      </c>
      <c r="D4" s="1663"/>
      <c r="E4" s="1677"/>
      <c r="F4" s="1677"/>
      <c r="G4" s="1677"/>
      <c r="H4" s="1677"/>
      <c r="I4" s="1677"/>
      <c r="J4" s="1677"/>
      <c r="K4" s="1676"/>
      <c r="L4" s="1676"/>
      <c r="M4" s="1676"/>
      <c r="N4" s="1676"/>
      <c r="O4" s="1676"/>
      <c r="P4" s="1676"/>
      <c r="Q4" s="1676"/>
      <c r="R4" s="1676"/>
      <c r="S4" s="1676"/>
      <c r="AM4" s="1671"/>
      <c r="AN4" s="1671"/>
      <c r="AO4" s="1671"/>
      <c r="AP4" s="1671"/>
      <c r="AQ4" s="1671"/>
      <c r="AR4" s="1671"/>
      <c r="AS4" s="1671"/>
      <c r="AT4" s="1671"/>
      <c r="AU4" s="1671"/>
      <c r="AV4" s="1671"/>
      <c r="AW4" s="1671"/>
      <c r="AX4" s="1671"/>
      <c r="AY4" s="1671"/>
      <c r="AZ4" s="1671"/>
      <c r="BA4" s="1671"/>
      <c r="BB4" s="1671"/>
      <c r="BC4" s="1671"/>
      <c r="BD4" s="1671"/>
      <c r="BE4" s="1671"/>
      <c r="BF4" s="1671"/>
      <c r="BG4" s="1671"/>
      <c r="BH4" s="1671"/>
      <c r="BI4" s="1671"/>
      <c r="BJ4" s="1671"/>
      <c r="BK4" s="1671"/>
      <c r="BL4" s="1671"/>
      <c r="BM4" s="1671"/>
      <c r="BN4" s="1671"/>
      <c r="BO4" s="1671"/>
      <c r="BP4" s="1671"/>
      <c r="BQ4" s="1671"/>
      <c r="BR4" s="1671"/>
      <c r="BS4" s="1671"/>
    </row>
    <row r="5" spans="1:116" ht="18.75" customHeight="1">
      <c r="A5" s="1658"/>
      <c r="B5" s="1658"/>
      <c r="C5" s="4331" t="s">
        <v>497</v>
      </c>
      <c r="D5" s="4327" t="s">
        <v>498</v>
      </c>
      <c r="E5" s="4327" t="s">
        <v>205</v>
      </c>
      <c r="F5" s="4327"/>
      <c r="G5" s="4327"/>
      <c r="H5" s="4327"/>
      <c r="I5" s="4327"/>
      <c r="J5" s="4327"/>
      <c r="K5" s="4327"/>
      <c r="L5" s="4327"/>
      <c r="M5" s="4327"/>
      <c r="N5" s="4327"/>
      <c r="O5" s="4327"/>
      <c r="P5" s="4327"/>
      <c r="Q5" s="4327"/>
      <c r="R5" s="4327"/>
      <c r="S5" s="4327" t="s">
        <v>608</v>
      </c>
      <c r="T5" s="4327"/>
      <c r="U5" s="4327"/>
      <c r="V5" s="4327"/>
      <c r="W5" s="4327"/>
      <c r="X5" s="4327"/>
      <c r="Y5" s="4327"/>
      <c r="Z5" s="4327"/>
      <c r="AA5" s="4327"/>
      <c r="AB5" s="4327"/>
      <c r="AC5" s="4327"/>
      <c r="AD5" s="4327"/>
      <c r="AE5" s="4327"/>
      <c r="AF5" s="4327"/>
      <c r="AG5" s="4327" t="s">
        <v>609</v>
      </c>
      <c r="AH5" s="4327"/>
      <c r="AI5" s="4327"/>
      <c r="AJ5" s="4327"/>
      <c r="AK5" s="4327"/>
      <c r="AL5" s="4327"/>
      <c r="AM5" s="4327"/>
      <c r="AN5" s="4327"/>
      <c r="AO5" s="4327"/>
      <c r="AP5" s="4327"/>
      <c r="AQ5" s="4327"/>
      <c r="AR5" s="4327"/>
      <c r="AS5" s="4327"/>
      <c r="AT5" s="4327"/>
      <c r="AU5" s="4327" t="s">
        <v>609</v>
      </c>
      <c r="AV5" s="4327"/>
      <c r="AW5" s="4327"/>
      <c r="AX5" s="4327"/>
      <c r="AY5" s="4327"/>
      <c r="AZ5" s="4327"/>
      <c r="BA5" s="4327"/>
      <c r="BB5" s="4327"/>
      <c r="BC5" s="4327"/>
      <c r="BD5" s="4327"/>
      <c r="BE5" s="4327"/>
      <c r="BF5" s="4327"/>
      <c r="BG5" s="4327"/>
      <c r="BH5" s="4327"/>
      <c r="BI5" s="4327" t="s">
        <v>610</v>
      </c>
      <c r="BJ5" s="4327"/>
      <c r="BK5" s="4327"/>
      <c r="BL5" s="4327"/>
      <c r="BM5" s="4327"/>
      <c r="BN5" s="4327"/>
      <c r="BO5" s="4327"/>
      <c r="BP5" s="4327"/>
      <c r="BQ5" s="4327"/>
      <c r="BR5" s="4327"/>
      <c r="BS5" s="4327"/>
      <c r="BT5" s="4327"/>
      <c r="BU5" s="4327"/>
      <c r="BV5" s="4327"/>
      <c r="BW5" s="4327" t="s">
        <v>610</v>
      </c>
      <c r="BX5" s="4327"/>
      <c r="BY5" s="4327"/>
      <c r="BZ5" s="4327"/>
      <c r="CA5" s="4327"/>
      <c r="CB5" s="4327"/>
      <c r="CC5" s="4327"/>
      <c r="CD5" s="4327"/>
      <c r="CE5" s="4327"/>
      <c r="CF5" s="4327"/>
      <c r="CG5" s="4327"/>
      <c r="CH5" s="4327"/>
      <c r="CI5" s="4327"/>
      <c r="CJ5" s="4327"/>
      <c r="CK5" s="4327" t="s">
        <v>610</v>
      </c>
      <c r="CL5" s="4327"/>
      <c r="CM5" s="4327"/>
      <c r="CN5" s="4327"/>
      <c r="CO5" s="4327"/>
      <c r="CP5" s="4327"/>
      <c r="CQ5" s="4327"/>
      <c r="CR5" s="4327"/>
      <c r="CS5" s="4327"/>
      <c r="CT5" s="4327"/>
      <c r="CU5" s="4327"/>
      <c r="CV5" s="4327"/>
      <c r="CW5" s="4327"/>
      <c r="CX5" s="4327"/>
      <c r="CY5" s="4327" t="s">
        <v>1543</v>
      </c>
      <c r="CZ5" s="4327"/>
      <c r="DA5" s="4327"/>
      <c r="DB5" s="4327"/>
      <c r="DC5" s="4327"/>
      <c r="DD5" s="4327"/>
      <c r="DE5" s="4327"/>
      <c r="DF5" s="4327" t="s">
        <v>1544</v>
      </c>
      <c r="DG5" s="4327"/>
      <c r="DH5" s="4327"/>
      <c r="DI5" s="4327"/>
      <c r="DJ5" s="4327"/>
      <c r="DK5" s="4327"/>
      <c r="DL5" s="4327"/>
    </row>
    <row r="6" spans="1:116" ht="24" customHeight="1">
      <c r="A6" s="1658"/>
      <c r="B6" s="1658"/>
      <c r="C6" s="4331"/>
      <c r="D6" s="4327"/>
      <c r="E6" s="4327" t="s">
        <v>1545</v>
      </c>
      <c r="F6" s="4327"/>
      <c r="G6" s="4327"/>
      <c r="H6" s="4327"/>
      <c r="I6" s="4327"/>
      <c r="J6" s="4327"/>
      <c r="K6" s="4327"/>
      <c r="L6" s="4327" t="s">
        <v>1546</v>
      </c>
      <c r="M6" s="4327"/>
      <c r="N6" s="4327"/>
      <c r="O6" s="4327"/>
      <c r="P6" s="4327"/>
      <c r="Q6" s="4327"/>
      <c r="R6" s="4327"/>
      <c r="S6" s="4327" t="s">
        <v>1545</v>
      </c>
      <c r="T6" s="4327"/>
      <c r="U6" s="4327"/>
      <c r="V6" s="4327"/>
      <c r="W6" s="4327"/>
      <c r="X6" s="4327"/>
      <c r="Y6" s="4327"/>
      <c r="Z6" s="4327" t="s">
        <v>1546</v>
      </c>
      <c r="AA6" s="4327"/>
      <c r="AB6" s="4327"/>
      <c r="AC6" s="4327"/>
      <c r="AD6" s="4327"/>
      <c r="AE6" s="4327"/>
      <c r="AF6" s="4327"/>
      <c r="AG6" s="4327" t="s">
        <v>1547</v>
      </c>
      <c r="AH6" s="4327"/>
      <c r="AI6" s="4327"/>
      <c r="AJ6" s="4327"/>
      <c r="AK6" s="4327"/>
      <c r="AL6" s="4327"/>
      <c r="AM6" s="4327"/>
      <c r="AN6" s="4327" t="s">
        <v>1548</v>
      </c>
      <c r="AO6" s="4327"/>
      <c r="AP6" s="4327"/>
      <c r="AQ6" s="4327"/>
      <c r="AR6" s="4327"/>
      <c r="AS6" s="4327"/>
      <c r="AT6" s="4327"/>
      <c r="AU6" s="4327" t="s">
        <v>1549</v>
      </c>
      <c r="AV6" s="4327"/>
      <c r="AW6" s="4327"/>
      <c r="AX6" s="4327"/>
      <c r="AY6" s="4327"/>
      <c r="AZ6" s="4327"/>
      <c r="BA6" s="4327"/>
      <c r="BB6" s="4327" t="s">
        <v>1550</v>
      </c>
      <c r="BC6" s="4327"/>
      <c r="BD6" s="4327"/>
      <c r="BE6" s="4327"/>
      <c r="BF6" s="4327"/>
      <c r="BG6" s="4327"/>
      <c r="BH6" s="4327"/>
      <c r="BI6" s="4327" t="s">
        <v>1547</v>
      </c>
      <c r="BJ6" s="4327"/>
      <c r="BK6" s="4327"/>
      <c r="BL6" s="4327"/>
      <c r="BM6" s="4327"/>
      <c r="BN6" s="4327"/>
      <c r="BO6" s="4327"/>
      <c r="BP6" s="4327" t="s">
        <v>1548</v>
      </c>
      <c r="BQ6" s="4327"/>
      <c r="BR6" s="4327"/>
      <c r="BS6" s="4327"/>
      <c r="BT6" s="4327"/>
      <c r="BU6" s="4327"/>
      <c r="BV6" s="4327"/>
      <c r="BW6" s="4327" t="s">
        <v>1549</v>
      </c>
      <c r="BX6" s="4327"/>
      <c r="BY6" s="4327"/>
      <c r="BZ6" s="4327"/>
      <c r="CA6" s="4327"/>
      <c r="CB6" s="4327"/>
      <c r="CC6" s="4327"/>
      <c r="CD6" s="4327" t="s">
        <v>1550</v>
      </c>
      <c r="CE6" s="4327"/>
      <c r="CF6" s="4327"/>
      <c r="CG6" s="4327"/>
      <c r="CH6" s="4327"/>
      <c r="CI6" s="4327"/>
      <c r="CJ6" s="4327"/>
      <c r="CK6" s="4327" t="s">
        <v>1551</v>
      </c>
      <c r="CL6" s="4327"/>
      <c r="CM6" s="4327"/>
      <c r="CN6" s="4327"/>
      <c r="CO6" s="4327"/>
      <c r="CP6" s="4327"/>
      <c r="CQ6" s="4327"/>
      <c r="CR6" s="4327" t="s">
        <v>1552</v>
      </c>
      <c r="CS6" s="4327"/>
      <c r="CT6" s="4327"/>
      <c r="CU6" s="4327"/>
      <c r="CV6" s="4327"/>
      <c r="CW6" s="4327"/>
      <c r="CX6" s="4327"/>
      <c r="CY6" s="4327"/>
      <c r="CZ6" s="4327"/>
      <c r="DA6" s="4327"/>
      <c r="DB6" s="4327"/>
      <c r="DC6" s="4327"/>
      <c r="DD6" s="4327"/>
      <c r="DE6" s="4327"/>
      <c r="DF6" s="4327"/>
      <c r="DG6" s="4327"/>
      <c r="DH6" s="4327"/>
      <c r="DI6" s="4327"/>
      <c r="DJ6" s="4327"/>
      <c r="DK6" s="4327"/>
      <c r="DL6" s="4327"/>
    </row>
    <row r="7" spans="1:116" ht="15" customHeight="1">
      <c r="A7" s="1658"/>
      <c r="B7" s="1658"/>
      <c r="C7" s="4331"/>
      <c r="D7" s="4327"/>
      <c r="E7" s="4327" t="s">
        <v>511</v>
      </c>
      <c r="F7" s="4327" t="s">
        <v>512</v>
      </c>
      <c r="G7" s="4327"/>
      <c r="H7" s="4327"/>
      <c r="I7" s="4327"/>
      <c r="J7" s="4327"/>
      <c r="K7" s="4327"/>
      <c r="L7" s="4327" t="s">
        <v>511</v>
      </c>
      <c r="M7" s="4327" t="s">
        <v>512</v>
      </c>
      <c r="N7" s="4327"/>
      <c r="O7" s="4327"/>
      <c r="P7" s="4327"/>
      <c r="Q7" s="4327"/>
      <c r="R7" s="4327"/>
      <c r="S7" s="4327" t="s">
        <v>511</v>
      </c>
      <c r="T7" s="4327" t="s">
        <v>512</v>
      </c>
      <c r="U7" s="4327"/>
      <c r="V7" s="4327"/>
      <c r="W7" s="4327"/>
      <c r="X7" s="4327"/>
      <c r="Y7" s="4327"/>
      <c r="Z7" s="4327" t="s">
        <v>511</v>
      </c>
      <c r="AA7" s="4327" t="s">
        <v>512</v>
      </c>
      <c r="AB7" s="4327"/>
      <c r="AC7" s="4327"/>
      <c r="AD7" s="4327"/>
      <c r="AE7" s="4327"/>
      <c r="AF7" s="4327"/>
      <c r="AG7" s="4327" t="s">
        <v>511</v>
      </c>
      <c r="AH7" s="4327" t="s">
        <v>512</v>
      </c>
      <c r="AI7" s="4327"/>
      <c r="AJ7" s="4327"/>
      <c r="AK7" s="4327"/>
      <c r="AL7" s="4327"/>
      <c r="AM7" s="4327"/>
      <c r="AN7" s="4327" t="s">
        <v>511</v>
      </c>
      <c r="AO7" s="4327" t="s">
        <v>512</v>
      </c>
      <c r="AP7" s="4327"/>
      <c r="AQ7" s="4327"/>
      <c r="AR7" s="4327"/>
      <c r="AS7" s="4327"/>
      <c r="AT7" s="4327"/>
      <c r="AU7" s="4327" t="s">
        <v>511</v>
      </c>
      <c r="AV7" s="4327" t="s">
        <v>512</v>
      </c>
      <c r="AW7" s="4327"/>
      <c r="AX7" s="4327"/>
      <c r="AY7" s="4327"/>
      <c r="AZ7" s="4327"/>
      <c r="BA7" s="4327"/>
      <c r="BB7" s="4327" t="s">
        <v>511</v>
      </c>
      <c r="BC7" s="4327" t="s">
        <v>1553</v>
      </c>
      <c r="BD7" s="4327"/>
      <c r="BE7" s="4327"/>
      <c r="BF7" s="4327"/>
      <c r="BG7" s="4327"/>
      <c r="BH7" s="4327"/>
      <c r="BI7" s="4327" t="s">
        <v>511</v>
      </c>
      <c r="BJ7" s="4327" t="s">
        <v>512</v>
      </c>
      <c r="BK7" s="4327"/>
      <c r="BL7" s="4327"/>
      <c r="BM7" s="4327"/>
      <c r="BN7" s="4327"/>
      <c r="BO7" s="4327"/>
      <c r="BP7" s="4327" t="s">
        <v>511</v>
      </c>
      <c r="BQ7" s="4327" t="s">
        <v>512</v>
      </c>
      <c r="BR7" s="4327"/>
      <c r="BS7" s="4327"/>
      <c r="BT7" s="4327"/>
      <c r="BU7" s="4327"/>
      <c r="BV7" s="4327"/>
      <c r="BW7" s="4327" t="s">
        <v>511</v>
      </c>
      <c r="BX7" s="4327" t="s">
        <v>512</v>
      </c>
      <c r="BY7" s="4327"/>
      <c r="BZ7" s="4327"/>
      <c r="CA7" s="4327"/>
      <c r="CB7" s="4327"/>
      <c r="CC7" s="4327"/>
      <c r="CD7" s="4327" t="s">
        <v>511</v>
      </c>
      <c r="CE7" s="4327" t="s">
        <v>512</v>
      </c>
      <c r="CF7" s="4327"/>
      <c r="CG7" s="4327"/>
      <c r="CH7" s="4327"/>
      <c r="CI7" s="1660"/>
      <c r="CJ7" s="1660"/>
      <c r="CK7" s="4327" t="s">
        <v>511</v>
      </c>
      <c r="CL7" s="4327" t="s">
        <v>512</v>
      </c>
      <c r="CM7" s="4327"/>
      <c r="CN7" s="4327"/>
      <c r="CO7" s="4327"/>
      <c r="CP7" s="4327"/>
      <c r="CQ7" s="4327"/>
      <c r="CR7" s="4327" t="s">
        <v>511</v>
      </c>
      <c r="CS7" s="4327" t="s">
        <v>512</v>
      </c>
      <c r="CT7" s="4327"/>
      <c r="CU7" s="4327"/>
      <c r="CV7" s="4327"/>
      <c r="CW7" s="4327"/>
      <c r="CX7" s="4327"/>
      <c r="CY7" s="4327" t="s">
        <v>511</v>
      </c>
      <c r="CZ7" s="4327" t="s">
        <v>512</v>
      </c>
      <c r="DA7" s="4327"/>
      <c r="DB7" s="4327"/>
      <c r="DC7" s="4327"/>
      <c r="DD7" s="4327"/>
      <c r="DE7" s="4327"/>
      <c r="DF7" s="4327" t="s">
        <v>511</v>
      </c>
      <c r="DG7" s="4327" t="s">
        <v>512</v>
      </c>
      <c r="DH7" s="4327"/>
      <c r="DI7" s="4327"/>
      <c r="DJ7" s="4327"/>
      <c r="DK7" s="4327"/>
      <c r="DL7" s="4327"/>
    </row>
    <row r="8" spans="1:116" ht="15" customHeight="1">
      <c r="A8" s="1658"/>
      <c r="B8" s="1658"/>
      <c r="C8" s="4331"/>
      <c r="D8" s="4327"/>
      <c r="E8" s="4327"/>
      <c r="F8" s="1660" t="s">
        <v>9</v>
      </c>
      <c r="G8" s="1660" t="s">
        <v>513</v>
      </c>
      <c r="H8" s="1660" t="s">
        <v>279</v>
      </c>
      <c r="I8" s="1660" t="s">
        <v>12</v>
      </c>
      <c r="J8" s="1660" t="s">
        <v>439</v>
      </c>
      <c r="K8" s="1660" t="s">
        <v>514</v>
      </c>
      <c r="L8" s="4327"/>
      <c r="M8" s="1660" t="s">
        <v>9</v>
      </c>
      <c r="N8" s="1660" t="s">
        <v>513</v>
      </c>
      <c r="O8" s="1660" t="s">
        <v>279</v>
      </c>
      <c r="P8" s="1660" t="s">
        <v>12</v>
      </c>
      <c r="Q8" s="1660" t="s">
        <v>439</v>
      </c>
      <c r="R8" s="1660" t="s">
        <v>514</v>
      </c>
      <c r="S8" s="4327"/>
      <c r="T8" s="1660" t="s">
        <v>9</v>
      </c>
      <c r="U8" s="1660" t="s">
        <v>513</v>
      </c>
      <c r="V8" s="1660" t="s">
        <v>279</v>
      </c>
      <c r="W8" s="1660" t="s">
        <v>12</v>
      </c>
      <c r="X8" s="1660" t="s">
        <v>439</v>
      </c>
      <c r="Y8" s="1660" t="s">
        <v>514</v>
      </c>
      <c r="Z8" s="4327"/>
      <c r="AA8" s="1660" t="s">
        <v>9</v>
      </c>
      <c r="AB8" s="1660" t="s">
        <v>513</v>
      </c>
      <c r="AC8" s="1660" t="s">
        <v>279</v>
      </c>
      <c r="AD8" s="1660" t="s">
        <v>12</v>
      </c>
      <c r="AE8" s="1660" t="s">
        <v>439</v>
      </c>
      <c r="AF8" s="1660" t="s">
        <v>514</v>
      </c>
      <c r="AG8" s="4327"/>
      <c r="AH8" s="1660" t="s">
        <v>9</v>
      </c>
      <c r="AI8" s="1660" t="s">
        <v>513</v>
      </c>
      <c r="AJ8" s="1660" t="s">
        <v>279</v>
      </c>
      <c r="AK8" s="1660" t="s">
        <v>12</v>
      </c>
      <c r="AL8" s="1660" t="s">
        <v>439</v>
      </c>
      <c r="AM8" s="1660" t="s">
        <v>514</v>
      </c>
      <c r="AN8" s="4327"/>
      <c r="AO8" s="1660" t="s">
        <v>9</v>
      </c>
      <c r="AP8" s="1660" t="s">
        <v>513</v>
      </c>
      <c r="AQ8" s="1660" t="s">
        <v>279</v>
      </c>
      <c r="AR8" s="1660" t="s">
        <v>12</v>
      </c>
      <c r="AS8" s="1660" t="s">
        <v>439</v>
      </c>
      <c r="AT8" s="1660" t="s">
        <v>514</v>
      </c>
      <c r="AU8" s="4327"/>
      <c r="AV8" s="1660" t="s">
        <v>9</v>
      </c>
      <c r="AW8" s="1660" t="s">
        <v>513</v>
      </c>
      <c r="AX8" s="1660" t="s">
        <v>279</v>
      </c>
      <c r="AY8" s="1660" t="s">
        <v>12</v>
      </c>
      <c r="AZ8" s="1660" t="s">
        <v>439</v>
      </c>
      <c r="BA8" s="1660" t="s">
        <v>514</v>
      </c>
      <c r="BB8" s="4327"/>
      <c r="BC8" s="1660" t="s">
        <v>9</v>
      </c>
      <c r="BD8" s="1660" t="s">
        <v>513</v>
      </c>
      <c r="BE8" s="1660" t="s">
        <v>279</v>
      </c>
      <c r="BF8" s="1660" t="s">
        <v>12</v>
      </c>
      <c r="BG8" s="1660" t="s">
        <v>439</v>
      </c>
      <c r="BH8" s="1660" t="s">
        <v>514</v>
      </c>
      <c r="BI8" s="4327"/>
      <c r="BJ8" s="1660" t="s">
        <v>9</v>
      </c>
      <c r="BK8" s="1660" t="s">
        <v>513</v>
      </c>
      <c r="BL8" s="1660" t="s">
        <v>279</v>
      </c>
      <c r="BM8" s="1660" t="s">
        <v>12</v>
      </c>
      <c r="BN8" s="1660" t="s">
        <v>439</v>
      </c>
      <c r="BO8" s="1660" t="s">
        <v>514</v>
      </c>
      <c r="BP8" s="4327"/>
      <c r="BQ8" s="1660" t="s">
        <v>9</v>
      </c>
      <c r="BR8" s="1660" t="s">
        <v>513</v>
      </c>
      <c r="BS8" s="1660" t="s">
        <v>279</v>
      </c>
      <c r="BT8" s="1660" t="s">
        <v>12</v>
      </c>
      <c r="BU8" s="1660" t="s">
        <v>439</v>
      </c>
      <c r="BV8" s="1660" t="s">
        <v>514</v>
      </c>
      <c r="BW8" s="4327"/>
      <c r="BX8" s="1660" t="s">
        <v>9</v>
      </c>
      <c r="BY8" s="1660" t="s">
        <v>513</v>
      </c>
      <c r="BZ8" s="1660" t="s">
        <v>279</v>
      </c>
      <c r="CA8" s="1660" t="s">
        <v>12</v>
      </c>
      <c r="CB8" s="1660" t="s">
        <v>439</v>
      </c>
      <c r="CC8" s="1660" t="s">
        <v>514</v>
      </c>
      <c r="CD8" s="4327"/>
      <c r="CE8" s="1660" t="s">
        <v>9</v>
      </c>
      <c r="CF8" s="1660" t="s">
        <v>513</v>
      </c>
      <c r="CG8" s="1660" t="s">
        <v>279</v>
      </c>
      <c r="CH8" s="1660" t="s">
        <v>12</v>
      </c>
      <c r="CI8" s="1660" t="s">
        <v>439</v>
      </c>
      <c r="CJ8" s="1660" t="s">
        <v>514</v>
      </c>
      <c r="CK8" s="4327"/>
      <c r="CL8" s="1660" t="s">
        <v>9</v>
      </c>
      <c r="CM8" s="1660" t="s">
        <v>513</v>
      </c>
      <c r="CN8" s="1660" t="s">
        <v>279</v>
      </c>
      <c r="CO8" s="1660" t="s">
        <v>12</v>
      </c>
      <c r="CP8" s="1660" t="s">
        <v>439</v>
      </c>
      <c r="CQ8" s="1660" t="s">
        <v>514</v>
      </c>
      <c r="CR8" s="4327"/>
      <c r="CS8" s="1660" t="s">
        <v>9</v>
      </c>
      <c r="CT8" s="1660" t="s">
        <v>513</v>
      </c>
      <c r="CU8" s="1660" t="s">
        <v>279</v>
      </c>
      <c r="CV8" s="1660" t="s">
        <v>12</v>
      </c>
      <c r="CW8" s="1660" t="s">
        <v>439</v>
      </c>
      <c r="CX8" s="1660" t="s">
        <v>514</v>
      </c>
      <c r="CY8" s="4327"/>
      <c r="CZ8" s="1660" t="s">
        <v>9</v>
      </c>
      <c r="DA8" s="1660" t="s">
        <v>513</v>
      </c>
      <c r="DB8" s="1660" t="s">
        <v>279</v>
      </c>
      <c r="DC8" s="1660" t="s">
        <v>12</v>
      </c>
      <c r="DD8" s="1660" t="s">
        <v>439</v>
      </c>
      <c r="DE8" s="1660" t="s">
        <v>514</v>
      </c>
      <c r="DF8" s="4327"/>
      <c r="DG8" s="1660" t="s">
        <v>9</v>
      </c>
      <c r="DH8" s="1660" t="s">
        <v>513</v>
      </c>
      <c r="DI8" s="1660" t="s">
        <v>279</v>
      </c>
      <c r="DJ8" s="1660" t="s">
        <v>12</v>
      </c>
      <c r="DK8" s="1660" t="s">
        <v>439</v>
      </c>
      <c r="DL8" s="1660" t="s">
        <v>514</v>
      </c>
    </row>
    <row r="9" spans="1:116">
      <c r="A9" s="1658"/>
      <c r="B9" s="1658"/>
      <c r="C9" s="1678">
        <v>1</v>
      </c>
      <c r="D9" s="1660">
        <v>2</v>
      </c>
      <c r="E9" s="1660">
        <v>3</v>
      </c>
      <c r="F9" s="1660">
        <v>4</v>
      </c>
      <c r="G9" s="1660">
        <v>5</v>
      </c>
      <c r="H9" s="1660">
        <v>6</v>
      </c>
      <c r="I9" s="1660">
        <v>7</v>
      </c>
      <c r="J9" s="1660">
        <v>8</v>
      </c>
      <c r="K9" s="1660">
        <v>9</v>
      </c>
      <c r="L9" s="1660">
        <v>10</v>
      </c>
      <c r="M9" s="1660">
        <v>11</v>
      </c>
      <c r="N9" s="1660">
        <v>12</v>
      </c>
      <c r="O9" s="1660">
        <v>13</v>
      </c>
      <c r="P9" s="1660">
        <v>14</v>
      </c>
      <c r="Q9" s="1660">
        <v>15</v>
      </c>
      <c r="R9" s="1660">
        <v>16</v>
      </c>
      <c r="S9" s="1660">
        <v>17</v>
      </c>
      <c r="T9" s="1660">
        <v>18</v>
      </c>
      <c r="U9" s="1660">
        <v>19</v>
      </c>
      <c r="V9" s="1660">
        <v>20</v>
      </c>
      <c r="W9" s="1660">
        <v>21</v>
      </c>
      <c r="X9" s="1660">
        <v>22</v>
      </c>
      <c r="Y9" s="1660">
        <v>23</v>
      </c>
      <c r="Z9" s="1660">
        <v>24</v>
      </c>
      <c r="AA9" s="1660">
        <v>25</v>
      </c>
      <c r="AB9" s="1660">
        <v>26</v>
      </c>
      <c r="AC9" s="1660">
        <v>27</v>
      </c>
      <c r="AD9" s="1660">
        <v>28</v>
      </c>
      <c r="AE9" s="1660">
        <v>29</v>
      </c>
      <c r="AF9" s="1660">
        <v>30</v>
      </c>
      <c r="AG9" s="1660">
        <v>31</v>
      </c>
      <c r="AH9" s="1660">
        <v>32</v>
      </c>
      <c r="AI9" s="1660">
        <v>33</v>
      </c>
      <c r="AJ9" s="1660">
        <v>34</v>
      </c>
      <c r="AK9" s="1660">
        <v>35</v>
      </c>
      <c r="AL9" s="1660">
        <v>36</v>
      </c>
      <c r="AM9" s="1660">
        <v>37</v>
      </c>
      <c r="AN9" s="1660">
        <v>38</v>
      </c>
      <c r="AO9" s="1660">
        <v>39</v>
      </c>
      <c r="AP9" s="1660">
        <v>40</v>
      </c>
      <c r="AQ9" s="1660">
        <v>41</v>
      </c>
      <c r="AR9" s="1660">
        <v>42</v>
      </c>
      <c r="AS9" s="1660">
        <v>43</v>
      </c>
      <c r="AT9" s="1660">
        <v>44</v>
      </c>
      <c r="AU9" s="1660">
        <v>45</v>
      </c>
      <c r="AV9" s="1660">
        <v>46</v>
      </c>
      <c r="AW9" s="1660">
        <v>47</v>
      </c>
      <c r="AX9" s="1660">
        <v>48</v>
      </c>
      <c r="AY9" s="1660">
        <v>49</v>
      </c>
      <c r="AZ9" s="1660">
        <v>50</v>
      </c>
      <c r="BA9" s="1660">
        <v>51</v>
      </c>
      <c r="BB9" s="1660">
        <v>52</v>
      </c>
      <c r="BC9" s="1660">
        <v>53</v>
      </c>
      <c r="BD9" s="1660">
        <v>54</v>
      </c>
      <c r="BE9" s="1660">
        <v>55</v>
      </c>
      <c r="BF9" s="1660">
        <v>56</v>
      </c>
      <c r="BG9" s="1660">
        <v>57</v>
      </c>
      <c r="BH9" s="1660">
        <v>58</v>
      </c>
      <c r="BI9" s="1660">
        <v>59</v>
      </c>
      <c r="BJ9" s="1660">
        <v>60</v>
      </c>
      <c r="BK9" s="1660">
        <v>61</v>
      </c>
      <c r="BL9" s="1660">
        <v>62</v>
      </c>
      <c r="BM9" s="1660">
        <v>63</v>
      </c>
      <c r="BN9" s="1660">
        <v>64</v>
      </c>
      <c r="BO9" s="1660">
        <v>65</v>
      </c>
      <c r="BP9" s="1660">
        <v>66</v>
      </c>
      <c r="BQ9" s="1660">
        <v>67</v>
      </c>
      <c r="BR9" s="1660">
        <v>68</v>
      </c>
      <c r="BS9" s="1660">
        <v>69</v>
      </c>
      <c r="BT9" s="1660">
        <v>70</v>
      </c>
      <c r="BU9" s="1660">
        <v>71</v>
      </c>
      <c r="BV9" s="1660">
        <v>72</v>
      </c>
      <c r="BW9" s="1660">
        <v>73</v>
      </c>
      <c r="BX9" s="1660">
        <v>74</v>
      </c>
      <c r="BY9" s="1660">
        <v>75</v>
      </c>
      <c r="BZ9" s="1660">
        <v>76</v>
      </c>
      <c r="CA9" s="1660">
        <v>77</v>
      </c>
      <c r="CB9" s="1660">
        <v>78</v>
      </c>
      <c r="CC9" s="1660">
        <v>79</v>
      </c>
      <c r="CD9" s="1660">
        <v>80</v>
      </c>
      <c r="CE9" s="1660">
        <v>81</v>
      </c>
      <c r="CF9" s="1660">
        <v>82</v>
      </c>
      <c r="CG9" s="1660">
        <v>83</v>
      </c>
      <c r="CH9" s="1660">
        <v>84</v>
      </c>
      <c r="CI9" s="1660">
        <v>85</v>
      </c>
      <c r="CJ9" s="1660">
        <v>86</v>
      </c>
      <c r="CK9" s="1660">
        <v>87</v>
      </c>
      <c r="CL9" s="1660">
        <v>88</v>
      </c>
      <c r="CM9" s="1660">
        <v>89</v>
      </c>
      <c r="CN9" s="1660">
        <v>90</v>
      </c>
      <c r="CO9" s="1660">
        <v>91</v>
      </c>
      <c r="CP9" s="1660">
        <v>92</v>
      </c>
      <c r="CQ9" s="1660">
        <v>93</v>
      </c>
      <c r="CR9" s="1660">
        <v>94</v>
      </c>
      <c r="CS9" s="1660">
        <v>95</v>
      </c>
      <c r="CT9" s="1660">
        <v>96</v>
      </c>
      <c r="CU9" s="1660">
        <v>97</v>
      </c>
      <c r="CV9" s="1660">
        <v>98</v>
      </c>
      <c r="CW9" s="1660">
        <v>99</v>
      </c>
      <c r="CX9" s="1660">
        <v>100</v>
      </c>
      <c r="CY9" s="1660">
        <v>101</v>
      </c>
      <c r="CZ9" s="1660">
        <v>102</v>
      </c>
      <c r="DA9" s="1660">
        <v>103</v>
      </c>
      <c r="DB9" s="1660">
        <v>104</v>
      </c>
      <c r="DC9" s="1660">
        <v>105</v>
      </c>
      <c r="DD9" s="1660">
        <v>106</v>
      </c>
      <c r="DE9" s="1660">
        <v>107</v>
      </c>
      <c r="DF9" s="1660">
        <v>108</v>
      </c>
      <c r="DG9" s="1660">
        <v>109</v>
      </c>
      <c r="DH9" s="1660">
        <v>110</v>
      </c>
      <c r="DI9" s="1660">
        <v>111</v>
      </c>
      <c r="DJ9" s="1660">
        <v>112</v>
      </c>
      <c r="DK9" s="1660">
        <v>113</v>
      </c>
      <c r="DL9" s="1660">
        <v>114</v>
      </c>
    </row>
    <row r="10" spans="1:116" ht="15.75" hidden="1" thickBot="1">
      <c r="A10" s="1662" t="s">
        <v>1554</v>
      </c>
      <c r="B10" s="1662" t="s">
        <v>1555</v>
      </c>
      <c r="C10" s="1658" t="s">
        <v>497</v>
      </c>
      <c r="D10" s="1658" t="s">
        <v>1540</v>
      </c>
      <c r="E10" s="1666" t="s">
        <v>1299</v>
      </c>
      <c r="F10" s="1666" t="s">
        <v>1300</v>
      </c>
      <c r="G10" s="1666" t="s">
        <v>1301</v>
      </c>
      <c r="H10" s="1666" t="s">
        <v>1302</v>
      </c>
      <c r="I10" s="1666" t="s">
        <v>1303</v>
      </c>
      <c r="J10" s="1666" t="s">
        <v>1304</v>
      </c>
      <c r="K10" s="1666" t="s">
        <v>1305</v>
      </c>
      <c r="L10" s="1666" t="s">
        <v>1306</v>
      </c>
      <c r="M10" s="1666" t="s">
        <v>1307</v>
      </c>
      <c r="N10" s="1666" t="s">
        <v>1308</v>
      </c>
      <c r="O10" s="1666" t="s">
        <v>1309</v>
      </c>
      <c r="P10" s="1666" t="s">
        <v>1310</v>
      </c>
      <c r="Q10" s="1666" t="s">
        <v>1311</v>
      </c>
      <c r="R10" s="1666" t="s">
        <v>1312</v>
      </c>
      <c r="S10" s="1666" t="s">
        <v>1313</v>
      </c>
      <c r="T10" s="1666" t="s">
        <v>1314</v>
      </c>
      <c r="U10" s="1666" t="s">
        <v>1315</v>
      </c>
      <c r="V10" s="1666" t="s">
        <v>1316</v>
      </c>
      <c r="W10" s="1666" t="s">
        <v>1556</v>
      </c>
      <c r="X10" s="1666" t="s">
        <v>1557</v>
      </c>
      <c r="Y10" s="1666" t="s">
        <v>1558</v>
      </c>
      <c r="Z10" s="1666" t="s">
        <v>1559</v>
      </c>
      <c r="AA10" s="1666" t="s">
        <v>1560</v>
      </c>
      <c r="AB10" s="1666" t="s">
        <v>1561</v>
      </c>
      <c r="AC10" s="1666" t="s">
        <v>1562</v>
      </c>
      <c r="AD10" s="1666" t="s">
        <v>1563</v>
      </c>
      <c r="AE10" s="1666" t="s">
        <v>1564</v>
      </c>
      <c r="AF10" s="1666" t="s">
        <v>1565</v>
      </c>
      <c r="AG10" s="1666" t="s">
        <v>1566</v>
      </c>
      <c r="AH10" s="1666" t="s">
        <v>1567</v>
      </c>
      <c r="AI10" s="1666" t="s">
        <v>1568</v>
      </c>
      <c r="AJ10" s="1666" t="s">
        <v>1569</v>
      </c>
      <c r="AK10" s="1666" t="s">
        <v>1570</v>
      </c>
      <c r="AL10" s="1666" t="s">
        <v>1571</v>
      </c>
      <c r="AM10" s="1666" t="s">
        <v>1572</v>
      </c>
      <c r="AN10" s="1666" t="s">
        <v>1573</v>
      </c>
      <c r="AO10" s="1666" t="s">
        <v>1574</v>
      </c>
      <c r="AP10" s="1666" t="s">
        <v>1575</v>
      </c>
      <c r="AQ10" s="1666" t="s">
        <v>1576</v>
      </c>
      <c r="AR10" s="1666" t="s">
        <v>1577</v>
      </c>
      <c r="AS10" s="1666" t="s">
        <v>1578</v>
      </c>
      <c r="AT10" s="1666" t="s">
        <v>1579</v>
      </c>
      <c r="AU10" s="1666" t="s">
        <v>1580</v>
      </c>
      <c r="AV10" s="1666" t="s">
        <v>1581</v>
      </c>
      <c r="AW10" s="1666" t="s">
        <v>1582</v>
      </c>
      <c r="AX10" s="1666" t="s">
        <v>1583</v>
      </c>
      <c r="AY10" s="1666" t="s">
        <v>1584</v>
      </c>
      <c r="AZ10" s="1666" t="s">
        <v>1585</v>
      </c>
      <c r="BA10" s="1666" t="s">
        <v>1586</v>
      </c>
      <c r="BB10" s="1666" t="s">
        <v>1587</v>
      </c>
      <c r="BC10" s="1666" t="s">
        <v>1588</v>
      </c>
      <c r="BD10" s="1666" t="s">
        <v>1589</v>
      </c>
      <c r="BE10" s="1666" t="s">
        <v>1590</v>
      </c>
      <c r="BF10" s="1666" t="s">
        <v>1591</v>
      </c>
      <c r="BG10" s="1666" t="s">
        <v>1592</v>
      </c>
      <c r="BH10" s="1666" t="s">
        <v>1593</v>
      </c>
      <c r="BI10" s="1666" t="s">
        <v>1594</v>
      </c>
      <c r="BJ10" s="1666" t="s">
        <v>1595</v>
      </c>
      <c r="BK10" s="1666" t="s">
        <v>1596</v>
      </c>
      <c r="BL10" s="1666" t="s">
        <v>1597</v>
      </c>
      <c r="BM10" s="1666" t="s">
        <v>1598</v>
      </c>
      <c r="BN10" s="1666" t="s">
        <v>1599</v>
      </c>
      <c r="BO10" s="1666" t="s">
        <v>1600</v>
      </c>
      <c r="BP10" s="1666" t="s">
        <v>1601</v>
      </c>
      <c r="BQ10" s="1666" t="s">
        <v>1602</v>
      </c>
      <c r="BR10" s="1666" t="s">
        <v>1603</v>
      </c>
      <c r="BS10" s="1666" t="s">
        <v>1604</v>
      </c>
      <c r="BT10" s="1666" t="s">
        <v>1605</v>
      </c>
      <c r="BU10" s="1666" t="s">
        <v>1606</v>
      </c>
      <c r="BV10" s="1666" t="s">
        <v>1607</v>
      </c>
      <c r="BW10" s="1666" t="s">
        <v>1608</v>
      </c>
      <c r="BX10" s="1666" t="s">
        <v>1609</v>
      </c>
      <c r="BY10" s="1666" t="s">
        <v>1610</v>
      </c>
      <c r="BZ10" s="1666" t="s">
        <v>1611</v>
      </c>
      <c r="CA10" s="1666" t="s">
        <v>1612</v>
      </c>
      <c r="CB10" s="1666" t="s">
        <v>1613</v>
      </c>
      <c r="CC10" s="1666" t="s">
        <v>1614</v>
      </c>
      <c r="CD10" s="1666" t="s">
        <v>1615</v>
      </c>
      <c r="CE10" s="1666" t="s">
        <v>1616</v>
      </c>
      <c r="CF10" s="1666" t="s">
        <v>1617</v>
      </c>
      <c r="CG10" s="1666" t="s">
        <v>1618</v>
      </c>
      <c r="CH10" s="1666" t="s">
        <v>1619</v>
      </c>
      <c r="CI10" s="1666" t="s">
        <v>1620</v>
      </c>
      <c r="CJ10" s="1666" t="s">
        <v>1621</v>
      </c>
      <c r="CK10" s="1666" t="s">
        <v>1622</v>
      </c>
      <c r="CL10" s="1666" t="s">
        <v>1623</v>
      </c>
      <c r="CM10" s="1666" t="s">
        <v>1624</v>
      </c>
      <c r="CN10" s="1666" t="s">
        <v>1625</v>
      </c>
      <c r="CO10" s="1666" t="s">
        <v>1626</v>
      </c>
      <c r="CP10" s="1666" t="s">
        <v>1627</v>
      </c>
      <c r="CQ10" s="1666" t="s">
        <v>1628</v>
      </c>
      <c r="CR10" s="1666" t="s">
        <v>1629</v>
      </c>
      <c r="CS10" s="1666" t="s">
        <v>1630</v>
      </c>
      <c r="CT10" s="1666" t="s">
        <v>1631</v>
      </c>
      <c r="CU10" s="1666" t="s">
        <v>1632</v>
      </c>
      <c r="CV10" s="1666" t="s">
        <v>1633</v>
      </c>
      <c r="CW10" s="1666" t="s">
        <v>1634</v>
      </c>
      <c r="CX10" s="1666" t="s">
        <v>1635</v>
      </c>
      <c r="CY10" s="1666" t="s">
        <v>1636</v>
      </c>
      <c r="CZ10" s="1666" t="s">
        <v>1637</v>
      </c>
      <c r="DA10" s="1666" t="s">
        <v>1638</v>
      </c>
      <c r="DB10" s="1666" t="s">
        <v>1639</v>
      </c>
      <c r="DC10" s="1666" t="s">
        <v>1640</v>
      </c>
      <c r="DD10" s="1666" t="s">
        <v>1641</v>
      </c>
      <c r="DE10" s="1666" t="s">
        <v>1642</v>
      </c>
      <c r="DF10" s="1666" t="s">
        <v>1643</v>
      </c>
      <c r="DG10" s="1666" t="s">
        <v>1644</v>
      </c>
      <c r="DH10" s="1666" t="s">
        <v>1645</v>
      </c>
      <c r="DI10" s="1666" t="s">
        <v>1646</v>
      </c>
      <c r="DJ10" s="1666" t="s">
        <v>1647</v>
      </c>
      <c r="DK10" s="1666" t="s">
        <v>1648</v>
      </c>
      <c r="DL10" s="1666" t="s">
        <v>1649</v>
      </c>
    </row>
    <row r="11" spans="1:116" ht="38.25">
      <c r="A11" s="1652">
        <v>9</v>
      </c>
      <c r="B11" s="1652">
        <v>4</v>
      </c>
      <c r="C11" s="1679" t="s">
        <v>515</v>
      </c>
      <c r="D11" s="1680">
        <v>100</v>
      </c>
      <c r="E11" s="689">
        <f>SUM(E12:E18)</f>
        <v>0</v>
      </c>
      <c r="F11" s="689">
        <f t="shared" ref="F11:BQ11" si="0">SUM(F12:F18)</f>
        <v>0</v>
      </c>
      <c r="G11" s="689">
        <f t="shared" si="0"/>
        <v>0</v>
      </c>
      <c r="H11" s="689">
        <f t="shared" si="0"/>
        <v>0</v>
      </c>
      <c r="I11" s="689">
        <f t="shared" si="0"/>
        <v>0</v>
      </c>
      <c r="J11" s="689">
        <f t="shared" si="0"/>
        <v>0</v>
      </c>
      <c r="K11" s="690">
        <f t="shared" si="0"/>
        <v>0</v>
      </c>
      <c r="L11" s="689">
        <f t="shared" si="0"/>
        <v>0</v>
      </c>
      <c r="M11" s="689">
        <f t="shared" si="0"/>
        <v>0</v>
      </c>
      <c r="N11" s="689">
        <f t="shared" si="0"/>
        <v>0</v>
      </c>
      <c r="O11" s="689">
        <f t="shared" si="0"/>
        <v>0</v>
      </c>
      <c r="P11" s="689">
        <f t="shared" si="0"/>
        <v>0</v>
      </c>
      <c r="Q11" s="689">
        <f t="shared" si="0"/>
        <v>0</v>
      </c>
      <c r="R11" s="690">
        <f t="shared" si="0"/>
        <v>0</v>
      </c>
      <c r="S11" s="689">
        <f t="shared" si="0"/>
        <v>0</v>
      </c>
      <c r="T11" s="689">
        <f t="shared" si="0"/>
        <v>0</v>
      </c>
      <c r="U11" s="689">
        <f t="shared" si="0"/>
        <v>0</v>
      </c>
      <c r="V11" s="689">
        <f t="shared" si="0"/>
        <v>0</v>
      </c>
      <c r="W11" s="689">
        <f t="shared" si="0"/>
        <v>0</v>
      </c>
      <c r="X11" s="689">
        <f t="shared" si="0"/>
        <v>0</v>
      </c>
      <c r="Y11" s="690">
        <f t="shared" si="0"/>
        <v>0</v>
      </c>
      <c r="Z11" s="689">
        <f t="shared" si="0"/>
        <v>0</v>
      </c>
      <c r="AA11" s="689">
        <f t="shared" si="0"/>
        <v>0</v>
      </c>
      <c r="AB11" s="689">
        <f t="shared" si="0"/>
        <v>0</v>
      </c>
      <c r="AC11" s="689">
        <f t="shared" si="0"/>
        <v>0</v>
      </c>
      <c r="AD11" s="689">
        <f t="shared" si="0"/>
        <v>0</v>
      </c>
      <c r="AE11" s="689">
        <f t="shared" si="0"/>
        <v>0</v>
      </c>
      <c r="AF11" s="690">
        <f t="shared" si="0"/>
        <v>0</v>
      </c>
      <c r="AG11" s="689">
        <f t="shared" si="0"/>
        <v>0</v>
      </c>
      <c r="AH11" s="689">
        <f t="shared" si="0"/>
        <v>0</v>
      </c>
      <c r="AI11" s="689">
        <f t="shared" si="0"/>
        <v>0</v>
      </c>
      <c r="AJ11" s="689">
        <f t="shared" si="0"/>
        <v>0</v>
      </c>
      <c r="AK11" s="689">
        <f t="shared" si="0"/>
        <v>0</v>
      </c>
      <c r="AL11" s="689">
        <f t="shared" si="0"/>
        <v>0</v>
      </c>
      <c r="AM11" s="690">
        <f t="shared" si="0"/>
        <v>0</v>
      </c>
      <c r="AN11" s="689">
        <f t="shared" si="0"/>
        <v>0</v>
      </c>
      <c r="AO11" s="689">
        <f t="shared" si="0"/>
        <v>0</v>
      </c>
      <c r="AP11" s="689">
        <f t="shared" si="0"/>
        <v>0</v>
      </c>
      <c r="AQ11" s="689">
        <f t="shared" si="0"/>
        <v>0</v>
      </c>
      <c r="AR11" s="689">
        <f t="shared" si="0"/>
        <v>0</v>
      </c>
      <c r="AS11" s="689">
        <f t="shared" si="0"/>
        <v>0</v>
      </c>
      <c r="AT11" s="690">
        <f t="shared" si="0"/>
        <v>0</v>
      </c>
      <c r="AU11" s="689">
        <f t="shared" si="0"/>
        <v>0</v>
      </c>
      <c r="AV11" s="689">
        <f t="shared" si="0"/>
        <v>0</v>
      </c>
      <c r="AW11" s="689">
        <f t="shared" si="0"/>
        <v>0</v>
      </c>
      <c r="AX11" s="689">
        <f t="shared" si="0"/>
        <v>0</v>
      </c>
      <c r="AY11" s="689">
        <f t="shared" si="0"/>
        <v>0</v>
      </c>
      <c r="AZ11" s="689">
        <f t="shared" si="0"/>
        <v>0</v>
      </c>
      <c r="BA11" s="690">
        <f t="shared" si="0"/>
        <v>0</v>
      </c>
      <c r="BB11" s="689">
        <f t="shared" si="0"/>
        <v>0</v>
      </c>
      <c r="BC11" s="689">
        <f t="shared" si="0"/>
        <v>0</v>
      </c>
      <c r="BD11" s="689">
        <f t="shared" si="0"/>
        <v>0</v>
      </c>
      <c r="BE11" s="689">
        <f t="shared" si="0"/>
        <v>0</v>
      </c>
      <c r="BF11" s="689">
        <f t="shared" si="0"/>
        <v>0</v>
      </c>
      <c r="BG11" s="689">
        <f t="shared" si="0"/>
        <v>0</v>
      </c>
      <c r="BH11" s="690">
        <f t="shared" si="0"/>
        <v>0</v>
      </c>
      <c r="BI11" s="689">
        <f t="shared" si="0"/>
        <v>0</v>
      </c>
      <c r="BJ11" s="689">
        <f t="shared" si="0"/>
        <v>0</v>
      </c>
      <c r="BK11" s="689">
        <f t="shared" si="0"/>
        <v>0</v>
      </c>
      <c r="BL11" s="689">
        <f t="shared" si="0"/>
        <v>0</v>
      </c>
      <c r="BM11" s="689">
        <f t="shared" si="0"/>
        <v>0</v>
      </c>
      <c r="BN11" s="689">
        <f t="shared" si="0"/>
        <v>0</v>
      </c>
      <c r="BO11" s="690">
        <f t="shared" si="0"/>
        <v>0</v>
      </c>
      <c r="BP11" s="689">
        <f t="shared" si="0"/>
        <v>0</v>
      </c>
      <c r="BQ11" s="689">
        <f t="shared" si="0"/>
        <v>0</v>
      </c>
      <c r="BR11" s="689">
        <f t="shared" ref="BR11:DL11" si="1">SUM(BR12:BR18)</f>
        <v>0</v>
      </c>
      <c r="BS11" s="689">
        <f t="shared" si="1"/>
        <v>0</v>
      </c>
      <c r="BT11" s="689">
        <f t="shared" si="1"/>
        <v>0</v>
      </c>
      <c r="BU11" s="689">
        <f t="shared" si="1"/>
        <v>0</v>
      </c>
      <c r="BV11" s="690">
        <f t="shared" si="1"/>
        <v>0</v>
      </c>
      <c r="BW11" s="689">
        <f t="shared" si="1"/>
        <v>0</v>
      </c>
      <c r="BX11" s="689">
        <f t="shared" si="1"/>
        <v>0</v>
      </c>
      <c r="BY11" s="689">
        <f t="shared" si="1"/>
        <v>0</v>
      </c>
      <c r="BZ11" s="689">
        <f t="shared" si="1"/>
        <v>0</v>
      </c>
      <c r="CA11" s="689">
        <f t="shared" si="1"/>
        <v>0</v>
      </c>
      <c r="CB11" s="689">
        <f t="shared" si="1"/>
        <v>0</v>
      </c>
      <c r="CC11" s="690">
        <f t="shared" si="1"/>
        <v>0</v>
      </c>
      <c r="CD11" s="689">
        <f t="shared" si="1"/>
        <v>0</v>
      </c>
      <c r="CE11" s="689">
        <f t="shared" si="1"/>
        <v>0</v>
      </c>
      <c r="CF11" s="689">
        <f t="shared" si="1"/>
        <v>0</v>
      </c>
      <c r="CG11" s="689">
        <f t="shared" si="1"/>
        <v>0</v>
      </c>
      <c r="CH11" s="689">
        <f t="shared" si="1"/>
        <v>0</v>
      </c>
      <c r="CI11" s="689">
        <f t="shared" si="1"/>
        <v>0</v>
      </c>
      <c r="CJ11" s="690">
        <f t="shared" si="1"/>
        <v>0</v>
      </c>
      <c r="CK11" s="689">
        <f t="shared" si="1"/>
        <v>0</v>
      </c>
      <c r="CL11" s="689">
        <f t="shared" si="1"/>
        <v>0</v>
      </c>
      <c r="CM11" s="689">
        <f t="shared" si="1"/>
        <v>0</v>
      </c>
      <c r="CN11" s="689">
        <f t="shared" si="1"/>
        <v>0</v>
      </c>
      <c r="CO11" s="689">
        <f t="shared" si="1"/>
        <v>0</v>
      </c>
      <c r="CP11" s="689">
        <f t="shared" si="1"/>
        <v>0</v>
      </c>
      <c r="CQ11" s="690">
        <f t="shared" si="1"/>
        <v>0</v>
      </c>
      <c r="CR11" s="689">
        <f t="shared" si="1"/>
        <v>0</v>
      </c>
      <c r="CS11" s="689">
        <f t="shared" si="1"/>
        <v>0</v>
      </c>
      <c r="CT11" s="689">
        <f t="shared" si="1"/>
        <v>0</v>
      </c>
      <c r="CU11" s="689">
        <f t="shared" si="1"/>
        <v>0</v>
      </c>
      <c r="CV11" s="689">
        <f t="shared" si="1"/>
        <v>0</v>
      </c>
      <c r="CW11" s="689">
        <f t="shared" si="1"/>
        <v>0</v>
      </c>
      <c r="CX11" s="690">
        <f t="shared" si="1"/>
        <v>0</v>
      </c>
      <c r="CY11" s="689">
        <f t="shared" si="1"/>
        <v>0</v>
      </c>
      <c r="CZ11" s="689">
        <f t="shared" si="1"/>
        <v>0</v>
      </c>
      <c r="DA11" s="689">
        <f t="shared" si="1"/>
        <v>0</v>
      </c>
      <c r="DB11" s="689">
        <f t="shared" si="1"/>
        <v>0</v>
      </c>
      <c r="DC11" s="689">
        <f t="shared" si="1"/>
        <v>0</v>
      </c>
      <c r="DD11" s="689">
        <f t="shared" si="1"/>
        <v>0</v>
      </c>
      <c r="DE11" s="690">
        <f t="shared" si="1"/>
        <v>0</v>
      </c>
      <c r="DF11" s="689">
        <f t="shared" si="1"/>
        <v>0</v>
      </c>
      <c r="DG11" s="689">
        <f t="shared" si="1"/>
        <v>0</v>
      </c>
      <c r="DH11" s="689">
        <f t="shared" si="1"/>
        <v>0</v>
      </c>
      <c r="DI11" s="689">
        <f t="shared" si="1"/>
        <v>0</v>
      </c>
      <c r="DJ11" s="689">
        <f t="shared" si="1"/>
        <v>0</v>
      </c>
      <c r="DK11" s="689">
        <f t="shared" si="1"/>
        <v>0</v>
      </c>
      <c r="DL11" s="699">
        <f t="shared" si="1"/>
        <v>0</v>
      </c>
    </row>
    <row r="12" spans="1:116">
      <c r="A12" s="1652">
        <v>1</v>
      </c>
      <c r="B12" s="1652">
        <v>4</v>
      </c>
      <c r="C12" s="1681" t="s">
        <v>516</v>
      </c>
      <c r="D12" s="1660">
        <v>111</v>
      </c>
      <c r="E12" s="693">
        <f>SUM(F12:K12)</f>
        <v>0</v>
      </c>
      <c r="F12" s="694"/>
      <c r="G12" s="694"/>
      <c r="H12" s="694"/>
      <c r="I12" s="694"/>
      <c r="J12" s="694"/>
      <c r="K12" s="695"/>
      <c r="L12" s="693">
        <f>SUM(M12:R12)</f>
        <v>0</v>
      </c>
      <c r="M12" s="694"/>
      <c r="N12" s="694"/>
      <c r="O12" s="694"/>
      <c r="P12" s="694"/>
      <c r="Q12" s="694"/>
      <c r="R12" s="695"/>
      <c r="S12" s="693">
        <f>SUM(T12:Y12)</f>
        <v>0</v>
      </c>
      <c r="T12" s="694"/>
      <c r="U12" s="694"/>
      <c r="V12" s="694"/>
      <c r="W12" s="694"/>
      <c r="X12" s="694"/>
      <c r="Y12" s="695"/>
      <c r="Z12" s="693">
        <f>SUM(AA12:AF12)</f>
        <v>0</v>
      </c>
      <c r="AA12" s="694"/>
      <c r="AB12" s="694"/>
      <c r="AC12" s="694"/>
      <c r="AD12" s="694"/>
      <c r="AE12" s="694"/>
      <c r="AF12" s="695"/>
      <c r="AG12" s="693">
        <f>SUM(AH12:AM12)</f>
        <v>0</v>
      </c>
      <c r="AH12" s="694"/>
      <c r="AI12" s="694"/>
      <c r="AJ12" s="694"/>
      <c r="AK12" s="694"/>
      <c r="AL12" s="694"/>
      <c r="AM12" s="695"/>
      <c r="AN12" s="693">
        <f>SUM(AO12:AT12)</f>
        <v>0</v>
      </c>
      <c r="AO12" s="694"/>
      <c r="AP12" s="694"/>
      <c r="AQ12" s="694"/>
      <c r="AR12" s="694"/>
      <c r="AS12" s="694"/>
      <c r="AT12" s="695"/>
      <c r="AU12" s="693">
        <f>SUM(AV12:BA12)</f>
        <v>0</v>
      </c>
      <c r="AV12" s="694"/>
      <c r="AW12" s="694"/>
      <c r="AX12" s="694"/>
      <c r="AY12" s="694"/>
      <c r="AZ12" s="694"/>
      <c r="BA12" s="695"/>
      <c r="BB12" s="693">
        <f>SUM(BC12:BH12)</f>
        <v>0</v>
      </c>
      <c r="BC12" s="694"/>
      <c r="BD12" s="694"/>
      <c r="BE12" s="694"/>
      <c r="BF12" s="694"/>
      <c r="BG12" s="694"/>
      <c r="BH12" s="695"/>
      <c r="BI12" s="693">
        <f>SUM(BJ12:BO12)</f>
        <v>0</v>
      </c>
      <c r="BJ12" s="694"/>
      <c r="BK12" s="694"/>
      <c r="BL12" s="694"/>
      <c r="BM12" s="694"/>
      <c r="BN12" s="694"/>
      <c r="BO12" s="695"/>
      <c r="BP12" s="693">
        <f>SUM(BQ12:BV12)</f>
        <v>0</v>
      </c>
      <c r="BQ12" s="694"/>
      <c r="BR12" s="694"/>
      <c r="BS12" s="694"/>
      <c r="BT12" s="694"/>
      <c r="BU12" s="694"/>
      <c r="BV12" s="695"/>
      <c r="BW12" s="693">
        <f>SUM(BX12:CC12)</f>
        <v>0</v>
      </c>
      <c r="BX12" s="694"/>
      <c r="BY12" s="694"/>
      <c r="BZ12" s="694"/>
      <c r="CA12" s="694"/>
      <c r="CB12" s="694"/>
      <c r="CC12" s="695"/>
      <c r="CD12" s="693">
        <f>SUM(CE12:CJ12)</f>
        <v>0</v>
      </c>
      <c r="CE12" s="694"/>
      <c r="CF12" s="694"/>
      <c r="CG12" s="694"/>
      <c r="CH12" s="694"/>
      <c r="CI12" s="694"/>
      <c r="CJ12" s="695"/>
      <c r="CK12" s="693">
        <f>SUM(CL12:CQ12)</f>
        <v>0</v>
      </c>
      <c r="CL12" s="694"/>
      <c r="CM12" s="694"/>
      <c r="CN12" s="694"/>
      <c r="CO12" s="694"/>
      <c r="CP12" s="694"/>
      <c r="CQ12" s="695"/>
      <c r="CR12" s="693">
        <f>SUM(CS12:CX12)</f>
        <v>0</v>
      </c>
      <c r="CS12" s="694"/>
      <c r="CT12" s="694"/>
      <c r="CU12" s="694"/>
      <c r="CV12" s="694"/>
      <c r="CW12" s="694"/>
      <c r="CX12" s="695"/>
      <c r="CY12" s="693">
        <f>SUM(CZ12:DE12)</f>
        <v>0</v>
      </c>
      <c r="CZ12" s="694"/>
      <c r="DA12" s="694"/>
      <c r="DB12" s="694"/>
      <c r="DC12" s="694"/>
      <c r="DD12" s="694"/>
      <c r="DE12" s="695"/>
      <c r="DF12" s="693">
        <f>SUM(DG12:DL12)</f>
        <v>0</v>
      </c>
      <c r="DG12" s="694"/>
      <c r="DH12" s="694"/>
      <c r="DI12" s="694"/>
      <c r="DJ12" s="694"/>
      <c r="DK12" s="694"/>
      <c r="DL12" s="698"/>
    </row>
    <row r="13" spans="1:116" ht="25.5">
      <c r="A13" s="1652">
        <v>2</v>
      </c>
      <c r="B13" s="1652">
        <v>4</v>
      </c>
      <c r="C13" s="1681" t="s">
        <v>517</v>
      </c>
      <c r="D13" s="1660">
        <v>121</v>
      </c>
      <c r="E13" s="693">
        <f t="shared" ref="E13:E18" si="2">SUM(F13:K13)</f>
        <v>0</v>
      </c>
      <c r="F13" s="694"/>
      <c r="G13" s="694"/>
      <c r="H13" s="694"/>
      <c r="I13" s="694"/>
      <c r="J13" s="694"/>
      <c r="K13" s="695"/>
      <c r="L13" s="693">
        <f t="shared" ref="L13:L18" si="3">SUM(M13:R13)</f>
        <v>0</v>
      </c>
      <c r="M13" s="694"/>
      <c r="N13" s="694"/>
      <c r="O13" s="694"/>
      <c r="P13" s="694"/>
      <c r="Q13" s="694"/>
      <c r="R13" s="695"/>
      <c r="S13" s="693">
        <f t="shared" ref="S13:S18" si="4">SUM(T13:Y13)</f>
        <v>0</v>
      </c>
      <c r="T13" s="694"/>
      <c r="U13" s="694"/>
      <c r="V13" s="694"/>
      <c r="W13" s="694"/>
      <c r="X13" s="694"/>
      <c r="Y13" s="695"/>
      <c r="Z13" s="693">
        <f t="shared" ref="Z13:Z18" si="5">SUM(AA13:AF13)</f>
        <v>0</v>
      </c>
      <c r="AA13" s="694"/>
      <c r="AB13" s="694"/>
      <c r="AC13" s="694"/>
      <c r="AD13" s="694"/>
      <c r="AE13" s="694"/>
      <c r="AF13" s="695"/>
      <c r="AG13" s="693">
        <f t="shared" ref="AG13:AG18" si="6">SUM(AH13:AM13)</f>
        <v>0</v>
      </c>
      <c r="AH13" s="694"/>
      <c r="AI13" s="694"/>
      <c r="AJ13" s="694"/>
      <c r="AK13" s="694"/>
      <c r="AL13" s="694"/>
      <c r="AM13" s="695"/>
      <c r="AN13" s="693">
        <f t="shared" ref="AN13:AN18" si="7">SUM(AO13:AT13)</f>
        <v>0</v>
      </c>
      <c r="AO13" s="694"/>
      <c r="AP13" s="694"/>
      <c r="AQ13" s="694"/>
      <c r="AR13" s="694"/>
      <c r="AS13" s="694"/>
      <c r="AT13" s="695"/>
      <c r="AU13" s="693">
        <f t="shared" ref="AU13:AU18" si="8">SUM(AV13:BA13)</f>
        <v>0</v>
      </c>
      <c r="AV13" s="694"/>
      <c r="AW13" s="694"/>
      <c r="AX13" s="694"/>
      <c r="AY13" s="694"/>
      <c r="AZ13" s="694"/>
      <c r="BA13" s="695"/>
      <c r="BB13" s="693">
        <f t="shared" ref="BB13:BB18" si="9">SUM(BC13:BH13)</f>
        <v>0</v>
      </c>
      <c r="BC13" s="694"/>
      <c r="BD13" s="694"/>
      <c r="BE13" s="694"/>
      <c r="BF13" s="694"/>
      <c r="BG13" s="694"/>
      <c r="BH13" s="695"/>
      <c r="BI13" s="693">
        <f t="shared" ref="BI13:BI18" si="10">SUM(BJ13:BO13)</f>
        <v>0</v>
      </c>
      <c r="BJ13" s="694"/>
      <c r="BK13" s="694"/>
      <c r="BL13" s="694"/>
      <c r="BM13" s="694"/>
      <c r="BN13" s="694"/>
      <c r="BO13" s="695"/>
      <c r="BP13" s="693">
        <f t="shared" ref="BP13:BP18" si="11">SUM(BQ13:BV13)</f>
        <v>0</v>
      </c>
      <c r="BQ13" s="694"/>
      <c r="BR13" s="694"/>
      <c r="BS13" s="694"/>
      <c r="BT13" s="694"/>
      <c r="BU13" s="694"/>
      <c r="BV13" s="695"/>
      <c r="BW13" s="693">
        <f t="shared" ref="BW13:BW18" si="12">SUM(BX13:CC13)</f>
        <v>0</v>
      </c>
      <c r="BX13" s="694"/>
      <c r="BY13" s="694"/>
      <c r="BZ13" s="694"/>
      <c r="CA13" s="694"/>
      <c r="CB13" s="694"/>
      <c r="CC13" s="695"/>
      <c r="CD13" s="693">
        <f t="shared" ref="CD13:CD18" si="13">SUM(CE13:CJ13)</f>
        <v>0</v>
      </c>
      <c r="CE13" s="694"/>
      <c r="CF13" s="694"/>
      <c r="CG13" s="694"/>
      <c r="CH13" s="694"/>
      <c r="CI13" s="694"/>
      <c r="CJ13" s="695"/>
      <c r="CK13" s="693">
        <f t="shared" ref="CK13:CK18" si="14">SUM(CL13:CQ13)</f>
        <v>0</v>
      </c>
      <c r="CL13" s="694"/>
      <c r="CM13" s="694"/>
      <c r="CN13" s="694"/>
      <c r="CO13" s="694"/>
      <c r="CP13" s="694"/>
      <c r="CQ13" s="695"/>
      <c r="CR13" s="693">
        <f t="shared" ref="CR13:CR18" si="15">SUM(CS13:CX13)</f>
        <v>0</v>
      </c>
      <c r="CS13" s="694"/>
      <c r="CT13" s="694"/>
      <c r="CU13" s="694"/>
      <c r="CV13" s="694"/>
      <c r="CW13" s="694"/>
      <c r="CX13" s="695"/>
      <c r="CY13" s="693">
        <f t="shared" ref="CY13:CY18" si="16">SUM(CZ13:DE13)</f>
        <v>0</v>
      </c>
      <c r="CZ13" s="694"/>
      <c r="DA13" s="694"/>
      <c r="DB13" s="694"/>
      <c r="DC13" s="694"/>
      <c r="DD13" s="694"/>
      <c r="DE13" s="695"/>
      <c r="DF13" s="693">
        <f t="shared" ref="DF13:DF18" si="17">SUM(DG13:DL13)</f>
        <v>0</v>
      </c>
      <c r="DG13" s="694"/>
      <c r="DH13" s="694"/>
      <c r="DI13" s="694"/>
      <c r="DJ13" s="694"/>
      <c r="DK13" s="694"/>
      <c r="DL13" s="698"/>
    </row>
    <row r="14" spans="1:116">
      <c r="A14" s="1652">
        <v>3</v>
      </c>
      <c r="B14" s="1652">
        <v>4</v>
      </c>
      <c r="C14" s="1681" t="s">
        <v>518</v>
      </c>
      <c r="D14" s="1660">
        <v>131</v>
      </c>
      <c r="E14" s="693">
        <f t="shared" si="2"/>
        <v>0</v>
      </c>
      <c r="F14" s="694"/>
      <c r="G14" s="694"/>
      <c r="H14" s="694"/>
      <c r="I14" s="694"/>
      <c r="J14" s="694"/>
      <c r="K14" s="695"/>
      <c r="L14" s="693">
        <f t="shared" si="3"/>
        <v>0</v>
      </c>
      <c r="M14" s="694"/>
      <c r="N14" s="694"/>
      <c r="O14" s="694"/>
      <c r="P14" s="694"/>
      <c r="Q14" s="694"/>
      <c r="R14" s="695"/>
      <c r="S14" s="693">
        <f t="shared" si="4"/>
        <v>0</v>
      </c>
      <c r="T14" s="694"/>
      <c r="U14" s="694"/>
      <c r="V14" s="694"/>
      <c r="W14" s="694"/>
      <c r="X14" s="694"/>
      <c r="Y14" s="695"/>
      <c r="Z14" s="693">
        <f t="shared" si="5"/>
        <v>0</v>
      </c>
      <c r="AA14" s="694"/>
      <c r="AB14" s="694"/>
      <c r="AC14" s="694"/>
      <c r="AD14" s="694"/>
      <c r="AE14" s="694"/>
      <c r="AF14" s="695"/>
      <c r="AG14" s="693">
        <f t="shared" si="6"/>
        <v>0</v>
      </c>
      <c r="AH14" s="694"/>
      <c r="AI14" s="694"/>
      <c r="AJ14" s="694"/>
      <c r="AK14" s="694"/>
      <c r="AL14" s="694"/>
      <c r="AM14" s="695"/>
      <c r="AN14" s="693">
        <f t="shared" si="7"/>
        <v>0</v>
      </c>
      <c r="AO14" s="694"/>
      <c r="AP14" s="694"/>
      <c r="AQ14" s="694"/>
      <c r="AR14" s="694"/>
      <c r="AS14" s="694"/>
      <c r="AT14" s="695"/>
      <c r="AU14" s="693">
        <f t="shared" si="8"/>
        <v>0</v>
      </c>
      <c r="AV14" s="694"/>
      <c r="AW14" s="694"/>
      <c r="AX14" s="694"/>
      <c r="AY14" s="694"/>
      <c r="AZ14" s="694"/>
      <c r="BA14" s="695"/>
      <c r="BB14" s="693">
        <f t="shared" si="9"/>
        <v>0</v>
      </c>
      <c r="BC14" s="694"/>
      <c r="BD14" s="694"/>
      <c r="BE14" s="694"/>
      <c r="BF14" s="694"/>
      <c r="BG14" s="694"/>
      <c r="BH14" s="695"/>
      <c r="BI14" s="693">
        <f t="shared" si="10"/>
        <v>0</v>
      </c>
      <c r="BJ14" s="694"/>
      <c r="BK14" s="694"/>
      <c r="BL14" s="694"/>
      <c r="BM14" s="694"/>
      <c r="BN14" s="694"/>
      <c r="BO14" s="695"/>
      <c r="BP14" s="693">
        <f t="shared" si="11"/>
        <v>0</v>
      </c>
      <c r="BQ14" s="694"/>
      <c r="BR14" s="694"/>
      <c r="BS14" s="694"/>
      <c r="BT14" s="694"/>
      <c r="BU14" s="694"/>
      <c r="BV14" s="695"/>
      <c r="BW14" s="693">
        <f t="shared" si="12"/>
        <v>0</v>
      </c>
      <c r="BX14" s="694"/>
      <c r="BY14" s="694"/>
      <c r="BZ14" s="694"/>
      <c r="CA14" s="694"/>
      <c r="CB14" s="694"/>
      <c r="CC14" s="695"/>
      <c r="CD14" s="693">
        <f t="shared" si="13"/>
        <v>0</v>
      </c>
      <c r="CE14" s="694"/>
      <c r="CF14" s="694"/>
      <c r="CG14" s="694"/>
      <c r="CH14" s="694"/>
      <c r="CI14" s="694"/>
      <c r="CJ14" s="695"/>
      <c r="CK14" s="693">
        <f t="shared" si="14"/>
        <v>0</v>
      </c>
      <c r="CL14" s="694"/>
      <c r="CM14" s="694"/>
      <c r="CN14" s="694"/>
      <c r="CO14" s="694"/>
      <c r="CP14" s="694"/>
      <c r="CQ14" s="695"/>
      <c r="CR14" s="693">
        <f t="shared" si="15"/>
        <v>0</v>
      </c>
      <c r="CS14" s="694"/>
      <c r="CT14" s="694"/>
      <c r="CU14" s="694"/>
      <c r="CV14" s="694"/>
      <c r="CW14" s="694"/>
      <c r="CX14" s="695"/>
      <c r="CY14" s="693">
        <f t="shared" si="16"/>
        <v>0</v>
      </c>
      <c r="CZ14" s="694"/>
      <c r="DA14" s="694"/>
      <c r="DB14" s="694"/>
      <c r="DC14" s="694"/>
      <c r="DD14" s="694"/>
      <c r="DE14" s="695"/>
      <c r="DF14" s="693">
        <f t="shared" si="17"/>
        <v>0</v>
      </c>
      <c r="DG14" s="694"/>
      <c r="DH14" s="694"/>
      <c r="DI14" s="694"/>
      <c r="DJ14" s="694"/>
      <c r="DK14" s="694"/>
      <c r="DL14" s="698"/>
    </row>
    <row r="15" spans="1:116">
      <c r="A15" s="1652">
        <v>4</v>
      </c>
      <c r="B15" s="1652">
        <v>4</v>
      </c>
      <c r="C15" s="1681" t="s">
        <v>519</v>
      </c>
      <c r="D15" s="1660">
        <v>141</v>
      </c>
      <c r="E15" s="693">
        <f t="shared" si="2"/>
        <v>0</v>
      </c>
      <c r="F15" s="694"/>
      <c r="G15" s="694"/>
      <c r="H15" s="694"/>
      <c r="I15" s="694"/>
      <c r="J15" s="694"/>
      <c r="K15" s="695"/>
      <c r="L15" s="693">
        <f t="shared" si="3"/>
        <v>0</v>
      </c>
      <c r="M15" s="694"/>
      <c r="N15" s="694"/>
      <c r="O15" s="694"/>
      <c r="P15" s="694"/>
      <c r="Q15" s="694"/>
      <c r="R15" s="695"/>
      <c r="S15" s="693">
        <f t="shared" si="4"/>
        <v>0</v>
      </c>
      <c r="T15" s="694"/>
      <c r="U15" s="694"/>
      <c r="V15" s="694"/>
      <c r="W15" s="694"/>
      <c r="X15" s="694"/>
      <c r="Y15" s="695"/>
      <c r="Z15" s="693">
        <f t="shared" si="5"/>
        <v>0</v>
      </c>
      <c r="AA15" s="694"/>
      <c r="AB15" s="694"/>
      <c r="AC15" s="694"/>
      <c r="AD15" s="694"/>
      <c r="AE15" s="694"/>
      <c r="AF15" s="695"/>
      <c r="AG15" s="693">
        <f t="shared" si="6"/>
        <v>0</v>
      </c>
      <c r="AH15" s="694"/>
      <c r="AI15" s="694"/>
      <c r="AJ15" s="694"/>
      <c r="AK15" s="694"/>
      <c r="AL15" s="694"/>
      <c r="AM15" s="695"/>
      <c r="AN15" s="693">
        <f t="shared" si="7"/>
        <v>0</v>
      </c>
      <c r="AO15" s="694"/>
      <c r="AP15" s="694"/>
      <c r="AQ15" s="694"/>
      <c r="AR15" s="694"/>
      <c r="AS15" s="694"/>
      <c r="AT15" s="695"/>
      <c r="AU15" s="693">
        <f t="shared" si="8"/>
        <v>0</v>
      </c>
      <c r="AV15" s="694"/>
      <c r="AW15" s="694"/>
      <c r="AX15" s="694"/>
      <c r="AY15" s="694"/>
      <c r="AZ15" s="694"/>
      <c r="BA15" s="695"/>
      <c r="BB15" s="693">
        <f t="shared" si="9"/>
        <v>0</v>
      </c>
      <c r="BC15" s="694"/>
      <c r="BD15" s="694"/>
      <c r="BE15" s="694"/>
      <c r="BF15" s="694"/>
      <c r="BG15" s="694"/>
      <c r="BH15" s="695"/>
      <c r="BI15" s="693">
        <f t="shared" si="10"/>
        <v>0</v>
      </c>
      <c r="BJ15" s="694"/>
      <c r="BK15" s="694"/>
      <c r="BL15" s="694"/>
      <c r="BM15" s="694"/>
      <c r="BN15" s="694"/>
      <c r="BO15" s="695"/>
      <c r="BP15" s="693">
        <f t="shared" si="11"/>
        <v>0</v>
      </c>
      <c r="BQ15" s="694"/>
      <c r="BR15" s="694"/>
      <c r="BS15" s="694"/>
      <c r="BT15" s="694"/>
      <c r="BU15" s="694"/>
      <c r="BV15" s="695"/>
      <c r="BW15" s="693">
        <f t="shared" si="12"/>
        <v>0</v>
      </c>
      <c r="BX15" s="694"/>
      <c r="BY15" s="694"/>
      <c r="BZ15" s="694"/>
      <c r="CA15" s="694"/>
      <c r="CB15" s="694"/>
      <c r="CC15" s="695"/>
      <c r="CD15" s="693">
        <f t="shared" si="13"/>
        <v>0</v>
      </c>
      <c r="CE15" s="694"/>
      <c r="CF15" s="694"/>
      <c r="CG15" s="694"/>
      <c r="CH15" s="694"/>
      <c r="CI15" s="694"/>
      <c r="CJ15" s="695"/>
      <c r="CK15" s="693">
        <f t="shared" si="14"/>
        <v>0</v>
      </c>
      <c r="CL15" s="694"/>
      <c r="CM15" s="694"/>
      <c r="CN15" s="694"/>
      <c r="CO15" s="694"/>
      <c r="CP15" s="694"/>
      <c r="CQ15" s="695"/>
      <c r="CR15" s="693">
        <f t="shared" si="15"/>
        <v>0</v>
      </c>
      <c r="CS15" s="694"/>
      <c r="CT15" s="694"/>
      <c r="CU15" s="694"/>
      <c r="CV15" s="694"/>
      <c r="CW15" s="694"/>
      <c r="CX15" s="695"/>
      <c r="CY15" s="693">
        <f t="shared" si="16"/>
        <v>0</v>
      </c>
      <c r="CZ15" s="694"/>
      <c r="DA15" s="694"/>
      <c r="DB15" s="694"/>
      <c r="DC15" s="694"/>
      <c r="DD15" s="694"/>
      <c r="DE15" s="695"/>
      <c r="DF15" s="693">
        <f t="shared" si="17"/>
        <v>0</v>
      </c>
      <c r="DG15" s="694"/>
      <c r="DH15" s="694"/>
      <c r="DI15" s="694"/>
      <c r="DJ15" s="694"/>
      <c r="DK15" s="694"/>
      <c r="DL15" s="698"/>
    </row>
    <row r="16" spans="1:116">
      <c r="A16" s="1652">
        <v>5</v>
      </c>
      <c r="B16" s="1652">
        <v>4</v>
      </c>
      <c r="C16" s="1681" t="s">
        <v>631</v>
      </c>
      <c r="D16" s="1660">
        <v>151</v>
      </c>
      <c r="E16" s="693">
        <f t="shared" si="2"/>
        <v>0</v>
      </c>
      <c r="F16" s="694"/>
      <c r="G16" s="694"/>
      <c r="H16" s="694"/>
      <c r="I16" s="694"/>
      <c r="J16" s="694"/>
      <c r="K16" s="695"/>
      <c r="L16" s="693">
        <f t="shared" si="3"/>
        <v>0</v>
      </c>
      <c r="M16" s="694"/>
      <c r="N16" s="694"/>
      <c r="O16" s="694"/>
      <c r="P16" s="694"/>
      <c r="Q16" s="694"/>
      <c r="R16" s="695"/>
      <c r="S16" s="693">
        <f t="shared" si="4"/>
        <v>0</v>
      </c>
      <c r="T16" s="694"/>
      <c r="U16" s="694"/>
      <c r="V16" s="694"/>
      <c r="W16" s="694"/>
      <c r="X16" s="694"/>
      <c r="Y16" s="695"/>
      <c r="Z16" s="693">
        <f t="shared" si="5"/>
        <v>0</v>
      </c>
      <c r="AA16" s="694"/>
      <c r="AB16" s="694"/>
      <c r="AC16" s="694"/>
      <c r="AD16" s="694"/>
      <c r="AE16" s="694"/>
      <c r="AF16" s="695"/>
      <c r="AG16" s="693">
        <f t="shared" si="6"/>
        <v>0</v>
      </c>
      <c r="AH16" s="694"/>
      <c r="AI16" s="694"/>
      <c r="AJ16" s="694"/>
      <c r="AK16" s="694"/>
      <c r="AL16" s="694"/>
      <c r="AM16" s="695"/>
      <c r="AN16" s="693">
        <f t="shared" si="7"/>
        <v>0</v>
      </c>
      <c r="AO16" s="694"/>
      <c r="AP16" s="694"/>
      <c r="AQ16" s="694"/>
      <c r="AR16" s="694"/>
      <c r="AS16" s="694"/>
      <c r="AT16" s="695"/>
      <c r="AU16" s="693">
        <f t="shared" si="8"/>
        <v>0</v>
      </c>
      <c r="AV16" s="694"/>
      <c r="AW16" s="694"/>
      <c r="AX16" s="694"/>
      <c r="AY16" s="694"/>
      <c r="AZ16" s="694"/>
      <c r="BA16" s="695"/>
      <c r="BB16" s="693">
        <f t="shared" si="9"/>
        <v>0</v>
      </c>
      <c r="BC16" s="694"/>
      <c r="BD16" s="694"/>
      <c r="BE16" s="694"/>
      <c r="BF16" s="694"/>
      <c r="BG16" s="694"/>
      <c r="BH16" s="695"/>
      <c r="BI16" s="693">
        <f t="shared" si="10"/>
        <v>0</v>
      </c>
      <c r="BJ16" s="694"/>
      <c r="BK16" s="694"/>
      <c r="BL16" s="694"/>
      <c r="BM16" s="694"/>
      <c r="BN16" s="694"/>
      <c r="BO16" s="695"/>
      <c r="BP16" s="693">
        <f t="shared" si="11"/>
        <v>0</v>
      </c>
      <c r="BQ16" s="694"/>
      <c r="BR16" s="694"/>
      <c r="BS16" s="694"/>
      <c r="BT16" s="694"/>
      <c r="BU16" s="694"/>
      <c r="BV16" s="695"/>
      <c r="BW16" s="693">
        <f t="shared" si="12"/>
        <v>0</v>
      </c>
      <c r="BX16" s="694"/>
      <c r="BY16" s="694"/>
      <c r="BZ16" s="694"/>
      <c r="CA16" s="694"/>
      <c r="CB16" s="694"/>
      <c r="CC16" s="695"/>
      <c r="CD16" s="693">
        <f t="shared" si="13"/>
        <v>0</v>
      </c>
      <c r="CE16" s="694"/>
      <c r="CF16" s="694"/>
      <c r="CG16" s="694"/>
      <c r="CH16" s="694"/>
      <c r="CI16" s="694"/>
      <c r="CJ16" s="695"/>
      <c r="CK16" s="693">
        <f t="shared" si="14"/>
        <v>0</v>
      </c>
      <c r="CL16" s="694"/>
      <c r="CM16" s="694"/>
      <c r="CN16" s="694"/>
      <c r="CO16" s="694"/>
      <c r="CP16" s="694"/>
      <c r="CQ16" s="695"/>
      <c r="CR16" s="693">
        <f t="shared" si="15"/>
        <v>0</v>
      </c>
      <c r="CS16" s="694"/>
      <c r="CT16" s="694"/>
      <c r="CU16" s="694"/>
      <c r="CV16" s="694"/>
      <c r="CW16" s="694"/>
      <c r="CX16" s="695"/>
      <c r="CY16" s="693">
        <f t="shared" si="16"/>
        <v>0</v>
      </c>
      <c r="CZ16" s="694"/>
      <c r="DA16" s="694"/>
      <c r="DB16" s="694"/>
      <c r="DC16" s="694"/>
      <c r="DD16" s="694"/>
      <c r="DE16" s="695"/>
      <c r="DF16" s="693">
        <f t="shared" si="17"/>
        <v>0</v>
      </c>
      <c r="DG16" s="694"/>
      <c r="DH16" s="694"/>
      <c r="DI16" s="694"/>
      <c r="DJ16" s="694"/>
      <c r="DK16" s="694"/>
      <c r="DL16" s="698"/>
    </row>
    <row r="17" spans="1:116">
      <c r="A17" s="1652">
        <v>6</v>
      </c>
      <c r="B17" s="1652">
        <v>4</v>
      </c>
      <c r="C17" s="1681" t="s">
        <v>521</v>
      </c>
      <c r="D17" s="1660">
        <v>161</v>
      </c>
      <c r="E17" s="693">
        <f t="shared" si="2"/>
        <v>0</v>
      </c>
      <c r="F17" s="694"/>
      <c r="G17" s="694"/>
      <c r="H17" s="694"/>
      <c r="I17" s="694"/>
      <c r="J17" s="694"/>
      <c r="K17" s="695"/>
      <c r="L17" s="693">
        <f t="shared" si="3"/>
        <v>0</v>
      </c>
      <c r="M17" s="694"/>
      <c r="N17" s="694"/>
      <c r="O17" s="694"/>
      <c r="P17" s="694"/>
      <c r="Q17" s="694"/>
      <c r="R17" s="695"/>
      <c r="S17" s="693">
        <f t="shared" si="4"/>
        <v>0</v>
      </c>
      <c r="T17" s="694"/>
      <c r="U17" s="694"/>
      <c r="V17" s="694"/>
      <c r="W17" s="694"/>
      <c r="X17" s="694"/>
      <c r="Y17" s="695"/>
      <c r="Z17" s="693">
        <f t="shared" si="5"/>
        <v>0</v>
      </c>
      <c r="AA17" s="694"/>
      <c r="AB17" s="694"/>
      <c r="AC17" s="694"/>
      <c r="AD17" s="694"/>
      <c r="AE17" s="694"/>
      <c r="AF17" s="695"/>
      <c r="AG17" s="693">
        <f t="shared" si="6"/>
        <v>0</v>
      </c>
      <c r="AH17" s="694"/>
      <c r="AI17" s="694"/>
      <c r="AJ17" s="694"/>
      <c r="AK17" s="694"/>
      <c r="AL17" s="694"/>
      <c r="AM17" s="695"/>
      <c r="AN17" s="693">
        <f t="shared" si="7"/>
        <v>0</v>
      </c>
      <c r="AO17" s="694"/>
      <c r="AP17" s="694"/>
      <c r="AQ17" s="694"/>
      <c r="AR17" s="694"/>
      <c r="AS17" s="694"/>
      <c r="AT17" s="695"/>
      <c r="AU17" s="693">
        <f t="shared" si="8"/>
        <v>0</v>
      </c>
      <c r="AV17" s="694"/>
      <c r="AW17" s="694"/>
      <c r="AX17" s="694"/>
      <c r="AY17" s="694"/>
      <c r="AZ17" s="694"/>
      <c r="BA17" s="695"/>
      <c r="BB17" s="693">
        <f t="shared" si="9"/>
        <v>0</v>
      </c>
      <c r="BC17" s="694"/>
      <c r="BD17" s="694"/>
      <c r="BE17" s="694"/>
      <c r="BF17" s="694"/>
      <c r="BG17" s="694"/>
      <c r="BH17" s="695"/>
      <c r="BI17" s="693">
        <f t="shared" si="10"/>
        <v>0</v>
      </c>
      <c r="BJ17" s="694"/>
      <c r="BK17" s="694"/>
      <c r="BL17" s="694"/>
      <c r="BM17" s="694"/>
      <c r="BN17" s="694"/>
      <c r="BO17" s="695"/>
      <c r="BP17" s="693">
        <f t="shared" si="11"/>
        <v>0</v>
      </c>
      <c r="BQ17" s="694"/>
      <c r="BR17" s="694"/>
      <c r="BS17" s="694"/>
      <c r="BT17" s="694"/>
      <c r="BU17" s="694"/>
      <c r="BV17" s="695"/>
      <c r="BW17" s="693">
        <f t="shared" si="12"/>
        <v>0</v>
      </c>
      <c r="BX17" s="694"/>
      <c r="BY17" s="694"/>
      <c r="BZ17" s="694"/>
      <c r="CA17" s="694"/>
      <c r="CB17" s="694"/>
      <c r="CC17" s="695"/>
      <c r="CD17" s="693">
        <f t="shared" si="13"/>
        <v>0</v>
      </c>
      <c r="CE17" s="694"/>
      <c r="CF17" s="694"/>
      <c r="CG17" s="694"/>
      <c r="CH17" s="694"/>
      <c r="CI17" s="694"/>
      <c r="CJ17" s="695"/>
      <c r="CK17" s="693">
        <f t="shared" si="14"/>
        <v>0</v>
      </c>
      <c r="CL17" s="694"/>
      <c r="CM17" s="694"/>
      <c r="CN17" s="694"/>
      <c r="CO17" s="694"/>
      <c r="CP17" s="694"/>
      <c r="CQ17" s="695"/>
      <c r="CR17" s="693">
        <f t="shared" si="15"/>
        <v>0</v>
      </c>
      <c r="CS17" s="694"/>
      <c r="CT17" s="694"/>
      <c r="CU17" s="694"/>
      <c r="CV17" s="694"/>
      <c r="CW17" s="694"/>
      <c r="CX17" s="695"/>
      <c r="CY17" s="693">
        <f t="shared" si="16"/>
        <v>0</v>
      </c>
      <c r="CZ17" s="694"/>
      <c r="DA17" s="694"/>
      <c r="DB17" s="694"/>
      <c r="DC17" s="694"/>
      <c r="DD17" s="694"/>
      <c r="DE17" s="695"/>
      <c r="DF17" s="693">
        <f t="shared" si="17"/>
        <v>0</v>
      </c>
      <c r="DG17" s="694"/>
      <c r="DH17" s="694"/>
      <c r="DI17" s="694"/>
      <c r="DJ17" s="694"/>
      <c r="DK17" s="694"/>
      <c r="DL17" s="698"/>
    </row>
    <row r="18" spans="1:116">
      <c r="A18" s="1652">
        <v>7</v>
      </c>
      <c r="B18" s="1652">
        <v>4</v>
      </c>
      <c r="C18" s="1681" t="s">
        <v>522</v>
      </c>
      <c r="D18" s="1660">
        <v>171</v>
      </c>
      <c r="E18" s="693">
        <f t="shared" si="2"/>
        <v>0</v>
      </c>
      <c r="F18" s="694"/>
      <c r="G18" s="694"/>
      <c r="H18" s="694"/>
      <c r="I18" s="694"/>
      <c r="J18" s="694"/>
      <c r="K18" s="695"/>
      <c r="L18" s="693">
        <f t="shared" si="3"/>
        <v>0</v>
      </c>
      <c r="M18" s="694"/>
      <c r="N18" s="694"/>
      <c r="O18" s="694"/>
      <c r="P18" s="694"/>
      <c r="Q18" s="694"/>
      <c r="R18" s="695"/>
      <c r="S18" s="693">
        <f t="shared" si="4"/>
        <v>0</v>
      </c>
      <c r="T18" s="694"/>
      <c r="U18" s="694"/>
      <c r="V18" s="694"/>
      <c r="W18" s="694"/>
      <c r="X18" s="694"/>
      <c r="Y18" s="695"/>
      <c r="Z18" s="693">
        <f t="shared" si="5"/>
        <v>0</v>
      </c>
      <c r="AA18" s="694"/>
      <c r="AB18" s="694"/>
      <c r="AC18" s="694"/>
      <c r="AD18" s="694"/>
      <c r="AE18" s="694"/>
      <c r="AF18" s="695"/>
      <c r="AG18" s="693">
        <f t="shared" si="6"/>
        <v>0</v>
      </c>
      <c r="AH18" s="694"/>
      <c r="AI18" s="694"/>
      <c r="AJ18" s="694"/>
      <c r="AK18" s="694"/>
      <c r="AL18" s="694"/>
      <c r="AM18" s="695"/>
      <c r="AN18" s="693">
        <f t="shared" si="7"/>
        <v>0</v>
      </c>
      <c r="AO18" s="694"/>
      <c r="AP18" s="694"/>
      <c r="AQ18" s="694"/>
      <c r="AR18" s="694"/>
      <c r="AS18" s="694"/>
      <c r="AT18" s="695"/>
      <c r="AU18" s="693">
        <f t="shared" si="8"/>
        <v>0</v>
      </c>
      <c r="AV18" s="694"/>
      <c r="AW18" s="694"/>
      <c r="AX18" s="694"/>
      <c r="AY18" s="694"/>
      <c r="AZ18" s="694"/>
      <c r="BA18" s="695"/>
      <c r="BB18" s="693">
        <f t="shared" si="9"/>
        <v>0</v>
      </c>
      <c r="BC18" s="694"/>
      <c r="BD18" s="694"/>
      <c r="BE18" s="694"/>
      <c r="BF18" s="694"/>
      <c r="BG18" s="694"/>
      <c r="BH18" s="695"/>
      <c r="BI18" s="693">
        <f t="shared" si="10"/>
        <v>0</v>
      </c>
      <c r="BJ18" s="694"/>
      <c r="BK18" s="694"/>
      <c r="BL18" s="694"/>
      <c r="BM18" s="694"/>
      <c r="BN18" s="694"/>
      <c r="BO18" s="695"/>
      <c r="BP18" s="693">
        <f t="shared" si="11"/>
        <v>0</v>
      </c>
      <c r="BQ18" s="694"/>
      <c r="BR18" s="694"/>
      <c r="BS18" s="694"/>
      <c r="BT18" s="694"/>
      <c r="BU18" s="694"/>
      <c r="BV18" s="695"/>
      <c r="BW18" s="693">
        <f t="shared" si="12"/>
        <v>0</v>
      </c>
      <c r="BX18" s="694"/>
      <c r="BY18" s="694"/>
      <c r="BZ18" s="694"/>
      <c r="CA18" s="694"/>
      <c r="CB18" s="694"/>
      <c r="CC18" s="695"/>
      <c r="CD18" s="693">
        <f t="shared" si="13"/>
        <v>0</v>
      </c>
      <c r="CE18" s="694"/>
      <c r="CF18" s="694"/>
      <c r="CG18" s="694"/>
      <c r="CH18" s="694"/>
      <c r="CI18" s="694"/>
      <c r="CJ18" s="695"/>
      <c r="CK18" s="693">
        <f t="shared" si="14"/>
        <v>0</v>
      </c>
      <c r="CL18" s="694"/>
      <c r="CM18" s="694"/>
      <c r="CN18" s="694"/>
      <c r="CO18" s="694"/>
      <c r="CP18" s="694"/>
      <c r="CQ18" s="695"/>
      <c r="CR18" s="693">
        <f t="shared" si="15"/>
        <v>0</v>
      </c>
      <c r="CS18" s="694"/>
      <c r="CT18" s="694"/>
      <c r="CU18" s="694"/>
      <c r="CV18" s="694"/>
      <c r="CW18" s="694"/>
      <c r="CX18" s="695"/>
      <c r="CY18" s="693">
        <f t="shared" si="16"/>
        <v>0</v>
      </c>
      <c r="CZ18" s="694"/>
      <c r="DA18" s="694"/>
      <c r="DB18" s="694"/>
      <c r="DC18" s="694"/>
      <c r="DD18" s="694"/>
      <c r="DE18" s="695"/>
      <c r="DF18" s="693">
        <f t="shared" si="17"/>
        <v>0</v>
      </c>
      <c r="DG18" s="694"/>
      <c r="DH18" s="694"/>
      <c r="DI18" s="694"/>
      <c r="DJ18" s="694"/>
      <c r="DK18" s="694"/>
      <c r="DL18" s="698"/>
    </row>
    <row r="19" spans="1:116" ht="38.25">
      <c r="A19" s="1652">
        <v>9</v>
      </c>
      <c r="B19" s="1652">
        <v>3</v>
      </c>
      <c r="C19" s="1679" t="s">
        <v>523</v>
      </c>
      <c r="D19" s="1680">
        <v>200</v>
      </c>
      <c r="E19" s="689">
        <f t="shared" ref="E19:BP19" si="18">SUM(E20:E26)</f>
        <v>0</v>
      </c>
      <c r="F19" s="689">
        <f t="shared" si="18"/>
        <v>0</v>
      </c>
      <c r="G19" s="689">
        <f t="shared" si="18"/>
        <v>0</v>
      </c>
      <c r="H19" s="689">
        <f t="shared" si="18"/>
        <v>0</v>
      </c>
      <c r="I19" s="689">
        <f t="shared" si="18"/>
        <v>0</v>
      </c>
      <c r="J19" s="689">
        <f t="shared" si="18"/>
        <v>0</v>
      </c>
      <c r="K19" s="690">
        <f t="shared" si="18"/>
        <v>0</v>
      </c>
      <c r="L19" s="689">
        <f t="shared" si="18"/>
        <v>0</v>
      </c>
      <c r="M19" s="689">
        <f t="shared" si="18"/>
        <v>0</v>
      </c>
      <c r="N19" s="689">
        <f t="shared" si="18"/>
        <v>0</v>
      </c>
      <c r="O19" s="689">
        <f t="shared" si="18"/>
        <v>0</v>
      </c>
      <c r="P19" s="689">
        <f t="shared" si="18"/>
        <v>0</v>
      </c>
      <c r="Q19" s="689">
        <f t="shared" si="18"/>
        <v>0</v>
      </c>
      <c r="R19" s="690">
        <f t="shared" si="18"/>
        <v>0</v>
      </c>
      <c r="S19" s="689">
        <f t="shared" si="18"/>
        <v>0</v>
      </c>
      <c r="T19" s="689">
        <f t="shared" si="18"/>
        <v>0</v>
      </c>
      <c r="U19" s="689">
        <f t="shared" si="18"/>
        <v>0</v>
      </c>
      <c r="V19" s="689">
        <f t="shared" si="18"/>
        <v>0</v>
      </c>
      <c r="W19" s="689">
        <f t="shared" si="18"/>
        <v>0</v>
      </c>
      <c r="X19" s="689">
        <f t="shared" si="18"/>
        <v>0</v>
      </c>
      <c r="Y19" s="690">
        <f t="shared" si="18"/>
        <v>0</v>
      </c>
      <c r="Z19" s="689">
        <f t="shared" si="18"/>
        <v>0</v>
      </c>
      <c r="AA19" s="689">
        <f t="shared" si="18"/>
        <v>0</v>
      </c>
      <c r="AB19" s="689">
        <f t="shared" si="18"/>
        <v>0</v>
      </c>
      <c r="AC19" s="689">
        <f t="shared" si="18"/>
        <v>0</v>
      </c>
      <c r="AD19" s="689">
        <f t="shared" si="18"/>
        <v>0</v>
      </c>
      <c r="AE19" s="689">
        <f t="shared" si="18"/>
        <v>0</v>
      </c>
      <c r="AF19" s="690">
        <f t="shared" si="18"/>
        <v>0</v>
      </c>
      <c r="AG19" s="689">
        <f t="shared" si="18"/>
        <v>6724.0690000000004</v>
      </c>
      <c r="AH19" s="689">
        <f t="shared" si="18"/>
        <v>0</v>
      </c>
      <c r="AI19" s="689">
        <f t="shared" si="18"/>
        <v>2494.779</v>
      </c>
      <c r="AJ19" s="689">
        <f t="shared" si="18"/>
        <v>4215.41</v>
      </c>
      <c r="AK19" s="689">
        <f t="shared" si="18"/>
        <v>13.88</v>
      </c>
      <c r="AL19" s="689">
        <f t="shared" si="18"/>
        <v>0</v>
      </c>
      <c r="AM19" s="690">
        <f t="shared" si="18"/>
        <v>0</v>
      </c>
      <c r="AN19" s="689">
        <f t="shared" si="18"/>
        <v>47691.441340000012</v>
      </c>
      <c r="AO19" s="689">
        <f t="shared" si="18"/>
        <v>0</v>
      </c>
      <c r="AP19" s="689">
        <f t="shared" si="18"/>
        <v>17193.228070000001</v>
      </c>
      <c r="AQ19" s="689">
        <f t="shared" si="18"/>
        <v>30394.370740000006</v>
      </c>
      <c r="AR19" s="689">
        <f t="shared" si="18"/>
        <v>103.84253</v>
      </c>
      <c r="AS19" s="689">
        <f t="shared" si="18"/>
        <v>0</v>
      </c>
      <c r="AT19" s="690">
        <f t="shared" si="18"/>
        <v>0</v>
      </c>
      <c r="AU19" s="689">
        <f t="shared" si="18"/>
        <v>9.5549999999999997</v>
      </c>
      <c r="AV19" s="689">
        <f t="shared" si="18"/>
        <v>0</v>
      </c>
      <c r="AW19" s="689">
        <f t="shared" si="18"/>
        <v>3.28</v>
      </c>
      <c r="AX19" s="689">
        <f t="shared" si="18"/>
        <v>6.2350000000000003</v>
      </c>
      <c r="AY19" s="689">
        <f t="shared" si="18"/>
        <v>0.04</v>
      </c>
      <c r="AZ19" s="689">
        <f t="shared" si="18"/>
        <v>0</v>
      </c>
      <c r="BA19" s="690">
        <f t="shared" si="18"/>
        <v>0</v>
      </c>
      <c r="BB19" s="689">
        <f t="shared" si="18"/>
        <v>11536.08747</v>
      </c>
      <c r="BC19" s="689">
        <f t="shared" si="18"/>
        <v>0</v>
      </c>
      <c r="BD19" s="689">
        <f t="shared" si="18"/>
        <v>3960.05933</v>
      </c>
      <c r="BE19" s="689">
        <f t="shared" si="18"/>
        <v>7527.7347300000001</v>
      </c>
      <c r="BF19" s="689">
        <f t="shared" si="18"/>
        <v>48.293410000000002</v>
      </c>
      <c r="BG19" s="689">
        <f t="shared" si="18"/>
        <v>0</v>
      </c>
      <c r="BH19" s="690">
        <f t="shared" si="18"/>
        <v>0</v>
      </c>
      <c r="BI19" s="689">
        <f t="shared" si="18"/>
        <v>2480.12</v>
      </c>
      <c r="BJ19" s="689">
        <f t="shared" si="18"/>
        <v>0</v>
      </c>
      <c r="BK19" s="689">
        <f t="shared" si="18"/>
        <v>0</v>
      </c>
      <c r="BL19" s="689">
        <f t="shared" si="18"/>
        <v>14.5</v>
      </c>
      <c r="BM19" s="689">
        <f t="shared" si="18"/>
        <v>2465.62</v>
      </c>
      <c r="BN19" s="689">
        <f t="shared" si="18"/>
        <v>0</v>
      </c>
      <c r="BO19" s="690">
        <f t="shared" si="18"/>
        <v>0</v>
      </c>
      <c r="BP19" s="689">
        <f t="shared" si="18"/>
        <v>8894.0103499999987</v>
      </c>
      <c r="BQ19" s="689">
        <f t="shared" ref="BQ19:DL19" si="19">SUM(BQ20:BQ26)</f>
        <v>0</v>
      </c>
      <c r="BR19" s="689">
        <f t="shared" si="19"/>
        <v>0</v>
      </c>
      <c r="BS19" s="689">
        <f t="shared" si="19"/>
        <v>45.351800000000004</v>
      </c>
      <c r="BT19" s="689">
        <f t="shared" si="19"/>
        <v>8848.6585499999983</v>
      </c>
      <c r="BU19" s="689">
        <f t="shared" si="19"/>
        <v>0</v>
      </c>
      <c r="BV19" s="690">
        <f t="shared" si="19"/>
        <v>0</v>
      </c>
      <c r="BW19" s="689">
        <f t="shared" si="19"/>
        <v>4.0810000000000004</v>
      </c>
      <c r="BX19" s="689">
        <f t="shared" si="19"/>
        <v>0</v>
      </c>
      <c r="BY19" s="689">
        <f t="shared" si="19"/>
        <v>0</v>
      </c>
      <c r="BZ19" s="689">
        <f t="shared" si="19"/>
        <v>2.7E-2</v>
      </c>
      <c r="CA19" s="689">
        <f t="shared" si="19"/>
        <v>4.0540000000000003</v>
      </c>
      <c r="CB19" s="689">
        <f t="shared" si="19"/>
        <v>0</v>
      </c>
      <c r="CC19" s="690">
        <f t="shared" si="19"/>
        <v>0</v>
      </c>
      <c r="CD19" s="689">
        <f t="shared" si="19"/>
        <v>4927.1347800000003</v>
      </c>
      <c r="CE19" s="689">
        <f t="shared" si="19"/>
        <v>0</v>
      </c>
      <c r="CF19" s="689">
        <f t="shared" si="19"/>
        <v>0</v>
      </c>
      <c r="CG19" s="689">
        <f t="shared" si="19"/>
        <v>32.598050000000001</v>
      </c>
      <c r="CH19" s="689">
        <f t="shared" si="19"/>
        <v>4894.5367300000007</v>
      </c>
      <c r="CI19" s="689">
        <f t="shared" si="19"/>
        <v>0</v>
      </c>
      <c r="CJ19" s="690">
        <f t="shared" si="19"/>
        <v>0</v>
      </c>
      <c r="CK19" s="689">
        <f t="shared" si="19"/>
        <v>4.6559999999999997</v>
      </c>
      <c r="CL19" s="689">
        <f t="shared" si="19"/>
        <v>0</v>
      </c>
      <c r="CM19" s="689">
        <f t="shared" si="19"/>
        <v>0</v>
      </c>
      <c r="CN19" s="689">
        <f t="shared" si="19"/>
        <v>3.4000000000000002E-2</v>
      </c>
      <c r="CO19" s="689">
        <f t="shared" si="19"/>
        <v>4.6219999999999999</v>
      </c>
      <c r="CP19" s="689">
        <f t="shared" si="19"/>
        <v>0</v>
      </c>
      <c r="CQ19" s="690">
        <f t="shared" si="19"/>
        <v>0</v>
      </c>
      <c r="CR19" s="689">
        <f t="shared" si="19"/>
        <v>4836.4143400000003</v>
      </c>
      <c r="CS19" s="689">
        <f t="shared" si="19"/>
        <v>0</v>
      </c>
      <c r="CT19" s="689">
        <f t="shared" si="19"/>
        <v>0</v>
      </c>
      <c r="CU19" s="689">
        <f t="shared" si="19"/>
        <v>95.170850000000002</v>
      </c>
      <c r="CV19" s="689">
        <f t="shared" si="19"/>
        <v>4741.2434899999998</v>
      </c>
      <c r="CW19" s="689">
        <f t="shared" si="19"/>
        <v>0</v>
      </c>
      <c r="CX19" s="690">
        <f t="shared" si="19"/>
        <v>0</v>
      </c>
      <c r="CY19" s="689">
        <f t="shared" si="19"/>
        <v>0</v>
      </c>
      <c r="CZ19" s="689">
        <f t="shared" si="19"/>
        <v>0</v>
      </c>
      <c r="DA19" s="689">
        <f t="shared" si="19"/>
        <v>0</v>
      </c>
      <c r="DB19" s="689">
        <f t="shared" si="19"/>
        <v>0</v>
      </c>
      <c r="DC19" s="689">
        <f t="shared" si="19"/>
        <v>0</v>
      </c>
      <c r="DD19" s="689">
        <f t="shared" si="19"/>
        <v>0</v>
      </c>
      <c r="DE19" s="690">
        <f t="shared" si="19"/>
        <v>0</v>
      </c>
      <c r="DF19" s="689">
        <f t="shared" si="19"/>
        <v>0</v>
      </c>
      <c r="DG19" s="689">
        <f t="shared" si="19"/>
        <v>0</v>
      </c>
      <c r="DH19" s="689">
        <f t="shared" si="19"/>
        <v>0</v>
      </c>
      <c r="DI19" s="689">
        <f t="shared" si="19"/>
        <v>0</v>
      </c>
      <c r="DJ19" s="689">
        <f t="shared" si="19"/>
        <v>0</v>
      </c>
      <c r="DK19" s="689">
        <f t="shared" si="19"/>
        <v>0</v>
      </c>
      <c r="DL19" s="699">
        <f t="shared" si="19"/>
        <v>0</v>
      </c>
    </row>
    <row r="20" spans="1:116">
      <c r="A20" s="1652">
        <v>1</v>
      </c>
      <c r="B20" s="1652">
        <v>3</v>
      </c>
      <c r="C20" s="1681" t="s">
        <v>516</v>
      </c>
      <c r="D20" s="1660">
        <v>211</v>
      </c>
      <c r="E20" s="693">
        <f>SUM(F20:K20)</f>
        <v>0</v>
      </c>
      <c r="F20" s="694"/>
      <c r="G20" s="694"/>
      <c r="H20" s="694"/>
      <c r="I20" s="694"/>
      <c r="J20" s="694"/>
      <c r="K20" s="695"/>
      <c r="L20" s="693">
        <f>SUM(M20:R20)</f>
        <v>0</v>
      </c>
      <c r="M20" s="694"/>
      <c r="N20" s="694"/>
      <c r="O20" s="694"/>
      <c r="P20" s="694"/>
      <c r="Q20" s="694"/>
      <c r="R20" s="695"/>
      <c r="S20" s="693">
        <f>SUM(T20:Y20)</f>
        <v>0</v>
      </c>
      <c r="T20" s="694"/>
      <c r="U20" s="694"/>
      <c r="V20" s="694"/>
      <c r="W20" s="694"/>
      <c r="X20" s="694"/>
      <c r="Y20" s="695"/>
      <c r="Z20" s="693">
        <f>SUM(AA20:AF20)</f>
        <v>0</v>
      </c>
      <c r="AA20" s="694"/>
      <c r="AB20" s="694"/>
      <c r="AC20" s="694"/>
      <c r="AD20" s="694"/>
      <c r="AE20" s="694"/>
      <c r="AF20" s="695"/>
      <c r="AG20" s="693">
        <f>SUM(AH20:AM20)</f>
        <v>6724.0690000000004</v>
      </c>
      <c r="AH20" s="694"/>
      <c r="AI20" s="694">
        <f>'Раздел 2А'!AJ26</f>
        <v>2494.779</v>
      </c>
      <c r="AJ20" s="694">
        <f>'Раздел 2А'!AK26</f>
        <v>4215.41</v>
      </c>
      <c r="AK20" s="694">
        <f>'Раздел 2А'!AL26</f>
        <v>13.88</v>
      </c>
      <c r="AL20" s="694"/>
      <c r="AM20" s="695"/>
      <c r="AN20" s="693">
        <f>SUM(AO20:AT20)</f>
        <v>47691.441340000012</v>
      </c>
      <c r="AO20" s="694"/>
      <c r="AP20" s="694">
        <f>'Раздел 2А'!AQ26</f>
        <v>17193.228070000001</v>
      </c>
      <c r="AQ20" s="694">
        <f>'Раздел 2А'!AR26</f>
        <v>30394.370740000006</v>
      </c>
      <c r="AR20" s="694">
        <f>'Раздел 2А'!AS26</f>
        <v>103.84253</v>
      </c>
      <c r="AS20" s="694"/>
      <c r="AT20" s="695"/>
      <c r="AU20" s="693">
        <f>SUM(AV20:BA20)</f>
        <v>9.5549999999999997</v>
      </c>
      <c r="AV20" s="694"/>
      <c r="AW20" s="694">
        <f>'Раздел 2А'!AX26</f>
        <v>3.28</v>
      </c>
      <c r="AX20" s="694">
        <f>'Раздел 2А'!AY26</f>
        <v>6.2350000000000003</v>
      </c>
      <c r="AY20" s="694">
        <f>'Раздел 2А'!AZ26</f>
        <v>0.04</v>
      </c>
      <c r="AZ20" s="694"/>
      <c r="BA20" s="695"/>
      <c r="BB20" s="693">
        <f>SUM(BC20:BH20)</f>
        <v>11536.08747</v>
      </c>
      <c r="BC20" s="694"/>
      <c r="BD20" s="694">
        <f>'Раздел 2А'!BE26</f>
        <v>3960.05933</v>
      </c>
      <c r="BE20" s="694">
        <f>'Раздел 2А'!BF26</f>
        <v>7527.7347300000001</v>
      </c>
      <c r="BF20" s="694">
        <f>'Раздел 2А'!BG26</f>
        <v>48.293410000000002</v>
      </c>
      <c r="BG20" s="694"/>
      <c r="BH20" s="695"/>
      <c r="BI20" s="693">
        <f>SUM(BJ20:BO20)</f>
        <v>2480.12</v>
      </c>
      <c r="BJ20" s="694"/>
      <c r="BK20" s="694"/>
      <c r="BL20" s="694">
        <f>'Раздел 2А'!BM26</f>
        <v>14.5</v>
      </c>
      <c r="BM20" s="694">
        <f>'Раздел 2А'!BN26</f>
        <v>2465.62</v>
      </c>
      <c r="BN20" s="694"/>
      <c r="BO20" s="695"/>
      <c r="BP20" s="693">
        <f>SUM(BQ20:BV20)</f>
        <v>8894.0103499999987</v>
      </c>
      <c r="BQ20" s="694"/>
      <c r="BR20" s="694"/>
      <c r="BS20" s="694">
        <f>'Раздел 2А'!BT26</f>
        <v>45.351800000000004</v>
      </c>
      <c r="BT20" s="694">
        <f>'Раздел 2А'!BU26</f>
        <v>8848.6585499999983</v>
      </c>
      <c r="BU20" s="694"/>
      <c r="BV20" s="695"/>
      <c r="BW20" s="693">
        <f>SUM(BX20:CC20)</f>
        <v>4.0810000000000004</v>
      </c>
      <c r="BX20" s="694"/>
      <c r="BY20" s="694"/>
      <c r="BZ20" s="694">
        <f>'Раздел 2А'!CA26</f>
        <v>2.7E-2</v>
      </c>
      <c r="CA20" s="694">
        <f>'Раздел 2А'!CB26</f>
        <v>4.0540000000000003</v>
      </c>
      <c r="CB20" s="694"/>
      <c r="CC20" s="695"/>
      <c r="CD20" s="693">
        <f>SUM(CE20:CJ20)</f>
        <v>4927.1347800000003</v>
      </c>
      <c r="CE20" s="694"/>
      <c r="CF20" s="694"/>
      <c r="CG20" s="694">
        <f>'Раздел 2А'!CH26</f>
        <v>32.598050000000001</v>
      </c>
      <c r="CH20" s="694">
        <f>'Раздел 2А'!CI26</f>
        <v>4894.5367300000007</v>
      </c>
      <c r="CI20" s="694"/>
      <c r="CJ20" s="695"/>
      <c r="CK20" s="693">
        <f>SUM(CL20:CQ20)</f>
        <v>4.6559999999999997</v>
      </c>
      <c r="CL20" s="694"/>
      <c r="CM20" s="694"/>
      <c r="CN20" s="694">
        <f>'Раздел 2А'!CO26</f>
        <v>3.4000000000000002E-2</v>
      </c>
      <c r="CO20" s="694">
        <f>'Раздел 2А'!CP26</f>
        <v>4.6219999999999999</v>
      </c>
      <c r="CP20" s="694"/>
      <c r="CQ20" s="695"/>
      <c r="CR20" s="693">
        <f>SUM(CS20:CX20)</f>
        <v>4836.4143400000003</v>
      </c>
      <c r="CS20" s="694"/>
      <c r="CT20" s="694"/>
      <c r="CU20" s="694">
        <f>'Раздел 2А'!CV26</f>
        <v>95.170850000000002</v>
      </c>
      <c r="CV20" s="694">
        <f>'Раздел 2А'!CW26</f>
        <v>4741.2434899999998</v>
      </c>
      <c r="CW20" s="694"/>
      <c r="CX20" s="695"/>
      <c r="CY20" s="693">
        <f>SUM(CZ20:DE20)</f>
        <v>0</v>
      </c>
      <c r="CZ20" s="694"/>
      <c r="DA20" s="694"/>
      <c r="DB20" s="694"/>
      <c r="DC20" s="694"/>
      <c r="DD20" s="694"/>
      <c r="DE20" s="695"/>
      <c r="DF20" s="693">
        <f>SUM(DG20:DL20)</f>
        <v>0</v>
      </c>
      <c r="DG20" s="694"/>
      <c r="DH20" s="694"/>
      <c r="DI20" s="694"/>
      <c r="DJ20" s="694"/>
      <c r="DK20" s="694"/>
      <c r="DL20" s="698"/>
    </row>
    <row r="21" spans="1:116" ht="25.5">
      <c r="A21" s="1652">
        <v>2</v>
      </c>
      <c r="B21" s="1652">
        <v>3</v>
      </c>
      <c r="C21" s="1681" t="s">
        <v>517</v>
      </c>
      <c r="D21" s="1660">
        <v>221</v>
      </c>
      <c r="E21" s="693">
        <f t="shared" ref="E21:E26" si="20">SUM(F21:K21)</f>
        <v>0</v>
      </c>
      <c r="F21" s="694"/>
      <c r="G21" s="694"/>
      <c r="H21" s="694"/>
      <c r="I21" s="694"/>
      <c r="J21" s="694"/>
      <c r="K21" s="695"/>
      <c r="L21" s="693">
        <f t="shared" ref="L21:L26" si="21">SUM(M21:R21)</f>
        <v>0</v>
      </c>
      <c r="M21" s="694"/>
      <c r="N21" s="694"/>
      <c r="O21" s="694"/>
      <c r="P21" s="694"/>
      <c r="Q21" s="694"/>
      <c r="R21" s="695"/>
      <c r="S21" s="693">
        <f t="shared" ref="S21:S26" si="22">SUM(T21:Y21)</f>
        <v>0</v>
      </c>
      <c r="T21" s="694"/>
      <c r="U21" s="694"/>
      <c r="V21" s="694"/>
      <c r="W21" s="694"/>
      <c r="X21" s="694"/>
      <c r="Y21" s="695"/>
      <c r="Z21" s="693">
        <f t="shared" ref="Z21:Z26" si="23">SUM(AA21:AF21)</f>
        <v>0</v>
      </c>
      <c r="AA21" s="694"/>
      <c r="AB21" s="694"/>
      <c r="AC21" s="694"/>
      <c r="AD21" s="694"/>
      <c r="AE21" s="694"/>
      <c r="AF21" s="695"/>
      <c r="AG21" s="693">
        <f t="shared" ref="AG21:AG26" si="24">SUM(AH21:AM21)</f>
        <v>0</v>
      </c>
      <c r="AH21" s="694"/>
      <c r="AI21" s="694"/>
      <c r="AJ21" s="694"/>
      <c r="AK21" s="694"/>
      <c r="AL21" s="694"/>
      <c r="AM21" s="695"/>
      <c r="AN21" s="693">
        <f t="shared" ref="AN21:AN26" si="25">SUM(AO21:AT21)</f>
        <v>0</v>
      </c>
      <c r="AO21" s="694"/>
      <c r="AP21" s="694"/>
      <c r="AQ21" s="694"/>
      <c r="AR21" s="694"/>
      <c r="AS21" s="694"/>
      <c r="AT21" s="695"/>
      <c r="AU21" s="693">
        <f t="shared" ref="AU21:AU26" si="26">SUM(AV21:BA21)</f>
        <v>0</v>
      </c>
      <c r="AV21" s="694"/>
      <c r="AW21" s="694"/>
      <c r="AX21" s="694"/>
      <c r="AY21" s="694"/>
      <c r="AZ21" s="694"/>
      <c r="BA21" s="695"/>
      <c r="BB21" s="693">
        <f t="shared" ref="BB21:BB26" si="27">SUM(BC21:BH21)</f>
        <v>0</v>
      </c>
      <c r="BC21" s="694"/>
      <c r="BD21" s="694"/>
      <c r="BE21" s="694"/>
      <c r="BF21" s="694"/>
      <c r="BG21" s="694"/>
      <c r="BH21" s="695"/>
      <c r="BI21" s="693">
        <f t="shared" ref="BI21:BI26" si="28">SUM(BJ21:BO21)</f>
        <v>0</v>
      </c>
      <c r="BJ21" s="694"/>
      <c r="BK21" s="694"/>
      <c r="BL21" s="694"/>
      <c r="BM21" s="694"/>
      <c r="BN21" s="694"/>
      <c r="BO21" s="695"/>
      <c r="BP21" s="693">
        <f t="shared" ref="BP21:BP26" si="29">SUM(BQ21:BV21)</f>
        <v>0</v>
      </c>
      <c r="BQ21" s="694"/>
      <c r="BR21" s="694"/>
      <c r="BS21" s="694"/>
      <c r="BT21" s="694"/>
      <c r="BU21" s="694"/>
      <c r="BV21" s="695"/>
      <c r="BW21" s="693">
        <f t="shared" ref="BW21:BW26" si="30">SUM(BX21:CC21)</f>
        <v>0</v>
      </c>
      <c r="BX21" s="694"/>
      <c r="BY21" s="694"/>
      <c r="BZ21" s="694"/>
      <c r="CA21" s="694"/>
      <c r="CB21" s="694"/>
      <c r="CC21" s="695"/>
      <c r="CD21" s="693">
        <f t="shared" ref="CD21:CD26" si="31">SUM(CE21:CJ21)</f>
        <v>0</v>
      </c>
      <c r="CE21" s="694"/>
      <c r="CF21" s="694"/>
      <c r="CG21" s="694"/>
      <c r="CH21" s="694"/>
      <c r="CI21" s="694"/>
      <c r="CJ21" s="695"/>
      <c r="CK21" s="693">
        <f t="shared" ref="CK21:CK26" si="32">SUM(CL21:CQ21)</f>
        <v>0</v>
      </c>
      <c r="CL21" s="694"/>
      <c r="CM21" s="694"/>
      <c r="CN21" s="694"/>
      <c r="CO21" s="694"/>
      <c r="CP21" s="694"/>
      <c r="CQ21" s="695"/>
      <c r="CR21" s="693">
        <f t="shared" ref="CR21:CR26" si="33">SUM(CS21:CX21)</f>
        <v>0</v>
      </c>
      <c r="CS21" s="694"/>
      <c r="CT21" s="694"/>
      <c r="CU21" s="694"/>
      <c r="CV21" s="694"/>
      <c r="CW21" s="694"/>
      <c r="CX21" s="695"/>
      <c r="CY21" s="693">
        <f t="shared" ref="CY21:CY26" si="34">SUM(CZ21:DE21)</f>
        <v>0</v>
      </c>
      <c r="CZ21" s="694"/>
      <c r="DA21" s="694"/>
      <c r="DB21" s="694"/>
      <c r="DC21" s="694"/>
      <c r="DD21" s="694"/>
      <c r="DE21" s="695"/>
      <c r="DF21" s="693">
        <f t="shared" ref="DF21:DF26" si="35">SUM(DG21:DL21)</f>
        <v>0</v>
      </c>
      <c r="DG21" s="694"/>
      <c r="DH21" s="694"/>
      <c r="DI21" s="694"/>
      <c r="DJ21" s="694"/>
      <c r="DK21" s="694"/>
      <c r="DL21" s="698"/>
    </row>
    <row r="22" spans="1:116">
      <c r="A22" s="1652">
        <v>3</v>
      </c>
      <c r="B22" s="1652">
        <v>3</v>
      </c>
      <c r="C22" s="1681" t="s">
        <v>518</v>
      </c>
      <c r="D22" s="1660">
        <v>231</v>
      </c>
      <c r="E22" s="693">
        <f t="shared" si="20"/>
        <v>0</v>
      </c>
      <c r="F22" s="694"/>
      <c r="G22" s="694"/>
      <c r="H22" s="694"/>
      <c r="I22" s="694"/>
      <c r="J22" s="694"/>
      <c r="K22" s="695"/>
      <c r="L22" s="693">
        <f t="shared" si="21"/>
        <v>0</v>
      </c>
      <c r="M22" s="694"/>
      <c r="N22" s="694"/>
      <c r="O22" s="694"/>
      <c r="P22" s="694"/>
      <c r="Q22" s="694"/>
      <c r="R22" s="695"/>
      <c r="S22" s="693">
        <f t="shared" si="22"/>
        <v>0</v>
      </c>
      <c r="T22" s="694"/>
      <c r="U22" s="694"/>
      <c r="V22" s="694"/>
      <c r="W22" s="694"/>
      <c r="X22" s="694"/>
      <c r="Y22" s="695"/>
      <c r="Z22" s="693">
        <f t="shared" si="23"/>
        <v>0</v>
      </c>
      <c r="AA22" s="694"/>
      <c r="AB22" s="694"/>
      <c r="AC22" s="694"/>
      <c r="AD22" s="694"/>
      <c r="AE22" s="694"/>
      <c r="AF22" s="695"/>
      <c r="AG22" s="693">
        <f t="shared" si="24"/>
        <v>0</v>
      </c>
      <c r="AH22" s="694"/>
      <c r="AI22" s="694"/>
      <c r="AJ22" s="694"/>
      <c r="AK22" s="694"/>
      <c r="AL22" s="694"/>
      <c r="AM22" s="695"/>
      <c r="AN22" s="693">
        <f t="shared" si="25"/>
        <v>0</v>
      </c>
      <c r="AO22" s="694"/>
      <c r="AP22" s="694"/>
      <c r="AQ22" s="694"/>
      <c r="AR22" s="694"/>
      <c r="AS22" s="694"/>
      <c r="AT22" s="695"/>
      <c r="AU22" s="693">
        <f t="shared" si="26"/>
        <v>0</v>
      </c>
      <c r="AV22" s="694"/>
      <c r="AW22" s="694"/>
      <c r="AX22" s="694"/>
      <c r="AY22" s="694"/>
      <c r="AZ22" s="694"/>
      <c r="BA22" s="695"/>
      <c r="BB22" s="693">
        <f t="shared" si="27"/>
        <v>0</v>
      </c>
      <c r="BC22" s="694"/>
      <c r="BD22" s="694"/>
      <c r="BE22" s="694"/>
      <c r="BF22" s="694"/>
      <c r="BG22" s="694"/>
      <c r="BH22" s="695"/>
      <c r="BI22" s="693">
        <f t="shared" si="28"/>
        <v>0</v>
      </c>
      <c r="BJ22" s="694"/>
      <c r="BK22" s="694"/>
      <c r="BL22" s="694"/>
      <c r="BM22" s="694"/>
      <c r="BN22" s="694"/>
      <c r="BO22" s="695"/>
      <c r="BP22" s="693">
        <f t="shared" si="29"/>
        <v>0</v>
      </c>
      <c r="BQ22" s="694"/>
      <c r="BR22" s="694"/>
      <c r="BS22" s="694"/>
      <c r="BT22" s="694"/>
      <c r="BU22" s="694"/>
      <c r="BV22" s="695"/>
      <c r="BW22" s="693">
        <f t="shared" si="30"/>
        <v>0</v>
      </c>
      <c r="BX22" s="694"/>
      <c r="BY22" s="694"/>
      <c r="BZ22" s="694"/>
      <c r="CA22" s="694"/>
      <c r="CB22" s="694"/>
      <c r="CC22" s="695"/>
      <c r="CD22" s="693">
        <f t="shared" si="31"/>
        <v>0</v>
      </c>
      <c r="CE22" s="694"/>
      <c r="CF22" s="694"/>
      <c r="CG22" s="694"/>
      <c r="CH22" s="694"/>
      <c r="CI22" s="694"/>
      <c r="CJ22" s="695"/>
      <c r="CK22" s="693">
        <f t="shared" si="32"/>
        <v>0</v>
      </c>
      <c r="CL22" s="694"/>
      <c r="CM22" s="694"/>
      <c r="CN22" s="694"/>
      <c r="CO22" s="694"/>
      <c r="CP22" s="694"/>
      <c r="CQ22" s="695"/>
      <c r="CR22" s="693">
        <f t="shared" si="33"/>
        <v>0</v>
      </c>
      <c r="CS22" s="694"/>
      <c r="CT22" s="694"/>
      <c r="CU22" s="694"/>
      <c r="CV22" s="694"/>
      <c r="CW22" s="694"/>
      <c r="CX22" s="695"/>
      <c r="CY22" s="693">
        <f t="shared" si="34"/>
        <v>0</v>
      </c>
      <c r="CZ22" s="694"/>
      <c r="DA22" s="694"/>
      <c r="DB22" s="694"/>
      <c r="DC22" s="694"/>
      <c r="DD22" s="694"/>
      <c r="DE22" s="695"/>
      <c r="DF22" s="693">
        <f t="shared" si="35"/>
        <v>0</v>
      </c>
      <c r="DG22" s="694"/>
      <c r="DH22" s="694"/>
      <c r="DI22" s="694"/>
      <c r="DJ22" s="694"/>
      <c r="DK22" s="694"/>
      <c r="DL22" s="698"/>
    </row>
    <row r="23" spans="1:116">
      <c r="A23" s="1652">
        <v>4</v>
      </c>
      <c r="B23" s="1652">
        <v>3</v>
      </c>
      <c r="C23" s="1681" t="s">
        <v>519</v>
      </c>
      <c r="D23" s="1660">
        <v>241</v>
      </c>
      <c r="E23" s="693">
        <f t="shared" si="20"/>
        <v>0</v>
      </c>
      <c r="F23" s="694"/>
      <c r="G23" s="694"/>
      <c r="H23" s="694"/>
      <c r="I23" s="694"/>
      <c r="J23" s="694"/>
      <c r="K23" s="695"/>
      <c r="L23" s="693">
        <f t="shared" si="21"/>
        <v>0</v>
      </c>
      <c r="M23" s="694"/>
      <c r="N23" s="694"/>
      <c r="O23" s="694"/>
      <c r="P23" s="694"/>
      <c r="Q23" s="694"/>
      <c r="R23" s="695"/>
      <c r="S23" s="693">
        <f t="shared" si="22"/>
        <v>0</v>
      </c>
      <c r="T23" s="694"/>
      <c r="U23" s="694"/>
      <c r="V23" s="694"/>
      <c r="W23" s="694"/>
      <c r="X23" s="694"/>
      <c r="Y23" s="695"/>
      <c r="Z23" s="693">
        <f t="shared" si="23"/>
        <v>0</v>
      </c>
      <c r="AA23" s="694"/>
      <c r="AB23" s="694"/>
      <c r="AC23" s="694"/>
      <c r="AD23" s="694"/>
      <c r="AE23" s="694"/>
      <c r="AF23" s="695"/>
      <c r="AG23" s="693">
        <f t="shared" si="24"/>
        <v>0</v>
      </c>
      <c r="AH23" s="694"/>
      <c r="AI23" s="694"/>
      <c r="AJ23" s="694"/>
      <c r="AK23" s="694"/>
      <c r="AL23" s="694"/>
      <c r="AM23" s="695"/>
      <c r="AN23" s="693">
        <f t="shared" si="25"/>
        <v>0</v>
      </c>
      <c r="AO23" s="694"/>
      <c r="AP23" s="694"/>
      <c r="AQ23" s="694"/>
      <c r="AR23" s="694"/>
      <c r="AS23" s="694"/>
      <c r="AT23" s="695"/>
      <c r="AU23" s="693">
        <f t="shared" si="26"/>
        <v>0</v>
      </c>
      <c r="AV23" s="694"/>
      <c r="AW23" s="694"/>
      <c r="AX23" s="694"/>
      <c r="AY23" s="694"/>
      <c r="AZ23" s="694"/>
      <c r="BA23" s="695"/>
      <c r="BB23" s="693">
        <f t="shared" si="27"/>
        <v>0</v>
      </c>
      <c r="BC23" s="694"/>
      <c r="BD23" s="694"/>
      <c r="BE23" s="694"/>
      <c r="BF23" s="694"/>
      <c r="BG23" s="694"/>
      <c r="BH23" s="695"/>
      <c r="BI23" s="693">
        <f t="shared" si="28"/>
        <v>0</v>
      </c>
      <c r="BJ23" s="694"/>
      <c r="BK23" s="694"/>
      <c r="BL23" s="694"/>
      <c r="BM23" s="694"/>
      <c r="BN23" s="694"/>
      <c r="BO23" s="695"/>
      <c r="BP23" s="693">
        <f t="shared" si="29"/>
        <v>0</v>
      </c>
      <c r="BQ23" s="694"/>
      <c r="BR23" s="694"/>
      <c r="BS23" s="694"/>
      <c r="BT23" s="694"/>
      <c r="BU23" s="694"/>
      <c r="BV23" s="695"/>
      <c r="BW23" s="693">
        <f t="shared" si="30"/>
        <v>0</v>
      </c>
      <c r="BX23" s="694"/>
      <c r="BY23" s="694"/>
      <c r="BZ23" s="694"/>
      <c r="CA23" s="694"/>
      <c r="CB23" s="694"/>
      <c r="CC23" s="695"/>
      <c r="CD23" s="693">
        <f t="shared" si="31"/>
        <v>0</v>
      </c>
      <c r="CE23" s="694"/>
      <c r="CF23" s="694"/>
      <c r="CG23" s="694"/>
      <c r="CH23" s="694"/>
      <c r="CI23" s="694"/>
      <c r="CJ23" s="695"/>
      <c r="CK23" s="693">
        <f t="shared" si="32"/>
        <v>0</v>
      </c>
      <c r="CL23" s="694"/>
      <c r="CM23" s="694"/>
      <c r="CN23" s="694"/>
      <c r="CO23" s="694"/>
      <c r="CP23" s="694"/>
      <c r="CQ23" s="695"/>
      <c r="CR23" s="693">
        <f t="shared" si="33"/>
        <v>0</v>
      </c>
      <c r="CS23" s="694"/>
      <c r="CT23" s="694"/>
      <c r="CU23" s="694"/>
      <c r="CV23" s="694"/>
      <c r="CW23" s="694"/>
      <c r="CX23" s="695"/>
      <c r="CY23" s="693">
        <f t="shared" si="34"/>
        <v>0</v>
      </c>
      <c r="CZ23" s="694"/>
      <c r="DA23" s="694"/>
      <c r="DB23" s="694"/>
      <c r="DC23" s="694"/>
      <c r="DD23" s="694"/>
      <c r="DE23" s="695"/>
      <c r="DF23" s="693">
        <f t="shared" si="35"/>
        <v>0</v>
      </c>
      <c r="DG23" s="694"/>
      <c r="DH23" s="694"/>
      <c r="DI23" s="694"/>
      <c r="DJ23" s="694"/>
      <c r="DK23" s="694"/>
      <c r="DL23" s="698"/>
    </row>
    <row r="24" spans="1:116">
      <c r="A24" s="1652">
        <v>5</v>
      </c>
      <c r="B24" s="1652">
        <v>3</v>
      </c>
      <c r="C24" s="1681" t="s">
        <v>631</v>
      </c>
      <c r="D24" s="1660">
        <v>251</v>
      </c>
      <c r="E24" s="693">
        <f t="shared" si="20"/>
        <v>0</v>
      </c>
      <c r="F24" s="694"/>
      <c r="G24" s="694"/>
      <c r="H24" s="694"/>
      <c r="I24" s="694"/>
      <c r="J24" s="694"/>
      <c r="K24" s="695"/>
      <c r="L24" s="693">
        <f t="shared" si="21"/>
        <v>0</v>
      </c>
      <c r="M24" s="694"/>
      <c r="N24" s="694"/>
      <c r="O24" s="694"/>
      <c r="P24" s="694"/>
      <c r="Q24" s="694"/>
      <c r="R24" s="695"/>
      <c r="S24" s="693">
        <f t="shared" si="22"/>
        <v>0</v>
      </c>
      <c r="T24" s="694"/>
      <c r="U24" s="694"/>
      <c r="V24" s="694"/>
      <c r="W24" s="694"/>
      <c r="X24" s="694"/>
      <c r="Y24" s="695"/>
      <c r="Z24" s="693">
        <f t="shared" si="23"/>
        <v>0</v>
      </c>
      <c r="AA24" s="694"/>
      <c r="AB24" s="694"/>
      <c r="AC24" s="694"/>
      <c r="AD24" s="694"/>
      <c r="AE24" s="694"/>
      <c r="AF24" s="695"/>
      <c r="AG24" s="693">
        <f t="shared" si="24"/>
        <v>0</v>
      </c>
      <c r="AH24" s="694"/>
      <c r="AI24" s="694"/>
      <c r="AJ24" s="694"/>
      <c r="AK24" s="694"/>
      <c r="AL24" s="694"/>
      <c r="AM24" s="695"/>
      <c r="AN24" s="693">
        <f t="shared" si="25"/>
        <v>0</v>
      </c>
      <c r="AO24" s="694"/>
      <c r="AP24" s="694"/>
      <c r="AQ24" s="694"/>
      <c r="AR24" s="694"/>
      <c r="AS24" s="694"/>
      <c r="AT24" s="695"/>
      <c r="AU24" s="693">
        <f t="shared" si="26"/>
        <v>0</v>
      </c>
      <c r="AV24" s="694"/>
      <c r="AW24" s="694"/>
      <c r="AX24" s="694"/>
      <c r="AY24" s="694"/>
      <c r="AZ24" s="694"/>
      <c r="BA24" s="695"/>
      <c r="BB24" s="693">
        <f t="shared" si="27"/>
        <v>0</v>
      </c>
      <c r="BC24" s="694"/>
      <c r="BD24" s="694"/>
      <c r="BE24" s="694"/>
      <c r="BF24" s="694"/>
      <c r="BG24" s="694"/>
      <c r="BH24" s="695"/>
      <c r="BI24" s="693">
        <f t="shared" si="28"/>
        <v>0</v>
      </c>
      <c r="BJ24" s="694"/>
      <c r="BK24" s="694"/>
      <c r="BL24" s="694"/>
      <c r="BM24" s="694"/>
      <c r="BN24" s="694"/>
      <c r="BO24" s="695"/>
      <c r="BP24" s="693">
        <f t="shared" si="29"/>
        <v>0</v>
      </c>
      <c r="BQ24" s="694"/>
      <c r="BR24" s="694"/>
      <c r="BS24" s="694"/>
      <c r="BT24" s="694"/>
      <c r="BU24" s="694"/>
      <c r="BV24" s="695"/>
      <c r="BW24" s="693">
        <f t="shared" si="30"/>
        <v>0</v>
      </c>
      <c r="BX24" s="694"/>
      <c r="BY24" s="694"/>
      <c r="BZ24" s="694"/>
      <c r="CA24" s="694"/>
      <c r="CB24" s="694"/>
      <c r="CC24" s="695"/>
      <c r="CD24" s="693">
        <f t="shared" si="31"/>
        <v>0</v>
      </c>
      <c r="CE24" s="694"/>
      <c r="CF24" s="694"/>
      <c r="CG24" s="694"/>
      <c r="CH24" s="694"/>
      <c r="CI24" s="694"/>
      <c r="CJ24" s="695"/>
      <c r="CK24" s="693">
        <f t="shared" si="32"/>
        <v>0</v>
      </c>
      <c r="CL24" s="694"/>
      <c r="CM24" s="694"/>
      <c r="CN24" s="694"/>
      <c r="CO24" s="694"/>
      <c r="CP24" s="694"/>
      <c r="CQ24" s="695"/>
      <c r="CR24" s="693">
        <f t="shared" si="33"/>
        <v>0</v>
      </c>
      <c r="CS24" s="694"/>
      <c r="CT24" s="694"/>
      <c r="CU24" s="694"/>
      <c r="CV24" s="694"/>
      <c r="CW24" s="694"/>
      <c r="CX24" s="695"/>
      <c r="CY24" s="693">
        <f t="shared" si="34"/>
        <v>0</v>
      </c>
      <c r="CZ24" s="694"/>
      <c r="DA24" s="694"/>
      <c r="DB24" s="694"/>
      <c r="DC24" s="694"/>
      <c r="DD24" s="694"/>
      <c r="DE24" s="695"/>
      <c r="DF24" s="693">
        <f t="shared" si="35"/>
        <v>0</v>
      </c>
      <c r="DG24" s="694"/>
      <c r="DH24" s="694"/>
      <c r="DI24" s="694"/>
      <c r="DJ24" s="694"/>
      <c r="DK24" s="694"/>
      <c r="DL24" s="698"/>
    </row>
    <row r="25" spans="1:116">
      <c r="A25" s="1652">
        <v>6</v>
      </c>
      <c r="B25" s="1652">
        <v>3</v>
      </c>
      <c r="C25" s="1681" t="s">
        <v>521</v>
      </c>
      <c r="D25" s="1660">
        <v>261</v>
      </c>
      <c r="E25" s="693">
        <f t="shared" si="20"/>
        <v>0</v>
      </c>
      <c r="F25" s="694"/>
      <c r="G25" s="694"/>
      <c r="H25" s="694"/>
      <c r="I25" s="694"/>
      <c r="J25" s="694"/>
      <c r="K25" s="695"/>
      <c r="L25" s="693">
        <f t="shared" si="21"/>
        <v>0</v>
      </c>
      <c r="M25" s="694"/>
      <c r="N25" s="694"/>
      <c r="O25" s="694"/>
      <c r="P25" s="694"/>
      <c r="Q25" s="694"/>
      <c r="R25" s="695"/>
      <c r="S25" s="693">
        <f t="shared" si="22"/>
        <v>0</v>
      </c>
      <c r="T25" s="694"/>
      <c r="U25" s="694"/>
      <c r="V25" s="694"/>
      <c r="W25" s="694"/>
      <c r="X25" s="694"/>
      <c r="Y25" s="695"/>
      <c r="Z25" s="693">
        <f t="shared" si="23"/>
        <v>0</v>
      </c>
      <c r="AA25" s="694"/>
      <c r="AB25" s="694"/>
      <c r="AC25" s="694"/>
      <c r="AD25" s="694"/>
      <c r="AE25" s="694"/>
      <c r="AF25" s="695"/>
      <c r="AG25" s="693">
        <f t="shared" si="24"/>
        <v>0</v>
      </c>
      <c r="AH25" s="694"/>
      <c r="AI25" s="694"/>
      <c r="AJ25" s="694"/>
      <c r="AK25" s="694"/>
      <c r="AL25" s="694"/>
      <c r="AM25" s="695"/>
      <c r="AN25" s="693">
        <f t="shared" si="25"/>
        <v>0</v>
      </c>
      <c r="AO25" s="694"/>
      <c r="AP25" s="694"/>
      <c r="AQ25" s="694"/>
      <c r="AR25" s="694"/>
      <c r="AS25" s="694"/>
      <c r="AT25" s="695"/>
      <c r="AU25" s="693">
        <f t="shared" si="26"/>
        <v>0</v>
      </c>
      <c r="AV25" s="694"/>
      <c r="AW25" s="694"/>
      <c r="AX25" s="694"/>
      <c r="AY25" s="694"/>
      <c r="AZ25" s="694"/>
      <c r="BA25" s="695"/>
      <c r="BB25" s="693">
        <f t="shared" si="27"/>
        <v>0</v>
      </c>
      <c r="BC25" s="694"/>
      <c r="BD25" s="694"/>
      <c r="BE25" s="694"/>
      <c r="BF25" s="694"/>
      <c r="BG25" s="694"/>
      <c r="BH25" s="695"/>
      <c r="BI25" s="693">
        <f t="shared" si="28"/>
        <v>0</v>
      </c>
      <c r="BJ25" s="694"/>
      <c r="BK25" s="694"/>
      <c r="BL25" s="694"/>
      <c r="BM25" s="694"/>
      <c r="BN25" s="694"/>
      <c r="BO25" s="695"/>
      <c r="BP25" s="693">
        <f t="shared" si="29"/>
        <v>0</v>
      </c>
      <c r="BQ25" s="694"/>
      <c r="BR25" s="694"/>
      <c r="BS25" s="694"/>
      <c r="BT25" s="694"/>
      <c r="BU25" s="694"/>
      <c r="BV25" s="695"/>
      <c r="BW25" s="693">
        <f t="shared" si="30"/>
        <v>0</v>
      </c>
      <c r="BX25" s="694"/>
      <c r="BY25" s="694"/>
      <c r="BZ25" s="694"/>
      <c r="CA25" s="694"/>
      <c r="CB25" s="694"/>
      <c r="CC25" s="695"/>
      <c r="CD25" s="693">
        <f t="shared" si="31"/>
        <v>0</v>
      </c>
      <c r="CE25" s="694"/>
      <c r="CF25" s="694"/>
      <c r="CG25" s="694"/>
      <c r="CH25" s="694"/>
      <c r="CI25" s="694"/>
      <c r="CJ25" s="695"/>
      <c r="CK25" s="693">
        <f t="shared" si="32"/>
        <v>0</v>
      </c>
      <c r="CL25" s="694"/>
      <c r="CM25" s="694"/>
      <c r="CN25" s="694"/>
      <c r="CO25" s="694"/>
      <c r="CP25" s="694"/>
      <c r="CQ25" s="695"/>
      <c r="CR25" s="693">
        <f t="shared" si="33"/>
        <v>0</v>
      </c>
      <c r="CS25" s="694"/>
      <c r="CT25" s="694"/>
      <c r="CU25" s="694"/>
      <c r="CV25" s="694"/>
      <c r="CW25" s="694"/>
      <c r="CX25" s="695"/>
      <c r="CY25" s="693">
        <f t="shared" si="34"/>
        <v>0</v>
      </c>
      <c r="CZ25" s="694"/>
      <c r="DA25" s="694"/>
      <c r="DB25" s="694"/>
      <c r="DC25" s="694"/>
      <c r="DD25" s="694"/>
      <c r="DE25" s="695"/>
      <c r="DF25" s="693">
        <f t="shared" si="35"/>
        <v>0</v>
      </c>
      <c r="DG25" s="694"/>
      <c r="DH25" s="694"/>
      <c r="DI25" s="694"/>
      <c r="DJ25" s="694"/>
      <c r="DK25" s="694"/>
      <c r="DL25" s="698"/>
    </row>
    <row r="26" spans="1:116">
      <c r="A26" s="1652">
        <v>7</v>
      </c>
      <c r="B26" s="1652">
        <v>3</v>
      </c>
      <c r="C26" s="1681" t="s">
        <v>522</v>
      </c>
      <c r="D26" s="1660">
        <v>271</v>
      </c>
      <c r="E26" s="693">
        <f t="shared" si="20"/>
        <v>0</v>
      </c>
      <c r="F26" s="694"/>
      <c r="G26" s="694"/>
      <c r="H26" s="694"/>
      <c r="I26" s="694"/>
      <c r="J26" s="694"/>
      <c r="K26" s="695"/>
      <c r="L26" s="693">
        <f t="shared" si="21"/>
        <v>0</v>
      </c>
      <c r="M26" s="694"/>
      <c r="N26" s="694"/>
      <c r="O26" s="694"/>
      <c r="P26" s="694"/>
      <c r="Q26" s="694"/>
      <c r="R26" s="695"/>
      <c r="S26" s="693">
        <f t="shared" si="22"/>
        <v>0</v>
      </c>
      <c r="T26" s="694"/>
      <c r="U26" s="694"/>
      <c r="V26" s="694"/>
      <c r="W26" s="694"/>
      <c r="X26" s="694"/>
      <c r="Y26" s="695"/>
      <c r="Z26" s="693">
        <f t="shared" si="23"/>
        <v>0</v>
      </c>
      <c r="AA26" s="694"/>
      <c r="AB26" s="694"/>
      <c r="AC26" s="694"/>
      <c r="AD26" s="694"/>
      <c r="AE26" s="694"/>
      <c r="AF26" s="695"/>
      <c r="AG26" s="693">
        <f t="shared" si="24"/>
        <v>0</v>
      </c>
      <c r="AH26" s="694"/>
      <c r="AI26" s="694"/>
      <c r="AJ26" s="694"/>
      <c r="AK26" s="694"/>
      <c r="AL26" s="694"/>
      <c r="AM26" s="695"/>
      <c r="AN26" s="693">
        <f t="shared" si="25"/>
        <v>0</v>
      </c>
      <c r="AO26" s="694"/>
      <c r="AP26" s="694"/>
      <c r="AQ26" s="694"/>
      <c r="AR26" s="694"/>
      <c r="AS26" s="694"/>
      <c r="AT26" s="695"/>
      <c r="AU26" s="693">
        <f t="shared" si="26"/>
        <v>0</v>
      </c>
      <c r="AV26" s="694"/>
      <c r="AW26" s="694"/>
      <c r="AX26" s="694"/>
      <c r="AY26" s="694"/>
      <c r="AZ26" s="694"/>
      <c r="BA26" s="695"/>
      <c r="BB26" s="693">
        <f t="shared" si="27"/>
        <v>0</v>
      </c>
      <c r="BC26" s="694"/>
      <c r="BD26" s="694"/>
      <c r="BE26" s="694"/>
      <c r="BF26" s="694"/>
      <c r="BG26" s="694"/>
      <c r="BH26" s="695"/>
      <c r="BI26" s="693">
        <f t="shared" si="28"/>
        <v>0</v>
      </c>
      <c r="BJ26" s="694"/>
      <c r="BK26" s="694"/>
      <c r="BL26" s="694"/>
      <c r="BM26" s="694"/>
      <c r="BN26" s="694"/>
      <c r="BO26" s="695"/>
      <c r="BP26" s="693">
        <f t="shared" si="29"/>
        <v>0</v>
      </c>
      <c r="BQ26" s="694"/>
      <c r="BR26" s="694"/>
      <c r="BS26" s="694"/>
      <c r="BT26" s="694"/>
      <c r="BU26" s="694"/>
      <c r="BV26" s="695"/>
      <c r="BW26" s="693">
        <f t="shared" si="30"/>
        <v>0</v>
      </c>
      <c r="BX26" s="694"/>
      <c r="BY26" s="694"/>
      <c r="BZ26" s="694"/>
      <c r="CA26" s="694"/>
      <c r="CB26" s="694"/>
      <c r="CC26" s="695"/>
      <c r="CD26" s="693">
        <f t="shared" si="31"/>
        <v>0</v>
      </c>
      <c r="CE26" s="694"/>
      <c r="CF26" s="694"/>
      <c r="CG26" s="694"/>
      <c r="CH26" s="694"/>
      <c r="CI26" s="694"/>
      <c r="CJ26" s="695"/>
      <c r="CK26" s="693">
        <f t="shared" si="32"/>
        <v>0</v>
      </c>
      <c r="CL26" s="694"/>
      <c r="CM26" s="694"/>
      <c r="CN26" s="694"/>
      <c r="CO26" s="694"/>
      <c r="CP26" s="694"/>
      <c r="CQ26" s="695"/>
      <c r="CR26" s="693">
        <f t="shared" si="33"/>
        <v>0</v>
      </c>
      <c r="CS26" s="694"/>
      <c r="CT26" s="694"/>
      <c r="CU26" s="694"/>
      <c r="CV26" s="694"/>
      <c r="CW26" s="694"/>
      <c r="CX26" s="695"/>
      <c r="CY26" s="693">
        <f t="shared" si="34"/>
        <v>0</v>
      </c>
      <c r="CZ26" s="694"/>
      <c r="DA26" s="694"/>
      <c r="DB26" s="694"/>
      <c r="DC26" s="694"/>
      <c r="DD26" s="694"/>
      <c r="DE26" s="695"/>
      <c r="DF26" s="693">
        <f t="shared" si="35"/>
        <v>0</v>
      </c>
      <c r="DG26" s="694"/>
      <c r="DH26" s="694"/>
      <c r="DI26" s="694"/>
      <c r="DJ26" s="694"/>
      <c r="DK26" s="694"/>
      <c r="DL26" s="698"/>
    </row>
    <row r="27" spans="1:116" ht="38.25">
      <c r="A27" s="1652">
        <v>9</v>
      </c>
      <c r="B27" s="1652">
        <v>2</v>
      </c>
      <c r="C27" s="1679" t="s">
        <v>524</v>
      </c>
      <c r="D27" s="1680">
        <v>300</v>
      </c>
      <c r="E27" s="689">
        <f t="shared" ref="E27:BP27" si="36">SUM(E28:E34)</f>
        <v>0</v>
      </c>
      <c r="F27" s="689">
        <f t="shared" si="36"/>
        <v>0</v>
      </c>
      <c r="G27" s="689">
        <f t="shared" si="36"/>
        <v>0</v>
      </c>
      <c r="H27" s="689">
        <f t="shared" si="36"/>
        <v>0</v>
      </c>
      <c r="I27" s="689">
        <f t="shared" si="36"/>
        <v>0</v>
      </c>
      <c r="J27" s="689">
        <f t="shared" si="36"/>
        <v>0</v>
      </c>
      <c r="K27" s="690">
        <f t="shared" si="36"/>
        <v>0</v>
      </c>
      <c r="L27" s="689">
        <f t="shared" si="36"/>
        <v>0</v>
      </c>
      <c r="M27" s="689">
        <f t="shared" si="36"/>
        <v>0</v>
      </c>
      <c r="N27" s="689">
        <f t="shared" si="36"/>
        <v>0</v>
      </c>
      <c r="O27" s="689">
        <f t="shared" si="36"/>
        <v>0</v>
      </c>
      <c r="P27" s="689">
        <f t="shared" si="36"/>
        <v>0</v>
      </c>
      <c r="Q27" s="689">
        <f t="shared" si="36"/>
        <v>0</v>
      </c>
      <c r="R27" s="690">
        <f t="shared" si="36"/>
        <v>0</v>
      </c>
      <c r="S27" s="689">
        <f t="shared" si="36"/>
        <v>0</v>
      </c>
      <c r="T27" s="689">
        <f t="shared" si="36"/>
        <v>0</v>
      </c>
      <c r="U27" s="689">
        <f t="shared" si="36"/>
        <v>0</v>
      </c>
      <c r="V27" s="689">
        <f t="shared" si="36"/>
        <v>0</v>
      </c>
      <c r="W27" s="689">
        <f t="shared" si="36"/>
        <v>0</v>
      </c>
      <c r="X27" s="689">
        <f t="shared" si="36"/>
        <v>0</v>
      </c>
      <c r="Y27" s="690">
        <f t="shared" si="36"/>
        <v>0</v>
      </c>
      <c r="Z27" s="689">
        <f t="shared" si="36"/>
        <v>0</v>
      </c>
      <c r="AA27" s="689">
        <f t="shared" si="36"/>
        <v>0</v>
      </c>
      <c r="AB27" s="689">
        <f t="shared" si="36"/>
        <v>0</v>
      </c>
      <c r="AC27" s="689">
        <f t="shared" si="36"/>
        <v>0</v>
      </c>
      <c r="AD27" s="689">
        <f t="shared" si="36"/>
        <v>0</v>
      </c>
      <c r="AE27" s="689">
        <f t="shared" si="36"/>
        <v>0</v>
      </c>
      <c r="AF27" s="690">
        <f t="shared" si="36"/>
        <v>0</v>
      </c>
      <c r="AG27" s="689">
        <f t="shared" si="36"/>
        <v>0</v>
      </c>
      <c r="AH27" s="689">
        <f t="shared" si="36"/>
        <v>0</v>
      </c>
      <c r="AI27" s="689">
        <f t="shared" si="36"/>
        <v>0</v>
      </c>
      <c r="AJ27" s="689">
        <f t="shared" si="36"/>
        <v>0</v>
      </c>
      <c r="AK27" s="689">
        <f t="shared" si="36"/>
        <v>0</v>
      </c>
      <c r="AL27" s="689">
        <f t="shared" si="36"/>
        <v>0</v>
      </c>
      <c r="AM27" s="690">
        <f t="shared" si="36"/>
        <v>0</v>
      </c>
      <c r="AN27" s="689">
        <f t="shared" si="36"/>
        <v>0</v>
      </c>
      <c r="AO27" s="689">
        <f t="shared" si="36"/>
        <v>0</v>
      </c>
      <c r="AP27" s="689">
        <f t="shared" si="36"/>
        <v>0</v>
      </c>
      <c r="AQ27" s="689">
        <f t="shared" si="36"/>
        <v>0</v>
      </c>
      <c r="AR27" s="689">
        <f t="shared" si="36"/>
        <v>0</v>
      </c>
      <c r="AS27" s="689">
        <f t="shared" si="36"/>
        <v>0</v>
      </c>
      <c r="AT27" s="690">
        <f t="shared" si="36"/>
        <v>0</v>
      </c>
      <c r="AU27" s="689">
        <f t="shared" si="36"/>
        <v>0</v>
      </c>
      <c r="AV27" s="689">
        <f t="shared" si="36"/>
        <v>0</v>
      </c>
      <c r="AW27" s="689">
        <f t="shared" si="36"/>
        <v>0</v>
      </c>
      <c r="AX27" s="689">
        <f t="shared" si="36"/>
        <v>0</v>
      </c>
      <c r="AY27" s="689">
        <f t="shared" si="36"/>
        <v>0</v>
      </c>
      <c r="AZ27" s="689">
        <f t="shared" si="36"/>
        <v>0</v>
      </c>
      <c r="BA27" s="690">
        <f t="shared" si="36"/>
        <v>0</v>
      </c>
      <c r="BB27" s="689">
        <f t="shared" si="36"/>
        <v>0</v>
      </c>
      <c r="BC27" s="689">
        <f t="shared" si="36"/>
        <v>0</v>
      </c>
      <c r="BD27" s="689">
        <f t="shared" si="36"/>
        <v>0</v>
      </c>
      <c r="BE27" s="689">
        <f t="shared" si="36"/>
        <v>0</v>
      </c>
      <c r="BF27" s="689">
        <f t="shared" si="36"/>
        <v>0</v>
      </c>
      <c r="BG27" s="689">
        <f t="shared" si="36"/>
        <v>0</v>
      </c>
      <c r="BH27" s="690">
        <f t="shared" si="36"/>
        <v>0</v>
      </c>
      <c r="BI27" s="689">
        <f t="shared" si="36"/>
        <v>0</v>
      </c>
      <c r="BJ27" s="689">
        <f t="shared" si="36"/>
        <v>0</v>
      </c>
      <c r="BK27" s="689">
        <f t="shared" si="36"/>
        <v>0</v>
      </c>
      <c r="BL27" s="689">
        <f t="shared" si="36"/>
        <v>0</v>
      </c>
      <c r="BM27" s="689">
        <f t="shared" si="36"/>
        <v>0</v>
      </c>
      <c r="BN27" s="689">
        <f t="shared" si="36"/>
        <v>0</v>
      </c>
      <c r="BO27" s="690">
        <f t="shared" si="36"/>
        <v>0</v>
      </c>
      <c r="BP27" s="689">
        <f t="shared" si="36"/>
        <v>0</v>
      </c>
      <c r="BQ27" s="689">
        <f t="shared" ref="BQ27:DL27" si="37">SUM(BQ28:BQ34)</f>
        <v>0</v>
      </c>
      <c r="BR27" s="689">
        <f t="shared" si="37"/>
        <v>0</v>
      </c>
      <c r="BS27" s="689">
        <f t="shared" si="37"/>
        <v>0</v>
      </c>
      <c r="BT27" s="689">
        <f t="shared" si="37"/>
        <v>0</v>
      </c>
      <c r="BU27" s="689">
        <f t="shared" si="37"/>
        <v>0</v>
      </c>
      <c r="BV27" s="690">
        <f t="shared" si="37"/>
        <v>0</v>
      </c>
      <c r="BW27" s="689">
        <f t="shared" si="37"/>
        <v>0</v>
      </c>
      <c r="BX27" s="689">
        <f t="shared" si="37"/>
        <v>0</v>
      </c>
      <c r="BY27" s="689">
        <f t="shared" si="37"/>
        <v>0</v>
      </c>
      <c r="BZ27" s="689">
        <f t="shared" si="37"/>
        <v>0</v>
      </c>
      <c r="CA27" s="689">
        <f t="shared" si="37"/>
        <v>0</v>
      </c>
      <c r="CB27" s="689">
        <f t="shared" si="37"/>
        <v>0</v>
      </c>
      <c r="CC27" s="690">
        <f t="shared" si="37"/>
        <v>0</v>
      </c>
      <c r="CD27" s="689">
        <f t="shared" si="37"/>
        <v>0</v>
      </c>
      <c r="CE27" s="689">
        <f t="shared" si="37"/>
        <v>0</v>
      </c>
      <c r="CF27" s="689">
        <f t="shared" si="37"/>
        <v>0</v>
      </c>
      <c r="CG27" s="689">
        <f t="shared" si="37"/>
        <v>0</v>
      </c>
      <c r="CH27" s="689">
        <f t="shared" si="37"/>
        <v>0</v>
      </c>
      <c r="CI27" s="689">
        <f t="shared" si="37"/>
        <v>0</v>
      </c>
      <c r="CJ27" s="690">
        <f t="shared" si="37"/>
        <v>0</v>
      </c>
      <c r="CK27" s="689">
        <f t="shared" si="37"/>
        <v>0</v>
      </c>
      <c r="CL27" s="689">
        <f t="shared" si="37"/>
        <v>0</v>
      </c>
      <c r="CM27" s="689">
        <f t="shared" si="37"/>
        <v>0</v>
      </c>
      <c r="CN27" s="689">
        <f t="shared" si="37"/>
        <v>0</v>
      </c>
      <c r="CO27" s="689">
        <f t="shared" si="37"/>
        <v>0</v>
      </c>
      <c r="CP27" s="689">
        <f t="shared" si="37"/>
        <v>0</v>
      </c>
      <c r="CQ27" s="690">
        <f t="shared" si="37"/>
        <v>0</v>
      </c>
      <c r="CR27" s="689">
        <f t="shared" si="37"/>
        <v>0</v>
      </c>
      <c r="CS27" s="689">
        <f t="shared" si="37"/>
        <v>0</v>
      </c>
      <c r="CT27" s="689">
        <f t="shared" si="37"/>
        <v>0</v>
      </c>
      <c r="CU27" s="689">
        <f t="shared" si="37"/>
        <v>0</v>
      </c>
      <c r="CV27" s="689">
        <f t="shared" si="37"/>
        <v>0</v>
      </c>
      <c r="CW27" s="689">
        <f t="shared" si="37"/>
        <v>0</v>
      </c>
      <c r="CX27" s="690">
        <f t="shared" si="37"/>
        <v>0</v>
      </c>
      <c r="CY27" s="689">
        <f t="shared" si="37"/>
        <v>0</v>
      </c>
      <c r="CZ27" s="689">
        <f t="shared" si="37"/>
        <v>0</v>
      </c>
      <c r="DA27" s="689">
        <f t="shared" si="37"/>
        <v>0</v>
      </c>
      <c r="DB27" s="689">
        <f t="shared" si="37"/>
        <v>0</v>
      </c>
      <c r="DC27" s="689">
        <f t="shared" si="37"/>
        <v>0</v>
      </c>
      <c r="DD27" s="689">
        <f t="shared" si="37"/>
        <v>0</v>
      </c>
      <c r="DE27" s="690">
        <f t="shared" si="37"/>
        <v>0</v>
      </c>
      <c r="DF27" s="689">
        <f t="shared" si="37"/>
        <v>0</v>
      </c>
      <c r="DG27" s="689">
        <f t="shared" si="37"/>
        <v>0</v>
      </c>
      <c r="DH27" s="689">
        <f t="shared" si="37"/>
        <v>0</v>
      </c>
      <c r="DI27" s="689">
        <f t="shared" si="37"/>
        <v>0</v>
      </c>
      <c r="DJ27" s="689">
        <f t="shared" si="37"/>
        <v>0</v>
      </c>
      <c r="DK27" s="689">
        <f t="shared" si="37"/>
        <v>0</v>
      </c>
      <c r="DL27" s="699">
        <f t="shared" si="37"/>
        <v>0</v>
      </c>
    </row>
    <row r="28" spans="1:116">
      <c r="A28" s="1652">
        <v>1</v>
      </c>
      <c r="B28" s="1652">
        <v>2</v>
      </c>
      <c r="C28" s="1681" t="s">
        <v>516</v>
      </c>
      <c r="D28" s="1660">
        <v>311</v>
      </c>
      <c r="E28" s="693">
        <f>SUM(F28:K28)</f>
        <v>0</v>
      </c>
      <c r="F28" s="694"/>
      <c r="G28" s="694"/>
      <c r="H28" s="694"/>
      <c r="I28" s="694"/>
      <c r="J28" s="694"/>
      <c r="K28" s="695"/>
      <c r="L28" s="693">
        <f>SUM(M28:R28)</f>
        <v>0</v>
      </c>
      <c r="M28" s="694"/>
      <c r="N28" s="694"/>
      <c r="O28" s="694"/>
      <c r="P28" s="694"/>
      <c r="Q28" s="694"/>
      <c r="R28" s="695"/>
      <c r="S28" s="693">
        <f>SUM(T28:Y28)</f>
        <v>0</v>
      </c>
      <c r="T28" s="694"/>
      <c r="U28" s="694"/>
      <c r="V28" s="694"/>
      <c r="W28" s="694"/>
      <c r="X28" s="694"/>
      <c r="Y28" s="695"/>
      <c r="Z28" s="693">
        <f>SUM(AA28:AF28)</f>
        <v>0</v>
      </c>
      <c r="AA28" s="694"/>
      <c r="AB28" s="694"/>
      <c r="AC28" s="694"/>
      <c r="AD28" s="694"/>
      <c r="AE28" s="694"/>
      <c r="AF28" s="695"/>
      <c r="AG28" s="693">
        <f>SUM(AH28:AM28)</f>
        <v>0</v>
      </c>
      <c r="AH28" s="694"/>
      <c r="AI28" s="694"/>
      <c r="AJ28" s="694"/>
      <c r="AK28" s="694"/>
      <c r="AL28" s="694"/>
      <c r="AM28" s="695"/>
      <c r="AN28" s="693">
        <f>SUM(AO28:AT28)</f>
        <v>0</v>
      </c>
      <c r="AO28" s="694"/>
      <c r="AP28" s="694"/>
      <c r="AQ28" s="694"/>
      <c r="AR28" s="694"/>
      <c r="AS28" s="694"/>
      <c r="AT28" s="695"/>
      <c r="AU28" s="693">
        <f>SUM(AV28:BA28)</f>
        <v>0</v>
      </c>
      <c r="AV28" s="694"/>
      <c r="AW28" s="694"/>
      <c r="AX28" s="694"/>
      <c r="AY28" s="694"/>
      <c r="AZ28" s="694"/>
      <c r="BA28" s="695"/>
      <c r="BB28" s="693">
        <f>SUM(BC28:BH28)</f>
        <v>0</v>
      </c>
      <c r="BC28" s="694"/>
      <c r="BD28" s="694"/>
      <c r="BE28" s="694"/>
      <c r="BF28" s="694"/>
      <c r="BG28" s="694"/>
      <c r="BH28" s="695"/>
      <c r="BI28" s="693">
        <f>SUM(BJ28:BO28)</f>
        <v>0</v>
      </c>
      <c r="BJ28" s="694"/>
      <c r="BK28" s="694"/>
      <c r="BL28" s="694"/>
      <c r="BM28" s="694"/>
      <c r="BN28" s="694"/>
      <c r="BO28" s="695"/>
      <c r="BP28" s="693">
        <f>SUM(BQ28:BV28)</f>
        <v>0</v>
      </c>
      <c r="BQ28" s="694"/>
      <c r="BR28" s="694"/>
      <c r="BS28" s="694"/>
      <c r="BT28" s="694"/>
      <c r="BU28" s="694"/>
      <c r="BV28" s="695"/>
      <c r="BW28" s="693">
        <f>SUM(BX28:CC28)</f>
        <v>0</v>
      </c>
      <c r="BX28" s="694"/>
      <c r="BY28" s="694"/>
      <c r="BZ28" s="694"/>
      <c r="CA28" s="694"/>
      <c r="CB28" s="694"/>
      <c r="CC28" s="695"/>
      <c r="CD28" s="693">
        <f>SUM(CE28:CJ28)</f>
        <v>0</v>
      </c>
      <c r="CE28" s="694"/>
      <c r="CF28" s="694"/>
      <c r="CG28" s="694"/>
      <c r="CH28" s="694"/>
      <c r="CI28" s="694"/>
      <c r="CJ28" s="695"/>
      <c r="CK28" s="693">
        <f>SUM(CL28:CQ28)</f>
        <v>0</v>
      </c>
      <c r="CL28" s="694"/>
      <c r="CM28" s="694"/>
      <c r="CN28" s="694"/>
      <c r="CO28" s="694"/>
      <c r="CP28" s="694"/>
      <c r="CQ28" s="695"/>
      <c r="CR28" s="693">
        <f>SUM(CS28:CX28)</f>
        <v>0</v>
      </c>
      <c r="CS28" s="694"/>
      <c r="CT28" s="694"/>
      <c r="CU28" s="694"/>
      <c r="CV28" s="694"/>
      <c r="CW28" s="694"/>
      <c r="CX28" s="695"/>
      <c r="CY28" s="693">
        <f>SUM(CZ28:DE28)</f>
        <v>0</v>
      </c>
      <c r="CZ28" s="694"/>
      <c r="DA28" s="694"/>
      <c r="DB28" s="694"/>
      <c r="DC28" s="694"/>
      <c r="DD28" s="694"/>
      <c r="DE28" s="695"/>
      <c r="DF28" s="693">
        <f>SUM(DG28:DL28)</f>
        <v>0</v>
      </c>
      <c r="DG28" s="694"/>
      <c r="DH28" s="694"/>
      <c r="DI28" s="694"/>
      <c r="DJ28" s="694"/>
      <c r="DK28" s="694"/>
      <c r="DL28" s="698"/>
    </row>
    <row r="29" spans="1:116" ht="25.5">
      <c r="A29" s="1652">
        <v>2</v>
      </c>
      <c r="B29" s="1652">
        <v>2</v>
      </c>
      <c r="C29" s="1681" t="s">
        <v>517</v>
      </c>
      <c r="D29" s="1660">
        <v>321</v>
      </c>
      <c r="E29" s="693">
        <f t="shared" ref="E29:E34" si="38">SUM(F29:K29)</f>
        <v>0</v>
      </c>
      <c r="F29" s="694"/>
      <c r="G29" s="694"/>
      <c r="H29" s="694"/>
      <c r="I29" s="694"/>
      <c r="J29" s="694"/>
      <c r="K29" s="695"/>
      <c r="L29" s="693">
        <f t="shared" ref="L29:L34" si="39">SUM(M29:R29)</f>
        <v>0</v>
      </c>
      <c r="M29" s="694"/>
      <c r="N29" s="694"/>
      <c r="O29" s="694"/>
      <c r="P29" s="694"/>
      <c r="Q29" s="694"/>
      <c r="R29" s="695"/>
      <c r="S29" s="693">
        <f t="shared" ref="S29:S34" si="40">SUM(T29:Y29)</f>
        <v>0</v>
      </c>
      <c r="T29" s="694"/>
      <c r="U29" s="694"/>
      <c r="V29" s="694"/>
      <c r="W29" s="694"/>
      <c r="X29" s="694"/>
      <c r="Y29" s="695"/>
      <c r="Z29" s="693">
        <f t="shared" ref="Z29:Z34" si="41">SUM(AA29:AF29)</f>
        <v>0</v>
      </c>
      <c r="AA29" s="694"/>
      <c r="AB29" s="694"/>
      <c r="AC29" s="694"/>
      <c r="AD29" s="694"/>
      <c r="AE29" s="694"/>
      <c r="AF29" s="695"/>
      <c r="AG29" s="693">
        <f t="shared" ref="AG29:AG34" si="42">SUM(AH29:AM29)</f>
        <v>0</v>
      </c>
      <c r="AH29" s="694"/>
      <c r="AI29" s="694"/>
      <c r="AJ29" s="694"/>
      <c r="AK29" s="694"/>
      <c r="AL29" s="694"/>
      <c r="AM29" s="695"/>
      <c r="AN29" s="693">
        <f t="shared" ref="AN29:AN34" si="43">SUM(AO29:AT29)</f>
        <v>0</v>
      </c>
      <c r="AO29" s="694"/>
      <c r="AP29" s="694"/>
      <c r="AQ29" s="694"/>
      <c r="AR29" s="694"/>
      <c r="AS29" s="694"/>
      <c r="AT29" s="695"/>
      <c r="AU29" s="693">
        <f t="shared" ref="AU29:AU34" si="44">SUM(AV29:BA29)</f>
        <v>0</v>
      </c>
      <c r="AV29" s="694"/>
      <c r="AW29" s="694"/>
      <c r="AX29" s="694"/>
      <c r="AY29" s="694"/>
      <c r="AZ29" s="694"/>
      <c r="BA29" s="695"/>
      <c r="BB29" s="693">
        <f t="shared" ref="BB29:BB34" si="45">SUM(BC29:BH29)</f>
        <v>0</v>
      </c>
      <c r="BC29" s="694"/>
      <c r="BD29" s="694"/>
      <c r="BE29" s="694"/>
      <c r="BF29" s="694"/>
      <c r="BG29" s="694"/>
      <c r="BH29" s="695"/>
      <c r="BI29" s="693">
        <f t="shared" ref="BI29:BI34" si="46">SUM(BJ29:BO29)</f>
        <v>0</v>
      </c>
      <c r="BJ29" s="694"/>
      <c r="BK29" s="694"/>
      <c r="BL29" s="694"/>
      <c r="BM29" s="694"/>
      <c r="BN29" s="694"/>
      <c r="BO29" s="695"/>
      <c r="BP29" s="693">
        <f t="shared" ref="BP29:BP34" si="47">SUM(BQ29:BV29)</f>
        <v>0</v>
      </c>
      <c r="BQ29" s="694"/>
      <c r="BR29" s="694"/>
      <c r="BS29" s="694"/>
      <c r="BT29" s="694"/>
      <c r="BU29" s="694"/>
      <c r="BV29" s="695"/>
      <c r="BW29" s="693">
        <f t="shared" ref="BW29:BW34" si="48">SUM(BX29:CC29)</f>
        <v>0</v>
      </c>
      <c r="BX29" s="694"/>
      <c r="BY29" s="694"/>
      <c r="BZ29" s="694"/>
      <c r="CA29" s="694"/>
      <c r="CB29" s="694"/>
      <c r="CC29" s="695"/>
      <c r="CD29" s="693">
        <f t="shared" ref="CD29:CD34" si="49">SUM(CE29:CJ29)</f>
        <v>0</v>
      </c>
      <c r="CE29" s="694"/>
      <c r="CF29" s="694"/>
      <c r="CG29" s="694"/>
      <c r="CH29" s="694"/>
      <c r="CI29" s="694"/>
      <c r="CJ29" s="695"/>
      <c r="CK29" s="693">
        <f t="shared" ref="CK29:CK34" si="50">SUM(CL29:CQ29)</f>
        <v>0</v>
      </c>
      <c r="CL29" s="694"/>
      <c r="CM29" s="694"/>
      <c r="CN29" s="694"/>
      <c r="CO29" s="694"/>
      <c r="CP29" s="694"/>
      <c r="CQ29" s="695"/>
      <c r="CR29" s="693">
        <f t="shared" ref="CR29:CR34" si="51">SUM(CS29:CX29)</f>
        <v>0</v>
      </c>
      <c r="CS29" s="694"/>
      <c r="CT29" s="694"/>
      <c r="CU29" s="694"/>
      <c r="CV29" s="694"/>
      <c r="CW29" s="694"/>
      <c r="CX29" s="695"/>
      <c r="CY29" s="693">
        <f t="shared" ref="CY29:CY34" si="52">SUM(CZ29:DE29)</f>
        <v>0</v>
      </c>
      <c r="CZ29" s="694"/>
      <c r="DA29" s="694"/>
      <c r="DB29" s="694"/>
      <c r="DC29" s="694"/>
      <c r="DD29" s="694"/>
      <c r="DE29" s="695"/>
      <c r="DF29" s="693">
        <f t="shared" ref="DF29:DF34" si="53">SUM(DG29:DL29)</f>
        <v>0</v>
      </c>
      <c r="DG29" s="694"/>
      <c r="DH29" s="694"/>
      <c r="DI29" s="694"/>
      <c r="DJ29" s="694"/>
      <c r="DK29" s="694"/>
      <c r="DL29" s="698"/>
    </row>
    <row r="30" spans="1:116">
      <c r="A30" s="1652">
        <v>3</v>
      </c>
      <c r="B30" s="1652">
        <v>2</v>
      </c>
      <c r="C30" s="1681" t="s">
        <v>518</v>
      </c>
      <c r="D30" s="1660">
        <v>331</v>
      </c>
      <c r="E30" s="693">
        <f t="shared" si="38"/>
        <v>0</v>
      </c>
      <c r="F30" s="694"/>
      <c r="G30" s="694"/>
      <c r="H30" s="694"/>
      <c r="I30" s="694"/>
      <c r="J30" s="694"/>
      <c r="K30" s="695"/>
      <c r="L30" s="693">
        <f t="shared" si="39"/>
        <v>0</v>
      </c>
      <c r="M30" s="694"/>
      <c r="N30" s="694"/>
      <c r="O30" s="694"/>
      <c r="P30" s="694"/>
      <c r="Q30" s="694"/>
      <c r="R30" s="695"/>
      <c r="S30" s="693">
        <f t="shared" si="40"/>
        <v>0</v>
      </c>
      <c r="T30" s="694"/>
      <c r="U30" s="694"/>
      <c r="V30" s="694"/>
      <c r="W30" s="694"/>
      <c r="X30" s="694"/>
      <c r="Y30" s="695"/>
      <c r="Z30" s="693">
        <f t="shared" si="41"/>
        <v>0</v>
      </c>
      <c r="AA30" s="694"/>
      <c r="AB30" s="694"/>
      <c r="AC30" s="694"/>
      <c r="AD30" s="694"/>
      <c r="AE30" s="694"/>
      <c r="AF30" s="695"/>
      <c r="AG30" s="693">
        <f t="shared" si="42"/>
        <v>0</v>
      </c>
      <c r="AH30" s="694"/>
      <c r="AI30" s="694"/>
      <c r="AJ30" s="694"/>
      <c r="AK30" s="694"/>
      <c r="AL30" s="694"/>
      <c r="AM30" s="695"/>
      <c r="AN30" s="693">
        <f t="shared" si="43"/>
        <v>0</v>
      </c>
      <c r="AO30" s="694"/>
      <c r="AP30" s="694"/>
      <c r="AQ30" s="694"/>
      <c r="AR30" s="694"/>
      <c r="AS30" s="694"/>
      <c r="AT30" s="695"/>
      <c r="AU30" s="693">
        <f t="shared" si="44"/>
        <v>0</v>
      </c>
      <c r="AV30" s="694"/>
      <c r="AW30" s="694"/>
      <c r="AX30" s="694"/>
      <c r="AY30" s="694"/>
      <c r="AZ30" s="694"/>
      <c r="BA30" s="695"/>
      <c r="BB30" s="693">
        <f t="shared" si="45"/>
        <v>0</v>
      </c>
      <c r="BC30" s="694"/>
      <c r="BD30" s="694"/>
      <c r="BE30" s="694"/>
      <c r="BF30" s="694"/>
      <c r="BG30" s="694"/>
      <c r="BH30" s="695"/>
      <c r="BI30" s="693">
        <f t="shared" si="46"/>
        <v>0</v>
      </c>
      <c r="BJ30" s="694"/>
      <c r="BK30" s="694"/>
      <c r="BL30" s="694"/>
      <c r="BM30" s="694"/>
      <c r="BN30" s="694"/>
      <c r="BO30" s="695"/>
      <c r="BP30" s="693">
        <f t="shared" si="47"/>
        <v>0</v>
      </c>
      <c r="BQ30" s="694"/>
      <c r="BR30" s="694"/>
      <c r="BS30" s="694"/>
      <c r="BT30" s="694"/>
      <c r="BU30" s="694"/>
      <c r="BV30" s="695"/>
      <c r="BW30" s="693">
        <f t="shared" si="48"/>
        <v>0</v>
      </c>
      <c r="BX30" s="694"/>
      <c r="BY30" s="694"/>
      <c r="BZ30" s="694"/>
      <c r="CA30" s="694"/>
      <c r="CB30" s="694"/>
      <c r="CC30" s="695"/>
      <c r="CD30" s="693">
        <f t="shared" si="49"/>
        <v>0</v>
      </c>
      <c r="CE30" s="694"/>
      <c r="CF30" s="694"/>
      <c r="CG30" s="694"/>
      <c r="CH30" s="694"/>
      <c r="CI30" s="694"/>
      <c r="CJ30" s="695"/>
      <c r="CK30" s="693">
        <f t="shared" si="50"/>
        <v>0</v>
      </c>
      <c r="CL30" s="694"/>
      <c r="CM30" s="694"/>
      <c r="CN30" s="694"/>
      <c r="CO30" s="694"/>
      <c r="CP30" s="694"/>
      <c r="CQ30" s="695"/>
      <c r="CR30" s="693">
        <f t="shared" si="51"/>
        <v>0</v>
      </c>
      <c r="CS30" s="694"/>
      <c r="CT30" s="694"/>
      <c r="CU30" s="694"/>
      <c r="CV30" s="694"/>
      <c r="CW30" s="694"/>
      <c r="CX30" s="695"/>
      <c r="CY30" s="693">
        <f t="shared" si="52"/>
        <v>0</v>
      </c>
      <c r="CZ30" s="694"/>
      <c r="DA30" s="694"/>
      <c r="DB30" s="694"/>
      <c r="DC30" s="694"/>
      <c r="DD30" s="694"/>
      <c r="DE30" s="695"/>
      <c r="DF30" s="693">
        <f t="shared" si="53"/>
        <v>0</v>
      </c>
      <c r="DG30" s="694"/>
      <c r="DH30" s="694"/>
      <c r="DI30" s="694"/>
      <c r="DJ30" s="694"/>
      <c r="DK30" s="694"/>
      <c r="DL30" s="698"/>
    </row>
    <row r="31" spans="1:116">
      <c r="A31" s="1652">
        <v>4</v>
      </c>
      <c r="B31" s="1652">
        <v>2</v>
      </c>
      <c r="C31" s="1681" t="s">
        <v>519</v>
      </c>
      <c r="D31" s="1660">
        <v>341</v>
      </c>
      <c r="E31" s="693">
        <f t="shared" si="38"/>
        <v>0</v>
      </c>
      <c r="F31" s="694"/>
      <c r="G31" s="694">
        <f>'Раздел 2А'!H37</f>
        <v>0</v>
      </c>
      <c r="H31" s="694">
        <f>'Раздел 2А'!I37</f>
        <v>0</v>
      </c>
      <c r="I31" s="694">
        <f>'Раздел 2А'!J37</f>
        <v>0</v>
      </c>
      <c r="J31" s="694"/>
      <c r="K31" s="695"/>
      <c r="L31" s="693">
        <f t="shared" si="39"/>
        <v>0</v>
      </c>
      <c r="M31" s="694"/>
      <c r="N31" s="694">
        <f>'Раздел 2А'!O37</f>
        <v>0</v>
      </c>
      <c r="O31" s="694">
        <f>'Раздел 2А'!P37</f>
        <v>0</v>
      </c>
      <c r="P31" s="694">
        <f>'Раздел 2А'!Q37</f>
        <v>0</v>
      </c>
      <c r="Q31" s="694"/>
      <c r="R31" s="695"/>
      <c r="S31" s="693">
        <f t="shared" si="40"/>
        <v>0</v>
      </c>
      <c r="T31" s="694"/>
      <c r="U31" s="694"/>
      <c r="V31" s="694"/>
      <c r="W31" s="694"/>
      <c r="X31" s="694"/>
      <c r="Y31" s="695"/>
      <c r="Z31" s="693">
        <f t="shared" si="41"/>
        <v>0</v>
      </c>
      <c r="AA31" s="694"/>
      <c r="AB31" s="694"/>
      <c r="AC31" s="694"/>
      <c r="AD31" s="694"/>
      <c r="AE31" s="694"/>
      <c r="AF31" s="695"/>
      <c r="AG31" s="693">
        <f t="shared" si="42"/>
        <v>0</v>
      </c>
      <c r="AH31" s="694"/>
      <c r="AI31" s="694"/>
      <c r="AJ31" s="694"/>
      <c r="AK31" s="694"/>
      <c r="AL31" s="694"/>
      <c r="AM31" s="695"/>
      <c r="AN31" s="693">
        <f t="shared" si="43"/>
        <v>0</v>
      </c>
      <c r="AO31" s="694"/>
      <c r="AP31" s="694"/>
      <c r="AQ31" s="694"/>
      <c r="AR31" s="694"/>
      <c r="AS31" s="694"/>
      <c r="AT31" s="695"/>
      <c r="AU31" s="693">
        <f t="shared" si="44"/>
        <v>0</v>
      </c>
      <c r="AV31" s="694"/>
      <c r="AW31" s="694"/>
      <c r="AX31" s="694"/>
      <c r="AY31" s="694"/>
      <c r="AZ31" s="694"/>
      <c r="BA31" s="695"/>
      <c r="BB31" s="693">
        <f t="shared" si="45"/>
        <v>0</v>
      </c>
      <c r="BC31" s="694"/>
      <c r="BD31" s="694"/>
      <c r="BE31" s="694"/>
      <c r="BF31" s="694"/>
      <c r="BG31" s="694"/>
      <c r="BH31" s="695"/>
      <c r="BI31" s="693">
        <f t="shared" si="46"/>
        <v>0</v>
      </c>
      <c r="BJ31" s="694"/>
      <c r="BK31" s="694"/>
      <c r="BL31" s="694"/>
      <c r="BM31" s="694"/>
      <c r="BN31" s="694"/>
      <c r="BO31" s="695"/>
      <c r="BP31" s="693">
        <f t="shared" si="47"/>
        <v>0</v>
      </c>
      <c r="BQ31" s="694"/>
      <c r="BR31" s="694"/>
      <c r="BS31" s="694"/>
      <c r="BT31" s="694"/>
      <c r="BU31" s="694"/>
      <c r="BV31" s="695"/>
      <c r="BW31" s="693">
        <f t="shared" si="48"/>
        <v>0</v>
      </c>
      <c r="BX31" s="694"/>
      <c r="BY31" s="694"/>
      <c r="BZ31" s="694"/>
      <c r="CA31" s="694"/>
      <c r="CB31" s="694"/>
      <c r="CC31" s="695"/>
      <c r="CD31" s="693">
        <f t="shared" si="49"/>
        <v>0</v>
      </c>
      <c r="CE31" s="694"/>
      <c r="CF31" s="694"/>
      <c r="CG31" s="694"/>
      <c r="CH31" s="694"/>
      <c r="CI31" s="694"/>
      <c r="CJ31" s="695"/>
      <c r="CK31" s="693">
        <f t="shared" si="50"/>
        <v>0</v>
      </c>
      <c r="CL31" s="694"/>
      <c r="CM31" s="694"/>
      <c r="CN31" s="694"/>
      <c r="CO31" s="694"/>
      <c r="CP31" s="694"/>
      <c r="CQ31" s="695"/>
      <c r="CR31" s="693">
        <f t="shared" si="51"/>
        <v>0</v>
      </c>
      <c r="CS31" s="694"/>
      <c r="CT31" s="694"/>
      <c r="CU31" s="694"/>
      <c r="CV31" s="694"/>
      <c r="CW31" s="694"/>
      <c r="CX31" s="695"/>
      <c r="CY31" s="693">
        <f t="shared" si="52"/>
        <v>0</v>
      </c>
      <c r="CZ31" s="694"/>
      <c r="DA31" s="694"/>
      <c r="DB31" s="694"/>
      <c r="DC31" s="694"/>
      <c r="DD31" s="694"/>
      <c r="DE31" s="695"/>
      <c r="DF31" s="693">
        <f t="shared" si="53"/>
        <v>0</v>
      </c>
      <c r="DG31" s="694"/>
      <c r="DH31" s="694"/>
      <c r="DI31" s="694"/>
      <c r="DJ31" s="694"/>
      <c r="DK31" s="694"/>
      <c r="DL31" s="698"/>
    </row>
    <row r="32" spans="1:116">
      <c r="A32" s="1652">
        <v>5</v>
      </c>
      <c r="B32" s="1652">
        <v>2</v>
      </c>
      <c r="C32" s="1681" t="s">
        <v>631</v>
      </c>
      <c r="D32" s="1660">
        <v>351</v>
      </c>
      <c r="E32" s="693">
        <f t="shared" si="38"/>
        <v>0</v>
      </c>
      <c r="F32" s="694"/>
      <c r="G32" s="694"/>
      <c r="H32" s="694"/>
      <c r="I32" s="694"/>
      <c r="J32" s="694"/>
      <c r="K32" s="695"/>
      <c r="L32" s="693">
        <f t="shared" si="39"/>
        <v>0</v>
      </c>
      <c r="M32" s="694"/>
      <c r="N32" s="694"/>
      <c r="O32" s="694"/>
      <c r="P32" s="694"/>
      <c r="Q32" s="694"/>
      <c r="R32" s="695"/>
      <c r="S32" s="693">
        <f t="shared" si="40"/>
        <v>0</v>
      </c>
      <c r="T32" s="694"/>
      <c r="U32" s="694"/>
      <c r="V32" s="694"/>
      <c r="W32" s="694"/>
      <c r="X32" s="694"/>
      <c r="Y32" s="695"/>
      <c r="Z32" s="693">
        <f t="shared" si="41"/>
        <v>0</v>
      </c>
      <c r="AA32" s="694"/>
      <c r="AB32" s="694"/>
      <c r="AC32" s="694"/>
      <c r="AD32" s="694"/>
      <c r="AE32" s="694"/>
      <c r="AF32" s="695"/>
      <c r="AG32" s="693">
        <f t="shared" si="42"/>
        <v>0</v>
      </c>
      <c r="AH32" s="694"/>
      <c r="AI32" s="694"/>
      <c r="AJ32" s="694"/>
      <c r="AK32" s="694"/>
      <c r="AL32" s="694"/>
      <c r="AM32" s="695"/>
      <c r="AN32" s="693">
        <f t="shared" si="43"/>
        <v>0</v>
      </c>
      <c r="AO32" s="694"/>
      <c r="AP32" s="694"/>
      <c r="AQ32" s="694"/>
      <c r="AR32" s="694"/>
      <c r="AS32" s="694"/>
      <c r="AT32" s="695"/>
      <c r="AU32" s="693">
        <f t="shared" si="44"/>
        <v>0</v>
      </c>
      <c r="AV32" s="694"/>
      <c r="AW32" s="694"/>
      <c r="AX32" s="694"/>
      <c r="AY32" s="694"/>
      <c r="AZ32" s="694"/>
      <c r="BA32" s="695"/>
      <c r="BB32" s="693">
        <f t="shared" si="45"/>
        <v>0</v>
      </c>
      <c r="BC32" s="694"/>
      <c r="BD32" s="694"/>
      <c r="BE32" s="694"/>
      <c r="BF32" s="694"/>
      <c r="BG32" s="694"/>
      <c r="BH32" s="695"/>
      <c r="BI32" s="693">
        <f t="shared" si="46"/>
        <v>0</v>
      </c>
      <c r="BJ32" s="694"/>
      <c r="BK32" s="694"/>
      <c r="BL32" s="694"/>
      <c r="BM32" s="694"/>
      <c r="BN32" s="694"/>
      <c r="BO32" s="695"/>
      <c r="BP32" s="693">
        <f t="shared" si="47"/>
        <v>0</v>
      </c>
      <c r="BQ32" s="694"/>
      <c r="BR32" s="694"/>
      <c r="BS32" s="694"/>
      <c r="BT32" s="694"/>
      <c r="BU32" s="694"/>
      <c r="BV32" s="695"/>
      <c r="BW32" s="693">
        <f t="shared" si="48"/>
        <v>0</v>
      </c>
      <c r="BX32" s="694"/>
      <c r="BY32" s="694"/>
      <c r="BZ32" s="694"/>
      <c r="CA32" s="694"/>
      <c r="CB32" s="694"/>
      <c r="CC32" s="695"/>
      <c r="CD32" s="693">
        <f t="shared" si="49"/>
        <v>0</v>
      </c>
      <c r="CE32" s="694"/>
      <c r="CF32" s="694"/>
      <c r="CG32" s="694"/>
      <c r="CH32" s="694"/>
      <c r="CI32" s="694"/>
      <c r="CJ32" s="695"/>
      <c r="CK32" s="693">
        <f t="shared" si="50"/>
        <v>0</v>
      </c>
      <c r="CL32" s="694"/>
      <c r="CM32" s="694"/>
      <c r="CN32" s="694"/>
      <c r="CO32" s="694"/>
      <c r="CP32" s="694"/>
      <c r="CQ32" s="695"/>
      <c r="CR32" s="693">
        <f t="shared" si="51"/>
        <v>0</v>
      </c>
      <c r="CS32" s="694"/>
      <c r="CT32" s="694"/>
      <c r="CU32" s="694"/>
      <c r="CV32" s="694"/>
      <c r="CW32" s="694"/>
      <c r="CX32" s="695"/>
      <c r="CY32" s="693">
        <f t="shared" si="52"/>
        <v>0</v>
      </c>
      <c r="CZ32" s="694"/>
      <c r="DA32" s="694"/>
      <c r="DB32" s="694"/>
      <c r="DC32" s="694"/>
      <c r="DD32" s="694"/>
      <c r="DE32" s="695"/>
      <c r="DF32" s="693">
        <f t="shared" si="53"/>
        <v>0</v>
      </c>
      <c r="DG32" s="694"/>
      <c r="DH32" s="694"/>
      <c r="DI32" s="694"/>
      <c r="DJ32" s="694"/>
      <c r="DK32" s="694"/>
      <c r="DL32" s="698"/>
    </row>
    <row r="33" spans="1:116">
      <c r="A33" s="1652">
        <v>6</v>
      </c>
      <c r="B33" s="1652">
        <v>2</v>
      </c>
      <c r="C33" s="1681" t="s">
        <v>521</v>
      </c>
      <c r="D33" s="1660">
        <v>361</v>
      </c>
      <c r="E33" s="693">
        <f t="shared" si="38"/>
        <v>0</v>
      </c>
      <c r="F33" s="694"/>
      <c r="G33" s="694"/>
      <c r="H33" s="694"/>
      <c r="I33" s="694"/>
      <c r="J33" s="694"/>
      <c r="K33" s="695"/>
      <c r="L33" s="693">
        <f t="shared" si="39"/>
        <v>0</v>
      </c>
      <c r="M33" s="694"/>
      <c r="N33" s="694"/>
      <c r="O33" s="694"/>
      <c r="P33" s="694"/>
      <c r="Q33" s="694"/>
      <c r="R33" s="695"/>
      <c r="S33" s="693">
        <f t="shared" si="40"/>
        <v>0</v>
      </c>
      <c r="T33" s="694"/>
      <c r="U33" s="694"/>
      <c r="V33" s="694"/>
      <c r="W33" s="694"/>
      <c r="X33" s="694"/>
      <c r="Y33" s="695"/>
      <c r="Z33" s="693">
        <f t="shared" si="41"/>
        <v>0</v>
      </c>
      <c r="AA33" s="694"/>
      <c r="AB33" s="694"/>
      <c r="AC33" s="694"/>
      <c r="AD33" s="694"/>
      <c r="AE33" s="694"/>
      <c r="AF33" s="695"/>
      <c r="AG33" s="693">
        <f t="shared" si="42"/>
        <v>0</v>
      </c>
      <c r="AH33" s="694"/>
      <c r="AI33" s="694"/>
      <c r="AJ33" s="694"/>
      <c r="AK33" s="694"/>
      <c r="AL33" s="694"/>
      <c r="AM33" s="695"/>
      <c r="AN33" s="693">
        <f t="shared" si="43"/>
        <v>0</v>
      </c>
      <c r="AO33" s="694"/>
      <c r="AP33" s="694"/>
      <c r="AQ33" s="694"/>
      <c r="AR33" s="694"/>
      <c r="AS33" s="694"/>
      <c r="AT33" s="695"/>
      <c r="AU33" s="693">
        <f t="shared" si="44"/>
        <v>0</v>
      </c>
      <c r="AV33" s="694"/>
      <c r="AW33" s="694"/>
      <c r="AX33" s="694"/>
      <c r="AY33" s="694"/>
      <c r="AZ33" s="694"/>
      <c r="BA33" s="695"/>
      <c r="BB33" s="693">
        <f t="shared" si="45"/>
        <v>0</v>
      </c>
      <c r="BC33" s="694"/>
      <c r="BD33" s="694"/>
      <c r="BE33" s="694"/>
      <c r="BF33" s="694"/>
      <c r="BG33" s="694"/>
      <c r="BH33" s="695"/>
      <c r="BI33" s="693">
        <f t="shared" si="46"/>
        <v>0</v>
      </c>
      <c r="BJ33" s="694"/>
      <c r="BK33" s="694"/>
      <c r="BL33" s="694"/>
      <c r="BM33" s="694"/>
      <c r="BN33" s="694"/>
      <c r="BO33" s="695"/>
      <c r="BP33" s="693">
        <f t="shared" si="47"/>
        <v>0</v>
      </c>
      <c r="BQ33" s="694"/>
      <c r="BR33" s="694"/>
      <c r="BS33" s="694"/>
      <c r="BT33" s="694"/>
      <c r="BU33" s="694"/>
      <c r="BV33" s="695"/>
      <c r="BW33" s="693">
        <f t="shared" si="48"/>
        <v>0</v>
      </c>
      <c r="BX33" s="694"/>
      <c r="BY33" s="694"/>
      <c r="BZ33" s="694"/>
      <c r="CA33" s="694"/>
      <c r="CB33" s="694"/>
      <c r="CC33" s="695"/>
      <c r="CD33" s="693">
        <f t="shared" si="49"/>
        <v>0</v>
      </c>
      <c r="CE33" s="694"/>
      <c r="CF33" s="694"/>
      <c r="CG33" s="694"/>
      <c r="CH33" s="694"/>
      <c r="CI33" s="694"/>
      <c r="CJ33" s="695"/>
      <c r="CK33" s="693">
        <f t="shared" si="50"/>
        <v>0</v>
      </c>
      <c r="CL33" s="694"/>
      <c r="CM33" s="694"/>
      <c r="CN33" s="694"/>
      <c r="CO33" s="694"/>
      <c r="CP33" s="694"/>
      <c r="CQ33" s="695"/>
      <c r="CR33" s="693">
        <f t="shared" si="51"/>
        <v>0</v>
      </c>
      <c r="CS33" s="694"/>
      <c r="CT33" s="694"/>
      <c r="CU33" s="694"/>
      <c r="CV33" s="694"/>
      <c r="CW33" s="694"/>
      <c r="CX33" s="695"/>
      <c r="CY33" s="693">
        <f t="shared" si="52"/>
        <v>0</v>
      </c>
      <c r="CZ33" s="694"/>
      <c r="DA33" s="694"/>
      <c r="DB33" s="694"/>
      <c r="DC33" s="694"/>
      <c r="DD33" s="694"/>
      <c r="DE33" s="695"/>
      <c r="DF33" s="693">
        <f t="shared" si="53"/>
        <v>0</v>
      </c>
      <c r="DG33" s="694"/>
      <c r="DH33" s="694"/>
      <c r="DI33" s="694"/>
      <c r="DJ33" s="694"/>
      <c r="DK33" s="694"/>
      <c r="DL33" s="698"/>
    </row>
    <row r="34" spans="1:116">
      <c r="A34" s="1652">
        <v>7</v>
      </c>
      <c r="B34" s="1652">
        <v>2</v>
      </c>
      <c r="C34" s="1681" t="s">
        <v>522</v>
      </c>
      <c r="D34" s="1660">
        <v>371</v>
      </c>
      <c r="E34" s="693">
        <f t="shared" si="38"/>
        <v>0</v>
      </c>
      <c r="F34" s="694"/>
      <c r="G34" s="694"/>
      <c r="H34" s="694"/>
      <c r="I34" s="694"/>
      <c r="J34" s="694"/>
      <c r="K34" s="695"/>
      <c r="L34" s="693">
        <f t="shared" si="39"/>
        <v>0</v>
      </c>
      <c r="M34" s="694"/>
      <c r="N34" s="694"/>
      <c r="O34" s="694"/>
      <c r="P34" s="694"/>
      <c r="Q34" s="694"/>
      <c r="R34" s="695"/>
      <c r="S34" s="693">
        <f t="shared" si="40"/>
        <v>0</v>
      </c>
      <c r="T34" s="694"/>
      <c r="U34" s="694"/>
      <c r="V34" s="694"/>
      <c r="W34" s="694"/>
      <c r="X34" s="694"/>
      <c r="Y34" s="695"/>
      <c r="Z34" s="693">
        <f t="shared" si="41"/>
        <v>0</v>
      </c>
      <c r="AA34" s="694"/>
      <c r="AB34" s="694"/>
      <c r="AC34" s="694"/>
      <c r="AD34" s="694"/>
      <c r="AE34" s="694"/>
      <c r="AF34" s="695"/>
      <c r="AG34" s="693">
        <f t="shared" si="42"/>
        <v>0</v>
      </c>
      <c r="AH34" s="694"/>
      <c r="AI34" s="694"/>
      <c r="AJ34" s="694"/>
      <c r="AK34" s="694"/>
      <c r="AL34" s="694"/>
      <c r="AM34" s="695"/>
      <c r="AN34" s="693">
        <f t="shared" si="43"/>
        <v>0</v>
      </c>
      <c r="AO34" s="694"/>
      <c r="AP34" s="694"/>
      <c r="AQ34" s="694"/>
      <c r="AR34" s="694"/>
      <c r="AS34" s="694"/>
      <c r="AT34" s="695"/>
      <c r="AU34" s="693">
        <f t="shared" si="44"/>
        <v>0</v>
      </c>
      <c r="AV34" s="694"/>
      <c r="AW34" s="694"/>
      <c r="AX34" s="694"/>
      <c r="AY34" s="694"/>
      <c r="AZ34" s="694"/>
      <c r="BA34" s="695"/>
      <c r="BB34" s="693">
        <f t="shared" si="45"/>
        <v>0</v>
      </c>
      <c r="BC34" s="694"/>
      <c r="BD34" s="694"/>
      <c r="BE34" s="694"/>
      <c r="BF34" s="694"/>
      <c r="BG34" s="694"/>
      <c r="BH34" s="695"/>
      <c r="BI34" s="693">
        <f t="shared" si="46"/>
        <v>0</v>
      </c>
      <c r="BJ34" s="694"/>
      <c r="BK34" s="694"/>
      <c r="BL34" s="694"/>
      <c r="BM34" s="694"/>
      <c r="BN34" s="694"/>
      <c r="BO34" s="695"/>
      <c r="BP34" s="693">
        <f t="shared" si="47"/>
        <v>0</v>
      </c>
      <c r="BQ34" s="694"/>
      <c r="BR34" s="694"/>
      <c r="BS34" s="694"/>
      <c r="BT34" s="694"/>
      <c r="BU34" s="694"/>
      <c r="BV34" s="695"/>
      <c r="BW34" s="693">
        <f t="shared" si="48"/>
        <v>0</v>
      </c>
      <c r="BX34" s="694"/>
      <c r="BY34" s="694"/>
      <c r="BZ34" s="694"/>
      <c r="CA34" s="694"/>
      <c r="CB34" s="694"/>
      <c r="CC34" s="695"/>
      <c r="CD34" s="693">
        <f t="shared" si="49"/>
        <v>0</v>
      </c>
      <c r="CE34" s="694"/>
      <c r="CF34" s="694"/>
      <c r="CG34" s="694"/>
      <c r="CH34" s="694"/>
      <c r="CI34" s="694"/>
      <c r="CJ34" s="695"/>
      <c r="CK34" s="693">
        <f t="shared" si="50"/>
        <v>0</v>
      </c>
      <c r="CL34" s="694"/>
      <c r="CM34" s="694"/>
      <c r="CN34" s="694"/>
      <c r="CO34" s="694"/>
      <c r="CP34" s="694"/>
      <c r="CQ34" s="695"/>
      <c r="CR34" s="693">
        <f t="shared" si="51"/>
        <v>0</v>
      </c>
      <c r="CS34" s="694"/>
      <c r="CT34" s="694"/>
      <c r="CU34" s="694"/>
      <c r="CV34" s="694"/>
      <c r="CW34" s="694"/>
      <c r="CX34" s="695"/>
      <c r="CY34" s="693">
        <f t="shared" si="52"/>
        <v>0</v>
      </c>
      <c r="CZ34" s="694"/>
      <c r="DA34" s="694"/>
      <c r="DB34" s="694"/>
      <c r="DC34" s="694"/>
      <c r="DD34" s="694"/>
      <c r="DE34" s="695"/>
      <c r="DF34" s="693">
        <f t="shared" si="53"/>
        <v>0</v>
      </c>
      <c r="DG34" s="694"/>
      <c r="DH34" s="694"/>
      <c r="DI34" s="694"/>
      <c r="DJ34" s="694"/>
      <c r="DK34" s="694"/>
      <c r="DL34" s="698"/>
    </row>
    <row r="35" spans="1:116" ht="38.25">
      <c r="A35" s="1652">
        <v>9</v>
      </c>
      <c r="B35" s="1652">
        <v>1</v>
      </c>
      <c r="C35" s="1679" t="s">
        <v>525</v>
      </c>
      <c r="D35" s="1680">
        <v>400</v>
      </c>
      <c r="E35" s="689">
        <f t="shared" ref="E35:BP35" si="54">SUM(E36:E42)</f>
        <v>19850.285</v>
      </c>
      <c r="F35" s="689">
        <f t="shared" si="54"/>
        <v>0</v>
      </c>
      <c r="G35" s="689">
        <f t="shared" si="54"/>
        <v>190.53299999999999</v>
      </c>
      <c r="H35" s="689">
        <f t="shared" si="54"/>
        <v>12530.698</v>
      </c>
      <c r="I35" s="689">
        <f t="shared" si="54"/>
        <v>7129.054000000001</v>
      </c>
      <c r="J35" s="689">
        <f t="shared" si="54"/>
        <v>0</v>
      </c>
      <c r="K35" s="690">
        <f t="shared" si="54"/>
        <v>0</v>
      </c>
      <c r="L35" s="689">
        <f t="shared" si="54"/>
        <v>175036.05778000003</v>
      </c>
      <c r="M35" s="689">
        <f t="shared" si="54"/>
        <v>0</v>
      </c>
      <c r="N35" s="689">
        <f t="shared" si="54"/>
        <v>1611.7967599999999</v>
      </c>
      <c r="O35" s="689">
        <f t="shared" si="54"/>
        <v>109373.09769000001</v>
      </c>
      <c r="P35" s="689">
        <f t="shared" si="54"/>
        <v>64051.163329999996</v>
      </c>
      <c r="Q35" s="689">
        <f t="shared" si="54"/>
        <v>0</v>
      </c>
      <c r="R35" s="690">
        <f t="shared" si="54"/>
        <v>0</v>
      </c>
      <c r="S35" s="689">
        <f t="shared" si="54"/>
        <v>295.92699999999996</v>
      </c>
      <c r="T35" s="689">
        <f t="shared" si="54"/>
        <v>0</v>
      </c>
      <c r="U35" s="689">
        <f t="shared" si="54"/>
        <v>0</v>
      </c>
      <c r="V35" s="689">
        <f t="shared" si="54"/>
        <v>292.86599999999999</v>
      </c>
      <c r="W35" s="689">
        <f t="shared" si="54"/>
        <v>3.0609999999999999</v>
      </c>
      <c r="X35" s="689">
        <f t="shared" si="54"/>
        <v>0</v>
      </c>
      <c r="Y35" s="690">
        <f t="shared" si="54"/>
        <v>0</v>
      </c>
      <c r="Z35" s="689">
        <f t="shared" si="54"/>
        <v>2783.4780800000003</v>
      </c>
      <c r="AA35" s="689">
        <f t="shared" si="54"/>
        <v>0</v>
      </c>
      <c r="AB35" s="689">
        <f t="shared" si="54"/>
        <v>0</v>
      </c>
      <c r="AC35" s="689">
        <f t="shared" si="54"/>
        <v>2754.2478200000005</v>
      </c>
      <c r="AD35" s="689">
        <f t="shared" si="54"/>
        <v>29.230260000000001</v>
      </c>
      <c r="AE35" s="689">
        <f t="shared" si="54"/>
        <v>0</v>
      </c>
      <c r="AF35" s="690">
        <f t="shared" si="54"/>
        <v>0</v>
      </c>
      <c r="AG35" s="689">
        <f t="shared" si="54"/>
        <v>0</v>
      </c>
      <c r="AH35" s="689">
        <f t="shared" si="54"/>
        <v>0</v>
      </c>
      <c r="AI35" s="689">
        <f t="shared" si="54"/>
        <v>0</v>
      </c>
      <c r="AJ35" s="689">
        <f t="shared" si="54"/>
        <v>0</v>
      </c>
      <c r="AK35" s="689">
        <f t="shared" si="54"/>
        <v>0</v>
      </c>
      <c r="AL35" s="689">
        <f t="shared" si="54"/>
        <v>0</v>
      </c>
      <c r="AM35" s="690">
        <f t="shared" si="54"/>
        <v>0</v>
      </c>
      <c r="AN35" s="689">
        <f t="shared" si="54"/>
        <v>0</v>
      </c>
      <c r="AO35" s="689">
        <f t="shared" si="54"/>
        <v>0</v>
      </c>
      <c r="AP35" s="689">
        <f t="shared" si="54"/>
        <v>0</v>
      </c>
      <c r="AQ35" s="689">
        <f t="shared" si="54"/>
        <v>0</v>
      </c>
      <c r="AR35" s="689">
        <f t="shared" si="54"/>
        <v>0</v>
      </c>
      <c r="AS35" s="689">
        <f t="shared" si="54"/>
        <v>0</v>
      </c>
      <c r="AT35" s="690">
        <f t="shared" si="54"/>
        <v>0</v>
      </c>
      <c r="AU35" s="689">
        <f t="shared" si="54"/>
        <v>0</v>
      </c>
      <c r="AV35" s="689">
        <f t="shared" si="54"/>
        <v>0</v>
      </c>
      <c r="AW35" s="689">
        <f t="shared" si="54"/>
        <v>0</v>
      </c>
      <c r="AX35" s="689">
        <f t="shared" si="54"/>
        <v>0</v>
      </c>
      <c r="AY35" s="689">
        <f t="shared" si="54"/>
        <v>0</v>
      </c>
      <c r="AZ35" s="689">
        <f t="shared" si="54"/>
        <v>0</v>
      </c>
      <c r="BA35" s="690">
        <f t="shared" si="54"/>
        <v>0</v>
      </c>
      <c r="BB35" s="689">
        <f t="shared" si="54"/>
        <v>0</v>
      </c>
      <c r="BC35" s="689">
        <f t="shared" si="54"/>
        <v>0</v>
      </c>
      <c r="BD35" s="689">
        <f t="shared" si="54"/>
        <v>0</v>
      </c>
      <c r="BE35" s="689">
        <f t="shared" si="54"/>
        <v>0</v>
      </c>
      <c r="BF35" s="689">
        <f t="shared" si="54"/>
        <v>0</v>
      </c>
      <c r="BG35" s="689">
        <f t="shared" si="54"/>
        <v>0</v>
      </c>
      <c r="BH35" s="690">
        <f t="shared" si="54"/>
        <v>0</v>
      </c>
      <c r="BI35" s="689">
        <f t="shared" si="54"/>
        <v>1211.152</v>
      </c>
      <c r="BJ35" s="689">
        <f t="shared" si="54"/>
        <v>0</v>
      </c>
      <c r="BK35" s="689">
        <f t="shared" si="54"/>
        <v>0</v>
      </c>
      <c r="BL35" s="689">
        <f t="shared" si="54"/>
        <v>87.923000000000002</v>
      </c>
      <c r="BM35" s="689">
        <f t="shared" si="54"/>
        <v>1123.229</v>
      </c>
      <c r="BN35" s="689">
        <f t="shared" si="54"/>
        <v>0</v>
      </c>
      <c r="BO35" s="690">
        <f t="shared" si="54"/>
        <v>0</v>
      </c>
      <c r="BP35" s="689">
        <f t="shared" si="54"/>
        <v>4775.9370100000006</v>
      </c>
      <c r="BQ35" s="689">
        <f t="shared" ref="BQ35:DL35" si="55">SUM(BQ36:BQ42)</f>
        <v>0</v>
      </c>
      <c r="BR35" s="689">
        <f t="shared" si="55"/>
        <v>0</v>
      </c>
      <c r="BS35" s="689">
        <f t="shared" si="55"/>
        <v>314.45769000000001</v>
      </c>
      <c r="BT35" s="689">
        <f t="shared" si="55"/>
        <v>4461.4793200000004</v>
      </c>
      <c r="BU35" s="689">
        <f t="shared" si="55"/>
        <v>0</v>
      </c>
      <c r="BV35" s="690">
        <f t="shared" si="55"/>
        <v>0</v>
      </c>
      <c r="BW35" s="689">
        <f t="shared" si="55"/>
        <v>1.843</v>
      </c>
      <c r="BX35" s="689">
        <f t="shared" si="55"/>
        <v>0</v>
      </c>
      <c r="BY35" s="689">
        <f t="shared" si="55"/>
        <v>0</v>
      </c>
      <c r="BZ35" s="689">
        <f t="shared" si="55"/>
        <v>0.11799999999999999</v>
      </c>
      <c r="CA35" s="689">
        <f t="shared" si="55"/>
        <v>1.7250000000000001</v>
      </c>
      <c r="CB35" s="689">
        <f t="shared" si="55"/>
        <v>0</v>
      </c>
      <c r="CC35" s="690">
        <f t="shared" si="55"/>
        <v>0</v>
      </c>
      <c r="CD35" s="689">
        <f t="shared" si="55"/>
        <v>2225.1187500000001</v>
      </c>
      <c r="CE35" s="689">
        <f t="shared" si="55"/>
        <v>0</v>
      </c>
      <c r="CF35" s="689">
        <f t="shared" si="55"/>
        <v>0</v>
      </c>
      <c r="CG35" s="689">
        <f t="shared" si="55"/>
        <v>142.46554999999998</v>
      </c>
      <c r="CH35" s="689">
        <f t="shared" si="55"/>
        <v>2082.6532000000002</v>
      </c>
      <c r="CI35" s="689">
        <f t="shared" si="55"/>
        <v>0</v>
      </c>
      <c r="CJ35" s="690">
        <f t="shared" si="55"/>
        <v>0</v>
      </c>
      <c r="CK35" s="689">
        <f t="shared" si="55"/>
        <v>2.0569999999999999</v>
      </c>
      <c r="CL35" s="689">
        <f t="shared" si="55"/>
        <v>0</v>
      </c>
      <c r="CM35" s="689">
        <f t="shared" si="55"/>
        <v>0</v>
      </c>
      <c r="CN35" s="689">
        <f t="shared" si="55"/>
        <v>0.123</v>
      </c>
      <c r="CO35" s="689">
        <f t="shared" si="55"/>
        <v>1.9339999999999999</v>
      </c>
      <c r="CP35" s="689">
        <f t="shared" si="55"/>
        <v>0</v>
      </c>
      <c r="CQ35" s="690">
        <f t="shared" si="55"/>
        <v>0</v>
      </c>
      <c r="CR35" s="689">
        <f t="shared" si="55"/>
        <v>2328.1900500000002</v>
      </c>
      <c r="CS35" s="689">
        <f t="shared" si="55"/>
        <v>0</v>
      </c>
      <c r="CT35" s="689">
        <f t="shared" si="55"/>
        <v>0</v>
      </c>
      <c r="CU35" s="689">
        <f t="shared" si="55"/>
        <v>344.29455000000007</v>
      </c>
      <c r="CV35" s="689">
        <f t="shared" si="55"/>
        <v>1983.8954999999999</v>
      </c>
      <c r="CW35" s="689">
        <f t="shared" si="55"/>
        <v>0</v>
      </c>
      <c r="CX35" s="690">
        <f t="shared" si="55"/>
        <v>0</v>
      </c>
      <c r="CY35" s="689">
        <f t="shared" si="55"/>
        <v>0</v>
      </c>
      <c r="CZ35" s="689">
        <f t="shared" si="55"/>
        <v>0</v>
      </c>
      <c r="DA35" s="689">
        <f t="shared" si="55"/>
        <v>0</v>
      </c>
      <c r="DB35" s="689">
        <f t="shared" si="55"/>
        <v>0</v>
      </c>
      <c r="DC35" s="689">
        <f t="shared" si="55"/>
        <v>0</v>
      </c>
      <c r="DD35" s="689">
        <f t="shared" si="55"/>
        <v>0</v>
      </c>
      <c r="DE35" s="690">
        <f t="shared" si="55"/>
        <v>0</v>
      </c>
      <c r="DF35" s="689">
        <f t="shared" si="55"/>
        <v>0</v>
      </c>
      <c r="DG35" s="689">
        <f t="shared" si="55"/>
        <v>0</v>
      </c>
      <c r="DH35" s="689">
        <f t="shared" si="55"/>
        <v>0</v>
      </c>
      <c r="DI35" s="689">
        <f t="shared" si="55"/>
        <v>0</v>
      </c>
      <c r="DJ35" s="689">
        <f t="shared" si="55"/>
        <v>0</v>
      </c>
      <c r="DK35" s="689">
        <f t="shared" si="55"/>
        <v>0</v>
      </c>
      <c r="DL35" s="699">
        <f t="shared" si="55"/>
        <v>0</v>
      </c>
    </row>
    <row r="36" spans="1:116">
      <c r="A36" s="1652">
        <v>1</v>
      </c>
      <c r="B36" s="1652">
        <v>1</v>
      </c>
      <c r="C36" s="1681" t="s">
        <v>516</v>
      </c>
      <c r="D36" s="1660">
        <v>411</v>
      </c>
      <c r="E36" s="693">
        <f>SUM(F36:K36)</f>
        <v>0</v>
      </c>
      <c r="F36" s="694"/>
      <c r="G36" s="694"/>
      <c r="H36" s="694"/>
      <c r="I36" s="694"/>
      <c r="J36" s="694"/>
      <c r="K36" s="695"/>
      <c r="L36" s="693">
        <f>SUM(M36:R36)</f>
        <v>0</v>
      </c>
      <c r="M36" s="694"/>
      <c r="N36" s="694"/>
      <c r="O36" s="694"/>
      <c r="P36" s="694"/>
      <c r="Q36" s="694"/>
      <c r="R36" s="695"/>
      <c r="S36" s="693">
        <f>SUM(T36:Y36)</f>
        <v>0</v>
      </c>
      <c r="T36" s="694"/>
      <c r="U36" s="694"/>
      <c r="V36" s="694"/>
      <c r="W36" s="694"/>
      <c r="X36" s="694"/>
      <c r="Y36" s="695"/>
      <c r="Z36" s="693">
        <f>SUM(AA36:AF36)</f>
        <v>0</v>
      </c>
      <c r="AA36" s="694"/>
      <c r="AB36" s="694"/>
      <c r="AC36" s="694"/>
      <c r="AD36" s="694"/>
      <c r="AE36" s="694"/>
      <c r="AF36" s="695"/>
      <c r="AG36" s="693">
        <f>SUM(AH36:AM36)</f>
        <v>0</v>
      </c>
      <c r="AH36" s="694"/>
      <c r="AI36" s="694">
        <f>'Раздел 2А'!AJ42</f>
        <v>0</v>
      </c>
      <c r="AJ36" s="694">
        <f>'Раздел 2А'!AK42</f>
        <v>0</v>
      </c>
      <c r="AK36" s="694">
        <f>'Раздел 2А'!AL42</f>
        <v>0</v>
      </c>
      <c r="AL36" s="694"/>
      <c r="AM36" s="695"/>
      <c r="AN36" s="693">
        <f>SUM(AO36:AT36)</f>
        <v>0</v>
      </c>
      <c r="AO36" s="694"/>
      <c r="AP36" s="694">
        <f>'Раздел 2А'!AQ42</f>
        <v>0</v>
      </c>
      <c r="AQ36" s="694">
        <f>'Раздел 2А'!AR42</f>
        <v>0</v>
      </c>
      <c r="AR36" s="694">
        <f>'Раздел 2А'!AS42</f>
        <v>0</v>
      </c>
      <c r="AS36" s="694"/>
      <c r="AT36" s="695"/>
      <c r="AU36" s="693">
        <f>SUM(AV36:BA36)</f>
        <v>0</v>
      </c>
      <c r="AV36" s="694"/>
      <c r="AW36" s="694">
        <f>'Раздел 2А'!AX42</f>
        <v>0</v>
      </c>
      <c r="AX36" s="694">
        <f>'Раздел 2А'!AY42</f>
        <v>0</v>
      </c>
      <c r="AY36" s="694">
        <f>'Раздел 2А'!AZ42</f>
        <v>0</v>
      </c>
      <c r="AZ36" s="694"/>
      <c r="BA36" s="695"/>
      <c r="BB36" s="693">
        <f>SUM(BC36:BH36)</f>
        <v>0</v>
      </c>
      <c r="BC36" s="694"/>
      <c r="BD36" s="694">
        <f>'Раздел 2А'!BE42</f>
        <v>0</v>
      </c>
      <c r="BE36" s="694">
        <f>'Раздел 2А'!BF42</f>
        <v>0</v>
      </c>
      <c r="BF36" s="694">
        <f>'Раздел 2А'!BG42</f>
        <v>0</v>
      </c>
      <c r="BG36" s="694"/>
      <c r="BH36" s="695"/>
      <c r="BI36" s="693">
        <f>SUM(BJ36:BO36)</f>
        <v>1211.152</v>
      </c>
      <c r="BJ36" s="694"/>
      <c r="BK36" s="694"/>
      <c r="BL36" s="694">
        <f>'Раздел 2А'!BM42</f>
        <v>87.923000000000002</v>
      </c>
      <c r="BM36" s="694">
        <f>'Раздел 2А'!BN42</f>
        <v>1123.229</v>
      </c>
      <c r="BN36" s="694"/>
      <c r="BO36" s="695"/>
      <c r="BP36" s="693">
        <f>SUM(BQ36:BV36)</f>
        <v>4775.9370100000006</v>
      </c>
      <c r="BQ36" s="694"/>
      <c r="BR36" s="694"/>
      <c r="BS36" s="694">
        <f>'Раздел 2А'!BT42</f>
        <v>314.45769000000001</v>
      </c>
      <c r="BT36" s="694">
        <f>'Раздел 2А'!BU42</f>
        <v>4461.4793200000004</v>
      </c>
      <c r="BU36" s="694"/>
      <c r="BV36" s="695"/>
      <c r="BW36" s="693">
        <f>SUM(BX36:CC36)</f>
        <v>1.843</v>
      </c>
      <c r="BX36" s="694"/>
      <c r="BY36" s="694"/>
      <c r="BZ36" s="694">
        <f>'Раздел 2А'!CA42</f>
        <v>0.11799999999999999</v>
      </c>
      <c r="CA36" s="694">
        <f>'Раздел 2А'!CB42</f>
        <v>1.7250000000000001</v>
      </c>
      <c r="CB36" s="694"/>
      <c r="CC36" s="695"/>
      <c r="CD36" s="693">
        <f>SUM(CE36:CJ36)</f>
        <v>2225.1187500000001</v>
      </c>
      <c r="CE36" s="694"/>
      <c r="CF36" s="694"/>
      <c r="CG36" s="694">
        <f>'Раздел 2А'!CH42</f>
        <v>142.46554999999998</v>
      </c>
      <c r="CH36" s="694">
        <f>'Раздел 2А'!CI42</f>
        <v>2082.6532000000002</v>
      </c>
      <c r="CI36" s="694"/>
      <c r="CJ36" s="695"/>
      <c r="CK36" s="693">
        <f>SUM(CL36:CQ36)</f>
        <v>2.0569999999999999</v>
      </c>
      <c r="CL36" s="694"/>
      <c r="CM36" s="694"/>
      <c r="CN36" s="694">
        <f>'Раздел 2А'!CO42</f>
        <v>0.123</v>
      </c>
      <c r="CO36" s="694">
        <f>'Раздел 2А'!CP42</f>
        <v>1.9339999999999999</v>
      </c>
      <c r="CP36" s="694"/>
      <c r="CQ36" s="695"/>
      <c r="CR36" s="693">
        <f>SUM(CS36:CX36)</f>
        <v>2328.1900500000002</v>
      </c>
      <c r="CS36" s="694"/>
      <c r="CT36" s="694"/>
      <c r="CU36" s="694">
        <f>'Раздел 2А'!CV42</f>
        <v>344.29455000000007</v>
      </c>
      <c r="CV36" s="694">
        <f>'Раздел 2А'!CW42</f>
        <v>1983.8954999999999</v>
      </c>
      <c r="CW36" s="694"/>
      <c r="CX36" s="695"/>
      <c r="CY36" s="693">
        <f>SUM(CZ36:DE36)</f>
        <v>0</v>
      </c>
      <c r="CZ36" s="694"/>
      <c r="DA36" s="694"/>
      <c r="DB36" s="694"/>
      <c r="DC36" s="694"/>
      <c r="DD36" s="694"/>
      <c r="DE36" s="695"/>
      <c r="DF36" s="693">
        <f>SUM(DG36:DL36)</f>
        <v>0</v>
      </c>
      <c r="DG36" s="694"/>
      <c r="DH36" s="694"/>
      <c r="DI36" s="694"/>
      <c r="DJ36" s="694"/>
      <c r="DK36" s="694"/>
      <c r="DL36" s="698"/>
    </row>
    <row r="37" spans="1:116" ht="25.5">
      <c r="A37" s="1652">
        <v>2</v>
      </c>
      <c r="B37" s="1652">
        <v>1</v>
      </c>
      <c r="C37" s="1681" t="s">
        <v>517</v>
      </c>
      <c r="D37" s="1660">
        <v>421</v>
      </c>
      <c r="E37" s="693">
        <f t="shared" ref="E37:E42" si="56">SUM(F37:K37)</f>
        <v>0</v>
      </c>
      <c r="F37" s="694"/>
      <c r="G37" s="694"/>
      <c r="H37" s="694"/>
      <c r="I37" s="694"/>
      <c r="J37" s="694"/>
      <c r="K37" s="695"/>
      <c r="L37" s="693">
        <f t="shared" ref="L37:L43" si="57">SUM(M37:R37)</f>
        <v>0</v>
      </c>
      <c r="M37" s="694"/>
      <c r="N37" s="694"/>
      <c r="O37" s="694"/>
      <c r="P37" s="694"/>
      <c r="Q37" s="694"/>
      <c r="R37" s="695"/>
      <c r="S37" s="693">
        <f t="shared" ref="S37:S43" si="58">SUM(T37:Y37)</f>
        <v>0</v>
      </c>
      <c r="T37" s="694"/>
      <c r="U37" s="694"/>
      <c r="V37" s="694"/>
      <c r="W37" s="694"/>
      <c r="X37" s="694"/>
      <c r="Y37" s="695"/>
      <c r="Z37" s="693">
        <f t="shared" ref="Z37:Z43" si="59">SUM(AA37:AF37)</f>
        <v>0</v>
      </c>
      <c r="AA37" s="694"/>
      <c r="AB37" s="694"/>
      <c r="AC37" s="694"/>
      <c r="AD37" s="694"/>
      <c r="AE37" s="694"/>
      <c r="AF37" s="695"/>
      <c r="AG37" s="693">
        <f t="shared" ref="AG37:AG43" si="60">SUM(AH37:AM37)</f>
        <v>0</v>
      </c>
      <c r="AH37" s="694"/>
      <c r="AI37" s="694"/>
      <c r="AJ37" s="694"/>
      <c r="AK37" s="694"/>
      <c r="AL37" s="694"/>
      <c r="AM37" s="695"/>
      <c r="AN37" s="693">
        <f t="shared" ref="AN37:AN43" si="61">SUM(AO37:AT37)</f>
        <v>0</v>
      </c>
      <c r="AO37" s="694"/>
      <c r="AP37" s="694"/>
      <c r="AQ37" s="694"/>
      <c r="AR37" s="694"/>
      <c r="AS37" s="694"/>
      <c r="AT37" s="695"/>
      <c r="AU37" s="693">
        <f t="shared" ref="AU37:AU43" si="62">SUM(AV37:BA37)</f>
        <v>0</v>
      </c>
      <c r="AV37" s="694"/>
      <c r="AW37" s="694"/>
      <c r="AX37" s="694"/>
      <c r="AY37" s="694"/>
      <c r="AZ37" s="694"/>
      <c r="BA37" s="695"/>
      <c r="BB37" s="693">
        <f t="shared" ref="BB37:BB43" si="63">SUM(BC37:BH37)</f>
        <v>0</v>
      </c>
      <c r="BC37" s="694"/>
      <c r="BD37" s="694"/>
      <c r="BE37" s="694"/>
      <c r="BF37" s="694"/>
      <c r="BG37" s="694"/>
      <c r="BH37" s="695"/>
      <c r="BI37" s="693">
        <f t="shared" ref="BI37:BI43" si="64">SUM(BJ37:BO37)</f>
        <v>0</v>
      </c>
      <c r="BJ37" s="694"/>
      <c r="BK37" s="694"/>
      <c r="BL37" s="694"/>
      <c r="BM37" s="694"/>
      <c r="BN37" s="694"/>
      <c r="BO37" s="695"/>
      <c r="BP37" s="693">
        <f t="shared" ref="BP37:BP43" si="65">SUM(BQ37:BV37)</f>
        <v>0</v>
      </c>
      <c r="BQ37" s="694"/>
      <c r="BR37" s="694"/>
      <c r="BS37" s="694"/>
      <c r="BT37" s="694"/>
      <c r="BU37" s="694"/>
      <c r="BV37" s="695"/>
      <c r="BW37" s="693">
        <f t="shared" ref="BW37:BW43" si="66">SUM(BX37:CC37)</f>
        <v>0</v>
      </c>
      <c r="BX37" s="694"/>
      <c r="BY37" s="694"/>
      <c r="BZ37" s="694"/>
      <c r="CA37" s="694"/>
      <c r="CB37" s="694"/>
      <c r="CC37" s="695"/>
      <c r="CD37" s="693">
        <f t="shared" ref="CD37:CD43" si="67">SUM(CE37:CJ37)</f>
        <v>0</v>
      </c>
      <c r="CE37" s="694"/>
      <c r="CF37" s="694"/>
      <c r="CG37" s="694"/>
      <c r="CH37" s="694"/>
      <c r="CI37" s="694"/>
      <c r="CJ37" s="695"/>
      <c r="CK37" s="693">
        <f t="shared" ref="CK37:CK43" si="68">SUM(CL37:CQ37)</f>
        <v>0</v>
      </c>
      <c r="CL37" s="694"/>
      <c r="CM37" s="694"/>
      <c r="CN37" s="694"/>
      <c r="CO37" s="694"/>
      <c r="CP37" s="694"/>
      <c r="CQ37" s="695"/>
      <c r="CR37" s="693">
        <f t="shared" ref="CR37:CR43" si="69">SUM(CS37:CX37)</f>
        <v>0</v>
      </c>
      <c r="CS37" s="694"/>
      <c r="CT37" s="694"/>
      <c r="CU37" s="694"/>
      <c r="CV37" s="694"/>
      <c r="CW37" s="694"/>
      <c r="CX37" s="695"/>
      <c r="CY37" s="693">
        <f t="shared" ref="CY37:CY43" si="70">SUM(CZ37:DE37)</f>
        <v>0</v>
      </c>
      <c r="CZ37" s="694"/>
      <c r="DA37" s="694"/>
      <c r="DB37" s="694"/>
      <c r="DC37" s="694"/>
      <c r="DD37" s="694"/>
      <c r="DE37" s="695"/>
      <c r="DF37" s="693">
        <f t="shared" ref="DF37:DF43" si="71">SUM(DG37:DL37)</f>
        <v>0</v>
      </c>
      <c r="DG37" s="694"/>
      <c r="DH37" s="694"/>
      <c r="DI37" s="694"/>
      <c r="DJ37" s="694"/>
      <c r="DK37" s="694"/>
      <c r="DL37" s="698"/>
    </row>
    <row r="38" spans="1:116">
      <c r="A38" s="1652">
        <v>3</v>
      </c>
      <c r="B38" s="1652">
        <v>1</v>
      </c>
      <c r="C38" s="1681" t="s">
        <v>518</v>
      </c>
      <c r="D38" s="1660">
        <v>431</v>
      </c>
      <c r="E38" s="693">
        <f t="shared" si="56"/>
        <v>0</v>
      </c>
      <c r="F38" s="694"/>
      <c r="G38" s="694"/>
      <c r="H38" s="694"/>
      <c r="I38" s="694"/>
      <c r="J38" s="694"/>
      <c r="K38" s="695"/>
      <c r="L38" s="693">
        <f t="shared" si="57"/>
        <v>0</v>
      </c>
      <c r="M38" s="694"/>
      <c r="N38" s="694"/>
      <c r="O38" s="694"/>
      <c r="P38" s="694"/>
      <c r="Q38" s="694"/>
      <c r="R38" s="695"/>
      <c r="S38" s="693">
        <f t="shared" si="58"/>
        <v>0</v>
      </c>
      <c r="T38" s="694"/>
      <c r="U38" s="694"/>
      <c r="V38" s="694"/>
      <c r="W38" s="694"/>
      <c r="X38" s="694"/>
      <c r="Y38" s="695"/>
      <c r="Z38" s="693">
        <f t="shared" si="59"/>
        <v>0</v>
      </c>
      <c r="AA38" s="694"/>
      <c r="AB38" s="694"/>
      <c r="AC38" s="694"/>
      <c r="AD38" s="694"/>
      <c r="AE38" s="694"/>
      <c r="AF38" s="695"/>
      <c r="AG38" s="693">
        <f t="shared" si="60"/>
        <v>0</v>
      </c>
      <c r="AH38" s="694"/>
      <c r="AI38" s="694"/>
      <c r="AJ38" s="694"/>
      <c r="AK38" s="694"/>
      <c r="AL38" s="694"/>
      <c r="AM38" s="695"/>
      <c r="AN38" s="693">
        <f t="shared" si="61"/>
        <v>0</v>
      </c>
      <c r="AO38" s="694"/>
      <c r="AP38" s="694"/>
      <c r="AQ38" s="694"/>
      <c r="AR38" s="694"/>
      <c r="AS38" s="694"/>
      <c r="AT38" s="695"/>
      <c r="AU38" s="693">
        <f t="shared" si="62"/>
        <v>0</v>
      </c>
      <c r="AV38" s="694"/>
      <c r="AW38" s="694"/>
      <c r="AX38" s="694"/>
      <c r="AY38" s="694"/>
      <c r="AZ38" s="694"/>
      <c r="BA38" s="695"/>
      <c r="BB38" s="693">
        <f t="shared" si="63"/>
        <v>0</v>
      </c>
      <c r="BC38" s="694"/>
      <c r="BD38" s="694"/>
      <c r="BE38" s="694"/>
      <c r="BF38" s="694"/>
      <c r="BG38" s="694"/>
      <c r="BH38" s="695"/>
      <c r="BI38" s="693">
        <f t="shared" si="64"/>
        <v>0</v>
      </c>
      <c r="BJ38" s="694"/>
      <c r="BK38" s="694"/>
      <c r="BL38" s="694"/>
      <c r="BM38" s="694"/>
      <c r="BN38" s="694"/>
      <c r="BO38" s="695"/>
      <c r="BP38" s="693">
        <f t="shared" si="65"/>
        <v>0</v>
      </c>
      <c r="BQ38" s="694"/>
      <c r="BR38" s="694"/>
      <c r="BS38" s="694"/>
      <c r="BT38" s="694"/>
      <c r="BU38" s="694"/>
      <c r="BV38" s="695"/>
      <c r="BW38" s="693">
        <f t="shared" si="66"/>
        <v>0</v>
      </c>
      <c r="BX38" s="694"/>
      <c r="BY38" s="694"/>
      <c r="BZ38" s="694"/>
      <c r="CA38" s="694"/>
      <c r="CB38" s="694"/>
      <c r="CC38" s="695"/>
      <c r="CD38" s="693">
        <f t="shared" si="67"/>
        <v>0</v>
      </c>
      <c r="CE38" s="694"/>
      <c r="CF38" s="694"/>
      <c r="CG38" s="694"/>
      <c r="CH38" s="694"/>
      <c r="CI38" s="694"/>
      <c r="CJ38" s="695"/>
      <c r="CK38" s="693">
        <f t="shared" si="68"/>
        <v>0</v>
      </c>
      <c r="CL38" s="694"/>
      <c r="CM38" s="694"/>
      <c r="CN38" s="694"/>
      <c r="CO38" s="694"/>
      <c r="CP38" s="694"/>
      <c r="CQ38" s="695"/>
      <c r="CR38" s="693">
        <f t="shared" si="69"/>
        <v>0</v>
      </c>
      <c r="CS38" s="694"/>
      <c r="CT38" s="694"/>
      <c r="CU38" s="694"/>
      <c r="CV38" s="694"/>
      <c r="CW38" s="694"/>
      <c r="CX38" s="695"/>
      <c r="CY38" s="693">
        <f t="shared" si="70"/>
        <v>0</v>
      </c>
      <c r="CZ38" s="694"/>
      <c r="DA38" s="694"/>
      <c r="DB38" s="694"/>
      <c r="DC38" s="694"/>
      <c r="DD38" s="694"/>
      <c r="DE38" s="695"/>
      <c r="DF38" s="693">
        <f t="shared" si="71"/>
        <v>0</v>
      </c>
      <c r="DG38" s="694"/>
      <c r="DH38" s="694"/>
      <c r="DI38" s="694"/>
      <c r="DJ38" s="694"/>
      <c r="DK38" s="694"/>
      <c r="DL38" s="698"/>
    </row>
    <row r="39" spans="1:116">
      <c r="A39" s="1652">
        <v>4</v>
      </c>
      <c r="B39" s="1652">
        <v>1</v>
      </c>
      <c r="C39" s="1681" t="s">
        <v>519</v>
      </c>
      <c r="D39" s="1660">
        <v>441</v>
      </c>
      <c r="E39" s="693">
        <f t="shared" si="56"/>
        <v>14113.965</v>
      </c>
      <c r="F39" s="694"/>
      <c r="G39" s="694">
        <f>'Раздел 2А'!H45</f>
        <v>190.53299999999999</v>
      </c>
      <c r="H39" s="694">
        <f>'Раздел 2А'!I45</f>
        <v>10007.896000000001</v>
      </c>
      <c r="I39" s="694">
        <f>'Раздел 2А'!J45</f>
        <v>3915.536000000001</v>
      </c>
      <c r="J39" s="694"/>
      <c r="K39" s="695"/>
      <c r="L39" s="693">
        <f t="shared" si="57"/>
        <v>120236.33578000001</v>
      </c>
      <c r="M39" s="694"/>
      <c r="N39" s="694">
        <f>'Раздел 2А'!O45</f>
        <v>1611.7967599999999</v>
      </c>
      <c r="O39" s="694">
        <f>'Раздел 2А'!P45</f>
        <v>84109.674690000014</v>
      </c>
      <c r="P39" s="694">
        <f>'Раздел 2А'!Q45</f>
        <v>34514.864329999997</v>
      </c>
      <c r="Q39" s="694"/>
      <c r="R39" s="695"/>
      <c r="S39" s="693">
        <f t="shared" si="58"/>
        <v>0</v>
      </c>
      <c r="T39" s="694"/>
      <c r="U39" s="694"/>
      <c r="V39" s="694"/>
      <c r="W39" s="694"/>
      <c r="X39" s="694"/>
      <c r="Y39" s="695"/>
      <c r="Z39" s="693">
        <f t="shared" si="59"/>
        <v>0</v>
      </c>
      <c r="AA39" s="694"/>
      <c r="AB39" s="694"/>
      <c r="AC39" s="694"/>
      <c r="AD39" s="694"/>
      <c r="AE39" s="694"/>
      <c r="AF39" s="695"/>
      <c r="AG39" s="693">
        <f t="shared" si="60"/>
        <v>0</v>
      </c>
      <c r="AH39" s="694"/>
      <c r="AI39" s="694"/>
      <c r="AJ39" s="694"/>
      <c r="AK39" s="694"/>
      <c r="AL39" s="694"/>
      <c r="AM39" s="695"/>
      <c r="AN39" s="693">
        <f t="shared" si="61"/>
        <v>0</v>
      </c>
      <c r="AO39" s="694"/>
      <c r="AP39" s="694"/>
      <c r="AQ39" s="694"/>
      <c r="AR39" s="694"/>
      <c r="AS39" s="694"/>
      <c r="AT39" s="695"/>
      <c r="AU39" s="693">
        <f t="shared" si="62"/>
        <v>0</v>
      </c>
      <c r="AV39" s="694"/>
      <c r="AW39" s="694"/>
      <c r="AX39" s="694"/>
      <c r="AY39" s="694"/>
      <c r="AZ39" s="694"/>
      <c r="BA39" s="695"/>
      <c r="BB39" s="693">
        <f t="shared" si="63"/>
        <v>0</v>
      </c>
      <c r="BC39" s="694"/>
      <c r="BD39" s="694"/>
      <c r="BE39" s="694"/>
      <c r="BF39" s="694"/>
      <c r="BG39" s="694"/>
      <c r="BH39" s="695"/>
      <c r="BI39" s="693">
        <f t="shared" si="64"/>
        <v>0</v>
      </c>
      <c r="BJ39" s="694"/>
      <c r="BK39" s="694"/>
      <c r="BL39" s="694"/>
      <c r="BM39" s="694"/>
      <c r="BN39" s="694"/>
      <c r="BO39" s="695"/>
      <c r="BP39" s="693">
        <f t="shared" si="65"/>
        <v>0</v>
      </c>
      <c r="BQ39" s="694"/>
      <c r="BR39" s="694"/>
      <c r="BS39" s="694"/>
      <c r="BT39" s="694"/>
      <c r="BU39" s="694"/>
      <c r="BV39" s="695"/>
      <c r="BW39" s="693">
        <f t="shared" si="66"/>
        <v>0</v>
      </c>
      <c r="BX39" s="694"/>
      <c r="BY39" s="694"/>
      <c r="BZ39" s="694"/>
      <c r="CA39" s="694"/>
      <c r="CB39" s="694"/>
      <c r="CC39" s="695"/>
      <c r="CD39" s="693">
        <f t="shared" si="67"/>
        <v>0</v>
      </c>
      <c r="CE39" s="694"/>
      <c r="CF39" s="694"/>
      <c r="CG39" s="694"/>
      <c r="CH39" s="694"/>
      <c r="CI39" s="694"/>
      <c r="CJ39" s="695"/>
      <c r="CK39" s="693">
        <f t="shared" si="68"/>
        <v>0</v>
      </c>
      <c r="CL39" s="694"/>
      <c r="CM39" s="694"/>
      <c r="CN39" s="694"/>
      <c r="CO39" s="694"/>
      <c r="CP39" s="694"/>
      <c r="CQ39" s="695"/>
      <c r="CR39" s="693">
        <f t="shared" si="69"/>
        <v>0</v>
      </c>
      <c r="CS39" s="694"/>
      <c r="CT39" s="694"/>
      <c r="CU39" s="694"/>
      <c r="CV39" s="694"/>
      <c r="CW39" s="694"/>
      <c r="CX39" s="695"/>
      <c r="CY39" s="693">
        <f t="shared" si="70"/>
        <v>0</v>
      </c>
      <c r="CZ39" s="694"/>
      <c r="DA39" s="694"/>
      <c r="DB39" s="694"/>
      <c r="DC39" s="694"/>
      <c r="DD39" s="694"/>
      <c r="DE39" s="695"/>
      <c r="DF39" s="693">
        <f t="shared" si="71"/>
        <v>0</v>
      </c>
      <c r="DG39" s="694"/>
      <c r="DH39" s="694"/>
      <c r="DI39" s="694"/>
      <c r="DJ39" s="694"/>
      <c r="DK39" s="694"/>
      <c r="DL39" s="698"/>
    </row>
    <row r="40" spans="1:116">
      <c r="A40" s="1652">
        <v>5</v>
      </c>
      <c r="B40" s="1652">
        <v>1</v>
      </c>
      <c r="C40" s="1681" t="s">
        <v>631</v>
      </c>
      <c r="D40" s="1660">
        <v>451</v>
      </c>
      <c r="E40" s="693">
        <f t="shared" si="56"/>
        <v>122.85300000000001</v>
      </c>
      <c r="F40" s="694"/>
      <c r="G40" s="694"/>
      <c r="H40" s="694">
        <f>'Раздел 2А'!I46</f>
        <v>102.998</v>
      </c>
      <c r="I40" s="694">
        <f>'Раздел 2А'!J46</f>
        <v>19.855</v>
      </c>
      <c r="J40" s="694"/>
      <c r="K40" s="695"/>
      <c r="L40" s="693">
        <f t="shared" si="57"/>
        <v>1268.729</v>
      </c>
      <c r="M40" s="694"/>
      <c r="N40" s="694"/>
      <c r="O40" s="694">
        <f>'Раздел 2А'!P46</f>
        <v>1099.5450000000001</v>
      </c>
      <c r="P40" s="694">
        <f>'Раздел 2А'!Q46</f>
        <v>169.184</v>
      </c>
      <c r="Q40" s="694"/>
      <c r="R40" s="695"/>
      <c r="S40" s="693">
        <f t="shared" si="58"/>
        <v>0</v>
      </c>
      <c r="T40" s="694"/>
      <c r="U40" s="694"/>
      <c r="V40" s="694"/>
      <c r="W40" s="694"/>
      <c r="X40" s="694"/>
      <c r="Y40" s="695"/>
      <c r="Z40" s="693">
        <f t="shared" si="59"/>
        <v>0</v>
      </c>
      <c r="AA40" s="694"/>
      <c r="AB40" s="694"/>
      <c r="AC40" s="694"/>
      <c r="AD40" s="694"/>
      <c r="AE40" s="694"/>
      <c r="AF40" s="695"/>
      <c r="AG40" s="693">
        <f t="shared" si="60"/>
        <v>0</v>
      </c>
      <c r="AH40" s="694"/>
      <c r="AI40" s="694"/>
      <c r="AJ40" s="694"/>
      <c r="AK40" s="694"/>
      <c r="AL40" s="694"/>
      <c r="AM40" s="695"/>
      <c r="AN40" s="693">
        <f t="shared" si="61"/>
        <v>0</v>
      </c>
      <c r="AO40" s="694"/>
      <c r="AP40" s="694"/>
      <c r="AQ40" s="694"/>
      <c r="AR40" s="694"/>
      <c r="AS40" s="694"/>
      <c r="AT40" s="695"/>
      <c r="AU40" s="693">
        <f t="shared" si="62"/>
        <v>0</v>
      </c>
      <c r="AV40" s="694"/>
      <c r="AW40" s="694"/>
      <c r="AX40" s="694"/>
      <c r="AY40" s="694"/>
      <c r="AZ40" s="694"/>
      <c r="BA40" s="695"/>
      <c r="BB40" s="693">
        <f t="shared" si="63"/>
        <v>0</v>
      </c>
      <c r="BC40" s="694"/>
      <c r="BD40" s="694"/>
      <c r="BE40" s="694"/>
      <c r="BF40" s="694"/>
      <c r="BG40" s="694"/>
      <c r="BH40" s="695"/>
      <c r="BI40" s="693">
        <f t="shared" si="64"/>
        <v>0</v>
      </c>
      <c r="BJ40" s="694"/>
      <c r="BK40" s="694"/>
      <c r="BL40" s="694"/>
      <c r="BM40" s="694"/>
      <c r="BN40" s="694"/>
      <c r="BO40" s="695"/>
      <c r="BP40" s="693">
        <f t="shared" si="65"/>
        <v>0</v>
      </c>
      <c r="BQ40" s="694"/>
      <c r="BR40" s="694"/>
      <c r="BS40" s="694"/>
      <c r="BT40" s="694"/>
      <c r="BU40" s="694"/>
      <c r="BV40" s="695"/>
      <c r="BW40" s="693">
        <f t="shared" si="66"/>
        <v>0</v>
      </c>
      <c r="BX40" s="694"/>
      <c r="BY40" s="694"/>
      <c r="BZ40" s="694"/>
      <c r="CA40" s="694"/>
      <c r="CB40" s="694"/>
      <c r="CC40" s="695"/>
      <c r="CD40" s="693">
        <f t="shared" si="67"/>
        <v>0</v>
      </c>
      <c r="CE40" s="694"/>
      <c r="CF40" s="694"/>
      <c r="CG40" s="694"/>
      <c r="CH40" s="694"/>
      <c r="CI40" s="694"/>
      <c r="CJ40" s="695"/>
      <c r="CK40" s="693">
        <f t="shared" si="68"/>
        <v>0</v>
      </c>
      <c r="CL40" s="694"/>
      <c r="CM40" s="694"/>
      <c r="CN40" s="694"/>
      <c r="CO40" s="694"/>
      <c r="CP40" s="694"/>
      <c r="CQ40" s="695"/>
      <c r="CR40" s="693">
        <f t="shared" si="69"/>
        <v>0</v>
      </c>
      <c r="CS40" s="694"/>
      <c r="CT40" s="694"/>
      <c r="CU40" s="694"/>
      <c r="CV40" s="694"/>
      <c r="CW40" s="694"/>
      <c r="CX40" s="695"/>
      <c r="CY40" s="693">
        <f t="shared" si="70"/>
        <v>0</v>
      </c>
      <c r="CZ40" s="694"/>
      <c r="DA40" s="694"/>
      <c r="DB40" s="694"/>
      <c r="DC40" s="694"/>
      <c r="DD40" s="694"/>
      <c r="DE40" s="695"/>
      <c r="DF40" s="693">
        <f t="shared" si="71"/>
        <v>0</v>
      </c>
      <c r="DG40" s="694"/>
      <c r="DH40" s="694"/>
      <c r="DI40" s="694"/>
      <c r="DJ40" s="694"/>
      <c r="DK40" s="694"/>
      <c r="DL40" s="698"/>
    </row>
    <row r="41" spans="1:116">
      <c r="A41" s="1652">
        <v>6</v>
      </c>
      <c r="B41" s="1652">
        <v>1</v>
      </c>
      <c r="C41" s="1681" t="s">
        <v>521</v>
      </c>
      <c r="D41" s="1660">
        <v>461</v>
      </c>
      <c r="E41" s="693">
        <f t="shared" si="56"/>
        <v>4162.308</v>
      </c>
      <c r="F41" s="694"/>
      <c r="G41" s="694"/>
      <c r="H41" s="694">
        <f>'Раздел 2А'!I47</f>
        <v>1166.971</v>
      </c>
      <c r="I41" s="694">
        <f>'Раздел 2А'!J47</f>
        <v>2995.337</v>
      </c>
      <c r="J41" s="694"/>
      <c r="K41" s="695"/>
      <c r="L41" s="693">
        <f t="shared" si="57"/>
        <v>39815.281000000003</v>
      </c>
      <c r="M41" s="694"/>
      <c r="N41" s="694"/>
      <c r="O41" s="694">
        <f>'Раздел 2А'!P47</f>
        <v>11647.897000000001</v>
      </c>
      <c r="P41" s="694">
        <f>'Раздел 2А'!Q47</f>
        <v>28167.383999999998</v>
      </c>
      <c r="Q41" s="694"/>
      <c r="R41" s="695"/>
      <c r="S41" s="693">
        <f t="shared" si="58"/>
        <v>295.92699999999996</v>
      </c>
      <c r="T41" s="694"/>
      <c r="U41" s="694"/>
      <c r="V41" s="694">
        <f>'Раздел 2А'!W47</f>
        <v>292.86599999999999</v>
      </c>
      <c r="W41" s="694">
        <f>'Раздел 2А'!X47</f>
        <v>3.0609999999999999</v>
      </c>
      <c r="X41" s="694"/>
      <c r="Y41" s="695"/>
      <c r="Z41" s="693">
        <f t="shared" si="59"/>
        <v>2783.4780800000003</v>
      </c>
      <c r="AA41" s="694"/>
      <c r="AB41" s="694"/>
      <c r="AC41" s="694">
        <f>'Раздел 2А'!AD47</f>
        <v>2754.2478200000005</v>
      </c>
      <c r="AD41" s="694">
        <f>'Раздел 2А'!AE47</f>
        <v>29.230260000000001</v>
      </c>
      <c r="AE41" s="694"/>
      <c r="AF41" s="695"/>
      <c r="AG41" s="693">
        <f t="shared" si="60"/>
        <v>0</v>
      </c>
      <c r="AH41" s="694"/>
      <c r="AI41" s="694"/>
      <c r="AJ41" s="694"/>
      <c r="AK41" s="694"/>
      <c r="AL41" s="694"/>
      <c r="AM41" s="695"/>
      <c r="AN41" s="693">
        <f t="shared" si="61"/>
        <v>0</v>
      </c>
      <c r="AO41" s="694"/>
      <c r="AP41" s="694"/>
      <c r="AQ41" s="694"/>
      <c r="AR41" s="694"/>
      <c r="AS41" s="694"/>
      <c r="AT41" s="695"/>
      <c r="AU41" s="693">
        <f t="shared" si="62"/>
        <v>0</v>
      </c>
      <c r="AV41" s="694"/>
      <c r="AW41" s="694"/>
      <c r="AX41" s="694"/>
      <c r="AY41" s="694"/>
      <c r="AZ41" s="694"/>
      <c r="BA41" s="695"/>
      <c r="BB41" s="693">
        <f t="shared" si="63"/>
        <v>0</v>
      </c>
      <c r="BC41" s="694"/>
      <c r="BD41" s="694"/>
      <c r="BE41" s="694"/>
      <c r="BF41" s="694"/>
      <c r="BG41" s="694"/>
      <c r="BH41" s="695"/>
      <c r="BI41" s="693">
        <f t="shared" si="64"/>
        <v>0</v>
      </c>
      <c r="BJ41" s="694"/>
      <c r="BK41" s="694"/>
      <c r="BL41" s="694"/>
      <c r="BM41" s="694"/>
      <c r="BN41" s="694"/>
      <c r="BO41" s="695"/>
      <c r="BP41" s="693">
        <f t="shared" si="65"/>
        <v>0</v>
      </c>
      <c r="BQ41" s="694"/>
      <c r="BR41" s="694"/>
      <c r="BS41" s="694"/>
      <c r="BT41" s="694"/>
      <c r="BU41" s="694"/>
      <c r="BV41" s="695"/>
      <c r="BW41" s="693">
        <f t="shared" si="66"/>
        <v>0</v>
      </c>
      <c r="BX41" s="694"/>
      <c r="BY41" s="694"/>
      <c r="BZ41" s="694"/>
      <c r="CA41" s="694"/>
      <c r="CB41" s="694"/>
      <c r="CC41" s="695"/>
      <c r="CD41" s="693">
        <f t="shared" si="67"/>
        <v>0</v>
      </c>
      <c r="CE41" s="694"/>
      <c r="CF41" s="694"/>
      <c r="CG41" s="694"/>
      <c r="CH41" s="694"/>
      <c r="CI41" s="694"/>
      <c r="CJ41" s="695"/>
      <c r="CK41" s="693">
        <f t="shared" si="68"/>
        <v>0</v>
      </c>
      <c r="CL41" s="694"/>
      <c r="CM41" s="694"/>
      <c r="CN41" s="694"/>
      <c r="CO41" s="694"/>
      <c r="CP41" s="694"/>
      <c r="CQ41" s="695"/>
      <c r="CR41" s="693">
        <f t="shared" si="69"/>
        <v>0</v>
      </c>
      <c r="CS41" s="694"/>
      <c r="CT41" s="694"/>
      <c r="CU41" s="694"/>
      <c r="CV41" s="694"/>
      <c r="CW41" s="694"/>
      <c r="CX41" s="695"/>
      <c r="CY41" s="693">
        <f t="shared" si="70"/>
        <v>0</v>
      </c>
      <c r="CZ41" s="694"/>
      <c r="DA41" s="694"/>
      <c r="DB41" s="694"/>
      <c r="DC41" s="694"/>
      <c r="DD41" s="694"/>
      <c r="DE41" s="695"/>
      <c r="DF41" s="693">
        <f t="shared" si="71"/>
        <v>0</v>
      </c>
      <c r="DG41" s="694"/>
      <c r="DH41" s="694"/>
      <c r="DI41" s="694"/>
      <c r="DJ41" s="694"/>
      <c r="DK41" s="694"/>
      <c r="DL41" s="698"/>
    </row>
    <row r="42" spans="1:116">
      <c r="A42" s="1652">
        <v>7</v>
      </c>
      <c r="B42" s="1652">
        <v>1</v>
      </c>
      <c r="C42" s="1681" t="s">
        <v>522</v>
      </c>
      <c r="D42" s="1660">
        <v>471</v>
      </c>
      <c r="E42" s="693">
        <f t="shared" si="56"/>
        <v>1451.1590000000001</v>
      </c>
      <c r="F42" s="694"/>
      <c r="G42" s="694"/>
      <c r="H42" s="694">
        <f>'Раздел 2А'!I48</f>
        <v>1252.8330000000001</v>
      </c>
      <c r="I42" s="694">
        <f>'Раздел 2А'!J48</f>
        <v>198.32599999999999</v>
      </c>
      <c r="J42" s="694"/>
      <c r="K42" s="695"/>
      <c r="L42" s="693">
        <f t="shared" si="57"/>
        <v>13715.712</v>
      </c>
      <c r="M42" s="694"/>
      <c r="N42" s="694"/>
      <c r="O42" s="694">
        <f>'Раздел 2А'!P48</f>
        <v>12515.981</v>
      </c>
      <c r="P42" s="694">
        <f>'Раздел 2А'!Q48</f>
        <v>1199.731</v>
      </c>
      <c r="Q42" s="694"/>
      <c r="R42" s="695"/>
      <c r="S42" s="693">
        <f t="shared" si="58"/>
        <v>0</v>
      </c>
      <c r="T42" s="694"/>
      <c r="U42" s="694"/>
      <c r="V42" s="694"/>
      <c r="W42" s="694"/>
      <c r="X42" s="694"/>
      <c r="Y42" s="695"/>
      <c r="Z42" s="693">
        <f t="shared" si="59"/>
        <v>0</v>
      </c>
      <c r="AA42" s="694"/>
      <c r="AB42" s="694"/>
      <c r="AC42" s="694"/>
      <c r="AD42" s="694"/>
      <c r="AE42" s="694"/>
      <c r="AF42" s="695"/>
      <c r="AG42" s="693">
        <f t="shared" si="60"/>
        <v>0</v>
      </c>
      <c r="AH42" s="694"/>
      <c r="AI42" s="694"/>
      <c r="AJ42" s="694"/>
      <c r="AK42" s="694"/>
      <c r="AL42" s="694"/>
      <c r="AM42" s="695"/>
      <c r="AN42" s="693">
        <f t="shared" si="61"/>
        <v>0</v>
      </c>
      <c r="AO42" s="694"/>
      <c r="AP42" s="694"/>
      <c r="AQ42" s="694"/>
      <c r="AR42" s="694"/>
      <c r="AS42" s="694"/>
      <c r="AT42" s="695"/>
      <c r="AU42" s="693">
        <f t="shared" si="62"/>
        <v>0</v>
      </c>
      <c r="AV42" s="694"/>
      <c r="AW42" s="694"/>
      <c r="AX42" s="694"/>
      <c r="AY42" s="694"/>
      <c r="AZ42" s="694"/>
      <c r="BA42" s="695"/>
      <c r="BB42" s="693">
        <f t="shared" si="63"/>
        <v>0</v>
      </c>
      <c r="BC42" s="694"/>
      <c r="BD42" s="694"/>
      <c r="BE42" s="694"/>
      <c r="BF42" s="694"/>
      <c r="BG42" s="694"/>
      <c r="BH42" s="695"/>
      <c r="BI42" s="693">
        <f t="shared" si="64"/>
        <v>0</v>
      </c>
      <c r="BJ42" s="694"/>
      <c r="BK42" s="694"/>
      <c r="BL42" s="694"/>
      <c r="BM42" s="694"/>
      <c r="BN42" s="694"/>
      <c r="BO42" s="695"/>
      <c r="BP42" s="693">
        <f t="shared" si="65"/>
        <v>0</v>
      </c>
      <c r="BQ42" s="694"/>
      <c r="BR42" s="694"/>
      <c r="BS42" s="694"/>
      <c r="BT42" s="694"/>
      <c r="BU42" s="694"/>
      <c r="BV42" s="695"/>
      <c r="BW42" s="693">
        <f t="shared" si="66"/>
        <v>0</v>
      </c>
      <c r="BX42" s="694"/>
      <c r="BY42" s="694"/>
      <c r="BZ42" s="694"/>
      <c r="CA42" s="694"/>
      <c r="CB42" s="694"/>
      <c r="CC42" s="695"/>
      <c r="CD42" s="693">
        <f t="shared" si="67"/>
        <v>0</v>
      </c>
      <c r="CE42" s="694"/>
      <c r="CF42" s="694"/>
      <c r="CG42" s="694"/>
      <c r="CH42" s="694"/>
      <c r="CI42" s="694"/>
      <c r="CJ42" s="695"/>
      <c r="CK42" s="693">
        <f t="shared" si="68"/>
        <v>0</v>
      </c>
      <c r="CL42" s="694"/>
      <c r="CM42" s="694"/>
      <c r="CN42" s="694"/>
      <c r="CO42" s="694"/>
      <c r="CP42" s="694"/>
      <c r="CQ42" s="695"/>
      <c r="CR42" s="693">
        <f t="shared" si="69"/>
        <v>0</v>
      </c>
      <c r="CS42" s="694"/>
      <c r="CT42" s="694"/>
      <c r="CU42" s="694"/>
      <c r="CV42" s="694"/>
      <c r="CW42" s="694"/>
      <c r="CX42" s="695"/>
      <c r="CY42" s="693">
        <f t="shared" si="70"/>
        <v>0</v>
      </c>
      <c r="CZ42" s="694"/>
      <c r="DA42" s="694"/>
      <c r="DB42" s="694"/>
      <c r="DC42" s="694"/>
      <c r="DD42" s="694"/>
      <c r="DE42" s="695"/>
      <c r="DF42" s="693">
        <f t="shared" si="71"/>
        <v>0</v>
      </c>
      <c r="DG42" s="694"/>
      <c r="DH42" s="694"/>
      <c r="DI42" s="694"/>
      <c r="DJ42" s="694"/>
      <c r="DK42" s="694"/>
      <c r="DL42" s="698"/>
    </row>
    <row r="43" spans="1:116" ht="25.5">
      <c r="A43" s="1652">
        <v>8</v>
      </c>
      <c r="B43" s="1652">
        <v>0</v>
      </c>
      <c r="C43" s="1679" t="s">
        <v>526</v>
      </c>
      <c r="D43" s="1680">
        <v>500</v>
      </c>
      <c r="E43" s="693">
        <f>SUM(F43:K43)</f>
        <v>1788.328</v>
      </c>
      <c r="F43" s="694"/>
      <c r="G43" s="694">
        <f>'Раздел 2А'!H49</f>
        <v>160.94952000000001</v>
      </c>
      <c r="H43" s="694">
        <f>'Раздел 2А'!I49</f>
        <v>608.03152</v>
      </c>
      <c r="I43" s="694">
        <f>'Раздел 2А'!J49</f>
        <v>1019.34696</v>
      </c>
      <c r="J43" s="694"/>
      <c r="K43" s="695"/>
      <c r="L43" s="693">
        <f t="shared" si="57"/>
        <v>7063.84195</v>
      </c>
      <c r="M43" s="694"/>
      <c r="N43" s="694">
        <f>'Раздел 2А'!O49</f>
        <v>635.74578000000008</v>
      </c>
      <c r="O43" s="694">
        <f>'Раздел 2А'!P49</f>
        <v>2401.7062599999999</v>
      </c>
      <c r="P43" s="694">
        <f>'Раздел 2А'!Q49</f>
        <v>4026.3899100000003</v>
      </c>
      <c r="Q43" s="694"/>
      <c r="R43" s="695"/>
      <c r="S43" s="693">
        <f t="shared" si="58"/>
        <v>0</v>
      </c>
      <c r="T43" s="694"/>
      <c r="U43" s="694"/>
      <c r="V43" s="694"/>
      <c r="W43" s="694"/>
      <c r="X43" s="694"/>
      <c r="Y43" s="695"/>
      <c r="Z43" s="693">
        <f t="shared" si="59"/>
        <v>0</v>
      </c>
      <c r="AA43" s="694"/>
      <c r="AB43" s="694"/>
      <c r="AC43" s="694"/>
      <c r="AD43" s="694"/>
      <c r="AE43" s="694"/>
      <c r="AF43" s="695"/>
      <c r="AG43" s="693">
        <f t="shared" si="60"/>
        <v>0</v>
      </c>
      <c r="AH43" s="694"/>
      <c r="AI43" s="694"/>
      <c r="AJ43" s="694"/>
      <c r="AK43" s="694"/>
      <c r="AL43" s="694"/>
      <c r="AM43" s="695"/>
      <c r="AN43" s="693">
        <f t="shared" si="61"/>
        <v>0</v>
      </c>
      <c r="AO43" s="694"/>
      <c r="AP43" s="694"/>
      <c r="AQ43" s="694"/>
      <c r="AR43" s="694"/>
      <c r="AS43" s="694"/>
      <c r="AT43" s="695"/>
      <c r="AU43" s="693">
        <f t="shared" si="62"/>
        <v>0</v>
      </c>
      <c r="AV43" s="694"/>
      <c r="AW43" s="694"/>
      <c r="AX43" s="694"/>
      <c r="AY43" s="694"/>
      <c r="AZ43" s="694"/>
      <c r="BA43" s="695"/>
      <c r="BB43" s="693">
        <f t="shared" si="63"/>
        <v>0</v>
      </c>
      <c r="BC43" s="694"/>
      <c r="BD43" s="694"/>
      <c r="BE43" s="694"/>
      <c r="BF43" s="694"/>
      <c r="BG43" s="694"/>
      <c r="BH43" s="695"/>
      <c r="BI43" s="693">
        <f t="shared" si="64"/>
        <v>0</v>
      </c>
      <c r="BJ43" s="694"/>
      <c r="BK43" s="694"/>
      <c r="BL43" s="694"/>
      <c r="BM43" s="694"/>
      <c r="BN43" s="694"/>
      <c r="BO43" s="695"/>
      <c r="BP43" s="693">
        <f t="shared" si="65"/>
        <v>0</v>
      </c>
      <c r="BQ43" s="694"/>
      <c r="BR43" s="694"/>
      <c r="BS43" s="694"/>
      <c r="BT43" s="694"/>
      <c r="BU43" s="694"/>
      <c r="BV43" s="695"/>
      <c r="BW43" s="693">
        <f t="shared" si="66"/>
        <v>0</v>
      </c>
      <c r="BX43" s="694"/>
      <c r="BY43" s="694"/>
      <c r="BZ43" s="694"/>
      <c r="CA43" s="694"/>
      <c r="CB43" s="694"/>
      <c r="CC43" s="695"/>
      <c r="CD43" s="693">
        <f t="shared" si="67"/>
        <v>0</v>
      </c>
      <c r="CE43" s="694"/>
      <c r="CF43" s="694"/>
      <c r="CG43" s="694"/>
      <c r="CH43" s="694"/>
      <c r="CI43" s="694"/>
      <c r="CJ43" s="695"/>
      <c r="CK43" s="693">
        <f t="shared" si="68"/>
        <v>0</v>
      </c>
      <c r="CL43" s="694"/>
      <c r="CM43" s="694"/>
      <c r="CN43" s="694"/>
      <c r="CO43" s="694"/>
      <c r="CP43" s="694"/>
      <c r="CQ43" s="695"/>
      <c r="CR43" s="693">
        <f t="shared" si="69"/>
        <v>0</v>
      </c>
      <c r="CS43" s="694"/>
      <c r="CT43" s="694"/>
      <c r="CU43" s="694"/>
      <c r="CV43" s="694"/>
      <c r="CW43" s="694"/>
      <c r="CX43" s="695"/>
      <c r="CY43" s="693">
        <f t="shared" si="70"/>
        <v>0</v>
      </c>
      <c r="CZ43" s="694"/>
      <c r="DA43" s="694"/>
      <c r="DB43" s="694"/>
      <c r="DC43" s="694"/>
      <c r="DD43" s="694"/>
      <c r="DE43" s="695"/>
      <c r="DF43" s="693">
        <f t="shared" si="71"/>
        <v>0</v>
      </c>
      <c r="DG43" s="694"/>
      <c r="DH43" s="694"/>
      <c r="DI43" s="694"/>
      <c r="DJ43" s="694"/>
      <c r="DK43" s="694"/>
      <c r="DL43" s="698"/>
    </row>
    <row r="44" spans="1:116">
      <c r="A44" s="1652">
        <v>9</v>
      </c>
      <c r="B44" s="1652">
        <v>0</v>
      </c>
      <c r="C44" s="1679" t="s">
        <v>527</v>
      </c>
      <c r="D44" s="1680">
        <v>600</v>
      </c>
      <c r="E44" s="693">
        <f>SUM(E12:E18)+SUM(E20:E26)+SUM(E28:E34)+SUM(E36:E42)</f>
        <v>19850.285</v>
      </c>
      <c r="F44" s="693">
        <f t="shared" ref="F44:BQ44" si="72">SUM(F12:F18)+SUM(F20:F26)+SUM(F28:F34)+SUM(F36:F42)</f>
        <v>0</v>
      </c>
      <c r="G44" s="693">
        <f t="shared" si="72"/>
        <v>190.53299999999999</v>
      </c>
      <c r="H44" s="693">
        <f t="shared" si="72"/>
        <v>12530.698</v>
      </c>
      <c r="I44" s="693">
        <f t="shared" si="72"/>
        <v>7129.054000000001</v>
      </c>
      <c r="J44" s="693">
        <f t="shared" si="72"/>
        <v>0</v>
      </c>
      <c r="K44" s="696">
        <f t="shared" si="72"/>
        <v>0</v>
      </c>
      <c r="L44" s="693">
        <f t="shared" si="72"/>
        <v>175036.05778000003</v>
      </c>
      <c r="M44" s="693">
        <f t="shared" si="72"/>
        <v>0</v>
      </c>
      <c r="N44" s="693">
        <f t="shared" si="72"/>
        <v>1611.7967599999999</v>
      </c>
      <c r="O44" s="693">
        <f t="shared" si="72"/>
        <v>109373.09769000001</v>
      </c>
      <c r="P44" s="693">
        <f t="shared" si="72"/>
        <v>64051.163329999996</v>
      </c>
      <c r="Q44" s="693">
        <f t="shared" si="72"/>
        <v>0</v>
      </c>
      <c r="R44" s="696">
        <f t="shared" si="72"/>
        <v>0</v>
      </c>
      <c r="S44" s="693">
        <f t="shared" si="72"/>
        <v>295.92699999999996</v>
      </c>
      <c r="T44" s="693">
        <f t="shared" si="72"/>
        <v>0</v>
      </c>
      <c r="U44" s="693">
        <f t="shared" si="72"/>
        <v>0</v>
      </c>
      <c r="V44" s="693">
        <f t="shared" si="72"/>
        <v>292.86599999999999</v>
      </c>
      <c r="W44" s="693">
        <f t="shared" si="72"/>
        <v>3.0609999999999999</v>
      </c>
      <c r="X44" s="693">
        <f t="shared" si="72"/>
        <v>0</v>
      </c>
      <c r="Y44" s="696">
        <f t="shared" si="72"/>
        <v>0</v>
      </c>
      <c r="Z44" s="693">
        <f t="shared" si="72"/>
        <v>2783.4780800000003</v>
      </c>
      <c r="AA44" s="693">
        <f t="shared" si="72"/>
        <v>0</v>
      </c>
      <c r="AB44" s="693">
        <f t="shared" si="72"/>
        <v>0</v>
      </c>
      <c r="AC44" s="693">
        <f t="shared" si="72"/>
        <v>2754.2478200000005</v>
      </c>
      <c r="AD44" s="693">
        <f t="shared" si="72"/>
        <v>29.230260000000001</v>
      </c>
      <c r="AE44" s="693">
        <f t="shared" si="72"/>
        <v>0</v>
      </c>
      <c r="AF44" s="696">
        <f t="shared" si="72"/>
        <v>0</v>
      </c>
      <c r="AG44" s="693">
        <f t="shared" si="72"/>
        <v>6724.0690000000004</v>
      </c>
      <c r="AH44" s="693">
        <f t="shared" si="72"/>
        <v>0</v>
      </c>
      <c r="AI44" s="693">
        <f t="shared" si="72"/>
        <v>2494.779</v>
      </c>
      <c r="AJ44" s="693">
        <f t="shared" si="72"/>
        <v>4215.41</v>
      </c>
      <c r="AK44" s="693">
        <f t="shared" si="72"/>
        <v>13.88</v>
      </c>
      <c r="AL44" s="693">
        <f t="shared" si="72"/>
        <v>0</v>
      </c>
      <c r="AM44" s="696">
        <f t="shared" si="72"/>
        <v>0</v>
      </c>
      <c r="AN44" s="693">
        <f t="shared" si="72"/>
        <v>47691.441340000012</v>
      </c>
      <c r="AO44" s="693">
        <f t="shared" si="72"/>
        <v>0</v>
      </c>
      <c r="AP44" s="693">
        <f t="shared" si="72"/>
        <v>17193.228070000001</v>
      </c>
      <c r="AQ44" s="693">
        <f t="shared" si="72"/>
        <v>30394.370740000006</v>
      </c>
      <c r="AR44" s="693">
        <f t="shared" si="72"/>
        <v>103.84253</v>
      </c>
      <c r="AS44" s="693">
        <f t="shared" si="72"/>
        <v>0</v>
      </c>
      <c r="AT44" s="696">
        <f t="shared" si="72"/>
        <v>0</v>
      </c>
      <c r="AU44" s="693">
        <f t="shared" si="72"/>
        <v>9.5549999999999997</v>
      </c>
      <c r="AV44" s="693">
        <f t="shared" si="72"/>
        <v>0</v>
      </c>
      <c r="AW44" s="693">
        <f t="shared" si="72"/>
        <v>3.28</v>
      </c>
      <c r="AX44" s="693">
        <f t="shared" si="72"/>
        <v>6.2350000000000003</v>
      </c>
      <c r="AY44" s="693">
        <f t="shared" si="72"/>
        <v>0.04</v>
      </c>
      <c r="AZ44" s="693">
        <f t="shared" si="72"/>
        <v>0</v>
      </c>
      <c r="BA44" s="696">
        <f t="shared" si="72"/>
        <v>0</v>
      </c>
      <c r="BB44" s="693">
        <f t="shared" si="72"/>
        <v>11536.08747</v>
      </c>
      <c r="BC44" s="693">
        <f t="shared" si="72"/>
        <v>0</v>
      </c>
      <c r="BD44" s="693">
        <f t="shared" si="72"/>
        <v>3960.05933</v>
      </c>
      <c r="BE44" s="693">
        <f t="shared" si="72"/>
        <v>7527.7347300000001</v>
      </c>
      <c r="BF44" s="693">
        <f t="shared" si="72"/>
        <v>48.293410000000002</v>
      </c>
      <c r="BG44" s="693">
        <f t="shared" si="72"/>
        <v>0</v>
      </c>
      <c r="BH44" s="696">
        <f t="shared" si="72"/>
        <v>0</v>
      </c>
      <c r="BI44" s="693">
        <f t="shared" si="72"/>
        <v>3691.2719999999999</v>
      </c>
      <c r="BJ44" s="693">
        <f t="shared" si="72"/>
        <v>0</v>
      </c>
      <c r="BK44" s="693">
        <f t="shared" si="72"/>
        <v>0</v>
      </c>
      <c r="BL44" s="693">
        <f t="shared" si="72"/>
        <v>102.423</v>
      </c>
      <c r="BM44" s="693">
        <f t="shared" si="72"/>
        <v>3588.8490000000002</v>
      </c>
      <c r="BN44" s="693">
        <f t="shared" si="72"/>
        <v>0</v>
      </c>
      <c r="BO44" s="696">
        <f t="shared" si="72"/>
        <v>0</v>
      </c>
      <c r="BP44" s="693">
        <f t="shared" si="72"/>
        <v>13669.947359999998</v>
      </c>
      <c r="BQ44" s="693">
        <f t="shared" si="72"/>
        <v>0</v>
      </c>
      <c r="BR44" s="693">
        <f t="shared" ref="BR44:DL44" si="73">SUM(BR12:BR18)+SUM(BR20:BR26)+SUM(BR28:BR34)+SUM(BR36:BR42)</f>
        <v>0</v>
      </c>
      <c r="BS44" s="693">
        <f t="shared" si="73"/>
        <v>359.80949000000004</v>
      </c>
      <c r="BT44" s="693">
        <f t="shared" si="73"/>
        <v>13310.137869999999</v>
      </c>
      <c r="BU44" s="693">
        <f t="shared" si="73"/>
        <v>0</v>
      </c>
      <c r="BV44" s="696">
        <f t="shared" si="73"/>
        <v>0</v>
      </c>
      <c r="BW44" s="693">
        <f t="shared" si="73"/>
        <v>5.9240000000000004</v>
      </c>
      <c r="BX44" s="693">
        <f t="shared" si="73"/>
        <v>0</v>
      </c>
      <c r="BY44" s="693">
        <f t="shared" si="73"/>
        <v>0</v>
      </c>
      <c r="BZ44" s="693">
        <f t="shared" si="73"/>
        <v>0.14499999999999999</v>
      </c>
      <c r="CA44" s="693">
        <f t="shared" si="73"/>
        <v>5.7789999999999999</v>
      </c>
      <c r="CB44" s="693">
        <f t="shared" si="73"/>
        <v>0</v>
      </c>
      <c r="CC44" s="696">
        <f t="shared" si="73"/>
        <v>0</v>
      </c>
      <c r="CD44" s="693">
        <f t="shared" si="73"/>
        <v>7152.25353</v>
      </c>
      <c r="CE44" s="693">
        <f t="shared" si="73"/>
        <v>0</v>
      </c>
      <c r="CF44" s="693">
        <f t="shared" si="73"/>
        <v>0</v>
      </c>
      <c r="CG44" s="693">
        <f t="shared" si="73"/>
        <v>175.06359999999998</v>
      </c>
      <c r="CH44" s="693">
        <f t="shared" si="73"/>
        <v>6977.1899300000005</v>
      </c>
      <c r="CI44" s="693">
        <f t="shared" si="73"/>
        <v>0</v>
      </c>
      <c r="CJ44" s="696">
        <f t="shared" si="73"/>
        <v>0</v>
      </c>
      <c r="CK44" s="693">
        <f t="shared" si="73"/>
        <v>6.7129999999999992</v>
      </c>
      <c r="CL44" s="693">
        <f t="shared" si="73"/>
        <v>0</v>
      </c>
      <c r="CM44" s="693">
        <f t="shared" si="73"/>
        <v>0</v>
      </c>
      <c r="CN44" s="693">
        <f t="shared" si="73"/>
        <v>0.157</v>
      </c>
      <c r="CO44" s="693">
        <f t="shared" si="73"/>
        <v>6.556</v>
      </c>
      <c r="CP44" s="693">
        <f t="shared" si="73"/>
        <v>0</v>
      </c>
      <c r="CQ44" s="696">
        <f t="shared" si="73"/>
        <v>0</v>
      </c>
      <c r="CR44" s="693">
        <f t="shared" si="73"/>
        <v>7164.6043900000004</v>
      </c>
      <c r="CS44" s="693">
        <f t="shared" si="73"/>
        <v>0</v>
      </c>
      <c r="CT44" s="693">
        <f t="shared" si="73"/>
        <v>0</v>
      </c>
      <c r="CU44" s="693">
        <f t="shared" si="73"/>
        <v>439.46540000000005</v>
      </c>
      <c r="CV44" s="693">
        <f t="shared" si="73"/>
        <v>6725.1389899999995</v>
      </c>
      <c r="CW44" s="693">
        <f t="shared" si="73"/>
        <v>0</v>
      </c>
      <c r="CX44" s="696">
        <f t="shared" si="73"/>
        <v>0</v>
      </c>
      <c r="CY44" s="693">
        <f t="shared" si="73"/>
        <v>0</v>
      </c>
      <c r="CZ44" s="693">
        <f t="shared" si="73"/>
        <v>0</v>
      </c>
      <c r="DA44" s="693">
        <f t="shared" si="73"/>
        <v>0</v>
      </c>
      <c r="DB44" s="693">
        <f t="shared" si="73"/>
        <v>0</v>
      </c>
      <c r="DC44" s="693">
        <f t="shared" si="73"/>
        <v>0</v>
      </c>
      <c r="DD44" s="693">
        <f t="shared" si="73"/>
        <v>0</v>
      </c>
      <c r="DE44" s="696">
        <f t="shared" si="73"/>
        <v>0</v>
      </c>
      <c r="DF44" s="693">
        <f t="shared" si="73"/>
        <v>0</v>
      </c>
      <c r="DG44" s="693">
        <f t="shared" si="73"/>
        <v>0</v>
      </c>
      <c r="DH44" s="693">
        <f t="shared" si="73"/>
        <v>0</v>
      </c>
      <c r="DI44" s="693">
        <f t="shared" si="73"/>
        <v>0</v>
      </c>
      <c r="DJ44" s="693">
        <f t="shared" si="73"/>
        <v>0</v>
      </c>
      <c r="DK44" s="693">
        <f t="shared" si="73"/>
        <v>0</v>
      </c>
      <c r="DL44" s="706">
        <f t="shared" si="73"/>
        <v>0</v>
      </c>
    </row>
  </sheetData>
  <mergeCells count="57">
    <mergeCell ref="CK7:CK8"/>
    <mergeCell ref="DG7:DL7"/>
    <mergeCell ref="CL7:CQ7"/>
    <mergeCell ref="CR7:CR8"/>
    <mergeCell ref="CS7:CX7"/>
    <mergeCell ref="CY7:CY8"/>
    <mergeCell ref="CZ7:DE7"/>
    <mergeCell ref="DF7:DF8"/>
    <mergeCell ref="BB7:BB8"/>
    <mergeCell ref="BC7:BH7"/>
    <mergeCell ref="BI7:BI8"/>
    <mergeCell ref="CD7:CD8"/>
    <mergeCell ref="CE7:CH7"/>
    <mergeCell ref="BJ7:BO7"/>
    <mergeCell ref="BP7:BP8"/>
    <mergeCell ref="BQ7:BV7"/>
    <mergeCell ref="BW7:BW8"/>
    <mergeCell ref="BX7:CC7"/>
    <mergeCell ref="CY5:DE6"/>
    <mergeCell ref="DF5:DL6"/>
    <mergeCell ref="BI6:BO6"/>
    <mergeCell ref="BP6:BV6"/>
    <mergeCell ref="BW6:CC6"/>
    <mergeCell ref="CD6:CJ6"/>
    <mergeCell ref="CK6:CQ6"/>
    <mergeCell ref="CR6:CX6"/>
    <mergeCell ref="BW5:CJ5"/>
    <mergeCell ref="CK5:CX5"/>
    <mergeCell ref="E7:E8"/>
    <mergeCell ref="E6:K6"/>
    <mergeCell ref="L6:R6"/>
    <mergeCell ref="S6:Y6"/>
    <mergeCell ref="Z6:AF6"/>
    <mergeCell ref="Z7:Z8"/>
    <mergeCell ref="S7:S8"/>
    <mergeCell ref="T7:Y7"/>
    <mergeCell ref="AU5:BH5"/>
    <mergeCell ref="AN6:AT6"/>
    <mergeCell ref="AU6:BA6"/>
    <mergeCell ref="BB6:BH6"/>
    <mergeCell ref="BI5:BV5"/>
    <mergeCell ref="AU7:AU8"/>
    <mergeCell ref="AV7:BA7"/>
    <mergeCell ref="C5:C8"/>
    <mergeCell ref="D5:D8"/>
    <mergeCell ref="E5:R5"/>
    <mergeCell ref="S5:AF5"/>
    <mergeCell ref="AG5:AT5"/>
    <mergeCell ref="AA7:AF7"/>
    <mergeCell ref="AG7:AG8"/>
    <mergeCell ref="AH7:AM7"/>
    <mergeCell ref="AN7:AN8"/>
    <mergeCell ref="AO7:AT7"/>
    <mergeCell ref="AG6:AM6"/>
    <mergeCell ref="F7:K7"/>
    <mergeCell ref="L7:L8"/>
    <mergeCell ref="M7:R7"/>
  </mergeCells>
  <dataValidations count="1">
    <dataValidation type="decimal" allowBlank="1" showErrorMessage="1" errorTitle="Ошибка" error="Допускается ввод только действительных чисел!" sqref="E11:DL44">
      <formula1>-9.99999999999999E+23</formula1>
      <formula2>9.99999999999999E+23</formula2>
    </dataValidation>
  </dataValidation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Q466"/>
  <sheetViews>
    <sheetView view="pageBreakPreview" zoomScale="85" zoomScaleNormal="75" zoomScaleSheetLayoutView="85" workbookViewId="0">
      <pane xSplit="2" ySplit="1" topLeftCell="C5" activePane="bottomRight" state="frozenSplit"/>
      <selection activeCell="F87" sqref="F87"/>
      <selection pane="topRight" activeCell="F87" sqref="F87"/>
      <selection pane="bottomLeft" activeCell="F87" sqref="F87"/>
      <selection pane="bottomRight" activeCell="O37" sqref="O37"/>
    </sheetView>
  </sheetViews>
  <sheetFormatPr defaultColWidth="9.28515625" defaultRowHeight="15"/>
  <cols>
    <col min="1" max="1" width="6.28515625" style="153" customWidth="1"/>
    <col min="2" max="2" width="75.7109375" style="3" customWidth="1"/>
    <col min="3" max="7" width="15.7109375" style="3" customWidth="1"/>
    <col min="8" max="8" width="12.28515625" style="3" customWidth="1"/>
    <col min="9" max="11" width="10.42578125" style="3" customWidth="1"/>
    <col min="12" max="16" width="17.42578125" style="3" customWidth="1"/>
    <col min="17" max="17" width="17.28515625" style="2" customWidth="1"/>
    <col min="18" max="18" width="15" style="2" customWidth="1"/>
    <col min="19" max="19" width="12.7109375" style="2" customWidth="1"/>
    <col min="20" max="20" width="10.7109375" style="2" customWidth="1"/>
    <col min="21" max="21" width="11.28515625" style="2" customWidth="1"/>
    <col min="22" max="22" width="14.28515625" style="2" customWidth="1"/>
    <col min="23" max="23" width="12.7109375" style="2" customWidth="1"/>
    <col min="24" max="24" width="13.7109375" style="2" customWidth="1"/>
    <col min="25" max="16384" width="9.28515625" style="2"/>
  </cols>
  <sheetData>
    <row r="1" spans="1:17" ht="16.149999999999999" customHeight="1">
      <c r="A1" s="4114" t="s">
        <v>0</v>
      </c>
      <c r="B1" s="4114"/>
      <c r="C1" s="1"/>
      <c r="D1" s="2"/>
      <c r="E1" s="2"/>
      <c r="F1" s="2"/>
      <c r="G1" s="2"/>
      <c r="H1" s="2"/>
      <c r="I1" s="2"/>
      <c r="J1" s="2"/>
      <c r="K1" s="2"/>
    </row>
    <row r="2" spans="1:17" ht="16.149999999999999" customHeight="1">
      <c r="A2" s="4114"/>
      <c r="B2" s="4114"/>
      <c r="C2" s="4116" t="s">
        <v>1</v>
      </c>
      <c r="D2" s="4116"/>
      <c r="E2" s="4116"/>
      <c r="F2" s="4116"/>
      <c r="G2" s="4116"/>
      <c r="H2" s="4116"/>
      <c r="I2" s="4116"/>
      <c r="J2" s="4116"/>
      <c r="K2" s="4116"/>
      <c r="L2" s="4116"/>
      <c r="M2" s="4116"/>
      <c r="N2" s="4116"/>
      <c r="O2" s="4116"/>
      <c r="P2" s="4116"/>
    </row>
    <row r="3" spans="1:17" ht="16.149999999999999" customHeight="1">
      <c r="A3" s="4114"/>
      <c r="B3" s="4114"/>
      <c r="C3" s="4104" t="s">
        <v>2</v>
      </c>
      <c r="D3" s="4104"/>
      <c r="E3" s="4104"/>
      <c r="F3" s="4104"/>
      <c r="G3" s="4104"/>
      <c r="H3" s="4104"/>
      <c r="I3" s="4104"/>
      <c r="J3" s="4104"/>
      <c r="K3" s="4104"/>
      <c r="L3" s="4104"/>
      <c r="M3" s="4104"/>
      <c r="N3" s="4104"/>
      <c r="O3" s="4104"/>
      <c r="P3" s="4104"/>
    </row>
    <row r="4" spans="1:17" ht="16.149999999999999" customHeight="1" thickBot="1">
      <c r="A4" s="4115"/>
      <c r="B4" s="4115"/>
      <c r="C4" s="4"/>
      <c r="D4" s="4"/>
      <c r="E4" s="4"/>
      <c r="F4" s="4"/>
      <c r="G4" s="4"/>
      <c r="H4" s="4"/>
      <c r="I4" s="4"/>
      <c r="J4" s="4"/>
      <c r="K4" s="4"/>
      <c r="L4" s="4"/>
      <c r="M4" s="4"/>
      <c r="N4" s="4"/>
      <c r="O4" s="5"/>
    </row>
    <row r="5" spans="1:17" ht="47.25" customHeight="1">
      <c r="A5" s="4105" t="s">
        <v>3</v>
      </c>
      <c r="B5" s="4107" t="s">
        <v>4</v>
      </c>
      <c r="C5" s="4109" t="s">
        <v>5</v>
      </c>
      <c r="D5" s="4109"/>
      <c r="E5" s="4109"/>
      <c r="F5" s="4109"/>
      <c r="G5" s="4109"/>
      <c r="H5" s="4111" t="s">
        <v>6</v>
      </c>
      <c r="I5" s="4112"/>
      <c r="J5" s="4112"/>
      <c r="K5" s="4113"/>
      <c r="L5" s="4109" t="s">
        <v>7</v>
      </c>
      <c r="M5" s="4109"/>
      <c r="N5" s="4109"/>
      <c r="O5" s="4109"/>
      <c r="P5" s="4110"/>
    </row>
    <row r="6" spans="1:17" ht="45.75" customHeight="1" thickBot="1">
      <c r="A6" s="4106"/>
      <c r="B6" s="4108"/>
      <c r="C6" s="6" t="s">
        <v>8</v>
      </c>
      <c r="D6" s="6" t="s">
        <v>9</v>
      </c>
      <c r="E6" s="7" t="s">
        <v>10</v>
      </c>
      <c r="F6" s="7" t="s">
        <v>11</v>
      </c>
      <c r="G6" s="6" t="s">
        <v>12</v>
      </c>
      <c r="H6" s="6" t="s">
        <v>9</v>
      </c>
      <c r="I6" s="7" t="s">
        <v>10</v>
      </c>
      <c r="J6" s="7" t="s">
        <v>11</v>
      </c>
      <c r="K6" s="6" t="s">
        <v>12</v>
      </c>
      <c r="L6" s="6" t="s">
        <v>8</v>
      </c>
      <c r="M6" s="6" t="s">
        <v>9</v>
      </c>
      <c r="N6" s="7" t="s">
        <v>10</v>
      </c>
      <c r="O6" s="7" t="s">
        <v>11</v>
      </c>
      <c r="P6" s="8" t="s">
        <v>12</v>
      </c>
    </row>
    <row r="7" spans="1:17" ht="16.149999999999999" customHeight="1" thickBot="1">
      <c r="A7" s="9">
        <v>1</v>
      </c>
      <c r="B7" s="10">
        <f t="shared" ref="B7:G7" si="0">+A7+1</f>
        <v>2</v>
      </c>
      <c r="C7" s="11">
        <f t="shared" si="0"/>
        <v>3</v>
      </c>
      <c r="D7" s="11">
        <f t="shared" si="0"/>
        <v>4</v>
      </c>
      <c r="E7" s="11">
        <f t="shared" si="0"/>
        <v>5</v>
      </c>
      <c r="F7" s="11">
        <f t="shared" si="0"/>
        <v>6</v>
      </c>
      <c r="G7" s="11">
        <f t="shared" si="0"/>
        <v>7</v>
      </c>
      <c r="H7" s="11">
        <v>8</v>
      </c>
      <c r="I7" s="11">
        <v>9</v>
      </c>
      <c r="J7" s="11">
        <v>10</v>
      </c>
      <c r="K7" s="11">
        <v>11</v>
      </c>
      <c r="L7" s="11">
        <v>12</v>
      </c>
      <c r="M7" s="11">
        <v>13</v>
      </c>
      <c r="N7" s="11">
        <f>+M7+1</f>
        <v>14</v>
      </c>
      <c r="O7" s="11">
        <f>+N7+1</f>
        <v>15</v>
      </c>
      <c r="P7" s="12">
        <f>+O7+1</f>
        <v>16</v>
      </c>
    </row>
    <row r="8" spans="1:17" ht="24" customHeight="1" thickBot="1">
      <c r="A8" s="4125" t="str">
        <f>'Шаблон 46 ГП'!A8:P8</f>
        <v>Май 2026 год</v>
      </c>
      <c r="B8" s="4126"/>
      <c r="C8" s="4126"/>
      <c r="D8" s="4126"/>
      <c r="E8" s="4126"/>
      <c r="F8" s="4126"/>
      <c r="G8" s="4126"/>
      <c r="H8" s="4126"/>
      <c r="I8" s="4126"/>
      <c r="J8" s="4126"/>
      <c r="K8" s="4126"/>
      <c r="L8" s="4126"/>
      <c r="M8" s="4126"/>
      <c r="N8" s="4126"/>
      <c r="O8" s="4126"/>
      <c r="P8" s="4127"/>
    </row>
    <row r="9" spans="1:17" ht="16.149999999999999" customHeight="1" thickBot="1">
      <c r="A9" s="13"/>
      <c r="B9" s="14" t="s">
        <v>13</v>
      </c>
      <c r="C9" s="15">
        <f>D9+E9+F9+G9</f>
        <v>0</v>
      </c>
      <c r="D9" s="16">
        <f>D10</f>
        <v>0</v>
      </c>
      <c r="E9" s="16"/>
      <c r="F9" s="16">
        <f t="shared" ref="F9:G11" si="1">F10</f>
        <v>0</v>
      </c>
      <c r="G9" s="16">
        <f t="shared" si="1"/>
        <v>0</v>
      </c>
      <c r="H9" s="17"/>
      <c r="I9" s="18"/>
      <c r="J9" s="19"/>
      <c r="K9" s="19"/>
      <c r="L9" s="20">
        <f>M9+N9+O9+P9</f>
        <v>0</v>
      </c>
      <c r="M9" s="21">
        <f>M10</f>
        <v>0</v>
      </c>
      <c r="N9" s="22"/>
      <c r="O9" s="22">
        <f>O10</f>
        <v>0</v>
      </c>
      <c r="P9" s="22">
        <f t="shared" ref="P9:P11" si="2">P10</f>
        <v>0</v>
      </c>
    </row>
    <row r="10" spans="1:17" ht="16.149999999999999" customHeight="1">
      <c r="A10" s="57">
        <v>1</v>
      </c>
      <c r="B10" s="58" t="s">
        <v>18</v>
      </c>
      <c r="C10" s="25">
        <f t="shared" ref="C10:C24" si="3">D10+E10+F10+G10</f>
        <v>0</v>
      </c>
      <c r="D10" s="59">
        <f>D11+D32</f>
        <v>0</v>
      </c>
      <c r="E10" s="59"/>
      <c r="F10" s="59">
        <f>F11+F26</f>
        <v>0</v>
      </c>
      <c r="G10" s="59">
        <f>G11+G26</f>
        <v>0</v>
      </c>
      <c r="H10" s="50"/>
      <c r="I10" s="50"/>
      <c r="J10" s="50"/>
      <c r="K10" s="50"/>
      <c r="L10" s="29">
        <f t="shared" ref="L10:L24" si="4">M10+N10+O10+P10</f>
        <v>0</v>
      </c>
      <c r="M10" s="60">
        <f>M11+M32</f>
        <v>0</v>
      </c>
      <c r="N10" s="60"/>
      <c r="O10" s="60">
        <f>O11+O26</f>
        <v>0</v>
      </c>
      <c r="P10" s="60">
        <f>P11+P26</f>
        <v>0</v>
      </c>
    </row>
    <row r="11" spans="1:17" s="64" customFormat="1" ht="16.149999999999999" customHeight="1">
      <c r="A11" s="61">
        <v>1.1000000000000001</v>
      </c>
      <c r="B11" s="62" t="s">
        <v>19</v>
      </c>
      <c r="C11" s="25">
        <f t="shared" ref="C11:C16" si="5">D11+E11+F11+G11</f>
        <v>0</v>
      </c>
      <c r="D11" s="25">
        <f>D12+D16+D22+D19</f>
        <v>0</v>
      </c>
      <c r="E11" s="59"/>
      <c r="F11" s="59">
        <f t="shared" si="1"/>
        <v>0</v>
      </c>
      <c r="G11" s="59">
        <f t="shared" si="1"/>
        <v>0</v>
      </c>
      <c r="H11" s="63"/>
      <c r="I11" s="63"/>
      <c r="J11" s="63"/>
      <c r="K11" s="63"/>
      <c r="L11" s="29">
        <f t="shared" si="4"/>
        <v>0</v>
      </c>
      <c r="M11" s="60">
        <f>M16+M22+M12+M19</f>
        <v>0</v>
      </c>
      <c r="N11" s="60"/>
      <c r="O11" s="1797">
        <f>O12</f>
        <v>0</v>
      </c>
      <c r="P11" s="60">
        <f t="shared" si="2"/>
        <v>0</v>
      </c>
    </row>
    <row r="12" spans="1:17" ht="16.149999999999999" customHeight="1">
      <c r="A12" s="61"/>
      <c r="B12" s="53" t="s">
        <v>197</v>
      </c>
      <c r="C12" s="25">
        <f t="shared" si="5"/>
        <v>0</v>
      </c>
      <c r="D12" s="25">
        <f>D13+D14</f>
        <v>0</v>
      </c>
      <c r="E12" s="54"/>
      <c r="F12" s="59">
        <f>F13+F14+F15</f>
        <v>0</v>
      </c>
      <c r="G12" s="59">
        <f>G13+G14+G15</f>
        <v>0</v>
      </c>
      <c r="H12" s="50"/>
      <c r="I12" s="50"/>
      <c r="J12" s="50"/>
      <c r="K12" s="50"/>
      <c r="L12" s="29">
        <f>M12+N12+O12+P12</f>
        <v>0</v>
      </c>
      <c r="M12" s="60">
        <f>M13+M14</f>
        <v>0</v>
      </c>
      <c r="N12" s="60"/>
      <c r="O12" s="1799">
        <f>O13+O14+O15</f>
        <v>0</v>
      </c>
      <c r="P12" s="211">
        <f>P13+P14+P15</f>
        <v>0</v>
      </c>
    </row>
    <row r="13" spans="1:17" ht="16.149999999999999" customHeight="1">
      <c r="A13" s="61"/>
      <c r="B13" s="203" t="s">
        <v>1932</v>
      </c>
      <c r="C13" s="33">
        <f t="shared" si="5"/>
        <v>0</v>
      </c>
      <c r="D13" s="33">
        <v>0</v>
      </c>
      <c r="E13" s="54"/>
      <c r="F13" s="54">
        <v>0</v>
      </c>
      <c r="G13" s="54">
        <v>0</v>
      </c>
      <c r="H13" s="50"/>
      <c r="I13" s="50"/>
      <c r="J13" s="50"/>
      <c r="K13" s="50"/>
      <c r="L13" s="30">
        <f>M13+N13+O13+P13</f>
        <v>0</v>
      </c>
      <c r="M13" s="1798">
        <f>ROUND(D13*H13,2)</f>
        <v>0</v>
      </c>
      <c r="N13" s="55"/>
      <c r="O13" s="1798">
        <f>ROUND(F13*J13,2)</f>
        <v>0</v>
      </c>
      <c r="P13" s="55">
        <f>ROUND(G13*K13,2)</f>
        <v>0</v>
      </c>
    </row>
    <row r="14" spans="1:17" ht="16.149999999999999" customHeight="1">
      <c r="A14" s="61"/>
      <c r="B14" s="203" t="s">
        <v>1933</v>
      </c>
      <c r="C14" s="33">
        <f t="shared" si="5"/>
        <v>0</v>
      </c>
      <c r="D14" s="33">
        <v>0</v>
      </c>
      <c r="E14" s="54"/>
      <c r="F14" s="54">
        <v>0</v>
      </c>
      <c r="G14" s="54">
        <v>0</v>
      </c>
      <c r="H14" s="50">
        <v>0</v>
      </c>
      <c r="I14" s="50"/>
      <c r="J14" s="50">
        <v>0</v>
      </c>
      <c r="K14" s="50">
        <v>0</v>
      </c>
      <c r="L14" s="30">
        <f t="shared" si="4"/>
        <v>0</v>
      </c>
      <c r="M14" s="55">
        <f>ROUND(D14*H14,2)</f>
        <v>0</v>
      </c>
      <c r="N14" s="55"/>
      <c r="O14" s="55">
        <f>ROUND(F14*J14,2)</f>
        <v>0</v>
      </c>
      <c r="P14" s="55">
        <f>ROUND(G14*K14,2)</f>
        <v>0</v>
      </c>
    </row>
    <row r="15" spans="1:17" ht="16.149999999999999" customHeight="1">
      <c r="A15" s="61"/>
      <c r="B15" s="203"/>
      <c r="C15" s="33">
        <f t="shared" si="5"/>
        <v>0</v>
      </c>
      <c r="D15" s="33"/>
      <c r="E15" s="54"/>
      <c r="F15" s="54"/>
      <c r="G15" s="54"/>
      <c r="H15" s="50"/>
      <c r="I15" s="50"/>
      <c r="J15" s="50"/>
      <c r="K15" s="50"/>
      <c r="L15" s="30">
        <f>M15+N15+O15+P15</f>
        <v>0</v>
      </c>
      <c r="M15" s="55"/>
      <c r="N15" s="55"/>
      <c r="O15" s="55"/>
      <c r="P15" s="1796"/>
    </row>
    <row r="16" spans="1:17" ht="18.75" customHeight="1">
      <c r="A16" s="61"/>
      <c r="B16" s="53" t="s">
        <v>200</v>
      </c>
      <c r="C16" s="25">
        <f t="shared" si="5"/>
        <v>0</v>
      </c>
      <c r="D16" s="25">
        <f>SUM(D17)</f>
        <v>0</v>
      </c>
      <c r="E16" s="54"/>
      <c r="F16" s="54"/>
      <c r="G16" s="54"/>
      <c r="H16" s="50">
        <f>IFERROR(ROUND(M16/D16,5),0)</f>
        <v>0</v>
      </c>
      <c r="I16" s="50"/>
      <c r="J16" s="50"/>
      <c r="K16" s="50"/>
      <c r="L16" s="29">
        <f>M16</f>
        <v>0</v>
      </c>
      <c r="M16" s="60">
        <f>SUM(M17:M18)</f>
        <v>0</v>
      </c>
      <c r="N16" s="55"/>
      <c r="O16" s="30"/>
      <c r="P16" s="56"/>
      <c r="Q16" s="3227"/>
    </row>
    <row r="17" spans="1:17" ht="16.149999999999999" customHeight="1">
      <c r="A17" s="61"/>
      <c r="B17" s="203" t="s">
        <v>201</v>
      </c>
      <c r="C17" s="33">
        <f t="shared" si="3"/>
        <v>0</v>
      </c>
      <c r="D17" s="33">
        <v>0</v>
      </c>
      <c r="E17" s="54"/>
      <c r="F17" s="54"/>
      <c r="G17" s="54"/>
      <c r="H17" s="50">
        <v>0</v>
      </c>
      <c r="I17" s="50"/>
      <c r="J17" s="50"/>
      <c r="K17" s="50"/>
      <c r="L17" s="30">
        <f>M17+N17+O17+P17</f>
        <v>0</v>
      </c>
      <c r="M17" s="55">
        <f>ROUND(D17*H17,2)</f>
        <v>0</v>
      </c>
      <c r="N17" s="55"/>
      <c r="O17" s="30"/>
      <c r="P17" s="56"/>
    </row>
    <row r="18" spans="1:17" ht="18.75" customHeight="1">
      <c r="A18" s="61"/>
      <c r="B18" s="204" t="s">
        <v>202</v>
      </c>
      <c r="C18" s="33">
        <f>D18+E18+F18+G18</f>
        <v>0</v>
      </c>
      <c r="D18" s="33">
        <v>0</v>
      </c>
      <c r="E18" s="54"/>
      <c r="F18" s="54"/>
      <c r="G18" s="54"/>
      <c r="H18" s="50">
        <v>0</v>
      </c>
      <c r="I18" s="50"/>
      <c r="J18" s="50"/>
      <c r="K18" s="50"/>
      <c r="L18" s="30">
        <f>M18+N18+O18+P18</f>
        <v>0</v>
      </c>
      <c r="M18" s="55">
        <f>ROUND(D18*H18,2)</f>
        <v>0</v>
      </c>
      <c r="N18" s="55"/>
      <c r="O18" s="30"/>
      <c r="P18" s="56"/>
    </row>
    <row r="19" spans="1:17" ht="18.75" customHeight="1">
      <c r="A19" s="61"/>
      <c r="B19" s="53" t="s">
        <v>200</v>
      </c>
      <c r="C19" s="25">
        <f t="shared" ref="C19:C20" si="6">D19+E19+F19+G19</f>
        <v>0</v>
      </c>
      <c r="D19" s="25">
        <f>SUM(D20)</f>
        <v>0</v>
      </c>
      <c r="E19" s="54"/>
      <c r="F19" s="54"/>
      <c r="G19" s="54"/>
      <c r="H19" s="50">
        <f>IFERROR(ROUND(M19/D19,5),0)</f>
        <v>0</v>
      </c>
      <c r="I19" s="50"/>
      <c r="J19" s="50"/>
      <c r="K19" s="50"/>
      <c r="L19" s="29">
        <f>M19</f>
        <v>0</v>
      </c>
      <c r="M19" s="60">
        <f>SUM(M20:M21)</f>
        <v>0</v>
      </c>
      <c r="N19" s="55"/>
      <c r="O19" s="30"/>
      <c r="P19" s="56"/>
      <c r="Q19" s="3227"/>
    </row>
    <row r="20" spans="1:17" ht="16.149999999999999" customHeight="1">
      <c r="A20" s="61"/>
      <c r="B20" s="203" t="s">
        <v>5135</v>
      </c>
      <c r="C20" s="33">
        <f t="shared" si="6"/>
        <v>0</v>
      </c>
      <c r="D20" s="33">
        <v>0</v>
      </c>
      <c r="E20" s="54"/>
      <c r="F20" s="54"/>
      <c r="G20" s="54"/>
      <c r="H20" s="50">
        <v>0</v>
      </c>
      <c r="I20" s="50"/>
      <c r="J20" s="50"/>
      <c r="K20" s="50"/>
      <c r="L20" s="30">
        <f>M20+N20+O20+P20</f>
        <v>0</v>
      </c>
      <c r="M20" s="55">
        <f>ROUND(D20*H20,2)</f>
        <v>0</v>
      </c>
      <c r="N20" s="55"/>
      <c r="O20" s="30"/>
      <c r="P20" s="56"/>
    </row>
    <row r="21" spans="1:17" ht="18.75" customHeight="1">
      <c r="A21" s="61"/>
      <c r="B21" s="204" t="s">
        <v>202</v>
      </c>
      <c r="C21" s="33">
        <f>D21+E21+F21+G21</f>
        <v>0</v>
      </c>
      <c r="D21" s="33">
        <v>0</v>
      </c>
      <c r="E21" s="54"/>
      <c r="F21" s="54"/>
      <c r="G21" s="54"/>
      <c r="H21" s="50">
        <v>0</v>
      </c>
      <c r="I21" s="50"/>
      <c r="J21" s="50"/>
      <c r="K21" s="50"/>
      <c r="L21" s="30">
        <f>M21+N21+O21+P21</f>
        <v>0</v>
      </c>
      <c r="M21" s="55">
        <f>ROUND(D21*H21,2)</f>
        <v>0</v>
      </c>
      <c r="N21" s="55"/>
      <c r="O21" s="30"/>
      <c r="P21" s="56"/>
    </row>
    <row r="22" spans="1:17" ht="18.75" customHeight="1">
      <c r="A22" s="61"/>
      <c r="B22" s="53" t="s">
        <v>203</v>
      </c>
      <c r="C22" s="25">
        <f t="shared" si="3"/>
        <v>0</v>
      </c>
      <c r="D22" s="25">
        <f>SUM(D23)</f>
        <v>0</v>
      </c>
      <c r="E22" s="54"/>
      <c r="F22" s="54"/>
      <c r="G22" s="54"/>
      <c r="H22" s="50">
        <f>IFERROR(ROUND(M22/D22,5),0)</f>
        <v>0</v>
      </c>
      <c r="I22" s="50"/>
      <c r="J22" s="50"/>
      <c r="K22" s="50"/>
      <c r="L22" s="29">
        <f>M22</f>
        <v>0</v>
      </c>
      <c r="M22" s="60">
        <f>SUM(M23:M25)</f>
        <v>0</v>
      </c>
      <c r="N22" s="55"/>
      <c r="O22" s="30"/>
      <c r="P22" s="56"/>
    </row>
    <row r="23" spans="1:17" ht="18.75" customHeight="1">
      <c r="A23" s="61"/>
      <c r="B23" s="203" t="s">
        <v>201</v>
      </c>
      <c r="C23" s="33">
        <f t="shared" si="3"/>
        <v>0</v>
      </c>
      <c r="D23" s="33">
        <v>0</v>
      </c>
      <c r="E23" s="54"/>
      <c r="F23" s="54"/>
      <c r="G23" s="54"/>
      <c r="H23" s="50">
        <v>0</v>
      </c>
      <c r="I23" s="50"/>
      <c r="J23" s="50"/>
      <c r="K23" s="50"/>
      <c r="L23" s="30">
        <f t="shared" si="4"/>
        <v>0</v>
      </c>
      <c r="M23" s="55">
        <f>D23*H23</f>
        <v>0</v>
      </c>
      <c r="N23" s="55"/>
      <c r="O23" s="30"/>
      <c r="P23" s="56"/>
    </row>
    <row r="24" spans="1:17" ht="18.75" customHeight="1">
      <c r="A24" s="61"/>
      <c r="B24" s="204" t="s">
        <v>165</v>
      </c>
      <c r="C24" s="33">
        <f t="shared" si="3"/>
        <v>0</v>
      </c>
      <c r="D24" s="33">
        <v>0</v>
      </c>
      <c r="E24" s="54"/>
      <c r="F24" s="54"/>
      <c r="G24" s="54"/>
      <c r="H24" s="50">
        <f>H18</f>
        <v>0</v>
      </c>
      <c r="I24" s="50"/>
      <c r="J24" s="50"/>
      <c r="K24" s="50"/>
      <c r="L24" s="30">
        <f t="shared" si="4"/>
        <v>0</v>
      </c>
      <c r="M24" s="55">
        <f>D24*H24</f>
        <v>0</v>
      </c>
      <c r="N24" s="55"/>
      <c r="O24" s="30"/>
      <c r="P24" s="56"/>
    </row>
    <row r="25" spans="1:17" ht="18.75" customHeight="1">
      <c r="A25" s="61"/>
      <c r="B25" s="204" t="s">
        <v>164</v>
      </c>
      <c r="C25" s="33">
        <f>D25+E25+F25+G25</f>
        <v>0</v>
      </c>
      <c r="D25" s="33">
        <v>0</v>
      </c>
      <c r="E25" s="54"/>
      <c r="F25" s="54"/>
      <c r="G25" s="54"/>
      <c r="H25" s="50">
        <v>0</v>
      </c>
      <c r="I25" s="50"/>
      <c r="J25" s="50"/>
      <c r="K25" s="50"/>
      <c r="L25" s="30">
        <f>M25+N25+O25+P25</f>
        <v>0</v>
      </c>
      <c r="M25" s="55">
        <f>D25*H25</f>
        <v>0</v>
      </c>
      <c r="N25" s="55"/>
      <c r="O25" s="30"/>
      <c r="P25" s="56"/>
    </row>
    <row r="26" spans="1:17" ht="18.75" customHeight="1">
      <c r="A26" s="61">
        <v>1.2</v>
      </c>
      <c r="B26" s="62" t="s">
        <v>1767</v>
      </c>
      <c r="C26" s="25">
        <f>SUM(C28:C31)</f>
        <v>0</v>
      </c>
      <c r="D26" s="25"/>
      <c r="E26" s="59"/>
      <c r="F26" s="25">
        <f>SUM(F27:F31)</f>
        <v>0</v>
      </c>
      <c r="G26" s="25">
        <f>SUM(G27:G31)</f>
        <v>0</v>
      </c>
      <c r="H26" s="63"/>
      <c r="I26" s="63"/>
      <c r="J26" s="63"/>
      <c r="K26" s="63"/>
      <c r="L26" s="29">
        <f>SUM(L28:L31)</f>
        <v>0</v>
      </c>
      <c r="M26" s="60"/>
      <c r="N26" s="60"/>
      <c r="O26" s="29">
        <f>SUM(O27:O31)</f>
        <v>0</v>
      </c>
      <c r="P26" s="29">
        <f>SUM(P27:P31)</f>
        <v>0</v>
      </c>
    </row>
    <row r="27" spans="1:17" ht="18.75" customHeight="1">
      <c r="A27" s="61"/>
      <c r="B27" s="204" t="s">
        <v>3583</v>
      </c>
      <c r="C27" s="33">
        <f>D27+E27+F27+G27</f>
        <v>0</v>
      </c>
      <c r="D27" s="33"/>
      <c r="E27" s="54"/>
      <c r="F27" s="54"/>
      <c r="G27" s="54"/>
      <c r="H27" s="50"/>
      <c r="I27" s="50"/>
      <c r="J27" s="2081"/>
      <c r="K27" s="2081"/>
      <c r="L27" s="30">
        <f>SUM(M27:P27)</f>
        <v>0</v>
      </c>
      <c r="M27" s="55"/>
      <c r="N27" s="55"/>
      <c r="O27" s="30">
        <f>ROUND((F27*J27/1.2)/1,2)</f>
        <v>0</v>
      </c>
      <c r="P27" s="30">
        <f>ROUND((G27*K27/1.2)/1,2)</f>
        <v>0</v>
      </c>
    </row>
    <row r="28" spans="1:17" ht="18.75" customHeight="1">
      <c r="A28" s="61"/>
      <c r="B28" s="204" t="s">
        <v>1768</v>
      </c>
      <c r="C28" s="33">
        <f>D28+E28+F28+G28</f>
        <v>0</v>
      </c>
      <c r="D28" s="33"/>
      <c r="E28" s="54"/>
      <c r="F28" s="54"/>
      <c r="G28" s="54"/>
      <c r="H28" s="50"/>
      <c r="I28" s="50"/>
      <c r="J28" s="2081">
        <v>3.91</v>
      </c>
      <c r="K28" s="2081"/>
      <c r="L28" s="30">
        <f>SUM(M28:P28)</f>
        <v>0</v>
      </c>
      <c r="M28" s="55"/>
      <c r="N28" s="55"/>
      <c r="O28" s="30">
        <f>ROUND((F28*J28/1.2)/1,2)</f>
        <v>0</v>
      </c>
      <c r="P28" s="30">
        <f>ROUND((G28*K28/1.2)/1,2)</f>
        <v>0</v>
      </c>
    </row>
    <row r="29" spans="1:17" ht="18.75" customHeight="1">
      <c r="A29" s="61"/>
      <c r="B29" s="204" t="s">
        <v>1769</v>
      </c>
      <c r="C29" s="33">
        <f>D29+E29+F29+G29</f>
        <v>0</v>
      </c>
      <c r="D29" s="33"/>
      <c r="E29" s="54"/>
      <c r="F29" s="54"/>
      <c r="G29" s="54"/>
      <c r="H29" s="50"/>
      <c r="I29" s="50"/>
      <c r="J29" s="2081">
        <v>2.57</v>
      </c>
      <c r="K29" s="2081"/>
      <c r="L29" s="30">
        <f>SUM(M29:P29)</f>
        <v>0</v>
      </c>
      <c r="M29" s="55"/>
      <c r="N29" s="55"/>
      <c r="O29" s="30">
        <f>ROUND((F29*J29)/1.2,2)</f>
        <v>0</v>
      </c>
      <c r="P29" s="30">
        <f>ROUND((G29*K29)/1.2,2)</f>
        <v>0</v>
      </c>
    </row>
    <row r="30" spans="1:17" ht="18.75" customHeight="1">
      <c r="A30" s="61"/>
      <c r="B30" s="204" t="s">
        <v>2039</v>
      </c>
      <c r="C30" s="33">
        <f>D30+E30+F30+G30</f>
        <v>0</v>
      </c>
      <c r="D30" s="33"/>
      <c r="E30" s="54"/>
      <c r="F30" s="54"/>
      <c r="G30" s="54"/>
      <c r="H30" s="50"/>
      <c r="I30" s="50"/>
      <c r="J30" s="2081"/>
      <c r="K30" s="2081"/>
      <c r="L30" s="30">
        <f>SUM(M30:P30)</f>
        <v>0</v>
      </c>
      <c r="M30" s="55"/>
      <c r="N30" s="55"/>
      <c r="O30" s="30">
        <f>ROUND((F30*J30/1.2)/1,2)</f>
        <v>0</v>
      </c>
      <c r="P30" s="30">
        <f>ROUND((G30*K30/1.2)/1,2)</f>
        <v>0</v>
      </c>
    </row>
    <row r="31" spans="1:17" ht="18.75" customHeight="1" thickBot="1">
      <c r="A31" s="61"/>
      <c r="B31" s="204" t="s">
        <v>2040</v>
      </c>
      <c r="C31" s="33">
        <f>D31+E31+F31+G31</f>
        <v>0</v>
      </c>
      <c r="D31" s="33"/>
      <c r="E31" s="54"/>
      <c r="F31" s="54"/>
      <c r="G31" s="54"/>
      <c r="H31" s="50"/>
      <c r="I31" s="50"/>
      <c r="J31" s="2081"/>
      <c r="K31" s="2081"/>
      <c r="L31" s="30">
        <f>SUM(M31:P31)</f>
        <v>0</v>
      </c>
      <c r="M31" s="55"/>
      <c r="N31" s="55"/>
      <c r="O31" s="30">
        <f>ROUND((F31*J31)/1.2,2)</f>
        <v>0</v>
      </c>
      <c r="P31" s="30">
        <f>ROUND((G31*K31)/1.2,2)</f>
        <v>0</v>
      </c>
    </row>
    <row r="32" spans="1:17" ht="16.149999999999999" customHeight="1" thickBot="1">
      <c r="A32" s="96" t="s">
        <v>25</v>
      </c>
      <c r="B32" s="97" t="s">
        <v>26</v>
      </c>
      <c r="C32" s="342"/>
      <c r="D32" s="342"/>
      <c r="E32" s="342"/>
      <c r="F32" s="342"/>
      <c r="G32" s="342"/>
      <c r="H32" s="343"/>
      <c r="I32" s="343"/>
      <c r="J32" s="343"/>
      <c r="K32" s="343"/>
      <c r="L32" s="344"/>
      <c r="M32" s="344"/>
      <c r="N32" s="344"/>
      <c r="O32" s="344"/>
      <c r="P32" s="345"/>
    </row>
    <row r="33" spans="1:17" ht="16.149999999999999" customHeight="1" thickBot="1">
      <c r="A33" s="96" t="s">
        <v>27</v>
      </c>
      <c r="B33" s="97" t="s">
        <v>28</v>
      </c>
      <c r="C33" s="2082">
        <f>SUM(D33:G33)</f>
        <v>0</v>
      </c>
      <c r="D33" s="2082"/>
      <c r="E33" s="2082">
        <f>E35</f>
        <v>0</v>
      </c>
      <c r="F33" s="2082">
        <f>SUM(F34:F38)</f>
        <v>0</v>
      </c>
      <c r="G33" s="2082">
        <f>SUM(G34:G38)</f>
        <v>0</v>
      </c>
      <c r="H33" s="1800"/>
      <c r="I33" s="1801"/>
      <c r="J33" s="1801"/>
      <c r="K33" s="1801"/>
      <c r="L33" s="2083">
        <f>SUM(M33:P33)</f>
        <v>0</v>
      </c>
      <c r="M33" s="2083"/>
      <c r="N33" s="2083">
        <f>N35</f>
        <v>0</v>
      </c>
      <c r="O33" s="2083">
        <f>SUM(O34:O38)</f>
        <v>0</v>
      </c>
      <c r="P33" s="2083">
        <f>SUM(P34:P38)</f>
        <v>0</v>
      </c>
      <c r="Q33" s="100"/>
    </row>
    <row r="34" spans="1:17" ht="18.75" customHeight="1">
      <c r="A34" s="61"/>
      <c r="B34" s="204" t="s">
        <v>3583</v>
      </c>
      <c r="C34" s="33">
        <f>D34+E34+F34+G34</f>
        <v>0</v>
      </c>
      <c r="D34" s="33"/>
      <c r="E34" s="54"/>
      <c r="F34" s="54">
        <f>F27</f>
        <v>0</v>
      </c>
      <c r="G34" s="54">
        <f>G27</f>
        <v>0</v>
      </c>
      <c r="H34" s="50"/>
      <c r="I34" s="50"/>
      <c r="J34" s="2081"/>
      <c r="K34" s="2081">
        <f>K27</f>
        <v>0</v>
      </c>
      <c r="L34" s="30">
        <f t="shared" ref="L34" si="7">SUM(M34:P34)</f>
        <v>0</v>
      </c>
      <c r="M34" s="55"/>
      <c r="N34" s="55"/>
      <c r="O34" s="30">
        <f>ROUND((F34*J34)/1.2,2)</f>
        <v>0</v>
      </c>
      <c r="P34" s="30">
        <f>ROUND((G34*K34)/1.2,2)</f>
        <v>0</v>
      </c>
    </row>
    <row r="35" spans="1:17" ht="18.75" customHeight="1">
      <c r="A35" s="61"/>
      <c r="B35" s="204" t="s">
        <v>1768</v>
      </c>
      <c r="C35" s="33">
        <f t="shared" ref="C35:C37" si="8">D35+E35+F35+G35</f>
        <v>0</v>
      </c>
      <c r="D35" s="33"/>
      <c r="E35" s="54"/>
      <c r="F35" s="54">
        <f>F28</f>
        <v>0</v>
      </c>
      <c r="G35" s="54">
        <f>G28</f>
        <v>0</v>
      </c>
      <c r="H35" s="50"/>
      <c r="I35" s="50"/>
      <c r="J35" s="2081">
        <f>J28</f>
        <v>3.91</v>
      </c>
      <c r="K35" s="50"/>
      <c r="L35" s="30">
        <f>SUM(M35:P35)</f>
        <v>0</v>
      </c>
      <c r="M35" s="55"/>
      <c r="N35" s="55"/>
      <c r="O35" s="30">
        <f>ROUND((F35*J35)/1.22,2)</f>
        <v>0</v>
      </c>
      <c r="P35" s="30">
        <f>ROUND((G35*K35)/1.2,2)</f>
        <v>0</v>
      </c>
    </row>
    <row r="36" spans="1:17" ht="18.75" customHeight="1">
      <c r="A36" s="61"/>
      <c r="B36" s="204" t="s">
        <v>1769</v>
      </c>
      <c r="C36" s="33">
        <f t="shared" si="8"/>
        <v>0</v>
      </c>
      <c r="D36" s="33"/>
      <c r="E36" s="54"/>
      <c r="F36" s="54">
        <f t="shared" ref="F36:G36" si="9">F29</f>
        <v>0</v>
      </c>
      <c r="G36" s="54">
        <f t="shared" si="9"/>
        <v>0</v>
      </c>
      <c r="H36" s="50"/>
      <c r="I36" s="50"/>
      <c r="J36" s="2081">
        <f>J29</f>
        <v>2.57</v>
      </c>
      <c r="K36" s="50"/>
      <c r="L36" s="30">
        <f>SUM(M36:P36)</f>
        <v>0</v>
      </c>
      <c r="M36" s="55"/>
      <c r="N36" s="55"/>
      <c r="O36" s="30">
        <f>ROUND((F36*J36)/1.22,2)</f>
        <v>0</v>
      </c>
      <c r="P36" s="30">
        <f t="shared" ref="O36:P38" si="10">ROUND((G36*K36)/1.2,2)</f>
        <v>0</v>
      </c>
    </row>
    <row r="37" spans="1:17" ht="18.75" customHeight="1">
      <c r="A37" s="61"/>
      <c r="B37" s="204" t="s">
        <v>2039</v>
      </c>
      <c r="C37" s="33">
        <f t="shared" si="8"/>
        <v>0</v>
      </c>
      <c r="D37" s="33"/>
      <c r="E37" s="54"/>
      <c r="F37" s="54">
        <f t="shared" ref="F37:G37" si="11">F30</f>
        <v>0</v>
      </c>
      <c r="G37" s="54">
        <f t="shared" si="11"/>
        <v>0</v>
      </c>
      <c r="H37" s="50"/>
      <c r="I37" s="50"/>
      <c r="J37" s="2081"/>
      <c r="K37" s="2081">
        <f>K30</f>
        <v>0</v>
      </c>
      <c r="L37" s="30">
        <f>SUM(M37:P37)</f>
        <v>0</v>
      </c>
      <c r="M37" s="55"/>
      <c r="N37" s="55"/>
      <c r="O37" s="30">
        <f t="shared" si="10"/>
        <v>0</v>
      </c>
      <c r="P37" s="30">
        <f t="shared" si="10"/>
        <v>0</v>
      </c>
    </row>
    <row r="38" spans="1:17" ht="18.75" customHeight="1" thickBot="1">
      <c r="A38" s="61"/>
      <c r="B38" s="204" t="s">
        <v>2040</v>
      </c>
      <c r="C38" s="33">
        <f>D38+E38+F38+G38</f>
        <v>0</v>
      </c>
      <c r="D38" s="33"/>
      <c r="E38" s="54"/>
      <c r="F38" s="54">
        <f t="shared" ref="F38:G38" si="12">F31</f>
        <v>0</v>
      </c>
      <c r="G38" s="54">
        <f t="shared" si="12"/>
        <v>0</v>
      </c>
      <c r="H38" s="50"/>
      <c r="I38" s="50"/>
      <c r="J38" s="2081"/>
      <c r="K38" s="2081">
        <f>K31</f>
        <v>0</v>
      </c>
      <c r="L38" s="30">
        <f>SUM(M38:P38)</f>
        <v>0</v>
      </c>
      <c r="M38" s="55"/>
      <c r="N38" s="55"/>
      <c r="O38" s="30">
        <f t="shared" si="10"/>
        <v>0</v>
      </c>
      <c r="P38" s="30">
        <f t="shared" si="10"/>
        <v>0</v>
      </c>
    </row>
    <row r="39" spans="1:17" ht="16.149999999999999" customHeight="1" thickBot="1">
      <c r="A39" s="96" t="s">
        <v>41</v>
      </c>
      <c r="B39" s="97" t="s">
        <v>42</v>
      </c>
      <c r="C39" s="72">
        <f>D39+E39+F39+G39</f>
        <v>0</v>
      </c>
      <c r="D39" s="72">
        <f t="shared" ref="D39:G40" si="13">D40</f>
        <v>0</v>
      </c>
      <c r="E39" s="72">
        <f t="shared" si="13"/>
        <v>0</v>
      </c>
      <c r="F39" s="72">
        <f t="shared" si="13"/>
        <v>0</v>
      </c>
      <c r="G39" s="72">
        <f t="shared" si="13"/>
        <v>0</v>
      </c>
      <c r="H39" s="99"/>
      <c r="I39" s="99"/>
      <c r="J39" s="99"/>
      <c r="K39" s="99"/>
      <c r="L39" s="165">
        <f>N39+M39+O39+P39</f>
        <v>0</v>
      </c>
      <c r="M39" s="176">
        <f t="shared" ref="M39:P40" si="14">M40</f>
        <v>0</v>
      </c>
      <c r="N39" s="176">
        <f t="shared" si="14"/>
        <v>0</v>
      </c>
      <c r="O39" s="176">
        <f t="shared" si="14"/>
        <v>0</v>
      </c>
      <c r="P39" s="176">
        <f t="shared" si="14"/>
        <v>0</v>
      </c>
      <c r="Q39" s="100"/>
    </row>
    <row r="40" spans="1:17" ht="16.149999999999999" customHeight="1">
      <c r="A40" s="154"/>
      <c r="B40" s="155" t="s">
        <v>43</v>
      </c>
      <c r="C40" s="156">
        <f>D40+E40+F40+G40</f>
        <v>0</v>
      </c>
      <c r="D40" s="156">
        <f t="shared" si="13"/>
        <v>0</v>
      </c>
      <c r="E40" s="156">
        <f t="shared" si="13"/>
        <v>0</v>
      </c>
      <c r="F40" s="156">
        <f t="shared" si="13"/>
        <v>0</v>
      </c>
      <c r="G40" s="156">
        <f t="shared" si="13"/>
        <v>0</v>
      </c>
      <c r="H40" s="157"/>
      <c r="I40" s="158"/>
      <c r="J40" s="157"/>
      <c r="K40" s="158"/>
      <c r="L40" s="159">
        <f>M40+N40+O40+P40</f>
        <v>0</v>
      </c>
      <c r="M40" s="159">
        <f t="shared" si="14"/>
        <v>0</v>
      </c>
      <c r="N40" s="159">
        <f t="shared" si="14"/>
        <v>0</v>
      </c>
      <c r="O40" s="159">
        <f t="shared" si="14"/>
        <v>0</v>
      </c>
      <c r="P40" s="159">
        <f t="shared" si="14"/>
        <v>0</v>
      </c>
      <c r="Q40" s="100"/>
    </row>
    <row r="41" spans="1:17" ht="16.149999999999999" customHeight="1">
      <c r="A41" s="124"/>
      <c r="B41" s="110" t="s">
        <v>155</v>
      </c>
      <c r="C41" s="59">
        <f>D41+E41+F41+G41</f>
        <v>0</v>
      </c>
      <c r="D41" s="59">
        <f>SUM(D42:D44)</f>
        <v>0</v>
      </c>
      <c r="E41" s="59">
        <f>SUM(E42:E44)</f>
        <v>0</v>
      </c>
      <c r="F41" s="59">
        <f>SUM(F42:F44)</f>
        <v>0</v>
      </c>
      <c r="G41" s="59">
        <f>SUM(G42:G44)</f>
        <v>0</v>
      </c>
      <c r="H41" s="167"/>
      <c r="I41" s="168"/>
      <c r="J41" s="167"/>
      <c r="K41" s="168"/>
      <c r="L41" s="123">
        <f>M41+N41+O41+P41</f>
        <v>0</v>
      </c>
      <c r="M41" s="123">
        <f>SUM(M42:M44)</f>
        <v>0</v>
      </c>
      <c r="N41" s="123">
        <f>SUM(N42:N44)</f>
        <v>0</v>
      </c>
      <c r="O41" s="123">
        <f>SUM(O42:O44)</f>
        <v>0</v>
      </c>
      <c r="P41" s="123">
        <f>SUM(P42:P44)</f>
        <v>0</v>
      </c>
      <c r="Q41" s="100"/>
    </row>
    <row r="42" spans="1:17" ht="16.149999999999999" customHeight="1">
      <c r="A42" s="101">
        <v>3.1</v>
      </c>
      <c r="B42" s="203" t="s">
        <v>1935</v>
      </c>
      <c r="C42" s="59">
        <f>SUM(D42:G42)</f>
        <v>0</v>
      </c>
      <c r="D42" s="54">
        <f>D17</f>
        <v>0</v>
      </c>
      <c r="E42" s="54"/>
      <c r="F42" s="54"/>
      <c r="G42" s="54"/>
      <c r="H42" s="188">
        <f>H16+0.03</f>
        <v>0.03</v>
      </c>
      <c r="I42" s="188"/>
      <c r="J42" s="188"/>
      <c r="K42" s="188"/>
      <c r="L42" s="175">
        <f>SUM(M42:P42)</f>
        <v>0</v>
      </c>
      <c r="M42" s="175">
        <f>ROUND(D42*H42,2)</f>
        <v>0</v>
      </c>
      <c r="N42" s="175"/>
      <c r="O42" s="175"/>
      <c r="P42" s="175"/>
      <c r="Q42" s="100"/>
    </row>
    <row r="43" spans="1:17" ht="16.149999999999999" customHeight="1">
      <c r="A43" s="101">
        <v>3.2</v>
      </c>
      <c r="B43" s="203" t="s">
        <v>1936</v>
      </c>
      <c r="C43" s="59">
        <f>SUM(D43:G43)</f>
        <v>0</v>
      </c>
      <c r="D43" s="54">
        <f>D23</f>
        <v>0</v>
      </c>
      <c r="E43" s="54"/>
      <c r="F43" s="54"/>
      <c r="G43" s="54"/>
      <c r="H43" s="188">
        <f>H22+0.03</f>
        <v>0.03</v>
      </c>
      <c r="I43" s="188"/>
      <c r="J43" s="188"/>
      <c r="K43" s="188"/>
      <c r="L43" s="175">
        <f>SUM(M43:P43)</f>
        <v>0</v>
      </c>
      <c r="M43" s="175">
        <f>ROUND(D43*H43,2)</f>
        <v>0</v>
      </c>
      <c r="N43" s="175"/>
      <c r="O43" s="175"/>
      <c r="P43" s="175"/>
      <c r="Q43" s="100"/>
    </row>
    <row r="44" spans="1:17" ht="16.149999999999999" customHeight="1" thickBot="1">
      <c r="A44" s="101">
        <v>3.3</v>
      </c>
      <c r="B44" s="203" t="s">
        <v>4729</v>
      </c>
      <c r="C44" s="59">
        <f>SUM(D44:G44)</f>
        <v>0</v>
      </c>
      <c r="D44" s="54">
        <f>D20</f>
        <v>0</v>
      </c>
      <c r="E44" s="54"/>
      <c r="F44" s="54">
        <f>F14</f>
        <v>0</v>
      </c>
      <c r="G44" s="54">
        <f>G14</f>
        <v>0</v>
      </c>
      <c r="H44" s="188">
        <f>H52+0.03</f>
        <v>0.03</v>
      </c>
      <c r="I44" s="188"/>
      <c r="J44" s="188">
        <f>J14+0.03</f>
        <v>0.03</v>
      </c>
      <c r="K44" s="188">
        <f>K14+0.03</f>
        <v>0.03</v>
      </c>
      <c r="L44" s="175">
        <f>SUM(M44:P44)</f>
        <v>0</v>
      </c>
      <c r="M44" s="175">
        <f>ROUND(D44*H44,2)</f>
        <v>0</v>
      </c>
      <c r="N44" s="175"/>
      <c r="O44" s="175">
        <f>ROUND(F44*J44,2)</f>
        <v>0</v>
      </c>
      <c r="P44" s="175">
        <f>ROUND(G44*K44,2)</f>
        <v>0</v>
      </c>
      <c r="Q44" s="100"/>
    </row>
    <row r="45" spans="1:17" ht="16.149999999999999" customHeight="1" thickBot="1">
      <c r="A45" s="130" t="s">
        <v>44</v>
      </c>
      <c r="B45" s="125" t="s">
        <v>46</v>
      </c>
      <c r="C45" s="98">
        <f t="shared" ref="C45:C50" si="15">D45+E45+F45+G45</f>
        <v>0</v>
      </c>
      <c r="D45" s="98">
        <f>D46+D47</f>
        <v>0</v>
      </c>
      <c r="E45" s="98">
        <f>E46+E47</f>
        <v>0</v>
      </c>
      <c r="F45" s="98">
        <f>SUM(F46:F47)</f>
        <v>0</v>
      </c>
      <c r="G45" s="98">
        <f>SUM(G46:G47)</f>
        <v>0</v>
      </c>
      <c r="H45" s="99"/>
      <c r="I45" s="99"/>
      <c r="J45" s="99"/>
      <c r="K45" s="99"/>
      <c r="L45" s="20">
        <f>M45+N45+O45+P45</f>
        <v>0</v>
      </c>
      <c r="M45" s="20">
        <f>M46+M47</f>
        <v>0</v>
      </c>
      <c r="N45" s="20">
        <f>N46+N47</f>
        <v>0</v>
      </c>
      <c r="O45" s="20">
        <f>SUM(O46:O47)</f>
        <v>0</v>
      </c>
      <c r="P45" s="20">
        <f>SUM(P46:P47)</f>
        <v>0</v>
      </c>
      <c r="Q45" s="100"/>
    </row>
    <row r="46" spans="1:17" ht="16.149999999999999" customHeight="1" thickBot="1">
      <c r="A46" s="131"/>
      <c r="B46" s="125" t="s">
        <v>47</v>
      </c>
      <c r="C46" s="98">
        <f>SUM(D46:G46)</f>
        <v>0</v>
      </c>
      <c r="D46" s="16">
        <f t="shared" ref="D46:G47" si="16">D49</f>
        <v>0</v>
      </c>
      <c r="E46" s="16">
        <f t="shared" si="16"/>
        <v>0</v>
      </c>
      <c r="F46" s="16">
        <f>F49</f>
        <v>0</v>
      </c>
      <c r="G46" s="16">
        <f t="shared" si="16"/>
        <v>0</v>
      </c>
      <c r="H46" s="99"/>
      <c r="I46" s="132"/>
      <c r="J46" s="99"/>
      <c r="K46" s="132"/>
      <c r="L46" s="20">
        <f>SUM(M46:P46)</f>
        <v>0</v>
      </c>
      <c r="M46" s="22">
        <f t="shared" ref="M46:P47" si="17">M49</f>
        <v>0</v>
      </c>
      <c r="N46" s="22">
        <f t="shared" si="17"/>
        <v>0</v>
      </c>
      <c r="O46" s="22">
        <f t="shared" si="17"/>
        <v>0</v>
      </c>
      <c r="P46" s="22">
        <f t="shared" si="17"/>
        <v>0</v>
      </c>
      <c r="Q46" s="100"/>
    </row>
    <row r="47" spans="1:17" ht="16.149999999999999" customHeight="1" thickBot="1">
      <c r="A47" s="131"/>
      <c r="B47" s="125" t="s">
        <v>48</v>
      </c>
      <c r="C47" s="98">
        <f t="shared" si="15"/>
        <v>0</v>
      </c>
      <c r="D47" s="16">
        <f t="shared" si="16"/>
        <v>0</v>
      </c>
      <c r="E47" s="16">
        <f t="shared" si="16"/>
        <v>0</v>
      </c>
      <c r="F47" s="16">
        <f t="shared" si="16"/>
        <v>0</v>
      </c>
      <c r="G47" s="16">
        <f t="shared" si="16"/>
        <v>0</v>
      </c>
      <c r="H47" s="99"/>
      <c r="I47" s="132"/>
      <c r="J47" s="99"/>
      <c r="K47" s="132"/>
      <c r="L47" s="20">
        <f>M47+N47+O47+P47</f>
        <v>0</v>
      </c>
      <c r="M47" s="22">
        <f t="shared" si="17"/>
        <v>0</v>
      </c>
      <c r="N47" s="22">
        <f t="shared" si="17"/>
        <v>0</v>
      </c>
      <c r="O47" s="22">
        <f t="shared" si="17"/>
        <v>0</v>
      </c>
      <c r="P47" s="22">
        <f t="shared" si="17"/>
        <v>0</v>
      </c>
      <c r="Q47" s="100"/>
    </row>
    <row r="48" spans="1:17" ht="16.149999999999999" customHeight="1" thickBot="1">
      <c r="A48" s="131"/>
      <c r="B48" s="125" t="s">
        <v>49</v>
      </c>
      <c r="C48" s="98">
        <f t="shared" si="15"/>
        <v>0</v>
      </c>
      <c r="D48" s="16">
        <f>D49+D50</f>
        <v>0</v>
      </c>
      <c r="E48" s="16">
        <f>E49+E50</f>
        <v>0</v>
      </c>
      <c r="F48" s="16">
        <f>SUM(F49:F50)</f>
        <v>0</v>
      </c>
      <c r="G48" s="16">
        <f>SUM(G49:G50)</f>
        <v>0</v>
      </c>
      <c r="H48" s="99"/>
      <c r="I48" s="132"/>
      <c r="J48" s="99"/>
      <c r="K48" s="132"/>
      <c r="L48" s="20">
        <f>M48+N48+O48+P48</f>
        <v>0</v>
      </c>
      <c r="M48" s="22">
        <f>M49+M50</f>
        <v>0</v>
      </c>
      <c r="N48" s="22">
        <f>N49+N50</f>
        <v>0</v>
      </c>
      <c r="O48" s="22">
        <f>SUM(O49:O50)</f>
        <v>0</v>
      </c>
      <c r="P48" s="22">
        <f>SUM(P49:P50)</f>
        <v>0</v>
      </c>
      <c r="Q48" s="100"/>
    </row>
    <row r="49" spans="1:17" ht="16.149999999999999" customHeight="1" thickBot="1">
      <c r="A49" s="133"/>
      <c r="B49" s="125" t="s">
        <v>50</v>
      </c>
      <c r="C49" s="98">
        <f>SUM(D49:G49)</f>
        <v>0</v>
      </c>
      <c r="D49" s="16">
        <f>SUM(D35)</f>
        <v>0</v>
      </c>
      <c r="E49" s="16">
        <f>E35</f>
        <v>0</v>
      </c>
      <c r="F49" s="16">
        <f>F33</f>
        <v>0</v>
      </c>
      <c r="G49" s="16">
        <f>G35</f>
        <v>0</v>
      </c>
      <c r="H49" s="134"/>
      <c r="I49" s="135"/>
      <c r="J49" s="134"/>
      <c r="K49" s="135"/>
      <c r="L49" s="20">
        <f>SUM(M49:P49)</f>
        <v>0</v>
      </c>
      <c r="M49" s="22">
        <f>SUM(M35)</f>
        <v>0</v>
      </c>
      <c r="N49" s="22">
        <f>N35</f>
        <v>0</v>
      </c>
      <c r="O49" s="22">
        <f>O33</f>
        <v>0</v>
      </c>
      <c r="P49" s="22">
        <f>P35</f>
        <v>0</v>
      </c>
      <c r="Q49" s="100"/>
    </row>
    <row r="50" spans="1:17" ht="16.149999999999999" customHeight="1" thickBot="1">
      <c r="A50" s="133"/>
      <c r="B50" s="125" t="s">
        <v>51</v>
      </c>
      <c r="C50" s="98">
        <f t="shared" si="15"/>
        <v>0</v>
      </c>
      <c r="D50" s="16">
        <f>D39</f>
        <v>0</v>
      </c>
      <c r="E50" s="16">
        <f>E39</f>
        <v>0</v>
      </c>
      <c r="F50" s="16">
        <f>F39</f>
        <v>0</v>
      </c>
      <c r="G50" s="16">
        <f>G39</f>
        <v>0</v>
      </c>
      <c r="H50" s="134"/>
      <c r="I50" s="135"/>
      <c r="J50" s="134"/>
      <c r="K50" s="135"/>
      <c r="L50" s="20">
        <f>M50+N50+O50+P50</f>
        <v>0</v>
      </c>
      <c r="M50" s="22">
        <f>M39</f>
        <v>0</v>
      </c>
      <c r="N50" s="22">
        <f>N39</f>
        <v>0</v>
      </c>
      <c r="O50" s="22">
        <f>O39</f>
        <v>0</v>
      </c>
      <c r="P50" s="22">
        <f>P39</f>
        <v>0</v>
      </c>
      <c r="Q50" s="100"/>
    </row>
    <row r="51" spans="1:17" s="143" customFormat="1" ht="16.149999999999999" customHeight="1">
      <c r="A51" s="136"/>
      <c r="B51" s="136"/>
      <c r="C51" s="137"/>
      <c r="D51" s="136"/>
      <c r="E51" s="138"/>
      <c r="F51" s="138"/>
      <c r="G51" s="138"/>
      <c r="H51" s="136"/>
      <c r="I51" s="136"/>
      <c r="J51" s="136"/>
      <c r="K51" s="136"/>
      <c r="L51" s="139"/>
      <c r="M51" s="140"/>
      <c r="N51" s="140"/>
      <c r="O51" s="141"/>
      <c r="P51" s="141"/>
      <c r="Q51" s="142"/>
    </row>
    <row r="52" spans="1:17" s="143" customFormat="1" ht="16.149999999999999" customHeight="1">
      <c r="A52" s="136"/>
      <c r="B52" s="144" t="s">
        <v>54</v>
      </c>
      <c r="C52" s="145"/>
      <c r="D52" s="146"/>
      <c r="E52" s="147"/>
      <c r="F52" s="147"/>
      <c r="G52" s="147"/>
      <c r="H52" s="4099"/>
      <c r="L52" s="141"/>
      <c r="M52" s="136"/>
      <c r="N52" s="144"/>
      <c r="O52" s="144"/>
    </row>
    <row r="53" spans="1:17" s="143" customFormat="1" ht="16.149999999999999" customHeight="1">
      <c r="A53" s="136"/>
      <c r="B53" s="144" t="s">
        <v>55</v>
      </c>
      <c r="C53" s="2"/>
      <c r="D53" s="2"/>
      <c r="E53" s="2"/>
      <c r="F53" s="2"/>
      <c r="G53" s="2"/>
      <c r="H53" s="2"/>
      <c r="I53" s="2"/>
      <c r="J53" s="2"/>
      <c r="K53" s="2"/>
      <c r="L53" s="2"/>
      <c r="M53" s="2"/>
      <c r="N53" s="2"/>
      <c r="O53" s="2"/>
      <c r="P53" s="2"/>
    </row>
    <row r="54" spans="1:17" s="143" customFormat="1" ht="16.149999999999999" customHeight="1">
      <c r="A54" s="136"/>
      <c r="B54" s="144" t="s">
        <v>56</v>
      </c>
      <c r="C54" s="2"/>
      <c r="D54" s="2"/>
      <c r="E54" s="2"/>
      <c r="F54" s="2"/>
      <c r="G54" s="2"/>
      <c r="H54" s="2"/>
      <c r="I54" s="2"/>
      <c r="J54" s="2"/>
      <c r="K54" s="2"/>
      <c r="L54" s="2"/>
      <c r="M54" s="2"/>
      <c r="N54" s="2"/>
      <c r="O54" s="2"/>
      <c r="P54" s="2"/>
    </row>
    <row r="55" spans="1:17" s="143" customFormat="1" ht="15.75" customHeight="1">
      <c r="A55" s="136"/>
      <c r="B55" s="148"/>
      <c r="C55" s="2"/>
      <c r="D55" s="2"/>
      <c r="E55" s="2"/>
      <c r="F55" s="2"/>
      <c r="G55" s="2"/>
      <c r="H55" s="2"/>
      <c r="I55" s="2"/>
      <c r="J55" s="2"/>
      <c r="K55" s="2"/>
      <c r="L55" s="2"/>
      <c r="M55" s="2"/>
      <c r="N55" s="2"/>
      <c r="O55" s="2"/>
      <c r="P55" s="2"/>
    </row>
    <row r="56" spans="1:17" s="143" customFormat="1" ht="15.75" customHeight="1">
      <c r="A56" s="136"/>
      <c r="B56" s="149"/>
      <c r="C56" s="2"/>
      <c r="D56" s="2"/>
      <c r="E56" s="2"/>
      <c r="F56" s="2"/>
      <c r="G56" s="2"/>
      <c r="H56" s="2"/>
      <c r="I56" s="2"/>
      <c r="J56" s="2"/>
      <c r="K56" s="2"/>
      <c r="L56" s="2"/>
      <c r="M56" s="2"/>
      <c r="N56" s="2"/>
      <c r="O56" s="2"/>
      <c r="P56" s="2"/>
    </row>
    <row r="57" spans="1:17" s="143" customFormat="1" ht="15.75" customHeight="1">
      <c r="A57" s="136"/>
      <c r="B57" s="148"/>
      <c r="C57" s="2"/>
      <c r="D57" s="2"/>
      <c r="E57" s="2"/>
      <c r="F57" s="2"/>
      <c r="G57" s="2"/>
      <c r="H57" s="2"/>
      <c r="I57" s="2"/>
      <c r="J57" s="2"/>
      <c r="K57" s="2"/>
      <c r="L57" s="2"/>
      <c r="M57" s="2"/>
      <c r="N57" s="2"/>
      <c r="O57" s="2"/>
      <c r="P57" s="2"/>
    </row>
    <row r="58" spans="1:17" s="143" customFormat="1" ht="15.75" customHeight="1">
      <c r="A58" s="136"/>
      <c r="B58" s="148"/>
      <c r="C58" s="2"/>
      <c r="D58" s="2"/>
      <c r="E58" s="2"/>
      <c r="F58" s="2"/>
      <c r="G58" s="2"/>
      <c r="H58" s="2"/>
      <c r="I58" s="2"/>
      <c r="J58" s="2"/>
      <c r="K58" s="2"/>
      <c r="L58" s="2"/>
      <c r="M58" s="2"/>
      <c r="N58" s="2"/>
      <c r="O58" s="2"/>
      <c r="P58" s="2"/>
    </row>
    <row r="59" spans="1:17" s="143" customFormat="1" ht="15.75" customHeight="1">
      <c r="A59" s="136"/>
      <c r="B59" s="148"/>
      <c r="C59" s="2"/>
      <c r="D59" s="2"/>
      <c r="E59" s="2"/>
      <c r="F59" s="2"/>
      <c r="G59" s="2"/>
      <c r="H59" s="2"/>
      <c r="I59" s="2"/>
      <c r="J59" s="2"/>
      <c r="K59" s="2"/>
      <c r="L59" s="2"/>
      <c r="M59" s="2"/>
      <c r="N59" s="2"/>
      <c r="O59" s="2"/>
      <c r="P59" s="2"/>
    </row>
    <row r="60" spans="1:17" s="143" customFormat="1" ht="15.75" customHeight="1">
      <c r="A60" s="136"/>
      <c r="B60" s="144" t="s">
        <v>57</v>
      </c>
      <c r="C60" s="2"/>
      <c r="D60" s="2"/>
      <c r="E60" s="2"/>
      <c r="F60" s="2"/>
      <c r="G60" s="2"/>
      <c r="H60" s="2"/>
      <c r="I60" s="2"/>
      <c r="J60" s="2"/>
      <c r="K60" s="2"/>
      <c r="L60" s="2"/>
      <c r="M60" s="2"/>
      <c r="N60" s="2"/>
      <c r="O60" s="2"/>
      <c r="P60" s="2"/>
    </row>
    <row r="61" spans="1:17" ht="16.149999999999999" customHeight="1">
      <c r="A61" s="150"/>
      <c r="B61" s="151"/>
      <c r="C61" s="2"/>
      <c r="D61" s="2"/>
      <c r="E61" s="2"/>
      <c r="F61" s="2"/>
      <c r="G61" s="2"/>
      <c r="H61" s="2"/>
      <c r="I61" s="2"/>
      <c r="J61" s="2"/>
      <c r="K61" s="2"/>
      <c r="L61" s="2"/>
      <c r="M61" s="2"/>
      <c r="N61" s="2"/>
      <c r="O61" s="2"/>
      <c r="P61" s="2"/>
    </row>
    <row r="62" spans="1:17" ht="15" customHeight="1">
      <c r="A62" s="2"/>
      <c r="B62" s="2"/>
      <c r="C62" s="2"/>
      <c r="D62" s="2"/>
      <c r="E62" s="2"/>
      <c r="F62" s="2"/>
      <c r="G62" s="2"/>
      <c r="H62" s="2"/>
      <c r="I62" s="2"/>
      <c r="J62" s="2"/>
      <c r="K62" s="2"/>
      <c r="L62" s="2"/>
      <c r="M62" s="2"/>
      <c r="N62" s="2"/>
      <c r="O62" s="2"/>
      <c r="P62" s="2"/>
    </row>
    <row r="63" spans="1:17" ht="15" customHeight="1">
      <c r="A63" s="2"/>
      <c r="B63" s="2"/>
      <c r="C63" s="2"/>
      <c r="D63" s="2"/>
      <c r="E63" s="2"/>
      <c r="F63" s="2"/>
      <c r="G63" s="2"/>
      <c r="H63" s="2"/>
      <c r="I63" s="2"/>
      <c r="J63" s="2"/>
      <c r="K63" s="2"/>
      <c r="L63" s="2"/>
      <c r="M63" s="2"/>
      <c r="N63" s="2"/>
      <c r="O63" s="2"/>
      <c r="P63" s="2"/>
    </row>
    <row r="64" spans="1:17" ht="25.5" hidden="1">
      <c r="A64" s="2"/>
      <c r="B64" s="2"/>
      <c r="C64" s="518" t="s">
        <v>400</v>
      </c>
      <c r="D64" s="519" t="s">
        <v>401</v>
      </c>
      <c r="E64" s="519" t="s">
        <v>402</v>
      </c>
      <c r="F64" s="519" t="s">
        <v>403</v>
      </c>
      <c r="G64" s="519" t="s">
        <v>404</v>
      </c>
      <c r="H64" s="519" t="s">
        <v>405</v>
      </c>
      <c r="I64" s="519" t="s">
        <v>406</v>
      </c>
      <c r="J64" s="520" t="s">
        <v>407</v>
      </c>
      <c r="K64" s="2"/>
      <c r="L64" s="2"/>
      <c r="M64" s="2"/>
      <c r="N64" s="2"/>
      <c r="O64" s="2"/>
      <c r="P64" s="2"/>
    </row>
    <row r="65" spans="1:16" ht="12.75" hidden="1">
      <c r="A65" s="2"/>
      <c r="B65" s="2"/>
      <c r="C65" s="521" t="s">
        <v>25</v>
      </c>
      <c r="D65" s="4117" t="s">
        <v>408</v>
      </c>
      <c r="E65" s="4118"/>
      <c r="F65" s="4119"/>
      <c r="G65" s="4119"/>
      <c r="H65" s="4119"/>
      <c r="I65" s="4119"/>
      <c r="J65" s="4120"/>
      <c r="K65" s="2"/>
      <c r="L65" s="2"/>
      <c r="M65" s="2"/>
      <c r="N65" s="2"/>
      <c r="O65" s="2"/>
      <c r="P65" s="2"/>
    </row>
    <row r="66" spans="1:16" ht="12.75" hidden="1">
      <c r="A66" s="2"/>
      <c r="B66" s="2"/>
      <c r="C66" s="522" t="s">
        <v>339</v>
      </c>
      <c r="D66" s="523" t="s">
        <v>409</v>
      </c>
      <c r="E66" s="524" t="s">
        <v>410</v>
      </c>
      <c r="F66" s="525">
        <v>0</v>
      </c>
      <c r="G66" s="524">
        <f>'Шаблон 46 ГП'!G317</f>
        <v>4069.7</v>
      </c>
      <c r="H66" s="594">
        <f t="shared" ref="H66:H72" si="18">+ROUND(F66*G66,2)</f>
        <v>0</v>
      </c>
      <c r="I66" s="594">
        <f t="shared" ref="I66:I78" si="19">+ROUND(H66*0.18,2)</f>
        <v>0</v>
      </c>
      <c r="J66" s="595">
        <f t="shared" ref="J66:J72" si="20">+H66+I66</f>
        <v>0</v>
      </c>
      <c r="K66" s="2"/>
      <c r="L66" s="2"/>
      <c r="M66" s="2"/>
      <c r="N66" s="2"/>
      <c r="O66" s="2"/>
      <c r="P66" s="2"/>
    </row>
    <row r="67" spans="1:16" ht="12.75" hidden="1">
      <c r="A67" s="2"/>
      <c r="B67" s="152"/>
      <c r="C67" s="522" t="s">
        <v>390</v>
      </c>
      <c r="D67" s="523" t="s">
        <v>411</v>
      </c>
      <c r="E67" s="524" t="s">
        <v>410</v>
      </c>
      <c r="F67" s="525">
        <v>0</v>
      </c>
      <c r="G67" s="524">
        <f>'Шаблон 46 ГП'!G318</f>
        <v>4360.62</v>
      </c>
      <c r="H67" s="594">
        <f>+ROUND(F67*G67,2)</f>
        <v>0</v>
      </c>
      <c r="I67" s="594">
        <f t="shared" si="19"/>
        <v>0</v>
      </c>
      <c r="J67" s="595">
        <f t="shared" si="20"/>
        <v>0</v>
      </c>
      <c r="K67" s="2"/>
      <c r="L67" s="2"/>
      <c r="M67" s="2"/>
      <c r="N67" s="2"/>
      <c r="O67" s="2"/>
      <c r="P67" s="2"/>
    </row>
    <row r="68" spans="1:16" ht="12.75" hidden="1">
      <c r="A68" s="2"/>
      <c r="B68" s="2"/>
      <c r="C68" s="526" t="s">
        <v>391</v>
      </c>
      <c r="D68" s="527" t="s">
        <v>12</v>
      </c>
      <c r="E68" s="524" t="s">
        <v>410</v>
      </c>
      <c r="F68" s="525">
        <v>0</v>
      </c>
      <c r="G68" s="524">
        <f>'Шаблон 46 ГП'!G319</f>
        <v>4600.3</v>
      </c>
      <c r="H68" s="594">
        <f t="shared" si="18"/>
        <v>0</v>
      </c>
      <c r="I68" s="594">
        <f t="shared" si="19"/>
        <v>0</v>
      </c>
      <c r="J68" s="595">
        <f t="shared" si="20"/>
        <v>0</v>
      </c>
      <c r="K68" s="2"/>
      <c r="L68" s="2"/>
      <c r="M68" s="2"/>
      <c r="N68" s="2"/>
      <c r="O68" s="2"/>
      <c r="P68" s="2"/>
    </row>
    <row r="69" spans="1:16" ht="12.75" hidden="1">
      <c r="A69" s="2"/>
      <c r="B69" s="2"/>
      <c r="C69" s="526" t="s">
        <v>412</v>
      </c>
      <c r="D69" s="523" t="s">
        <v>413</v>
      </c>
      <c r="E69" s="524" t="s">
        <v>410</v>
      </c>
      <c r="F69" s="525">
        <v>0</v>
      </c>
      <c r="G69" s="524">
        <f>'Шаблон 46 ГП'!G320</f>
        <v>0</v>
      </c>
      <c r="H69" s="594">
        <f t="shared" si="18"/>
        <v>0</v>
      </c>
      <c r="I69" s="594">
        <f t="shared" si="19"/>
        <v>0</v>
      </c>
      <c r="J69" s="595">
        <f t="shared" si="20"/>
        <v>0</v>
      </c>
      <c r="K69" s="2"/>
      <c r="L69" s="2"/>
      <c r="M69" s="2"/>
      <c r="N69" s="2"/>
      <c r="O69" s="2"/>
      <c r="P69" s="2"/>
    </row>
    <row r="70" spans="1:16" ht="12.75" hidden="1">
      <c r="A70" s="2"/>
      <c r="B70" s="2"/>
      <c r="C70" s="526" t="s">
        <v>414</v>
      </c>
      <c r="D70" s="527" t="s">
        <v>415</v>
      </c>
      <c r="E70" s="524" t="s">
        <v>410</v>
      </c>
      <c r="F70" s="525">
        <v>0</v>
      </c>
      <c r="G70" s="524">
        <f>'Шаблон 46 ГП'!G324</f>
        <v>0</v>
      </c>
      <c r="H70" s="585">
        <f t="shared" si="18"/>
        <v>0</v>
      </c>
      <c r="I70" s="585">
        <f t="shared" si="19"/>
        <v>0</v>
      </c>
      <c r="J70" s="586">
        <f t="shared" si="20"/>
        <v>0</v>
      </c>
      <c r="K70" s="2"/>
      <c r="L70" s="2"/>
      <c r="M70" s="2"/>
      <c r="N70" s="2"/>
      <c r="O70" s="2"/>
      <c r="P70" s="2"/>
    </row>
    <row r="71" spans="1:16" ht="12.75" hidden="1">
      <c r="A71" s="2"/>
      <c r="B71" s="2"/>
      <c r="C71" s="526" t="s">
        <v>416</v>
      </c>
      <c r="D71" s="523" t="s">
        <v>1786</v>
      </c>
      <c r="E71" s="524" t="s">
        <v>410</v>
      </c>
      <c r="F71" s="525">
        <v>0</v>
      </c>
      <c r="G71" s="524">
        <f>'Шаблон 46 ГП'!G328</f>
        <v>0</v>
      </c>
      <c r="H71" s="585">
        <f t="shared" si="18"/>
        <v>0</v>
      </c>
      <c r="I71" s="585">
        <f t="shared" si="19"/>
        <v>0</v>
      </c>
      <c r="J71" s="586">
        <f t="shared" si="20"/>
        <v>0</v>
      </c>
      <c r="K71" s="2"/>
      <c r="L71" s="2"/>
      <c r="M71" s="2"/>
      <c r="N71" s="2"/>
      <c r="O71" s="2"/>
      <c r="P71" s="2"/>
    </row>
    <row r="72" spans="1:16" ht="12.75" hidden="1">
      <c r="A72" s="2"/>
      <c r="B72" s="2"/>
      <c r="C72" s="526" t="s">
        <v>419</v>
      </c>
      <c r="D72" s="527" t="s">
        <v>417</v>
      </c>
      <c r="E72" s="530" t="s">
        <v>410</v>
      </c>
      <c r="F72" s="525">
        <v>0</v>
      </c>
      <c r="G72" s="524">
        <f>'Шаблон 46 ГП'!G332</f>
        <v>0</v>
      </c>
      <c r="H72" s="587">
        <f t="shared" si="18"/>
        <v>0</v>
      </c>
      <c r="I72" s="587">
        <f t="shared" si="19"/>
        <v>0</v>
      </c>
      <c r="J72" s="588">
        <f t="shared" si="20"/>
        <v>0</v>
      </c>
      <c r="K72" s="2"/>
      <c r="L72" s="2"/>
      <c r="M72" s="2"/>
      <c r="N72" s="2"/>
      <c r="O72" s="2"/>
      <c r="P72" s="2"/>
    </row>
    <row r="73" spans="1:16" ht="12.75" hidden="1">
      <c r="A73" s="2"/>
      <c r="B73" s="2"/>
      <c r="C73" s="532"/>
      <c r="D73" s="4117" t="s">
        <v>418</v>
      </c>
      <c r="E73" s="4118"/>
      <c r="F73" s="4118"/>
      <c r="G73" s="4118"/>
      <c r="H73" s="4118"/>
      <c r="I73" s="4118"/>
      <c r="J73" s="4121"/>
      <c r="K73" s="2"/>
      <c r="L73" s="2"/>
      <c r="M73" s="2"/>
      <c r="N73" s="2"/>
      <c r="O73" s="2"/>
      <c r="P73" s="2"/>
    </row>
    <row r="74" spans="1:16" ht="12.75" hidden="1">
      <c r="A74" s="2"/>
      <c r="B74" s="2"/>
      <c r="C74" s="532" t="s">
        <v>421</v>
      </c>
      <c r="D74" s="523" t="s">
        <v>411</v>
      </c>
      <c r="E74" s="524" t="s">
        <v>420</v>
      </c>
      <c r="F74" s="528">
        <v>0</v>
      </c>
      <c r="G74" s="524">
        <f>'Шаблон 46 ГП'!G337</f>
        <v>2799142.66</v>
      </c>
      <c r="H74" s="530">
        <f>+ROUND(F74*G74,2)</f>
        <v>0</v>
      </c>
      <c r="I74" s="530">
        <f t="shared" si="19"/>
        <v>0</v>
      </c>
      <c r="J74" s="531">
        <f>+H74+I74</f>
        <v>0</v>
      </c>
      <c r="K74" s="2"/>
      <c r="L74" s="2"/>
      <c r="M74" s="2"/>
      <c r="N74" s="2"/>
      <c r="O74" s="2"/>
      <c r="P74" s="2"/>
    </row>
    <row r="75" spans="1:16" ht="12.75" hidden="1">
      <c r="A75" s="2"/>
      <c r="B75" s="2"/>
      <c r="C75" s="532" t="s">
        <v>423</v>
      </c>
      <c r="D75" s="523" t="s">
        <v>12</v>
      </c>
      <c r="E75" s="524" t="s">
        <v>420</v>
      </c>
      <c r="F75" s="528">
        <v>0</v>
      </c>
      <c r="G75" s="524">
        <f>'Шаблон 46 ГП'!G338</f>
        <v>1025799.1099999999</v>
      </c>
      <c r="H75" s="530">
        <f>+ROUND(F75*G75,2)</f>
        <v>0</v>
      </c>
      <c r="I75" s="530">
        <f t="shared" si="19"/>
        <v>0</v>
      </c>
      <c r="J75" s="531">
        <f>+H75+I75</f>
        <v>0</v>
      </c>
      <c r="K75" s="2"/>
      <c r="L75" s="2"/>
      <c r="M75" s="2"/>
      <c r="N75" s="2"/>
      <c r="O75" s="2"/>
      <c r="P75" s="2"/>
    </row>
    <row r="76" spans="1:16" ht="12.75" hidden="1">
      <c r="A76" s="2"/>
      <c r="B76" s="2"/>
      <c r="C76" s="532"/>
      <c r="D76" s="4117" t="s">
        <v>422</v>
      </c>
      <c r="E76" s="4118"/>
      <c r="F76" s="4118"/>
      <c r="G76" s="4118"/>
      <c r="H76" s="4118"/>
      <c r="I76" s="4118"/>
      <c r="J76" s="4121"/>
      <c r="K76" s="2"/>
      <c r="L76" s="2"/>
      <c r="M76" s="2"/>
      <c r="N76" s="2"/>
      <c r="O76" s="2"/>
      <c r="P76" s="2"/>
    </row>
    <row r="77" spans="1:16" ht="12.75" hidden="1">
      <c r="A77" s="2"/>
      <c r="B77" s="2"/>
      <c r="C77" s="532" t="s">
        <v>424</v>
      </c>
      <c r="D77" s="523" t="s">
        <v>411</v>
      </c>
      <c r="E77" s="530" t="s">
        <v>410</v>
      </c>
      <c r="F77" s="528">
        <v>0</v>
      </c>
      <c r="G77" s="524">
        <f>'Шаблон 46 ГП'!G340</f>
        <v>333.05</v>
      </c>
      <c r="H77" s="530">
        <f>+ROUND(F77*G77,2)</f>
        <v>0</v>
      </c>
      <c r="I77" s="530">
        <f t="shared" si="19"/>
        <v>0</v>
      </c>
      <c r="J77" s="531">
        <f>+H77+I77</f>
        <v>0</v>
      </c>
      <c r="K77" s="2"/>
      <c r="L77" s="2"/>
      <c r="M77" s="2"/>
      <c r="N77" s="2"/>
      <c r="O77" s="2"/>
      <c r="P77" s="2"/>
    </row>
    <row r="78" spans="1:16" ht="13.5" hidden="1" thickBot="1">
      <c r="A78" s="2"/>
      <c r="B78" s="2"/>
      <c r="C78" s="533" t="s">
        <v>1785</v>
      </c>
      <c r="D78" s="534" t="s">
        <v>12</v>
      </c>
      <c r="E78" s="530" t="s">
        <v>410</v>
      </c>
      <c r="F78" s="528">
        <v>0</v>
      </c>
      <c r="G78" s="524">
        <f>'Шаблон 46 ГП'!G341</f>
        <v>705.67000000000007</v>
      </c>
      <c r="H78" s="530">
        <f>+ROUND(F78*G78,2)</f>
        <v>0</v>
      </c>
      <c r="I78" s="530">
        <f t="shared" si="19"/>
        <v>0</v>
      </c>
      <c r="J78" s="531">
        <f>+H78+I78</f>
        <v>0</v>
      </c>
      <c r="K78" s="2"/>
      <c r="L78" s="2"/>
      <c r="M78" s="2"/>
      <c r="N78" s="2"/>
      <c r="O78" s="2"/>
      <c r="P78" s="2"/>
    </row>
    <row r="79" spans="1:16" ht="13.5" hidden="1" thickBot="1">
      <c r="A79" s="2"/>
      <c r="B79" s="2"/>
      <c r="C79" s="537" t="s">
        <v>412</v>
      </c>
      <c r="D79" s="538" t="s">
        <v>425</v>
      </c>
      <c r="E79" s="539" t="s">
        <v>410</v>
      </c>
      <c r="F79" s="540">
        <f>ROUND(SUM(F66:F72)+F77+F78,3)</f>
        <v>0</v>
      </c>
      <c r="G79" s="539"/>
      <c r="H79" s="592">
        <f>ROUND(SUM(H66:H72)+H74+H75+H77+H78,2)</f>
        <v>0</v>
      </c>
      <c r="I79" s="592">
        <f>ROUND(SUM(I66:I72)+I74+I75+I77+I78,2)</f>
        <v>0</v>
      </c>
      <c r="J79" s="592">
        <f>ROUND(SUM(J66:J72)+J74+J75+J77+J78,2)</f>
        <v>0</v>
      </c>
      <c r="K79" s="2"/>
      <c r="L79" s="2"/>
      <c r="M79" s="2"/>
      <c r="N79" s="2"/>
      <c r="O79" s="2"/>
      <c r="P79" s="2"/>
    </row>
    <row r="80" spans="1:16" ht="12.75" hidden="1">
      <c r="A80" s="2"/>
      <c r="B80" s="2"/>
      <c r="C80" s="541" t="s">
        <v>27</v>
      </c>
      <c r="D80" s="4122" t="s">
        <v>426</v>
      </c>
      <c r="E80" s="4123"/>
      <c r="F80" s="4123"/>
      <c r="G80" s="4123"/>
      <c r="H80" s="4123"/>
      <c r="I80" s="4123"/>
      <c r="J80" s="4124"/>
      <c r="K80" s="2"/>
      <c r="L80" s="2"/>
      <c r="M80" s="2"/>
      <c r="N80" s="2"/>
      <c r="O80" s="2"/>
      <c r="P80" s="2"/>
    </row>
    <row r="81" spans="1:16" ht="12.75" hidden="1">
      <c r="A81" s="2"/>
      <c r="B81" s="2"/>
      <c r="C81" s="542" t="s">
        <v>427</v>
      </c>
      <c r="D81" s="543" t="s">
        <v>409</v>
      </c>
      <c r="E81" s="544" t="s">
        <v>410</v>
      </c>
      <c r="F81" s="545">
        <v>3196.4490000000001</v>
      </c>
      <c r="G81" s="546"/>
      <c r="H81" s="547">
        <f>+ROUND(F81*G81,2)</f>
        <v>0</v>
      </c>
      <c r="I81" s="547">
        <f>+ROUND(H81*0.18,2)</f>
        <v>0</v>
      </c>
      <c r="J81" s="548">
        <f>+H81+I81</f>
        <v>0</v>
      </c>
      <c r="K81" s="2"/>
      <c r="L81" s="2"/>
      <c r="M81" s="2"/>
      <c r="N81" s="2"/>
      <c r="O81" s="2"/>
      <c r="P81" s="2"/>
    </row>
    <row r="82" spans="1:16" ht="12.75" hidden="1">
      <c r="A82" s="2"/>
      <c r="B82" s="2"/>
      <c r="C82" s="542" t="s">
        <v>428</v>
      </c>
      <c r="D82" s="543" t="s">
        <v>411</v>
      </c>
      <c r="E82" s="544" t="s">
        <v>410</v>
      </c>
      <c r="F82" s="545">
        <v>18459.786</v>
      </c>
      <c r="G82" s="547"/>
      <c r="H82" s="547">
        <f>+ROUND(F82*G82,2)</f>
        <v>0</v>
      </c>
      <c r="I82" s="547">
        <f>+ROUND(H82*0.18,2)</f>
        <v>0</v>
      </c>
      <c r="J82" s="548">
        <f>+H82+I82</f>
        <v>0</v>
      </c>
      <c r="K82" s="2"/>
      <c r="L82" s="2"/>
      <c r="M82" s="2"/>
      <c r="N82" s="2"/>
      <c r="O82" s="2"/>
      <c r="P82" s="2"/>
    </row>
    <row r="83" spans="1:16" ht="13.5" hidden="1" thickBot="1">
      <c r="A83" s="2"/>
      <c r="B83" s="2"/>
      <c r="C83" s="549" t="s">
        <v>429</v>
      </c>
      <c r="D83" s="550" t="s">
        <v>12</v>
      </c>
      <c r="E83" s="551" t="s">
        <v>410</v>
      </c>
      <c r="F83" s="552">
        <v>23339.738000000001</v>
      </c>
      <c r="G83" s="553"/>
      <c r="H83" s="553">
        <f>+ROUND(F83*G83,2)</f>
        <v>0</v>
      </c>
      <c r="I83" s="553">
        <f>+ROUND(H83*0.18,2)</f>
        <v>0</v>
      </c>
      <c r="J83" s="554">
        <f>+H83+I83</f>
        <v>0</v>
      </c>
      <c r="K83" s="2"/>
      <c r="L83" s="2"/>
      <c r="M83" s="2"/>
      <c r="N83" s="2"/>
      <c r="O83" s="2"/>
      <c r="P83" s="2"/>
    </row>
    <row r="84" spans="1:16" ht="13.5" hidden="1" thickBot="1">
      <c r="A84" s="2"/>
      <c r="B84" s="2"/>
      <c r="C84" s="555" t="s">
        <v>430</v>
      </c>
      <c r="D84" s="556" t="s">
        <v>425</v>
      </c>
      <c r="E84" s="557" t="s">
        <v>410</v>
      </c>
      <c r="F84" s="558">
        <f>+SUM(F81:F83)</f>
        <v>44995.972999999998</v>
      </c>
      <c r="G84" s="559"/>
      <c r="H84" s="559">
        <f>+SUM(H81:H83)</f>
        <v>0</v>
      </c>
      <c r="I84" s="559">
        <f>+SUM(I81:I83)</f>
        <v>0</v>
      </c>
      <c r="J84" s="560">
        <f>+SUM(J81:J83)</f>
        <v>0</v>
      </c>
      <c r="K84" s="2"/>
      <c r="L84" s="2"/>
      <c r="M84" s="2"/>
      <c r="N84" s="2"/>
      <c r="O84" s="2"/>
      <c r="P84" s="2"/>
    </row>
    <row r="85" spans="1:16" ht="13.5" hidden="1" thickBot="1">
      <c r="A85" s="2"/>
      <c r="B85" s="2"/>
      <c r="C85" s="561"/>
      <c r="D85" s="562" t="s">
        <v>431</v>
      </c>
      <c r="E85" s="563"/>
      <c r="F85" s="564"/>
      <c r="G85" s="565"/>
      <c r="H85" s="565">
        <f>+H79+H84</f>
        <v>0</v>
      </c>
      <c r="I85" s="565">
        <f>+I79+I84</f>
        <v>0</v>
      </c>
      <c r="J85" s="566">
        <f>+J79+J84</f>
        <v>0</v>
      </c>
      <c r="K85" s="2"/>
      <c r="L85" s="2"/>
      <c r="M85" s="2"/>
      <c r="N85" s="2"/>
      <c r="O85" s="2"/>
      <c r="P85" s="2"/>
    </row>
    <row r="86" spans="1:16" ht="12.75" hidden="1">
      <c r="A86" s="2"/>
      <c r="B86" s="2"/>
      <c r="C86" s="518">
        <v>1</v>
      </c>
      <c r="D86" s="567" t="s">
        <v>439</v>
      </c>
      <c r="E86" s="568" t="s">
        <v>410</v>
      </c>
      <c r="F86" s="569">
        <v>0</v>
      </c>
      <c r="G86" s="570">
        <v>0</v>
      </c>
      <c r="H86" s="568">
        <f t="shared" ref="H86:H91" si="21">+ROUND(F86*G86,2)</f>
        <v>0</v>
      </c>
      <c r="I86" s="568">
        <f t="shared" ref="I86:I91" si="22">+ROUND(H86*0.18,2)</f>
        <v>0</v>
      </c>
      <c r="J86" s="571">
        <f t="shared" ref="J86:J91" si="23">+H86+I86</f>
        <v>0</v>
      </c>
      <c r="K86" s="2"/>
      <c r="L86" s="2"/>
      <c r="M86" s="2"/>
      <c r="N86" s="2"/>
      <c r="O86" s="2"/>
      <c r="P86" s="2"/>
    </row>
    <row r="87" spans="1:16" ht="13.5" hidden="1" thickBot="1">
      <c r="A87" s="2"/>
      <c r="B87" s="2"/>
      <c r="C87" s="572">
        <v>2</v>
      </c>
      <c r="D87" s="573" t="s">
        <v>441</v>
      </c>
      <c r="E87" s="574" t="s">
        <v>410</v>
      </c>
      <c r="F87" s="575">
        <v>0</v>
      </c>
      <c r="G87" s="576">
        <f>+G86</f>
        <v>0</v>
      </c>
      <c r="H87" s="574">
        <f t="shared" si="21"/>
        <v>0</v>
      </c>
      <c r="I87" s="574">
        <f t="shared" si="22"/>
        <v>0</v>
      </c>
      <c r="J87" s="577">
        <f t="shared" si="23"/>
        <v>0</v>
      </c>
      <c r="K87" s="2"/>
      <c r="L87" s="2"/>
      <c r="M87" s="2"/>
      <c r="N87" s="2"/>
      <c r="O87" s="2"/>
      <c r="P87" s="2"/>
    </row>
    <row r="88" spans="1:16" ht="13.5" hidden="1" thickBot="1">
      <c r="A88" s="2"/>
      <c r="B88" s="2"/>
      <c r="C88" s="572">
        <v>2</v>
      </c>
      <c r="D88" s="573" t="s">
        <v>440</v>
      </c>
      <c r="E88" s="574" t="s">
        <v>410</v>
      </c>
      <c r="F88" s="575">
        <v>0</v>
      </c>
      <c r="G88" s="576">
        <f>+G86</f>
        <v>0</v>
      </c>
      <c r="H88" s="574">
        <f t="shared" si="21"/>
        <v>0</v>
      </c>
      <c r="I88" s="574">
        <f t="shared" si="22"/>
        <v>0</v>
      </c>
      <c r="J88" s="577">
        <f t="shared" si="23"/>
        <v>0</v>
      </c>
      <c r="K88" s="2"/>
      <c r="L88" s="2"/>
      <c r="M88" s="2"/>
      <c r="N88" s="2"/>
      <c r="O88" s="2"/>
      <c r="P88" s="2"/>
    </row>
    <row r="89" spans="1:16" ht="140.25" hidden="1">
      <c r="A89" s="2"/>
      <c r="B89" s="2"/>
      <c r="C89" s="518">
        <v>1</v>
      </c>
      <c r="D89" s="567" t="s">
        <v>432</v>
      </c>
      <c r="E89" s="568" t="s">
        <v>410</v>
      </c>
      <c r="F89" s="569">
        <v>0</v>
      </c>
      <c r="G89" s="570">
        <f>+G86</f>
        <v>0</v>
      </c>
      <c r="H89" s="568">
        <f t="shared" si="21"/>
        <v>0</v>
      </c>
      <c r="I89" s="568">
        <f t="shared" si="22"/>
        <v>0</v>
      </c>
      <c r="J89" s="571">
        <f t="shared" si="23"/>
        <v>0</v>
      </c>
      <c r="K89" s="2"/>
      <c r="L89" s="2"/>
      <c r="M89" s="2"/>
      <c r="N89" s="2"/>
      <c r="O89" s="2"/>
      <c r="P89" s="2"/>
    </row>
    <row r="90" spans="1:16" ht="141" hidden="1" thickBot="1">
      <c r="A90" s="2"/>
      <c r="B90" s="2"/>
      <c r="C90" s="572">
        <v>2</v>
      </c>
      <c r="D90" s="573" t="s">
        <v>433</v>
      </c>
      <c r="E90" s="574" t="s">
        <v>410</v>
      </c>
      <c r="F90" s="575">
        <v>0</v>
      </c>
      <c r="G90" s="576">
        <f>+G89</f>
        <v>0</v>
      </c>
      <c r="H90" s="574">
        <f t="shared" si="21"/>
        <v>0</v>
      </c>
      <c r="I90" s="574">
        <f t="shared" si="22"/>
        <v>0</v>
      </c>
      <c r="J90" s="577">
        <f t="shared" si="23"/>
        <v>0</v>
      </c>
      <c r="K90" s="2"/>
      <c r="L90" s="2"/>
      <c r="M90" s="2"/>
      <c r="N90" s="2"/>
      <c r="O90" s="2"/>
      <c r="P90" s="2"/>
    </row>
    <row r="91" spans="1:16" ht="141" hidden="1" thickBot="1">
      <c r="A91" s="2"/>
      <c r="B91" s="2"/>
      <c r="C91" s="572">
        <v>2</v>
      </c>
      <c r="D91" s="573" t="s">
        <v>433</v>
      </c>
      <c r="E91" s="574" t="s">
        <v>410</v>
      </c>
      <c r="F91" s="575">
        <v>0</v>
      </c>
      <c r="G91" s="578">
        <f>+G89</f>
        <v>0</v>
      </c>
      <c r="H91" s="574">
        <f t="shared" si="21"/>
        <v>0</v>
      </c>
      <c r="I91" s="574">
        <f t="shared" si="22"/>
        <v>0</v>
      </c>
      <c r="J91" s="577">
        <f t="shared" si="23"/>
        <v>0</v>
      </c>
      <c r="K91" s="2"/>
      <c r="L91" s="2"/>
      <c r="M91" s="2"/>
      <c r="N91" s="2"/>
      <c r="O91" s="2"/>
      <c r="P91" s="2"/>
    </row>
    <row r="92" spans="1:16" ht="13.5" hidden="1" thickBot="1">
      <c r="A92" s="2"/>
      <c r="B92" s="2"/>
      <c r="C92" s="537">
        <v>3</v>
      </c>
      <c r="D92" s="579" t="s">
        <v>431</v>
      </c>
      <c r="E92" s="579" t="s">
        <v>410</v>
      </c>
      <c r="F92" s="580">
        <f>+F86+F87+F88+F89+F90</f>
        <v>0</v>
      </c>
      <c r="G92" s="579"/>
      <c r="H92" s="589">
        <f>+H86+H87+H88+H89+H90</f>
        <v>0</v>
      </c>
      <c r="I92" s="589">
        <f>+I86+I87+I88+I89+I90</f>
        <v>0</v>
      </c>
      <c r="J92" s="589">
        <f>+J86+J87+J88+J89+J90</f>
        <v>0</v>
      </c>
      <c r="K92" s="2"/>
      <c r="L92" s="2"/>
      <c r="M92" s="2"/>
      <c r="N92" s="2"/>
      <c r="O92" s="2"/>
      <c r="P92" s="2"/>
    </row>
    <row r="93" spans="1:16" ht="13.5" hidden="1" thickBot="1">
      <c r="A93" s="2"/>
      <c r="B93" s="2"/>
      <c r="C93" s="581"/>
      <c r="D93" s="582"/>
      <c r="E93" s="582"/>
      <c r="F93" s="583"/>
      <c r="G93" s="582"/>
      <c r="H93" s="590"/>
      <c r="I93" s="590"/>
      <c r="J93" s="591"/>
      <c r="K93" s="2"/>
      <c r="L93" s="2"/>
      <c r="M93" s="2"/>
      <c r="N93" s="2"/>
      <c r="O93" s="2"/>
      <c r="P93" s="2"/>
    </row>
    <row r="94" spans="1:16" ht="64.5" hidden="1" thickBot="1">
      <c r="A94" s="2"/>
      <c r="B94" s="2"/>
      <c r="C94" s="537">
        <v>1</v>
      </c>
      <c r="D94" s="538" t="s">
        <v>434</v>
      </c>
      <c r="E94" s="539"/>
      <c r="F94" s="540"/>
      <c r="G94" s="584" t="s">
        <v>435</v>
      </c>
      <c r="H94" s="592">
        <f>ROUND(H85-H92,2)</f>
        <v>0</v>
      </c>
      <c r="I94" s="592">
        <f>ROUND(I85-I92,2)</f>
        <v>0</v>
      </c>
      <c r="J94" s="593">
        <f>ROUND(J85-J92,2)</f>
        <v>0</v>
      </c>
      <c r="K94" s="2"/>
      <c r="L94" s="2"/>
      <c r="M94" s="2"/>
      <c r="N94" s="2"/>
      <c r="O94" s="2"/>
      <c r="P94" s="2"/>
    </row>
    <row r="95" spans="1:16" ht="12.75" hidden="1">
      <c r="A95" s="2"/>
      <c r="B95" s="2"/>
      <c r="C95" s="2"/>
      <c r="D95" s="2"/>
      <c r="E95" s="2"/>
      <c r="F95" s="2"/>
      <c r="G95" s="2"/>
      <c r="H95" s="2"/>
      <c r="I95" s="2"/>
      <c r="J95" s="2"/>
      <c r="K95" s="2"/>
      <c r="L95" s="2"/>
      <c r="M95" s="2"/>
      <c r="N95" s="2"/>
      <c r="O95" s="2"/>
      <c r="P95" s="2"/>
    </row>
    <row r="96" spans="1:16" ht="12.75" hidden="1">
      <c r="A96" s="2"/>
      <c r="B96" s="2"/>
      <c r="C96" s="2"/>
      <c r="D96" s="2"/>
      <c r="E96" s="2"/>
      <c r="F96" s="2"/>
      <c r="G96" s="2"/>
      <c r="H96" s="2"/>
      <c r="I96" s="2"/>
      <c r="J96" s="2"/>
      <c r="K96" s="2"/>
      <c r="L96" s="2"/>
      <c r="M96" s="2"/>
      <c r="N96" s="2"/>
      <c r="O96" s="2"/>
      <c r="P96" s="2"/>
    </row>
    <row r="97" spans="1:16" ht="12.75" hidden="1">
      <c r="A97" s="2"/>
      <c r="B97" s="2"/>
      <c r="C97" s="2"/>
      <c r="D97" s="2"/>
      <c r="E97" s="2"/>
      <c r="F97" s="2"/>
      <c r="G97" s="2"/>
      <c r="H97" s="2"/>
      <c r="I97" s="2"/>
      <c r="J97" s="2"/>
      <c r="K97" s="2"/>
      <c r="L97" s="2"/>
      <c r="M97" s="2"/>
      <c r="N97" s="2"/>
      <c r="O97" s="2"/>
      <c r="P97" s="2"/>
    </row>
    <row r="98" spans="1:16" ht="12.75" hidden="1">
      <c r="A98" s="2"/>
      <c r="B98" s="2"/>
      <c r="C98" s="2"/>
      <c r="D98" s="2"/>
      <c r="E98" s="2"/>
      <c r="F98" s="2"/>
      <c r="G98" s="2"/>
      <c r="H98" s="2"/>
      <c r="I98" s="2"/>
      <c r="J98" s="2"/>
      <c r="K98" s="2"/>
      <c r="L98" s="2"/>
      <c r="M98" s="2"/>
      <c r="N98" s="2"/>
      <c r="O98" s="2"/>
      <c r="P98" s="2"/>
    </row>
    <row r="99" spans="1:16" ht="12.75" hidden="1">
      <c r="A99" s="2"/>
      <c r="B99" s="2"/>
      <c r="C99" s="2"/>
      <c r="D99" s="2"/>
      <c r="E99" s="2"/>
      <c r="F99" s="2"/>
      <c r="G99" s="2"/>
      <c r="H99" s="2"/>
      <c r="I99" s="2"/>
      <c r="J99" s="2"/>
      <c r="K99" s="2"/>
      <c r="L99" s="2"/>
      <c r="M99" s="2"/>
      <c r="N99" s="2"/>
      <c r="O99" s="2"/>
      <c r="P99" s="2"/>
    </row>
    <row r="100" spans="1:16" ht="12.75" hidden="1">
      <c r="A100" s="2"/>
      <c r="B100" s="2"/>
      <c r="C100" s="2"/>
      <c r="D100" s="2"/>
      <c r="E100" s="2"/>
      <c r="F100" s="2"/>
      <c r="G100" s="2"/>
      <c r="H100" s="2"/>
      <c r="I100" s="2"/>
      <c r="J100" s="2"/>
      <c r="K100" s="2"/>
      <c r="L100" s="2"/>
      <c r="M100" s="2"/>
      <c r="N100" s="2"/>
      <c r="O100" s="2"/>
      <c r="P100" s="2"/>
    </row>
    <row r="101" spans="1:16" ht="12.75" hidden="1">
      <c r="A101" s="2"/>
      <c r="B101" s="2"/>
      <c r="C101" s="2"/>
      <c r="D101" s="2"/>
      <c r="E101" s="2"/>
      <c r="F101" s="2"/>
      <c r="G101" s="2"/>
      <c r="H101" s="2"/>
      <c r="I101" s="2"/>
      <c r="J101" s="2"/>
      <c r="K101" s="2"/>
      <c r="L101" s="2"/>
      <c r="M101" s="2"/>
      <c r="N101" s="2"/>
      <c r="O101" s="2"/>
      <c r="P101" s="2"/>
    </row>
    <row r="102" spans="1:16" ht="12.75">
      <c r="A102" s="2"/>
      <c r="B102" s="2"/>
      <c r="C102" s="2"/>
      <c r="D102" s="2"/>
      <c r="E102" s="2"/>
      <c r="F102" s="2"/>
      <c r="G102" s="2"/>
      <c r="H102" s="2"/>
      <c r="I102" s="2"/>
      <c r="J102" s="2"/>
      <c r="K102" s="2"/>
      <c r="L102" s="2"/>
      <c r="M102" s="2"/>
      <c r="N102" s="2"/>
      <c r="O102" s="2"/>
      <c r="P102" s="2"/>
    </row>
    <row r="103" spans="1:16" ht="12.75">
      <c r="A103" s="2"/>
      <c r="B103" s="2"/>
      <c r="C103" s="2"/>
      <c r="D103" s="2"/>
      <c r="E103" s="2"/>
      <c r="F103" s="2"/>
      <c r="G103" s="2"/>
      <c r="H103" s="2"/>
      <c r="I103" s="2"/>
      <c r="J103" s="2"/>
      <c r="K103" s="2"/>
      <c r="L103" s="2"/>
      <c r="M103" s="2"/>
      <c r="N103" s="2"/>
      <c r="O103" s="2"/>
      <c r="P103" s="2"/>
    </row>
    <row r="104" spans="1:16" ht="12.75">
      <c r="A104" s="2"/>
      <c r="B104" s="2"/>
      <c r="C104" s="2"/>
      <c r="D104" s="2"/>
      <c r="E104" s="2"/>
      <c r="F104" s="2"/>
      <c r="G104" s="2"/>
      <c r="H104" s="2"/>
      <c r="I104" s="2"/>
      <c r="J104" s="2"/>
      <c r="K104" s="2"/>
      <c r="L104" s="2"/>
      <c r="M104" s="2"/>
      <c r="N104" s="2"/>
      <c r="O104" s="2"/>
      <c r="P104" s="2"/>
    </row>
    <row r="105" spans="1:16" ht="12.75">
      <c r="A105" s="2"/>
      <c r="B105" s="2"/>
      <c r="C105" s="2"/>
      <c r="D105" s="2"/>
      <c r="E105" s="2"/>
      <c r="F105" s="2"/>
      <c r="G105" s="2"/>
      <c r="H105" s="2"/>
      <c r="I105" s="2"/>
      <c r="J105" s="2"/>
      <c r="K105" s="2"/>
      <c r="L105" s="2"/>
      <c r="M105" s="2"/>
      <c r="N105" s="2"/>
      <c r="O105" s="2"/>
      <c r="P105" s="2"/>
    </row>
    <row r="106" spans="1:16" ht="12.75">
      <c r="A106" s="2"/>
      <c r="B106" s="2"/>
      <c r="C106" s="2"/>
      <c r="D106" s="2"/>
      <c r="E106" s="2"/>
      <c r="F106" s="2"/>
      <c r="G106" s="2"/>
      <c r="H106" s="2"/>
      <c r="I106" s="2"/>
      <c r="J106" s="2"/>
      <c r="K106" s="2"/>
      <c r="L106" s="2"/>
      <c r="M106" s="2"/>
      <c r="N106" s="2"/>
      <c r="O106" s="2"/>
      <c r="P106" s="2"/>
    </row>
    <row r="107" spans="1:16" ht="12.75">
      <c r="A107" s="2"/>
      <c r="B107" s="2"/>
      <c r="C107" s="2"/>
      <c r="D107" s="2"/>
      <c r="E107" s="2"/>
      <c r="F107" s="2"/>
      <c r="G107" s="2"/>
      <c r="H107" s="2"/>
      <c r="I107" s="2"/>
      <c r="J107" s="2"/>
      <c r="K107" s="2"/>
      <c r="L107" s="2"/>
      <c r="M107" s="2"/>
      <c r="N107" s="2"/>
      <c r="O107" s="2"/>
      <c r="P107" s="2"/>
    </row>
    <row r="108" spans="1:16" ht="12.75">
      <c r="A108" s="2"/>
      <c r="B108" s="2"/>
      <c r="C108" s="2"/>
      <c r="D108" s="2"/>
      <c r="E108" s="2"/>
      <c r="F108" s="2"/>
      <c r="G108" s="2"/>
      <c r="H108" s="2"/>
      <c r="I108" s="2"/>
      <c r="J108" s="2"/>
      <c r="K108" s="2"/>
      <c r="L108" s="2"/>
      <c r="M108" s="2"/>
      <c r="N108" s="2"/>
      <c r="O108" s="2"/>
      <c r="P108" s="2"/>
    </row>
    <row r="109" spans="1:16" ht="12.75">
      <c r="A109" s="2"/>
      <c r="B109" s="2"/>
      <c r="C109" s="2"/>
      <c r="D109" s="2"/>
      <c r="E109" s="2"/>
      <c r="F109" s="2"/>
      <c r="G109" s="2"/>
      <c r="H109" s="2"/>
      <c r="I109" s="2"/>
      <c r="J109" s="2"/>
      <c r="K109" s="2"/>
      <c r="L109" s="2"/>
      <c r="M109" s="2"/>
      <c r="N109" s="2"/>
      <c r="O109" s="2"/>
      <c r="P109" s="2"/>
    </row>
    <row r="110" spans="1:16" ht="12.75">
      <c r="A110" s="2"/>
      <c r="B110" s="2"/>
      <c r="C110" s="2"/>
      <c r="D110" s="2"/>
      <c r="E110" s="2"/>
      <c r="F110" s="2"/>
      <c r="G110" s="2"/>
      <c r="H110" s="2"/>
      <c r="I110" s="2"/>
      <c r="J110" s="2"/>
      <c r="K110" s="2"/>
      <c r="L110" s="2"/>
      <c r="M110" s="2"/>
      <c r="N110" s="2"/>
      <c r="O110" s="2"/>
      <c r="P110" s="2"/>
    </row>
    <row r="111" spans="1:16" ht="12.75">
      <c r="A111" s="2"/>
      <c r="B111" s="2"/>
      <c r="C111" s="2"/>
      <c r="D111" s="2"/>
      <c r="E111" s="2"/>
      <c r="F111" s="2"/>
      <c r="G111" s="2"/>
      <c r="H111" s="2"/>
      <c r="I111" s="2"/>
      <c r="J111" s="2"/>
      <c r="K111" s="2"/>
      <c r="L111" s="2"/>
      <c r="M111" s="2"/>
      <c r="N111" s="2"/>
      <c r="O111" s="2"/>
      <c r="P111" s="2"/>
    </row>
    <row r="112" spans="1:16" ht="12.75">
      <c r="A112" s="2"/>
      <c r="B112" s="2"/>
      <c r="C112" s="2"/>
      <c r="D112" s="2"/>
      <c r="E112" s="2"/>
      <c r="F112" s="2"/>
      <c r="G112" s="2"/>
      <c r="H112" s="2"/>
      <c r="I112" s="2"/>
      <c r="J112" s="2"/>
      <c r="K112" s="2"/>
      <c r="L112" s="2"/>
      <c r="M112" s="2"/>
      <c r="N112" s="2"/>
      <c r="O112" s="2"/>
      <c r="P112" s="2"/>
    </row>
    <row r="113" spans="1:16" ht="12.75">
      <c r="A113" s="2"/>
      <c r="B113" s="2"/>
      <c r="C113" s="2"/>
      <c r="D113" s="2"/>
      <c r="E113" s="2"/>
      <c r="F113" s="2"/>
      <c r="G113" s="2"/>
      <c r="H113" s="2"/>
      <c r="I113" s="2"/>
      <c r="J113" s="2"/>
      <c r="K113" s="2"/>
      <c r="L113" s="2"/>
      <c r="M113" s="2"/>
      <c r="N113" s="2"/>
      <c r="O113" s="2"/>
      <c r="P113" s="2"/>
    </row>
    <row r="114" spans="1:16" ht="12.75">
      <c r="A114" s="2"/>
      <c r="B114" s="2"/>
      <c r="C114" s="2"/>
      <c r="D114" s="2"/>
      <c r="E114" s="2"/>
      <c r="F114" s="2"/>
      <c r="G114" s="2"/>
      <c r="H114" s="2"/>
      <c r="I114" s="2"/>
      <c r="J114" s="2"/>
      <c r="K114" s="2"/>
      <c r="L114" s="2"/>
      <c r="M114" s="2"/>
      <c r="N114" s="2"/>
      <c r="O114" s="2"/>
      <c r="P114" s="2"/>
    </row>
    <row r="115" spans="1:16" ht="12.75">
      <c r="A115" s="2"/>
      <c r="B115" s="2"/>
      <c r="C115" s="2"/>
      <c r="D115" s="2"/>
      <c r="E115" s="2"/>
      <c r="F115" s="2"/>
      <c r="G115" s="2"/>
      <c r="H115" s="2"/>
      <c r="I115" s="2"/>
      <c r="J115" s="2"/>
      <c r="K115" s="2"/>
      <c r="L115" s="2"/>
      <c r="M115" s="2"/>
      <c r="N115" s="2"/>
      <c r="O115" s="2"/>
      <c r="P115" s="2"/>
    </row>
    <row r="116" spans="1:16" ht="12.75">
      <c r="A116" s="2"/>
      <c r="B116" s="2"/>
      <c r="C116" s="2"/>
      <c r="D116" s="2"/>
      <c r="E116" s="2"/>
      <c r="F116" s="2"/>
      <c r="G116" s="2"/>
      <c r="H116" s="2"/>
      <c r="I116" s="2"/>
      <c r="J116" s="2"/>
      <c r="K116" s="2"/>
      <c r="L116" s="2"/>
      <c r="M116" s="2"/>
      <c r="N116" s="2"/>
      <c r="O116" s="2"/>
      <c r="P116" s="2"/>
    </row>
    <row r="117" spans="1:16" ht="12.75">
      <c r="A117" s="2"/>
      <c r="B117" s="2"/>
      <c r="C117" s="2"/>
      <c r="D117" s="2"/>
      <c r="E117" s="2"/>
      <c r="F117" s="2"/>
      <c r="G117" s="2"/>
      <c r="H117" s="2"/>
      <c r="I117" s="2"/>
      <c r="J117" s="2"/>
      <c r="K117" s="2"/>
      <c r="L117" s="2"/>
      <c r="M117" s="2"/>
      <c r="N117" s="2"/>
      <c r="O117" s="2"/>
      <c r="P117" s="2"/>
    </row>
    <row r="118" spans="1:16" ht="12.75">
      <c r="A118" s="2"/>
      <c r="B118" s="2"/>
      <c r="C118" s="2"/>
      <c r="D118" s="2"/>
      <c r="E118" s="2"/>
      <c r="F118" s="2"/>
      <c r="G118" s="2"/>
      <c r="H118" s="2"/>
      <c r="I118" s="2"/>
      <c r="J118" s="2"/>
      <c r="K118" s="2"/>
      <c r="L118" s="2"/>
      <c r="M118" s="2"/>
      <c r="N118" s="2"/>
      <c r="O118" s="2"/>
      <c r="P118" s="2"/>
    </row>
    <row r="119" spans="1:16" ht="12.75">
      <c r="A119" s="2"/>
      <c r="B119" s="2"/>
      <c r="C119" s="2"/>
      <c r="D119" s="2"/>
      <c r="E119" s="2"/>
      <c r="F119" s="2"/>
      <c r="G119" s="2"/>
      <c r="H119" s="2"/>
      <c r="I119" s="2"/>
      <c r="J119" s="2"/>
      <c r="K119" s="2"/>
      <c r="L119" s="2"/>
      <c r="M119" s="2"/>
      <c r="N119" s="2"/>
      <c r="O119" s="2"/>
      <c r="P119" s="2"/>
    </row>
    <row r="120" spans="1:16" ht="12.75">
      <c r="A120" s="2"/>
      <c r="B120" s="2"/>
      <c r="C120" s="2"/>
      <c r="D120" s="2"/>
      <c r="E120" s="2"/>
      <c r="F120" s="2"/>
      <c r="G120" s="2"/>
      <c r="H120" s="2"/>
      <c r="I120" s="2"/>
      <c r="J120" s="2"/>
      <c r="K120" s="2"/>
      <c r="L120" s="2"/>
      <c r="M120" s="2"/>
      <c r="N120" s="2"/>
      <c r="O120" s="2"/>
      <c r="P120" s="2"/>
    </row>
    <row r="121" spans="1:16" ht="12.75">
      <c r="A121" s="2"/>
      <c r="B121" s="2"/>
      <c r="C121" s="2"/>
      <c r="D121" s="2"/>
      <c r="E121" s="2"/>
      <c r="F121" s="2"/>
      <c r="G121" s="2"/>
      <c r="H121" s="2"/>
      <c r="I121" s="2"/>
      <c r="J121" s="2"/>
      <c r="K121" s="2"/>
      <c r="L121" s="2"/>
      <c r="M121" s="2"/>
      <c r="N121" s="2"/>
      <c r="O121" s="2"/>
      <c r="P121" s="2"/>
    </row>
    <row r="122" spans="1:16" ht="12.75">
      <c r="A122" s="2"/>
      <c r="B122" s="2"/>
      <c r="C122" s="2"/>
      <c r="D122" s="2"/>
      <c r="E122" s="2"/>
      <c r="F122" s="2"/>
      <c r="G122" s="2"/>
      <c r="H122" s="2"/>
      <c r="I122" s="2"/>
      <c r="J122" s="2"/>
      <c r="K122" s="2"/>
      <c r="L122" s="2"/>
      <c r="M122" s="2"/>
      <c r="N122" s="2"/>
      <c r="O122" s="2"/>
      <c r="P122" s="2"/>
    </row>
    <row r="123" spans="1:16" ht="12.75">
      <c r="A123" s="2"/>
      <c r="B123" s="2"/>
      <c r="C123" s="2"/>
      <c r="D123" s="2"/>
      <c r="E123" s="2"/>
      <c r="F123" s="2"/>
      <c r="G123" s="2"/>
      <c r="H123" s="2"/>
      <c r="I123" s="2"/>
      <c r="J123" s="2"/>
      <c r="K123" s="2"/>
      <c r="L123" s="2"/>
      <c r="M123" s="2"/>
      <c r="N123" s="2"/>
      <c r="O123" s="2"/>
      <c r="P123" s="2"/>
    </row>
    <row r="124" spans="1:16" ht="12.75">
      <c r="A124" s="2"/>
      <c r="B124" s="2"/>
      <c r="C124" s="2"/>
      <c r="D124" s="2"/>
      <c r="E124" s="2"/>
      <c r="F124" s="2"/>
      <c r="G124" s="2"/>
      <c r="H124" s="2"/>
      <c r="I124" s="2"/>
      <c r="J124" s="2"/>
      <c r="K124" s="2"/>
      <c r="L124" s="2"/>
      <c r="M124" s="2"/>
      <c r="N124" s="2"/>
      <c r="O124" s="2"/>
      <c r="P124" s="2"/>
    </row>
    <row r="125" spans="1:16" ht="12.75">
      <c r="A125" s="2"/>
      <c r="B125" s="2"/>
      <c r="C125" s="2"/>
      <c r="D125" s="2"/>
      <c r="E125" s="2"/>
      <c r="F125" s="2"/>
      <c r="G125" s="2"/>
      <c r="H125" s="2"/>
      <c r="I125" s="2"/>
      <c r="J125" s="2"/>
      <c r="K125" s="2"/>
      <c r="L125" s="2"/>
      <c r="M125" s="2"/>
      <c r="N125" s="2"/>
      <c r="O125" s="2"/>
      <c r="P125" s="2"/>
    </row>
    <row r="126" spans="1:16" ht="12.75">
      <c r="A126" s="2"/>
      <c r="B126" s="2"/>
      <c r="C126" s="2"/>
      <c r="D126" s="2"/>
      <c r="E126" s="2"/>
      <c r="F126" s="2"/>
      <c r="G126" s="2"/>
      <c r="H126" s="2"/>
      <c r="I126" s="2"/>
      <c r="J126" s="2"/>
      <c r="K126" s="2"/>
      <c r="L126" s="2"/>
      <c r="M126" s="2"/>
      <c r="N126" s="2"/>
      <c r="O126" s="2"/>
      <c r="P126" s="2"/>
    </row>
    <row r="127" spans="1:16" ht="12.75">
      <c r="A127" s="2"/>
      <c r="B127" s="2"/>
      <c r="C127" s="2"/>
      <c r="D127" s="2"/>
      <c r="E127" s="2"/>
      <c r="F127" s="2"/>
      <c r="G127" s="2"/>
      <c r="H127" s="2"/>
      <c r="I127" s="2"/>
      <c r="J127" s="2"/>
      <c r="K127" s="2"/>
      <c r="L127" s="2"/>
      <c r="M127" s="2"/>
      <c r="N127" s="2"/>
      <c r="O127" s="2"/>
      <c r="P127" s="2"/>
    </row>
    <row r="128" spans="1:16" ht="12.75">
      <c r="A128" s="2"/>
      <c r="B128" s="2"/>
      <c r="C128" s="2"/>
      <c r="D128" s="2"/>
      <c r="E128" s="2"/>
      <c r="F128" s="2"/>
      <c r="G128" s="2"/>
      <c r="H128" s="2"/>
      <c r="I128" s="2"/>
      <c r="J128" s="2"/>
      <c r="K128" s="2"/>
      <c r="L128" s="2"/>
      <c r="M128" s="2"/>
      <c r="N128" s="2"/>
      <c r="O128" s="2"/>
      <c r="P128" s="2"/>
    </row>
    <row r="129" spans="1:16" ht="12.75">
      <c r="A129" s="2"/>
      <c r="B129" s="2"/>
      <c r="C129" s="2"/>
      <c r="D129" s="2"/>
      <c r="E129" s="2"/>
      <c r="F129" s="2"/>
      <c r="G129" s="2"/>
      <c r="H129" s="2"/>
      <c r="I129" s="2"/>
      <c r="J129" s="2"/>
      <c r="K129" s="2"/>
      <c r="L129" s="2"/>
      <c r="M129" s="2"/>
      <c r="N129" s="2"/>
      <c r="O129" s="2"/>
      <c r="P129" s="2"/>
    </row>
    <row r="130" spans="1:16" ht="12.75">
      <c r="A130" s="2"/>
      <c r="B130" s="2"/>
      <c r="C130" s="2"/>
      <c r="D130" s="2"/>
      <c r="E130" s="2"/>
      <c r="F130" s="2"/>
      <c r="G130" s="2"/>
      <c r="H130" s="2"/>
      <c r="I130" s="2"/>
      <c r="J130" s="2"/>
      <c r="K130" s="2"/>
      <c r="L130" s="2"/>
      <c r="M130" s="2"/>
      <c r="N130" s="2"/>
      <c r="O130" s="2"/>
      <c r="P130" s="2"/>
    </row>
    <row r="131" spans="1:16" ht="12.75">
      <c r="A131" s="2"/>
      <c r="B131" s="2"/>
      <c r="C131" s="2"/>
      <c r="D131" s="2"/>
      <c r="E131" s="2"/>
      <c r="F131" s="2"/>
      <c r="G131" s="2"/>
      <c r="H131" s="2"/>
      <c r="I131" s="2"/>
      <c r="J131" s="2"/>
      <c r="K131" s="2"/>
      <c r="L131" s="2"/>
      <c r="M131" s="2"/>
      <c r="N131" s="2"/>
      <c r="O131" s="2"/>
      <c r="P131" s="2"/>
    </row>
    <row r="132" spans="1:16" ht="12.75">
      <c r="A132" s="2"/>
      <c r="B132" s="2"/>
      <c r="C132" s="2"/>
      <c r="D132" s="2"/>
      <c r="E132" s="2"/>
      <c r="F132" s="2"/>
      <c r="G132" s="2"/>
      <c r="H132" s="2"/>
      <c r="I132" s="2"/>
      <c r="J132" s="2"/>
      <c r="K132" s="2"/>
      <c r="L132" s="2"/>
      <c r="M132" s="2"/>
      <c r="N132" s="2"/>
      <c r="O132" s="2"/>
      <c r="P132" s="2"/>
    </row>
    <row r="133" spans="1:16" ht="12.75">
      <c r="A133" s="2"/>
      <c r="B133" s="2"/>
      <c r="C133" s="2"/>
      <c r="D133" s="2"/>
      <c r="E133" s="2"/>
      <c r="F133" s="2"/>
      <c r="G133" s="2"/>
      <c r="H133" s="2"/>
      <c r="I133" s="2"/>
      <c r="J133" s="2"/>
      <c r="K133" s="2"/>
      <c r="L133" s="2"/>
      <c r="M133" s="2"/>
      <c r="N133" s="2"/>
      <c r="O133" s="2"/>
      <c r="P133" s="2"/>
    </row>
    <row r="134" spans="1:16" ht="12.75">
      <c r="A134" s="2"/>
      <c r="B134" s="2"/>
      <c r="C134" s="2"/>
      <c r="D134" s="2"/>
      <c r="E134" s="2"/>
      <c r="F134" s="2"/>
      <c r="G134" s="2"/>
      <c r="H134" s="2"/>
      <c r="I134" s="2"/>
      <c r="J134" s="2"/>
      <c r="K134" s="2"/>
      <c r="L134" s="2"/>
      <c r="M134" s="2"/>
      <c r="N134" s="2"/>
      <c r="O134" s="2"/>
      <c r="P134" s="2"/>
    </row>
    <row r="135" spans="1:16" ht="12.75">
      <c r="A135" s="2"/>
      <c r="B135" s="2"/>
      <c r="C135" s="2"/>
      <c r="D135" s="2"/>
      <c r="E135" s="2"/>
      <c r="F135" s="2"/>
      <c r="G135" s="2"/>
      <c r="H135" s="2"/>
      <c r="I135" s="2"/>
      <c r="J135" s="2"/>
      <c r="K135" s="2"/>
      <c r="L135" s="2"/>
      <c r="M135" s="2"/>
      <c r="N135" s="2"/>
      <c r="O135" s="2"/>
      <c r="P135" s="2"/>
    </row>
    <row r="136" spans="1:16" ht="12.75">
      <c r="A136" s="2"/>
      <c r="B136" s="2"/>
      <c r="C136" s="2"/>
      <c r="D136" s="2"/>
      <c r="E136" s="2"/>
      <c r="F136" s="2"/>
      <c r="G136" s="2"/>
      <c r="H136" s="2"/>
      <c r="I136" s="2"/>
      <c r="J136" s="2"/>
      <c r="K136" s="2"/>
      <c r="L136" s="2"/>
      <c r="M136" s="2"/>
      <c r="N136" s="2"/>
      <c r="O136" s="2"/>
      <c r="P136" s="2"/>
    </row>
    <row r="137" spans="1:16" ht="12.75">
      <c r="A137" s="2"/>
      <c r="B137" s="2"/>
      <c r="C137" s="2"/>
      <c r="D137" s="2"/>
      <c r="E137" s="2"/>
      <c r="F137" s="2"/>
      <c r="G137" s="2"/>
      <c r="H137" s="2"/>
      <c r="I137" s="2"/>
      <c r="J137" s="2"/>
      <c r="K137" s="2"/>
      <c r="L137" s="2"/>
      <c r="M137" s="2"/>
      <c r="N137" s="2"/>
      <c r="O137" s="2"/>
      <c r="P137" s="2"/>
    </row>
    <row r="138" spans="1:16" ht="12.75">
      <c r="A138" s="2"/>
      <c r="B138" s="2"/>
      <c r="C138" s="2"/>
      <c r="D138" s="2"/>
      <c r="E138" s="2"/>
      <c r="F138" s="2"/>
      <c r="G138" s="2"/>
      <c r="H138" s="2"/>
      <c r="I138" s="2"/>
      <c r="J138" s="2"/>
      <c r="K138" s="2"/>
      <c r="L138" s="2"/>
      <c r="M138" s="2"/>
      <c r="N138" s="2"/>
      <c r="O138" s="2"/>
      <c r="P138" s="2"/>
    </row>
    <row r="139" spans="1:16" ht="12.75">
      <c r="A139" s="2"/>
      <c r="B139" s="2"/>
      <c r="C139" s="2"/>
      <c r="D139" s="2"/>
      <c r="E139" s="2"/>
      <c r="F139" s="2"/>
      <c r="G139" s="2"/>
      <c r="H139" s="2"/>
      <c r="I139" s="2"/>
      <c r="J139" s="2"/>
      <c r="K139" s="2"/>
      <c r="L139" s="2"/>
      <c r="M139" s="2"/>
      <c r="N139" s="2"/>
      <c r="O139" s="2"/>
      <c r="P139" s="2"/>
    </row>
    <row r="140" spans="1:16" ht="12.75">
      <c r="A140" s="2"/>
      <c r="B140" s="2"/>
      <c r="C140" s="2"/>
      <c r="D140" s="2"/>
      <c r="E140" s="2"/>
      <c r="F140" s="2"/>
      <c r="G140" s="2"/>
      <c r="H140" s="2"/>
      <c r="I140" s="2"/>
      <c r="J140" s="2"/>
      <c r="K140" s="2"/>
      <c r="L140" s="2"/>
      <c r="M140" s="2"/>
      <c r="N140" s="2"/>
      <c r="O140" s="2"/>
      <c r="P140" s="2"/>
    </row>
    <row r="141" spans="1:16" ht="12.75">
      <c r="A141" s="2"/>
      <c r="B141" s="2"/>
      <c r="C141" s="2"/>
      <c r="D141" s="2"/>
      <c r="E141" s="2"/>
      <c r="F141" s="2"/>
      <c r="G141" s="2"/>
      <c r="H141" s="2"/>
      <c r="I141" s="2"/>
      <c r="J141" s="2"/>
      <c r="K141" s="2"/>
      <c r="L141" s="2"/>
      <c r="M141" s="2"/>
      <c r="N141" s="2"/>
      <c r="O141" s="2"/>
      <c r="P141" s="2"/>
    </row>
    <row r="142" spans="1:16" ht="12.75">
      <c r="A142" s="2"/>
      <c r="B142" s="2"/>
      <c r="C142" s="2"/>
      <c r="D142" s="2"/>
      <c r="E142" s="2"/>
      <c r="F142" s="2"/>
      <c r="G142" s="2"/>
      <c r="H142" s="2"/>
      <c r="I142" s="2"/>
      <c r="J142" s="2"/>
      <c r="K142" s="2"/>
      <c r="L142" s="2"/>
      <c r="M142" s="2"/>
      <c r="N142" s="2"/>
      <c r="O142" s="2"/>
      <c r="P142" s="2"/>
    </row>
    <row r="143" spans="1:16" ht="12.75">
      <c r="A143" s="2"/>
      <c r="B143" s="2"/>
      <c r="C143" s="2"/>
      <c r="D143" s="2"/>
      <c r="E143" s="2"/>
      <c r="F143" s="2"/>
      <c r="G143" s="2"/>
      <c r="H143" s="2"/>
      <c r="I143" s="2"/>
      <c r="J143" s="2"/>
      <c r="K143" s="2"/>
      <c r="L143" s="2"/>
      <c r="M143" s="2"/>
      <c r="N143" s="2"/>
      <c r="O143" s="2"/>
      <c r="P143" s="2"/>
    </row>
    <row r="144" spans="1:16" ht="12.75">
      <c r="A144" s="2"/>
      <c r="B144" s="2"/>
      <c r="C144" s="2"/>
      <c r="D144" s="2"/>
      <c r="E144" s="2"/>
      <c r="F144" s="2"/>
      <c r="G144" s="2"/>
      <c r="H144" s="2"/>
      <c r="I144" s="2"/>
      <c r="J144" s="2"/>
      <c r="K144" s="2"/>
      <c r="L144" s="2"/>
      <c r="M144" s="2"/>
      <c r="N144" s="2"/>
      <c r="O144" s="2"/>
      <c r="P144" s="2"/>
    </row>
    <row r="145" spans="1:16" ht="12.75">
      <c r="A145" s="2"/>
      <c r="B145" s="2"/>
      <c r="C145" s="2"/>
      <c r="D145" s="2"/>
      <c r="E145" s="2"/>
      <c r="F145" s="2"/>
      <c r="G145" s="2"/>
      <c r="H145" s="2"/>
      <c r="I145" s="2"/>
      <c r="J145" s="2"/>
      <c r="K145" s="2"/>
      <c r="L145" s="2"/>
      <c r="M145" s="2"/>
      <c r="N145" s="2"/>
      <c r="O145" s="2"/>
      <c r="P145" s="2"/>
    </row>
    <row r="146" spans="1:16" ht="12.75">
      <c r="A146" s="2"/>
      <c r="B146" s="2"/>
      <c r="C146" s="2"/>
      <c r="D146" s="2"/>
      <c r="E146" s="2"/>
      <c r="F146" s="2"/>
      <c r="G146" s="2"/>
      <c r="H146" s="2"/>
      <c r="I146" s="2"/>
      <c r="J146" s="2"/>
      <c r="K146" s="2"/>
      <c r="L146" s="2"/>
      <c r="M146" s="2"/>
      <c r="N146" s="2"/>
      <c r="O146" s="2"/>
      <c r="P146" s="2"/>
    </row>
    <row r="147" spans="1:16" ht="12.75">
      <c r="A147" s="2"/>
      <c r="B147" s="2"/>
      <c r="C147" s="2"/>
      <c r="D147" s="2"/>
      <c r="E147" s="2"/>
      <c r="F147" s="2"/>
      <c r="G147" s="2"/>
      <c r="H147" s="2"/>
      <c r="I147" s="2"/>
      <c r="J147" s="2"/>
      <c r="K147" s="2"/>
      <c r="L147" s="2"/>
      <c r="M147" s="2"/>
      <c r="N147" s="2"/>
      <c r="O147" s="2"/>
      <c r="P147" s="2"/>
    </row>
    <row r="148" spans="1:16" ht="12.75">
      <c r="A148" s="2"/>
      <c r="B148" s="2"/>
      <c r="C148" s="2"/>
      <c r="D148" s="2"/>
      <c r="E148" s="2"/>
      <c r="F148" s="2"/>
      <c r="G148" s="2"/>
      <c r="H148" s="2"/>
      <c r="I148" s="2"/>
      <c r="J148" s="2"/>
      <c r="K148" s="2"/>
      <c r="L148" s="2"/>
      <c r="M148" s="2"/>
      <c r="N148" s="2"/>
      <c r="O148" s="2"/>
      <c r="P148" s="2"/>
    </row>
    <row r="149" spans="1:16" ht="12.75">
      <c r="A149" s="2"/>
      <c r="B149" s="2"/>
      <c r="C149" s="2"/>
      <c r="D149" s="2"/>
      <c r="E149" s="2"/>
      <c r="F149" s="2"/>
      <c r="G149" s="2"/>
      <c r="H149" s="2"/>
      <c r="I149" s="2"/>
      <c r="J149" s="2"/>
      <c r="K149" s="2"/>
      <c r="L149" s="2"/>
      <c r="M149" s="2"/>
      <c r="N149" s="2"/>
      <c r="O149" s="2"/>
      <c r="P149" s="2"/>
    </row>
    <row r="150" spans="1:16" ht="12.75">
      <c r="A150" s="2"/>
      <c r="B150" s="2"/>
      <c r="C150" s="2"/>
      <c r="D150" s="2"/>
      <c r="E150" s="2"/>
      <c r="F150" s="2"/>
      <c r="G150" s="2"/>
      <c r="H150" s="2"/>
      <c r="I150" s="2"/>
      <c r="J150" s="2"/>
      <c r="K150" s="2"/>
      <c r="L150" s="2"/>
      <c r="M150" s="2"/>
      <c r="N150" s="2"/>
      <c r="O150" s="2"/>
      <c r="P150" s="2"/>
    </row>
    <row r="151" spans="1:16" ht="12.75">
      <c r="A151" s="2"/>
      <c r="B151" s="2"/>
      <c r="C151" s="2"/>
      <c r="D151" s="2"/>
      <c r="E151" s="2"/>
      <c r="F151" s="2"/>
      <c r="G151" s="2"/>
      <c r="H151" s="2"/>
      <c r="I151" s="2"/>
      <c r="J151" s="2"/>
      <c r="K151" s="2"/>
      <c r="L151" s="2"/>
      <c r="M151" s="2"/>
      <c r="N151" s="2"/>
      <c r="O151" s="2"/>
      <c r="P151" s="2"/>
    </row>
    <row r="152" spans="1:16" ht="12.75">
      <c r="A152" s="2"/>
      <c r="B152" s="2"/>
      <c r="C152" s="2"/>
      <c r="D152" s="2"/>
      <c r="E152" s="2"/>
      <c r="F152" s="2"/>
      <c r="G152" s="2"/>
      <c r="H152" s="2"/>
      <c r="I152" s="2"/>
      <c r="J152" s="2"/>
      <c r="K152" s="2"/>
      <c r="L152" s="2"/>
      <c r="M152" s="2"/>
      <c r="N152" s="2"/>
      <c r="O152" s="2"/>
      <c r="P152" s="2"/>
    </row>
    <row r="153" spans="1:16" ht="12.75">
      <c r="A153" s="2"/>
      <c r="B153" s="2"/>
      <c r="C153" s="2"/>
      <c r="D153" s="2"/>
      <c r="E153" s="2"/>
      <c r="F153" s="2"/>
      <c r="G153" s="2"/>
      <c r="H153" s="2"/>
      <c r="I153" s="2"/>
      <c r="J153" s="2"/>
      <c r="K153" s="2"/>
      <c r="L153" s="2"/>
      <c r="M153" s="2"/>
      <c r="N153" s="2"/>
      <c r="O153" s="2"/>
      <c r="P153" s="2"/>
    </row>
    <row r="154" spans="1:16" ht="12.75">
      <c r="A154" s="2"/>
      <c r="B154" s="2"/>
      <c r="C154" s="2"/>
      <c r="D154" s="2"/>
      <c r="E154" s="2"/>
      <c r="F154" s="2"/>
      <c r="G154" s="2"/>
      <c r="H154" s="2"/>
      <c r="I154" s="2"/>
      <c r="J154" s="2"/>
      <c r="K154" s="2"/>
      <c r="L154" s="2"/>
      <c r="M154" s="2"/>
      <c r="N154" s="2"/>
      <c r="O154" s="2"/>
      <c r="P154" s="2"/>
    </row>
    <row r="155" spans="1:16" ht="12.75">
      <c r="A155" s="2"/>
      <c r="B155" s="2"/>
      <c r="C155" s="2"/>
      <c r="D155" s="2"/>
      <c r="E155" s="2"/>
      <c r="F155" s="2"/>
      <c r="G155" s="2"/>
      <c r="H155" s="2"/>
      <c r="I155" s="2"/>
      <c r="J155" s="2"/>
      <c r="K155" s="2"/>
      <c r="L155" s="2"/>
      <c r="M155" s="2"/>
      <c r="N155" s="2"/>
      <c r="O155" s="2"/>
      <c r="P155" s="2"/>
    </row>
    <row r="156" spans="1:16" ht="12.75">
      <c r="A156" s="2"/>
      <c r="B156" s="2"/>
      <c r="C156" s="2"/>
      <c r="D156" s="2"/>
      <c r="E156" s="2"/>
      <c r="F156" s="2"/>
      <c r="G156" s="2"/>
      <c r="H156" s="2"/>
      <c r="I156" s="2"/>
      <c r="J156" s="2"/>
      <c r="K156" s="2"/>
      <c r="L156" s="2"/>
      <c r="M156" s="2"/>
      <c r="N156" s="2"/>
      <c r="O156" s="2"/>
      <c r="P156" s="2"/>
    </row>
    <row r="157" spans="1:16" ht="12.75">
      <c r="A157" s="2"/>
      <c r="B157" s="2"/>
      <c r="C157" s="2"/>
      <c r="D157" s="2"/>
      <c r="E157" s="2"/>
      <c r="F157" s="2"/>
      <c r="G157" s="2"/>
      <c r="H157" s="2"/>
      <c r="I157" s="2"/>
      <c r="J157" s="2"/>
      <c r="K157" s="2"/>
      <c r="L157" s="2"/>
      <c r="M157" s="2"/>
      <c r="N157" s="2"/>
      <c r="O157" s="2"/>
      <c r="P157" s="2"/>
    </row>
    <row r="158" spans="1:16" ht="12.75">
      <c r="A158" s="2"/>
      <c r="B158" s="2"/>
      <c r="C158" s="2"/>
      <c r="D158" s="2"/>
      <c r="E158" s="2"/>
      <c r="F158" s="2"/>
      <c r="G158" s="2"/>
      <c r="H158" s="2"/>
      <c r="I158" s="2"/>
      <c r="J158" s="2"/>
      <c r="K158" s="2"/>
      <c r="L158" s="2"/>
      <c r="M158" s="2"/>
      <c r="N158" s="2"/>
      <c r="O158" s="2"/>
      <c r="P158" s="2"/>
    </row>
    <row r="159" spans="1:16" ht="12.75">
      <c r="A159" s="2"/>
      <c r="B159" s="2"/>
      <c r="C159" s="2"/>
      <c r="D159" s="2"/>
      <c r="E159" s="2"/>
      <c r="F159" s="2"/>
      <c r="G159" s="2"/>
      <c r="H159" s="2"/>
      <c r="I159" s="2"/>
      <c r="J159" s="2"/>
      <c r="K159" s="2"/>
      <c r="L159" s="2"/>
      <c r="M159" s="2"/>
      <c r="N159" s="2"/>
      <c r="O159" s="2"/>
      <c r="P159" s="2"/>
    </row>
    <row r="160" spans="1:16" ht="12.75">
      <c r="A160" s="2"/>
      <c r="B160" s="2"/>
      <c r="C160" s="2"/>
      <c r="D160" s="2"/>
      <c r="E160" s="2"/>
      <c r="F160" s="2"/>
      <c r="G160" s="2"/>
      <c r="H160" s="2"/>
      <c r="I160" s="2"/>
      <c r="J160" s="2"/>
      <c r="K160" s="2"/>
      <c r="L160" s="2"/>
      <c r="M160" s="2"/>
      <c r="N160" s="2"/>
      <c r="O160" s="2"/>
      <c r="P160" s="2"/>
    </row>
    <row r="161" spans="1:16" ht="12.75">
      <c r="A161" s="2"/>
      <c r="B161" s="2"/>
      <c r="C161" s="2"/>
      <c r="D161" s="2"/>
      <c r="E161" s="2"/>
      <c r="F161" s="2"/>
      <c r="G161" s="2"/>
      <c r="H161" s="2"/>
      <c r="I161" s="2"/>
      <c r="J161" s="2"/>
      <c r="K161" s="2"/>
      <c r="L161" s="2"/>
      <c r="M161" s="2"/>
      <c r="N161" s="2"/>
      <c r="O161" s="2"/>
      <c r="P161" s="2"/>
    </row>
    <row r="162" spans="1:16" ht="12.75">
      <c r="A162" s="2"/>
      <c r="B162" s="2"/>
      <c r="C162" s="2"/>
      <c r="D162" s="2"/>
      <c r="E162" s="2"/>
      <c r="F162" s="2"/>
      <c r="G162" s="2"/>
      <c r="H162" s="2"/>
      <c r="I162" s="2"/>
      <c r="J162" s="2"/>
      <c r="K162" s="2"/>
      <c r="L162" s="2"/>
      <c r="M162" s="2"/>
      <c r="N162" s="2"/>
      <c r="O162" s="2"/>
      <c r="P162" s="2"/>
    </row>
    <row r="163" spans="1:16" ht="12.75">
      <c r="A163" s="2"/>
      <c r="B163" s="2"/>
      <c r="C163" s="2"/>
      <c r="D163" s="2"/>
      <c r="E163" s="2"/>
      <c r="F163" s="2"/>
      <c r="G163" s="2"/>
      <c r="H163" s="2"/>
      <c r="I163" s="2"/>
      <c r="J163" s="2"/>
      <c r="K163" s="2"/>
      <c r="L163" s="2"/>
      <c r="M163" s="2"/>
      <c r="N163" s="2"/>
      <c r="O163" s="2"/>
      <c r="P163" s="2"/>
    </row>
    <row r="164" spans="1:16" ht="12.75">
      <c r="A164" s="2"/>
      <c r="B164" s="2"/>
      <c r="C164" s="2"/>
      <c r="D164" s="2"/>
      <c r="E164" s="2"/>
      <c r="F164" s="2"/>
      <c r="G164" s="2"/>
      <c r="H164" s="2"/>
      <c r="I164" s="2"/>
      <c r="J164" s="2"/>
      <c r="K164" s="2"/>
      <c r="L164" s="2"/>
      <c r="M164" s="2"/>
      <c r="N164" s="2"/>
      <c r="O164" s="2"/>
      <c r="P164" s="2"/>
    </row>
    <row r="165" spans="1:16" ht="12.75">
      <c r="A165" s="2"/>
      <c r="B165" s="2"/>
      <c r="C165" s="2"/>
      <c r="D165" s="2"/>
      <c r="E165" s="2"/>
      <c r="F165" s="2"/>
      <c r="G165" s="2"/>
      <c r="H165" s="2"/>
      <c r="I165" s="2"/>
      <c r="J165" s="2"/>
      <c r="K165" s="2"/>
      <c r="L165" s="2"/>
      <c r="M165" s="2"/>
      <c r="N165" s="2"/>
      <c r="O165" s="2"/>
      <c r="P165" s="2"/>
    </row>
    <row r="166" spans="1:16" ht="12.75">
      <c r="A166" s="2"/>
      <c r="B166" s="2"/>
      <c r="C166" s="2"/>
      <c r="D166" s="2"/>
      <c r="E166" s="2"/>
      <c r="F166" s="2"/>
      <c r="G166" s="2"/>
      <c r="H166" s="2"/>
      <c r="I166" s="2"/>
      <c r="J166" s="2"/>
      <c r="K166" s="2"/>
      <c r="L166" s="2"/>
      <c r="M166" s="2"/>
      <c r="N166" s="2"/>
      <c r="O166" s="2"/>
      <c r="P166" s="2"/>
    </row>
    <row r="167" spans="1:16" ht="12.75">
      <c r="A167" s="2"/>
      <c r="B167" s="2"/>
      <c r="C167" s="2"/>
      <c r="D167" s="2"/>
      <c r="E167" s="2"/>
      <c r="F167" s="2"/>
      <c r="G167" s="2"/>
      <c r="H167" s="2"/>
      <c r="I167" s="2"/>
      <c r="J167" s="2"/>
      <c r="K167" s="2"/>
      <c r="L167" s="2"/>
      <c r="M167" s="2"/>
      <c r="N167" s="2"/>
      <c r="O167" s="2"/>
      <c r="P167" s="2"/>
    </row>
    <row r="168" spans="1:16" ht="12.75">
      <c r="A168" s="2"/>
      <c r="B168" s="2"/>
      <c r="C168" s="2"/>
      <c r="D168" s="2"/>
      <c r="E168" s="2"/>
      <c r="F168" s="2"/>
      <c r="G168" s="2"/>
      <c r="H168" s="2"/>
      <c r="I168" s="2"/>
      <c r="J168" s="2"/>
      <c r="K168" s="2"/>
      <c r="L168" s="2"/>
      <c r="M168" s="2"/>
      <c r="N168" s="2"/>
      <c r="O168" s="2"/>
      <c r="P168" s="2"/>
    </row>
    <row r="169" spans="1:16" ht="12.75">
      <c r="A169" s="2"/>
      <c r="B169" s="2"/>
      <c r="C169" s="2"/>
      <c r="D169" s="2"/>
      <c r="E169" s="2"/>
      <c r="F169" s="2"/>
      <c r="G169" s="2"/>
      <c r="H169" s="2"/>
      <c r="I169" s="2"/>
      <c r="J169" s="2"/>
      <c r="K169" s="2"/>
      <c r="L169" s="2"/>
      <c r="M169" s="2"/>
      <c r="N169" s="2"/>
      <c r="O169" s="2"/>
      <c r="P169" s="2"/>
    </row>
    <row r="170" spans="1:16" ht="12.75">
      <c r="A170" s="2"/>
      <c r="B170" s="2"/>
      <c r="C170" s="2"/>
      <c r="D170" s="2"/>
      <c r="E170" s="2"/>
      <c r="F170" s="2"/>
      <c r="G170" s="2"/>
      <c r="H170" s="2"/>
      <c r="I170" s="2"/>
      <c r="J170" s="2"/>
      <c r="K170" s="2"/>
      <c r="L170" s="2"/>
      <c r="M170" s="2"/>
      <c r="N170" s="2"/>
      <c r="O170" s="2"/>
      <c r="P170" s="2"/>
    </row>
    <row r="171" spans="1:16" ht="12.75">
      <c r="A171" s="2"/>
      <c r="B171" s="2"/>
      <c r="C171" s="2"/>
      <c r="D171" s="2"/>
      <c r="E171" s="2"/>
      <c r="F171" s="2"/>
      <c r="G171" s="2"/>
      <c r="H171" s="2"/>
      <c r="I171" s="2"/>
      <c r="J171" s="2"/>
      <c r="K171" s="2"/>
      <c r="L171" s="2"/>
      <c r="M171" s="2"/>
      <c r="N171" s="2"/>
      <c r="O171" s="2"/>
      <c r="P171" s="2"/>
    </row>
    <row r="172" spans="1:16" ht="12.75">
      <c r="A172" s="2"/>
      <c r="B172" s="2"/>
      <c r="C172" s="2"/>
      <c r="D172" s="2"/>
      <c r="E172" s="2"/>
      <c r="F172" s="2"/>
      <c r="G172" s="2"/>
      <c r="H172" s="2"/>
      <c r="I172" s="2"/>
      <c r="J172" s="2"/>
      <c r="K172" s="2"/>
      <c r="L172" s="2"/>
      <c r="M172" s="2"/>
      <c r="N172" s="2"/>
      <c r="O172" s="2"/>
      <c r="P172" s="2"/>
    </row>
    <row r="173" spans="1:16" ht="12.75">
      <c r="A173" s="2"/>
      <c r="B173" s="2"/>
      <c r="C173" s="2"/>
      <c r="D173" s="2"/>
      <c r="E173" s="2"/>
      <c r="F173" s="2"/>
      <c r="G173" s="2"/>
      <c r="H173" s="2"/>
      <c r="I173" s="2"/>
      <c r="J173" s="2"/>
      <c r="K173" s="2"/>
      <c r="L173" s="2"/>
      <c r="M173" s="2"/>
      <c r="N173" s="2"/>
      <c r="O173" s="2"/>
      <c r="P173" s="2"/>
    </row>
    <row r="174" spans="1:16" ht="12.75">
      <c r="A174" s="2"/>
      <c r="B174" s="2"/>
      <c r="C174" s="2"/>
      <c r="D174" s="2"/>
      <c r="E174" s="2"/>
      <c r="F174" s="2"/>
      <c r="G174" s="2"/>
      <c r="H174" s="2"/>
      <c r="I174" s="2"/>
      <c r="J174" s="2"/>
      <c r="K174" s="2"/>
      <c r="L174" s="2"/>
      <c r="M174" s="2"/>
      <c r="N174" s="2"/>
      <c r="O174" s="2"/>
      <c r="P174" s="2"/>
    </row>
    <row r="175" spans="1:16" ht="12.75">
      <c r="A175" s="2"/>
      <c r="B175" s="2"/>
      <c r="C175" s="2"/>
      <c r="D175" s="2"/>
      <c r="E175" s="2"/>
      <c r="F175" s="2"/>
      <c r="G175" s="2"/>
      <c r="H175" s="2"/>
      <c r="I175" s="2"/>
      <c r="J175" s="2"/>
      <c r="K175" s="2"/>
      <c r="L175" s="2"/>
      <c r="M175" s="2"/>
      <c r="N175" s="2"/>
      <c r="O175" s="2"/>
      <c r="P175" s="2"/>
    </row>
    <row r="176" spans="1:16" ht="12.75">
      <c r="A176" s="2"/>
      <c r="B176" s="2"/>
      <c r="C176" s="2"/>
      <c r="D176" s="2"/>
      <c r="E176" s="2"/>
      <c r="F176" s="2"/>
      <c r="G176" s="2"/>
      <c r="H176" s="2"/>
      <c r="I176" s="2"/>
      <c r="J176" s="2"/>
      <c r="K176" s="2"/>
      <c r="L176" s="2"/>
      <c r="M176" s="2"/>
      <c r="N176" s="2"/>
      <c r="O176" s="2"/>
      <c r="P176" s="2"/>
    </row>
    <row r="177" spans="1:16" ht="12.75">
      <c r="A177" s="2"/>
      <c r="B177" s="2"/>
      <c r="C177" s="2"/>
      <c r="D177" s="2"/>
      <c r="E177" s="2"/>
      <c r="F177" s="2"/>
      <c r="G177" s="2"/>
      <c r="H177" s="2"/>
      <c r="I177" s="2"/>
      <c r="J177" s="2"/>
      <c r="K177" s="2"/>
      <c r="L177" s="2"/>
      <c r="M177" s="2"/>
      <c r="N177" s="2"/>
      <c r="O177" s="2"/>
      <c r="P177" s="2"/>
    </row>
    <row r="178" spans="1:16" ht="12.75">
      <c r="A178" s="2"/>
      <c r="B178" s="2"/>
      <c r="C178" s="2"/>
      <c r="D178" s="2"/>
      <c r="E178" s="2"/>
      <c r="F178" s="2"/>
      <c r="G178" s="2"/>
      <c r="H178" s="2"/>
      <c r="I178" s="2"/>
      <c r="J178" s="2"/>
      <c r="K178" s="2"/>
      <c r="L178" s="2"/>
      <c r="M178" s="2"/>
      <c r="N178" s="2"/>
      <c r="O178" s="2"/>
      <c r="P178" s="2"/>
    </row>
    <row r="179" spans="1:16" ht="12.75">
      <c r="A179" s="2"/>
      <c r="B179" s="2"/>
      <c r="C179" s="2"/>
      <c r="D179" s="2"/>
      <c r="E179" s="2"/>
      <c r="F179" s="2"/>
      <c r="G179" s="2"/>
      <c r="H179" s="2"/>
      <c r="I179" s="2"/>
      <c r="J179" s="2"/>
      <c r="K179" s="2"/>
      <c r="L179" s="2"/>
      <c r="M179" s="2"/>
      <c r="N179" s="2"/>
      <c r="O179" s="2"/>
      <c r="P179" s="2"/>
    </row>
    <row r="180" spans="1:16" ht="12.75">
      <c r="A180" s="2"/>
      <c r="B180" s="2"/>
      <c r="C180" s="2"/>
      <c r="D180" s="2"/>
      <c r="E180" s="2"/>
      <c r="F180" s="2"/>
      <c r="G180" s="2"/>
      <c r="H180" s="2"/>
      <c r="I180" s="2"/>
      <c r="J180" s="2"/>
      <c r="K180" s="2"/>
      <c r="L180" s="2"/>
      <c r="M180" s="2"/>
      <c r="N180" s="2"/>
      <c r="O180" s="2"/>
      <c r="P180" s="2"/>
    </row>
    <row r="181" spans="1:16" ht="12.75">
      <c r="A181" s="2"/>
      <c r="B181" s="2"/>
      <c r="C181" s="2"/>
      <c r="D181" s="2"/>
      <c r="E181" s="2"/>
      <c r="F181" s="2"/>
      <c r="G181" s="2"/>
      <c r="H181" s="2"/>
      <c r="I181" s="2"/>
      <c r="J181" s="2"/>
      <c r="K181" s="2"/>
      <c r="L181" s="2"/>
      <c r="M181" s="2"/>
      <c r="N181" s="2"/>
      <c r="O181" s="2"/>
      <c r="P181" s="2"/>
    </row>
    <row r="182" spans="1:16" ht="12.75">
      <c r="A182" s="2"/>
      <c r="B182" s="2"/>
      <c r="C182" s="2"/>
      <c r="D182" s="2"/>
      <c r="E182" s="2"/>
      <c r="F182" s="2"/>
      <c r="G182" s="2"/>
      <c r="H182" s="2"/>
      <c r="I182" s="2"/>
      <c r="J182" s="2"/>
      <c r="K182" s="2"/>
      <c r="L182" s="2"/>
      <c r="M182" s="2"/>
      <c r="N182" s="2"/>
      <c r="O182" s="2"/>
      <c r="P182" s="2"/>
    </row>
    <row r="183" spans="1:16" ht="12.75">
      <c r="A183" s="2"/>
      <c r="B183" s="2"/>
      <c r="C183" s="2"/>
      <c r="D183" s="2"/>
      <c r="E183" s="2"/>
      <c r="F183" s="2"/>
      <c r="G183" s="2"/>
      <c r="H183" s="2"/>
      <c r="I183" s="2"/>
      <c r="J183" s="2"/>
      <c r="K183" s="2"/>
      <c r="L183" s="2"/>
      <c r="M183" s="2"/>
      <c r="N183" s="2"/>
      <c r="O183" s="2"/>
      <c r="P183" s="2"/>
    </row>
    <row r="184" spans="1:16" ht="12.75">
      <c r="A184" s="2"/>
      <c r="B184" s="2"/>
      <c r="C184" s="2"/>
      <c r="D184" s="2"/>
      <c r="E184" s="2"/>
      <c r="F184" s="2"/>
      <c r="G184" s="2"/>
      <c r="H184" s="2"/>
      <c r="I184" s="2"/>
      <c r="J184" s="2"/>
      <c r="K184" s="2"/>
      <c r="L184" s="2"/>
      <c r="M184" s="2"/>
      <c r="N184" s="2"/>
      <c r="O184" s="2"/>
      <c r="P184" s="2"/>
    </row>
    <row r="185" spans="1:16" ht="12.75">
      <c r="A185" s="2"/>
      <c r="B185" s="2"/>
      <c r="C185" s="2"/>
      <c r="D185" s="2"/>
      <c r="E185" s="2"/>
      <c r="F185" s="2"/>
      <c r="G185" s="2"/>
      <c r="H185" s="2"/>
      <c r="I185" s="2"/>
      <c r="J185" s="2"/>
      <c r="K185" s="2"/>
      <c r="L185" s="2"/>
      <c r="M185" s="2"/>
      <c r="N185" s="2"/>
      <c r="O185" s="2"/>
      <c r="P185" s="2"/>
    </row>
    <row r="186" spans="1:16" ht="12.75">
      <c r="A186" s="2"/>
      <c r="B186" s="2"/>
      <c r="C186" s="2"/>
      <c r="D186" s="2"/>
      <c r="E186" s="2"/>
      <c r="F186" s="2"/>
      <c r="G186" s="2"/>
      <c r="H186" s="2"/>
      <c r="I186" s="2"/>
      <c r="J186" s="2"/>
      <c r="K186" s="2"/>
      <c r="L186" s="2"/>
      <c r="M186" s="2"/>
      <c r="N186" s="2"/>
      <c r="O186" s="2"/>
      <c r="P186" s="2"/>
    </row>
    <row r="187" spans="1:16" ht="12.75">
      <c r="A187" s="2"/>
      <c r="B187" s="2"/>
      <c r="C187" s="2"/>
      <c r="D187" s="2"/>
      <c r="E187" s="2"/>
      <c r="F187" s="2"/>
      <c r="G187" s="2"/>
      <c r="H187" s="2"/>
      <c r="I187" s="2"/>
      <c r="J187" s="2"/>
      <c r="K187" s="2"/>
      <c r="L187" s="2"/>
      <c r="M187" s="2"/>
      <c r="N187" s="2"/>
      <c r="O187" s="2"/>
      <c r="P187" s="2"/>
    </row>
    <row r="188" spans="1:16" ht="12.75">
      <c r="A188" s="2"/>
      <c r="B188" s="2"/>
      <c r="C188" s="2"/>
      <c r="D188" s="2"/>
      <c r="E188" s="2"/>
      <c r="F188" s="2"/>
      <c r="G188" s="2"/>
      <c r="H188" s="2"/>
      <c r="I188" s="2"/>
      <c r="J188" s="2"/>
      <c r="K188" s="2"/>
      <c r="L188" s="2"/>
      <c r="M188" s="2"/>
      <c r="N188" s="2"/>
      <c r="O188" s="2"/>
      <c r="P188" s="2"/>
    </row>
    <row r="189" spans="1:16" ht="12.75">
      <c r="A189" s="2"/>
      <c r="B189" s="2"/>
      <c r="C189" s="2"/>
      <c r="D189" s="2"/>
      <c r="E189" s="2"/>
      <c r="F189" s="2"/>
      <c r="G189" s="2"/>
      <c r="H189" s="2"/>
      <c r="I189" s="2"/>
      <c r="J189" s="2"/>
      <c r="K189" s="2"/>
      <c r="L189" s="2"/>
      <c r="M189" s="2"/>
      <c r="N189" s="2"/>
      <c r="O189" s="2"/>
      <c r="P189" s="2"/>
    </row>
    <row r="190" spans="1:16" ht="12.75">
      <c r="A190" s="2"/>
      <c r="B190" s="2"/>
      <c r="C190" s="2"/>
      <c r="D190" s="2"/>
      <c r="E190" s="2"/>
      <c r="F190" s="2"/>
      <c r="G190" s="2"/>
      <c r="H190" s="2"/>
      <c r="I190" s="2"/>
      <c r="J190" s="2"/>
      <c r="K190" s="2"/>
      <c r="L190" s="2"/>
      <c r="M190" s="2"/>
      <c r="N190" s="2"/>
      <c r="O190" s="2"/>
      <c r="P190" s="2"/>
    </row>
    <row r="191" spans="1:16" ht="12.75">
      <c r="A191" s="2"/>
      <c r="B191" s="2"/>
      <c r="C191" s="2"/>
      <c r="D191" s="2"/>
      <c r="E191" s="2"/>
      <c r="F191" s="2"/>
      <c r="G191" s="2"/>
      <c r="H191" s="2"/>
      <c r="I191" s="2"/>
      <c r="J191" s="2"/>
      <c r="K191" s="2"/>
      <c r="L191" s="2"/>
      <c r="M191" s="2"/>
      <c r="N191" s="2"/>
      <c r="O191" s="2"/>
      <c r="P191" s="2"/>
    </row>
    <row r="192" spans="1:16" ht="12.75">
      <c r="A192" s="2"/>
      <c r="B192" s="2"/>
      <c r="C192" s="2"/>
      <c r="D192" s="2"/>
      <c r="E192" s="2"/>
      <c r="F192" s="2"/>
      <c r="G192" s="2"/>
      <c r="H192" s="2"/>
      <c r="I192" s="2"/>
      <c r="J192" s="2"/>
      <c r="K192" s="2"/>
      <c r="L192" s="2"/>
      <c r="M192" s="2"/>
      <c r="N192" s="2"/>
      <c r="O192" s="2"/>
      <c r="P192" s="2"/>
    </row>
    <row r="193" spans="1:16" ht="12.75">
      <c r="A193" s="2"/>
      <c r="B193" s="2"/>
      <c r="C193" s="2"/>
      <c r="D193" s="2"/>
      <c r="E193" s="2"/>
      <c r="F193" s="2"/>
      <c r="G193" s="2"/>
      <c r="H193" s="2"/>
      <c r="I193" s="2"/>
      <c r="J193" s="2"/>
      <c r="K193" s="2"/>
      <c r="L193" s="2"/>
      <c r="M193" s="2"/>
      <c r="N193" s="2"/>
      <c r="O193" s="2"/>
      <c r="P193" s="2"/>
    </row>
    <row r="194" spans="1:16" ht="12.75">
      <c r="A194" s="2"/>
      <c r="B194" s="2"/>
      <c r="C194" s="2"/>
      <c r="D194" s="2"/>
      <c r="E194" s="2"/>
      <c r="F194" s="2"/>
      <c r="G194" s="2"/>
      <c r="H194" s="2"/>
      <c r="I194" s="2"/>
      <c r="J194" s="2"/>
      <c r="K194" s="2"/>
      <c r="L194" s="2"/>
      <c r="M194" s="2"/>
      <c r="N194" s="2"/>
      <c r="O194" s="2"/>
      <c r="P194" s="2"/>
    </row>
    <row r="195" spans="1:16" ht="12.75">
      <c r="A195" s="2"/>
      <c r="B195" s="2"/>
      <c r="C195" s="2"/>
      <c r="D195" s="2"/>
      <c r="E195" s="2"/>
      <c r="F195" s="2"/>
      <c r="G195" s="2"/>
      <c r="H195" s="2"/>
      <c r="I195" s="2"/>
      <c r="J195" s="2"/>
      <c r="K195" s="2"/>
      <c r="L195" s="2"/>
      <c r="M195" s="2"/>
      <c r="N195" s="2"/>
      <c r="O195" s="2"/>
      <c r="P195" s="2"/>
    </row>
    <row r="196" spans="1:16" ht="12.75">
      <c r="A196" s="2"/>
      <c r="B196" s="2"/>
      <c r="C196" s="2"/>
      <c r="D196" s="2"/>
      <c r="E196" s="2"/>
      <c r="F196" s="2"/>
      <c r="G196" s="2"/>
      <c r="H196" s="2"/>
      <c r="I196" s="2"/>
      <c r="J196" s="2"/>
      <c r="K196" s="2"/>
      <c r="L196" s="2"/>
      <c r="M196" s="2"/>
      <c r="N196" s="2"/>
      <c r="O196" s="2"/>
      <c r="P196" s="2"/>
    </row>
    <row r="197" spans="1:16" ht="12.75">
      <c r="A197" s="2"/>
      <c r="B197" s="2"/>
      <c r="C197" s="2"/>
      <c r="D197" s="2"/>
      <c r="E197" s="2"/>
      <c r="F197" s="2"/>
      <c r="G197" s="2"/>
      <c r="H197" s="2"/>
      <c r="I197" s="2"/>
      <c r="J197" s="2"/>
      <c r="K197" s="2"/>
      <c r="L197" s="2"/>
      <c r="M197" s="2"/>
      <c r="N197" s="2"/>
      <c r="O197" s="2"/>
      <c r="P197" s="2"/>
    </row>
    <row r="198" spans="1:16" ht="12.75">
      <c r="A198" s="2"/>
      <c r="B198" s="2"/>
      <c r="C198" s="2"/>
      <c r="D198" s="2"/>
      <c r="E198" s="2"/>
      <c r="F198" s="2"/>
      <c r="G198" s="2"/>
      <c r="H198" s="2"/>
      <c r="I198" s="2"/>
      <c r="J198" s="2"/>
      <c r="K198" s="2"/>
      <c r="L198" s="2"/>
      <c r="M198" s="2"/>
      <c r="N198" s="2"/>
      <c r="O198" s="2"/>
      <c r="P198" s="2"/>
    </row>
    <row r="199" spans="1:16" ht="12.75">
      <c r="A199" s="2"/>
      <c r="B199" s="2"/>
      <c r="C199" s="2"/>
      <c r="D199" s="2"/>
      <c r="E199" s="2"/>
      <c r="F199" s="2"/>
      <c r="G199" s="2"/>
      <c r="H199" s="2"/>
      <c r="I199" s="2"/>
      <c r="J199" s="2"/>
      <c r="K199" s="2"/>
      <c r="L199" s="2"/>
      <c r="M199" s="2"/>
      <c r="N199" s="2"/>
      <c r="O199" s="2"/>
      <c r="P199" s="2"/>
    </row>
    <row r="200" spans="1:16" ht="12.75">
      <c r="A200" s="2"/>
      <c r="B200" s="2"/>
      <c r="C200" s="2"/>
      <c r="D200" s="2"/>
      <c r="E200" s="2"/>
      <c r="F200" s="2"/>
      <c r="G200" s="2"/>
      <c r="H200" s="2"/>
      <c r="I200" s="2"/>
      <c r="J200" s="2"/>
      <c r="K200" s="2"/>
      <c r="L200" s="2"/>
      <c r="M200" s="2"/>
      <c r="N200" s="2"/>
      <c r="O200" s="2"/>
      <c r="P200" s="2"/>
    </row>
    <row r="201" spans="1:16" ht="12.75">
      <c r="A201" s="2"/>
      <c r="B201" s="2"/>
      <c r="C201" s="2"/>
      <c r="D201" s="2"/>
      <c r="E201" s="2"/>
      <c r="F201" s="2"/>
      <c r="G201" s="2"/>
      <c r="H201" s="2"/>
      <c r="I201" s="2"/>
      <c r="J201" s="2"/>
      <c r="K201" s="2"/>
      <c r="L201" s="2"/>
      <c r="M201" s="2"/>
      <c r="N201" s="2"/>
      <c r="O201" s="2"/>
      <c r="P201" s="2"/>
    </row>
    <row r="202" spans="1:16" ht="12.75">
      <c r="A202" s="2"/>
      <c r="B202" s="2"/>
      <c r="C202" s="2"/>
      <c r="D202" s="2"/>
      <c r="E202" s="2"/>
      <c r="F202" s="2"/>
      <c r="G202" s="2"/>
      <c r="H202" s="2"/>
      <c r="I202" s="2"/>
      <c r="J202" s="2"/>
      <c r="K202" s="2"/>
      <c r="L202" s="2"/>
      <c r="M202" s="2"/>
      <c r="N202" s="2"/>
      <c r="O202" s="2"/>
      <c r="P202" s="2"/>
    </row>
    <row r="203" spans="1:16" ht="12.75">
      <c r="A203" s="2"/>
      <c r="B203" s="2"/>
      <c r="C203" s="2"/>
      <c r="D203" s="2"/>
      <c r="E203" s="2"/>
      <c r="F203" s="2"/>
      <c r="G203" s="2"/>
      <c r="H203" s="2"/>
      <c r="I203" s="2"/>
      <c r="J203" s="2"/>
      <c r="K203" s="2"/>
      <c r="L203" s="2"/>
      <c r="M203" s="2"/>
      <c r="N203" s="2"/>
      <c r="O203" s="2"/>
      <c r="P203" s="2"/>
    </row>
    <row r="204" spans="1:16" ht="12.75">
      <c r="A204" s="2"/>
      <c r="B204" s="2"/>
      <c r="C204" s="2"/>
      <c r="D204" s="2"/>
      <c r="E204" s="2"/>
      <c r="F204" s="2"/>
      <c r="G204" s="2"/>
      <c r="H204" s="2"/>
      <c r="I204" s="2"/>
      <c r="J204" s="2"/>
      <c r="K204" s="2"/>
      <c r="L204" s="2"/>
      <c r="M204" s="2"/>
      <c r="N204" s="2"/>
      <c r="O204" s="2"/>
      <c r="P204" s="2"/>
    </row>
    <row r="205" spans="1:16" ht="12.75">
      <c r="A205" s="2"/>
      <c r="B205" s="2"/>
      <c r="C205" s="2"/>
      <c r="D205" s="2"/>
      <c r="E205" s="2"/>
      <c r="F205" s="2"/>
      <c r="G205" s="2"/>
      <c r="H205" s="2"/>
      <c r="I205" s="2"/>
      <c r="J205" s="2"/>
      <c r="K205" s="2"/>
      <c r="L205" s="2"/>
      <c r="M205" s="2"/>
      <c r="N205" s="2"/>
      <c r="O205" s="2"/>
      <c r="P205" s="2"/>
    </row>
    <row r="206" spans="1:16" ht="12.75">
      <c r="A206" s="2"/>
      <c r="B206" s="2"/>
      <c r="C206" s="2"/>
      <c r="D206" s="2"/>
      <c r="E206" s="2"/>
      <c r="F206" s="2"/>
      <c r="G206" s="2"/>
      <c r="H206" s="2"/>
      <c r="I206" s="2"/>
      <c r="J206" s="2"/>
      <c r="K206" s="2"/>
      <c r="L206" s="2"/>
      <c r="M206" s="2"/>
      <c r="N206" s="2"/>
      <c r="O206" s="2"/>
      <c r="P206" s="2"/>
    </row>
    <row r="207" spans="1:16" ht="12.75">
      <c r="A207" s="2"/>
      <c r="B207" s="2"/>
      <c r="C207" s="2"/>
      <c r="D207" s="2"/>
      <c r="E207" s="2"/>
      <c r="F207" s="2"/>
      <c r="G207" s="2"/>
      <c r="H207" s="2"/>
      <c r="I207" s="2"/>
      <c r="J207" s="2"/>
      <c r="K207" s="2"/>
      <c r="L207" s="2"/>
      <c r="M207" s="2"/>
      <c r="N207" s="2"/>
      <c r="O207" s="2"/>
      <c r="P207" s="2"/>
    </row>
    <row r="208" spans="1:16" ht="12.75">
      <c r="A208" s="2"/>
      <c r="B208" s="2"/>
      <c r="C208" s="2"/>
      <c r="D208" s="2"/>
      <c r="E208" s="2"/>
      <c r="F208" s="2"/>
      <c r="G208" s="2"/>
      <c r="H208" s="2"/>
      <c r="I208" s="2"/>
      <c r="J208" s="2"/>
      <c r="K208" s="2"/>
      <c r="L208" s="2"/>
      <c r="M208" s="2"/>
      <c r="N208" s="2"/>
      <c r="O208" s="2"/>
      <c r="P208" s="2"/>
    </row>
    <row r="209" spans="1:16" ht="12.75">
      <c r="A209" s="2"/>
      <c r="B209" s="2"/>
      <c r="C209" s="2"/>
      <c r="D209" s="2"/>
      <c r="E209" s="2"/>
      <c r="F209" s="2"/>
      <c r="G209" s="2"/>
      <c r="H209" s="2"/>
      <c r="I209" s="2"/>
      <c r="J209" s="2"/>
      <c r="K209" s="2"/>
      <c r="L209" s="2"/>
      <c r="M209" s="2"/>
      <c r="N209" s="2"/>
      <c r="O209" s="2"/>
      <c r="P209" s="2"/>
    </row>
    <row r="210" spans="1:16" ht="12.75">
      <c r="A210" s="2"/>
      <c r="B210" s="2"/>
      <c r="C210" s="2"/>
      <c r="D210" s="2"/>
      <c r="E210" s="2"/>
      <c r="F210" s="2"/>
      <c r="G210" s="2"/>
      <c r="H210" s="2"/>
      <c r="I210" s="2"/>
      <c r="J210" s="2"/>
      <c r="K210" s="2"/>
      <c r="L210" s="2"/>
      <c r="M210" s="2"/>
      <c r="N210" s="2"/>
      <c r="O210" s="2"/>
      <c r="P210" s="2"/>
    </row>
    <row r="211" spans="1:16" ht="12.75">
      <c r="A211" s="2"/>
      <c r="B211" s="2"/>
      <c r="C211" s="2"/>
      <c r="D211" s="2"/>
      <c r="E211" s="2"/>
      <c r="F211" s="2"/>
      <c r="G211" s="2"/>
      <c r="H211" s="2"/>
      <c r="I211" s="2"/>
      <c r="J211" s="2"/>
      <c r="K211" s="2"/>
      <c r="L211" s="2"/>
      <c r="M211" s="2"/>
      <c r="N211" s="2"/>
      <c r="O211" s="2"/>
      <c r="P211" s="2"/>
    </row>
    <row r="212" spans="1:16" ht="12.75">
      <c r="A212" s="2"/>
      <c r="B212" s="2"/>
      <c r="C212" s="2"/>
      <c r="D212" s="2"/>
      <c r="E212" s="2"/>
      <c r="F212" s="2"/>
      <c r="G212" s="2"/>
      <c r="H212" s="2"/>
      <c r="I212" s="2"/>
      <c r="J212" s="2"/>
      <c r="K212" s="2"/>
      <c r="L212" s="2"/>
      <c r="M212" s="2"/>
      <c r="N212" s="2"/>
      <c r="O212" s="2"/>
      <c r="P212" s="2"/>
    </row>
    <row r="213" spans="1:16" ht="12.75">
      <c r="A213" s="2"/>
      <c r="B213" s="2"/>
      <c r="C213" s="2"/>
      <c r="D213" s="2"/>
      <c r="E213" s="2"/>
      <c r="F213" s="2"/>
      <c r="G213" s="2"/>
      <c r="H213" s="2"/>
      <c r="I213" s="2"/>
      <c r="J213" s="2"/>
      <c r="K213" s="2"/>
      <c r="L213" s="2"/>
      <c r="M213" s="2"/>
      <c r="N213" s="2"/>
      <c r="O213" s="2"/>
      <c r="P213" s="2"/>
    </row>
    <row r="214" spans="1:16" ht="12.75">
      <c r="A214" s="2"/>
      <c r="B214" s="2"/>
      <c r="C214" s="2"/>
      <c r="D214" s="2"/>
      <c r="E214" s="2"/>
      <c r="F214" s="2"/>
      <c r="G214" s="2"/>
      <c r="H214" s="2"/>
      <c r="I214" s="2"/>
      <c r="J214" s="2"/>
      <c r="K214" s="2"/>
      <c r="L214" s="2"/>
      <c r="M214" s="2"/>
      <c r="N214" s="2"/>
      <c r="O214" s="2"/>
      <c r="P214" s="2"/>
    </row>
    <row r="215" spans="1:16" ht="12.75">
      <c r="A215" s="2"/>
      <c r="B215" s="2"/>
      <c r="C215" s="2"/>
      <c r="D215" s="2"/>
      <c r="E215" s="2"/>
      <c r="F215" s="2"/>
      <c r="G215" s="2"/>
      <c r="H215" s="2"/>
      <c r="I215" s="2"/>
      <c r="J215" s="2"/>
      <c r="K215" s="2"/>
      <c r="L215" s="2"/>
      <c r="M215" s="2"/>
      <c r="N215" s="2"/>
      <c r="O215" s="2"/>
      <c r="P215" s="2"/>
    </row>
    <row r="216" spans="1:16" ht="12.75">
      <c r="A216" s="2"/>
      <c r="B216" s="2"/>
      <c r="C216" s="2"/>
      <c r="D216" s="2"/>
      <c r="E216" s="2"/>
      <c r="F216" s="2"/>
      <c r="G216" s="2"/>
      <c r="H216" s="2"/>
      <c r="I216" s="2"/>
      <c r="J216" s="2"/>
      <c r="K216" s="2"/>
      <c r="L216" s="2"/>
      <c r="M216" s="2"/>
      <c r="N216" s="2"/>
      <c r="O216" s="2"/>
      <c r="P216" s="2"/>
    </row>
    <row r="217" spans="1:16" ht="12.75">
      <c r="A217" s="2"/>
      <c r="B217" s="2"/>
      <c r="C217" s="2"/>
      <c r="D217" s="2"/>
      <c r="E217" s="2"/>
      <c r="F217" s="2"/>
      <c r="G217" s="2"/>
      <c r="H217" s="2"/>
      <c r="I217" s="2"/>
      <c r="J217" s="2"/>
      <c r="K217" s="2"/>
      <c r="L217" s="2"/>
      <c r="M217" s="2"/>
      <c r="N217" s="2"/>
      <c r="O217" s="2"/>
      <c r="P217" s="2"/>
    </row>
    <row r="218" spans="1:16" ht="12.75">
      <c r="A218" s="2"/>
      <c r="B218" s="2"/>
      <c r="C218" s="2"/>
      <c r="D218" s="2"/>
      <c r="E218" s="2"/>
      <c r="F218" s="2"/>
      <c r="G218" s="2"/>
      <c r="H218" s="2"/>
      <c r="I218" s="2"/>
      <c r="J218" s="2"/>
      <c r="K218" s="2"/>
      <c r="L218" s="2"/>
      <c r="M218" s="2"/>
      <c r="N218" s="2"/>
      <c r="O218" s="2"/>
      <c r="P218" s="2"/>
    </row>
    <row r="219" spans="1:16" ht="12.75">
      <c r="A219" s="2"/>
      <c r="B219" s="2"/>
      <c r="C219" s="2"/>
      <c r="D219" s="2"/>
      <c r="E219" s="2"/>
      <c r="F219" s="2"/>
      <c r="G219" s="2"/>
      <c r="H219" s="2"/>
      <c r="I219" s="2"/>
      <c r="J219" s="2"/>
      <c r="K219" s="2"/>
      <c r="L219" s="2"/>
      <c r="M219" s="2"/>
      <c r="N219" s="2"/>
      <c r="O219" s="2"/>
      <c r="P219" s="2"/>
    </row>
    <row r="220" spans="1:16" ht="12.75">
      <c r="A220" s="2"/>
      <c r="B220" s="2"/>
      <c r="C220" s="2"/>
      <c r="D220" s="2"/>
      <c r="E220" s="2"/>
      <c r="F220" s="2"/>
      <c r="G220" s="2"/>
      <c r="H220" s="2"/>
      <c r="I220" s="2"/>
      <c r="J220" s="2"/>
      <c r="K220" s="2"/>
      <c r="L220" s="2"/>
      <c r="M220" s="2"/>
      <c r="N220" s="2"/>
      <c r="O220" s="2"/>
      <c r="P220" s="2"/>
    </row>
    <row r="221" spans="1:16" ht="12.75">
      <c r="A221" s="2"/>
      <c r="B221" s="2"/>
      <c r="C221" s="2"/>
      <c r="D221" s="2"/>
      <c r="E221" s="2"/>
      <c r="F221" s="2"/>
      <c r="G221" s="2"/>
      <c r="H221" s="2"/>
      <c r="I221" s="2"/>
      <c r="J221" s="2"/>
      <c r="K221" s="2"/>
      <c r="L221" s="2"/>
      <c r="M221" s="2"/>
      <c r="N221" s="2"/>
      <c r="O221" s="2"/>
      <c r="P221" s="2"/>
    </row>
    <row r="222" spans="1:16" ht="12.75">
      <c r="A222" s="2"/>
      <c r="B222" s="2"/>
      <c r="C222" s="2"/>
      <c r="D222" s="2"/>
      <c r="E222" s="2"/>
      <c r="F222" s="2"/>
      <c r="G222" s="2"/>
      <c r="H222" s="2"/>
      <c r="I222" s="2"/>
      <c r="J222" s="2"/>
      <c r="K222" s="2"/>
      <c r="L222" s="2"/>
      <c r="M222" s="2"/>
      <c r="N222" s="2"/>
      <c r="O222" s="2"/>
      <c r="P222" s="2"/>
    </row>
    <row r="223" spans="1:16" ht="12.75">
      <c r="A223" s="2"/>
      <c r="B223" s="2"/>
      <c r="C223" s="2"/>
      <c r="D223" s="2"/>
      <c r="E223" s="2"/>
      <c r="F223" s="2"/>
      <c r="G223" s="2"/>
      <c r="H223" s="2"/>
      <c r="I223" s="2"/>
      <c r="J223" s="2"/>
      <c r="K223" s="2"/>
      <c r="L223" s="2"/>
      <c r="M223" s="2"/>
      <c r="N223" s="2"/>
      <c r="O223" s="2"/>
      <c r="P223" s="2"/>
    </row>
    <row r="224" spans="1:16" ht="12.75">
      <c r="A224" s="2"/>
      <c r="B224" s="2"/>
      <c r="C224" s="2"/>
      <c r="D224" s="2"/>
      <c r="E224" s="2"/>
      <c r="F224" s="2"/>
      <c r="G224" s="2"/>
      <c r="H224" s="2"/>
      <c r="I224" s="2"/>
      <c r="J224" s="2"/>
      <c r="K224" s="2"/>
      <c r="L224" s="2"/>
      <c r="M224" s="2"/>
      <c r="N224" s="2"/>
      <c r="O224" s="2"/>
      <c r="P224" s="2"/>
    </row>
    <row r="225" spans="1:16" ht="12.75">
      <c r="A225" s="2"/>
      <c r="B225" s="2"/>
      <c r="C225" s="2"/>
      <c r="D225" s="2"/>
      <c r="E225" s="2"/>
      <c r="F225" s="2"/>
      <c r="G225" s="2"/>
      <c r="H225" s="2"/>
      <c r="I225" s="2"/>
      <c r="J225" s="2"/>
      <c r="K225" s="2"/>
      <c r="L225" s="2"/>
      <c r="M225" s="2"/>
      <c r="N225" s="2"/>
      <c r="O225" s="2"/>
      <c r="P225" s="2"/>
    </row>
    <row r="226" spans="1:16" ht="12.75">
      <c r="A226" s="2"/>
      <c r="B226" s="2"/>
      <c r="C226" s="2"/>
      <c r="D226" s="2"/>
      <c r="E226" s="2"/>
      <c r="F226" s="2"/>
      <c r="G226" s="2"/>
      <c r="H226" s="2"/>
      <c r="I226" s="2"/>
      <c r="J226" s="2"/>
      <c r="K226" s="2"/>
      <c r="L226" s="2"/>
      <c r="M226" s="2"/>
      <c r="N226" s="2"/>
      <c r="O226" s="2"/>
      <c r="P226" s="2"/>
    </row>
    <row r="227" spans="1:16" ht="12.75">
      <c r="A227" s="2"/>
      <c r="B227" s="2"/>
      <c r="C227" s="2"/>
      <c r="D227" s="2"/>
      <c r="E227" s="2"/>
      <c r="F227" s="2"/>
      <c r="G227" s="2"/>
      <c r="H227" s="2"/>
      <c r="I227" s="2"/>
      <c r="J227" s="2"/>
      <c r="K227" s="2"/>
      <c r="L227" s="2"/>
      <c r="M227" s="2"/>
      <c r="N227" s="2"/>
      <c r="O227" s="2"/>
      <c r="P227" s="2"/>
    </row>
    <row r="228" spans="1:16" ht="12.75">
      <c r="A228" s="2"/>
      <c r="B228" s="2"/>
      <c r="C228" s="2"/>
      <c r="D228" s="2"/>
      <c r="E228" s="2"/>
      <c r="F228" s="2"/>
      <c r="G228" s="2"/>
      <c r="H228" s="2"/>
      <c r="I228" s="2"/>
      <c r="J228" s="2"/>
      <c r="K228" s="2"/>
      <c r="L228" s="2"/>
      <c r="M228" s="2"/>
      <c r="N228" s="2"/>
      <c r="O228" s="2"/>
      <c r="P228" s="2"/>
    </row>
    <row r="229" spans="1:16" ht="12.75">
      <c r="A229" s="2"/>
      <c r="B229" s="2"/>
      <c r="C229" s="2"/>
      <c r="D229" s="2"/>
      <c r="E229" s="2"/>
      <c r="F229" s="2"/>
      <c r="G229" s="2"/>
      <c r="H229" s="2"/>
      <c r="I229" s="2"/>
      <c r="J229" s="2"/>
      <c r="K229" s="2"/>
      <c r="L229" s="2"/>
      <c r="M229" s="2"/>
      <c r="N229" s="2"/>
      <c r="O229" s="2"/>
      <c r="P229" s="2"/>
    </row>
    <row r="230" spans="1:16" ht="12.75">
      <c r="A230" s="2"/>
      <c r="B230" s="2"/>
      <c r="C230" s="2"/>
      <c r="D230" s="2"/>
      <c r="E230" s="2"/>
      <c r="F230" s="2"/>
      <c r="G230" s="2"/>
      <c r="H230" s="2"/>
      <c r="I230" s="2"/>
      <c r="J230" s="2"/>
      <c r="K230" s="2"/>
      <c r="L230" s="2"/>
      <c r="M230" s="2"/>
      <c r="N230" s="2"/>
      <c r="O230" s="2"/>
      <c r="P230" s="2"/>
    </row>
    <row r="231" spans="1:16" ht="12.75">
      <c r="A231" s="2"/>
      <c r="B231" s="2"/>
      <c r="C231" s="2"/>
      <c r="D231" s="2"/>
      <c r="E231" s="2"/>
      <c r="F231" s="2"/>
      <c r="G231" s="2"/>
      <c r="H231" s="2"/>
      <c r="I231" s="2"/>
      <c r="J231" s="2"/>
      <c r="K231" s="2"/>
      <c r="L231" s="2"/>
      <c r="M231" s="2"/>
      <c r="N231" s="2"/>
      <c r="O231" s="2"/>
      <c r="P231" s="2"/>
    </row>
    <row r="232" spans="1:16" ht="12.75">
      <c r="A232" s="2"/>
      <c r="B232" s="2"/>
      <c r="C232" s="2"/>
      <c r="D232" s="2"/>
      <c r="E232" s="2"/>
      <c r="F232" s="2"/>
      <c r="G232" s="2"/>
      <c r="H232" s="2"/>
      <c r="I232" s="2"/>
      <c r="J232" s="2"/>
      <c r="K232" s="2"/>
      <c r="L232" s="2"/>
      <c r="M232" s="2"/>
      <c r="N232" s="2"/>
      <c r="O232" s="2"/>
      <c r="P232" s="2"/>
    </row>
    <row r="233" spans="1:16" ht="12.75">
      <c r="A233" s="2"/>
      <c r="B233" s="2"/>
      <c r="C233" s="2"/>
      <c r="D233" s="2"/>
      <c r="E233" s="2"/>
      <c r="F233" s="2"/>
      <c r="G233" s="2"/>
      <c r="H233" s="2"/>
      <c r="I233" s="2"/>
      <c r="J233" s="2"/>
      <c r="K233" s="2"/>
      <c r="L233" s="2"/>
      <c r="M233" s="2"/>
      <c r="N233" s="2"/>
      <c r="O233" s="2"/>
      <c r="P233" s="2"/>
    </row>
    <row r="234" spans="1:16" ht="12.75">
      <c r="A234" s="2"/>
      <c r="B234" s="2"/>
      <c r="C234" s="2"/>
      <c r="D234" s="2"/>
      <c r="E234" s="2"/>
      <c r="F234" s="2"/>
      <c r="G234" s="2"/>
      <c r="H234" s="2"/>
      <c r="I234" s="2"/>
      <c r="J234" s="2"/>
      <c r="K234" s="2"/>
      <c r="L234" s="2"/>
      <c r="M234" s="2"/>
      <c r="N234" s="2"/>
      <c r="O234" s="2"/>
      <c r="P234" s="2"/>
    </row>
    <row r="235" spans="1:16" ht="12.75">
      <c r="A235" s="2"/>
      <c r="B235" s="2"/>
      <c r="C235" s="2"/>
      <c r="D235" s="2"/>
      <c r="E235" s="2"/>
      <c r="F235" s="2"/>
      <c r="G235" s="2"/>
      <c r="H235" s="2"/>
      <c r="I235" s="2"/>
      <c r="J235" s="2"/>
      <c r="K235" s="2"/>
      <c r="L235" s="2"/>
      <c r="M235" s="2"/>
      <c r="N235" s="2"/>
      <c r="O235" s="2"/>
      <c r="P235" s="2"/>
    </row>
    <row r="236" spans="1:16" ht="12.75">
      <c r="A236" s="2"/>
      <c r="B236" s="2"/>
      <c r="C236" s="2"/>
      <c r="D236" s="2"/>
      <c r="E236" s="2"/>
      <c r="F236" s="2"/>
      <c r="G236" s="2"/>
      <c r="H236" s="2"/>
      <c r="I236" s="2"/>
      <c r="J236" s="2"/>
      <c r="K236" s="2"/>
      <c r="L236" s="2"/>
      <c r="M236" s="2"/>
      <c r="N236" s="2"/>
      <c r="O236" s="2"/>
      <c r="P236" s="2"/>
    </row>
    <row r="237" spans="1:16" ht="12.75">
      <c r="A237" s="2"/>
      <c r="B237" s="2"/>
      <c r="C237" s="2"/>
      <c r="D237" s="2"/>
      <c r="E237" s="2"/>
      <c r="F237" s="2"/>
      <c r="G237" s="2"/>
      <c r="H237" s="2"/>
      <c r="I237" s="2"/>
      <c r="J237" s="2"/>
      <c r="K237" s="2"/>
      <c r="L237" s="2"/>
      <c r="M237" s="2"/>
      <c r="N237" s="2"/>
      <c r="O237" s="2"/>
      <c r="P237" s="2"/>
    </row>
    <row r="238" spans="1:16" ht="12.75">
      <c r="A238" s="2"/>
      <c r="B238" s="2"/>
      <c r="C238" s="2"/>
      <c r="D238" s="2"/>
      <c r="E238" s="2"/>
      <c r="F238" s="2"/>
      <c r="G238" s="2"/>
      <c r="H238" s="2"/>
      <c r="I238" s="2"/>
      <c r="J238" s="2"/>
      <c r="K238" s="2"/>
      <c r="L238" s="2"/>
      <c r="M238" s="2"/>
      <c r="N238" s="2"/>
      <c r="O238" s="2"/>
      <c r="P238" s="2"/>
    </row>
    <row r="239" spans="1:16" ht="12.75">
      <c r="A239" s="2"/>
      <c r="B239" s="2"/>
      <c r="C239" s="2"/>
      <c r="D239" s="2"/>
      <c r="E239" s="2"/>
      <c r="F239" s="2"/>
      <c r="G239" s="2"/>
      <c r="H239" s="2"/>
      <c r="I239" s="2"/>
      <c r="J239" s="2"/>
      <c r="K239" s="2"/>
      <c r="L239" s="2"/>
      <c r="M239" s="2"/>
      <c r="N239" s="2"/>
      <c r="O239" s="2"/>
      <c r="P239" s="2"/>
    </row>
    <row r="240" spans="1:16" ht="12.75">
      <c r="A240" s="2"/>
      <c r="B240" s="2"/>
      <c r="C240" s="2"/>
      <c r="D240" s="2"/>
      <c r="E240" s="2"/>
      <c r="F240" s="2"/>
      <c r="G240" s="2"/>
      <c r="H240" s="2"/>
      <c r="I240" s="2"/>
      <c r="J240" s="2"/>
      <c r="K240" s="2"/>
      <c r="L240" s="2"/>
      <c r="M240" s="2"/>
      <c r="N240" s="2"/>
      <c r="O240" s="2"/>
      <c r="P240" s="2"/>
    </row>
    <row r="241" spans="1:16" ht="12.75">
      <c r="A241" s="2"/>
      <c r="B241" s="2"/>
      <c r="C241" s="2"/>
      <c r="D241" s="2"/>
      <c r="E241" s="2"/>
      <c r="F241" s="2"/>
      <c r="G241" s="2"/>
      <c r="H241" s="2"/>
      <c r="I241" s="2"/>
      <c r="J241" s="2"/>
      <c r="K241" s="2"/>
      <c r="L241" s="2"/>
      <c r="M241" s="2"/>
      <c r="N241" s="2"/>
      <c r="O241" s="2"/>
      <c r="P241" s="2"/>
    </row>
    <row r="242" spans="1:16" ht="12.75">
      <c r="A242" s="2"/>
      <c r="B242" s="2"/>
      <c r="C242" s="2"/>
      <c r="D242" s="2"/>
      <c r="E242" s="2"/>
      <c r="F242" s="2"/>
      <c r="G242" s="2"/>
      <c r="H242" s="2"/>
      <c r="I242" s="2"/>
      <c r="J242" s="2"/>
      <c r="K242" s="2"/>
      <c r="L242" s="2"/>
      <c r="M242" s="2"/>
      <c r="N242" s="2"/>
      <c r="O242" s="2"/>
      <c r="P242" s="2"/>
    </row>
    <row r="243" spans="1:16" ht="12.75">
      <c r="A243" s="2"/>
      <c r="B243" s="2"/>
      <c r="C243" s="2"/>
      <c r="D243" s="2"/>
      <c r="E243" s="2"/>
      <c r="F243" s="2"/>
      <c r="G243" s="2"/>
      <c r="H243" s="2"/>
      <c r="I243" s="2"/>
      <c r="J243" s="2"/>
      <c r="K243" s="2"/>
      <c r="L243" s="2"/>
      <c r="M243" s="2"/>
      <c r="N243" s="2"/>
      <c r="O243" s="2"/>
      <c r="P243" s="2"/>
    </row>
    <row r="244" spans="1:16" ht="12.75">
      <c r="A244" s="2"/>
      <c r="B244" s="2"/>
      <c r="C244" s="2"/>
      <c r="D244" s="2"/>
      <c r="E244" s="2"/>
      <c r="F244" s="2"/>
      <c r="G244" s="2"/>
      <c r="H244" s="2"/>
      <c r="I244" s="2"/>
      <c r="J244" s="2"/>
      <c r="K244" s="2"/>
      <c r="L244" s="2"/>
      <c r="M244" s="2"/>
      <c r="N244" s="2"/>
      <c r="O244" s="2"/>
      <c r="P244" s="2"/>
    </row>
    <row r="245" spans="1:16" ht="12.75">
      <c r="A245" s="2"/>
      <c r="B245" s="2"/>
      <c r="C245" s="2"/>
      <c r="D245" s="2"/>
      <c r="E245" s="2"/>
      <c r="F245" s="2"/>
      <c r="G245" s="2"/>
      <c r="H245" s="2"/>
      <c r="I245" s="2"/>
      <c r="J245" s="2"/>
      <c r="K245" s="2"/>
      <c r="L245" s="2"/>
      <c r="M245" s="2"/>
      <c r="N245" s="2"/>
      <c r="O245" s="2"/>
      <c r="P245" s="2"/>
    </row>
    <row r="246" spans="1:16" ht="12.75">
      <c r="A246" s="2"/>
      <c r="B246" s="2"/>
      <c r="C246" s="2"/>
      <c r="D246" s="2"/>
      <c r="E246" s="2"/>
      <c r="F246" s="2"/>
      <c r="G246" s="2"/>
      <c r="H246" s="2"/>
      <c r="I246" s="2"/>
      <c r="J246" s="2"/>
      <c r="K246" s="2"/>
      <c r="L246" s="2"/>
      <c r="M246" s="2"/>
      <c r="N246" s="2"/>
      <c r="O246" s="2"/>
      <c r="P246" s="2"/>
    </row>
    <row r="247" spans="1:16" ht="12.75">
      <c r="A247" s="2"/>
      <c r="B247" s="2"/>
      <c r="C247" s="2"/>
      <c r="D247" s="2"/>
      <c r="E247" s="2"/>
      <c r="F247" s="2"/>
      <c r="G247" s="2"/>
      <c r="H247" s="2"/>
      <c r="I247" s="2"/>
      <c r="J247" s="2"/>
      <c r="K247" s="2"/>
      <c r="L247" s="2"/>
      <c r="M247" s="2"/>
      <c r="N247" s="2"/>
      <c r="O247" s="2"/>
      <c r="P247" s="2"/>
    </row>
    <row r="248" spans="1:16" ht="12.75">
      <c r="A248" s="2"/>
      <c r="B248" s="2"/>
      <c r="C248" s="2"/>
      <c r="D248" s="2"/>
      <c r="E248" s="2"/>
      <c r="F248" s="2"/>
      <c r="G248" s="2"/>
      <c r="H248" s="2"/>
      <c r="I248" s="2"/>
      <c r="J248" s="2"/>
      <c r="K248" s="2"/>
      <c r="L248" s="2"/>
      <c r="M248" s="2"/>
      <c r="N248" s="2"/>
      <c r="O248" s="2"/>
      <c r="P248" s="2"/>
    </row>
    <row r="249" spans="1:16" ht="12.75">
      <c r="A249" s="2"/>
      <c r="B249" s="2"/>
      <c r="C249" s="2"/>
      <c r="D249" s="2"/>
      <c r="E249" s="2"/>
      <c r="F249" s="2"/>
      <c r="G249" s="2"/>
      <c r="H249" s="2"/>
      <c r="I249" s="2"/>
      <c r="J249" s="2"/>
      <c r="K249" s="2"/>
      <c r="L249" s="2"/>
      <c r="M249" s="2"/>
      <c r="N249" s="2"/>
      <c r="O249" s="2"/>
      <c r="P249" s="2"/>
    </row>
    <row r="250" spans="1:16" ht="12.75">
      <c r="A250" s="2"/>
      <c r="B250" s="2"/>
      <c r="C250" s="2"/>
      <c r="D250" s="2"/>
      <c r="E250" s="2"/>
      <c r="F250" s="2"/>
      <c r="G250" s="2"/>
      <c r="H250" s="2"/>
      <c r="I250" s="2"/>
      <c r="J250" s="2"/>
      <c r="K250" s="2"/>
      <c r="L250" s="2"/>
      <c r="M250" s="2"/>
      <c r="N250" s="2"/>
      <c r="O250" s="2"/>
      <c r="P250" s="2"/>
    </row>
    <row r="251" spans="1:16" ht="12.75">
      <c r="A251" s="2"/>
      <c r="B251" s="2"/>
      <c r="C251" s="2"/>
      <c r="D251" s="2"/>
      <c r="E251" s="2"/>
      <c r="F251" s="2"/>
      <c r="G251" s="2"/>
      <c r="H251" s="2"/>
      <c r="I251" s="2"/>
      <c r="J251" s="2"/>
      <c r="K251" s="2"/>
      <c r="L251" s="2"/>
      <c r="M251" s="2"/>
      <c r="N251" s="2"/>
      <c r="O251" s="2"/>
      <c r="P251" s="2"/>
    </row>
    <row r="252" spans="1:16" ht="12.75">
      <c r="A252" s="2"/>
      <c r="B252" s="2"/>
      <c r="C252" s="2"/>
      <c r="D252" s="2"/>
      <c r="E252" s="2"/>
      <c r="F252" s="2"/>
      <c r="G252" s="2"/>
      <c r="H252" s="2"/>
      <c r="I252" s="2"/>
      <c r="J252" s="2"/>
      <c r="K252" s="2"/>
      <c r="L252" s="2"/>
      <c r="M252" s="2"/>
      <c r="N252" s="2"/>
      <c r="O252" s="2"/>
      <c r="P252" s="2"/>
    </row>
    <row r="253" spans="1:16" ht="12.75">
      <c r="A253" s="2"/>
      <c r="B253" s="2"/>
      <c r="C253" s="2"/>
      <c r="D253" s="2"/>
      <c r="E253" s="2"/>
      <c r="F253" s="2"/>
      <c r="G253" s="2"/>
      <c r="H253" s="2"/>
      <c r="I253" s="2"/>
      <c r="J253" s="2"/>
      <c r="K253" s="2"/>
      <c r="L253" s="2"/>
      <c r="M253" s="2"/>
      <c r="N253" s="2"/>
      <c r="O253" s="2"/>
      <c r="P253" s="2"/>
    </row>
    <row r="254" spans="1:16" ht="12.75">
      <c r="A254" s="2"/>
      <c r="B254" s="2"/>
      <c r="C254" s="2"/>
      <c r="D254" s="2"/>
      <c r="E254" s="2"/>
      <c r="F254" s="2"/>
      <c r="G254" s="2"/>
      <c r="H254" s="2"/>
      <c r="I254" s="2"/>
      <c r="J254" s="2"/>
      <c r="K254" s="2"/>
      <c r="L254" s="2"/>
      <c r="M254" s="2"/>
      <c r="N254" s="2"/>
      <c r="O254" s="2"/>
      <c r="P254" s="2"/>
    </row>
    <row r="255" spans="1:16" ht="12.75">
      <c r="A255" s="2"/>
      <c r="B255" s="2"/>
      <c r="C255" s="2"/>
      <c r="D255" s="2"/>
      <c r="E255" s="2"/>
      <c r="F255" s="2"/>
      <c r="G255" s="2"/>
      <c r="H255" s="2"/>
      <c r="I255" s="2"/>
      <c r="J255" s="2"/>
      <c r="K255" s="2"/>
      <c r="L255" s="2"/>
      <c r="M255" s="2"/>
      <c r="N255" s="2"/>
      <c r="O255" s="2"/>
      <c r="P255" s="2"/>
    </row>
    <row r="256" spans="1:16" ht="12.75">
      <c r="A256" s="2"/>
      <c r="B256" s="2"/>
      <c r="C256" s="2"/>
      <c r="D256" s="2"/>
      <c r="E256" s="2"/>
      <c r="F256" s="2"/>
      <c r="G256" s="2"/>
      <c r="H256" s="2"/>
      <c r="I256" s="2"/>
      <c r="J256" s="2"/>
      <c r="K256" s="2"/>
      <c r="L256" s="2"/>
      <c r="M256" s="2"/>
      <c r="N256" s="2"/>
      <c r="O256" s="2"/>
      <c r="P256" s="2"/>
    </row>
    <row r="257" spans="1:16" ht="12.75">
      <c r="A257" s="2"/>
      <c r="B257" s="2"/>
      <c r="C257" s="2"/>
      <c r="D257" s="2"/>
      <c r="E257" s="2"/>
      <c r="F257" s="2"/>
      <c r="G257" s="2"/>
      <c r="H257" s="2"/>
      <c r="I257" s="2"/>
      <c r="J257" s="2"/>
      <c r="K257" s="2"/>
      <c r="L257" s="2"/>
      <c r="M257" s="2"/>
      <c r="N257" s="2"/>
      <c r="O257" s="2"/>
      <c r="P257" s="2"/>
    </row>
    <row r="258" spans="1:16" ht="12.75">
      <c r="A258" s="2"/>
      <c r="B258" s="2"/>
      <c r="C258" s="2"/>
      <c r="D258" s="2"/>
      <c r="E258" s="2"/>
      <c r="F258" s="2"/>
      <c r="G258" s="2"/>
      <c r="H258" s="2"/>
      <c r="I258" s="2"/>
      <c r="J258" s="2"/>
      <c r="K258" s="2"/>
      <c r="L258" s="2"/>
      <c r="M258" s="2"/>
      <c r="N258" s="2"/>
      <c r="O258" s="2"/>
      <c r="P258" s="2"/>
    </row>
    <row r="259" spans="1:16" ht="12.75">
      <c r="A259" s="2"/>
      <c r="B259" s="2"/>
      <c r="C259" s="2"/>
      <c r="D259" s="2"/>
      <c r="E259" s="2"/>
      <c r="F259" s="2"/>
      <c r="G259" s="2"/>
      <c r="H259" s="2"/>
      <c r="I259" s="2"/>
      <c r="J259" s="2"/>
      <c r="K259" s="2"/>
      <c r="L259" s="2"/>
      <c r="M259" s="2"/>
      <c r="N259" s="2"/>
      <c r="O259" s="2"/>
      <c r="P259" s="2"/>
    </row>
    <row r="260" spans="1:16" ht="12.75">
      <c r="A260" s="2"/>
      <c r="B260" s="2"/>
      <c r="C260" s="2"/>
      <c r="D260" s="2"/>
      <c r="E260" s="2"/>
      <c r="F260" s="2"/>
      <c r="G260" s="2"/>
      <c r="H260" s="2"/>
      <c r="I260" s="2"/>
      <c r="J260" s="2"/>
      <c r="K260" s="2"/>
      <c r="L260" s="2"/>
      <c r="M260" s="2"/>
      <c r="N260" s="2"/>
      <c r="O260" s="2"/>
      <c r="P260" s="2"/>
    </row>
    <row r="261" spans="1:16" ht="12.75">
      <c r="A261" s="2"/>
      <c r="B261" s="2"/>
      <c r="C261" s="2"/>
      <c r="D261" s="2"/>
      <c r="E261" s="2"/>
      <c r="F261" s="2"/>
      <c r="G261" s="2"/>
      <c r="H261" s="2"/>
      <c r="I261" s="2"/>
      <c r="J261" s="2"/>
      <c r="K261" s="2"/>
      <c r="L261" s="2"/>
      <c r="M261" s="2"/>
      <c r="N261" s="2"/>
      <c r="O261" s="2"/>
      <c r="P261" s="2"/>
    </row>
    <row r="262" spans="1:16" ht="12.75">
      <c r="A262" s="2"/>
      <c r="B262" s="2"/>
      <c r="C262" s="2"/>
      <c r="D262" s="2"/>
      <c r="E262" s="2"/>
      <c r="F262" s="2"/>
      <c r="G262" s="2"/>
      <c r="H262" s="2"/>
      <c r="I262" s="2"/>
      <c r="J262" s="2"/>
      <c r="K262" s="2"/>
      <c r="L262" s="2"/>
      <c r="M262" s="2"/>
      <c r="N262" s="2"/>
      <c r="O262" s="2"/>
      <c r="P262" s="2"/>
    </row>
    <row r="263" spans="1:16" ht="12.75">
      <c r="A263" s="2"/>
      <c r="B263" s="2"/>
      <c r="C263" s="2"/>
      <c r="D263" s="2"/>
      <c r="E263" s="2"/>
      <c r="F263" s="2"/>
      <c r="G263" s="2"/>
      <c r="H263" s="2"/>
      <c r="I263" s="2"/>
      <c r="J263" s="2"/>
      <c r="K263" s="2"/>
      <c r="L263" s="2"/>
      <c r="M263" s="2"/>
      <c r="N263" s="2"/>
      <c r="O263" s="2"/>
      <c r="P263" s="2"/>
    </row>
    <row r="264" spans="1:16" ht="12.75">
      <c r="A264" s="2"/>
      <c r="B264" s="2"/>
      <c r="C264" s="2"/>
      <c r="D264" s="2"/>
      <c r="E264" s="2"/>
      <c r="F264" s="2"/>
      <c r="G264" s="2"/>
      <c r="H264" s="2"/>
      <c r="I264" s="2"/>
      <c r="J264" s="2"/>
      <c r="K264" s="2"/>
      <c r="L264" s="2"/>
      <c r="M264" s="2"/>
      <c r="N264" s="2"/>
      <c r="O264" s="2"/>
      <c r="P264" s="2"/>
    </row>
    <row r="265" spans="1:16" ht="12.75">
      <c r="A265" s="2"/>
      <c r="B265" s="2"/>
      <c r="C265" s="2"/>
      <c r="D265" s="2"/>
      <c r="E265" s="2"/>
      <c r="F265" s="2"/>
      <c r="G265" s="2"/>
      <c r="H265" s="2"/>
      <c r="I265" s="2"/>
      <c r="J265" s="2"/>
      <c r="K265" s="2"/>
      <c r="L265" s="2"/>
      <c r="M265" s="2"/>
      <c r="N265" s="2"/>
      <c r="O265" s="2"/>
      <c r="P265" s="2"/>
    </row>
    <row r="266" spans="1:16" ht="12.75">
      <c r="A266" s="2"/>
      <c r="B266" s="2"/>
      <c r="C266" s="2"/>
      <c r="D266" s="2"/>
      <c r="E266" s="2"/>
      <c r="F266" s="2"/>
      <c r="G266" s="2"/>
      <c r="H266" s="2"/>
      <c r="I266" s="2"/>
      <c r="J266" s="2"/>
      <c r="K266" s="2"/>
      <c r="L266" s="2"/>
      <c r="M266" s="2"/>
      <c r="N266" s="2"/>
      <c r="O266" s="2"/>
      <c r="P266" s="2"/>
    </row>
    <row r="267" spans="1:16" ht="12.75">
      <c r="A267" s="2"/>
      <c r="B267" s="2"/>
      <c r="C267" s="2"/>
      <c r="D267" s="2"/>
      <c r="E267" s="2"/>
      <c r="F267" s="2"/>
      <c r="G267" s="2"/>
      <c r="H267" s="2"/>
      <c r="I267" s="2"/>
      <c r="J267" s="2"/>
      <c r="K267" s="2"/>
      <c r="L267" s="2"/>
      <c r="M267" s="2"/>
      <c r="N267" s="2"/>
      <c r="O267" s="2"/>
      <c r="P267" s="2"/>
    </row>
    <row r="268" spans="1:16" ht="12.75">
      <c r="A268" s="2"/>
      <c r="B268" s="2"/>
      <c r="C268" s="2"/>
      <c r="D268" s="2"/>
      <c r="E268" s="2"/>
      <c r="F268" s="2"/>
      <c r="G268" s="2"/>
      <c r="H268" s="2"/>
      <c r="I268" s="2"/>
      <c r="J268" s="2"/>
      <c r="K268" s="2"/>
      <c r="L268" s="2"/>
      <c r="M268" s="2"/>
      <c r="N268" s="2"/>
      <c r="O268" s="2"/>
      <c r="P268" s="2"/>
    </row>
    <row r="269" spans="1:16" ht="12.75">
      <c r="A269" s="2"/>
      <c r="B269" s="2"/>
      <c r="C269" s="2"/>
      <c r="D269" s="2"/>
      <c r="E269" s="2"/>
      <c r="F269" s="2"/>
      <c r="G269" s="2"/>
      <c r="H269" s="2"/>
      <c r="I269" s="2"/>
      <c r="J269" s="2"/>
      <c r="K269" s="2"/>
      <c r="L269" s="2"/>
      <c r="M269" s="2"/>
      <c r="N269" s="2"/>
      <c r="O269" s="2"/>
      <c r="P269" s="2"/>
    </row>
    <row r="270" spans="1:16" ht="12.75">
      <c r="A270" s="2"/>
      <c r="B270" s="2"/>
      <c r="C270" s="2"/>
      <c r="D270" s="2"/>
      <c r="E270" s="2"/>
      <c r="F270" s="2"/>
      <c r="G270" s="2"/>
      <c r="H270" s="2"/>
      <c r="I270" s="2"/>
      <c r="J270" s="2"/>
      <c r="K270" s="2"/>
      <c r="L270" s="2"/>
      <c r="M270" s="2"/>
      <c r="N270" s="2"/>
      <c r="O270" s="2"/>
      <c r="P270" s="2"/>
    </row>
    <row r="271" spans="1:16" ht="12.75">
      <c r="A271" s="2"/>
      <c r="B271" s="2"/>
      <c r="C271" s="2"/>
      <c r="D271" s="2"/>
      <c r="E271" s="2"/>
      <c r="F271" s="2"/>
      <c r="G271" s="2"/>
      <c r="H271" s="2"/>
      <c r="I271" s="2"/>
      <c r="J271" s="2"/>
      <c r="K271" s="2"/>
      <c r="L271" s="2"/>
      <c r="M271" s="2"/>
      <c r="N271" s="2"/>
      <c r="O271" s="2"/>
      <c r="P271" s="2"/>
    </row>
    <row r="272" spans="1:16" ht="12.75">
      <c r="A272" s="2"/>
      <c r="B272" s="2"/>
      <c r="C272" s="2"/>
      <c r="D272" s="2"/>
      <c r="E272" s="2"/>
      <c r="F272" s="2"/>
      <c r="G272" s="2"/>
      <c r="H272" s="2"/>
      <c r="I272" s="2"/>
      <c r="J272" s="2"/>
      <c r="K272" s="2"/>
      <c r="L272" s="2"/>
      <c r="M272" s="2"/>
      <c r="N272" s="2"/>
      <c r="O272" s="2"/>
      <c r="P272" s="2"/>
    </row>
    <row r="273" spans="1:16" ht="12.75">
      <c r="A273" s="2"/>
      <c r="B273" s="2"/>
      <c r="C273" s="2"/>
      <c r="D273" s="2"/>
      <c r="E273" s="2"/>
      <c r="F273" s="2"/>
      <c r="G273" s="2"/>
      <c r="H273" s="2"/>
      <c r="I273" s="2"/>
      <c r="J273" s="2"/>
      <c r="K273" s="2"/>
      <c r="L273" s="2"/>
      <c r="M273" s="2"/>
      <c r="N273" s="2"/>
      <c r="O273" s="2"/>
      <c r="P273" s="2"/>
    </row>
    <row r="274" spans="1:16" ht="12.75">
      <c r="A274" s="2"/>
      <c r="B274" s="2"/>
      <c r="C274" s="2"/>
      <c r="D274" s="2"/>
      <c r="E274" s="2"/>
      <c r="F274" s="2"/>
      <c r="G274" s="2"/>
      <c r="H274" s="2"/>
      <c r="I274" s="2"/>
      <c r="J274" s="2"/>
      <c r="K274" s="2"/>
      <c r="L274" s="2"/>
      <c r="M274" s="2"/>
      <c r="N274" s="2"/>
      <c r="O274" s="2"/>
      <c r="P274" s="2"/>
    </row>
    <row r="275" spans="1:16" ht="12.75">
      <c r="A275" s="2"/>
      <c r="B275" s="2"/>
      <c r="C275" s="2"/>
      <c r="D275" s="2"/>
      <c r="E275" s="2"/>
      <c r="F275" s="2"/>
      <c r="G275" s="2"/>
      <c r="H275" s="2"/>
      <c r="I275" s="2"/>
      <c r="J275" s="2"/>
      <c r="K275" s="2"/>
      <c r="L275" s="2"/>
      <c r="M275" s="2"/>
      <c r="N275" s="2"/>
      <c r="O275" s="2"/>
      <c r="P275" s="2"/>
    </row>
    <row r="276" spans="1:16" ht="12.75">
      <c r="A276" s="2"/>
      <c r="B276" s="2"/>
      <c r="C276" s="2"/>
      <c r="D276" s="2"/>
      <c r="E276" s="2"/>
      <c r="F276" s="2"/>
      <c r="G276" s="2"/>
      <c r="H276" s="2"/>
      <c r="I276" s="2"/>
      <c r="J276" s="2"/>
      <c r="K276" s="2"/>
      <c r="L276" s="2"/>
      <c r="M276" s="2"/>
      <c r="N276" s="2"/>
      <c r="O276" s="2"/>
      <c r="P276" s="2"/>
    </row>
    <row r="277" spans="1:16" ht="12.75">
      <c r="A277" s="2"/>
      <c r="B277" s="2"/>
      <c r="C277" s="2"/>
      <c r="D277" s="2"/>
      <c r="E277" s="2"/>
      <c r="F277" s="2"/>
      <c r="G277" s="2"/>
      <c r="H277" s="2"/>
      <c r="I277" s="2"/>
      <c r="J277" s="2"/>
      <c r="K277" s="2"/>
      <c r="L277" s="2"/>
      <c r="M277" s="2"/>
      <c r="N277" s="2"/>
      <c r="O277" s="2"/>
      <c r="P277" s="2"/>
    </row>
    <row r="278" spans="1:16" ht="12.75">
      <c r="A278" s="2"/>
      <c r="B278" s="2"/>
      <c r="C278" s="2"/>
      <c r="D278" s="2"/>
      <c r="E278" s="2"/>
      <c r="F278" s="2"/>
      <c r="G278" s="2"/>
      <c r="H278" s="2"/>
      <c r="I278" s="2"/>
      <c r="J278" s="2"/>
      <c r="K278" s="2"/>
      <c r="L278" s="2"/>
      <c r="M278" s="2"/>
      <c r="N278" s="2"/>
      <c r="O278" s="2"/>
      <c r="P278" s="2"/>
    </row>
    <row r="279" spans="1:16" ht="12.75">
      <c r="A279" s="2"/>
      <c r="B279" s="2"/>
      <c r="C279" s="2"/>
      <c r="D279" s="2"/>
      <c r="E279" s="2"/>
      <c r="F279" s="2"/>
      <c r="G279" s="2"/>
      <c r="H279" s="2"/>
      <c r="I279" s="2"/>
      <c r="J279" s="2"/>
      <c r="K279" s="2"/>
      <c r="L279" s="2"/>
      <c r="M279" s="2"/>
      <c r="N279" s="2"/>
      <c r="O279" s="2"/>
      <c r="P279" s="2"/>
    </row>
    <row r="280" spans="1:16" ht="12.75">
      <c r="A280" s="2"/>
      <c r="B280" s="2"/>
      <c r="C280" s="2"/>
      <c r="D280" s="2"/>
      <c r="E280" s="2"/>
      <c r="F280" s="2"/>
      <c r="G280" s="2"/>
      <c r="H280" s="2"/>
      <c r="I280" s="2"/>
      <c r="J280" s="2"/>
      <c r="K280" s="2"/>
      <c r="L280" s="2"/>
      <c r="M280" s="2"/>
      <c r="N280" s="2"/>
      <c r="O280" s="2"/>
      <c r="P280" s="2"/>
    </row>
    <row r="281" spans="1:16" ht="12.75">
      <c r="A281" s="2"/>
      <c r="B281" s="2"/>
      <c r="C281" s="2"/>
      <c r="D281" s="2"/>
      <c r="E281" s="2"/>
      <c r="F281" s="2"/>
      <c r="G281" s="2"/>
      <c r="H281" s="2"/>
      <c r="I281" s="2"/>
      <c r="J281" s="2"/>
      <c r="K281" s="2"/>
      <c r="L281" s="2"/>
      <c r="M281" s="2"/>
      <c r="N281" s="2"/>
      <c r="O281" s="2"/>
      <c r="P281" s="2"/>
    </row>
    <row r="282" spans="1:16" ht="12.75">
      <c r="A282" s="2"/>
      <c r="B282" s="2"/>
      <c r="C282" s="2"/>
      <c r="D282" s="2"/>
      <c r="E282" s="2"/>
      <c r="F282" s="2"/>
      <c r="G282" s="2"/>
      <c r="H282" s="2"/>
      <c r="I282" s="2"/>
      <c r="J282" s="2"/>
      <c r="K282" s="2"/>
      <c r="L282" s="2"/>
      <c r="M282" s="2"/>
      <c r="N282" s="2"/>
      <c r="O282" s="2"/>
      <c r="P282" s="2"/>
    </row>
    <row r="283" spans="1:16" ht="12.75">
      <c r="A283" s="2"/>
      <c r="B283" s="2"/>
      <c r="C283" s="2"/>
      <c r="D283" s="2"/>
      <c r="E283" s="2"/>
      <c r="F283" s="2"/>
      <c r="G283" s="2"/>
      <c r="H283" s="2"/>
      <c r="I283" s="2"/>
      <c r="J283" s="2"/>
      <c r="K283" s="2"/>
      <c r="L283" s="2"/>
      <c r="M283" s="2"/>
      <c r="N283" s="2"/>
      <c r="O283" s="2"/>
      <c r="P283" s="2"/>
    </row>
    <row r="284" spans="1:16" ht="12.75">
      <c r="A284" s="2"/>
      <c r="B284" s="2"/>
      <c r="C284" s="2"/>
      <c r="D284" s="2"/>
      <c r="E284" s="2"/>
      <c r="F284" s="2"/>
      <c r="G284" s="2"/>
      <c r="H284" s="2"/>
      <c r="I284" s="2"/>
      <c r="J284" s="2"/>
      <c r="K284" s="2"/>
      <c r="L284" s="2"/>
      <c r="M284" s="2"/>
      <c r="N284" s="2"/>
      <c r="O284" s="2"/>
      <c r="P284" s="2"/>
    </row>
    <row r="285" spans="1:16" ht="12.75">
      <c r="A285" s="2"/>
      <c r="B285" s="2"/>
      <c r="C285" s="2"/>
      <c r="D285" s="2"/>
      <c r="E285" s="2"/>
      <c r="F285" s="2"/>
      <c r="G285" s="2"/>
      <c r="H285" s="2"/>
      <c r="I285" s="2"/>
      <c r="J285" s="2"/>
      <c r="K285" s="2"/>
      <c r="L285" s="2"/>
      <c r="M285" s="2"/>
      <c r="N285" s="2"/>
      <c r="O285" s="2"/>
      <c r="P285" s="2"/>
    </row>
    <row r="286" spans="1:16" ht="12.75">
      <c r="A286" s="2"/>
      <c r="B286" s="2"/>
      <c r="C286" s="2"/>
      <c r="D286" s="2"/>
      <c r="E286" s="2"/>
      <c r="F286" s="2"/>
      <c r="G286" s="2"/>
      <c r="H286" s="2"/>
      <c r="I286" s="2"/>
      <c r="J286" s="2"/>
      <c r="K286" s="2"/>
      <c r="L286" s="2"/>
      <c r="M286" s="2"/>
      <c r="N286" s="2"/>
      <c r="O286" s="2"/>
      <c r="P286" s="2"/>
    </row>
    <row r="287" spans="1:16" ht="12.75">
      <c r="A287" s="2"/>
      <c r="B287" s="2"/>
      <c r="C287" s="2"/>
      <c r="D287" s="2"/>
      <c r="E287" s="2"/>
      <c r="F287" s="2"/>
      <c r="G287" s="2"/>
      <c r="H287" s="2"/>
      <c r="I287" s="2"/>
      <c r="J287" s="2"/>
      <c r="K287" s="2"/>
      <c r="L287" s="2"/>
      <c r="M287" s="2"/>
      <c r="N287" s="2"/>
      <c r="O287" s="2"/>
      <c r="P287" s="2"/>
    </row>
    <row r="288" spans="1:16" ht="12.75">
      <c r="A288" s="2"/>
      <c r="B288" s="2"/>
      <c r="C288" s="2"/>
      <c r="D288" s="2"/>
      <c r="E288" s="2"/>
      <c r="F288" s="2"/>
      <c r="G288" s="2"/>
      <c r="H288" s="2"/>
      <c r="I288" s="2"/>
      <c r="J288" s="2"/>
      <c r="K288" s="2"/>
      <c r="L288" s="2"/>
      <c r="M288" s="2"/>
      <c r="N288" s="2"/>
      <c r="O288" s="2"/>
      <c r="P288" s="2"/>
    </row>
    <row r="289" spans="1:16" ht="12.75">
      <c r="A289" s="2"/>
      <c r="B289" s="2"/>
      <c r="C289" s="2"/>
      <c r="D289" s="2"/>
      <c r="E289" s="2"/>
      <c r="F289" s="2"/>
      <c r="G289" s="2"/>
      <c r="H289" s="2"/>
      <c r="I289" s="2"/>
      <c r="J289" s="2"/>
      <c r="K289" s="2"/>
      <c r="L289" s="2"/>
      <c r="M289" s="2"/>
      <c r="N289" s="2"/>
      <c r="O289" s="2"/>
      <c r="P289" s="2"/>
    </row>
    <row r="290" spans="1:16" ht="12.75">
      <c r="A290" s="2"/>
      <c r="B290" s="2"/>
      <c r="C290" s="2"/>
      <c r="D290" s="2"/>
      <c r="E290" s="2"/>
      <c r="F290" s="2"/>
      <c r="G290" s="2"/>
      <c r="H290" s="2"/>
      <c r="I290" s="2"/>
      <c r="J290" s="2"/>
      <c r="K290" s="2"/>
      <c r="L290" s="2"/>
      <c r="M290" s="2"/>
      <c r="N290" s="2"/>
      <c r="O290" s="2"/>
      <c r="P290" s="2"/>
    </row>
    <row r="291" spans="1:16" ht="12.75">
      <c r="A291" s="2"/>
      <c r="B291" s="2"/>
      <c r="C291" s="2"/>
      <c r="D291" s="2"/>
      <c r="E291" s="2"/>
      <c r="F291" s="2"/>
      <c r="G291" s="2"/>
      <c r="H291" s="2"/>
      <c r="I291" s="2"/>
      <c r="J291" s="2"/>
      <c r="K291" s="2"/>
      <c r="L291" s="2"/>
      <c r="M291" s="2"/>
      <c r="N291" s="2"/>
      <c r="O291" s="2"/>
      <c r="P291" s="2"/>
    </row>
    <row r="292" spans="1:16" ht="12.75">
      <c r="A292" s="2"/>
      <c r="B292" s="2"/>
      <c r="C292" s="2"/>
      <c r="D292" s="2"/>
      <c r="E292" s="2"/>
      <c r="F292" s="2"/>
      <c r="G292" s="2"/>
      <c r="H292" s="2"/>
      <c r="I292" s="2"/>
      <c r="J292" s="2"/>
      <c r="K292" s="2"/>
      <c r="L292" s="2"/>
      <c r="M292" s="2"/>
      <c r="N292" s="2"/>
      <c r="O292" s="2"/>
      <c r="P292" s="2"/>
    </row>
    <row r="293" spans="1:16" ht="12.75">
      <c r="A293" s="2"/>
      <c r="B293" s="2"/>
      <c r="C293" s="2"/>
      <c r="D293" s="2"/>
      <c r="E293" s="2"/>
      <c r="F293" s="2"/>
      <c r="G293" s="2"/>
      <c r="H293" s="2"/>
      <c r="I293" s="2"/>
      <c r="J293" s="2"/>
      <c r="K293" s="2"/>
      <c r="L293" s="2"/>
      <c r="M293" s="2"/>
      <c r="N293" s="2"/>
      <c r="O293" s="2"/>
      <c r="P293" s="2"/>
    </row>
    <row r="294" spans="1:16" ht="12.75">
      <c r="A294" s="2"/>
      <c r="B294" s="2"/>
      <c r="C294" s="2"/>
      <c r="D294" s="2"/>
      <c r="E294" s="2"/>
      <c r="F294" s="2"/>
      <c r="G294" s="2"/>
      <c r="H294" s="2"/>
      <c r="I294" s="2"/>
      <c r="J294" s="2"/>
      <c r="K294" s="2"/>
      <c r="L294" s="2"/>
      <c r="M294" s="2"/>
      <c r="N294" s="2"/>
      <c r="O294" s="2"/>
      <c r="P294" s="2"/>
    </row>
    <row r="295" spans="1:16" ht="12.75">
      <c r="A295" s="2"/>
      <c r="B295" s="2"/>
      <c r="C295" s="2"/>
      <c r="D295" s="2"/>
      <c r="E295" s="2"/>
      <c r="F295" s="2"/>
      <c r="G295" s="2"/>
      <c r="H295" s="2"/>
      <c r="I295" s="2"/>
      <c r="J295" s="2"/>
      <c r="K295" s="2"/>
      <c r="L295" s="2"/>
      <c r="M295" s="2"/>
      <c r="N295" s="2"/>
      <c r="O295" s="2"/>
      <c r="P295" s="2"/>
    </row>
    <row r="296" spans="1:16" ht="12.75">
      <c r="A296" s="2"/>
      <c r="B296" s="2"/>
      <c r="C296" s="2"/>
      <c r="D296" s="2"/>
      <c r="E296" s="2"/>
      <c r="F296" s="2"/>
      <c r="G296" s="2"/>
      <c r="H296" s="2"/>
      <c r="I296" s="2"/>
      <c r="J296" s="2"/>
      <c r="K296" s="2"/>
      <c r="L296" s="2"/>
      <c r="M296" s="2"/>
      <c r="N296" s="2"/>
      <c r="O296" s="2"/>
      <c r="P296" s="2"/>
    </row>
    <row r="297" spans="1:16" ht="12.75">
      <c r="A297" s="2"/>
      <c r="B297" s="2"/>
      <c r="C297" s="2"/>
      <c r="D297" s="2"/>
      <c r="E297" s="2"/>
      <c r="F297" s="2"/>
      <c r="G297" s="2"/>
      <c r="H297" s="2"/>
      <c r="I297" s="2"/>
      <c r="J297" s="2"/>
      <c r="K297" s="2"/>
      <c r="L297" s="2"/>
      <c r="M297" s="2"/>
      <c r="N297" s="2"/>
      <c r="O297" s="2"/>
      <c r="P297" s="2"/>
    </row>
    <row r="298" spans="1:16" ht="12.75">
      <c r="A298" s="2"/>
      <c r="B298" s="2"/>
      <c r="C298" s="2"/>
      <c r="D298" s="2"/>
      <c r="E298" s="2"/>
      <c r="F298" s="2"/>
      <c r="G298" s="2"/>
      <c r="H298" s="2"/>
      <c r="I298" s="2"/>
      <c r="J298" s="2"/>
      <c r="K298" s="2"/>
      <c r="L298" s="2"/>
      <c r="M298" s="2"/>
      <c r="N298" s="2"/>
      <c r="O298" s="2"/>
      <c r="P298" s="2"/>
    </row>
    <row r="299" spans="1:16" ht="12.75">
      <c r="A299" s="2"/>
      <c r="B299" s="2"/>
      <c r="C299" s="2"/>
      <c r="D299" s="2"/>
      <c r="E299" s="2"/>
      <c r="F299" s="2"/>
      <c r="G299" s="2"/>
      <c r="H299" s="2"/>
      <c r="I299" s="2"/>
      <c r="J299" s="2"/>
      <c r="K299" s="2"/>
      <c r="L299" s="2"/>
      <c r="M299" s="2"/>
      <c r="N299" s="2"/>
      <c r="O299" s="2"/>
      <c r="P299" s="2"/>
    </row>
    <row r="300" spans="1:16" ht="12.75">
      <c r="A300" s="2"/>
      <c r="B300" s="2"/>
      <c r="C300" s="2"/>
      <c r="D300" s="2"/>
      <c r="E300" s="2"/>
      <c r="F300" s="2"/>
      <c r="G300" s="2"/>
      <c r="H300" s="2"/>
      <c r="I300" s="2"/>
      <c r="J300" s="2"/>
      <c r="K300" s="2"/>
      <c r="L300" s="2"/>
      <c r="M300" s="2"/>
      <c r="N300" s="2"/>
      <c r="O300" s="2"/>
      <c r="P300" s="2"/>
    </row>
    <row r="301" spans="1:16" ht="12.75">
      <c r="A301" s="2"/>
      <c r="B301" s="2"/>
      <c r="C301" s="2"/>
      <c r="D301" s="2"/>
      <c r="E301" s="2"/>
      <c r="F301" s="2"/>
      <c r="G301" s="2"/>
      <c r="H301" s="2"/>
      <c r="I301" s="2"/>
      <c r="J301" s="2"/>
      <c r="K301" s="2"/>
      <c r="L301" s="2"/>
      <c r="M301" s="2"/>
      <c r="N301" s="2"/>
      <c r="O301" s="2"/>
      <c r="P301" s="2"/>
    </row>
    <row r="302" spans="1:16" ht="12.75">
      <c r="A302" s="2"/>
      <c r="B302" s="2"/>
      <c r="C302" s="2"/>
      <c r="D302" s="2"/>
      <c r="E302" s="2"/>
      <c r="F302" s="2"/>
      <c r="G302" s="2"/>
      <c r="H302" s="2"/>
      <c r="I302" s="2"/>
      <c r="J302" s="2"/>
      <c r="K302" s="2"/>
      <c r="L302" s="2"/>
      <c r="M302" s="2"/>
      <c r="N302" s="2"/>
      <c r="O302" s="2"/>
      <c r="P302" s="2"/>
    </row>
    <row r="303" spans="1:16" ht="12.75">
      <c r="A303" s="2"/>
      <c r="B303" s="2"/>
      <c r="C303" s="2"/>
      <c r="D303" s="2"/>
      <c r="E303" s="2"/>
      <c r="F303" s="2"/>
      <c r="G303" s="2"/>
      <c r="H303" s="2"/>
      <c r="I303" s="2"/>
      <c r="J303" s="2"/>
      <c r="K303" s="2"/>
      <c r="L303" s="2"/>
      <c r="M303" s="2"/>
      <c r="N303" s="2"/>
      <c r="O303" s="2"/>
      <c r="P303" s="2"/>
    </row>
    <row r="304" spans="1:16" ht="12.75">
      <c r="A304" s="2"/>
      <c r="B304" s="2"/>
      <c r="C304" s="2"/>
      <c r="D304" s="2"/>
      <c r="E304" s="2"/>
      <c r="F304" s="2"/>
      <c r="G304" s="2"/>
      <c r="H304" s="2"/>
      <c r="I304" s="2"/>
      <c r="J304" s="2"/>
      <c r="K304" s="2"/>
      <c r="L304" s="2"/>
      <c r="M304" s="2"/>
      <c r="N304" s="2"/>
      <c r="O304" s="2"/>
      <c r="P304" s="2"/>
    </row>
    <row r="305" spans="1:16" ht="12.75">
      <c r="A305" s="2"/>
      <c r="B305" s="2"/>
      <c r="C305" s="2"/>
      <c r="D305" s="2"/>
      <c r="E305" s="2"/>
      <c r="F305" s="2"/>
      <c r="G305" s="2"/>
      <c r="H305" s="2"/>
      <c r="I305" s="2"/>
      <c r="J305" s="2"/>
      <c r="K305" s="2"/>
      <c r="L305" s="2"/>
      <c r="M305" s="2"/>
      <c r="N305" s="2"/>
      <c r="O305" s="2"/>
      <c r="P305" s="2"/>
    </row>
    <row r="306" spans="1:16" ht="12.75">
      <c r="A306" s="2"/>
      <c r="B306" s="2"/>
      <c r="C306" s="2"/>
      <c r="D306" s="2"/>
      <c r="E306" s="2"/>
      <c r="F306" s="2"/>
      <c r="G306" s="2"/>
      <c r="H306" s="2"/>
      <c r="I306" s="2"/>
      <c r="J306" s="2"/>
      <c r="K306" s="2"/>
      <c r="L306" s="2"/>
      <c r="M306" s="2"/>
      <c r="N306" s="2"/>
      <c r="O306" s="2"/>
      <c r="P306" s="2"/>
    </row>
    <row r="307" spans="1:16" ht="12.75">
      <c r="A307" s="2"/>
      <c r="B307" s="2"/>
      <c r="C307" s="2"/>
      <c r="D307" s="2"/>
      <c r="E307" s="2"/>
      <c r="F307" s="2"/>
      <c r="G307" s="2"/>
      <c r="H307" s="2"/>
      <c r="I307" s="2"/>
      <c r="J307" s="2"/>
      <c r="K307" s="2"/>
      <c r="L307" s="2"/>
      <c r="M307" s="2"/>
      <c r="N307" s="2"/>
      <c r="O307" s="2"/>
      <c r="P307" s="2"/>
    </row>
    <row r="308" spans="1:16" ht="12.75">
      <c r="A308" s="2"/>
      <c r="B308" s="2"/>
      <c r="C308" s="2"/>
      <c r="D308" s="2"/>
      <c r="E308" s="2"/>
      <c r="F308" s="2"/>
      <c r="G308" s="2"/>
      <c r="H308" s="2"/>
      <c r="I308" s="2"/>
      <c r="J308" s="2"/>
      <c r="K308" s="2"/>
      <c r="L308" s="2"/>
      <c r="M308" s="2"/>
      <c r="N308" s="2"/>
      <c r="O308" s="2"/>
      <c r="P308" s="2"/>
    </row>
    <row r="309" spans="1:16" ht="12.75">
      <c r="A309" s="2"/>
      <c r="B309" s="2"/>
      <c r="C309" s="2"/>
      <c r="D309" s="2"/>
      <c r="E309" s="2"/>
      <c r="F309" s="2"/>
      <c r="G309" s="2"/>
      <c r="H309" s="2"/>
      <c r="I309" s="2"/>
      <c r="J309" s="2"/>
      <c r="K309" s="2"/>
      <c r="L309" s="2"/>
      <c r="M309" s="2"/>
      <c r="N309" s="2"/>
      <c r="O309" s="2"/>
      <c r="P309" s="2"/>
    </row>
    <row r="310" spans="1:16" ht="12.75">
      <c r="A310" s="2"/>
      <c r="B310" s="2"/>
      <c r="C310" s="2"/>
      <c r="D310" s="2"/>
      <c r="E310" s="2"/>
      <c r="F310" s="2"/>
      <c r="G310" s="2"/>
      <c r="H310" s="2"/>
      <c r="I310" s="2"/>
      <c r="J310" s="2"/>
      <c r="K310" s="2"/>
      <c r="L310" s="2"/>
      <c r="M310" s="2"/>
      <c r="N310" s="2"/>
      <c r="O310" s="2"/>
      <c r="P310" s="2"/>
    </row>
    <row r="311" spans="1:16" ht="12.75">
      <c r="A311" s="2"/>
      <c r="B311" s="2"/>
      <c r="C311" s="2"/>
      <c r="D311" s="2"/>
      <c r="E311" s="2"/>
      <c r="F311" s="2"/>
      <c r="G311" s="2"/>
      <c r="H311" s="2"/>
      <c r="I311" s="2"/>
      <c r="J311" s="2"/>
      <c r="K311" s="2"/>
      <c r="L311" s="2"/>
      <c r="M311" s="2"/>
      <c r="N311" s="2"/>
      <c r="O311" s="2"/>
      <c r="P311" s="2"/>
    </row>
    <row r="312" spans="1:16" ht="12.75">
      <c r="A312" s="2"/>
      <c r="B312" s="2"/>
      <c r="C312" s="2"/>
      <c r="D312" s="2"/>
      <c r="E312" s="2"/>
      <c r="F312" s="2"/>
      <c r="G312" s="2"/>
      <c r="H312" s="2"/>
      <c r="I312" s="2"/>
      <c r="J312" s="2"/>
      <c r="K312" s="2"/>
      <c r="L312" s="2"/>
      <c r="M312" s="2"/>
      <c r="N312" s="2"/>
      <c r="O312" s="2"/>
      <c r="P312" s="2"/>
    </row>
    <row r="313" spans="1:16" ht="12.75">
      <c r="A313" s="2"/>
      <c r="B313" s="2"/>
      <c r="C313" s="2"/>
      <c r="D313" s="2"/>
      <c r="E313" s="2"/>
      <c r="F313" s="2"/>
      <c r="G313" s="2"/>
      <c r="H313" s="2"/>
      <c r="I313" s="2"/>
      <c r="J313" s="2"/>
      <c r="K313" s="2"/>
      <c r="L313" s="2"/>
      <c r="M313" s="2"/>
      <c r="N313" s="2"/>
      <c r="O313" s="2"/>
      <c r="P313" s="2"/>
    </row>
    <row r="314" spans="1:16" ht="12.75">
      <c r="A314" s="2"/>
      <c r="B314" s="2"/>
      <c r="C314" s="2"/>
      <c r="D314" s="2"/>
      <c r="E314" s="2"/>
      <c r="F314" s="2"/>
      <c r="G314" s="2"/>
      <c r="H314" s="2"/>
      <c r="I314" s="2"/>
      <c r="J314" s="2"/>
      <c r="K314" s="2"/>
      <c r="L314" s="2"/>
      <c r="M314" s="2"/>
      <c r="N314" s="2"/>
      <c r="O314" s="2"/>
      <c r="P314" s="2"/>
    </row>
    <row r="315" spans="1:16" ht="12.75">
      <c r="A315" s="2"/>
      <c r="B315" s="2"/>
      <c r="C315" s="2"/>
      <c r="D315" s="2"/>
      <c r="E315" s="2"/>
      <c r="F315" s="2"/>
      <c r="G315" s="2"/>
      <c r="H315" s="2"/>
      <c r="I315" s="2"/>
      <c r="J315" s="2"/>
      <c r="K315" s="2"/>
      <c r="L315" s="2"/>
      <c r="M315" s="2"/>
      <c r="N315" s="2"/>
      <c r="O315" s="2"/>
      <c r="P315" s="2"/>
    </row>
    <row r="316" spans="1:16" ht="12.75">
      <c r="A316" s="2"/>
      <c r="B316" s="2"/>
      <c r="C316" s="2"/>
      <c r="D316" s="2"/>
      <c r="E316" s="2"/>
      <c r="F316" s="2"/>
      <c r="G316" s="2"/>
      <c r="H316" s="2"/>
      <c r="I316" s="2"/>
      <c r="J316" s="2"/>
      <c r="K316" s="2"/>
      <c r="L316" s="2"/>
      <c r="M316" s="2"/>
      <c r="N316" s="2"/>
      <c r="O316" s="2"/>
      <c r="P316" s="2"/>
    </row>
    <row r="317" spans="1:16" ht="12.75">
      <c r="A317" s="2"/>
      <c r="B317" s="2"/>
      <c r="C317" s="2"/>
      <c r="D317" s="2"/>
      <c r="E317" s="2"/>
      <c r="F317" s="2"/>
      <c r="G317" s="2"/>
      <c r="H317" s="2"/>
      <c r="I317" s="2"/>
      <c r="J317" s="2"/>
      <c r="K317" s="2"/>
      <c r="L317" s="2"/>
      <c r="M317" s="2"/>
      <c r="N317" s="2"/>
      <c r="O317" s="2"/>
      <c r="P317" s="2"/>
    </row>
    <row r="318" spans="1:16" ht="12.75">
      <c r="A318" s="2"/>
      <c r="B318" s="2"/>
      <c r="C318" s="2"/>
      <c r="D318" s="2"/>
      <c r="E318" s="2"/>
      <c r="F318" s="2"/>
      <c r="G318" s="2"/>
      <c r="H318" s="2"/>
      <c r="I318" s="2"/>
      <c r="J318" s="2"/>
      <c r="K318" s="2"/>
      <c r="L318" s="2"/>
      <c r="M318" s="2"/>
      <c r="N318" s="2"/>
      <c r="O318" s="2"/>
      <c r="P318" s="2"/>
    </row>
    <row r="319" spans="1:16" ht="12.75">
      <c r="A319" s="2"/>
      <c r="B319" s="2"/>
      <c r="C319" s="2"/>
      <c r="D319" s="2"/>
      <c r="E319" s="2"/>
      <c r="F319" s="2"/>
      <c r="G319" s="2"/>
      <c r="H319" s="2"/>
      <c r="I319" s="2"/>
      <c r="J319" s="2"/>
      <c r="K319" s="2"/>
      <c r="L319" s="2"/>
      <c r="M319" s="2"/>
      <c r="N319" s="2"/>
      <c r="O319" s="2"/>
      <c r="P319" s="2"/>
    </row>
    <row r="320" spans="1:16" ht="12.75">
      <c r="A320" s="2"/>
      <c r="B320" s="2"/>
      <c r="C320" s="2"/>
      <c r="D320" s="2"/>
      <c r="E320" s="2"/>
      <c r="F320" s="2"/>
      <c r="G320" s="2"/>
      <c r="H320" s="2"/>
      <c r="I320" s="2"/>
      <c r="J320" s="2"/>
      <c r="K320" s="2"/>
      <c r="L320" s="2"/>
      <c r="M320" s="2"/>
      <c r="N320" s="2"/>
      <c r="O320" s="2"/>
      <c r="P320" s="2"/>
    </row>
    <row r="321" spans="1:16" ht="12.75">
      <c r="A321" s="2"/>
      <c r="B321" s="2"/>
      <c r="C321" s="2"/>
      <c r="D321" s="2"/>
      <c r="E321" s="2"/>
      <c r="F321" s="2"/>
      <c r="G321" s="2"/>
      <c r="H321" s="2"/>
      <c r="I321" s="2"/>
      <c r="J321" s="2"/>
      <c r="K321" s="2"/>
      <c r="L321" s="2"/>
      <c r="M321" s="2"/>
      <c r="N321" s="2"/>
      <c r="O321" s="2"/>
      <c r="P321" s="2"/>
    </row>
    <row r="322" spans="1:16" ht="12.75">
      <c r="A322" s="2"/>
      <c r="B322" s="2"/>
      <c r="C322" s="2"/>
      <c r="D322" s="2"/>
      <c r="E322" s="2"/>
      <c r="F322" s="2"/>
      <c r="G322" s="2"/>
      <c r="H322" s="2"/>
      <c r="I322" s="2"/>
      <c r="J322" s="2"/>
      <c r="K322" s="2"/>
      <c r="L322" s="2"/>
      <c r="M322" s="2"/>
      <c r="N322" s="2"/>
      <c r="O322" s="2"/>
      <c r="P322" s="2"/>
    </row>
    <row r="323" spans="1:16" ht="12.75">
      <c r="A323" s="2"/>
      <c r="B323" s="2"/>
      <c r="C323" s="2"/>
      <c r="D323" s="2"/>
      <c r="E323" s="2"/>
      <c r="F323" s="2"/>
      <c r="G323" s="2"/>
      <c r="H323" s="2"/>
      <c r="I323" s="2"/>
      <c r="J323" s="2"/>
      <c r="K323" s="2"/>
      <c r="L323" s="2"/>
      <c r="M323" s="2"/>
      <c r="N323" s="2"/>
      <c r="O323" s="2"/>
      <c r="P323" s="2"/>
    </row>
    <row r="324" spans="1:16" ht="12.75">
      <c r="A324" s="2"/>
      <c r="B324" s="2"/>
      <c r="C324" s="2"/>
      <c r="D324" s="2"/>
      <c r="E324" s="2"/>
      <c r="F324" s="2"/>
      <c r="G324" s="2"/>
      <c r="H324" s="2"/>
      <c r="I324" s="2"/>
      <c r="J324" s="2"/>
      <c r="K324" s="2"/>
      <c r="L324" s="2"/>
      <c r="M324" s="2"/>
      <c r="N324" s="2"/>
      <c r="O324" s="2"/>
      <c r="P324" s="2"/>
    </row>
    <row r="325" spans="1:16" ht="12.75">
      <c r="A325" s="2"/>
      <c r="B325" s="2"/>
      <c r="C325" s="2"/>
      <c r="D325" s="2"/>
      <c r="E325" s="2"/>
      <c r="F325" s="2"/>
      <c r="G325" s="2"/>
      <c r="H325" s="2"/>
      <c r="I325" s="2"/>
      <c r="J325" s="2"/>
      <c r="K325" s="2"/>
      <c r="L325" s="2"/>
      <c r="M325" s="2"/>
      <c r="N325" s="2"/>
      <c r="O325" s="2"/>
      <c r="P325" s="2"/>
    </row>
    <row r="326" spans="1:16" ht="12.75">
      <c r="A326" s="2"/>
      <c r="B326" s="2"/>
      <c r="C326" s="2"/>
      <c r="D326" s="2"/>
      <c r="E326" s="2"/>
      <c r="F326" s="2"/>
      <c r="G326" s="2"/>
      <c r="H326" s="2"/>
      <c r="I326" s="2"/>
      <c r="J326" s="2"/>
      <c r="K326" s="2"/>
      <c r="L326" s="2"/>
      <c r="M326" s="2"/>
      <c r="N326" s="2"/>
      <c r="O326" s="2"/>
      <c r="P326" s="2"/>
    </row>
    <row r="327" spans="1:16" ht="12.75">
      <c r="A327" s="2"/>
      <c r="B327" s="2"/>
      <c r="C327" s="2"/>
      <c r="D327" s="2"/>
      <c r="E327" s="2"/>
      <c r="F327" s="2"/>
      <c r="G327" s="2"/>
      <c r="H327" s="2"/>
      <c r="I327" s="2"/>
      <c r="J327" s="2"/>
      <c r="K327" s="2"/>
      <c r="L327" s="2"/>
      <c r="M327" s="2"/>
      <c r="N327" s="2"/>
      <c r="O327" s="2"/>
      <c r="P327" s="2"/>
    </row>
    <row r="328" spans="1:16" ht="12.75">
      <c r="A328" s="2"/>
      <c r="B328" s="2"/>
      <c r="C328" s="2"/>
      <c r="D328" s="2"/>
      <c r="E328" s="2"/>
      <c r="F328" s="2"/>
      <c r="G328" s="2"/>
      <c r="H328" s="2"/>
      <c r="I328" s="2"/>
      <c r="J328" s="2"/>
      <c r="K328" s="2"/>
      <c r="L328" s="2"/>
      <c r="M328" s="2"/>
      <c r="N328" s="2"/>
      <c r="O328" s="2"/>
      <c r="P328" s="2"/>
    </row>
    <row r="329" spans="1:16" ht="12.75">
      <c r="A329" s="2"/>
      <c r="B329" s="2"/>
      <c r="C329" s="2"/>
      <c r="D329" s="2"/>
      <c r="E329" s="2"/>
      <c r="F329" s="2"/>
      <c r="G329" s="2"/>
      <c r="H329" s="2"/>
      <c r="I329" s="2"/>
      <c r="J329" s="2"/>
      <c r="K329" s="2"/>
      <c r="L329" s="2"/>
      <c r="M329" s="2"/>
      <c r="N329" s="2"/>
      <c r="O329" s="2"/>
      <c r="P329" s="2"/>
    </row>
    <row r="330" spans="1:16" ht="12.75">
      <c r="A330" s="2"/>
      <c r="B330" s="2"/>
      <c r="C330" s="2"/>
      <c r="D330" s="2"/>
      <c r="E330" s="2"/>
      <c r="F330" s="2"/>
      <c r="G330" s="2"/>
      <c r="H330" s="2"/>
      <c r="I330" s="2"/>
      <c r="J330" s="2"/>
      <c r="K330" s="2"/>
      <c r="L330" s="2"/>
      <c r="M330" s="2"/>
      <c r="N330" s="2"/>
      <c r="O330" s="2"/>
      <c r="P330" s="2"/>
    </row>
    <row r="331" spans="1:16" ht="12.75">
      <c r="A331" s="2"/>
      <c r="B331" s="2"/>
      <c r="C331" s="2"/>
      <c r="D331" s="2"/>
      <c r="E331" s="2"/>
      <c r="F331" s="2"/>
      <c r="G331" s="2"/>
      <c r="H331" s="2"/>
      <c r="I331" s="2"/>
      <c r="J331" s="2"/>
      <c r="K331" s="2"/>
      <c r="L331" s="2"/>
      <c r="M331" s="2"/>
      <c r="N331" s="2"/>
      <c r="O331" s="2"/>
      <c r="P331" s="2"/>
    </row>
    <row r="332" spans="1:16" ht="12.75">
      <c r="A332" s="2"/>
      <c r="B332" s="2"/>
      <c r="C332" s="2"/>
      <c r="D332" s="2"/>
      <c r="E332" s="2"/>
      <c r="F332" s="2"/>
      <c r="G332" s="2"/>
      <c r="H332" s="2"/>
      <c r="I332" s="2"/>
      <c r="J332" s="2"/>
      <c r="K332" s="2"/>
      <c r="L332" s="2"/>
      <c r="M332" s="2"/>
      <c r="N332" s="2"/>
      <c r="O332" s="2"/>
      <c r="P332" s="2"/>
    </row>
    <row r="333" spans="1:16" ht="12.75">
      <c r="A333" s="2"/>
      <c r="B333" s="2"/>
      <c r="C333" s="2"/>
      <c r="D333" s="2"/>
      <c r="E333" s="2"/>
      <c r="F333" s="2"/>
      <c r="G333" s="2"/>
      <c r="H333" s="2"/>
      <c r="I333" s="2"/>
      <c r="J333" s="2"/>
      <c r="K333" s="2"/>
      <c r="L333" s="2"/>
      <c r="M333" s="2"/>
      <c r="N333" s="2"/>
      <c r="O333" s="2"/>
      <c r="P333" s="2"/>
    </row>
    <row r="334" spans="1:16" ht="12.75">
      <c r="A334" s="2"/>
      <c r="B334" s="2"/>
      <c r="C334" s="2"/>
      <c r="D334" s="2"/>
      <c r="E334" s="2"/>
      <c r="F334" s="2"/>
      <c r="G334" s="2"/>
      <c r="H334" s="2"/>
      <c r="I334" s="2"/>
      <c r="J334" s="2"/>
      <c r="K334" s="2"/>
      <c r="L334" s="2"/>
      <c r="M334" s="2"/>
      <c r="N334" s="2"/>
      <c r="O334" s="2"/>
      <c r="P334" s="2"/>
    </row>
    <row r="335" spans="1:16" ht="12.75">
      <c r="A335" s="2"/>
      <c r="B335" s="2"/>
      <c r="C335" s="2"/>
      <c r="D335" s="2"/>
      <c r="E335" s="2"/>
      <c r="F335" s="2"/>
      <c r="G335" s="2"/>
      <c r="H335" s="2"/>
      <c r="I335" s="2"/>
      <c r="J335" s="2"/>
      <c r="K335" s="2"/>
      <c r="L335" s="2"/>
      <c r="M335" s="2"/>
      <c r="N335" s="2"/>
      <c r="O335" s="2"/>
      <c r="P335" s="2"/>
    </row>
    <row r="336" spans="1:16" ht="12.75">
      <c r="A336" s="2"/>
      <c r="B336" s="2"/>
      <c r="C336" s="2"/>
      <c r="D336" s="2"/>
      <c r="E336" s="2"/>
      <c r="F336" s="2"/>
      <c r="G336" s="2"/>
      <c r="H336" s="2"/>
      <c r="I336" s="2"/>
      <c r="J336" s="2"/>
      <c r="K336" s="2"/>
      <c r="L336" s="2"/>
      <c r="M336" s="2"/>
      <c r="N336" s="2"/>
      <c r="O336" s="2"/>
      <c r="P336" s="2"/>
    </row>
    <row r="337" spans="1:16" ht="12.75">
      <c r="A337" s="2"/>
      <c r="B337" s="2"/>
      <c r="C337" s="2"/>
      <c r="D337" s="2"/>
      <c r="E337" s="2"/>
      <c r="F337" s="2"/>
      <c r="G337" s="2"/>
      <c r="H337" s="2"/>
      <c r="I337" s="2"/>
      <c r="J337" s="2"/>
      <c r="K337" s="2"/>
      <c r="L337" s="2"/>
      <c r="M337" s="2"/>
      <c r="N337" s="2"/>
      <c r="O337" s="2"/>
      <c r="P337" s="2"/>
    </row>
    <row r="338" spans="1:16" ht="12.75">
      <c r="A338" s="2"/>
      <c r="B338" s="2"/>
      <c r="C338" s="2"/>
      <c r="D338" s="2"/>
      <c r="E338" s="2"/>
      <c r="F338" s="2"/>
      <c r="G338" s="2"/>
      <c r="H338" s="2"/>
      <c r="I338" s="2"/>
      <c r="J338" s="2"/>
      <c r="K338" s="2"/>
      <c r="L338" s="2"/>
      <c r="M338" s="2"/>
      <c r="N338" s="2"/>
      <c r="O338" s="2"/>
      <c r="P338" s="2"/>
    </row>
    <row r="339" spans="1:16" ht="12.75">
      <c r="A339" s="2"/>
      <c r="B339" s="2"/>
      <c r="C339" s="2"/>
      <c r="D339" s="2"/>
      <c r="E339" s="2"/>
      <c r="F339" s="2"/>
      <c r="G339" s="2"/>
      <c r="H339" s="2"/>
      <c r="I339" s="2"/>
      <c r="J339" s="2"/>
      <c r="K339" s="2"/>
      <c r="L339" s="2"/>
      <c r="M339" s="2"/>
      <c r="N339" s="2"/>
      <c r="O339" s="2"/>
      <c r="P339" s="2"/>
    </row>
    <row r="340" spans="1:16" ht="12.75">
      <c r="A340" s="2"/>
      <c r="B340" s="2"/>
      <c r="C340" s="2"/>
      <c r="D340" s="2"/>
      <c r="E340" s="2"/>
      <c r="F340" s="2"/>
      <c r="G340" s="2"/>
      <c r="H340" s="2"/>
      <c r="I340" s="2"/>
      <c r="J340" s="2"/>
      <c r="K340" s="2"/>
      <c r="L340" s="2"/>
      <c r="M340" s="2"/>
      <c r="N340" s="2"/>
      <c r="O340" s="2"/>
      <c r="P340" s="2"/>
    </row>
    <row r="341" spans="1:16" ht="12.75">
      <c r="A341" s="2"/>
      <c r="B341" s="2"/>
      <c r="C341" s="2"/>
      <c r="D341" s="2"/>
      <c r="E341" s="2"/>
      <c r="F341" s="2"/>
      <c r="G341" s="2"/>
      <c r="H341" s="2"/>
      <c r="I341" s="2"/>
      <c r="J341" s="2"/>
      <c r="K341" s="2"/>
      <c r="L341" s="2"/>
      <c r="M341" s="2"/>
      <c r="N341" s="2"/>
      <c r="O341" s="2"/>
      <c r="P341" s="2"/>
    </row>
    <row r="342" spans="1:16" ht="12.75">
      <c r="A342" s="2"/>
      <c r="B342" s="2"/>
      <c r="C342" s="2"/>
      <c r="D342" s="2"/>
      <c r="E342" s="2"/>
      <c r="F342" s="2"/>
      <c r="G342" s="2"/>
      <c r="H342" s="2"/>
      <c r="I342" s="2"/>
      <c r="J342" s="2"/>
      <c r="K342" s="2"/>
      <c r="L342" s="2"/>
      <c r="M342" s="2"/>
      <c r="N342" s="2"/>
      <c r="O342" s="2"/>
      <c r="P342" s="2"/>
    </row>
    <row r="343" spans="1:16" ht="12.75">
      <c r="A343" s="2"/>
      <c r="B343" s="2"/>
      <c r="C343" s="2"/>
      <c r="D343" s="2"/>
      <c r="E343" s="2"/>
      <c r="F343" s="2"/>
      <c r="G343" s="2"/>
      <c r="H343" s="2"/>
      <c r="I343" s="2"/>
      <c r="J343" s="2"/>
      <c r="K343" s="2"/>
      <c r="L343" s="2"/>
      <c r="M343" s="2"/>
      <c r="N343" s="2"/>
      <c r="O343" s="2"/>
      <c r="P343" s="2"/>
    </row>
    <row r="344" spans="1:16" ht="12.75">
      <c r="A344" s="2"/>
      <c r="B344" s="2"/>
      <c r="C344" s="2"/>
      <c r="D344" s="2"/>
      <c r="E344" s="2"/>
      <c r="F344" s="2"/>
      <c r="G344" s="2"/>
      <c r="H344" s="2"/>
      <c r="I344" s="2"/>
      <c r="J344" s="2"/>
      <c r="K344" s="2"/>
      <c r="L344" s="2"/>
      <c r="M344" s="2"/>
      <c r="N344" s="2"/>
      <c r="O344" s="2"/>
      <c r="P344" s="2"/>
    </row>
    <row r="345" spans="1:16" ht="12.75">
      <c r="A345" s="2"/>
      <c r="B345" s="2"/>
      <c r="C345" s="2"/>
      <c r="D345" s="2"/>
      <c r="E345" s="2"/>
      <c r="F345" s="2"/>
      <c r="G345" s="2"/>
      <c r="H345" s="2"/>
      <c r="I345" s="2"/>
      <c r="J345" s="2"/>
      <c r="K345" s="2"/>
      <c r="L345" s="2"/>
      <c r="M345" s="2"/>
      <c r="N345" s="2"/>
      <c r="O345" s="2"/>
      <c r="P345" s="2"/>
    </row>
    <row r="346" spans="1:16" ht="12.75">
      <c r="A346" s="2"/>
      <c r="B346" s="2"/>
      <c r="C346" s="2"/>
      <c r="D346" s="2"/>
      <c r="E346" s="2"/>
      <c r="F346" s="2"/>
      <c r="G346" s="2"/>
      <c r="H346" s="2"/>
      <c r="I346" s="2"/>
      <c r="J346" s="2"/>
      <c r="K346" s="2"/>
      <c r="L346" s="2"/>
      <c r="M346" s="2"/>
      <c r="N346" s="2"/>
      <c r="O346" s="2"/>
      <c r="P346" s="2"/>
    </row>
    <row r="347" spans="1:16" ht="12.75">
      <c r="A347" s="2"/>
      <c r="B347" s="2"/>
      <c r="C347" s="2"/>
      <c r="D347" s="2"/>
      <c r="E347" s="2"/>
      <c r="F347" s="2"/>
      <c r="G347" s="2"/>
      <c r="H347" s="2"/>
      <c r="I347" s="2"/>
      <c r="J347" s="2"/>
      <c r="K347" s="2"/>
      <c r="L347" s="2"/>
      <c r="M347" s="2"/>
      <c r="N347" s="2"/>
      <c r="O347" s="2"/>
      <c r="P347" s="2"/>
    </row>
    <row r="348" spans="1:16" ht="12.75">
      <c r="A348" s="2"/>
      <c r="B348" s="2"/>
      <c r="C348" s="2"/>
      <c r="D348" s="2"/>
      <c r="E348" s="2"/>
      <c r="F348" s="2"/>
      <c r="G348" s="2"/>
      <c r="H348" s="2"/>
      <c r="I348" s="2"/>
      <c r="J348" s="2"/>
      <c r="K348" s="2"/>
      <c r="L348" s="2"/>
      <c r="M348" s="2"/>
      <c r="N348" s="2"/>
      <c r="O348" s="2"/>
      <c r="P348" s="2"/>
    </row>
    <row r="349" spans="1:16" ht="12.75">
      <c r="A349" s="2"/>
      <c r="B349" s="2"/>
      <c r="C349" s="2"/>
      <c r="D349" s="2"/>
      <c r="E349" s="2"/>
      <c r="F349" s="2"/>
      <c r="G349" s="2"/>
      <c r="H349" s="2"/>
      <c r="I349" s="2"/>
      <c r="J349" s="2"/>
      <c r="K349" s="2"/>
      <c r="L349" s="2"/>
      <c r="M349" s="2"/>
      <c r="N349" s="2"/>
      <c r="O349" s="2"/>
      <c r="P349" s="2"/>
    </row>
    <row r="350" spans="1:16" ht="12.75">
      <c r="A350" s="2"/>
      <c r="B350" s="2"/>
      <c r="C350" s="2"/>
      <c r="D350" s="2"/>
      <c r="E350" s="2"/>
      <c r="F350" s="2"/>
      <c r="G350" s="2"/>
      <c r="H350" s="2"/>
      <c r="I350" s="2"/>
      <c r="J350" s="2"/>
      <c r="K350" s="2"/>
      <c r="L350" s="2"/>
      <c r="M350" s="2"/>
      <c r="N350" s="2"/>
      <c r="O350" s="2"/>
      <c r="P350" s="2"/>
    </row>
    <row r="351" spans="1:16" ht="12.75">
      <c r="A351" s="2"/>
      <c r="B351" s="2"/>
      <c r="C351" s="2"/>
      <c r="D351" s="2"/>
      <c r="E351" s="2"/>
      <c r="F351" s="2"/>
      <c r="G351" s="2"/>
      <c r="H351" s="2"/>
      <c r="I351" s="2"/>
      <c r="J351" s="2"/>
      <c r="K351" s="2"/>
      <c r="L351" s="2"/>
      <c r="M351" s="2"/>
      <c r="N351" s="2"/>
      <c r="O351" s="2"/>
      <c r="P351" s="2"/>
    </row>
    <row r="352" spans="1:16" ht="12.75">
      <c r="A352" s="2"/>
      <c r="B352" s="2"/>
      <c r="C352" s="2"/>
      <c r="D352" s="2"/>
      <c r="E352" s="2"/>
      <c r="F352" s="2"/>
      <c r="G352" s="2"/>
      <c r="H352" s="2"/>
      <c r="I352" s="2"/>
      <c r="J352" s="2"/>
      <c r="K352" s="2"/>
      <c r="L352" s="2"/>
      <c r="M352" s="2"/>
      <c r="N352" s="2"/>
      <c r="O352" s="2"/>
      <c r="P352" s="2"/>
    </row>
    <row r="353" spans="1:16" ht="12.75">
      <c r="A353" s="2"/>
      <c r="B353" s="2"/>
      <c r="C353" s="2"/>
      <c r="D353" s="2"/>
      <c r="E353" s="2"/>
      <c r="F353" s="2"/>
      <c r="G353" s="2"/>
      <c r="H353" s="2"/>
      <c r="I353" s="2"/>
      <c r="J353" s="2"/>
      <c r="K353" s="2"/>
      <c r="L353" s="2"/>
      <c r="M353" s="2"/>
      <c r="N353" s="2"/>
      <c r="O353" s="2"/>
      <c r="P353" s="2"/>
    </row>
    <row r="354" spans="1:16" ht="12.75">
      <c r="A354" s="2"/>
      <c r="B354" s="2"/>
      <c r="C354" s="2"/>
      <c r="D354" s="2"/>
      <c r="E354" s="2"/>
      <c r="F354" s="2"/>
      <c r="G354" s="2"/>
      <c r="H354" s="2"/>
      <c r="I354" s="2"/>
      <c r="J354" s="2"/>
      <c r="K354" s="2"/>
      <c r="L354" s="2"/>
      <c r="M354" s="2"/>
      <c r="N354" s="2"/>
      <c r="O354" s="2"/>
      <c r="P354" s="2"/>
    </row>
    <row r="355" spans="1:16" ht="12.75">
      <c r="A355" s="2"/>
      <c r="B355" s="2"/>
      <c r="C355" s="2"/>
      <c r="D355" s="2"/>
      <c r="E355" s="2"/>
      <c r="F355" s="2"/>
      <c r="G355" s="2"/>
      <c r="H355" s="2"/>
      <c r="I355" s="2"/>
      <c r="J355" s="2"/>
      <c r="K355" s="2"/>
      <c r="L355" s="2"/>
      <c r="M355" s="2"/>
      <c r="N355" s="2"/>
      <c r="O355" s="2"/>
      <c r="P355" s="2"/>
    </row>
    <row r="356" spans="1:16" ht="12.75">
      <c r="A356" s="2"/>
      <c r="B356" s="2"/>
      <c r="C356" s="2"/>
      <c r="D356" s="2"/>
      <c r="E356" s="2"/>
      <c r="F356" s="2"/>
      <c r="G356" s="2"/>
      <c r="H356" s="2"/>
      <c r="I356" s="2"/>
      <c r="J356" s="2"/>
      <c r="K356" s="2"/>
      <c r="L356" s="2"/>
      <c r="M356" s="2"/>
      <c r="N356" s="2"/>
      <c r="O356" s="2"/>
      <c r="P356" s="2"/>
    </row>
    <row r="357" spans="1:16" ht="12.75">
      <c r="A357" s="2"/>
      <c r="B357" s="2"/>
      <c r="C357" s="2"/>
      <c r="D357" s="2"/>
      <c r="E357" s="2"/>
      <c r="F357" s="2"/>
      <c r="G357" s="2"/>
      <c r="H357" s="2"/>
      <c r="I357" s="2"/>
      <c r="J357" s="2"/>
      <c r="K357" s="2"/>
      <c r="L357" s="2"/>
      <c r="M357" s="2"/>
      <c r="N357" s="2"/>
      <c r="O357" s="2"/>
      <c r="P357" s="2"/>
    </row>
    <row r="358" spans="1:16" ht="12.75">
      <c r="A358" s="2"/>
      <c r="B358" s="2"/>
      <c r="C358" s="2"/>
      <c r="D358" s="2"/>
      <c r="E358" s="2"/>
      <c r="F358" s="2"/>
      <c r="G358" s="2"/>
      <c r="H358" s="2"/>
      <c r="I358" s="2"/>
      <c r="J358" s="2"/>
      <c r="K358" s="2"/>
      <c r="L358" s="2"/>
      <c r="M358" s="2"/>
      <c r="N358" s="2"/>
      <c r="O358" s="2"/>
      <c r="P358" s="2"/>
    </row>
    <row r="359" spans="1:16" ht="12.75">
      <c r="A359" s="2"/>
      <c r="B359" s="2"/>
      <c r="C359" s="2"/>
      <c r="D359" s="2"/>
      <c r="E359" s="2"/>
      <c r="F359" s="2"/>
      <c r="G359" s="2"/>
      <c r="H359" s="2"/>
      <c r="I359" s="2"/>
      <c r="J359" s="2"/>
      <c r="K359" s="2"/>
      <c r="L359" s="2"/>
      <c r="M359" s="2"/>
      <c r="N359" s="2"/>
      <c r="O359" s="2"/>
      <c r="P359" s="2"/>
    </row>
    <row r="360" spans="1:16" ht="12.75">
      <c r="A360" s="2"/>
      <c r="B360" s="2"/>
      <c r="C360" s="2"/>
      <c r="D360" s="2"/>
      <c r="E360" s="2"/>
      <c r="F360" s="2"/>
      <c r="G360" s="2"/>
      <c r="H360" s="2"/>
      <c r="I360" s="2"/>
      <c r="J360" s="2"/>
      <c r="K360" s="2"/>
      <c r="L360" s="2"/>
      <c r="M360" s="2"/>
      <c r="N360" s="2"/>
      <c r="O360" s="2"/>
      <c r="P360" s="2"/>
    </row>
    <row r="361" spans="1:16" ht="12.75">
      <c r="A361" s="2"/>
      <c r="B361" s="2"/>
      <c r="C361" s="2"/>
      <c r="D361" s="2"/>
      <c r="E361" s="2"/>
      <c r="F361" s="2"/>
      <c r="G361" s="2"/>
      <c r="H361" s="2"/>
      <c r="I361" s="2"/>
      <c r="J361" s="2"/>
      <c r="K361" s="2"/>
      <c r="L361" s="2"/>
      <c r="M361" s="2"/>
      <c r="N361" s="2"/>
      <c r="O361" s="2"/>
      <c r="P361" s="2"/>
    </row>
    <row r="362" spans="1:16" ht="12.75">
      <c r="A362" s="2"/>
      <c r="B362" s="2"/>
      <c r="C362" s="2"/>
      <c r="D362" s="2"/>
      <c r="E362" s="2"/>
      <c r="F362" s="2"/>
      <c r="G362" s="2"/>
      <c r="H362" s="2"/>
      <c r="I362" s="2"/>
      <c r="J362" s="2"/>
      <c r="K362" s="2"/>
      <c r="L362" s="2"/>
      <c r="M362" s="2"/>
      <c r="N362" s="2"/>
      <c r="O362" s="2"/>
      <c r="P362" s="2"/>
    </row>
    <row r="363" spans="1:16" ht="12.75">
      <c r="A363" s="2"/>
      <c r="B363" s="2"/>
      <c r="C363" s="2"/>
      <c r="D363" s="2"/>
      <c r="E363" s="2"/>
      <c r="F363" s="2"/>
      <c r="G363" s="2"/>
      <c r="H363" s="2"/>
      <c r="I363" s="2"/>
      <c r="J363" s="2"/>
      <c r="K363" s="2"/>
      <c r="L363" s="2"/>
      <c r="M363" s="2"/>
      <c r="N363" s="2"/>
      <c r="O363" s="2"/>
      <c r="P363" s="2"/>
    </row>
    <row r="364" spans="1:16" ht="12.75">
      <c r="A364" s="2"/>
      <c r="B364" s="2"/>
      <c r="C364" s="2"/>
      <c r="D364" s="2"/>
      <c r="E364" s="2"/>
      <c r="F364" s="2"/>
      <c r="G364" s="2"/>
      <c r="H364" s="2"/>
      <c r="I364" s="2"/>
      <c r="J364" s="2"/>
      <c r="K364" s="2"/>
      <c r="L364" s="2"/>
      <c r="M364" s="2"/>
      <c r="N364" s="2"/>
      <c r="O364" s="2"/>
      <c r="P364" s="2"/>
    </row>
    <row r="365" spans="1:16" ht="12.75">
      <c r="A365" s="2"/>
      <c r="B365" s="2"/>
      <c r="C365" s="2"/>
      <c r="D365" s="2"/>
      <c r="E365" s="2"/>
      <c r="F365" s="2"/>
      <c r="G365" s="2"/>
      <c r="H365" s="2"/>
      <c r="I365" s="2"/>
      <c r="J365" s="2"/>
      <c r="K365" s="2"/>
      <c r="L365" s="2"/>
      <c r="M365" s="2"/>
      <c r="N365" s="2"/>
      <c r="O365" s="2"/>
      <c r="P365" s="2"/>
    </row>
    <row r="366" spans="1:16" ht="12.75">
      <c r="A366" s="2"/>
      <c r="B366" s="2"/>
      <c r="C366" s="2"/>
      <c r="D366" s="2"/>
      <c r="E366" s="2"/>
      <c r="F366" s="2"/>
      <c r="G366" s="2"/>
      <c r="H366" s="2"/>
      <c r="I366" s="2"/>
      <c r="J366" s="2"/>
      <c r="K366" s="2"/>
      <c r="L366" s="2"/>
      <c r="M366" s="2"/>
      <c r="N366" s="2"/>
      <c r="O366" s="2"/>
      <c r="P366" s="2"/>
    </row>
    <row r="367" spans="1:16" ht="12.75">
      <c r="A367" s="2"/>
      <c r="B367" s="2"/>
      <c r="C367" s="2"/>
      <c r="D367" s="2"/>
      <c r="E367" s="2"/>
      <c r="F367" s="2"/>
      <c r="G367" s="2"/>
      <c r="H367" s="2"/>
      <c r="I367" s="2"/>
      <c r="J367" s="2"/>
      <c r="K367" s="2"/>
      <c r="L367" s="2"/>
      <c r="M367" s="2"/>
      <c r="N367" s="2"/>
      <c r="O367" s="2"/>
      <c r="P367" s="2"/>
    </row>
    <row r="368" spans="1:16" ht="12.75">
      <c r="A368" s="2"/>
      <c r="B368" s="2"/>
      <c r="C368" s="2"/>
      <c r="D368" s="2"/>
      <c r="E368" s="2"/>
      <c r="F368" s="2"/>
      <c r="G368" s="2"/>
      <c r="H368" s="2"/>
      <c r="I368" s="2"/>
      <c r="J368" s="2"/>
      <c r="K368" s="2"/>
      <c r="L368" s="2"/>
      <c r="M368" s="2"/>
      <c r="N368" s="2"/>
      <c r="O368" s="2"/>
      <c r="P368" s="2"/>
    </row>
    <row r="369" spans="1:16" ht="12.75">
      <c r="A369" s="2"/>
      <c r="B369" s="2"/>
      <c r="C369" s="2"/>
      <c r="D369" s="2"/>
      <c r="E369" s="2"/>
      <c r="F369" s="2"/>
      <c r="G369" s="2"/>
      <c r="H369" s="2"/>
      <c r="I369" s="2"/>
      <c r="J369" s="2"/>
      <c r="K369" s="2"/>
      <c r="L369" s="2"/>
      <c r="M369" s="2"/>
      <c r="N369" s="2"/>
      <c r="O369" s="2"/>
      <c r="P369" s="2"/>
    </row>
    <row r="370" spans="1:16" ht="12.75">
      <c r="A370" s="2"/>
      <c r="B370" s="2"/>
      <c r="C370" s="2"/>
      <c r="D370" s="2"/>
      <c r="E370" s="2"/>
      <c r="F370" s="2"/>
      <c r="G370" s="2"/>
      <c r="H370" s="2"/>
      <c r="I370" s="2"/>
      <c r="J370" s="2"/>
      <c r="K370" s="2"/>
      <c r="L370" s="2"/>
      <c r="M370" s="2"/>
      <c r="N370" s="2"/>
      <c r="O370" s="2"/>
      <c r="P370" s="2"/>
    </row>
    <row r="371" spans="1:16" ht="12.75">
      <c r="A371" s="2"/>
      <c r="B371" s="2"/>
      <c r="C371" s="2"/>
      <c r="D371" s="2"/>
      <c r="E371" s="2"/>
      <c r="F371" s="2"/>
      <c r="G371" s="2"/>
      <c r="H371" s="2"/>
      <c r="I371" s="2"/>
      <c r="J371" s="2"/>
      <c r="K371" s="2"/>
      <c r="L371" s="2"/>
      <c r="M371" s="2"/>
      <c r="N371" s="2"/>
      <c r="O371" s="2"/>
      <c r="P371" s="2"/>
    </row>
    <row r="372" spans="1:16" ht="12.75">
      <c r="A372" s="2"/>
      <c r="B372" s="2"/>
      <c r="C372" s="2"/>
      <c r="D372" s="2"/>
      <c r="E372" s="2"/>
      <c r="F372" s="2"/>
      <c r="G372" s="2"/>
      <c r="H372" s="2"/>
      <c r="I372" s="2"/>
      <c r="J372" s="2"/>
      <c r="K372" s="2"/>
      <c r="L372" s="2"/>
      <c r="M372" s="2"/>
      <c r="N372" s="2"/>
      <c r="O372" s="2"/>
      <c r="P372" s="2"/>
    </row>
    <row r="373" spans="1:16" ht="12.75">
      <c r="A373" s="2"/>
      <c r="B373" s="2"/>
      <c r="C373" s="2"/>
      <c r="D373" s="2"/>
      <c r="E373" s="2"/>
      <c r="F373" s="2"/>
      <c r="G373" s="2"/>
      <c r="H373" s="2"/>
      <c r="I373" s="2"/>
      <c r="J373" s="2"/>
      <c r="K373" s="2"/>
      <c r="L373" s="2"/>
      <c r="M373" s="2"/>
      <c r="N373" s="2"/>
      <c r="O373" s="2"/>
      <c r="P373" s="2"/>
    </row>
    <row r="374" spans="1:16" ht="12.75">
      <c r="A374" s="2"/>
      <c r="B374" s="2"/>
      <c r="C374" s="2"/>
      <c r="D374" s="2"/>
      <c r="E374" s="2"/>
      <c r="F374" s="2"/>
      <c r="G374" s="2"/>
      <c r="H374" s="2"/>
      <c r="I374" s="2"/>
      <c r="J374" s="2"/>
      <c r="K374" s="2"/>
      <c r="L374" s="2"/>
      <c r="M374" s="2"/>
      <c r="N374" s="2"/>
      <c r="O374" s="2"/>
      <c r="P374" s="2"/>
    </row>
    <row r="375" spans="1:16" ht="12.75">
      <c r="A375" s="2"/>
      <c r="B375" s="2"/>
      <c r="C375" s="2"/>
      <c r="D375" s="2"/>
      <c r="E375" s="2"/>
      <c r="F375" s="2"/>
      <c r="G375" s="2"/>
      <c r="H375" s="2"/>
      <c r="I375" s="2"/>
      <c r="J375" s="2"/>
      <c r="K375" s="2"/>
      <c r="L375" s="2"/>
      <c r="M375" s="2"/>
      <c r="N375" s="2"/>
      <c r="O375" s="2"/>
      <c r="P375" s="2"/>
    </row>
    <row r="376" spans="1:16" ht="12.75">
      <c r="A376" s="2"/>
      <c r="B376" s="2"/>
      <c r="C376" s="2"/>
      <c r="D376" s="2"/>
      <c r="E376" s="2"/>
      <c r="F376" s="2"/>
      <c r="G376" s="2"/>
      <c r="H376" s="2"/>
      <c r="I376" s="2"/>
      <c r="J376" s="2"/>
      <c r="K376" s="2"/>
      <c r="L376" s="2"/>
      <c r="M376" s="2"/>
      <c r="N376" s="2"/>
      <c r="O376" s="2"/>
      <c r="P376" s="2"/>
    </row>
    <row r="377" spans="1:16" ht="12.75">
      <c r="A377" s="2"/>
      <c r="B377" s="2"/>
      <c r="C377" s="2"/>
      <c r="D377" s="2"/>
      <c r="E377" s="2"/>
      <c r="F377" s="2"/>
      <c r="G377" s="2"/>
      <c r="H377" s="2"/>
      <c r="I377" s="2"/>
      <c r="J377" s="2"/>
      <c r="K377" s="2"/>
      <c r="L377" s="2"/>
      <c r="M377" s="2"/>
      <c r="N377" s="2"/>
      <c r="O377" s="2"/>
      <c r="P377" s="2"/>
    </row>
    <row r="378" spans="1:16" ht="12.75">
      <c r="A378" s="2"/>
      <c r="B378" s="2"/>
      <c r="C378" s="2"/>
      <c r="D378" s="2"/>
      <c r="E378" s="2"/>
      <c r="F378" s="2"/>
      <c r="G378" s="2"/>
      <c r="H378" s="2"/>
      <c r="I378" s="2"/>
      <c r="J378" s="2"/>
      <c r="K378" s="2"/>
      <c r="L378" s="2"/>
      <c r="M378" s="2"/>
      <c r="N378" s="2"/>
      <c r="O378" s="2"/>
      <c r="P378" s="2"/>
    </row>
    <row r="379" spans="1:16" ht="12.75">
      <c r="A379" s="2"/>
      <c r="B379" s="2"/>
      <c r="C379" s="2"/>
      <c r="D379" s="2"/>
      <c r="E379" s="2"/>
      <c r="F379" s="2"/>
      <c r="G379" s="2"/>
      <c r="H379" s="2"/>
      <c r="I379" s="2"/>
      <c r="J379" s="2"/>
      <c r="K379" s="2"/>
      <c r="L379" s="2"/>
      <c r="M379" s="2"/>
      <c r="N379" s="2"/>
      <c r="O379" s="2"/>
      <c r="P379" s="2"/>
    </row>
    <row r="380" spans="1:16" ht="12.75">
      <c r="A380" s="2"/>
      <c r="B380" s="2"/>
      <c r="C380" s="2"/>
      <c r="D380" s="2"/>
      <c r="E380" s="2"/>
      <c r="F380" s="2"/>
      <c r="G380" s="2"/>
      <c r="H380" s="2"/>
      <c r="I380" s="2"/>
      <c r="J380" s="2"/>
      <c r="K380" s="2"/>
      <c r="L380" s="2"/>
      <c r="M380" s="2"/>
      <c r="N380" s="2"/>
      <c r="O380" s="2"/>
      <c r="P380" s="2"/>
    </row>
    <row r="381" spans="1:16" ht="12.75">
      <c r="A381" s="2"/>
      <c r="B381" s="2"/>
      <c r="C381" s="2"/>
      <c r="D381" s="2"/>
      <c r="E381" s="2"/>
      <c r="F381" s="2"/>
      <c r="G381" s="2"/>
      <c r="H381" s="2"/>
      <c r="I381" s="2"/>
      <c r="J381" s="2"/>
      <c r="K381" s="2"/>
      <c r="L381" s="2"/>
      <c r="M381" s="2"/>
      <c r="N381" s="2"/>
      <c r="O381" s="2"/>
      <c r="P381" s="2"/>
    </row>
    <row r="382" spans="1:16" ht="12.75">
      <c r="A382" s="2"/>
      <c r="B382" s="2"/>
      <c r="C382" s="2"/>
      <c r="D382" s="2"/>
      <c r="E382" s="2"/>
      <c r="F382" s="2"/>
      <c r="G382" s="2"/>
      <c r="H382" s="2"/>
      <c r="I382" s="2"/>
      <c r="J382" s="2"/>
      <c r="K382" s="2"/>
      <c r="L382" s="2"/>
      <c r="M382" s="2"/>
      <c r="N382" s="2"/>
      <c r="O382" s="2"/>
      <c r="P382" s="2"/>
    </row>
    <row r="383" spans="1:16" ht="12.75">
      <c r="A383" s="2"/>
      <c r="B383" s="2"/>
      <c r="C383" s="2"/>
      <c r="D383" s="2"/>
      <c r="E383" s="2"/>
      <c r="F383" s="2"/>
      <c r="G383" s="2"/>
      <c r="H383" s="2"/>
      <c r="I383" s="2"/>
      <c r="J383" s="2"/>
      <c r="K383" s="2"/>
      <c r="L383" s="2"/>
      <c r="M383" s="2"/>
      <c r="N383" s="2"/>
      <c r="O383" s="2"/>
      <c r="P383" s="2"/>
    </row>
    <row r="384" spans="1:16" ht="12.75">
      <c r="A384" s="2"/>
      <c r="B384" s="2"/>
      <c r="C384" s="2"/>
      <c r="D384" s="2"/>
      <c r="E384" s="2"/>
      <c r="F384" s="2"/>
      <c r="G384" s="2"/>
      <c r="H384" s="2"/>
      <c r="I384" s="2"/>
      <c r="J384" s="2"/>
      <c r="K384" s="2"/>
      <c r="L384" s="2"/>
      <c r="M384" s="2"/>
      <c r="N384" s="2"/>
      <c r="O384" s="2"/>
      <c r="P384" s="2"/>
    </row>
    <row r="385" spans="1:16" ht="12.75">
      <c r="A385" s="2"/>
      <c r="B385" s="2"/>
      <c r="C385" s="2"/>
      <c r="D385" s="2"/>
      <c r="E385" s="2"/>
      <c r="F385" s="2"/>
      <c r="G385" s="2"/>
      <c r="H385" s="2"/>
      <c r="I385" s="2"/>
      <c r="J385" s="2"/>
      <c r="K385" s="2"/>
      <c r="L385" s="2"/>
      <c r="M385" s="2"/>
      <c r="N385" s="2"/>
      <c r="O385" s="2"/>
      <c r="P385" s="2"/>
    </row>
    <row r="386" spans="1:16" ht="12.75">
      <c r="A386" s="2"/>
      <c r="B386" s="2"/>
      <c r="C386" s="2"/>
      <c r="D386" s="2"/>
      <c r="E386" s="2"/>
      <c r="F386" s="2"/>
      <c r="G386" s="2"/>
      <c r="H386" s="2"/>
      <c r="I386" s="2"/>
      <c r="J386" s="2"/>
      <c r="K386" s="2"/>
      <c r="L386" s="2"/>
      <c r="M386" s="2"/>
      <c r="N386" s="2"/>
      <c r="O386" s="2"/>
      <c r="P386" s="2"/>
    </row>
    <row r="387" spans="1:16" ht="12.75">
      <c r="A387" s="2"/>
      <c r="B387" s="2"/>
      <c r="C387" s="2"/>
      <c r="D387" s="2"/>
      <c r="E387" s="2"/>
      <c r="F387" s="2"/>
      <c r="G387" s="2"/>
      <c r="H387" s="2"/>
      <c r="I387" s="2"/>
      <c r="J387" s="2"/>
      <c r="K387" s="2"/>
      <c r="L387" s="2"/>
      <c r="M387" s="2"/>
      <c r="N387" s="2"/>
      <c r="O387" s="2"/>
      <c r="P387" s="2"/>
    </row>
    <row r="388" spans="1:16" ht="12.75">
      <c r="A388" s="2"/>
      <c r="B388" s="2"/>
      <c r="C388" s="2"/>
      <c r="D388" s="2"/>
      <c r="E388" s="2"/>
      <c r="F388" s="2"/>
      <c r="G388" s="2"/>
      <c r="H388" s="2"/>
      <c r="I388" s="2"/>
      <c r="J388" s="2"/>
      <c r="K388" s="2"/>
      <c r="L388" s="2"/>
      <c r="M388" s="2"/>
      <c r="N388" s="2"/>
      <c r="O388" s="2"/>
      <c r="P388" s="2"/>
    </row>
    <row r="389" spans="1:16" ht="12.75">
      <c r="A389" s="2"/>
      <c r="B389" s="2"/>
      <c r="C389" s="2"/>
      <c r="D389" s="2"/>
      <c r="E389" s="2"/>
      <c r="F389" s="2"/>
      <c r="G389" s="2"/>
      <c r="H389" s="2"/>
      <c r="I389" s="2"/>
      <c r="J389" s="2"/>
      <c r="K389" s="2"/>
      <c r="L389" s="2"/>
      <c r="M389" s="2"/>
      <c r="N389" s="2"/>
      <c r="O389" s="2"/>
      <c r="P389" s="2"/>
    </row>
    <row r="390" spans="1:16" ht="12.75">
      <c r="A390" s="2"/>
      <c r="B390" s="2"/>
      <c r="C390" s="2"/>
      <c r="D390" s="2"/>
      <c r="E390" s="2"/>
      <c r="F390" s="2"/>
      <c r="G390" s="2"/>
      <c r="H390" s="2"/>
      <c r="I390" s="2"/>
      <c r="J390" s="2"/>
      <c r="K390" s="2"/>
      <c r="L390" s="2"/>
      <c r="M390" s="2"/>
      <c r="N390" s="2"/>
      <c r="O390" s="2"/>
      <c r="P390" s="2"/>
    </row>
    <row r="391" spans="1:16" ht="12.75">
      <c r="A391" s="2"/>
      <c r="B391" s="2"/>
      <c r="C391" s="2"/>
      <c r="D391" s="2"/>
      <c r="E391" s="2"/>
      <c r="F391" s="2"/>
      <c r="G391" s="2"/>
      <c r="H391" s="2"/>
      <c r="I391" s="2"/>
      <c r="J391" s="2"/>
      <c r="K391" s="2"/>
      <c r="L391" s="2"/>
      <c r="M391" s="2"/>
      <c r="N391" s="2"/>
      <c r="O391" s="2"/>
      <c r="P391" s="2"/>
    </row>
    <row r="392" spans="1:16" ht="12.75">
      <c r="A392" s="2"/>
      <c r="B392" s="2"/>
      <c r="C392" s="2"/>
      <c r="D392" s="2"/>
      <c r="E392" s="2"/>
      <c r="F392" s="2"/>
      <c r="G392" s="2"/>
      <c r="H392" s="2"/>
      <c r="I392" s="2"/>
      <c r="J392" s="2"/>
      <c r="K392" s="2"/>
      <c r="L392" s="2"/>
      <c r="M392" s="2"/>
      <c r="N392" s="2"/>
      <c r="O392" s="2"/>
      <c r="P392" s="2"/>
    </row>
    <row r="393" spans="1:16" ht="12.75">
      <c r="A393" s="2"/>
      <c r="B393" s="2"/>
      <c r="C393" s="2"/>
      <c r="D393" s="2"/>
      <c r="E393" s="2"/>
      <c r="F393" s="2"/>
      <c r="G393" s="2"/>
      <c r="H393" s="2"/>
      <c r="I393" s="2"/>
      <c r="J393" s="2"/>
      <c r="K393" s="2"/>
      <c r="L393" s="2"/>
      <c r="M393" s="2"/>
      <c r="N393" s="2"/>
      <c r="O393" s="2"/>
      <c r="P393" s="2"/>
    </row>
    <row r="394" spans="1:16" ht="12.75">
      <c r="A394" s="2"/>
      <c r="B394" s="2"/>
      <c r="C394" s="2"/>
      <c r="D394" s="2"/>
      <c r="E394" s="2"/>
      <c r="F394" s="2"/>
      <c r="G394" s="2"/>
      <c r="H394" s="2"/>
      <c r="I394" s="2"/>
      <c r="J394" s="2"/>
      <c r="K394" s="2"/>
      <c r="L394" s="2"/>
      <c r="M394" s="2"/>
      <c r="N394" s="2"/>
      <c r="O394" s="2"/>
      <c r="P394" s="2"/>
    </row>
    <row r="395" spans="1:16" ht="12.75">
      <c r="A395" s="2"/>
      <c r="B395" s="2"/>
      <c r="C395" s="2"/>
      <c r="D395" s="2"/>
      <c r="E395" s="2"/>
      <c r="F395" s="2"/>
      <c r="G395" s="2"/>
      <c r="H395" s="2"/>
      <c r="I395" s="2"/>
      <c r="J395" s="2"/>
      <c r="K395" s="2"/>
      <c r="L395" s="2"/>
      <c r="M395" s="2"/>
      <c r="N395" s="2"/>
      <c r="O395" s="2"/>
      <c r="P395" s="2"/>
    </row>
    <row r="396" spans="1:16" ht="12.75">
      <c r="A396" s="2"/>
      <c r="B396" s="2"/>
      <c r="C396" s="2"/>
      <c r="D396" s="2"/>
      <c r="E396" s="2"/>
      <c r="F396" s="2"/>
      <c r="G396" s="2"/>
      <c r="H396" s="2"/>
      <c r="I396" s="2"/>
      <c r="J396" s="2"/>
      <c r="K396" s="2"/>
      <c r="L396" s="2"/>
      <c r="M396" s="2"/>
      <c r="N396" s="2"/>
      <c r="O396" s="2"/>
      <c r="P396" s="2"/>
    </row>
    <row r="397" spans="1:16" ht="12.75">
      <c r="A397" s="2"/>
      <c r="B397" s="2"/>
      <c r="C397" s="2"/>
      <c r="D397" s="2"/>
      <c r="E397" s="2"/>
      <c r="F397" s="2"/>
      <c r="G397" s="2"/>
      <c r="H397" s="2"/>
      <c r="I397" s="2"/>
      <c r="J397" s="2"/>
      <c r="K397" s="2"/>
      <c r="L397" s="2"/>
      <c r="M397" s="2"/>
      <c r="N397" s="2"/>
      <c r="O397" s="2"/>
      <c r="P397" s="2"/>
    </row>
    <row r="398" spans="1:16" ht="12.75">
      <c r="A398" s="2"/>
      <c r="B398" s="2"/>
      <c r="C398" s="2"/>
      <c r="D398" s="2"/>
      <c r="E398" s="2"/>
      <c r="F398" s="2"/>
      <c r="G398" s="2"/>
      <c r="H398" s="2"/>
      <c r="I398" s="2"/>
      <c r="J398" s="2"/>
      <c r="K398" s="2"/>
      <c r="L398" s="2"/>
      <c r="M398" s="2"/>
      <c r="N398" s="2"/>
      <c r="O398" s="2"/>
      <c r="P398" s="2"/>
    </row>
    <row r="399" spans="1:16" ht="12.75">
      <c r="A399" s="2"/>
      <c r="B399" s="2"/>
      <c r="C399" s="2"/>
      <c r="D399" s="2"/>
      <c r="E399" s="2"/>
      <c r="F399" s="2"/>
      <c r="G399" s="2"/>
      <c r="H399" s="2"/>
      <c r="I399" s="2"/>
      <c r="J399" s="2"/>
      <c r="K399" s="2"/>
      <c r="L399" s="2"/>
      <c r="M399" s="2"/>
      <c r="N399" s="2"/>
      <c r="O399" s="2"/>
      <c r="P399" s="2"/>
    </row>
    <row r="400" spans="1:16" ht="12.75">
      <c r="A400" s="2"/>
      <c r="B400" s="2"/>
      <c r="C400" s="2"/>
      <c r="D400" s="2"/>
      <c r="E400" s="2"/>
      <c r="F400" s="2"/>
      <c r="G400" s="2"/>
      <c r="H400" s="2"/>
      <c r="I400" s="2"/>
      <c r="J400" s="2"/>
      <c r="K400" s="2"/>
      <c r="L400" s="2"/>
      <c r="M400" s="2"/>
      <c r="N400" s="2"/>
      <c r="O400" s="2"/>
      <c r="P400" s="2"/>
    </row>
    <row r="401" spans="1:16" ht="12.75">
      <c r="A401" s="2"/>
      <c r="B401" s="2"/>
      <c r="C401" s="2"/>
      <c r="D401" s="2"/>
      <c r="E401" s="2"/>
      <c r="F401" s="2"/>
      <c r="G401" s="2"/>
      <c r="H401" s="2"/>
      <c r="I401" s="2"/>
      <c r="J401" s="2"/>
      <c r="K401" s="2"/>
      <c r="L401" s="2"/>
      <c r="M401" s="2"/>
      <c r="N401" s="2"/>
      <c r="O401" s="2"/>
      <c r="P401" s="2"/>
    </row>
    <row r="402" spans="1:16" ht="12.75">
      <c r="A402" s="2"/>
      <c r="B402" s="2"/>
      <c r="C402" s="2"/>
      <c r="D402" s="2"/>
      <c r="E402" s="2"/>
      <c r="F402" s="2"/>
      <c r="G402" s="2"/>
      <c r="H402" s="2"/>
      <c r="I402" s="2"/>
      <c r="J402" s="2"/>
      <c r="K402" s="2"/>
      <c r="L402" s="2"/>
      <c r="M402" s="2"/>
      <c r="N402" s="2"/>
      <c r="O402" s="2"/>
      <c r="P402" s="2"/>
    </row>
    <row r="403" spans="1:16" ht="12.75">
      <c r="A403" s="2"/>
      <c r="B403" s="2"/>
      <c r="C403" s="2"/>
      <c r="D403" s="2"/>
      <c r="E403" s="2"/>
      <c r="F403" s="2"/>
      <c r="G403" s="2"/>
      <c r="H403" s="2"/>
      <c r="I403" s="2"/>
      <c r="J403" s="2"/>
      <c r="K403" s="2"/>
      <c r="L403" s="2"/>
      <c r="M403" s="2"/>
      <c r="N403" s="2"/>
      <c r="O403" s="2"/>
      <c r="P403" s="2"/>
    </row>
    <row r="404" spans="1:16" ht="12.75">
      <c r="A404" s="2"/>
      <c r="B404" s="2"/>
      <c r="C404" s="2"/>
      <c r="D404" s="2"/>
      <c r="E404" s="2"/>
      <c r="F404" s="2"/>
      <c r="G404" s="2"/>
      <c r="H404" s="2"/>
      <c r="I404" s="2"/>
      <c r="J404" s="2"/>
      <c r="K404" s="2"/>
      <c r="L404" s="2"/>
      <c r="M404" s="2"/>
      <c r="N404" s="2"/>
      <c r="O404" s="2"/>
      <c r="P404" s="2"/>
    </row>
    <row r="405" spans="1:16" ht="12.75">
      <c r="A405" s="2"/>
      <c r="B405" s="2"/>
      <c r="C405" s="2"/>
      <c r="D405" s="2"/>
      <c r="E405" s="2"/>
      <c r="F405" s="2"/>
      <c r="G405" s="2"/>
      <c r="H405" s="2"/>
      <c r="I405" s="2"/>
      <c r="J405" s="2"/>
      <c r="K405" s="2"/>
      <c r="L405" s="2"/>
      <c r="M405" s="2"/>
      <c r="N405" s="2"/>
      <c r="O405" s="2"/>
      <c r="P405" s="2"/>
    </row>
    <row r="406" spans="1:16" ht="12.75">
      <c r="A406" s="2"/>
      <c r="B406" s="2"/>
      <c r="C406" s="2"/>
      <c r="D406" s="2"/>
      <c r="E406" s="2"/>
      <c r="F406" s="2"/>
      <c r="G406" s="2"/>
      <c r="H406" s="2"/>
      <c r="I406" s="2"/>
      <c r="J406" s="2"/>
      <c r="K406" s="2"/>
      <c r="L406" s="2"/>
      <c r="M406" s="2"/>
      <c r="N406" s="2"/>
      <c r="O406" s="2"/>
      <c r="P406" s="2"/>
    </row>
    <row r="407" spans="1:16" ht="12.75">
      <c r="A407" s="2"/>
      <c r="B407" s="2"/>
      <c r="C407" s="2"/>
      <c r="D407" s="2"/>
      <c r="E407" s="2"/>
      <c r="F407" s="2"/>
      <c r="G407" s="2"/>
      <c r="H407" s="2"/>
      <c r="I407" s="2"/>
      <c r="J407" s="2"/>
      <c r="K407" s="2"/>
      <c r="L407" s="2"/>
      <c r="M407" s="2"/>
      <c r="N407" s="2"/>
      <c r="O407" s="2"/>
      <c r="P407" s="2"/>
    </row>
    <row r="408" spans="1:16" ht="12.75">
      <c r="A408" s="2"/>
      <c r="B408" s="2"/>
      <c r="C408" s="2"/>
      <c r="D408" s="2"/>
      <c r="E408" s="2"/>
      <c r="F408" s="2"/>
      <c r="G408" s="2"/>
      <c r="H408" s="2"/>
      <c r="I408" s="2"/>
      <c r="J408" s="2"/>
      <c r="K408" s="2"/>
      <c r="L408" s="2"/>
      <c r="M408" s="2"/>
      <c r="N408" s="2"/>
      <c r="O408" s="2"/>
      <c r="P408" s="2"/>
    </row>
    <row r="409" spans="1:16" ht="12.75">
      <c r="A409" s="2"/>
      <c r="B409" s="2"/>
      <c r="C409" s="2"/>
      <c r="D409" s="2"/>
      <c r="E409" s="2"/>
      <c r="F409" s="2"/>
      <c r="G409" s="2"/>
      <c r="H409" s="2"/>
      <c r="I409" s="2"/>
      <c r="J409" s="2"/>
      <c r="K409" s="2"/>
      <c r="L409" s="2"/>
      <c r="M409" s="2"/>
      <c r="N409" s="2"/>
      <c r="O409" s="2"/>
      <c r="P409" s="2"/>
    </row>
    <row r="410" spans="1:16" ht="12.75">
      <c r="A410" s="2"/>
      <c r="B410" s="2"/>
      <c r="C410" s="2"/>
      <c r="D410" s="2"/>
      <c r="E410" s="2"/>
      <c r="F410" s="2"/>
      <c r="G410" s="2"/>
      <c r="H410" s="2"/>
      <c r="I410" s="2"/>
      <c r="J410" s="2"/>
      <c r="K410" s="2"/>
      <c r="L410" s="2"/>
      <c r="M410" s="2"/>
      <c r="N410" s="2"/>
      <c r="O410" s="2"/>
      <c r="P410" s="2"/>
    </row>
    <row r="411" spans="1:16" ht="12.75">
      <c r="A411" s="2"/>
      <c r="B411" s="2"/>
      <c r="C411" s="2"/>
      <c r="D411" s="2"/>
      <c r="E411" s="2"/>
      <c r="F411" s="2"/>
      <c r="G411" s="2"/>
      <c r="H411" s="2"/>
      <c r="I411" s="2"/>
      <c r="J411" s="2"/>
      <c r="K411" s="2"/>
      <c r="L411" s="2"/>
      <c r="M411" s="2"/>
      <c r="N411" s="2"/>
      <c r="O411" s="2"/>
      <c r="P411" s="2"/>
    </row>
    <row r="412" spans="1:16" ht="12.75">
      <c r="A412" s="2"/>
      <c r="B412" s="2"/>
      <c r="C412" s="2"/>
      <c r="D412" s="2"/>
      <c r="E412" s="2"/>
      <c r="F412" s="2"/>
      <c r="G412" s="2"/>
      <c r="H412" s="2"/>
      <c r="I412" s="2"/>
      <c r="J412" s="2"/>
      <c r="K412" s="2"/>
      <c r="L412" s="2"/>
      <c r="M412" s="2"/>
      <c r="N412" s="2"/>
      <c r="O412" s="2"/>
      <c r="P412" s="2"/>
    </row>
    <row r="413" spans="1:16" ht="12.75">
      <c r="A413" s="2"/>
      <c r="B413" s="2"/>
      <c r="C413" s="2"/>
      <c r="D413" s="2"/>
      <c r="E413" s="2"/>
      <c r="F413" s="2"/>
      <c r="G413" s="2"/>
      <c r="H413" s="2"/>
      <c r="I413" s="2"/>
      <c r="J413" s="2"/>
      <c r="K413" s="2"/>
      <c r="L413" s="2"/>
      <c r="M413" s="2"/>
      <c r="N413" s="2"/>
      <c r="O413" s="2"/>
      <c r="P413" s="2"/>
    </row>
    <row r="414" spans="1:16" ht="12.75">
      <c r="A414" s="2"/>
      <c r="B414" s="2"/>
      <c r="C414" s="2"/>
      <c r="D414" s="2"/>
      <c r="E414" s="2"/>
      <c r="F414" s="2"/>
      <c r="G414" s="2"/>
      <c r="H414" s="2"/>
      <c r="I414" s="2"/>
      <c r="J414" s="2"/>
      <c r="K414" s="2"/>
      <c r="L414" s="2"/>
      <c r="M414" s="2"/>
      <c r="N414" s="2"/>
      <c r="O414" s="2"/>
      <c r="P414" s="2"/>
    </row>
    <row r="415" spans="1:16" ht="12.75">
      <c r="A415" s="2"/>
      <c r="B415" s="2"/>
      <c r="C415" s="2"/>
      <c r="D415" s="2"/>
      <c r="E415" s="2"/>
      <c r="F415" s="2"/>
      <c r="G415" s="2"/>
      <c r="H415" s="2"/>
      <c r="I415" s="2"/>
      <c r="J415" s="2"/>
      <c r="K415" s="2"/>
      <c r="L415" s="2"/>
      <c r="M415" s="2"/>
      <c r="N415" s="2"/>
      <c r="O415" s="2"/>
      <c r="P415" s="2"/>
    </row>
    <row r="416" spans="1:16" ht="12.75">
      <c r="A416" s="2"/>
      <c r="B416" s="2"/>
      <c r="C416" s="2"/>
      <c r="D416" s="2"/>
      <c r="E416" s="2"/>
      <c r="F416" s="2"/>
      <c r="G416" s="2"/>
      <c r="H416" s="2"/>
      <c r="I416" s="2"/>
      <c r="J416" s="2"/>
      <c r="K416" s="2"/>
      <c r="L416" s="2"/>
      <c r="M416" s="2"/>
      <c r="N416" s="2"/>
      <c r="O416" s="2"/>
      <c r="P416" s="2"/>
    </row>
    <row r="417" spans="1:16" ht="12.75">
      <c r="A417" s="2"/>
      <c r="B417" s="2"/>
      <c r="C417" s="2"/>
      <c r="D417" s="2"/>
      <c r="E417" s="2"/>
      <c r="F417" s="2"/>
      <c r="G417" s="2"/>
      <c r="H417" s="2"/>
      <c r="I417" s="2"/>
      <c r="J417" s="2"/>
      <c r="K417" s="2"/>
      <c r="L417" s="2"/>
      <c r="M417" s="2"/>
      <c r="N417" s="2"/>
      <c r="O417" s="2"/>
      <c r="P417" s="2"/>
    </row>
    <row r="418" spans="1:16" ht="12.75">
      <c r="A418" s="2"/>
      <c r="B418" s="2"/>
      <c r="C418" s="2"/>
      <c r="D418" s="2"/>
      <c r="E418" s="2"/>
      <c r="F418" s="2"/>
      <c r="G418" s="2"/>
      <c r="H418" s="2"/>
      <c r="I418" s="2"/>
      <c r="J418" s="2"/>
      <c r="K418" s="2"/>
      <c r="L418" s="2"/>
      <c r="M418" s="2"/>
      <c r="N418" s="2"/>
      <c r="O418" s="2"/>
      <c r="P418" s="2"/>
    </row>
    <row r="419" spans="1:16" ht="12.75">
      <c r="A419" s="2"/>
      <c r="B419" s="2"/>
      <c r="C419" s="2"/>
      <c r="D419" s="2"/>
      <c r="E419" s="2"/>
      <c r="F419" s="2"/>
      <c r="G419" s="2"/>
      <c r="H419" s="2"/>
      <c r="I419" s="2"/>
      <c r="J419" s="2"/>
      <c r="K419" s="2"/>
      <c r="L419" s="2"/>
      <c r="M419" s="2"/>
      <c r="N419" s="2"/>
      <c r="O419" s="2"/>
      <c r="P419" s="2"/>
    </row>
    <row r="420" spans="1:16" ht="12.75">
      <c r="A420" s="2"/>
      <c r="B420" s="2"/>
      <c r="C420" s="2"/>
      <c r="D420" s="2"/>
      <c r="E420" s="2"/>
      <c r="F420" s="2"/>
      <c r="G420" s="2"/>
      <c r="H420" s="2"/>
      <c r="I420" s="2"/>
      <c r="J420" s="2"/>
      <c r="K420" s="2"/>
      <c r="L420" s="2"/>
      <c r="M420" s="2"/>
      <c r="N420" s="2"/>
      <c r="O420" s="2"/>
      <c r="P420" s="2"/>
    </row>
    <row r="421" spans="1:16" ht="12.75">
      <c r="A421" s="2"/>
      <c r="B421" s="2"/>
      <c r="C421" s="2"/>
      <c r="D421" s="2"/>
      <c r="E421" s="2"/>
      <c r="F421" s="2"/>
      <c r="G421" s="2"/>
      <c r="H421" s="2"/>
      <c r="I421" s="2"/>
      <c r="J421" s="2"/>
      <c r="K421" s="2"/>
      <c r="L421" s="2"/>
      <c r="M421" s="2"/>
      <c r="N421" s="2"/>
      <c r="O421" s="2"/>
      <c r="P421" s="2"/>
    </row>
    <row r="422" spans="1:16" ht="12.75">
      <c r="A422" s="2"/>
      <c r="B422" s="2"/>
      <c r="C422" s="2"/>
      <c r="D422" s="2"/>
      <c r="E422" s="2"/>
      <c r="F422" s="2"/>
      <c r="G422" s="2"/>
      <c r="H422" s="2"/>
      <c r="I422" s="2"/>
      <c r="J422" s="2"/>
      <c r="K422" s="2"/>
      <c r="L422" s="2"/>
      <c r="M422" s="2"/>
      <c r="N422" s="2"/>
      <c r="O422" s="2"/>
      <c r="P422" s="2"/>
    </row>
    <row r="423" spans="1:16" ht="12.75">
      <c r="A423" s="2"/>
      <c r="B423" s="2"/>
      <c r="C423" s="2"/>
      <c r="D423" s="2"/>
      <c r="E423" s="2"/>
      <c r="F423" s="2"/>
      <c r="G423" s="2"/>
      <c r="H423" s="2"/>
      <c r="I423" s="2"/>
      <c r="J423" s="2"/>
      <c r="K423" s="2"/>
      <c r="L423" s="2"/>
      <c r="M423" s="2"/>
      <c r="N423" s="2"/>
      <c r="O423" s="2"/>
      <c r="P423" s="2"/>
    </row>
    <row r="424" spans="1:16" ht="12.75">
      <c r="A424" s="2"/>
      <c r="B424" s="2"/>
      <c r="C424" s="2"/>
      <c r="D424" s="2"/>
      <c r="E424" s="2"/>
      <c r="F424" s="2"/>
      <c r="G424" s="2"/>
      <c r="H424" s="2"/>
      <c r="I424" s="2"/>
      <c r="J424" s="2"/>
      <c r="K424" s="2"/>
      <c r="L424" s="2"/>
      <c r="M424" s="2"/>
      <c r="N424" s="2"/>
      <c r="O424" s="2"/>
      <c r="P424" s="2"/>
    </row>
    <row r="425" spans="1:16" ht="12.75">
      <c r="A425" s="2"/>
      <c r="B425" s="2"/>
      <c r="C425" s="2"/>
      <c r="D425" s="2"/>
      <c r="E425" s="2"/>
      <c r="F425" s="2"/>
      <c r="G425" s="2"/>
      <c r="H425" s="2"/>
      <c r="I425" s="2"/>
      <c r="J425" s="2"/>
      <c r="K425" s="2"/>
      <c r="L425" s="2"/>
      <c r="M425" s="2"/>
      <c r="N425" s="2"/>
      <c r="O425" s="2"/>
      <c r="P425" s="2"/>
    </row>
    <row r="426" spans="1:16" ht="12.75">
      <c r="A426" s="2"/>
      <c r="B426" s="2"/>
      <c r="C426" s="2"/>
      <c r="D426" s="2"/>
      <c r="E426" s="2"/>
      <c r="F426" s="2"/>
      <c r="G426" s="2"/>
      <c r="H426" s="2"/>
      <c r="I426" s="2"/>
      <c r="J426" s="2"/>
      <c r="K426" s="2"/>
      <c r="L426" s="2"/>
      <c r="M426" s="2"/>
      <c r="N426" s="2"/>
      <c r="O426" s="2"/>
      <c r="P426" s="2"/>
    </row>
    <row r="427" spans="1:16" ht="12.75">
      <c r="A427" s="2"/>
      <c r="B427" s="2"/>
      <c r="C427" s="2"/>
      <c r="D427" s="2"/>
      <c r="E427" s="2"/>
      <c r="F427" s="2"/>
      <c r="G427" s="2"/>
      <c r="H427" s="2"/>
      <c r="I427" s="2"/>
      <c r="J427" s="2"/>
      <c r="K427" s="2"/>
      <c r="L427" s="2"/>
      <c r="M427" s="2"/>
      <c r="N427" s="2"/>
      <c r="O427" s="2"/>
      <c r="P427" s="2"/>
    </row>
    <row r="428" spans="1:16" ht="12.75">
      <c r="A428" s="2"/>
      <c r="B428" s="2"/>
      <c r="C428" s="2"/>
      <c r="D428" s="2"/>
      <c r="E428" s="2"/>
      <c r="F428" s="2"/>
      <c r="G428" s="2"/>
      <c r="H428" s="2"/>
      <c r="I428" s="2"/>
      <c r="J428" s="2"/>
      <c r="K428" s="2"/>
      <c r="L428" s="2"/>
      <c r="M428" s="2"/>
      <c r="N428" s="2"/>
      <c r="O428" s="2"/>
      <c r="P428" s="2"/>
    </row>
    <row r="429" spans="1:16" ht="12.75">
      <c r="A429" s="2"/>
      <c r="B429" s="2"/>
      <c r="C429" s="2"/>
      <c r="D429" s="2"/>
      <c r="E429" s="2"/>
      <c r="F429" s="2"/>
      <c r="G429" s="2"/>
      <c r="H429" s="2"/>
      <c r="I429" s="2"/>
      <c r="J429" s="2"/>
      <c r="K429" s="2"/>
      <c r="L429" s="2"/>
      <c r="M429" s="2"/>
      <c r="N429" s="2"/>
      <c r="O429" s="2"/>
      <c r="P429" s="2"/>
    </row>
    <row r="430" spans="1:16" ht="12.75">
      <c r="A430" s="2"/>
      <c r="B430" s="2"/>
      <c r="C430" s="2"/>
      <c r="D430" s="2"/>
      <c r="E430" s="2"/>
      <c r="F430" s="2"/>
      <c r="G430" s="2"/>
      <c r="H430" s="2"/>
      <c r="I430" s="2"/>
      <c r="J430" s="2"/>
      <c r="K430" s="2"/>
      <c r="L430" s="2"/>
      <c r="M430" s="2"/>
      <c r="N430" s="2"/>
      <c r="O430" s="2"/>
      <c r="P430" s="2"/>
    </row>
    <row r="431" spans="1:16" ht="12.75">
      <c r="A431" s="2"/>
      <c r="B431" s="2"/>
      <c r="C431" s="2"/>
      <c r="D431" s="2"/>
      <c r="E431" s="2"/>
      <c r="F431" s="2"/>
      <c r="G431" s="2"/>
      <c r="H431" s="2"/>
      <c r="I431" s="2"/>
      <c r="J431" s="2"/>
      <c r="K431" s="2"/>
      <c r="L431" s="2"/>
      <c r="M431" s="2"/>
      <c r="N431" s="2"/>
      <c r="O431" s="2"/>
      <c r="P431" s="2"/>
    </row>
    <row r="432" spans="1:16" ht="12.75">
      <c r="A432" s="2"/>
      <c r="B432" s="2"/>
      <c r="C432" s="2"/>
      <c r="D432" s="2"/>
      <c r="E432" s="2"/>
      <c r="F432" s="2"/>
      <c r="G432" s="2"/>
      <c r="H432" s="2"/>
      <c r="I432" s="2"/>
      <c r="J432" s="2"/>
      <c r="K432" s="2"/>
      <c r="L432" s="2"/>
      <c r="M432" s="2"/>
      <c r="N432" s="2"/>
      <c r="O432" s="2"/>
      <c r="P432" s="2"/>
    </row>
    <row r="433" spans="1:16" ht="12.75">
      <c r="A433" s="2"/>
      <c r="B433" s="2"/>
      <c r="C433" s="2"/>
      <c r="D433" s="2"/>
      <c r="E433" s="2"/>
      <c r="F433" s="2"/>
      <c r="G433" s="2"/>
      <c r="H433" s="2"/>
      <c r="I433" s="2"/>
      <c r="J433" s="2"/>
      <c r="K433" s="2"/>
      <c r="L433" s="2"/>
      <c r="M433" s="2"/>
      <c r="N433" s="2"/>
      <c r="O433" s="2"/>
      <c r="P433" s="2"/>
    </row>
    <row r="434" spans="1:16" ht="12.75">
      <c r="A434" s="2"/>
      <c r="B434" s="2"/>
      <c r="C434" s="2"/>
      <c r="D434" s="2"/>
      <c r="E434" s="2"/>
      <c r="F434" s="2"/>
      <c r="G434" s="2"/>
      <c r="H434" s="2"/>
      <c r="I434" s="2"/>
      <c r="J434" s="2"/>
      <c r="K434" s="2"/>
      <c r="L434" s="2"/>
      <c r="M434" s="2"/>
      <c r="N434" s="2"/>
      <c r="O434" s="2"/>
      <c r="P434" s="2"/>
    </row>
    <row r="435" spans="1:16" ht="12.75">
      <c r="A435" s="2"/>
      <c r="B435" s="2"/>
      <c r="C435" s="2"/>
      <c r="D435" s="2"/>
      <c r="E435" s="2"/>
      <c r="F435" s="2"/>
      <c r="G435" s="2"/>
      <c r="H435" s="2"/>
      <c r="I435" s="2"/>
      <c r="J435" s="2"/>
      <c r="K435" s="2"/>
      <c r="L435" s="2"/>
      <c r="M435" s="2"/>
      <c r="N435" s="2"/>
      <c r="O435" s="2"/>
      <c r="P435" s="2"/>
    </row>
    <row r="436" spans="1:16" ht="12.75">
      <c r="A436" s="2"/>
      <c r="B436" s="2"/>
      <c r="C436" s="2"/>
      <c r="D436" s="2"/>
      <c r="E436" s="2"/>
      <c r="F436" s="2"/>
      <c r="G436" s="2"/>
      <c r="H436" s="2"/>
      <c r="I436" s="2"/>
      <c r="J436" s="2"/>
      <c r="K436" s="2"/>
      <c r="L436" s="2"/>
      <c r="M436" s="2"/>
      <c r="N436" s="2"/>
      <c r="O436" s="2"/>
      <c r="P436" s="2"/>
    </row>
    <row r="437" spans="1:16" ht="12.75">
      <c r="A437" s="2"/>
      <c r="B437" s="2"/>
      <c r="C437" s="2"/>
      <c r="D437" s="2"/>
      <c r="E437" s="2"/>
      <c r="F437" s="2"/>
      <c r="G437" s="2"/>
      <c r="H437" s="2"/>
      <c r="I437" s="2"/>
      <c r="J437" s="2"/>
      <c r="K437" s="2"/>
      <c r="L437" s="2"/>
      <c r="M437" s="2"/>
      <c r="N437" s="2"/>
      <c r="O437" s="2"/>
      <c r="P437" s="2"/>
    </row>
    <row r="438" spans="1:16" ht="12.75">
      <c r="A438" s="2"/>
      <c r="B438" s="2"/>
      <c r="C438" s="2"/>
      <c r="D438" s="2"/>
      <c r="E438" s="2"/>
      <c r="F438" s="2"/>
      <c r="G438" s="2"/>
      <c r="H438" s="2"/>
      <c r="I438" s="2"/>
      <c r="J438" s="2"/>
      <c r="K438" s="2"/>
      <c r="L438" s="2"/>
      <c r="M438" s="2"/>
      <c r="N438" s="2"/>
      <c r="O438" s="2"/>
      <c r="P438" s="2"/>
    </row>
    <row r="439" spans="1:16" ht="12.75">
      <c r="A439" s="2"/>
      <c r="B439" s="2"/>
      <c r="C439" s="2"/>
      <c r="D439" s="2"/>
      <c r="E439" s="2"/>
      <c r="F439" s="2"/>
      <c r="G439" s="2"/>
      <c r="H439" s="2"/>
      <c r="I439" s="2"/>
      <c r="J439" s="2"/>
      <c r="K439" s="2"/>
      <c r="L439" s="2"/>
      <c r="M439" s="2"/>
      <c r="N439" s="2"/>
      <c r="O439" s="2"/>
      <c r="P439" s="2"/>
    </row>
    <row r="440" spans="1:16" ht="12.75">
      <c r="A440" s="2"/>
      <c r="B440" s="2"/>
      <c r="C440" s="2"/>
      <c r="D440" s="2"/>
      <c r="E440" s="2"/>
      <c r="F440" s="2"/>
      <c r="G440" s="2"/>
      <c r="H440" s="2"/>
      <c r="I440" s="2"/>
      <c r="J440" s="2"/>
      <c r="K440" s="2"/>
      <c r="L440" s="2"/>
      <c r="M440" s="2"/>
      <c r="N440" s="2"/>
      <c r="O440" s="2"/>
      <c r="P440" s="2"/>
    </row>
    <row r="441" spans="1:16" ht="12.75">
      <c r="A441" s="2"/>
      <c r="B441" s="2"/>
      <c r="C441" s="2"/>
      <c r="D441" s="2"/>
      <c r="E441" s="2"/>
      <c r="F441" s="2"/>
      <c r="G441" s="2"/>
      <c r="H441" s="2"/>
      <c r="I441" s="2"/>
      <c r="J441" s="2"/>
      <c r="K441" s="2"/>
      <c r="L441" s="2"/>
      <c r="M441" s="2"/>
      <c r="N441" s="2"/>
      <c r="O441" s="2"/>
      <c r="P441" s="2"/>
    </row>
    <row r="442" spans="1:16" ht="12.75">
      <c r="A442" s="2"/>
      <c r="B442" s="2"/>
      <c r="C442" s="2"/>
      <c r="D442" s="2"/>
      <c r="E442" s="2"/>
      <c r="F442" s="2"/>
      <c r="G442" s="2"/>
      <c r="H442" s="2"/>
      <c r="I442" s="2"/>
      <c r="J442" s="2"/>
      <c r="K442" s="2"/>
      <c r="L442" s="2"/>
      <c r="M442" s="2"/>
      <c r="N442" s="2"/>
      <c r="O442" s="2"/>
      <c r="P442" s="2"/>
    </row>
    <row r="443" spans="1:16">
      <c r="A443" s="2"/>
      <c r="B443" s="2"/>
    </row>
    <row r="444" spans="1:16">
      <c r="A444" s="2"/>
      <c r="B444" s="2"/>
    </row>
    <row r="445" spans="1:16">
      <c r="A445" s="2"/>
      <c r="B445" s="2"/>
    </row>
    <row r="446" spans="1:16">
      <c r="A446" s="2"/>
      <c r="B446" s="2"/>
    </row>
    <row r="447" spans="1:16">
      <c r="A447" s="2"/>
      <c r="B447" s="2"/>
    </row>
    <row r="448" spans="1:16">
      <c r="A448" s="2"/>
      <c r="B448" s="2"/>
    </row>
    <row r="449" spans="1:2">
      <c r="A449" s="2"/>
      <c r="B449" s="2"/>
    </row>
    <row r="450" spans="1:2">
      <c r="A450" s="2"/>
      <c r="B450" s="2"/>
    </row>
    <row r="451" spans="1:2">
      <c r="A451" s="2"/>
      <c r="B451" s="2"/>
    </row>
    <row r="452" spans="1:2">
      <c r="A452" s="2"/>
      <c r="B452" s="2"/>
    </row>
    <row r="453" spans="1:2">
      <c r="A453" s="2"/>
      <c r="B453" s="2"/>
    </row>
    <row r="454" spans="1:2">
      <c r="A454" s="2"/>
      <c r="B454" s="2"/>
    </row>
    <row r="455" spans="1:2">
      <c r="A455" s="2"/>
      <c r="B455" s="2"/>
    </row>
    <row r="456" spans="1:2">
      <c r="A456" s="2"/>
      <c r="B456" s="2"/>
    </row>
    <row r="457" spans="1:2">
      <c r="A457" s="2"/>
      <c r="B457" s="2"/>
    </row>
    <row r="458" spans="1:2">
      <c r="A458" s="2"/>
      <c r="B458" s="2"/>
    </row>
    <row r="459" spans="1:2">
      <c r="A459" s="2"/>
      <c r="B459" s="2"/>
    </row>
    <row r="460" spans="1:2">
      <c r="A460" s="2"/>
      <c r="B460" s="2"/>
    </row>
    <row r="461" spans="1:2">
      <c r="A461" s="2"/>
      <c r="B461" s="2"/>
    </row>
    <row r="462" spans="1:2">
      <c r="A462" s="2"/>
      <c r="B462" s="2"/>
    </row>
    <row r="463" spans="1:2">
      <c r="A463" s="2"/>
      <c r="B463" s="2"/>
    </row>
    <row r="464" spans="1:2">
      <c r="A464" s="2"/>
      <c r="B464" s="2"/>
    </row>
    <row r="465" spans="1:2">
      <c r="A465" s="2"/>
      <c r="B465" s="2"/>
    </row>
    <row r="466" spans="1:2">
      <c r="A466" s="2"/>
      <c r="B466" s="2"/>
    </row>
  </sheetData>
  <mergeCells count="13">
    <mergeCell ref="C3:P3"/>
    <mergeCell ref="A5:A6"/>
    <mergeCell ref="B5:B6"/>
    <mergeCell ref="C5:G5"/>
    <mergeCell ref="L5:P5"/>
    <mergeCell ref="H5:K5"/>
    <mergeCell ref="A1:B4"/>
    <mergeCell ref="C2:P2"/>
    <mergeCell ref="D65:J65"/>
    <mergeCell ref="D73:J73"/>
    <mergeCell ref="D76:J76"/>
    <mergeCell ref="D80:J80"/>
    <mergeCell ref="A8:P8"/>
  </mergeCells>
  <phoneticPr fontId="0" type="noConversion"/>
  <printOptions horizontalCentered="1" gridLines="1"/>
  <pageMargins left="0.25" right="0" top="0.18" bottom="0.25" header="0.2" footer="0.25"/>
  <pageSetup paperSize="9" scale="43" orientation="landscape" r:id="rId1"/>
  <headerFooter alignWithMargins="0">
    <oddFooter>&amp;R&amp;F, &amp;A, &amp;P из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5"/>
  <sheetViews>
    <sheetView topLeftCell="A3" workbookViewId="0">
      <selection activeCell="A21" sqref="A21"/>
    </sheetView>
  </sheetViews>
  <sheetFormatPr defaultColWidth="8.85546875" defaultRowHeight="12.75"/>
  <cols>
    <col min="1" max="1" width="51.85546875" style="1845" customWidth="1"/>
    <col min="2" max="2" width="17.85546875" style="1845" customWidth="1"/>
    <col min="3" max="3" width="19.85546875" style="1845" customWidth="1"/>
    <col min="4" max="16384" width="8.85546875" style="1845"/>
  </cols>
  <sheetData>
    <row r="1" spans="1:2" hidden="1">
      <c r="A1" s="1141"/>
      <c r="B1" s="1141" t="s">
        <v>1939</v>
      </c>
    </row>
    <row r="2" spans="1:2" ht="15" hidden="1">
      <c r="A2" s="2008"/>
      <c r="B2" s="1141" t="s">
        <v>1940</v>
      </c>
    </row>
    <row r="3" spans="1:2" ht="25.5">
      <c r="A3" s="2009" t="s">
        <v>1191</v>
      </c>
      <c r="B3" s="2010" t="s">
        <v>1941</v>
      </c>
    </row>
    <row r="4" spans="1:2">
      <c r="A4" s="2009" t="s">
        <v>1193</v>
      </c>
      <c r="B4" s="2010" t="s">
        <v>1194</v>
      </c>
    </row>
    <row r="5" spans="1:2">
      <c r="A5" s="2009" t="s">
        <v>1195</v>
      </c>
      <c r="B5" s="2011">
        <v>71</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4"/>
  <sheetViews>
    <sheetView workbookViewId="0">
      <selection activeCell="A21" sqref="A21"/>
    </sheetView>
  </sheetViews>
  <sheetFormatPr defaultColWidth="9.140625" defaultRowHeight="12.75"/>
  <cols>
    <col min="1" max="1" width="22.7109375" style="2013" customWidth="1"/>
    <col min="2" max="16384" width="9.140625" style="2013"/>
  </cols>
  <sheetData>
    <row r="1" spans="1:1">
      <c r="A1" s="2012" t="s">
        <v>1942</v>
      </c>
    </row>
    <row r="2" spans="1:1" hidden="1">
      <c r="A2" s="2013" t="s">
        <v>1943</v>
      </c>
    </row>
    <row r="3" spans="1:1">
      <c r="A3" s="2014" t="s">
        <v>1318</v>
      </c>
    </row>
    <row r="4" spans="1:1">
      <c r="A4" s="2015"/>
    </row>
  </sheetData>
  <dataValidations count="1">
    <dataValidation type="textLength" operator="equal" allowBlank="1" showInputMessage="1" showErrorMessage="1" error="Код ГТП должен содержать 8 символов" sqref="A3">
      <formula1>8</formula1>
    </dataValidation>
  </dataValidations>
  <pageMargins left="0.7" right="0.7" top="0.75" bottom="0.75" header="0.3" footer="0.3"/>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78"/>
  <sheetViews>
    <sheetView workbookViewId="0">
      <selection activeCell="A21" sqref="A21"/>
    </sheetView>
  </sheetViews>
  <sheetFormatPr defaultColWidth="8.85546875" defaultRowHeight="12.75"/>
  <cols>
    <col min="1" max="1" width="8.140625" style="1845" customWidth="1"/>
    <col min="2" max="2" width="42.7109375" style="1845" customWidth="1"/>
    <col min="3" max="16384" width="8.85546875" style="1845"/>
  </cols>
  <sheetData>
    <row r="1" spans="1:2">
      <c r="A1" s="2009" t="s">
        <v>1196</v>
      </c>
      <c r="B1" s="2009" t="s">
        <v>746</v>
      </c>
    </row>
    <row r="2" spans="1:2">
      <c r="A2" s="2009">
        <v>1</v>
      </c>
      <c r="B2" s="2009" t="s">
        <v>1197</v>
      </c>
    </row>
    <row r="3" spans="1:2">
      <c r="A3" s="2009">
        <v>3</v>
      </c>
      <c r="B3" s="2009" t="s">
        <v>1198</v>
      </c>
    </row>
    <row r="4" spans="1:2">
      <c r="A4" s="2009">
        <v>4</v>
      </c>
      <c r="B4" s="2009" t="s">
        <v>1199</v>
      </c>
    </row>
    <row r="5" spans="1:2">
      <c r="A5" s="2009">
        <v>5</v>
      </c>
      <c r="B5" s="2009" t="s">
        <v>1944</v>
      </c>
    </row>
    <row r="6" spans="1:2">
      <c r="A6" s="2009">
        <v>7</v>
      </c>
      <c r="B6" s="2009" t="s">
        <v>1200</v>
      </c>
    </row>
    <row r="7" spans="1:2">
      <c r="A7" s="2009">
        <v>8</v>
      </c>
      <c r="B7" s="2009" t="s">
        <v>1945</v>
      </c>
    </row>
    <row r="8" spans="1:2">
      <c r="A8" s="2009">
        <v>10</v>
      </c>
      <c r="B8" s="2009" t="s">
        <v>1946</v>
      </c>
    </row>
    <row r="9" spans="1:2">
      <c r="A9" s="2009">
        <v>11</v>
      </c>
      <c r="B9" s="2009" t="s">
        <v>1947</v>
      </c>
    </row>
    <row r="10" spans="1:2">
      <c r="A10" s="2009">
        <v>12</v>
      </c>
      <c r="B10" s="2009" t="s">
        <v>1201</v>
      </c>
    </row>
    <row r="11" spans="1:2">
      <c r="A11" s="2009">
        <v>14</v>
      </c>
      <c r="B11" s="2009" t="s">
        <v>1202</v>
      </c>
    </row>
    <row r="12" spans="1:2">
      <c r="A12" s="2009">
        <v>15</v>
      </c>
      <c r="B12" s="2009" t="s">
        <v>1203</v>
      </c>
    </row>
    <row r="13" spans="1:2">
      <c r="A13" s="2009">
        <v>17</v>
      </c>
      <c r="B13" s="2009" t="s">
        <v>1204</v>
      </c>
    </row>
    <row r="14" spans="1:2">
      <c r="A14" s="2009">
        <v>18</v>
      </c>
      <c r="B14" s="2009" t="s">
        <v>1205</v>
      </c>
    </row>
    <row r="15" spans="1:2">
      <c r="A15" s="2009">
        <v>19</v>
      </c>
      <c r="B15" s="2009" t="s">
        <v>1206</v>
      </c>
    </row>
    <row r="16" spans="1:2">
      <c r="A16" s="2009">
        <v>20</v>
      </c>
      <c r="B16" s="2009" t="s">
        <v>1207</v>
      </c>
    </row>
    <row r="17" spans="1:2">
      <c r="A17" s="2009">
        <v>22</v>
      </c>
      <c r="B17" s="2009" t="s">
        <v>1208</v>
      </c>
    </row>
    <row r="18" spans="1:2">
      <c r="A18" s="2009">
        <v>24</v>
      </c>
      <c r="B18" s="2009" t="s">
        <v>1209</v>
      </c>
    </row>
    <row r="19" spans="1:2">
      <c r="A19" s="2009">
        <v>25</v>
      </c>
      <c r="B19" s="2009" t="s">
        <v>1210</v>
      </c>
    </row>
    <row r="20" spans="1:2">
      <c r="A20" s="2009">
        <v>26</v>
      </c>
      <c r="B20" s="2009" t="s">
        <v>1211</v>
      </c>
    </row>
    <row r="21" spans="1:2">
      <c r="A21" s="2009">
        <v>27</v>
      </c>
      <c r="B21" s="2009" t="s">
        <v>1948</v>
      </c>
    </row>
    <row r="22" spans="1:2">
      <c r="A22" s="2009">
        <v>28</v>
      </c>
      <c r="B22" s="2009" t="s">
        <v>1212</v>
      </c>
    </row>
    <row r="23" spans="1:2">
      <c r="A23" s="2009">
        <v>29</v>
      </c>
      <c r="B23" s="2009" t="s">
        <v>1213</v>
      </c>
    </row>
    <row r="24" spans="1:2">
      <c r="A24" s="2009">
        <v>32</v>
      </c>
      <c r="B24" s="2009" t="s">
        <v>1214</v>
      </c>
    </row>
    <row r="25" spans="1:2">
      <c r="A25" s="2009">
        <v>33</v>
      </c>
      <c r="B25" s="2009" t="s">
        <v>1215</v>
      </c>
    </row>
    <row r="26" spans="1:2">
      <c r="A26" s="2009">
        <v>34</v>
      </c>
      <c r="B26" s="2009" t="s">
        <v>1216</v>
      </c>
    </row>
    <row r="27" spans="1:2">
      <c r="A27" s="2009">
        <v>35</v>
      </c>
      <c r="B27" s="2009" t="s">
        <v>1949</v>
      </c>
    </row>
    <row r="28" spans="1:2">
      <c r="A28" s="2009">
        <v>36</v>
      </c>
      <c r="B28" s="2009" t="s">
        <v>1217</v>
      </c>
    </row>
    <row r="29" spans="1:2">
      <c r="A29" s="2009">
        <v>37</v>
      </c>
      <c r="B29" s="2009" t="s">
        <v>1218</v>
      </c>
    </row>
    <row r="30" spans="1:2">
      <c r="A30" s="2009">
        <v>38</v>
      </c>
      <c r="B30" s="2009" t="s">
        <v>1219</v>
      </c>
    </row>
    <row r="31" spans="1:2">
      <c r="A31" s="2009">
        <v>40</v>
      </c>
      <c r="B31" s="2009" t="s">
        <v>1220</v>
      </c>
    </row>
    <row r="32" spans="1:2">
      <c r="A32" s="2009">
        <v>41</v>
      </c>
      <c r="B32" s="2009" t="s">
        <v>1221</v>
      </c>
    </row>
    <row r="33" spans="1:2">
      <c r="A33" s="2009">
        <v>42</v>
      </c>
      <c r="B33" s="2009" t="s">
        <v>1222</v>
      </c>
    </row>
    <row r="34" spans="1:2">
      <c r="A34" s="2009">
        <v>45</v>
      </c>
      <c r="B34" s="2009" t="s">
        <v>1223</v>
      </c>
    </row>
    <row r="35" spans="1:2">
      <c r="A35" s="2009">
        <v>46</v>
      </c>
      <c r="B35" s="2009" t="s">
        <v>1224</v>
      </c>
    </row>
    <row r="36" spans="1:2">
      <c r="A36" s="2009">
        <v>47</v>
      </c>
      <c r="B36" s="2009" t="s">
        <v>1225</v>
      </c>
    </row>
    <row r="37" spans="1:2">
      <c r="A37" s="2009">
        <v>49</v>
      </c>
      <c r="B37" s="2009" t="s">
        <v>1226</v>
      </c>
    </row>
    <row r="38" spans="1:2">
      <c r="A38" s="2009">
        <v>50</v>
      </c>
      <c r="B38" s="2009" t="s">
        <v>1227</v>
      </c>
    </row>
    <row r="39" spans="1:2">
      <c r="A39" s="2009">
        <v>52</v>
      </c>
      <c r="B39" s="2009" t="s">
        <v>1228</v>
      </c>
    </row>
    <row r="40" spans="1:2">
      <c r="A40" s="2009">
        <v>53</v>
      </c>
      <c r="B40" s="2009" t="s">
        <v>1229</v>
      </c>
    </row>
    <row r="41" spans="1:2">
      <c r="A41" s="2009">
        <v>54</v>
      </c>
      <c r="B41" s="2009" t="s">
        <v>1230</v>
      </c>
    </row>
    <row r="42" spans="1:2">
      <c r="A42" s="2009">
        <v>56</v>
      </c>
      <c r="B42" s="2009" t="s">
        <v>1231</v>
      </c>
    </row>
    <row r="43" spans="1:2">
      <c r="A43" s="2009">
        <v>57</v>
      </c>
      <c r="B43" s="2009" t="s">
        <v>1232</v>
      </c>
    </row>
    <row r="44" spans="1:2">
      <c r="A44" s="2009">
        <v>58</v>
      </c>
      <c r="B44" s="2009" t="s">
        <v>1233</v>
      </c>
    </row>
    <row r="45" spans="1:2">
      <c r="A45" s="2009">
        <v>60</v>
      </c>
      <c r="B45" s="2009" t="s">
        <v>1234</v>
      </c>
    </row>
    <row r="46" spans="1:2">
      <c r="A46" s="2009">
        <v>61</v>
      </c>
      <c r="B46" s="2009" t="s">
        <v>1235</v>
      </c>
    </row>
    <row r="47" spans="1:2">
      <c r="A47" s="2009">
        <v>63</v>
      </c>
      <c r="B47" s="2009" t="s">
        <v>1236</v>
      </c>
    </row>
    <row r="48" spans="1:2">
      <c r="A48" s="2009">
        <v>65</v>
      </c>
      <c r="B48" s="2009" t="s">
        <v>1237</v>
      </c>
    </row>
    <row r="49" spans="1:2">
      <c r="A49" s="2009">
        <v>66</v>
      </c>
      <c r="B49" s="2009" t="s">
        <v>1238</v>
      </c>
    </row>
    <row r="50" spans="1:2">
      <c r="A50" s="2009">
        <v>67</v>
      </c>
      <c r="B50" s="2009" t="s">
        <v>1950</v>
      </c>
    </row>
    <row r="51" spans="1:2">
      <c r="A51" s="2009">
        <v>68</v>
      </c>
      <c r="B51" s="2009" t="s">
        <v>1239</v>
      </c>
    </row>
    <row r="52" spans="1:2">
      <c r="A52" s="2009">
        <v>69</v>
      </c>
      <c r="B52" s="2009" t="s">
        <v>1240</v>
      </c>
    </row>
    <row r="53" spans="1:2">
      <c r="A53" s="2009">
        <v>70</v>
      </c>
      <c r="B53" s="2009" t="s">
        <v>1241</v>
      </c>
    </row>
    <row r="54" spans="1:2">
      <c r="A54" s="2009">
        <v>71</v>
      </c>
      <c r="B54" s="2009" t="s">
        <v>1242</v>
      </c>
    </row>
    <row r="55" spans="1:2">
      <c r="A55" s="2009">
        <v>73</v>
      </c>
      <c r="B55" s="2009" t="s">
        <v>1243</v>
      </c>
    </row>
    <row r="56" spans="1:2">
      <c r="A56" s="2009">
        <v>75</v>
      </c>
      <c r="B56" s="2009" t="s">
        <v>1244</v>
      </c>
    </row>
    <row r="57" spans="1:2">
      <c r="A57" s="2009">
        <v>76200</v>
      </c>
      <c r="B57" s="2009" t="s">
        <v>1245</v>
      </c>
    </row>
    <row r="58" spans="1:2">
      <c r="A58" s="2009">
        <v>78</v>
      </c>
      <c r="B58" s="2009" t="s">
        <v>1246</v>
      </c>
    </row>
    <row r="59" spans="1:2">
      <c r="A59" s="2009">
        <v>80</v>
      </c>
      <c r="B59" s="2009" t="s">
        <v>1247</v>
      </c>
    </row>
    <row r="60" spans="1:2">
      <c r="A60" s="2009">
        <v>81</v>
      </c>
      <c r="B60" s="2009" t="s">
        <v>1248</v>
      </c>
    </row>
    <row r="61" spans="1:2">
      <c r="A61" s="2009">
        <v>82</v>
      </c>
      <c r="B61" s="2009" t="s">
        <v>1249</v>
      </c>
    </row>
    <row r="62" spans="1:2">
      <c r="A62" s="2009">
        <v>83</v>
      </c>
      <c r="B62" s="2009" t="s">
        <v>1250</v>
      </c>
    </row>
    <row r="63" spans="1:2">
      <c r="A63" s="2009">
        <v>84</v>
      </c>
      <c r="B63" s="2009" t="s">
        <v>1251</v>
      </c>
    </row>
    <row r="64" spans="1:2">
      <c r="A64" s="2009">
        <v>85</v>
      </c>
      <c r="B64" s="2009" t="s">
        <v>1252</v>
      </c>
    </row>
    <row r="65" spans="1:2">
      <c r="A65" s="2009">
        <v>86</v>
      </c>
      <c r="B65" s="2009" t="s">
        <v>1253</v>
      </c>
    </row>
    <row r="66" spans="1:2">
      <c r="A66" s="2009">
        <v>87</v>
      </c>
      <c r="B66" s="2009" t="s">
        <v>1951</v>
      </c>
    </row>
    <row r="67" spans="1:2">
      <c r="A67" s="2009">
        <v>88</v>
      </c>
      <c r="B67" s="2009" t="s">
        <v>1952</v>
      </c>
    </row>
    <row r="68" spans="1:2">
      <c r="A68" s="2009">
        <v>89</v>
      </c>
      <c r="B68" s="2009" t="s">
        <v>1255</v>
      </c>
    </row>
    <row r="69" spans="1:2">
      <c r="A69" s="2009">
        <v>90</v>
      </c>
      <c r="B69" s="2009" t="s">
        <v>1256</v>
      </c>
    </row>
    <row r="70" spans="1:2">
      <c r="A70" s="2009">
        <v>91</v>
      </c>
      <c r="B70" s="2009" t="s">
        <v>1257</v>
      </c>
    </row>
    <row r="71" spans="1:2">
      <c r="A71" s="2009">
        <v>92</v>
      </c>
      <c r="B71" s="2009" t="s">
        <v>1258</v>
      </c>
    </row>
    <row r="72" spans="1:2">
      <c r="A72" s="2009">
        <v>93</v>
      </c>
      <c r="B72" s="2009" t="s">
        <v>1259</v>
      </c>
    </row>
    <row r="73" spans="1:2">
      <c r="A73" s="2009">
        <v>94</v>
      </c>
      <c r="B73" s="2009" t="s">
        <v>1260</v>
      </c>
    </row>
    <row r="74" spans="1:2">
      <c r="A74" s="2009">
        <v>95</v>
      </c>
      <c r="B74" s="2009" t="s">
        <v>1261</v>
      </c>
    </row>
    <row r="75" spans="1:2">
      <c r="A75" s="2009">
        <v>96</v>
      </c>
      <c r="B75" s="2009" t="s">
        <v>1262</v>
      </c>
    </row>
    <row r="76" spans="1:2">
      <c r="A76" s="2009">
        <v>97</v>
      </c>
      <c r="B76" s="2009" t="s">
        <v>1263</v>
      </c>
    </row>
    <row r="77" spans="1:2">
      <c r="A77" s="2009">
        <v>98</v>
      </c>
      <c r="B77" s="2009" t="s">
        <v>1953</v>
      </c>
    </row>
    <row r="78" spans="1:2">
      <c r="A78" s="2009">
        <v>99</v>
      </c>
      <c r="B78" s="2009" t="s">
        <v>1954</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FD16"/>
  <sheetViews>
    <sheetView workbookViewId="0">
      <selection activeCell="A21" sqref="A21"/>
    </sheetView>
  </sheetViews>
  <sheetFormatPr defaultRowHeight="12.75"/>
  <cols>
    <col min="1" max="1" width="8.85546875" style="1845"/>
    <col min="2" max="2" width="59.28515625" style="1845" customWidth="1"/>
    <col min="3" max="16381" width="8.85546875" style="1845"/>
    <col min="16382" max="16382" width="9.140625" style="1845" customWidth="1"/>
    <col min="16383" max="16383" width="8.85546875" style="1845"/>
    <col min="16384" max="16384" width="3" style="1845" hidden="1" customWidth="1"/>
  </cols>
  <sheetData>
    <row r="1" spans="1:2 16384:16384">
      <c r="A1" s="2009" t="s">
        <v>1196</v>
      </c>
      <c r="B1" s="2009" t="s">
        <v>746</v>
      </c>
      <c r="XFD1" s="1146">
        <v>0</v>
      </c>
    </row>
    <row r="2" spans="1:2 16384:16384" ht="14.25" customHeight="1">
      <c r="A2" s="1146">
        <v>0</v>
      </c>
      <c r="B2" s="1146" t="s">
        <v>1264</v>
      </c>
      <c r="XFD2" s="1146">
        <v>1</v>
      </c>
    </row>
    <row r="3" spans="1:2 16384:16384">
      <c r="A3" s="1146">
        <v>1</v>
      </c>
      <c r="B3" s="1146" t="s">
        <v>1265</v>
      </c>
      <c r="XFD3" s="1146">
        <v>4</v>
      </c>
    </row>
    <row r="4" spans="1:2 16384:16384">
      <c r="A4" s="1146">
        <v>2</v>
      </c>
      <c r="B4" s="1146" t="s">
        <v>439</v>
      </c>
      <c r="XFD4" s="1146">
        <v>5</v>
      </c>
    </row>
    <row r="5" spans="1:2 16384:16384">
      <c r="A5" s="1146">
        <v>3</v>
      </c>
      <c r="B5" s="1146" t="s">
        <v>514</v>
      </c>
      <c r="XFD5" s="1146">
        <v>6</v>
      </c>
    </row>
    <row r="6" spans="1:2 16384:16384">
      <c r="A6" s="1146">
        <v>4</v>
      </c>
      <c r="B6" s="1146" t="s">
        <v>9</v>
      </c>
      <c r="XFD6" s="1146">
        <v>7</v>
      </c>
    </row>
    <row r="7" spans="1:2 16384:16384">
      <c r="A7" s="1146">
        <v>5</v>
      </c>
      <c r="B7" s="1146" t="s">
        <v>513</v>
      </c>
      <c r="XFD7" s="1146">
        <v>8</v>
      </c>
    </row>
    <row r="8" spans="1:2 16384:16384">
      <c r="A8" s="1146">
        <v>6</v>
      </c>
      <c r="B8" s="1146" t="s">
        <v>279</v>
      </c>
      <c r="XFD8" s="1146">
        <v>9</v>
      </c>
    </row>
    <row r="9" spans="1:2 16384:16384">
      <c r="A9" s="1146">
        <v>7</v>
      </c>
      <c r="B9" s="1146" t="s">
        <v>12</v>
      </c>
      <c r="XFD9" s="1146">
        <v>10</v>
      </c>
    </row>
    <row r="10" spans="1:2 16384:16384">
      <c r="A10" s="1146">
        <v>8</v>
      </c>
      <c r="B10" s="1146" t="s">
        <v>1270</v>
      </c>
      <c r="XFD10" s="1146">
        <v>11</v>
      </c>
    </row>
    <row r="11" spans="1:2 16384:16384">
      <c r="A11" s="1146">
        <v>9</v>
      </c>
      <c r="B11" s="1146" t="s">
        <v>1271</v>
      </c>
      <c r="XFD11" s="1146">
        <v>12</v>
      </c>
    </row>
    <row r="12" spans="1:2 16384:16384">
      <c r="A12" s="1146">
        <v>10</v>
      </c>
      <c r="B12" s="1146" t="s">
        <v>1272</v>
      </c>
      <c r="XFD12" s="1146">
        <v>13</v>
      </c>
    </row>
    <row r="13" spans="1:2 16384:16384">
      <c r="A13" s="1146">
        <v>11</v>
      </c>
      <c r="B13" s="1146" t="s">
        <v>1273</v>
      </c>
      <c r="XFD13" s="1146">
        <v>14</v>
      </c>
    </row>
    <row r="14" spans="1:2 16384:16384">
      <c r="A14" s="1146">
        <v>12</v>
      </c>
      <c r="B14" s="1146" t="s">
        <v>1274</v>
      </c>
    </row>
    <row r="15" spans="1:2 16384:16384">
      <c r="A15" s="1146">
        <v>13</v>
      </c>
      <c r="B15" s="1146" t="s">
        <v>1955</v>
      </c>
    </row>
    <row r="16" spans="1:2 16384:16384">
      <c r="A16" s="1146">
        <v>14</v>
      </c>
      <c r="B16" s="1146" t="s">
        <v>1956</v>
      </c>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22"/>
  <sheetViews>
    <sheetView topLeftCell="M1" zoomScale="115" zoomScaleNormal="115" workbookViewId="0">
      <selection activeCell="Q14" sqref="Q14"/>
    </sheetView>
  </sheetViews>
  <sheetFormatPr defaultColWidth="8.85546875" defaultRowHeight="12.75"/>
  <cols>
    <col min="1" max="1" width="13.85546875" style="1845" customWidth="1"/>
    <col min="2" max="2" width="16.28515625" style="1845" customWidth="1"/>
    <col min="3" max="3" width="36.7109375" style="1845" customWidth="1"/>
    <col min="4" max="4" width="31.7109375" style="1845" customWidth="1"/>
    <col min="5" max="5" width="26.85546875" style="1845" customWidth="1"/>
    <col min="6" max="6" width="19.140625" style="1845" customWidth="1"/>
    <col min="7" max="11" width="18.7109375" style="1845" customWidth="1"/>
    <col min="12" max="12" width="18.5703125" style="1845" customWidth="1"/>
    <col min="13" max="13" width="19.28515625" style="1845" customWidth="1"/>
    <col min="14" max="15" width="35.7109375" style="1845" customWidth="1"/>
    <col min="16" max="16" width="18.7109375" style="1845" customWidth="1"/>
    <col min="17" max="18" width="35.7109375" style="1845" customWidth="1"/>
    <col min="19" max="19" width="18.7109375" style="1845" customWidth="1"/>
    <col min="20" max="21" width="35.7109375" style="1845" customWidth="1"/>
    <col min="22" max="22" width="18.7109375" style="1845" customWidth="1"/>
    <col min="23" max="24" width="35.7109375" style="1845" customWidth="1"/>
    <col min="25" max="25" width="18.7109375" style="1845" customWidth="1"/>
    <col min="26" max="16384" width="8.85546875" style="1845"/>
  </cols>
  <sheetData>
    <row r="1" spans="1:25" ht="15.75">
      <c r="A1" s="2016" t="s">
        <v>1957</v>
      </c>
      <c r="B1" s="2017"/>
      <c r="C1" s="2017"/>
      <c r="D1" s="2017"/>
      <c r="E1" s="2017"/>
      <c r="F1" s="2017"/>
      <c r="G1" s="2017"/>
      <c r="H1" s="2017"/>
      <c r="I1" s="2017"/>
      <c r="J1" s="2017"/>
    </row>
    <row r="3" spans="1:25">
      <c r="A3" s="4321" t="s">
        <v>1276</v>
      </c>
      <c r="B3" s="4324" t="s">
        <v>1277</v>
      </c>
      <c r="C3" s="4324" t="s">
        <v>1278</v>
      </c>
      <c r="D3" s="4324" t="s">
        <v>1279</v>
      </c>
      <c r="E3" s="4324" t="s">
        <v>1958</v>
      </c>
      <c r="F3" s="4321" t="s">
        <v>1789</v>
      </c>
      <c r="G3" s="4324" t="s">
        <v>1959</v>
      </c>
      <c r="H3" s="4324"/>
      <c r="I3" s="4324"/>
      <c r="J3" s="4324"/>
      <c r="K3" s="4324" t="s">
        <v>1790</v>
      </c>
      <c r="L3" s="4324" t="s">
        <v>1282</v>
      </c>
      <c r="M3" s="4324"/>
      <c r="N3" s="4332" t="s">
        <v>1283</v>
      </c>
      <c r="O3" s="4333"/>
      <c r="P3" s="4334"/>
      <c r="Q3" s="4332" t="s">
        <v>1284</v>
      </c>
      <c r="R3" s="4333"/>
      <c r="S3" s="4334"/>
      <c r="T3" s="4324" t="s">
        <v>1285</v>
      </c>
      <c r="U3" s="4324"/>
      <c r="V3" s="4324"/>
      <c r="W3" s="4324" t="s">
        <v>1286</v>
      </c>
      <c r="X3" s="4324"/>
      <c r="Y3" s="4324"/>
    </row>
    <row r="4" spans="1:25">
      <c r="A4" s="4322"/>
      <c r="B4" s="4324"/>
      <c r="C4" s="4324"/>
      <c r="D4" s="4324"/>
      <c r="E4" s="4324"/>
      <c r="F4" s="4322"/>
      <c r="G4" s="4324" t="s">
        <v>1287</v>
      </c>
      <c r="H4" s="4324" t="s">
        <v>1288</v>
      </c>
      <c r="I4" s="4324" t="s">
        <v>1289</v>
      </c>
      <c r="J4" s="4324" t="s">
        <v>1290</v>
      </c>
      <c r="K4" s="4324"/>
      <c r="L4" s="4321" t="s">
        <v>1291</v>
      </c>
      <c r="M4" s="4321" t="s">
        <v>1292</v>
      </c>
      <c r="N4" s="4324" t="s">
        <v>1960</v>
      </c>
      <c r="O4" s="2002" t="s">
        <v>1294</v>
      </c>
      <c r="P4" s="4321" t="s">
        <v>1961</v>
      </c>
      <c r="Q4" s="4321" t="s">
        <v>1962</v>
      </c>
      <c r="R4" s="2002" t="s">
        <v>1294</v>
      </c>
      <c r="S4" s="4324" t="s">
        <v>1963</v>
      </c>
      <c r="T4" s="4324" t="s">
        <v>1962</v>
      </c>
      <c r="U4" s="2002" t="s">
        <v>1294</v>
      </c>
      <c r="V4" s="4324" t="s">
        <v>1964</v>
      </c>
      <c r="W4" s="4324" t="s">
        <v>1962</v>
      </c>
      <c r="X4" s="2002" t="s">
        <v>1294</v>
      </c>
      <c r="Y4" s="4324" t="s">
        <v>1965</v>
      </c>
    </row>
    <row r="5" spans="1:25" ht="87.6" customHeight="1">
      <c r="A5" s="4323"/>
      <c r="B5" s="4324"/>
      <c r="C5" s="4324"/>
      <c r="D5" s="4324"/>
      <c r="E5" s="4324"/>
      <c r="F5" s="4323"/>
      <c r="G5" s="4324"/>
      <c r="H5" s="4324"/>
      <c r="I5" s="4324"/>
      <c r="J5" s="4324"/>
      <c r="K5" s="4324"/>
      <c r="L5" s="4323"/>
      <c r="M5" s="4323"/>
      <c r="N5" s="4324"/>
      <c r="O5" s="2002" t="s">
        <v>1966</v>
      </c>
      <c r="P5" s="4323"/>
      <c r="Q5" s="4323"/>
      <c r="R5" s="2002" t="s">
        <v>1967</v>
      </c>
      <c r="S5" s="4324"/>
      <c r="T5" s="4324"/>
      <c r="U5" s="2002" t="s">
        <v>1967</v>
      </c>
      <c r="V5" s="4324"/>
      <c r="W5" s="4324"/>
      <c r="X5" s="2002" t="s">
        <v>1967</v>
      </c>
      <c r="Y5" s="4324"/>
    </row>
    <row r="6" spans="1:25">
      <c r="A6" s="2018" t="s">
        <v>1298</v>
      </c>
      <c r="B6" s="2018">
        <v>1</v>
      </c>
      <c r="C6" s="2018">
        <v>2</v>
      </c>
      <c r="D6" s="2018">
        <v>3</v>
      </c>
      <c r="E6" s="2018">
        <v>4</v>
      </c>
      <c r="F6" s="2018">
        <v>5</v>
      </c>
      <c r="G6" s="2018">
        <v>6</v>
      </c>
      <c r="H6" s="2018">
        <v>7</v>
      </c>
      <c r="I6" s="2018">
        <v>8</v>
      </c>
      <c r="J6" s="2018">
        <v>9</v>
      </c>
      <c r="K6" s="2018">
        <v>10</v>
      </c>
      <c r="L6" s="2018">
        <v>11</v>
      </c>
      <c r="M6" s="2018">
        <v>12</v>
      </c>
      <c r="N6" s="2018">
        <v>13</v>
      </c>
      <c r="O6" s="2018">
        <v>14</v>
      </c>
      <c r="P6" s="2018">
        <v>15</v>
      </c>
      <c r="Q6" s="2018">
        <v>16</v>
      </c>
      <c r="R6" s="2018">
        <v>17</v>
      </c>
      <c r="S6" s="2018">
        <v>18</v>
      </c>
      <c r="T6" s="2019">
        <v>19</v>
      </c>
      <c r="U6" s="2019">
        <v>20</v>
      </c>
      <c r="V6" s="2019">
        <v>21</v>
      </c>
      <c r="W6" s="2019">
        <v>22</v>
      </c>
      <c r="X6" s="2019">
        <v>23</v>
      </c>
      <c r="Y6" s="2020">
        <v>24</v>
      </c>
    </row>
    <row r="7" spans="1:25" hidden="1">
      <c r="A7" s="1845" t="s">
        <v>1298</v>
      </c>
      <c r="B7" s="1845" t="s">
        <v>1299</v>
      </c>
      <c r="C7" s="1845" t="s">
        <v>1300</v>
      </c>
      <c r="D7" s="1845" t="s">
        <v>1301</v>
      </c>
      <c r="E7" s="1845" t="s">
        <v>1302</v>
      </c>
      <c r="F7" s="1845" t="s">
        <v>1556</v>
      </c>
      <c r="G7" s="1845" t="s">
        <v>1303</v>
      </c>
      <c r="H7" s="1845" t="s">
        <v>1304</v>
      </c>
      <c r="I7" s="1845" t="s">
        <v>1305</v>
      </c>
      <c r="J7" s="1845" t="s">
        <v>1306</v>
      </c>
      <c r="K7" s="1845" t="s">
        <v>1968</v>
      </c>
      <c r="L7" s="1845" t="s">
        <v>1307</v>
      </c>
      <c r="M7" s="1845" t="s">
        <v>1308</v>
      </c>
      <c r="N7" s="1845" t="s">
        <v>1309</v>
      </c>
      <c r="O7" s="1845" t="s">
        <v>1310</v>
      </c>
      <c r="P7" s="1845" t="s">
        <v>1969</v>
      </c>
      <c r="Q7" s="1845" t="s">
        <v>1311</v>
      </c>
      <c r="R7" s="1845" t="s">
        <v>1312</v>
      </c>
      <c r="S7" s="1845" t="s">
        <v>1970</v>
      </c>
      <c r="T7" s="1845" t="s">
        <v>1313</v>
      </c>
      <c r="U7" s="1845" t="s">
        <v>1314</v>
      </c>
      <c r="V7" s="1845" t="s">
        <v>1971</v>
      </c>
      <c r="W7" s="1845" t="s">
        <v>1315</v>
      </c>
      <c r="X7" s="1845" t="s">
        <v>1316</v>
      </c>
      <c r="Y7" s="1845" t="s">
        <v>1972</v>
      </c>
    </row>
    <row r="8" spans="1:25">
      <c r="A8" s="1845">
        <v>0</v>
      </c>
      <c r="B8" s="516"/>
      <c r="C8" s="516"/>
      <c r="D8" s="516"/>
      <c r="E8" s="2021">
        <f>Таблица11[[#This Row],[v4]]</f>
        <v>8817.81</v>
      </c>
      <c r="F8" s="2021">
        <f>Таблица11[[#This Row],[v42]]</f>
        <v>19850.285</v>
      </c>
      <c r="G8" s="2021">
        <f>G11+G12</f>
        <v>0</v>
      </c>
      <c r="H8" s="2021">
        <f>H11+H12</f>
        <v>130.52799999999999</v>
      </c>
      <c r="I8" s="2021">
        <f>Таблица11[[#This Row],[v7]]</f>
        <v>0</v>
      </c>
      <c r="J8" s="2021">
        <f>Таблица11[[#This Row],[v8]]</f>
        <v>0</v>
      </c>
      <c r="K8" s="2021">
        <f>SUM(Таблица114[[#This Row],[v5]:[v8]])</f>
        <v>130.52799999999999</v>
      </c>
      <c r="L8" s="2021">
        <f>Таблица11[[#This Row],[v9]]</f>
        <v>24830.238999999998</v>
      </c>
      <c r="M8" s="2021">
        <f>Таблица11[[#This Row],[v10]]</f>
        <v>2297.09</v>
      </c>
      <c r="N8" s="2021">
        <f>IFERROR('Шаблон 46 ГП'!L74/'Шаблон 46 ГП'!C74*1000,0)</f>
        <v>8808.2868884896925</v>
      </c>
      <c r="O8" s="2021">
        <f>Таблица11[[#This Row],[v12]]</f>
        <v>0</v>
      </c>
      <c r="P8" s="2021">
        <f>P13</f>
        <v>6724.0690000000004</v>
      </c>
      <c r="Q8" s="2021">
        <f>IFERROR('Шаблон 46 ГП'!L101/'Шаблон 46 ГП'!C101*1000,0)</f>
        <v>7581.8864824916718</v>
      </c>
      <c r="R8" s="2021">
        <f>Таблица11[[#This Row],[v15]]</f>
        <v>0</v>
      </c>
      <c r="S8" s="2021">
        <f>S13</f>
        <v>3691.2719999999999</v>
      </c>
      <c r="T8" s="2021">
        <v>0</v>
      </c>
      <c r="U8" s="2021">
        <v>0</v>
      </c>
      <c r="V8" s="2021">
        <v>0</v>
      </c>
      <c r="W8" s="2021">
        <v>0</v>
      </c>
      <c r="X8" s="2021">
        <v>0</v>
      </c>
      <c r="Y8" s="2021">
        <v>0</v>
      </c>
    </row>
    <row r="9" spans="1:25">
      <c r="A9" s="1845">
        <v>4</v>
      </c>
      <c r="B9" s="516"/>
      <c r="C9" s="516"/>
      <c r="D9" s="516"/>
      <c r="E9" s="2021">
        <f>Таблица11[[#This Row],[v4]]</f>
        <v>0</v>
      </c>
      <c r="F9" s="2021">
        <f>Таблица11[[#This Row],[v42]]</f>
        <v>0</v>
      </c>
      <c r="G9" s="2021"/>
      <c r="H9" s="2021"/>
      <c r="I9" s="2021">
        <f>Таблица11[[#This Row],[v7]]</f>
        <v>0</v>
      </c>
      <c r="J9" s="2021">
        <f>Таблица11[[#This Row],[v8]]</f>
        <v>0</v>
      </c>
      <c r="K9" s="2021">
        <f>SUM(Таблица114[[#This Row],[v5]:[v8]])</f>
        <v>0</v>
      </c>
      <c r="L9" s="2021">
        <f>Таблица11[[#This Row],[v9]]</f>
        <v>0</v>
      </c>
      <c r="M9" s="2021">
        <f>Таблица11[[#This Row],[v10]]</f>
        <v>0</v>
      </c>
      <c r="N9" s="2021">
        <v>0</v>
      </c>
      <c r="O9" s="2021">
        <f>Таблица11[[#This Row],[v12]]</f>
        <v>0</v>
      </c>
      <c r="P9" s="2021">
        <f>Таблица11[[#This Row],[v13]]</f>
        <v>0</v>
      </c>
      <c r="Q9" s="2021">
        <v>0</v>
      </c>
      <c r="R9" s="2021">
        <f>Таблица11[[#This Row],[v15]]</f>
        <v>0</v>
      </c>
      <c r="S9" s="2021">
        <f>Таблица11[[#This Row],[v16]]</f>
        <v>0</v>
      </c>
      <c r="T9" s="2021">
        <v>0</v>
      </c>
      <c r="U9" s="2021">
        <v>0</v>
      </c>
      <c r="V9" s="2021">
        <v>0</v>
      </c>
      <c r="W9" s="2021">
        <v>0</v>
      </c>
      <c r="X9" s="2021">
        <v>0</v>
      </c>
      <c r="Y9" s="2021">
        <v>0</v>
      </c>
    </row>
    <row r="10" spans="1:25">
      <c r="A10" s="1845">
        <v>5</v>
      </c>
      <c r="B10" s="516"/>
      <c r="C10" s="516"/>
      <c r="D10" s="516"/>
      <c r="E10" s="2021">
        <f>Таблица11[[#This Row],[v4]]</f>
        <v>8459.41</v>
      </c>
      <c r="F10" s="2021">
        <f>Таблица11[[#This Row],[v42]]</f>
        <v>190.53299999999999</v>
      </c>
      <c r="G10" s="2021"/>
      <c r="H10" s="2021"/>
      <c r="I10" s="2021">
        <f>Таблица11[[#This Row],[v7]]</f>
        <v>0</v>
      </c>
      <c r="J10" s="2021">
        <f>Таблица11[[#This Row],[v8]]</f>
        <v>0</v>
      </c>
      <c r="K10" s="2021">
        <f>SUM(Таблица114[[#This Row],[v5]:[v8]])</f>
        <v>0</v>
      </c>
      <c r="L10" s="2021">
        <f>Таблица11[[#This Row],[v9]]</f>
        <v>0</v>
      </c>
      <c r="M10" s="2021">
        <f>Таблица11[[#This Row],[v10]]</f>
        <v>0</v>
      </c>
      <c r="N10" s="2021">
        <f>IFERROR('Шаблон 46 ГП'!N74/'Шаблон 46 ГП'!E74*1000,0)</f>
        <v>8479.02255069487</v>
      </c>
      <c r="O10" s="2021">
        <f>Таблица11[[#This Row],[v12]]</f>
        <v>0</v>
      </c>
      <c r="P10" s="2021">
        <f>'Шаблон 46 ГП'!E74/1000</f>
        <v>2494.779</v>
      </c>
      <c r="Q10" s="2021">
        <f>IFERROR('Шаблон 46 ГП'!N101/'Шаблон 46 ГП'!E101*1000,0)</f>
        <v>0</v>
      </c>
      <c r="R10" s="2021">
        <f>Таблица11[[#This Row],[v15]]</f>
        <v>0</v>
      </c>
      <c r="S10" s="2021">
        <f>'Шаблон 46 ГП'!E101/1000</f>
        <v>0</v>
      </c>
      <c r="T10" s="2021">
        <v>0</v>
      </c>
      <c r="U10" s="2021">
        <v>0</v>
      </c>
      <c r="V10" s="2021">
        <v>0</v>
      </c>
      <c r="W10" s="2021">
        <v>0</v>
      </c>
      <c r="X10" s="2021">
        <v>0</v>
      </c>
      <c r="Y10" s="2021">
        <v>0</v>
      </c>
    </row>
    <row r="11" spans="1:25">
      <c r="A11" s="1845">
        <v>6</v>
      </c>
      <c r="B11" s="516"/>
      <c r="C11" s="516"/>
      <c r="D11" s="516"/>
      <c r="E11" s="2021">
        <f>Таблица11[[#This Row],[v4]]</f>
        <v>8728.41</v>
      </c>
      <c r="F11" s="2021">
        <f>Таблица11[[#This Row],[v42]]</f>
        <v>12530.698</v>
      </c>
      <c r="G11" s="2021">
        <f>G14+G15</f>
        <v>0</v>
      </c>
      <c r="H11" s="2021">
        <f>'Продажа РР ХМО'!AE34</f>
        <v>129.23599999999999</v>
      </c>
      <c r="I11" s="2021">
        <f>Таблица11[[#This Row],[v7]]</f>
        <v>0</v>
      </c>
      <c r="J11" s="2021">
        <f>Таблица11[[#This Row],[v8]]</f>
        <v>0</v>
      </c>
      <c r="K11" s="2021">
        <f>SUM(Таблица114[[#This Row],[v5]:[v8]])</f>
        <v>129.23599999999999</v>
      </c>
      <c r="L11" s="2021">
        <f>Таблица11[[#This Row],[v9]]</f>
        <v>3618.2429999999999</v>
      </c>
      <c r="M11" s="2021">
        <f>Таблица11[[#This Row],[v10]]</f>
        <v>2528.4299999999998</v>
      </c>
      <c r="N11" s="2021">
        <f>IFERROR('Шаблон 46 ГП'!O74/'Шаблон 46 ГП'!F74*1000,0)</f>
        <v>8996.0657373778595</v>
      </c>
      <c r="O11" s="2021">
        <f>Таблица11[[#This Row],[v12]]</f>
        <v>0</v>
      </c>
      <c r="P11" s="2021">
        <f>'Шаблон 46 ГП'!F74/1000</f>
        <v>4215.41</v>
      </c>
      <c r="Q11" s="2021">
        <f>IFERROR('Шаблон 46 ГП'!O101/'Шаблон 46 ГП'!F101*1000,0)</f>
        <v>9512.8876326606332</v>
      </c>
      <c r="R11" s="2021">
        <f>Таблица11[[#This Row],[v15]]</f>
        <v>0</v>
      </c>
      <c r="S11" s="2021">
        <f>'Шаблон 46 ГП'!F101/1000</f>
        <v>102.423</v>
      </c>
      <c r="T11" s="2021">
        <v>0</v>
      </c>
      <c r="U11" s="2021">
        <v>0</v>
      </c>
      <c r="V11" s="2021">
        <v>0</v>
      </c>
      <c r="W11" s="2021">
        <v>0</v>
      </c>
      <c r="X11" s="2021">
        <v>0</v>
      </c>
      <c r="Y11" s="2021">
        <v>0</v>
      </c>
    </row>
    <row r="12" spans="1:25">
      <c r="A12" s="1845">
        <v>7</v>
      </c>
      <c r="B12" s="516"/>
      <c r="C12" s="516"/>
      <c r="D12" s="516"/>
      <c r="E12" s="2021">
        <f>Таблица11[[#This Row],[v4]]</f>
        <v>8984.52</v>
      </c>
      <c r="F12" s="2021">
        <f>Таблица11[[#This Row],[v42]]</f>
        <v>7129.0540000000001</v>
      </c>
      <c r="G12" s="2021">
        <f t="shared" ref="G12" si="0">G15+G16</f>
        <v>0</v>
      </c>
      <c r="H12" s="2021">
        <f>'Продажа РР ХМО'!AF34</f>
        <v>1.292</v>
      </c>
      <c r="I12" s="2021">
        <f>Таблица11[[#This Row],[v7]]</f>
        <v>0</v>
      </c>
      <c r="J12" s="2021">
        <f>Таблица11[[#This Row],[v8]]</f>
        <v>0</v>
      </c>
      <c r="K12" s="2021">
        <f>SUM(Таблица114[[#This Row],[v5]:[v8]])</f>
        <v>1.292</v>
      </c>
      <c r="L12" s="2021">
        <f>Таблица11[[#This Row],[v9]]</f>
        <v>21211.995999999999</v>
      </c>
      <c r="M12" s="2021">
        <f>Таблица11[[#This Row],[v10]]</f>
        <v>2257.63</v>
      </c>
      <c r="N12" s="2021">
        <f>IFERROR('Шаблон 46 ГП'!P74/'Шаблон 46 ГП'!G74*1000,0)</f>
        <v>10960.802593659942</v>
      </c>
      <c r="O12" s="2021">
        <f>Таблица11[[#This Row],[v12]]</f>
        <v>0</v>
      </c>
      <c r="P12" s="2021">
        <f>'Шаблон 46 ГП'!G74/1000</f>
        <v>13.88</v>
      </c>
      <c r="Q12" s="2021">
        <f>IFERROR('Шаблон 46 ГП'!P101/'Шаблон 46 ГП'!G101*1000,0)</f>
        <v>7526.7771895669057</v>
      </c>
      <c r="R12" s="2021">
        <f>Таблица11[[#This Row],[v15]]</f>
        <v>0</v>
      </c>
      <c r="S12" s="2021">
        <f>'Шаблон 46 ГП'!G101/1000</f>
        <v>3588.8490000000002</v>
      </c>
      <c r="T12" s="2021">
        <v>0</v>
      </c>
      <c r="U12" s="2021">
        <v>0</v>
      </c>
      <c r="V12" s="2021">
        <v>0</v>
      </c>
      <c r="W12" s="2021">
        <v>0</v>
      </c>
      <c r="X12" s="2021">
        <v>0</v>
      </c>
      <c r="Y12" s="2021">
        <v>0</v>
      </c>
    </row>
    <row r="13" spans="1:25">
      <c r="A13" s="1845">
        <v>14</v>
      </c>
      <c r="B13" s="516"/>
      <c r="C13" s="516"/>
      <c r="D13" s="516"/>
      <c r="E13" s="2021">
        <f>Таблица11[[#This Row],[v4]]</f>
        <v>8817.81</v>
      </c>
      <c r="F13" s="2021">
        <f>Таблица11[[#This Row],[v42]]</f>
        <v>19850.285</v>
      </c>
      <c r="G13" s="2021">
        <f>SUM(G11:G12)</f>
        <v>0</v>
      </c>
      <c r="H13" s="2021">
        <f>SUM(H11:H12)</f>
        <v>130.52799999999999</v>
      </c>
      <c r="I13" s="2021">
        <f>Таблица11[[#This Row],[v7]]</f>
        <v>0</v>
      </c>
      <c r="J13" s="2021">
        <f>Таблица11[[#This Row],[v8]]</f>
        <v>0</v>
      </c>
      <c r="K13" s="2021">
        <f>SUM(Таблица114[[#This Row],[v5]:[v8]])</f>
        <v>130.52799999999999</v>
      </c>
      <c r="L13" s="2021">
        <f>Таблица11[[#This Row],[v9]]</f>
        <v>24830.238999999998</v>
      </c>
      <c r="M13" s="2021">
        <f>Таблица11[[#This Row],[v10]]</f>
        <v>2297.09</v>
      </c>
      <c r="N13" s="2021">
        <f>N8</f>
        <v>8808.2868884896925</v>
      </c>
      <c r="O13" s="2021">
        <f>Таблица11[[#This Row],[v12]]</f>
        <v>0</v>
      </c>
      <c r="P13" s="2021">
        <f>Таблица11[[#This Row],[v13]]+SUM(P9:P12)</f>
        <v>6724.0690000000004</v>
      </c>
      <c r="Q13" s="2021">
        <f>Q8</f>
        <v>7581.8864824916718</v>
      </c>
      <c r="R13" s="2021">
        <f>Таблица11[[#This Row],[v15]]</f>
        <v>0</v>
      </c>
      <c r="S13" s="2021">
        <f>Таблица11[[#This Row],[v13]]+SUM(S9:S12)</f>
        <v>3691.2719999999999</v>
      </c>
      <c r="T13" s="2021">
        <v>0</v>
      </c>
      <c r="U13" s="2021">
        <v>0</v>
      </c>
      <c r="V13" s="2021">
        <v>0</v>
      </c>
      <c r="W13" s="2021">
        <v>0</v>
      </c>
      <c r="X13" s="2021">
        <v>0</v>
      </c>
      <c r="Y13" s="2021">
        <v>0</v>
      </c>
    </row>
    <row r="15" spans="1:25">
      <c r="G15" s="3454"/>
    </row>
    <row r="16" spans="1:25">
      <c r="G16" s="3454"/>
    </row>
    <row r="17" spans="5:13">
      <c r="E17" s="2022"/>
      <c r="F17" s="2022"/>
      <c r="G17" s="3455"/>
      <c r="H17" s="2022"/>
      <c r="I17" s="2022"/>
      <c r="J17" s="2022"/>
      <c r="K17" s="2022"/>
      <c r="L17" s="2023"/>
      <c r="M17" s="2022"/>
    </row>
    <row r="18" spans="5:13">
      <c r="E18" s="2022"/>
      <c r="F18" s="2022"/>
      <c r="G18" s="3455"/>
      <c r="H18" s="2022"/>
      <c r="I18" s="2022"/>
      <c r="J18" s="2022"/>
      <c r="K18" s="2022"/>
      <c r="L18" s="2023"/>
      <c r="M18" s="2022"/>
    </row>
    <row r="19" spans="5:13">
      <c r="E19" s="2022"/>
      <c r="F19" s="2022"/>
      <c r="G19" s="3455"/>
      <c r="H19" s="2022"/>
      <c r="I19" s="2022"/>
      <c r="J19" s="2022"/>
      <c r="K19" s="2022"/>
      <c r="L19" s="2023"/>
      <c r="M19" s="2022"/>
    </row>
    <row r="20" spans="5:13">
      <c r="E20" s="2022"/>
      <c r="F20" s="2022"/>
      <c r="G20" s="2022"/>
      <c r="H20" s="2022"/>
      <c r="I20" s="2022"/>
      <c r="J20" s="2022"/>
      <c r="K20" s="2022"/>
      <c r="L20" s="2023"/>
      <c r="M20" s="2022"/>
    </row>
    <row r="21" spans="5:13">
      <c r="E21" s="2022"/>
      <c r="F21" s="2022"/>
      <c r="G21" s="2022"/>
      <c r="H21" s="2022"/>
      <c r="I21" s="2022"/>
      <c r="J21" s="2022"/>
      <c r="K21" s="2022"/>
      <c r="L21" s="2023"/>
      <c r="M21" s="2022"/>
    </row>
    <row r="22" spans="5:13">
      <c r="E22" s="2024"/>
      <c r="F22" s="2022"/>
      <c r="G22" s="2024"/>
      <c r="H22" s="2024"/>
      <c r="I22" s="2024"/>
      <c r="J22" s="2024"/>
      <c r="K22" s="2022"/>
      <c r="L22" s="2024"/>
      <c r="M22" s="2024"/>
    </row>
  </sheetData>
  <mergeCells count="27">
    <mergeCell ref="F3:F5"/>
    <mergeCell ref="A3:A5"/>
    <mergeCell ref="B3:B5"/>
    <mergeCell ref="C3:C5"/>
    <mergeCell ref="D3:D5"/>
    <mergeCell ref="E3:E5"/>
    <mergeCell ref="Q3:S3"/>
    <mergeCell ref="T3:V3"/>
    <mergeCell ref="S4:S5"/>
    <mergeCell ref="T4:T5"/>
    <mergeCell ref="V4:V5"/>
    <mergeCell ref="W4:W5"/>
    <mergeCell ref="Y4:Y5"/>
    <mergeCell ref="W3:Y3"/>
    <mergeCell ref="G4:G5"/>
    <mergeCell ref="H4:H5"/>
    <mergeCell ref="I4:I5"/>
    <mergeCell ref="J4:J5"/>
    <mergeCell ref="L4:L5"/>
    <mergeCell ref="M4:M5"/>
    <mergeCell ref="N4:N5"/>
    <mergeCell ref="P4:P5"/>
    <mergeCell ref="Q4:Q5"/>
    <mergeCell ref="G3:J3"/>
    <mergeCell ref="K3:K5"/>
    <mergeCell ref="L3:M3"/>
    <mergeCell ref="N3:P3"/>
  </mergeCells>
  <dataValidations xWindow="1054" yWindow="562" count="4">
    <dataValidation type="decimal" operator="greaterThanOrEqual" allowBlank="1" showInputMessage="1" showErrorMessage="1" errorTitle="НЕВЕРНОЕ ЗНАЧЕНИЕ" error="Проверьть введенное значение:_x000a_нельзя вводить отрицательные значения и содержацие более 2-х знаков после запятой" prompt="Значение должно быть неотрицательно и содержать не более 2-х знаков после запятой" sqref="E8:Y13">
      <formula1>0</formula1>
    </dataValidation>
    <dataValidation type="decimal" operator="greaterThanOrEqual" allowBlank="1" showInputMessage="1" showErrorMessage="1" errorTitle="НЕВЕРНОЕ ЗНАЧЕНИЕ" error="Проверьте введенное значение:_x000a_нельзя вводить отрицательные значения" prompt="Значение должно быть неотрицательно._x000a_Не заполняется для значений уровня напряжения lvl:_x000a_0, 4-7, 13, 14" sqref="B8:B13">
      <formula1>0</formula1>
    </dataValidation>
    <dataValidation type="decimal" operator="greaterThanOrEqual" allowBlank="1" showInputMessage="1" showErrorMessage="1" errorTitle="НЕВЕРНОЕ ЗНАЧЕНИЕ" error="Проверьте введенное значение:_x000a_нельзя вводить отрицательные значения" prompt="Значение должно быть неотрицательно._x000a_Не заполняется для значений уровня напряжения lvl:_x000a_0, 4-7, 14" sqref="C8:D13">
      <formula1>0</formula1>
    </dataValidation>
    <dataValidation type="list" allowBlank="1" showInputMessage="1" showErrorMessage="1" sqref="A8:A13">
      <formula1>lvl</formula1>
    </dataValidation>
  </dataValidations>
  <pageMargins left="0.7" right="0.7" top="0.75" bottom="0.75" header="0.3" footer="0.3"/>
  <pageSetup paperSize="9" orientation="portrait"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151"/>
  <sheetViews>
    <sheetView topLeftCell="C19" zoomScale="85" zoomScaleNormal="85" workbookViewId="0">
      <selection activeCell="A21" sqref="A21"/>
    </sheetView>
  </sheetViews>
  <sheetFormatPr defaultRowHeight="15"/>
  <cols>
    <col min="1" max="1" width="5.42578125" style="1652" hidden="1" customWidth="1"/>
    <col min="2" max="2" width="5.28515625" style="1652" hidden="1" customWidth="1"/>
    <col min="3" max="3" width="45.7109375" style="1652" customWidth="1"/>
    <col min="4" max="4" width="7.140625" style="1652" customWidth="1"/>
    <col min="5" max="19" width="15.7109375" style="1652" customWidth="1"/>
    <col min="20" max="258" width="8.85546875" style="1652"/>
    <col min="259" max="259" width="43.85546875" style="1652" customWidth="1"/>
    <col min="260" max="260" width="7.140625" style="1652" customWidth="1"/>
    <col min="261" max="261" width="15.5703125" style="1652" customWidth="1"/>
    <col min="262" max="262" width="16" style="1652" customWidth="1"/>
    <col min="263" max="263" width="15.140625" style="1652" customWidth="1"/>
    <col min="264" max="264" width="14.85546875" style="1652" customWidth="1"/>
    <col min="265" max="265" width="16.28515625" style="1652" customWidth="1"/>
    <col min="266" max="266" width="13.85546875" style="1652" customWidth="1"/>
    <col min="267" max="267" width="14.140625" style="1652" customWidth="1"/>
    <col min="268" max="268" width="15.7109375" style="1652" bestFit="1" customWidth="1"/>
    <col min="269" max="269" width="13.42578125" style="1652" bestFit="1" customWidth="1"/>
    <col min="270" max="272" width="13.28515625" style="1652" customWidth="1"/>
    <col min="273" max="273" width="11.5703125" style="1652" customWidth="1"/>
    <col min="274" max="274" width="13.140625" style="1652" customWidth="1"/>
    <col min="275" max="275" width="13.85546875" style="1652" customWidth="1"/>
    <col min="276" max="514" width="8.85546875" style="1652"/>
    <col min="515" max="515" width="43.85546875" style="1652" customWidth="1"/>
    <col min="516" max="516" width="7.140625" style="1652" customWidth="1"/>
    <col min="517" max="517" width="15.5703125" style="1652" customWidth="1"/>
    <col min="518" max="518" width="16" style="1652" customWidth="1"/>
    <col min="519" max="519" width="15.140625" style="1652" customWidth="1"/>
    <col min="520" max="520" width="14.85546875" style="1652" customWidth="1"/>
    <col min="521" max="521" width="16.28515625" style="1652" customWidth="1"/>
    <col min="522" max="522" width="13.85546875" style="1652" customWidth="1"/>
    <col min="523" max="523" width="14.140625" style="1652" customWidth="1"/>
    <col min="524" max="524" width="15.7109375" style="1652" bestFit="1" customWidth="1"/>
    <col min="525" max="525" width="13.42578125" style="1652" bestFit="1" customWidth="1"/>
    <col min="526" max="528" width="13.28515625" style="1652" customWidth="1"/>
    <col min="529" max="529" width="11.5703125" style="1652" customWidth="1"/>
    <col min="530" max="530" width="13.140625" style="1652" customWidth="1"/>
    <col min="531" max="531" width="13.85546875" style="1652" customWidth="1"/>
    <col min="532" max="770" width="8.85546875" style="1652"/>
    <col min="771" max="771" width="43.85546875" style="1652" customWidth="1"/>
    <col min="772" max="772" width="7.140625" style="1652" customWidth="1"/>
    <col min="773" max="773" width="15.5703125" style="1652" customWidth="1"/>
    <col min="774" max="774" width="16" style="1652" customWidth="1"/>
    <col min="775" max="775" width="15.140625" style="1652" customWidth="1"/>
    <col min="776" max="776" width="14.85546875" style="1652" customWidth="1"/>
    <col min="777" max="777" width="16.28515625" style="1652" customWidth="1"/>
    <col min="778" max="778" width="13.85546875" style="1652" customWidth="1"/>
    <col min="779" max="779" width="14.140625" style="1652" customWidth="1"/>
    <col min="780" max="780" width="15.7109375" style="1652" bestFit="1" customWidth="1"/>
    <col min="781" max="781" width="13.42578125" style="1652" bestFit="1" customWidth="1"/>
    <col min="782" max="784" width="13.28515625" style="1652" customWidth="1"/>
    <col min="785" max="785" width="11.5703125" style="1652" customWidth="1"/>
    <col min="786" max="786" width="13.140625" style="1652" customWidth="1"/>
    <col min="787" max="787" width="13.85546875" style="1652" customWidth="1"/>
    <col min="788" max="1026" width="8.85546875" style="1652"/>
    <col min="1027" max="1027" width="43.85546875" style="1652" customWidth="1"/>
    <col min="1028" max="1028" width="7.140625" style="1652" customWidth="1"/>
    <col min="1029" max="1029" width="15.5703125" style="1652" customWidth="1"/>
    <col min="1030" max="1030" width="16" style="1652" customWidth="1"/>
    <col min="1031" max="1031" width="15.140625" style="1652" customWidth="1"/>
    <col min="1032" max="1032" width="14.85546875" style="1652" customWidth="1"/>
    <col min="1033" max="1033" width="16.28515625" style="1652" customWidth="1"/>
    <col min="1034" max="1034" width="13.85546875" style="1652" customWidth="1"/>
    <col min="1035" max="1035" width="14.140625" style="1652" customWidth="1"/>
    <col min="1036" max="1036" width="15.7109375" style="1652" bestFit="1" customWidth="1"/>
    <col min="1037" max="1037" width="13.42578125" style="1652" bestFit="1" customWidth="1"/>
    <col min="1038" max="1040" width="13.28515625" style="1652" customWidth="1"/>
    <col min="1041" max="1041" width="11.5703125" style="1652" customWidth="1"/>
    <col min="1042" max="1042" width="13.140625" style="1652" customWidth="1"/>
    <col min="1043" max="1043" width="13.85546875" style="1652" customWidth="1"/>
    <col min="1044" max="1282" width="8.85546875" style="1652"/>
    <col min="1283" max="1283" width="43.85546875" style="1652" customWidth="1"/>
    <col min="1284" max="1284" width="7.140625" style="1652" customWidth="1"/>
    <col min="1285" max="1285" width="15.5703125" style="1652" customWidth="1"/>
    <col min="1286" max="1286" width="16" style="1652" customWidth="1"/>
    <col min="1287" max="1287" width="15.140625" style="1652" customWidth="1"/>
    <col min="1288" max="1288" width="14.85546875" style="1652" customWidth="1"/>
    <col min="1289" max="1289" width="16.28515625" style="1652" customWidth="1"/>
    <col min="1290" max="1290" width="13.85546875" style="1652" customWidth="1"/>
    <col min="1291" max="1291" width="14.140625" style="1652" customWidth="1"/>
    <col min="1292" max="1292" width="15.7109375" style="1652" bestFit="1" customWidth="1"/>
    <col min="1293" max="1293" width="13.42578125" style="1652" bestFit="1" customWidth="1"/>
    <col min="1294" max="1296" width="13.28515625" style="1652" customWidth="1"/>
    <col min="1297" max="1297" width="11.5703125" style="1652" customWidth="1"/>
    <col min="1298" max="1298" width="13.140625" style="1652" customWidth="1"/>
    <col min="1299" max="1299" width="13.85546875" style="1652" customWidth="1"/>
    <col min="1300" max="1538" width="8.85546875" style="1652"/>
    <col min="1539" max="1539" width="43.85546875" style="1652" customWidth="1"/>
    <col min="1540" max="1540" width="7.140625" style="1652" customWidth="1"/>
    <col min="1541" max="1541" width="15.5703125" style="1652" customWidth="1"/>
    <col min="1542" max="1542" width="16" style="1652" customWidth="1"/>
    <col min="1543" max="1543" width="15.140625" style="1652" customWidth="1"/>
    <col min="1544" max="1544" width="14.85546875" style="1652" customWidth="1"/>
    <col min="1545" max="1545" width="16.28515625" style="1652" customWidth="1"/>
    <col min="1546" max="1546" width="13.85546875" style="1652" customWidth="1"/>
    <col min="1547" max="1547" width="14.140625" style="1652" customWidth="1"/>
    <col min="1548" max="1548" width="15.7109375" style="1652" bestFit="1" customWidth="1"/>
    <col min="1549" max="1549" width="13.42578125" style="1652" bestFit="1" customWidth="1"/>
    <col min="1550" max="1552" width="13.28515625" style="1652" customWidth="1"/>
    <col min="1553" max="1553" width="11.5703125" style="1652" customWidth="1"/>
    <col min="1554" max="1554" width="13.140625" style="1652" customWidth="1"/>
    <col min="1555" max="1555" width="13.85546875" style="1652" customWidth="1"/>
    <col min="1556" max="1794" width="8.85546875" style="1652"/>
    <col min="1795" max="1795" width="43.85546875" style="1652" customWidth="1"/>
    <col min="1796" max="1796" width="7.140625" style="1652" customWidth="1"/>
    <col min="1797" max="1797" width="15.5703125" style="1652" customWidth="1"/>
    <col min="1798" max="1798" width="16" style="1652" customWidth="1"/>
    <col min="1799" max="1799" width="15.140625" style="1652" customWidth="1"/>
    <col min="1800" max="1800" width="14.85546875" style="1652" customWidth="1"/>
    <col min="1801" max="1801" width="16.28515625" style="1652" customWidth="1"/>
    <col min="1802" max="1802" width="13.85546875" style="1652" customWidth="1"/>
    <col min="1803" max="1803" width="14.140625" style="1652" customWidth="1"/>
    <col min="1804" max="1804" width="15.7109375" style="1652" bestFit="1" customWidth="1"/>
    <col min="1805" max="1805" width="13.42578125" style="1652" bestFit="1" customWidth="1"/>
    <col min="1806" max="1808" width="13.28515625" style="1652" customWidth="1"/>
    <col min="1809" max="1809" width="11.5703125" style="1652" customWidth="1"/>
    <col min="1810" max="1810" width="13.140625" style="1652" customWidth="1"/>
    <col min="1811" max="1811" width="13.85546875" style="1652" customWidth="1"/>
    <col min="1812" max="2050" width="8.85546875" style="1652"/>
    <col min="2051" max="2051" width="43.85546875" style="1652" customWidth="1"/>
    <col min="2052" max="2052" width="7.140625" style="1652" customWidth="1"/>
    <col min="2053" max="2053" width="15.5703125" style="1652" customWidth="1"/>
    <col min="2054" max="2054" width="16" style="1652" customWidth="1"/>
    <col min="2055" max="2055" width="15.140625" style="1652" customWidth="1"/>
    <col min="2056" max="2056" width="14.85546875" style="1652" customWidth="1"/>
    <col min="2057" max="2057" width="16.28515625" style="1652" customWidth="1"/>
    <col min="2058" max="2058" width="13.85546875" style="1652" customWidth="1"/>
    <col min="2059" max="2059" width="14.140625" style="1652" customWidth="1"/>
    <col min="2060" max="2060" width="15.7109375" style="1652" bestFit="1" customWidth="1"/>
    <col min="2061" max="2061" width="13.42578125" style="1652" bestFit="1" customWidth="1"/>
    <col min="2062" max="2064" width="13.28515625" style="1652" customWidth="1"/>
    <col min="2065" max="2065" width="11.5703125" style="1652" customWidth="1"/>
    <col min="2066" max="2066" width="13.140625" style="1652" customWidth="1"/>
    <col min="2067" max="2067" width="13.85546875" style="1652" customWidth="1"/>
    <col min="2068" max="2306" width="8.85546875" style="1652"/>
    <col min="2307" max="2307" width="43.85546875" style="1652" customWidth="1"/>
    <col min="2308" max="2308" width="7.140625" style="1652" customWidth="1"/>
    <col min="2309" max="2309" width="15.5703125" style="1652" customWidth="1"/>
    <col min="2310" max="2310" width="16" style="1652" customWidth="1"/>
    <col min="2311" max="2311" width="15.140625" style="1652" customWidth="1"/>
    <col min="2312" max="2312" width="14.85546875" style="1652" customWidth="1"/>
    <col min="2313" max="2313" width="16.28515625" style="1652" customWidth="1"/>
    <col min="2314" max="2314" width="13.85546875" style="1652" customWidth="1"/>
    <col min="2315" max="2315" width="14.140625" style="1652" customWidth="1"/>
    <col min="2316" max="2316" width="15.7109375" style="1652" bestFit="1" customWidth="1"/>
    <col min="2317" max="2317" width="13.42578125" style="1652" bestFit="1" customWidth="1"/>
    <col min="2318" max="2320" width="13.28515625" style="1652" customWidth="1"/>
    <col min="2321" max="2321" width="11.5703125" style="1652" customWidth="1"/>
    <col min="2322" max="2322" width="13.140625" style="1652" customWidth="1"/>
    <col min="2323" max="2323" width="13.85546875" style="1652" customWidth="1"/>
    <col min="2324" max="2562" width="8.85546875" style="1652"/>
    <col min="2563" max="2563" width="43.85546875" style="1652" customWidth="1"/>
    <col min="2564" max="2564" width="7.140625" style="1652" customWidth="1"/>
    <col min="2565" max="2565" width="15.5703125" style="1652" customWidth="1"/>
    <col min="2566" max="2566" width="16" style="1652" customWidth="1"/>
    <col min="2567" max="2567" width="15.140625" style="1652" customWidth="1"/>
    <col min="2568" max="2568" width="14.85546875" style="1652" customWidth="1"/>
    <col min="2569" max="2569" width="16.28515625" style="1652" customWidth="1"/>
    <col min="2570" max="2570" width="13.85546875" style="1652" customWidth="1"/>
    <col min="2571" max="2571" width="14.140625" style="1652" customWidth="1"/>
    <col min="2572" max="2572" width="15.7109375" style="1652" bestFit="1" customWidth="1"/>
    <col min="2573" max="2573" width="13.42578125" style="1652" bestFit="1" customWidth="1"/>
    <col min="2574" max="2576" width="13.28515625" style="1652" customWidth="1"/>
    <col min="2577" max="2577" width="11.5703125" style="1652" customWidth="1"/>
    <col min="2578" max="2578" width="13.140625" style="1652" customWidth="1"/>
    <col min="2579" max="2579" width="13.85546875" style="1652" customWidth="1"/>
    <col min="2580" max="2818" width="8.85546875" style="1652"/>
    <col min="2819" max="2819" width="43.85546875" style="1652" customWidth="1"/>
    <col min="2820" max="2820" width="7.140625" style="1652" customWidth="1"/>
    <col min="2821" max="2821" width="15.5703125" style="1652" customWidth="1"/>
    <col min="2822" max="2822" width="16" style="1652" customWidth="1"/>
    <col min="2823" max="2823" width="15.140625" style="1652" customWidth="1"/>
    <col min="2824" max="2824" width="14.85546875" style="1652" customWidth="1"/>
    <col min="2825" max="2825" width="16.28515625" style="1652" customWidth="1"/>
    <col min="2826" max="2826" width="13.85546875" style="1652" customWidth="1"/>
    <col min="2827" max="2827" width="14.140625" style="1652" customWidth="1"/>
    <col min="2828" max="2828" width="15.7109375" style="1652" bestFit="1" customWidth="1"/>
    <col min="2829" max="2829" width="13.42578125" style="1652" bestFit="1" customWidth="1"/>
    <col min="2830" max="2832" width="13.28515625" style="1652" customWidth="1"/>
    <col min="2833" max="2833" width="11.5703125" style="1652" customWidth="1"/>
    <col min="2834" max="2834" width="13.140625" style="1652" customWidth="1"/>
    <col min="2835" max="2835" width="13.85546875" style="1652" customWidth="1"/>
    <col min="2836" max="3074" width="8.85546875" style="1652"/>
    <col min="3075" max="3075" width="43.85546875" style="1652" customWidth="1"/>
    <col min="3076" max="3076" width="7.140625" style="1652" customWidth="1"/>
    <col min="3077" max="3077" width="15.5703125" style="1652" customWidth="1"/>
    <col min="3078" max="3078" width="16" style="1652" customWidth="1"/>
    <col min="3079" max="3079" width="15.140625" style="1652" customWidth="1"/>
    <col min="3080" max="3080" width="14.85546875" style="1652" customWidth="1"/>
    <col min="3081" max="3081" width="16.28515625" style="1652" customWidth="1"/>
    <col min="3082" max="3082" width="13.85546875" style="1652" customWidth="1"/>
    <col min="3083" max="3083" width="14.140625" style="1652" customWidth="1"/>
    <col min="3084" max="3084" width="15.7109375" style="1652" bestFit="1" customWidth="1"/>
    <col min="3085" max="3085" width="13.42578125" style="1652" bestFit="1" customWidth="1"/>
    <col min="3086" max="3088" width="13.28515625" style="1652" customWidth="1"/>
    <col min="3089" max="3089" width="11.5703125" style="1652" customWidth="1"/>
    <col min="3090" max="3090" width="13.140625" style="1652" customWidth="1"/>
    <col min="3091" max="3091" width="13.85546875" style="1652" customWidth="1"/>
    <col min="3092" max="3330" width="8.85546875" style="1652"/>
    <col min="3331" max="3331" width="43.85546875" style="1652" customWidth="1"/>
    <col min="3332" max="3332" width="7.140625" style="1652" customWidth="1"/>
    <col min="3333" max="3333" width="15.5703125" style="1652" customWidth="1"/>
    <col min="3334" max="3334" width="16" style="1652" customWidth="1"/>
    <col min="3335" max="3335" width="15.140625" style="1652" customWidth="1"/>
    <col min="3336" max="3336" width="14.85546875" style="1652" customWidth="1"/>
    <col min="3337" max="3337" width="16.28515625" style="1652" customWidth="1"/>
    <col min="3338" max="3338" width="13.85546875" style="1652" customWidth="1"/>
    <col min="3339" max="3339" width="14.140625" style="1652" customWidth="1"/>
    <col min="3340" max="3340" width="15.7109375" style="1652" bestFit="1" customWidth="1"/>
    <col min="3341" max="3341" width="13.42578125" style="1652" bestFit="1" customWidth="1"/>
    <col min="3342" max="3344" width="13.28515625" style="1652" customWidth="1"/>
    <col min="3345" max="3345" width="11.5703125" style="1652" customWidth="1"/>
    <col min="3346" max="3346" width="13.140625" style="1652" customWidth="1"/>
    <col min="3347" max="3347" width="13.85546875" style="1652" customWidth="1"/>
    <col min="3348" max="3586" width="8.85546875" style="1652"/>
    <col min="3587" max="3587" width="43.85546875" style="1652" customWidth="1"/>
    <col min="3588" max="3588" width="7.140625" style="1652" customWidth="1"/>
    <col min="3589" max="3589" width="15.5703125" style="1652" customWidth="1"/>
    <col min="3590" max="3590" width="16" style="1652" customWidth="1"/>
    <col min="3591" max="3591" width="15.140625" style="1652" customWidth="1"/>
    <col min="3592" max="3592" width="14.85546875" style="1652" customWidth="1"/>
    <col min="3593" max="3593" width="16.28515625" style="1652" customWidth="1"/>
    <col min="3594" max="3594" width="13.85546875" style="1652" customWidth="1"/>
    <col min="3595" max="3595" width="14.140625" style="1652" customWidth="1"/>
    <col min="3596" max="3596" width="15.7109375" style="1652" bestFit="1" customWidth="1"/>
    <col min="3597" max="3597" width="13.42578125" style="1652" bestFit="1" customWidth="1"/>
    <col min="3598" max="3600" width="13.28515625" style="1652" customWidth="1"/>
    <col min="3601" max="3601" width="11.5703125" style="1652" customWidth="1"/>
    <col min="3602" max="3602" width="13.140625" style="1652" customWidth="1"/>
    <col min="3603" max="3603" width="13.85546875" style="1652" customWidth="1"/>
    <col min="3604" max="3842" width="8.85546875" style="1652"/>
    <col min="3843" max="3843" width="43.85546875" style="1652" customWidth="1"/>
    <col min="3844" max="3844" width="7.140625" style="1652" customWidth="1"/>
    <col min="3845" max="3845" width="15.5703125" style="1652" customWidth="1"/>
    <col min="3846" max="3846" width="16" style="1652" customWidth="1"/>
    <col min="3847" max="3847" width="15.140625" style="1652" customWidth="1"/>
    <col min="3848" max="3848" width="14.85546875" style="1652" customWidth="1"/>
    <col min="3849" max="3849" width="16.28515625" style="1652" customWidth="1"/>
    <col min="3850" max="3850" width="13.85546875" style="1652" customWidth="1"/>
    <col min="3851" max="3851" width="14.140625" style="1652" customWidth="1"/>
    <col min="3852" max="3852" width="15.7109375" style="1652" bestFit="1" customWidth="1"/>
    <col min="3853" max="3853" width="13.42578125" style="1652" bestFit="1" customWidth="1"/>
    <col min="3854" max="3856" width="13.28515625" style="1652" customWidth="1"/>
    <col min="3857" max="3857" width="11.5703125" style="1652" customWidth="1"/>
    <col min="3858" max="3858" width="13.140625" style="1652" customWidth="1"/>
    <col min="3859" max="3859" width="13.85546875" style="1652" customWidth="1"/>
    <col min="3860" max="4098" width="8.85546875" style="1652"/>
    <col min="4099" max="4099" width="43.85546875" style="1652" customWidth="1"/>
    <col min="4100" max="4100" width="7.140625" style="1652" customWidth="1"/>
    <col min="4101" max="4101" width="15.5703125" style="1652" customWidth="1"/>
    <col min="4102" max="4102" width="16" style="1652" customWidth="1"/>
    <col min="4103" max="4103" width="15.140625" style="1652" customWidth="1"/>
    <col min="4104" max="4104" width="14.85546875" style="1652" customWidth="1"/>
    <col min="4105" max="4105" width="16.28515625" style="1652" customWidth="1"/>
    <col min="4106" max="4106" width="13.85546875" style="1652" customWidth="1"/>
    <col min="4107" max="4107" width="14.140625" style="1652" customWidth="1"/>
    <col min="4108" max="4108" width="15.7109375" style="1652" bestFit="1" customWidth="1"/>
    <col min="4109" max="4109" width="13.42578125" style="1652" bestFit="1" customWidth="1"/>
    <col min="4110" max="4112" width="13.28515625" style="1652" customWidth="1"/>
    <col min="4113" max="4113" width="11.5703125" style="1652" customWidth="1"/>
    <col min="4114" max="4114" width="13.140625" style="1652" customWidth="1"/>
    <col min="4115" max="4115" width="13.85546875" style="1652" customWidth="1"/>
    <col min="4116" max="4354" width="8.85546875" style="1652"/>
    <col min="4355" max="4355" width="43.85546875" style="1652" customWidth="1"/>
    <col min="4356" max="4356" width="7.140625" style="1652" customWidth="1"/>
    <col min="4357" max="4357" width="15.5703125" style="1652" customWidth="1"/>
    <col min="4358" max="4358" width="16" style="1652" customWidth="1"/>
    <col min="4359" max="4359" width="15.140625" style="1652" customWidth="1"/>
    <col min="4360" max="4360" width="14.85546875" style="1652" customWidth="1"/>
    <col min="4361" max="4361" width="16.28515625" style="1652" customWidth="1"/>
    <col min="4362" max="4362" width="13.85546875" style="1652" customWidth="1"/>
    <col min="4363" max="4363" width="14.140625" style="1652" customWidth="1"/>
    <col min="4364" max="4364" width="15.7109375" style="1652" bestFit="1" customWidth="1"/>
    <col min="4365" max="4365" width="13.42578125" style="1652" bestFit="1" customWidth="1"/>
    <col min="4366" max="4368" width="13.28515625" style="1652" customWidth="1"/>
    <col min="4369" max="4369" width="11.5703125" style="1652" customWidth="1"/>
    <col min="4370" max="4370" width="13.140625" style="1652" customWidth="1"/>
    <col min="4371" max="4371" width="13.85546875" style="1652" customWidth="1"/>
    <col min="4372" max="4610" width="8.85546875" style="1652"/>
    <col min="4611" max="4611" width="43.85546875" style="1652" customWidth="1"/>
    <col min="4612" max="4612" width="7.140625" style="1652" customWidth="1"/>
    <col min="4613" max="4613" width="15.5703125" style="1652" customWidth="1"/>
    <col min="4614" max="4614" width="16" style="1652" customWidth="1"/>
    <col min="4615" max="4615" width="15.140625" style="1652" customWidth="1"/>
    <col min="4616" max="4616" width="14.85546875" style="1652" customWidth="1"/>
    <col min="4617" max="4617" width="16.28515625" style="1652" customWidth="1"/>
    <col min="4618" max="4618" width="13.85546875" style="1652" customWidth="1"/>
    <col min="4619" max="4619" width="14.140625" style="1652" customWidth="1"/>
    <col min="4620" max="4620" width="15.7109375" style="1652" bestFit="1" customWidth="1"/>
    <col min="4621" max="4621" width="13.42578125" style="1652" bestFit="1" customWidth="1"/>
    <col min="4622" max="4624" width="13.28515625" style="1652" customWidth="1"/>
    <col min="4625" max="4625" width="11.5703125" style="1652" customWidth="1"/>
    <col min="4626" max="4626" width="13.140625" style="1652" customWidth="1"/>
    <col min="4627" max="4627" width="13.85546875" style="1652" customWidth="1"/>
    <col min="4628" max="4866" width="8.85546875" style="1652"/>
    <col min="4867" max="4867" width="43.85546875" style="1652" customWidth="1"/>
    <col min="4868" max="4868" width="7.140625" style="1652" customWidth="1"/>
    <col min="4869" max="4869" width="15.5703125" style="1652" customWidth="1"/>
    <col min="4870" max="4870" width="16" style="1652" customWidth="1"/>
    <col min="4871" max="4871" width="15.140625" style="1652" customWidth="1"/>
    <col min="4872" max="4872" width="14.85546875" style="1652" customWidth="1"/>
    <col min="4873" max="4873" width="16.28515625" style="1652" customWidth="1"/>
    <col min="4874" max="4874" width="13.85546875" style="1652" customWidth="1"/>
    <col min="4875" max="4875" width="14.140625" style="1652" customWidth="1"/>
    <col min="4876" max="4876" width="15.7109375" style="1652" bestFit="1" customWidth="1"/>
    <col min="4877" max="4877" width="13.42578125" style="1652" bestFit="1" customWidth="1"/>
    <col min="4878" max="4880" width="13.28515625" style="1652" customWidth="1"/>
    <col min="4881" max="4881" width="11.5703125" style="1652" customWidth="1"/>
    <col min="4882" max="4882" width="13.140625" style="1652" customWidth="1"/>
    <col min="4883" max="4883" width="13.85546875" style="1652" customWidth="1"/>
    <col min="4884" max="5122" width="8.85546875" style="1652"/>
    <col min="5123" max="5123" width="43.85546875" style="1652" customWidth="1"/>
    <col min="5124" max="5124" width="7.140625" style="1652" customWidth="1"/>
    <col min="5125" max="5125" width="15.5703125" style="1652" customWidth="1"/>
    <col min="5126" max="5126" width="16" style="1652" customWidth="1"/>
    <col min="5127" max="5127" width="15.140625" style="1652" customWidth="1"/>
    <col min="5128" max="5128" width="14.85546875" style="1652" customWidth="1"/>
    <col min="5129" max="5129" width="16.28515625" style="1652" customWidth="1"/>
    <col min="5130" max="5130" width="13.85546875" style="1652" customWidth="1"/>
    <col min="5131" max="5131" width="14.140625" style="1652" customWidth="1"/>
    <col min="5132" max="5132" width="15.7109375" style="1652" bestFit="1" customWidth="1"/>
    <col min="5133" max="5133" width="13.42578125" style="1652" bestFit="1" customWidth="1"/>
    <col min="5134" max="5136" width="13.28515625" style="1652" customWidth="1"/>
    <col min="5137" max="5137" width="11.5703125" style="1652" customWidth="1"/>
    <col min="5138" max="5138" width="13.140625" style="1652" customWidth="1"/>
    <col min="5139" max="5139" width="13.85546875" style="1652" customWidth="1"/>
    <col min="5140" max="5378" width="8.85546875" style="1652"/>
    <col min="5379" max="5379" width="43.85546875" style="1652" customWidth="1"/>
    <col min="5380" max="5380" width="7.140625" style="1652" customWidth="1"/>
    <col min="5381" max="5381" width="15.5703125" style="1652" customWidth="1"/>
    <col min="5382" max="5382" width="16" style="1652" customWidth="1"/>
    <col min="5383" max="5383" width="15.140625" style="1652" customWidth="1"/>
    <col min="5384" max="5384" width="14.85546875" style="1652" customWidth="1"/>
    <col min="5385" max="5385" width="16.28515625" style="1652" customWidth="1"/>
    <col min="5386" max="5386" width="13.85546875" style="1652" customWidth="1"/>
    <col min="5387" max="5387" width="14.140625" style="1652" customWidth="1"/>
    <col min="5388" max="5388" width="15.7109375" style="1652" bestFit="1" customWidth="1"/>
    <col min="5389" max="5389" width="13.42578125" style="1652" bestFit="1" customWidth="1"/>
    <col min="5390" max="5392" width="13.28515625" style="1652" customWidth="1"/>
    <col min="5393" max="5393" width="11.5703125" style="1652" customWidth="1"/>
    <col min="5394" max="5394" width="13.140625" style="1652" customWidth="1"/>
    <col min="5395" max="5395" width="13.85546875" style="1652" customWidth="1"/>
    <col min="5396" max="5634" width="8.85546875" style="1652"/>
    <col min="5635" max="5635" width="43.85546875" style="1652" customWidth="1"/>
    <col min="5636" max="5636" width="7.140625" style="1652" customWidth="1"/>
    <col min="5637" max="5637" width="15.5703125" style="1652" customWidth="1"/>
    <col min="5638" max="5638" width="16" style="1652" customWidth="1"/>
    <col min="5639" max="5639" width="15.140625" style="1652" customWidth="1"/>
    <col min="5640" max="5640" width="14.85546875" style="1652" customWidth="1"/>
    <col min="5641" max="5641" width="16.28515625" style="1652" customWidth="1"/>
    <col min="5642" max="5642" width="13.85546875" style="1652" customWidth="1"/>
    <col min="5643" max="5643" width="14.140625" style="1652" customWidth="1"/>
    <col min="5644" max="5644" width="15.7109375" style="1652" bestFit="1" customWidth="1"/>
    <col min="5645" max="5645" width="13.42578125" style="1652" bestFit="1" customWidth="1"/>
    <col min="5646" max="5648" width="13.28515625" style="1652" customWidth="1"/>
    <col min="5649" max="5649" width="11.5703125" style="1652" customWidth="1"/>
    <col min="5650" max="5650" width="13.140625" style="1652" customWidth="1"/>
    <col min="5651" max="5651" width="13.85546875" style="1652" customWidth="1"/>
    <col min="5652" max="5890" width="8.85546875" style="1652"/>
    <col min="5891" max="5891" width="43.85546875" style="1652" customWidth="1"/>
    <col min="5892" max="5892" width="7.140625" style="1652" customWidth="1"/>
    <col min="5893" max="5893" width="15.5703125" style="1652" customWidth="1"/>
    <col min="5894" max="5894" width="16" style="1652" customWidth="1"/>
    <col min="5895" max="5895" width="15.140625" style="1652" customWidth="1"/>
    <col min="5896" max="5896" width="14.85546875" style="1652" customWidth="1"/>
    <col min="5897" max="5897" width="16.28515625" style="1652" customWidth="1"/>
    <col min="5898" max="5898" width="13.85546875" style="1652" customWidth="1"/>
    <col min="5899" max="5899" width="14.140625" style="1652" customWidth="1"/>
    <col min="5900" max="5900" width="15.7109375" style="1652" bestFit="1" customWidth="1"/>
    <col min="5901" max="5901" width="13.42578125" style="1652" bestFit="1" customWidth="1"/>
    <col min="5902" max="5904" width="13.28515625" style="1652" customWidth="1"/>
    <col min="5905" max="5905" width="11.5703125" style="1652" customWidth="1"/>
    <col min="5906" max="5906" width="13.140625" style="1652" customWidth="1"/>
    <col min="5907" max="5907" width="13.85546875" style="1652" customWidth="1"/>
    <col min="5908" max="6146" width="8.85546875" style="1652"/>
    <col min="6147" max="6147" width="43.85546875" style="1652" customWidth="1"/>
    <col min="6148" max="6148" width="7.140625" style="1652" customWidth="1"/>
    <col min="6149" max="6149" width="15.5703125" style="1652" customWidth="1"/>
    <col min="6150" max="6150" width="16" style="1652" customWidth="1"/>
    <col min="6151" max="6151" width="15.140625" style="1652" customWidth="1"/>
    <col min="6152" max="6152" width="14.85546875" style="1652" customWidth="1"/>
    <col min="6153" max="6153" width="16.28515625" style="1652" customWidth="1"/>
    <col min="6154" max="6154" width="13.85546875" style="1652" customWidth="1"/>
    <col min="6155" max="6155" width="14.140625" style="1652" customWidth="1"/>
    <col min="6156" max="6156" width="15.7109375" style="1652" bestFit="1" customWidth="1"/>
    <col min="6157" max="6157" width="13.42578125" style="1652" bestFit="1" customWidth="1"/>
    <col min="6158" max="6160" width="13.28515625" style="1652" customWidth="1"/>
    <col min="6161" max="6161" width="11.5703125" style="1652" customWidth="1"/>
    <col min="6162" max="6162" width="13.140625" style="1652" customWidth="1"/>
    <col min="6163" max="6163" width="13.85546875" style="1652" customWidth="1"/>
    <col min="6164" max="6402" width="8.85546875" style="1652"/>
    <col min="6403" max="6403" width="43.85546875" style="1652" customWidth="1"/>
    <col min="6404" max="6404" width="7.140625" style="1652" customWidth="1"/>
    <col min="6405" max="6405" width="15.5703125" style="1652" customWidth="1"/>
    <col min="6406" max="6406" width="16" style="1652" customWidth="1"/>
    <col min="6407" max="6407" width="15.140625" style="1652" customWidth="1"/>
    <col min="6408" max="6408" width="14.85546875" style="1652" customWidth="1"/>
    <col min="6409" max="6409" width="16.28515625" style="1652" customWidth="1"/>
    <col min="6410" max="6410" width="13.85546875" style="1652" customWidth="1"/>
    <col min="6411" max="6411" width="14.140625" style="1652" customWidth="1"/>
    <col min="6412" max="6412" width="15.7109375" style="1652" bestFit="1" customWidth="1"/>
    <col min="6413" max="6413" width="13.42578125" style="1652" bestFit="1" customWidth="1"/>
    <col min="6414" max="6416" width="13.28515625" style="1652" customWidth="1"/>
    <col min="6417" max="6417" width="11.5703125" style="1652" customWidth="1"/>
    <col min="6418" max="6418" width="13.140625" style="1652" customWidth="1"/>
    <col min="6419" max="6419" width="13.85546875" style="1652" customWidth="1"/>
    <col min="6420" max="6658" width="8.85546875" style="1652"/>
    <col min="6659" max="6659" width="43.85546875" style="1652" customWidth="1"/>
    <col min="6660" max="6660" width="7.140625" style="1652" customWidth="1"/>
    <col min="6661" max="6661" width="15.5703125" style="1652" customWidth="1"/>
    <col min="6662" max="6662" width="16" style="1652" customWidth="1"/>
    <col min="6663" max="6663" width="15.140625" style="1652" customWidth="1"/>
    <col min="6664" max="6664" width="14.85546875" style="1652" customWidth="1"/>
    <col min="6665" max="6665" width="16.28515625" style="1652" customWidth="1"/>
    <col min="6666" max="6666" width="13.85546875" style="1652" customWidth="1"/>
    <col min="6667" max="6667" width="14.140625" style="1652" customWidth="1"/>
    <col min="6668" max="6668" width="15.7109375" style="1652" bestFit="1" customWidth="1"/>
    <col min="6669" max="6669" width="13.42578125" style="1652" bestFit="1" customWidth="1"/>
    <col min="6670" max="6672" width="13.28515625" style="1652" customWidth="1"/>
    <col min="6673" max="6673" width="11.5703125" style="1652" customWidth="1"/>
    <col min="6674" max="6674" width="13.140625" style="1652" customWidth="1"/>
    <col min="6675" max="6675" width="13.85546875" style="1652" customWidth="1"/>
    <col min="6676" max="6914" width="8.85546875" style="1652"/>
    <col min="6915" max="6915" width="43.85546875" style="1652" customWidth="1"/>
    <col min="6916" max="6916" width="7.140625" style="1652" customWidth="1"/>
    <col min="6917" max="6917" width="15.5703125" style="1652" customWidth="1"/>
    <col min="6918" max="6918" width="16" style="1652" customWidth="1"/>
    <col min="6919" max="6919" width="15.140625" style="1652" customWidth="1"/>
    <col min="6920" max="6920" width="14.85546875" style="1652" customWidth="1"/>
    <col min="6921" max="6921" width="16.28515625" style="1652" customWidth="1"/>
    <col min="6922" max="6922" width="13.85546875" style="1652" customWidth="1"/>
    <col min="6923" max="6923" width="14.140625" style="1652" customWidth="1"/>
    <col min="6924" max="6924" width="15.7109375" style="1652" bestFit="1" customWidth="1"/>
    <col min="6925" max="6925" width="13.42578125" style="1652" bestFit="1" customWidth="1"/>
    <col min="6926" max="6928" width="13.28515625" style="1652" customWidth="1"/>
    <col min="6929" max="6929" width="11.5703125" style="1652" customWidth="1"/>
    <col min="6930" max="6930" width="13.140625" style="1652" customWidth="1"/>
    <col min="6931" max="6931" width="13.85546875" style="1652" customWidth="1"/>
    <col min="6932" max="7170" width="8.85546875" style="1652"/>
    <col min="7171" max="7171" width="43.85546875" style="1652" customWidth="1"/>
    <col min="7172" max="7172" width="7.140625" style="1652" customWidth="1"/>
    <col min="7173" max="7173" width="15.5703125" style="1652" customWidth="1"/>
    <col min="7174" max="7174" width="16" style="1652" customWidth="1"/>
    <col min="7175" max="7175" width="15.140625" style="1652" customWidth="1"/>
    <col min="7176" max="7176" width="14.85546875" style="1652" customWidth="1"/>
    <col min="7177" max="7177" width="16.28515625" style="1652" customWidth="1"/>
    <col min="7178" max="7178" width="13.85546875" style="1652" customWidth="1"/>
    <col min="7179" max="7179" width="14.140625" style="1652" customWidth="1"/>
    <col min="7180" max="7180" width="15.7109375" style="1652" bestFit="1" customWidth="1"/>
    <col min="7181" max="7181" width="13.42578125" style="1652" bestFit="1" customWidth="1"/>
    <col min="7182" max="7184" width="13.28515625" style="1652" customWidth="1"/>
    <col min="7185" max="7185" width="11.5703125" style="1652" customWidth="1"/>
    <col min="7186" max="7186" width="13.140625" style="1652" customWidth="1"/>
    <col min="7187" max="7187" width="13.85546875" style="1652" customWidth="1"/>
    <col min="7188" max="7426" width="8.85546875" style="1652"/>
    <col min="7427" max="7427" width="43.85546875" style="1652" customWidth="1"/>
    <col min="7428" max="7428" width="7.140625" style="1652" customWidth="1"/>
    <col min="7429" max="7429" width="15.5703125" style="1652" customWidth="1"/>
    <col min="7430" max="7430" width="16" style="1652" customWidth="1"/>
    <col min="7431" max="7431" width="15.140625" style="1652" customWidth="1"/>
    <col min="7432" max="7432" width="14.85546875" style="1652" customWidth="1"/>
    <col min="7433" max="7433" width="16.28515625" style="1652" customWidth="1"/>
    <col min="7434" max="7434" width="13.85546875" style="1652" customWidth="1"/>
    <col min="7435" max="7435" width="14.140625" style="1652" customWidth="1"/>
    <col min="7436" max="7436" width="15.7109375" style="1652" bestFit="1" customWidth="1"/>
    <col min="7437" max="7437" width="13.42578125" style="1652" bestFit="1" customWidth="1"/>
    <col min="7438" max="7440" width="13.28515625" style="1652" customWidth="1"/>
    <col min="7441" max="7441" width="11.5703125" style="1652" customWidth="1"/>
    <col min="7442" max="7442" width="13.140625" style="1652" customWidth="1"/>
    <col min="7443" max="7443" width="13.85546875" style="1652" customWidth="1"/>
    <col min="7444" max="7682" width="8.85546875" style="1652"/>
    <col min="7683" max="7683" width="43.85546875" style="1652" customWidth="1"/>
    <col min="7684" max="7684" width="7.140625" style="1652" customWidth="1"/>
    <col min="7685" max="7685" width="15.5703125" style="1652" customWidth="1"/>
    <col min="7686" max="7686" width="16" style="1652" customWidth="1"/>
    <col min="7687" max="7687" width="15.140625" style="1652" customWidth="1"/>
    <col min="7688" max="7688" width="14.85546875" style="1652" customWidth="1"/>
    <col min="7689" max="7689" width="16.28515625" style="1652" customWidth="1"/>
    <col min="7690" max="7690" width="13.85546875" style="1652" customWidth="1"/>
    <col min="7691" max="7691" width="14.140625" style="1652" customWidth="1"/>
    <col min="7692" max="7692" width="15.7109375" style="1652" bestFit="1" customWidth="1"/>
    <col min="7693" max="7693" width="13.42578125" style="1652" bestFit="1" customWidth="1"/>
    <col min="7694" max="7696" width="13.28515625" style="1652" customWidth="1"/>
    <col min="7697" max="7697" width="11.5703125" style="1652" customWidth="1"/>
    <col min="7698" max="7698" width="13.140625" style="1652" customWidth="1"/>
    <col min="7699" max="7699" width="13.85546875" style="1652" customWidth="1"/>
    <col min="7700" max="7938" width="8.85546875" style="1652"/>
    <col min="7939" max="7939" width="43.85546875" style="1652" customWidth="1"/>
    <col min="7940" max="7940" width="7.140625" style="1652" customWidth="1"/>
    <col min="7941" max="7941" width="15.5703125" style="1652" customWidth="1"/>
    <col min="7942" max="7942" width="16" style="1652" customWidth="1"/>
    <col min="7943" max="7943" width="15.140625" style="1652" customWidth="1"/>
    <col min="7944" max="7944" width="14.85546875" style="1652" customWidth="1"/>
    <col min="7945" max="7945" width="16.28515625" style="1652" customWidth="1"/>
    <col min="7946" max="7946" width="13.85546875" style="1652" customWidth="1"/>
    <col min="7947" max="7947" width="14.140625" style="1652" customWidth="1"/>
    <col min="7948" max="7948" width="15.7109375" style="1652" bestFit="1" customWidth="1"/>
    <col min="7949" max="7949" width="13.42578125" style="1652" bestFit="1" customWidth="1"/>
    <col min="7950" max="7952" width="13.28515625" style="1652" customWidth="1"/>
    <col min="7953" max="7953" width="11.5703125" style="1652" customWidth="1"/>
    <col min="7954" max="7954" width="13.140625" style="1652" customWidth="1"/>
    <col min="7955" max="7955" width="13.85546875" style="1652" customWidth="1"/>
    <col min="7956" max="8194" width="8.85546875" style="1652"/>
    <col min="8195" max="8195" width="43.85546875" style="1652" customWidth="1"/>
    <col min="8196" max="8196" width="7.140625" style="1652" customWidth="1"/>
    <col min="8197" max="8197" width="15.5703125" style="1652" customWidth="1"/>
    <col min="8198" max="8198" width="16" style="1652" customWidth="1"/>
    <col min="8199" max="8199" width="15.140625" style="1652" customWidth="1"/>
    <col min="8200" max="8200" width="14.85546875" style="1652" customWidth="1"/>
    <col min="8201" max="8201" width="16.28515625" style="1652" customWidth="1"/>
    <col min="8202" max="8202" width="13.85546875" style="1652" customWidth="1"/>
    <col min="8203" max="8203" width="14.140625" style="1652" customWidth="1"/>
    <col min="8204" max="8204" width="15.7109375" style="1652" bestFit="1" customWidth="1"/>
    <col min="8205" max="8205" width="13.42578125" style="1652" bestFit="1" customWidth="1"/>
    <col min="8206" max="8208" width="13.28515625" style="1652" customWidth="1"/>
    <col min="8209" max="8209" width="11.5703125" style="1652" customWidth="1"/>
    <col min="8210" max="8210" width="13.140625" style="1652" customWidth="1"/>
    <col min="8211" max="8211" width="13.85546875" style="1652" customWidth="1"/>
    <col min="8212" max="8450" width="8.85546875" style="1652"/>
    <col min="8451" max="8451" width="43.85546875" style="1652" customWidth="1"/>
    <col min="8452" max="8452" width="7.140625" style="1652" customWidth="1"/>
    <col min="8453" max="8453" width="15.5703125" style="1652" customWidth="1"/>
    <col min="8454" max="8454" width="16" style="1652" customWidth="1"/>
    <col min="8455" max="8455" width="15.140625" style="1652" customWidth="1"/>
    <col min="8456" max="8456" width="14.85546875" style="1652" customWidth="1"/>
    <col min="8457" max="8457" width="16.28515625" style="1652" customWidth="1"/>
    <col min="8458" max="8458" width="13.85546875" style="1652" customWidth="1"/>
    <col min="8459" max="8459" width="14.140625" style="1652" customWidth="1"/>
    <col min="8460" max="8460" width="15.7109375" style="1652" bestFit="1" customWidth="1"/>
    <col min="8461" max="8461" width="13.42578125" style="1652" bestFit="1" customWidth="1"/>
    <col min="8462" max="8464" width="13.28515625" style="1652" customWidth="1"/>
    <col min="8465" max="8465" width="11.5703125" style="1652" customWidth="1"/>
    <col min="8466" max="8466" width="13.140625" style="1652" customWidth="1"/>
    <col min="8467" max="8467" width="13.85546875" style="1652" customWidth="1"/>
    <col min="8468" max="8706" width="8.85546875" style="1652"/>
    <col min="8707" max="8707" width="43.85546875" style="1652" customWidth="1"/>
    <col min="8708" max="8708" width="7.140625" style="1652" customWidth="1"/>
    <col min="8709" max="8709" width="15.5703125" style="1652" customWidth="1"/>
    <col min="8710" max="8710" width="16" style="1652" customWidth="1"/>
    <col min="8711" max="8711" width="15.140625" style="1652" customWidth="1"/>
    <col min="8712" max="8712" width="14.85546875" style="1652" customWidth="1"/>
    <col min="8713" max="8713" width="16.28515625" style="1652" customWidth="1"/>
    <col min="8714" max="8714" width="13.85546875" style="1652" customWidth="1"/>
    <col min="8715" max="8715" width="14.140625" style="1652" customWidth="1"/>
    <col min="8716" max="8716" width="15.7109375" style="1652" bestFit="1" customWidth="1"/>
    <col min="8717" max="8717" width="13.42578125" style="1652" bestFit="1" customWidth="1"/>
    <col min="8718" max="8720" width="13.28515625" style="1652" customWidth="1"/>
    <col min="8721" max="8721" width="11.5703125" style="1652" customWidth="1"/>
    <col min="8722" max="8722" width="13.140625" style="1652" customWidth="1"/>
    <col min="8723" max="8723" width="13.85546875" style="1652" customWidth="1"/>
    <col min="8724" max="8962" width="8.85546875" style="1652"/>
    <col min="8963" max="8963" width="43.85546875" style="1652" customWidth="1"/>
    <col min="8964" max="8964" width="7.140625" style="1652" customWidth="1"/>
    <col min="8965" max="8965" width="15.5703125" style="1652" customWidth="1"/>
    <col min="8966" max="8966" width="16" style="1652" customWidth="1"/>
    <col min="8967" max="8967" width="15.140625" style="1652" customWidth="1"/>
    <col min="8968" max="8968" width="14.85546875" style="1652" customWidth="1"/>
    <col min="8969" max="8969" width="16.28515625" style="1652" customWidth="1"/>
    <col min="8970" max="8970" width="13.85546875" style="1652" customWidth="1"/>
    <col min="8971" max="8971" width="14.140625" style="1652" customWidth="1"/>
    <col min="8972" max="8972" width="15.7109375" style="1652" bestFit="1" customWidth="1"/>
    <col min="8973" max="8973" width="13.42578125" style="1652" bestFit="1" customWidth="1"/>
    <col min="8974" max="8976" width="13.28515625" style="1652" customWidth="1"/>
    <col min="8977" max="8977" width="11.5703125" style="1652" customWidth="1"/>
    <col min="8978" max="8978" width="13.140625" style="1652" customWidth="1"/>
    <col min="8979" max="8979" width="13.85546875" style="1652" customWidth="1"/>
    <col min="8980" max="9218" width="8.85546875" style="1652"/>
    <col min="9219" max="9219" width="43.85546875" style="1652" customWidth="1"/>
    <col min="9220" max="9220" width="7.140625" style="1652" customWidth="1"/>
    <col min="9221" max="9221" width="15.5703125" style="1652" customWidth="1"/>
    <col min="9222" max="9222" width="16" style="1652" customWidth="1"/>
    <col min="9223" max="9223" width="15.140625" style="1652" customWidth="1"/>
    <col min="9224" max="9224" width="14.85546875" style="1652" customWidth="1"/>
    <col min="9225" max="9225" width="16.28515625" style="1652" customWidth="1"/>
    <col min="9226" max="9226" width="13.85546875" style="1652" customWidth="1"/>
    <col min="9227" max="9227" width="14.140625" style="1652" customWidth="1"/>
    <col min="9228" max="9228" width="15.7109375" style="1652" bestFit="1" customWidth="1"/>
    <col min="9229" max="9229" width="13.42578125" style="1652" bestFit="1" customWidth="1"/>
    <col min="9230" max="9232" width="13.28515625" style="1652" customWidth="1"/>
    <col min="9233" max="9233" width="11.5703125" style="1652" customWidth="1"/>
    <col min="9234" max="9234" width="13.140625" style="1652" customWidth="1"/>
    <col min="9235" max="9235" width="13.85546875" style="1652" customWidth="1"/>
    <col min="9236" max="9474" width="8.85546875" style="1652"/>
    <col min="9475" max="9475" width="43.85546875" style="1652" customWidth="1"/>
    <col min="9476" max="9476" width="7.140625" style="1652" customWidth="1"/>
    <col min="9477" max="9477" width="15.5703125" style="1652" customWidth="1"/>
    <col min="9478" max="9478" width="16" style="1652" customWidth="1"/>
    <col min="9479" max="9479" width="15.140625" style="1652" customWidth="1"/>
    <col min="9480" max="9480" width="14.85546875" style="1652" customWidth="1"/>
    <col min="9481" max="9481" width="16.28515625" style="1652" customWidth="1"/>
    <col min="9482" max="9482" width="13.85546875" style="1652" customWidth="1"/>
    <col min="9483" max="9483" width="14.140625" style="1652" customWidth="1"/>
    <col min="9484" max="9484" width="15.7109375" style="1652" bestFit="1" customWidth="1"/>
    <col min="9485" max="9485" width="13.42578125" style="1652" bestFit="1" customWidth="1"/>
    <col min="9486" max="9488" width="13.28515625" style="1652" customWidth="1"/>
    <col min="9489" max="9489" width="11.5703125" style="1652" customWidth="1"/>
    <col min="9490" max="9490" width="13.140625" style="1652" customWidth="1"/>
    <col min="9491" max="9491" width="13.85546875" style="1652" customWidth="1"/>
    <col min="9492" max="9730" width="8.85546875" style="1652"/>
    <col min="9731" max="9731" width="43.85546875" style="1652" customWidth="1"/>
    <col min="9732" max="9732" width="7.140625" style="1652" customWidth="1"/>
    <col min="9733" max="9733" width="15.5703125" style="1652" customWidth="1"/>
    <col min="9734" max="9734" width="16" style="1652" customWidth="1"/>
    <col min="9735" max="9735" width="15.140625" style="1652" customWidth="1"/>
    <col min="9736" max="9736" width="14.85546875" style="1652" customWidth="1"/>
    <col min="9737" max="9737" width="16.28515625" style="1652" customWidth="1"/>
    <col min="9738" max="9738" width="13.85546875" style="1652" customWidth="1"/>
    <col min="9739" max="9739" width="14.140625" style="1652" customWidth="1"/>
    <col min="9740" max="9740" width="15.7109375" style="1652" bestFit="1" customWidth="1"/>
    <col min="9741" max="9741" width="13.42578125" style="1652" bestFit="1" customWidth="1"/>
    <col min="9742" max="9744" width="13.28515625" style="1652" customWidth="1"/>
    <col min="9745" max="9745" width="11.5703125" style="1652" customWidth="1"/>
    <col min="9746" max="9746" width="13.140625" style="1652" customWidth="1"/>
    <col min="9747" max="9747" width="13.85546875" style="1652" customWidth="1"/>
    <col min="9748" max="9986" width="8.85546875" style="1652"/>
    <col min="9987" max="9987" width="43.85546875" style="1652" customWidth="1"/>
    <col min="9988" max="9988" width="7.140625" style="1652" customWidth="1"/>
    <col min="9989" max="9989" width="15.5703125" style="1652" customWidth="1"/>
    <col min="9990" max="9990" width="16" style="1652" customWidth="1"/>
    <col min="9991" max="9991" width="15.140625" style="1652" customWidth="1"/>
    <col min="9992" max="9992" width="14.85546875" style="1652" customWidth="1"/>
    <col min="9993" max="9993" width="16.28515625" style="1652" customWidth="1"/>
    <col min="9994" max="9994" width="13.85546875" style="1652" customWidth="1"/>
    <col min="9995" max="9995" width="14.140625" style="1652" customWidth="1"/>
    <col min="9996" max="9996" width="15.7109375" style="1652" bestFit="1" customWidth="1"/>
    <col min="9997" max="9997" width="13.42578125" style="1652" bestFit="1" customWidth="1"/>
    <col min="9998" max="10000" width="13.28515625" style="1652" customWidth="1"/>
    <col min="10001" max="10001" width="11.5703125" style="1652" customWidth="1"/>
    <col min="10002" max="10002" width="13.140625" style="1652" customWidth="1"/>
    <col min="10003" max="10003" width="13.85546875" style="1652" customWidth="1"/>
    <col min="10004" max="10242" width="8.85546875" style="1652"/>
    <col min="10243" max="10243" width="43.85546875" style="1652" customWidth="1"/>
    <col min="10244" max="10244" width="7.140625" style="1652" customWidth="1"/>
    <col min="10245" max="10245" width="15.5703125" style="1652" customWidth="1"/>
    <col min="10246" max="10246" width="16" style="1652" customWidth="1"/>
    <col min="10247" max="10247" width="15.140625" style="1652" customWidth="1"/>
    <col min="10248" max="10248" width="14.85546875" style="1652" customWidth="1"/>
    <col min="10249" max="10249" width="16.28515625" style="1652" customWidth="1"/>
    <col min="10250" max="10250" width="13.85546875" style="1652" customWidth="1"/>
    <col min="10251" max="10251" width="14.140625" style="1652" customWidth="1"/>
    <col min="10252" max="10252" width="15.7109375" style="1652" bestFit="1" customWidth="1"/>
    <col min="10253" max="10253" width="13.42578125" style="1652" bestFit="1" customWidth="1"/>
    <col min="10254" max="10256" width="13.28515625" style="1652" customWidth="1"/>
    <col min="10257" max="10257" width="11.5703125" style="1652" customWidth="1"/>
    <col min="10258" max="10258" width="13.140625" style="1652" customWidth="1"/>
    <col min="10259" max="10259" width="13.85546875" style="1652" customWidth="1"/>
    <col min="10260" max="10498" width="8.85546875" style="1652"/>
    <col min="10499" max="10499" width="43.85546875" style="1652" customWidth="1"/>
    <col min="10500" max="10500" width="7.140625" style="1652" customWidth="1"/>
    <col min="10501" max="10501" width="15.5703125" style="1652" customWidth="1"/>
    <col min="10502" max="10502" width="16" style="1652" customWidth="1"/>
    <col min="10503" max="10503" width="15.140625" style="1652" customWidth="1"/>
    <col min="10504" max="10504" width="14.85546875" style="1652" customWidth="1"/>
    <col min="10505" max="10505" width="16.28515625" style="1652" customWidth="1"/>
    <col min="10506" max="10506" width="13.85546875" style="1652" customWidth="1"/>
    <col min="10507" max="10507" width="14.140625" style="1652" customWidth="1"/>
    <col min="10508" max="10508" width="15.7109375" style="1652" bestFit="1" customWidth="1"/>
    <col min="10509" max="10509" width="13.42578125" style="1652" bestFit="1" customWidth="1"/>
    <col min="10510" max="10512" width="13.28515625" style="1652" customWidth="1"/>
    <col min="10513" max="10513" width="11.5703125" style="1652" customWidth="1"/>
    <col min="10514" max="10514" width="13.140625" style="1652" customWidth="1"/>
    <col min="10515" max="10515" width="13.85546875" style="1652" customWidth="1"/>
    <col min="10516" max="10754" width="8.85546875" style="1652"/>
    <col min="10755" max="10755" width="43.85546875" style="1652" customWidth="1"/>
    <col min="10756" max="10756" width="7.140625" style="1652" customWidth="1"/>
    <col min="10757" max="10757" width="15.5703125" style="1652" customWidth="1"/>
    <col min="10758" max="10758" width="16" style="1652" customWidth="1"/>
    <col min="10759" max="10759" width="15.140625" style="1652" customWidth="1"/>
    <col min="10760" max="10760" width="14.85546875" style="1652" customWidth="1"/>
    <col min="10761" max="10761" width="16.28515625" style="1652" customWidth="1"/>
    <col min="10762" max="10762" width="13.85546875" style="1652" customWidth="1"/>
    <col min="10763" max="10763" width="14.140625" style="1652" customWidth="1"/>
    <col min="10764" max="10764" width="15.7109375" style="1652" bestFit="1" customWidth="1"/>
    <col min="10765" max="10765" width="13.42578125" style="1652" bestFit="1" customWidth="1"/>
    <col min="10766" max="10768" width="13.28515625" style="1652" customWidth="1"/>
    <col min="10769" max="10769" width="11.5703125" style="1652" customWidth="1"/>
    <col min="10770" max="10770" width="13.140625" style="1652" customWidth="1"/>
    <col min="10771" max="10771" width="13.85546875" style="1652" customWidth="1"/>
    <col min="10772" max="11010" width="8.85546875" style="1652"/>
    <col min="11011" max="11011" width="43.85546875" style="1652" customWidth="1"/>
    <col min="11012" max="11012" width="7.140625" style="1652" customWidth="1"/>
    <col min="11013" max="11013" width="15.5703125" style="1652" customWidth="1"/>
    <col min="11014" max="11014" width="16" style="1652" customWidth="1"/>
    <col min="11015" max="11015" width="15.140625" style="1652" customWidth="1"/>
    <col min="11016" max="11016" width="14.85546875" style="1652" customWidth="1"/>
    <col min="11017" max="11017" width="16.28515625" style="1652" customWidth="1"/>
    <col min="11018" max="11018" width="13.85546875" style="1652" customWidth="1"/>
    <col min="11019" max="11019" width="14.140625" style="1652" customWidth="1"/>
    <col min="11020" max="11020" width="15.7109375" style="1652" bestFit="1" customWidth="1"/>
    <col min="11021" max="11021" width="13.42578125" style="1652" bestFit="1" customWidth="1"/>
    <col min="11022" max="11024" width="13.28515625" style="1652" customWidth="1"/>
    <col min="11025" max="11025" width="11.5703125" style="1652" customWidth="1"/>
    <col min="11026" max="11026" width="13.140625" style="1652" customWidth="1"/>
    <col min="11027" max="11027" width="13.85546875" style="1652" customWidth="1"/>
    <col min="11028" max="11266" width="8.85546875" style="1652"/>
    <col min="11267" max="11267" width="43.85546875" style="1652" customWidth="1"/>
    <col min="11268" max="11268" width="7.140625" style="1652" customWidth="1"/>
    <col min="11269" max="11269" width="15.5703125" style="1652" customWidth="1"/>
    <col min="11270" max="11270" width="16" style="1652" customWidth="1"/>
    <col min="11271" max="11271" width="15.140625" style="1652" customWidth="1"/>
    <col min="11272" max="11272" width="14.85546875" style="1652" customWidth="1"/>
    <col min="11273" max="11273" width="16.28515625" style="1652" customWidth="1"/>
    <col min="11274" max="11274" width="13.85546875" style="1652" customWidth="1"/>
    <col min="11275" max="11275" width="14.140625" style="1652" customWidth="1"/>
    <col min="11276" max="11276" width="15.7109375" style="1652" bestFit="1" customWidth="1"/>
    <col min="11277" max="11277" width="13.42578125" style="1652" bestFit="1" customWidth="1"/>
    <col min="11278" max="11280" width="13.28515625" style="1652" customWidth="1"/>
    <col min="11281" max="11281" width="11.5703125" style="1652" customWidth="1"/>
    <col min="11282" max="11282" width="13.140625" style="1652" customWidth="1"/>
    <col min="11283" max="11283" width="13.85546875" style="1652" customWidth="1"/>
    <col min="11284" max="11522" width="8.85546875" style="1652"/>
    <col min="11523" max="11523" width="43.85546875" style="1652" customWidth="1"/>
    <col min="11524" max="11524" width="7.140625" style="1652" customWidth="1"/>
    <col min="11525" max="11525" width="15.5703125" style="1652" customWidth="1"/>
    <col min="11526" max="11526" width="16" style="1652" customWidth="1"/>
    <col min="11527" max="11527" width="15.140625" style="1652" customWidth="1"/>
    <col min="11528" max="11528" width="14.85546875" style="1652" customWidth="1"/>
    <col min="11529" max="11529" width="16.28515625" style="1652" customWidth="1"/>
    <col min="11530" max="11530" width="13.85546875" style="1652" customWidth="1"/>
    <col min="11531" max="11531" width="14.140625" style="1652" customWidth="1"/>
    <col min="11532" max="11532" width="15.7109375" style="1652" bestFit="1" customWidth="1"/>
    <col min="11533" max="11533" width="13.42578125" style="1652" bestFit="1" customWidth="1"/>
    <col min="11534" max="11536" width="13.28515625" style="1652" customWidth="1"/>
    <col min="11537" max="11537" width="11.5703125" style="1652" customWidth="1"/>
    <col min="11538" max="11538" width="13.140625" style="1652" customWidth="1"/>
    <col min="11539" max="11539" width="13.85546875" style="1652" customWidth="1"/>
    <col min="11540" max="11778" width="8.85546875" style="1652"/>
    <col min="11779" max="11779" width="43.85546875" style="1652" customWidth="1"/>
    <col min="11780" max="11780" width="7.140625" style="1652" customWidth="1"/>
    <col min="11781" max="11781" width="15.5703125" style="1652" customWidth="1"/>
    <col min="11782" max="11782" width="16" style="1652" customWidth="1"/>
    <col min="11783" max="11783" width="15.140625" style="1652" customWidth="1"/>
    <col min="11784" max="11784" width="14.85546875" style="1652" customWidth="1"/>
    <col min="11785" max="11785" width="16.28515625" style="1652" customWidth="1"/>
    <col min="11786" max="11786" width="13.85546875" style="1652" customWidth="1"/>
    <col min="11787" max="11787" width="14.140625" style="1652" customWidth="1"/>
    <col min="11788" max="11788" width="15.7109375" style="1652" bestFit="1" customWidth="1"/>
    <col min="11789" max="11789" width="13.42578125" style="1652" bestFit="1" customWidth="1"/>
    <col min="11790" max="11792" width="13.28515625" style="1652" customWidth="1"/>
    <col min="11793" max="11793" width="11.5703125" style="1652" customWidth="1"/>
    <col min="11794" max="11794" width="13.140625" style="1652" customWidth="1"/>
    <col min="11795" max="11795" width="13.85546875" style="1652" customWidth="1"/>
    <col min="11796" max="12034" width="8.85546875" style="1652"/>
    <col min="12035" max="12035" width="43.85546875" style="1652" customWidth="1"/>
    <col min="12036" max="12036" width="7.140625" style="1652" customWidth="1"/>
    <col min="12037" max="12037" width="15.5703125" style="1652" customWidth="1"/>
    <col min="12038" max="12038" width="16" style="1652" customWidth="1"/>
    <col min="12039" max="12039" width="15.140625" style="1652" customWidth="1"/>
    <col min="12040" max="12040" width="14.85546875" style="1652" customWidth="1"/>
    <col min="12041" max="12041" width="16.28515625" style="1652" customWidth="1"/>
    <col min="12042" max="12042" width="13.85546875" style="1652" customWidth="1"/>
    <col min="12043" max="12043" width="14.140625" style="1652" customWidth="1"/>
    <col min="12044" max="12044" width="15.7109375" style="1652" bestFit="1" customWidth="1"/>
    <col min="12045" max="12045" width="13.42578125" style="1652" bestFit="1" customWidth="1"/>
    <col min="12046" max="12048" width="13.28515625" style="1652" customWidth="1"/>
    <col min="12049" max="12049" width="11.5703125" style="1652" customWidth="1"/>
    <col min="12050" max="12050" width="13.140625" style="1652" customWidth="1"/>
    <col min="12051" max="12051" width="13.85546875" style="1652" customWidth="1"/>
    <col min="12052" max="12290" width="8.85546875" style="1652"/>
    <col min="12291" max="12291" width="43.85546875" style="1652" customWidth="1"/>
    <col min="12292" max="12292" width="7.140625" style="1652" customWidth="1"/>
    <col min="12293" max="12293" width="15.5703125" style="1652" customWidth="1"/>
    <col min="12294" max="12294" width="16" style="1652" customWidth="1"/>
    <col min="12295" max="12295" width="15.140625" style="1652" customWidth="1"/>
    <col min="12296" max="12296" width="14.85546875" style="1652" customWidth="1"/>
    <col min="12297" max="12297" width="16.28515625" style="1652" customWidth="1"/>
    <col min="12298" max="12298" width="13.85546875" style="1652" customWidth="1"/>
    <col min="12299" max="12299" width="14.140625" style="1652" customWidth="1"/>
    <col min="12300" max="12300" width="15.7109375" style="1652" bestFit="1" customWidth="1"/>
    <col min="12301" max="12301" width="13.42578125" style="1652" bestFit="1" customWidth="1"/>
    <col min="12302" max="12304" width="13.28515625" style="1652" customWidth="1"/>
    <col min="12305" max="12305" width="11.5703125" style="1652" customWidth="1"/>
    <col min="12306" max="12306" width="13.140625" style="1652" customWidth="1"/>
    <col min="12307" max="12307" width="13.85546875" style="1652" customWidth="1"/>
    <col min="12308" max="12546" width="8.85546875" style="1652"/>
    <col min="12547" max="12547" width="43.85546875" style="1652" customWidth="1"/>
    <col min="12548" max="12548" width="7.140625" style="1652" customWidth="1"/>
    <col min="12549" max="12549" width="15.5703125" style="1652" customWidth="1"/>
    <col min="12550" max="12550" width="16" style="1652" customWidth="1"/>
    <col min="12551" max="12551" width="15.140625" style="1652" customWidth="1"/>
    <col min="12552" max="12552" width="14.85546875" style="1652" customWidth="1"/>
    <col min="12553" max="12553" width="16.28515625" style="1652" customWidth="1"/>
    <col min="12554" max="12554" width="13.85546875" style="1652" customWidth="1"/>
    <col min="12555" max="12555" width="14.140625" style="1652" customWidth="1"/>
    <col min="12556" max="12556" width="15.7109375" style="1652" bestFit="1" customWidth="1"/>
    <col min="12557" max="12557" width="13.42578125" style="1652" bestFit="1" customWidth="1"/>
    <col min="12558" max="12560" width="13.28515625" style="1652" customWidth="1"/>
    <col min="12561" max="12561" width="11.5703125" style="1652" customWidth="1"/>
    <col min="12562" max="12562" width="13.140625" style="1652" customWidth="1"/>
    <col min="12563" max="12563" width="13.85546875" style="1652" customWidth="1"/>
    <col min="12564" max="12802" width="8.85546875" style="1652"/>
    <col min="12803" max="12803" width="43.85546875" style="1652" customWidth="1"/>
    <col min="12804" max="12804" width="7.140625" style="1652" customWidth="1"/>
    <col min="12805" max="12805" width="15.5703125" style="1652" customWidth="1"/>
    <col min="12806" max="12806" width="16" style="1652" customWidth="1"/>
    <col min="12807" max="12807" width="15.140625" style="1652" customWidth="1"/>
    <col min="12808" max="12808" width="14.85546875" style="1652" customWidth="1"/>
    <col min="12809" max="12809" width="16.28515625" style="1652" customWidth="1"/>
    <col min="12810" max="12810" width="13.85546875" style="1652" customWidth="1"/>
    <col min="12811" max="12811" width="14.140625" style="1652" customWidth="1"/>
    <col min="12812" max="12812" width="15.7109375" style="1652" bestFit="1" customWidth="1"/>
    <col min="12813" max="12813" width="13.42578125" style="1652" bestFit="1" customWidth="1"/>
    <col min="12814" max="12816" width="13.28515625" style="1652" customWidth="1"/>
    <col min="12817" max="12817" width="11.5703125" style="1652" customWidth="1"/>
    <col min="12818" max="12818" width="13.140625" style="1652" customWidth="1"/>
    <col min="12819" max="12819" width="13.85546875" style="1652" customWidth="1"/>
    <col min="12820" max="13058" width="8.85546875" style="1652"/>
    <col min="13059" max="13059" width="43.85546875" style="1652" customWidth="1"/>
    <col min="13060" max="13060" width="7.140625" style="1652" customWidth="1"/>
    <col min="13061" max="13061" width="15.5703125" style="1652" customWidth="1"/>
    <col min="13062" max="13062" width="16" style="1652" customWidth="1"/>
    <col min="13063" max="13063" width="15.140625" style="1652" customWidth="1"/>
    <col min="13064" max="13064" width="14.85546875" style="1652" customWidth="1"/>
    <col min="13065" max="13065" width="16.28515625" style="1652" customWidth="1"/>
    <col min="13066" max="13066" width="13.85546875" style="1652" customWidth="1"/>
    <col min="13067" max="13067" width="14.140625" style="1652" customWidth="1"/>
    <col min="13068" max="13068" width="15.7109375" style="1652" bestFit="1" customWidth="1"/>
    <col min="13069" max="13069" width="13.42578125" style="1652" bestFit="1" customWidth="1"/>
    <col min="13070" max="13072" width="13.28515625" style="1652" customWidth="1"/>
    <col min="13073" max="13073" width="11.5703125" style="1652" customWidth="1"/>
    <col min="13074" max="13074" width="13.140625" style="1652" customWidth="1"/>
    <col min="13075" max="13075" width="13.85546875" style="1652" customWidth="1"/>
    <col min="13076" max="13314" width="8.85546875" style="1652"/>
    <col min="13315" max="13315" width="43.85546875" style="1652" customWidth="1"/>
    <col min="13316" max="13316" width="7.140625" style="1652" customWidth="1"/>
    <col min="13317" max="13317" width="15.5703125" style="1652" customWidth="1"/>
    <col min="13318" max="13318" width="16" style="1652" customWidth="1"/>
    <col min="13319" max="13319" width="15.140625" style="1652" customWidth="1"/>
    <col min="13320" max="13320" width="14.85546875" style="1652" customWidth="1"/>
    <col min="13321" max="13321" width="16.28515625" style="1652" customWidth="1"/>
    <col min="13322" max="13322" width="13.85546875" style="1652" customWidth="1"/>
    <col min="13323" max="13323" width="14.140625" style="1652" customWidth="1"/>
    <col min="13324" max="13324" width="15.7109375" style="1652" bestFit="1" customWidth="1"/>
    <col min="13325" max="13325" width="13.42578125" style="1652" bestFit="1" customWidth="1"/>
    <col min="13326" max="13328" width="13.28515625" style="1652" customWidth="1"/>
    <col min="13329" max="13329" width="11.5703125" style="1652" customWidth="1"/>
    <col min="13330" max="13330" width="13.140625" style="1652" customWidth="1"/>
    <col min="13331" max="13331" width="13.85546875" style="1652" customWidth="1"/>
    <col min="13332" max="13570" width="8.85546875" style="1652"/>
    <col min="13571" max="13571" width="43.85546875" style="1652" customWidth="1"/>
    <col min="13572" max="13572" width="7.140625" style="1652" customWidth="1"/>
    <col min="13573" max="13573" width="15.5703125" style="1652" customWidth="1"/>
    <col min="13574" max="13574" width="16" style="1652" customWidth="1"/>
    <col min="13575" max="13575" width="15.140625" style="1652" customWidth="1"/>
    <col min="13576" max="13576" width="14.85546875" style="1652" customWidth="1"/>
    <col min="13577" max="13577" width="16.28515625" style="1652" customWidth="1"/>
    <col min="13578" max="13578" width="13.85546875" style="1652" customWidth="1"/>
    <col min="13579" max="13579" width="14.140625" style="1652" customWidth="1"/>
    <col min="13580" max="13580" width="15.7109375" style="1652" bestFit="1" customWidth="1"/>
    <col min="13581" max="13581" width="13.42578125" style="1652" bestFit="1" customWidth="1"/>
    <col min="13582" max="13584" width="13.28515625" style="1652" customWidth="1"/>
    <col min="13585" max="13585" width="11.5703125" style="1652" customWidth="1"/>
    <col min="13586" max="13586" width="13.140625" style="1652" customWidth="1"/>
    <col min="13587" max="13587" width="13.85546875" style="1652" customWidth="1"/>
    <col min="13588" max="13826" width="8.85546875" style="1652"/>
    <col min="13827" max="13827" width="43.85546875" style="1652" customWidth="1"/>
    <col min="13828" max="13828" width="7.140625" style="1652" customWidth="1"/>
    <col min="13829" max="13829" width="15.5703125" style="1652" customWidth="1"/>
    <col min="13830" max="13830" width="16" style="1652" customWidth="1"/>
    <col min="13831" max="13831" width="15.140625" style="1652" customWidth="1"/>
    <col min="13832" max="13832" width="14.85546875" style="1652" customWidth="1"/>
    <col min="13833" max="13833" width="16.28515625" style="1652" customWidth="1"/>
    <col min="13834" max="13834" width="13.85546875" style="1652" customWidth="1"/>
    <col min="13835" max="13835" width="14.140625" style="1652" customWidth="1"/>
    <col min="13836" max="13836" width="15.7109375" style="1652" bestFit="1" customWidth="1"/>
    <col min="13837" max="13837" width="13.42578125" style="1652" bestFit="1" customWidth="1"/>
    <col min="13838" max="13840" width="13.28515625" style="1652" customWidth="1"/>
    <col min="13841" max="13841" width="11.5703125" style="1652" customWidth="1"/>
    <col min="13842" max="13842" width="13.140625" style="1652" customWidth="1"/>
    <col min="13843" max="13843" width="13.85546875" style="1652" customWidth="1"/>
    <col min="13844" max="14082" width="8.85546875" style="1652"/>
    <col min="14083" max="14083" width="43.85546875" style="1652" customWidth="1"/>
    <col min="14084" max="14084" width="7.140625" style="1652" customWidth="1"/>
    <col min="14085" max="14085" width="15.5703125" style="1652" customWidth="1"/>
    <col min="14086" max="14086" width="16" style="1652" customWidth="1"/>
    <col min="14087" max="14087" width="15.140625" style="1652" customWidth="1"/>
    <col min="14088" max="14088" width="14.85546875" style="1652" customWidth="1"/>
    <col min="14089" max="14089" width="16.28515625" style="1652" customWidth="1"/>
    <col min="14090" max="14090" width="13.85546875" style="1652" customWidth="1"/>
    <col min="14091" max="14091" width="14.140625" style="1652" customWidth="1"/>
    <col min="14092" max="14092" width="15.7109375" style="1652" bestFit="1" customWidth="1"/>
    <col min="14093" max="14093" width="13.42578125" style="1652" bestFit="1" customWidth="1"/>
    <col min="14094" max="14096" width="13.28515625" style="1652" customWidth="1"/>
    <col min="14097" max="14097" width="11.5703125" style="1652" customWidth="1"/>
    <col min="14098" max="14098" width="13.140625" style="1652" customWidth="1"/>
    <col min="14099" max="14099" width="13.85546875" style="1652" customWidth="1"/>
    <col min="14100" max="14338" width="8.85546875" style="1652"/>
    <col min="14339" max="14339" width="43.85546875" style="1652" customWidth="1"/>
    <col min="14340" max="14340" width="7.140625" style="1652" customWidth="1"/>
    <col min="14341" max="14341" width="15.5703125" style="1652" customWidth="1"/>
    <col min="14342" max="14342" width="16" style="1652" customWidth="1"/>
    <col min="14343" max="14343" width="15.140625" style="1652" customWidth="1"/>
    <col min="14344" max="14344" width="14.85546875" style="1652" customWidth="1"/>
    <col min="14345" max="14345" width="16.28515625" style="1652" customWidth="1"/>
    <col min="14346" max="14346" width="13.85546875" style="1652" customWidth="1"/>
    <col min="14347" max="14347" width="14.140625" style="1652" customWidth="1"/>
    <col min="14348" max="14348" width="15.7109375" style="1652" bestFit="1" customWidth="1"/>
    <col min="14349" max="14349" width="13.42578125" style="1652" bestFit="1" customWidth="1"/>
    <col min="14350" max="14352" width="13.28515625" style="1652" customWidth="1"/>
    <col min="14353" max="14353" width="11.5703125" style="1652" customWidth="1"/>
    <col min="14354" max="14354" width="13.140625" style="1652" customWidth="1"/>
    <col min="14355" max="14355" width="13.85546875" style="1652" customWidth="1"/>
    <col min="14356" max="14594" width="8.85546875" style="1652"/>
    <col min="14595" max="14595" width="43.85546875" style="1652" customWidth="1"/>
    <col min="14596" max="14596" width="7.140625" style="1652" customWidth="1"/>
    <col min="14597" max="14597" width="15.5703125" style="1652" customWidth="1"/>
    <col min="14598" max="14598" width="16" style="1652" customWidth="1"/>
    <col min="14599" max="14599" width="15.140625" style="1652" customWidth="1"/>
    <col min="14600" max="14600" width="14.85546875" style="1652" customWidth="1"/>
    <col min="14601" max="14601" width="16.28515625" style="1652" customWidth="1"/>
    <col min="14602" max="14602" width="13.85546875" style="1652" customWidth="1"/>
    <col min="14603" max="14603" width="14.140625" style="1652" customWidth="1"/>
    <col min="14604" max="14604" width="15.7109375" style="1652" bestFit="1" customWidth="1"/>
    <col min="14605" max="14605" width="13.42578125" style="1652" bestFit="1" customWidth="1"/>
    <col min="14606" max="14608" width="13.28515625" style="1652" customWidth="1"/>
    <col min="14609" max="14609" width="11.5703125" style="1652" customWidth="1"/>
    <col min="14610" max="14610" width="13.140625" style="1652" customWidth="1"/>
    <col min="14611" max="14611" width="13.85546875" style="1652" customWidth="1"/>
    <col min="14612" max="14850" width="8.85546875" style="1652"/>
    <col min="14851" max="14851" width="43.85546875" style="1652" customWidth="1"/>
    <col min="14852" max="14852" width="7.140625" style="1652" customWidth="1"/>
    <col min="14853" max="14853" width="15.5703125" style="1652" customWidth="1"/>
    <col min="14854" max="14854" width="16" style="1652" customWidth="1"/>
    <col min="14855" max="14855" width="15.140625" style="1652" customWidth="1"/>
    <col min="14856" max="14856" width="14.85546875" style="1652" customWidth="1"/>
    <col min="14857" max="14857" width="16.28515625" style="1652" customWidth="1"/>
    <col min="14858" max="14858" width="13.85546875" style="1652" customWidth="1"/>
    <col min="14859" max="14859" width="14.140625" style="1652" customWidth="1"/>
    <col min="14860" max="14860" width="15.7109375" style="1652" bestFit="1" customWidth="1"/>
    <col min="14861" max="14861" width="13.42578125" style="1652" bestFit="1" customWidth="1"/>
    <col min="14862" max="14864" width="13.28515625" style="1652" customWidth="1"/>
    <col min="14865" max="14865" width="11.5703125" style="1652" customWidth="1"/>
    <col min="14866" max="14866" width="13.140625" style="1652" customWidth="1"/>
    <col min="14867" max="14867" width="13.85546875" style="1652" customWidth="1"/>
    <col min="14868" max="15106" width="8.85546875" style="1652"/>
    <col min="15107" max="15107" width="43.85546875" style="1652" customWidth="1"/>
    <col min="15108" max="15108" width="7.140625" style="1652" customWidth="1"/>
    <col min="15109" max="15109" width="15.5703125" style="1652" customWidth="1"/>
    <col min="15110" max="15110" width="16" style="1652" customWidth="1"/>
    <col min="15111" max="15111" width="15.140625" style="1652" customWidth="1"/>
    <col min="15112" max="15112" width="14.85546875" style="1652" customWidth="1"/>
    <col min="15113" max="15113" width="16.28515625" style="1652" customWidth="1"/>
    <col min="15114" max="15114" width="13.85546875" style="1652" customWidth="1"/>
    <col min="15115" max="15115" width="14.140625" style="1652" customWidth="1"/>
    <col min="15116" max="15116" width="15.7109375" style="1652" bestFit="1" customWidth="1"/>
    <col min="15117" max="15117" width="13.42578125" style="1652" bestFit="1" customWidth="1"/>
    <col min="15118" max="15120" width="13.28515625" style="1652" customWidth="1"/>
    <col min="15121" max="15121" width="11.5703125" style="1652" customWidth="1"/>
    <col min="15122" max="15122" width="13.140625" style="1652" customWidth="1"/>
    <col min="15123" max="15123" width="13.85546875" style="1652" customWidth="1"/>
    <col min="15124" max="15362" width="8.85546875" style="1652"/>
    <col min="15363" max="15363" width="43.85546875" style="1652" customWidth="1"/>
    <col min="15364" max="15364" width="7.140625" style="1652" customWidth="1"/>
    <col min="15365" max="15365" width="15.5703125" style="1652" customWidth="1"/>
    <col min="15366" max="15366" width="16" style="1652" customWidth="1"/>
    <col min="15367" max="15367" width="15.140625" style="1652" customWidth="1"/>
    <col min="15368" max="15368" width="14.85546875" style="1652" customWidth="1"/>
    <col min="15369" max="15369" width="16.28515625" style="1652" customWidth="1"/>
    <col min="15370" max="15370" width="13.85546875" style="1652" customWidth="1"/>
    <col min="15371" max="15371" width="14.140625" style="1652" customWidth="1"/>
    <col min="15372" max="15372" width="15.7109375" style="1652" bestFit="1" customWidth="1"/>
    <col min="15373" max="15373" width="13.42578125" style="1652" bestFit="1" customWidth="1"/>
    <col min="15374" max="15376" width="13.28515625" style="1652" customWidth="1"/>
    <col min="15377" max="15377" width="11.5703125" style="1652" customWidth="1"/>
    <col min="15378" max="15378" width="13.140625" style="1652" customWidth="1"/>
    <col min="15379" max="15379" width="13.85546875" style="1652" customWidth="1"/>
    <col min="15380" max="15618" width="8.85546875" style="1652"/>
    <col min="15619" max="15619" width="43.85546875" style="1652" customWidth="1"/>
    <col min="15620" max="15620" width="7.140625" style="1652" customWidth="1"/>
    <col min="15621" max="15621" width="15.5703125" style="1652" customWidth="1"/>
    <col min="15622" max="15622" width="16" style="1652" customWidth="1"/>
    <col min="15623" max="15623" width="15.140625" style="1652" customWidth="1"/>
    <col min="15624" max="15624" width="14.85546875" style="1652" customWidth="1"/>
    <col min="15625" max="15625" width="16.28515625" style="1652" customWidth="1"/>
    <col min="15626" max="15626" width="13.85546875" style="1652" customWidth="1"/>
    <col min="15627" max="15627" width="14.140625" style="1652" customWidth="1"/>
    <col min="15628" max="15628" width="15.7109375" style="1652" bestFit="1" customWidth="1"/>
    <col min="15629" max="15629" width="13.42578125" style="1652" bestFit="1" customWidth="1"/>
    <col min="15630" max="15632" width="13.28515625" style="1652" customWidth="1"/>
    <col min="15633" max="15633" width="11.5703125" style="1652" customWidth="1"/>
    <col min="15634" max="15634" width="13.140625" style="1652" customWidth="1"/>
    <col min="15635" max="15635" width="13.85546875" style="1652" customWidth="1"/>
    <col min="15636" max="15874" width="8.85546875" style="1652"/>
    <col min="15875" max="15875" width="43.85546875" style="1652" customWidth="1"/>
    <col min="15876" max="15876" width="7.140625" style="1652" customWidth="1"/>
    <col min="15877" max="15877" width="15.5703125" style="1652" customWidth="1"/>
    <col min="15878" max="15878" width="16" style="1652" customWidth="1"/>
    <col min="15879" max="15879" width="15.140625" style="1652" customWidth="1"/>
    <col min="15880" max="15880" width="14.85546875" style="1652" customWidth="1"/>
    <col min="15881" max="15881" width="16.28515625" style="1652" customWidth="1"/>
    <col min="15882" max="15882" width="13.85546875" style="1652" customWidth="1"/>
    <col min="15883" max="15883" width="14.140625" style="1652" customWidth="1"/>
    <col min="15884" max="15884" width="15.7109375" style="1652" bestFit="1" customWidth="1"/>
    <col min="15885" max="15885" width="13.42578125" style="1652" bestFit="1" customWidth="1"/>
    <col min="15886" max="15888" width="13.28515625" style="1652" customWidth="1"/>
    <col min="15889" max="15889" width="11.5703125" style="1652" customWidth="1"/>
    <col min="15890" max="15890" width="13.140625" style="1652" customWidth="1"/>
    <col min="15891" max="15891" width="13.85546875" style="1652" customWidth="1"/>
    <col min="15892" max="16130" width="8.85546875" style="1652"/>
    <col min="16131" max="16131" width="43.85546875" style="1652" customWidth="1"/>
    <col min="16132" max="16132" width="7.140625" style="1652" customWidth="1"/>
    <col min="16133" max="16133" width="15.5703125" style="1652" customWidth="1"/>
    <col min="16134" max="16134" width="16" style="1652" customWidth="1"/>
    <col min="16135" max="16135" width="15.140625" style="1652" customWidth="1"/>
    <col min="16136" max="16136" width="14.85546875" style="1652" customWidth="1"/>
    <col min="16137" max="16137" width="16.28515625" style="1652" customWidth="1"/>
    <col min="16138" max="16138" width="13.85546875" style="1652" customWidth="1"/>
    <col min="16139" max="16139" width="14.140625" style="1652" customWidth="1"/>
    <col min="16140" max="16140" width="15.7109375" style="1652" bestFit="1" customWidth="1"/>
    <col min="16141" max="16141" width="13.42578125" style="1652" bestFit="1" customWidth="1"/>
    <col min="16142" max="16144" width="13.28515625" style="1652" customWidth="1"/>
    <col min="16145" max="16145" width="11.5703125" style="1652" customWidth="1"/>
    <col min="16146" max="16146" width="13.140625" style="1652" customWidth="1"/>
    <col min="16147" max="16147" width="13.85546875" style="1652" customWidth="1"/>
    <col min="16148" max="16384" width="8.85546875" style="1652"/>
  </cols>
  <sheetData>
    <row r="1" spans="1:19" ht="15.75">
      <c r="A1" s="1649"/>
      <c r="B1" s="1649"/>
      <c r="C1" s="1656" t="s">
        <v>1528</v>
      </c>
      <c r="D1" s="1649"/>
      <c r="E1" s="1651"/>
      <c r="F1" s="1651"/>
      <c r="G1" s="1651"/>
    </row>
    <row r="2" spans="1:19">
      <c r="A2" s="1649"/>
      <c r="B2" s="1649"/>
      <c r="C2" s="2025"/>
      <c r="D2" s="1649"/>
      <c r="N2" s="1653"/>
      <c r="O2" s="1653"/>
      <c r="P2" s="1653"/>
      <c r="Q2" s="1653"/>
      <c r="R2" s="1653"/>
      <c r="S2" s="1653"/>
    </row>
    <row r="3" spans="1:19" ht="32.450000000000003" customHeight="1">
      <c r="A3" s="1657"/>
      <c r="B3" s="1658"/>
      <c r="C3" s="4328" t="s">
        <v>497</v>
      </c>
      <c r="D3" s="4327" t="s">
        <v>498</v>
      </c>
      <c r="E3" s="4327" t="s">
        <v>1529</v>
      </c>
      <c r="F3" s="4327" t="s">
        <v>1530</v>
      </c>
      <c r="G3" s="4327" t="s">
        <v>1531</v>
      </c>
      <c r="H3" s="4329" t="s">
        <v>1532</v>
      </c>
      <c r="I3" s="4329" t="s">
        <v>1533</v>
      </c>
      <c r="J3" s="4329" t="s">
        <v>1534</v>
      </c>
      <c r="K3" s="4327" t="s">
        <v>1535</v>
      </c>
      <c r="L3" s="4327"/>
      <c r="M3" s="4327"/>
      <c r="N3" s="4327" t="s">
        <v>1536</v>
      </c>
      <c r="O3" s="4327"/>
      <c r="P3" s="4327"/>
      <c r="Q3" s="4327" t="s">
        <v>1537</v>
      </c>
      <c r="R3" s="4327"/>
      <c r="S3" s="4327"/>
    </row>
    <row r="4" spans="1:19" ht="99.6" customHeight="1">
      <c r="A4" s="1658"/>
      <c r="B4" s="1658"/>
      <c r="C4" s="4328"/>
      <c r="D4" s="4327"/>
      <c r="E4" s="4327"/>
      <c r="F4" s="4327"/>
      <c r="G4" s="4327"/>
      <c r="H4" s="4330"/>
      <c r="I4" s="4330"/>
      <c r="J4" s="4330"/>
      <c r="K4" s="2003" t="s">
        <v>553</v>
      </c>
      <c r="L4" s="2003" t="s">
        <v>554</v>
      </c>
      <c r="M4" s="2003" t="s">
        <v>555</v>
      </c>
      <c r="N4" s="2003" t="s">
        <v>553</v>
      </c>
      <c r="O4" s="2003" t="s">
        <v>554</v>
      </c>
      <c r="P4" s="2003" t="s">
        <v>555</v>
      </c>
      <c r="Q4" s="2003" t="s">
        <v>553</v>
      </c>
      <c r="R4" s="2003" t="s">
        <v>554</v>
      </c>
      <c r="S4" s="2003" t="s">
        <v>555</v>
      </c>
    </row>
    <row r="5" spans="1:19">
      <c r="A5" s="1663"/>
      <c r="B5" s="1663"/>
      <c r="C5" s="2004">
        <v>1</v>
      </c>
      <c r="D5" s="2004">
        <v>2</v>
      </c>
      <c r="E5" s="1664">
        <v>3</v>
      </c>
      <c r="F5" s="1664">
        <v>4</v>
      </c>
      <c r="G5" s="1664">
        <v>5</v>
      </c>
      <c r="H5" s="1664">
        <v>6</v>
      </c>
      <c r="I5" s="2005">
        <v>7</v>
      </c>
      <c r="J5" s="2005">
        <v>8</v>
      </c>
      <c r="K5" s="2005">
        <v>9</v>
      </c>
      <c r="L5" s="2005">
        <v>10</v>
      </c>
      <c r="M5" s="2005">
        <v>11</v>
      </c>
      <c r="N5" s="2005">
        <v>12</v>
      </c>
      <c r="O5" s="2005">
        <v>13</v>
      </c>
      <c r="P5" s="2005">
        <v>14</v>
      </c>
      <c r="Q5" s="2005">
        <v>15</v>
      </c>
      <c r="R5" s="2005">
        <v>16</v>
      </c>
      <c r="S5" s="2005">
        <v>17</v>
      </c>
    </row>
    <row r="6" spans="1:19" ht="15.75" thickBot="1">
      <c r="A6" s="2026" t="s">
        <v>1538</v>
      </c>
      <c r="B6" s="2026" t="s">
        <v>1539</v>
      </c>
      <c r="C6" s="2026" t="s">
        <v>497</v>
      </c>
      <c r="D6" s="2026" t="s">
        <v>1540</v>
      </c>
      <c r="E6" s="2027" t="s">
        <v>1299</v>
      </c>
      <c r="F6" s="2027" t="s">
        <v>1300</v>
      </c>
      <c r="G6" s="2027" t="s">
        <v>1301</v>
      </c>
      <c r="H6" s="2027" t="s">
        <v>1302</v>
      </c>
      <c r="I6" s="2027" t="s">
        <v>1303</v>
      </c>
      <c r="J6" s="2027" t="s">
        <v>1304</v>
      </c>
      <c r="K6" s="2027" t="s">
        <v>1305</v>
      </c>
      <c r="L6" s="2027" t="s">
        <v>1306</v>
      </c>
      <c r="M6" s="2027" t="s">
        <v>1307</v>
      </c>
      <c r="N6" s="2027" t="s">
        <v>1308</v>
      </c>
      <c r="O6" s="2027" t="s">
        <v>1309</v>
      </c>
      <c r="P6" s="2027" t="s">
        <v>1310</v>
      </c>
      <c r="Q6" s="2027" t="s">
        <v>1311</v>
      </c>
      <c r="R6" s="2027" t="s">
        <v>1312</v>
      </c>
      <c r="S6" s="2027" t="s">
        <v>1313</v>
      </c>
    </row>
    <row r="7" spans="1:19" s="1671" customFormat="1" ht="26.25" thickTop="1">
      <c r="A7" s="1667">
        <v>100</v>
      </c>
      <c r="B7" s="1668">
        <v>0</v>
      </c>
      <c r="C7" s="1669" t="s">
        <v>1973</v>
      </c>
      <c r="D7" s="1670">
        <v>100</v>
      </c>
      <c r="E7" s="2028">
        <f t="shared" ref="E7:G7" si="0">E8+E9</f>
        <v>24830.238999999998</v>
      </c>
      <c r="F7" s="2028">
        <f t="shared" si="0"/>
        <v>67303.919316800006</v>
      </c>
      <c r="G7" s="2028">
        <f t="shared" si="0"/>
        <v>57037.21976</v>
      </c>
      <c r="H7" s="2028">
        <f>H8+H9</f>
        <v>7588.9080000000004</v>
      </c>
      <c r="I7" s="2028">
        <f t="shared" ref="I7:S7" si="1">I8+I9</f>
        <v>22311.007942999997</v>
      </c>
      <c r="J7" s="2028">
        <f t="shared" si="1"/>
        <v>18907.633849999998</v>
      </c>
      <c r="K7" s="2028">
        <f t="shared" si="1"/>
        <v>4609.2960000000003</v>
      </c>
      <c r="L7" s="2028">
        <f t="shared" si="1"/>
        <v>0</v>
      </c>
      <c r="M7" s="2028">
        <f t="shared" si="1"/>
        <v>12632.035000000002</v>
      </c>
      <c r="N7" s="2028">
        <f t="shared" si="1"/>
        <v>8776.3698762000004</v>
      </c>
      <c r="O7" s="2028">
        <f t="shared" si="1"/>
        <v>0</v>
      </c>
      <c r="P7" s="2028">
        <f t="shared" si="1"/>
        <v>36216.541497599996</v>
      </c>
      <c r="Q7" s="2028">
        <f t="shared" si="1"/>
        <v>7437.601590000002</v>
      </c>
      <c r="R7" s="2028">
        <f t="shared" si="1"/>
        <v>0</v>
      </c>
      <c r="S7" s="2028">
        <f t="shared" si="1"/>
        <v>30691.98432</v>
      </c>
    </row>
    <row r="8" spans="1:19">
      <c r="A8" s="1668">
        <v>100</v>
      </c>
      <c r="B8" s="1668">
        <v>1</v>
      </c>
      <c r="C8" s="1672" t="s">
        <v>557</v>
      </c>
      <c r="D8" s="2004">
        <v>110</v>
      </c>
      <c r="E8" s="2028">
        <f t="shared" ref="E8:G9" si="2">E14+E17+E20+E23+E26+E29</f>
        <v>24830.238999999998</v>
      </c>
      <c r="F8" s="2028">
        <f t="shared" si="2"/>
        <v>67303.919316800006</v>
      </c>
      <c r="G8" s="2028">
        <f t="shared" si="2"/>
        <v>57037.21976</v>
      </c>
      <c r="H8" s="2029">
        <f>H14+H17+H20+H23+H26+H29</f>
        <v>7588.9080000000004</v>
      </c>
      <c r="I8" s="2029">
        <f t="shared" ref="I8:S9" si="3">I14+I17+I20+I23+I26+I29</f>
        <v>22311.007942999997</v>
      </c>
      <c r="J8" s="2029">
        <f t="shared" si="3"/>
        <v>18907.633849999998</v>
      </c>
      <c r="K8" s="2029">
        <f t="shared" si="3"/>
        <v>4609.2960000000003</v>
      </c>
      <c r="L8" s="2029">
        <f t="shared" si="3"/>
        <v>0</v>
      </c>
      <c r="M8" s="2029">
        <f t="shared" si="3"/>
        <v>12632.035000000002</v>
      </c>
      <c r="N8" s="2029">
        <f t="shared" si="3"/>
        <v>8776.3698762000004</v>
      </c>
      <c r="O8" s="2029">
        <f t="shared" si="3"/>
        <v>0</v>
      </c>
      <c r="P8" s="2029">
        <f t="shared" si="3"/>
        <v>36216.541497599996</v>
      </c>
      <c r="Q8" s="2029">
        <f t="shared" si="3"/>
        <v>7437.601590000002</v>
      </c>
      <c r="R8" s="2029">
        <f t="shared" si="3"/>
        <v>0</v>
      </c>
      <c r="S8" s="2029">
        <f t="shared" si="3"/>
        <v>30691.98432</v>
      </c>
    </row>
    <row r="9" spans="1:19">
      <c r="A9" s="1668">
        <v>100</v>
      </c>
      <c r="B9" s="1668">
        <v>2</v>
      </c>
      <c r="C9" s="1672" t="s">
        <v>558</v>
      </c>
      <c r="D9" s="2004">
        <v>120</v>
      </c>
      <c r="E9" s="2028">
        <f t="shared" si="2"/>
        <v>0</v>
      </c>
      <c r="F9" s="2028">
        <f t="shared" si="2"/>
        <v>0</v>
      </c>
      <c r="G9" s="2028">
        <f t="shared" si="2"/>
        <v>0</v>
      </c>
      <c r="H9" s="2029">
        <f>H15+H18+H21+H24+H27+H30</f>
        <v>0</v>
      </c>
      <c r="I9" s="2029">
        <f t="shared" si="3"/>
        <v>0</v>
      </c>
      <c r="J9" s="2029">
        <f t="shared" si="3"/>
        <v>0</v>
      </c>
      <c r="K9" s="2029">
        <f t="shared" si="3"/>
        <v>0</v>
      </c>
      <c r="L9" s="2029">
        <f t="shared" si="3"/>
        <v>0</v>
      </c>
      <c r="M9" s="2029">
        <f t="shared" si="3"/>
        <v>0</v>
      </c>
      <c r="N9" s="2029">
        <f t="shared" si="3"/>
        <v>0</v>
      </c>
      <c r="O9" s="2029">
        <f t="shared" si="3"/>
        <v>0</v>
      </c>
      <c r="P9" s="2029">
        <f t="shared" si="3"/>
        <v>0</v>
      </c>
      <c r="Q9" s="2029">
        <f t="shared" si="3"/>
        <v>0</v>
      </c>
      <c r="R9" s="2029">
        <f t="shared" si="3"/>
        <v>0</v>
      </c>
      <c r="S9" s="2029">
        <f t="shared" si="3"/>
        <v>0</v>
      </c>
    </row>
    <row r="10" spans="1:19" s="1671" customFormat="1" ht="12.75">
      <c r="A10" s="1667">
        <v>200</v>
      </c>
      <c r="B10" s="1668">
        <v>0</v>
      </c>
      <c r="C10" s="1669" t="s">
        <v>556</v>
      </c>
      <c r="D10" s="1670">
        <v>200</v>
      </c>
      <c r="E10" s="2028">
        <f>E11+E12</f>
        <v>22702.847999999998</v>
      </c>
      <c r="F10" s="2028">
        <f t="shared" ref="F10:G10" si="4">F11+F12</f>
        <v>59944.106565800001</v>
      </c>
      <c r="G10" s="2028">
        <f t="shared" si="4"/>
        <v>50800.09031</v>
      </c>
      <c r="H10" s="2028">
        <f t="shared" ref="H10" si="5">H11+H12</f>
        <v>7505.3220000000001</v>
      </c>
      <c r="I10" s="2028">
        <f t="shared" ref="I10" si="6">I11+I12</f>
        <v>21964.180844399998</v>
      </c>
      <c r="J10" s="2028">
        <f t="shared" ref="J10" si="7">J11+J12</f>
        <v>18613.712579999999</v>
      </c>
      <c r="K10" s="2028">
        <f t="shared" ref="K10" si="8">K11+K12</f>
        <v>3979.8690000000001</v>
      </c>
      <c r="L10" s="2028">
        <f t="shared" ref="L10" si="9">L11+L12</f>
        <v>0</v>
      </c>
      <c r="M10" s="2028">
        <f t="shared" ref="M10" si="10">M11+M12</f>
        <v>11217.657000000001</v>
      </c>
      <c r="N10" s="2028">
        <f t="shared" ref="N10" si="11">N11+N12</f>
        <v>7188.1442860000006</v>
      </c>
      <c r="O10" s="2028">
        <f t="shared" ref="O10" si="12">O11+O12</f>
        <v>0</v>
      </c>
      <c r="P10" s="2028">
        <f t="shared" ref="P10" si="13">P11+P12</f>
        <v>30791.781435399997</v>
      </c>
      <c r="Q10" s="2028">
        <f t="shared" ref="Q10" si="14">Q11+Q12</f>
        <v>6091.6477000000014</v>
      </c>
      <c r="R10" s="2028">
        <f t="shared" ref="R10" si="15">R11+R12</f>
        <v>0</v>
      </c>
      <c r="S10" s="2028">
        <f t="shared" ref="S10" si="16">S11+S12</f>
        <v>26094.730029999999</v>
      </c>
    </row>
    <row r="11" spans="1:19">
      <c r="A11" s="1668">
        <v>200</v>
      </c>
      <c r="B11" s="1668">
        <v>1</v>
      </c>
      <c r="C11" s="1672" t="s">
        <v>557</v>
      </c>
      <c r="D11" s="2004">
        <v>210</v>
      </c>
      <c r="E11" s="2028">
        <f t="shared" ref="E11:G12" si="17">E14+E17</f>
        <v>22702.847999999998</v>
      </c>
      <c r="F11" s="2028">
        <f t="shared" si="17"/>
        <v>59944.106565800001</v>
      </c>
      <c r="G11" s="2028">
        <f t="shared" si="17"/>
        <v>50800.09031</v>
      </c>
      <c r="H11" s="2029">
        <f>H14+H17</f>
        <v>7505.3220000000001</v>
      </c>
      <c r="I11" s="2029">
        <f t="shared" ref="I11:S12" si="18">I14+I17</f>
        <v>21964.180844399998</v>
      </c>
      <c r="J11" s="2029">
        <f t="shared" si="18"/>
        <v>18613.712579999999</v>
      </c>
      <c r="K11" s="2029">
        <f t="shared" si="18"/>
        <v>3979.8690000000001</v>
      </c>
      <c r="L11" s="2029">
        <f t="shared" si="18"/>
        <v>0</v>
      </c>
      <c r="M11" s="2029">
        <f t="shared" si="18"/>
        <v>11217.657000000001</v>
      </c>
      <c r="N11" s="2029">
        <f t="shared" si="18"/>
        <v>7188.1442860000006</v>
      </c>
      <c r="O11" s="2029">
        <f t="shared" si="18"/>
        <v>0</v>
      </c>
      <c r="P11" s="2029">
        <f t="shared" si="18"/>
        <v>30791.781435399997</v>
      </c>
      <c r="Q11" s="2029">
        <f t="shared" si="18"/>
        <v>6091.6477000000014</v>
      </c>
      <c r="R11" s="2029">
        <f t="shared" si="18"/>
        <v>0</v>
      </c>
      <c r="S11" s="2029">
        <f t="shared" si="18"/>
        <v>26094.730029999999</v>
      </c>
    </row>
    <row r="12" spans="1:19">
      <c r="A12" s="1668">
        <v>200</v>
      </c>
      <c r="B12" s="1668">
        <v>2</v>
      </c>
      <c r="C12" s="1672" t="s">
        <v>558</v>
      </c>
      <c r="D12" s="2004">
        <v>220</v>
      </c>
      <c r="E12" s="2028">
        <f t="shared" si="17"/>
        <v>0</v>
      </c>
      <c r="F12" s="2028">
        <f t="shared" si="17"/>
        <v>0</v>
      </c>
      <c r="G12" s="2028">
        <f t="shared" si="17"/>
        <v>0</v>
      </c>
      <c r="H12" s="2029">
        <f>H15+H18</f>
        <v>0</v>
      </c>
      <c r="I12" s="2029">
        <f t="shared" si="18"/>
        <v>0</v>
      </c>
      <c r="J12" s="2029">
        <f t="shared" si="18"/>
        <v>0</v>
      </c>
      <c r="K12" s="2029">
        <f t="shared" si="18"/>
        <v>0</v>
      </c>
      <c r="L12" s="2029">
        <f t="shared" si="18"/>
        <v>0</v>
      </c>
      <c r="M12" s="2029">
        <f t="shared" si="18"/>
        <v>0</v>
      </c>
      <c r="N12" s="2029">
        <f t="shared" si="18"/>
        <v>0</v>
      </c>
      <c r="O12" s="2029">
        <f t="shared" si="18"/>
        <v>0</v>
      </c>
      <c r="P12" s="2029">
        <f t="shared" si="18"/>
        <v>0</v>
      </c>
      <c r="Q12" s="2029">
        <f t="shared" si="18"/>
        <v>0</v>
      </c>
      <c r="R12" s="2029">
        <f t="shared" si="18"/>
        <v>0</v>
      </c>
      <c r="S12" s="2029">
        <f t="shared" si="18"/>
        <v>0</v>
      </c>
    </row>
    <row r="13" spans="1:19" ht="51">
      <c r="A13" s="1668">
        <v>230</v>
      </c>
      <c r="B13" s="1668">
        <v>0</v>
      </c>
      <c r="C13" s="1669" t="s">
        <v>559</v>
      </c>
      <c r="D13" s="1670">
        <v>230</v>
      </c>
      <c r="E13" s="2028">
        <f>E14+E15</f>
        <v>1488.742</v>
      </c>
      <c r="F13" s="2028">
        <f t="shared" ref="F13:S13" si="19">F14+F15</f>
        <v>4992.6345631999993</v>
      </c>
      <c r="G13" s="2028">
        <f t="shared" si="19"/>
        <v>4231.0462399999997</v>
      </c>
      <c r="H13" s="2028">
        <f t="shared" si="19"/>
        <v>99.606999999999999</v>
      </c>
      <c r="I13" s="2028">
        <f t="shared" si="19"/>
        <v>402.90068679999996</v>
      </c>
      <c r="J13" s="2028">
        <f t="shared" si="19"/>
        <v>341.44126</v>
      </c>
      <c r="K13" s="2028">
        <f t="shared" si="19"/>
        <v>461.4</v>
      </c>
      <c r="L13" s="2028">
        <f t="shared" si="19"/>
        <v>0</v>
      </c>
      <c r="M13" s="2028">
        <f t="shared" si="19"/>
        <v>927.73500000000001</v>
      </c>
      <c r="N13" s="2028">
        <f t="shared" si="19"/>
        <v>1130.806744</v>
      </c>
      <c r="O13" s="2028">
        <f t="shared" si="19"/>
        <v>0</v>
      </c>
      <c r="P13" s="2028">
        <f t="shared" si="19"/>
        <v>3458.9271323999997</v>
      </c>
      <c r="Q13" s="2028">
        <f t="shared" si="19"/>
        <v>958.31079999999997</v>
      </c>
      <c r="R13" s="2028">
        <f t="shared" si="19"/>
        <v>0</v>
      </c>
      <c r="S13" s="2028">
        <f t="shared" si="19"/>
        <v>2931.2941799999999</v>
      </c>
    </row>
    <row r="14" spans="1:19">
      <c r="A14" s="1668">
        <v>230</v>
      </c>
      <c r="B14" s="1668">
        <v>1</v>
      </c>
      <c r="C14" s="1672" t="s">
        <v>557</v>
      </c>
      <c r="D14" s="2004">
        <v>231</v>
      </c>
      <c r="E14" s="2028">
        <f>Таблица145[[#This Row],[v4]]+Таблица145[[#This Row],[v7]]+Таблица145[[#This Row],[v9]]</f>
        <v>1488.742</v>
      </c>
      <c r="F14" s="2028">
        <f>Таблица145[[#This Row],[v5]]+Таблица145[[#This Row],[v10]]+Таблица145[[#This Row],[v12]]</f>
        <v>4992.6345631999993</v>
      </c>
      <c r="G14" s="2028">
        <f>Таблица145[[#This Row],[v6]]+Таблица145[[#This Row],[v13]]+Таблица145[[#This Row],[v14]]+Таблица145[[#This Row],[v15]]</f>
        <v>4231.0462399999997</v>
      </c>
      <c r="H14" s="2029">
        <f>'5'!H13</f>
        <v>99.606999999999999</v>
      </c>
      <c r="I14" s="2029">
        <f>'5'!I13</f>
        <v>402.90068679999996</v>
      </c>
      <c r="J14" s="2029">
        <f>'5'!J13</f>
        <v>341.44126</v>
      </c>
      <c r="K14" s="2029">
        <f>'5'!K13</f>
        <v>461.4</v>
      </c>
      <c r="L14" s="2029">
        <f>'5'!L13</f>
        <v>0</v>
      </c>
      <c r="M14" s="2029">
        <f>'5'!M13</f>
        <v>927.73500000000001</v>
      </c>
      <c r="N14" s="2029">
        <f>'5'!N13</f>
        <v>1130.806744</v>
      </c>
      <c r="O14" s="2029">
        <f>'5'!O13</f>
        <v>0</v>
      </c>
      <c r="P14" s="2029">
        <f>'5'!P13</f>
        <v>3458.9271323999997</v>
      </c>
      <c r="Q14" s="2029">
        <f>'5'!Q13</f>
        <v>958.31079999999997</v>
      </c>
      <c r="R14" s="2029">
        <f>'5'!R13</f>
        <v>0</v>
      </c>
      <c r="S14" s="2029">
        <f>'5'!S13</f>
        <v>2931.2941799999999</v>
      </c>
    </row>
    <row r="15" spans="1:19">
      <c r="A15" s="1668">
        <v>230</v>
      </c>
      <c r="B15" s="1668">
        <v>2</v>
      </c>
      <c r="C15" s="1672" t="s">
        <v>558</v>
      </c>
      <c r="D15" s="2004">
        <v>232</v>
      </c>
      <c r="E15" s="2028">
        <f>Таблица145[[#This Row],[v4]]+Таблица145[[#This Row],[v7]]+Таблица145[[#This Row],[v9]]</f>
        <v>0</v>
      </c>
      <c r="F15" s="2028">
        <f>Таблица145[[#This Row],[v5]]+Таблица145[[#This Row],[v10]]+Таблица145[[#This Row],[v12]]</f>
        <v>0</v>
      </c>
      <c r="G15" s="2028">
        <f>Таблица145[[#This Row],[v6]]+Таблица145[[#This Row],[v13]]+Таблица145[[#This Row],[v14]]+Таблица145[[#This Row],[v15]]</f>
        <v>0</v>
      </c>
      <c r="H15" s="2029">
        <f>'5'!H14</f>
        <v>0</v>
      </c>
      <c r="I15" s="2029">
        <f>'5'!I14</f>
        <v>0</v>
      </c>
      <c r="J15" s="2029">
        <f>'5'!J14</f>
        <v>0</v>
      </c>
      <c r="K15" s="2029">
        <f>'5'!K14</f>
        <v>0</v>
      </c>
      <c r="L15" s="2029">
        <f>'5'!L14</f>
        <v>0</v>
      </c>
      <c r="M15" s="2029">
        <f>'5'!M14</f>
        <v>0</v>
      </c>
      <c r="N15" s="2029">
        <f>'5'!N14</f>
        <v>0</v>
      </c>
      <c r="O15" s="2029">
        <f>'5'!O14</f>
        <v>0</v>
      </c>
      <c r="P15" s="2029">
        <f>'5'!P14</f>
        <v>0</v>
      </c>
      <c r="Q15" s="2029">
        <f>'5'!Q14</f>
        <v>0</v>
      </c>
      <c r="R15" s="2029">
        <f>'5'!R14</f>
        <v>0</v>
      </c>
      <c r="S15" s="2029">
        <f>'5'!S14</f>
        <v>0</v>
      </c>
    </row>
    <row r="16" spans="1:19" ht="38.25">
      <c r="A16" s="1668">
        <v>240</v>
      </c>
      <c r="B16" s="1668">
        <v>0</v>
      </c>
      <c r="C16" s="1669" t="s">
        <v>560</v>
      </c>
      <c r="D16" s="1670">
        <v>240</v>
      </c>
      <c r="E16" s="2028">
        <f>E17+E18</f>
        <v>21214.106</v>
      </c>
      <c r="F16" s="2028">
        <f t="shared" ref="F16" si="20">F17+F18</f>
        <v>54951.4720026</v>
      </c>
      <c r="G16" s="2028">
        <f t="shared" ref="G16" si="21">G17+G18</f>
        <v>46569.044070000004</v>
      </c>
      <c r="H16" s="2028">
        <f t="shared" ref="H16" si="22">H17+H18</f>
        <v>7405.7150000000001</v>
      </c>
      <c r="I16" s="2028">
        <f t="shared" ref="I16" si="23">I17+I18</f>
        <v>21561.280157599998</v>
      </c>
      <c r="J16" s="2028">
        <f t="shared" ref="J16" si="24">J17+J18</f>
        <v>18272.27132</v>
      </c>
      <c r="K16" s="2028">
        <f t="shared" ref="K16" si="25">K17+K18</f>
        <v>3518.4690000000001</v>
      </c>
      <c r="L16" s="2028">
        <f t="shared" ref="L16" si="26">L17+L18</f>
        <v>0</v>
      </c>
      <c r="M16" s="2028">
        <f t="shared" ref="M16" si="27">M17+M18</f>
        <v>10289.922</v>
      </c>
      <c r="N16" s="2028">
        <f t="shared" ref="N16" si="28">N17+N18</f>
        <v>6057.3375420000011</v>
      </c>
      <c r="O16" s="2028">
        <f t="shared" ref="O16" si="29">O17+O18</f>
        <v>0</v>
      </c>
      <c r="P16" s="2028">
        <f t="shared" ref="P16" si="30">P17+P18</f>
        <v>27332.854302999996</v>
      </c>
      <c r="Q16" s="2028">
        <f t="shared" ref="Q16" si="31">Q17+Q18</f>
        <v>5133.3369000000012</v>
      </c>
      <c r="R16" s="2028">
        <f t="shared" ref="R16" si="32">R17+R18</f>
        <v>0</v>
      </c>
      <c r="S16" s="2028">
        <f t="shared" ref="S16" si="33">S17+S18</f>
        <v>23163.435849999998</v>
      </c>
    </row>
    <row r="17" spans="1:19">
      <c r="A17" s="1668">
        <v>240</v>
      </c>
      <c r="B17" s="1668">
        <v>1</v>
      </c>
      <c r="C17" s="1672" t="s">
        <v>557</v>
      </c>
      <c r="D17" s="2004">
        <v>241</v>
      </c>
      <c r="E17" s="2028">
        <f>Таблица145[[#This Row],[v4]]+Таблица145[[#This Row],[v7]]+Таблица145[[#This Row],[v9]]</f>
        <v>21214.106</v>
      </c>
      <c r="F17" s="2028">
        <f>Таблица145[[#This Row],[v5]]+Таблица145[[#This Row],[v10]]+Таблица145[[#This Row],[v12]]</f>
        <v>54951.4720026</v>
      </c>
      <c r="G17" s="2028">
        <f>Таблица145[[#This Row],[v6]]+Таблица145[[#This Row],[v13]]+Таблица145[[#This Row],[v14]]+Таблица145[[#This Row],[v15]]</f>
        <v>46569.044070000004</v>
      </c>
      <c r="H17" s="2029">
        <f>'5'!H16</f>
        <v>7405.7150000000001</v>
      </c>
      <c r="I17" s="2029">
        <f>'5'!I16</f>
        <v>21561.280157599998</v>
      </c>
      <c r="J17" s="2029">
        <f>'5'!J16</f>
        <v>18272.27132</v>
      </c>
      <c r="K17" s="2029">
        <f>'5'!K16</f>
        <v>3518.4690000000001</v>
      </c>
      <c r="L17" s="2029">
        <f>'5'!L16</f>
        <v>0</v>
      </c>
      <c r="M17" s="2029">
        <f>'5'!M16</f>
        <v>10289.922</v>
      </c>
      <c r="N17" s="2029">
        <f>'5'!N16</f>
        <v>6057.3375420000011</v>
      </c>
      <c r="O17" s="2029">
        <f>'5'!O16</f>
        <v>0</v>
      </c>
      <c r="P17" s="2029">
        <f>'5'!P16</f>
        <v>27332.854302999996</v>
      </c>
      <c r="Q17" s="2029">
        <f>'5'!Q16</f>
        <v>5133.3369000000012</v>
      </c>
      <c r="R17" s="2029">
        <f>'5'!R16</f>
        <v>0</v>
      </c>
      <c r="S17" s="2029">
        <f>'5'!S16</f>
        <v>23163.435849999998</v>
      </c>
    </row>
    <row r="18" spans="1:19">
      <c r="A18" s="1668">
        <v>240</v>
      </c>
      <c r="B18" s="1668">
        <v>2</v>
      </c>
      <c r="C18" s="1672" t="s">
        <v>558</v>
      </c>
      <c r="D18" s="2004">
        <v>242</v>
      </c>
      <c r="E18" s="2028">
        <f>Таблица145[[#This Row],[v4]]+Таблица145[[#This Row],[v7]]+Таблица145[[#This Row],[v9]]</f>
        <v>0</v>
      </c>
      <c r="F18" s="2028">
        <f>Таблица145[[#This Row],[v5]]+Таблица145[[#This Row],[v10]]+Таблица145[[#This Row],[v12]]</f>
        <v>0</v>
      </c>
      <c r="G18" s="2028">
        <f>Таблица145[[#This Row],[v6]]+Таблица145[[#This Row],[v13]]+Таблица145[[#This Row],[v14]]+Таблица145[[#This Row],[v15]]</f>
        <v>0</v>
      </c>
      <c r="H18" s="2029">
        <f>'5'!H17</f>
        <v>0</v>
      </c>
      <c r="I18" s="2029">
        <f>'5'!I17</f>
        <v>0</v>
      </c>
      <c r="J18" s="2029">
        <f>'5'!J17</f>
        <v>0</v>
      </c>
      <c r="K18" s="2029">
        <f>'5'!K17</f>
        <v>0</v>
      </c>
      <c r="L18" s="2029">
        <f>'5'!L17</f>
        <v>0</v>
      </c>
      <c r="M18" s="2029">
        <f>'5'!M17</f>
        <v>0</v>
      </c>
      <c r="N18" s="2029">
        <f>'5'!N17</f>
        <v>0</v>
      </c>
      <c r="O18" s="2029">
        <f>'5'!O17</f>
        <v>0</v>
      </c>
      <c r="P18" s="2029">
        <f>'5'!P17</f>
        <v>0</v>
      </c>
      <c r="Q18" s="2029">
        <f>'5'!Q17</f>
        <v>0</v>
      </c>
      <c r="R18" s="2029">
        <f>'5'!R17</f>
        <v>0</v>
      </c>
      <c r="S18" s="2029">
        <f>'5'!S17</f>
        <v>0</v>
      </c>
    </row>
    <row r="19" spans="1:19" ht="51">
      <c r="A19" s="1668">
        <v>250</v>
      </c>
      <c r="B19" s="1668">
        <v>0</v>
      </c>
      <c r="C19" s="1669" t="s">
        <v>561</v>
      </c>
      <c r="D19" s="1670">
        <v>250</v>
      </c>
      <c r="E19" s="2028">
        <f>E20+E21</f>
        <v>0</v>
      </c>
      <c r="F19" s="2028">
        <f t="shared" ref="F19" si="34">F20+F21</f>
        <v>0</v>
      </c>
      <c r="G19" s="2028">
        <f t="shared" ref="G19" si="35">G20+G21</f>
        <v>0</v>
      </c>
      <c r="H19" s="2028">
        <f t="shared" ref="H19" si="36">H20+H21</f>
        <v>0</v>
      </c>
      <c r="I19" s="2028">
        <f t="shared" ref="I19" si="37">I20+I21</f>
        <v>0</v>
      </c>
      <c r="J19" s="2028">
        <f t="shared" ref="J19" si="38">J20+J21</f>
        <v>0</v>
      </c>
      <c r="K19" s="2028">
        <f t="shared" ref="K19" si="39">K20+K21</f>
        <v>0</v>
      </c>
      <c r="L19" s="2028">
        <f t="shared" ref="L19" si="40">L20+L21</f>
        <v>0</v>
      </c>
      <c r="M19" s="2028">
        <f t="shared" ref="M19" si="41">M20+M21</f>
        <v>0</v>
      </c>
      <c r="N19" s="2028">
        <f t="shared" ref="N19" si="42">N20+N21</f>
        <v>0</v>
      </c>
      <c r="O19" s="2028">
        <f t="shared" ref="O19" si="43">O20+O21</f>
        <v>0</v>
      </c>
      <c r="P19" s="2028">
        <f t="shared" ref="P19" si="44">P20+P21</f>
        <v>0</v>
      </c>
      <c r="Q19" s="2028">
        <f t="shared" ref="Q19" si="45">Q20+Q21</f>
        <v>0</v>
      </c>
      <c r="R19" s="2028">
        <f t="shared" ref="R19" si="46">R20+R21</f>
        <v>0</v>
      </c>
      <c r="S19" s="2028">
        <f t="shared" ref="S19" si="47">S20+S21</f>
        <v>0</v>
      </c>
    </row>
    <row r="20" spans="1:19">
      <c r="A20" s="1668">
        <v>250</v>
      </c>
      <c r="B20" s="1668">
        <v>1</v>
      </c>
      <c r="C20" s="1672" t="s">
        <v>557</v>
      </c>
      <c r="D20" s="2004">
        <v>251</v>
      </c>
      <c r="E20" s="2028">
        <f>Таблица145[[#This Row],[v4]]+Таблица145[[#This Row],[v7]]+Таблица145[[#This Row],[v9]]</f>
        <v>0</v>
      </c>
      <c r="F20" s="2028">
        <f>Таблица145[[#This Row],[v5]]+Таблица145[[#This Row],[v10]]+Таблица145[[#This Row],[v12]]</f>
        <v>0</v>
      </c>
      <c r="G20" s="2028">
        <f>Таблица145[[#This Row],[v6]]+Таблица145[[#This Row],[v13]]+Таблица145[[#This Row],[v14]]+Таблица145[[#This Row],[v15]]</f>
        <v>0</v>
      </c>
      <c r="H20" s="2029">
        <f>'5'!H19</f>
        <v>0</v>
      </c>
      <c r="I20" s="2029">
        <f>'5'!I19</f>
        <v>0</v>
      </c>
      <c r="J20" s="2029">
        <f>'5'!J19</f>
        <v>0</v>
      </c>
      <c r="K20" s="2029">
        <f>'5'!K19</f>
        <v>0</v>
      </c>
      <c r="L20" s="2029">
        <f>'5'!L19</f>
        <v>0</v>
      </c>
      <c r="M20" s="2029">
        <f>'5'!M19</f>
        <v>0</v>
      </c>
      <c r="N20" s="2029">
        <f>'5'!N19</f>
        <v>0</v>
      </c>
      <c r="O20" s="2029">
        <f>'5'!O19</f>
        <v>0</v>
      </c>
      <c r="P20" s="2029">
        <f>'5'!P19</f>
        <v>0</v>
      </c>
      <c r="Q20" s="2029">
        <f>'5'!Q19</f>
        <v>0</v>
      </c>
      <c r="R20" s="2029">
        <f>'5'!R19</f>
        <v>0</v>
      </c>
      <c r="S20" s="2029">
        <f>'5'!S19</f>
        <v>0</v>
      </c>
    </row>
    <row r="21" spans="1:19">
      <c r="A21" s="1668">
        <v>250</v>
      </c>
      <c r="B21" s="1668">
        <v>2</v>
      </c>
      <c r="C21" s="1672" t="s">
        <v>558</v>
      </c>
      <c r="D21" s="2004">
        <v>252</v>
      </c>
      <c r="E21" s="2028">
        <f>Таблица145[[#This Row],[v4]]+Таблица145[[#This Row],[v7]]+Таблица145[[#This Row],[v9]]</f>
        <v>0</v>
      </c>
      <c r="F21" s="2028">
        <f>Таблица145[[#This Row],[v5]]+Таблица145[[#This Row],[v10]]+Таблица145[[#This Row],[v12]]</f>
        <v>0</v>
      </c>
      <c r="G21" s="2028">
        <f>Таблица145[[#This Row],[v6]]+Таблица145[[#This Row],[v13]]+Таблица145[[#This Row],[v14]]+Таблица145[[#This Row],[v15]]</f>
        <v>0</v>
      </c>
      <c r="H21" s="2029">
        <f>'5'!H20</f>
        <v>0</v>
      </c>
      <c r="I21" s="2029">
        <f>'5'!I20</f>
        <v>0</v>
      </c>
      <c r="J21" s="2029">
        <f>'5'!J20</f>
        <v>0</v>
      </c>
      <c r="K21" s="2029">
        <f>'5'!K20</f>
        <v>0</v>
      </c>
      <c r="L21" s="2029">
        <f>'5'!L20</f>
        <v>0</v>
      </c>
      <c r="M21" s="2029">
        <f>'5'!M20</f>
        <v>0</v>
      </c>
      <c r="N21" s="2029">
        <f>'5'!N20</f>
        <v>0</v>
      </c>
      <c r="O21" s="2029">
        <f>'5'!O20</f>
        <v>0</v>
      </c>
      <c r="P21" s="2029">
        <f>'5'!P20</f>
        <v>0</v>
      </c>
      <c r="Q21" s="2029">
        <f>'5'!Q20</f>
        <v>0</v>
      </c>
      <c r="R21" s="2029">
        <f>'5'!R20</f>
        <v>0</v>
      </c>
      <c r="S21" s="2029">
        <f>'5'!S20</f>
        <v>0</v>
      </c>
    </row>
    <row r="22" spans="1:19" ht="51">
      <c r="A22" s="1668">
        <v>260</v>
      </c>
      <c r="B22" s="1668">
        <v>0</v>
      </c>
      <c r="C22" s="1669" t="s">
        <v>564</v>
      </c>
      <c r="D22" s="1670">
        <v>260</v>
      </c>
      <c r="E22" s="2028">
        <f>E23+E24</f>
        <v>0</v>
      </c>
      <c r="F22" s="2028">
        <f t="shared" ref="F22" si="48">F23+F24</f>
        <v>0</v>
      </c>
      <c r="G22" s="2028">
        <f t="shared" ref="G22" si="49">G23+G24</f>
        <v>0</v>
      </c>
      <c r="H22" s="2028">
        <f t="shared" ref="H22" si="50">H23+H24</f>
        <v>0</v>
      </c>
      <c r="I22" s="2028">
        <f t="shared" ref="I22" si="51">I23+I24</f>
        <v>0</v>
      </c>
      <c r="J22" s="2028">
        <f t="shared" ref="J22" si="52">J23+J24</f>
        <v>0</v>
      </c>
      <c r="K22" s="2028">
        <f t="shared" ref="K22" si="53">K23+K24</f>
        <v>0</v>
      </c>
      <c r="L22" s="2028">
        <f t="shared" ref="L22" si="54">L23+L24</f>
        <v>0</v>
      </c>
      <c r="M22" s="2028">
        <f t="shared" ref="M22" si="55">M23+M24</f>
        <v>0</v>
      </c>
      <c r="N22" s="2028">
        <f t="shared" ref="N22" si="56">N23+N24</f>
        <v>0</v>
      </c>
      <c r="O22" s="2028">
        <f t="shared" ref="O22" si="57">O23+O24</f>
        <v>0</v>
      </c>
      <c r="P22" s="2028">
        <f t="shared" ref="P22" si="58">P23+P24</f>
        <v>0</v>
      </c>
      <c r="Q22" s="2028">
        <f t="shared" ref="Q22" si="59">Q23+Q24</f>
        <v>0</v>
      </c>
      <c r="R22" s="2028">
        <f t="shared" ref="R22" si="60">R23+R24</f>
        <v>0</v>
      </c>
      <c r="S22" s="2028">
        <f t="shared" ref="S22" si="61">S23+S24</f>
        <v>0</v>
      </c>
    </row>
    <row r="23" spans="1:19">
      <c r="A23" s="1668">
        <v>260</v>
      </c>
      <c r="B23" s="1668">
        <v>1</v>
      </c>
      <c r="C23" s="1672" t="s">
        <v>557</v>
      </c>
      <c r="D23" s="2004">
        <v>261</v>
      </c>
      <c r="E23" s="2028">
        <f>Таблица145[[#This Row],[v4]]+Таблица145[[#This Row],[v7]]+Таблица145[[#This Row],[v9]]</f>
        <v>0</v>
      </c>
      <c r="F23" s="2028">
        <f>Таблица145[[#This Row],[v5]]+Таблица145[[#This Row],[v10]]+Таблица145[[#This Row],[v12]]</f>
        <v>0</v>
      </c>
      <c r="G23" s="2028">
        <f>Таблица145[[#This Row],[v6]]+Таблица145[[#This Row],[v13]]+Таблица145[[#This Row],[v14]]+Таблица145[[#This Row],[v15]]</f>
        <v>0</v>
      </c>
      <c r="H23" s="2029">
        <f>'5'!H22</f>
        <v>0</v>
      </c>
      <c r="I23" s="2029">
        <f>'5'!I22</f>
        <v>0</v>
      </c>
      <c r="J23" s="2029">
        <f>'5'!J22</f>
        <v>0</v>
      </c>
      <c r="K23" s="2029">
        <f>'5'!K22</f>
        <v>0</v>
      </c>
      <c r="L23" s="2029">
        <f>'5'!L22</f>
        <v>0</v>
      </c>
      <c r="M23" s="2029">
        <f>'5'!M22</f>
        <v>0</v>
      </c>
      <c r="N23" s="2029">
        <f>'5'!N22</f>
        <v>0</v>
      </c>
      <c r="O23" s="2029">
        <f>'5'!O22</f>
        <v>0</v>
      </c>
      <c r="P23" s="2029">
        <f>'5'!P22</f>
        <v>0</v>
      </c>
      <c r="Q23" s="2029">
        <f>'5'!Q22</f>
        <v>0</v>
      </c>
      <c r="R23" s="2029">
        <f>'5'!R22</f>
        <v>0</v>
      </c>
      <c r="S23" s="2029">
        <f>'5'!S22</f>
        <v>0</v>
      </c>
    </row>
    <row r="24" spans="1:19">
      <c r="A24" s="1668">
        <v>260</v>
      </c>
      <c r="B24" s="1668">
        <v>2</v>
      </c>
      <c r="C24" s="1672" t="s">
        <v>558</v>
      </c>
      <c r="D24" s="2004">
        <v>262</v>
      </c>
      <c r="E24" s="2028">
        <f>Таблица145[[#This Row],[v4]]+Таблица145[[#This Row],[v7]]+Таблица145[[#This Row],[v9]]</f>
        <v>0</v>
      </c>
      <c r="F24" s="2028">
        <f>Таблица145[[#This Row],[v5]]+Таблица145[[#This Row],[v10]]+Таблица145[[#This Row],[v12]]</f>
        <v>0</v>
      </c>
      <c r="G24" s="2028">
        <f>Таблица145[[#This Row],[v6]]+Таблица145[[#This Row],[v13]]+Таблица145[[#This Row],[v14]]+Таблица145[[#This Row],[v15]]</f>
        <v>0</v>
      </c>
      <c r="H24" s="2029">
        <f>'5'!H23</f>
        <v>0</v>
      </c>
      <c r="I24" s="2029">
        <f>'5'!I23</f>
        <v>0</v>
      </c>
      <c r="J24" s="2029">
        <f>'5'!J23</f>
        <v>0</v>
      </c>
      <c r="K24" s="2029">
        <f>'5'!K23</f>
        <v>0</v>
      </c>
      <c r="L24" s="2029">
        <f>'5'!L23</f>
        <v>0</v>
      </c>
      <c r="M24" s="2029">
        <f>'5'!M23</f>
        <v>0</v>
      </c>
      <c r="N24" s="2029">
        <f>'5'!N23</f>
        <v>0</v>
      </c>
      <c r="O24" s="2029">
        <f>'5'!O23</f>
        <v>0</v>
      </c>
      <c r="P24" s="2029">
        <f>'5'!P23</f>
        <v>0</v>
      </c>
      <c r="Q24" s="2029">
        <f>'5'!Q23</f>
        <v>0</v>
      </c>
      <c r="R24" s="2029">
        <f>'5'!R23</f>
        <v>0</v>
      </c>
      <c r="S24" s="2029">
        <f>'5'!S23</f>
        <v>0</v>
      </c>
    </row>
    <row r="25" spans="1:19" ht="25.5">
      <c r="A25" s="1668">
        <v>270</v>
      </c>
      <c r="B25" s="1668">
        <v>0</v>
      </c>
      <c r="C25" s="1669" t="s">
        <v>568</v>
      </c>
      <c r="D25" s="1670">
        <v>270</v>
      </c>
      <c r="E25" s="2028">
        <f>E26+E27</f>
        <v>0</v>
      </c>
      <c r="F25" s="2028">
        <f t="shared" ref="F25" si="62">F26+F27</f>
        <v>0</v>
      </c>
      <c r="G25" s="2028">
        <f t="shared" ref="G25" si="63">G26+G27</f>
        <v>0</v>
      </c>
      <c r="H25" s="2028">
        <f t="shared" ref="H25" si="64">H26+H27</f>
        <v>0</v>
      </c>
      <c r="I25" s="2028">
        <f t="shared" ref="I25" si="65">I26+I27</f>
        <v>0</v>
      </c>
      <c r="J25" s="2028">
        <f t="shared" ref="J25" si="66">J26+J27</f>
        <v>0</v>
      </c>
      <c r="K25" s="2028">
        <f t="shared" ref="K25" si="67">K26+K27</f>
        <v>0</v>
      </c>
      <c r="L25" s="2028">
        <f t="shared" ref="L25" si="68">L26+L27</f>
        <v>0</v>
      </c>
      <c r="M25" s="2028">
        <f t="shared" ref="M25" si="69">M26+M27</f>
        <v>0</v>
      </c>
      <c r="N25" s="2028">
        <f t="shared" ref="N25" si="70">N26+N27</f>
        <v>0</v>
      </c>
      <c r="O25" s="2028">
        <f t="shared" ref="O25" si="71">O26+O27</f>
        <v>0</v>
      </c>
      <c r="P25" s="2028">
        <f t="shared" ref="P25" si="72">P26+P27</f>
        <v>0</v>
      </c>
      <c r="Q25" s="2028">
        <f t="shared" ref="Q25" si="73">Q26+Q27</f>
        <v>0</v>
      </c>
      <c r="R25" s="2028">
        <f t="shared" ref="R25" si="74">R26+R27</f>
        <v>0</v>
      </c>
      <c r="S25" s="2028">
        <f t="shared" ref="S25" si="75">S26+S27</f>
        <v>0</v>
      </c>
    </row>
    <row r="26" spans="1:19">
      <c r="A26" s="1668">
        <v>270</v>
      </c>
      <c r="B26" s="1668">
        <v>1</v>
      </c>
      <c r="C26" s="1672" t="s">
        <v>557</v>
      </c>
      <c r="D26" s="2004">
        <v>271</v>
      </c>
      <c r="E26" s="2028">
        <f>Таблица145[[#This Row],[v4]]+Таблица145[[#This Row],[v7]]+Таблица145[[#This Row],[v9]]</f>
        <v>0</v>
      </c>
      <c r="F26" s="2028">
        <f>Таблица145[[#This Row],[v5]]+Таблица145[[#This Row],[v10]]+Таблица145[[#This Row],[v12]]</f>
        <v>0</v>
      </c>
      <c r="G26" s="2028">
        <f>Таблица145[[#This Row],[v6]]+Таблица145[[#This Row],[v13]]+Таблица145[[#This Row],[v14]]+Таблица145[[#This Row],[v15]]</f>
        <v>0</v>
      </c>
      <c r="H26" s="2029">
        <f>'5'!H25</f>
        <v>0</v>
      </c>
      <c r="I26" s="2029">
        <f>'5'!I25</f>
        <v>0</v>
      </c>
      <c r="J26" s="2029">
        <f>'5'!J25</f>
        <v>0</v>
      </c>
      <c r="K26" s="2029">
        <f>'5'!K25</f>
        <v>0</v>
      </c>
      <c r="L26" s="2029">
        <f>'5'!L25</f>
        <v>0</v>
      </c>
      <c r="M26" s="2029">
        <f>'5'!M25</f>
        <v>0</v>
      </c>
      <c r="N26" s="2029">
        <f>'5'!N25</f>
        <v>0</v>
      </c>
      <c r="O26" s="2029">
        <f>'5'!O25</f>
        <v>0</v>
      </c>
      <c r="P26" s="2029">
        <f>'5'!P25</f>
        <v>0</v>
      </c>
      <c r="Q26" s="2029">
        <f>'5'!Q25</f>
        <v>0</v>
      </c>
      <c r="R26" s="2029">
        <f>'5'!R25</f>
        <v>0</v>
      </c>
      <c r="S26" s="2029">
        <f>'5'!S25</f>
        <v>0</v>
      </c>
    </row>
    <row r="27" spans="1:19">
      <c r="A27" s="1668">
        <v>270</v>
      </c>
      <c r="B27" s="1668">
        <v>2</v>
      </c>
      <c r="C27" s="1672" t="s">
        <v>558</v>
      </c>
      <c r="D27" s="2004">
        <v>272</v>
      </c>
      <c r="E27" s="2028">
        <f>Таблица145[[#This Row],[v4]]+Таблица145[[#This Row],[v7]]+Таблица145[[#This Row],[v9]]</f>
        <v>0</v>
      </c>
      <c r="F27" s="2028">
        <f>Таблица145[[#This Row],[v5]]+Таблица145[[#This Row],[v10]]+Таблица145[[#This Row],[v12]]</f>
        <v>0</v>
      </c>
      <c r="G27" s="2028">
        <f>Таблица145[[#This Row],[v6]]+Таблица145[[#This Row],[v13]]+Таблица145[[#This Row],[v14]]+Таблица145[[#This Row],[v15]]</f>
        <v>0</v>
      </c>
      <c r="H27" s="2029">
        <f>'5'!H26</f>
        <v>0</v>
      </c>
      <c r="I27" s="2029">
        <f>'5'!I26</f>
        <v>0</v>
      </c>
      <c r="J27" s="2029">
        <f>'5'!J26</f>
        <v>0</v>
      </c>
      <c r="K27" s="2029">
        <f>'5'!K26</f>
        <v>0</v>
      </c>
      <c r="L27" s="2029">
        <f>'5'!L26</f>
        <v>0</v>
      </c>
      <c r="M27" s="2029">
        <f>'5'!M26</f>
        <v>0</v>
      </c>
      <c r="N27" s="2029">
        <f>'5'!N26</f>
        <v>0</v>
      </c>
      <c r="O27" s="2029">
        <f>'5'!O26</f>
        <v>0</v>
      </c>
      <c r="P27" s="2029">
        <f>'5'!P26</f>
        <v>0</v>
      </c>
      <c r="Q27" s="2029">
        <f>'5'!Q26</f>
        <v>0</v>
      </c>
      <c r="R27" s="2029">
        <f>'5'!R26</f>
        <v>0</v>
      </c>
      <c r="S27" s="2029">
        <f>'5'!S26</f>
        <v>0</v>
      </c>
    </row>
    <row r="28" spans="1:19">
      <c r="A28" s="1668">
        <v>300</v>
      </c>
      <c r="B28" s="1668">
        <v>0</v>
      </c>
      <c r="C28" s="1669" t="s">
        <v>572</v>
      </c>
      <c r="D28" s="1670">
        <v>300</v>
      </c>
      <c r="E28" s="2028">
        <f>E29+E30</f>
        <v>2127.3910000000001</v>
      </c>
      <c r="F28" s="2028">
        <f t="shared" ref="F28" si="76">F29+F30</f>
        <v>7359.8127510000004</v>
      </c>
      <c r="G28" s="2028">
        <f t="shared" ref="G28" si="77">G29+G30</f>
        <v>6237.1294500000004</v>
      </c>
      <c r="H28" s="2028">
        <f t="shared" ref="H28" si="78">H29+H30</f>
        <v>83.585999999999999</v>
      </c>
      <c r="I28" s="2028">
        <f t="shared" ref="I28" si="79">I29+I30</f>
        <v>346.8270986</v>
      </c>
      <c r="J28" s="2028">
        <f t="shared" ref="J28" si="80">J29+J30</f>
        <v>293.92126999999999</v>
      </c>
      <c r="K28" s="2028">
        <f t="shared" ref="K28" si="81">K29+K30</f>
        <v>629.42700000000002</v>
      </c>
      <c r="L28" s="2028">
        <f t="shared" ref="L28" si="82">L29+L30</f>
        <v>0</v>
      </c>
      <c r="M28" s="2028">
        <f t="shared" ref="M28" si="83">M29+M30</f>
        <v>1414.3779999999999</v>
      </c>
      <c r="N28" s="2028">
        <f t="shared" ref="N28" si="84">N29+N30</f>
        <v>1588.2255902000002</v>
      </c>
      <c r="O28" s="2028">
        <f t="shared" ref="O28" si="85">O29+O30</f>
        <v>0</v>
      </c>
      <c r="P28" s="2028">
        <f t="shared" ref="P28" si="86">P29+P30</f>
        <v>5424.7600622</v>
      </c>
      <c r="Q28" s="2028">
        <f t="shared" ref="Q28" si="87">Q29+Q30</f>
        <v>1345.9538900000002</v>
      </c>
      <c r="R28" s="2028">
        <f t="shared" ref="R28" si="88">R29+R30</f>
        <v>0</v>
      </c>
      <c r="S28" s="2028">
        <f t="shared" ref="S28" si="89">S29+S30</f>
        <v>4597.2542899999999</v>
      </c>
    </row>
    <row r="29" spans="1:19">
      <c r="A29" s="1668">
        <v>300</v>
      </c>
      <c r="B29" s="1668">
        <v>1</v>
      </c>
      <c r="C29" s="1672" t="s">
        <v>557</v>
      </c>
      <c r="D29" s="2004">
        <v>310</v>
      </c>
      <c r="E29" s="2028">
        <f>Таблица145[[#This Row],[v4]]+Таблица145[[#This Row],[v7]]+Таблица145[[#This Row],[v9]]</f>
        <v>2127.3910000000001</v>
      </c>
      <c r="F29" s="2028">
        <f>Таблица145[[#This Row],[v5]]+Таблица145[[#This Row],[v10]]+Таблица145[[#This Row],[v12]]</f>
        <v>7359.8127510000004</v>
      </c>
      <c r="G29" s="2028">
        <f>Таблица145[[#This Row],[v6]]+Таблица145[[#This Row],[v13]]+Таблица145[[#This Row],[v14]]+Таблица145[[#This Row],[v15]]</f>
        <v>6237.1294500000004</v>
      </c>
      <c r="H29" s="2029">
        <f>'134 до 26'!H32</f>
        <v>83.585999999999999</v>
      </c>
      <c r="I29" s="2029">
        <f>'134 до 26'!I32</f>
        <v>346.8270986</v>
      </c>
      <c r="J29" s="2029">
        <f>'134 до 26'!J32</f>
        <v>293.92126999999999</v>
      </c>
      <c r="K29" s="2029">
        <f>'134 до 26'!K32</f>
        <v>629.42700000000002</v>
      </c>
      <c r="L29" s="2029">
        <f>'134 до 26'!L32</f>
        <v>0</v>
      </c>
      <c r="M29" s="2029">
        <f>'134 до 26'!M32</f>
        <v>1414.3779999999999</v>
      </c>
      <c r="N29" s="2029">
        <f>'134 до 26'!N32</f>
        <v>1588.2255902000002</v>
      </c>
      <c r="O29" s="2029">
        <f>'134 до 26'!O32</f>
        <v>0</v>
      </c>
      <c r="P29" s="2029">
        <f>'134 до 26'!P32</f>
        <v>5424.7600622</v>
      </c>
      <c r="Q29" s="2029">
        <f>'134 до 26'!Q32</f>
        <v>1345.9538900000002</v>
      </c>
      <c r="R29" s="2029">
        <f>'134 до 26'!R32</f>
        <v>0</v>
      </c>
      <c r="S29" s="2029">
        <f>'134 до 26'!S32</f>
        <v>4597.2542899999999</v>
      </c>
    </row>
    <row r="30" spans="1:19">
      <c r="A30" s="1668">
        <v>300</v>
      </c>
      <c r="B30" s="1668">
        <v>2</v>
      </c>
      <c r="C30" s="1672" t="s">
        <v>558</v>
      </c>
      <c r="D30" s="2004">
        <v>320</v>
      </c>
      <c r="E30" s="2028">
        <f>Таблица145[[#This Row],[v4]]+Таблица145[[#This Row],[v7]]+Таблица145[[#This Row],[v9]]</f>
        <v>0</v>
      </c>
      <c r="F30" s="2028">
        <f>Таблица145[[#This Row],[v5]]+Таблица145[[#This Row],[v10]]+Таблица145[[#This Row],[v12]]</f>
        <v>0</v>
      </c>
      <c r="G30" s="2028">
        <f>Таблица145[[#This Row],[v6]]+Таблица145[[#This Row],[v13]]+Таблица145[[#This Row],[v14]]+Таблица145[[#This Row],[v15]]</f>
        <v>0</v>
      </c>
      <c r="H30" s="2029">
        <f>H33</f>
        <v>0</v>
      </c>
      <c r="I30" s="2029">
        <f t="shared" ref="I30:S30" si="90">I33</f>
        <v>0</v>
      </c>
      <c r="J30" s="2029">
        <f t="shared" si="90"/>
        <v>0</v>
      </c>
      <c r="K30" s="2029">
        <f t="shared" si="90"/>
        <v>0</v>
      </c>
      <c r="L30" s="2029">
        <f t="shared" si="90"/>
        <v>0</v>
      </c>
      <c r="M30" s="2029">
        <f t="shared" si="90"/>
        <v>0</v>
      </c>
      <c r="N30" s="2029">
        <f t="shared" si="90"/>
        <v>0</v>
      </c>
      <c r="O30" s="2029">
        <f t="shared" si="90"/>
        <v>0</v>
      </c>
      <c r="P30" s="2029">
        <f t="shared" si="90"/>
        <v>0</v>
      </c>
      <c r="Q30" s="2029">
        <f t="shared" si="90"/>
        <v>0</v>
      </c>
      <c r="R30" s="2029">
        <f t="shared" si="90"/>
        <v>0</v>
      </c>
      <c r="S30" s="2029">
        <f t="shared" si="90"/>
        <v>0</v>
      </c>
    </row>
    <row r="31" spans="1:19" ht="63.75">
      <c r="A31" s="1668">
        <v>330</v>
      </c>
      <c r="B31" s="1668">
        <v>0</v>
      </c>
      <c r="C31" s="1669" t="s">
        <v>1974</v>
      </c>
      <c r="D31" s="1670">
        <v>330</v>
      </c>
      <c r="E31" s="2028">
        <f>E32+E33</f>
        <v>2127.3910000000001</v>
      </c>
      <c r="F31" s="2028">
        <f t="shared" ref="F31" si="91">F32+F33</f>
        <v>7359.8127510000004</v>
      </c>
      <c r="G31" s="2028">
        <f t="shared" ref="G31" si="92">G32+G33</f>
        <v>6237.1294500000004</v>
      </c>
      <c r="H31" s="2028">
        <f t="shared" ref="H31" si="93">H32+H33</f>
        <v>83.585999999999999</v>
      </c>
      <c r="I31" s="2028">
        <f t="shared" ref="I31" si="94">I32+I33</f>
        <v>346.8270986</v>
      </c>
      <c r="J31" s="2028">
        <f t="shared" ref="J31" si="95">J32+J33</f>
        <v>293.92126999999999</v>
      </c>
      <c r="K31" s="2028">
        <f t="shared" ref="K31" si="96">K32+K33</f>
        <v>629.42700000000002</v>
      </c>
      <c r="L31" s="2028">
        <f t="shared" ref="L31" si="97">L32+L33</f>
        <v>0</v>
      </c>
      <c r="M31" s="2028">
        <f t="shared" ref="M31" si="98">M32+M33</f>
        <v>1414.3779999999999</v>
      </c>
      <c r="N31" s="2028">
        <f t="shared" ref="N31" si="99">N32+N33</f>
        <v>1588.2255902000002</v>
      </c>
      <c r="O31" s="2028">
        <f t="shared" ref="O31" si="100">O32+O33</f>
        <v>0</v>
      </c>
      <c r="P31" s="2028">
        <f t="shared" ref="P31" si="101">P32+P33</f>
        <v>5424.7600622</v>
      </c>
      <c r="Q31" s="2028">
        <f t="shared" ref="Q31" si="102">Q32+Q33</f>
        <v>1345.9538900000002</v>
      </c>
      <c r="R31" s="2028">
        <f t="shared" ref="R31" si="103">R32+R33</f>
        <v>0</v>
      </c>
      <c r="S31" s="2028">
        <f t="shared" ref="S31" si="104">S32+S33</f>
        <v>4597.2542899999999</v>
      </c>
    </row>
    <row r="32" spans="1:19">
      <c r="A32" s="1668">
        <v>330</v>
      </c>
      <c r="B32" s="1668">
        <v>1</v>
      </c>
      <c r="C32" s="1672" t="s">
        <v>557</v>
      </c>
      <c r="D32" s="2004">
        <v>331</v>
      </c>
      <c r="E32" s="2028">
        <f>Таблица145[[#This Row],[v4]]+Таблица145[[#This Row],[v7]]+Таблица145[[#This Row],[v9]]</f>
        <v>2127.3910000000001</v>
      </c>
      <c r="F32" s="2028">
        <f>Таблица145[[#This Row],[v5]]+Таблица145[[#This Row],[v10]]+Таблица145[[#This Row],[v12]]</f>
        <v>7359.8127510000004</v>
      </c>
      <c r="G32" s="2028">
        <f>Таблица145[[#This Row],[v6]]+Таблица145[[#This Row],[v13]]+Таблица145[[#This Row],[v14]]+Таблица145[[#This Row],[v15]]</f>
        <v>6237.1294500000004</v>
      </c>
      <c r="H32" s="2029">
        <f>Таблица14[[#This Row],[v4]]</f>
        <v>83.585999999999999</v>
      </c>
      <c r="I32" s="2029">
        <f>Таблица14[[#This Row],[v5]]</f>
        <v>346.8270986</v>
      </c>
      <c r="J32" s="2029">
        <f>Таблица14[[#This Row],[v6]]</f>
        <v>293.92126999999999</v>
      </c>
      <c r="K32" s="2029">
        <f>Таблица14[[#This Row],[v7]]</f>
        <v>629.42700000000002</v>
      </c>
      <c r="L32" s="2029">
        <f>Таблица14[[#This Row],[v8]]</f>
        <v>0</v>
      </c>
      <c r="M32" s="2029">
        <f>Таблица14[[#This Row],[v9]]</f>
        <v>1414.3779999999999</v>
      </c>
      <c r="N32" s="2029">
        <f>Таблица14[[#This Row],[v10]]</f>
        <v>1588.2255902000002</v>
      </c>
      <c r="O32" s="2029">
        <f>Таблица14[[#This Row],[v11]]</f>
        <v>0</v>
      </c>
      <c r="P32" s="2029">
        <f>Таблица14[[#This Row],[v12]]</f>
        <v>5424.7600622</v>
      </c>
      <c r="Q32" s="2029">
        <f>Таблица14[[#This Row],[v13]]</f>
        <v>1345.9538900000002</v>
      </c>
      <c r="R32" s="2029">
        <f>Таблица14[[#This Row],[v14]]</f>
        <v>0</v>
      </c>
      <c r="S32" s="2029">
        <f>Таблица14[[#This Row],[v15]]</f>
        <v>4597.2542899999999</v>
      </c>
    </row>
    <row r="33" spans="1:19">
      <c r="A33" s="1668">
        <v>330</v>
      </c>
      <c r="B33" s="1668">
        <v>2</v>
      </c>
      <c r="C33" s="1672" t="s">
        <v>558</v>
      </c>
      <c r="D33" s="2004">
        <v>332</v>
      </c>
      <c r="E33" s="2028">
        <f>Таблица145[[#This Row],[v4]]+Таблица145[[#This Row],[v7]]+Таблица145[[#This Row],[v9]]</f>
        <v>0</v>
      </c>
      <c r="F33" s="2028">
        <f>Таблица145[[#This Row],[v5]]+Таблица145[[#This Row],[v10]]+Таблица145[[#This Row],[v12]]</f>
        <v>0</v>
      </c>
      <c r="G33" s="2028">
        <f>Таблица145[[#This Row],[v6]]+Таблица145[[#This Row],[v13]]+Таблица145[[#This Row],[v14]]+Таблица145[[#This Row],[v15]]</f>
        <v>0</v>
      </c>
      <c r="H33" s="2029">
        <f>Таблица14[[#This Row],[v4]]</f>
        <v>0</v>
      </c>
      <c r="I33" s="2029">
        <f>Таблица14[[#This Row],[v5]]</f>
        <v>0</v>
      </c>
      <c r="J33" s="2029">
        <f>Таблица14[[#This Row],[v6]]</f>
        <v>0</v>
      </c>
      <c r="K33" s="2029">
        <f>Таблица14[[#This Row],[v7]]</f>
        <v>0</v>
      </c>
      <c r="L33" s="2029">
        <f>Таблица14[[#This Row],[v8]]</f>
        <v>0</v>
      </c>
      <c r="M33" s="2029">
        <f>Таблица14[[#This Row],[v9]]</f>
        <v>0</v>
      </c>
      <c r="N33" s="2029">
        <f>Таблица14[[#This Row],[v10]]</f>
        <v>0</v>
      </c>
      <c r="O33" s="2029">
        <f>Таблица14[[#This Row],[v11]]</f>
        <v>0</v>
      </c>
      <c r="P33" s="2029">
        <f>Таблица14[[#This Row],[v12]]</f>
        <v>0</v>
      </c>
      <c r="Q33" s="2029">
        <f>Таблица14[[#This Row],[v13]]</f>
        <v>0</v>
      </c>
      <c r="R33" s="2029">
        <f>Таблица14[[#This Row],[v14]]</f>
        <v>0</v>
      </c>
      <c r="S33" s="2029">
        <f>Таблица14[[#This Row],[v15]]</f>
        <v>0</v>
      </c>
    </row>
    <row r="34" spans="1:19" ht="51">
      <c r="A34" s="1668">
        <v>340</v>
      </c>
      <c r="B34" s="1668">
        <v>0</v>
      </c>
      <c r="C34" s="1669" t="s">
        <v>1975</v>
      </c>
      <c r="D34" s="1670">
        <v>340</v>
      </c>
      <c r="E34" s="2028">
        <f>E35+E36</f>
        <v>0</v>
      </c>
      <c r="F34" s="2028">
        <f t="shared" ref="F34" si="105">F35+F36</f>
        <v>0</v>
      </c>
      <c r="G34" s="2028">
        <f t="shared" ref="G34" si="106">G35+G36</f>
        <v>0</v>
      </c>
      <c r="H34" s="2028">
        <f t="shared" ref="H34" si="107">H35+H36</f>
        <v>0</v>
      </c>
      <c r="I34" s="2028">
        <f t="shared" ref="I34" si="108">I35+I36</f>
        <v>0</v>
      </c>
      <c r="J34" s="2028">
        <f t="shared" ref="J34" si="109">J35+J36</f>
        <v>0</v>
      </c>
      <c r="K34" s="2028">
        <f t="shared" ref="K34" si="110">K35+K36</f>
        <v>0</v>
      </c>
      <c r="L34" s="2028">
        <f t="shared" ref="L34" si="111">L35+L36</f>
        <v>0</v>
      </c>
      <c r="M34" s="2028">
        <f t="shared" ref="M34" si="112">M35+M36</f>
        <v>0</v>
      </c>
      <c r="N34" s="2028">
        <f t="shared" ref="N34" si="113">N35+N36</f>
        <v>0</v>
      </c>
      <c r="O34" s="2028">
        <f t="shared" ref="O34" si="114">O35+O36</f>
        <v>0</v>
      </c>
      <c r="P34" s="2028">
        <f t="shared" ref="P34" si="115">P35+P36</f>
        <v>0</v>
      </c>
      <c r="Q34" s="2028">
        <f t="shared" ref="Q34" si="116">Q35+Q36</f>
        <v>0</v>
      </c>
      <c r="R34" s="2028">
        <f t="shared" ref="R34" si="117">R35+R36</f>
        <v>0</v>
      </c>
      <c r="S34" s="2028">
        <f t="shared" ref="S34" si="118">S35+S36</f>
        <v>0</v>
      </c>
    </row>
    <row r="35" spans="1:19">
      <c r="A35" s="1668">
        <v>340</v>
      </c>
      <c r="B35" s="1668">
        <v>1</v>
      </c>
      <c r="C35" s="1672" t="s">
        <v>557</v>
      </c>
      <c r="D35" s="2004">
        <v>341</v>
      </c>
      <c r="E35" s="2028">
        <f>Таблица145[[#This Row],[v4]]+Таблица145[[#This Row],[v7]]+Таблица145[[#This Row],[v9]]</f>
        <v>0</v>
      </c>
      <c r="F35" s="2028">
        <f>Таблица145[[#This Row],[v5]]+Таблица145[[#This Row],[v10]]+Таблица145[[#This Row],[v12]]</f>
        <v>0</v>
      </c>
      <c r="G35" s="2028">
        <f>Таблица145[[#This Row],[v6]]+Таблица145[[#This Row],[v13]]+Таблица145[[#This Row],[v14]]+Таблица145[[#This Row],[v15]]</f>
        <v>0</v>
      </c>
      <c r="H35" s="2029">
        <v>0</v>
      </c>
      <c r="I35" s="2029">
        <v>0</v>
      </c>
      <c r="J35" s="2029">
        <v>0</v>
      </c>
      <c r="K35" s="2029">
        <v>0</v>
      </c>
      <c r="L35" s="2029">
        <v>0</v>
      </c>
      <c r="M35" s="2029">
        <v>0</v>
      </c>
      <c r="N35" s="2029">
        <v>0</v>
      </c>
      <c r="O35" s="2029">
        <v>0</v>
      </c>
      <c r="P35" s="2029">
        <v>0</v>
      </c>
      <c r="Q35" s="2029">
        <v>0</v>
      </c>
      <c r="R35" s="2029">
        <v>0</v>
      </c>
      <c r="S35" s="2029">
        <v>0</v>
      </c>
    </row>
    <row r="36" spans="1:19">
      <c r="A36" s="1668">
        <v>340</v>
      </c>
      <c r="B36" s="1668">
        <v>2</v>
      </c>
      <c r="C36" s="1672" t="s">
        <v>558</v>
      </c>
      <c r="D36" s="2004">
        <v>342</v>
      </c>
      <c r="E36" s="2028">
        <f>Таблица145[[#This Row],[v4]]+Таблица145[[#This Row],[v7]]+Таблица145[[#This Row],[v9]]</f>
        <v>0</v>
      </c>
      <c r="F36" s="2028">
        <f>Таблица145[[#This Row],[v5]]+Таблица145[[#This Row],[v10]]+Таблица145[[#This Row],[v12]]</f>
        <v>0</v>
      </c>
      <c r="G36" s="2028">
        <f>Таблица145[[#This Row],[v6]]+Таблица145[[#This Row],[v13]]+Таблица145[[#This Row],[v14]]+Таблица145[[#This Row],[v15]]</f>
        <v>0</v>
      </c>
      <c r="H36" s="2029">
        <v>0</v>
      </c>
      <c r="I36" s="2029">
        <v>0</v>
      </c>
      <c r="J36" s="2029">
        <v>0</v>
      </c>
      <c r="K36" s="2029">
        <v>0</v>
      </c>
      <c r="L36" s="2029">
        <v>0</v>
      </c>
      <c r="M36" s="2029">
        <v>0</v>
      </c>
      <c r="N36" s="2029">
        <v>0</v>
      </c>
      <c r="O36" s="2029">
        <v>0</v>
      </c>
      <c r="P36" s="2029">
        <v>0</v>
      </c>
      <c r="Q36" s="2029">
        <v>0</v>
      </c>
      <c r="R36" s="2029">
        <v>0</v>
      </c>
      <c r="S36" s="2029">
        <v>0</v>
      </c>
    </row>
    <row r="37" spans="1:19" ht="25.5">
      <c r="A37" s="1668">
        <v>350</v>
      </c>
      <c r="B37" s="1668">
        <v>0</v>
      </c>
      <c r="C37" s="1669" t="s">
        <v>581</v>
      </c>
      <c r="D37" s="1670">
        <v>350</v>
      </c>
      <c r="E37" s="2028">
        <f>E38+E39</f>
        <v>0</v>
      </c>
      <c r="F37" s="2028">
        <f t="shared" ref="F37" si="119">F38+F39</f>
        <v>0</v>
      </c>
      <c r="G37" s="2028">
        <f t="shared" ref="G37" si="120">G38+G39</f>
        <v>0</v>
      </c>
      <c r="H37" s="2028">
        <f t="shared" ref="H37" si="121">H38+H39</f>
        <v>0</v>
      </c>
      <c r="I37" s="2028">
        <f t="shared" ref="I37" si="122">I38+I39</f>
        <v>0</v>
      </c>
      <c r="J37" s="2028">
        <f t="shared" ref="J37" si="123">J38+J39</f>
        <v>0</v>
      </c>
      <c r="K37" s="2028">
        <f t="shared" ref="K37" si="124">K38+K39</f>
        <v>0</v>
      </c>
      <c r="L37" s="2028">
        <f t="shared" ref="L37" si="125">L38+L39</f>
        <v>0</v>
      </c>
      <c r="M37" s="2028">
        <f t="shared" ref="M37" si="126">M38+M39</f>
        <v>0</v>
      </c>
      <c r="N37" s="2028">
        <f t="shared" ref="N37" si="127">N38+N39</f>
        <v>0</v>
      </c>
      <c r="O37" s="2028">
        <f t="shared" ref="O37" si="128">O38+O39</f>
        <v>0</v>
      </c>
      <c r="P37" s="2028">
        <f t="shared" ref="P37" si="129">P38+P39</f>
        <v>0</v>
      </c>
      <c r="Q37" s="2028">
        <f t="shared" ref="Q37" si="130">Q38+Q39</f>
        <v>0</v>
      </c>
      <c r="R37" s="2028">
        <f t="shared" ref="R37" si="131">R38+R39</f>
        <v>0</v>
      </c>
      <c r="S37" s="2028">
        <f t="shared" ref="S37" si="132">S38+S39</f>
        <v>0</v>
      </c>
    </row>
    <row r="38" spans="1:19">
      <c r="A38" s="1668">
        <v>350</v>
      </c>
      <c r="B38" s="1668">
        <v>1</v>
      </c>
      <c r="C38" s="1672" t="s">
        <v>557</v>
      </c>
      <c r="D38" s="2004">
        <v>351</v>
      </c>
      <c r="E38" s="2028">
        <f>Таблица145[[#This Row],[v4]]+Таблица145[[#This Row],[v7]]+Таблица145[[#This Row],[v9]]</f>
        <v>0</v>
      </c>
      <c r="F38" s="2028">
        <f>Таблица145[[#This Row],[v5]]+Таблица145[[#This Row],[v10]]+Таблица145[[#This Row],[v12]]</f>
        <v>0</v>
      </c>
      <c r="G38" s="2028">
        <f>Таблица145[[#This Row],[v6]]+Таблица145[[#This Row],[v13]]+Таблица145[[#This Row],[v14]]+Таблица145[[#This Row],[v15]]</f>
        <v>0</v>
      </c>
      <c r="H38" s="2029">
        <v>0</v>
      </c>
      <c r="I38" s="2029">
        <v>0</v>
      </c>
      <c r="J38" s="2029">
        <v>0</v>
      </c>
      <c r="K38" s="2029">
        <v>0</v>
      </c>
      <c r="L38" s="2029">
        <v>0</v>
      </c>
      <c r="M38" s="2029">
        <v>0</v>
      </c>
      <c r="N38" s="2029">
        <v>0</v>
      </c>
      <c r="O38" s="2029">
        <v>0</v>
      </c>
      <c r="P38" s="2029">
        <v>0</v>
      </c>
      <c r="Q38" s="2029">
        <v>0</v>
      </c>
      <c r="R38" s="2029">
        <v>0</v>
      </c>
      <c r="S38" s="2029">
        <v>0</v>
      </c>
    </row>
    <row r="39" spans="1:19">
      <c r="A39" s="1668">
        <v>350</v>
      </c>
      <c r="B39" s="1668">
        <v>2</v>
      </c>
      <c r="C39" s="1672" t="s">
        <v>558</v>
      </c>
      <c r="D39" s="2004">
        <v>352</v>
      </c>
      <c r="E39" s="2028">
        <f>Таблица145[[#This Row],[v4]]+Таблица145[[#This Row],[v7]]+Таблица145[[#This Row],[v9]]</f>
        <v>0</v>
      </c>
      <c r="F39" s="2028">
        <f>Таблица145[[#This Row],[v5]]+Таблица145[[#This Row],[v10]]+Таблица145[[#This Row],[v12]]</f>
        <v>0</v>
      </c>
      <c r="G39" s="2028">
        <f>Таблица145[[#This Row],[v6]]+Таблица145[[#This Row],[v13]]+Таблица145[[#This Row],[v14]]+Таблица145[[#This Row],[v15]]</f>
        <v>0</v>
      </c>
      <c r="H39" s="2029">
        <v>0</v>
      </c>
      <c r="I39" s="2029">
        <v>0</v>
      </c>
      <c r="J39" s="2029">
        <v>0</v>
      </c>
      <c r="K39" s="2029">
        <v>0</v>
      </c>
      <c r="L39" s="2029">
        <v>0</v>
      </c>
      <c r="M39" s="2029">
        <v>0</v>
      </c>
      <c r="N39" s="2029">
        <v>0</v>
      </c>
      <c r="O39" s="2029">
        <v>0</v>
      </c>
      <c r="P39" s="2029">
        <v>0</v>
      </c>
      <c r="Q39" s="2029">
        <v>0</v>
      </c>
      <c r="R39" s="2029">
        <v>0</v>
      </c>
      <c r="S39" s="2029">
        <v>0</v>
      </c>
    </row>
    <row r="40" spans="1:19" ht="25.5">
      <c r="A40" s="1668">
        <v>360</v>
      </c>
      <c r="B40" s="1668">
        <v>0</v>
      </c>
      <c r="C40" s="1669" t="s">
        <v>1976</v>
      </c>
      <c r="D40" s="1670">
        <v>360</v>
      </c>
      <c r="E40" s="2028">
        <f>E41+E42</f>
        <v>0</v>
      </c>
      <c r="F40" s="2028">
        <f t="shared" ref="F40" si="133">F41+F42</f>
        <v>0</v>
      </c>
      <c r="G40" s="2028">
        <f t="shared" ref="G40" si="134">G41+G42</f>
        <v>0</v>
      </c>
      <c r="H40" s="2028">
        <f t="shared" ref="H40" si="135">H41+H42</f>
        <v>0</v>
      </c>
      <c r="I40" s="2028">
        <f t="shared" ref="I40" si="136">I41+I42</f>
        <v>0</v>
      </c>
      <c r="J40" s="2028">
        <f t="shared" ref="J40" si="137">J41+J42</f>
        <v>0</v>
      </c>
      <c r="K40" s="2028">
        <f t="shared" ref="K40" si="138">K41+K42</f>
        <v>0</v>
      </c>
      <c r="L40" s="2028">
        <f t="shared" ref="L40" si="139">L41+L42</f>
        <v>0</v>
      </c>
      <c r="M40" s="2028">
        <f t="shared" ref="M40" si="140">M41+M42</f>
        <v>0</v>
      </c>
      <c r="N40" s="2028">
        <f t="shared" ref="N40" si="141">N41+N42</f>
        <v>0</v>
      </c>
      <c r="O40" s="2028">
        <f t="shared" ref="O40" si="142">O41+O42</f>
        <v>0</v>
      </c>
      <c r="P40" s="2028">
        <f t="shared" ref="P40" si="143">P41+P42</f>
        <v>0</v>
      </c>
      <c r="Q40" s="2028">
        <f t="shared" ref="Q40" si="144">Q41+Q42</f>
        <v>0</v>
      </c>
      <c r="R40" s="2028">
        <f t="shared" ref="R40" si="145">R41+R42</f>
        <v>0</v>
      </c>
      <c r="S40" s="2028">
        <f t="shared" ref="S40" si="146">S41+S42</f>
        <v>0</v>
      </c>
    </row>
    <row r="41" spans="1:19">
      <c r="A41" s="1668">
        <v>360</v>
      </c>
      <c r="B41" s="1668">
        <v>1</v>
      </c>
      <c r="C41" s="1672" t="s">
        <v>557</v>
      </c>
      <c r="D41" s="2004">
        <v>361</v>
      </c>
      <c r="E41" s="2028">
        <f>Таблица145[[#This Row],[v4]]+Таблица145[[#This Row],[v7]]+Таблица145[[#This Row],[v9]]</f>
        <v>0</v>
      </c>
      <c r="F41" s="2028">
        <f>Таблица145[[#This Row],[v5]]+Таблица145[[#This Row],[v10]]+Таблица145[[#This Row],[v12]]</f>
        <v>0</v>
      </c>
      <c r="G41" s="2028">
        <f>Таблица145[[#This Row],[v6]]+Таблица145[[#This Row],[v13]]+Таблица145[[#This Row],[v14]]+Таблица145[[#This Row],[v15]]</f>
        <v>0</v>
      </c>
      <c r="H41" s="2029">
        <v>0</v>
      </c>
      <c r="I41" s="2029">
        <v>0</v>
      </c>
      <c r="J41" s="2029">
        <v>0</v>
      </c>
      <c r="K41" s="2029">
        <v>0</v>
      </c>
      <c r="L41" s="2029">
        <v>0</v>
      </c>
      <c r="M41" s="2029">
        <v>0</v>
      </c>
      <c r="N41" s="2029">
        <v>0</v>
      </c>
      <c r="O41" s="2029">
        <v>0</v>
      </c>
      <c r="P41" s="2029">
        <v>0</v>
      </c>
      <c r="Q41" s="2029">
        <v>0</v>
      </c>
      <c r="R41" s="2029">
        <v>0</v>
      </c>
      <c r="S41" s="2029">
        <v>0</v>
      </c>
    </row>
    <row r="42" spans="1:19">
      <c r="A42" s="1668">
        <v>360</v>
      </c>
      <c r="B42" s="1668">
        <v>2</v>
      </c>
      <c r="C42" s="1672" t="s">
        <v>558</v>
      </c>
      <c r="D42" s="2004">
        <v>362</v>
      </c>
      <c r="E42" s="2028">
        <f>Таблица145[[#This Row],[v4]]+Таблица145[[#This Row],[v7]]+Таблица145[[#This Row],[v9]]</f>
        <v>0</v>
      </c>
      <c r="F42" s="2028">
        <f>Таблица145[[#This Row],[v5]]+Таблица145[[#This Row],[v10]]+Таблица145[[#This Row],[v12]]</f>
        <v>0</v>
      </c>
      <c r="G42" s="2028">
        <f>Таблица145[[#This Row],[v6]]+Таблица145[[#This Row],[v13]]+Таблица145[[#This Row],[v14]]+Таблица145[[#This Row],[v15]]</f>
        <v>0</v>
      </c>
      <c r="H42" s="2029">
        <v>0</v>
      </c>
      <c r="I42" s="2029">
        <v>0</v>
      </c>
      <c r="J42" s="2029">
        <v>0</v>
      </c>
      <c r="K42" s="2029">
        <v>0</v>
      </c>
      <c r="L42" s="2029">
        <v>0</v>
      </c>
      <c r="M42" s="2029">
        <v>0</v>
      </c>
      <c r="N42" s="2029">
        <v>0</v>
      </c>
      <c r="O42" s="2029">
        <v>0</v>
      </c>
      <c r="P42" s="2029">
        <v>0</v>
      </c>
      <c r="Q42" s="2029">
        <v>0</v>
      </c>
      <c r="R42" s="2029">
        <v>0</v>
      </c>
      <c r="S42" s="2029">
        <v>0</v>
      </c>
    </row>
    <row r="43" spans="1:19" ht="63.75">
      <c r="A43" s="1668">
        <v>370</v>
      </c>
      <c r="B43" s="1668">
        <v>0</v>
      </c>
      <c r="C43" s="1669" t="s">
        <v>1977</v>
      </c>
      <c r="D43" s="1670">
        <v>370</v>
      </c>
      <c r="E43" s="2028">
        <f>E44+E45</f>
        <v>0</v>
      </c>
      <c r="F43" s="2028">
        <f t="shared" ref="F43" si="147">F44+F45</f>
        <v>0</v>
      </c>
      <c r="G43" s="2028">
        <f t="shared" ref="G43" si="148">G44+G45</f>
        <v>0</v>
      </c>
      <c r="H43" s="2028">
        <f t="shared" ref="H43" si="149">H44+H45</f>
        <v>0</v>
      </c>
      <c r="I43" s="2028">
        <f t="shared" ref="I43" si="150">I44+I45</f>
        <v>0</v>
      </c>
      <c r="J43" s="2028">
        <f t="shared" ref="J43" si="151">J44+J45</f>
        <v>0</v>
      </c>
      <c r="K43" s="2028">
        <f t="shared" ref="K43" si="152">K44+K45</f>
        <v>0</v>
      </c>
      <c r="L43" s="2028">
        <f t="shared" ref="L43" si="153">L44+L45</f>
        <v>0</v>
      </c>
      <c r="M43" s="2028">
        <f t="shared" ref="M43" si="154">M44+M45</f>
        <v>0</v>
      </c>
      <c r="N43" s="2028">
        <f t="shared" ref="N43" si="155">N44+N45</f>
        <v>0</v>
      </c>
      <c r="O43" s="2028">
        <f t="shared" ref="O43" si="156">O44+O45</f>
        <v>0</v>
      </c>
      <c r="P43" s="2028">
        <f t="shared" ref="P43" si="157">P44+P45</f>
        <v>0</v>
      </c>
      <c r="Q43" s="2028">
        <f t="shared" ref="Q43" si="158">Q44+Q45</f>
        <v>0</v>
      </c>
      <c r="R43" s="2028">
        <f t="shared" ref="R43" si="159">R44+R45</f>
        <v>0</v>
      </c>
      <c r="S43" s="2028">
        <f t="shared" ref="S43" si="160">S44+S45</f>
        <v>0</v>
      </c>
    </row>
    <row r="44" spans="1:19">
      <c r="A44" s="1668">
        <v>370</v>
      </c>
      <c r="B44" s="1668">
        <v>1</v>
      </c>
      <c r="C44" s="1672" t="s">
        <v>557</v>
      </c>
      <c r="D44" s="2004">
        <v>371</v>
      </c>
      <c r="E44" s="2028">
        <f>Таблица145[[#This Row],[v4]]+Таблица145[[#This Row],[v7]]+Таблица145[[#This Row],[v9]]</f>
        <v>0</v>
      </c>
      <c r="F44" s="2028">
        <f>Таблица145[[#This Row],[v5]]+Таблица145[[#This Row],[v10]]+Таблица145[[#This Row],[v12]]</f>
        <v>0</v>
      </c>
      <c r="G44" s="2028">
        <f>Таблица145[[#This Row],[v6]]+Таблица145[[#This Row],[v13]]+Таблица145[[#This Row],[v14]]+Таблица145[[#This Row],[v15]]</f>
        <v>0</v>
      </c>
      <c r="H44" s="2029">
        <v>0</v>
      </c>
      <c r="I44" s="2029">
        <v>0</v>
      </c>
      <c r="J44" s="2029">
        <v>0</v>
      </c>
      <c r="K44" s="2029">
        <v>0</v>
      </c>
      <c r="L44" s="2029">
        <v>0</v>
      </c>
      <c r="M44" s="2029">
        <v>0</v>
      </c>
      <c r="N44" s="2029">
        <v>0</v>
      </c>
      <c r="O44" s="2029">
        <v>0</v>
      </c>
      <c r="P44" s="2029">
        <v>0</v>
      </c>
      <c r="Q44" s="2029">
        <v>0</v>
      </c>
      <c r="R44" s="2029">
        <v>0</v>
      </c>
      <c r="S44" s="2029">
        <v>0</v>
      </c>
    </row>
    <row r="45" spans="1:19">
      <c r="A45" s="1668">
        <v>370</v>
      </c>
      <c r="B45" s="1668">
        <v>2</v>
      </c>
      <c r="C45" s="1672" t="s">
        <v>558</v>
      </c>
      <c r="D45" s="2004">
        <v>372</v>
      </c>
      <c r="E45" s="2028">
        <f>Таблица145[[#This Row],[v4]]+Таблица145[[#This Row],[v7]]+Таблица145[[#This Row],[v9]]</f>
        <v>0</v>
      </c>
      <c r="F45" s="2028">
        <f>Таблица145[[#This Row],[v5]]+Таблица145[[#This Row],[v10]]+Таблица145[[#This Row],[v12]]</f>
        <v>0</v>
      </c>
      <c r="G45" s="2028">
        <f>Таблица145[[#This Row],[v6]]+Таблица145[[#This Row],[v13]]+Таблица145[[#This Row],[v14]]+Таблица145[[#This Row],[v15]]</f>
        <v>0</v>
      </c>
      <c r="H45" s="2029">
        <v>0</v>
      </c>
      <c r="I45" s="2029">
        <v>0</v>
      </c>
      <c r="J45" s="2029">
        <v>0</v>
      </c>
      <c r="K45" s="2029">
        <v>0</v>
      </c>
      <c r="L45" s="2029">
        <v>0</v>
      </c>
      <c r="M45" s="2029">
        <v>0</v>
      </c>
      <c r="N45" s="2029">
        <v>0</v>
      </c>
      <c r="O45" s="2029">
        <v>0</v>
      </c>
      <c r="P45" s="2029">
        <v>0</v>
      </c>
      <c r="Q45" s="2029">
        <v>0</v>
      </c>
      <c r="R45" s="2029">
        <v>0</v>
      </c>
      <c r="S45" s="2029">
        <v>0</v>
      </c>
    </row>
    <row r="46" spans="1:19" ht="25.5">
      <c r="A46" s="1668">
        <v>380</v>
      </c>
      <c r="B46" s="1668">
        <v>0</v>
      </c>
      <c r="C46" s="1669" t="s">
        <v>593</v>
      </c>
      <c r="D46" s="1670">
        <v>380</v>
      </c>
      <c r="E46" s="2028">
        <f>E47+E48</f>
        <v>0</v>
      </c>
      <c r="F46" s="2028">
        <f t="shared" ref="F46" si="161">F47+F48</f>
        <v>0</v>
      </c>
      <c r="G46" s="2028">
        <f t="shared" ref="G46" si="162">G47+G48</f>
        <v>0</v>
      </c>
      <c r="H46" s="2028">
        <f t="shared" ref="H46" si="163">H47+H48</f>
        <v>0</v>
      </c>
      <c r="I46" s="2028">
        <f t="shared" ref="I46" si="164">I47+I48</f>
        <v>0</v>
      </c>
      <c r="J46" s="2028">
        <f t="shared" ref="J46" si="165">J47+J48</f>
        <v>0</v>
      </c>
      <c r="K46" s="2028">
        <f t="shared" ref="K46" si="166">K47+K48</f>
        <v>0</v>
      </c>
      <c r="L46" s="2028">
        <f t="shared" ref="L46" si="167">L47+L48</f>
        <v>0</v>
      </c>
      <c r="M46" s="2028">
        <f t="shared" ref="M46" si="168">M47+M48</f>
        <v>0</v>
      </c>
      <c r="N46" s="2028">
        <f t="shared" ref="N46" si="169">N47+N48</f>
        <v>0</v>
      </c>
      <c r="O46" s="2028">
        <f t="shared" ref="O46" si="170">O47+O48</f>
        <v>0</v>
      </c>
      <c r="P46" s="2028">
        <f t="shared" ref="P46" si="171">P47+P48</f>
        <v>0</v>
      </c>
      <c r="Q46" s="2028">
        <f t="shared" ref="Q46" si="172">Q47+Q48</f>
        <v>0</v>
      </c>
      <c r="R46" s="2028">
        <f t="shared" ref="R46" si="173">R47+R48</f>
        <v>0</v>
      </c>
      <c r="S46" s="2028">
        <f t="shared" ref="S46" si="174">S47+S48</f>
        <v>0</v>
      </c>
    </row>
    <row r="47" spans="1:19">
      <c r="A47" s="1668">
        <v>380</v>
      </c>
      <c r="B47" s="1668">
        <v>1</v>
      </c>
      <c r="C47" s="1672" t="s">
        <v>557</v>
      </c>
      <c r="D47" s="2004">
        <v>381</v>
      </c>
      <c r="E47" s="2028">
        <f>Таблица145[[#This Row],[v4]]+Таблица145[[#This Row],[v7]]+Таблица145[[#This Row],[v9]]</f>
        <v>0</v>
      </c>
      <c r="F47" s="2028">
        <f>Таблица145[[#This Row],[v5]]+Таблица145[[#This Row],[v10]]+Таблица145[[#This Row],[v12]]</f>
        <v>0</v>
      </c>
      <c r="G47" s="2028">
        <f>Таблица145[[#This Row],[v6]]+Таблица145[[#This Row],[v13]]+Таблица145[[#This Row],[v14]]+Таблица145[[#This Row],[v15]]</f>
        <v>0</v>
      </c>
      <c r="H47" s="2029">
        <v>0</v>
      </c>
      <c r="I47" s="2029">
        <v>0</v>
      </c>
      <c r="J47" s="2029">
        <v>0</v>
      </c>
      <c r="K47" s="2029">
        <v>0</v>
      </c>
      <c r="L47" s="2029">
        <v>0</v>
      </c>
      <c r="M47" s="2029">
        <v>0</v>
      </c>
      <c r="N47" s="2029">
        <v>0</v>
      </c>
      <c r="O47" s="2029">
        <v>0</v>
      </c>
      <c r="P47" s="2029">
        <v>0</v>
      </c>
      <c r="Q47" s="2029">
        <v>0</v>
      </c>
      <c r="R47" s="2029">
        <v>0</v>
      </c>
      <c r="S47" s="2029">
        <v>0</v>
      </c>
    </row>
    <row r="48" spans="1:19">
      <c r="A48" s="1668">
        <v>380</v>
      </c>
      <c r="B48" s="1668">
        <v>2</v>
      </c>
      <c r="C48" s="1672" t="s">
        <v>558</v>
      </c>
      <c r="D48" s="2004">
        <v>382</v>
      </c>
      <c r="E48" s="2028">
        <f>Таблица145[[#This Row],[v4]]+Таблица145[[#This Row],[v7]]+Таблица145[[#This Row],[v9]]</f>
        <v>0</v>
      </c>
      <c r="F48" s="2028">
        <f>Таблица145[[#This Row],[v5]]+Таблица145[[#This Row],[v10]]+Таблица145[[#This Row],[v12]]</f>
        <v>0</v>
      </c>
      <c r="G48" s="2028">
        <f>Таблица145[[#This Row],[v6]]+Таблица145[[#This Row],[v13]]+Таблица145[[#This Row],[v14]]+Таблица145[[#This Row],[v15]]</f>
        <v>0</v>
      </c>
      <c r="H48" s="2029">
        <v>0</v>
      </c>
      <c r="I48" s="2029">
        <v>0</v>
      </c>
      <c r="J48" s="2029">
        <v>0</v>
      </c>
      <c r="K48" s="2029">
        <v>0</v>
      </c>
      <c r="L48" s="2029">
        <v>0</v>
      </c>
      <c r="M48" s="2029">
        <v>0</v>
      </c>
      <c r="N48" s="2029">
        <v>0</v>
      </c>
      <c r="O48" s="2029">
        <v>0</v>
      </c>
      <c r="P48" s="2029">
        <v>0</v>
      </c>
      <c r="Q48" s="2029">
        <v>0</v>
      </c>
      <c r="R48" s="2029">
        <v>0</v>
      </c>
      <c r="S48" s="2029">
        <v>0</v>
      </c>
    </row>
    <row r="49" spans="1:19">
      <c r="A49" s="1668">
        <v>390</v>
      </c>
      <c r="B49" s="1668">
        <v>0</v>
      </c>
      <c r="C49" s="1669" t="s">
        <v>597</v>
      </c>
      <c r="D49" s="1670">
        <v>390</v>
      </c>
      <c r="E49" s="2028">
        <v>0</v>
      </c>
      <c r="F49" s="2028">
        <v>0</v>
      </c>
      <c r="G49" s="2028">
        <v>0</v>
      </c>
      <c r="H49" s="2028">
        <v>0</v>
      </c>
      <c r="I49" s="2028">
        <v>0</v>
      </c>
      <c r="J49" s="2028">
        <v>0</v>
      </c>
      <c r="K49" s="2028">
        <v>0</v>
      </c>
      <c r="L49" s="2028">
        <v>0</v>
      </c>
      <c r="M49" s="2028">
        <v>0</v>
      </c>
      <c r="N49" s="2028">
        <v>0</v>
      </c>
      <c r="O49" s="2028">
        <v>0</v>
      </c>
      <c r="P49" s="2028">
        <v>0</v>
      </c>
      <c r="Q49" s="2028">
        <v>0</v>
      </c>
      <c r="R49" s="2028">
        <v>0</v>
      </c>
      <c r="S49" s="2028">
        <v>0</v>
      </c>
    </row>
    <row r="50" spans="1:19">
      <c r="A50" s="1668">
        <v>390</v>
      </c>
      <c r="B50" s="1668">
        <v>1</v>
      </c>
      <c r="C50" s="1672" t="s">
        <v>557</v>
      </c>
      <c r="D50" s="2004">
        <v>391</v>
      </c>
      <c r="E50" s="2028">
        <f>Таблица145[[#This Row],[v4]]+Таблица145[[#This Row],[v7]]+Таблица145[[#This Row],[v9]]</f>
        <v>0</v>
      </c>
      <c r="F50" s="2028">
        <f>Таблица145[[#This Row],[v5]]+Таблица145[[#This Row],[v10]]+Таблица145[[#This Row],[v12]]</f>
        <v>0</v>
      </c>
      <c r="G50" s="2028">
        <f>Таблица145[[#This Row],[v6]]+Таблица145[[#This Row],[v13]]+Таблица145[[#This Row],[v14]]+Таблица145[[#This Row],[v15]]</f>
        <v>0</v>
      </c>
      <c r="H50" s="2029">
        <v>0</v>
      </c>
      <c r="I50" s="2029">
        <v>0</v>
      </c>
      <c r="J50" s="2029">
        <v>0</v>
      </c>
      <c r="K50" s="2029">
        <v>0</v>
      </c>
      <c r="L50" s="2029">
        <v>0</v>
      </c>
      <c r="M50" s="2029">
        <v>0</v>
      </c>
      <c r="N50" s="2029">
        <v>0</v>
      </c>
      <c r="O50" s="2029">
        <v>0</v>
      </c>
      <c r="P50" s="2029">
        <v>0</v>
      </c>
      <c r="Q50" s="2029">
        <v>0</v>
      </c>
      <c r="R50" s="2029">
        <v>0</v>
      </c>
      <c r="S50" s="2029">
        <v>0</v>
      </c>
    </row>
    <row r="51" spans="1:19">
      <c r="A51" s="1668">
        <v>390</v>
      </c>
      <c r="B51" s="1668">
        <v>2</v>
      </c>
      <c r="C51" s="1672" t="s">
        <v>558</v>
      </c>
      <c r="D51" s="2004">
        <v>392</v>
      </c>
      <c r="E51" s="2028">
        <f>Таблица145[[#This Row],[v4]]+Таблица145[[#This Row],[v7]]+Таблица145[[#This Row],[v9]]</f>
        <v>0</v>
      </c>
      <c r="F51" s="2028">
        <f>Таблица145[[#This Row],[v5]]+Таблица145[[#This Row],[v10]]+Таблица145[[#This Row],[v12]]</f>
        <v>0</v>
      </c>
      <c r="G51" s="2028">
        <f>Таблица145[[#This Row],[v6]]+Таблица145[[#This Row],[v13]]+Таблица145[[#This Row],[v14]]+Таблица145[[#This Row],[v15]]</f>
        <v>0</v>
      </c>
      <c r="H51" s="2029">
        <v>0</v>
      </c>
      <c r="I51" s="2029">
        <v>0</v>
      </c>
      <c r="J51" s="2029">
        <v>0</v>
      </c>
      <c r="K51" s="2029">
        <v>0</v>
      </c>
      <c r="L51" s="2029">
        <v>0</v>
      </c>
      <c r="M51" s="2029">
        <v>0</v>
      </c>
      <c r="N51" s="2029">
        <v>0</v>
      </c>
      <c r="O51" s="2029">
        <v>0</v>
      </c>
      <c r="P51" s="2029">
        <v>0</v>
      </c>
      <c r="Q51" s="2029">
        <v>0</v>
      </c>
      <c r="R51" s="2029">
        <v>0</v>
      </c>
      <c r="S51" s="2029">
        <v>0</v>
      </c>
    </row>
    <row r="52" spans="1:19" ht="51">
      <c r="A52" s="1668">
        <v>400</v>
      </c>
      <c r="B52" s="1668">
        <v>0</v>
      </c>
      <c r="C52" s="1669" t="s">
        <v>601</v>
      </c>
      <c r="D52" s="1670">
        <v>400</v>
      </c>
      <c r="E52" s="2028">
        <f>E53+E54</f>
        <v>0</v>
      </c>
      <c r="F52" s="2028">
        <f t="shared" ref="F52" si="175">F53+F54</f>
        <v>0</v>
      </c>
      <c r="G52" s="2028">
        <f t="shared" ref="G52" si="176">G53+G54</f>
        <v>0</v>
      </c>
      <c r="H52" s="2028">
        <f t="shared" ref="H52" si="177">H53+H54</f>
        <v>0</v>
      </c>
      <c r="I52" s="2028">
        <f t="shared" ref="I52" si="178">I53+I54</f>
        <v>0</v>
      </c>
      <c r="J52" s="2028">
        <f t="shared" ref="J52" si="179">J53+J54</f>
        <v>0</v>
      </c>
      <c r="K52" s="2028">
        <f t="shared" ref="K52" si="180">K53+K54</f>
        <v>0</v>
      </c>
      <c r="L52" s="2028">
        <f t="shared" ref="L52" si="181">L53+L54</f>
        <v>0</v>
      </c>
      <c r="M52" s="2028">
        <f t="shared" ref="M52" si="182">M53+M54</f>
        <v>0</v>
      </c>
      <c r="N52" s="2028">
        <f t="shared" ref="N52" si="183">N53+N54</f>
        <v>0</v>
      </c>
      <c r="O52" s="2028">
        <f t="shared" ref="O52" si="184">O53+O54</f>
        <v>0</v>
      </c>
      <c r="P52" s="2028">
        <f t="shared" ref="P52" si="185">P53+P54</f>
        <v>0</v>
      </c>
      <c r="Q52" s="2028">
        <f t="shared" ref="Q52" si="186">Q53+Q54</f>
        <v>0</v>
      </c>
      <c r="R52" s="2028">
        <f t="shared" ref="R52" si="187">R53+R54</f>
        <v>0</v>
      </c>
      <c r="S52" s="2028">
        <f t="shared" ref="S52" si="188">S53+S54</f>
        <v>0</v>
      </c>
    </row>
    <row r="53" spans="1:19">
      <c r="A53" s="1668">
        <v>400</v>
      </c>
      <c r="B53" s="1668">
        <v>1</v>
      </c>
      <c r="C53" s="1672" t="s">
        <v>557</v>
      </c>
      <c r="D53" s="2004">
        <v>401</v>
      </c>
      <c r="E53" s="2028">
        <f>Таблица145[[#This Row],[v4]]+Таблица145[[#This Row],[v7]]+Таблица145[[#This Row],[v9]]</f>
        <v>0</v>
      </c>
      <c r="F53" s="2028">
        <f>Таблица145[[#This Row],[v5]]+Таблица145[[#This Row],[v10]]+Таблица145[[#This Row],[v12]]</f>
        <v>0</v>
      </c>
      <c r="G53" s="2028">
        <f>Таблица145[[#This Row],[v6]]+Таблица145[[#This Row],[v13]]+Таблица145[[#This Row],[v14]]+Таблица145[[#This Row],[v15]]</f>
        <v>0</v>
      </c>
      <c r="H53" s="2029">
        <v>0</v>
      </c>
      <c r="I53" s="2029">
        <v>0</v>
      </c>
      <c r="J53" s="2029">
        <v>0</v>
      </c>
      <c r="K53" s="2029">
        <v>0</v>
      </c>
      <c r="L53" s="2029">
        <v>0</v>
      </c>
      <c r="M53" s="2029">
        <v>0</v>
      </c>
      <c r="N53" s="2029">
        <v>0</v>
      </c>
      <c r="O53" s="2029">
        <v>0</v>
      </c>
      <c r="P53" s="2029">
        <v>0</v>
      </c>
      <c r="Q53" s="2029">
        <v>0</v>
      </c>
      <c r="R53" s="2029">
        <v>0</v>
      </c>
      <c r="S53" s="2029">
        <v>0</v>
      </c>
    </row>
    <row r="54" spans="1:19">
      <c r="A54" s="1668">
        <v>400</v>
      </c>
      <c r="B54" s="1668">
        <v>2</v>
      </c>
      <c r="C54" s="1672" t="s">
        <v>558</v>
      </c>
      <c r="D54" s="2004">
        <v>402</v>
      </c>
      <c r="E54" s="2028">
        <f>Таблица145[[#This Row],[v4]]+Таблица145[[#This Row],[v7]]+Таблица145[[#This Row],[v9]]</f>
        <v>0</v>
      </c>
      <c r="F54" s="2028">
        <f>Таблица145[[#This Row],[v5]]+Таблица145[[#This Row],[v10]]+Таблица145[[#This Row],[v12]]</f>
        <v>0</v>
      </c>
      <c r="G54" s="2028">
        <f>Таблица145[[#This Row],[v6]]+Таблица145[[#This Row],[v13]]+Таблица145[[#This Row],[v14]]+Таблица145[[#This Row],[v15]]</f>
        <v>0</v>
      </c>
      <c r="H54" s="2029">
        <v>0</v>
      </c>
      <c r="I54" s="2029">
        <v>0</v>
      </c>
      <c r="J54" s="2029">
        <v>0</v>
      </c>
      <c r="K54" s="2029">
        <v>0</v>
      </c>
      <c r="L54" s="2029">
        <v>0</v>
      </c>
      <c r="M54" s="2029">
        <v>0</v>
      </c>
      <c r="N54" s="2029">
        <v>0</v>
      </c>
      <c r="O54" s="2029">
        <v>0</v>
      </c>
      <c r="P54" s="2029">
        <v>0</v>
      </c>
      <c r="Q54" s="2029">
        <v>0</v>
      </c>
      <c r="R54" s="2029">
        <v>0</v>
      </c>
      <c r="S54" s="2029">
        <v>0</v>
      </c>
    </row>
    <row r="55" spans="1:19" ht="25.5">
      <c r="A55" s="1668">
        <v>500</v>
      </c>
      <c r="B55" s="1668">
        <v>0</v>
      </c>
      <c r="C55" s="1669" t="s">
        <v>1978</v>
      </c>
      <c r="D55" s="1670">
        <v>500</v>
      </c>
      <c r="E55" s="2028">
        <f>E56+E57</f>
        <v>0</v>
      </c>
      <c r="F55" s="2028">
        <f t="shared" ref="F55" si="189">F56+F57</f>
        <v>0</v>
      </c>
      <c r="G55" s="2028">
        <f t="shared" ref="G55" si="190">G56+G57</f>
        <v>0</v>
      </c>
      <c r="H55" s="2028">
        <f t="shared" ref="H55" si="191">H56+H57</f>
        <v>0</v>
      </c>
      <c r="I55" s="2028">
        <f t="shared" ref="I55" si="192">I56+I57</f>
        <v>0</v>
      </c>
      <c r="J55" s="2028">
        <f t="shared" ref="J55" si="193">J56+J57</f>
        <v>0</v>
      </c>
      <c r="K55" s="2028">
        <f t="shared" ref="K55" si="194">K56+K57</f>
        <v>0</v>
      </c>
      <c r="L55" s="2028">
        <f t="shared" ref="L55" si="195">L56+L57</f>
        <v>0</v>
      </c>
      <c r="M55" s="2028">
        <f t="shared" ref="M55" si="196">M56+M57</f>
        <v>0</v>
      </c>
      <c r="N55" s="2028">
        <f t="shared" ref="N55" si="197">N56+N57</f>
        <v>0</v>
      </c>
      <c r="O55" s="2028">
        <f t="shared" ref="O55" si="198">O56+O57</f>
        <v>0</v>
      </c>
      <c r="P55" s="2028">
        <f t="shared" ref="P55" si="199">P56+P57</f>
        <v>0</v>
      </c>
      <c r="Q55" s="2028">
        <f t="shared" ref="Q55" si="200">Q56+Q57</f>
        <v>0</v>
      </c>
      <c r="R55" s="2028">
        <f t="shared" ref="R55" si="201">R56+R57</f>
        <v>0</v>
      </c>
      <c r="S55" s="2028">
        <f t="shared" ref="S55" si="202">S56+S57</f>
        <v>0</v>
      </c>
    </row>
    <row r="109" spans="1:19" s="1655" customFormat="1">
      <c r="A109" s="1652"/>
      <c r="B109" s="1652"/>
      <c r="C109" s="1652"/>
      <c r="D109" s="1652"/>
      <c r="E109" s="1652"/>
      <c r="F109" s="1652"/>
      <c r="G109" s="1652"/>
      <c r="H109" s="1652"/>
      <c r="I109" s="1652"/>
      <c r="J109" s="1652"/>
      <c r="K109" s="1652"/>
      <c r="L109" s="1652"/>
      <c r="M109" s="1652"/>
      <c r="N109" s="1652"/>
      <c r="O109" s="1652"/>
      <c r="P109" s="1652"/>
      <c r="Q109" s="1652"/>
      <c r="R109" s="1652"/>
      <c r="S109" s="1652"/>
    </row>
    <row r="118" spans="1:19" s="1671" customFormat="1">
      <c r="A118" s="1652"/>
      <c r="B118" s="1652"/>
      <c r="C118" s="1652"/>
      <c r="D118" s="1652"/>
      <c r="E118" s="1652"/>
      <c r="F118" s="1652"/>
      <c r="G118" s="1652"/>
      <c r="H118" s="1652"/>
      <c r="I118" s="1652"/>
      <c r="J118" s="1652"/>
      <c r="K118" s="1652"/>
      <c r="L118" s="1652"/>
      <c r="M118" s="1652"/>
      <c r="N118" s="1652"/>
      <c r="O118" s="1652"/>
      <c r="P118" s="1652"/>
      <c r="Q118" s="1652"/>
      <c r="R118" s="1652"/>
      <c r="S118" s="1652"/>
    </row>
    <row r="126" spans="1:19" s="1671" customFormat="1">
      <c r="A126" s="1652"/>
      <c r="B126" s="1652"/>
      <c r="C126" s="1652"/>
      <c r="D126" s="1652"/>
      <c r="E126" s="1652"/>
      <c r="F126" s="1652"/>
      <c r="G126" s="1652"/>
      <c r="H126" s="1652"/>
      <c r="I126" s="1652"/>
      <c r="J126" s="1652"/>
      <c r="K126" s="1652"/>
      <c r="L126" s="1652"/>
      <c r="M126" s="1652"/>
      <c r="N126" s="1652"/>
      <c r="O126" s="1652"/>
      <c r="P126" s="1652"/>
      <c r="Q126" s="1652"/>
      <c r="R126" s="1652"/>
      <c r="S126" s="1652"/>
    </row>
    <row r="134" spans="1:19" s="1671" customFormat="1">
      <c r="A134" s="1652"/>
      <c r="B134" s="1652"/>
      <c r="C134" s="1652"/>
      <c r="D134" s="1652"/>
      <c r="E134" s="1652"/>
      <c r="F134" s="1652"/>
      <c r="G134" s="1652"/>
      <c r="H134" s="1652"/>
      <c r="I134" s="1652"/>
      <c r="J134" s="1652"/>
      <c r="K134" s="1652"/>
      <c r="L134" s="1652"/>
      <c r="M134" s="1652"/>
      <c r="N134" s="1652"/>
      <c r="O134" s="1652"/>
      <c r="P134" s="1652"/>
      <c r="Q134" s="1652"/>
      <c r="R134" s="1652"/>
      <c r="S134" s="1652"/>
    </row>
    <row r="142" spans="1:19" s="1671" customFormat="1">
      <c r="A142" s="1652"/>
      <c r="B142" s="1652"/>
      <c r="C142" s="1652"/>
      <c r="D142" s="1652"/>
      <c r="E142" s="1652"/>
      <c r="F142" s="1652"/>
      <c r="G142" s="1652"/>
      <c r="H142" s="1652"/>
      <c r="I142" s="1652"/>
      <c r="J142" s="1652"/>
      <c r="K142" s="1652"/>
      <c r="L142" s="1652"/>
      <c r="M142" s="1652"/>
      <c r="N142" s="1652"/>
      <c r="O142" s="1652"/>
      <c r="P142" s="1652"/>
      <c r="Q142" s="1652"/>
      <c r="R142" s="1652"/>
      <c r="S142" s="1652"/>
    </row>
    <row r="150" spans="1:19" s="1671" customFormat="1">
      <c r="A150" s="1652"/>
      <c r="B150" s="1652"/>
      <c r="C150" s="1652"/>
      <c r="D150" s="1652"/>
      <c r="E150" s="1652"/>
      <c r="F150" s="1652"/>
      <c r="G150" s="1652"/>
      <c r="H150" s="1652"/>
      <c r="I150" s="1652"/>
      <c r="J150" s="1652"/>
      <c r="K150" s="1652"/>
      <c r="L150" s="1652"/>
      <c r="M150" s="1652"/>
      <c r="N150" s="1652"/>
      <c r="O150" s="1652"/>
      <c r="P150" s="1652"/>
      <c r="Q150" s="1652"/>
      <c r="R150" s="1652"/>
      <c r="S150" s="1652"/>
    </row>
    <row r="151" spans="1:19" s="1671" customFormat="1">
      <c r="A151" s="1652"/>
      <c r="B151" s="1652"/>
      <c r="C151" s="1652"/>
      <c r="D151" s="1652"/>
      <c r="E151" s="1652"/>
      <c r="F151" s="1652"/>
      <c r="G151" s="1652"/>
      <c r="H151" s="1652"/>
      <c r="I151" s="1652"/>
      <c r="J151" s="1652"/>
      <c r="K151" s="1652"/>
      <c r="L151" s="1652"/>
      <c r="M151" s="1652"/>
      <c r="N151" s="1652"/>
      <c r="O151" s="1652"/>
      <c r="P151" s="1652"/>
      <c r="Q151" s="1652"/>
      <c r="R151" s="1652"/>
      <c r="S151" s="1652"/>
    </row>
  </sheetData>
  <mergeCells count="11">
    <mergeCell ref="H3:H4"/>
    <mergeCell ref="C3:C4"/>
    <mergeCell ref="D3:D4"/>
    <mergeCell ref="E3:E4"/>
    <mergeCell ref="F3:F4"/>
    <mergeCell ref="G3:G4"/>
    <mergeCell ref="I3:I4"/>
    <mergeCell ref="J3:J4"/>
    <mergeCell ref="K3:M3"/>
    <mergeCell ref="N3:P3"/>
    <mergeCell ref="Q3:S3"/>
  </mergeCells>
  <pageMargins left="0.7" right="0.7" top="0.75" bottom="0.75" header="0.3" footer="0.3"/>
  <tableParts count="1">
    <tablePart r:id="rId1"/>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E44"/>
  <sheetViews>
    <sheetView topLeftCell="CE1" zoomScale="70" zoomScaleNormal="70" workbookViewId="0">
      <selection activeCell="CO20" sqref="CO20"/>
    </sheetView>
  </sheetViews>
  <sheetFormatPr defaultRowHeight="15"/>
  <cols>
    <col min="1" max="1" width="8.85546875" style="1652" hidden="1" customWidth="1"/>
    <col min="2" max="2" width="8.7109375" style="1652" hidden="1" customWidth="1"/>
    <col min="3" max="3" width="45.7109375" style="1652" customWidth="1"/>
    <col min="4" max="4" width="7.140625" style="1652" customWidth="1"/>
    <col min="5" max="109" width="15.7109375" style="1652" customWidth="1"/>
    <col min="110" max="251" width="8.85546875" style="1652"/>
    <col min="252" max="252" width="43.85546875" style="1652" customWidth="1"/>
    <col min="253" max="253" width="7.140625" style="1652" customWidth="1"/>
    <col min="254" max="254" width="15.5703125" style="1652" customWidth="1"/>
    <col min="255" max="255" width="16" style="1652" customWidth="1"/>
    <col min="256" max="256" width="15.140625" style="1652" customWidth="1"/>
    <col min="257" max="257" width="14.85546875" style="1652" customWidth="1"/>
    <col min="258" max="258" width="16.28515625" style="1652" customWidth="1"/>
    <col min="259" max="259" width="13.85546875" style="1652" customWidth="1"/>
    <col min="260" max="260" width="14.140625" style="1652" customWidth="1"/>
    <col min="261" max="261" width="15.7109375" style="1652" bestFit="1" customWidth="1"/>
    <col min="262" max="262" width="13.42578125" style="1652" bestFit="1" customWidth="1"/>
    <col min="263" max="265" width="13.28515625" style="1652" customWidth="1"/>
    <col min="266" max="266" width="11.5703125" style="1652" customWidth="1"/>
    <col min="267" max="267" width="13.140625" style="1652" customWidth="1"/>
    <col min="268" max="268" width="13.85546875" style="1652" customWidth="1"/>
    <col min="269" max="269" width="15.140625" style="1652" customWidth="1"/>
    <col min="270" max="270" width="16.7109375" style="1652" customWidth="1"/>
    <col min="271" max="271" width="13.85546875" style="1652" customWidth="1"/>
    <col min="272" max="273" width="16.7109375" style="1652" customWidth="1"/>
    <col min="274" max="274" width="15" style="1652" customWidth="1"/>
    <col min="275" max="275" width="13" style="1652" customWidth="1"/>
    <col min="276" max="276" width="14.140625" style="1652" customWidth="1"/>
    <col min="277" max="277" width="13.85546875" style="1652" customWidth="1"/>
    <col min="278" max="278" width="12.140625" style="1652" customWidth="1"/>
    <col min="279" max="280" width="15" style="1652" customWidth="1"/>
    <col min="281" max="281" width="12.140625" style="1652" customWidth="1"/>
    <col min="282" max="282" width="16.5703125" style="1652" customWidth="1"/>
    <col min="283" max="283" width="12.5703125" style="1652" customWidth="1"/>
    <col min="284" max="284" width="24.85546875" style="1652" customWidth="1"/>
    <col min="285" max="285" width="11.7109375" style="1652" customWidth="1"/>
    <col min="286" max="287" width="13.5703125" style="1652" customWidth="1"/>
    <col min="288" max="288" width="18.7109375" style="1652" customWidth="1"/>
    <col min="289" max="289" width="13.42578125" style="1652" customWidth="1"/>
    <col min="290" max="290" width="18.5703125" style="1652" customWidth="1"/>
    <col min="291" max="291" width="13.28515625" style="1652" customWidth="1"/>
    <col min="292" max="292" width="13.140625" style="1652" customWidth="1"/>
    <col min="293" max="293" width="10.28515625" style="1652" customWidth="1"/>
    <col min="294" max="294" width="12.42578125" style="1652" customWidth="1"/>
    <col min="295" max="295" width="13.85546875" style="1652" customWidth="1"/>
    <col min="296" max="297" width="6.85546875" style="1652" customWidth="1"/>
    <col min="298" max="299" width="8.85546875" style="1652"/>
    <col min="300" max="300" width="15.7109375" style="1652" customWidth="1"/>
    <col min="301" max="301" width="8.85546875" style="1652"/>
    <col min="302" max="309" width="13.28515625" style="1652" bestFit="1" customWidth="1"/>
    <col min="310" max="310" width="18.7109375" style="1652" bestFit="1" customWidth="1"/>
    <col min="311" max="312" width="19" style="1652" bestFit="1" customWidth="1"/>
    <col min="313" max="319" width="13.28515625" style="1652" bestFit="1" customWidth="1"/>
    <col min="320" max="320" width="14.140625" style="1652" bestFit="1" customWidth="1"/>
    <col min="321" max="322" width="15.7109375" style="1652" bestFit="1" customWidth="1"/>
    <col min="323" max="325" width="14.140625" style="1652" bestFit="1" customWidth="1"/>
    <col min="326" max="327" width="15.7109375" style="1652" bestFit="1" customWidth="1"/>
    <col min="328" max="329" width="14.140625" style="1652" bestFit="1" customWidth="1"/>
    <col min="330" max="346" width="8.85546875" style="1652"/>
    <col min="347" max="347" width="10" style="1652" bestFit="1" customWidth="1"/>
    <col min="348" max="507" width="8.85546875" style="1652"/>
    <col min="508" max="508" width="43.85546875" style="1652" customWidth="1"/>
    <col min="509" max="509" width="7.140625" style="1652" customWidth="1"/>
    <col min="510" max="510" width="15.5703125" style="1652" customWidth="1"/>
    <col min="511" max="511" width="16" style="1652" customWidth="1"/>
    <col min="512" max="512" width="15.140625" style="1652" customWidth="1"/>
    <col min="513" max="513" width="14.85546875" style="1652" customWidth="1"/>
    <col min="514" max="514" width="16.28515625" style="1652" customWidth="1"/>
    <col min="515" max="515" width="13.85546875" style="1652" customWidth="1"/>
    <col min="516" max="516" width="14.140625" style="1652" customWidth="1"/>
    <col min="517" max="517" width="15.7109375" style="1652" bestFit="1" customWidth="1"/>
    <col min="518" max="518" width="13.42578125" style="1652" bestFit="1" customWidth="1"/>
    <col min="519" max="521" width="13.28515625" style="1652" customWidth="1"/>
    <col min="522" max="522" width="11.5703125" style="1652" customWidth="1"/>
    <col min="523" max="523" width="13.140625" style="1652" customWidth="1"/>
    <col min="524" max="524" width="13.85546875" style="1652" customWidth="1"/>
    <col min="525" max="525" width="15.140625" style="1652" customWidth="1"/>
    <col min="526" max="526" width="16.7109375" style="1652" customWidth="1"/>
    <col min="527" max="527" width="13.85546875" style="1652" customWidth="1"/>
    <col min="528" max="529" width="16.7109375" style="1652" customWidth="1"/>
    <col min="530" max="530" width="15" style="1652" customWidth="1"/>
    <col min="531" max="531" width="13" style="1652" customWidth="1"/>
    <col min="532" max="532" width="14.140625" style="1652" customWidth="1"/>
    <col min="533" max="533" width="13.85546875" style="1652" customWidth="1"/>
    <col min="534" max="534" width="12.140625" style="1652" customWidth="1"/>
    <col min="535" max="536" width="15" style="1652" customWidth="1"/>
    <col min="537" max="537" width="12.140625" style="1652" customWidth="1"/>
    <col min="538" max="538" width="16.5703125" style="1652" customWidth="1"/>
    <col min="539" max="539" width="12.5703125" style="1652" customWidth="1"/>
    <col min="540" max="540" width="24.85546875" style="1652" customWidth="1"/>
    <col min="541" max="541" width="11.7109375" style="1652" customWidth="1"/>
    <col min="542" max="543" width="13.5703125" style="1652" customWidth="1"/>
    <col min="544" max="544" width="18.7109375" style="1652" customWidth="1"/>
    <col min="545" max="545" width="13.42578125" style="1652" customWidth="1"/>
    <col min="546" max="546" width="18.5703125" style="1652" customWidth="1"/>
    <col min="547" max="547" width="13.28515625" style="1652" customWidth="1"/>
    <col min="548" max="548" width="13.140625" style="1652" customWidth="1"/>
    <col min="549" max="549" width="10.28515625" style="1652" customWidth="1"/>
    <col min="550" max="550" width="12.42578125" style="1652" customWidth="1"/>
    <col min="551" max="551" width="13.85546875" style="1652" customWidth="1"/>
    <col min="552" max="553" width="6.85546875" style="1652" customWidth="1"/>
    <col min="554" max="555" width="8.85546875" style="1652"/>
    <col min="556" max="556" width="15.7109375" style="1652" customWidth="1"/>
    <col min="557" max="557" width="8.85546875" style="1652"/>
    <col min="558" max="565" width="13.28515625" style="1652" bestFit="1" customWidth="1"/>
    <col min="566" max="566" width="18.7109375" style="1652" bestFit="1" customWidth="1"/>
    <col min="567" max="568" width="19" style="1652" bestFit="1" customWidth="1"/>
    <col min="569" max="575" width="13.28515625" style="1652" bestFit="1" customWidth="1"/>
    <col min="576" max="576" width="14.140625" style="1652" bestFit="1" customWidth="1"/>
    <col min="577" max="578" width="15.7109375" style="1652" bestFit="1" customWidth="1"/>
    <col min="579" max="581" width="14.140625" style="1652" bestFit="1" customWidth="1"/>
    <col min="582" max="583" width="15.7109375" style="1652" bestFit="1" customWidth="1"/>
    <col min="584" max="585" width="14.140625" style="1652" bestFit="1" customWidth="1"/>
    <col min="586" max="602" width="8.85546875" style="1652"/>
    <col min="603" max="603" width="10" style="1652" bestFit="1" customWidth="1"/>
    <col min="604" max="763" width="8.85546875" style="1652"/>
    <col min="764" max="764" width="43.85546875" style="1652" customWidth="1"/>
    <col min="765" max="765" width="7.140625" style="1652" customWidth="1"/>
    <col min="766" max="766" width="15.5703125" style="1652" customWidth="1"/>
    <col min="767" max="767" width="16" style="1652" customWidth="1"/>
    <col min="768" max="768" width="15.140625" style="1652" customWidth="1"/>
    <col min="769" max="769" width="14.85546875" style="1652" customWidth="1"/>
    <col min="770" max="770" width="16.28515625" style="1652" customWidth="1"/>
    <col min="771" max="771" width="13.85546875" style="1652" customWidth="1"/>
    <col min="772" max="772" width="14.140625" style="1652" customWidth="1"/>
    <col min="773" max="773" width="15.7109375" style="1652" bestFit="1" customWidth="1"/>
    <col min="774" max="774" width="13.42578125" style="1652" bestFit="1" customWidth="1"/>
    <col min="775" max="777" width="13.28515625" style="1652" customWidth="1"/>
    <col min="778" max="778" width="11.5703125" style="1652" customWidth="1"/>
    <col min="779" max="779" width="13.140625" style="1652" customWidth="1"/>
    <col min="780" max="780" width="13.85546875" style="1652" customWidth="1"/>
    <col min="781" max="781" width="15.140625" style="1652" customWidth="1"/>
    <col min="782" max="782" width="16.7109375" style="1652" customWidth="1"/>
    <col min="783" max="783" width="13.85546875" style="1652" customWidth="1"/>
    <col min="784" max="785" width="16.7109375" style="1652" customWidth="1"/>
    <col min="786" max="786" width="15" style="1652" customWidth="1"/>
    <col min="787" max="787" width="13" style="1652" customWidth="1"/>
    <col min="788" max="788" width="14.140625" style="1652" customWidth="1"/>
    <col min="789" max="789" width="13.85546875" style="1652" customWidth="1"/>
    <col min="790" max="790" width="12.140625" style="1652" customWidth="1"/>
    <col min="791" max="792" width="15" style="1652" customWidth="1"/>
    <col min="793" max="793" width="12.140625" style="1652" customWidth="1"/>
    <col min="794" max="794" width="16.5703125" style="1652" customWidth="1"/>
    <col min="795" max="795" width="12.5703125" style="1652" customWidth="1"/>
    <col min="796" max="796" width="24.85546875" style="1652" customWidth="1"/>
    <col min="797" max="797" width="11.7109375" style="1652" customWidth="1"/>
    <col min="798" max="799" width="13.5703125" style="1652" customWidth="1"/>
    <col min="800" max="800" width="18.7109375" style="1652" customWidth="1"/>
    <col min="801" max="801" width="13.42578125" style="1652" customWidth="1"/>
    <col min="802" max="802" width="18.5703125" style="1652" customWidth="1"/>
    <col min="803" max="803" width="13.28515625" style="1652" customWidth="1"/>
    <col min="804" max="804" width="13.140625" style="1652" customWidth="1"/>
    <col min="805" max="805" width="10.28515625" style="1652" customWidth="1"/>
    <col min="806" max="806" width="12.42578125" style="1652" customWidth="1"/>
    <col min="807" max="807" width="13.85546875" style="1652" customWidth="1"/>
    <col min="808" max="809" width="6.85546875" style="1652" customWidth="1"/>
    <col min="810" max="811" width="8.85546875" style="1652"/>
    <col min="812" max="812" width="15.7109375" style="1652" customWidth="1"/>
    <col min="813" max="813" width="8.85546875" style="1652"/>
    <col min="814" max="821" width="13.28515625" style="1652" bestFit="1" customWidth="1"/>
    <col min="822" max="822" width="18.7109375" style="1652" bestFit="1" customWidth="1"/>
    <col min="823" max="824" width="19" style="1652" bestFit="1" customWidth="1"/>
    <col min="825" max="831" width="13.28515625" style="1652" bestFit="1" customWidth="1"/>
    <col min="832" max="832" width="14.140625" style="1652" bestFit="1" customWidth="1"/>
    <col min="833" max="834" width="15.7109375" style="1652" bestFit="1" customWidth="1"/>
    <col min="835" max="837" width="14.140625" style="1652" bestFit="1" customWidth="1"/>
    <col min="838" max="839" width="15.7109375" style="1652" bestFit="1" customWidth="1"/>
    <col min="840" max="841" width="14.140625" style="1652" bestFit="1" customWidth="1"/>
    <col min="842" max="858" width="8.85546875" style="1652"/>
    <col min="859" max="859" width="10" style="1652" bestFit="1" customWidth="1"/>
    <col min="860" max="1019" width="8.85546875" style="1652"/>
    <col min="1020" max="1020" width="43.85546875" style="1652" customWidth="1"/>
    <col min="1021" max="1021" width="7.140625" style="1652" customWidth="1"/>
    <col min="1022" max="1022" width="15.5703125" style="1652" customWidth="1"/>
    <col min="1023" max="1023" width="16" style="1652" customWidth="1"/>
    <col min="1024" max="1024" width="15.140625" style="1652" customWidth="1"/>
    <col min="1025" max="1025" width="14.85546875" style="1652" customWidth="1"/>
    <col min="1026" max="1026" width="16.28515625" style="1652" customWidth="1"/>
    <col min="1027" max="1027" width="13.85546875" style="1652" customWidth="1"/>
    <col min="1028" max="1028" width="14.140625" style="1652" customWidth="1"/>
    <col min="1029" max="1029" width="15.7109375" style="1652" bestFit="1" customWidth="1"/>
    <col min="1030" max="1030" width="13.42578125" style="1652" bestFit="1" customWidth="1"/>
    <col min="1031" max="1033" width="13.28515625" style="1652" customWidth="1"/>
    <col min="1034" max="1034" width="11.5703125" style="1652" customWidth="1"/>
    <col min="1035" max="1035" width="13.140625" style="1652" customWidth="1"/>
    <col min="1036" max="1036" width="13.85546875" style="1652" customWidth="1"/>
    <col min="1037" max="1037" width="15.140625" style="1652" customWidth="1"/>
    <col min="1038" max="1038" width="16.7109375" style="1652" customWidth="1"/>
    <col min="1039" max="1039" width="13.85546875" style="1652" customWidth="1"/>
    <col min="1040" max="1041" width="16.7109375" style="1652" customWidth="1"/>
    <col min="1042" max="1042" width="15" style="1652" customWidth="1"/>
    <col min="1043" max="1043" width="13" style="1652" customWidth="1"/>
    <col min="1044" max="1044" width="14.140625" style="1652" customWidth="1"/>
    <col min="1045" max="1045" width="13.85546875" style="1652" customWidth="1"/>
    <col min="1046" max="1046" width="12.140625" style="1652" customWidth="1"/>
    <col min="1047" max="1048" width="15" style="1652" customWidth="1"/>
    <col min="1049" max="1049" width="12.140625" style="1652" customWidth="1"/>
    <col min="1050" max="1050" width="16.5703125" style="1652" customWidth="1"/>
    <col min="1051" max="1051" width="12.5703125" style="1652" customWidth="1"/>
    <col min="1052" max="1052" width="24.85546875" style="1652" customWidth="1"/>
    <col min="1053" max="1053" width="11.7109375" style="1652" customWidth="1"/>
    <col min="1054" max="1055" width="13.5703125" style="1652" customWidth="1"/>
    <col min="1056" max="1056" width="18.7109375" style="1652" customWidth="1"/>
    <col min="1057" max="1057" width="13.42578125" style="1652" customWidth="1"/>
    <col min="1058" max="1058" width="18.5703125" style="1652" customWidth="1"/>
    <col min="1059" max="1059" width="13.28515625" style="1652" customWidth="1"/>
    <col min="1060" max="1060" width="13.140625" style="1652" customWidth="1"/>
    <col min="1061" max="1061" width="10.28515625" style="1652" customWidth="1"/>
    <col min="1062" max="1062" width="12.42578125" style="1652" customWidth="1"/>
    <col min="1063" max="1063" width="13.85546875" style="1652" customWidth="1"/>
    <col min="1064" max="1065" width="6.85546875" style="1652" customWidth="1"/>
    <col min="1066" max="1067" width="8.85546875" style="1652"/>
    <col min="1068" max="1068" width="15.7109375" style="1652" customWidth="1"/>
    <col min="1069" max="1069" width="8.85546875" style="1652"/>
    <col min="1070" max="1077" width="13.28515625" style="1652" bestFit="1" customWidth="1"/>
    <col min="1078" max="1078" width="18.7109375" style="1652" bestFit="1" customWidth="1"/>
    <col min="1079" max="1080" width="19" style="1652" bestFit="1" customWidth="1"/>
    <col min="1081" max="1087" width="13.28515625" style="1652" bestFit="1" customWidth="1"/>
    <col min="1088" max="1088" width="14.140625" style="1652" bestFit="1" customWidth="1"/>
    <col min="1089" max="1090" width="15.7109375" style="1652" bestFit="1" customWidth="1"/>
    <col min="1091" max="1093" width="14.140625" style="1652" bestFit="1" customWidth="1"/>
    <col min="1094" max="1095" width="15.7109375" style="1652" bestFit="1" customWidth="1"/>
    <col min="1096" max="1097" width="14.140625" style="1652" bestFit="1" customWidth="1"/>
    <col min="1098" max="1114" width="8.85546875" style="1652"/>
    <col min="1115" max="1115" width="10" style="1652" bestFit="1" customWidth="1"/>
    <col min="1116" max="1275" width="8.85546875" style="1652"/>
    <col min="1276" max="1276" width="43.85546875" style="1652" customWidth="1"/>
    <col min="1277" max="1277" width="7.140625" style="1652" customWidth="1"/>
    <col min="1278" max="1278" width="15.5703125" style="1652" customWidth="1"/>
    <col min="1279" max="1279" width="16" style="1652" customWidth="1"/>
    <col min="1280" max="1280" width="15.140625" style="1652" customWidth="1"/>
    <col min="1281" max="1281" width="14.85546875" style="1652" customWidth="1"/>
    <col min="1282" max="1282" width="16.28515625" style="1652" customWidth="1"/>
    <col min="1283" max="1283" width="13.85546875" style="1652" customWidth="1"/>
    <col min="1284" max="1284" width="14.140625" style="1652" customWidth="1"/>
    <col min="1285" max="1285" width="15.7109375" style="1652" bestFit="1" customWidth="1"/>
    <col min="1286" max="1286" width="13.42578125" style="1652" bestFit="1" customWidth="1"/>
    <col min="1287" max="1289" width="13.28515625" style="1652" customWidth="1"/>
    <col min="1290" max="1290" width="11.5703125" style="1652" customWidth="1"/>
    <col min="1291" max="1291" width="13.140625" style="1652" customWidth="1"/>
    <col min="1292" max="1292" width="13.85546875" style="1652" customWidth="1"/>
    <col min="1293" max="1293" width="15.140625" style="1652" customWidth="1"/>
    <col min="1294" max="1294" width="16.7109375" style="1652" customWidth="1"/>
    <col min="1295" max="1295" width="13.85546875" style="1652" customWidth="1"/>
    <col min="1296" max="1297" width="16.7109375" style="1652" customWidth="1"/>
    <col min="1298" max="1298" width="15" style="1652" customWidth="1"/>
    <col min="1299" max="1299" width="13" style="1652" customWidth="1"/>
    <col min="1300" max="1300" width="14.140625" style="1652" customWidth="1"/>
    <col min="1301" max="1301" width="13.85546875" style="1652" customWidth="1"/>
    <col min="1302" max="1302" width="12.140625" style="1652" customWidth="1"/>
    <col min="1303" max="1304" width="15" style="1652" customWidth="1"/>
    <col min="1305" max="1305" width="12.140625" style="1652" customWidth="1"/>
    <col min="1306" max="1306" width="16.5703125" style="1652" customWidth="1"/>
    <col min="1307" max="1307" width="12.5703125" style="1652" customWidth="1"/>
    <col min="1308" max="1308" width="24.85546875" style="1652" customWidth="1"/>
    <col min="1309" max="1309" width="11.7109375" style="1652" customWidth="1"/>
    <col min="1310" max="1311" width="13.5703125" style="1652" customWidth="1"/>
    <col min="1312" max="1312" width="18.7109375" style="1652" customWidth="1"/>
    <col min="1313" max="1313" width="13.42578125" style="1652" customWidth="1"/>
    <col min="1314" max="1314" width="18.5703125" style="1652" customWidth="1"/>
    <col min="1315" max="1315" width="13.28515625" style="1652" customWidth="1"/>
    <col min="1316" max="1316" width="13.140625" style="1652" customWidth="1"/>
    <col min="1317" max="1317" width="10.28515625" style="1652" customWidth="1"/>
    <col min="1318" max="1318" width="12.42578125" style="1652" customWidth="1"/>
    <col min="1319" max="1319" width="13.85546875" style="1652" customWidth="1"/>
    <col min="1320" max="1321" width="6.85546875" style="1652" customWidth="1"/>
    <col min="1322" max="1323" width="8.85546875" style="1652"/>
    <col min="1324" max="1324" width="15.7109375" style="1652" customWidth="1"/>
    <col min="1325" max="1325" width="8.85546875" style="1652"/>
    <col min="1326" max="1333" width="13.28515625" style="1652" bestFit="1" customWidth="1"/>
    <col min="1334" max="1334" width="18.7109375" style="1652" bestFit="1" customWidth="1"/>
    <col min="1335" max="1336" width="19" style="1652" bestFit="1" customWidth="1"/>
    <col min="1337" max="1343" width="13.28515625" style="1652" bestFit="1" customWidth="1"/>
    <col min="1344" max="1344" width="14.140625" style="1652" bestFit="1" customWidth="1"/>
    <col min="1345" max="1346" width="15.7109375" style="1652" bestFit="1" customWidth="1"/>
    <col min="1347" max="1349" width="14.140625" style="1652" bestFit="1" customWidth="1"/>
    <col min="1350" max="1351" width="15.7109375" style="1652" bestFit="1" customWidth="1"/>
    <col min="1352" max="1353" width="14.140625" style="1652" bestFit="1" customWidth="1"/>
    <col min="1354" max="1370" width="8.85546875" style="1652"/>
    <col min="1371" max="1371" width="10" style="1652" bestFit="1" customWidth="1"/>
    <col min="1372" max="1531" width="8.85546875" style="1652"/>
    <col min="1532" max="1532" width="43.85546875" style="1652" customWidth="1"/>
    <col min="1533" max="1533" width="7.140625" style="1652" customWidth="1"/>
    <col min="1534" max="1534" width="15.5703125" style="1652" customWidth="1"/>
    <col min="1535" max="1535" width="16" style="1652" customWidth="1"/>
    <col min="1536" max="1536" width="15.140625" style="1652" customWidth="1"/>
    <col min="1537" max="1537" width="14.85546875" style="1652" customWidth="1"/>
    <col min="1538" max="1538" width="16.28515625" style="1652" customWidth="1"/>
    <col min="1539" max="1539" width="13.85546875" style="1652" customWidth="1"/>
    <col min="1540" max="1540" width="14.140625" style="1652" customWidth="1"/>
    <col min="1541" max="1541" width="15.7109375" style="1652" bestFit="1" customWidth="1"/>
    <col min="1542" max="1542" width="13.42578125" style="1652" bestFit="1" customWidth="1"/>
    <col min="1543" max="1545" width="13.28515625" style="1652" customWidth="1"/>
    <col min="1546" max="1546" width="11.5703125" style="1652" customWidth="1"/>
    <col min="1547" max="1547" width="13.140625" style="1652" customWidth="1"/>
    <col min="1548" max="1548" width="13.85546875" style="1652" customWidth="1"/>
    <col min="1549" max="1549" width="15.140625" style="1652" customWidth="1"/>
    <col min="1550" max="1550" width="16.7109375" style="1652" customWidth="1"/>
    <col min="1551" max="1551" width="13.85546875" style="1652" customWidth="1"/>
    <col min="1552" max="1553" width="16.7109375" style="1652" customWidth="1"/>
    <col min="1554" max="1554" width="15" style="1652" customWidth="1"/>
    <col min="1555" max="1555" width="13" style="1652" customWidth="1"/>
    <col min="1556" max="1556" width="14.140625" style="1652" customWidth="1"/>
    <col min="1557" max="1557" width="13.85546875" style="1652" customWidth="1"/>
    <col min="1558" max="1558" width="12.140625" style="1652" customWidth="1"/>
    <col min="1559" max="1560" width="15" style="1652" customWidth="1"/>
    <col min="1561" max="1561" width="12.140625" style="1652" customWidth="1"/>
    <col min="1562" max="1562" width="16.5703125" style="1652" customWidth="1"/>
    <col min="1563" max="1563" width="12.5703125" style="1652" customWidth="1"/>
    <col min="1564" max="1564" width="24.85546875" style="1652" customWidth="1"/>
    <col min="1565" max="1565" width="11.7109375" style="1652" customWidth="1"/>
    <col min="1566" max="1567" width="13.5703125" style="1652" customWidth="1"/>
    <col min="1568" max="1568" width="18.7109375" style="1652" customWidth="1"/>
    <col min="1569" max="1569" width="13.42578125" style="1652" customWidth="1"/>
    <col min="1570" max="1570" width="18.5703125" style="1652" customWidth="1"/>
    <col min="1571" max="1571" width="13.28515625" style="1652" customWidth="1"/>
    <col min="1572" max="1572" width="13.140625" style="1652" customWidth="1"/>
    <col min="1573" max="1573" width="10.28515625" style="1652" customWidth="1"/>
    <col min="1574" max="1574" width="12.42578125" style="1652" customWidth="1"/>
    <col min="1575" max="1575" width="13.85546875" style="1652" customWidth="1"/>
    <col min="1576" max="1577" width="6.85546875" style="1652" customWidth="1"/>
    <col min="1578" max="1579" width="8.85546875" style="1652"/>
    <col min="1580" max="1580" width="15.7109375" style="1652" customWidth="1"/>
    <col min="1581" max="1581" width="8.85546875" style="1652"/>
    <col min="1582" max="1589" width="13.28515625" style="1652" bestFit="1" customWidth="1"/>
    <col min="1590" max="1590" width="18.7109375" style="1652" bestFit="1" customWidth="1"/>
    <col min="1591" max="1592" width="19" style="1652" bestFit="1" customWidth="1"/>
    <col min="1593" max="1599" width="13.28515625" style="1652" bestFit="1" customWidth="1"/>
    <col min="1600" max="1600" width="14.140625" style="1652" bestFit="1" customWidth="1"/>
    <col min="1601" max="1602" width="15.7109375" style="1652" bestFit="1" customWidth="1"/>
    <col min="1603" max="1605" width="14.140625" style="1652" bestFit="1" customWidth="1"/>
    <col min="1606" max="1607" width="15.7109375" style="1652" bestFit="1" customWidth="1"/>
    <col min="1608" max="1609" width="14.140625" style="1652" bestFit="1" customWidth="1"/>
    <col min="1610" max="1626" width="8.85546875" style="1652"/>
    <col min="1627" max="1627" width="10" style="1652" bestFit="1" customWidth="1"/>
    <col min="1628" max="1787" width="8.85546875" style="1652"/>
    <col min="1788" max="1788" width="43.85546875" style="1652" customWidth="1"/>
    <col min="1789" max="1789" width="7.140625" style="1652" customWidth="1"/>
    <col min="1790" max="1790" width="15.5703125" style="1652" customWidth="1"/>
    <col min="1791" max="1791" width="16" style="1652" customWidth="1"/>
    <col min="1792" max="1792" width="15.140625" style="1652" customWidth="1"/>
    <col min="1793" max="1793" width="14.85546875" style="1652" customWidth="1"/>
    <col min="1794" max="1794" width="16.28515625" style="1652" customWidth="1"/>
    <col min="1795" max="1795" width="13.85546875" style="1652" customWidth="1"/>
    <col min="1796" max="1796" width="14.140625" style="1652" customWidth="1"/>
    <col min="1797" max="1797" width="15.7109375" style="1652" bestFit="1" customWidth="1"/>
    <col min="1798" max="1798" width="13.42578125" style="1652" bestFit="1" customWidth="1"/>
    <col min="1799" max="1801" width="13.28515625" style="1652" customWidth="1"/>
    <col min="1802" max="1802" width="11.5703125" style="1652" customWidth="1"/>
    <col min="1803" max="1803" width="13.140625" style="1652" customWidth="1"/>
    <col min="1804" max="1804" width="13.85546875" style="1652" customWidth="1"/>
    <col min="1805" max="1805" width="15.140625" style="1652" customWidth="1"/>
    <col min="1806" max="1806" width="16.7109375" style="1652" customWidth="1"/>
    <col min="1807" max="1807" width="13.85546875" style="1652" customWidth="1"/>
    <col min="1808" max="1809" width="16.7109375" style="1652" customWidth="1"/>
    <col min="1810" max="1810" width="15" style="1652" customWidth="1"/>
    <col min="1811" max="1811" width="13" style="1652" customWidth="1"/>
    <col min="1812" max="1812" width="14.140625" style="1652" customWidth="1"/>
    <col min="1813" max="1813" width="13.85546875" style="1652" customWidth="1"/>
    <col min="1814" max="1814" width="12.140625" style="1652" customWidth="1"/>
    <col min="1815" max="1816" width="15" style="1652" customWidth="1"/>
    <col min="1817" max="1817" width="12.140625" style="1652" customWidth="1"/>
    <col min="1818" max="1818" width="16.5703125" style="1652" customWidth="1"/>
    <col min="1819" max="1819" width="12.5703125" style="1652" customWidth="1"/>
    <col min="1820" max="1820" width="24.85546875" style="1652" customWidth="1"/>
    <col min="1821" max="1821" width="11.7109375" style="1652" customWidth="1"/>
    <col min="1822" max="1823" width="13.5703125" style="1652" customWidth="1"/>
    <col min="1824" max="1824" width="18.7109375" style="1652" customWidth="1"/>
    <col min="1825" max="1825" width="13.42578125" style="1652" customWidth="1"/>
    <col min="1826" max="1826" width="18.5703125" style="1652" customWidth="1"/>
    <col min="1827" max="1827" width="13.28515625" style="1652" customWidth="1"/>
    <col min="1828" max="1828" width="13.140625" style="1652" customWidth="1"/>
    <col min="1829" max="1829" width="10.28515625" style="1652" customWidth="1"/>
    <col min="1830" max="1830" width="12.42578125" style="1652" customWidth="1"/>
    <col min="1831" max="1831" width="13.85546875" style="1652" customWidth="1"/>
    <col min="1832" max="1833" width="6.85546875" style="1652" customWidth="1"/>
    <col min="1834" max="1835" width="8.85546875" style="1652"/>
    <col min="1836" max="1836" width="15.7109375" style="1652" customWidth="1"/>
    <col min="1837" max="1837" width="8.85546875" style="1652"/>
    <col min="1838" max="1845" width="13.28515625" style="1652" bestFit="1" customWidth="1"/>
    <col min="1846" max="1846" width="18.7109375" style="1652" bestFit="1" customWidth="1"/>
    <col min="1847" max="1848" width="19" style="1652" bestFit="1" customWidth="1"/>
    <col min="1849" max="1855" width="13.28515625" style="1652" bestFit="1" customWidth="1"/>
    <col min="1856" max="1856" width="14.140625" style="1652" bestFit="1" customWidth="1"/>
    <col min="1857" max="1858" width="15.7109375" style="1652" bestFit="1" customWidth="1"/>
    <col min="1859" max="1861" width="14.140625" style="1652" bestFit="1" customWidth="1"/>
    <col min="1862" max="1863" width="15.7109375" style="1652" bestFit="1" customWidth="1"/>
    <col min="1864" max="1865" width="14.140625" style="1652" bestFit="1" customWidth="1"/>
    <col min="1866" max="1882" width="8.85546875" style="1652"/>
    <col min="1883" max="1883" width="10" style="1652" bestFit="1" customWidth="1"/>
    <col min="1884" max="2043" width="8.85546875" style="1652"/>
    <col min="2044" max="2044" width="43.85546875" style="1652" customWidth="1"/>
    <col min="2045" max="2045" width="7.140625" style="1652" customWidth="1"/>
    <col min="2046" max="2046" width="15.5703125" style="1652" customWidth="1"/>
    <col min="2047" max="2047" width="16" style="1652" customWidth="1"/>
    <col min="2048" max="2048" width="15.140625" style="1652" customWidth="1"/>
    <col min="2049" max="2049" width="14.85546875" style="1652" customWidth="1"/>
    <col min="2050" max="2050" width="16.28515625" style="1652" customWidth="1"/>
    <col min="2051" max="2051" width="13.85546875" style="1652" customWidth="1"/>
    <col min="2052" max="2052" width="14.140625" style="1652" customWidth="1"/>
    <col min="2053" max="2053" width="15.7109375" style="1652" bestFit="1" customWidth="1"/>
    <col min="2054" max="2054" width="13.42578125" style="1652" bestFit="1" customWidth="1"/>
    <col min="2055" max="2057" width="13.28515625" style="1652" customWidth="1"/>
    <col min="2058" max="2058" width="11.5703125" style="1652" customWidth="1"/>
    <col min="2059" max="2059" width="13.140625" style="1652" customWidth="1"/>
    <col min="2060" max="2060" width="13.85546875" style="1652" customWidth="1"/>
    <col min="2061" max="2061" width="15.140625" style="1652" customWidth="1"/>
    <col min="2062" max="2062" width="16.7109375" style="1652" customWidth="1"/>
    <col min="2063" max="2063" width="13.85546875" style="1652" customWidth="1"/>
    <col min="2064" max="2065" width="16.7109375" style="1652" customWidth="1"/>
    <col min="2066" max="2066" width="15" style="1652" customWidth="1"/>
    <col min="2067" max="2067" width="13" style="1652" customWidth="1"/>
    <col min="2068" max="2068" width="14.140625" style="1652" customWidth="1"/>
    <col min="2069" max="2069" width="13.85546875" style="1652" customWidth="1"/>
    <col min="2070" max="2070" width="12.140625" style="1652" customWidth="1"/>
    <col min="2071" max="2072" width="15" style="1652" customWidth="1"/>
    <col min="2073" max="2073" width="12.140625" style="1652" customWidth="1"/>
    <col min="2074" max="2074" width="16.5703125" style="1652" customWidth="1"/>
    <col min="2075" max="2075" width="12.5703125" style="1652" customWidth="1"/>
    <col min="2076" max="2076" width="24.85546875" style="1652" customWidth="1"/>
    <col min="2077" max="2077" width="11.7109375" style="1652" customWidth="1"/>
    <col min="2078" max="2079" width="13.5703125" style="1652" customWidth="1"/>
    <col min="2080" max="2080" width="18.7109375" style="1652" customWidth="1"/>
    <col min="2081" max="2081" width="13.42578125" style="1652" customWidth="1"/>
    <col min="2082" max="2082" width="18.5703125" style="1652" customWidth="1"/>
    <col min="2083" max="2083" width="13.28515625" style="1652" customWidth="1"/>
    <col min="2084" max="2084" width="13.140625" style="1652" customWidth="1"/>
    <col min="2085" max="2085" width="10.28515625" style="1652" customWidth="1"/>
    <col min="2086" max="2086" width="12.42578125" style="1652" customWidth="1"/>
    <col min="2087" max="2087" width="13.85546875" style="1652" customWidth="1"/>
    <col min="2088" max="2089" width="6.85546875" style="1652" customWidth="1"/>
    <col min="2090" max="2091" width="8.85546875" style="1652"/>
    <col min="2092" max="2092" width="15.7109375" style="1652" customWidth="1"/>
    <col min="2093" max="2093" width="8.85546875" style="1652"/>
    <col min="2094" max="2101" width="13.28515625" style="1652" bestFit="1" customWidth="1"/>
    <col min="2102" max="2102" width="18.7109375" style="1652" bestFit="1" customWidth="1"/>
    <col min="2103" max="2104" width="19" style="1652" bestFit="1" customWidth="1"/>
    <col min="2105" max="2111" width="13.28515625" style="1652" bestFit="1" customWidth="1"/>
    <col min="2112" max="2112" width="14.140625" style="1652" bestFit="1" customWidth="1"/>
    <col min="2113" max="2114" width="15.7109375" style="1652" bestFit="1" customWidth="1"/>
    <col min="2115" max="2117" width="14.140625" style="1652" bestFit="1" customWidth="1"/>
    <col min="2118" max="2119" width="15.7109375" style="1652" bestFit="1" customWidth="1"/>
    <col min="2120" max="2121" width="14.140625" style="1652" bestFit="1" customWidth="1"/>
    <col min="2122" max="2138" width="8.85546875" style="1652"/>
    <col min="2139" max="2139" width="10" style="1652" bestFit="1" customWidth="1"/>
    <col min="2140" max="2299" width="8.85546875" style="1652"/>
    <col min="2300" max="2300" width="43.85546875" style="1652" customWidth="1"/>
    <col min="2301" max="2301" width="7.140625" style="1652" customWidth="1"/>
    <col min="2302" max="2302" width="15.5703125" style="1652" customWidth="1"/>
    <col min="2303" max="2303" width="16" style="1652" customWidth="1"/>
    <col min="2304" max="2304" width="15.140625" style="1652" customWidth="1"/>
    <col min="2305" max="2305" width="14.85546875" style="1652" customWidth="1"/>
    <col min="2306" max="2306" width="16.28515625" style="1652" customWidth="1"/>
    <col min="2307" max="2307" width="13.85546875" style="1652" customWidth="1"/>
    <col min="2308" max="2308" width="14.140625" style="1652" customWidth="1"/>
    <col min="2309" max="2309" width="15.7109375" style="1652" bestFit="1" customWidth="1"/>
    <col min="2310" max="2310" width="13.42578125" style="1652" bestFit="1" customWidth="1"/>
    <col min="2311" max="2313" width="13.28515625" style="1652" customWidth="1"/>
    <col min="2314" max="2314" width="11.5703125" style="1652" customWidth="1"/>
    <col min="2315" max="2315" width="13.140625" style="1652" customWidth="1"/>
    <col min="2316" max="2316" width="13.85546875" style="1652" customWidth="1"/>
    <col min="2317" max="2317" width="15.140625" style="1652" customWidth="1"/>
    <col min="2318" max="2318" width="16.7109375" style="1652" customWidth="1"/>
    <col min="2319" max="2319" width="13.85546875" style="1652" customWidth="1"/>
    <col min="2320" max="2321" width="16.7109375" style="1652" customWidth="1"/>
    <col min="2322" max="2322" width="15" style="1652" customWidth="1"/>
    <col min="2323" max="2323" width="13" style="1652" customWidth="1"/>
    <col min="2324" max="2324" width="14.140625" style="1652" customWidth="1"/>
    <col min="2325" max="2325" width="13.85546875" style="1652" customWidth="1"/>
    <col min="2326" max="2326" width="12.140625" style="1652" customWidth="1"/>
    <col min="2327" max="2328" width="15" style="1652" customWidth="1"/>
    <col min="2329" max="2329" width="12.140625" style="1652" customWidth="1"/>
    <col min="2330" max="2330" width="16.5703125" style="1652" customWidth="1"/>
    <col min="2331" max="2331" width="12.5703125" style="1652" customWidth="1"/>
    <col min="2332" max="2332" width="24.85546875" style="1652" customWidth="1"/>
    <col min="2333" max="2333" width="11.7109375" style="1652" customWidth="1"/>
    <col min="2334" max="2335" width="13.5703125" style="1652" customWidth="1"/>
    <col min="2336" max="2336" width="18.7109375" style="1652" customWidth="1"/>
    <col min="2337" max="2337" width="13.42578125" style="1652" customWidth="1"/>
    <col min="2338" max="2338" width="18.5703125" style="1652" customWidth="1"/>
    <col min="2339" max="2339" width="13.28515625" style="1652" customWidth="1"/>
    <col min="2340" max="2340" width="13.140625" style="1652" customWidth="1"/>
    <col min="2341" max="2341" width="10.28515625" style="1652" customWidth="1"/>
    <col min="2342" max="2342" width="12.42578125" style="1652" customWidth="1"/>
    <col min="2343" max="2343" width="13.85546875" style="1652" customWidth="1"/>
    <col min="2344" max="2345" width="6.85546875" style="1652" customWidth="1"/>
    <col min="2346" max="2347" width="8.85546875" style="1652"/>
    <col min="2348" max="2348" width="15.7109375" style="1652" customWidth="1"/>
    <col min="2349" max="2349" width="8.85546875" style="1652"/>
    <col min="2350" max="2357" width="13.28515625" style="1652" bestFit="1" customWidth="1"/>
    <col min="2358" max="2358" width="18.7109375" style="1652" bestFit="1" customWidth="1"/>
    <col min="2359" max="2360" width="19" style="1652" bestFit="1" customWidth="1"/>
    <col min="2361" max="2367" width="13.28515625" style="1652" bestFit="1" customWidth="1"/>
    <col min="2368" max="2368" width="14.140625" style="1652" bestFit="1" customWidth="1"/>
    <col min="2369" max="2370" width="15.7109375" style="1652" bestFit="1" customWidth="1"/>
    <col min="2371" max="2373" width="14.140625" style="1652" bestFit="1" customWidth="1"/>
    <col min="2374" max="2375" width="15.7109375" style="1652" bestFit="1" customWidth="1"/>
    <col min="2376" max="2377" width="14.140625" style="1652" bestFit="1" customWidth="1"/>
    <col min="2378" max="2394" width="8.85546875" style="1652"/>
    <col min="2395" max="2395" width="10" style="1652" bestFit="1" customWidth="1"/>
    <col min="2396" max="2555" width="8.85546875" style="1652"/>
    <col min="2556" max="2556" width="43.85546875" style="1652" customWidth="1"/>
    <col min="2557" max="2557" width="7.140625" style="1652" customWidth="1"/>
    <col min="2558" max="2558" width="15.5703125" style="1652" customWidth="1"/>
    <col min="2559" max="2559" width="16" style="1652" customWidth="1"/>
    <col min="2560" max="2560" width="15.140625" style="1652" customWidth="1"/>
    <col min="2561" max="2561" width="14.85546875" style="1652" customWidth="1"/>
    <col min="2562" max="2562" width="16.28515625" style="1652" customWidth="1"/>
    <col min="2563" max="2563" width="13.85546875" style="1652" customWidth="1"/>
    <col min="2564" max="2564" width="14.140625" style="1652" customWidth="1"/>
    <col min="2565" max="2565" width="15.7109375" style="1652" bestFit="1" customWidth="1"/>
    <col min="2566" max="2566" width="13.42578125" style="1652" bestFit="1" customWidth="1"/>
    <col min="2567" max="2569" width="13.28515625" style="1652" customWidth="1"/>
    <col min="2570" max="2570" width="11.5703125" style="1652" customWidth="1"/>
    <col min="2571" max="2571" width="13.140625" style="1652" customWidth="1"/>
    <col min="2572" max="2572" width="13.85546875" style="1652" customWidth="1"/>
    <col min="2573" max="2573" width="15.140625" style="1652" customWidth="1"/>
    <col min="2574" max="2574" width="16.7109375" style="1652" customWidth="1"/>
    <col min="2575" max="2575" width="13.85546875" style="1652" customWidth="1"/>
    <col min="2576" max="2577" width="16.7109375" style="1652" customWidth="1"/>
    <col min="2578" max="2578" width="15" style="1652" customWidth="1"/>
    <col min="2579" max="2579" width="13" style="1652" customWidth="1"/>
    <col min="2580" max="2580" width="14.140625" style="1652" customWidth="1"/>
    <col min="2581" max="2581" width="13.85546875" style="1652" customWidth="1"/>
    <col min="2582" max="2582" width="12.140625" style="1652" customWidth="1"/>
    <col min="2583" max="2584" width="15" style="1652" customWidth="1"/>
    <col min="2585" max="2585" width="12.140625" style="1652" customWidth="1"/>
    <col min="2586" max="2586" width="16.5703125" style="1652" customWidth="1"/>
    <col min="2587" max="2587" width="12.5703125" style="1652" customWidth="1"/>
    <col min="2588" max="2588" width="24.85546875" style="1652" customWidth="1"/>
    <col min="2589" max="2589" width="11.7109375" style="1652" customWidth="1"/>
    <col min="2590" max="2591" width="13.5703125" style="1652" customWidth="1"/>
    <col min="2592" max="2592" width="18.7109375" style="1652" customWidth="1"/>
    <col min="2593" max="2593" width="13.42578125" style="1652" customWidth="1"/>
    <col min="2594" max="2594" width="18.5703125" style="1652" customWidth="1"/>
    <col min="2595" max="2595" width="13.28515625" style="1652" customWidth="1"/>
    <col min="2596" max="2596" width="13.140625" style="1652" customWidth="1"/>
    <col min="2597" max="2597" width="10.28515625" style="1652" customWidth="1"/>
    <col min="2598" max="2598" width="12.42578125" style="1652" customWidth="1"/>
    <col min="2599" max="2599" width="13.85546875" style="1652" customWidth="1"/>
    <col min="2600" max="2601" width="6.85546875" style="1652" customWidth="1"/>
    <col min="2602" max="2603" width="8.85546875" style="1652"/>
    <col min="2604" max="2604" width="15.7109375" style="1652" customWidth="1"/>
    <col min="2605" max="2605" width="8.85546875" style="1652"/>
    <col min="2606" max="2613" width="13.28515625" style="1652" bestFit="1" customWidth="1"/>
    <col min="2614" max="2614" width="18.7109375" style="1652" bestFit="1" customWidth="1"/>
    <col min="2615" max="2616" width="19" style="1652" bestFit="1" customWidth="1"/>
    <col min="2617" max="2623" width="13.28515625" style="1652" bestFit="1" customWidth="1"/>
    <col min="2624" max="2624" width="14.140625" style="1652" bestFit="1" customWidth="1"/>
    <col min="2625" max="2626" width="15.7109375" style="1652" bestFit="1" customWidth="1"/>
    <col min="2627" max="2629" width="14.140625" style="1652" bestFit="1" customWidth="1"/>
    <col min="2630" max="2631" width="15.7109375" style="1652" bestFit="1" customWidth="1"/>
    <col min="2632" max="2633" width="14.140625" style="1652" bestFit="1" customWidth="1"/>
    <col min="2634" max="2650" width="8.85546875" style="1652"/>
    <col min="2651" max="2651" width="10" style="1652" bestFit="1" customWidth="1"/>
    <col min="2652" max="2811" width="8.85546875" style="1652"/>
    <col min="2812" max="2812" width="43.85546875" style="1652" customWidth="1"/>
    <col min="2813" max="2813" width="7.140625" style="1652" customWidth="1"/>
    <col min="2814" max="2814" width="15.5703125" style="1652" customWidth="1"/>
    <col min="2815" max="2815" width="16" style="1652" customWidth="1"/>
    <col min="2816" max="2816" width="15.140625" style="1652" customWidth="1"/>
    <col min="2817" max="2817" width="14.85546875" style="1652" customWidth="1"/>
    <col min="2818" max="2818" width="16.28515625" style="1652" customWidth="1"/>
    <col min="2819" max="2819" width="13.85546875" style="1652" customWidth="1"/>
    <col min="2820" max="2820" width="14.140625" style="1652" customWidth="1"/>
    <col min="2821" max="2821" width="15.7109375" style="1652" bestFit="1" customWidth="1"/>
    <col min="2822" max="2822" width="13.42578125" style="1652" bestFit="1" customWidth="1"/>
    <col min="2823" max="2825" width="13.28515625" style="1652" customWidth="1"/>
    <col min="2826" max="2826" width="11.5703125" style="1652" customWidth="1"/>
    <col min="2827" max="2827" width="13.140625" style="1652" customWidth="1"/>
    <col min="2828" max="2828" width="13.85546875" style="1652" customWidth="1"/>
    <col min="2829" max="2829" width="15.140625" style="1652" customWidth="1"/>
    <col min="2830" max="2830" width="16.7109375" style="1652" customWidth="1"/>
    <col min="2831" max="2831" width="13.85546875" style="1652" customWidth="1"/>
    <col min="2832" max="2833" width="16.7109375" style="1652" customWidth="1"/>
    <col min="2834" max="2834" width="15" style="1652" customWidth="1"/>
    <col min="2835" max="2835" width="13" style="1652" customWidth="1"/>
    <col min="2836" max="2836" width="14.140625" style="1652" customWidth="1"/>
    <col min="2837" max="2837" width="13.85546875" style="1652" customWidth="1"/>
    <col min="2838" max="2838" width="12.140625" style="1652" customWidth="1"/>
    <col min="2839" max="2840" width="15" style="1652" customWidth="1"/>
    <col min="2841" max="2841" width="12.140625" style="1652" customWidth="1"/>
    <col min="2842" max="2842" width="16.5703125" style="1652" customWidth="1"/>
    <col min="2843" max="2843" width="12.5703125" style="1652" customWidth="1"/>
    <col min="2844" max="2844" width="24.85546875" style="1652" customWidth="1"/>
    <col min="2845" max="2845" width="11.7109375" style="1652" customWidth="1"/>
    <col min="2846" max="2847" width="13.5703125" style="1652" customWidth="1"/>
    <col min="2848" max="2848" width="18.7109375" style="1652" customWidth="1"/>
    <col min="2849" max="2849" width="13.42578125" style="1652" customWidth="1"/>
    <col min="2850" max="2850" width="18.5703125" style="1652" customWidth="1"/>
    <col min="2851" max="2851" width="13.28515625" style="1652" customWidth="1"/>
    <col min="2852" max="2852" width="13.140625" style="1652" customWidth="1"/>
    <col min="2853" max="2853" width="10.28515625" style="1652" customWidth="1"/>
    <col min="2854" max="2854" width="12.42578125" style="1652" customWidth="1"/>
    <col min="2855" max="2855" width="13.85546875" style="1652" customWidth="1"/>
    <col min="2856" max="2857" width="6.85546875" style="1652" customWidth="1"/>
    <col min="2858" max="2859" width="8.85546875" style="1652"/>
    <col min="2860" max="2860" width="15.7109375" style="1652" customWidth="1"/>
    <col min="2861" max="2861" width="8.85546875" style="1652"/>
    <col min="2862" max="2869" width="13.28515625" style="1652" bestFit="1" customWidth="1"/>
    <col min="2870" max="2870" width="18.7109375" style="1652" bestFit="1" customWidth="1"/>
    <col min="2871" max="2872" width="19" style="1652" bestFit="1" customWidth="1"/>
    <col min="2873" max="2879" width="13.28515625" style="1652" bestFit="1" customWidth="1"/>
    <col min="2880" max="2880" width="14.140625" style="1652" bestFit="1" customWidth="1"/>
    <col min="2881" max="2882" width="15.7109375" style="1652" bestFit="1" customWidth="1"/>
    <col min="2883" max="2885" width="14.140625" style="1652" bestFit="1" customWidth="1"/>
    <col min="2886" max="2887" width="15.7109375" style="1652" bestFit="1" customWidth="1"/>
    <col min="2888" max="2889" width="14.140625" style="1652" bestFit="1" customWidth="1"/>
    <col min="2890" max="2906" width="8.85546875" style="1652"/>
    <col min="2907" max="2907" width="10" style="1652" bestFit="1" customWidth="1"/>
    <col min="2908" max="3067" width="8.85546875" style="1652"/>
    <col min="3068" max="3068" width="43.85546875" style="1652" customWidth="1"/>
    <col min="3069" max="3069" width="7.140625" style="1652" customWidth="1"/>
    <col min="3070" max="3070" width="15.5703125" style="1652" customWidth="1"/>
    <col min="3071" max="3071" width="16" style="1652" customWidth="1"/>
    <col min="3072" max="3072" width="15.140625" style="1652" customWidth="1"/>
    <col min="3073" max="3073" width="14.85546875" style="1652" customWidth="1"/>
    <col min="3074" max="3074" width="16.28515625" style="1652" customWidth="1"/>
    <col min="3075" max="3075" width="13.85546875" style="1652" customWidth="1"/>
    <col min="3076" max="3076" width="14.140625" style="1652" customWidth="1"/>
    <col min="3077" max="3077" width="15.7109375" style="1652" bestFit="1" customWidth="1"/>
    <col min="3078" max="3078" width="13.42578125" style="1652" bestFit="1" customWidth="1"/>
    <col min="3079" max="3081" width="13.28515625" style="1652" customWidth="1"/>
    <col min="3082" max="3082" width="11.5703125" style="1652" customWidth="1"/>
    <col min="3083" max="3083" width="13.140625" style="1652" customWidth="1"/>
    <col min="3084" max="3084" width="13.85546875" style="1652" customWidth="1"/>
    <col min="3085" max="3085" width="15.140625" style="1652" customWidth="1"/>
    <col min="3086" max="3086" width="16.7109375" style="1652" customWidth="1"/>
    <col min="3087" max="3087" width="13.85546875" style="1652" customWidth="1"/>
    <col min="3088" max="3089" width="16.7109375" style="1652" customWidth="1"/>
    <col min="3090" max="3090" width="15" style="1652" customWidth="1"/>
    <col min="3091" max="3091" width="13" style="1652" customWidth="1"/>
    <col min="3092" max="3092" width="14.140625" style="1652" customWidth="1"/>
    <col min="3093" max="3093" width="13.85546875" style="1652" customWidth="1"/>
    <col min="3094" max="3094" width="12.140625" style="1652" customWidth="1"/>
    <col min="3095" max="3096" width="15" style="1652" customWidth="1"/>
    <col min="3097" max="3097" width="12.140625" style="1652" customWidth="1"/>
    <col min="3098" max="3098" width="16.5703125" style="1652" customWidth="1"/>
    <col min="3099" max="3099" width="12.5703125" style="1652" customWidth="1"/>
    <col min="3100" max="3100" width="24.85546875" style="1652" customWidth="1"/>
    <col min="3101" max="3101" width="11.7109375" style="1652" customWidth="1"/>
    <col min="3102" max="3103" width="13.5703125" style="1652" customWidth="1"/>
    <col min="3104" max="3104" width="18.7109375" style="1652" customWidth="1"/>
    <col min="3105" max="3105" width="13.42578125" style="1652" customWidth="1"/>
    <col min="3106" max="3106" width="18.5703125" style="1652" customWidth="1"/>
    <col min="3107" max="3107" width="13.28515625" style="1652" customWidth="1"/>
    <col min="3108" max="3108" width="13.140625" style="1652" customWidth="1"/>
    <col min="3109" max="3109" width="10.28515625" style="1652" customWidth="1"/>
    <col min="3110" max="3110" width="12.42578125" style="1652" customWidth="1"/>
    <col min="3111" max="3111" width="13.85546875" style="1652" customWidth="1"/>
    <col min="3112" max="3113" width="6.85546875" style="1652" customWidth="1"/>
    <col min="3114" max="3115" width="8.85546875" style="1652"/>
    <col min="3116" max="3116" width="15.7109375" style="1652" customWidth="1"/>
    <col min="3117" max="3117" width="8.85546875" style="1652"/>
    <col min="3118" max="3125" width="13.28515625" style="1652" bestFit="1" customWidth="1"/>
    <col min="3126" max="3126" width="18.7109375" style="1652" bestFit="1" customWidth="1"/>
    <col min="3127" max="3128" width="19" style="1652" bestFit="1" customWidth="1"/>
    <col min="3129" max="3135" width="13.28515625" style="1652" bestFit="1" customWidth="1"/>
    <col min="3136" max="3136" width="14.140625" style="1652" bestFit="1" customWidth="1"/>
    <col min="3137" max="3138" width="15.7109375" style="1652" bestFit="1" customWidth="1"/>
    <col min="3139" max="3141" width="14.140625" style="1652" bestFit="1" customWidth="1"/>
    <col min="3142" max="3143" width="15.7109375" style="1652" bestFit="1" customWidth="1"/>
    <col min="3144" max="3145" width="14.140625" style="1652" bestFit="1" customWidth="1"/>
    <col min="3146" max="3162" width="8.85546875" style="1652"/>
    <col min="3163" max="3163" width="10" style="1652" bestFit="1" customWidth="1"/>
    <col min="3164" max="3323" width="8.85546875" style="1652"/>
    <col min="3324" max="3324" width="43.85546875" style="1652" customWidth="1"/>
    <col min="3325" max="3325" width="7.140625" style="1652" customWidth="1"/>
    <col min="3326" max="3326" width="15.5703125" style="1652" customWidth="1"/>
    <col min="3327" max="3327" width="16" style="1652" customWidth="1"/>
    <col min="3328" max="3328" width="15.140625" style="1652" customWidth="1"/>
    <col min="3329" max="3329" width="14.85546875" style="1652" customWidth="1"/>
    <col min="3330" max="3330" width="16.28515625" style="1652" customWidth="1"/>
    <col min="3331" max="3331" width="13.85546875" style="1652" customWidth="1"/>
    <col min="3332" max="3332" width="14.140625" style="1652" customWidth="1"/>
    <col min="3333" max="3333" width="15.7109375" style="1652" bestFit="1" customWidth="1"/>
    <col min="3334" max="3334" width="13.42578125" style="1652" bestFit="1" customWidth="1"/>
    <col min="3335" max="3337" width="13.28515625" style="1652" customWidth="1"/>
    <col min="3338" max="3338" width="11.5703125" style="1652" customWidth="1"/>
    <col min="3339" max="3339" width="13.140625" style="1652" customWidth="1"/>
    <col min="3340" max="3340" width="13.85546875" style="1652" customWidth="1"/>
    <col min="3341" max="3341" width="15.140625" style="1652" customWidth="1"/>
    <col min="3342" max="3342" width="16.7109375" style="1652" customWidth="1"/>
    <col min="3343" max="3343" width="13.85546875" style="1652" customWidth="1"/>
    <col min="3344" max="3345" width="16.7109375" style="1652" customWidth="1"/>
    <col min="3346" max="3346" width="15" style="1652" customWidth="1"/>
    <col min="3347" max="3347" width="13" style="1652" customWidth="1"/>
    <col min="3348" max="3348" width="14.140625" style="1652" customWidth="1"/>
    <col min="3349" max="3349" width="13.85546875" style="1652" customWidth="1"/>
    <col min="3350" max="3350" width="12.140625" style="1652" customWidth="1"/>
    <col min="3351" max="3352" width="15" style="1652" customWidth="1"/>
    <col min="3353" max="3353" width="12.140625" style="1652" customWidth="1"/>
    <col min="3354" max="3354" width="16.5703125" style="1652" customWidth="1"/>
    <col min="3355" max="3355" width="12.5703125" style="1652" customWidth="1"/>
    <col min="3356" max="3356" width="24.85546875" style="1652" customWidth="1"/>
    <col min="3357" max="3357" width="11.7109375" style="1652" customWidth="1"/>
    <col min="3358" max="3359" width="13.5703125" style="1652" customWidth="1"/>
    <col min="3360" max="3360" width="18.7109375" style="1652" customWidth="1"/>
    <col min="3361" max="3361" width="13.42578125" style="1652" customWidth="1"/>
    <col min="3362" max="3362" width="18.5703125" style="1652" customWidth="1"/>
    <col min="3363" max="3363" width="13.28515625" style="1652" customWidth="1"/>
    <col min="3364" max="3364" width="13.140625" style="1652" customWidth="1"/>
    <col min="3365" max="3365" width="10.28515625" style="1652" customWidth="1"/>
    <col min="3366" max="3366" width="12.42578125" style="1652" customWidth="1"/>
    <col min="3367" max="3367" width="13.85546875" style="1652" customWidth="1"/>
    <col min="3368" max="3369" width="6.85546875" style="1652" customWidth="1"/>
    <col min="3370" max="3371" width="8.85546875" style="1652"/>
    <col min="3372" max="3372" width="15.7109375" style="1652" customWidth="1"/>
    <col min="3373" max="3373" width="8.85546875" style="1652"/>
    <col min="3374" max="3381" width="13.28515625" style="1652" bestFit="1" customWidth="1"/>
    <col min="3382" max="3382" width="18.7109375" style="1652" bestFit="1" customWidth="1"/>
    <col min="3383" max="3384" width="19" style="1652" bestFit="1" customWidth="1"/>
    <col min="3385" max="3391" width="13.28515625" style="1652" bestFit="1" customWidth="1"/>
    <col min="3392" max="3392" width="14.140625" style="1652" bestFit="1" customWidth="1"/>
    <col min="3393" max="3394" width="15.7109375" style="1652" bestFit="1" customWidth="1"/>
    <col min="3395" max="3397" width="14.140625" style="1652" bestFit="1" customWidth="1"/>
    <col min="3398" max="3399" width="15.7109375" style="1652" bestFit="1" customWidth="1"/>
    <col min="3400" max="3401" width="14.140625" style="1652" bestFit="1" customWidth="1"/>
    <col min="3402" max="3418" width="8.85546875" style="1652"/>
    <col min="3419" max="3419" width="10" style="1652" bestFit="1" customWidth="1"/>
    <col min="3420" max="3579" width="8.85546875" style="1652"/>
    <col min="3580" max="3580" width="43.85546875" style="1652" customWidth="1"/>
    <col min="3581" max="3581" width="7.140625" style="1652" customWidth="1"/>
    <col min="3582" max="3582" width="15.5703125" style="1652" customWidth="1"/>
    <col min="3583" max="3583" width="16" style="1652" customWidth="1"/>
    <col min="3584" max="3584" width="15.140625" style="1652" customWidth="1"/>
    <col min="3585" max="3585" width="14.85546875" style="1652" customWidth="1"/>
    <col min="3586" max="3586" width="16.28515625" style="1652" customWidth="1"/>
    <col min="3587" max="3587" width="13.85546875" style="1652" customWidth="1"/>
    <col min="3588" max="3588" width="14.140625" style="1652" customWidth="1"/>
    <col min="3589" max="3589" width="15.7109375" style="1652" bestFit="1" customWidth="1"/>
    <col min="3590" max="3590" width="13.42578125" style="1652" bestFit="1" customWidth="1"/>
    <col min="3591" max="3593" width="13.28515625" style="1652" customWidth="1"/>
    <col min="3594" max="3594" width="11.5703125" style="1652" customWidth="1"/>
    <col min="3595" max="3595" width="13.140625" style="1652" customWidth="1"/>
    <col min="3596" max="3596" width="13.85546875" style="1652" customWidth="1"/>
    <col min="3597" max="3597" width="15.140625" style="1652" customWidth="1"/>
    <col min="3598" max="3598" width="16.7109375" style="1652" customWidth="1"/>
    <col min="3599" max="3599" width="13.85546875" style="1652" customWidth="1"/>
    <col min="3600" max="3601" width="16.7109375" style="1652" customWidth="1"/>
    <col min="3602" max="3602" width="15" style="1652" customWidth="1"/>
    <col min="3603" max="3603" width="13" style="1652" customWidth="1"/>
    <col min="3604" max="3604" width="14.140625" style="1652" customWidth="1"/>
    <col min="3605" max="3605" width="13.85546875" style="1652" customWidth="1"/>
    <col min="3606" max="3606" width="12.140625" style="1652" customWidth="1"/>
    <col min="3607" max="3608" width="15" style="1652" customWidth="1"/>
    <col min="3609" max="3609" width="12.140625" style="1652" customWidth="1"/>
    <col min="3610" max="3610" width="16.5703125" style="1652" customWidth="1"/>
    <col min="3611" max="3611" width="12.5703125" style="1652" customWidth="1"/>
    <col min="3612" max="3612" width="24.85546875" style="1652" customWidth="1"/>
    <col min="3613" max="3613" width="11.7109375" style="1652" customWidth="1"/>
    <col min="3614" max="3615" width="13.5703125" style="1652" customWidth="1"/>
    <col min="3616" max="3616" width="18.7109375" style="1652" customWidth="1"/>
    <col min="3617" max="3617" width="13.42578125" style="1652" customWidth="1"/>
    <col min="3618" max="3618" width="18.5703125" style="1652" customWidth="1"/>
    <col min="3619" max="3619" width="13.28515625" style="1652" customWidth="1"/>
    <col min="3620" max="3620" width="13.140625" style="1652" customWidth="1"/>
    <col min="3621" max="3621" width="10.28515625" style="1652" customWidth="1"/>
    <col min="3622" max="3622" width="12.42578125" style="1652" customWidth="1"/>
    <col min="3623" max="3623" width="13.85546875" style="1652" customWidth="1"/>
    <col min="3624" max="3625" width="6.85546875" style="1652" customWidth="1"/>
    <col min="3626" max="3627" width="8.85546875" style="1652"/>
    <col min="3628" max="3628" width="15.7109375" style="1652" customWidth="1"/>
    <col min="3629" max="3629" width="8.85546875" style="1652"/>
    <col min="3630" max="3637" width="13.28515625" style="1652" bestFit="1" customWidth="1"/>
    <col min="3638" max="3638" width="18.7109375" style="1652" bestFit="1" customWidth="1"/>
    <col min="3639" max="3640" width="19" style="1652" bestFit="1" customWidth="1"/>
    <col min="3641" max="3647" width="13.28515625" style="1652" bestFit="1" customWidth="1"/>
    <col min="3648" max="3648" width="14.140625" style="1652" bestFit="1" customWidth="1"/>
    <col min="3649" max="3650" width="15.7109375" style="1652" bestFit="1" customWidth="1"/>
    <col min="3651" max="3653" width="14.140625" style="1652" bestFit="1" customWidth="1"/>
    <col min="3654" max="3655" width="15.7109375" style="1652" bestFit="1" customWidth="1"/>
    <col min="3656" max="3657" width="14.140625" style="1652" bestFit="1" customWidth="1"/>
    <col min="3658" max="3674" width="8.85546875" style="1652"/>
    <col min="3675" max="3675" width="10" style="1652" bestFit="1" customWidth="1"/>
    <col min="3676" max="3835" width="8.85546875" style="1652"/>
    <col min="3836" max="3836" width="43.85546875" style="1652" customWidth="1"/>
    <col min="3837" max="3837" width="7.140625" style="1652" customWidth="1"/>
    <col min="3838" max="3838" width="15.5703125" style="1652" customWidth="1"/>
    <col min="3839" max="3839" width="16" style="1652" customWidth="1"/>
    <col min="3840" max="3840" width="15.140625" style="1652" customWidth="1"/>
    <col min="3841" max="3841" width="14.85546875" style="1652" customWidth="1"/>
    <col min="3842" max="3842" width="16.28515625" style="1652" customWidth="1"/>
    <col min="3843" max="3843" width="13.85546875" style="1652" customWidth="1"/>
    <col min="3844" max="3844" width="14.140625" style="1652" customWidth="1"/>
    <col min="3845" max="3845" width="15.7109375" style="1652" bestFit="1" customWidth="1"/>
    <col min="3846" max="3846" width="13.42578125" style="1652" bestFit="1" customWidth="1"/>
    <col min="3847" max="3849" width="13.28515625" style="1652" customWidth="1"/>
    <col min="3850" max="3850" width="11.5703125" style="1652" customWidth="1"/>
    <col min="3851" max="3851" width="13.140625" style="1652" customWidth="1"/>
    <col min="3852" max="3852" width="13.85546875" style="1652" customWidth="1"/>
    <col min="3853" max="3853" width="15.140625" style="1652" customWidth="1"/>
    <col min="3854" max="3854" width="16.7109375" style="1652" customWidth="1"/>
    <col min="3855" max="3855" width="13.85546875" style="1652" customWidth="1"/>
    <col min="3856" max="3857" width="16.7109375" style="1652" customWidth="1"/>
    <col min="3858" max="3858" width="15" style="1652" customWidth="1"/>
    <col min="3859" max="3859" width="13" style="1652" customWidth="1"/>
    <col min="3860" max="3860" width="14.140625" style="1652" customWidth="1"/>
    <col min="3861" max="3861" width="13.85546875" style="1652" customWidth="1"/>
    <col min="3862" max="3862" width="12.140625" style="1652" customWidth="1"/>
    <col min="3863" max="3864" width="15" style="1652" customWidth="1"/>
    <col min="3865" max="3865" width="12.140625" style="1652" customWidth="1"/>
    <col min="3866" max="3866" width="16.5703125" style="1652" customWidth="1"/>
    <col min="3867" max="3867" width="12.5703125" style="1652" customWidth="1"/>
    <col min="3868" max="3868" width="24.85546875" style="1652" customWidth="1"/>
    <col min="3869" max="3869" width="11.7109375" style="1652" customWidth="1"/>
    <col min="3870" max="3871" width="13.5703125" style="1652" customWidth="1"/>
    <col min="3872" max="3872" width="18.7109375" style="1652" customWidth="1"/>
    <col min="3873" max="3873" width="13.42578125" style="1652" customWidth="1"/>
    <col min="3874" max="3874" width="18.5703125" style="1652" customWidth="1"/>
    <col min="3875" max="3875" width="13.28515625" style="1652" customWidth="1"/>
    <col min="3876" max="3876" width="13.140625" style="1652" customWidth="1"/>
    <col min="3877" max="3877" width="10.28515625" style="1652" customWidth="1"/>
    <col min="3878" max="3878" width="12.42578125" style="1652" customWidth="1"/>
    <col min="3879" max="3879" width="13.85546875" style="1652" customWidth="1"/>
    <col min="3880" max="3881" width="6.85546875" style="1652" customWidth="1"/>
    <col min="3882" max="3883" width="8.85546875" style="1652"/>
    <col min="3884" max="3884" width="15.7109375" style="1652" customWidth="1"/>
    <col min="3885" max="3885" width="8.85546875" style="1652"/>
    <col min="3886" max="3893" width="13.28515625" style="1652" bestFit="1" customWidth="1"/>
    <col min="3894" max="3894" width="18.7109375" style="1652" bestFit="1" customWidth="1"/>
    <col min="3895" max="3896" width="19" style="1652" bestFit="1" customWidth="1"/>
    <col min="3897" max="3903" width="13.28515625" style="1652" bestFit="1" customWidth="1"/>
    <col min="3904" max="3904" width="14.140625" style="1652" bestFit="1" customWidth="1"/>
    <col min="3905" max="3906" width="15.7109375" style="1652" bestFit="1" customWidth="1"/>
    <col min="3907" max="3909" width="14.140625" style="1652" bestFit="1" customWidth="1"/>
    <col min="3910" max="3911" width="15.7109375" style="1652" bestFit="1" customWidth="1"/>
    <col min="3912" max="3913" width="14.140625" style="1652" bestFit="1" customWidth="1"/>
    <col min="3914" max="3930" width="8.85546875" style="1652"/>
    <col min="3931" max="3931" width="10" style="1652" bestFit="1" customWidth="1"/>
    <col min="3932" max="4091" width="8.85546875" style="1652"/>
    <col min="4092" max="4092" width="43.85546875" style="1652" customWidth="1"/>
    <col min="4093" max="4093" width="7.140625" style="1652" customWidth="1"/>
    <col min="4094" max="4094" width="15.5703125" style="1652" customWidth="1"/>
    <col min="4095" max="4095" width="16" style="1652" customWidth="1"/>
    <col min="4096" max="4096" width="15.140625" style="1652" customWidth="1"/>
    <col min="4097" max="4097" width="14.85546875" style="1652" customWidth="1"/>
    <col min="4098" max="4098" width="16.28515625" style="1652" customWidth="1"/>
    <col min="4099" max="4099" width="13.85546875" style="1652" customWidth="1"/>
    <col min="4100" max="4100" width="14.140625" style="1652" customWidth="1"/>
    <col min="4101" max="4101" width="15.7109375" style="1652" bestFit="1" customWidth="1"/>
    <col min="4102" max="4102" width="13.42578125" style="1652" bestFit="1" customWidth="1"/>
    <col min="4103" max="4105" width="13.28515625" style="1652" customWidth="1"/>
    <col min="4106" max="4106" width="11.5703125" style="1652" customWidth="1"/>
    <col min="4107" max="4107" width="13.140625" style="1652" customWidth="1"/>
    <col min="4108" max="4108" width="13.85546875" style="1652" customWidth="1"/>
    <col min="4109" max="4109" width="15.140625" style="1652" customWidth="1"/>
    <col min="4110" max="4110" width="16.7109375" style="1652" customWidth="1"/>
    <col min="4111" max="4111" width="13.85546875" style="1652" customWidth="1"/>
    <col min="4112" max="4113" width="16.7109375" style="1652" customWidth="1"/>
    <col min="4114" max="4114" width="15" style="1652" customWidth="1"/>
    <col min="4115" max="4115" width="13" style="1652" customWidth="1"/>
    <col min="4116" max="4116" width="14.140625" style="1652" customWidth="1"/>
    <col min="4117" max="4117" width="13.85546875" style="1652" customWidth="1"/>
    <col min="4118" max="4118" width="12.140625" style="1652" customWidth="1"/>
    <col min="4119" max="4120" width="15" style="1652" customWidth="1"/>
    <col min="4121" max="4121" width="12.140625" style="1652" customWidth="1"/>
    <col min="4122" max="4122" width="16.5703125" style="1652" customWidth="1"/>
    <col min="4123" max="4123" width="12.5703125" style="1652" customWidth="1"/>
    <col min="4124" max="4124" width="24.85546875" style="1652" customWidth="1"/>
    <col min="4125" max="4125" width="11.7109375" style="1652" customWidth="1"/>
    <col min="4126" max="4127" width="13.5703125" style="1652" customWidth="1"/>
    <col min="4128" max="4128" width="18.7109375" style="1652" customWidth="1"/>
    <col min="4129" max="4129" width="13.42578125" style="1652" customWidth="1"/>
    <col min="4130" max="4130" width="18.5703125" style="1652" customWidth="1"/>
    <col min="4131" max="4131" width="13.28515625" style="1652" customWidth="1"/>
    <col min="4132" max="4132" width="13.140625" style="1652" customWidth="1"/>
    <col min="4133" max="4133" width="10.28515625" style="1652" customWidth="1"/>
    <col min="4134" max="4134" width="12.42578125" style="1652" customWidth="1"/>
    <col min="4135" max="4135" width="13.85546875" style="1652" customWidth="1"/>
    <col min="4136" max="4137" width="6.85546875" style="1652" customWidth="1"/>
    <col min="4138" max="4139" width="8.85546875" style="1652"/>
    <col min="4140" max="4140" width="15.7109375" style="1652" customWidth="1"/>
    <col min="4141" max="4141" width="8.85546875" style="1652"/>
    <col min="4142" max="4149" width="13.28515625" style="1652" bestFit="1" customWidth="1"/>
    <col min="4150" max="4150" width="18.7109375" style="1652" bestFit="1" customWidth="1"/>
    <col min="4151" max="4152" width="19" style="1652" bestFit="1" customWidth="1"/>
    <col min="4153" max="4159" width="13.28515625" style="1652" bestFit="1" customWidth="1"/>
    <col min="4160" max="4160" width="14.140625" style="1652" bestFit="1" customWidth="1"/>
    <col min="4161" max="4162" width="15.7109375" style="1652" bestFit="1" customWidth="1"/>
    <col min="4163" max="4165" width="14.140625" style="1652" bestFit="1" customWidth="1"/>
    <col min="4166" max="4167" width="15.7109375" style="1652" bestFit="1" customWidth="1"/>
    <col min="4168" max="4169" width="14.140625" style="1652" bestFit="1" customWidth="1"/>
    <col min="4170" max="4186" width="8.85546875" style="1652"/>
    <col min="4187" max="4187" width="10" style="1652" bestFit="1" customWidth="1"/>
    <col min="4188" max="4347" width="8.85546875" style="1652"/>
    <col min="4348" max="4348" width="43.85546875" style="1652" customWidth="1"/>
    <col min="4349" max="4349" width="7.140625" style="1652" customWidth="1"/>
    <col min="4350" max="4350" width="15.5703125" style="1652" customWidth="1"/>
    <col min="4351" max="4351" width="16" style="1652" customWidth="1"/>
    <col min="4352" max="4352" width="15.140625" style="1652" customWidth="1"/>
    <col min="4353" max="4353" width="14.85546875" style="1652" customWidth="1"/>
    <col min="4354" max="4354" width="16.28515625" style="1652" customWidth="1"/>
    <col min="4355" max="4355" width="13.85546875" style="1652" customWidth="1"/>
    <col min="4356" max="4356" width="14.140625" style="1652" customWidth="1"/>
    <col min="4357" max="4357" width="15.7109375" style="1652" bestFit="1" customWidth="1"/>
    <col min="4358" max="4358" width="13.42578125" style="1652" bestFit="1" customWidth="1"/>
    <col min="4359" max="4361" width="13.28515625" style="1652" customWidth="1"/>
    <col min="4362" max="4362" width="11.5703125" style="1652" customWidth="1"/>
    <col min="4363" max="4363" width="13.140625" style="1652" customWidth="1"/>
    <col min="4364" max="4364" width="13.85546875" style="1652" customWidth="1"/>
    <col min="4365" max="4365" width="15.140625" style="1652" customWidth="1"/>
    <col min="4366" max="4366" width="16.7109375" style="1652" customWidth="1"/>
    <col min="4367" max="4367" width="13.85546875" style="1652" customWidth="1"/>
    <col min="4368" max="4369" width="16.7109375" style="1652" customWidth="1"/>
    <col min="4370" max="4370" width="15" style="1652" customWidth="1"/>
    <col min="4371" max="4371" width="13" style="1652" customWidth="1"/>
    <col min="4372" max="4372" width="14.140625" style="1652" customWidth="1"/>
    <col min="4373" max="4373" width="13.85546875" style="1652" customWidth="1"/>
    <col min="4374" max="4374" width="12.140625" style="1652" customWidth="1"/>
    <col min="4375" max="4376" width="15" style="1652" customWidth="1"/>
    <col min="4377" max="4377" width="12.140625" style="1652" customWidth="1"/>
    <col min="4378" max="4378" width="16.5703125" style="1652" customWidth="1"/>
    <col min="4379" max="4379" width="12.5703125" style="1652" customWidth="1"/>
    <col min="4380" max="4380" width="24.85546875" style="1652" customWidth="1"/>
    <col min="4381" max="4381" width="11.7109375" style="1652" customWidth="1"/>
    <col min="4382" max="4383" width="13.5703125" style="1652" customWidth="1"/>
    <col min="4384" max="4384" width="18.7109375" style="1652" customWidth="1"/>
    <col min="4385" max="4385" width="13.42578125" style="1652" customWidth="1"/>
    <col min="4386" max="4386" width="18.5703125" style="1652" customWidth="1"/>
    <col min="4387" max="4387" width="13.28515625" style="1652" customWidth="1"/>
    <col min="4388" max="4388" width="13.140625" style="1652" customWidth="1"/>
    <col min="4389" max="4389" width="10.28515625" style="1652" customWidth="1"/>
    <col min="4390" max="4390" width="12.42578125" style="1652" customWidth="1"/>
    <col min="4391" max="4391" width="13.85546875" style="1652" customWidth="1"/>
    <col min="4392" max="4393" width="6.85546875" style="1652" customWidth="1"/>
    <col min="4394" max="4395" width="8.85546875" style="1652"/>
    <col min="4396" max="4396" width="15.7109375" style="1652" customWidth="1"/>
    <col min="4397" max="4397" width="8.85546875" style="1652"/>
    <col min="4398" max="4405" width="13.28515625" style="1652" bestFit="1" customWidth="1"/>
    <col min="4406" max="4406" width="18.7109375" style="1652" bestFit="1" customWidth="1"/>
    <col min="4407" max="4408" width="19" style="1652" bestFit="1" customWidth="1"/>
    <col min="4409" max="4415" width="13.28515625" style="1652" bestFit="1" customWidth="1"/>
    <col min="4416" max="4416" width="14.140625" style="1652" bestFit="1" customWidth="1"/>
    <col min="4417" max="4418" width="15.7109375" style="1652" bestFit="1" customWidth="1"/>
    <col min="4419" max="4421" width="14.140625" style="1652" bestFit="1" customWidth="1"/>
    <col min="4422" max="4423" width="15.7109375" style="1652" bestFit="1" customWidth="1"/>
    <col min="4424" max="4425" width="14.140625" style="1652" bestFit="1" customWidth="1"/>
    <col min="4426" max="4442" width="8.85546875" style="1652"/>
    <col min="4443" max="4443" width="10" style="1652" bestFit="1" customWidth="1"/>
    <col min="4444" max="4603" width="8.85546875" style="1652"/>
    <col min="4604" max="4604" width="43.85546875" style="1652" customWidth="1"/>
    <col min="4605" max="4605" width="7.140625" style="1652" customWidth="1"/>
    <col min="4606" max="4606" width="15.5703125" style="1652" customWidth="1"/>
    <col min="4607" max="4607" width="16" style="1652" customWidth="1"/>
    <col min="4608" max="4608" width="15.140625" style="1652" customWidth="1"/>
    <col min="4609" max="4609" width="14.85546875" style="1652" customWidth="1"/>
    <col min="4610" max="4610" width="16.28515625" style="1652" customWidth="1"/>
    <col min="4611" max="4611" width="13.85546875" style="1652" customWidth="1"/>
    <col min="4612" max="4612" width="14.140625" style="1652" customWidth="1"/>
    <col min="4613" max="4613" width="15.7109375" style="1652" bestFit="1" customWidth="1"/>
    <col min="4614" max="4614" width="13.42578125" style="1652" bestFit="1" customWidth="1"/>
    <col min="4615" max="4617" width="13.28515625" style="1652" customWidth="1"/>
    <col min="4618" max="4618" width="11.5703125" style="1652" customWidth="1"/>
    <col min="4619" max="4619" width="13.140625" style="1652" customWidth="1"/>
    <col min="4620" max="4620" width="13.85546875" style="1652" customWidth="1"/>
    <col min="4621" max="4621" width="15.140625" style="1652" customWidth="1"/>
    <col min="4622" max="4622" width="16.7109375" style="1652" customWidth="1"/>
    <col min="4623" max="4623" width="13.85546875" style="1652" customWidth="1"/>
    <col min="4624" max="4625" width="16.7109375" style="1652" customWidth="1"/>
    <col min="4626" max="4626" width="15" style="1652" customWidth="1"/>
    <col min="4627" max="4627" width="13" style="1652" customWidth="1"/>
    <col min="4628" max="4628" width="14.140625" style="1652" customWidth="1"/>
    <col min="4629" max="4629" width="13.85546875" style="1652" customWidth="1"/>
    <col min="4630" max="4630" width="12.140625" style="1652" customWidth="1"/>
    <col min="4631" max="4632" width="15" style="1652" customWidth="1"/>
    <col min="4633" max="4633" width="12.140625" style="1652" customWidth="1"/>
    <col min="4634" max="4634" width="16.5703125" style="1652" customWidth="1"/>
    <col min="4635" max="4635" width="12.5703125" style="1652" customWidth="1"/>
    <col min="4636" max="4636" width="24.85546875" style="1652" customWidth="1"/>
    <col min="4637" max="4637" width="11.7109375" style="1652" customWidth="1"/>
    <col min="4638" max="4639" width="13.5703125" style="1652" customWidth="1"/>
    <col min="4640" max="4640" width="18.7109375" style="1652" customWidth="1"/>
    <col min="4641" max="4641" width="13.42578125" style="1652" customWidth="1"/>
    <col min="4642" max="4642" width="18.5703125" style="1652" customWidth="1"/>
    <col min="4643" max="4643" width="13.28515625" style="1652" customWidth="1"/>
    <col min="4644" max="4644" width="13.140625" style="1652" customWidth="1"/>
    <col min="4645" max="4645" width="10.28515625" style="1652" customWidth="1"/>
    <col min="4646" max="4646" width="12.42578125" style="1652" customWidth="1"/>
    <col min="4647" max="4647" width="13.85546875" style="1652" customWidth="1"/>
    <col min="4648" max="4649" width="6.85546875" style="1652" customWidth="1"/>
    <col min="4650" max="4651" width="8.85546875" style="1652"/>
    <col min="4652" max="4652" width="15.7109375" style="1652" customWidth="1"/>
    <col min="4653" max="4653" width="8.85546875" style="1652"/>
    <col min="4654" max="4661" width="13.28515625" style="1652" bestFit="1" customWidth="1"/>
    <col min="4662" max="4662" width="18.7109375" style="1652" bestFit="1" customWidth="1"/>
    <col min="4663" max="4664" width="19" style="1652" bestFit="1" customWidth="1"/>
    <col min="4665" max="4671" width="13.28515625" style="1652" bestFit="1" customWidth="1"/>
    <col min="4672" max="4672" width="14.140625" style="1652" bestFit="1" customWidth="1"/>
    <col min="4673" max="4674" width="15.7109375" style="1652" bestFit="1" customWidth="1"/>
    <col min="4675" max="4677" width="14.140625" style="1652" bestFit="1" customWidth="1"/>
    <col min="4678" max="4679" width="15.7109375" style="1652" bestFit="1" customWidth="1"/>
    <col min="4680" max="4681" width="14.140625" style="1652" bestFit="1" customWidth="1"/>
    <col min="4682" max="4698" width="8.85546875" style="1652"/>
    <col min="4699" max="4699" width="10" style="1652" bestFit="1" customWidth="1"/>
    <col min="4700" max="4859" width="8.85546875" style="1652"/>
    <col min="4860" max="4860" width="43.85546875" style="1652" customWidth="1"/>
    <col min="4861" max="4861" width="7.140625" style="1652" customWidth="1"/>
    <col min="4862" max="4862" width="15.5703125" style="1652" customWidth="1"/>
    <col min="4863" max="4863" width="16" style="1652" customWidth="1"/>
    <col min="4864" max="4864" width="15.140625" style="1652" customWidth="1"/>
    <col min="4865" max="4865" width="14.85546875" style="1652" customWidth="1"/>
    <col min="4866" max="4866" width="16.28515625" style="1652" customWidth="1"/>
    <col min="4867" max="4867" width="13.85546875" style="1652" customWidth="1"/>
    <col min="4868" max="4868" width="14.140625" style="1652" customWidth="1"/>
    <col min="4869" max="4869" width="15.7109375" style="1652" bestFit="1" customWidth="1"/>
    <col min="4870" max="4870" width="13.42578125" style="1652" bestFit="1" customWidth="1"/>
    <col min="4871" max="4873" width="13.28515625" style="1652" customWidth="1"/>
    <col min="4874" max="4874" width="11.5703125" style="1652" customWidth="1"/>
    <col min="4875" max="4875" width="13.140625" style="1652" customWidth="1"/>
    <col min="4876" max="4876" width="13.85546875" style="1652" customWidth="1"/>
    <col min="4877" max="4877" width="15.140625" style="1652" customWidth="1"/>
    <col min="4878" max="4878" width="16.7109375" style="1652" customWidth="1"/>
    <col min="4879" max="4879" width="13.85546875" style="1652" customWidth="1"/>
    <col min="4880" max="4881" width="16.7109375" style="1652" customWidth="1"/>
    <col min="4882" max="4882" width="15" style="1652" customWidth="1"/>
    <col min="4883" max="4883" width="13" style="1652" customWidth="1"/>
    <col min="4884" max="4884" width="14.140625" style="1652" customWidth="1"/>
    <col min="4885" max="4885" width="13.85546875" style="1652" customWidth="1"/>
    <col min="4886" max="4886" width="12.140625" style="1652" customWidth="1"/>
    <col min="4887" max="4888" width="15" style="1652" customWidth="1"/>
    <col min="4889" max="4889" width="12.140625" style="1652" customWidth="1"/>
    <col min="4890" max="4890" width="16.5703125" style="1652" customWidth="1"/>
    <col min="4891" max="4891" width="12.5703125" style="1652" customWidth="1"/>
    <col min="4892" max="4892" width="24.85546875" style="1652" customWidth="1"/>
    <col min="4893" max="4893" width="11.7109375" style="1652" customWidth="1"/>
    <col min="4894" max="4895" width="13.5703125" style="1652" customWidth="1"/>
    <col min="4896" max="4896" width="18.7109375" style="1652" customWidth="1"/>
    <col min="4897" max="4897" width="13.42578125" style="1652" customWidth="1"/>
    <col min="4898" max="4898" width="18.5703125" style="1652" customWidth="1"/>
    <col min="4899" max="4899" width="13.28515625" style="1652" customWidth="1"/>
    <col min="4900" max="4900" width="13.140625" style="1652" customWidth="1"/>
    <col min="4901" max="4901" width="10.28515625" style="1652" customWidth="1"/>
    <col min="4902" max="4902" width="12.42578125" style="1652" customWidth="1"/>
    <col min="4903" max="4903" width="13.85546875" style="1652" customWidth="1"/>
    <col min="4904" max="4905" width="6.85546875" style="1652" customWidth="1"/>
    <col min="4906" max="4907" width="8.85546875" style="1652"/>
    <col min="4908" max="4908" width="15.7109375" style="1652" customWidth="1"/>
    <col min="4909" max="4909" width="8.85546875" style="1652"/>
    <col min="4910" max="4917" width="13.28515625" style="1652" bestFit="1" customWidth="1"/>
    <col min="4918" max="4918" width="18.7109375" style="1652" bestFit="1" customWidth="1"/>
    <col min="4919" max="4920" width="19" style="1652" bestFit="1" customWidth="1"/>
    <col min="4921" max="4927" width="13.28515625" style="1652" bestFit="1" customWidth="1"/>
    <col min="4928" max="4928" width="14.140625" style="1652" bestFit="1" customWidth="1"/>
    <col min="4929" max="4930" width="15.7109375" style="1652" bestFit="1" customWidth="1"/>
    <col min="4931" max="4933" width="14.140625" style="1652" bestFit="1" customWidth="1"/>
    <col min="4934" max="4935" width="15.7109375" style="1652" bestFit="1" customWidth="1"/>
    <col min="4936" max="4937" width="14.140625" style="1652" bestFit="1" customWidth="1"/>
    <col min="4938" max="4954" width="8.85546875" style="1652"/>
    <col min="4955" max="4955" width="10" style="1652" bestFit="1" customWidth="1"/>
    <col min="4956" max="5115" width="8.85546875" style="1652"/>
    <col min="5116" max="5116" width="43.85546875" style="1652" customWidth="1"/>
    <col min="5117" max="5117" width="7.140625" style="1652" customWidth="1"/>
    <col min="5118" max="5118" width="15.5703125" style="1652" customWidth="1"/>
    <col min="5119" max="5119" width="16" style="1652" customWidth="1"/>
    <col min="5120" max="5120" width="15.140625" style="1652" customWidth="1"/>
    <col min="5121" max="5121" width="14.85546875" style="1652" customWidth="1"/>
    <col min="5122" max="5122" width="16.28515625" style="1652" customWidth="1"/>
    <col min="5123" max="5123" width="13.85546875" style="1652" customWidth="1"/>
    <col min="5124" max="5124" width="14.140625" style="1652" customWidth="1"/>
    <col min="5125" max="5125" width="15.7109375" style="1652" bestFit="1" customWidth="1"/>
    <col min="5126" max="5126" width="13.42578125" style="1652" bestFit="1" customWidth="1"/>
    <col min="5127" max="5129" width="13.28515625" style="1652" customWidth="1"/>
    <col min="5130" max="5130" width="11.5703125" style="1652" customWidth="1"/>
    <col min="5131" max="5131" width="13.140625" style="1652" customWidth="1"/>
    <col min="5132" max="5132" width="13.85546875" style="1652" customWidth="1"/>
    <col min="5133" max="5133" width="15.140625" style="1652" customWidth="1"/>
    <col min="5134" max="5134" width="16.7109375" style="1652" customWidth="1"/>
    <col min="5135" max="5135" width="13.85546875" style="1652" customWidth="1"/>
    <col min="5136" max="5137" width="16.7109375" style="1652" customWidth="1"/>
    <col min="5138" max="5138" width="15" style="1652" customWidth="1"/>
    <col min="5139" max="5139" width="13" style="1652" customWidth="1"/>
    <col min="5140" max="5140" width="14.140625" style="1652" customWidth="1"/>
    <col min="5141" max="5141" width="13.85546875" style="1652" customWidth="1"/>
    <col min="5142" max="5142" width="12.140625" style="1652" customWidth="1"/>
    <col min="5143" max="5144" width="15" style="1652" customWidth="1"/>
    <col min="5145" max="5145" width="12.140625" style="1652" customWidth="1"/>
    <col min="5146" max="5146" width="16.5703125" style="1652" customWidth="1"/>
    <col min="5147" max="5147" width="12.5703125" style="1652" customWidth="1"/>
    <col min="5148" max="5148" width="24.85546875" style="1652" customWidth="1"/>
    <col min="5149" max="5149" width="11.7109375" style="1652" customWidth="1"/>
    <col min="5150" max="5151" width="13.5703125" style="1652" customWidth="1"/>
    <col min="5152" max="5152" width="18.7109375" style="1652" customWidth="1"/>
    <col min="5153" max="5153" width="13.42578125" style="1652" customWidth="1"/>
    <col min="5154" max="5154" width="18.5703125" style="1652" customWidth="1"/>
    <col min="5155" max="5155" width="13.28515625" style="1652" customWidth="1"/>
    <col min="5156" max="5156" width="13.140625" style="1652" customWidth="1"/>
    <col min="5157" max="5157" width="10.28515625" style="1652" customWidth="1"/>
    <col min="5158" max="5158" width="12.42578125" style="1652" customWidth="1"/>
    <col min="5159" max="5159" width="13.85546875" style="1652" customWidth="1"/>
    <col min="5160" max="5161" width="6.85546875" style="1652" customWidth="1"/>
    <col min="5162" max="5163" width="8.85546875" style="1652"/>
    <col min="5164" max="5164" width="15.7109375" style="1652" customWidth="1"/>
    <col min="5165" max="5165" width="8.85546875" style="1652"/>
    <col min="5166" max="5173" width="13.28515625" style="1652" bestFit="1" customWidth="1"/>
    <col min="5174" max="5174" width="18.7109375" style="1652" bestFit="1" customWidth="1"/>
    <col min="5175" max="5176" width="19" style="1652" bestFit="1" customWidth="1"/>
    <col min="5177" max="5183" width="13.28515625" style="1652" bestFit="1" customWidth="1"/>
    <col min="5184" max="5184" width="14.140625" style="1652" bestFit="1" customWidth="1"/>
    <col min="5185" max="5186" width="15.7109375" style="1652" bestFit="1" customWidth="1"/>
    <col min="5187" max="5189" width="14.140625" style="1652" bestFit="1" customWidth="1"/>
    <col min="5190" max="5191" width="15.7109375" style="1652" bestFit="1" customWidth="1"/>
    <col min="5192" max="5193" width="14.140625" style="1652" bestFit="1" customWidth="1"/>
    <col min="5194" max="5210" width="8.85546875" style="1652"/>
    <col min="5211" max="5211" width="10" style="1652" bestFit="1" customWidth="1"/>
    <col min="5212" max="5371" width="8.85546875" style="1652"/>
    <col min="5372" max="5372" width="43.85546875" style="1652" customWidth="1"/>
    <col min="5373" max="5373" width="7.140625" style="1652" customWidth="1"/>
    <col min="5374" max="5374" width="15.5703125" style="1652" customWidth="1"/>
    <col min="5375" max="5375" width="16" style="1652" customWidth="1"/>
    <col min="5376" max="5376" width="15.140625" style="1652" customWidth="1"/>
    <col min="5377" max="5377" width="14.85546875" style="1652" customWidth="1"/>
    <col min="5378" max="5378" width="16.28515625" style="1652" customWidth="1"/>
    <col min="5379" max="5379" width="13.85546875" style="1652" customWidth="1"/>
    <col min="5380" max="5380" width="14.140625" style="1652" customWidth="1"/>
    <col min="5381" max="5381" width="15.7109375" style="1652" bestFit="1" customWidth="1"/>
    <col min="5382" max="5382" width="13.42578125" style="1652" bestFit="1" customWidth="1"/>
    <col min="5383" max="5385" width="13.28515625" style="1652" customWidth="1"/>
    <col min="5386" max="5386" width="11.5703125" style="1652" customWidth="1"/>
    <col min="5387" max="5387" width="13.140625" style="1652" customWidth="1"/>
    <col min="5388" max="5388" width="13.85546875" style="1652" customWidth="1"/>
    <col min="5389" max="5389" width="15.140625" style="1652" customWidth="1"/>
    <col min="5390" max="5390" width="16.7109375" style="1652" customWidth="1"/>
    <col min="5391" max="5391" width="13.85546875" style="1652" customWidth="1"/>
    <col min="5392" max="5393" width="16.7109375" style="1652" customWidth="1"/>
    <col min="5394" max="5394" width="15" style="1652" customWidth="1"/>
    <col min="5395" max="5395" width="13" style="1652" customWidth="1"/>
    <col min="5396" max="5396" width="14.140625" style="1652" customWidth="1"/>
    <col min="5397" max="5397" width="13.85546875" style="1652" customWidth="1"/>
    <col min="5398" max="5398" width="12.140625" style="1652" customWidth="1"/>
    <col min="5399" max="5400" width="15" style="1652" customWidth="1"/>
    <col min="5401" max="5401" width="12.140625" style="1652" customWidth="1"/>
    <col min="5402" max="5402" width="16.5703125" style="1652" customWidth="1"/>
    <col min="5403" max="5403" width="12.5703125" style="1652" customWidth="1"/>
    <col min="5404" max="5404" width="24.85546875" style="1652" customWidth="1"/>
    <col min="5405" max="5405" width="11.7109375" style="1652" customWidth="1"/>
    <col min="5406" max="5407" width="13.5703125" style="1652" customWidth="1"/>
    <col min="5408" max="5408" width="18.7109375" style="1652" customWidth="1"/>
    <col min="5409" max="5409" width="13.42578125" style="1652" customWidth="1"/>
    <col min="5410" max="5410" width="18.5703125" style="1652" customWidth="1"/>
    <col min="5411" max="5411" width="13.28515625" style="1652" customWidth="1"/>
    <col min="5412" max="5412" width="13.140625" style="1652" customWidth="1"/>
    <col min="5413" max="5413" width="10.28515625" style="1652" customWidth="1"/>
    <col min="5414" max="5414" width="12.42578125" style="1652" customWidth="1"/>
    <col min="5415" max="5415" width="13.85546875" style="1652" customWidth="1"/>
    <col min="5416" max="5417" width="6.85546875" style="1652" customWidth="1"/>
    <col min="5418" max="5419" width="8.85546875" style="1652"/>
    <col min="5420" max="5420" width="15.7109375" style="1652" customWidth="1"/>
    <col min="5421" max="5421" width="8.85546875" style="1652"/>
    <col min="5422" max="5429" width="13.28515625" style="1652" bestFit="1" customWidth="1"/>
    <col min="5430" max="5430" width="18.7109375" style="1652" bestFit="1" customWidth="1"/>
    <col min="5431" max="5432" width="19" style="1652" bestFit="1" customWidth="1"/>
    <col min="5433" max="5439" width="13.28515625" style="1652" bestFit="1" customWidth="1"/>
    <col min="5440" max="5440" width="14.140625" style="1652" bestFit="1" customWidth="1"/>
    <col min="5441" max="5442" width="15.7109375" style="1652" bestFit="1" customWidth="1"/>
    <col min="5443" max="5445" width="14.140625" style="1652" bestFit="1" customWidth="1"/>
    <col min="5446" max="5447" width="15.7109375" style="1652" bestFit="1" customWidth="1"/>
    <col min="5448" max="5449" width="14.140625" style="1652" bestFit="1" customWidth="1"/>
    <col min="5450" max="5466" width="8.85546875" style="1652"/>
    <col min="5467" max="5467" width="10" style="1652" bestFit="1" customWidth="1"/>
    <col min="5468" max="5627" width="8.85546875" style="1652"/>
    <col min="5628" max="5628" width="43.85546875" style="1652" customWidth="1"/>
    <col min="5629" max="5629" width="7.140625" style="1652" customWidth="1"/>
    <col min="5630" max="5630" width="15.5703125" style="1652" customWidth="1"/>
    <col min="5631" max="5631" width="16" style="1652" customWidth="1"/>
    <col min="5632" max="5632" width="15.140625" style="1652" customWidth="1"/>
    <col min="5633" max="5633" width="14.85546875" style="1652" customWidth="1"/>
    <col min="5634" max="5634" width="16.28515625" style="1652" customWidth="1"/>
    <col min="5635" max="5635" width="13.85546875" style="1652" customWidth="1"/>
    <col min="5636" max="5636" width="14.140625" style="1652" customWidth="1"/>
    <col min="5637" max="5637" width="15.7109375" style="1652" bestFit="1" customWidth="1"/>
    <col min="5638" max="5638" width="13.42578125" style="1652" bestFit="1" customWidth="1"/>
    <col min="5639" max="5641" width="13.28515625" style="1652" customWidth="1"/>
    <col min="5642" max="5642" width="11.5703125" style="1652" customWidth="1"/>
    <col min="5643" max="5643" width="13.140625" style="1652" customWidth="1"/>
    <col min="5644" max="5644" width="13.85546875" style="1652" customWidth="1"/>
    <col min="5645" max="5645" width="15.140625" style="1652" customWidth="1"/>
    <col min="5646" max="5646" width="16.7109375" style="1652" customWidth="1"/>
    <col min="5647" max="5647" width="13.85546875" style="1652" customWidth="1"/>
    <col min="5648" max="5649" width="16.7109375" style="1652" customWidth="1"/>
    <col min="5650" max="5650" width="15" style="1652" customWidth="1"/>
    <col min="5651" max="5651" width="13" style="1652" customWidth="1"/>
    <col min="5652" max="5652" width="14.140625" style="1652" customWidth="1"/>
    <col min="5653" max="5653" width="13.85546875" style="1652" customWidth="1"/>
    <col min="5654" max="5654" width="12.140625" style="1652" customWidth="1"/>
    <col min="5655" max="5656" width="15" style="1652" customWidth="1"/>
    <col min="5657" max="5657" width="12.140625" style="1652" customWidth="1"/>
    <col min="5658" max="5658" width="16.5703125" style="1652" customWidth="1"/>
    <col min="5659" max="5659" width="12.5703125" style="1652" customWidth="1"/>
    <col min="5660" max="5660" width="24.85546875" style="1652" customWidth="1"/>
    <col min="5661" max="5661" width="11.7109375" style="1652" customWidth="1"/>
    <col min="5662" max="5663" width="13.5703125" style="1652" customWidth="1"/>
    <col min="5664" max="5664" width="18.7109375" style="1652" customWidth="1"/>
    <col min="5665" max="5665" width="13.42578125" style="1652" customWidth="1"/>
    <col min="5666" max="5666" width="18.5703125" style="1652" customWidth="1"/>
    <col min="5667" max="5667" width="13.28515625" style="1652" customWidth="1"/>
    <col min="5668" max="5668" width="13.140625" style="1652" customWidth="1"/>
    <col min="5669" max="5669" width="10.28515625" style="1652" customWidth="1"/>
    <col min="5670" max="5670" width="12.42578125" style="1652" customWidth="1"/>
    <col min="5671" max="5671" width="13.85546875" style="1652" customWidth="1"/>
    <col min="5672" max="5673" width="6.85546875" style="1652" customWidth="1"/>
    <col min="5674" max="5675" width="8.85546875" style="1652"/>
    <col min="5676" max="5676" width="15.7109375" style="1652" customWidth="1"/>
    <col min="5677" max="5677" width="8.85546875" style="1652"/>
    <col min="5678" max="5685" width="13.28515625" style="1652" bestFit="1" customWidth="1"/>
    <col min="5686" max="5686" width="18.7109375" style="1652" bestFit="1" customWidth="1"/>
    <col min="5687" max="5688" width="19" style="1652" bestFit="1" customWidth="1"/>
    <col min="5689" max="5695" width="13.28515625" style="1652" bestFit="1" customWidth="1"/>
    <col min="5696" max="5696" width="14.140625" style="1652" bestFit="1" customWidth="1"/>
    <col min="5697" max="5698" width="15.7109375" style="1652" bestFit="1" customWidth="1"/>
    <col min="5699" max="5701" width="14.140625" style="1652" bestFit="1" customWidth="1"/>
    <col min="5702" max="5703" width="15.7109375" style="1652" bestFit="1" customWidth="1"/>
    <col min="5704" max="5705" width="14.140625" style="1652" bestFit="1" customWidth="1"/>
    <col min="5706" max="5722" width="8.85546875" style="1652"/>
    <col min="5723" max="5723" width="10" style="1652" bestFit="1" customWidth="1"/>
    <col min="5724" max="5883" width="8.85546875" style="1652"/>
    <col min="5884" max="5884" width="43.85546875" style="1652" customWidth="1"/>
    <col min="5885" max="5885" width="7.140625" style="1652" customWidth="1"/>
    <col min="5886" max="5886" width="15.5703125" style="1652" customWidth="1"/>
    <col min="5887" max="5887" width="16" style="1652" customWidth="1"/>
    <col min="5888" max="5888" width="15.140625" style="1652" customWidth="1"/>
    <col min="5889" max="5889" width="14.85546875" style="1652" customWidth="1"/>
    <col min="5890" max="5890" width="16.28515625" style="1652" customWidth="1"/>
    <col min="5891" max="5891" width="13.85546875" style="1652" customWidth="1"/>
    <col min="5892" max="5892" width="14.140625" style="1652" customWidth="1"/>
    <col min="5893" max="5893" width="15.7109375" style="1652" bestFit="1" customWidth="1"/>
    <col min="5894" max="5894" width="13.42578125" style="1652" bestFit="1" customWidth="1"/>
    <col min="5895" max="5897" width="13.28515625" style="1652" customWidth="1"/>
    <col min="5898" max="5898" width="11.5703125" style="1652" customWidth="1"/>
    <col min="5899" max="5899" width="13.140625" style="1652" customWidth="1"/>
    <col min="5900" max="5900" width="13.85546875" style="1652" customWidth="1"/>
    <col min="5901" max="5901" width="15.140625" style="1652" customWidth="1"/>
    <col min="5902" max="5902" width="16.7109375" style="1652" customWidth="1"/>
    <col min="5903" max="5903" width="13.85546875" style="1652" customWidth="1"/>
    <col min="5904" max="5905" width="16.7109375" style="1652" customWidth="1"/>
    <col min="5906" max="5906" width="15" style="1652" customWidth="1"/>
    <col min="5907" max="5907" width="13" style="1652" customWidth="1"/>
    <col min="5908" max="5908" width="14.140625" style="1652" customWidth="1"/>
    <col min="5909" max="5909" width="13.85546875" style="1652" customWidth="1"/>
    <col min="5910" max="5910" width="12.140625" style="1652" customWidth="1"/>
    <col min="5911" max="5912" width="15" style="1652" customWidth="1"/>
    <col min="5913" max="5913" width="12.140625" style="1652" customWidth="1"/>
    <col min="5914" max="5914" width="16.5703125" style="1652" customWidth="1"/>
    <col min="5915" max="5915" width="12.5703125" style="1652" customWidth="1"/>
    <col min="5916" max="5916" width="24.85546875" style="1652" customWidth="1"/>
    <col min="5917" max="5917" width="11.7109375" style="1652" customWidth="1"/>
    <col min="5918" max="5919" width="13.5703125" style="1652" customWidth="1"/>
    <col min="5920" max="5920" width="18.7109375" style="1652" customWidth="1"/>
    <col min="5921" max="5921" width="13.42578125" style="1652" customWidth="1"/>
    <col min="5922" max="5922" width="18.5703125" style="1652" customWidth="1"/>
    <col min="5923" max="5923" width="13.28515625" style="1652" customWidth="1"/>
    <col min="5924" max="5924" width="13.140625" style="1652" customWidth="1"/>
    <col min="5925" max="5925" width="10.28515625" style="1652" customWidth="1"/>
    <col min="5926" max="5926" width="12.42578125" style="1652" customWidth="1"/>
    <col min="5927" max="5927" width="13.85546875" style="1652" customWidth="1"/>
    <col min="5928" max="5929" width="6.85546875" style="1652" customWidth="1"/>
    <col min="5930" max="5931" width="8.85546875" style="1652"/>
    <col min="5932" max="5932" width="15.7109375" style="1652" customWidth="1"/>
    <col min="5933" max="5933" width="8.85546875" style="1652"/>
    <col min="5934" max="5941" width="13.28515625" style="1652" bestFit="1" customWidth="1"/>
    <col min="5942" max="5942" width="18.7109375" style="1652" bestFit="1" customWidth="1"/>
    <col min="5943" max="5944" width="19" style="1652" bestFit="1" customWidth="1"/>
    <col min="5945" max="5951" width="13.28515625" style="1652" bestFit="1" customWidth="1"/>
    <col min="5952" max="5952" width="14.140625" style="1652" bestFit="1" customWidth="1"/>
    <col min="5953" max="5954" width="15.7109375" style="1652" bestFit="1" customWidth="1"/>
    <col min="5955" max="5957" width="14.140625" style="1652" bestFit="1" customWidth="1"/>
    <col min="5958" max="5959" width="15.7109375" style="1652" bestFit="1" customWidth="1"/>
    <col min="5960" max="5961" width="14.140625" style="1652" bestFit="1" customWidth="1"/>
    <col min="5962" max="5978" width="8.85546875" style="1652"/>
    <col min="5979" max="5979" width="10" style="1652" bestFit="1" customWidth="1"/>
    <col min="5980" max="6139" width="8.85546875" style="1652"/>
    <col min="6140" max="6140" width="43.85546875" style="1652" customWidth="1"/>
    <col min="6141" max="6141" width="7.140625" style="1652" customWidth="1"/>
    <col min="6142" max="6142" width="15.5703125" style="1652" customWidth="1"/>
    <col min="6143" max="6143" width="16" style="1652" customWidth="1"/>
    <col min="6144" max="6144" width="15.140625" style="1652" customWidth="1"/>
    <col min="6145" max="6145" width="14.85546875" style="1652" customWidth="1"/>
    <col min="6146" max="6146" width="16.28515625" style="1652" customWidth="1"/>
    <col min="6147" max="6147" width="13.85546875" style="1652" customWidth="1"/>
    <col min="6148" max="6148" width="14.140625" style="1652" customWidth="1"/>
    <col min="6149" max="6149" width="15.7109375" style="1652" bestFit="1" customWidth="1"/>
    <col min="6150" max="6150" width="13.42578125" style="1652" bestFit="1" customWidth="1"/>
    <col min="6151" max="6153" width="13.28515625" style="1652" customWidth="1"/>
    <col min="6154" max="6154" width="11.5703125" style="1652" customWidth="1"/>
    <col min="6155" max="6155" width="13.140625" style="1652" customWidth="1"/>
    <col min="6156" max="6156" width="13.85546875" style="1652" customWidth="1"/>
    <col min="6157" max="6157" width="15.140625" style="1652" customWidth="1"/>
    <col min="6158" max="6158" width="16.7109375" style="1652" customWidth="1"/>
    <col min="6159" max="6159" width="13.85546875" style="1652" customWidth="1"/>
    <col min="6160" max="6161" width="16.7109375" style="1652" customWidth="1"/>
    <col min="6162" max="6162" width="15" style="1652" customWidth="1"/>
    <col min="6163" max="6163" width="13" style="1652" customWidth="1"/>
    <col min="6164" max="6164" width="14.140625" style="1652" customWidth="1"/>
    <col min="6165" max="6165" width="13.85546875" style="1652" customWidth="1"/>
    <col min="6166" max="6166" width="12.140625" style="1652" customWidth="1"/>
    <col min="6167" max="6168" width="15" style="1652" customWidth="1"/>
    <col min="6169" max="6169" width="12.140625" style="1652" customWidth="1"/>
    <col min="6170" max="6170" width="16.5703125" style="1652" customWidth="1"/>
    <col min="6171" max="6171" width="12.5703125" style="1652" customWidth="1"/>
    <col min="6172" max="6172" width="24.85546875" style="1652" customWidth="1"/>
    <col min="6173" max="6173" width="11.7109375" style="1652" customWidth="1"/>
    <col min="6174" max="6175" width="13.5703125" style="1652" customWidth="1"/>
    <col min="6176" max="6176" width="18.7109375" style="1652" customWidth="1"/>
    <col min="6177" max="6177" width="13.42578125" style="1652" customWidth="1"/>
    <col min="6178" max="6178" width="18.5703125" style="1652" customWidth="1"/>
    <col min="6179" max="6179" width="13.28515625" style="1652" customWidth="1"/>
    <col min="6180" max="6180" width="13.140625" style="1652" customWidth="1"/>
    <col min="6181" max="6181" width="10.28515625" style="1652" customWidth="1"/>
    <col min="6182" max="6182" width="12.42578125" style="1652" customWidth="1"/>
    <col min="6183" max="6183" width="13.85546875" style="1652" customWidth="1"/>
    <col min="6184" max="6185" width="6.85546875" style="1652" customWidth="1"/>
    <col min="6186" max="6187" width="8.85546875" style="1652"/>
    <col min="6188" max="6188" width="15.7109375" style="1652" customWidth="1"/>
    <col min="6189" max="6189" width="8.85546875" style="1652"/>
    <col min="6190" max="6197" width="13.28515625" style="1652" bestFit="1" customWidth="1"/>
    <col min="6198" max="6198" width="18.7109375" style="1652" bestFit="1" customWidth="1"/>
    <col min="6199" max="6200" width="19" style="1652" bestFit="1" customWidth="1"/>
    <col min="6201" max="6207" width="13.28515625" style="1652" bestFit="1" customWidth="1"/>
    <col min="6208" max="6208" width="14.140625" style="1652" bestFit="1" customWidth="1"/>
    <col min="6209" max="6210" width="15.7109375" style="1652" bestFit="1" customWidth="1"/>
    <col min="6211" max="6213" width="14.140625" style="1652" bestFit="1" customWidth="1"/>
    <col min="6214" max="6215" width="15.7109375" style="1652" bestFit="1" customWidth="1"/>
    <col min="6216" max="6217" width="14.140625" style="1652" bestFit="1" customWidth="1"/>
    <col min="6218" max="6234" width="8.85546875" style="1652"/>
    <col min="6235" max="6235" width="10" style="1652" bestFit="1" customWidth="1"/>
    <col min="6236" max="6395" width="8.85546875" style="1652"/>
    <col min="6396" max="6396" width="43.85546875" style="1652" customWidth="1"/>
    <col min="6397" max="6397" width="7.140625" style="1652" customWidth="1"/>
    <col min="6398" max="6398" width="15.5703125" style="1652" customWidth="1"/>
    <col min="6399" max="6399" width="16" style="1652" customWidth="1"/>
    <col min="6400" max="6400" width="15.140625" style="1652" customWidth="1"/>
    <col min="6401" max="6401" width="14.85546875" style="1652" customWidth="1"/>
    <col min="6402" max="6402" width="16.28515625" style="1652" customWidth="1"/>
    <col min="6403" max="6403" width="13.85546875" style="1652" customWidth="1"/>
    <col min="6404" max="6404" width="14.140625" style="1652" customWidth="1"/>
    <col min="6405" max="6405" width="15.7109375" style="1652" bestFit="1" customWidth="1"/>
    <col min="6406" max="6406" width="13.42578125" style="1652" bestFit="1" customWidth="1"/>
    <col min="6407" max="6409" width="13.28515625" style="1652" customWidth="1"/>
    <col min="6410" max="6410" width="11.5703125" style="1652" customWidth="1"/>
    <col min="6411" max="6411" width="13.140625" style="1652" customWidth="1"/>
    <col min="6412" max="6412" width="13.85546875" style="1652" customWidth="1"/>
    <col min="6413" max="6413" width="15.140625" style="1652" customWidth="1"/>
    <col min="6414" max="6414" width="16.7109375" style="1652" customWidth="1"/>
    <col min="6415" max="6415" width="13.85546875" style="1652" customWidth="1"/>
    <col min="6416" max="6417" width="16.7109375" style="1652" customWidth="1"/>
    <col min="6418" max="6418" width="15" style="1652" customWidth="1"/>
    <col min="6419" max="6419" width="13" style="1652" customWidth="1"/>
    <col min="6420" max="6420" width="14.140625" style="1652" customWidth="1"/>
    <col min="6421" max="6421" width="13.85546875" style="1652" customWidth="1"/>
    <col min="6422" max="6422" width="12.140625" style="1652" customWidth="1"/>
    <col min="6423" max="6424" width="15" style="1652" customWidth="1"/>
    <col min="6425" max="6425" width="12.140625" style="1652" customWidth="1"/>
    <col min="6426" max="6426" width="16.5703125" style="1652" customWidth="1"/>
    <col min="6427" max="6427" width="12.5703125" style="1652" customWidth="1"/>
    <col min="6428" max="6428" width="24.85546875" style="1652" customWidth="1"/>
    <col min="6429" max="6429" width="11.7109375" style="1652" customWidth="1"/>
    <col min="6430" max="6431" width="13.5703125" style="1652" customWidth="1"/>
    <col min="6432" max="6432" width="18.7109375" style="1652" customWidth="1"/>
    <col min="6433" max="6433" width="13.42578125" style="1652" customWidth="1"/>
    <col min="6434" max="6434" width="18.5703125" style="1652" customWidth="1"/>
    <col min="6435" max="6435" width="13.28515625" style="1652" customWidth="1"/>
    <col min="6436" max="6436" width="13.140625" style="1652" customWidth="1"/>
    <col min="6437" max="6437" width="10.28515625" style="1652" customWidth="1"/>
    <col min="6438" max="6438" width="12.42578125" style="1652" customWidth="1"/>
    <col min="6439" max="6439" width="13.85546875" style="1652" customWidth="1"/>
    <col min="6440" max="6441" width="6.85546875" style="1652" customWidth="1"/>
    <col min="6442" max="6443" width="8.85546875" style="1652"/>
    <col min="6444" max="6444" width="15.7109375" style="1652" customWidth="1"/>
    <col min="6445" max="6445" width="8.85546875" style="1652"/>
    <col min="6446" max="6453" width="13.28515625" style="1652" bestFit="1" customWidth="1"/>
    <col min="6454" max="6454" width="18.7109375" style="1652" bestFit="1" customWidth="1"/>
    <col min="6455" max="6456" width="19" style="1652" bestFit="1" customWidth="1"/>
    <col min="6457" max="6463" width="13.28515625" style="1652" bestFit="1" customWidth="1"/>
    <col min="6464" max="6464" width="14.140625" style="1652" bestFit="1" customWidth="1"/>
    <col min="6465" max="6466" width="15.7109375" style="1652" bestFit="1" customWidth="1"/>
    <col min="6467" max="6469" width="14.140625" style="1652" bestFit="1" customWidth="1"/>
    <col min="6470" max="6471" width="15.7109375" style="1652" bestFit="1" customWidth="1"/>
    <col min="6472" max="6473" width="14.140625" style="1652" bestFit="1" customWidth="1"/>
    <col min="6474" max="6490" width="8.85546875" style="1652"/>
    <col min="6491" max="6491" width="10" style="1652" bestFit="1" customWidth="1"/>
    <col min="6492" max="6651" width="8.85546875" style="1652"/>
    <col min="6652" max="6652" width="43.85546875" style="1652" customWidth="1"/>
    <col min="6653" max="6653" width="7.140625" style="1652" customWidth="1"/>
    <col min="6654" max="6654" width="15.5703125" style="1652" customWidth="1"/>
    <col min="6655" max="6655" width="16" style="1652" customWidth="1"/>
    <col min="6656" max="6656" width="15.140625" style="1652" customWidth="1"/>
    <col min="6657" max="6657" width="14.85546875" style="1652" customWidth="1"/>
    <col min="6658" max="6658" width="16.28515625" style="1652" customWidth="1"/>
    <col min="6659" max="6659" width="13.85546875" style="1652" customWidth="1"/>
    <col min="6660" max="6660" width="14.140625" style="1652" customWidth="1"/>
    <col min="6661" max="6661" width="15.7109375" style="1652" bestFit="1" customWidth="1"/>
    <col min="6662" max="6662" width="13.42578125" style="1652" bestFit="1" customWidth="1"/>
    <col min="6663" max="6665" width="13.28515625" style="1652" customWidth="1"/>
    <col min="6666" max="6666" width="11.5703125" style="1652" customWidth="1"/>
    <col min="6667" max="6667" width="13.140625" style="1652" customWidth="1"/>
    <col min="6668" max="6668" width="13.85546875" style="1652" customWidth="1"/>
    <col min="6669" max="6669" width="15.140625" style="1652" customWidth="1"/>
    <col min="6670" max="6670" width="16.7109375" style="1652" customWidth="1"/>
    <col min="6671" max="6671" width="13.85546875" style="1652" customWidth="1"/>
    <col min="6672" max="6673" width="16.7109375" style="1652" customWidth="1"/>
    <col min="6674" max="6674" width="15" style="1652" customWidth="1"/>
    <col min="6675" max="6675" width="13" style="1652" customWidth="1"/>
    <col min="6676" max="6676" width="14.140625" style="1652" customWidth="1"/>
    <col min="6677" max="6677" width="13.85546875" style="1652" customWidth="1"/>
    <col min="6678" max="6678" width="12.140625" style="1652" customWidth="1"/>
    <col min="6679" max="6680" width="15" style="1652" customWidth="1"/>
    <col min="6681" max="6681" width="12.140625" style="1652" customWidth="1"/>
    <col min="6682" max="6682" width="16.5703125" style="1652" customWidth="1"/>
    <col min="6683" max="6683" width="12.5703125" style="1652" customWidth="1"/>
    <col min="6684" max="6684" width="24.85546875" style="1652" customWidth="1"/>
    <col min="6685" max="6685" width="11.7109375" style="1652" customWidth="1"/>
    <col min="6686" max="6687" width="13.5703125" style="1652" customWidth="1"/>
    <col min="6688" max="6688" width="18.7109375" style="1652" customWidth="1"/>
    <col min="6689" max="6689" width="13.42578125" style="1652" customWidth="1"/>
    <col min="6690" max="6690" width="18.5703125" style="1652" customWidth="1"/>
    <col min="6691" max="6691" width="13.28515625" style="1652" customWidth="1"/>
    <col min="6692" max="6692" width="13.140625" style="1652" customWidth="1"/>
    <col min="6693" max="6693" width="10.28515625" style="1652" customWidth="1"/>
    <col min="6694" max="6694" width="12.42578125" style="1652" customWidth="1"/>
    <col min="6695" max="6695" width="13.85546875" style="1652" customWidth="1"/>
    <col min="6696" max="6697" width="6.85546875" style="1652" customWidth="1"/>
    <col min="6698" max="6699" width="8.85546875" style="1652"/>
    <col min="6700" max="6700" width="15.7109375" style="1652" customWidth="1"/>
    <col min="6701" max="6701" width="8.85546875" style="1652"/>
    <col min="6702" max="6709" width="13.28515625" style="1652" bestFit="1" customWidth="1"/>
    <col min="6710" max="6710" width="18.7109375" style="1652" bestFit="1" customWidth="1"/>
    <col min="6711" max="6712" width="19" style="1652" bestFit="1" customWidth="1"/>
    <col min="6713" max="6719" width="13.28515625" style="1652" bestFit="1" customWidth="1"/>
    <col min="6720" max="6720" width="14.140625" style="1652" bestFit="1" customWidth="1"/>
    <col min="6721" max="6722" width="15.7109375" style="1652" bestFit="1" customWidth="1"/>
    <col min="6723" max="6725" width="14.140625" style="1652" bestFit="1" customWidth="1"/>
    <col min="6726" max="6727" width="15.7109375" style="1652" bestFit="1" customWidth="1"/>
    <col min="6728" max="6729" width="14.140625" style="1652" bestFit="1" customWidth="1"/>
    <col min="6730" max="6746" width="8.85546875" style="1652"/>
    <col min="6747" max="6747" width="10" style="1652" bestFit="1" customWidth="1"/>
    <col min="6748" max="6907" width="8.85546875" style="1652"/>
    <col min="6908" max="6908" width="43.85546875" style="1652" customWidth="1"/>
    <col min="6909" max="6909" width="7.140625" style="1652" customWidth="1"/>
    <col min="6910" max="6910" width="15.5703125" style="1652" customWidth="1"/>
    <col min="6911" max="6911" width="16" style="1652" customWidth="1"/>
    <col min="6912" max="6912" width="15.140625" style="1652" customWidth="1"/>
    <col min="6913" max="6913" width="14.85546875" style="1652" customWidth="1"/>
    <col min="6914" max="6914" width="16.28515625" style="1652" customWidth="1"/>
    <col min="6915" max="6915" width="13.85546875" style="1652" customWidth="1"/>
    <col min="6916" max="6916" width="14.140625" style="1652" customWidth="1"/>
    <col min="6917" max="6917" width="15.7109375" style="1652" bestFit="1" customWidth="1"/>
    <col min="6918" max="6918" width="13.42578125" style="1652" bestFit="1" customWidth="1"/>
    <col min="6919" max="6921" width="13.28515625" style="1652" customWidth="1"/>
    <col min="6922" max="6922" width="11.5703125" style="1652" customWidth="1"/>
    <col min="6923" max="6923" width="13.140625" style="1652" customWidth="1"/>
    <col min="6924" max="6924" width="13.85546875" style="1652" customWidth="1"/>
    <col min="6925" max="6925" width="15.140625" style="1652" customWidth="1"/>
    <col min="6926" max="6926" width="16.7109375" style="1652" customWidth="1"/>
    <col min="6927" max="6927" width="13.85546875" style="1652" customWidth="1"/>
    <col min="6928" max="6929" width="16.7109375" style="1652" customWidth="1"/>
    <col min="6930" max="6930" width="15" style="1652" customWidth="1"/>
    <col min="6931" max="6931" width="13" style="1652" customWidth="1"/>
    <col min="6932" max="6932" width="14.140625" style="1652" customWidth="1"/>
    <col min="6933" max="6933" width="13.85546875" style="1652" customWidth="1"/>
    <col min="6934" max="6934" width="12.140625" style="1652" customWidth="1"/>
    <col min="6935" max="6936" width="15" style="1652" customWidth="1"/>
    <col min="6937" max="6937" width="12.140625" style="1652" customWidth="1"/>
    <col min="6938" max="6938" width="16.5703125" style="1652" customWidth="1"/>
    <col min="6939" max="6939" width="12.5703125" style="1652" customWidth="1"/>
    <col min="6940" max="6940" width="24.85546875" style="1652" customWidth="1"/>
    <col min="6941" max="6941" width="11.7109375" style="1652" customWidth="1"/>
    <col min="6942" max="6943" width="13.5703125" style="1652" customWidth="1"/>
    <col min="6944" max="6944" width="18.7109375" style="1652" customWidth="1"/>
    <col min="6945" max="6945" width="13.42578125" style="1652" customWidth="1"/>
    <col min="6946" max="6946" width="18.5703125" style="1652" customWidth="1"/>
    <col min="6947" max="6947" width="13.28515625" style="1652" customWidth="1"/>
    <col min="6948" max="6948" width="13.140625" style="1652" customWidth="1"/>
    <col min="6949" max="6949" width="10.28515625" style="1652" customWidth="1"/>
    <col min="6950" max="6950" width="12.42578125" style="1652" customWidth="1"/>
    <col min="6951" max="6951" width="13.85546875" style="1652" customWidth="1"/>
    <col min="6952" max="6953" width="6.85546875" style="1652" customWidth="1"/>
    <col min="6954" max="6955" width="8.85546875" style="1652"/>
    <col min="6956" max="6956" width="15.7109375" style="1652" customWidth="1"/>
    <col min="6957" max="6957" width="8.85546875" style="1652"/>
    <col min="6958" max="6965" width="13.28515625" style="1652" bestFit="1" customWidth="1"/>
    <col min="6966" max="6966" width="18.7109375" style="1652" bestFit="1" customWidth="1"/>
    <col min="6967" max="6968" width="19" style="1652" bestFit="1" customWidth="1"/>
    <col min="6969" max="6975" width="13.28515625" style="1652" bestFit="1" customWidth="1"/>
    <col min="6976" max="6976" width="14.140625" style="1652" bestFit="1" customWidth="1"/>
    <col min="6977" max="6978" width="15.7109375" style="1652" bestFit="1" customWidth="1"/>
    <col min="6979" max="6981" width="14.140625" style="1652" bestFit="1" customWidth="1"/>
    <col min="6982" max="6983" width="15.7109375" style="1652" bestFit="1" customWidth="1"/>
    <col min="6984" max="6985" width="14.140625" style="1652" bestFit="1" customWidth="1"/>
    <col min="6986" max="7002" width="8.85546875" style="1652"/>
    <col min="7003" max="7003" width="10" style="1652" bestFit="1" customWidth="1"/>
    <col min="7004" max="7163" width="8.85546875" style="1652"/>
    <col min="7164" max="7164" width="43.85546875" style="1652" customWidth="1"/>
    <col min="7165" max="7165" width="7.140625" style="1652" customWidth="1"/>
    <col min="7166" max="7166" width="15.5703125" style="1652" customWidth="1"/>
    <col min="7167" max="7167" width="16" style="1652" customWidth="1"/>
    <col min="7168" max="7168" width="15.140625" style="1652" customWidth="1"/>
    <col min="7169" max="7169" width="14.85546875" style="1652" customWidth="1"/>
    <col min="7170" max="7170" width="16.28515625" style="1652" customWidth="1"/>
    <col min="7171" max="7171" width="13.85546875" style="1652" customWidth="1"/>
    <col min="7172" max="7172" width="14.140625" style="1652" customWidth="1"/>
    <col min="7173" max="7173" width="15.7109375" style="1652" bestFit="1" customWidth="1"/>
    <col min="7174" max="7174" width="13.42578125" style="1652" bestFit="1" customWidth="1"/>
    <col min="7175" max="7177" width="13.28515625" style="1652" customWidth="1"/>
    <col min="7178" max="7178" width="11.5703125" style="1652" customWidth="1"/>
    <col min="7179" max="7179" width="13.140625" style="1652" customWidth="1"/>
    <col min="7180" max="7180" width="13.85546875" style="1652" customWidth="1"/>
    <col min="7181" max="7181" width="15.140625" style="1652" customWidth="1"/>
    <col min="7182" max="7182" width="16.7109375" style="1652" customWidth="1"/>
    <col min="7183" max="7183" width="13.85546875" style="1652" customWidth="1"/>
    <col min="7184" max="7185" width="16.7109375" style="1652" customWidth="1"/>
    <col min="7186" max="7186" width="15" style="1652" customWidth="1"/>
    <col min="7187" max="7187" width="13" style="1652" customWidth="1"/>
    <col min="7188" max="7188" width="14.140625" style="1652" customWidth="1"/>
    <col min="7189" max="7189" width="13.85546875" style="1652" customWidth="1"/>
    <col min="7190" max="7190" width="12.140625" style="1652" customWidth="1"/>
    <col min="7191" max="7192" width="15" style="1652" customWidth="1"/>
    <col min="7193" max="7193" width="12.140625" style="1652" customWidth="1"/>
    <col min="7194" max="7194" width="16.5703125" style="1652" customWidth="1"/>
    <col min="7195" max="7195" width="12.5703125" style="1652" customWidth="1"/>
    <col min="7196" max="7196" width="24.85546875" style="1652" customWidth="1"/>
    <col min="7197" max="7197" width="11.7109375" style="1652" customWidth="1"/>
    <col min="7198" max="7199" width="13.5703125" style="1652" customWidth="1"/>
    <col min="7200" max="7200" width="18.7109375" style="1652" customWidth="1"/>
    <col min="7201" max="7201" width="13.42578125" style="1652" customWidth="1"/>
    <col min="7202" max="7202" width="18.5703125" style="1652" customWidth="1"/>
    <col min="7203" max="7203" width="13.28515625" style="1652" customWidth="1"/>
    <col min="7204" max="7204" width="13.140625" style="1652" customWidth="1"/>
    <col min="7205" max="7205" width="10.28515625" style="1652" customWidth="1"/>
    <col min="7206" max="7206" width="12.42578125" style="1652" customWidth="1"/>
    <col min="7207" max="7207" width="13.85546875" style="1652" customWidth="1"/>
    <col min="7208" max="7209" width="6.85546875" style="1652" customWidth="1"/>
    <col min="7210" max="7211" width="8.85546875" style="1652"/>
    <col min="7212" max="7212" width="15.7109375" style="1652" customWidth="1"/>
    <col min="7213" max="7213" width="8.85546875" style="1652"/>
    <col min="7214" max="7221" width="13.28515625" style="1652" bestFit="1" customWidth="1"/>
    <col min="7222" max="7222" width="18.7109375" style="1652" bestFit="1" customWidth="1"/>
    <col min="7223" max="7224" width="19" style="1652" bestFit="1" customWidth="1"/>
    <col min="7225" max="7231" width="13.28515625" style="1652" bestFit="1" customWidth="1"/>
    <col min="7232" max="7232" width="14.140625" style="1652" bestFit="1" customWidth="1"/>
    <col min="7233" max="7234" width="15.7109375" style="1652" bestFit="1" customWidth="1"/>
    <col min="7235" max="7237" width="14.140625" style="1652" bestFit="1" customWidth="1"/>
    <col min="7238" max="7239" width="15.7109375" style="1652" bestFit="1" customWidth="1"/>
    <col min="7240" max="7241" width="14.140625" style="1652" bestFit="1" customWidth="1"/>
    <col min="7242" max="7258" width="8.85546875" style="1652"/>
    <col min="7259" max="7259" width="10" style="1652" bestFit="1" customWidth="1"/>
    <col min="7260" max="7419" width="8.85546875" style="1652"/>
    <col min="7420" max="7420" width="43.85546875" style="1652" customWidth="1"/>
    <col min="7421" max="7421" width="7.140625" style="1652" customWidth="1"/>
    <col min="7422" max="7422" width="15.5703125" style="1652" customWidth="1"/>
    <col min="7423" max="7423" width="16" style="1652" customWidth="1"/>
    <col min="7424" max="7424" width="15.140625" style="1652" customWidth="1"/>
    <col min="7425" max="7425" width="14.85546875" style="1652" customWidth="1"/>
    <col min="7426" max="7426" width="16.28515625" style="1652" customWidth="1"/>
    <col min="7427" max="7427" width="13.85546875" style="1652" customWidth="1"/>
    <col min="7428" max="7428" width="14.140625" style="1652" customWidth="1"/>
    <col min="7429" max="7429" width="15.7109375" style="1652" bestFit="1" customWidth="1"/>
    <col min="7430" max="7430" width="13.42578125" style="1652" bestFit="1" customWidth="1"/>
    <col min="7431" max="7433" width="13.28515625" style="1652" customWidth="1"/>
    <col min="7434" max="7434" width="11.5703125" style="1652" customWidth="1"/>
    <col min="7435" max="7435" width="13.140625" style="1652" customWidth="1"/>
    <col min="7436" max="7436" width="13.85546875" style="1652" customWidth="1"/>
    <col min="7437" max="7437" width="15.140625" style="1652" customWidth="1"/>
    <col min="7438" max="7438" width="16.7109375" style="1652" customWidth="1"/>
    <col min="7439" max="7439" width="13.85546875" style="1652" customWidth="1"/>
    <col min="7440" max="7441" width="16.7109375" style="1652" customWidth="1"/>
    <col min="7442" max="7442" width="15" style="1652" customWidth="1"/>
    <col min="7443" max="7443" width="13" style="1652" customWidth="1"/>
    <col min="7444" max="7444" width="14.140625" style="1652" customWidth="1"/>
    <col min="7445" max="7445" width="13.85546875" style="1652" customWidth="1"/>
    <col min="7446" max="7446" width="12.140625" style="1652" customWidth="1"/>
    <col min="7447" max="7448" width="15" style="1652" customWidth="1"/>
    <col min="7449" max="7449" width="12.140625" style="1652" customWidth="1"/>
    <col min="7450" max="7450" width="16.5703125" style="1652" customWidth="1"/>
    <col min="7451" max="7451" width="12.5703125" style="1652" customWidth="1"/>
    <col min="7452" max="7452" width="24.85546875" style="1652" customWidth="1"/>
    <col min="7453" max="7453" width="11.7109375" style="1652" customWidth="1"/>
    <col min="7454" max="7455" width="13.5703125" style="1652" customWidth="1"/>
    <col min="7456" max="7456" width="18.7109375" style="1652" customWidth="1"/>
    <col min="7457" max="7457" width="13.42578125" style="1652" customWidth="1"/>
    <col min="7458" max="7458" width="18.5703125" style="1652" customWidth="1"/>
    <col min="7459" max="7459" width="13.28515625" style="1652" customWidth="1"/>
    <col min="7460" max="7460" width="13.140625" style="1652" customWidth="1"/>
    <col min="7461" max="7461" width="10.28515625" style="1652" customWidth="1"/>
    <col min="7462" max="7462" width="12.42578125" style="1652" customWidth="1"/>
    <col min="7463" max="7463" width="13.85546875" style="1652" customWidth="1"/>
    <col min="7464" max="7465" width="6.85546875" style="1652" customWidth="1"/>
    <col min="7466" max="7467" width="8.85546875" style="1652"/>
    <col min="7468" max="7468" width="15.7109375" style="1652" customWidth="1"/>
    <col min="7469" max="7469" width="8.85546875" style="1652"/>
    <col min="7470" max="7477" width="13.28515625" style="1652" bestFit="1" customWidth="1"/>
    <col min="7478" max="7478" width="18.7109375" style="1652" bestFit="1" customWidth="1"/>
    <col min="7479" max="7480" width="19" style="1652" bestFit="1" customWidth="1"/>
    <col min="7481" max="7487" width="13.28515625" style="1652" bestFit="1" customWidth="1"/>
    <col min="7488" max="7488" width="14.140625" style="1652" bestFit="1" customWidth="1"/>
    <col min="7489" max="7490" width="15.7109375" style="1652" bestFit="1" customWidth="1"/>
    <col min="7491" max="7493" width="14.140625" style="1652" bestFit="1" customWidth="1"/>
    <col min="7494" max="7495" width="15.7109375" style="1652" bestFit="1" customWidth="1"/>
    <col min="7496" max="7497" width="14.140625" style="1652" bestFit="1" customWidth="1"/>
    <col min="7498" max="7514" width="8.85546875" style="1652"/>
    <col min="7515" max="7515" width="10" style="1652" bestFit="1" customWidth="1"/>
    <col min="7516" max="7675" width="8.85546875" style="1652"/>
    <col min="7676" max="7676" width="43.85546875" style="1652" customWidth="1"/>
    <col min="7677" max="7677" width="7.140625" style="1652" customWidth="1"/>
    <col min="7678" max="7678" width="15.5703125" style="1652" customWidth="1"/>
    <col min="7679" max="7679" width="16" style="1652" customWidth="1"/>
    <col min="7680" max="7680" width="15.140625" style="1652" customWidth="1"/>
    <col min="7681" max="7681" width="14.85546875" style="1652" customWidth="1"/>
    <col min="7682" max="7682" width="16.28515625" style="1652" customWidth="1"/>
    <col min="7683" max="7683" width="13.85546875" style="1652" customWidth="1"/>
    <col min="7684" max="7684" width="14.140625" style="1652" customWidth="1"/>
    <col min="7685" max="7685" width="15.7109375" style="1652" bestFit="1" customWidth="1"/>
    <col min="7686" max="7686" width="13.42578125" style="1652" bestFit="1" customWidth="1"/>
    <col min="7687" max="7689" width="13.28515625" style="1652" customWidth="1"/>
    <col min="7690" max="7690" width="11.5703125" style="1652" customWidth="1"/>
    <col min="7691" max="7691" width="13.140625" style="1652" customWidth="1"/>
    <col min="7692" max="7692" width="13.85546875" style="1652" customWidth="1"/>
    <col min="7693" max="7693" width="15.140625" style="1652" customWidth="1"/>
    <col min="7694" max="7694" width="16.7109375" style="1652" customWidth="1"/>
    <col min="7695" max="7695" width="13.85546875" style="1652" customWidth="1"/>
    <col min="7696" max="7697" width="16.7109375" style="1652" customWidth="1"/>
    <col min="7698" max="7698" width="15" style="1652" customWidth="1"/>
    <col min="7699" max="7699" width="13" style="1652" customWidth="1"/>
    <col min="7700" max="7700" width="14.140625" style="1652" customWidth="1"/>
    <col min="7701" max="7701" width="13.85546875" style="1652" customWidth="1"/>
    <col min="7702" max="7702" width="12.140625" style="1652" customWidth="1"/>
    <col min="7703" max="7704" width="15" style="1652" customWidth="1"/>
    <col min="7705" max="7705" width="12.140625" style="1652" customWidth="1"/>
    <col min="7706" max="7706" width="16.5703125" style="1652" customWidth="1"/>
    <col min="7707" max="7707" width="12.5703125" style="1652" customWidth="1"/>
    <col min="7708" max="7708" width="24.85546875" style="1652" customWidth="1"/>
    <col min="7709" max="7709" width="11.7109375" style="1652" customWidth="1"/>
    <col min="7710" max="7711" width="13.5703125" style="1652" customWidth="1"/>
    <col min="7712" max="7712" width="18.7109375" style="1652" customWidth="1"/>
    <col min="7713" max="7713" width="13.42578125" style="1652" customWidth="1"/>
    <col min="7714" max="7714" width="18.5703125" style="1652" customWidth="1"/>
    <col min="7715" max="7715" width="13.28515625" style="1652" customWidth="1"/>
    <col min="7716" max="7716" width="13.140625" style="1652" customWidth="1"/>
    <col min="7717" max="7717" width="10.28515625" style="1652" customWidth="1"/>
    <col min="7718" max="7718" width="12.42578125" style="1652" customWidth="1"/>
    <col min="7719" max="7719" width="13.85546875" style="1652" customWidth="1"/>
    <col min="7720" max="7721" width="6.85546875" style="1652" customWidth="1"/>
    <col min="7722" max="7723" width="8.85546875" style="1652"/>
    <col min="7724" max="7724" width="15.7109375" style="1652" customWidth="1"/>
    <col min="7725" max="7725" width="8.85546875" style="1652"/>
    <col min="7726" max="7733" width="13.28515625" style="1652" bestFit="1" customWidth="1"/>
    <col min="7734" max="7734" width="18.7109375" style="1652" bestFit="1" customWidth="1"/>
    <col min="7735" max="7736" width="19" style="1652" bestFit="1" customWidth="1"/>
    <col min="7737" max="7743" width="13.28515625" style="1652" bestFit="1" customWidth="1"/>
    <col min="7744" max="7744" width="14.140625" style="1652" bestFit="1" customWidth="1"/>
    <col min="7745" max="7746" width="15.7109375" style="1652" bestFit="1" customWidth="1"/>
    <col min="7747" max="7749" width="14.140625" style="1652" bestFit="1" customWidth="1"/>
    <col min="7750" max="7751" width="15.7109375" style="1652" bestFit="1" customWidth="1"/>
    <col min="7752" max="7753" width="14.140625" style="1652" bestFit="1" customWidth="1"/>
    <col min="7754" max="7770" width="8.85546875" style="1652"/>
    <col min="7771" max="7771" width="10" style="1652" bestFit="1" customWidth="1"/>
    <col min="7772" max="7931" width="8.85546875" style="1652"/>
    <col min="7932" max="7932" width="43.85546875" style="1652" customWidth="1"/>
    <col min="7933" max="7933" width="7.140625" style="1652" customWidth="1"/>
    <col min="7934" max="7934" width="15.5703125" style="1652" customWidth="1"/>
    <col min="7935" max="7935" width="16" style="1652" customWidth="1"/>
    <col min="7936" max="7936" width="15.140625" style="1652" customWidth="1"/>
    <col min="7937" max="7937" width="14.85546875" style="1652" customWidth="1"/>
    <col min="7938" max="7938" width="16.28515625" style="1652" customWidth="1"/>
    <col min="7939" max="7939" width="13.85546875" style="1652" customWidth="1"/>
    <col min="7940" max="7940" width="14.140625" style="1652" customWidth="1"/>
    <col min="7941" max="7941" width="15.7109375" style="1652" bestFit="1" customWidth="1"/>
    <col min="7942" max="7942" width="13.42578125" style="1652" bestFit="1" customWidth="1"/>
    <col min="7943" max="7945" width="13.28515625" style="1652" customWidth="1"/>
    <col min="7946" max="7946" width="11.5703125" style="1652" customWidth="1"/>
    <col min="7947" max="7947" width="13.140625" style="1652" customWidth="1"/>
    <col min="7948" max="7948" width="13.85546875" style="1652" customWidth="1"/>
    <col min="7949" max="7949" width="15.140625" style="1652" customWidth="1"/>
    <col min="7950" max="7950" width="16.7109375" style="1652" customWidth="1"/>
    <col min="7951" max="7951" width="13.85546875" style="1652" customWidth="1"/>
    <col min="7952" max="7953" width="16.7109375" style="1652" customWidth="1"/>
    <col min="7954" max="7954" width="15" style="1652" customWidth="1"/>
    <col min="7955" max="7955" width="13" style="1652" customWidth="1"/>
    <col min="7956" max="7956" width="14.140625" style="1652" customWidth="1"/>
    <col min="7957" max="7957" width="13.85546875" style="1652" customWidth="1"/>
    <col min="7958" max="7958" width="12.140625" style="1652" customWidth="1"/>
    <col min="7959" max="7960" width="15" style="1652" customWidth="1"/>
    <col min="7961" max="7961" width="12.140625" style="1652" customWidth="1"/>
    <col min="7962" max="7962" width="16.5703125" style="1652" customWidth="1"/>
    <col min="7963" max="7963" width="12.5703125" style="1652" customWidth="1"/>
    <col min="7964" max="7964" width="24.85546875" style="1652" customWidth="1"/>
    <col min="7965" max="7965" width="11.7109375" style="1652" customWidth="1"/>
    <col min="7966" max="7967" width="13.5703125" style="1652" customWidth="1"/>
    <col min="7968" max="7968" width="18.7109375" style="1652" customWidth="1"/>
    <col min="7969" max="7969" width="13.42578125" style="1652" customWidth="1"/>
    <col min="7970" max="7970" width="18.5703125" style="1652" customWidth="1"/>
    <col min="7971" max="7971" width="13.28515625" style="1652" customWidth="1"/>
    <col min="7972" max="7972" width="13.140625" style="1652" customWidth="1"/>
    <col min="7973" max="7973" width="10.28515625" style="1652" customWidth="1"/>
    <col min="7974" max="7974" width="12.42578125" style="1652" customWidth="1"/>
    <col min="7975" max="7975" width="13.85546875" style="1652" customWidth="1"/>
    <col min="7976" max="7977" width="6.85546875" style="1652" customWidth="1"/>
    <col min="7978" max="7979" width="8.85546875" style="1652"/>
    <col min="7980" max="7980" width="15.7109375" style="1652" customWidth="1"/>
    <col min="7981" max="7981" width="8.85546875" style="1652"/>
    <col min="7982" max="7989" width="13.28515625" style="1652" bestFit="1" customWidth="1"/>
    <col min="7990" max="7990" width="18.7109375" style="1652" bestFit="1" customWidth="1"/>
    <col min="7991" max="7992" width="19" style="1652" bestFit="1" customWidth="1"/>
    <col min="7993" max="7999" width="13.28515625" style="1652" bestFit="1" customWidth="1"/>
    <col min="8000" max="8000" width="14.140625" style="1652" bestFit="1" customWidth="1"/>
    <col min="8001" max="8002" width="15.7109375" style="1652" bestFit="1" customWidth="1"/>
    <col min="8003" max="8005" width="14.140625" style="1652" bestFit="1" customWidth="1"/>
    <col min="8006" max="8007" width="15.7109375" style="1652" bestFit="1" customWidth="1"/>
    <col min="8008" max="8009" width="14.140625" style="1652" bestFit="1" customWidth="1"/>
    <col min="8010" max="8026" width="8.85546875" style="1652"/>
    <col min="8027" max="8027" width="10" style="1652" bestFit="1" customWidth="1"/>
    <col min="8028" max="8187" width="8.85546875" style="1652"/>
    <col min="8188" max="8188" width="43.85546875" style="1652" customWidth="1"/>
    <col min="8189" max="8189" width="7.140625" style="1652" customWidth="1"/>
    <col min="8190" max="8190" width="15.5703125" style="1652" customWidth="1"/>
    <col min="8191" max="8191" width="16" style="1652" customWidth="1"/>
    <col min="8192" max="8192" width="15.140625" style="1652" customWidth="1"/>
    <col min="8193" max="8193" width="14.85546875" style="1652" customWidth="1"/>
    <col min="8194" max="8194" width="16.28515625" style="1652" customWidth="1"/>
    <col min="8195" max="8195" width="13.85546875" style="1652" customWidth="1"/>
    <col min="8196" max="8196" width="14.140625" style="1652" customWidth="1"/>
    <col min="8197" max="8197" width="15.7109375" style="1652" bestFit="1" customWidth="1"/>
    <col min="8198" max="8198" width="13.42578125" style="1652" bestFit="1" customWidth="1"/>
    <col min="8199" max="8201" width="13.28515625" style="1652" customWidth="1"/>
    <col min="8202" max="8202" width="11.5703125" style="1652" customWidth="1"/>
    <col min="8203" max="8203" width="13.140625" style="1652" customWidth="1"/>
    <col min="8204" max="8204" width="13.85546875" style="1652" customWidth="1"/>
    <col min="8205" max="8205" width="15.140625" style="1652" customWidth="1"/>
    <col min="8206" max="8206" width="16.7109375" style="1652" customWidth="1"/>
    <col min="8207" max="8207" width="13.85546875" style="1652" customWidth="1"/>
    <col min="8208" max="8209" width="16.7109375" style="1652" customWidth="1"/>
    <col min="8210" max="8210" width="15" style="1652" customWidth="1"/>
    <col min="8211" max="8211" width="13" style="1652" customWidth="1"/>
    <col min="8212" max="8212" width="14.140625" style="1652" customWidth="1"/>
    <col min="8213" max="8213" width="13.85546875" style="1652" customWidth="1"/>
    <col min="8214" max="8214" width="12.140625" style="1652" customWidth="1"/>
    <col min="8215" max="8216" width="15" style="1652" customWidth="1"/>
    <col min="8217" max="8217" width="12.140625" style="1652" customWidth="1"/>
    <col min="8218" max="8218" width="16.5703125" style="1652" customWidth="1"/>
    <col min="8219" max="8219" width="12.5703125" style="1652" customWidth="1"/>
    <col min="8220" max="8220" width="24.85546875" style="1652" customWidth="1"/>
    <col min="8221" max="8221" width="11.7109375" style="1652" customWidth="1"/>
    <col min="8222" max="8223" width="13.5703125" style="1652" customWidth="1"/>
    <col min="8224" max="8224" width="18.7109375" style="1652" customWidth="1"/>
    <col min="8225" max="8225" width="13.42578125" style="1652" customWidth="1"/>
    <col min="8226" max="8226" width="18.5703125" style="1652" customWidth="1"/>
    <col min="8227" max="8227" width="13.28515625" style="1652" customWidth="1"/>
    <col min="8228" max="8228" width="13.140625" style="1652" customWidth="1"/>
    <col min="8229" max="8229" width="10.28515625" style="1652" customWidth="1"/>
    <col min="8230" max="8230" width="12.42578125" style="1652" customWidth="1"/>
    <col min="8231" max="8231" width="13.85546875" style="1652" customWidth="1"/>
    <col min="8232" max="8233" width="6.85546875" style="1652" customWidth="1"/>
    <col min="8234" max="8235" width="8.85546875" style="1652"/>
    <col min="8236" max="8236" width="15.7109375" style="1652" customWidth="1"/>
    <col min="8237" max="8237" width="8.85546875" style="1652"/>
    <col min="8238" max="8245" width="13.28515625" style="1652" bestFit="1" customWidth="1"/>
    <col min="8246" max="8246" width="18.7109375" style="1652" bestFit="1" customWidth="1"/>
    <col min="8247" max="8248" width="19" style="1652" bestFit="1" customWidth="1"/>
    <col min="8249" max="8255" width="13.28515625" style="1652" bestFit="1" customWidth="1"/>
    <col min="8256" max="8256" width="14.140625" style="1652" bestFit="1" customWidth="1"/>
    <col min="8257" max="8258" width="15.7109375" style="1652" bestFit="1" customWidth="1"/>
    <col min="8259" max="8261" width="14.140625" style="1652" bestFit="1" customWidth="1"/>
    <col min="8262" max="8263" width="15.7109375" style="1652" bestFit="1" customWidth="1"/>
    <col min="8264" max="8265" width="14.140625" style="1652" bestFit="1" customWidth="1"/>
    <col min="8266" max="8282" width="8.85546875" style="1652"/>
    <col min="8283" max="8283" width="10" style="1652" bestFit="1" customWidth="1"/>
    <col min="8284" max="8443" width="8.85546875" style="1652"/>
    <col min="8444" max="8444" width="43.85546875" style="1652" customWidth="1"/>
    <col min="8445" max="8445" width="7.140625" style="1652" customWidth="1"/>
    <col min="8446" max="8446" width="15.5703125" style="1652" customWidth="1"/>
    <col min="8447" max="8447" width="16" style="1652" customWidth="1"/>
    <col min="8448" max="8448" width="15.140625" style="1652" customWidth="1"/>
    <col min="8449" max="8449" width="14.85546875" style="1652" customWidth="1"/>
    <col min="8450" max="8450" width="16.28515625" style="1652" customWidth="1"/>
    <col min="8451" max="8451" width="13.85546875" style="1652" customWidth="1"/>
    <col min="8452" max="8452" width="14.140625" style="1652" customWidth="1"/>
    <col min="8453" max="8453" width="15.7109375" style="1652" bestFit="1" customWidth="1"/>
    <col min="8454" max="8454" width="13.42578125" style="1652" bestFit="1" customWidth="1"/>
    <col min="8455" max="8457" width="13.28515625" style="1652" customWidth="1"/>
    <col min="8458" max="8458" width="11.5703125" style="1652" customWidth="1"/>
    <col min="8459" max="8459" width="13.140625" style="1652" customWidth="1"/>
    <col min="8460" max="8460" width="13.85546875" style="1652" customWidth="1"/>
    <col min="8461" max="8461" width="15.140625" style="1652" customWidth="1"/>
    <col min="8462" max="8462" width="16.7109375" style="1652" customWidth="1"/>
    <col min="8463" max="8463" width="13.85546875" style="1652" customWidth="1"/>
    <col min="8464" max="8465" width="16.7109375" style="1652" customWidth="1"/>
    <col min="8466" max="8466" width="15" style="1652" customWidth="1"/>
    <col min="8467" max="8467" width="13" style="1652" customWidth="1"/>
    <col min="8468" max="8468" width="14.140625" style="1652" customWidth="1"/>
    <col min="8469" max="8469" width="13.85546875" style="1652" customWidth="1"/>
    <col min="8470" max="8470" width="12.140625" style="1652" customWidth="1"/>
    <col min="8471" max="8472" width="15" style="1652" customWidth="1"/>
    <col min="8473" max="8473" width="12.140625" style="1652" customWidth="1"/>
    <col min="8474" max="8474" width="16.5703125" style="1652" customWidth="1"/>
    <col min="8475" max="8475" width="12.5703125" style="1652" customWidth="1"/>
    <col min="8476" max="8476" width="24.85546875" style="1652" customWidth="1"/>
    <col min="8477" max="8477" width="11.7109375" style="1652" customWidth="1"/>
    <col min="8478" max="8479" width="13.5703125" style="1652" customWidth="1"/>
    <col min="8480" max="8480" width="18.7109375" style="1652" customWidth="1"/>
    <col min="8481" max="8481" width="13.42578125" style="1652" customWidth="1"/>
    <col min="8482" max="8482" width="18.5703125" style="1652" customWidth="1"/>
    <col min="8483" max="8483" width="13.28515625" style="1652" customWidth="1"/>
    <col min="8484" max="8484" width="13.140625" style="1652" customWidth="1"/>
    <col min="8485" max="8485" width="10.28515625" style="1652" customWidth="1"/>
    <col min="8486" max="8486" width="12.42578125" style="1652" customWidth="1"/>
    <col min="8487" max="8487" width="13.85546875" style="1652" customWidth="1"/>
    <col min="8488" max="8489" width="6.85546875" style="1652" customWidth="1"/>
    <col min="8490" max="8491" width="8.85546875" style="1652"/>
    <col min="8492" max="8492" width="15.7109375" style="1652" customWidth="1"/>
    <col min="8493" max="8493" width="8.85546875" style="1652"/>
    <col min="8494" max="8501" width="13.28515625" style="1652" bestFit="1" customWidth="1"/>
    <col min="8502" max="8502" width="18.7109375" style="1652" bestFit="1" customWidth="1"/>
    <col min="8503" max="8504" width="19" style="1652" bestFit="1" customWidth="1"/>
    <col min="8505" max="8511" width="13.28515625" style="1652" bestFit="1" customWidth="1"/>
    <col min="8512" max="8512" width="14.140625" style="1652" bestFit="1" customWidth="1"/>
    <col min="8513" max="8514" width="15.7109375" style="1652" bestFit="1" customWidth="1"/>
    <col min="8515" max="8517" width="14.140625" style="1652" bestFit="1" customWidth="1"/>
    <col min="8518" max="8519" width="15.7109375" style="1652" bestFit="1" customWidth="1"/>
    <col min="8520" max="8521" width="14.140625" style="1652" bestFit="1" customWidth="1"/>
    <col min="8522" max="8538" width="8.85546875" style="1652"/>
    <col min="8539" max="8539" width="10" style="1652" bestFit="1" customWidth="1"/>
    <col min="8540" max="8699" width="8.85546875" style="1652"/>
    <col min="8700" max="8700" width="43.85546875" style="1652" customWidth="1"/>
    <col min="8701" max="8701" width="7.140625" style="1652" customWidth="1"/>
    <col min="8702" max="8702" width="15.5703125" style="1652" customWidth="1"/>
    <col min="8703" max="8703" width="16" style="1652" customWidth="1"/>
    <col min="8704" max="8704" width="15.140625" style="1652" customWidth="1"/>
    <col min="8705" max="8705" width="14.85546875" style="1652" customWidth="1"/>
    <col min="8706" max="8706" width="16.28515625" style="1652" customWidth="1"/>
    <col min="8707" max="8707" width="13.85546875" style="1652" customWidth="1"/>
    <col min="8708" max="8708" width="14.140625" style="1652" customWidth="1"/>
    <col min="8709" max="8709" width="15.7109375" style="1652" bestFit="1" customWidth="1"/>
    <col min="8710" max="8710" width="13.42578125" style="1652" bestFit="1" customWidth="1"/>
    <col min="8711" max="8713" width="13.28515625" style="1652" customWidth="1"/>
    <col min="8714" max="8714" width="11.5703125" style="1652" customWidth="1"/>
    <col min="8715" max="8715" width="13.140625" style="1652" customWidth="1"/>
    <col min="8716" max="8716" width="13.85546875" style="1652" customWidth="1"/>
    <col min="8717" max="8717" width="15.140625" style="1652" customWidth="1"/>
    <col min="8718" max="8718" width="16.7109375" style="1652" customWidth="1"/>
    <col min="8719" max="8719" width="13.85546875" style="1652" customWidth="1"/>
    <col min="8720" max="8721" width="16.7109375" style="1652" customWidth="1"/>
    <col min="8722" max="8722" width="15" style="1652" customWidth="1"/>
    <col min="8723" max="8723" width="13" style="1652" customWidth="1"/>
    <col min="8724" max="8724" width="14.140625" style="1652" customWidth="1"/>
    <col min="8725" max="8725" width="13.85546875" style="1652" customWidth="1"/>
    <col min="8726" max="8726" width="12.140625" style="1652" customWidth="1"/>
    <col min="8727" max="8728" width="15" style="1652" customWidth="1"/>
    <col min="8729" max="8729" width="12.140625" style="1652" customWidth="1"/>
    <col min="8730" max="8730" width="16.5703125" style="1652" customWidth="1"/>
    <col min="8731" max="8731" width="12.5703125" style="1652" customWidth="1"/>
    <col min="8732" max="8732" width="24.85546875" style="1652" customWidth="1"/>
    <col min="8733" max="8733" width="11.7109375" style="1652" customWidth="1"/>
    <col min="8734" max="8735" width="13.5703125" style="1652" customWidth="1"/>
    <col min="8736" max="8736" width="18.7109375" style="1652" customWidth="1"/>
    <col min="8737" max="8737" width="13.42578125" style="1652" customWidth="1"/>
    <col min="8738" max="8738" width="18.5703125" style="1652" customWidth="1"/>
    <col min="8739" max="8739" width="13.28515625" style="1652" customWidth="1"/>
    <col min="8740" max="8740" width="13.140625" style="1652" customWidth="1"/>
    <col min="8741" max="8741" width="10.28515625" style="1652" customWidth="1"/>
    <col min="8742" max="8742" width="12.42578125" style="1652" customWidth="1"/>
    <col min="8743" max="8743" width="13.85546875" style="1652" customWidth="1"/>
    <col min="8744" max="8745" width="6.85546875" style="1652" customWidth="1"/>
    <col min="8746" max="8747" width="8.85546875" style="1652"/>
    <col min="8748" max="8748" width="15.7109375" style="1652" customWidth="1"/>
    <col min="8749" max="8749" width="8.85546875" style="1652"/>
    <col min="8750" max="8757" width="13.28515625" style="1652" bestFit="1" customWidth="1"/>
    <col min="8758" max="8758" width="18.7109375" style="1652" bestFit="1" customWidth="1"/>
    <col min="8759" max="8760" width="19" style="1652" bestFit="1" customWidth="1"/>
    <col min="8761" max="8767" width="13.28515625" style="1652" bestFit="1" customWidth="1"/>
    <col min="8768" max="8768" width="14.140625" style="1652" bestFit="1" customWidth="1"/>
    <col min="8769" max="8770" width="15.7109375" style="1652" bestFit="1" customWidth="1"/>
    <col min="8771" max="8773" width="14.140625" style="1652" bestFit="1" customWidth="1"/>
    <col min="8774" max="8775" width="15.7109375" style="1652" bestFit="1" customWidth="1"/>
    <col min="8776" max="8777" width="14.140625" style="1652" bestFit="1" customWidth="1"/>
    <col min="8778" max="8794" width="8.85546875" style="1652"/>
    <col min="8795" max="8795" width="10" style="1652" bestFit="1" customWidth="1"/>
    <col min="8796" max="8955" width="8.85546875" style="1652"/>
    <col min="8956" max="8956" width="43.85546875" style="1652" customWidth="1"/>
    <col min="8957" max="8957" width="7.140625" style="1652" customWidth="1"/>
    <col min="8958" max="8958" width="15.5703125" style="1652" customWidth="1"/>
    <col min="8959" max="8959" width="16" style="1652" customWidth="1"/>
    <col min="8960" max="8960" width="15.140625" style="1652" customWidth="1"/>
    <col min="8961" max="8961" width="14.85546875" style="1652" customWidth="1"/>
    <col min="8962" max="8962" width="16.28515625" style="1652" customWidth="1"/>
    <col min="8963" max="8963" width="13.85546875" style="1652" customWidth="1"/>
    <col min="8964" max="8964" width="14.140625" style="1652" customWidth="1"/>
    <col min="8965" max="8965" width="15.7109375" style="1652" bestFit="1" customWidth="1"/>
    <col min="8966" max="8966" width="13.42578125" style="1652" bestFit="1" customWidth="1"/>
    <col min="8967" max="8969" width="13.28515625" style="1652" customWidth="1"/>
    <col min="8970" max="8970" width="11.5703125" style="1652" customWidth="1"/>
    <col min="8971" max="8971" width="13.140625" style="1652" customWidth="1"/>
    <col min="8972" max="8972" width="13.85546875" style="1652" customWidth="1"/>
    <col min="8973" max="8973" width="15.140625" style="1652" customWidth="1"/>
    <col min="8974" max="8974" width="16.7109375" style="1652" customWidth="1"/>
    <col min="8975" max="8975" width="13.85546875" style="1652" customWidth="1"/>
    <col min="8976" max="8977" width="16.7109375" style="1652" customWidth="1"/>
    <col min="8978" max="8978" width="15" style="1652" customWidth="1"/>
    <col min="8979" max="8979" width="13" style="1652" customWidth="1"/>
    <col min="8980" max="8980" width="14.140625" style="1652" customWidth="1"/>
    <col min="8981" max="8981" width="13.85546875" style="1652" customWidth="1"/>
    <col min="8982" max="8982" width="12.140625" style="1652" customWidth="1"/>
    <col min="8983" max="8984" width="15" style="1652" customWidth="1"/>
    <col min="8985" max="8985" width="12.140625" style="1652" customWidth="1"/>
    <col min="8986" max="8986" width="16.5703125" style="1652" customWidth="1"/>
    <col min="8987" max="8987" width="12.5703125" style="1652" customWidth="1"/>
    <col min="8988" max="8988" width="24.85546875" style="1652" customWidth="1"/>
    <col min="8989" max="8989" width="11.7109375" style="1652" customWidth="1"/>
    <col min="8990" max="8991" width="13.5703125" style="1652" customWidth="1"/>
    <col min="8992" max="8992" width="18.7109375" style="1652" customWidth="1"/>
    <col min="8993" max="8993" width="13.42578125" style="1652" customWidth="1"/>
    <col min="8994" max="8994" width="18.5703125" style="1652" customWidth="1"/>
    <col min="8995" max="8995" width="13.28515625" style="1652" customWidth="1"/>
    <col min="8996" max="8996" width="13.140625" style="1652" customWidth="1"/>
    <col min="8997" max="8997" width="10.28515625" style="1652" customWidth="1"/>
    <col min="8998" max="8998" width="12.42578125" style="1652" customWidth="1"/>
    <col min="8999" max="8999" width="13.85546875" style="1652" customWidth="1"/>
    <col min="9000" max="9001" width="6.85546875" style="1652" customWidth="1"/>
    <col min="9002" max="9003" width="8.85546875" style="1652"/>
    <col min="9004" max="9004" width="15.7109375" style="1652" customWidth="1"/>
    <col min="9005" max="9005" width="8.85546875" style="1652"/>
    <col min="9006" max="9013" width="13.28515625" style="1652" bestFit="1" customWidth="1"/>
    <col min="9014" max="9014" width="18.7109375" style="1652" bestFit="1" customWidth="1"/>
    <col min="9015" max="9016" width="19" style="1652" bestFit="1" customWidth="1"/>
    <col min="9017" max="9023" width="13.28515625" style="1652" bestFit="1" customWidth="1"/>
    <col min="9024" max="9024" width="14.140625" style="1652" bestFit="1" customWidth="1"/>
    <col min="9025" max="9026" width="15.7109375" style="1652" bestFit="1" customWidth="1"/>
    <col min="9027" max="9029" width="14.140625" style="1652" bestFit="1" customWidth="1"/>
    <col min="9030" max="9031" width="15.7109375" style="1652" bestFit="1" customWidth="1"/>
    <col min="9032" max="9033" width="14.140625" style="1652" bestFit="1" customWidth="1"/>
    <col min="9034" max="9050" width="8.85546875" style="1652"/>
    <col min="9051" max="9051" width="10" style="1652" bestFit="1" customWidth="1"/>
    <col min="9052" max="9211" width="8.85546875" style="1652"/>
    <col min="9212" max="9212" width="43.85546875" style="1652" customWidth="1"/>
    <col min="9213" max="9213" width="7.140625" style="1652" customWidth="1"/>
    <col min="9214" max="9214" width="15.5703125" style="1652" customWidth="1"/>
    <col min="9215" max="9215" width="16" style="1652" customWidth="1"/>
    <col min="9216" max="9216" width="15.140625" style="1652" customWidth="1"/>
    <col min="9217" max="9217" width="14.85546875" style="1652" customWidth="1"/>
    <col min="9218" max="9218" width="16.28515625" style="1652" customWidth="1"/>
    <col min="9219" max="9219" width="13.85546875" style="1652" customWidth="1"/>
    <col min="9220" max="9220" width="14.140625" style="1652" customWidth="1"/>
    <col min="9221" max="9221" width="15.7109375" style="1652" bestFit="1" customWidth="1"/>
    <col min="9222" max="9222" width="13.42578125" style="1652" bestFit="1" customWidth="1"/>
    <col min="9223" max="9225" width="13.28515625" style="1652" customWidth="1"/>
    <col min="9226" max="9226" width="11.5703125" style="1652" customWidth="1"/>
    <col min="9227" max="9227" width="13.140625" style="1652" customWidth="1"/>
    <col min="9228" max="9228" width="13.85546875" style="1652" customWidth="1"/>
    <col min="9229" max="9229" width="15.140625" style="1652" customWidth="1"/>
    <col min="9230" max="9230" width="16.7109375" style="1652" customWidth="1"/>
    <col min="9231" max="9231" width="13.85546875" style="1652" customWidth="1"/>
    <col min="9232" max="9233" width="16.7109375" style="1652" customWidth="1"/>
    <col min="9234" max="9234" width="15" style="1652" customWidth="1"/>
    <col min="9235" max="9235" width="13" style="1652" customWidth="1"/>
    <col min="9236" max="9236" width="14.140625" style="1652" customWidth="1"/>
    <col min="9237" max="9237" width="13.85546875" style="1652" customWidth="1"/>
    <col min="9238" max="9238" width="12.140625" style="1652" customWidth="1"/>
    <col min="9239" max="9240" width="15" style="1652" customWidth="1"/>
    <col min="9241" max="9241" width="12.140625" style="1652" customWidth="1"/>
    <col min="9242" max="9242" width="16.5703125" style="1652" customWidth="1"/>
    <col min="9243" max="9243" width="12.5703125" style="1652" customWidth="1"/>
    <col min="9244" max="9244" width="24.85546875" style="1652" customWidth="1"/>
    <col min="9245" max="9245" width="11.7109375" style="1652" customWidth="1"/>
    <col min="9246" max="9247" width="13.5703125" style="1652" customWidth="1"/>
    <col min="9248" max="9248" width="18.7109375" style="1652" customWidth="1"/>
    <col min="9249" max="9249" width="13.42578125" style="1652" customWidth="1"/>
    <col min="9250" max="9250" width="18.5703125" style="1652" customWidth="1"/>
    <col min="9251" max="9251" width="13.28515625" style="1652" customWidth="1"/>
    <col min="9252" max="9252" width="13.140625" style="1652" customWidth="1"/>
    <col min="9253" max="9253" width="10.28515625" style="1652" customWidth="1"/>
    <col min="9254" max="9254" width="12.42578125" style="1652" customWidth="1"/>
    <col min="9255" max="9255" width="13.85546875" style="1652" customWidth="1"/>
    <col min="9256" max="9257" width="6.85546875" style="1652" customWidth="1"/>
    <col min="9258" max="9259" width="8.85546875" style="1652"/>
    <col min="9260" max="9260" width="15.7109375" style="1652" customWidth="1"/>
    <col min="9261" max="9261" width="8.85546875" style="1652"/>
    <col min="9262" max="9269" width="13.28515625" style="1652" bestFit="1" customWidth="1"/>
    <col min="9270" max="9270" width="18.7109375" style="1652" bestFit="1" customWidth="1"/>
    <col min="9271" max="9272" width="19" style="1652" bestFit="1" customWidth="1"/>
    <col min="9273" max="9279" width="13.28515625" style="1652" bestFit="1" customWidth="1"/>
    <col min="9280" max="9280" width="14.140625" style="1652" bestFit="1" customWidth="1"/>
    <col min="9281" max="9282" width="15.7109375" style="1652" bestFit="1" customWidth="1"/>
    <col min="9283" max="9285" width="14.140625" style="1652" bestFit="1" customWidth="1"/>
    <col min="9286" max="9287" width="15.7109375" style="1652" bestFit="1" customWidth="1"/>
    <col min="9288" max="9289" width="14.140625" style="1652" bestFit="1" customWidth="1"/>
    <col min="9290" max="9306" width="8.85546875" style="1652"/>
    <col min="9307" max="9307" width="10" style="1652" bestFit="1" customWidth="1"/>
    <col min="9308" max="9467" width="8.85546875" style="1652"/>
    <col min="9468" max="9468" width="43.85546875" style="1652" customWidth="1"/>
    <col min="9469" max="9469" width="7.140625" style="1652" customWidth="1"/>
    <col min="9470" max="9470" width="15.5703125" style="1652" customWidth="1"/>
    <col min="9471" max="9471" width="16" style="1652" customWidth="1"/>
    <col min="9472" max="9472" width="15.140625" style="1652" customWidth="1"/>
    <col min="9473" max="9473" width="14.85546875" style="1652" customWidth="1"/>
    <col min="9474" max="9474" width="16.28515625" style="1652" customWidth="1"/>
    <col min="9475" max="9475" width="13.85546875" style="1652" customWidth="1"/>
    <col min="9476" max="9476" width="14.140625" style="1652" customWidth="1"/>
    <col min="9477" max="9477" width="15.7109375" style="1652" bestFit="1" customWidth="1"/>
    <col min="9478" max="9478" width="13.42578125" style="1652" bestFit="1" customWidth="1"/>
    <col min="9479" max="9481" width="13.28515625" style="1652" customWidth="1"/>
    <col min="9482" max="9482" width="11.5703125" style="1652" customWidth="1"/>
    <col min="9483" max="9483" width="13.140625" style="1652" customWidth="1"/>
    <col min="9484" max="9484" width="13.85546875" style="1652" customWidth="1"/>
    <col min="9485" max="9485" width="15.140625" style="1652" customWidth="1"/>
    <col min="9486" max="9486" width="16.7109375" style="1652" customWidth="1"/>
    <col min="9487" max="9487" width="13.85546875" style="1652" customWidth="1"/>
    <col min="9488" max="9489" width="16.7109375" style="1652" customWidth="1"/>
    <col min="9490" max="9490" width="15" style="1652" customWidth="1"/>
    <col min="9491" max="9491" width="13" style="1652" customWidth="1"/>
    <col min="9492" max="9492" width="14.140625" style="1652" customWidth="1"/>
    <col min="9493" max="9493" width="13.85546875" style="1652" customWidth="1"/>
    <col min="9494" max="9494" width="12.140625" style="1652" customWidth="1"/>
    <col min="9495" max="9496" width="15" style="1652" customWidth="1"/>
    <col min="9497" max="9497" width="12.140625" style="1652" customWidth="1"/>
    <col min="9498" max="9498" width="16.5703125" style="1652" customWidth="1"/>
    <col min="9499" max="9499" width="12.5703125" style="1652" customWidth="1"/>
    <col min="9500" max="9500" width="24.85546875" style="1652" customWidth="1"/>
    <col min="9501" max="9501" width="11.7109375" style="1652" customWidth="1"/>
    <col min="9502" max="9503" width="13.5703125" style="1652" customWidth="1"/>
    <col min="9504" max="9504" width="18.7109375" style="1652" customWidth="1"/>
    <col min="9505" max="9505" width="13.42578125" style="1652" customWidth="1"/>
    <col min="9506" max="9506" width="18.5703125" style="1652" customWidth="1"/>
    <col min="9507" max="9507" width="13.28515625" style="1652" customWidth="1"/>
    <col min="9508" max="9508" width="13.140625" style="1652" customWidth="1"/>
    <col min="9509" max="9509" width="10.28515625" style="1652" customWidth="1"/>
    <col min="9510" max="9510" width="12.42578125" style="1652" customWidth="1"/>
    <col min="9511" max="9511" width="13.85546875" style="1652" customWidth="1"/>
    <col min="9512" max="9513" width="6.85546875" style="1652" customWidth="1"/>
    <col min="9514" max="9515" width="8.85546875" style="1652"/>
    <col min="9516" max="9516" width="15.7109375" style="1652" customWidth="1"/>
    <col min="9517" max="9517" width="8.85546875" style="1652"/>
    <col min="9518" max="9525" width="13.28515625" style="1652" bestFit="1" customWidth="1"/>
    <col min="9526" max="9526" width="18.7109375" style="1652" bestFit="1" customWidth="1"/>
    <col min="9527" max="9528" width="19" style="1652" bestFit="1" customWidth="1"/>
    <col min="9529" max="9535" width="13.28515625" style="1652" bestFit="1" customWidth="1"/>
    <col min="9536" max="9536" width="14.140625" style="1652" bestFit="1" customWidth="1"/>
    <col min="9537" max="9538" width="15.7109375" style="1652" bestFit="1" customWidth="1"/>
    <col min="9539" max="9541" width="14.140625" style="1652" bestFit="1" customWidth="1"/>
    <col min="9542" max="9543" width="15.7109375" style="1652" bestFit="1" customWidth="1"/>
    <col min="9544" max="9545" width="14.140625" style="1652" bestFit="1" customWidth="1"/>
    <col min="9546" max="9562" width="8.85546875" style="1652"/>
    <col min="9563" max="9563" width="10" style="1652" bestFit="1" customWidth="1"/>
    <col min="9564" max="9723" width="8.85546875" style="1652"/>
    <col min="9724" max="9724" width="43.85546875" style="1652" customWidth="1"/>
    <col min="9725" max="9725" width="7.140625" style="1652" customWidth="1"/>
    <col min="9726" max="9726" width="15.5703125" style="1652" customWidth="1"/>
    <col min="9727" max="9727" width="16" style="1652" customWidth="1"/>
    <col min="9728" max="9728" width="15.140625" style="1652" customWidth="1"/>
    <col min="9729" max="9729" width="14.85546875" style="1652" customWidth="1"/>
    <col min="9730" max="9730" width="16.28515625" style="1652" customWidth="1"/>
    <col min="9731" max="9731" width="13.85546875" style="1652" customWidth="1"/>
    <col min="9732" max="9732" width="14.140625" style="1652" customWidth="1"/>
    <col min="9733" max="9733" width="15.7109375" style="1652" bestFit="1" customWidth="1"/>
    <col min="9734" max="9734" width="13.42578125" style="1652" bestFit="1" customWidth="1"/>
    <col min="9735" max="9737" width="13.28515625" style="1652" customWidth="1"/>
    <col min="9738" max="9738" width="11.5703125" style="1652" customWidth="1"/>
    <col min="9739" max="9739" width="13.140625" style="1652" customWidth="1"/>
    <col min="9740" max="9740" width="13.85546875" style="1652" customWidth="1"/>
    <col min="9741" max="9741" width="15.140625" style="1652" customWidth="1"/>
    <col min="9742" max="9742" width="16.7109375" style="1652" customWidth="1"/>
    <col min="9743" max="9743" width="13.85546875" style="1652" customWidth="1"/>
    <col min="9744" max="9745" width="16.7109375" style="1652" customWidth="1"/>
    <col min="9746" max="9746" width="15" style="1652" customWidth="1"/>
    <col min="9747" max="9747" width="13" style="1652" customWidth="1"/>
    <col min="9748" max="9748" width="14.140625" style="1652" customWidth="1"/>
    <col min="9749" max="9749" width="13.85546875" style="1652" customWidth="1"/>
    <col min="9750" max="9750" width="12.140625" style="1652" customWidth="1"/>
    <col min="9751" max="9752" width="15" style="1652" customWidth="1"/>
    <col min="9753" max="9753" width="12.140625" style="1652" customWidth="1"/>
    <col min="9754" max="9754" width="16.5703125" style="1652" customWidth="1"/>
    <col min="9755" max="9755" width="12.5703125" style="1652" customWidth="1"/>
    <col min="9756" max="9756" width="24.85546875" style="1652" customWidth="1"/>
    <col min="9757" max="9757" width="11.7109375" style="1652" customWidth="1"/>
    <col min="9758" max="9759" width="13.5703125" style="1652" customWidth="1"/>
    <col min="9760" max="9760" width="18.7109375" style="1652" customWidth="1"/>
    <col min="9761" max="9761" width="13.42578125" style="1652" customWidth="1"/>
    <col min="9762" max="9762" width="18.5703125" style="1652" customWidth="1"/>
    <col min="9763" max="9763" width="13.28515625" style="1652" customWidth="1"/>
    <col min="9764" max="9764" width="13.140625" style="1652" customWidth="1"/>
    <col min="9765" max="9765" width="10.28515625" style="1652" customWidth="1"/>
    <col min="9766" max="9766" width="12.42578125" style="1652" customWidth="1"/>
    <col min="9767" max="9767" width="13.85546875" style="1652" customWidth="1"/>
    <col min="9768" max="9769" width="6.85546875" style="1652" customWidth="1"/>
    <col min="9770" max="9771" width="8.85546875" style="1652"/>
    <col min="9772" max="9772" width="15.7109375" style="1652" customWidth="1"/>
    <col min="9773" max="9773" width="8.85546875" style="1652"/>
    <col min="9774" max="9781" width="13.28515625" style="1652" bestFit="1" customWidth="1"/>
    <col min="9782" max="9782" width="18.7109375" style="1652" bestFit="1" customWidth="1"/>
    <col min="9783" max="9784" width="19" style="1652" bestFit="1" customWidth="1"/>
    <col min="9785" max="9791" width="13.28515625" style="1652" bestFit="1" customWidth="1"/>
    <col min="9792" max="9792" width="14.140625" style="1652" bestFit="1" customWidth="1"/>
    <col min="9793" max="9794" width="15.7109375" style="1652" bestFit="1" customWidth="1"/>
    <col min="9795" max="9797" width="14.140625" style="1652" bestFit="1" customWidth="1"/>
    <col min="9798" max="9799" width="15.7109375" style="1652" bestFit="1" customWidth="1"/>
    <col min="9800" max="9801" width="14.140625" style="1652" bestFit="1" customWidth="1"/>
    <col min="9802" max="9818" width="8.85546875" style="1652"/>
    <col min="9819" max="9819" width="10" style="1652" bestFit="1" customWidth="1"/>
    <col min="9820" max="9979" width="8.85546875" style="1652"/>
    <col min="9980" max="9980" width="43.85546875" style="1652" customWidth="1"/>
    <col min="9981" max="9981" width="7.140625" style="1652" customWidth="1"/>
    <col min="9982" max="9982" width="15.5703125" style="1652" customWidth="1"/>
    <col min="9983" max="9983" width="16" style="1652" customWidth="1"/>
    <col min="9984" max="9984" width="15.140625" style="1652" customWidth="1"/>
    <col min="9985" max="9985" width="14.85546875" style="1652" customWidth="1"/>
    <col min="9986" max="9986" width="16.28515625" style="1652" customWidth="1"/>
    <col min="9987" max="9987" width="13.85546875" style="1652" customWidth="1"/>
    <col min="9988" max="9988" width="14.140625" style="1652" customWidth="1"/>
    <col min="9989" max="9989" width="15.7109375" style="1652" bestFit="1" customWidth="1"/>
    <col min="9990" max="9990" width="13.42578125" style="1652" bestFit="1" customWidth="1"/>
    <col min="9991" max="9993" width="13.28515625" style="1652" customWidth="1"/>
    <col min="9994" max="9994" width="11.5703125" style="1652" customWidth="1"/>
    <col min="9995" max="9995" width="13.140625" style="1652" customWidth="1"/>
    <col min="9996" max="9996" width="13.85546875" style="1652" customWidth="1"/>
    <col min="9997" max="9997" width="15.140625" style="1652" customWidth="1"/>
    <col min="9998" max="9998" width="16.7109375" style="1652" customWidth="1"/>
    <col min="9999" max="9999" width="13.85546875" style="1652" customWidth="1"/>
    <col min="10000" max="10001" width="16.7109375" style="1652" customWidth="1"/>
    <col min="10002" max="10002" width="15" style="1652" customWidth="1"/>
    <col min="10003" max="10003" width="13" style="1652" customWidth="1"/>
    <col min="10004" max="10004" width="14.140625" style="1652" customWidth="1"/>
    <col min="10005" max="10005" width="13.85546875" style="1652" customWidth="1"/>
    <col min="10006" max="10006" width="12.140625" style="1652" customWidth="1"/>
    <col min="10007" max="10008" width="15" style="1652" customWidth="1"/>
    <col min="10009" max="10009" width="12.140625" style="1652" customWidth="1"/>
    <col min="10010" max="10010" width="16.5703125" style="1652" customWidth="1"/>
    <col min="10011" max="10011" width="12.5703125" style="1652" customWidth="1"/>
    <col min="10012" max="10012" width="24.85546875" style="1652" customWidth="1"/>
    <col min="10013" max="10013" width="11.7109375" style="1652" customWidth="1"/>
    <col min="10014" max="10015" width="13.5703125" style="1652" customWidth="1"/>
    <col min="10016" max="10016" width="18.7109375" style="1652" customWidth="1"/>
    <col min="10017" max="10017" width="13.42578125" style="1652" customWidth="1"/>
    <col min="10018" max="10018" width="18.5703125" style="1652" customWidth="1"/>
    <col min="10019" max="10019" width="13.28515625" style="1652" customWidth="1"/>
    <col min="10020" max="10020" width="13.140625" style="1652" customWidth="1"/>
    <col min="10021" max="10021" width="10.28515625" style="1652" customWidth="1"/>
    <col min="10022" max="10022" width="12.42578125" style="1652" customWidth="1"/>
    <col min="10023" max="10023" width="13.85546875" style="1652" customWidth="1"/>
    <col min="10024" max="10025" width="6.85546875" style="1652" customWidth="1"/>
    <col min="10026" max="10027" width="8.85546875" style="1652"/>
    <col min="10028" max="10028" width="15.7109375" style="1652" customWidth="1"/>
    <col min="10029" max="10029" width="8.85546875" style="1652"/>
    <col min="10030" max="10037" width="13.28515625" style="1652" bestFit="1" customWidth="1"/>
    <col min="10038" max="10038" width="18.7109375" style="1652" bestFit="1" customWidth="1"/>
    <col min="10039" max="10040" width="19" style="1652" bestFit="1" customWidth="1"/>
    <col min="10041" max="10047" width="13.28515625" style="1652" bestFit="1" customWidth="1"/>
    <col min="10048" max="10048" width="14.140625" style="1652" bestFit="1" customWidth="1"/>
    <col min="10049" max="10050" width="15.7109375" style="1652" bestFit="1" customWidth="1"/>
    <col min="10051" max="10053" width="14.140625" style="1652" bestFit="1" customWidth="1"/>
    <col min="10054" max="10055" width="15.7109375" style="1652" bestFit="1" customWidth="1"/>
    <col min="10056" max="10057" width="14.140625" style="1652" bestFit="1" customWidth="1"/>
    <col min="10058" max="10074" width="8.85546875" style="1652"/>
    <col min="10075" max="10075" width="10" style="1652" bestFit="1" customWidth="1"/>
    <col min="10076" max="10235" width="8.85546875" style="1652"/>
    <col min="10236" max="10236" width="43.85546875" style="1652" customWidth="1"/>
    <col min="10237" max="10237" width="7.140625" style="1652" customWidth="1"/>
    <col min="10238" max="10238" width="15.5703125" style="1652" customWidth="1"/>
    <col min="10239" max="10239" width="16" style="1652" customWidth="1"/>
    <col min="10240" max="10240" width="15.140625" style="1652" customWidth="1"/>
    <col min="10241" max="10241" width="14.85546875" style="1652" customWidth="1"/>
    <col min="10242" max="10242" width="16.28515625" style="1652" customWidth="1"/>
    <col min="10243" max="10243" width="13.85546875" style="1652" customWidth="1"/>
    <col min="10244" max="10244" width="14.140625" style="1652" customWidth="1"/>
    <col min="10245" max="10245" width="15.7109375" style="1652" bestFit="1" customWidth="1"/>
    <col min="10246" max="10246" width="13.42578125" style="1652" bestFit="1" customWidth="1"/>
    <col min="10247" max="10249" width="13.28515625" style="1652" customWidth="1"/>
    <col min="10250" max="10250" width="11.5703125" style="1652" customWidth="1"/>
    <col min="10251" max="10251" width="13.140625" style="1652" customWidth="1"/>
    <col min="10252" max="10252" width="13.85546875" style="1652" customWidth="1"/>
    <col min="10253" max="10253" width="15.140625" style="1652" customWidth="1"/>
    <col min="10254" max="10254" width="16.7109375" style="1652" customWidth="1"/>
    <col min="10255" max="10255" width="13.85546875" style="1652" customWidth="1"/>
    <col min="10256" max="10257" width="16.7109375" style="1652" customWidth="1"/>
    <col min="10258" max="10258" width="15" style="1652" customWidth="1"/>
    <col min="10259" max="10259" width="13" style="1652" customWidth="1"/>
    <col min="10260" max="10260" width="14.140625" style="1652" customWidth="1"/>
    <col min="10261" max="10261" width="13.85546875" style="1652" customWidth="1"/>
    <col min="10262" max="10262" width="12.140625" style="1652" customWidth="1"/>
    <col min="10263" max="10264" width="15" style="1652" customWidth="1"/>
    <col min="10265" max="10265" width="12.140625" style="1652" customWidth="1"/>
    <col min="10266" max="10266" width="16.5703125" style="1652" customWidth="1"/>
    <col min="10267" max="10267" width="12.5703125" style="1652" customWidth="1"/>
    <col min="10268" max="10268" width="24.85546875" style="1652" customWidth="1"/>
    <col min="10269" max="10269" width="11.7109375" style="1652" customWidth="1"/>
    <col min="10270" max="10271" width="13.5703125" style="1652" customWidth="1"/>
    <col min="10272" max="10272" width="18.7109375" style="1652" customWidth="1"/>
    <col min="10273" max="10273" width="13.42578125" style="1652" customWidth="1"/>
    <col min="10274" max="10274" width="18.5703125" style="1652" customWidth="1"/>
    <col min="10275" max="10275" width="13.28515625" style="1652" customWidth="1"/>
    <col min="10276" max="10276" width="13.140625" style="1652" customWidth="1"/>
    <col min="10277" max="10277" width="10.28515625" style="1652" customWidth="1"/>
    <col min="10278" max="10278" width="12.42578125" style="1652" customWidth="1"/>
    <col min="10279" max="10279" width="13.85546875" style="1652" customWidth="1"/>
    <col min="10280" max="10281" width="6.85546875" style="1652" customWidth="1"/>
    <col min="10282" max="10283" width="8.85546875" style="1652"/>
    <col min="10284" max="10284" width="15.7109375" style="1652" customWidth="1"/>
    <col min="10285" max="10285" width="8.85546875" style="1652"/>
    <col min="10286" max="10293" width="13.28515625" style="1652" bestFit="1" customWidth="1"/>
    <col min="10294" max="10294" width="18.7109375" style="1652" bestFit="1" customWidth="1"/>
    <col min="10295" max="10296" width="19" style="1652" bestFit="1" customWidth="1"/>
    <col min="10297" max="10303" width="13.28515625" style="1652" bestFit="1" customWidth="1"/>
    <col min="10304" max="10304" width="14.140625" style="1652" bestFit="1" customWidth="1"/>
    <col min="10305" max="10306" width="15.7109375" style="1652" bestFit="1" customWidth="1"/>
    <col min="10307" max="10309" width="14.140625" style="1652" bestFit="1" customWidth="1"/>
    <col min="10310" max="10311" width="15.7109375" style="1652" bestFit="1" customWidth="1"/>
    <col min="10312" max="10313" width="14.140625" style="1652" bestFit="1" customWidth="1"/>
    <col min="10314" max="10330" width="8.85546875" style="1652"/>
    <col min="10331" max="10331" width="10" style="1652" bestFit="1" customWidth="1"/>
    <col min="10332" max="10491" width="8.85546875" style="1652"/>
    <col min="10492" max="10492" width="43.85546875" style="1652" customWidth="1"/>
    <col min="10493" max="10493" width="7.140625" style="1652" customWidth="1"/>
    <col min="10494" max="10494" width="15.5703125" style="1652" customWidth="1"/>
    <col min="10495" max="10495" width="16" style="1652" customWidth="1"/>
    <col min="10496" max="10496" width="15.140625" style="1652" customWidth="1"/>
    <col min="10497" max="10497" width="14.85546875" style="1652" customWidth="1"/>
    <col min="10498" max="10498" width="16.28515625" style="1652" customWidth="1"/>
    <col min="10499" max="10499" width="13.85546875" style="1652" customWidth="1"/>
    <col min="10500" max="10500" width="14.140625" style="1652" customWidth="1"/>
    <col min="10501" max="10501" width="15.7109375" style="1652" bestFit="1" customWidth="1"/>
    <col min="10502" max="10502" width="13.42578125" style="1652" bestFit="1" customWidth="1"/>
    <col min="10503" max="10505" width="13.28515625" style="1652" customWidth="1"/>
    <col min="10506" max="10506" width="11.5703125" style="1652" customWidth="1"/>
    <col min="10507" max="10507" width="13.140625" style="1652" customWidth="1"/>
    <col min="10508" max="10508" width="13.85546875" style="1652" customWidth="1"/>
    <col min="10509" max="10509" width="15.140625" style="1652" customWidth="1"/>
    <col min="10510" max="10510" width="16.7109375" style="1652" customWidth="1"/>
    <col min="10511" max="10511" width="13.85546875" style="1652" customWidth="1"/>
    <col min="10512" max="10513" width="16.7109375" style="1652" customWidth="1"/>
    <col min="10514" max="10514" width="15" style="1652" customWidth="1"/>
    <col min="10515" max="10515" width="13" style="1652" customWidth="1"/>
    <col min="10516" max="10516" width="14.140625" style="1652" customWidth="1"/>
    <col min="10517" max="10517" width="13.85546875" style="1652" customWidth="1"/>
    <col min="10518" max="10518" width="12.140625" style="1652" customWidth="1"/>
    <col min="10519" max="10520" width="15" style="1652" customWidth="1"/>
    <col min="10521" max="10521" width="12.140625" style="1652" customWidth="1"/>
    <col min="10522" max="10522" width="16.5703125" style="1652" customWidth="1"/>
    <col min="10523" max="10523" width="12.5703125" style="1652" customWidth="1"/>
    <col min="10524" max="10524" width="24.85546875" style="1652" customWidth="1"/>
    <col min="10525" max="10525" width="11.7109375" style="1652" customWidth="1"/>
    <col min="10526" max="10527" width="13.5703125" style="1652" customWidth="1"/>
    <col min="10528" max="10528" width="18.7109375" style="1652" customWidth="1"/>
    <col min="10529" max="10529" width="13.42578125" style="1652" customWidth="1"/>
    <col min="10530" max="10530" width="18.5703125" style="1652" customWidth="1"/>
    <col min="10531" max="10531" width="13.28515625" style="1652" customWidth="1"/>
    <col min="10532" max="10532" width="13.140625" style="1652" customWidth="1"/>
    <col min="10533" max="10533" width="10.28515625" style="1652" customWidth="1"/>
    <col min="10534" max="10534" width="12.42578125" style="1652" customWidth="1"/>
    <col min="10535" max="10535" width="13.85546875" style="1652" customWidth="1"/>
    <col min="10536" max="10537" width="6.85546875" style="1652" customWidth="1"/>
    <col min="10538" max="10539" width="8.85546875" style="1652"/>
    <col min="10540" max="10540" width="15.7109375" style="1652" customWidth="1"/>
    <col min="10541" max="10541" width="8.85546875" style="1652"/>
    <col min="10542" max="10549" width="13.28515625" style="1652" bestFit="1" customWidth="1"/>
    <col min="10550" max="10550" width="18.7109375" style="1652" bestFit="1" customWidth="1"/>
    <col min="10551" max="10552" width="19" style="1652" bestFit="1" customWidth="1"/>
    <col min="10553" max="10559" width="13.28515625" style="1652" bestFit="1" customWidth="1"/>
    <col min="10560" max="10560" width="14.140625" style="1652" bestFit="1" customWidth="1"/>
    <col min="10561" max="10562" width="15.7109375" style="1652" bestFit="1" customWidth="1"/>
    <col min="10563" max="10565" width="14.140625" style="1652" bestFit="1" customWidth="1"/>
    <col min="10566" max="10567" width="15.7109375" style="1652" bestFit="1" customWidth="1"/>
    <col min="10568" max="10569" width="14.140625" style="1652" bestFit="1" customWidth="1"/>
    <col min="10570" max="10586" width="8.85546875" style="1652"/>
    <col min="10587" max="10587" width="10" style="1652" bestFit="1" customWidth="1"/>
    <col min="10588" max="10747" width="8.85546875" style="1652"/>
    <col min="10748" max="10748" width="43.85546875" style="1652" customWidth="1"/>
    <col min="10749" max="10749" width="7.140625" style="1652" customWidth="1"/>
    <col min="10750" max="10750" width="15.5703125" style="1652" customWidth="1"/>
    <col min="10751" max="10751" width="16" style="1652" customWidth="1"/>
    <col min="10752" max="10752" width="15.140625" style="1652" customWidth="1"/>
    <col min="10753" max="10753" width="14.85546875" style="1652" customWidth="1"/>
    <col min="10754" max="10754" width="16.28515625" style="1652" customWidth="1"/>
    <col min="10755" max="10755" width="13.85546875" style="1652" customWidth="1"/>
    <col min="10756" max="10756" width="14.140625" style="1652" customWidth="1"/>
    <col min="10757" max="10757" width="15.7109375" style="1652" bestFit="1" customWidth="1"/>
    <col min="10758" max="10758" width="13.42578125" style="1652" bestFit="1" customWidth="1"/>
    <col min="10759" max="10761" width="13.28515625" style="1652" customWidth="1"/>
    <col min="10762" max="10762" width="11.5703125" style="1652" customWidth="1"/>
    <col min="10763" max="10763" width="13.140625" style="1652" customWidth="1"/>
    <col min="10764" max="10764" width="13.85546875" style="1652" customWidth="1"/>
    <col min="10765" max="10765" width="15.140625" style="1652" customWidth="1"/>
    <col min="10766" max="10766" width="16.7109375" style="1652" customWidth="1"/>
    <col min="10767" max="10767" width="13.85546875" style="1652" customWidth="1"/>
    <col min="10768" max="10769" width="16.7109375" style="1652" customWidth="1"/>
    <col min="10770" max="10770" width="15" style="1652" customWidth="1"/>
    <col min="10771" max="10771" width="13" style="1652" customWidth="1"/>
    <col min="10772" max="10772" width="14.140625" style="1652" customWidth="1"/>
    <col min="10773" max="10773" width="13.85546875" style="1652" customWidth="1"/>
    <col min="10774" max="10774" width="12.140625" style="1652" customWidth="1"/>
    <col min="10775" max="10776" width="15" style="1652" customWidth="1"/>
    <col min="10777" max="10777" width="12.140625" style="1652" customWidth="1"/>
    <col min="10778" max="10778" width="16.5703125" style="1652" customWidth="1"/>
    <col min="10779" max="10779" width="12.5703125" style="1652" customWidth="1"/>
    <col min="10780" max="10780" width="24.85546875" style="1652" customWidth="1"/>
    <col min="10781" max="10781" width="11.7109375" style="1652" customWidth="1"/>
    <col min="10782" max="10783" width="13.5703125" style="1652" customWidth="1"/>
    <col min="10784" max="10784" width="18.7109375" style="1652" customWidth="1"/>
    <col min="10785" max="10785" width="13.42578125" style="1652" customWidth="1"/>
    <col min="10786" max="10786" width="18.5703125" style="1652" customWidth="1"/>
    <col min="10787" max="10787" width="13.28515625" style="1652" customWidth="1"/>
    <col min="10788" max="10788" width="13.140625" style="1652" customWidth="1"/>
    <col min="10789" max="10789" width="10.28515625" style="1652" customWidth="1"/>
    <col min="10790" max="10790" width="12.42578125" style="1652" customWidth="1"/>
    <col min="10791" max="10791" width="13.85546875" style="1652" customWidth="1"/>
    <col min="10792" max="10793" width="6.85546875" style="1652" customWidth="1"/>
    <col min="10794" max="10795" width="8.85546875" style="1652"/>
    <col min="10796" max="10796" width="15.7109375" style="1652" customWidth="1"/>
    <col min="10797" max="10797" width="8.85546875" style="1652"/>
    <col min="10798" max="10805" width="13.28515625" style="1652" bestFit="1" customWidth="1"/>
    <col min="10806" max="10806" width="18.7109375" style="1652" bestFit="1" customWidth="1"/>
    <col min="10807" max="10808" width="19" style="1652" bestFit="1" customWidth="1"/>
    <col min="10809" max="10815" width="13.28515625" style="1652" bestFit="1" customWidth="1"/>
    <col min="10816" max="10816" width="14.140625" style="1652" bestFit="1" customWidth="1"/>
    <col min="10817" max="10818" width="15.7109375" style="1652" bestFit="1" customWidth="1"/>
    <col min="10819" max="10821" width="14.140625" style="1652" bestFit="1" customWidth="1"/>
    <col min="10822" max="10823" width="15.7109375" style="1652" bestFit="1" customWidth="1"/>
    <col min="10824" max="10825" width="14.140625" style="1652" bestFit="1" customWidth="1"/>
    <col min="10826" max="10842" width="8.85546875" style="1652"/>
    <col min="10843" max="10843" width="10" style="1652" bestFit="1" customWidth="1"/>
    <col min="10844" max="11003" width="8.85546875" style="1652"/>
    <col min="11004" max="11004" width="43.85546875" style="1652" customWidth="1"/>
    <col min="11005" max="11005" width="7.140625" style="1652" customWidth="1"/>
    <col min="11006" max="11006" width="15.5703125" style="1652" customWidth="1"/>
    <col min="11007" max="11007" width="16" style="1652" customWidth="1"/>
    <col min="11008" max="11008" width="15.140625" style="1652" customWidth="1"/>
    <col min="11009" max="11009" width="14.85546875" style="1652" customWidth="1"/>
    <col min="11010" max="11010" width="16.28515625" style="1652" customWidth="1"/>
    <col min="11011" max="11011" width="13.85546875" style="1652" customWidth="1"/>
    <col min="11012" max="11012" width="14.140625" style="1652" customWidth="1"/>
    <col min="11013" max="11013" width="15.7109375" style="1652" bestFit="1" customWidth="1"/>
    <col min="11014" max="11014" width="13.42578125" style="1652" bestFit="1" customWidth="1"/>
    <col min="11015" max="11017" width="13.28515625" style="1652" customWidth="1"/>
    <col min="11018" max="11018" width="11.5703125" style="1652" customWidth="1"/>
    <col min="11019" max="11019" width="13.140625" style="1652" customWidth="1"/>
    <col min="11020" max="11020" width="13.85546875" style="1652" customWidth="1"/>
    <col min="11021" max="11021" width="15.140625" style="1652" customWidth="1"/>
    <col min="11022" max="11022" width="16.7109375" style="1652" customWidth="1"/>
    <col min="11023" max="11023" width="13.85546875" style="1652" customWidth="1"/>
    <col min="11024" max="11025" width="16.7109375" style="1652" customWidth="1"/>
    <col min="11026" max="11026" width="15" style="1652" customWidth="1"/>
    <col min="11027" max="11027" width="13" style="1652" customWidth="1"/>
    <col min="11028" max="11028" width="14.140625" style="1652" customWidth="1"/>
    <col min="11029" max="11029" width="13.85546875" style="1652" customWidth="1"/>
    <col min="11030" max="11030" width="12.140625" style="1652" customWidth="1"/>
    <col min="11031" max="11032" width="15" style="1652" customWidth="1"/>
    <col min="11033" max="11033" width="12.140625" style="1652" customWidth="1"/>
    <col min="11034" max="11034" width="16.5703125" style="1652" customWidth="1"/>
    <col min="11035" max="11035" width="12.5703125" style="1652" customWidth="1"/>
    <col min="11036" max="11036" width="24.85546875" style="1652" customWidth="1"/>
    <col min="11037" max="11037" width="11.7109375" style="1652" customWidth="1"/>
    <col min="11038" max="11039" width="13.5703125" style="1652" customWidth="1"/>
    <col min="11040" max="11040" width="18.7109375" style="1652" customWidth="1"/>
    <col min="11041" max="11041" width="13.42578125" style="1652" customWidth="1"/>
    <col min="11042" max="11042" width="18.5703125" style="1652" customWidth="1"/>
    <col min="11043" max="11043" width="13.28515625" style="1652" customWidth="1"/>
    <col min="11044" max="11044" width="13.140625" style="1652" customWidth="1"/>
    <col min="11045" max="11045" width="10.28515625" style="1652" customWidth="1"/>
    <col min="11046" max="11046" width="12.42578125" style="1652" customWidth="1"/>
    <col min="11047" max="11047" width="13.85546875" style="1652" customWidth="1"/>
    <col min="11048" max="11049" width="6.85546875" style="1652" customWidth="1"/>
    <col min="11050" max="11051" width="8.85546875" style="1652"/>
    <col min="11052" max="11052" width="15.7109375" style="1652" customWidth="1"/>
    <col min="11053" max="11053" width="8.85546875" style="1652"/>
    <col min="11054" max="11061" width="13.28515625" style="1652" bestFit="1" customWidth="1"/>
    <col min="11062" max="11062" width="18.7109375" style="1652" bestFit="1" customWidth="1"/>
    <col min="11063" max="11064" width="19" style="1652" bestFit="1" customWidth="1"/>
    <col min="11065" max="11071" width="13.28515625" style="1652" bestFit="1" customWidth="1"/>
    <col min="11072" max="11072" width="14.140625" style="1652" bestFit="1" customWidth="1"/>
    <col min="11073" max="11074" width="15.7109375" style="1652" bestFit="1" customWidth="1"/>
    <col min="11075" max="11077" width="14.140625" style="1652" bestFit="1" customWidth="1"/>
    <col min="11078" max="11079" width="15.7109375" style="1652" bestFit="1" customWidth="1"/>
    <col min="11080" max="11081" width="14.140625" style="1652" bestFit="1" customWidth="1"/>
    <col min="11082" max="11098" width="8.85546875" style="1652"/>
    <col min="11099" max="11099" width="10" style="1652" bestFit="1" customWidth="1"/>
    <col min="11100" max="11259" width="8.85546875" style="1652"/>
    <col min="11260" max="11260" width="43.85546875" style="1652" customWidth="1"/>
    <col min="11261" max="11261" width="7.140625" style="1652" customWidth="1"/>
    <col min="11262" max="11262" width="15.5703125" style="1652" customWidth="1"/>
    <col min="11263" max="11263" width="16" style="1652" customWidth="1"/>
    <col min="11264" max="11264" width="15.140625" style="1652" customWidth="1"/>
    <col min="11265" max="11265" width="14.85546875" style="1652" customWidth="1"/>
    <col min="11266" max="11266" width="16.28515625" style="1652" customWidth="1"/>
    <col min="11267" max="11267" width="13.85546875" style="1652" customWidth="1"/>
    <col min="11268" max="11268" width="14.140625" style="1652" customWidth="1"/>
    <col min="11269" max="11269" width="15.7109375" style="1652" bestFit="1" customWidth="1"/>
    <col min="11270" max="11270" width="13.42578125" style="1652" bestFit="1" customWidth="1"/>
    <col min="11271" max="11273" width="13.28515625" style="1652" customWidth="1"/>
    <col min="11274" max="11274" width="11.5703125" style="1652" customWidth="1"/>
    <col min="11275" max="11275" width="13.140625" style="1652" customWidth="1"/>
    <col min="11276" max="11276" width="13.85546875" style="1652" customWidth="1"/>
    <col min="11277" max="11277" width="15.140625" style="1652" customWidth="1"/>
    <col min="11278" max="11278" width="16.7109375" style="1652" customWidth="1"/>
    <col min="11279" max="11279" width="13.85546875" style="1652" customWidth="1"/>
    <col min="11280" max="11281" width="16.7109375" style="1652" customWidth="1"/>
    <col min="11282" max="11282" width="15" style="1652" customWidth="1"/>
    <col min="11283" max="11283" width="13" style="1652" customWidth="1"/>
    <col min="11284" max="11284" width="14.140625" style="1652" customWidth="1"/>
    <col min="11285" max="11285" width="13.85546875" style="1652" customWidth="1"/>
    <col min="11286" max="11286" width="12.140625" style="1652" customWidth="1"/>
    <col min="11287" max="11288" width="15" style="1652" customWidth="1"/>
    <col min="11289" max="11289" width="12.140625" style="1652" customWidth="1"/>
    <col min="11290" max="11290" width="16.5703125" style="1652" customWidth="1"/>
    <col min="11291" max="11291" width="12.5703125" style="1652" customWidth="1"/>
    <col min="11292" max="11292" width="24.85546875" style="1652" customWidth="1"/>
    <col min="11293" max="11293" width="11.7109375" style="1652" customWidth="1"/>
    <col min="11294" max="11295" width="13.5703125" style="1652" customWidth="1"/>
    <col min="11296" max="11296" width="18.7109375" style="1652" customWidth="1"/>
    <col min="11297" max="11297" width="13.42578125" style="1652" customWidth="1"/>
    <col min="11298" max="11298" width="18.5703125" style="1652" customWidth="1"/>
    <col min="11299" max="11299" width="13.28515625" style="1652" customWidth="1"/>
    <col min="11300" max="11300" width="13.140625" style="1652" customWidth="1"/>
    <col min="11301" max="11301" width="10.28515625" style="1652" customWidth="1"/>
    <col min="11302" max="11302" width="12.42578125" style="1652" customWidth="1"/>
    <col min="11303" max="11303" width="13.85546875" style="1652" customWidth="1"/>
    <col min="11304" max="11305" width="6.85546875" style="1652" customWidth="1"/>
    <col min="11306" max="11307" width="8.85546875" style="1652"/>
    <col min="11308" max="11308" width="15.7109375" style="1652" customWidth="1"/>
    <col min="11309" max="11309" width="8.85546875" style="1652"/>
    <col min="11310" max="11317" width="13.28515625" style="1652" bestFit="1" customWidth="1"/>
    <col min="11318" max="11318" width="18.7109375" style="1652" bestFit="1" customWidth="1"/>
    <col min="11319" max="11320" width="19" style="1652" bestFit="1" customWidth="1"/>
    <col min="11321" max="11327" width="13.28515625" style="1652" bestFit="1" customWidth="1"/>
    <col min="11328" max="11328" width="14.140625" style="1652" bestFit="1" customWidth="1"/>
    <col min="11329" max="11330" width="15.7109375" style="1652" bestFit="1" customWidth="1"/>
    <col min="11331" max="11333" width="14.140625" style="1652" bestFit="1" customWidth="1"/>
    <col min="11334" max="11335" width="15.7109375" style="1652" bestFit="1" customWidth="1"/>
    <col min="11336" max="11337" width="14.140625" style="1652" bestFit="1" customWidth="1"/>
    <col min="11338" max="11354" width="8.85546875" style="1652"/>
    <col min="11355" max="11355" width="10" style="1652" bestFit="1" customWidth="1"/>
    <col min="11356" max="11515" width="8.85546875" style="1652"/>
    <col min="11516" max="11516" width="43.85546875" style="1652" customWidth="1"/>
    <col min="11517" max="11517" width="7.140625" style="1652" customWidth="1"/>
    <col min="11518" max="11518" width="15.5703125" style="1652" customWidth="1"/>
    <col min="11519" max="11519" width="16" style="1652" customWidth="1"/>
    <col min="11520" max="11520" width="15.140625" style="1652" customWidth="1"/>
    <col min="11521" max="11521" width="14.85546875" style="1652" customWidth="1"/>
    <col min="11522" max="11522" width="16.28515625" style="1652" customWidth="1"/>
    <col min="11523" max="11523" width="13.85546875" style="1652" customWidth="1"/>
    <col min="11524" max="11524" width="14.140625" style="1652" customWidth="1"/>
    <col min="11525" max="11525" width="15.7109375" style="1652" bestFit="1" customWidth="1"/>
    <col min="11526" max="11526" width="13.42578125" style="1652" bestFit="1" customWidth="1"/>
    <col min="11527" max="11529" width="13.28515625" style="1652" customWidth="1"/>
    <col min="11530" max="11530" width="11.5703125" style="1652" customWidth="1"/>
    <col min="11531" max="11531" width="13.140625" style="1652" customWidth="1"/>
    <col min="11532" max="11532" width="13.85546875" style="1652" customWidth="1"/>
    <col min="11533" max="11533" width="15.140625" style="1652" customWidth="1"/>
    <col min="11534" max="11534" width="16.7109375" style="1652" customWidth="1"/>
    <col min="11535" max="11535" width="13.85546875" style="1652" customWidth="1"/>
    <col min="11536" max="11537" width="16.7109375" style="1652" customWidth="1"/>
    <col min="11538" max="11538" width="15" style="1652" customWidth="1"/>
    <col min="11539" max="11539" width="13" style="1652" customWidth="1"/>
    <col min="11540" max="11540" width="14.140625" style="1652" customWidth="1"/>
    <col min="11541" max="11541" width="13.85546875" style="1652" customWidth="1"/>
    <col min="11542" max="11542" width="12.140625" style="1652" customWidth="1"/>
    <col min="11543" max="11544" width="15" style="1652" customWidth="1"/>
    <col min="11545" max="11545" width="12.140625" style="1652" customWidth="1"/>
    <col min="11546" max="11546" width="16.5703125" style="1652" customWidth="1"/>
    <col min="11547" max="11547" width="12.5703125" style="1652" customWidth="1"/>
    <col min="11548" max="11548" width="24.85546875" style="1652" customWidth="1"/>
    <col min="11549" max="11549" width="11.7109375" style="1652" customWidth="1"/>
    <col min="11550" max="11551" width="13.5703125" style="1652" customWidth="1"/>
    <col min="11552" max="11552" width="18.7109375" style="1652" customWidth="1"/>
    <col min="11553" max="11553" width="13.42578125" style="1652" customWidth="1"/>
    <col min="11554" max="11554" width="18.5703125" style="1652" customWidth="1"/>
    <col min="11555" max="11555" width="13.28515625" style="1652" customWidth="1"/>
    <col min="11556" max="11556" width="13.140625" style="1652" customWidth="1"/>
    <col min="11557" max="11557" width="10.28515625" style="1652" customWidth="1"/>
    <col min="11558" max="11558" width="12.42578125" style="1652" customWidth="1"/>
    <col min="11559" max="11559" width="13.85546875" style="1652" customWidth="1"/>
    <col min="11560" max="11561" width="6.85546875" style="1652" customWidth="1"/>
    <col min="11562" max="11563" width="8.85546875" style="1652"/>
    <col min="11564" max="11564" width="15.7109375" style="1652" customWidth="1"/>
    <col min="11565" max="11565" width="8.85546875" style="1652"/>
    <col min="11566" max="11573" width="13.28515625" style="1652" bestFit="1" customWidth="1"/>
    <col min="11574" max="11574" width="18.7109375" style="1652" bestFit="1" customWidth="1"/>
    <col min="11575" max="11576" width="19" style="1652" bestFit="1" customWidth="1"/>
    <col min="11577" max="11583" width="13.28515625" style="1652" bestFit="1" customWidth="1"/>
    <col min="11584" max="11584" width="14.140625" style="1652" bestFit="1" customWidth="1"/>
    <col min="11585" max="11586" width="15.7109375" style="1652" bestFit="1" customWidth="1"/>
    <col min="11587" max="11589" width="14.140625" style="1652" bestFit="1" customWidth="1"/>
    <col min="11590" max="11591" width="15.7109375" style="1652" bestFit="1" customWidth="1"/>
    <col min="11592" max="11593" width="14.140625" style="1652" bestFit="1" customWidth="1"/>
    <col min="11594" max="11610" width="8.85546875" style="1652"/>
    <col min="11611" max="11611" width="10" style="1652" bestFit="1" customWidth="1"/>
    <col min="11612" max="11771" width="8.85546875" style="1652"/>
    <col min="11772" max="11772" width="43.85546875" style="1652" customWidth="1"/>
    <col min="11773" max="11773" width="7.140625" style="1652" customWidth="1"/>
    <col min="11774" max="11774" width="15.5703125" style="1652" customWidth="1"/>
    <col min="11775" max="11775" width="16" style="1652" customWidth="1"/>
    <col min="11776" max="11776" width="15.140625" style="1652" customWidth="1"/>
    <col min="11777" max="11777" width="14.85546875" style="1652" customWidth="1"/>
    <col min="11778" max="11778" width="16.28515625" style="1652" customWidth="1"/>
    <col min="11779" max="11779" width="13.85546875" style="1652" customWidth="1"/>
    <col min="11780" max="11780" width="14.140625" style="1652" customWidth="1"/>
    <col min="11781" max="11781" width="15.7109375" style="1652" bestFit="1" customWidth="1"/>
    <col min="11782" max="11782" width="13.42578125" style="1652" bestFit="1" customWidth="1"/>
    <col min="11783" max="11785" width="13.28515625" style="1652" customWidth="1"/>
    <col min="11786" max="11786" width="11.5703125" style="1652" customWidth="1"/>
    <col min="11787" max="11787" width="13.140625" style="1652" customWidth="1"/>
    <col min="11788" max="11788" width="13.85546875" style="1652" customWidth="1"/>
    <col min="11789" max="11789" width="15.140625" style="1652" customWidth="1"/>
    <col min="11790" max="11790" width="16.7109375" style="1652" customWidth="1"/>
    <col min="11791" max="11791" width="13.85546875" style="1652" customWidth="1"/>
    <col min="11792" max="11793" width="16.7109375" style="1652" customWidth="1"/>
    <col min="11794" max="11794" width="15" style="1652" customWidth="1"/>
    <col min="11795" max="11795" width="13" style="1652" customWidth="1"/>
    <col min="11796" max="11796" width="14.140625" style="1652" customWidth="1"/>
    <col min="11797" max="11797" width="13.85546875" style="1652" customWidth="1"/>
    <col min="11798" max="11798" width="12.140625" style="1652" customWidth="1"/>
    <col min="11799" max="11800" width="15" style="1652" customWidth="1"/>
    <col min="11801" max="11801" width="12.140625" style="1652" customWidth="1"/>
    <col min="11802" max="11802" width="16.5703125" style="1652" customWidth="1"/>
    <col min="11803" max="11803" width="12.5703125" style="1652" customWidth="1"/>
    <col min="11804" max="11804" width="24.85546875" style="1652" customWidth="1"/>
    <col min="11805" max="11805" width="11.7109375" style="1652" customWidth="1"/>
    <col min="11806" max="11807" width="13.5703125" style="1652" customWidth="1"/>
    <col min="11808" max="11808" width="18.7109375" style="1652" customWidth="1"/>
    <col min="11809" max="11809" width="13.42578125" style="1652" customWidth="1"/>
    <col min="11810" max="11810" width="18.5703125" style="1652" customWidth="1"/>
    <col min="11811" max="11811" width="13.28515625" style="1652" customWidth="1"/>
    <col min="11812" max="11812" width="13.140625" style="1652" customWidth="1"/>
    <col min="11813" max="11813" width="10.28515625" style="1652" customWidth="1"/>
    <col min="11814" max="11814" width="12.42578125" style="1652" customWidth="1"/>
    <col min="11815" max="11815" width="13.85546875" style="1652" customWidth="1"/>
    <col min="11816" max="11817" width="6.85546875" style="1652" customWidth="1"/>
    <col min="11818" max="11819" width="8.85546875" style="1652"/>
    <col min="11820" max="11820" width="15.7109375" style="1652" customWidth="1"/>
    <col min="11821" max="11821" width="8.85546875" style="1652"/>
    <col min="11822" max="11829" width="13.28515625" style="1652" bestFit="1" customWidth="1"/>
    <col min="11830" max="11830" width="18.7109375" style="1652" bestFit="1" customWidth="1"/>
    <col min="11831" max="11832" width="19" style="1652" bestFit="1" customWidth="1"/>
    <col min="11833" max="11839" width="13.28515625" style="1652" bestFit="1" customWidth="1"/>
    <col min="11840" max="11840" width="14.140625" style="1652" bestFit="1" customWidth="1"/>
    <col min="11841" max="11842" width="15.7109375" style="1652" bestFit="1" customWidth="1"/>
    <col min="11843" max="11845" width="14.140625" style="1652" bestFit="1" customWidth="1"/>
    <col min="11846" max="11847" width="15.7109375" style="1652" bestFit="1" customWidth="1"/>
    <col min="11848" max="11849" width="14.140625" style="1652" bestFit="1" customWidth="1"/>
    <col min="11850" max="11866" width="8.85546875" style="1652"/>
    <col min="11867" max="11867" width="10" style="1652" bestFit="1" customWidth="1"/>
    <col min="11868" max="12027" width="8.85546875" style="1652"/>
    <col min="12028" max="12028" width="43.85546875" style="1652" customWidth="1"/>
    <col min="12029" max="12029" width="7.140625" style="1652" customWidth="1"/>
    <col min="12030" max="12030" width="15.5703125" style="1652" customWidth="1"/>
    <col min="12031" max="12031" width="16" style="1652" customWidth="1"/>
    <col min="12032" max="12032" width="15.140625" style="1652" customWidth="1"/>
    <col min="12033" max="12033" width="14.85546875" style="1652" customWidth="1"/>
    <col min="12034" max="12034" width="16.28515625" style="1652" customWidth="1"/>
    <col min="12035" max="12035" width="13.85546875" style="1652" customWidth="1"/>
    <col min="12036" max="12036" width="14.140625" style="1652" customWidth="1"/>
    <col min="12037" max="12037" width="15.7109375" style="1652" bestFit="1" customWidth="1"/>
    <col min="12038" max="12038" width="13.42578125" style="1652" bestFit="1" customWidth="1"/>
    <col min="12039" max="12041" width="13.28515625" style="1652" customWidth="1"/>
    <col min="12042" max="12042" width="11.5703125" style="1652" customWidth="1"/>
    <col min="12043" max="12043" width="13.140625" style="1652" customWidth="1"/>
    <col min="12044" max="12044" width="13.85546875" style="1652" customWidth="1"/>
    <col min="12045" max="12045" width="15.140625" style="1652" customWidth="1"/>
    <col min="12046" max="12046" width="16.7109375" style="1652" customWidth="1"/>
    <col min="12047" max="12047" width="13.85546875" style="1652" customWidth="1"/>
    <col min="12048" max="12049" width="16.7109375" style="1652" customWidth="1"/>
    <col min="12050" max="12050" width="15" style="1652" customWidth="1"/>
    <col min="12051" max="12051" width="13" style="1652" customWidth="1"/>
    <col min="12052" max="12052" width="14.140625" style="1652" customWidth="1"/>
    <col min="12053" max="12053" width="13.85546875" style="1652" customWidth="1"/>
    <col min="12054" max="12054" width="12.140625" style="1652" customWidth="1"/>
    <col min="12055" max="12056" width="15" style="1652" customWidth="1"/>
    <col min="12057" max="12057" width="12.140625" style="1652" customWidth="1"/>
    <col min="12058" max="12058" width="16.5703125" style="1652" customWidth="1"/>
    <col min="12059" max="12059" width="12.5703125" style="1652" customWidth="1"/>
    <col min="12060" max="12060" width="24.85546875" style="1652" customWidth="1"/>
    <col min="12061" max="12061" width="11.7109375" style="1652" customWidth="1"/>
    <col min="12062" max="12063" width="13.5703125" style="1652" customWidth="1"/>
    <col min="12064" max="12064" width="18.7109375" style="1652" customWidth="1"/>
    <col min="12065" max="12065" width="13.42578125" style="1652" customWidth="1"/>
    <col min="12066" max="12066" width="18.5703125" style="1652" customWidth="1"/>
    <col min="12067" max="12067" width="13.28515625" style="1652" customWidth="1"/>
    <col min="12068" max="12068" width="13.140625" style="1652" customWidth="1"/>
    <col min="12069" max="12069" width="10.28515625" style="1652" customWidth="1"/>
    <col min="12070" max="12070" width="12.42578125" style="1652" customWidth="1"/>
    <col min="12071" max="12071" width="13.85546875" style="1652" customWidth="1"/>
    <col min="12072" max="12073" width="6.85546875" style="1652" customWidth="1"/>
    <col min="12074" max="12075" width="8.85546875" style="1652"/>
    <col min="12076" max="12076" width="15.7109375" style="1652" customWidth="1"/>
    <col min="12077" max="12077" width="8.85546875" style="1652"/>
    <col min="12078" max="12085" width="13.28515625" style="1652" bestFit="1" customWidth="1"/>
    <col min="12086" max="12086" width="18.7109375" style="1652" bestFit="1" customWidth="1"/>
    <col min="12087" max="12088" width="19" style="1652" bestFit="1" customWidth="1"/>
    <col min="12089" max="12095" width="13.28515625" style="1652" bestFit="1" customWidth="1"/>
    <col min="12096" max="12096" width="14.140625" style="1652" bestFit="1" customWidth="1"/>
    <col min="12097" max="12098" width="15.7109375" style="1652" bestFit="1" customWidth="1"/>
    <col min="12099" max="12101" width="14.140625" style="1652" bestFit="1" customWidth="1"/>
    <col min="12102" max="12103" width="15.7109375" style="1652" bestFit="1" customWidth="1"/>
    <col min="12104" max="12105" width="14.140625" style="1652" bestFit="1" customWidth="1"/>
    <col min="12106" max="12122" width="8.85546875" style="1652"/>
    <col min="12123" max="12123" width="10" style="1652" bestFit="1" customWidth="1"/>
    <col min="12124" max="12283" width="8.85546875" style="1652"/>
    <col min="12284" max="12284" width="43.85546875" style="1652" customWidth="1"/>
    <col min="12285" max="12285" width="7.140625" style="1652" customWidth="1"/>
    <col min="12286" max="12286" width="15.5703125" style="1652" customWidth="1"/>
    <col min="12287" max="12287" width="16" style="1652" customWidth="1"/>
    <col min="12288" max="12288" width="15.140625" style="1652" customWidth="1"/>
    <col min="12289" max="12289" width="14.85546875" style="1652" customWidth="1"/>
    <col min="12290" max="12290" width="16.28515625" style="1652" customWidth="1"/>
    <col min="12291" max="12291" width="13.85546875" style="1652" customWidth="1"/>
    <col min="12292" max="12292" width="14.140625" style="1652" customWidth="1"/>
    <col min="12293" max="12293" width="15.7109375" style="1652" bestFit="1" customWidth="1"/>
    <col min="12294" max="12294" width="13.42578125" style="1652" bestFit="1" customWidth="1"/>
    <col min="12295" max="12297" width="13.28515625" style="1652" customWidth="1"/>
    <col min="12298" max="12298" width="11.5703125" style="1652" customWidth="1"/>
    <col min="12299" max="12299" width="13.140625" style="1652" customWidth="1"/>
    <col min="12300" max="12300" width="13.85546875" style="1652" customWidth="1"/>
    <col min="12301" max="12301" width="15.140625" style="1652" customWidth="1"/>
    <col min="12302" max="12302" width="16.7109375" style="1652" customWidth="1"/>
    <col min="12303" max="12303" width="13.85546875" style="1652" customWidth="1"/>
    <col min="12304" max="12305" width="16.7109375" style="1652" customWidth="1"/>
    <col min="12306" max="12306" width="15" style="1652" customWidth="1"/>
    <col min="12307" max="12307" width="13" style="1652" customWidth="1"/>
    <col min="12308" max="12308" width="14.140625" style="1652" customWidth="1"/>
    <col min="12309" max="12309" width="13.85546875" style="1652" customWidth="1"/>
    <col min="12310" max="12310" width="12.140625" style="1652" customWidth="1"/>
    <col min="12311" max="12312" width="15" style="1652" customWidth="1"/>
    <col min="12313" max="12313" width="12.140625" style="1652" customWidth="1"/>
    <col min="12314" max="12314" width="16.5703125" style="1652" customWidth="1"/>
    <col min="12315" max="12315" width="12.5703125" style="1652" customWidth="1"/>
    <col min="12316" max="12316" width="24.85546875" style="1652" customWidth="1"/>
    <col min="12317" max="12317" width="11.7109375" style="1652" customWidth="1"/>
    <col min="12318" max="12319" width="13.5703125" style="1652" customWidth="1"/>
    <col min="12320" max="12320" width="18.7109375" style="1652" customWidth="1"/>
    <col min="12321" max="12321" width="13.42578125" style="1652" customWidth="1"/>
    <col min="12322" max="12322" width="18.5703125" style="1652" customWidth="1"/>
    <col min="12323" max="12323" width="13.28515625" style="1652" customWidth="1"/>
    <col min="12324" max="12324" width="13.140625" style="1652" customWidth="1"/>
    <col min="12325" max="12325" width="10.28515625" style="1652" customWidth="1"/>
    <col min="12326" max="12326" width="12.42578125" style="1652" customWidth="1"/>
    <col min="12327" max="12327" width="13.85546875" style="1652" customWidth="1"/>
    <col min="12328" max="12329" width="6.85546875" style="1652" customWidth="1"/>
    <col min="12330" max="12331" width="8.85546875" style="1652"/>
    <col min="12332" max="12332" width="15.7109375" style="1652" customWidth="1"/>
    <col min="12333" max="12333" width="8.85546875" style="1652"/>
    <col min="12334" max="12341" width="13.28515625" style="1652" bestFit="1" customWidth="1"/>
    <col min="12342" max="12342" width="18.7109375" style="1652" bestFit="1" customWidth="1"/>
    <col min="12343" max="12344" width="19" style="1652" bestFit="1" customWidth="1"/>
    <col min="12345" max="12351" width="13.28515625" style="1652" bestFit="1" customWidth="1"/>
    <col min="12352" max="12352" width="14.140625" style="1652" bestFit="1" customWidth="1"/>
    <col min="12353" max="12354" width="15.7109375" style="1652" bestFit="1" customWidth="1"/>
    <col min="12355" max="12357" width="14.140625" style="1652" bestFit="1" customWidth="1"/>
    <col min="12358" max="12359" width="15.7109375" style="1652" bestFit="1" customWidth="1"/>
    <col min="12360" max="12361" width="14.140625" style="1652" bestFit="1" customWidth="1"/>
    <col min="12362" max="12378" width="8.85546875" style="1652"/>
    <col min="12379" max="12379" width="10" style="1652" bestFit="1" customWidth="1"/>
    <col min="12380" max="12539" width="8.85546875" style="1652"/>
    <col min="12540" max="12540" width="43.85546875" style="1652" customWidth="1"/>
    <col min="12541" max="12541" width="7.140625" style="1652" customWidth="1"/>
    <col min="12542" max="12542" width="15.5703125" style="1652" customWidth="1"/>
    <col min="12543" max="12543" width="16" style="1652" customWidth="1"/>
    <col min="12544" max="12544" width="15.140625" style="1652" customWidth="1"/>
    <col min="12545" max="12545" width="14.85546875" style="1652" customWidth="1"/>
    <col min="12546" max="12546" width="16.28515625" style="1652" customWidth="1"/>
    <col min="12547" max="12547" width="13.85546875" style="1652" customWidth="1"/>
    <col min="12548" max="12548" width="14.140625" style="1652" customWidth="1"/>
    <col min="12549" max="12549" width="15.7109375" style="1652" bestFit="1" customWidth="1"/>
    <col min="12550" max="12550" width="13.42578125" style="1652" bestFit="1" customWidth="1"/>
    <col min="12551" max="12553" width="13.28515625" style="1652" customWidth="1"/>
    <col min="12554" max="12554" width="11.5703125" style="1652" customWidth="1"/>
    <col min="12555" max="12555" width="13.140625" style="1652" customWidth="1"/>
    <col min="12556" max="12556" width="13.85546875" style="1652" customWidth="1"/>
    <col min="12557" max="12557" width="15.140625" style="1652" customWidth="1"/>
    <col min="12558" max="12558" width="16.7109375" style="1652" customWidth="1"/>
    <col min="12559" max="12559" width="13.85546875" style="1652" customWidth="1"/>
    <col min="12560" max="12561" width="16.7109375" style="1652" customWidth="1"/>
    <col min="12562" max="12562" width="15" style="1652" customWidth="1"/>
    <col min="12563" max="12563" width="13" style="1652" customWidth="1"/>
    <col min="12564" max="12564" width="14.140625" style="1652" customWidth="1"/>
    <col min="12565" max="12565" width="13.85546875" style="1652" customWidth="1"/>
    <col min="12566" max="12566" width="12.140625" style="1652" customWidth="1"/>
    <col min="12567" max="12568" width="15" style="1652" customWidth="1"/>
    <col min="12569" max="12569" width="12.140625" style="1652" customWidth="1"/>
    <col min="12570" max="12570" width="16.5703125" style="1652" customWidth="1"/>
    <col min="12571" max="12571" width="12.5703125" style="1652" customWidth="1"/>
    <col min="12572" max="12572" width="24.85546875" style="1652" customWidth="1"/>
    <col min="12573" max="12573" width="11.7109375" style="1652" customWidth="1"/>
    <col min="12574" max="12575" width="13.5703125" style="1652" customWidth="1"/>
    <col min="12576" max="12576" width="18.7109375" style="1652" customWidth="1"/>
    <col min="12577" max="12577" width="13.42578125" style="1652" customWidth="1"/>
    <col min="12578" max="12578" width="18.5703125" style="1652" customWidth="1"/>
    <col min="12579" max="12579" width="13.28515625" style="1652" customWidth="1"/>
    <col min="12580" max="12580" width="13.140625" style="1652" customWidth="1"/>
    <col min="12581" max="12581" width="10.28515625" style="1652" customWidth="1"/>
    <col min="12582" max="12582" width="12.42578125" style="1652" customWidth="1"/>
    <col min="12583" max="12583" width="13.85546875" style="1652" customWidth="1"/>
    <col min="12584" max="12585" width="6.85546875" style="1652" customWidth="1"/>
    <col min="12586" max="12587" width="8.85546875" style="1652"/>
    <col min="12588" max="12588" width="15.7109375" style="1652" customWidth="1"/>
    <col min="12589" max="12589" width="8.85546875" style="1652"/>
    <col min="12590" max="12597" width="13.28515625" style="1652" bestFit="1" customWidth="1"/>
    <col min="12598" max="12598" width="18.7109375" style="1652" bestFit="1" customWidth="1"/>
    <col min="12599" max="12600" width="19" style="1652" bestFit="1" customWidth="1"/>
    <col min="12601" max="12607" width="13.28515625" style="1652" bestFit="1" customWidth="1"/>
    <col min="12608" max="12608" width="14.140625" style="1652" bestFit="1" customWidth="1"/>
    <col min="12609" max="12610" width="15.7109375" style="1652" bestFit="1" customWidth="1"/>
    <col min="12611" max="12613" width="14.140625" style="1652" bestFit="1" customWidth="1"/>
    <col min="12614" max="12615" width="15.7109375" style="1652" bestFit="1" customWidth="1"/>
    <col min="12616" max="12617" width="14.140625" style="1652" bestFit="1" customWidth="1"/>
    <col min="12618" max="12634" width="8.85546875" style="1652"/>
    <col min="12635" max="12635" width="10" style="1652" bestFit="1" customWidth="1"/>
    <col min="12636" max="12795" width="8.85546875" style="1652"/>
    <col min="12796" max="12796" width="43.85546875" style="1652" customWidth="1"/>
    <col min="12797" max="12797" width="7.140625" style="1652" customWidth="1"/>
    <col min="12798" max="12798" width="15.5703125" style="1652" customWidth="1"/>
    <col min="12799" max="12799" width="16" style="1652" customWidth="1"/>
    <col min="12800" max="12800" width="15.140625" style="1652" customWidth="1"/>
    <col min="12801" max="12801" width="14.85546875" style="1652" customWidth="1"/>
    <col min="12802" max="12802" width="16.28515625" style="1652" customWidth="1"/>
    <col min="12803" max="12803" width="13.85546875" style="1652" customWidth="1"/>
    <col min="12804" max="12804" width="14.140625" style="1652" customWidth="1"/>
    <col min="12805" max="12805" width="15.7109375" style="1652" bestFit="1" customWidth="1"/>
    <col min="12806" max="12806" width="13.42578125" style="1652" bestFit="1" customWidth="1"/>
    <col min="12807" max="12809" width="13.28515625" style="1652" customWidth="1"/>
    <col min="12810" max="12810" width="11.5703125" style="1652" customWidth="1"/>
    <col min="12811" max="12811" width="13.140625" style="1652" customWidth="1"/>
    <col min="12812" max="12812" width="13.85546875" style="1652" customWidth="1"/>
    <col min="12813" max="12813" width="15.140625" style="1652" customWidth="1"/>
    <col min="12814" max="12814" width="16.7109375" style="1652" customWidth="1"/>
    <col min="12815" max="12815" width="13.85546875" style="1652" customWidth="1"/>
    <col min="12816" max="12817" width="16.7109375" style="1652" customWidth="1"/>
    <col min="12818" max="12818" width="15" style="1652" customWidth="1"/>
    <col min="12819" max="12819" width="13" style="1652" customWidth="1"/>
    <col min="12820" max="12820" width="14.140625" style="1652" customWidth="1"/>
    <col min="12821" max="12821" width="13.85546875" style="1652" customWidth="1"/>
    <col min="12822" max="12822" width="12.140625" style="1652" customWidth="1"/>
    <col min="12823" max="12824" width="15" style="1652" customWidth="1"/>
    <col min="12825" max="12825" width="12.140625" style="1652" customWidth="1"/>
    <col min="12826" max="12826" width="16.5703125" style="1652" customWidth="1"/>
    <col min="12827" max="12827" width="12.5703125" style="1652" customWidth="1"/>
    <col min="12828" max="12828" width="24.85546875" style="1652" customWidth="1"/>
    <col min="12829" max="12829" width="11.7109375" style="1652" customWidth="1"/>
    <col min="12830" max="12831" width="13.5703125" style="1652" customWidth="1"/>
    <col min="12832" max="12832" width="18.7109375" style="1652" customWidth="1"/>
    <col min="12833" max="12833" width="13.42578125" style="1652" customWidth="1"/>
    <col min="12834" max="12834" width="18.5703125" style="1652" customWidth="1"/>
    <col min="12835" max="12835" width="13.28515625" style="1652" customWidth="1"/>
    <col min="12836" max="12836" width="13.140625" style="1652" customWidth="1"/>
    <col min="12837" max="12837" width="10.28515625" style="1652" customWidth="1"/>
    <col min="12838" max="12838" width="12.42578125" style="1652" customWidth="1"/>
    <col min="12839" max="12839" width="13.85546875" style="1652" customWidth="1"/>
    <col min="12840" max="12841" width="6.85546875" style="1652" customWidth="1"/>
    <col min="12842" max="12843" width="8.85546875" style="1652"/>
    <col min="12844" max="12844" width="15.7109375" style="1652" customWidth="1"/>
    <col min="12845" max="12845" width="8.85546875" style="1652"/>
    <col min="12846" max="12853" width="13.28515625" style="1652" bestFit="1" customWidth="1"/>
    <col min="12854" max="12854" width="18.7109375" style="1652" bestFit="1" customWidth="1"/>
    <col min="12855" max="12856" width="19" style="1652" bestFit="1" customWidth="1"/>
    <col min="12857" max="12863" width="13.28515625" style="1652" bestFit="1" customWidth="1"/>
    <col min="12864" max="12864" width="14.140625" style="1652" bestFit="1" customWidth="1"/>
    <col min="12865" max="12866" width="15.7109375" style="1652" bestFit="1" customWidth="1"/>
    <col min="12867" max="12869" width="14.140625" style="1652" bestFit="1" customWidth="1"/>
    <col min="12870" max="12871" width="15.7109375" style="1652" bestFit="1" customWidth="1"/>
    <col min="12872" max="12873" width="14.140625" style="1652" bestFit="1" customWidth="1"/>
    <col min="12874" max="12890" width="8.85546875" style="1652"/>
    <col min="12891" max="12891" width="10" style="1652" bestFit="1" customWidth="1"/>
    <col min="12892" max="13051" width="8.85546875" style="1652"/>
    <col min="13052" max="13052" width="43.85546875" style="1652" customWidth="1"/>
    <col min="13053" max="13053" width="7.140625" style="1652" customWidth="1"/>
    <col min="13054" max="13054" width="15.5703125" style="1652" customWidth="1"/>
    <col min="13055" max="13055" width="16" style="1652" customWidth="1"/>
    <col min="13056" max="13056" width="15.140625" style="1652" customWidth="1"/>
    <col min="13057" max="13057" width="14.85546875" style="1652" customWidth="1"/>
    <col min="13058" max="13058" width="16.28515625" style="1652" customWidth="1"/>
    <col min="13059" max="13059" width="13.85546875" style="1652" customWidth="1"/>
    <col min="13060" max="13060" width="14.140625" style="1652" customWidth="1"/>
    <col min="13061" max="13061" width="15.7109375" style="1652" bestFit="1" customWidth="1"/>
    <col min="13062" max="13062" width="13.42578125" style="1652" bestFit="1" customWidth="1"/>
    <col min="13063" max="13065" width="13.28515625" style="1652" customWidth="1"/>
    <col min="13066" max="13066" width="11.5703125" style="1652" customWidth="1"/>
    <col min="13067" max="13067" width="13.140625" style="1652" customWidth="1"/>
    <col min="13068" max="13068" width="13.85546875" style="1652" customWidth="1"/>
    <col min="13069" max="13069" width="15.140625" style="1652" customWidth="1"/>
    <col min="13070" max="13070" width="16.7109375" style="1652" customWidth="1"/>
    <col min="13071" max="13071" width="13.85546875" style="1652" customWidth="1"/>
    <col min="13072" max="13073" width="16.7109375" style="1652" customWidth="1"/>
    <col min="13074" max="13074" width="15" style="1652" customWidth="1"/>
    <col min="13075" max="13075" width="13" style="1652" customWidth="1"/>
    <col min="13076" max="13076" width="14.140625" style="1652" customWidth="1"/>
    <col min="13077" max="13077" width="13.85546875" style="1652" customWidth="1"/>
    <col min="13078" max="13078" width="12.140625" style="1652" customWidth="1"/>
    <col min="13079" max="13080" width="15" style="1652" customWidth="1"/>
    <col min="13081" max="13081" width="12.140625" style="1652" customWidth="1"/>
    <col min="13082" max="13082" width="16.5703125" style="1652" customWidth="1"/>
    <col min="13083" max="13083" width="12.5703125" style="1652" customWidth="1"/>
    <col min="13084" max="13084" width="24.85546875" style="1652" customWidth="1"/>
    <col min="13085" max="13085" width="11.7109375" style="1652" customWidth="1"/>
    <col min="13086" max="13087" width="13.5703125" style="1652" customWidth="1"/>
    <col min="13088" max="13088" width="18.7109375" style="1652" customWidth="1"/>
    <col min="13089" max="13089" width="13.42578125" style="1652" customWidth="1"/>
    <col min="13090" max="13090" width="18.5703125" style="1652" customWidth="1"/>
    <col min="13091" max="13091" width="13.28515625" style="1652" customWidth="1"/>
    <col min="13092" max="13092" width="13.140625" style="1652" customWidth="1"/>
    <col min="13093" max="13093" width="10.28515625" style="1652" customWidth="1"/>
    <col min="13094" max="13094" width="12.42578125" style="1652" customWidth="1"/>
    <col min="13095" max="13095" width="13.85546875" style="1652" customWidth="1"/>
    <col min="13096" max="13097" width="6.85546875" style="1652" customWidth="1"/>
    <col min="13098" max="13099" width="8.85546875" style="1652"/>
    <col min="13100" max="13100" width="15.7109375" style="1652" customWidth="1"/>
    <col min="13101" max="13101" width="8.85546875" style="1652"/>
    <col min="13102" max="13109" width="13.28515625" style="1652" bestFit="1" customWidth="1"/>
    <col min="13110" max="13110" width="18.7109375" style="1652" bestFit="1" customWidth="1"/>
    <col min="13111" max="13112" width="19" style="1652" bestFit="1" customWidth="1"/>
    <col min="13113" max="13119" width="13.28515625" style="1652" bestFit="1" customWidth="1"/>
    <col min="13120" max="13120" width="14.140625" style="1652" bestFit="1" customWidth="1"/>
    <col min="13121" max="13122" width="15.7109375" style="1652" bestFit="1" customWidth="1"/>
    <col min="13123" max="13125" width="14.140625" style="1652" bestFit="1" customWidth="1"/>
    <col min="13126" max="13127" width="15.7109375" style="1652" bestFit="1" customWidth="1"/>
    <col min="13128" max="13129" width="14.140625" style="1652" bestFit="1" customWidth="1"/>
    <col min="13130" max="13146" width="8.85546875" style="1652"/>
    <col min="13147" max="13147" width="10" style="1652" bestFit="1" customWidth="1"/>
    <col min="13148" max="13307" width="8.85546875" style="1652"/>
    <col min="13308" max="13308" width="43.85546875" style="1652" customWidth="1"/>
    <col min="13309" max="13309" width="7.140625" style="1652" customWidth="1"/>
    <col min="13310" max="13310" width="15.5703125" style="1652" customWidth="1"/>
    <col min="13311" max="13311" width="16" style="1652" customWidth="1"/>
    <col min="13312" max="13312" width="15.140625" style="1652" customWidth="1"/>
    <col min="13313" max="13313" width="14.85546875" style="1652" customWidth="1"/>
    <col min="13314" max="13314" width="16.28515625" style="1652" customWidth="1"/>
    <col min="13315" max="13315" width="13.85546875" style="1652" customWidth="1"/>
    <col min="13316" max="13316" width="14.140625" style="1652" customWidth="1"/>
    <col min="13317" max="13317" width="15.7109375" style="1652" bestFit="1" customWidth="1"/>
    <col min="13318" max="13318" width="13.42578125" style="1652" bestFit="1" customWidth="1"/>
    <col min="13319" max="13321" width="13.28515625" style="1652" customWidth="1"/>
    <col min="13322" max="13322" width="11.5703125" style="1652" customWidth="1"/>
    <col min="13323" max="13323" width="13.140625" style="1652" customWidth="1"/>
    <col min="13324" max="13324" width="13.85546875" style="1652" customWidth="1"/>
    <col min="13325" max="13325" width="15.140625" style="1652" customWidth="1"/>
    <col min="13326" max="13326" width="16.7109375" style="1652" customWidth="1"/>
    <col min="13327" max="13327" width="13.85546875" style="1652" customWidth="1"/>
    <col min="13328" max="13329" width="16.7109375" style="1652" customWidth="1"/>
    <col min="13330" max="13330" width="15" style="1652" customWidth="1"/>
    <col min="13331" max="13331" width="13" style="1652" customWidth="1"/>
    <col min="13332" max="13332" width="14.140625" style="1652" customWidth="1"/>
    <col min="13333" max="13333" width="13.85546875" style="1652" customWidth="1"/>
    <col min="13334" max="13334" width="12.140625" style="1652" customWidth="1"/>
    <col min="13335" max="13336" width="15" style="1652" customWidth="1"/>
    <col min="13337" max="13337" width="12.140625" style="1652" customWidth="1"/>
    <col min="13338" max="13338" width="16.5703125" style="1652" customWidth="1"/>
    <col min="13339" max="13339" width="12.5703125" style="1652" customWidth="1"/>
    <col min="13340" max="13340" width="24.85546875" style="1652" customWidth="1"/>
    <col min="13341" max="13341" width="11.7109375" style="1652" customWidth="1"/>
    <col min="13342" max="13343" width="13.5703125" style="1652" customWidth="1"/>
    <col min="13344" max="13344" width="18.7109375" style="1652" customWidth="1"/>
    <col min="13345" max="13345" width="13.42578125" style="1652" customWidth="1"/>
    <col min="13346" max="13346" width="18.5703125" style="1652" customWidth="1"/>
    <col min="13347" max="13347" width="13.28515625" style="1652" customWidth="1"/>
    <col min="13348" max="13348" width="13.140625" style="1652" customWidth="1"/>
    <col min="13349" max="13349" width="10.28515625" style="1652" customWidth="1"/>
    <col min="13350" max="13350" width="12.42578125" style="1652" customWidth="1"/>
    <col min="13351" max="13351" width="13.85546875" style="1652" customWidth="1"/>
    <col min="13352" max="13353" width="6.85546875" style="1652" customWidth="1"/>
    <col min="13354" max="13355" width="8.85546875" style="1652"/>
    <col min="13356" max="13356" width="15.7109375" style="1652" customWidth="1"/>
    <col min="13357" max="13357" width="8.85546875" style="1652"/>
    <col min="13358" max="13365" width="13.28515625" style="1652" bestFit="1" customWidth="1"/>
    <col min="13366" max="13366" width="18.7109375" style="1652" bestFit="1" customWidth="1"/>
    <col min="13367" max="13368" width="19" style="1652" bestFit="1" customWidth="1"/>
    <col min="13369" max="13375" width="13.28515625" style="1652" bestFit="1" customWidth="1"/>
    <col min="13376" max="13376" width="14.140625" style="1652" bestFit="1" customWidth="1"/>
    <col min="13377" max="13378" width="15.7109375" style="1652" bestFit="1" customWidth="1"/>
    <col min="13379" max="13381" width="14.140625" style="1652" bestFit="1" customWidth="1"/>
    <col min="13382" max="13383" width="15.7109375" style="1652" bestFit="1" customWidth="1"/>
    <col min="13384" max="13385" width="14.140625" style="1652" bestFit="1" customWidth="1"/>
    <col min="13386" max="13402" width="8.85546875" style="1652"/>
    <col min="13403" max="13403" width="10" style="1652" bestFit="1" customWidth="1"/>
    <col min="13404" max="13563" width="8.85546875" style="1652"/>
    <col min="13564" max="13564" width="43.85546875" style="1652" customWidth="1"/>
    <col min="13565" max="13565" width="7.140625" style="1652" customWidth="1"/>
    <col min="13566" max="13566" width="15.5703125" style="1652" customWidth="1"/>
    <col min="13567" max="13567" width="16" style="1652" customWidth="1"/>
    <col min="13568" max="13568" width="15.140625" style="1652" customWidth="1"/>
    <col min="13569" max="13569" width="14.85546875" style="1652" customWidth="1"/>
    <col min="13570" max="13570" width="16.28515625" style="1652" customWidth="1"/>
    <col min="13571" max="13571" width="13.85546875" style="1652" customWidth="1"/>
    <col min="13572" max="13572" width="14.140625" style="1652" customWidth="1"/>
    <col min="13573" max="13573" width="15.7109375" style="1652" bestFit="1" customWidth="1"/>
    <col min="13574" max="13574" width="13.42578125" style="1652" bestFit="1" customWidth="1"/>
    <col min="13575" max="13577" width="13.28515625" style="1652" customWidth="1"/>
    <col min="13578" max="13578" width="11.5703125" style="1652" customWidth="1"/>
    <col min="13579" max="13579" width="13.140625" style="1652" customWidth="1"/>
    <col min="13580" max="13580" width="13.85546875" style="1652" customWidth="1"/>
    <col min="13581" max="13581" width="15.140625" style="1652" customWidth="1"/>
    <col min="13582" max="13582" width="16.7109375" style="1652" customWidth="1"/>
    <col min="13583" max="13583" width="13.85546875" style="1652" customWidth="1"/>
    <col min="13584" max="13585" width="16.7109375" style="1652" customWidth="1"/>
    <col min="13586" max="13586" width="15" style="1652" customWidth="1"/>
    <col min="13587" max="13587" width="13" style="1652" customWidth="1"/>
    <col min="13588" max="13588" width="14.140625" style="1652" customWidth="1"/>
    <col min="13589" max="13589" width="13.85546875" style="1652" customWidth="1"/>
    <col min="13590" max="13590" width="12.140625" style="1652" customWidth="1"/>
    <col min="13591" max="13592" width="15" style="1652" customWidth="1"/>
    <col min="13593" max="13593" width="12.140625" style="1652" customWidth="1"/>
    <col min="13594" max="13594" width="16.5703125" style="1652" customWidth="1"/>
    <col min="13595" max="13595" width="12.5703125" style="1652" customWidth="1"/>
    <col min="13596" max="13596" width="24.85546875" style="1652" customWidth="1"/>
    <col min="13597" max="13597" width="11.7109375" style="1652" customWidth="1"/>
    <col min="13598" max="13599" width="13.5703125" style="1652" customWidth="1"/>
    <col min="13600" max="13600" width="18.7109375" style="1652" customWidth="1"/>
    <col min="13601" max="13601" width="13.42578125" style="1652" customWidth="1"/>
    <col min="13602" max="13602" width="18.5703125" style="1652" customWidth="1"/>
    <col min="13603" max="13603" width="13.28515625" style="1652" customWidth="1"/>
    <col min="13604" max="13604" width="13.140625" style="1652" customWidth="1"/>
    <col min="13605" max="13605" width="10.28515625" style="1652" customWidth="1"/>
    <col min="13606" max="13606" width="12.42578125" style="1652" customWidth="1"/>
    <col min="13607" max="13607" width="13.85546875" style="1652" customWidth="1"/>
    <col min="13608" max="13609" width="6.85546875" style="1652" customWidth="1"/>
    <col min="13610" max="13611" width="8.85546875" style="1652"/>
    <col min="13612" max="13612" width="15.7109375" style="1652" customWidth="1"/>
    <col min="13613" max="13613" width="8.85546875" style="1652"/>
    <col min="13614" max="13621" width="13.28515625" style="1652" bestFit="1" customWidth="1"/>
    <col min="13622" max="13622" width="18.7109375" style="1652" bestFit="1" customWidth="1"/>
    <col min="13623" max="13624" width="19" style="1652" bestFit="1" customWidth="1"/>
    <col min="13625" max="13631" width="13.28515625" style="1652" bestFit="1" customWidth="1"/>
    <col min="13632" max="13632" width="14.140625" style="1652" bestFit="1" customWidth="1"/>
    <col min="13633" max="13634" width="15.7109375" style="1652" bestFit="1" customWidth="1"/>
    <col min="13635" max="13637" width="14.140625" style="1652" bestFit="1" customWidth="1"/>
    <col min="13638" max="13639" width="15.7109375" style="1652" bestFit="1" customWidth="1"/>
    <col min="13640" max="13641" width="14.140625" style="1652" bestFit="1" customWidth="1"/>
    <col min="13642" max="13658" width="8.85546875" style="1652"/>
    <col min="13659" max="13659" width="10" style="1652" bestFit="1" customWidth="1"/>
    <col min="13660" max="13819" width="8.85546875" style="1652"/>
    <col min="13820" max="13820" width="43.85546875" style="1652" customWidth="1"/>
    <col min="13821" max="13821" width="7.140625" style="1652" customWidth="1"/>
    <col min="13822" max="13822" width="15.5703125" style="1652" customWidth="1"/>
    <col min="13823" max="13823" width="16" style="1652" customWidth="1"/>
    <col min="13824" max="13824" width="15.140625" style="1652" customWidth="1"/>
    <col min="13825" max="13825" width="14.85546875" style="1652" customWidth="1"/>
    <col min="13826" max="13826" width="16.28515625" style="1652" customWidth="1"/>
    <col min="13827" max="13827" width="13.85546875" style="1652" customWidth="1"/>
    <col min="13828" max="13828" width="14.140625" style="1652" customWidth="1"/>
    <col min="13829" max="13829" width="15.7109375" style="1652" bestFit="1" customWidth="1"/>
    <col min="13830" max="13830" width="13.42578125" style="1652" bestFit="1" customWidth="1"/>
    <col min="13831" max="13833" width="13.28515625" style="1652" customWidth="1"/>
    <col min="13834" max="13834" width="11.5703125" style="1652" customWidth="1"/>
    <col min="13835" max="13835" width="13.140625" style="1652" customWidth="1"/>
    <col min="13836" max="13836" width="13.85546875" style="1652" customWidth="1"/>
    <col min="13837" max="13837" width="15.140625" style="1652" customWidth="1"/>
    <col min="13838" max="13838" width="16.7109375" style="1652" customWidth="1"/>
    <col min="13839" max="13839" width="13.85546875" style="1652" customWidth="1"/>
    <col min="13840" max="13841" width="16.7109375" style="1652" customWidth="1"/>
    <col min="13842" max="13842" width="15" style="1652" customWidth="1"/>
    <col min="13843" max="13843" width="13" style="1652" customWidth="1"/>
    <col min="13844" max="13844" width="14.140625" style="1652" customWidth="1"/>
    <col min="13845" max="13845" width="13.85546875" style="1652" customWidth="1"/>
    <col min="13846" max="13846" width="12.140625" style="1652" customWidth="1"/>
    <col min="13847" max="13848" width="15" style="1652" customWidth="1"/>
    <col min="13849" max="13849" width="12.140625" style="1652" customWidth="1"/>
    <col min="13850" max="13850" width="16.5703125" style="1652" customWidth="1"/>
    <col min="13851" max="13851" width="12.5703125" style="1652" customWidth="1"/>
    <col min="13852" max="13852" width="24.85546875" style="1652" customWidth="1"/>
    <col min="13853" max="13853" width="11.7109375" style="1652" customWidth="1"/>
    <col min="13854" max="13855" width="13.5703125" style="1652" customWidth="1"/>
    <col min="13856" max="13856" width="18.7109375" style="1652" customWidth="1"/>
    <col min="13857" max="13857" width="13.42578125" style="1652" customWidth="1"/>
    <col min="13858" max="13858" width="18.5703125" style="1652" customWidth="1"/>
    <col min="13859" max="13859" width="13.28515625" style="1652" customWidth="1"/>
    <col min="13860" max="13860" width="13.140625" style="1652" customWidth="1"/>
    <col min="13861" max="13861" width="10.28515625" style="1652" customWidth="1"/>
    <col min="13862" max="13862" width="12.42578125" style="1652" customWidth="1"/>
    <col min="13863" max="13863" width="13.85546875" style="1652" customWidth="1"/>
    <col min="13864" max="13865" width="6.85546875" style="1652" customWidth="1"/>
    <col min="13866" max="13867" width="8.85546875" style="1652"/>
    <col min="13868" max="13868" width="15.7109375" style="1652" customWidth="1"/>
    <col min="13869" max="13869" width="8.85546875" style="1652"/>
    <col min="13870" max="13877" width="13.28515625" style="1652" bestFit="1" customWidth="1"/>
    <col min="13878" max="13878" width="18.7109375" style="1652" bestFit="1" customWidth="1"/>
    <col min="13879" max="13880" width="19" style="1652" bestFit="1" customWidth="1"/>
    <col min="13881" max="13887" width="13.28515625" style="1652" bestFit="1" customWidth="1"/>
    <col min="13888" max="13888" width="14.140625" style="1652" bestFit="1" customWidth="1"/>
    <col min="13889" max="13890" width="15.7109375" style="1652" bestFit="1" customWidth="1"/>
    <col min="13891" max="13893" width="14.140625" style="1652" bestFit="1" customWidth="1"/>
    <col min="13894" max="13895" width="15.7109375" style="1652" bestFit="1" customWidth="1"/>
    <col min="13896" max="13897" width="14.140625" style="1652" bestFit="1" customWidth="1"/>
    <col min="13898" max="13914" width="8.85546875" style="1652"/>
    <col min="13915" max="13915" width="10" style="1652" bestFit="1" customWidth="1"/>
    <col min="13916" max="14075" width="8.85546875" style="1652"/>
    <col min="14076" max="14076" width="43.85546875" style="1652" customWidth="1"/>
    <col min="14077" max="14077" width="7.140625" style="1652" customWidth="1"/>
    <col min="14078" max="14078" width="15.5703125" style="1652" customWidth="1"/>
    <col min="14079" max="14079" width="16" style="1652" customWidth="1"/>
    <col min="14080" max="14080" width="15.140625" style="1652" customWidth="1"/>
    <col min="14081" max="14081" width="14.85546875" style="1652" customWidth="1"/>
    <col min="14082" max="14082" width="16.28515625" style="1652" customWidth="1"/>
    <col min="14083" max="14083" width="13.85546875" style="1652" customWidth="1"/>
    <col min="14084" max="14084" width="14.140625" style="1652" customWidth="1"/>
    <col min="14085" max="14085" width="15.7109375" style="1652" bestFit="1" customWidth="1"/>
    <col min="14086" max="14086" width="13.42578125" style="1652" bestFit="1" customWidth="1"/>
    <col min="14087" max="14089" width="13.28515625" style="1652" customWidth="1"/>
    <col min="14090" max="14090" width="11.5703125" style="1652" customWidth="1"/>
    <col min="14091" max="14091" width="13.140625" style="1652" customWidth="1"/>
    <col min="14092" max="14092" width="13.85546875" style="1652" customWidth="1"/>
    <col min="14093" max="14093" width="15.140625" style="1652" customWidth="1"/>
    <col min="14094" max="14094" width="16.7109375" style="1652" customWidth="1"/>
    <col min="14095" max="14095" width="13.85546875" style="1652" customWidth="1"/>
    <col min="14096" max="14097" width="16.7109375" style="1652" customWidth="1"/>
    <col min="14098" max="14098" width="15" style="1652" customWidth="1"/>
    <col min="14099" max="14099" width="13" style="1652" customWidth="1"/>
    <col min="14100" max="14100" width="14.140625" style="1652" customWidth="1"/>
    <col min="14101" max="14101" width="13.85546875" style="1652" customWidth="1"/>
    <col min="14102" max="14102" width="12.140625" style="1652" customWidth="1"/>
    <col min="14103" max="14104" width="15" style="1652" customWidth="1"/>
    <col min="14105" max="14105" width="12.140625" style="1652" customWidth="1"/>
    <col min="14106" max="14106" width="16.5703125" style="1652" customWidth="1"/>
    <col min="14107" max="14107" width="12.5703125" style="1652" customWidth="1"/>
    <col min="14108" max="14108" width="24.85546875" style="1652" customWidth="1"/>
    <col min="14109" max="14109" width="11.7109375" style="1652" customWidth="1"/>
    <col min="14110" max="14111" width="13.5703125" style="1652" customWidth="1"/>
    <col min="14112" max="14112" width="18.7109375" style="1652" customWidth="1"/>
    <col min="14113" max="14113" width="13.42578125" style="1652" customWidth="1"/>
    <col min="14114" max="14114" width="18.5703125" style="1652" customWidth="1"/>
    <col min="14115" max="14115" width="13.28515625" style="1652" customWidth="1"/>
    <col min="14116" max="14116" width="13.140625" style="1652" customWidth="1"/>
    <col min="14117" max="14117" width="10.28515625" style="1652" customWidth="1"/>
    <col min="14118" max="14118" width="12.42578125" style="1652" customWidth="1"/>
    <col min="14119" max="14119" width="13.85546875" style="1652" customWidth="1"/>
    <col min="14120" max="14121" width="6.85546875" style="1652" customWidth="1"/>
    <col min="14122" max="14123" width="8.85546875" style="1652"/>
    <col min="14124" max="14124" width="15.7109375" style="1652" customWidth="1"/>
    <col min="14125" max="14125" width="8.85546875" style="1652"/>
    <col min="14126" max="14133" width="13.28515625" style="1652" bestFit="1" customWidth="1"/>
    <col min="14134" max="14134" width="18.7109375" style="1652" bestFit="1" customWidth="1"/>
    <col min="14135" max="14136" width="19" style="1652" bestFit="1" customWidth="1"/>
    <col min="14137" max="14143" width="13.28515625" style="1652" bestFit="1" customWidth="1"/>
    <col min="14144" max="14144" width="14.140625" style="1652" bestFit="1" customWidth="1"/>
    <col min="14145" max="14146" width="15.7109375" style="1652" bestFit="1" customWidth="1"/>
    <col min="14147" max="14149" width="14.140625" style="1652" bestFit="1" customWidth="1"/>
    <col min="14150" max="14151" width="15.7109375" style="1652" bestFit="1" customWidth="1"/>
    <col min="14152" max="14153" width="14.140625" style="1652" bestFit="1" customWidth="1"/>
    <col min="14154" max="14170" width="8.85546875" style="1652"/>
    <col min="14171" max="14171" width="10" style="1652" bestFit="1" customWidth="1"/>
    <col min="14172" max="14331" width="8.85546875" style="1652"/>
    <col min="14332" max="14332" width="43.85546875" style="1652" customWidth="1"/>
    <col min="14333" max="14333" width="7.140625" style="1652" customWidth="1"/>
    <col min="14334" max="14334" width="15.5703125" style="1652" customWidth="1"/>
    <col min="14335" max="14335" width="16" style="1652" customWidth="1"/>
    <col min="14336" max="14336" width="15.140625" style="1652" customWidth="1"/>
    <col min="14337" max="14337" width="14.85546875" style="1652" customWidth="1"/>
    <col min="14338" max="14338" width="16.28515625" style="1652" customWidth="1"/>
    <col min="14339" max="14339" width="13.85546875" style="1652" customWidth="1"/>
    <col min="14340" max="14340" width="14.140625" style="1652" customWidth="1"/>
    <col min="14341" max="14341" width="15.7109375" style="1652" bestFit="1" customWidth="1"/>
    <col min="14342" max="14342" width="13.42578125" style="1652" bestFit="1" customWidth="1"/>
    <col min="14343" max="14345" width="13.28515625" style="1652" customWidth="1"/>
    <col min="14346" max="14346" width="11.5703125" style="1652" customWidth="1"/>
    <col min="14347" max="14347" width="13.140625" style="1652" customWidth="1"/>
    <col min="14348" max="14348" width="13.85546875" style="1652" customWidth="1"/>
    <col min="14349" max="14349" width="15.140625" style="1652" customWidth="1"/>
    <col min="14350" max="14350" width="16.7109375" style="1652" customWidth="1"/>
    <col min="14351" max="14351" width="13.85546875" style="1652" customWidth="1"/>
    <col min="14352" max="14353" width="16.7109375" style="1652" customWidth="1"/>
    <col min="14354" max="14354" width="15" style="1652" customWidth="1"/>
    <col min="14355" max="14355" width="13" style="1652" customWidth="1"/>
    <col min="14356" max="14356" width="14.140625" style="1652" customWidth="1"/>
    <col min="14357" max="14357" width="13.85546875" style="1652" customWidth="1"/>
    <col min="14358" max="14358" width="12.140625" style="1652" customWidth="1"/>
    <col min="14359" max="14360" width="15" style="1652" customWidth="1"/>
    <col min="14361" max="14361" width="12.140625" style="1652" customWidth="1"/>
    <col min="14362" max="14362" width="16.5703125" style="1652" customWidth="1"/>
    <col min="14363" max="14363" width="12.5703125" style="1652" customWidth="1"/>
    <col min="14364" max="14364" width="24.85546875" style="1652" customWidth="1"/>
    <col min="14365" max="14365" width="11.7109375" style="1652" customWidth="1"/>
    <col min="14366" max="14367" width="13.5703125" style="1652" customWidth="1"/>
    <col min="14368" max="14368" width="18.7109375" style="1652" customWidth="1"/>
    <col min="14369" max="14369" width="13.42578125" style="1652" customWidth="1"/>
    <col min="14370" max="14370" width="18.5703125" style="1652" customWidth="1"/>
    <col min="14371" max="14371" width="13.28515625" style="1652" customWidth="1"/>
    <col min="14372" max="14372" width="13.140625" style="1652" customWidth="1"/>
    <col min="14373" max="14373" width="10.28515625" style="1652" customWidth="1"/>
    <col min="14374" max="14374" width="12.42578125" style="1652" customWidth="1"/>
    <col min="14375" max="14375" width="13.85546875" style="1652" customWidth="1"/>
    <col min="14376" max="14377" width="6.85546875" style="1652" customWidth="1"/>
    <col min="14378" max="14379" width="8.85546875" style="1652"/>
    <col min="14380" max="14380" width="15.7109375" style="1652" customWidth="1"/>
    <col min="14381" max="14381" width="8.85546875" style="1652"/>
    <col min="14382" max="14389" width="13.28515625" style="1652" bestFit="1" customWidth="1"/>
    <col min="14390" max="14390" width="18.7109375" style="1652" bestFit="1" customWidth="1"/>
    <col min="14391" max="14392" width="19" style="1652" bestFit="1" customWidth="1"/>
    <col min="14393" max="14399" width="13.28515625" style="1652" bestFit="1" customWidth="1"/>
    <col min="14400" max="14400" width="14.140625" style="1652" bestFit="1" customWidth="1"/>
    <col min="14401" max="14402" width="15.7109375" style="1652" bestFit="1" customWidth="1"/>
    <col min="14403" max="14405" width="14.140625" style="1652" bestFit="1" customWidth="1"/>
    <col min="14406" max="14407" width="15.7109375" style="1652" bestFit="1" customWidth="1"/>
    <col min="14408" max="14409" width="14.140625" style="1652" bestFit="1" customWidth="1"/>
    <col min="14410" max="14426" width="8.85546875" style="1652"/>
    <col min="14427" max="14427" width="10" style="1652" bestFit="1" customWidth="1"/>
    <col min="14428" max="14587" width="8.85546875" style="1652"/>
    <col min="14588" max="14588" width="43.85546875" style="1652" customWidth="1"/>
    <col min="14589" max="14589" width="7.140625" style="1652" customWidth="1"/>
    <col min="14590" max="14590" width="15.5703125" style="1652" customWidth="1"/>
    <col min="14591" max="14591" width="16" style="1652" customWidth="1"/>
    <col min="14592" max="14592" width="15.140625" style="1652" customWidth="1"/>
    <col min="14593" max="14593" width="14.85546875" style="1652" customWidth="1"/>
    <col min="14594" max="14594" width="16.28515625" style="1652" customWidth="1"/>
    <col min="14595" max="14595" width="13.85546875" style="1652" customWidth="1"/>
    <col min="14596" max="14596" width="14.140625" style="1652" customWidth="1"/>
    <col min="14597" max="14597" width="15.7109375" style="1652" bestFit="1" customWidth="1"/>
    <col min="14598" max="14598" width="13.42578125" style="1652" bestFit="1" customWidth="1"/>
    <col min="14599" max="14601" width="13.28515625" style="1652" customWidth="1"/>
    <col min="14602" max="14602" width="11.5703125" style="1652" customWidth="1"/>
    <col min="14603" max="14603" width="13.140625" style="1652" customWidth="1"/>
    <col min="14604" max="14604" width="13.85546875" style="1652" customWidth="1"/>
    <col min="14605" max="14605" width="15.140625" style="1652" customWidth="1"/>
    <col min="14606" max="14606" width="16.7109375" style="1652" customWidth="1"/>
    <col min="14607" max="14607" width="13.85546875" style="1652" customWidth="1"/>
    <col min="14608" max="14609" width="16.7109375" style="1652" customWidth="1"/>
    <col min="14610" max="14610" width="15" style="1652" customWidth="1"/>
    <col min="14611" max="14611" width="13" style="1652" customWidth="1"/>
    <col min="14612" max="14612" width="14.140625" style="1652" customWidth="1"/>
    <col min="14613" max="14613" width="13.85546875" style="1652" customWidth="1"/>
    <col min="14614" max="14614" width="12.140625" style="1652" customWidth="1"/>
    <col min="14615" max="14616" width="15" style="1652" customWidth="1"/>
    <col min="14617" max="14617" width="12.140625" style="1652" customWidth="1"/>
    <col min="14618" max="14618" width="16.5703125" style="1652" customWidth="1"/>
    <col min="14619" max="14619" width="12.5703125" style="1652" customWidth="1"/>
    <col min="14620" max="14620" width="24.85546875" style="1652" customWidth="1"/>
    <col min="14621" max="14621" width="11.7109375" style="1652" customWidth="1"/>
    <col min="14622" max="14623" width="13.5703125" style="1652" customWidth="1"/>
    <col min="14624" max="14624" width="18.7109375" style="1652" customWidth="1"/>
    <col min="14625" max="14625" width="13.42578125" style="1652" customWidth="1"/>
    <col min="14626" max="14626" width="18.5703125" style="1652" customWidth="1"/>
    <col min="14627" max="14627" width="13.28515625" style="1652" customWidth="1"/>
    <col min="14628" max="14628" width="13.140625" style="1652" customWidth="1"/>
    <col min="14629" max="14629" width="10.28515625" style="1652" customWidth="1"/>
    <col min="14630" max="14630" width="12.42578125" style="1652" customWidth="1"/>
    <col min="14631" max="14631" width="13.85546875" style="1652" customWidth="1"/>
    <col min="14632" max="14633" width="6.85546875" style="1652" customWidth="1"/>
    <col min="14634" max="14635" width="8.85546875" style="1652"/>
    <col min="14636" max="14636" width="15.7109375" style="1652" customWidth="1"/>
    <col min="14637" max="14637" width="8.85546875" style="1652"/>
    <col min="14638" max="14645" width="13.28515625" style="1652" bestFit="1" customWidth="1"/>
    <col min="14646" max="14646" width="18.7109375" style="1652" bestFit="1" customWidth="1"/>
    <col min="14647" max="14648" width="19" style="1652" bestFit="1" customWidth="1"/>
    <col min="14649" max="14655" width="13.28515625" style="1652" bestFit="1" customWidth="1"/>
    <col min="14656" max="14656" width="14.140625" style="1652" bestFit="1" customWidth="1"/>
    <col min="14657" max="14658" width="15.7109375" style="1652" bestFit="1" customWidth="1"/>
    <col min="14659" max="14661" width="14.140625" style="1652" bestFit="1" customWidth="1"/>
    <col min="14662" max="14663" width="15.7109375" style="1652" bestFit="1" customWidth="1"/>
    <col min="14664" max="14665" width="14.140625" style="1652" bestFit="1" customWidth="1"/>
    <col min="14666" max="14682" width="8.85546875" style="1652"/>
    <col min="14683" max="14683" width="10" style="1652" bestFit="1" customWidth="1"/>
    <col min="14684" max="14843" width="8.85546875" style="1652"/>
    <col min="14844" max="14844" width="43.85546875" style="1652" customWidth="1"/>
    <col min="14845" max="14845" width="7.140625" style="1652" customWidth="1"/>
    <col min="14846" max="14846" width="15.5703125" style="1652" customWidth="1"/>
    <col min="14847" max="14847" width="16" style="1652" customWidth="1"/>
    <col min="14848" max="14848" width="15.140625" style="1652" customWidth="1"/>
    <col min="14849" max="14849" width="14.85546875" style="1652" customWidth="1"/>
    <col min="14850" max="14850" width="16.28515625" style="1652" customWidth="1"/>
    <col min="14851" max="14851" width="13.85546875" style="1652" customWidth="1"/>
    <col min="14852" max="14852" width="14.140625" style="1652" customWidth="1"/>
    <col min="14853" max="14853" width="15.7109375" style="1652" bestFit="1" customWidth="1"/>
    <col min="14854" max="14854" width="13.42578125" style="1652" bestFit="1" customWidth="1"/>
    <col min="14855" max="14857" width="13.28515625" style="1652" customWidth="1"/>
    <col min="14858" max="14858" width="11.5703125" style="1652" customWidth="1"/>
    <col min="14859" max="14859" width="13.140625" style="1652" customWidth="1"/>
    <col min="14860" max="14860" width="13.85546875" style="1652" customWidth="1"/>
    <col min="14861" max="14861" width="15.140625" style="1652" customWidth="1"/>
    <col min="14862" max="14862" width="16.7109375" style="1652" customWidth="1"/>
    <col min="14863" max="14863" width="13.85546875" style="1652" customWidth="1"/>
    <col min="14864" max="14865" width="16.7109375" style="1652" customWidth="1"/>
    <col min="14866" max="14866" width="15" style="1652" customWidth="1"/>
    <col min="14867" max="14867" width="13" style="1652" customWidth="1"/>
    <col min="14868" max="14868" width="14.140625" style="1652" customWidth="1"/>
    <col min="14869" max="14869" width="13.85546875" style="1652" customWidth="1"/>
    <col min="14870" max="14870" width="12.140625" style="1652" customWidth="1"/>
    <col min="14871" max="14872" width="15" style="1652" customWidth="1"/>
    <col min="14873" max="14873" width="12.140625" style="1652" customWidth="1"/>
    <col min="14874" max="14874" width="16.5703125" style="1652" customWidth="1"/>
    <col min="14875" max="14875" width="12.5703125" style="1652" customWidth="1"/>
    <col min="14876" max="14876" width="24.85546875" style="1652" customWidth="1"/>
    <col min="14877" max="14877" width="11.7109375" style="1652" customWidth="1"/>
    <col min="14878" max="14879" width="13.5703125" style="1652" customWidth="1"/>
    <col min="14880" max="14880" width="18.7109375" style="1652" customWidth="1"/>
    <col min="14881" max="14881" width="13.42578125" style="1652" customWidth="1"/>
    <col min="14882" max="14882" width="18.5703125" style="1652" customWidth="1"/>
    <col min="14883" max="14883" width="13.28515625" style="1652" customWidth="1"/>
    <col min="14884" max="14884" width="13.140625" style="1652" customWidth="1"/>
    <col min="14885" max="14885" width="10.28515625" style="1652" customWidth="1"/>
    <col min="14886" max="14886" width="12.42578125" style="1652" customWidth="1"/>
    <col min="14887" max="14887" width="13.85546875" style="1652" customWidth="1"/>
    <col min="14888" max="14889" width="6.85546875" style="1652" customWidth="1"/>
    <col min="14890" max="14891" width="8.85546875" style="1652"/>
    <col min="14892" max="14892" width="15.7109375" style="1652" customWidth="1"/>
    <col min="14893" max="14893" width="8.85546875" style="1652"/>
    <col min="14894" max="14901" width="13.28515625" style="1652" bestFit="1" customWidth="1"/>
    <col min="14902" max="14902" width="18.7109375" style="1652" bestFit="1" customWidth="1"/>
    <col min="14903" max="14904" width="19" style="1652" bestFit="1" customWidth="1"/>
    <col min="14905" max="14911" width="13.28515625" style="1652" bestFit="1" customWidth="1"/>
    <col min="14912" max="14912" width="14.140625" style="1652" bestFit="1" customWidth="1"/>
    <col min="14913" max="14914" width="15.7109375" style="1652" bestFit="1" customWidth="1"/>
    <col min="14915" max="14917" width="14.140625" style="1652" bestFit="1" customWidth="1"/>
    <col min="14918" max="14919" width="15.7109375" style="1652" bestFit="1" customWidth="1"/>
    <col min="14920" max="14921" width="14.140625" style="1652" bestFit="1" customWidth="1"/>
    <col min="14922" max="14938" width="8.85546875" style="1652"/>
    <col min="14939" max="14939" width="10" style="1652" bestFit="1" customWidth="1"/>
    <col min="14940" max="15099" width="8.85546875" style="1652"/>
    <col min="15100" max="15100" width="43.85546875" style="1652" customWidth="1"/>
    <col min="15101" max="15101" width="7.140625" style="1652" customWidth="1"/>
    <col min="15102" max="15102" width="15.5703125" style="1652" customWidth="1"/>
    <col min="15103" max="15103" width="16" style="1652" customWidth="1"/>
    <col min="15104" max="15104" width="15.140625" style="1652" customWidth="1"/>
    <col min="15105" max="15105" width="14.85546875" style="1652" customWidth="1"/>
    <col min="15106" max="15106" width="16.28515625" style="1652" customWidth="1"/>
    <col min="15107" max="15107" width="13.85546875" style="1652" customWidth="1"/>
    <col min="15108" max="15108" width="14.140625" style="1652" customWidth="1"/>
    <col min="15109" max="15109" width="15.7109375" style="1652" bestFit="1" customWidth="1"/>
    <col min="15110" max="15110" width="13.42578125" style="1652" bestFit="1" customWidth="1"/>
    <col min="15111" max="15113" width="13.28515625" style="1652" customWidth="1"/>
    <col min="15114" max="15114" width="11.5703125" style="1652" customWidth="1"/>
    <col min="15115" max="15115" width="13.140625" style="1652" customWidth="1"/>
    <col min="15116" max="15116" width="13.85546875" style="1652" customWidth="1"/>
    <col min="15117" max="15117" width="15.140625" style="1652" customWidth="1"/>
    <col min="15118" max="15118" width="16.7109375" style="1652" customWidth="1"/>
    <col min="15119" max="15119" width="13.85546875" style="1652" customWidth="1"/>
    <col min="15120" max="15121" width="16.7109375" style="1652" customWidth="1"/>
    <col min="15122" max="15122" width="15" style="1652" customWidth="1"/>
    <col min="15123" max="15123" width="13" style="1652" customWidth="1"/>
    <col min="15124" max="15124" width="14.140625" style="1652" customWidth="1"/>
    <col min="15125" max="15125" width="13.85546875" style="1652" customWidth="1"/>
    <col min="15126" max="15126" width="12.140625" style="1652" customWidth="1"/>
    <col min="15127" max="15128" width="15" style="1652" customWidth="1"/>
    <col min="15129" max="15129" width="12.140625" style="1652" customWidth="1"/>
    <col min="15130" max="15130" width="16.5703125" style="1652" customWidth="1"/>
    <col min="15131" max="15131" width="12.5703125" style="1652" customWidth="1"/>
    <col min="15132" max="15132" width="24.85546875" style="1652" customWidth="1"/>
    <col min="15133" max="15133" width="11.7109375" style="1652" customWidth="1"/>
    <col min="15134" max="15135" width="13.5703125" style="1652" customWidth="1"/>
    <col min="15136" max="15136" width="18.7109375" style="1652" customWidth="1"/>
    <col min="15137" max="15137" width="13.42578125" style="1652" customWidth="1"/>
    <col min="15138" max="15138" width="18.5703125" style="1652" customWidth="1"/>
    <col min="15139" max="15139" width="13.28515625" style="1652" customWidth="1"/>
    <col min="15140" max="15140" width="13.140625" style="1652" customWidth="1"/>
    <col min="15141" max="15141" width="10.28515625" style="1652" customWidth="1"/>
    <col min="15142" max="15142" width="12.42578125" style="1652" customWidth="1"/>
    <col min="15143" max="15143" width="13.85546875" style="1652" customWidth="1"/>
    <col min="15144" max="15145" width="6.85546875" style="1652" customWidth="1"/>
    <col min="15146" max="15147" width="8.85546875" style="1652"/>
    <col min="15148" max="15148" width="15.7109375" style="1652" customWidth="1"/>
    <col min="15149" max="15149" width="8.85546875" style="1652"/>
    <col min="15150" max="15157" width="13.28515625" style="1652" bestFit="1" customWidth="1"/>
    <col min="15158" max="15158" width="18.7109375" style="1652" bestFit="1" customWidth="1"/>
    <col min="15159" max="15160" width="19" style="1652" bestFit="1" customWidth="1"/>
    <col min="15161" max="15167" width="13.28515625" style="1652" bestFit="1" customWidth="1"/>
    <col min="15168" max="15168" width="14.140625" style="1652" bestFit="1" customWidth="1"/>
    <col min="15169" max="15170" width="15.7109375" style="1652" bestFit="1" customWidth="1"/>
    <col min="15171" max="15173" width="14.140625" style="1652" bestFit="1" customWidth="1"/>
    <col min="15174" max="15175" width="15.7109375" style="1652" bestFit="1" customWidth="1"/>
    <col min="15176" max="15177" width="14.140625" style="1652" bestFit="1" customWidth="1"/>
    <col min="15178" max="15194" width="8.85546875" style="1652"/>
    <col min="15195" max="15195" width="10" style="1652" bestFit="1" customWidth="1"/>
    <col min="15196" max="15355" width="8.85546875" style="1652"/>
    <col min="15356" max="15356" width="43.85546875" style="1652" customWidth="1"/>
    <col min="15357" max="15357" width="7.140625" style="1652" customWidth="1"/>
    <col min="15358" max="15358" width="15.5703125" style="1652" customWidth="1"/>
    <col min="15359" max="15359" width="16" style="1652" customWidth="1"/>
    <col min="15360" max="15360" width="15.140625" style="1652" customWidth="1"/>
    <col min="15361" max="15361" width="14.85546875" style="1652" customWidth="1"/>
    <col min="15362" max="15362" width="16.28515625" style="1652" customWidth="1"/>
    <col min="15363" max="15363" width="13.85546875" style="1652" customWidth="1"/>
    <col min="15364" max="15364" width="14.140625" style="1652" customWidth="1"/>
    <col min="15365" max="15365" width="15.7109375" style="1652" bestFit="1" customWidth="1"/>
    <col min="15366" max="15366" width="13.42578125" style="1652" bestFit="1" customWidth="1"/>
    <col min="15367" max="15369" width="13.28515625" style="1652" customWidth="1"/>
    <col min="15370" max="15370" width="11.5703125" style="1652" customWidth="1"/>
    <col min="15371" max="15371" width="13.140625" style="1652" customWidth="1"/>
    <col min="15372" max="15372" width="13.85546875" style="1652" customWidth="1"/>
    <col min="15373" max="15373" width="15.140625" style="1652" customWidth="1"/>
    <col min="15374" max="15374" width="16.7109375" style="1652" customWidth="1"/>
    <col min="15375" max="15375" width="13.85546875" style="1652" customWidth="1"/>
    <col min="15376" max="15377" width="16.7109375" style="1652" customWidth="1"/>
    <col min="15378" max="15378" width="15" style="1652" customWidth="1"/>
    <col min="15379" max="15379" width="13" style="1652" customWidth="1"/>
    <col min="15380" max="15380" width="14.140625" style="1652" customWidth="1"/>
    <col min="15381" max="15381" width="13.85546875" style="1652" customWidth="1"/>
    <col min="15382" max="15382" width="12.140625" style="1652" customWidth="1"/>
    <col min="15383" max="15384" width="15" style="1652" customWidth="1"/>
    <col min="15385" max="15385" width="12.140625" style="1652" customWidth="1"/>
    <col min="15386" max="15386" width="16.5703125" style="1652" customWidth="1"/>
    <col min="15387" max="15387" width="12.5703125" style="1652" customWidth="1"/>
    <col min="15388" max="15388" width="24.85546875" style="1652" customWidth="1"/>
    <col min="15389" max="15389" width="11.7109375" style="1652" customWidth="1"/>
    <col min="15390" max="15391" width="13.5703125" style="1652" customWidth="1"/>
    <col min="15392" max="15392" width="18.7109375" style="1652" customWidth="1"/>
    <col min="15393" max="15393" width="13.42578125" style="1652" customWidth="1"/>
    <col min="15394" max="15394" width="18.5703125" style="1652" customWidth="1"/>
    <col min="15395" max="15395" width="13.28515625" style="1652" customWidth="1"/>
    <col min="15396" max="15396" width="13.140625" style="1652" customWidth="1"/>
    <col min="15397" max="15397" width="10.28515625" style="1652" customWidth="1"/>
    <col min="15398" max="15398" width="12.42578125" style="1652" customWidth="1"/>
    <col min="15399" max="15399" width="13.85546875" style="1652" customWidth="1"/>
    <col min="15400" max="15401" width="6.85546875" style="1652" customWidth="1"/>
    <col min="15402" max="15403" width="8.85546875" style="1652"/>
    <col min="15404" max="15404" width="15.7109375" style="1652" customWidth="1"/>
    <col min="15405" max="15405" width="8.85546875" style="1652"/>
    <col min="15406" max="15413" width="13.28515625" style="1652" bestFit="1" customWidth="1"/>
    <col min="15414" max="15414" width="18.7109375" style="1652" bestFit="1" customWidth="1"/>
    <col min="15415" max="15416" width="19" style="1652" bestFit="1" customWidth="1"/>
    <col min="15417" max="15423" width="13.28515625" style="1652" bestFit="1" customWidth="1"/>
    <col min="15424" max="15424" width="14.140625" style="1652" bestFit="1" customWidth="1"/>
    <col min="15425" max="15426" width="15.7109375" style="1652" bestFit="1" customWidth="1"/>
    <col min="15427" max="15429" width="14.140625" style="1652" bestFit="1" customWidth="1"/>
    <col min="15430" max="15431" width="15.7109375" style="1652" bestFit="1" customWidth="1"/>
    <col min="15432" max="15433" width="14.140625" style="1652" bestFit="1" customWidth="1"/>
    <col min="15434" max="15450" width="8.85546875" style="1652"/>
    <col min="15451" max="15451" width="10" style="1652" bestFit="1" customWidth="1"/>
    <col min="15452" max="15611" width="8.85546875" style="1652"/>
    <col min="15612" max="15612" width="43.85546875" style="1652" customWidth="1"/>
    <col min="15613" max="15613" width="7.140625" style="1652" customWidth="1"/>
    <col min="15614" max="15614" width="15.5703125" style="1652" customWidth="1"/>
    <col min="15615" max="15615" width="16" style="1652" customWidth="1"/>
    <col min="15616" max="15616" width="15.140625" style="1652" customWidth="1"/>
    <col min="15617" max="15617" width="14.85546875" style="1652" customWidth="1"/>
    <col min="15618" max="15618" width="16.28515625" style="1652" customWidth="1"/>
    <col min="15619" max="15619" width="13.85546875" style="1652" customWidth="1"/>
    <col min="15620" max="15620" width="14.140625" style="1652" customWidth="1"/>
    <col min="15621" max="15621" width="15.7109375" style="1652" bestFit="1" customWidth="1"/>
    <col min="15622" max="15622" width="13.42578125" style="1652" bestFit="1" customWidth="1"/>
    <col min="15623" max="15625" width="13.28515625" style="1652" customWidth="1"/>
    <col min="15626" max="15626" width="11.5703125" style="1652" customWidth="1"/>
    <col min="15627" max="15627" width="13.140625" style="1652" customWidth="1"/>
    <col min="15628" max="15628" width="13.85546875" style="1652" customWidth="1"/>
    <col min="15629" max="15629" width="15.140625" style="1652" customWidth="1"/>
    <col min="15630" max="15630" width="16.7109375" style="1652" customWidth="1"/>
    <col min="15631" max="15631" width="13.85546875" style="1652" customWidth="1"/>
    <col min="15632" max="15633" width="16.7109375" style="1652" customWidth="1"/>
    <col min="15634" max="15634" width="15" style="1652" customWidth="1"/>
    <col min="15635" max="15635" width="13" style="1652" customWidth="1"/>
    <col min="15636" max="15636" width="14.140625" style="1652" customWidth="1"/>
    <col min="15637" max="15637" width="13.85546875" style="1652" customWidth="1"/>
    <col min="15638" max="15638" width="12.140625" style="1652" customWidth="1"/>
    <col min="15639" max="15640" width="15" style="1652" customWidth="1"/>
    <col min="15641" max="15641" width="12.140625" style="1652" customWidth="1"/>
    <col min="15642" max="15642" width="16.5703125" style="1652" customWidth="1"/>
    <col min="15643" max="15643" width="12.5703125" style="1652" customWidth="1"/>
    <col min="15644" max="15644" width="24.85546875" style="1652" customWidth="1"/>
    <col min="15645" max="15645" width="11.7109375" style="1652" customWidth="1"/>
    <col min="15646" max="15647" width="13.5703125" style="1652" customWidth="1"/>
    <col min="15648" max="15648" width="18.7109375" style="1652" customWidth="1"/>
    <col min="15649" max="15649" width="13.42578125" style="1652" customWidth="1"/>
    <col min="15650" max="15650" width="18.5703125" style="1652" customWidth="1"/>
    <col min="15651" max="15651" width="13.28515625" style="1652" customWidth="1"/>
    <col min="15652" max="15652" width="13.140625" style="1652" customWidth="1"/>
    <col min="15653" max="15653" width="10.28515625" style="1652" customWidth="1"/>
    <col min="15654" max="15654" width="12.42578125" style="1652" customWidth="1"/>
    <col min="15655" max="15655" width="13.85546875" style="1652" customWidth="1"/>
    <col min="15656" max="15657" width="6.85546875" style="1652" customWidth="1"/>
    <col min="15658" max="15659" width="8.85546875" style="1652"/>
    <col min="15660" max="15660" width="15.7109375" style="1652" customWidth="1"/>
    <col min="15661" max="15661" width="8.85546875" style="1652"/>
    <col min="15662" max="15669" width="13.28515625" style="1652" bestFit="1" customWidth="1"/>
    <col min="15670" max="15670" width="18.7109375" style="1652" bestFit="1" customWidth="1"/>
    <col min="15671" max="15672" width="19" style="1652" bestFit="1" customWidth="1"/>
    <col min="15673" max="15679" width="13.28515625" style="1652" bestFit="1" customWidth="1"/>
    <col min="15680" max="15680" width="14.140625" style="1652" bestFit="1" customWidth="1"/>
    <col min="15681" max="15682" width="15.7109375" style="1652" bestFit="1" customWidth="1"/>
    <col min="15683" max="15685" width="14.140625" style="1652" bestFit="1" customWidth="1"/>
    <col min="15686" max="15687" width="15.7109375" style="1652" bestFit="1" customWidth="1"/>
    <col min="15688" max="15689" width="14.140625" style="1652" bestFit="1" customWidth="1"/>
    <col min="15690" max="15706" width="8.85546875" style="1652"/>
    <col min="15707" max="15707" width="10" style="1652" bestFit="1" customWidth="1"/>
    <col min="15708" max="15867" width="8.85546875" style="1652"/>
    <col min="15868" max="15868" width="43.85546875" style="1652" customWidth="1"/>
    <col min="15869" max="15869" width="7.140625" style="1652" customWidth="1"/>
    <col min="15870" max="15870" width="15.5703125" style="1652" customWidth="1"/>
    <col min="15871" max="15871" width="16" style="1652" customWidth="1"/>
    <col min="15872" max="15872" width="15.140625" style="1652" customWidth="1"/>
    <col min="15873" max="15873" width="14.85546875" style="1652" customWidth="1"/>
    <col min="15874" max="15874" width="16.28515625" style="1652" customWidth="1"/>
    <col min="15875" max="15875" width="13.85546875" style="1652" customWidth="1"/>
    <col min="15876" max="15876" width="14.140625" style="1652" customWidth="1"/>
    <col min="15877" max="15877" width="15.7109375" style="1652" bestFit="1" customWidth="1"/>
    <col min="15878" max="15878" width="13.42578125" style="1652" bestFit="1" customWidth="1"/>
    <col min="15879" max="15881" width="13.28515625" style="1652" customWidth="1"/>
    <col min="15882" max="15882" width="11.5703125" style="1652" customWidth="1"/>
    <col min="15883" max="15883" width="13.140625" style="1652" customWidth="1"/>
    <col min="15884" max="15884" width="13.85546875" style="1652" customWidth="1"/>
    <col min="15885" max="15885" width="15.140625" style="1652" customWidth="1"/>
    <col min="15886" max="15886" width="16.7109375" style="1652" customWidth="1"/>
    <col min="15887" max="15887" width="13.85546875" style="1652" customWidth="1"/>
    <col min="15888" max="15889" width="16.7109375" style="1652" customWidth="1"/>
    <col min="15890" max="15890" width="15" style="1652" customWidth="1"/>
    <col min="15891" max="15891" width="13" style="1652" customWidth="1"/>
    <col min="15892" max="15892" width="14.140625" style="1652" customWidth="1"/>
    <col min="15893" max="15893" width="13.85546875" style="1652" customWidth="1"/>
    <col min="15894" max="15894" width="12.140625" style="1652" customWidth="1"/>
    <col min="15895" max="15896" width="15" style="1652" customWidth="1"/>
    <col min="15897" max="15897" width="12.140625" style="1652" customWidth="1"/>
    <col min="15898" max="15898" width="16.5703125" style="1652" customWidth="1"/>
    <col min="15899" max="15899" width="12.5703125" style="1652" customWidth="1"/>
    <col min="15900" max="15900" width="24.85546875" style="1652" customWidth="1"/>
    <col min="15901" max="15901" width="11.7109375" style="1652" customWidth="1"/>
    <col min="15902" max="15903" width="13.5703125" style="1652" customWidth="1"/>
    <col min="15904" max="15904" width="18.7109375" style="1652" customWidth="1"/>
    <col min="15905" max="15905" width="13.42578125" style="1652" customWidth="1"/>
    <col min="15906" max="15906" width="18.5703125" style="1652" customWidth="1"/>
    <col min="15907" max="15907" width="13.28515625" style="1652" customWidth="1"/>
    <col min="15908" max="15908" width="13.140625" style="1652" customWidth="1"/>
    <col min="15909" max="15909" width="10.28515625" style="1652" customWidth="1"/>
    <col min="15910" max="15910" width="12.42578125" style="1652" customWidth="1"/>
    <col min="15911" max="15911" width="13.85546875" style="1652" customWidth="1"/>
    <col min="15912" max="15913" width="6.85546875" style="1652" customWidth="1"/>
    <col min="15914" max="15915" width="8.85546875" style="1652"/>
    <col min="15916" max="15916" width="15.7109375" style="1652" customWidth="1"/>
    <col min="15917" max="15917" width="8.85546875" style="1652"/>
    <col min="15918" max="15925" width="13.28515625" style="1652" bestFit="1" customWidth="1"/>
    <col min="15926" max="15926" width="18.7109375" style="1652" bestFit="1" customWidth="1"/>
    <col min="15927" max="15928" width="19" style="1652" bestFit="1" customWidth="1"/>
    <col min="15929" max="15935" width="13.28515625" style="1652" bestFit="1" customWidth="1"/>
    <col min="15936" max="15936" width="14.140625" style="1652" bestFit="1" customWidth="1"/>
    <col min="15937" max="15938" width="15.7109375" style="1652" bestFit="1" customWidth="1"/>
    <col min="15939" max="15941" width="14.140625" style="1652" bestFit="1" customWidth="1"/>
    <col min="15942" max="15943" width="15.7109375" style="1652" bestFit="1" customWidth="1"/>
    <col min="15944" max="15945" width="14.140625" style="1652" bestFit="1" customWidth="1"/>
    <col min="15946" max="15962" width="8.85546875" style="1652"/>
    <col min="15963" max="15963" width="10" style="1652" bestFit="1" customWidth="1"/>
    <col min="15964" max="16123" width="8.85546875" style="1652"/>
    <col min="16124" max="16124" width="43.85546875" style="1652" customWidth="1"/>
    <col min="16125" max="16125" width="7.140625" style="1652" customWidth="1"/>
    <col min="16126" max="16126" width="15.5703125" style="1652" customWidth="1"/>
    <col min="16127" max="16127" width="16" style="1652" customWidth="1"/>
    <col min="16128" max="16128" width="15.140625" style="1652" customWidth="1"/>
    <col min="16129" max="16129" width="14.85546875" style="1652" customWidth="1"/>
    <col min="16130" max="16130" width="16.28515625" style="1652" customWidth="1"/>
    <col min="16131" max="16131" width="13.85546875" style="1652" customWidth="1"/>
    <col min="16132" max="16132" width="14.140625" style="1652" customWidth="1"/>
    <col min="16133" max="16133" width="15.7109375" style="1652" bestFit="1" customWidth="1"/>
    <col min="16134" max="16134" width="13.42578125" style="1652" bestFit="1" customWidth="1"/>
    <col min="16135" max="16137" width="13.28515625" style="1652" customWidth="1"/>
    <col min="16138" max="16138" width="11.5703125" style="1652" customWidth="1"/>
    <col min="16139" max="16139" width="13.140625" style="1652" customWidth="1"/>
    <col min="16140" max="16140" width="13.85546875" style="1652" customWidth="1"/>
    <col min="16141" max="16141" width="15.140625" style="1652" customWidth="1"/>
    <col min="16142" max="16142" width="16.7109375" style="1652" customWidth="1"/>
    <col min="16143" max="16143" width="13.85546875" style="1652" customWidth="1"/>
    <col min="16144" max="16145" width="16.7109375" style="1652" customWidth="1"/>
    <col min="16146" max="16146" width="15" style="1652" customWidth="1"/>
    <col min="16147" max="16147" width="13" style="1652" customWidth="1"/>
    <col min="16148" max="16148" width="14.140625" style="1652" customWidth="1"/>
    <col min="16149" max="16149" width="13.85546875" style="1652" customWidth="1"/>
    <col min="16150" max="16150" width="12.140625" style="1652" customWidth="1"/>
    <col min="16151" max="16152" width="15" style="1652" customWidth="1"/>
    <col min="16153" max="16153" width="12.140625" style="1652" customWidth="1"/>
    <col min="16154" max="16154" width="16.5703125" style="1652" customWidth="1"/>
    <col min="16155" max="16155" width="12.5703125" style="1652" customWidth="1"/>
    <col min="16156" max="16156" width="24.85546875" style="1652" customWidth="1"/>
    <col min="16157" max="16157" width="11.7109375" style="1652" customWidth="1"/>
    <col min="16158" max="16159" width="13.5703125" style="1652" customWidth="1"/>
    <col min="16160" max="16160" width="18.7109375" style="1652" customWidth="1"/>
    <col min="16161" max="16161" width="13.42578125" style="1652" customWidth="1"/>
    <col min="16162" max="16162" width="18.5703125" style="1652" customWidth="1"/>
    <col min="16163" max="16163" width="13.28515625" style="1652" customWidth="1"/>
    <col min="16164" max="16164" width="13.140625" style="1652" customWidth="1"/>
    <col min="16165" max="16165" width="10.28515625" style="1652" customWidth="1"/>
    <col min="16166" max="16166" width="12.42578125" style="1652" customWidth="1"/>
    <col min="16167" max="16167" width="13.85546875" style="1652" customWidth="1"/>
    <col min="16168" max="16169" width="6.85546875" style="1652" customWidth="1"/>
    <col min="16170" max="16171" width="8.85546875" style="1652"/>
    <col min="16172" max="16172" width="15.7109375" style="1652" customWidth="1"/>
    <col min="16173" max="16173" width="8.85546875" style="1652"/>
    <col min="16174" max="16181" width="13.28515625" style="1652" bestFit="1" customWidth="1"/>
    <col min="16182" max="16182" width="18.7109375" style="1652" bestFit="1" customWidth="1"/>
    <col min="16183" max="16184" width="19" style="1652" bestFit="1" customWidth="1"/>
    <col min="16185" max="16191" width="13.28515625" style="1652" bestFit="1" customWidth="1"/>
    <col min="16192" max="16192" width="14.140625" style="1652" bestFit="1" customWidth="1"/>
    <col min="16193" max="16194" width="15.7109375" style="1652" bestFit="1" customWidth="1"/>
    <col min="16195" max="16197" width="14.140625" style="1652" bestFit="1" customWidth="1"/>
    <col min="16198" max="16199" width="15.7109375" style="1652" bestFit="1" customWidth="1"/>
    <col min="16200" max="16201" width="14.140625" style="1652" bestFit="1" customWidth="1"/>
    <col min="16202" max="16218" width="8.85546875" style="1652"/>
    <col min="16219" max="16219" width="10" style="1652" bestFit="1" customWidth="1"/>
    <col min="16220" max="16384" width="8.85546875" style="1652"/>
  </cols>
  <sheetData>
    <row r="1" spans="1:109" s="1655" customFormat="1" ht="15.75">
      <c r="A1" s="1673"/>
      <c r="B1" s="1673"/>
      <c r="C1" s="1656" t="s">
        <v>1542</v>
      </c>
      <c r="D1" s="1673"/>
      <c r="E1" s="1673"/>
      <c r="F1" s="1673"/>
      <c r="G1" s="1673"/>
      <c r="H1" s="1673"/>
      <c r="I1" s="1673"/>
      <c r="J1" s="1673"/>
      <c r="K1" s="1673"/>
      <c r="L1" s="1673"/>
      <c r="M1" s="1673"/>
      <c r="N1" s="1673"/>
      <c r="O1" s="1673"/>
      <c r="P1" s="1673"/>
      <c r="Q1" s="1673"/>
      <c r="R1" s="1673"/>
      <c r="S1" s="1673"/>
      <c r="T1" s="1673"/>
      <c r="U1" s="1673"/>
      <c r="V1" s="1673"/>
      <c r="W1" s="1673"/>
      <c r="X1" s="1673"/>
      <c r="Y1" s="1673"/>
      <c r="Z1" s="1673"/>
      <c r="AA1" s="1673"/>
      <c r="AB1" s="1673"/>
      <c r="AC1" s="1673"/>
      <c r="AD1" s="1673"/>
      <c r="AE1" s="1673"/>
      <c r="AF1" s="1673"/>
      <c r="AM1" s="1671"/>
      <c r="AN1" s="1671"/>
      <c r="AO1" s="1671"/>
      <c r="AP1" s="1671"/>
      <c r="AQ1" s="1671"/>
      <c r="AR1" s="1671"/>
      <c r="AS1" s="1671"/>
      <c r="AT1" s="1671"/>
      <c r="AU1" s="1671"/>
      <c r="AV1" s="1671"/>
      <c r="AW1" s="1671"/>
      <c r="AX1" s="1671"/>
      <c r="AY1" s="1671"/>
      <c r="AZ1" s="1671"/>
      <c r="BA1" s="1671"/>
      <c r="BB1" s="1671"/>
      <c r="BC1" s="1671"/>
      <c r="BD1" s="1671"/>
      <c r="BE1" s="1671"/>
      <c r="BF1" s="1671"/>
      <c r="BG1" s="1671"/>
      <c r="BH1" s="1671"/>
      <c r="BI1" s="1671"/>
      <c r="BJ1" s="1671"/>
      <c r="BK1" s="1671"/>
      <c r="BL1" s="1671"/>
      <c r="BM1" s="1671"/>
      <c r="BN1" s="1671"/>
      <c r="BO1" s="1671"/>
      <c r="BP1" s="1671"/>
      <c r="BQ1" s="1671"/>
      <c r="BR1" s="1671"/>
      <c r="BS1" s="1671"/>
    </row>
    <row r="2" spans="1:109">
      <c r="A2" s="1663"/>
      <c r="B2" s="1663"/>
      <c r="C2" s="2025"/>
      <c r="D2" s="1663"/>
      <c r="E2" s="1675"/>
      <c r="F2" s="1675"/>
      <c r="G2" s="1675"/>
      <c r="H2" s="1675"/>
      <c r="I2" s="1676"/>
      <c r="J2" s="1676"/>
      <c r="K2" s="1676"/>
      <c r="L2" s="1676"/>
      <c r="M2" s="1676"/>
      <c r="N2" s="1676"/>
      <c r="O2" s="1676"/>
      <c r="P2" s="1676"/>
      <c r="Q2" s="1676"/>
      <c r="R2" s="1676"/>
      <c r="S2" s="1676"/>
      <c r="AM2" s="1671"/>
      <c r="AN2" s="1671"/>
      <c r="AO2" s="1671"/>
      <c r="AP2" s="1671"/>
      <c r="AQ2" s="1671"/>
      <c r="AR2" s="1671"/>
      <c r="AS2" s="1671"/>
      <c r="AT2" s="1671"/>
      <c r="AU2" s="1671"/>
      <c r="AV2" s="1671"/>
      <c r="AW2" s="1671"/>
      <c r="AX2" s="1671"/>
      <c r="AY2" s="1671"/>
      <c r="AZ2" s="1671"/>
      <c r="BA2" s="1671"/>
      <c r="BB2" s="1671"/>
      <c r="BC2" s="1671"/>
      <c r="BD2" s="1671"/>
      <c r="BE2" s="1671"/>
      <c r="BF2" s="1671"/>
      <c r="BG2" s="1671"/>
      <c r="BH2" s="1671"/>
      <c r="BI2" s="1671"/>
      <c r="BJ2" s="1671"/>
      <c r="BK2" s="1671"/>
      <c r="BL2" s="1671"/>
      <c r="BM2" s="1671"/>
      <c r="BN2" s="1671"/>
      <c r="BO2" s="1671"/>
      <c r="BP2" s="1671"/>
      <c r="BQ2" s="1671"/>
      <c r="BR2" s="1671"/>
      <c r="BS2" s="1671"/>
    </row>
    <row r="3" spans="1:109">
      <c r="A3" s="1658"/>
      <c r="B3" s="1658"/>
      <c r="C3" s="4331" t="s">
        <v>497</v>
      </c>
      <c r="D3" s="4327" t="s">
        <v>498</v>
      </c>
      <c r="E3" s="4327" t="s">
        <v>205</v>
      </c>
      <c r="F3" s="4327"/>
      <c r="G3" s="4327"/>
      <c r="H3" s="4327"/>
      <c r="I3" s="4327"/>
      <c r="J3" s="4327"/>
      <c r="K3" s="4327"/>
      <c r="L3" s="4327"/>
      <c r="M3" s="4327"/>
      <c r="N3" s="4327"/>
      <c r="O3" s="4327"/>
      <c r="P3" s="4327"/>
      <c r="Q3" s="4327"/>
      <c r="R3" s="4327"/>
      <c r="S3" s="4327" t="s">
        <v>608</v>
      </c>
      <c r="T3" s="4327"/>
      <c r="U3" s="4327"/>
      <c r="V3" s="4327"/>
      <c r="W3" s="4327"/>
      <c r="X3" s="4327"/>
      <c r="Y3" s="4327"/>
      <c r="Z3" s="4327"/>
      <c r="AA3" s="4327"/>
      <c r="AB3" s="4327"/>
      <c r="AC3" s="4327"/>
      <c r="AD3" s="4327"/>
      <c r="AE3" s="4327"/>
      <c r="AF3" s="4327"/>
      <c r="AG3" s="4327" t="s">
        <v>609</v>
      </c>
      <c r="AH3" s="4327"/>
      <c r="AI3" s="4327"/>
      <c r="AJ3" s="4327"/>
      <c r="AK3" s="4327"/>
      <c r="AL3" s="4327"/>
      <c r="AM3" s="4327"/>
      <c r="AN3" s="4327"/>
      <c r="AO3" s="4327"/>
      <c r="AP3" s="4327"/>
      <c r="AQ3" s="4327"/>
      <c r="AR3" s="4327"/>
      <c r="AS3" s="4327"/>
      <c r="AT3" s="4327"/>
      <c r="AU3" s="4327" t="s">
        <v>609</v>
      </c>
      <c r="AV3" s="4327"/>
      <c r="AW3" s="4327"/>
      <c r="AX3" s="4327"/>
      <c r="AY3" s="4327"/>
      <c r="AZ3" s="4327"/>
      <c r="BA3" s="4327"/>
      <c r="BB3" s="4327"/>
      <c r="BC3" s="4327"/>
      <c r="BD3" s="4327"/>
      <c r="BE3" s="4327"/>
      <c r="BF3" s="4327"/>
      <c r="BG3" s="4327"/>
      <c r="BH3" s="4327"/>
      <c r="BI3" s="4327" t="s">
        <v>610</v>
      </c>
      <c r="BJ3" s="4327"/>
      <c r="BK3" s="4327"/>
      <c r="BL3" s="4327"/>
      <c r="BM3" s="4327"/>
      <c r="BN3" s="4327"/>
      <c r="BO3" s="4327"/>
      <c r="BP3" s="4327"/>
      <c r="BQ3" s="4327"/>
      <c r="BR3" s="4327"/>
      <c r="BS3" s="4327"/>
      <c r="BT3" s="4327"/>
      <c r="BU3" s="4327"/>
      <c r="BV3" s="4327"/>
      <c r="BW3" s="4327" t="s">
        <v>610</v>
      </c>
      <c r="BX3" s="4327"/>
      <c r="BY3" s="4327"/>
      <c r="BZ3" s="4327"/>
      <c r="CA3" s="4327"/>
      <c r="CB3" s="4327"/>
      <c r="CC3" s="4327"/>
      <c r="CD3" s="4327"/>
      <c r="CE3" s="4327"/>
      <c r="CF3" s="4327"/>
      <c r="CG3" s="4327"/>
      <c r="CH3" s="4327"/>
      <c r="CI3" s="4327"/>
      <c r="CJ3" s="4327"/>
      <c r="CK3" s="4327" t="s">
        <v>610</v>
      </c>
      <c r="CL3" s="4327"/>
      <c r="CM3" s="4327"/>
      <c r="CN3" s="4327"/>
      <c r="CO3" s="4327"/>
      <c r="CP3" s="4327"/>
      <c r="CQ3" s="4327"/>
      <c r="CR3" s="4327"/>
      <c r="CS3" s="4327"/>
      <c r="CT3" s="4327"/>
      <c r="CU3" s="4327"/>
      <c r="CV3" s="4327"/>
      <c r="CW3" s="4327"/>
      <c r="CX3" s="4327"/>
      <c r="CY3" s="4327" t="s">
        <v>1543</v>
      </c>
      <c r="CZ3" s="4327"/>
      <c r="DA3" s="4327"/>
      <c r="DB3" s="4327"/>
      <c r="DC3" s="4327"/>
      <c r="DD3" s="4327"/>
      <c r="DE3" s="4327"/>
    </row>
    <row r="4" spans="1:109">
      <c r="A4" s="1658"/>
      <c r="B4" s="1658"/>
      <c r="C4" s="4331"/>
      <c r="D4" s="4327"/>
      <c r="E4" s="4327" t="s">
        <v>1545</v>
      </c>
      <c r="F4" s="4327"/>
      <c r="G4" s="4327"/>
      <c r="H4" s="4327"/>
      <c r="I4" s="4327"/>
      <c r="J4" s="4327"/>
      <c r="K4" s="4327"/>
      <c r="L4" s="4327" t="s">
        <v>1546</v>
      </c>
      <c r="M4" s="4327"/>
      <c r="N4" s="4327"/>
      <c r="O4" s="4327"/>
      <c r="P4" s="4327"/>
      <c r="Q4" s="4327"/>
      <c r="R4" s="4327"/>
      <c r="S4" s="4327" t="s">
        <v>1545</v>
      </c>
      <c r="T4" s="4327"/>
      <c r="U4" s="4327"/>
      <c r="V4" s="4327"/>
      <c r="W4" s="4327"/>
      <c r="X4" s="4327"/>
      <c r="Y4" s="4327"/>
      <c r="Z4" s="4327" t="s">
        <v>1546</v>
      </c>
      <c r="AA4" s="4327"/>
      <c r="AB4" s="4327"/>
      <c r="AC4" s="4327"/>
      <c r="AD4" s="4327"/>
      <c r="AE4" s="4327"/>
      <c r="AF4" s="4327"/>
      <c r="AG4" s="4327" t="s">
        <v>1547</v>
      </c>
      <c r="AH4" s="4327"/>
      <c r="AI4" s="4327"/>
      <c r="AJ4" s="4327"/>
      <c r="AK4" s="4327"/>
      <c r="AL4" s="4327"/>
      <c r="AM4" s="4327"/>
      <c r="AN4" s="4327" t="s">
        <v>1548</v>
      </c>
      <c r="AO4" s="4327"/>
      <c r="AP4" s="4327"/>
      <c r="AQ4" s="4327"/>
      <c r="AR4" s="4327"/>
      <c r="AS4" s="4327"/>
      <c r="AT4" s="4327"/>
      <c r="AU4" s="4327" t="s">
        <v>1549</v>
      </c>
      <c r="AV4" s="4327"/>
      <c r="AW4" s="4327"/>
      <c r="AX4" s="4327"/>
      <c r="AY4" s="4327"/>
      <c r="AZ4" s="4327"/>
      <c r="BA4" s="4327"/>
      <c r="BB4" s="4327" t="s">
        <v>1550</v>
      </c>
      <c r="BC4" s="4327"/>
      <c r="BD4" s="4327"/>
      <c r="BE4" s="4327"/>
      <c r="BF4" s="4327"/>
      <c r="BG4" s="4327"/>
      <c r="BH4" s="4327"/>
      <c r="BI4" s="4327" t="s">
        <v>1547</v>
      </c>
      <c r="BJ4" s="4327"/>
      <c r="BK4" s="4327"/>
      <c r="BL4" s="4327"/>
      <c r="BM4" s="4327"/>
      <c r="BN4" s="4327"/>
      <c r="BO4" s="4327"/>
      <c r="BP4" s="4327" t="s">
        <v>1548</v>
      </c>
      <c r="BQ4" s="4327"/>
      <c r="BR4" s="4327"/>
      <c r="BS4" s="4327"/>
      <c r="BT4" s="4327"/>
      <c r="BU4" s="4327"/>
      <c r="BV4" s="4327"/>
      <c r="BW4" s="4327" t="s">
        <v>1549</v>
      </c>
      <c r="BX4" s="4327"/>
      <c r="BY4" s="4327"/>
      <c r="BZ4" s="4327"/>
      <c r="CA4" s="4327"/>
      <c r="CB4" s="4327"/>
      <c r="CC4" s="4327"/>
      <c r="CD4" s="4327" t="s">
        <v>1550</v>
      </c>
      <c r="CE4" s="4327"/>
      <c r="CF4" s="4327"/>
      <c r="CG4" s="4327"/>
      <c r="CH4" s="4327"/>
      <c r="CI4" s="4327"/>
      <c r="CJ4" s="4327"/>
      <c r="CK4" s="4327" t="s">
        <v>1551</v>
      </c>
      <c r="CL4" s="4327"/>
      <c r="CM4" s="4327"/>
      <c r="CN4" s="4327"/>
      <c r="CO4" s="4327"/>
      <c r="CP4" s="4327"/>
      <c r="CQ4" s="4327"/>
      <c r="CR4" s="4327" t="s">
        <v>1552</v>
      </c>
      <c r="CS4" s="4327"/>
      <c r="CT4" s="4327"/>
      <c r="CU4" s="4327"/>
      <c r="CV4" s="4327"/>
      <c r="CW4" s="4327"/>
      <c r="CX4" s="4327"/>
      <c r="CY4" s="4327"/>
      <c r="CZ4" s="4327"/>
      <c r="DA4" s="4327"/>
      <c r="DB4" s="4327"/>
      <c r="DC4" s="4327"/>
      <c r="DD4" s="4327"/>
      <c r="DE4" s="4327"/>
    </row>
    <row r="5" spans="1:109">
      <c r="A5" s="1658"/>
      <c r="B5" s="1658"/>
      <c r="C5" s="4331"/>
      <c r="D5" s="4327"/>
      <c r="E5" s="4327" t="s">
        <v>511</v>
      </c>
      <c r="F5" s="4327" t="s">
        <v>512</v>
      </c>
      <c r="G5" s="4327"/>
      <c r="H5" s="4327"/>
      <c r="I5" s="4327"/>
      <c r="J5" s="4327"/>
      <c r="K5" s="4327"/>
      <c r="L5" s="4327" t="s">
        <v>511</v>
      </c>
      <c r="M5" s="4327" t="s">
        <v>512</v>
      </c>
      <c r="N5" s="4327"/>
      <c r="O5" s="4327"/>
      <c r="P5" s="4327"/>
      <c r="Q5" s="4327"/>
      <c r="R5" s="4327"/>
      <c r="S5" s="4327" t="s">
        <v>511</v>
      </c>
      <c r="T5" s="4327" t="s">
        <v>512</v>
      </c>
      <c r="U5" s="4327"/>
      <c r="V5" s="4327"/>
      <c r="W5" s="4327"/>
      <c r="X5" s="4327"/>
      <c r="Y5" s="4327"/>
      <c r="Z5" s="4327" t="s">
        <v>511</v>
      </c>
      <c r="AA5" s="4327" t="s">
        <v>512</v>
      </c>
      <c r="AB5" s="4327"/>
      <c r="AC5" s="4327"/>
      <c r="AD5" s="4327"/>
      <c r="AE5" s="4327"/>
      <c r="AF5" s="4327"/>
      <c r="AG5" s="4327" t="s">
        <v>511</v>
      </c>
      <c r="AH5" s="4327" t="s">
        <v>512</v>
      </c>
      <c r="AI5" s="4327"/>
      <c r="AJ5" s="4327"/>
      <c r="AK5" s="4327"/>
      <c r="AL5" s="4327"/>
      <c r="AM5" s="4327"/>
      <c r="AN5" s="4327" t="s">
        <v>511</v>
      </c>
      <c r="AO5" s="4327" t="s">
        <v>512</v>
      </c>
      <c r="AP5" s="4327"/>
      <c r="AQ5" s="4327"/>
      <c r="AR5" s="4327"/>
      <c r="AS5" s="4327"/>
      <c r="AT5" s="4327"/>
      <c r="AU5" s="4327" t="s">
        <v>511</v>
      </c>
      <c r="AV5" s="4327" t="s">
        <v>512</v>
      </c>
      <c r="AW5" s="4327"/>
      <c r="AX5" s="4327"/>
      <c r="AY5" s="4327"/>
      <c r="AZ5" s="4327"/>
      <c r="BA5" s="4327"/>
      <c r="BB5" s="4327" t="s">
        <v>511</v>
      </c>
      <c r="BC5" s="4327" t="s">
        <v>1553</v>
      </c>
      <c r="BD5" s="4327"/>
      <c r="BE5" s="4327"/>
      <c r="BF5" s="4327"/>
      <c r="BG5" s="4327"/>
      <c r="BH5" s="4327"/>
      <c r="BI5" s="4327" t="s">
        <v>511</v>
      </c>
      <c r="BJ5" s="4327" t="s">
        <v>512</v>
      </c>
      <c r="BK5" s="4327"/>
      <c r="BL5" s="4327"/>
      <c r="BM5" s="4327"/>
      <c r="BN5" s="4327"/>
      <c r="BO5" s="4327"/>
      <c r="BP5" s="4327" t="s">
        <v>511</v>
      </c>
      <c r="BQ5" s="4327" t="s">
        <v>512</v>
      </c>
      <c r="BR5" s="4327"/>
      <c r="BS5" s="4327"/>
      <c r="BT5" s="4327"/>
      <c r="BU5" s="4327"/>
      <c r="BV5" s="4327"/>
      <c r="BW5" s="4327" t="s">
        <v>511</v>
      </c>
      <c r="BX5" s="4327" t="s">
        <v>512</v>
      </c>
      <c r="BY5" s="4327"/>
      <c r="BZ5" s="4327"/>
      <c r="CA5" s="4327"/>
      <c r="CB5" s="4327"/>
      <c r="CC5" s="4327"/>
      <c r="CD5" s="4327" t="s">
        <v>511</v>
      </c>
      <c r="CE5" s="4327" t="s">
        <v>512</v>
      </c>
      <c r="CF5" s="4327"/>
      <c r="CG5" s="4327"/>
      <c r="CH5" s="4327"/>
      <c r="CI5" s="2003"/>
      <c r="CJ5" s="2003"/>
      <c r="CK5" s="4327" t="s">
        <v>511</v>
      </c>
      <c r="CL5" s="4327" t="s">
        <v>512</v>
      </c>
      <c r="CM5" s="4327"/>
      <c r="CN5" s="4327"/>
      <c r="CO5" s="4327"/>
      <c r="CP5" s="4327"/>
      <c r="CQ5" s="4327"/>
      <c r="CR5" s="4327" t="s">
        <v>511</v>
      </c>
      <c r="CS5" s="4327" t="s">
        <v>512</v>
      </c>
      <c r="CT5" s="4327"/>
      <c r="CU5" s="4327"/>
      <c r="CV5" s="4327"/>
      <c r="CW5" s="4327"/>
      <c r="CX5" s="4327"/>
      <c r="CY5" s="4327" t="s">
        <v>511</v>
      </c>
      <c r="CZ5" s="4327" t="s">
        <v>512</v>
      </c>
      <c r="DA5" s="4327"/>
      <c r="DB5" s="4327"/>
      <c r="DC5" s="4327"/>
      <c r="DD5" s="4327"/>
      <c r="DE5" s="4327"/>
    </row>
    <row r="6" spans="1:109">
      <c r="A6" s="1658"/>
      <c r="B6" s="1658"/>
      <c r="C6" s="4331"/>
      <c r="D6" s="4327"/>
      <c r="E6" s="4327"/>
      <c r="F6" s="2003" t="s">
        <v>9</v>
      </c>
      <c r="G6" s="2003" t="s">
        <v>513</v>
      </c>
      <c r="H6" s="2003" t="s">
        <v>279</v>
      </c>
      <c r="I6" s="2003" t="s">
        <v>12</v>
      </c>
      <c r="J6" s="2003" t="s">
        <v>439</v>
      </c>
      <c r="K6" s="2003" t="s">
        <v>514</v>
      </c>
      <c r="L6" s="4327"/>
      <c r="M6" s="2003" t="s">
        <v>9</v>
      </c>
      <c r="N6" s="2003" t="s">
        <v>513</v>
      </c>
      <c r="O6" s="2003" t="s">
        <v>279</v>
      </c>
      <c r="P6" s="2003" t="s">
        <v>12</v>
      </c>
      <c r="Q6" s="2003" t="s">
        <v>439</v>
      </c>
      <c r="R6" s="2003" t="s">
        <v>514</v>
      </c>
      <c r="S6" s="4327"/>
      <c r="T6" s="2003" t="s">
        <v>9</v>
      </c>
      <c r="U6" s="2003" t="s">
        <v>513</v>
      </c>
      <c r="V6" s="2003" t="s">
        <v>279</v>
      </c>
      <c r="W6" s="2003" t="s">
        <v>12</v>
      </c>
      <c r="X6" s="2003" t="s">
        <v>439</v>
      </c>
      <c r="Y6" s="2003" t="s">
        <v>514</v>
      </c>
      <c r="Z6" s="4327"/>
      <c r="AA6" s="2003" t="s">
        <v>9</v>
      </c>
      <c r="AB6" s="2003" t="s">
        <v>513</v>
      </c>
      <c r="AC6" s="2003" t="s">
        <v>279</v>
      </c>
      <c r="AD6" s="2003" t="s">
        <v>12</v>
      </c>
      <c r="AE6" s="2003" t="s">
        <v>439</v>
      </c>
      <c r="AF6" s="2003" t="s">
        <v>514</v>
      </c>
      <c r="AG6" s="4327"/>
      <c r="AH6" s="2003" t="s">
        <v>9</v>
      </c>
      <c r="AI6" s="2003" t="s">
        <v>513</v>
      </c>
      <c r="AJ6" s="2003" t="s">
        <v>279</v>
      </c>
      <c r="AK6" s="2003" t="s">
        <v>12</v>
      </c>
      <c r="AL6" s="2003" t="s">
        <v>439</v>
      </c>
      <c r="AM6" s="2003" t="s">
        <v>514</v>
      </c>
      <c r="AN6" s="4327"/>
      <c r="AO6" s="2003" t="s">
        <v>9</v>
      </c>
      <c r="AP6" s="2003" t="s">
        <v>513</v>
      </c>
      <c r="AQ6" s="2003" t="s">
        <v>279</v>
      </c>
      <c r="AR6" s="2003" t="s">
        <v>12</v>
      </c>
      <c r="AS6" s="2003" t="s">
        <v>439</v>
      </c>
      <c r="AT6" s="2003" t="s">
        <v>514</v>
      </c>
      <c r="AU6" s="4327"/>
      <c r="AV6" s="2003" t="s">
        <v>9</v>
      </c>
      <c r="AW6" s="2003" t="s">
        <v>513</v>
      </c>
      <c r="AX6" s="2003" t="s">
        <v>279</v>
      </c>
      <c r="AY6" s="2003" t="s">
        <v>12</v>
      </c>
      <c r="AZ6" s="2003" t="s">
        <v>439</v>
      </c>
      <c r="BA6" s="2003" t="s">
        <v>514</v>
      </c>
      <c r="BB6" s="4327"/>
      <c r="BC6" s="2003" t="s">
        <v>9</v>
      </c>
      <c r="BD6" s="2003" t="s">
        <v>513</v>
      </c>
      <c r="BE6" s="2003" t="s">
        <v>279</v>
      </c>
      <c r="BF6" s="2003" t="s">
        <v>12</v>
      </c>
      <c r="BG6" s="2003" t="s">
        <v>439</v>
      </c>
      <c r="BH6" s="2003" t="s">
        <v>514</v>
      </c>
      <c r="BI6" s="4327"/>
      <c r="BJ6" s="2003" t="s">
        <v>9</v>
      </c>
      <c r="BK6" s="2003" t="s">
        <v>513</v>
      </c>
      <c r="BL6" s="2003" t="s">
        <v>279</v>
      </c>
      <c r="BM6" s="2003" t="s">
        <v>12</v>
      </c>
      <c r="BN6" s="2003" t="s">
        <v>439</v>
      </c>
      <c r="BO6" s="2003" t="s">
        <v>514</v>
      </c>
      <c r="BP6" s="4327"/>
      <c r="BQ6" s="2003" t="s">
        <v>9</v>
      </c>
      <c r="BR6" s="2003" t="s">
        <v>513</v>
      </c>
      <c r="BS6" s="2003" t="s">
        <v>279</v>
      </c>
      <c r="BT6" s="2003" t="s">
        <v>12</v>
      </c>
      <c r="BU6" s="2003" t="s">
        <v>439</v>
      </c>
      <c r="BV6" s="2003" t="s">
        <v>514</v>
      </c>
      <c r="BW6" s="4327"/>
      <c r="BX6" s="2003" t="s">
        <v>9</v>
      </c>
      <c r="BY6" s="2003" t="s">
        <v>513</v>
      </c>
      <c r="BZ6" s="2003" t="s">
        <v>279</v>
      </c>
      <c r="CA6" s="2003" t="s">
        <v>12</v>
      </c>
      <c r="CB6" s="2003" t="s">
        <v>439</v>
      </c>
      <c r="CC6" s="2003" t="s">
        <v>514</v>
      </c>
      <c r="CD6" s="4327"/>
      <c r="CE6" s="2003" t="s">
        <v>9</v>
      </c>
      <c r="CF6" s="2003" t="s">
        <v>513</v>
      </c>
      <c r="CG6" s="2003" t="s">
        <v>279</v>
      </c>
      <c r="CH6" s="2003" t="s">
        <v>12</v>
      </c>
      <c r="CI6" s="2003" t="s">
        <v>439</v>
      </c>
      <c r="CJ6" s="2003" t="s">
        <v>514</v>
      </c>
      <c r="CK6" s="4327"/>
      <c r="CL6" s="2003" t="s">
        <v>9</v>
      </c>
      <c r="CM6" s="2003" t="s">
        <v>513</v>
      </c>
      <c r="CN6" s="2003" t="s">
        <v>279</v>
      </c>
      <c r="CO6" s="2003" t="s">
        <v>12</v>
      </c>
      <c r="CP6" s="2003" t="s">
        <v>439</v>
      </c>
      <c r="CQ6" s="2003" t="s">
        <v>514</v>
      </c>
      <c r="CR6" s="4327"/>
      <c r="CS6" s="2003" t="s">
        <v>9</v>
      </c>
      <c r="CT6" s="2003" t="s">
        <v>513</v>
      </c>
      <c r="CU6" s="2003" t="s">
        <v>279</v>
      </c>
      <c r="CV6" s="2003" t="s">
        <v>12</v>
      </c>
      <c r="CW6" s="2003" t="s">
        <v>439</v>
      </c>
      <c r="CX6" s="2003" t="s">
        <v>514</v>
      </c>
      <c r="CY6" s="4327"/>
      <c r="CZ6" s="2003" t="s">
        <v>9</v>
      </c>
      <c r="DA6" s="2003" t="s">
        <v>513</v>
      </c>
      <c r="DB6" s="2003" t="s">
        <v>279</v>
      </c>
      <c r="DC6" s="2003" t="s">
        <v>12</v>
      </c>
      <c r="DD6" s="2003" t="s">
        <v>439</v>
      </c>
      <c r="DE6" s="2003" t="s">
        <v>514</v>
      </c>
    </row>
    <row r="7" spans="1:109">
      <c r="A7" s="1658"/>
      <c r="B7" s="1658"/>
      <c r="C7" s="2007">
        <v>1</v>
      </c>
      <c r="D7" s="2003">
        <v>2</v>
      </c>
      <c r="E7" s="2003">
        <v>3</v>
      </c>
      <c r="F7" s="2003">
        <v>4</v>
      </c>
      <c r="G7" s="2003">
        <v>5</v>
      </c>
      <c r="H7" s="2003">
        <v>6</v>
      </c>
      <c r="I7" s="2003">
        <v>7</v>
      </c>
      <c r="J7" s="2003">
        <v>8</v>
      </c>
      <c r="K7" s="2003">
        <v>9</v>
      </c>
      <c r="L7" s="2003">
        <v>10</v>
      </c>
      <c r="M7" s="2003">
        <v>11</v>
      </c>
      <c r="N7" s="2003">
        <v>12</v>
      </c>
      <c r="O7" s="2003">
        <v>13</v>
      </c>
      <c r="P7" s="2003">
        <v>14</v>
      </c>
      <c r="Q7" s="2003">
        <v>15</v>
      </c>
      <c r="R7" s="2003">
        <v>16</v>
      </c>
      <c r="S7" s="2003">
        <v>17</v>
      </c>
      <c r="T7" s="2003">
        <v>18</v>
      </c>
      <c r="U7" s="2003">
        <v>19</v>
      </c>
      <c r="V7" s="2003">
        <v>20</v>
      </c>
      <c r="W7" s="2003">
        <v>21</v>
      </c>
      <c r="X7" s="2003">
        <v>22</v>
      </c>
      <c r="Y7" s="2003">
        <v>23</v>
      </c>
      <c r="Z7" s="2003">
        <v>24</v>
      </c>
      <c r="AA7" s="2003">
        <v>25</v>
      </c>
      <c r="AB7" s="2003">
        <v>26</v>
      </c>
      <c r="AC7" s="2003">
        <v>27</v>
      </c>
      <c r="AD7" s="2003">
        <v>28</v>
      </c>
      <c r="AE7" s="2003">
        <v>29</v>
      </c>
      <c r="AF7" s="2003">
        <v>30</v>
      </c>
      <c r="AG7" s="2003">
        <v>31</v>
      </c>
      <c r="AH7" s="2003">
        <v>32</v>
      </c>
      <c r="AI7" s="2003">
        <v>33</v>
      </c>
      <c r="AJ7" s="2003">
        <v>34</v>
      </c>
      <c r="AK7" s="2003">
        <v>35</v>
      </c>
      <c r="AL7" s="2003">
        <v>36</v>
      </c>
      <c r="AM7" s="2003">
        <v>37</v>
      </c>
      <c r="AN7" s="2003">
        <v>38</v>
      </c>
      <c r="AO7" s="2003">
        <v>39</v>
      </c>
      <c r="AP7" s="2003">
        <v>40</v>
      </c>
      <c r="AQ7" s="2003">
        <v>41</v>
      </c>
      <c r="AR7" s="2003">
        <v>42</v>
      </c>
      <c r="AS7" s="2003">
        <v>43</v>
      </c>
      <c r="AT7" s="2003">
        <v>44</v>
      </c>
      <c r="AU7" s="2003">
        <v>45</v>
      </c>
      <c r="AV7" s="2003">
        <v>46</v>
      </c>
      <c r="AW7" s="2003">
        <v>47</v>
      </c>
      <c r="AX7" s="2003">
        <v>48</v>
      </c>
      <c r="AY7" s="2003">
        <v>49</v>
      </c>
      <c r="AZ7" s="2003">
        <v>50</v>
      </c>
      <c r="BA7" s="2003">
        <v>51</v>
      </c>
      <c r="BB7" s="2003">
        <v>52</v>
      </c>
      <c r="BC7" s="2003">
        <v>53</v>
      </c>
      <c r="BD7" s="2003">
        <v>54</v>
      </c>
      <c r="BE7" s="2003">
        <v>55</v>
      </c>
      <c r="BF7" s="2003">
        <v>56</v>
      </c>
      <c r="BG7" s="2003">
        <v>57</v>
      </c>
      <c r="BH7" s="2003">
        <v>58</v>
      </c>
      <c r="BI7" s="2003">
        <v>59</v>
      </c>
      <c r="BJ7" s="2003">
        <v>60</v>
      </c>
      <c r="BK7" s="2003">
        <v>61</v>
      </c>
      <c r="BL7" s="2003">
        <v>62</v>
      </c>
      <c r="BM7" s="2003">
        <v>63</v>
      </c>
      <c r="BN7" s="2003">
        <v>64</v>
      </c>
      <c r="BO7" s="2003">
        <v>65</v>
      </c>
      <c r="BP7" s="2003">
        <v>66</v>
      </c>
      <c r="BQ7" s="2003">
        <v>67</v>
      </c>
      <c r="BR7" s="2003">
        <v>68</v>
      </c>
      <c r="BS7" s="2003">
        <v>69</v>
      </c>
      <c r="BT7" s="2003">
        <v>70</v>
      </c>
      <c r="BU7" s="2003">
        <v>71</v>
      </c>
      <c r="BV7" s="2003">
        <v>72</v>
      </c>
      <c r="BW7" s="2003">
        <v>73</v>
      </c>
      <c r="BX7" s="2003">
        <v>74</v>
      </c>
      <c r="BY7" s="2003">
        <v>75</v>
      </c>
      <c r="BZ7" s="2003">
        <v>76</v>
      </c>
      <c r="CA7" s="2003">
        <v>77</v>
      </c>
      <c r="CB7" s="2003">
        <v>78</v>
      </c>
      <c r="CC7" s="2003">
        <v>79</v>
      </c>
      <c r="CD7" s="2003">
        <v>80</v>
      </c>
      <c r="CE7" s="2003">
        <v>81</v>
      </c>
      <c r="CF7" s="2003">
        <v>82</v>
      </c>
      <c r="CG7" s="2003">
        <v>83</v>
      </c>
      <c r="CH7" s="2003">
        <v>84</v>
      </c>
      <c r="CI7" s="2003">
        <v>85</v>
      </c>
      <c r="CJ7" s="2003">
        <v>86</v>
      </c>
      <c r="CK7" s="2003">
        <v>87</v>
      </c>
      <c r="CL7" s="2003">
        <v>88</v>
      </c>
      <c r="CM7" s="2003">
        <v>89</v>
      </c>
      <c r="CN7" s="2003">
        <v>90</v>
      </c>
      <c r="CO7" s="2003">
        <v>91</v>
      </c>
      <c r="CP7" s="2003">
        <v>92</v>
      </c>
      <c r="CQ7" s="2003">
        <v>93</v>
      </c>
      <c r="CR7" s="2003">
        <v>94</v>
      </c>
      <c r="CS7" s="2003">
        <v>95</v>
      </c>
      <c r="CT7" s="2003">
        <v>96</v>
      </c>
      <c r="CU7" s="2003">
        <v>97</v>
      </c>
      <c r="CV7" s="2003">
        <v>98</v>
      </c>
      <c r="CW7" s="2003">
        <v>99</v>
      </c>
      <c r="CX7" s="2003">
        <v>100</v>
      </c>
      <c r="CY7" s="2003">
        <v>101</v>
      </c>
      <c r="CZ7" s="2003">
        <v>102</v>
      </c>
      <c r="DA7" s="2003">
        <v>103</v>
      </c>
      <c r="DB7" s="2003">
        <v>104</v>
      </c>
      <c r="DC7" s="2003">
        <v>105</v>
      </c>
      <c r="DD7" s="2003">
        <v>106</v>
      </c>
      <c r="DE7" s="2003">
        <v>107</v>
      </c>
    </row>
    <row r="8" spans="1:109" ht="15.75" thickBot="1">
      <c r="A8" s="2006" t="s">
        <v>1554</v>
      </c>
      <c r="B8" s="2006" t="s">
        <v>1555</v>
      </c>
      <c r="C8" s="1658" t="s">
        <v>497</v>
      </c>
      <c r="D8" s="1658" t="s">
        <v>1540</v>
      </c>
      <c r="E8" s="2027" t="s">
        <v>1299</v>
      </c>
      <c r="F8" s="2027" t="s">
        <v>1300</v>
      </c>
      <c r="G8" s="2027" t="s">
        <v>1301</v>
      </c>
      <c r="H8" s="2027" t="s">
        <v>1302</v>
      </c>
      <c r="I8" s="2027" t="s">
        <v>1303</v>
      </c>
      <c r="J8" s="2027" t="s">
        <v>1304</v>
      </c>
      <c r="K8" s="2027" t="s">
        <v>1305</v>
      </c>
      <c r="L8" s="2027" t="s">
        <v>1306</v>
      </c>
      <c r="M8" s="2027" t="s">
        <v>1307</v>
      </c>
      <c r="N8" s="2027" t="s">
        <v>1308</v>
      </c>
      <c r="O8" s="2027" t="s">
        <v>1309</v>
      </c>
      <c r="P8" s="2027" t="s">
        <v>1310</v>
      </c>
      <c r="Q8" s="2027" t="s">
        <v>1311</v>
      </c>
      <c r="R8" s="2027" t="s">
        <v>1312</v>
      </c>
      <c r="S8" s="2027" t="s">
        <v>1313</v>
      </c>
      <c r="T8" s="2027" t="s">
        <v>1314</v>
      </c>
      <c r="U8" s="2027" t="s">
        <v>1315</v>
      </c>
      <c r="V8" s="2027" t="s">
        <v>1316</v>
      </c>
      <c r="W8" s="2027" t="s">
        <v>1556</v>
      </c>
      <c r="X8" s="2027" t="s">
        <v>1557</v>
      </c>
      <c r="Y8" s="2027" t="s">
        <v>1558</v>
      </c>
      <c r="Z8" s="2027" t="s">
        <v>1559</v>
      </c>
      <c r="AA8" s="2027" t="s">
        <v>1560</v>
      </c>
      <c r="AB8" s="2027" t="s">
        <v>1561</v>
      </c>
      <c r="AC8" s="2027" t="s">
        <v>1562</v>
      </c>
      <c r="AD8" s="2027" t="s">
        <v>1563</v>
      </c>
      <c r="AE8" s="2027" t="s">
        <v>1564</v>
      </c>
      <c r="AF8" s="2027" t="s">
        <v>1565</v>
      </c>
      <c r="AG8" s="2027" t="s">
        <v>1566</v>
      </c>
      <c r="AH8" s="2027" t="s">
        <v>1567</v>
      </c>
      <c r="AI8" s="2027" t="s">
        <v>1568</v>
      </c>
      <c r="AJ8" s="2027" t="s">
        <v>1569</v>
      </c>
      <c r="AK8" s="2027" t="s">
        <v>1570</v>
      </c>
      <c r="AL8" s="2027" t="s">
        <v>1571</v>
      </c>
      <c r="AM8" s="2027" t="s">
        <v>1572</v>
      </c>
      <c r="AN8" s="2027" t="s">
        <v>1573</v>
      </c>
      <c r="AO8" s="2027" t="s">
        <v>1574</v>
      </c>
      <c r="AP8" s="2027" t="s">
        <v>1575</v>
      </c>
      <c r="AQ8" s="2027" t="s">
        <v>1576</v>
      </c>
      <c r="AR8" s="2027" t="s">
        <v>1577</v>
      </c>
      <c r="AS8" s="2027" t="s">
        <v>1578</v>
      </c>
      <c r="AT8" s="2027" t="s">
        <v>1579</v>
      </c>
      <c r="AU8" s="2027" t="s">
        <v>1580</v>
      </c>
      <c r="AV8" s="2027" t="s">
        <v>1581</v>
      </c>
      <c r="AW8" s="2027" t="s">
        <v>1582</v>
      </c>
      <c r="AX8" s="2027" t="s">
        <v>1583</v>
      </c>
      <c r="AY8" s="2027" t="s">
        <v>1584</v>
      </c>
      <c r="AZ8" s="2027" t="s">
        <v>1585</v>
      </c>
      <c r="BA8" s="2027" t="s">
        <v>1586</v>
      </c>
      <c r="BB8" s="2027" t="s">
        <v>1587</v>
      </c>
      <c r="BC8" s="2027" t="s">
        <v>1588</v>
      </c>
      <c r="BD8" s="2027" t="s">
        <v>1589</v>
      </c>
      <c r="BE8" s="2027" t="s">
        <v>1590</v>
      </c>
      <c r="BF8" s="2027" t="s">
        <v>1591</v>
      </c>
      <c r="BG8" s="2027" t="s">
        <v>1592</v>
      </c>
      <c r="BH8" s="2027" t="s">
        <v>1593</v>
      </c>
      <c r="BI8" s="2027" t="s">
        <v>1594</v>
      </c>
      <c r="BJ8" s="2027" t="s">
        <v>1595</v>
      </c>
      <c r="BK8" s="2027" t="s">
        <v>1596</v>
      </c>
      <c r="BL8" s="2027" t="s">
        <v>1597</v>
      </c>
      <c r="BM8" s="2027" t="s">
        <v>1598</v>
      </c>
      <c r="BN8" s="2027" t="s">
        <v>1599</v>
      </c>
      <c r="BO8" s="2027" t="s">
        <v>1600</v>
      </c>
      <c r="BP8" s="2027" t="s">
        <v>1601</v>
      </c>
      <c r="BQ8" s="2027" t="s">
        <v>1602</v>
      </c>
      <c r="BR8" s="2027" t="s">
        <v>1603</v>
      </c>
      <c r="BS8" s="2027" t="s">
        <v>1604</v>
      </c>
      <c r="BT8" s="2027" t="s">
        <v>1605</v>
      </c>
      <c r="BU8" s="2027" t="s">
        <v>1606</v>
      </c>
      <c r="BV8" s="2027" t="s">
        <v>1607</v>
      </c>
      <c r="BW8" s="2027" t="s">
        <v>1608</v>
      </c>
      <c r="BX8" s="2027" t="s">
        <v>1609</v>
      </c>
      <c r="BY8" s="2027" t="s">
        <v>1610</v>
      </c>
      <c r="BZ8" s="2027" t="s">
        <v>1611</v>
      </c>
      <c r="CA8" s="2027" t="s">
        <v>1612</v>
      </c>
      <c r="CB8" s="2027" t="s">
        <v>1613</v>
      </c>
      <c r="CC8" s="2027" t="s">
        <v>1614</v>
      </c>
      <c r="CD8" s="2027" t="s">
        <v>1615</v>
      </c>
      <c r="CE8" s="2027" t="s">
        <v>1616</v>
      </c>
      <c r="CF8" s="2027" t="s">
        <v>1617</v>
      </c>
      <c r="CG8" s="2027" t="s">
        <v>1618</v>
      </c>
      <c r="CH8" s="2027" t="s">
        <v>1619</v>
      </c>
      <c r="CI8" s="2027" t="s">
        <v>1620</v>
      </c>
      <c r="CJ8" s="2027" t="s">
        <v>1621</v>
      </c>
      <c r="CK8" s="2027" t="s">
        <v>1622</v>
      </c>
      <c r="CL8" s="2027" t="s">
        <v>1623</v>
      </c>
      <c r="CM8" s="2027" t="s">
        <v>1624</v>
      </c>
      <c r="CN8" s="2027" t="s">
        <v>1625</v>
      </c>
      <c r="CO8" s="2027" t="s">
        <v>1626</v>
      </c>
      <c r="CP8" s="2027" t="s">
        <v>1627</v>
      </c>
      <c r="CQ8" s="2027" t="s">
        <v>1628</v>
      </c>
      <c r="CR8" s="2027" t="s">
        <v>1629</v>
      </c>
      <c r="CS8" s="2027" t="s">
        <v>1630</v>
      </c>
      <c r="CT8" s="2027" t="s">
        <v>1631</v>
      </c>
      <c r="CU8" s="2027" t="s">
        <v>1632</v>
      </c>
      <c r="CV8" s="2027" t="s">
        <v>1633</v>
      </c>
      <c r="CW8" s="2027" t="s">
        <v>1634</v>
      </c>
      <c r="CX8" s="2027" t="s">
        <v>1635</v>
      </c>
      <c r="CY8" s="2027" t="s">
        <v>1636</v>
      </c>
      <c r="CZ8" s="2027" t="s">
        <v>1637</v>
      </c>
      <c r="DA8" s="2027" t="s">
        <v>1638</v>
      </c>
      <c r="DB8" s="2027" t="s">
        <v>1639</v>
      </c>
      <c r="DC8" s="2027" t="s">
        <v>1640</v>
      </c>
      <c r="DD8" s="2027" t="s">
        <v>1641</v>
      </c>
      <c r="DE8" s="2027" t="s">
        <v>1642</v>
      </c>
    </row>
    <row r="9" spans="1:109" ht="51.75" thickTop="1">
      <c r="A9" s="1652">
        <v>9</v>
      </c>
      <c r="B9" s="1652">
        <v>13</v>
      </c>
      <c r="C9" s="1679" t="s">
        <v>1979</v>
      </c>
      <c r="D9" s="1680">
        <v>100</v>
      </c>
      <c r="E9" s="2030">
        <f>E10+E18+E27+E35</f>
        <v>21638.613000000001</v>
      </c>
      <c r="F9" s="2030">
        <f t="shared" ref="F9:BQ9" si="0">F10+F18+F27+F35</f>
        <v>0</v>
      </c>
      <c r="G9" s="2030">
        <f t="shared" si="0"/>
        <v>351.48252000000002</v>
      </c>
      <c r="H9" s="2030">
        <f t="shared" si="0"/>
        <v>13138.729520000001</v>
      </c>
      <c r="I9" s="2030">
        <f t="shared" si="0"/>
        <v>8148.4009600000009</v>
      </c>
      <c r="J9" s="2030">
        <f t="shared" si="0"/>
        <v>0</v>
      </c>
      <c r="K9" s="2030">
        <f t="shared" si="0"/>
        <v>0</v>
      </c>
      <c r="L9" s="2030">
        <f t="shared" si="0"/>
        <v>182099.89973000003</v>
      </c>
      <c r="M9" s="2030">
        <f t="shared" si="0"/>
        <v>0</v>
      </c>
      <c r="N9" s="2030">
        <f t="shared" si="0"/>
        <v>2247.5425399999999</v>
      </c>
      <c r="O9" s="2030">
        <f t="shared" si="0"/>
        <v>111774.80395000002</v>
      </c>
      <c r="P9" s="2030">
        <f t="shared" si="0"/>
        <v>68077.553239999994</v>
      </c>
      <c r="Q9" s="2030">
        <f t="shared" si="0"/>
        <v>0</v>
      </c>
      <c r="R9" s="2030">
        <f t="shared" si="0"/>
        <v>0</v>
      </c>
      <c r="S9" s="2030">
        <f t="shared" si="0"/>
        <v>295.92699999999996</v>
      </c>
      <c r="T9" s="2030">
        <f t="shared" si="0"/>
        <v>0</v>
      </c>
      <c r="U9" s="2030">
        <f t="shared" si="0"/>
        <v>0</v>
      </c>
      <c r="V9" s="2030">
        <f t="shared" si="0"/>
        <v>292.86599999999999</v>
      </c>
      <c r="W9" s="2030">
        <f t="shared" si="0"/>
        <v>3.0609999999999999</v>
      </c>
      <c r="X9" s="2030">
        <f t="shared" si="0"/>
        <v>0</v>
      </c>
      <c r="Y9" s="2030">
        <f t="shared" si="0"/>
        <v>0</v>
      </c>
      <c r="Z9" s="2030">
        <f t="shared" si="0"/>
        <v>2783.4780800000003</v>
      </c>
      <c r="AA9" s="2030">
        <f t="shared" si="0"/>
        <v>0</v>
      </c>
      <c r="AB9" s="2030">
        <f t="shared" si="0"/>
        <v>0</v>
      </c>
      <c r="AC9" s="2030">
        <f t="shared" si="0"/>
        <v>2754.2478200000005</v>
      </c>
      <c r="AD9" s="2030">
        <f t="shared" si="0"/>
        <v>29.230260000000001</v>
      </c>
      <c r="AE9" s="2030">
        <f t="shared" si="0"/>
        <v>0</v>
      </c>
      <c r="AF9" s="2030">
        <f t="shared" si="0"/>
        <v>0</v>
      </c>
      <c r="AG9" s="2030">
        <f t="shared" si="0"/>
        <v>6724.0690000000004</v>
      </c>
      <c r="AH9" s="2030">
        <f t="shared" si="0"/>
        <v>0</v>
      </c>
      <c r="AI9" s="2030">
        <f t="shared" si="0"/>
        <v>2494.779</v>
      </c>
      <c r="AJ9" s="2030">
        <f t="shared" si="0"/>
        <v>4215.41</v>
      </c>
      <c r="AK9" s="2030">
        <f t="shared" si="0"/>
        <v>13.88</v>
      </c>
      <c r="AL9" s="2030">
        <f t="shared" si="0"/>
        <v>0</v>
      </c>
      <c r="AM9" s="2030">
        <f t="shared" si="0"/>
        <v>0</v>
      </c>
      <c r="AN9" s="2030">
        <f t="shared" si="0"/>
        <v>47691.441340000012</v>
      </c>
      <c r="AO9" s="2030">
        <f t="shared" si="0"/>
        <v>0</v>
      </c>
      <c r="AP9" s="2030">
        <f t="shared" si="0"/>
        <v>17193.228070000001</v>
      </c>
      <c r="AQ9" s="2030">
        <f t="shared" si="0"/>
        <v>30394.370740000006</v>
      </c>
      <c r="AR9" s="2030">
        <f t="shared" si="0"/>
        <v>103.84253</v>
      </c>
      <c r="AS9" s="2030">
        <f t="shared" si="0"/>
        <v>0</v>
      </c>
      <c r="AT9" s="2030">
        <f t="shared" si="0"/>
        <v>0</v>
      </c>
      <c r="AU9" s="2030">
        <f t="shared" si="0"/>
        <v>9.5549999999999997</v>
      </c>
      <c r="AV9" s="2030">
        <f t="shared" si="0"/>
        <v>0</v>
      </c>
      <c r="AW9" s="2030">
        <f t="shared" si="0"/>
        <v>3.28</v>
      </c>
      <c r="AX9" s="2030">
        <f t="shared" si="0"/>
        <v>6.2350000000000003</v>
      </c>
      <c r="AY9" s="2030">
        <f t="shared" si="0"/>
        <v>0.04</v>
      </c>
      <c r="AZ9" s="2030">
        <f t="shared" si="0"/>
        <v>0</v>
      </c>
      <c r="BA9" s="2030">
        <f t="shared" si="0"/>
        <v>0</v>
      </c>
      <c r="BB9" s="2030">
        <f t="shared" si="0"/>
        <v>11536.08747</v>
      </c>
      <c r="BC9" s="2030">
        <f t="shared" si="0"/>
        <v>0</v>
      </c>
      <c r="BD9" s="2030">
        <f t="shared" si="0"/>
        <v>3960.05933</v>
      </c>
      <c r="BE9" s="2030">
        <f t="shared" si="0"/>
        <v>7527.7347300000001</v>
      </c>
      <c r="BF9" s="2030">
        <f t="shared" si="0"/>
        <v>48.293410000000002</v>
      </c>
      <c r="BG9" s="2030">
        <f t="shared" si="0"/>
        <v>0</v>
      </c>
      <c r="BH9" s="2030">
        <f t="shared" si="0"/>
        <v>0</v>
      </c>
      <c r="BI9" s="2030">
        <f t="shared" si="0"/>
        <v>3691.2719999999999</v>
      </c>
      <c r="BJ9" s="2030">
        <f t="shared" si="0"/>
        <v>0</v>
      </c>
      <c r="BK9" s="2030">
        <f t="shared" si="0"/>
        <v>0</v>
      </c>
      <c r="BL9" s="2030">
        <f t="shared" si="0"/>
        <v>102.423</v>
      </c>
      <c r="BM9" s="2030">
        <f t="shared" si="0"/>
        <v>3588.8490000000002</v>
      </c>
      <c r="BN9" s="2030">
        <f t="shared" si="0"/>
        <v>0</v>
      </c>
      <c r="BO9" s="2030">
        <f t="shared" si="0"/>
        <v>0</v>
      </c>
      <c r="BP9" s="2030">
        <f t="shared" si="0"/>
        <v>13669.947359999998</v>
      </c>
      <c r="BQ9" s="2030">
        <f t="shared" si="0"/>
        <v>0</v>
      </c>
      <c r="BR9" s="2030">
        <f t="shared" ref="BR9:DE9" si="1">BR10+BR18+BR27+BR35</f>
        <v>0</v>
      </c>
      <c r="BS9" s="2030">
        <f t="shared" si="1"/>
        <v>359.80949000000004</v>
      </c>
      <c r="BT9" s="2030">
        <f t="shared" si="1"/>
        <v>13310.137869999999</v>
      </c>
      <c r="BU9" s="2030">
        <f t="shared" si="1"/>
        <v>0</v>
      </c>
      <c r="BV9" s="2030">
        <f t="shared" si="1"/>
        <v>0</v>
      </c>
      <c r="BW9" s="2030">
        <f t="shared" si="1"/>
        <v>5.9240000000000004</v>
      </c>
      <c r="BX9" s="2030">
        <f t="shared" si="1"/>
        <v>0</v>
      </c>
      <c r="BY9" s="2030">
        <f t="shared" si="1"/>
        <v>0</v>
      </c>
      <c r="BZ9" s="2030">
        <f t="shared" si="1"/>
        <v>0.14499999999999999</v>
      </c>
      <c r="CA9" s="2030">
        <f t="shared" si="1"/>
        <v>5.7789999999999999</v>
      </c>
      <c r="CB9" s="2030">
        <f t="shared" si="1"/>
        <v>0</v>
      </c>
      <c r="CC9" s="2030">
        <f t="shared" si="1"/>
        <v>0</v>
      </c>
      <c r="CD9" s="2030">
        <f t="shared" si="1"/>
        <v>7152.25353</v>
      </c>
      <c r="CE9" s="2030">
        <f t="shared" si="1"/>
        <v>0</v>
      </c>
      <c r="CF9" s="2030">
        <f t="shared" si="1"/>
        <v>0</v>
      </c>
      <c r="CG9" s="2030">
        <f t="shared" si="1"/>
        <v>175.06359999999998</v>
      </c>
      <c r="CH9" s="2030">
        <f t="shared" si="1"/>
        <v>6977.1899300000005</v>
      </c>
      <c r="CI9" s="2030">
        <f t="shared" si="1"/>
        <v>0</v>
      </c>
      <c r="CJ9" s="2030">
        <f t="shared" si="1"/>
        <v>0</v>
      </c>
      <c r="CK9" s="2030">
        <f t="shared" si="1"/>
        <v>6.7129999999999992</v>
      </c>
      <c r="CL9" s="2030">
        <f t="shared" si="1"/>
        <v>0</v>
      </c>
      <c r="CM9" s="2030">
        <f t="shared" si="1"/>
        <v>0</v>
      </c>
      <c r="CN9" s="2030">
        <f t="shared" si="1"/>
        <v>0.157</v>
      </c>
      <c r="CO9" s="2030">
        <f t="shared" si="1"/>
        <v>6.556</v>
      </c>
      <c r="CP9" s="2030">
        <f t="shared" si="1"/>
        <v>0</v>
      </c>
      <c r="CQ9" s="2030">
        <f t="shared" si="1"/>
        <v>0</v>
      </c>
      <c r="CR9" s="2030">
        <f t="shared" si="1"/>
        <v>7164.6043900000004</v>
      </c>
      <c r="CS9" s="2030">
        <f t="shared" si="1"/>
        <v>0</v>
      </c>
      <c r="CT9" s="2030">
        <f t="shared" si="1"/>
        <v>0</v>
      </c>
      <c r="CU9" s="2030">
        <f t="shared" si="1"/>
        <v>439.46540000000005</v>
      </c>
      <c r="CV9" s="2030">
        <f t="shared" si="1"/>
        <v>6725.1389899999995</v>
      </c>
      <c r="CW9" s="2030">
        <f t="shared" si="1"/>
        <v>0</v>
      </c>
      <c r="CX9" s="2030">
        <f t="shared" si="1"/>
        <v>0</v>
      </c>
      <c r="CY9" s="2030">
        <f t="shared" si="1"/>
        <v>0</v>
      </c>
      <c r="CZ9" s="2030">
        <f t="shared" si="1"/>
        <v>0</v>
      </c>
      <c r="DA9" s="2030">
        <f t="shared" si="1"/>
        <v>0</v>
      </c>
      <c r="DB9" s="2030">
        <f t="shared" si="1"/>
        <v>0</v>
      </c>
      <c r="DC9" s="2030">
        <f t="shared" si="1"/>
        <v>0</v>
      </c>
      <c r="DD9" s="2030">
        <f t="shared" si="1"/>
        <v>0</v>
      </c>
      <c r="DE9" s="2030">
        <f t="shared" si="1"/>
        <v>0</v>
      </c>
    </row>
    <row r="10" spans="1:109" ht="38.25">
      <c r="A10" s="1652">
        <v>9</v>
      </c>
      <c r="B10" s="1652">
        <v>4</v>
      </c>
      <c r="C10" s="1679" t="s">
        <v>515</v>
      </c>
      <c r="D10" s="1680">
        <v>200</v>
      </c>
      <c r="E10" s="2031">
        <v>0</v>
      </c>
      <c r="F10" s="2031">
        <v>0</v>
      </c>
      <c r="G10" s="2031">
        <v>0</v>
      </c>
      <c r="H10" s="2031">
        <v>0</v>
      </c>
      <c r="I10" s="2031">
        <v>0</v>
      </c>
      <c r="J10" s="2031">
        <v>0</v>
      </c>
      <c r="K10" s="2031">
        <v>0</v>
      </c>
      <c r="L10" s="2030">
        <v>0</v>
      </c>
      <c r="M10" s="2031">
        <v>0</v>
      </c>
      <c r="N10" s="2031">
        <v>0</v>
      </c>
      <c r="O10" s="2031">
        <v>0</v>
      </c>
      <c r="P10" s="2031">
        <v>0</v>
      </c>
      <c r="Q10" s="2031">
        <v>0</v>
      </c>
      <c r="R10" s="2031">
        <v>0</v>
      </c>
      <c r="S10" s="2031">
        <v>0</v>
      </c>
      <c r="T10" s="2031">
        <v>0</v>
      </c>
      <c r="U10" s="2031">
        <v>0</v>
      </c>
      <c r="V10" s="2031">
        <v>0</v>
      </c>
      <c r="W10" s="2031">
        <v>0</v>
      </c>
      <c r="X10" s="2031">
        <v>0</v>
      </c>
      <c r="Y10" s="2031">
        <v>0</v>
      </c>
      <c r="Z10" s="2031">
        <v>0</v>
      </c>
      <c r="AA10" s="2031">
        <v>0</v>
      </c>
      <c r="AB10" s="2031">
        <v>0</v>
      </c>
      <c r="AC10" s="2031">
        <v>0</v>
      </c>
      <c r="AD10" s="2031">
        <v>0</v>
      </c>
      <c r="AE10" s="2031">
        <v>0</v>
      </c>
      <c r="AF10" s="2031">
        <v>0</v>
      </c>
      <c r="AG10" s="2031">
        <v>0</v>
      </c>
      <c r="AH10" s="2031">
        <v>0</v>
      </c>
      <c r="AI10" s="2031">
        <v>0</v>
      </c>
      <c r="AJ10" s="2031">
        <v>0</v>
      </c>
      <c r="AK10" s="2031">
        <v>0</v>
      </c>
      <c r="AL10" s="2031">
        <v>0</v>
      </c>
      <c r="AM10" s="2031">
        <v>0</v>
      </c>
      <c r="AN10" s="2031">
        <v>0</v>
      </c>
      <c r="AO10" s="2031">
        <v>0</v>
      </c>
      <c r="AP10" s="2031">
        <v>0</v>
      </c>
      <c r="AQ10" s="2031">
        <v>0</v>
      </c>
      <c r="AR10" s="2031">
        <v>0</v>
      </c>
      <c r="AS10" s="2031">
        <v>0</v>
      </c>
      <c r="AT10" s="2031">
        <v>0</v>
      </c>
      <c r="AU10" s="2031">
        <v>0</v>
      </c>
      <c r="AV10" s="2031">
        <v>0</v>
      </c>
      <c r="AW10" s="2031">
        <v>0</v>
      </c>
      <c r="AX10" s="2031">
        <v>0</v>
      </c>
      <c r="AY10" s="2031">
        <v>0</v>
      </c>
      <c r="AZ10" s="2031">
        <v>0</v>
      </c>
      <c r="BA10" s="2031">
        <v>0</v>
      </c>
      <c r="BB10" s="2031">
        <v>0</v>
      </c>
      <c r="BC10" s="2031">
        <v>0</v>
      </c>
      <c r="BD10" s="2031">
        <v>0</v>
      </c>
      <c r="BE10" s="2031">
        <v>0</v>
      </c>
      <c r="BF10" s="2031">
        <v>0</v>
      </c>
      <c r="BG10" s="2031">
        <v>0</v>
      </c>
      <c r="BH10" s="2031">
        <v>0</v>
      </c>
      <c r="BI10" s="2031">
        <v>0</v>
      </c>
      <c r="BJ10" s="2031">
        <v>0</v>
      </c>
      <c r="BK10" s="2031">
        <v>0</v>
      </c>
      <c r="BL10" s="2031">
        <v>0</v>
      </c>
      <c r="BM10" s="2031">
        <v>0</v>
      </c>
      <c r="BN10" s="2031">
        <v>0</v>
      </c>
      <c r="BO10" s="2031">
        <v>0</v>
      </c>
      <c r="BP10" s="2031">
        <v>0</v>
      </c>
      <c r="BQ10" s="2031">
        <v>0</v>
      </c>
      <c r="BR10" s="2031">
        <v>0</v>
      </c>
      <c r="BS10" s="2031">
        <v>0</v>
      </c>
      <c r="BT10" s="2031">
        <v>0</v>
      </c>
      <c r="BU10" s="2031">
        <v>0</v>
      </c>
      <c r="BV10" s="2031">
        <v>0</v>
      </c>
      <c r="BW10" s="2031">
        <v>0</v>
      </c>
      <c r="BX10" s="2031">
        <v>0</v>
      </c>
      <c r="BY10" s="2031">
        <v>0</v>
      </c>
      <c r="BZ10" s="2031">
        <v>0</v>
      </c>
      <c r="CA10" s="2031">
        <v>0</v>
      </c>
      <c r="CB10" s="2031">
        <v>0</v>
      </c>
      <c r="CC10" s="2031">
        <v>0</v>
      </c>
      <c r="CD10" s="2031">
        <v>0</v>
      </c>
      <c r="CE10" s="2031">
        <v>0</v>
      </c>
      <c r="CF10" s="2031">
        <v>0</v>
      </c>
      <c r="CG10" s="2031">
        <v>0</v>
      </c>
      <c r="CH10" s="2031">
        <v>0</v>
      </c>
      <c r="CI10" s="2031">
        <v>0</v>
      </c>
      <c r="CJ10" s="2031">
        <v>0</v>
      </c>
      <c r="CK10" s="2031">
        <v>0</v>
      </c>
      <c r="CL10" s="2031">
        <v>0</v>
      </c>
      <c r="CM10" s="2031">
        <v>0</v>
      </c>
      <c r="CN10" s="2031">
        <v>0</v>
      </c>
      <c r="CO10" s="2031">
        <v>0</v>
      </c>
      <c r="CP10" s="2031">
        <v>0</v>
      </c>
      <c r="CQ10" s="2031">
        <v>0</v>
      </c>
      <c r="CR10" s="2031">
        <v>0</v>
      </c>
      <c r="CS10" s="2031">
        <v>0</v>
      </c>
      <c r="CT10" s="2031">
        <v>0</v>
      </c>
      <c r="CU10" s="2031">
        <v>0</v>
      </c>
      <c r="CV10" s="2031">
        <v>0</v>
      </c>
      <c r="CW10" s="2031">
        <v>0</v>
      </c>
      <c r="CX10" s="2031">
        <v>0</v>
      </c>
      <c r="CY10" s="2031">
        <v>0</v>
      </c>
      <c r="CZ10" s="2031">
        <v>0</v>
      </c>
      <c r="DA10" s="2031">
        <v>0</v>
      </c>
      <c r="DB10" s="2031">
        <v>0</v>
      </c>
      <c r="DC10" s="2031">
        <v>0</v>
      </c>
      <c r="DD10" s="2031">
        <v>0</v>
      </c>
      <c r="DE10" s="2031">
        <v>0</v>
      </c>
    </row>
    <row r="11" spans="1:109">
      <c r="A11" s="1652">
        <v>1</v>
      </c>
      <c r="B11" s="1652">
        <v>4</v>
      </c>
      <c r="C11" s="1681" t="s">
        <v>516</v>
      </c>
      <c r="D11" s="2003">
        <v>211</v>
      </c>
      <c r="E11" s="2031">
        <v>0</v>
      </c>
      <c r="F11" s="2032"/>
      <c r="G11" s="2032"/>
      <c r="H11" s="2032"/>
      <c r="I11" s="2032"/>
      <c r="J11" s="2032"/>
      <c r="K11" s="2032"/>
      <c r="L11" s="2030">
        <v>0</v>
      </c>
      <c r="M11" s="2032"/>
      <c r="N11" s="2032"/>
      <c r="O11" s="2032"/>
      <c r="P11" s="2032"/>
      <c r="Q11" s="2032"/>
      <c r="R11" s="2032"/>
      <c r="S11" s="2031">
        <v>0</v>
      </c>
      <c r="T11" s="2032"/>
      <c r="U11" s="2032"/>
      <c r="V11" s="2032"/>
      <c r="W11" s="2032"/>
      <c r="X11" s="2032"/>
      <c r="Y11" s="2032"/>
      <c r="Z11" s="2031">
        <v>0</v>
      </c>
      <c r="AA11" s="2032"/>
      <c r="AB11" s="2032"/>
      <c r="AC11" s="2032"/>
      <c r="AD11" s="2032"/>
      <c r="AE11" s="2032"/>
      <c r="AF11" s="2032"/>
      <c r="AG11" s="2031">
        <v>0</v>
      </c>
      <c r="AH11" s="2032"/>
      <c r="AI11" s="2032"/>
      <c r="AJ11" s="2032"/>
      <c r="AK11" s="2032"/>
      <c r="AL11" s="2032"/>
      <c r="AM11" s="2032"/>
      <c r="AN11" s="2031">
        <v>0</v>
      </c>
      <c r="AO11" s="2032"/>
      <c r="AP11" s="2032"/>
      <c r="AQ11" s="2032"/>
      <c r="AR11" s="2032"/>
      <c r="AS11" s="2032"/>
      <c r="AT11" s="2032"/>
      <c r="AU11" s="2031">
        <v>0</v>
      </c>
      <c r="AV11" s="2032"/>
      <c r="AW11" s="2032"/>
      <c r="AX11" s="2032"/>
      <c r="AY11" s="2032"/>
      <c r="AZ11" s="2032"/>
      <c r="BA11" s="2032"/>
      <c r="BB11" s="2031">
        <v>0</v>
      </c>
      <c r="BC11" s="2032"/>
      <c r="BD11" s="2032"/>
      <c r="BE11" s="2032"/>
      <c r="BF11" s="2032"/>
      <c r="BG11" s="2032"/>
      <c r="BH11" s="2032"/>
      <c r="BI11" s="2031">
        <v>0</v>
      </c>
      <c r="BJ11" s="2032"/>
      <c r="BK11" s="2032"/>
      <c r="BL11" s="2032"/>
      <c r="BM11" s="2032"/>
      <c r="BN11" s="2032"/>
      <c r="BO11" s="2032"/>
      <c r="BP11" s="2031">
        <v>0</v>
      </c>
      <c r="BQ11" s="2032"/>
      <c r="BR11" s="2032"/>
      <c r="BS11" s="2032"/>
      <c r="BT11" s="2032"/>
      <c r="BU11" s="2032"/>
      <c r="BV11" s="2032"/>
      <c r="BW11" s="2031">
        <v>0</v>
      </c>
      <c r="BX11" s="2032"/>
      <c r="BY11" s="2032"/>
      <c r="BZ11" s="2032"/>
      <c r="CA11" s="2032"/>
      <c r="CB11" s="2032"/>
      <c r="CC11" s="2032"/>
      <c r="CD11" s="2031">
        <v>0</v>
      </c>
      <c r="CE11" s="2032"/>
      <c r="CF11" s="2032"/>
      <c r="CG11" s="2032"/>
      <c r="CH11" s="2032"/>
      <c r="CI11" s="2032"/>
      <c r="CJ11" s="2032"/>
      <c r="CK11" s="2031">
        <v>0</v>
      </c>
      <c r="CL11" s="2032"/>
      <c r="CM11" s="2032"/>
      <c r="CN11" s="2032"/>
      <c r="CO11" s="2032"/>
      <c r="CP11" s="2032"/>
      <c r="CQ11" s="2032"/>
      <c r="CR11" s="2031">
        <v>0</v>
      </c>
      <c r="CS11" s="2032"/>
      <c r="CT11" s="2032"/>
      <c r="CU11" s="2032"/>
      <c r="CV11" s="2032"/>
      <c r="CW11" s="2032"/>
      <c r="CX11" s="2032"/>
      <c r="CY11" s="2031">
        <v>0</v>
      </c>
      <c r="CZ11" s="2032"/>
      <c r="DA11" s="2032"/>
      <c r="DB11" s="2032"/>
      <c r="DC11" s="2032"/>
      <c r="DD11" s="2032"/>
      <c r="DE11" s="2032"/>
    </row>
    <row r="12" spans="1:109">
      <c r="A12" s="1652">
        <v>2</v>
      </c>
      <c r="B12" s="1652">
        <v>4</v>
      </c>
      <c r="C12" s="1681" t="s">
        <v>517</v>
      </c>
      <c r="D12" s="2003">
        <v>221</v>
      </c>
      <c r="E12" s="2031">
        <v>0</v>
      </c>
      <c r="F12" s="2032"/>
      <c r="G12" s="2032"/>
      <c r="H12" s="2032"/>
      <c r="I12" s="2032"/>
      <c r="J12" s="2032"/>
      <c r="K12" s="2032"/>
      <c r="L12" s="2030">
        <v>0</v>
      </c>
      <c r="M12" s="2032"/>
      <c r="N12" s="2032"/>
      <c r="O12" s="2032"/>
      <c r="P12" s="2032"/>
      <c r="Q12" s="2032"/>
      <c r="R12" s="2032"/>
      <c r="S12" s="2031">
        <v>0</v>
      </c>
      <c r="T12" s="2032"/>
      <c r="U12" s="2032"/>
      <c r="V12" s="2032"/>
      <c r="W12" s="2032"/>
      <c r="X12" s="2032"/>
      <c r="Y12" s="2032"/>
      <c r="Z12" s="2031">
        <v>0</v>
      </c>
      <c r="AA12" s="2032"/>
      <c r="AB12" s="2032"/>
      <c r="AC12" s="2032"/>
      <c r="AD12" s="2032"/>
      <c r="AE12" s="2032"/>
      <c r="AF12" s="2032"/>
      <c r="AG12" s="2031">
        <v>0</v>
      </c>
      <c r="AH12" s="2032"/>
      <c r="AI12" s="2032"/>
      <c r="AJ12" s="2032"/>
      <c r="AK12" s="2032"/>
      <c r="AL12" s="2032"/>
      <c r="AM12" s="2032"/>
      <c r="AN12" s="2031">
        <v>0</v>
      </c>
      <c r="AO12" s="2032"/>
      <c r="AP12" s="2032"/>
      <c r="AQ12" s="2032"/>
      <c r="AR12" s="2032"/>
      <c r="AS12" s="2032"/>
      <c r="AT12" s="2032"/>
      <c r="AU12" s="2031">
        <v>0</v>
      </c>
      <c r="AV12" s="2032"/>
      <c r="AW12" s="2032"/>
      <c r="AX12" s="2032"/>
      <c r="AY12" s="2032"/>
      <c r="AZ12" s="2032"/>
      <c r="BA12" s="2032"/>
      <c r="BB12" s="2031">
        <v>0</v>
      </c>
      <c r="BC12" s="2032"/>
      <c r="BD12" s="2032"/>
      <c r="BE12" s="2032"/>
      <c r="BF12" s="2032"/>
      <c r="BG12" s="2032"/>
      <c r="BH12" s="2032"/>
      <c r="BI12" s="2031">
        <v>0</v>
      </c>
      <c r="BJ12" s="2032"/>
      <c r="BK12" s="2032"/>
      <c r="BL12" s="2032"/>
      <c r="BM12" s="2032"/>
      <c r="BN12" s="2032"/>
      <c r="BO12" s="2032"/>
      <c r="BP12" s="2031">
        <v>0</v>
      </c>
      <c r="BQ12" s="2032"/>
      <c r="BR12" s="2032"/>
      <c r="BS12" s="2032"/>
      <c r="BT12" s="2032"/>
      <c r="BU12" s="2032"/>
      <c r="BV12" s="2032"/>
      <c r="BW12" s="2031">
        <v>0</v>
      </c>
      <c r="BX12" s="2032"/>
      <c r="BY12" s="2032"/>
      <c r="BZ12" s="2032"/>
      <c r="CA12" s="2032"/>
      <c r="CB12" s="2032"/>
      <c r="CC12" s="2032"/>
      <c r="CD12" s="2031">
        <v>0</v>
      </c>
      <c r="CE12" s="2032"/>
      <c r="CF12" s="2032"/>
      <c r="CG12" s="2032"/>
      <c r="CH12" s="2032"/>
      <c r="CI12" s="2032"/>
      <c r="CJ12" s="2032"/>
      <c r="CK12" s="2031">
        <v>0</v>
      </c>
      <c r="CL12" s="2032"/>
      <c r="CM12" s="2032"/>
      <c r="CN12" s="2032"/>
      <c r="CO12" s="2032"/>
      <c r="CP12" s="2032"/>
      <c r="CQ12" s="2032"/>
      <c r="CR12" s="2031">
        <v>0</v>
      </c>
      <c r="CS12" s="2032"/>
      <c r="CT12" s="2032"/>
      <c r="CU12" s="2032"/>
      <c r="CV12" s="2032"/>
      <c r="CW12" s="2032"/>
      <c r="CX12" s="2032"/>
      <c r="CY12" s="2031">
        <v>0</v>
      </c>
      <c r="CZ12" s="2032"/>
      <c r="DA12" s="2032"/>
      <c r="DB12" s="2032"/>
      <c r="DC12" s="2032"/>
      <c r="DD12" s="2032"/>
      <c r="DE12" s="2032"/>
    </row>
    <row r="13" spans="1:109">
      <c r="A13" s="1652">
        <v>3</v>
      </c>
      <c r="B13" s="1652">
        <v>4</v>
      </c>
      <c r="C13" s="1681" t="s">
        <v>518</v>
      </c>
      <c r="D13" s="2003">
        <v>231</v>
      </c>
      <c r="E13" s="2031">
        <v>0</v>
      </c>
      <c r="F13" s="2032"/>
      <c r="G13" s="2032"/>
      <c r="H13" s="2032"/>
      <c r="I13" s="2032"/>
      <c r="J13" s="2032"/>
      <c r="K13" s="2032"/>
      <c r="L13" s="2030">
        <v>0</v>
      </c>
      <c r="M13" s="2032"/>
      <c r="N13" s="2032"/>
      <c r="O13" s="2032"/>
      <c r="P13" s="2032"/>
      <c r="Q13" s="2032"/>
      <c r="R13" s="2032"/>
      <c r="S13" s="2031">
        <v>0</v>
      </c>
      <c r="T13" s="2032"/>
      <c r="U13" s="2032"/>
      <c r="V13" s="2032"/>
      <c r="W13" s="2032"/>
      <c r="X13" s="2032"/>
      <c r="Y13" s="2032"/>
      <c r="Z13" s="2031">
        <v>0</v>
      </c>
      <c r="AA13" s="2032"/>
      <c r="AB13" s="2032"/>
      <c r="AC13" s="2032"/>
      <c r="AD13" s="2032"/>
      <c r="AE13" s="2032"/>
      <c r="AF13" s="2032"/>
      <c r="AG13" s="2031">
        <v>0</v>
      </c>
      <c r="AH13" s="2032"/>
      <c r="AI13" s="2032"/>
      <c r="AJ13" s="2032"/>
      <c r="AK13" s="2032"/>
      <c r="AL13" s="2032"/>
      <c r="AM13" s="2032"/>
      <c r="AN13" s="2031">
        <v>0</v>
      </c>
      <c r="AO13" s="2032"/>
      <c r="AP13" s="2032"/>
      <c r="AQ13" s="2032"/>
      <c r="AR13" s="2032"/>
      <c r="AS13" s="2032"/>
      <c r="AT13" s="2032"/>
      <c r="AU13" s="2031">
        <v>0</v>
      </c>
      <c r="AV13" s="2032"/>
      <c r="AW13" s="2032"/>
      <c r="AX13" s="2032"/>
      <c r="AY13" s="2032"/>
      <c r="AZ13" s="2032"/>
      <c r="BA13" s="2032"/>
      <c r="BB13" s="2031">
        <v>0</v>
      </c>
      <c r="BC13" s="2032"/>
      <c r="BD13" s="2032"/>
      <c r="BE13" s="2032"/>
      <c r="BF13" s="2032"/>
      <c r="BG13" s="2032"/>
      <c r="BH13" s="2032"/>
      <c r="BI13" s="2031">
        <v>0</v>
      </c>
      <c r="BJ13" s="2032"/>
      <c r="BK13" s="2032"/>
      <c r="BL13" s="2032"/>
      <c r="BM13" s="2032"/>
      <c r="BN13" s="2032"/>
      <c r="BO13" s="2032"/>
      <c r="BP13" s="2031">
        <v>0</v>
      </c>
      <c r="BQ13" s="2032"/>
      <c r="BR13" s="2032"/>
      <c r="BS13" s="2032"/>
      <c r="BT13" s="2032"/>
      <c r="BU13" s="2032"/>
      <c r="BV13" s="2032"/>
      <c r="BW13" s="2031">
        <v>0</v>
      </c>
      <c r="BX13" s="2032"/>
      <c r="BY13" s="2032"/>
      <c r="BZ13" s="2032"/>
      <c r="CA13" s="2032"/>
      <c r="CB13" s="2032"/>
      <c r="CC13" s="2032"/>
      <c r="CD13" s="2031">
        <v>0</v>
      </c>
      <c r="CE13" s="2032"/>
      <c r="CF13" s="2032"/>
      <c r="CG13" s="2032"/>
      <c r="CH13" s="2032"/>
      <c r="CI13" s="2032"/>
      <c r="CJ13" s="2032"/>
      <c r="CK13" s="2031">
        <v>0</v>
      </c>
      <c r="CL13" s="2032"/>
      <c r="CM13" s="2032"/>
      <c r="CN13" s="2032"/>
      <c r="CO13" s="2032"/>
      <c r="CP13" s="2032"/>
      <c r="CQ13" s="2032"/>
      <c r="CR13" s="2031">
        <v>0</v>
      </c>
      <c r="CS13" s="2032"/>
      <c r="CT13" s="2032"/>
      <c r="CU13" s="2032"/>
      <c r="CV13" s="2032"/>
      <c r="CW13" s="2032"/>
      <c r="CX13" s="2032"/>
      <c r="CY13" s="2031">
        <v>0</v>
      </c>
      <c r="CZ13" s="2032"/>
      <c r="DA13" s="2032"/>
      <c r="DB13" s="2032"/>
      <c r="DC13" s="2032"/>
      <c r="DD13" s="2032"/>
      <c r="DE13" s="2032"/>
    </row>
    <row r="14" spans="1:109">
      <c r="A14" s="1652">
        <v>4</v>
      </c>
      <c r="B14" s="1652">
        <v>4</v>
      </c>
      <c r="C14" s="1681" t="s">
        <v>519</v>
      </c>
      <c r="D14" s="2003">
        <v>241</v>
      </c>
      <c r="E14" s="2031">
        <v>0</v>
      </c>
      <c r="F14" s="2032"/>
      <c r="G14" s="2032"/>
      <c r="H14" s="2032"/>
      <c r="I14" s="2032"/>
      <c r="J14" s="2032"/>
      <c r="K14" s="2032"/>
      <c r="L14" s="2030">
        <v>0</v>
      </c>
      <c r="M14" s="2032"/>
      <c r="N14" s="2032"/>
      <c r="O14" s="2032"/>
      <c r="P14" s="2032"/>
      <c r="Q14" s="2032"/>
      <c r="R14" s="2032"/>
      <c r="S14" s="2031">
        <v>0</v>
      </c>
      <c r="T14" s="2032"/>
      <c r="U14" s="2032"/>
      <c r="V14" s="2032"/>
      <c r="W14" s="2032"/>
      <c r="X14" s="2032"/>
      <c r="Y14" s="2032"/>
      <c r="Z14" s="2031">
        <v>0</v>
      </c>
      <c r="AA14" s="2032"/>
      <c r="AB14" s="2032"/>
      <c r="AC14" s="2032"/>
      <c r="AD14" s="2032"/>
      <c r="AE14" s="2032"/>
      <c r="AF14" s="2032"/>
      <c r="AG14" s="2031">
        <v>0</v>
      </c>
      <c r="AH14" s="2032"/>
      <c r="AI14" s="2032"/>
      <c r="AJ14" s="2032"/>
      <c r="AK14" s="2032"/>
      <c r="AL14" s="2032"/>
      <c r="AM14" s="2032"/>
      <c r="AN14" s="2031">
        <v>0</v>
      </c>
      <c r="AO14" s="2032"/>
      <c r="AP14" s="2032"/>
      <c r="AQ14" s="2032"/>
      <c r="AR14" s="2032"/>
      <c r="AS14" s="2032"/>
      <c r="AT14" s="2032"/>
      <c r="AU14" s="2031">
        <v>0</v>
      </c>
      <c r="AV14" s="2032"/>
      <c r="AW14" s="2032"/>
      <c r="AX14" s="2032"/>
      <c r="AY14" s="2032"/>
      <c r="AZ14" s="2032"/>
      <c r="BA14" s="2032"/>
      <c r="BB14" s="2031">
        <v>0</v>
      </c>
      <c r="BC14" s="2032"/>
      <c r="BD14" s="2032"/>
      <c r="BE14" s="2032"/>
      <c r="BF14" s="2032"/>
      <c r="BG14" s="2032"/>
      <c r="BH14" s="2032"/>
      <c r="BI14" s="2031">
        <v>0</v>
      </c>
      <c r="BJ14" s="2032"/>
      <c r="BK14" s="2032"/>
      <c r="BL14" s="2032"/>
      <c r="BM14" s="2032"/>
      <c r="BN14" s="2032"/>
      <c r="BO14" s="2032"/>
      <c r="BP14" s="2031">
        <v>0</v>
      </c>
      <c r="BQ14" s="2032"/>
      <c r="BR14" s="2032"/>
      <c r="BS14" s="2032"/>
      <c r="BT14" s="2032"/>
      <c r="BU14" s="2032"/>
      <c r="BV14" s="2032"/>
      <c r="BW14" s="2031">
        <v>0</v>
      </c>
      <c r="BX14" s="2032"/>
      <c r="BY14" s="2032"/>
      <c r="BZ14" s="2032"/>
      <c r="CA14" s="2032"/>
      <c r="CB14" s="2032"/>
      <c r="CC14" s="2032"/>
      <c r="CD14" s="2031">
        <v>0</v>
      </c>
      <c r="CE14" s="2032"/>
      <c r="CF14" s="2032"/>
      <c r="CG14" s="2032"/>
      <c r="CH14" s="2032"/>
      <c r="CI14" s="2032"/>
      <c r="CJ14" s="2032"/>
      <c r="CK14" s="2031">
        <v>0</v>
      </c>
      <c r="CL14" s="2032"/>
      <c r="CM14" s="2032"/>
      <c r="CN14" s="2032"/>
      <c r="CO14" s="2032"/>
      <c r="CP14" s="2032"/>
      <c r="CQ14" s="2032"/>
      <c r="CR14" s="2031">
        <v>0</v>
      </c>
      <c r="CS14" s="2032"/>
      <c r="CT14" s="2032"/>
      <c r="CU14" s="2032"/>
      <c r="CV14" s="2032"/>
      <c r="CW14" s="2032"/>
      <c r="CX14" s="2032"/>
      <c r="CY14" s="2031">
        <v>0</v>
      </c>
      <c r="CZ14" s="2032"/>
      <c r="DA14" s="2032"/>
      <c r="DB14" s="2032"/>
      <c r="DC14" s="2032"/>
      <c r="DD14" s="2032"/>
      <c r="DE14" s="2032"/>
    </row>
    <row r="15" spans="1:109">
      <c r="A15" s="1652">
        <v>5</v>
      </c>
      <c r="B15" s="1652">
        <v>4</v>
      </c>
      <c r="C15" s="1681" t="s">
        <v>520</v>
      </c>
      <c r="D15" s="2003">
        <v>251</v>
      </c>
      <c r="E15" s="2031">
        <v>0</v>
      </c>
      <c r="F15" s="2032"/>
      <c r="G15" s="2032"/>
      <c r="H15" s="2032"/>
      <c r="I15" s="2032"/>
      <c r="J15" s="2032"/>
      <c r="K15" s="2032"/>
      <c r="L15" s="2030">
        <v>0</v>
      </c>
      <c r="M15" s="2032"/>
      <c r="N15" s="2032"/>
      <c r="O15" s="2032"/>
      <c r="P15" s="2032"/>
      <c r="Q15" s="2032"/>
      <c r="R15" s="2032"/>
      <c r="S15" s="2031">
        <v>0</v>
      </c>
      <c r="T15" s="2032"/>
      <c r="U15" s="2032"/>
      <c r="V15" s="2032"/>
      <c r="W15" s="2032"/>
      <c r="X15" s="2032"/>
      <c r="Y15" s="2032"/>
      <c r="Z15" s="2031">
        <v>0</v>
      </c>
      <c r="AA15" s="2032"/>
      <c r="AB15" s="2032"/>
      <c r="AC15" s="2032"/>
      <c r="AD15" s="2032"/>
      <c r="AE15" s="2032"/>
      <c r="AF15" s="2032"/>
      <c r="AG15" s="2031">
        <v>0</v>
      </c>
      <c r="AH15" s="2032"/>
      <c r="AI15" s="2032"/>
      <c r="AJ15" s="2032"/>
      <c r="AK15" s="2032"/>
      <c r="AL15" s="2032"/>
      <c r="AM15" s="2032"/>
      <c r="AN15" s="2031">
        <v>0</v>
      </c>
      <c r="AO15" s="2032"/>
      <c r="AP15" s="2032"/>
      <c r="AQ15" s="2032"/>
      <c r="AR15" s="2032"/>
      <c r="AS15" s="2032"/>
      <c r="AT15" s="2032"/>
      <c r="AU15" s="2031">
        <v>0</v>
      </c>
      <c r="AV15" s="2032"/>
      <c r="AW15" s="2032"/>
      <c r="AX15" s="2032"/>
      <c r="AY15" s="2032"/>
      <c r="AZ15" s="2032"/>
      <c r="BA15" s="2032"/>
      <c r="BB15" s="2031">
        <v>0</v>
      </c>
      <c r="BC15" s="2032"/>
      <c r="BD15" s="2032"/>
      <c r="BE15" s="2032"/>
      <c r="BF15" s="2032"/>
      <c r="BG15" s="2032"/>
      <c r="BH15" s="2032"/>
      <c r="BI15" s="2031">
        <v>0</v>
      </c>
      <c r="BJ15" s="2032"/>
      <c r="BK15" s="2032"/>
      <c r="BL15" s="2032"/>
      <c r="BM15" s="2032"/>
      <c r="BN15" s="2032"/>
      <c r="BO15" s="2032"/>
      <c r="BP15" s="2031">
        <v>0</v>
      </c>
      <c r="BQ15" s="2032"/>
      <c r="BR15" s="2032"/>
      <c r="BS15" s="2032"/>
      <c r="BT15" s="2032"/>
      <c r="BU15" s="2032"/>
      <c r="BV15" s="2032"/>
      <c r="BW15" s="2031">
        <v>0</v>
      </c>
      <c r="BX15" s="2032"/>
      <c r="BY15" s="2032"/>
      <c r="BZ15" s="2032"/>
      <c r="CA15" s="2032"/>
      <c r="CB15" s="2032"/>
      <c r="CC15" s="2032"/>
      <c r="CD15" s="2031">
        <v>0</v>
      </c>
      <c r="CE15" s="2032"/>
      <c r="CF15" s="2032"/>
      <c r="CG15" s="2032"/>
      <c r="CH15" s="2032"/>
      <c r="CI15" s="2032"/>
      <c r="CJ15" s="2032"/>
      <c r="CK15" s="2031">
        <v>0</v>
      </c>
      <c r="CL15" s="2032"/>
      <c r="CM15" s="2032"/>
      <c r="CN15" s="2032"/>
      <c r="CO15" s="2032"/>
      <c r="CP15" s="2032"/>
      <c r="CQ15" s="2032"/>
      <c r="CR15" s="2031">
        <v>0</v>
      </c>
      <c r="CS15" s="2032"/>
      <c r="CT15" s="2032"/>
      <c r="CU15" s="2032"/>
      <c r="CV15" s="2032"/>
      <c r="CW15" s="2032"/>
      <c r="CX15" s="2032"/>
      <c r="CY15" s="2031">
        <v>0</v>
      </c>
      <c r="CZ15" s="2032"/>
      <c r="DA15" s="2032"/>
      <c r="DB15" s="2032"/>
      <c r="DC15" s="2032"/>
      <c r="DD15" s="2032"/>
      <c r="DE15" s="2032"/>
    </row>
    <row r="16" spans="1:109">
      <c r="A16" s="1652">
        <v>6</v>
      </c>
      <c r="B16" s="1652">
        <v>4</v>
      </c>
      <c r="C16" s="1681" t="s">
        <v>521</v>
      </c>
      <c r="D16" s="2003">
        <v>261</v>
      </c>
      <c r="E16" s="2031">
        <v>0</v>
      </c>
      <c r="F16" s="2032"/>
      <c r="G16" s="2032"/>
      <c r="H16" s="2032"/>
      <c r="I16" s="2032"/>
      <c r="J16" s="2032"/>
      <c r="K16" s="2032"/>
      <c r="L16" s="2030">
        <v>0</v>
      </c>
      <c r="M16" s="2032"/>
      <c r="N16" s="2032"/>
      <c r="O16" s="2032"/>
      <c r="P16" s="2032"/>
      <c r="Q16" s="2032"/>
      <c r="R16" s="2032"/>
      <c r="S16" s="2031">
        <v>0</v>
      </c>
      <c r="T16" s="2032"/>
      <c r="U16" s="2032"/>
      <c r="V16" s="2032"/>
      <c r="W16" s="2032"/>
      <c r="X16" s="2032"/>
      <c r="Y16" s="2032"/>
      <c r="Z16" s="2031">
        <v>0</v>
      </c>
      <c r="AA16" s="2032"/>
      <c r="AB16" s="2032"/>
      <c r="AC16" s="2032"/>
      <c r="AD16" s="2032"/>
      <c r="AE16" s="2032"/>
      <c r="AF16" s="2032"/>
      <c r="AG16" s="2031">
        <v>0</v>
      </c>
      <c r="AH16" s="2032"/>
      <c r="AI16" s="2032"/>
      <c r="AJ16" s="2032"/>
      <c r="AK16" s="2032"/>
      <c r="AL16" s="2032"/>
      <c r="AM16" s="2032"/>
      <c r="AN16" s="2031">
        <v>0</v>
      </c>
      <c r="AO16" s="2032"/>
      <c r="AP16" s="2032"/>
      <c r="AQ16" s="2032"/>
      <c r="AR16" s="2032"/>
      <c r="AS16" s="2032"/>
      <c r="AT16" s="2032"/>
      <c r="AU16" s="2031">
        <v>0</v>
      </c>
      <c r="AV16" s="2032"/>
      <c r="AW16" s="2032"/>
      <c r="AX16" s="2032"/>
      <c r="AY16" s="2032"/>
      <c r="AZ16" s="2032"/>
      <c r="BA16" s="2032"/>
      <c r="BB16" s="2031">
        <v>0</v>
      </c>
      <c r="BC16" s="2032"/>
      <c r="BD16" s="2032"/>
      <c r="BE16" s="2032"/>
      <c r="BF16" s="2032"/>
      <c r="BG16" s="2032"/>
      <c r="BH16" s="2032"/>
      <c r="BI16" s="2031">
        <v>0</v>
      </c>
      <c r="BJ16" s="2032"/>
      <c r="BK16" s="2032"/>
      <c r="BL16" s="2032"/>
      <c r="BM16" s="2032"/>
      <c r="BN16" s="2032"/>
      <c r="BO16" s="2032"/>
      <c r="BP16" s="2031">
        <v>0</v>
      </c>
      <c r="BQ16" s="2032"/>
      <c r="BR16" s="2032"/>
      <c r="BS16" s="2032"/>
      <c r="BT16" s="2032"/>
      <c r="BU16" s="2032"/>
      <c r="BV16" s="2032"/>
      <c r="BW16" s="2031">
        <v>0</v>
      </c>
      <c r="BX16" s="2032"/>
      <c r="BY16" s="2032"/>
      <c r="BZ16" s="2032"/>
      <c r="CA16" s="2032"/>
      <c r="CB16" s="2032"/>
      <c r="CC16" s="2032"/>
      <c r="CD16" s="2031">
        <v>0</v>
      </c>
      <c r="CE16" s="2032"/>
      <c r="CF16" s="2032"/>
      <c r="CG16" s="2032"/>
      <c r="CH16" s="2032"/>
      <c r="CI16" s="2032"/>
      <c r="CJ16" s="2032"/>
      <c r="CK16" s="2031">
        <v>0</v>
      </c>
      <c r="CL16" s="2032"/>
      <c r="CM16" s="2032"/>
      <c r="CN16" s="2032"/>
      <c r="CO16" s="2032"/>
      <c r="CP16" s="2032"/>
      <c r="CQ16" s="2032"/>
      <c r="CR16" s="2031">
        <v>0</v>
      </c>
      <c r="CS16" s="2032"/>
      <c r="CT16" s="2032"/>
      <c r="CU16" s="2032"/>
      <c r="CV16" s="2032"/>
      <c r="CW16" s="2032"/>
      <c r="CX16" s="2032"/>
      <c r="CY16" s="2031">
        <v>0</v>
      </c>
      <c r="CZ16" s="2032"/>
      <c r="DA16" s="2032"/>
      <c r="DB16" s="2032"/>
      <c r="DC16" s="2032"/>
      <c r="DD16" s="2032"/>
      <c r="DE16" s="2032"/>
    </row>
    <row r="17" spans="1:109">
      <c r="A17" s="1652">
        <v>7</v>
      </c>
      <c r="B17" s="1652">
        <v>4</v>
      </c>
      <c r="C17" s="1681" t="s">
        <v>522</v>
      </c>
      <c r="D17" s="2003">
        <v>271</v>
      </c>
      <c r="E17" s="2030">
        <v>0</v>
      </c>
      <c r="F17" s="2032"/>
      <c r="G17" s="2032"/>
      <c r="H17" s="2032"/>
      <c r="I17" s="2032"/>
      <c r="J17" s="2032"/>
      <c r="K17" s="2032"/>
      <c r="L17" s="2030">
        <v>0</v>
      </c>
      <c r="M17" s="2032"/>
      <c r="N17" s="2032"/>
      <c r="O17" s="2032"/>
      <c r="P17" s="2032"/>
      <c r="Q17" s="2032"/>
      <c r="R17" s="2032"/>
      <c r="S17" s="2031">
        <v>0</v>
      </c>
      <c r="T17" s="2032"/>
      <c r="U17" s="2032"/>
      <c r="V17" s="2032"/>
      <c r="W17" s="2032"/>
      <c r="X17" s="2032"/>
      <c r="Y17" s="2032"/>
      <c r="Z17" s="2031">
        <v>0</v>
      </c>
      <c r="AA17" s="2032"/>
      <c r="AB17" s="2032"/>
      <c r="AC17" s="2032"/>
      <c r="AD17" s="2032"/>
      <c r="AE17" s="2032"/>
      <c r="AF17" s="2032"/>
      <c r="AG17" s="2031">
        <v>0</v>
      </c>
      <c r="AH17" s="2032"/>
      <c r="AI17" s="2032"/>
      <c r="AJ17" s="2032"/>
      <c r="AK17" s="2032"/>
      <c r="AL17" s="2032"/>
      <c r="AM17" s="2032"/>
      <c r="AN17" s="2031">
        <v>0</v>
      </c>
      <c r="AO17" s="2032"/>
      <c r="AP17" s="2032"/>
      <c r="AQ17" s="2032"/>
      <c r="AR17" s="2032"/>
      <c r="AS17" s="2032"/>
      <c r="AT17" s="2032"/>
      <c r="AU17" s="2031">
        <v>0</v>
      </c>
      <c r="AV17" s="2032"/>
      <c r="AW17" s="2032"/>
      <c r="AX17" s="2032"/>
      <c r="AY17" s="2032"/>
      <c r="AZ17" s="2032"/>
      <c r="BA17" s="2032"/>
      <c r="BB17" s="2031">
        <v>0</v>
      </c>
      <c r="BC17" s="2032"/>
      <c r="BD17" s="2032"/>
      <c r="BE17" s="2032"/>
      <c r="BF17" s="2032"/>
      <c r="BG17" s="2032"/>
      <c r="BH17" s="2032"/>
      <c r="BI17" s="2031">
        <v>0</v>
      </c>
      <c r="BJ17" s="2032"/>
      <c r="BK17" s="2032"/>
      <c r="BL17" s="2032"/>
      <c r="BM17" s="2032"/>
      <c r="BN17" s="2032"/>
      <c r="BO17" s="2032"/>
      <c r="BP17" s="2031">
        <v>0</v>
      </c>
      <c r="BQ17" s="2032"/>
      <c r="BR17" s="2032"/>
      <c r="BS17" s="2032"/>
      <c r="BT17" s="2032"/>
      <c r="BU17" s="2032"/>
      <c r="BV17" s="2032"/>
      <c r="BW17" s="2031">
        <v>0</v>
      </c>
      <c r="BX17" s="2032"/>
      <c r="BY17" s="2032"/>
      <c r="BZ17" s="2032"/>
      <c r="CA17" s="2032"/>
      <c r="CB17" s="2032"/>
      <c r="CC17" s="2032"/>
      <c r="CD17" s="2031">
        <v>0</v>
      </c>
      <c r="CE17" s="2032"/>
      <c r="CF17" s="2032"/>
      <c r="CG17" s="2032"/>
      <c r="CH17" s="2032"/>
      <c r="CI17" s="2032"/>
      <c r="CJ17" s="2032"/>
      <c r="CK17" s="2031">
        <v>0</v>
      </c>
      <c r="CL17" s="2032"/>
      <c r="CM17" s="2032"/>
      <c r="CN17" s="2032"/>
      <c r="CO17" s="2032"/>
      <c r="CP17" s="2032"/>
      <c r="CQ17" s="2032"/>
      <c r="CR17" s="2031">
        <v>0</v>
      </c>
      <c r="CS17" s="2032"/>
      <c r="CT17" s="2032"/>
      <c r="CU17" s="2032"/>
      <c r="CV17" s="2032"/>
      <c r="CW17" s="2032"/>
      <c r="CX17" s="2032"/>
      <c r="CY17" s="2031">
        <v>0</v>
      </c>
      <c r="CZ17" s="2032"/>
      <c r="DA17" s="2032"/>
      <c r="DB17" s="2032"/>
      <c r="DC17" s="2032"/>
      <c r="DD17" s="2032"/>
      <c r="DE17" s="2032"/>
    </row>
    <row r="18" spans="1:109" ht="38.25">
      <c r="A18" s="1652">
        <v>9</v>
      </c>
      <c r="B18" s="1652">
        <v>3</v>
      </c>
      <c r="C18" s="1679" t="s">
        <v>523</v>
      </c>
      <c r="D18" s="1680">
        <v>300</v>
      </c>
      <c r="E18" s="2030">
        <v>0</v>
      </c>
      <c r="F18" s="2030">
        <v>0</v>
      </c>
      <c r="G18" s="2030">
        <v>0</v>
      </c>
      <c r="H18" s="2030">
        <v>0</v>
      </c>
      <c r="I18" s="2030">
        <v>0</v>
      </c>
      <c r="J18" s="2030">
        <v>0</v>
      </c>
      <c r="K18" s="2030">
        <v>0</v>
      </c>
      <c r="L18" s="2030">
        <v>0</v>
      </c>
      <c r="M18" s="2030">
        <v>0</v>
      </c>
      <c r="N18" s="2030">
        <v>0</v>
      </c>
      <c r="O18" s="2030">
        <v>0</v>
      </c>
      <c r="P18" s="2030">
        <v>0</v>
      </c>
      <c r="Q18" s="2030">
        <v>0</v>
      </c>
      <c r="R18" s="2030">
        <v>0</v>
      </c>
      <c r="S18" s="2030">
        <v>0</v>
      </c>
      <c r="T18" s="2030">
        <v>0</v>
      </c>
      <c r="U18" s="2030">
        <v>0</v>
      </c>
      <c r="V18" s="2030">
        <v>0</v>
      </c>
      <c r="W18" s="2030">
        <v>0</v>
      </c>
      <c r="X18" s="2030">
        <v>0</v>
      </c>
      <c r="Y18" s="2030">
        <v>0</v>
      </c>
      <c r="Z18" s="2030">
        <v>0</v>
      </c>
      <c r="AA18" s="2030">
        <v>0</v>
      </c>
      <c r="AB18" s="2030">
        <v>0</v>
      </c>
      <c r="AC18" s="2030">
        <v>0</v>
      </c>
      <c r="AD18" s="2030">
        <v>0</v>
      </c>
      <c r="AE18" s="2030">
        <v>0</v>
      </c>
      <c r="AF18" s="2030">
        <v>0</v>
      </c>
      <c r="AG18" s="2033">
        <f>SUM(AG19:AG25)</f>
        <v>6724.0690000000004</v>
      </c>
      <c r="AH18" s="2030">
        <v>0</v>
      </c>
      <c r="AI18" s="2033">
        <f>SUM(AI19:AI25)</f>
        <v>2494.779</v>
      </c>
      <c r="AJ18" s="2033">
        <f t="shared" ref="AJ18:AK18" si="2">SUM(AJ19:AJ25)</f>
        <v>4215.41</v>
      </c>
      <c r="AK18" s="2033">
        <f t="shared" si="2"/>
        <v>13.88</v>
      </c>
      <c r="AL18" s="2031">
        <v>0</v>
      </c>
      <c r="AM18" s="2031">
        <v>0</v>
      </c>
      <c r="AN18" s="2033">
        <f>SUM(AN19:AN25)</f>
        <v>47691.441340000012</v>
      </c>
      <c r="AO18" s="2031">
        <v>0</v>
      </c>
      <c r="AP18" s="2033">
        <f>SUM(AP19:AP25)</f>
        <v>17193.228070000001</v>
      </c>
      <c r="AQ18" s="2033">
        <f t="shared" ref="AQ18" si="3">SUM(AQ19:AQ25)</f>
        <v>30394.370740000006</v>
      </c>
      <c r="AR18" s="2033">
        <f t="shared" ref="AR18" si="4">SUM(AR19:AR25)</f>
        <v>103.84253</v>
      </c>
      <c r="AS18" s="2031">
        <v>0</v>
      </c>
      <c r="AT18" s="2031">
        <v>0</v>
      </c>
      <c r="AU18" s="2033">
        <f>SUM(AU19:AU25)</f>
        <v>9.5549999999999997</v>
      </c>
      <c r="AV18" s="2031">
        <v>0</v>
      </c>
      <c r="AW18" s="2033">
        <f>SUM(AW19:AW25)</f>
        <v>3.28</v>
      </c>
      <c r="AX18" s="2033">
        <f t="shared" ref="AX18" si="5">SUM(AX19:AX25)</f>
        <v>6.2350000000000003</v>
      </c>
      <c r="AY18" s="2033">
        <f t="shared" ref="AY18" si="6">SUM(AY19:AY25)</f>
        <v>0.04</v>
      </c>
      <c r="AZ18" s="2031">
        <v>0</v>
      </c>
      <c r="BA18" s="2031">
        <v>0</v>
      </c>
      <c r="BB18" s="2033">
        <f>SUM(BB19:BB25)</f>
        <v>11536.08747</v>
      </c>
      <c r="BC18" s="2031">
        <v>0</v>
      </c>
      <c r="BD18" s="2033">
        <f>SUM(BD19:BD25)</f>
        <v>3960.05933</v>
      </c>
      <c r="BE18" s="2033">
        <f t="shared" ref="BE18" si="7">SUM(BE19:BE25)</f>
        <v>7527.7347300000001</v>
      </c>
      <c r="BF18" s="2033">
        <f t="shared" ref="BF18" si="8">SUM(BF19:BF25)</f>
        <v>48.293410000000002</v>
      </c>
      <c r="BG18" s="2031">
        <v>0</v>
      </c>
      <c r="BH18" s="2031">
        <v>0</v>
      </c>
      <c r="BI18" s="2033">
        <f>SUM(BI19:BI25)</f>
        <v>2480.12</v>
      </c>
      <c r="BJ18" s="2033">
        <v>0</v>
      </c>
      <c r="BK18" s="2033">
        <f>SUM(BK19:BK25)</f>
        <v>0</v>
      </c>
      <c r="BL18" s="2033">
        <f t="shared" ref="BL18" si="9">SUM(BL19:BL25)</f>
        <v>14.5</v>
      </c>
      <c r="BM18" s="2033">
        <f t="shared" ref="BM18" si="10">SUM(BM19:BM25)</f>
        <v>2465.62</v>
      </c>
      <c r="BN18" s="2031">
        <v>0</v>
      </c>
      <c r="BO18" s="2031">
        <v>0</v>
      </c>
      <c r="BP18" s="2033">
        <f>SUM(BP19:BP25)</f>
        <v>8894.0103499999987</v>
      </c>
      <c r="BQ18" s="2031">
        <v>0</v>
      </c>
      <c r="BR18" s="2033">
        <f>SUM(BR19:BR25)</f>
        <v>0</v>
      </c>
      <c r="BS18" s="2033">
        <f t="shared" ref="BS18" si="11">SUM(BS19:BS25)</f>
        <v>45.351800000000004</v>
      </c>
      <c r="BT18" s="2033">
        <f t="shared" ref="BT18" si="12">SUM(BT19:BT25)</f>
        <v>8848.6585499999983</v>
      </c>
      <c r="BU18" s="2031">
        <v>0</v>
      </c>
      <c r="BV18" s="2031">
        <v>0</v>
      </c>
      <c r="BW18" s="2033">
        <f>SUM(BW19:BW25)</f>
        <v>4.0810000000000004</v>
      </c>
      <c r="BX18" s="2031">
        <v>0</v>
      </c>
      <c r="BY18" s="2033">
        <f>SUM(BY19:BY25)</f>
        <v>0</v>
      </c>
      <c r="BZ18" s="2033">
        <f t="shared" ref="BZ18" si="13">SUM(BZ19:BZ25)</f>
        <v>2.7E-2</v>
      </c>
      <c r="CA18" s="2033">
        <f t="shared" ref="CA18" si="14">SUM(CA19:CA25)</f>
        <v>4.0540000000000003</v>
      </c>
      <c r="CB18" s="2031">
        <v>0</v>
      </c>
      <c r="CC18" s="2031">
        <v>0</v>
      </c>
      <c r="CD18" s="2033">
        <f>SUM(CD19:CD25)</f>
        <v>4927.1347800000003</v>
      </c>
      <c r="CE18" s="2031">
        <v>0</v>
      </c>
      <c r="CF18" s="2033">
        <f>SUM(CF19:CF25)</f>
        <v>0</v>
      </c>
      <c r="CG18" s="2033">
        <f t="shared" ref="CG18" si="15">SUM(CG19:CG25)</f>
        <v>32.598050000000001</v>
      </c>
      <c r="CH18" s="2033">
        <f t="shared" ref="CH18" si="16">SUM(CH19:CH25)</f>
        <v>4894.5367300000007</v>
      </c>
      <c r="CI18" s="2031">
        <v>0</v>
      </c>
      <c r="CJ18" s="2031">
        <v>0</v>
      </c>
      <c r="CK18" s="2033">
        <f>SUM(CK19:CK25)</f>
        <v>4.6559999999999997</v>
      </c>
      <c r="CL18" s="2031">
        <v>0</v>
      </c>
      <c r="CM18" s="2033">
        <f>SUM(CM19:CM25)</f>
        <v>0</v>
      </c>
      <c r="CN18" s="2033">
        <f t="shared" ref="CN18" si="17">SUM(CN19:CN25)</f>
        <v>3.4000000000000002E-2</v>
      </c>
      <c r="CO18" s="2033">
        <f t="shared" ref="CO18" si="18">SUM(CO19:CO25)</f>
        <v>4.6219999999999999</v>
      </c>
      <c r="CP18" s="2031">
        <v>0</v>
      </c>
      <c r="CQ18" s="2031">
        <v>0</v>
      </c>
      <c r="CR18" s="2033">
        <f>SUM(CR19:CR25)</f>
        <v>4836.4143400000003</v>
      </c>
      <c r="CS18" s="2031">
        <v>0</v>
      </c>
      <c r="CT18" s="2033">
        <f>SUM(CT19:CT25)</f>
        <v>0</v>
      </c>
      <c r="CU18" s="2033">
        <f t="shared" ref="CU18" si="19">SUM(CU19:CU25)</f>
        <v>95.170850000000002</v>
      </c>
      <c r="CV18" s="2033">
        <f t="shared" ref="CV18" si="20">SUM(CV19:CV25)</f>
        <v>4741.2434899999998</v>
      </c>
      <c r="CW18" s="2031">
        <v>0</v>
      </c>
      <c r="CX18" s="2031">
        <v>0</v>
      </c>
      <c r="CY18" s="2033">
        <f>SUM(CY19:CY25)</f>
        <v>0</v>
      </c>
      <c r="CZ18" s="2031">
        <v>0</v>
      </c>
      <c r="DA18" s="2033">
        <f>SUM(DA19:DA25)</f>
        <v>0</v>
      </c>
      <c r="DB18" s="2033">
        <f t="shared" ref="DB18" si="21">SUM(DB19:DB25)</f>
        <v>0</v>
      </c>
      <c r="DC18" s="2033">
        <f t="shared" ref="DC18" si="22">SUM(DC19:DC25)</f>
        <v>0</v>
      </c>
      <c r="DD18" s="2031">
        <v>0</v>
      </c>
      <c r="DE18" s="2031">
        <v>0</v>
      </c>
    </row>
    <row r="19" spans="1:109">
      <c r="A19" s="1652">
        <v>1</v>
      </c>
      <c r="B19" s="1652">
        <v>3</v>
      </c>
      <c r="C19" s="1681" t="s">
        <v>516</v>
      </c>
      <c r="D19" s="2003">
        <v>311</v>
      </c>
      <c r="E19" s="2030">
        <v>0</v>
      </c>
      <c r="F19" s="2034"/>
      <c r="G19" s="2034"/>
      <c r="H19" s="2034"/>
      <c r="I19" s="2034"/>
      <c r="J19" s="2034"/>
      <c r="K19" s="2034"/>
      <c r="L19" s="2030">
        <v>0</v>
      </c>
      <c r="M19" s="2034"/>
      <c r="N19" s="2034"/>
      <c r="O19" s="2034"/>
      <c r="P19" s="2034"/>
      <c r="Q19" s="2034"/>
      <c r="R19" s="2034"/>
      <c r="S19" s="2030">
        <v>0</v>
      </c>
      <c r="T19" s="2034"/>
      <c r="U19" s="2034"/>
      <c r="V19" s="2034"/>
      <c r="W19" s="2034"/>
      <c r="X19" s="2034"/>
      <c r="Y19" s="2034"/>
      <c r="Z19" s="2030">
        <v>0</v>
      </c>
      <c r="AA19" s="2034"/>
      <c r="AB19" s="2034"/>
      <c r="AC19" s="2034"/>
      <c r="AD19" s="2034"/>
      <c r="AE19" s="2034"/>
      <c r="AF19" s="2034"/>
      <c r="AG19" s="2030">
        <f>SUM(Таблица66[[#This Row],[V31]:[V33]])</f>
        <v>6724.0690000000004</v>
      </c>
      <c r="AH19" s="2034"/>
      <c r="AI19" s="2034">
        <f>'6'!AI20</f>
        <v>2494.779</v>
      </c>
      <c r="AJ19" s="2034">
        <f>'6'!AJ20</f>
        <v>4215.41</v>
      </c>
      <c r="AK19" s="2034">
        <f>'6'!AK20</f>
        <v>13.88</v>
      </c>
      <c r="AL19" s="2034"/>
      <c r="AM19" s="2034"/>
      <c r="AN19" s="2031">
        <f>SUM(Таблица66[[#This Row],[V38]:[V40]])</f>
        <v>47691.441340000012</v>
      </c>
      <c r="AO19" s="2034"/>
      <c r="AP19" s="2034">
        <f>'6'!AP20</f>
        <v>17193.228070000001</v>
      </c>
      <c r="AQ19" s="2034">
        <f>'6'!AQ20</f>
        <v>30394.370740000006</v>
      </c>
      <c r="AR19" s="2034">
        <f>'6'!AR20</f>
        <v>103.84253</v>
      </c>
      <c r="AS19" s="2034"/>
      <c r="AT19" s="2034"/>
      <c r="AU19" s="2031">
        <f>SUM(Таблица66[[#This Row],[V45]:[V47]])</f>
        <v>9.5549999999999997</v>
      </c>
      <c r="AV19" s="2034"/>
      <c r="AW19" s="2034">
        <f>'6'!AW20</f>
        <v>3.28</v>
      </c>
      <c r="AX19" s="2034">
        <f>'6'!AX20</f>
        <v>6.2350000000000003</v>
      </c>
      <c r="AY19" s="2034">
        <f>'6'!AY20</f>
        <v>0.04</v>
      </c>
      <c r="AZ19" s="2034"/>
      <c r="BA19" s="2034"/>
      <c r="BB19" s="2031">
        <f>SUM(Таблица66[[#This Row],[V52]:[V54]])</f>
        <v>11536.08747</v>
      </c>
      <c r="BC19" s="2034"/>
      <c r="BD19" s="2034">
        <f>'6'!BD20</f>
        <v>3960.05933</v>
      </c>
      <c r="BE19" s="2034">
        <f>'6'!BE20</f>
        <v>7527.7347300000001</v>
      </c>
      <c r="BF19" s="2034">
        <f>'6'!BF20</f>
        <v>48.293410000000002</v>
      </c>
      <c r="BG19" s="2034"/>
      <c r="BH19" s="2034"/>
      <c r="BI19" s="2031">
        <f>SUM(Таблица66[[#This Row],[V59]:[V61]])</f>
        <v>2480.12</v>
      </c>
      <c r="BJ19" s="2034"/>
      <c r="BK19" s="2034">
        <f>'6'!BK20</f>
        <v>0</v>
      </c>
      <c r="BL19" s="2034">
        <f>'6'!BL20</f>
        <v>14.5</v>
      </c>
      <c r="BM19" s="2034">
        <f>'6'!BM20</f>
        <v>2465.62</v>
      </c>
      <c r="BN19" s="2034"/>
      <c r="BO19" s="2034"/>
      <c r="BP19" s="2031">
        <f>SUM(Таблица66[[#This Row],[V66]:[V68]])</f>
        <v>8894.0103499999987</v>
      </c>
      <c r="BQ19" s="2034"/>
      <c r="BR19" s="2034">
        <f>'6'!BR20</f>
        <v>0</v>
      </c>
      <c r="BS19" s="2034">
        <f>'6'!BS20</f>
        <v>45.351800000000004</v>
      </c>
      <c r="BT19" s="2034">
        <f>'6'!BT20</f>
        <v>8848.6585499999983</v>
      </c>
      <c r="BU19" s="2034"/>
      <c r="BV19" s="2034"/>
      <c r="BW19" s="2031">
        <f>SUM(Таблица66[[#This Row],[V73]:[V75]])</f>
        <v>4.0810000000000004</v>
      </c>
      <c r="BX19" s="2034"/>
      <c r="BY19" s="2034">
        <f>'6'!BY20</f>
        <v>0</v>
      </c>
      <c r="BZ19" s="2034">
        <f>'6'!BZ20</f>
        <v>2.7E-2</v>
      </c>
      <c r="CA19" s="2034">
        <f>'6'!CA20</f>
        <v>4.0540000000000003</v>
      </c>
      <c r="CB19" s="2034"/>
      <c r="CC19" s="2034"/>
      <c r="CD19" s="2031">
        <f>SUM(Таблица66[[#This Row],[V80]:[V82]])</f>
        <v>4927.1347800000003</v>
      </c>
      <c r="CE19" s="2034"/>
      <c r="CF19" s="2034">
        <f>'6'!CF20</f>
        <v>0</v>
      </c>
      <c r="CG19" s="2034">
        <f>'6'!CG20</f>
        <v>32.598050000000001</v>
      </c>
      <c r="CH19" s="2034">
        <f>'6'!CH20</f>
        <v>4894.5367300000007</v>
      </c>
      <c r="CI19" s="2034"/>
      <c r="CJ19" s="2034"/>
      <c r="CK19" s="2031">
        <f>SUM(Таблица66[[#This Row],[V87]:[V89]])</f>
        <v>4.6559999999999997</v>
      </c>
      <c r="CL19" s="2034"/>
      <c r="CM19" s="2034">
        <f>'6'!CM20</f>
        <v>0</v>
      </c>
      <c r="CN19" s="2034">
        <f>'6'!CN20</f>
        <v>3.4000000000000002E-2</v>
      </c>
      <c r="CO19" s="2034">
        <f>'6'!CO20</f>
        <v>4.6219999999999999</v>
      </c>
      <c r="CP19" s="2034"/>
      <c r="CQ19" s="2034"/>
      <c r="CR19" s="2031">
        <f>SUM(Таблица66[[#This Row],[V94]:[V96]])</f>
        <v>4836.4143400000003</v>
      </c>
      <c r="CS19" s="2034"/>
      <c r="CT19" s="2034">
        <f>'6'!CT20</f>
        <v>0</v>
      </c>
      <c r="CU19" s="2034">
        <f>'6'!CU20</f>
        <v>95.170850000000002</v>
      </c>
      <c r="CV19" s="2034">
        <f>'6'!CV20</f>
        <v>4741.2434899999998</v>
      </c>
      <c r="CW19" s="2034"/>
      <c r="CX19" s="2034"/>
      <c r="CY19" s="2031">
        <f>SUM(Таблица66[[#This Row],[V101]:[V103]])</f>
        <v>0</v>
      </c>
      <c r="CZ19" s="2034"/>
      <c r="DA19" s="2034">
        <f>'6'!DA20</f>
        <v>0</v>
      </c>
      <c r="DB19" s="2034">
        <f>'6'!DB20</f>
        <v>0</v>
      </c>
      <c r="DC19" s="2034">
        <f>'6'!DC20</f>
        <v>0</v>
      </c>
      <c r="DD19" s="2034"/>
      <c r="DE19" s="2034"/>
    </row>
    <row r="20" spans="1:109">
      <c r="A20" s="1652">
        <v>2</v>
      </c>
      <c r="B20" s="1652">
        <v>3</v>
      </c>
      <c r="C20" s="1681" t="s">
        <v>517</v>
      </c>
      <c r="D20" s="2003">
        <v>321</v>
      </c>
      <c r="E20" s="2030">
        <v>0</v>
      </c>
      <c r="F20" s="2034"/>
      <c r="G20" s="2034"/>
      <c r="H20" s="2034"/>
      <c r="I20" s="2034"/>
      <c r="J20" s="2034"/>
      <c r="K20" s="2034"/>
      <c r="L20" s="2030">
        <v>0</v>
      </c>
      <c r="M20" s="2034"/>
      <c r="N20" s="2034"/>
      <c r="O20" s="2034"/>
      <c r="P20" s="2034"/>
      <c r="Q20" s="2034"/>
      <c r="R20" s="2034"/>
      <c r="S20" s="2030">
        <v>0</v>
      </c>
      <c r="T20" s="2034"/>
      <c r="U20" s="2034"/>
      <c r="V20" s="2034"/>
      <c r="W20" s="2034"/>
      <c r="X20" s="2034"/>
      <c r="Y20" s="2034"/>
      <c r="Z20" s="2030">
        <v>0</v>
      </c>
      <c r="AA20" s="2034"/>
      <c r="AB20" s="2034"/>
      <c r="AC20" s="2034"/>
      <c r="AD20" s="2034"/>
      <c r="AE20" s="2034"/>
      <c r="AF20" s="2034"/>
      <c r="AG20" s="2030">
        <v>0</v>
      </c>
      <c r="AH20" s="2034"/>
      <c r="AI20" s="2034"/>
      <c r="AJ20" s="2034"/>
      <c r="AK20" s="2034"/>
      <c r="AL20" s="2034"/>
      <c r="AM20" s="2034"/>
      <c r="AN20" s="2031">
        <v>0</v>
      </c>
      <c r="AO20" s="2034"/>
      <c r="AP20" s="2034"/>
      <c r="AQ20" s="2034"/>
      <c r="AR20" s="2034"/>
      <c r="AS20" s="2034"/>
      <c r="AT20" s="2034"/>
      <c r="AU20" s="2031">
        <v>0</v>
      </c>
      <c r="AV20" s="2034"/>
      <c r="AW20" s="2034"/>
      <c r="AX20" s="2034"/>
      <c r="AY20" s="2034"/>
      <c r="AZ20" s="2034"/>
      <c r="BA20" s="2034"/>
      <c r="BB20" s="2031">
        <v>0</v>
      </c>
      <c r="BC20" s="2034"/>
      <c r="BD20" s="2034"/>
      <c r="BE20" s="2034"/>
      <c r="BF20" s="2034"/>
      <c r="BG20" s="2034"/>
      <c r="BH20" s="2034"/>
      <c r="BI20" s="2031">
        <v>0</v>
      </c>
      <c r="BJ20" s="2034"/>
      <c r="BK20" s="2034"/>
      <c r="BL20" s="2034"/>
      <c r="BM20" s="2034"/>
      <c r="BN20" s="2034"/>
      <c r="BO20" s="2034"/>
      <c r="BP20" s="2031">
        <v>0</v>
      </c>
      <c r="BQ20" s="2034"/>
      <c r="BR20" s="2034"/>
      <c r="BS20" s="2034"/>
      <c r="BT20" s="2034"/>
      <c r="BU20" s="2034"/>
      <c r="BV20" s="2034"/>
      <c r="BW20" s="2031">
        <v>0</v>
      </c>
      <c r="BX20" s="2034"/>
      <c r="BY20" s="2034"/>
      <c r="BZ20" s="2034"/>
      <c r="CA20" s="2034"/>
      <c r="CB20" s="2034"/>
      <c r="CC20" s="2034"/>
      <c r="CD20" s="2031">
        <v>0</v>
      </c>
      <c r="CE20" s="2034"/>
      <c r="CF20" s="2034"/>
      <c r="CG20" s="2034"/>
      <c r="CH20" s="2034"/>
      <c r="CI20" s="2034"/>
      <c r="CJ20" s="2034"/>
      <c r="CK20" s="2031">
        <v>0</v>
      </c>
      <c r="CL20" s="2034"/>
      <c r="CM20" s="2034"/>
      <c r="CN20" s="2034"/>
      <c r="CO20" s="2034"/>
      <c r="CP20" s="2034"/>
      <c r="CQ20" s="2034"/>
      <c r="CR20" s="2031">
        <v>0</v>
      </c>
      <c r="CS20" s="2034"/>
      <c r="CT20" s="2034"/>
      <c r="CU20" s="2034"/>
      <c r="CV20" s="2034"/>
      <c r="CW20" s="2034"/>
      <c r="CX20" s="2034"/>
      <c r="CY20" s="2031">
        <v>0</v>
      </c>
      <c r="CZ20" s="2034"/>
      <c r="DA20" s="2034"/>
      <c r="DB20" s="2034"/>
      <c r="DC20" s="2034"/>
      <c r="DD20" s="2034"/>
      <c r="DE20" s="2034"/>
    </row>
    <row r="21" spans="1:109">
      <c r="A21" s="1652">
        <v>3</v>
      </c>
      <c r="B21" s="1652">
        <v>3</v>
      </c>
      <c r="C21" s="1681" t="s">
        <v>518</v>
      </c>
      <c r="D21" s="2003">
        <v>331</v>
      </c>
      <c r="E21" s="2030">
        <v>0</v>
      </c>
      <c r="F21" s="2034"/>
      <c r="G21" s="2034"/>
      <c r="H21" s="2034"/>
      <c r="I21" s="2034"/>
      <c r="J21" s="2034"/>
      <c r="K21" s="2034"/>
      <c r="L21" s="2030">
        <v>0</v>
      </c>
      <c r="M21" s="2034"/>
      <c r="N21" s="2034"/>
      <c r="O21" s="2034"/>
      <c r="P21" s="2034"/>
      <c r="Q21" s="2034"/>
      <c r="R21" s="2034"/>
      <c r="S21" s="2030">
        <v>0</v>
      </c>
      <c r="T21" s="2034"/>
      <c r="U21" s="2034"/>
      <c r="V21" s="2034"/>
      <c r="W21" s="2034"/>
      <c r="X21" s="2034"/>
      <c r="Y21" s="2034"/>
      <c r="Z21" s="2030">
        <v>0</v>
      </c>
      <c r="AA21" s="2034"/>
      <c r="AB21" s="2034"/>
      <c r="AC21" s="2034"/>
      <c r="AD21" s="2034"/>
      <c r="AE21" s="2034"/>
      <c r="AF21" s="2034"/>
      <c r="AG21" s="2030">
        <v>0</v>
      </c>
      <c r="AH21" s="2034"/>
      <c r="AI21" s="2034"/>
      <c r="AJ21" s="2034"/>
      <c r="AK21" s="2034"/>
      <c r="AL21" s="2034"/>
      <c r="AM21" s="2034"/>
      <c r="AN21" s="2031">
        <v>0</v>
      </c>
      <c r="AO21" s="2034"/>
      <c r="AP21" s="2034"/>
      <c r="AQ21" s="2034"/>
      <c r="AR21" s="2034"/>
      <c r="AS21" s="2034"/>
      <c r="AT21" s="2034"/>
      <c r="AU21" s="2031">
        <v>0</v>
      </c>
      <c r="AV21" s="2034"/>
      <c r="AW21" s="2034"/>
      <c r="AX21" s="2034"/>
      <c r="AY21" s="2034"/>
      <c r="AZ21" s="2034"/>
      <c r="BA21" s="2034"/>
      <c r="BB21" s="2031">
        <v>0</v>
      </c>
      <c r="BC21" s="2034"/>
      <c r="BD21" s="2034"/>
      <c r="BE21" s="2034"/>
      <c r="BF21" s="2034"/>
      <c r="BG21" s="2034"/>
      <c r="BH21" s="2034"/>
      <c r="BI21" s="2031">
        <v>0</v>
      </c>
      <c r="BJ21" s="2034"/>
      <c r="BK21" s="2034"/>
      <c r="BL21" s="2034"/>
      <c r="BM21" s="2034"/>
      <c r="BN21" s="2034"/>
      <c r="BO21" s="2034"/>
      <c r="BP21" s="2031">
        <v>0</v>
      </c>
      <c r="BQ21" s="2034"/>
      <c r="BR21" s="2034"/>
      <c r="BS21" s="2034"/>
      <c r="BT21" s="2034"/>
      <c r="BU21" s="2034"/>
      <c r="BV21" s="2034"/>
      <c r="BW21" s="2031">
        <v>0</v>
      </c>
      <c r="BX21" s="2034"/>
      <c r="BY21" s="2034"/>
      <c r="BZ21" s="2034"/>
      <c r="CA21" s="2034"/>
      <c r="CB21" s="2034"/>
      <c r="CC21" s="2034"/>
      <c r="CD21" s="2031">
        <v>0</v>
      </c>
      <c r="CE21" s="2034"/>
      <c r="CF21" s="2034"/>
      <c r="CG21" s="2034"/>
      <c r="CH21" s="2034"/>
      <c r="CI21" s="2034"/>
      <c r="CJ21" s="2034"/>
      <c r="CK21" s="2031">
        <v>0</v>
      </c>
      <c r="CL21" s="2034"/>
      <c r="CM21" s="2034"/>
      <c r="CN21" s="2034"/>
      <c r="CO21" s="2034"/>
      <c r="CP21" s="2034"/>
      <c r="CQ21" s="2034"/>
      <c r="CR21" s="2031">
        <v>0</v>
      </c>
      <c r="CS21" s="2034"/>
      <c r="CT21" s="2034"/>
      <c r="CU21" s="2034"/>
      <c r="CV21" s="2034"/>
      <c r="CW21" s="2034"/>
      <c r="CX21" s="2034"/>
      <c r="CY21" s="2031">
        <v>0</v>
      </c>
      <c r="CZ21" s="2034"/>
      <c r="DA21" s="2034"/>
      <c r="DB21" s="2034"/>
      <c r="DC21" s="2034"/>
      <c r="DD21" s="2034"/>
      <c r="DE21" s="2034"/>
    </row>
    <row r="22" spans="1:109">
      <c r="A22" s="1652">
        <v>4</v>
      </c>
      <c r="B22" s="1652">
        <v>3</v>
      </c>
      <c r="C22" s="1681" t="s">
        <v>519</v>
      </c>
      <c r="D22" s="2003">
        <v>341</v>
      </c>
      <c r="E22" s="2030">
        <v>0</v>
      </c>
      <c r="F22" s="2034"/>
      <c r="G22" s="2034"/>
      <c r="H22" s="2034"/>
      <c r="I22" s="2034"/>
      <c r="J22" s="2034"/>
      <c r="K22" s="2034"/>
      <c r="L22" s="2030">
        <v>0</v>
      </c>
      <c r="M22" s="2034"/>
      <c r="N22" s="2034"/>
      <c r="O22" s="2034"/>
      <c r="P22" s="2034"/>
      <c r="Q22" s="2034"/>
      <c r="R22" s="2034"/>
      <c r="S22" s="2030">
        <v>0</v>
      </c>
      <c r="T22" s="2034"/>
      <c r="U22" s="2034"/>
      <c r="V22" s="2034"/>
      <c r="W22" s="2034"/>
      <c r="X22" s="2034"/>
      <c r="Y22" s="2034"/>
      <c r="Z22" s="2030">
        <v>0</v>
      </c>
      <c r="AA22" s="2034"/>
      <c r="AB22" s="2034"/>
      <c r="AC22" s="2034"/>
      <c r="AD22" s="2034"/>
      <c r="AE22" s="2034"/>
      <c r="AF22" s="2034"/>
      <c r="AG22" s="2030">
        <v>0</v>
      </c>
      <c r="AH22" s="2034"/>
      <c r="AI22" s="2034"/>
      <c r="AJ22" s="2034"/>
      <c r="AK22" s="2034"/>
      <c r="AL22" s="2034"/>
      <c r="AM22" s="2034"/>
      <c r="AN22" s="2031">
        <v>0</v>
      </c>
      <c r="AO22" s="2034"/>
      <c r="AP22" s="2034"/>
      <c r="AQ22" s="2034"/>
      <c r="AR22" s="2034"/>
      <c r="AS22" s="2034"/>
      <c r="AT22" s="2034"/>
      <c r="AU22" s="2031">
        <v>0</v>
      </c>
      <c r="AV22" s="2034"/>
      <c r="AW22" s="2034"/>
      <c r="AX22" s="2034"/>
      <c r="AY22" s="2034"/>
      <c r="AZ22" s="2034"/>
      <c r="BA22" s="2034"/>
      <c r="BB22" s="2031">
        <v>0</v>
      </c>
      <c r="BC22" s="2034"/>
      <c r="BD22" s="2034"/>
      <c r="BE22" s="2034"/>
      <c r="BF22" s="2034"/>
      <c r="BG22" s="2034"/>
      <c r="BH22" s="2034"/>
      <c r="BI22" s="2031">
        <v>0</v>
      </c>
      <c r="BJ22" s="2034"/>
      <c r="BK22" s="2034"/>
      <c r="BL22" s="2034"/>
      <c r="BM22" s="2034"/>
      <c r="BN22" s="2034"/>
      <c r="BO22" s="2034"/>
      <c r="BP22" s="2031">
        <v>0</v>
      </c>
      <c r="BQ22" s="2034"/>
      <c r="BR22" s="2034"/>
      <c r="BS22" s="2034"/>
      <c r="BT22" s="2034"/>
      <c r="BU22" s="2034"/>
      <c r="BV22" s="2034"/>
      <c r="BW22" s="2031">
        <v>0</v>
      </c>
      <c r="BX22" s="2034"/>
      <c r="BY22" s="2034"/>
      <c r="BZ22" s="2034"/>
      <c r="CA22" s="2034"/>
      <c r="CB22" s="2034"/>
      <c r="CC22" s="2034"/>
      <c r="CD22" s="2031">
        <v>0</v>
      </c>
      <c r="CE22" s="2034"/>
      <c r="CF22" s="2034"/>
      <c r="CG22" s="2034"/>
      <c r="CH22" s="2034"/>
      <c r="CI22" s="2034"/>
      <c r="CJ22" s="2034"/>
      <c r="CK22" s="2031">
        <v>0</v>
      </c>
      <c r="CL22" s="2034"/>
      <c r="CM22" s="2034"/>
      <c r="CN22" s="2034"/>
      <c r="CO22" s="2034"/>
      <c r="CP22" s="2034"/>
      <c r="CQ22" s="2034"/>
      <c r="CR22" s="2031">
        <v>0</v>
      </c>
      <c r="CS22" s="2034"/>
      <c r="CT22" s="2034"/>
      <c r="CU22" s="2034"/>
      <c r="CV22" s="2034"/>
      <c r="CW22" s="2034"/>
      <c r="CX22" s="2034"/>
      <c r="CY22" s="2031">
        <v>0</v>
      </c>
      <c r="CZ22" s="2034"/>
      <c r="DA22" s="2034"/>
      <c r="DB22" s="2034"/>
      <c r="DC22" s="2034"/>
      <c r="DD22" s="2034"/>
      <c r="DE22" s="2034"/>
    </row>
    <row r="23" spans="1:109">
      <c r="A23" s="1652">
        <v>5</v>
      </c>
      <c r="B23" s="1652">
        <v>3</v>
      </c>
      <c r="C23" s="1681" t="s">
        <v>520</v>
      </c>
      <c r="D23" s="2003">
        <v>351</v>
      </c>
      <c r="E23" s="2030">
        <v>0</v>
      </c>
      <c r="F23" s="2034"/>
      <c r="G23" s="2034"/>
      <c r="H23" s="2034"/>
      <c r="I23" s="2034"/>
      <c r="J23" s="2034"/>
      <c r="K23" s="2034"/>
      <c r="L23" s="2030">
        <v>0</v>
      </c>
      <c r="M23" s="2034"/>
      <c r="N23" s="2034"/>
      <c r="O23" s="2034"/>
      <c r="P23" s="2034"/>
      <c r="Q23" s="2034"/>
      <c r="R23" s="2034"/>
      <c r="S23" s="2030">
        <v>0</v>
      </c>
      <c r="T23" s="2034"/>
      <c r="U23" s="2034"/>
      <c r="V23" s="2034"/>
      <c r="W23" s="2034"/>
      <c r="X23" s="2034"/>
      <c r="Y23" s="2034"/>
      <c r="Z23" s="2030">
        <v>0</v>
      </c>
      <c r="AA23" s="2034"/>
      <c r="AB23" s="2034"/>
      <c r="AC23" s="2034"/>
      <c r="AD23" s="2034"/>
      <c r="AE23" s="2034"/>
      <c r="AF23" s="2034"/>
      <c r="AG23" s="2030">
        <v>0</v>
      </c>
      <c r="AH23" s="2034"/>
      <c r="AI23" s="2034"/>
      <c r="AJ23" s="2034"/>
      <c r="AK23" s="2034"/>
      <c r="AL23" s="2034"/>
      <c r="AM23" s="2034"/>
      <c r="AN23" s="2031">
        <v>0</v>
      </c>
      <c r="AO23" s="2034"/>
      <c r="AP23" s="2034"/>
      <c r="AQ23" s="2034"/>
      <c r="AR23" s="2034"/>
      <c r="AS23" s="2034"/>
      <c r="AT23" s="2034"/>
      <c r="AU23" s="2031">
        <v>0</v>
      </c>
      <c r="AV23" s="2034"/>
      <c r="AW23" s="2034"/>
      <c r="AX23" s="2034"/>
      <c r="AY23" s="2034"/>
      <c r="AZ23" s="2034"/>
      <c r="BA23" s="2034"/>
      <c r="BB23" s="2031">
        <v>0</v>
      </c>
      <c r="BC23" s="2034"/>
      <c r="BD23" s="2034"/>
      <c r="BE23" s="2034"/>
      <c r="BF23" s="2034"/>
      <c r="BG23" s="2034"/>
      <c r="BH23" s="2034"/>
      <c r="BI23" s="2031">
        <v>0</v>
      </c>
      <c r="BJ23" s="2034"/>
      <c r="BK23" s="2034"/>
      <c r="BL23" s="2034"/>
      <c r="BM23" s="2034"/>
      <c r="BN23" s="2034"/>
      <c r="BO23" s="2034"/>
      <c r="BP23" s="2031">
        <v>0</v>
      </c>
      <c r="BQ23" s="2034"/>
      <c r="BR23" s="2034"/>
      <c r="BS23" s="2034"/>
      <c r="BT23" s="2034"/>
      <c r="BU23" s="2034"/>
      <c r="BV23" s="2034"/>
      <c r="BW23" s="2031">
        <v>0</v>
      </c>
      <c r="BX23" s="2034"/>
      <c r="BY23" s="2034"/>
      <c r="BZ23" s="2034"/>
      <c r="CA23" s="2034"/>
      <c r="CB23" s="2034"/>
      <c r="CC23" s="2034"/>
      <c r="CD23" s="2031">
        <v>0</v>
      </c>
      <c r="CE23" s="2034"/>
      <c r="CF23" s="2034"/>
      <c r="CG23" s="2034"/>
      <c r="CH23" s="2034"/>
      <c r="CI23" s="2034"/>
      <c r="CJ23" s="2034"/>
      <c r="CK23" s="2031">
        <v>0</v>
      </c>
      <c r="CL23" s="2034"/>
      <c r="CM23" s="2034"/>
      <c r="CN23" s="2034"/>
      <c r="CO23" s="2034"/>
      <c r="CP23" s="2034"/>
      <c r="CQ23" s="2034"/>
      <c r="CR23" s="2031">
        <v>0</v>
      </c>
      <c r="CS23" s="2034"/>
      <c r="CT23" s="2034"/>
      <c r="CU23" s="2034"/>
      <c r="CV23" s="2034"/>
      <c r="CW23" s="2034"/>
      <c r="CX23" s="2034"/>
      <c r="CY23" s="2031">
        <v>0</v>
      </c>
      <c r="CZ23" s="2034"/>
      <c r="DA23" s="2034"/>
      <c r="DB23" s="2034"/>
      <c r="DC23" s="2034"/>
      <c r="DD23" s="2034"/>
      <c r="DE23" s="2034"/>
    </row>
    <row r="24" spans="1:109">
      <c r="A24" s="1652">
        <v>6</v>
      </c>
      <c r="B24" s="1652">
        <v>3</v>
      </c>
      <c r="C24" s="1681" t="s">
        <v>521</v>
      </c>
      <c r="D24" s="2003">
        <v>361</v>
      </c>
      <c r="E24" s="2030">
        <v>0</v>
      </c>
      <c r="F24" s="2034"/>
      <c r="G24" s="2034"/>
      <c r="H24" s="2034"/>
      <c r="I24" s="2034"/>
      <c r="J24" s="2034"/>
      <c r="K24" s="2034"/>
      <c r="L24" s="2030">
        <v>0</v>
      </c>
      <c r="M24" s="2034"/>
      <c r="N24" s="2034"/>
      <c r="O24" s="2034"/>
      <c r="P24" s="2034"/>
      <c r="Q24" s="2034"/>
      <c r="R24" s="2034"/>
      <c r="S24" s="2030">
        <v>0</v>
      </c>
      <c r="T24" s="2034"/>
      <c r="U24" s="2034"/>
      <c r="V24" s="2034"/>
      <c r="W24" s="2034"/>
      <c r="X24" s="2034"/>
      <c r="Y24" s="2034"/>
      <c r="Z24" s="2030">
        <v>0</v>
      </c>
      <c r="AA24" s="2034"/>
      <c r="AB24" s="2034"/>
      <c r="AC24" s="2034"/>
      <c r="AD24" s="2034"/>
      <c r="AE24" s="2034"/>
      <c r="AF24" s="2034"/>
      <c r="AG24" s="2030">
        <v>0</v>
      </c>
      <c r="AH24" s="2034"/>
      <c r="AI24" s="2034"/>
      <c r="AJ24" s="2034"/>
      <c r="AK24" s="2034"/>
      <c r="AL24" s="2034"/>
      <c r="AM24" s="2034"/>
      <c r="AN24" s="2031">
        <v>0</v>
      </c>
      <c r="AO24" s="2034"/>
      <c r="AP24" s="2034"/>
      <c r="AQ24" s="2034"/>
      <c r="AR24" s="2034"/>
      <c r="AS24" s="2034"/>
      <c r="AT24" s="2034"/>
      <c r="AU24" s="2031">
        <v>0</v>
      </c>
      <c r="AV24" s="2034"/>
      <c r="AW24" s="2034"/>
      <c r="AX24" s="2034"/>
      <c r="AY24" s="2034"/>
      <c r="AZ24" s="2034"/>
      <c r="BA24" s="2034"/>
      <c r="BB24" s="2031">
        <v>0</v>
      </c>
      <c r="BC24" s="2034"/>
      <c r="BD24" s="2034"/>
      <c r="BE24" s="2034"/>
      <c r="BF24" s="2034"/>
      <c r="BG24" s="2034"/>
      <c r="BH24" s="2034"/>
      <c r="BI24" s="2031">
        <v>0</v>
      </c>
      <c r="BJ24" s="2034"/>
      <c r="BK24" s="2034"/>
      <c r="BL24" s="2034"/>
      <c r="BM24" s="2034"/>
      <c r="BN24" s="2034"/>
      <c r="BO24" s="2034"/>
      <c r="BP24" s="2031">
        <v>0</v>
      </c>
      <c r="BQ24" s="2034"/>
      <c r="BR24" s="2034"/>
      <c r="BS24" s="2034"/>
      <c r="BT24" s="2034"/>
      <c r="BU24" s="2034"/>
      <c r="BV24" s="2034"/>
      <c r="BW24" s="2031">
        <v>0</v>
      </c>
      <c r="BX24" s="2034"/>
      <c r="BY24" s="2034"/>
      <c r="BZ24" s="2034"/>
      <c r="CA24" s="2034"/>
      <c r="CB24" s="2034"/>
      <c r="CC24" s="2034"/>
      <c r="CD24" s="2031">
        <v>0</v>
      </c>
      <c r="CE24" s="2034"/>
      <c r="CF24" s="2034"/>
      <c r="CG24" s="2034"/>
      <c r="CH24" s="2034"/>
      <c r="CI24" s="2034"/>
      <c r="CJ24" s="2034"/>
      <c r="CK24" s="2031">
        <v>0</v>
      </c>
      <c r="CL24" s="2034"/>
      <c r="CM24" s="2034"/>
      <c r="CN24" s="2034"/>
      <c r="CO24" s="2034"/>
      <c r="CP24" s="2034"/>
      <c r="CQ24" s="2034"/>
      <c r="CR24" s="2031">
        <v>0</v>
      </c>
      <c r="CS24" s="2034"/>
      <c r="CT24" s="2034"/>
      <c r="CU24" s="2034"/>
      <c r="CV24" s="2034"/>
      <c r="CW24" s="2034"/>
      <c r="CX24" s="2034"/>
      <c r="CY24" s="2031">
        <v>0</v>
      </c>
      <c r="CZ24" s="2034"/>
      <c r="DA24" s="2034"/>
      <c r="DB24" s="2034"/>
      <c r="DC24" s="2034"/>
      <c r="DD24" s="2034"/>
      <c r="DE24" s="2034"/>
    </row>
    <row r="25" spans="1:109">
      <c r="A25" s="1652">
        <v>7</v>
      </c>
      <c r="B25" s="1652">
        <v>3</v>
      </c>
      <c r="C25" s="1681" t="s">
        <v>522</v>
      </c>
      <c r="D25" s="2003">
        <v>371</v>
      </c>
      <c r="E25" s="2030">
        <v>0</v>
      </c>
      <c r="F25" s="2034"/>
      <c r="G25" s="2034"/>
      <c r="H25" s="2034"/>
      <c r="I25" s="2034"/>
      <c r="J25" s="2034"/>
      <c r="K25" s="2034"/>
      <c r="L25" s="2030">
        <v>0</v>
      </c>
      <c r="M25" s="2034"/>
      <c r="N25" s="2034"/>
      <c r="O25" s="2034"/>
      <c r="P25" s="2034"/>
      <c r="Q25" s="2034"/>
      <c r="R25" s="2034"/>
      <c r="S25" s="2030">
        <v>0</v>
      </c>
      <c r="T25" s="2034"/>
      <c r="U25" s="2034"/>
      <c r="V25" s="2034"/>
      <c r="W25" s="2034"/>
      <c r="X25" s="2034"/>
      <c r="Y25" s="2034"/>
      <c r="Z25" s="2030">
        <v>0</v>
      </c>
      <c r="AA25" s="2034"/>
      <c r="AB25" s="2034"/>
      <c r="AC25" s="2034"/>
      <c r="AD25" s="2034"/>
      <c r="AE25" s="2034"/>
      <c r="AF25" s="2034"/>
      <c r="AG25" s="2030">
        <v>0</v>
      </c>
      <c r="AH25" s="2034"/>
      <c r="AI25" s="2034"/>
      <c r="AJ25" s="2034"/>
      <c r="AK25" s="2034"/>
      <c r="AL25" s="2034"/>
      <c r="AM25" s="2034"/>
      <c r="AN25" s="2031">
        <v>0</v>
      </c>
      <c r="AO25" s="2034"/>
      <c r="AP25" s="2034"/>
      <c r="AQ25" s="2034"/>
      <c r="AR25" s="2034"/>
      <c r="AS25" s="2034"/>
      <c r="AT25" s="2034"/>
      <c r="AU25" s="2031">
        <v>0</v>
      </c>
      <c r="AV25" s="2034"/>
      <c r="AW25" s="2034"/>
      <c r="AX25" s="2034"/>
      <c r="AY25" s="2034"/>
      <c r="AZ25" s="2034"/>
      <c r="BA25" s="2034"/>
      <c r="BB25" s="2031">
        <v>0</v>
      </c>
      <c r="BC25" s="2034"/>
      <c r="BD25" s="2034"/>
      <c r="BE25" s="2034"/>
      <c r="BF25" s="2034"/>
      <c r="BG25" s="2034"/>
      <c r="BH25" s="2034"/>
      <c r="BI25" s="2031">
        <v>0</v>
      </c>
      <c r="BJ25" s="2034"/>
      <c r="BK25" s="2034"/>
      <c r="BL25" s="2034"/>
      <c r="BM25" s="2034"/>
      <c r="BN25" s="2034"/>
      <c r="BO25" s="2034"/>
      <c r="BP25" s="2031">
        <v>0</v>
      </c>
      <c r="BQ25" s="2034"/>
      <c r="BR25" s="2034"/>
      <c r="BS25" s="2034"/>
      <c r="BT25" s="2034"/>
      <c r="BU25" s="2034"/>
      <c r="BV25" s="2034"/>
      <c r="BW25" s="2031">
        <v>0</v>
      </c>
      <c r="BX25" s="2034"/>
      <c r="BY25" s="2034"/>
      <c r="BZ25" s="2034"/>
      <c r="CA25" s="2034"/>
      <c r="CB25" s="2034"/>
      <c r="CC25" s="2034"/>
      <c r="CD25" s="2031">
        <v>0</v>
      </c>
      <c r="CE25" s="2034"/>
      <c r="CF25" s="2034"/>
      <c r="CG25" s="2034"/>
      <c r="CH25" s="2034"/>
      <c r="CI25" s="2034"/>
      <c r="CJ25" s="2034"/>
      <c r="CK25" s="2031">
        <v>0</v>
      </c>
      <c r="CL25" s="2034"/>
      <c r="CM25" s="2034"/>
      <c r="CN25" s="2034"/>
      <c r="CO25" s="2034"/>
      <c r="CP25" s="2034"/>
      <c r="CQ25" s="2034"/>
      <c r="CR25" s="2031">
        <v>0</v>
      </c>
      <c r="CS25" s="2034"/>
      <c r="CT25" s="2034"/>
      <c r="CU25" s="2034"/>
      <c r="CV25" s="2034"/>
      <c r="CW25" s="2034"/>
      <c r="CX25" s="2034"/>
      <c r="CY25" s="2031">
        <v>0</v>
      </c>
      <c r="CZ25" s="2034"/>
      <c r="DA25" s="2034"/>
      <c r="DB25" s="2034"/>
      <c r="DC25" s="2034"/>
      <c r="DD25" s="2034"/>
      <c r="DE25" s="2034"/>
    </row>
    <row r="26" spans="1:109" ht="38.25">
      <c r="A26" s="1652">
        <v>8</v>
      </c>
      <c r="B26" s="1652">
        <v>3</v>
      </c>
      <c r="C26" s="1681" t="s">
        <v>1980</v>
      </c>
      <c r="D26" s="2003">
        <v>381</v>
      </c>
      <c r="E26" s="2030">
        <v>0</v>
      </c>
      <c r="F26" s="2034">
        <v>0</v>
      </c>
      <c r="G26" s="2034">
        <v>0</v>
      </c>
      <c r="H26" s="2034">
        <v>0</v>
      </c>
      <c r="I26" s="2034">
        <v>0</v>
      </c>
      <c r="J26" s="2034">
        <v>0</v>
      </c>
      <c r="K26" s="2034">
        <v>0</v>
      </c>
      <c r="L26" s="2030">
        <v>0</v>
      </c>
      <c r="M26" s="2034">
        <v>0</v>
      </c>
      <c r="N26" s="2034">
        <v>0</v>
      </c>
      <c r="O26" s="2034">
        <v>0</v>
      </c>
      <c r="P26" s="2034">
        <v>0</v>
      </c>
      <c r="Q26" s="2034">
        <v>0</v>
      </c>
      <c r="R26" s="2034">
        <v>0</v>
      </c>
      <c r="S26" s="2030">
        <v>0</v>
      </c>
      <c r="T26" s="2034">
        <v>0</v>
      </c>
      <c r="U26" s="2034">
        <v>0</v>
      </c>
      <c r="V26" s="2034">
        <v>0</v>
      </c>
      <c r="W26" s="2034">
        <v>0</v>
      </c>
      <c r="X26" s="2034">
        <v>0</v>
      </c>
      <c r="Y26" s="2034">
        <v>0</v>
      </c>
      <c r="Z26" s="2030">
        <v>0</v>
      </c>
      <c r="AA26" s="2034">
        <v>0</v>
      </c>
      <c r="AB26" s="2034">
        <v>0</v>
      </c>
      <c r="AC26" s="2034">
        <v>0</v>
      </c>
      <c r="AD26" s="2034">
        <v>0</v>
      </c>
      <c r="AE26" s="2034">
        <v>0</v>
      </c>
      <c r="AF26" s="2034">
        <v>0</v>
      </c>
      <c r="AG26" s="2030">
        <v>0</v>
      </c>
      <c r="AH26" s="2034">
        <v>0</v>
      </c>
      <c r="AI26" s="2033">
        <v>0</v>
      </c>
      <c r="AJ26" s="2033">
        <v>0</v>
      </c>
      <c r="AK26" s="2033">
        <v>0</v>
      </c>
      <c r="AL26" s="2034">
        <v>0</v>
      </c>
      <c r="AM26" s="2034">
        <v>0</v>
      </c>
      <c r="AN26" s="2031">
        <v>0</v>
      </c>
      <c r="AO26" s="2034">
        <v>0</v>
      </c>
      <c r="AP26" s="2033">
        <v>0</v>
      </c>
      <c r="AQ26" s="2033">
        <v>0</v>
      </c>
      <c r="AR26" s="2033">
        <v>0</v>
      </c>
      <c r="AS26" s="2034">
        <v>0</v>
      </c>
      <c r="AT26" s="2034">
        <v>0</v>
      </c>
      <c r="AU26" s="2031">
        <v>0</v>
      </c>
      <c r="AV26" s="2034">
        <v>0</v>
      </c>
      <c r="AW26" s="2033">
        <v>0</v>
      </c>
      <c r="AX26" s="2033">
        <v>0</v>
      </c>
      <c r="AY26" s="2033">
        <v>0</v>
      </c>
      <c r="AZ26" s="2034">
        <v>0</v>
      </c>
      <c r="BA26" s="2034">
        <v>0</v>
      </c>
      <c r="BB26" s="2031">
        <v>0</v>
      </c>
      <c r="BC26" s="2034">
        <v>0</v>
      </c>
      <c r="BD26" s="2033">
        <v>0</v>
      </c>
      <c r="BE26" s="2033">
        <v>0</v>
      </c>
      <c r="BF26" s="2033">
        <v>0</v>
      </c>
      <c r="BG26" s="2034">
        <v>0</v>
      </c>
      <c r="BH26" s="2034">
        <v>0</v>
      </c>
      <c r="BI26" s="2031">
        <v>0</v>
      </c>
      <c r="BJ26" s="2033">
        <v>0</v>
      </c>
      <c r="BK26" s="2033">
        <v>0</v>
      </c>
      <c r="BL26" s="2033">
        <v>0</v>
      </c>
      <c r="BM26" s="2034">
        <v>0</v>
      </c>
      <c r="BN26" s="2034">
        <v>0</v>
      </c>
      <c r="BO26" s="2034">
        <v>0</v>
      </c>
      <c r="BP26" s="2031">
        <v>0</v>
      </c>
      <c r="BQ26" s="2034">
        <v>0</v>
      </c>
      <c r="BR26" s="2033">
        <v>0</v>
      </c>
      <c r="BS26" s="2033">
        <v>0</v>
      </c>
      <c r="BT26" s="2033">
        <v>0</v>
      </c>
      <c r="BU26" s="2034">
        <v>0</v>
      </c>
      <c r="BV26" s="2034">
        <v>0</v>
      </c>
      <c r="BW26" s="2031">
        <v>0</v>
      </c>
      <c r="BX26" s="2034">
        <v>0</v>
      </c>
      <c r="BY26" s="2033">
        <v>0</v>
      </c>
      <c r="BZ26" s="2033">
        <v>0</v>
      </c>
      <c r="CA26" s="2033">
        <v>0</v>
      </c>
      <c r="CB26" s="2034">
        <v>0</v>
      </c>
      <c r="CC26" s="2034">
        <v>0</v>
      </c>
      <c r="CD26" s="2031">
        <v>0</v>
      </c>
      <c r="CE26" s="2034">
        <v>0</v>
      </c>
      <c r="CF26" s="2033">
        <v>0</v>
      </c>
      <c r="CG26" s="2033">
        <v>0</v>
      </c>
      <c r="CH26" s="2033">
        <v>0</v>
      </c>
      <c r="CI26" s="2034">
        <v>0</v>
      </c>
      <c r="CJ26" s="2034">
        <v>0</v>
      </c>
      <c r="CK26" s="2031">
        <v>0</v>
      </c>
      <c r="CL26" s="2034">
        <v>0</v>
      </c>
      <c r="CM26" s="2033">
        <v>0</v>
      </c>
      <c r="CN26" s="2033">
        <v>0</v>
      </c>
      <c r="CO26" s="2033">
        <v>0</v>
      </c>
      <c r="CP26" s="2034">
        <v>0</v>
      </c>
      <c r="CQ26" s="2034">
        <v>0</v>
      </c>
      <c r="CR26" s="2031">
        <v>0</v>
      </c>
      <c r="CS26" s="2034">
        <v>0</v>
      </c>
      <c r="CT26" s="2033">
        <v>0</v>
      </c>
      <c r="CU26" s="2033">
        <v>0</v>
      </c>
      <c r="CV26" s="2033">
        <v>0</v>
      </c>
      <c r="CW26" s="2034">
        <v>0</v>
      </c>
      <c r="CX26" s="2034">
        <v>0</v>
      </c>
      <c r="CY26" s="2031">
        <v>0</v>
      </c>
      <c r="CZ26" s="2034">
        <v>0</v>
      </c>
      <c r="DA26" s="2033">
        <v>0</v>
      </c>
      <c r="DB26" s="2033">
        <v>0</v>
      </c>
      <c r="DC26" s="2033">
        <v>0</v>
      </c>
      <c r="DD26" s="2034">
        <v>0</v>
      </c>
      <c r="DE26" s="2034">
        <v>0</v>
      </c>
    </row>
    <row r="27" spans="1:109" ht="38.25">
      <c r="A27" s="1652">
        <v>9</v>
      </c>
      <c r="B27" s="1652">
        <v>5</v>
      </c>
      <c r="C27" s="1679" t="s">
        <v>1981</v>
      </c>
      <c r="D27" s="1680">
        <v>400</v>
      </c>
      <c r="E27" s="2033">
        <f>SUM(E28:E34)</f>
        <v>19850.285</v>
      </c>
      <c r="F27" s="2031">
        <f t="shared" ref="F27:BQ27" si="23">SUM(F28:F34)</f>
        <v>0</v>
      </c>
      <c r="G27" s="2033">
        <f t="shared" si="23"/>
        <v>190.53299999999999</v>
      </c>
      <c r="H27" s="2033">
        <f t="shared" si="23"/>
        <v>12530.698</v>
      </c>
      <c r="I27" s="2033">
        <f t="shared" si="23"/>
        <v>7129.054000000001</v>
      </c>
      <c r="J27" s="2031">
        <f t="shared" si="23"/>
        <v>0</v>
      </c>
      <c r="K27" s="2031">
        <f t="shared" si="23"/>
        <v>0</v>
      </c>
      <c r="L27" s="2033">
        <f>SUM(L28:L34)</f>
        <v>175036.05778000003</v>
      </c>
      <c r="M27" s="2031">
        <f t="shared" si="23"/>
        <v>0</v>
      </c>
      <c r="N27" s="2033">
        <f t="shared" si="23"/>
        <v>1611.7967599999999</v>
      </c>
      <c r="O27" s="2033">
        <f t="shared" si="23"/>
        <v>109373.09769000001</v>
      </c>
      <c r="P27" s="2033">
        <f t="shared" si="23"/>
        <v>64051.163329999996</v>
      </c>
      <c r="Q27" s="2031">
        <f t="shared" si="23"/>
        <v>0</v>
      </c>
      <c r="R27" s="2031">
        <f t="shared" si="23"/>
        <v>0</v>
      </c>
      <c r="S27" s="2033">
        <f t="shared" si="23"/>
        <v>295.92699999999996</v>
      </c>
      <c r="T27" s="2031">
        <f t="shared" si="23"/>
        <v>0</v>
      </c>
      <c r="U27" s="2033">
        <f t="shared" si="23"/>
        <v>0</v>
      </c>
      <c r="V27" s="2033">
        <f t="shared" si="23"/>
        <v>292.86599999999999</v>
      </c>
      <c r="W27" s="2033">
        <f t="shared" si="23"/>
        <v>3.0609999999999999</v>
      </c>
      <c r="X27" s="2031">
        <f t="shared" si="23"/>
        <v>0</v>
      </c>
      <c r="Y27" s="2031">
        <f t="shared" si="23"/>
        <v>0</v>
      </c>
      <c r="Z27" s="2033">
        <f>SUM(Z28:Z34)</f>
        <v>2783.4780800000003</v>
      </c>
      <c r="AA27" s="2031">
        <f t="shared" si="23"/>
        <v>0</v>
      </c>
      <c r="AB27" s="2033">
        <f t="shared" si="23"/>
        <v>0</v>
      </c>
      <c r="AC27" s="2033">
        <f t="shared" si="23"/>
        <v>2754.2478200000005</v>
      </c>
      <c r="AD27" s="2033">
        <f t="shared" si="23"/>
        <v>29.230260000000001</v>
      </c>
      <c r="AE27" s="2031">
        <f t="shared" si="23"/>
        <v>0</v>
      </c>
      <c r="AF27" s="2031">
        <f t="shared" si="23"/>
        <v>0</v>
      </c>
      <c r="AG27" s="2033">
        <f>SUM(AG28:AG34)</f>
        <v>0</v>
      </c>
      <c r="AH27" s="2031">
        <f t="shared" si="23"/>
        <v>0</v>
      </c>
      <c r="AI27" s="2033">
        <f>SUM(AI28:AI34)</f>
        <v>0</v>
      </c>
      <c r="AJ27" s="2033">
        <f t="shared" ref="AJ27" si="24">SUM(AJ28:AJ34)</f>
        <v>0</v>
      </c>
      <c r="AK27" s="2033">
        <f t="shared" ref="AK27" si="25">SUM(AK28:AK34)</f>
        <v>0</v>
      </c>
      <c r="AL27" s="2031">
        <f t="shared" si="23"/>
        <v>0</v>
      </c>
      <c r="AM27" s="2031">
        <f t="shared" si="23"/>
        <v>0</v>
      </c>
      <c r="AN27" s="2033">
        <f>SUM(AN28:AN34)</f>
        <v>0</v>
      </c>
      <c r="AO27" s="2031">
        <f t="shared" si="23"/>
        <v>0</v>
      </c>
      <c r="AP27" s="2033">
        <f>SUM(AP28:AP34)</f>
        <v>0</v>
      </c>
      <c r="AQ27" s="2033">
        <f t="shared" ref="AQ27" si="26">SUM(AQ28:AQ34)</f>
        <v>0</v>
      </c>
      <c r="AR27" s="2033">
        <f t="shared" ref="AR27" si="27">SUM(AR28:AR34)</f>
        <v>0</v>
      </c>
      <c r="AS27" s="2031">
        <f t="shared" si="23"/>
        <v>0</v>
      </c>
      <c r="AT27" s="2031">
        <f t="shared" si="23"/>
        <v>0</v>
      </c>
      <c r="AU27" s="2033">
        <f>SUM(AU28:AU34)</f>
        <v>0</v>
      </c>
      <c r="AV27" s="2031">
        <f t="shared" si="23"/>
        <v>0</v>
      </c>
      <c r="AW27" s="2033">
        <f>SUM(AW28:AW34)</f>
        <v>0</v>
      </c>
      <c r="AX27" s="2033">
        <f t="shared" ref="AX27" si="28">SUM(AX28:AX34)</f>
        <v>0</v>
      </c>
      <c r="AY27" s="2033">
        <f t="shared" ref="AY27" si="29">SUM(AY28:AY34)</f>
        <v>0</v>
      </c>
      <c r="AZ27" s="2031">
        <f t="shared" si="23"/>
        <v>0</v>
      </c>
      <c r="BA27" s="2031">
        <f t="shared" si="23"/>
        <v>0</v>
      </c>
      <c r="BB27" s="2033">
        <f>SUM(BB28:BB34)</f>
        <v>0</v>
      </c>
      <c r="BC27" s="2031">
        <f t="shared" si="23"/>
        <v>0</v>
      </c>
      <c r="BD27" s="2033">
        <f>SUM(BD28:BD34)</f>
        <v>0</v>
      </c>
      <c r="BE27" s="2033">
        <f t="shared" ref="BE27" si="30">SUM(BE28:BE34)</f>
        <v>0</v>
      </c>
      <c r="BF27" s="2033">
        <f t="shared" ref="BF27" si="31">SUM(BF28:BF34)</f>
        <v>0</v>
      </c>
      <c r="BG27" s="2031">
        <f t="shared" si="23"/>
        <v>0</v>
      </c>
      <c r="BH27" s="2031">
        <f t="shared" si="23"/>
        <v>0</v>
      </c>
      <c r="BI27" s="2033">
        <f>SUM(BI28:BI34)</f>
        <v>1211.152</v>
      </c>
      <c r="BJ27" s="2033">
        <f t="shared" si="23"/>
        <v>0</v>
      </c>
      <c r="BK27" s="2033">
        <f>SUM(BK28:BK34)</f>
        <v>0</v>
      </c>
      <c r="BL27" s="2033">
        <f t="shared" ref="BL27" si="32">SUM(BL28:BL34)</f>
        <v>87.923000000000002</v>
      </c>
      <c r="BM27" s="2033">
        <f t="shared" ref="BM27" si="33">SUM(BM28:BM34)</f>
        <v>1123.229</v>
      </c>
      <c r="BN27" s="2031">
        <f t="shared" si="23"/>
        <v>0</v>
      </c>
      <c r="BO27" s="2031">
        <f t="shared" si="23"/>
        <v>0</v>
      </c>
      <c r="BP27" s="2033">
        <f>SUM(BP28:BP34)</f>
        <v>4775.9370100000006</v>
      </c>
      <c r="BQ27" s="2031">
        <f t="shared" si="23"/>
        <v>0</v>
      </c>
      <c r="BR27" s="2033">
        <f>SUM(BR28:BR34)</f>
        <v>0</v>
      </c>
      <c r="BS27" s="2033">
        <f t="shared" ref="BS27" si="34">SUM(BS28:BS34)</f>
        <v>314.45769000000001</v>
      </c>
      <c r="BT27" s="2033">
        <f t="shared" ref="BT27" si="35">SUM(BT28:BT34)</f>
        <v>4461.4793200000004</v>
      </c>
      <c r="BU27" s="2031">
        <f t="shared" ref="BU27:DE27" si="36">SUM(BU28:BU34)</f>
        <v>0</v>
      </c>
      <c r="BV27" s="2031">
        <f t="shared" si="36"/>
        <v>0</v>
      </c>
      <c r="BW27" s="2033">
        <f>SUM(BW28:BW34)</f>
        <v>1.843</v>
      </c>
      <c r="BX27" s="2031">
        <f t="shared" si="36"/>
        <v>0</v>
      </c>
      <c r="BY27" s="2033">
        <f>SUM(BY28:BY34)</f>
        <v>0</v>
      </c>
      <c r="BZ27" s="2033">
        <f t="shared" ref="BZ27" si="37">SUM(BZ28:BZ34)</f>
        <v>0.11799999999999999</v>
      </c>
      <c r="CA27" s="2033">
        <f t="shared" ref="CA27" si="38">SUM(CA28:CA34)</f>
        <v>1.7250000000000001</v>
      </c>
      <c r="CB27" s="2031">
        <f t="shared" si="36"/>
        <v>0</v>
      </c>
      <c r="CC27" s="2031">
        <f t="shared" si="36"/>
        <v>0</v>
      </c>
      <c r="CD27" s="2033">
        <f>SUM(CD28:CD34)</f>
        <v>2225.1187500000001</v>
      </c>
      <c r="CE27" s="2031">
        <f t="shared" si="36"/>
        <v>0</v>
      </c>
      <c r="CF27" s="2033">
        <f>SUM(CF28:CF34)</f>
        <v>0</v>
      </c>
      <c r="CG27" s="2033">
        <f t="shared" ref="CG27" si="39">SUM(CG28:CG34)</f>
        <v>142.46554999999998</v>
      </c>
      <c r="CH27" s="2033">
        <f t="shared" ref="CH27" si="40">SUM(CH28:CH34)</f>
        <v>2082.6532000000002</v>
      </c>
      <c r="CI27" s="2031">
        <f t="shared" si="36"/>
        <v>0</v>
      </c>
      <c r="CJ27" s="2031">
        <f t="shared" si="36"/>
        <v>0</v>
      </c>
      <c r="CK27" s="2033">
        <f>SUM(CK28:CK34)</f>
        <v>2.0569999999999999</v>
      </c>
      <c r="CL27" s="2031">
        <f t="shared" si="36"/>
        <v>0</v>
      </c>
      <c r="CM27" s="2033">
        <f>SUM(CM28:CM34)</f>
        <v>0</v>
      </c>
      <c r="CN27" s="2033">
        <f t="shared" ref="CN27" si="41">SUM(CN28:CN34)</f>
        <v>0.123</v>
      </c>
      <c r="CO27" s="2033">
        <f t="shared" ref="CO27" si="42">SUM(CO28:CO34)</f>
        <v>1.9339999999999999</v>
      </c>
      <c r="CP27" s="2031">
        <f t="shared" si="36"/>
        <v>0</v>
      </c>
      <c r="CQ27" s="2031">
        <f t="shared" si="36"/>
        <v>0</v>
      </c>
      <c r="CR27" s="2033">
        <f>SUM(CR28:CR34)</f>
        <v>2328.1900500000002</v>
      </c>
      <c r="CS27" s="2031">
        <f t="shared" si="36"/>
        <v>0</v>
      </c>
      <c r="CT27" s="2033">
        <f>SUM(CT28:CT34)</f>
        <v>0</v>
      </c>
      <c r="CU27" s="2033">
        <f t="shared" ref="CU27" si="43">SUM(CU28:CU34)</f>
        <v>344.29455000000007</v>
      </c>
      <c r="CV27" s="2033">
        <f t="shared" ref="CV27" si="44">SUM(CV28:CV34)</f>
        <v>1983.8954999999999</v>
      </c>
      <c r="CW27" s="2031">
        <f t="shared" si="36"/>
        <v>0</v>
      </c>
      <c r="CX27" s="2031">
        <f t="shared" si="36"/>
        <v>0</v>
      </c>
      <c r="CY27" s="2033">
        <f>SUM(CY28:CY34)</f>
        <v>0</v>
      </c>
      <c r="CZ27" s="2031">
        <f t="shared" si="36"/>
        <v>0</v>
      </c>
      <c r="DA27" s="2033">
        <f>SUM(DA28:DA34)</f>
        <v>0</v>
      </c>
      <c r="DB27" s="2033">
        <f t="shared" ref="DB27" si="45">SUM(DB28:DB34)</f>
        <v>0</v>
      </c>
      <c r="DC27" s="2033">
        <f t="shared" ref="DC27" si="46">SUM(DC28:DC34)</f>
        <v>0</v>
      </c>
      <c r="DD27" s="2031">
        <f t="shared" si="36"/>
        <v>0</v>
      </c>
      <c r="DE27" s="2031">
        <f t="shared" si="36"/>
        <v>0</v>
      </c>
    </row>
    <row r="28" spans="1:109">
      <c r="A28" s="1652">
        <v>1</v>
      </c>
      <c r="B28" s="1652">
        <v>5</v>
      </c>
      <c r="C28" s="1681" t="s">
        <v>516</v>
      </c>
      <c r="D28" s="2003">
        <v>411</v>
      </c>
      <c r="E28" s="2031">
        <v>0</v>
      </c>
      <c r="F28" s="2034"/>
      <c r="G28" s="2034"/>
      <c r="H28" s="2034"/>
      <c r="I28" s="2034"/>
      <c r="J28" s="2034"/>
      <c r="K28" s="2034"/>
      <c r="L28" s="2031">
        <v>0</v>
      </c>
      <c r="M28" s="2034"/>
      <c r="N28" s="2034"/>
      <c r="O28" s="2034"/>
      <c r="P28" s="2034"/>
      <c r="Q28" s="2034"/>
      <c r="R28" s="2034"/>
      <c r="S28" s="2033">
        <v>0</v>
      </c>
      <c r="T28" s="2034"/>
      <c r="U28" s="2034"/>
      <c r="V28" s="2034"/>
      <c r="W28" s="2034"/>
      <c r="X28" s="2034"/>
      <c r="Y28" s="2034"/>
      <c r="Z28" s="2033">
        <v>0</v>
      </c>
      <c r="AA28" s="2034"/>
      <c r="AB28" s="2034"/>
      <c r="AC28" s="2034"/>
      <c r="AD28" s="2034"/>
      <c r="AE28" s="2034"/>
      <c r="AF28" s="2034"/>
      <c r="AG28" s="2030">
        <f>SUM(Таблица66[[#This Row],[V31]:[V33]])</f>
        <v>0</v>
      </c>
      <c r="AH28" s="2034"/>
      <c r="AI28" s="2034">
        <f>'6'!AI36</f>
        <v>0</v>
      </c>
      <c r="AJ28" s="2034">
        <f>'6'!AJ36</f>
        <v>0</v>
      </c>
      <c r="AK28" s="2034">
        <f>'6'!AK36</f>
        <v>0</v>
      </c>
      <c r="AL28" s="2034"/>
      <c r="AM28" s="2034"/>
      <c r="AN28" s="2031">
        <f>SUM(Таблица66[[#This Row],[V38]:[V40]])</f>
        <v>0</v>
      </c>
      <c r="AO28" s="2034"/>
      <c r="AP28" s="2034">
        <f>'6'!AP36</f>
        <v>0</v>
      </c>
      <c r="AQ28" s="2034">
        <f>'6'!AQ36</f>
        <v>0</v>
      </c>
      <c r="AR28" s="2034">
        <f>'6'!AR36</f>
        <v>0</v>
      </c>
      <c r="AS28" s="2034"/>
      <c r="AT28" s="2034"/>
      <c r="AU28" s="2031">
        <f>SUM(Таблица66[[#This Row],[V45]:[V47]])</f>
        <v>0</v>
      </c>
      <c r="AV28" s="2034"/>
      <c r="AW28" s="2034">
        <f>'6'!AW36</f>
        <v>0</v>
      </c>
      <c r="AX28" s="2034">
        <f>'6'!AX36</f>
        <v>0</v>
      </c>
      <c r="AY28" s="2034">
        <f>'6'!AY36</f>
        <v>0</v>
      </c>
      <c r="AZ28" s="2034"/>
      <c r="BA28" s="2034"/>
      <c r="BB28" s="2031">
        <f>SUM(Таблица66[[#This Row],[V52]:[V54]])</f>
        <v>0</v>
      </c>
      <c r="BC28" s="2034"/>
      <c r="BD28" s="2034">
        <f>'6'!BD36</f>
        <v>0</v>
      </c>
      <c r="BE28" s="2034">
        <f>'6'!BE36</f>
        <v>0</v>
      </c>
      <c r="BF28" s="2034">
        <f>'6'!BF36</f>
        <v>0</v>
      </c>
      <c r="BG28" s="2034"/>
      <c r="BH28" s="2034"/>
      <c r="BI28" s="2031">
        <f>SUM(Таблица66[[#This Row],[V59]:[V61]])</f>
        <v>1211.152</v>
      </c>
      <c r="BJ28" s="2034"/>
      <c r="BK28" s="2034">
        <f>'6'!BK36</f>
        <v>0</v>
      </c>
      <c r="BL28" s="2034">
        <f>'6'!BL36</f>
        <v>87.923000000000002</v>
      </c>
      <c r="BM28" s="2034">
        <f>'6'!BM36</f>
        <v>1123.229</v>
      </c>
      <c r="BN28" s="2034"/>
      <c r="BO28" s="2034"/>
      <c r="BP28" s="2031">
        <f>SUM(Таблица66[[#This Row],[V66]:[V68]])</f>
        <v>4775.9370100000006</v>
      </c>
      <c r="BQ28" s="2034"/>
      <c r="BR28" s="2034">
        <f>'6'!BR36</f>
        <v>0</v>
      </c>
      <c r="BS28" s="2034">
        <f>'6'!BS36</f>
        <v>314.45769000000001</v>
      </c>
      <c r="BT28" s="2034">
        <f>'6'!BT36</f>
        <v>4461.4793200000004</v>
      </c>
      <c r="BU28" s="2034"/>
      <c r="BV28" s="2034"/>
      <c r="BW28" s="2031">
        <f>SUM(Таблица66[[#This Row],[V73]:[V75]])</f>
        <v>1.843</v>
      </c>
      <c r="BX28" s="2034"/>
      <c r="BY28" s="2034">
        <f>'6'!BY36</f>
        <v>0</v>
      </c>
      <c r="BZ28" s="2034">
        <f>'6'!BZ36</f>
        <v>0.11799999999999999</v>
      </c>
      <c r="CA28" s="2034">
        <f>'6'!CA36</f>
        <v>1.7250000000000001</v>
      </c>
      <c r="CB28" s="2034"/>
      <c r="CC28" s="2034"/>
      <c r="CD28" s="2031">
        <f>SUM(Таблица66[[#This Row],[V80]:[V82]])</f>
        <v>2225.1187500000001</v>
      </c>
      <c r="CE28" s="2034"/>
      <c r="CF28" s="2034">
        <f>'6'!CF36</f>
        <v>0</v>
      </c>
      <c r="CG28" s="2034">
        <f>'6'!CG36</f>
        <v>142.46554999999998</v>
      </c>
      <c r="CH28" s="2034">
        <f>'6'!CH36</f>
        <v>2082.6532000000002</v>
      </c>
      <c r="CI28" s="2034"/>
      <c r="CJ28" s="2034"/>
      <c r="CK28" s="2031">
        <f>SUM(Таблица66[[#This Row],[V87]:[V89]])</f>
        <v>2.0569999999999999</v>
      </c>
      <c r="CL28" s="2034"/>
      <c r="CM28" s="2034">
        <f>'6'!CM36</f>
        <v>0</v>
      </c>
      <c r="CN28" s="2034">
        <f>'6'!CN36</f>
        <v>0.123</v>
      </c>
      <c r="CO28" s="2034">
        <f>'6'!CO36</f>
        <v>1.9339999999999999</v>
      </c>
      <c r="CP28" s="2034"/>
      <c r="CQ28" s="2034"/>
      <c r="CR28" s="2031">
        <f>SUM(Таблица66[[#This Row],[V94]:[V96]])</f>
        <v>2328.1900500000002</v>
      </c>
      <c r="CS28" s="2034"/>
      <c r="CT28" s="2034">
        <f>'6'!CT36</f>
        <v>0</v>
      </c>
      <c r="CU28" s="2034">
        <f>'6'!CU36</f>
        <v>344.29455000000007</v>
      </c>
      <c r="CV28" s="2034">
        <f>'6'!CV36</f>
        <v>1983.8954999999999</v>
      </c>
      <c r="CW28" s="2034"/>
      <c r="CX28" s="2034"/>
      <c r="CY28" s="2031">
        <f>SUM(Таблица66[[#This Row],[V101]:[V103]])</f>
        <v>0</v>
      </c>
      <c r="CZ28" s="2034"/>
      <c r="DA28" s="2034">
        <f>'6'!DA36</f>
        <v>0</v>
      </c>
      <c r="DB28" s="2034">
        <f>'6'!DB36</f>
        <v>0</v>
      </c>
      <c r="DC28" s="2034">
        <f>'6'!DC36</f>
        <v>0</v>
      </c>
      <c r="DD28" s="2034"/>
      <c r="DE28" s="2034"/>
    </row>
    <row r="29" spans="1:109">
      <c r="A29" s="1652">
        <v>2</v>
      </c>
      <c r="B29" s="1652">
        <v>5</v>
      </c>
      <c r="C29" s="1681" t="s">
        <v>517</v>
      </c>
      <c r="D29" s="2003">
        <v>421</v>
      </c>
      <c r="E29" s="2031">
        <v>0</v>
      </c>
      <c r="F29" s="2034"/>
      <c r="G29" s="2034"/>
      <c r="H29" s="2034"/>
      <c r="I29" s="2034"/>
      <c r="J29" s="2034"/>
      <c r="K29" s="2034"/>
      <c r="L29" s="2031">
        <v>0</v>
      </c>
      <c r="M29" s="2034"/>
      <c r="N29" s="2034"/>
      <c r="O29" s="2034"/>
      <c r="P29" s="2034"/>
      <c r="Q29" s="2034"/>
      <c r="R29" s="2034"/>
      <c r="S29" s="2033">
        <v>0</v>
      </c>
      <c r="T29" s="2034"/>
      <c r="U29" s="2034"/>
      <c r="V29" s="2034"/>
      <c r="W29" s="2034"/>
      <c r="X29" s="2034"/>
      <c r="Y29" s="2034"/>
      <c r="Z29" s="2033">
        <v>0</v>
      </c>
      <c r="AA29" s="2034"/>
      <c r="AB29" s="2034"/>
      <c r="AC29" s="2034"/>
      <c r="AD29" s="2034"/>
      <c r="AE29" s="2034"/>
      <c r="AF29" s="2034"/>
      <c r="AG29" s="2030">
        <v>0</v>
      </c>
      <c r="AH29" s="2034"/>
      <c r="AI29" s="2034"/>
      <c r="AJ29" s="2034"/>
      <c r="AK29" s="2034"/>
      <c r="AL29" s="2034"/>
      <c r="AM29" s="2034"/>
      <c r="AN29" s="2031">
        <v>0</v>
      </c>
      <c r="AO29" s="2034"/>
      <c r="AP29" s="2034"/>
      <c r="AQ29" s="2034"/>
      <c r="AR29" s="2034"/>
      <c r="AS29" s="2034"/>
      <c r="AT29" s="2034"/>
      <c r="AU29" s="2031">
        <v>0</v>
      </c>
      <c r="AV29" s="2034"/>
      <c r="AW29" s="2034"/>
      <c r="AX29" s="2034"/>
      <c r="AY29" s="2034"/>
      <c r="AZ29" s="2034"/>
      <c r="BA29" s="2034"/>
      <c r="BB29" s="2031">
        <v>0</v>
      </c>
      <c r="BC29" s="2034"/>
      <c r="BD29" s="2034"/>
      <c r="BE29" s="2034"/>
      <c r="BF29" s="2034"/>
      <c r="BG29" s="2034"/>
      <c r="BH29" s="2034"/>
      <c r="BI29" s="2031">
        <v>0</v>
      </c>
      <c r="BJ29" s="2034"/>
      <c r="BK29" s="2034"/>
      <c r="BL29" s="2034"/>
      <c r="BM29" s="2034"/>
      <c r="BN29" s="2034"/>
      <c r="BO29" s="2034"/>
      <c r="BP29" s="2031">
        <v>0</v>
      </c>
      <c r="BQ29" s="2034"/>
      <c r="BR29" s="2034"/>
      <c r="BS29" s="2034"/>
      <c r="BT29" s="2034"/>
      <c r="BU29" s="2034"/>
      <c r="BV29" s="2034"/>
      <c r="BW29" s="2031">
        <v>0</v>
      </c>
      <c r="BX29" s="2034"/>
      <c r="BY29" s="2034"/>
      <c r="BZ29" s="2034"/>
      <c r="CA29" s="2034"/>
      <c r="CB29" s="2034"/>
      <c r="CC29" s="2034"/>
      <c r="CD29" s="2031">
        <v>0</v>
      </c>
      <c r="CE29" s="2034"/>
      <c r="CF29" s="2034"/>
      <c r="CG29" s="2034"/>
      <c r="CH29" s="2034"/>
      <c r="CI29" s="2034"/>
      <c r="CJ29" s="2034"/>
      <c r="CK29" s="2031">
        <v>0</v>
      </c>
      <c r="CL29" s="2034"/>
      <c r="CM29" s="2034"/>
      <c r="CN29" s="2034"/>
      <c r="CO29" s="2034"/>
      <c r="CP29" s="2034"/>
      <c r="CQ29" s="2034"/>
      <c r="CR29" s="2031">
        <v>0</v>
      </c>
      <c r="CS29" s="2034"/>
      <c r="CT29" s="2034"/>
      <c r="CU29" s="2034"/>
      <c r="CV29" s="2034"/>
      <c r="CW29" s="2034"/>
      <c r="CX29" s="2034"/>
      <c r="CY29" s="2031">
        <v>0</v>
      </c>
      <c r="CZ29" s="2034"/>
      <c r="DA29" s="2034"/>
      <c r="DB29" s="2034"/>
      <c r="DC29" s="2034"/>
      <c r="DD29" s="2034"/>
      <c r="DE29" s="2034"/>
    </row>
    <row r="30" spans="1:109">
      <c r="A30" s="1652">
        <v>3</v>
      </c>
      <c r="B30" s="1652">
        <v>5</v>
      </c>
      <c r="C30" s="1681" t="s">
        <v>518</v>
      </c>
      <c r="D30" s="2003">
        <v>431</v>
      </c>
      <c r="E30" s="2031">
        <v>0</v>
      </c>
      <c r="F30" s="2034"/>
      <c r="G30" s="2034"/>
      <c r="H30" s="2034"/>
      <c r="I30" s="2034"/>
      <c r="J30" s="2034"/>
      <c r="K30" s="2034"/>
      <c r="L30" s="2031">
        <v>0</v>
      </c>
      <c r="M30" s="2034"/>
      <c r="N30" s="2034"/>
      <c r="O30" s="2034"/>
      <c r="P30" s="2034"/>
      <c r="Q30" s="2034"/>
      <c r="R30" s="2034"/>
      <c r="S30" s="2033">
        <v>0</v>
      </c>
      <c r="T30" s="2034"/>
      <c r="U30" s="2034"/>
      <c r="V30" s="2034"/>
      <c r="W30" s="2034"/>
      <c r="X30" s="2034"/>
      <c r="Y30" s="2034"/>
      <c r="Z30" s="2033">
        <v>0</v>
      </c>
      <c r="AA30" s="2034"/>
      <c r="AB30" s="2034"/>
      <c r="AC30" s="2034"/>
      <c r="AD30" s="2034"/>
      <c r="AE30" s="2034"/>
      <c r="AF30" s="2034"/>
      <c r="AG30" s="2030">
        <v>0</v>
      </c>
      <c r="AH30" s="2034"/>
      <c r="AI30" s="2034"/>
      <c r="AJ30" s="2034"/>
      <c r="AK30" s="2034"/>
      <c r="AL30" s="2034"/>
      <c r="AM30" s="2034"/>
      <c r="AN30" s="2031">
        <v>0</v>
      </c>
      <c r="AO30" s="2034"/>
      <c r="AP30" s="2034"/>
      <c r="AQ30" s="2034"/>
      <c r="AR30" s="2034"/>
      <c r="AS30" s="2034"/>
      <c r="AT30" s="2034"/>
      <c r="AU30" s="2031">
        <v>0</v>
      </c>
      <c r="AV30" s="2034"/>
      <c r="AW30" s="2034"/>
      <c r="AX30" s="2034"/>
      <c r="AY30" s="2034"/>
      <c r="AZ30" s="2034"/>
      <c r="BA30" s="2034"/>
      <c r="BB30" s="2031">
        <v>0</v>
      </c>
      <c r="BC30" s="2034"/>
      <c r="BD30" s="2034"/>
      <c r="BE30" s="2034"/>
      <c r="BF30" s="2034"/>
      <c r="BG30" s="2034"/>
      <c r="BH30" s="2034"/>
      <c r="BI30" s="2031">
        <v>0</v>
      </c>
      <c r="BJ30" s="2034"/>
      <c r="BK30" s="2034"/>
      <c r="BL30" s="2034"/>
      <c r="BM30" s="2034"/>
      <c r="BN30" s="2034"/>
      <c r="BO30" s="2034"/>
      <c r="BP30" s="2031">
        <v>0</v>
      </c>
      <c r="BQ30" s="2034"/>
      <c r="BR30" s="2034"/>
      <c r="BS30" s="2034"/>
      <c r="BT30" s="2034"/>
      <c r="BU30" s="2034"/>
      <c r="BV30" s="2034"/>
      <c r="BW30" s="2031">
        <v>0</v>
      </c>
      <c r="BX30" s="2034"/>
      <c r="BY30" s="2034"/>
      <c r="BZ30" s="2034"/>
      <c r="CA30" s="2034"/>
      <c r="CB30" s="2034"/>
      <c r="CC30" s="2034"/>
      <c r="CD30" s="2031">
        <v>0</v>
      </c>
      <c r="CE30" s="2034"/>
      <c r="CF30" s="2034"/>
      <c r="CG30" s="2034"/>
      <c r="CH30" s="2034"/>
      <c r="CI30" s="2034"/>
      <c r="CJ30" s="2034"/>
      <c r="CK30" s="2031">
        <v>0</v>
      </c>
      <c r="CL30" s="2034"/>
      <c r="CM30" s="2034"/>
      <c r="CN30" s="2034"/>
      <c r="CO30" s="2034"/>
      <c r="CP30" s="2034"/>
      <c r="CQ30" s="2034"/>
      <c r="CR30" s="2031">
        <v>0</v>
      </c>
      <c r="CS30" s="2034"/>
      <c r="CT30" s="2034"/>
      <c r="CU30" s="2034"/>
      <c r="CV30" s="2034"/>
      <c r="CW30" s="2034"/>
      <c r="CX30" s="2034"/>
      <c r="CY30" s="2031">
        <v>0</v>
      </c>
      <c r="CZ30" s="2034"/>
      <c r="DA30" s="2034"/>
      <c r="DB30" s="2034"/>
      <c r="DC30" s="2034"/>
      <c r="DD30" s="2034"/>
      <c r="DE30" s="2034"/>
    </row>
    <row r="31" spans="1:109">
      <c r="A31" s="1652">
        <v>4</v>
      </c>
      <c r="B31" s="1652">
        <v>5</v>
      </c>
      <c r="C31" s="1681" t="s">
        <v>519</v>
      </c>
      <c r="D31" s="2003">
        <v>441</v>
      </c>
      <c r="E31" s="2033">
        <f>SUM(Таблица66[[#This Row],[v3]:[v5]])</f>
        <v>14113.965</v>
      </c>
      <c r="F31" s="2034"/>
      <c r="G31" s="2034">
        <f>'6'!G39</f>
        <v>190.53299999999999</v>
      </c>
      <c r="H31" s="2034">
        <f>'6'!H39</f>
        <v>10007.896000000001</v>
      </c>
      <c r="I31" s="2034">
        <f>'6'!I39</f>
        <v>3915.536000000001</v>
      </c>
      <c r="J31" s="2034"/>
      <c r="K31" s="2034"/>
      <c r="L31" s="2033">
        <f>SUM(Таблица66[[#This Row],[v10]:[v12]])</f>
        <v>120236.33578000001</v>
      </c>
      <c r="M31" s="2034"/>
      <c r="N31" s="2034">
        <f>'6'!N39</f>
        <v>1611.7967599999999</v>
      </c>
      <c r="O31" s="2034">
        <f>'6'!O39</f>
        <v>84109.674690000014</v>
      </c>
      <c r="P31" s="2034">
        <f>'6'!P39</f>
        <v>34514.864329999997</v>
      </c>
      <c r="Q31" s="2034"/>
      <c r="R31" s="2034"/>
      <c r="S31" s="2033">
        <v>0</v>
      </c>
      <c r="T31" s="2034"/>
      <c r="U31" s="2034"/>
      <c r="V31" s="2034"/>
      <c r="W31" s="2034"/>
      <c r="X31" s="2034"/>
      <c r="Y31" s="2034"/>
      <c r="Z31" s="2033">
        <v>0</v>
      </c>
      <c r="AA31" s="2034"/>
      <c r="AB31" s="2034"/>
      <c r="AC31" s="2034"/>
      <c r="AD31" s="2034"/>
      <c r="AE31" s="2034"/>
      <c r="AF31" s="2034"/>
      <c r="AG31" s="2030">
        <v>0</v>
      </c>
      <c r="AH31" s="2034"/>
      <c r="AI31" s="2034"/>
      <c r="AJ31" s="2034"/>
      <c r="AK31" s="2034"/>
      <c r="AL31" s="2034"/>
      <c r="AM31" s="2034"/>
      <c r="AN31" s="2031">
        <v>0</v>
      </c>
      <c r="AO31" s="2034"/>
      <c r="AP31" s="2034"/>
      <c r="AQ31" s="2034"/>
      <c r="AR31" s="2034"/>
      <c r="AS31" s="2034"/>
      <c r="AT31" s="2034"/>
      <c r="AU31" s="2031">
        <v>0</v>
      </c>
      <c r="AV31" s="2034"/>
      <c r="AW31" s="2034"/>
      <c r="AX31" s="2034"/>
      <c r="AY31" s="2034"/>
      <c r="AZ31" s="2034"/>
      <c r="BA31" s="2034"/>
      <c r="BB31" s="2031">
        <v>0</v>
      </c>
      <c r="BC31" s="2034"/>
      <c r="BD31" s="2034"/>
      <c r="BE31" s="2034"/>
      <c r="BF31" s="2034"/>
      <c r="BG31" s="2034"/>
      <c r="BH31" s="2034"/>
      <c r="BI31" s="2031">
        <v>0</v>
      </c>
      <c r="BJ31" s="2034"/>
      <c r="BK31" s="2034"/>
      <c r="BL31" s="2034"/>
      <c r="BM31" s="2034"/>
      <c r="BN31" s="2034"/>
      <c r="BO31" s="2034"/>
      <c r="BP31" s="2031">
        <v>0</v>
      </c>
      <c r="BQ31" s="2034"/>
      <c r="BR31" s="2034"/>
      <c r="BS31" s="2034"/>
      <c r="BT31" s="2034"/>
      <c r="BU31" s="2034"/>
      <c r="BV31" s="2034"/>
      <c r="BW31" s="2031">
        <v>0</v>
      </c>
      <c r="BX31" s="2034"/>
      <c r="BY31" s="2034"/>
      <c r="BZ31" s="2034"/>
      <c r="CA31" s="2034"/>
      <c r="CB31" s="2034"/>
      <c r="CC31" s="2034"/>
      <c r="CD31" s="2031">
        <v>0</v>
      </c>
      <c r="CE31" s="2034"/>
      <c r="CF31" s="2034"/>
      <c r="CG31" s="2034"/>
      <c r="CH31" s="2034"/>
      <c r="CI31" s="2034"/>
      <c r="CJ31" s="2034"/>
      <c r="CK31" s="2031">
        <v>0</v>
      </c>
      <c r="CL31" s="2034"/>
      <c r="CM31" s="2034"/>
      <c r="CN31" s="2034"/>
      <c r="CO31" s="2034"/>
      <c r="CP31" s="2034"/>
      <c r="CQ31" s="2034"/>
      <c r="CR31" s="2031">
        <v>0</v>
      </c>
      <c r="CS31" s="2034"/>
      <c r="CT31" s="2034"/>
      <c r="CU31" s="2034"/>
      <c r="CV31" s="2034"/>
      <c r="CW31" s="2034"/>
      <c r="CX31" s="2034"/>
      <c r="CY31" s="2031">
        <v>0</v>
      </c>
      <c r="CZ31" s="2034"/>
      <c r="DA31" s="2034"/>
      <c r="DB31" s="2034"/>
      <c r="DC31" s="2034"/>
      <c r="DD31" s="2034"/>
      <c r="DE31" s="2034"/>
    </row>
    <row r="32" spans="1:109">
      <c r="A32" s="1652">
        <v>5</v>
      </c>
      <c r="B32" s="1652">
        <v>5</v>
      </c>
      <c r="C32" s="1681" t="s">
        <v>520</v>
      </c>
      <c r="D32" s="2003">
        <v>451</v>
      </c>
      <c r="E32" s="2033">
        <f>SUM(Таблица66[[#This Row],[v3]:[v5]])</f>
        <v>122.85300000000001</v>
      </c>
      <c r="F32" s="2034"/>
      <c r="G32" s="2034">
        <f>'6'!G40</f>
        <v>0</v>
      </c>
      <c r="H32" s="2034">
        <f>'6'!H40</f>
        <v>102.998</v>
      </c>
      <c r="I32" s="2034">
        <f>'6'!I40</f>
        <v>19.855</v>
      </c>
      <c r="J32" s="2034"/>
      <c r="K32" s="2034"/>
      <c r="L32" s="2033">
        <f>SUM(Таблица66[[#This Row],[v10]:[v12]])</f>
        <v>1268.729</v>
      </c>
      <c r="M32" s="2034"/>
      <c r="N32" s="2034">
        <f>'6'!N40</f>
        <v>0</v>
      </c>
      <c r="O32" s="2034">
        <f>'6'!O40</f>
        <v>1099.5450000000001</v>
      </c>
      <c r="P32" s="2034">
        <f>'6'!P40</f>
        <v>169.184</v>
      </c>
      <c r="Q32" s="2034"/>
      <c r="R32" s="2034"/>
      <c r="S32" s="2033">
        <v>0</v>
      </c>
      <c r="T32" s="2034"/>
      <c r="U32" s="2034"/>
      <c r="V32" s="2034"/>
      <c r="W32" s="2034"/>
      <c r="X32" s="2034"/>
      <c r="Y32" s="2034"/>
      <c r="Z32" s="2033">
        <v>0</v>
      </c>
      <c r="AA32" s="2034"/>
      <c r="AB32" s="2034"/>
      <c r="AC32" s="2034"/>
      <c r="AD32" s="2034"/>
      <c r="AE32" s="2034"/>
      <c r="AF32" s="2034"/>
      <c r="AG32" s="2030">
        <v>0</v>
      </c>
      <c r="AH32" s="2034"/>
      <c r="AI32" s="2034"/>
      <c r="AJ32" s="2034"/>
      <c r="AK32" s="2034"/>
      <c r="AL32" s="2034"/>
      <c r="AM32" s="2034"/>
      <c r="AN32" s="2031">
        <v>0</v>
      </c>
      <c r="AO32" s="2034"/>
      <c r="AP32" s="2034"/>
      <c r="AQ32" s="2034"/>
      <c r="AR32" s="2034"/>
      <c r="AS32" s="2034"/>
      <c r="AT32" s="2034"/>
      <c r="AU32" s="2031">
        <v>0</v>
      </c>
      <c r="AV32" s="2034"/>
      <c r="AW32" s="2034"/>
      <c r="AX32" s="2034"/>
      <c r="AY32" s="2034"/>
      <c r="AZ32" s="2034"/>
      <c r="BA32" s="2034"/>
      <c r="BB32" s="2031">
        <v>0</v>
      </c>
      <c r="BC32" s="2034"/>
      <c r="BD32" s="2034"/>
      <c r="BE32" s="2034"/>
      <c r="BF32" s="2034"/>
      <c r="BG32" s="2034"/>
      <c r="BH32" s="2034"/>
      <c r="BI32" s="2031">
        <v>0</v>
      </c>
      <c r="BJ32" s="2034"/>
      <c r="BK32" s="2034"/>
      <c r="BL32" s="2034"/>
      <c r="BM32" s="2034"/>
      <c r="BN32" s="2034"/>
      <c r="BO32" s="2034"/>
      <c r="BP32" s="2031">
        <v>0</v>
      </c>
      <c r="BQ32" s="2034"/>
      <c r="BR32" s="2034"/>
      <c r="BS32" s="2034"/>
      <c r="BT32" s="2034"/>
      <c r="BU32" s="2034"/>
      <c r="BV32" s="2034"/>
      <c r="BW32" s="2031">
        <v>0</v>
      </c>
      <c r="BX32" s="2034"/>
      <c r="BY32" s="2034"/>
      <c r="BZ32" s="2034"/>
      <c r="CA32" s="2034"/>
      <c r="CB32" s="2034"/>
      <c r="CC32" s="2034"/>
      <c r="CD32" s="2031">
        <v>0</v>
      </c>
      <c r="CE32" s="2034"/>
      <c r="CF32" s="2034"/>
      <c r="CG32" s="2034"/>
      <c r="CH32" s="2034"/>
      <c r="CI32" s="2034"/>
      <c r="CJ32" s="2034"/>
      <c r="CK32" s="2031">
        <v>0</v>
      </c>
      <c r="CL32" s="2034"/>
      <c r="CM32" s="2034"/>
      <c r="CN32" s="2034"/>
      <c r="CO32" s="2034"/>
      <c r="CP32" s="2034"/>
      <c r="CQ32" s="2034"/>
      <c r="CR32" s="2031">
        <v>0</v>
      </c>
      <c r="CS32" s="2034"/>
      <c r="CT32" s="2034"/>
      <c r="CU32" s="2034"/>
      <c r="CV32" s="2034"/>
      <c r="CW32" s="2034"/>
      <c r="CX32" s="2034"/>
      <c r="CY32" s="2031">
        <v>0</v>
      </c>
      <c r="CZ32" s="2034"/>
      <c r="DA32" s="2034"/>
      <c r="DB32" s="2034"/>
      <c r="DC32" s="2034"/>
      <c r="DD32" s="2034"/>
      <c r="DE32" s="2034"/>
    </row>
    <row r="33" spans="1:109">
      <c r="A33" s="1652">
        <v>6</v>
      </c>
      <c r="B33" s="1652">
        <v>5</v>
      </c>
      <c r="C33" s="1681" t="s">
        <v>521</v>
      </c>
      <c r="D33" s="2003">
        <v>461</v>
      </c>
      <c r="E33" s="2033">
        <f>SUM(Таблица66[[#This Row],[v3]:[v5]])</f>
        <v>4162.308</v>
      </c>
      <c r="F33" s="2034"/>
      <c r="G33" s="2034">
        <f>'6'!G41</f>
        <v>0</v>
      </c>
      <c r="H33" s="2034">
        <f>'6'!H41</f>
        <v>1166.971</v>
      </c>
      <c r="I33" s="2034">
        <f>'6'!I41</f>
        <v>2995.337</v>
      </c>
      <c r="J33" s="2034"/>
      <c r="K33" s="2034"/>
      <c r="L33" s="2033">
        <f>SUM(Таблица66[[#This Row],[v10]:[v12]])</f>
        <v>39815.281000000003</v>
      </c>
      <c r="M33" s="2034"/>
      <c r="N33" s="2034">
        <f>'6'!N41</f>
        <v>0</v>
      </c>
      <c r="O33" s="2034">
        <f>'6'!O41</f>
        <v>11647.897000000001</v>
      </c>
      <c r="P33" s="2034">
        <f>'6'!P41</f>
        <v>28167.383999999998</v>
      </c>
      <c r="Q33" s="2034"/>
      <c r="R33" s="2034"/>
      <c r="S33" s="2033">
        <f>SUM(Таблица66[[#This Row],[v18]:[v19]])</f>
        <v>295.92699999999996</v>
      </c>
      <c r="T33" s="2034"/>
      <c r="U33" s="2034"/>
      <c r="V33" s="2034">
        <f>'6'!V41</f>
        <v>292.86599999999999</v>
      </c>
      <c r="W33" s="2034">
        <f>'6'!W41</f>
        <v>3.0609999999999999</v>
      </c>
      <c r="X33" s="2034"/>
      <c r="Y33" s="2034"/>
      <c r="Z33" s="2033">
        <f>SUM(Таблица66[[#This Row],[V25]:[V26]])</f>
        <v>2783.4780800000003</v>
      </c>
      <c r="AA33" s="2034"/>
      <c r="AB33" s="2034"/>
      <c r="AC33" s="2034">
        <f>'6'!AC41</f>
        <v>2754.2478200000005</v>
      </c>
      <c r="AD33" s="2034">
        <f>'6'!AD41</f>
        <v>29.230260000000001</v>
      </c>
      <c r="AE33" s="2034"/>
      <c r="AF33" s="2034"/>
      <c r="AG33" s="2030">
        <v>0</v>
      </c>
      <c r="AH33" s="2034"/>
      <c r="AI33" s="2034"/>
      <c r="AJ33" s="2034"/>
      <c r="AK33" s="2034"/>
      <c r="AL33" s="2034"/>
      <c r="AM33" s="2034"/>
      <c r="AN33" s="2031">
        <v>0</v>
      </c>
      <c r="AO33" s="2034"/>
      <c r="AP33" s="2034"/>
      <c r="AQ33" s="2034"/>
      <c r="AR33" s="2034"/>
      <c r="AS33" s="2034"/>
      <c r="AT33" s="2034"/>
      <c r="AU33" s="2031">
        <v>0</v>
      </c>
      <c r="AV33" s="2034"/>
      <c r="AW33" s="2034"/>
      <c r="AX33" s="2034"/>
      <c r="AY33" s="2034"/>
      <c r="AZ33" s="2034"/>
      <c r="BA33" s="2034"/>
      <c r="BB33" s="2031">
        <v>0</v>
      </c>
      <c r="BC33" s="2034"/>
      <c r="BD33" s="2034"/>
      <c r="BE33" s="2034"/>
      <c r="BF33" s="2034"/>
      <c r="BG33" s="2034"/>
      <c r="BH33" s="2034"/>
      <c r="BI33" s="2031">
        <v>0</v>
      </c>
      <c r="BJ33" s="2034"/>
      <c r="BK33" s="2034"/>
      <c r="BL33" s="2034"/>
      <c r="BM33" s="2034"/>
      <c r="BN33" s="2034"/>
      <c r="BO33" s="2034"/>
      <c r="BP33" s="2031">
        <v>0</v>
      </c>
      <c r="BQ33" s="2034"/>
      <c r="BR33" s="2034"/>
      <c r="BS33" s="2034"/>
      <c r="BT33" s="2034"/>
      <c r="BU33" s="2034"/>
      <c r="BV33" s="2034"/>
      <c r="BW33" s="2031">
        <v>0</v>
      </c>
      <c r="BX33" s="2034"/>
      <c r="BY33" s="2034"/>
      <c r="BZ33" s="2034"/>
      <c r="CA33" s="2034"/>
      <c r="CB33" s="2034"/>
      <c r="CC33" s="2034"/>
      <c r="CD33" s="2031">
        <v>0</v>
      </c>
      <c r="CE33" s="2034"/>
      <c r="CF33" s="2034"/>
      <c r="CG33" s="2034"/>
      <c r="CH33" s="2034"/>
      <c r="CI33" s="2034"/>
      <c r="CJ33" s="2034"/>
      <c r="CK33" s="2031">
        <v>0</v>
      </c>
      <c r="CL33" s="2034"/>
      <c r="CM33" s="2034"/>
      <c r="CN33" s="2034"/>
      <c r="CO33" s="2034"/>
      <c r="CP33" s="2034"/>
      <c r="CQ33" s="2034"/>
      <c r="CR33" s="2031">
        <v>0</v>
      </c>
      <c r="CS33" s="2034"/>
      <c r="CT33" s="2034"/>
      <c r="CU33" s="2034"/>
      <c r="CV33" s="2034"/>
      <c r="CW33" s="2034"/>
      <c r="CX33" s="2034"/>
      <c r="CY33" s="2031">
        <v>0</v>
      </c>
      <c r="CZ33" s="2034"/>
      <c r="DA33" s="2034"/>
      <c r="DB33" s="2034"/>
      <c r="DC33" s="2034"/>
      <c r="DD33" s="2034"/>
      <c r="DE33" s="2034"/>
    </row>
    <row r="34" spans="1:109">
      <c r="A34" s="1652">
        <v>7</v>
      </c>
      <c r="B34" s="1652">
        <v>5</v>
      </c>
      <c r="C34" s="1681" t="s">
        <v>522</v>
      </c>
      <c r="D34" s="2003">
        <v>471</v>
      </c>
      <c r="E34" s="2033">
        <f>SUM(Таблица66[[#This Row],[v3]:[v5]])</f>
        <v>1451.1590000000001</v>
      </c>
      <c r="F34" s="2034"/>
      <c r="G34" s="2034">
        <f>'6'!G42</f>
        <v>0</v>
      </c>
      <c r="H34" s="2034">
        <f>'6'!H42</f>
        <v>1252.8330000000001</v>
      </c>
      <c r="I34" s="2034">
        <f>'6'!I42</f>
        <v>198.32599999999999</v>
      </c>
      <c r="J34" s="2034"/>
      <c r="K34" s="2034"/>
      <c r="L34" s="2033">
        <f>SUM(Таблица66[[#This Row],[v10]:[v12]])</f>
        <v>13715.712</v>
      </c>
      <c r="M34" s="2034"/>
      <c r="N34" s="2034">
        <f>'6'!N42</f>
        <v>0</v>
      </c>
      <c r="O34" s="2034">
        <f>'6'!O42</f>
        <v>12515.981</v>
      </c>
      <c r="P34" s="2034">
        <f>'6'!P42</f>
        <v>1199.731</v>
      </c>
      <c r="Q34" s="2034"/>
      <c r="R34" s="2034"/>
      <c r="S34" s="2033">
        <v>0</v>
      </c>
      <c r="T34" s="2034"/>
      <c r="U34" s="2034"/>
      <c r="V34" s="2034"/>
      <c r="W34" s="2034"/>
      <c r="X34" s="2034"/>
      <c r="Y34" s="2034"/>
      <c r="Z34" s="2033">
        <v>0</v>
      </c>
      <c r="AA34" s="2034"/>
      <c r="AB34" s="2034"/>
      <c r="AC34" s="2034"/>
      <c r="AD34" s="2034"/>
      <c r="AE34" s="2034"/>
      <c r="AF34" s="2034"/>
      <c r="AG34" s="2030">
        <v>0</v>
      </c>
      <c r="AH34" s="2034"/>
      <c r="AI34" s="2034"/>
      <c r="AJ34" s="2034"/>
      <c r="AK34" s="2034"/>
      <c r="AL34" s="2034"/>
      <c r="AM34" s="2034"/>
      <c r="AN34" s="2031">
        <v>0</v>
      </c>
      <c r="AO34" s="2034"/>
      <c r="AP34" s="2034"/>
      <c r="AQ34" s="2034"/>
      <c r="AR34" s="2034"/>
      <c r="AS34" s="2034"/>
      <c r="AT34" s="2034"/>
      <c r="AU34" s="2031">
        <v>0</v>
      </c>
      <c r="AV34" s="2034"/>
      <c r="AW34" s="2034"/>
      <c r="AX34" s="2034"/>
      <c r="AY34" s="2034"/>
      <c r="AZ34" s="2034"/>
      <c r="BA34" s="2034"/>
      <c r="BB34" s="2031">
        <v>0</v>
      </c>
      <c r="BC34" s="2034"/>
      <c r="BD34" s="2034"/>
      <c r="BE34" s="2034"/>
      <c r="BF34" s="2034"/>
      <c r="BG34" s="2034"/>
      <c r="BH34" s="2034"/>
      <c r="BI34" s="2031">
        <v>0</v>
      </c>
      <c r="BJ34" s="2034"/>
      <c r="BK34" s="2034"/>
      <c r="BL34" s="2034"/>
      <c r="BM34" s="2034"/>
      <c r="BN34" s="2034"/>
      <c r="BO34" s="2034"/>
      <c r="BP34" s="2031">
        <v>0</v>
      </c>
      <c r="BQ34" s="2034"/>
      <c r="BR34" s="2034"/>
      <c r="BS34" s="2034"/>
      <c r="BT34" s="2034"/>
      <c r="BU34" s="2034"/>
      <c r="BV34" s="2034"/>
      <c r="BW34" s="2031">
        <v>0</v>
      </c>
      <c r="BX34" s="2034"/>
      <c r="BY34" s="2034"/>
      <c r="BZ34" s="2034"/>
      <c r="CA34" s="2034"/>
      <c r="CB34" s="2034"/>
      <c r="CC34" s="2034"/>
      <c r="CD34" s="2031">
        <v>0</v>
      </c>
      <c r="CE34" s="2034"/>
      <c r="CF34" s="2034"/>
      <c r="CG34" s="2034"/>
      <c r="CH34" s="2034"/>
      <c r="CI34" s="2034"/>
      <c r="CJ34" s="2034"/>
      <c r="CK34" s="2031">
        <v>0</v>
      </c>
      <c r="CL34" s="2034"/>
      <c r="CM34" s="2034"/>
      <c r="CN34" s="2034"/>
      <c r="CO34" s="2034"/>
      <c r="CP34" s="2034"/>
      <c r="CQ34" s="2034"/>
      <c r="CR34" s="2031">
        <v>0</v>
      </c>
      <c r="CS34" s="2034"/>
      <c r="CT34" s="2034"/>
      <c r="CU34" s="2034"/>
      <c r="CV34" s="2034"/>
      <c r="CW34" s="2034"/>
      <c r="CX34" s="2034"/>
      <c r="CY34" s="2031">
        <v>0</v>
      </c>
      <c r="CZ34" s="2034"/>
      <c r="DA34" s="2034"/>
      <c r="DB34" s="2034"/>
      <c r="DC34" s="2034"/>
      <c r="DD34" s="2034"/>
      <c r="DE34" s="2034"/>
    </row>
    <row r="35" spans="1:109" ht="38.25">
      <c r="A35" s="1652">
        <v>8</v>
      </c>
      <c r="B35" s="1652">
        <v>0</v>
      </c>
      <c r="C35" s="1679" t="s">
        <v>1982</v>
      </c>
      <c r="D35" s="1680">
        <v>500</v>
      </c>
      <c r="E35" s="2033">
        <f>SUM(Таблица66[[#This Row],[v3]:[v5]])</f>
        <v>1788.328</v>
      </c>
      <c r="F35" s="2031"/>
      <c r="G35" s="2033">
        <f>'6'!G43</f>
        <v>160.94952000000001</v>
      </c>
      <c r="H35" s="2033">
        <f>'6'!H43</f>
        <v>608.03152</v>
      </c>
      <c r="I35" s="2033">
        <f>'6'!I43</f>
        <v>1019.34696</v>
      </c>
      <c r="J35" s="2031"/>
      <c r="K35" s="2031"/>
      <c r="L35" s="2033">
        <f>SUM(Таблица66[[#This Row],[v10]:[v12]])</f>
        <v>7063.84195</v>
      </c>
      <c r="M35" s="2031"/>
      <c r="N35" s="2033">
        <f>'6'!N43</f>
        <v>635.74578000000008</v>
      </c>
      <c r="O35" s="2033">
        <f>'6'!O43</f>
        <v>2401.7062599999999</v>
      </c>
      <c r="P35" s="2033">
        <f>'6'!P43</f>
        <v>4026.3899100000003</v>
      </c>
      <c r="Q35" s="2031"/>
      <c r="R35" s="2031"/>
      <c r="S35" s="2033">
        <v>0</v>
      </c>
      <c r="T35" s="2031"/>
      <c r="U35" s="2033"/>
      <c r="V35" s="2033"/>
      <c r="W35" s="2033"/>
      <c r="X35" s="2031"/>
      <c r="Y35" s="2031"/>
      <c r="Z35" s="2033">
        <v>0</v>
      </c>
      <c r="AA35" s="2031"/>
      <c r="AB35" s="2033"/>
      <c r="AC35" s="2033"/>
      <c r="AD35" s="2033"/>
      <c r="AE35" s="2031"/>
      <c r="AF35" s="2031"/>
      <c r="AG35" s="2031">
        <v>0</v>
      </c>
      <c r="AH35" s="2031"/>
      <c r="AI35" s="2033"/>
      <c r="AJ35" s="2033"/>
      <c r="AK35" s="2033"/>
      <c r="AL35" s="2031"/>
      <c r="AM35" s="2031"/>
      <c r="AN35" s="2031">
        <v>0</v>
      </c>
      <c r="AO35" s="2031"/>
      <c r="AP35" s="2033"/>
      <c r="AQ35" s="2033"/>
      <c r="AR35" s="2033"/>
      <c r="AS35" s="2031"/>
      <c r="AT35" s="2031"/>
      <c r="AU35" s="2031">
        <v>0</v>
      </c>
      <c r="AV35" s="2031"/>
      <c r="AW35" s="2033"/>
      <c r="AX35" s="2033"/>
      <c r="AY35" s="2033"/>
      <c r="AZ35" s="2031"/>
      <c r="BA35" s="2031"/>
      <c r="BB35" s="2031">
        <v>0</v>
      </c>
      <c r="BC35" s="2031"/>
      <c r="BD35" s="2033"/>
      <c r="BE35" s="2033"/>
      <c r="BF35" s="2033"/>
      <c r="BG35" s="2031"/>
      <c r="BH35" s="2031"/>
      <c r="BI35" s="2031">
        <v>0</v>
      </c>
      <c r="BJ35" s="2033"/>
      <c r="BK35" s="2033"/>
      <c r="BL35" s="2033"/>
      <c r="BM35" s="2031"/>
      <c r="BN35" s="2031"/>
      <c r="BO35" s="2031"/>
      <c r="BP35" s="2031">
        <v>0</v>
      </c>
      <c r="BQ35" s="2031"/>
      <c r="BR35" s="2033"/>
      <c r="BS35" s="2033"/>
      <c r="BT35" s="2033"/>
      <c r="BU35" s="2031"/>
      <c r="BV35" s="2031"/>
      <c r="BW35" s="2031">
        <v>0</v>
      </c>
      <c r="BX35" s="2031"/>
      <c r="BY35" s="2033"/>
      <c r="BZ35" s="2033"/>
      <c r="CA35" s="2033"/>
      <c r="CB35" s="2031"/>
      <c r="CC35" s="2031"/>
      <c r="CD35" s="2031">
        <v>0</v>
      </c>
      <c r="CE35" s="2031"/>
      <c r="CF35" s="2033"/>
      <c r="CG35" s="2033"/>
      <c r="CH35" s="2033"/>
      <c r="CI35" s="2031"/>
      <c r="CJ35" s="2031"/>
      <c r="CK35" s="2031">
        <v>0</v>
      </c>
      <c r="CL35" s="2031"/>
      <c r="CM35" s="2033"/>
      <c r="CN35" s="2033"/>
      <c r="CO35" s="2033"/>
      <c r="CP35" s="2031"/>
      <c r="CQ35" s="2031"/>
      <c r="CR35" s="2031">
        <v>0</v>
      </c>
      <c r="CS35" s="2031"/>
      <c r="CT35" s="2033"/>
      <c r="CU35" s="2033"/>
      <c r="CV35" s="2033"/>
      <c r="CW35" s="2031"/>
      <c r="CX35" s="2031"/>
      <c r="CY35" s="2031">
        <v>0</v>
      </c>
      <c r="CZ35" s="2031"/>
      <c r="DA35" s="2033"/>
      <c r="DB35" s="2033"/>
      <c r="DC35" s="2033"/>
      <c r="DD35" s="2031"/>
      <c r="DE35" s="2031"/>
    </row>
    <row r="36" spans="1:109" ht="89.25" customHeight="1">
      <c r="A36" s="1652">
        <v>9</v>
      </c>
      <c r="B36" s="1652">
        <v>14</v>
      </c>
      <c r="C36" s="1679" t="s">
        <v>1983</v>
      </c>
      <c r="D36" s="1680">
        <v>600</v>
      </c>
      <c r="E36" s="2031"/>
      <c r="F36" s="2031"/>
      <c r="G36" s="2031"/>
      <c r="H36" s="2031"/>
      <c r="I36" s="2031"/>
      <c r="J36" s="2031"/>
      <c r="K36" s="2031"/>
      <c r="L36" s="2031"/>
      <c r="M36" s="2031"/>
      <c r="N36" s="2031"/>
      <c r="O36" s="2031"/>
      <c r="P36" s="2031"/>
      <c r="Q36" s="2031"/>
      <c r="R36" s="2031"/>
      <c r="S36" s="2031"/>
      <c r="T36" s="2031"/>
      <c r="U36" s="2031"/>
      <c r="V36" s="2031"/>
      <c r="W36" s="2031"/>
      <c r="X36" s="2031"/>
      <c r="Y36" s="2031"/>
      <c r="Z36" s="2031"/>
      <c r="AA36" s="2031"/>
      <c r="AB36" s="2031"/>
      <c r="AC36" s="2031"/>
      <c r="AD36" s="2031"/>
      <c r="AE36" s="2031"/>
      <c r="AF36" s="2031"/>
      <c r="AG36" s="2031"/>
      <c r="AH36" s="2031"/>
      <c r="AI36" s="2031"/>
      <c r="AJ36" s="2031"/>
      <c r="AK36" s="2031"/>
      <c r="AL36" s="2031"/>
      <c r="AM36" s="2031"/>
      <c r="AN36" s="2031"/>
      <c r="AO36" s="2031"/>
      <c r="AP36" s="2031"/>
      <c r="AQ36" s="2031"/>
      <c r="AR36" s="2031"/>
      <c r="AS36" s="2031"/>
      <c r="AT36" s="2031"/>
      <c r="AU36" s="2031"/>
      <c r="AV36" s="2031"/>
      <c r="AW36" s="2031"/>
      <c r="AX36" s="2031"/>
      <c r="AY36" s="2031"/>
      <c r="AZ36" s="2031"/>
      <c r="BA36" s="2031"/>
      <c r="BB36" s="2031"/>
      <c r="BC36" s="2031"/>
      <c r="BD36" s="2031"/>
      <c r="BE36" s="2031"/>
      <c r="BF36" s="2031"/>
      <c r="BG36" s="2031"/>
      <c r="BH36" s="2031"/>
      <c r="BI36" s="2031"/>
      <c r="BJ36" s="2031"/>
      <c r="BK36" s="2031"/>
      <c r="BL36" s="2031"/>
      <c r="BM36" s="2031"/>
      <c r="BN36" s="2031"/>
      <c r="BO36" s="2031"/>
      <c r="BP36" s="2031"/>
      <c r="BQ36" s="2031"/>
      <c r="BR36" s="2031"/>
      <c r="BS36" s="2031"/>
      <c r="BT36" s="2031"/>
      <c r="BU36" s="2031"/>
      <c r="BV36" s="2031"/>
      <c r="BW36" s="2031"/>
      <c r="BX36" s="2031"/>
      <c r="BY36" s="2031"/>
      <c r="BZ36" s="2031"/>
      <c r="CA36" s="2031"/>
      <c r="CB36" s="2031"/>
      <c r="CC36" s="2031"/>
      <c r="CD36" s="2031"/>
      <c r="CE36" s="2031"/>
      <c r="CF36" s="2031"/>
      <c r="CG36" s="2031"/>
      <c r="CH36" s="2031"/>
      <c r="CI36" s="2031"/>
      <c r="CJ36" s="2031"/>
      <c r="CK36" s="2031"/>
      <c r="CL36" s="2031"/>
      <c r="CM36" s="2031"/>
      <c r="CN36" s="2031"/>
      <c r="CO36" s="2031"/>
      <c r="CP36" s="2031"/>
      <c r="CQ36" s="2031"/>
      <c r="CR36" s="2031"/>
      <c r="CS36" s="2031"/>
      <c r="CT36" s="2031"/>
      <c r="CU36" s="2031"/>
      <c r="CV36" s="2031"/>
      <c r="CW36" s="2031"/>
      <c r="CX36" s="2031"/>
      <c r="CY36" s="2031"/>
      <c r="CZ36" s="2031"/>
      <c r="DA36" s="2031"/>
      <c r="DB36" s="2031"/>
      <c r="DC36" s="2031"/>
      <c r="DD36" s="2031"/>
      <c r="DE36" s="2031"/>
    </row>
    <row r="37" spans="1:109">
      <c r="A37" s="1652">
        <v>1</v>
      </c>
      <c r="B37" s="1652">
        <v>14</v>
      </c>
      <c r="C37" s="1681" t="s">
        <v>516</v>
      </c>
      <c r="D37" s="2003">
        <v>611</v>
      </c>
      <c r="E37" s="2031"/>
      <c r="F37" s="2035"/>
      <c r="G37" s="2035"/>
      <c r="H37" s="2035"/>
      <c r="I37" s="2035"/>
      <c r="J37" s="2035"/>
      <c r="K37" s="2035"/>
      <c r="L37" s="2031"/>
      <c r="M37" s="2035"/>
      <c r="N37" s="2035"/>
      <c r="O37" s="2035"/>
      <c r="P37" s="2035"/>
      <c r="Q37" s="2035"/>
      <c r="R37" s="2035"/>
      <c r="S37" s="2031"/>
      <c r="T37" s="2035"/>
      <c r="U37" s="2035"/>
      <c r="V37" s="2035"/>
      <c r="W37" s="2035"/>
      <c r="X37" s="2035"/>
      <c r="Y37" s="2035"/>
      <c r="Z37" s="2031"/>
      <c r="AA37" s="2035"/>
      <c r="AB37" s="2035"/>
      <c r="AC37" s="2035"/>
      <c r="AD37" s="2035"/>
      <c r="AE37" s="2035"/>
      <c r="AF37" s="2035"/>
      <c r="AG37" s="2031"/>
      <c r="AH37" s="2035"/>
      <c r="AI37" s="2035"/>
      <c r="AJ37" s="2035"/>
      <c r="AK37" s="2035"/>
      <c r="AL37" s="2035"/>
      <c r="AM37" s="2035"/>
      <c r="AN37" s="2031"/>
      <c r="AO37" s="2035"/>
      <c r="AP37" s="2035"/>
      <c r="AQ37" s="2035"/>
      <c r="AR37" s="2035"/>
      <c r="AS37" s="2035"/>
      <c r="AT37" s="2035"/>
      <c r="AU37" s="2031"/>
      <c r="AV37" s="2035"/>
      <c r="AW37" s="2035"/>
      <c r="AX37" s="2035"/>
      <c r="AY37" s="2035"/>
      <c r="AZ37" s="2035"/>
      <c r="BA37" s="2035"/>
      <c r="BB37" s="2031"/>
      <c r="BC37" s="2035"/>
      <c r="BD37" s="2035"/>
      <c r="BE37" s="2035"/>
      <c r="BF37" s="2035"/>
      <c r="BG37" s="2035"/>
      <c r="BH37" s="2035"/>
      <c r="BI37" s="2031"/>
      <c r="BJ37" s="2035"/>
      <c r="BK37" s="2035"/>
      <c r="BL37" s="2035"/>
      <c r="BM37" s="2035"/>
      <c r="BN37" s="2035"/>
      <c r="BO37" s="2035"/>
      <c r="BP37" s="2031"/>
      <c r="BQ37" s="2035"/>
      <c r="BR37" s="2035"/>
      <c r="BS37" s="2035"/>
      <c r="BT37" s="2035"/>
      <c r="BU37" s="2035"/>
      <c r="BV37" s="2035"/>
      <c r="BW37" s="2031"/>
      <c r="BX37" s="2035"/>
      <c r="BY37" s="2035"/>
      <c r="BZ37" s="2035"/>
      <c r="CA37" s="2035"/>
      <c r="CB37" s="2035"/>
      <c r="CC37" s="2035"/>
      <c r="CD37" s="2031"/>
      <c r="CE37" s="2035"/>
      <c r="CF37" s="2035"/>
      <c r="CG37" s="2035"/>
      <c r="CH37" s="2035"/>
      <c r="CI37" s="2035"/>
      <c r="CJ37" s="2035"/>
      <c r="CK37" s="2031"/>
      <c r="CL37" s="2035"/>
      <c r="CM37" s="2035"/>
      <c r="CN37" s="2035"/>
      <c r="CO37" s="2035"/>
      <c r="CP37" s="2035"/>
      <c r="CQ37" s="2035"/>
      <c r="CR37" s="2031"/>
      <c r="CS37" s="2035"/>
      <c r="CT37" s="2035"/>
      <c r="CU37" s="2035"/>
      <c r="CV37" s="2035"/>
      <c r="CW37" s="2035"/>
      <c r="CX37" s="2035"/>
      <c r="CY37" s="2031"/>
      <c r="CZ37" s="2035"/>
      <c r="DA37" s="2035"/>
      <c r="DB37" s="2035"/>
      <c r="DC37" s="2035"/>
      <c r="DD37" s="2035"/>
      <c r="DE37" s="2035"/>
    </row>
    <row r="38" spans="1:109">
      <c r="A38" s="1652">
        <v>2</v>
      </c>
      <c r="B38" s="1652">
        <v>14</v>
      </c>
      <c r="C38" s="1681" t="s">
        <v>517</v>
      </c>
      <c r="D38" s="2003">
        <v>621</v>
      </c>
      <c r="E38" s="2031"/>
      <c r="F38" s="2035"/>
      <c r="G38" s="2035"/>
      <c r="H38" s="2035"/>
      <c r="I38" s="2035"/>
      <c r="J38" s="2035"/>
      <c r="K38" s="2035"/>
      <c r="L38" s="2031"/>
      <c r="M38" s="2035"/>
      <c r="N38" s="2035"/>
      <c r="O38" s="2035"/>
      <c r="P38" s="2035"/>
      <c r="Q38" s="2035"/>
      <c r="R38" s="2035"/>
      <c r="S38" s="2031"/>
      <c r="T38" s="2035"/>
      <c r="U38" s="2035"/>
      <c r="V38" s="2035"/>
      <c r="W38" s="2035"/>
      <c r="X38" s="2035"/>
      <c r="Y38" s="2035"/>
      <c r="Z38" s="2031"/>
      <c r="AA38" s="2035"/>
      <c r="AB38" s="2035"/>
      <c r="AC38" s="2035"/>
      <c r="AD38" s="2035"/>
      <c r="AE38" s="2035"/>
      <c r="AF38" s="2035"/>
      <c r="AG38" s="2031"/>
      <c r="AH38" s="2035"/>
      <c r="AI38" s="2035"/>
      <c r="AJ38" s="2035"/>
      <c r="AK38" s="2035"/>
      <c r="AL38" s="2035"/>
      <c r="AM38" s="2035"/>
      <c r="AN38" s="2031"/>
      <c r="AO38" s="2035"/>
      <c r="AP38" s="2035"/>
      <c r="AQ38" s="2035"/>
      <c r="AR38" s="2035"/>
      <c r="AS38" s="2035"/>
      <c r="AT38" s="2035"/>
      <c r="AU38" s="2031"/>
      <c r="AV38" s="2035"/>
      <c r="AW38" s="2035"/>
      <c r="AX38" s="2035"/>
      <c r="AY38" s="2035"/>
      <c r="AZ38" s="2035"/>
      <c r="BA38" s="2035"/>
      <c r="BB38" s="2031"/>
      <c r="BC38" s="2035"/>
      <c r="BD38" s="2035"/>
      <c r="BE38" s="2035"/>
      <c r="BF38" s="2035"/>
      <c r="BG38" s="2035"/>
      <c r="BH38" s="2035"/>
      <c r="BI38" s="2031"/>
      <c r="BJ38" s="2035"/>
      <c r="BK38" s="2035"/>
      <c r="BL38" s="2035"/>
      <c r="BM38" s="2035"/>
      <c r="BN38" s="2035"/>
      <c r="BO38" s="2035"/>
      <c r="BP38" s="2031"/>
      <c r="BQ38" s="2035"/>
      <c r="BR38" s="2035"/>
      <c r="BS38" s="2035"/>
      <c r="BT38" s="2035"/>
      <c r="BU38" s="2035"/>
      <c r="BV38" s="2035"/>
      <c r="BW38" s="2031"/>
      <c r="BX38" s="2035"/>
      <c r="BY38" s="2035"/>
      <c r="BZ38" s="2035"/>
      <c r="CA38" s="2035"/>
      <c r="CB38" s="2035"/>
      <c r="CC38" s="2035"/>
      <c r="CD38" s="2031"/>
      <c r="CE38" s="2035"/>
      <c r="CF38" s="2035"/>
      <c r="CG38" s="2035"/>
      <c r="CH38" s="2035"/>
      <c r="CI38" s="2035"/>
      <c r="CJ38" s="2035"/>
      <c r="CK38" s="2031"/>
      <c r="CL38" s="2035"/>
      <c r="CM38" s="2035"/>
      <c r="CN38" s="2035"/>
      <c r="CO38" s="2035"/>
      <c r="CP38" s="2035"/>
      <c r="CQ38" s="2035"/>
      <c r="CR38" s="2031"/>
      <c r="CS38" s="2035"/>
      <c r="CT38" s="2035"/>
      <c r="CU38" s="2035"/>
      <c r="CV38" s="2035"/>
      <c r="CW38" s="2035"/>
      <c r="CX38" s="2035"/>
      <c r="CY38" s="2031"/>
      <c r="CZ38" s="2035"/>
      <c r="DA38" s="2035"/>
      <c r="DB38" s="2035"/>
      <c r="DC38" s="2035"/>
      <c r="DD38" s="2035"/>
      <c r="DE38" s="2035"/>
    </row>
    <row r="39" spans="1:109">
      <c r="A39" s="1652">
        <v>3</v>
      </c>
      <c r="B39" s="1652">
        <v>14</v>
      </c>
      <c r="C39" s="1681" t="s">
        <v>518</v>
      </c>
      <c r="D39" s="2003">
        <v>631</v>
      </c>
      <c r="E39" s="2031"/>
      <c r="F39" s="2035"/>
      <c r="G39" s="2035"/>
      <c r="H39" s="2035"/>
      <c r="I39" s="2035"/>
      <c r="J39" s="2035"/>
      <c r="K39" s="2035"/>
      <c r="L39" s="2031"/>
      <c r="M39" s="2035"/>
      <c r="N39" s="2035"/>
      <c r="O39" s="2035"/>
      <c r="P39" s="2035"/>
      <c r="Q39" s="2035"/>
      <c r="R39" s="2035"/>
      <c r="S39" s="2031"/>
      <c r="T39" s="2035"/>
      <c r="U39" s="2035"/>
      <c r="V39" s="2035"/>
      <c r="W39" s="2035"/>
      <c r="X39" s="2035"/>
      <c r="Y39" s="2035"/>
      <c r="Z39" s="2031"/>
      <c r="AA39" s="2035"/>
      <c r="AB39" s="2035"/>
      <c r="AC39" s="2035"/>
      <c r="AD39" s="2035"/>
      <c r="AE39" s="2035"/>
      <c r="AF39" s="2035"/>
      <c r="AG39" s="2031"/>
      <c r="AH39" s="2035"/>
      <c r="AI39" s="2035"/>
      <c r="AJ39" s="2035"/>
      <c r="AK39" s="2035"/>
      <c r="AL39" s="2035"/>
      <c r="AM39" s="2035"/>
      <c r="AN39" s="2031"/>
      <c r="AO39" s="2035"/>
      <c r="AP39" s="2035"/>
      <c r="AQ39" s="2035"/>
      <c r="AR39" s="2035"/>
      <c r="AS39" s="2035"/>
      <c r="AT39" s="2035"/>
      <c r="AU39" s="2031"/>
      <c r="AV39" s="2035"/>
      <c r="AW39" s="2035"/>
      <c r="AX39" s="2035"/>
      <c r="AY39" s="2035"/>
      <c r="AZ39" s="2035"/>
      <c r="BA39" s="2035"/>
      <c r="BB39" s="2031"/>
      <c r="BC39" s="2035"/>
      <c r="BD39" s="2035"/>
      <c r="BE39" s="2035"/>
      <c r="BF39" s="2035"/>
      <c r="BG39" s="2035"/>
      <c r="BH39" s="2035"/>
      <c r="BI39" s="2031"/>
      <c r="BJ39" s="2035"/>
      <c r="BK39" s="2035"/>
      <c r="BL39" s="2035"/>
      <c r="BM39" s="2035"/>
      <c r="BN39" s="2035"/>
      <c r="BO39" s="2035"/>
      <c r="BP39" s="2031"/>
      <c r="BQ39" s="2035"/>
      <c r="BR39" s="2035"/>
      <c r="BS39" s="2035"/>
      <c r="BT39" s="2035"/>
      <c r="BU39" s="2035"/>
      <c r="BV39" s="2035"/>
      <c r="BW39" s="2031"/>
      <c r="BX39" s="2035"/>
      <c r="BY39" s="2035"/>
      <c r="BZ39" s="2035"/>
      <c r="CA39" s="2035"/>
      <c r="CB39" s="2035"/>
      <c r="CC39" s="2035"/>
      <c r="CD39" s="2031"/>
      <c r="CE39" s="2035"/>
      <c r="CF39" s="2035"/>
      <c r="CG39" s="2035"/>
      <c r="CH39" s="2035"/>
      <c r="CI39" s="2035"/>
      <c r="CJ39" s="2035"/>
      <c r="CK39" s="2031"/>
      <c r="CL39" s="2035"/>
      <c r="CM39" s="2035"/>
      <c r="CN39" s="2035"/>
      <c r="CO39" s="2035"/>
      <c r="CP39" s="2035"/>
      <c r="CQ39" s="2035"/>
      <c r="CR39" s="2031"/>
      <c r="CS39" s="2035"/>
      <c r="CT39" s="2035"/>
      <c r="CU39" s="2035"/>
      <c r="CV39" s="2035"/>
      <c r="CW39" s="2035"/>
      <c r="CX39" s="2035"/>
      <c r="CY39" s="2031"/>
      <c r="CZ39" s="2035"/>
      <c r="DA39" s="2035"/>
      <c r="DB39" s="2035"/>
      <c r="DC39" s="2035"/>
      <c r="DD39" s="2035"/>
      <c r="DE39" s="2035"/>
    </row>
    <row r="40" spans="1:109">
      <c r="A40" s="1652">
        <v>4</v>
      </c>
      <c r="B40" s="1652">
        <v>14</v>
      </c>
      <c r="C40" s="1681" t="s">
        <v>519</v>
      </c>
      <c r="D40" s="2003">
        <v>641</v>
      </c>
      <c r="E40" s="2031"/>
      <c r="F40" s="2035"/>
      <c r="G40" s="2035"/>
      <c r="H40" s="2035"/>
      <c r="I40" s="2035"/>
      <c r="J40" s="2035"/>
      <c r="K40" s="2035"/>
      <c r="L40" s="2031"/>
      <c r="M40" s="2035"/>
      <c r="N40" s="2035"/>
      <c r="O40" s="2035"/>
      <c r="P40" s="2035"/>
      <c r="Q40" s="2035"/>
      <c r="R40" s="2035"/>
      <c r="S40" s="2031"/>
      <c r="T40" s="2035"/>
      <c r="U40" s="2035"/>
      <c r="V40" s="2035"/>
      <c r="W40" s="2035"/>
      <c r="X40" s="2035"/>
      <c r="Y40" s="2035"/>
      <c r="Z40" s="2031"/>
      <c r="AA40" s="2035"/>
      <c r="AB40" s="2035"/>
      <c r="AC40" s="2035"/>
      <c r="AD40" s="2035"/>
      <c r="AE40" s="2035"/>
      <c r="AF40" s="2035"/>
      <c r="AG40" s="2031"/>
      <c r="AH40" s="2035"/>
      <c r="AI40" s="2035"/>
      <c r="AJ40" s="2035"/>
      <c r="AK40" s="2035"/>
      <c r="AL40" s="2035"/>
      <c r="AM40" s="2035"/>
      <c r="AN40" s="2031"/>
      <c r="AO40" s="2035"/>
      <c r="AP40" s="2035"/>
      <c r="AQ40" s="2035"/>
      <c r="AR40" s="2035"/>
      <c r="AS40" s="2035"/>
      <c r="AT40" s="2035"/>
      <c r="AU40" s="2031"/>
      <c r="AV40" s="2035"/>
      <c r="AW40" s="2035"/>
      <c r="AX40" s="2035"/>
      <c r="AY40" s="2035"/>
      <c r="AZ40" s="2035"/>
      <c r="BA40" s="2035"/>
      <c r="BB40" s="2031"/>
      <c r="BC40" s="2035"/>
      <c r="BD40" s="2035"/>
      <c r="BE40" s="2035"/>
      <c r="BF40" s="2035"/>
      <c r="BG40" s="2035"/>
      <c r="BH40" s="2035"/>
      <c r="BI40" s="2031"/>
      <c r="BJ40" s="2035"/>
      <c r="BK40" s="2035"/>
      <c r="BL40" s="2035"/>
      <c r="BM40" s="2035"/>
      <c r="BN40" s="2035"/>
      <c r="BO40" s="2035"/>
      <c r="BP40" s="2031"/>
      <c r="BQ40" s="2035"/>
      <c r="BR40" s="2035"/>
      <c r="BS40" s="2035"/>
      <c r="BT40" s="2035"/>
      <c r="BU40" s="2035"/>
      <c r="BV40" s="2035"/>
      <c r="BW40" s="2031"/>
      <c r="BX40" s="2035"/>
      <c r="BY40" s="2035"/>
      <c r="BZ40" s="2035"/>
      <c r="CA40" s="2035"/>
      <c r="CB40" s="2035"/>
      <c r="CC40" s="2035"/>
      <c r="CD40" s="2031"/>
      <c r="CE40" s="2035"/>
      <c r="CF40" s="2035"/>
      <c r="CG40" s="2035"/>
      <c r="CH40" s="2035"/>
      <c r="CI40" s="2035"/>
      <c r="CJ40" s="2035"/>
      <c r="CK40" s="2031"/>
      <c r="CL40" s="2035"/>
      <c r="CM40" s="2035"/>
      <c r="CN40" s="2035"/>
      <c r="CO40" s="2035"/>
      <c r="CP40" s="2035"/>
      <c r="CQ40" s="2035"/>
      <c r="CR40" s="2031"/>
      <c r="CS40" s="2035"/>
      <c r="CT40" s="2035"/>
      <c r="CU40" s="2035"/>
      <c r="CV40" s="2035"/>
      <c r="CW40" s="2035"/>
      <c r="CX40" s="2035"/>
      <c r="CY40" s="2031"/>
      <c r="CZ40" s="2035"/>
      <c r="DA40" s="2035"/>
      <c r="DB40" s="2035"/>
      <c r="DC40" s="2035"/>
      <c r="DD40" s="2035"/>
      <c r="DE40" s="2035"/>
    </row>
    <row r="41" spans="1:109">
      <c r="A41" s="1652">
        <v>5</v>
      </c>
      <c r="B41" s="1652">
        <v>14</v>
      </c>
      <c r="C41" s="1681" t="s">
        <v>520</v>
      </c>
      <c r="D41" s="2003">
        <v>651</v>
      </c>
      <c r="E41" s="2031"/>
      <c r="F41" s="2035"/>
      <c r="G41" s="2035"/>
      <c r="H41" s="2035"/>
      <c r="I41" s="2035"/>
      <c r="J41" s="2035"/>
      <c r="K41" s="2035"/>
      <c r="L41" s="2031"/>
      <c r="M41" s="2035"/>
      <c r="N41" s="2035"/>
      <c r="O41" s="2035"/>
      <c r="P41" s="2035"/>
      <c r="Q41" s="2035"/>
      <c r="R41" s="2035"/>
      <c r="S41" s="2031"/>
      <c r="T41" s="2035"/>
      <c r="U41" s="2035"/>
      <c r="V41" s="2035"/>
      <c r="W41" s="2035"/>
      <c r="X41" s="2035"/>
      <c r="Y41" s="2035"/>
      <c r="Z41" s="2031"/>
      <c r="AA41" s="2035"/>
      <c r="AB41" s="2035"/>
      <c r="AC41" s="2035"/>
      <c r="AD41" s="2035"/>
      <c r="AE41" s="2035"/>
      <c r="AF41" s="2035"/>
      <c r="AG41" s="2031"/>
      <c r="AH41" s="2035"/>
      <c r="AI41" s="2035"/>
      <c r="AJ41" s="2035"/>
      <c r="AK41" s="2035"/>
      <c r="AL41" s="2035"/>
      <c r="AM41" s="2035"/>
      <c r="AN41" s="2031"/>
      <c r="AO41" s="2035"/>
      <c r="AP41" s="2035"/>
      <c r="AQ41" s="2035"/>
      <c r="AR41" s="2035"/>
      <c r="AS41" s="2035"/>
      <c r="AT41" s="2035"/>
      <c r="AU41" s="2031"/>
      <c r="AV41" s="2035"/>
      <c r="AW41" s="2035"/>
      <c r="AX41" s="2035"/>
      <c r="AY41" s="2035"/>
      <c r="AZ41" s="2035"/>
      <c r="BA41" s="2035"/>
      <c r="BB41" s="2031"/>
      <c r="BC41" s="2035"/>
      <c r="BD41" s="2035"/>
      <c r="BE41" s="2035"/>
      <c r="BF41" s="2035"/>
      <c r="BG41" s="2035"/>
      <c r="BH41" s="2035"/>
      <c r="BI41" s="2031"/>
      <c r="BJ41" s="2035"/>
      <c r="BK41" s="2035"/>
      <c r="BL41" s="2035"/>
      <c r="BM41" s="2035"/>
      <c r="BN41" s="2035"/>
      <c r="BO41" s="2035"/>
      <c r="BP41" s="2031"/>
      <c r="BQ41" s="2035"/>
      <c r="BR41" s="2035"/>
      <c r="BS41" s="2035"/>
      <c r="BT41" s="2035"/>
      <c r="BU41" s="2035"/>
      <c r="BV41" s="2035"/>
      <c r="BW41" s="2031"/>
      <c r="BX41" s="2035"/>
      <c r="BY41" s="2035"/>
      <c r="BZ41" s="2035"/>
      <c r="CA41" s="2035"/>
      <c r="CB41" s="2035"/>
      <c r="CC41" s="2035"/>
      <c r="CD41" s="2031"/>
      <c r="CE41" s="2035"/>
      <c r="CF41" s="2035"/>
      <c r="CG41" s="2035"/>
      <c r="CH41" s="2035"/>
      <c r="CI41" s="2035"/>
      <c r="CJ41" s="2035"/>
      <c r="CK41" s="2031"/>
      <c r="CL41" s="2035"/>
      <c r="CM41" s="2035"/>
      <c r="CN41" s="2035"/>
      <c r="CO41" s="2035"/>
      <c r="CP41" s="2035"/>
      <c r="CQ41" s="2035"/>
      <c r="CR41" s="2031"/>
      <c r="CS41" s="2035"/>
      <c r="CT41" s="2035"/>
      <c r="CU41" s="2035"/>
      <c r="CV41" s="2035"/>
      <c r="CW41" s="2035"/>
      <c r="CX41" s="2035"/>
      <c r="CY41" s="2031"/>
      <c r="CZ41" s="2035"/>
      <c r="DA41" s="2035"/>
      <c r="DB41" s="2035"/>
      <c r="DC41" s="2035"/>
      <c r="DD41" s="2035"/>
      <c r="DE41" s="2035"/>
    </row>
    <row r="42" spans="1:109">
      <c r="A42" s="1652">
        <v>6</v>
      </c>
      <c r="B42" s="1652">
        <v>14</v>
      </c>
      <c r="C42" s="1681" t="s">
        <v>521</v>
      </c>
      <c r="D42" s="2003">
        <v>661</v>
      </c>
      <c r="E42" s="2031"/>
      <c r="F42" s="2035"/>
      <c r="G42" s="2035"/>
      <c r="H42" s="2035"/>
      <c r="I42" s="2035"/>
      <c r="J42" s="2035"/>
      <c r="K42" s="2035"/>
      <c r="L42" s="2031"/>
      <c r="M42" s="2035"/>
      <c r="N42" s="2035"/>
      <c r="O42" s="2035"/>
      <c r="P42" s="2035"/>
      <c r="Q42" s="2035"/>
      <c r="R42" s="2035"/>
      <c r="S42" s="2031"/>
      <c r="T42" s="2035"/>
      <c r="U42" s="2035"/>
      <c r="V42" s="2035"/>
      <c r="W42" s="2035"/>
      <c r="X42" s="2035"/>
      <c r="Y42" s="2035"/>
      <c r="Z42" s="2031"/>
      <c r="AA42" s="2035"/>
      <c r="AB42" s="2035"/>
      <c r="AC42" s="2035"/>
      <c r="AD42" s="2035"/>
      <c r="AE42" s="2035"/>
      <c r="AF42" s="2035"/>
      <c r="AG42" s="2031"/>
      <c r="AH42" s="2035"/>
      <c r="AI42" s="2035"/>
      <c r="AJ42" s="2035"/>
      <c r="AK42" s="2035"/>
      <c r="AL42" s="2035"/>
      <c r="AM42" s="2035"/>
      <c r="AN42" s="2031"/>
      <c r="AO42" s="2035"/>
      <c r="AP42" s="2035"/>
      <c r="AQ42" s="2035"/>
      <c r="AR42" s="2035"/>
      <c r="AS42" s="2035"/>
      <c r="AT42" s="2035"/>
      <c r="AU42" s="2031"/>
      <c r="AV42" s="2035"/>
      <c r="AW42" s="2035"/>
      <c r="AX42" s="2035"/>
      <c r="AY42" s="2035"/>
      <c r="AZ42" s="2035"/>
      <c r="BA42" s="2035"/>
      <c r="BB42" s="2031"/>
      <c r="BC42" s="2035"/>
      <c r="BD42" s="2035"/>
      <c r="BE42" s="2035"/>
      <c r="BF42" s="2035"/>
      <c r="BG42" s="2035"/>
      <c r="BH42" s="2035"/>
      <c r="BI42" s="2031"/>
      <c r="BJ42" s="2035"/>
      <c r="BK42" s="2035"/>
      <c r="BL42" s="2035"/>
      <c r="BM42" s="2035"/>
      <c r="BN42" s="2035"/>
      <c r="BO42" s="2035"/>
      <c r="BP42" s="2031"/>
      <c r="BQ42" s="2035"/>
      <c r="BR42" s="2035"/>
      <c r="BS42" s="2035"/>
      <c r="BT42" s="2035"/>
      <c r="BU42" s="2035"/>
      <c r="BV42" s="2035"/>
      <c r="BW42" s="2031"/>
      <c r="BX42" s="2035"/>
      <c r="BY42" s="2035"/>
      <c r="BZ42" s="2035"/>
      <c r="CA42" s="2035"/>
      <c r="CB42" s="2035"/>
      <c r="CC42" s="2035"/>
      <c r="CD42" s="2031"/>
      <c r="CE42" s="2035"/>
      <c r="CF42" s="2035"/>
      <c r="CG42" s="2035"/>
      <c r="CH42" s="2035"/>
      <c r="CI42" s="2035"/>
      <c r="CJ42" s="2035"/>
      <c r="CK42" s="2031"/>
      <c r="CL42" s="2035"/>
      <c r="CM42" s="2035"/>
      <c r="CN42" s="2035"/>
      <c r="CO42" s="2035"/>
      <c r="CP42" s="2035"/>
      <c r="CQ42" s="2035"/>
      <c r="CR42" s="2031"/>
      <c r="CS42" s="2035"/>
      <c r="CT42" s="2035"/>
      <c r="CU42" s="2035"/>
      <c r="CV42" s="2035"/>
      <c r="CW42" s="2035"/>
      <c r="CX42" s="2035"/>
      <c r="CY42" s="2031"/>
      <c r="CZ42" s="2035"/>
      <c r="DA42" s="2035"/>
      <c r="DB42" s="2035"/>
      <c r="DC42" s="2035"/>
      <c r="DD42" s="2035"/>
      <c r="DE42" s="2035"/>
    </row>
    <row r="43" spans="1:109">
      <c r="A43" s="1652">
        <v>7</v>
      </c>
      <c r="B43" s="1652">
        <v>14</v>
      </c>
      <c r="C43" s="1681" t="s">
        <v>522</v>
      </c>
      <c r="D43" s="2003">
        <v>671</v>
      </c>
      <c r="E43" s="2031"/>
      <c r="F43" s="2035"/>
      <c r="G43" s="2035"/>
      <c r="H43" s="2035"/>
      <c r="I43" s="2035"/>
      <c r="J43" s="2035"/>
      <c r="K43" s="2035"/>
      <c r="L43" s="2031"/>
      <c r="M43" s="2035"/>
      <c r="N43" s="2035"/>
      <c r="O43" s="2035"/>
      <c r="P43" s="2035"/>
      <c r="Q43" s="2035"/>
      <c r="R43" s="2035"/>
      <c r="S43" s="2031"/>
      <c r="T43" s="2035"/>
      <c r="U43" s="2035"/>
      <c r="V43" s="2035"/>
      <c r="W43" s="2035"/>
      <c r="X43" s="2035"/>
      <c r="Y43" s="2035"/>
      <c r="Z43" s="2031"/>
      <c r="AA43" s="2035"/>
      <c r="AB43" s="2035"/>
      <c r="AC43" s="2035"/>
      <c r="AD43" s="2035"/>
      <c r="AE43" s="2035"/>
      <c r="AF43" s="2035"/>
      <c r="AG43" s="2031"/>
      <c r="AH43" s="2035"/>
      <c r="AI43" s="2035"/>
      <c r="AJ43" s="2035"/>
      <c r="AK43" s="2035"/>
      <c r="AL43" s="2035"/>
      <c r="AM43" s="2035"/>
      <c r="AN43" s="2031"/>
      <c r="AO43" s="2035"/>
      <c r="AP43" s="2035"/>
      <c r="AQ43" s="2035"/>
      <c r="AR43" s="2035"/>
      <c r="AS43" s="2035"/>
      <c r="AT43" s="2035"/>
      <c r="AU43" s="2031"/>
      <c r="AV43" s="2035"/>
      <c r="AW43" s="2035"/>
      <c r="AX43" s="2035"/>
      <c r="AY43" s="2035"/>
      <c r="AZ43" s="2035"/>
      <c r="BA43" s="2035"/>
      <c r="BB43" s="2031"/>
      <c r="BC43" s="2035"/>
      <c r="BD43" s="2035"/>
      <c r="BE43" s="2035"/>
      <c r="BF43" s="2035"/>
      <c r="BG43" s="2035"/>
      <c r="BH43" s="2035"/>
      <c r="BI43" s="2031"/>
      <c r="BJ43" s="2035"/>
      <c r="BK43" s="2035"/>
      <c r="BL43" s="2035"/>
      <c r="BM43" s="2035"/>
      <c r="BN43" s="2035"/>
      <c r="BO43" s="2035"/>
      <c r="BP43" s="2031"/>
      <c r="BQ43" s="2035"/>
      <c r="BR43" s="2035"/>
      <c r="BS43" s="2035"/>
      <c r="BT43" s="2035"/>
      <c r="BU43" s="2035"/>
      <c r="BV43" s="2035"/>
      <c r="BW43" s="2031"/>
      <c r="BX43" s="2035"/>
      <c r="BY43" s="2035"/>
      <c r="BZ43" s="2035"/>
      <c r="CA43" s="2035"/>
      <c r="CB43" s="2035"/>
      <c r="CC43" s="2035"/>
      <c r="CD43" s="2031"/>
      <c r="CE43" s="2035"/>
      <c r="CF43" s="2035"/>
      <c r="CG43" s="2035"/>
      <c r="CH43" s="2035"/>
      <c r="CI43" s="2035"/>
      <c r="CJ43" s="2035"/>
      <c r="CK43" s="2031"/>
      <c r="CL43" s="2035"/>
      <c r="CM43" s="2035"/>
      <c r="CN43" s="2035"/>
      <c r="CO43" s="2035"/>
      <c r="CP43" s="2035"/>
      <c r="CQ43" s="2035"/>
      <c r="CR43" s="2031"/>
      <c r="CS43" s="2035"/>
      <c r="CT43" s="2035"/>
      <c r="CU43" s="2035"/>
      <c r="CV43" s="2035"/>
      <c r="CW43" s="2035"/>
      <c r="CX43" s="2035"/>
      <c r="CY43" s="2031"/>
      <c r="CZ43" s="2035"/>
      <c r="DA43" s="2035"/>
      <c r="DB43" s="2035"/>
      <c r="DC43" s="2035"/>
      <c r="DD43" s="2035"/>
      <c r="DE43" s="2035"/>
    </row>
    <row r="44" spans="1:109">
      <c r="A44" s="1652">
        <v>9</v>
      </c>
      <c r="B44" s="1652">
        <v>0</v>
      </c>
      <c r="C44" s="1679" t="s">
        <v>527</v>
      </c>
      <c r="D44" s="1680">
        <v>700</v>
      </c>
      <c r="E44" s="2031">
        <f>E9</f>
        <v>21638.613000000001</v>
      </c>
      <c r="F44" s="2031">
        <f t="shared" ref="F44:BQ44" si="47">F9</f>
        <v>0</v>
      </c>
      <c r="G44" s="2031">
        <f t="shared" si="47"/>
        <v>351.48252000000002</v>
      </c>
      <c r="H44" s="2031">
        <f t="shared" si="47"/>
        <v>13138.729520000001</v>
      </c>
      <c r="I44" s="2031">
        <f t="shared" si="47"/>
        <v>8148.4009600000009</v>
      </c>
      <c r="J44" s="2031">
        <f t="shared" si="47"/>
        <v>0</v>
      </c>
      <c r="K44" s="2031">
        <f t="shared" si="47"/>
        <v>0</v>
      </c>
      <c r="L44" s="2031">
        <f t="shared" si="47"/>
        <v>182099.89973000003</v>
      </c>
      <c r="M44" s="2031">
        <f t="shared" si="47"/>
        <v>0</v>
      </c>
      <c r="N44" s="2031">
        <f t="shared" si="47"/>
        <v>2247.5425399999999</v>
      </c>
      <c r="O44" s="2031">
        <f t="shared" si="47"/>
        <v>111774.80395000002</v>
      </c>
      <c r="P44" s="2031">
        <f t="shared" si="47"/>
        <v>68077.553239999994</v>
      </c>
      <c r="Q44" s="2031">
        <f t="shared" si="47"/>
        <v>0</v>
      </c>
      <c r="R44" s="2031">
        <f t="shared" si="47"/>
        <v>0</v>
      </c>
      <c r="S44" s="2031">
        <f t="shared" si="47"/>
        <v>295.92699999999996</v>
      </c>
      <c r="T44" s="2031">
        <f t="shared" si="47"/>
        <v>0</v>
      </c>
      <c r="U44" s="2031">
        <f t="shared" si="47"/>
        <v>0</v>
      </c>
      <c r="V44" s="2031">
        <f t="shared" si="47"/>
        <v>292.86599999999999</v>
      </c>
      <c r="W44" s="2031">
        <f t="shared" si="47"/>
        <v>3.0609999999999999</v>
      </c>
      <c r="X44" s="2031">
        <f t="shared" si="47"/>
        <v>0</v>
      </c>
      <c r="Y44" s="2031">
        <f t="shared" si="47"/>
        <v>0</v>
      </c>
      <c r="Z44" s="2031">
        <f t="shared" si="47"/>
        <v>2783.4780800000003</v>
      </c>
      <c r="AA44" s="2031">
        <f t="shared" si="47"/>
        <v>0</v>
      </c>
      <c r="AB44" s="2031">
        <f t="shared" si="47"/>
        <v>0</v>
      </c>
      <c r="AC44" s="2031">
        <f t="shared" si="47"/>
        <v>2754.2478200000005</v>
      </c>
      <c r="AD44" s="2031">
        <f t="shared" si="47"/>
        <v>29.230260000000001</v>
      </c>
      <c r="AE44" s="2031">
        <f t="shared" si="47"/>
        <v>0</v>
      </c>
      <c r="AF44" s="2031">
        <f t="shared" si="47"/>
        <v>0</v>
      </c>
      <c r="AG44" s="2031">
        <f t="shared" si="47"/>
        <v>6724.0690000000004</v>
      </c>
      <c r="AH44" s="2031">
        <f t="shared" si="47"/>
        <v>0</v>
      </c>
      <c r="AI44" s="2031">
        <f t="shared" si="47"/>
        <v>2494.779</v>
      </c>
      <c r="AJ44" s="2031">
        <f t="shared" si="47"/>
        <v>4215.41</v>
      </c>
      <c r="AK44" s="2031">
        <f t="shared" si="47"/>
        <v>13.88</v>
      </c>
      <c r="AL44" s="2031">
        <f t="shared" si="47"/>
        <v>0</v>
      </c>
      <c r="AM44" s="2031">
        <f t="shared" si="47"/>
        <v>0</v>
      </c>
      <c r="AN44" s="2031">
        <f t="shared" si="47"/>
        <v>47691.441340000012</v>
      </c>
      <c r="AO44" s="2031">
        <f t="shared" si="47"/>
        <v>0</v>
      </c>
      <c r="AP44" s="2031">
        <f t="shared" si="47"/>
        <v>17193.228070000001</v>
      </c>
      <c r="AQ44" s="2031">
        <f t="shared" si="47"/>
        <v>30394.370740000006</v>
      </c>
      <c r="AR44" s="2031">
        <f t="shared" si="47"/>
        <v>103.84253</v>
      </c>
      <c r="AS44" s="2031">
        <f t="shared" si="47"/>
        <v>0</v>
      </c>
      <c r="AT44" s="2031">
        <f t="shared" si="47"/>
        <v>0</v>
      </c>
      <c r="AU44" s="2031">
        <f t="shared" si="47"/>
        <v>9.5549999999999997</v>
      </c>
      <c r="AV44" s="2031">
        <f t="shared" si="47"/>
        <v>0</v>
      </c>
      <c r="AW44" s="2031">
        <f t="shared" si="47"/>
        <v>3.28</v>
      </c>
      <c r="AX44" s="2031">
        <f t="shared" si="47"/>
        <v>6.2350000000000003</v>
      </c>
      <c r="AY44" s="2031">
        <f t="shared" si="47"/>
        <v>0.04</v>
      </c>
      <c r="AZ44" s="2031">
        <f t="shared" si="47"/>
        <v>0</v>
      </c>
      <c r="BA44" s="2031">
        <f t="shared" si="47"/>
        <v>0</v>
      </c>
      <c r="BB44" s="2031">
        <f t="shared" si="47"/>
        <v>11536.08747</v>
      </c>
      <c r="BC44" s="2031">
        <f t="shared" si="47"/>
        <v>0</v>
      </c>
      <c r="BD44" s="2031">
        <f t="shared" si="47"/>
        <v>3960.05933</v>
      </c>
      <c r="BE44" s="2031">
        <f t="shared" si="47"/>
        <v>7527.7347300000001</v>
      </c>
      <c r="BF44" s="2031">
        <f t="shared" si="47"/>
        <v>48.293410000000002</v>
      </c>
      <c r="BG44" s="2031">
        <f t="shared" si="47"/>
        <v>0</v>
      </c>
      <c r="BH44" s="2031">
        <f t="shared" si="47"/>
        <v>0</v>
      </c>
      <c r="BI44" s="2031">
        <f t="shared" si="47"/>
        <v>3691.2719999999999</v>
      </c>
      <c r="BJ44" s="2031">
        <f t="shared" si="47"/>
        <v>0</v>
      </c>
      <c r="BK44" s="2031">
        <f t="shared" si="47"/>
        <v>0</v>
      </c>
      <c r="BL44" s="2031">
        <f t="shared" si="47"/>
        <v>102.423</v>
      </c>
      <c r="BM44" s="2031">
        <f t="shared" si="47"/>
        <v>3588.8490000000002</v>
      </c>
      <c r="BN44" s="2031">
        <f t="shared" si="47"/>
        <v>0</v>
      </c>
      <c r="BO44" s="2031">
        <f t="shared" si="47"/>
        <v>0</v>
      </c>
      <c r="BP44" s="2031">
        <f t="shared" si="47"/>
        <v>13669.947359999998</v>
      </c>
      <c r="BQ44" s="2031">
        <f t="shared" si="47"/>
        <v>0</v>
      </c>
      <c r="BR44" s="2031">
        <f t="shared" ref="BR44:DE44" si="48">BR9</f>
        <v>0</v>
      </c>
      <c r="BS44" s="2031">
        <f t="shared" si="48"/>
        <v>359.80949000000004</v>
      </c>
      <c r="BT44" s="2031">
        <f t="shared" si="48"/>
        <v>13310.137869999999</v>
      </c>
      <c r="BU44" s="2031">
        <f t="shared" si="48"/>
        <v>0</v>
      </c>
      <c r="BV44" s="2031">
        <f t="shared" si="48"/>
        <v>0</v>
      </c>
      <c r="BW44" s="2031">
        <f t="shared" si="48"/>
        <v>5.9240000000000004</v>
      </c>
      <c r="BX44" s="2031">
        <f t="shared" si="48"/>
        <v>0</v>
      </c>
      <c r="BY44" s="2031">
        <f t="shared" si="48"/>
        <v>0</v>
      </c>
      <c r="BZ44" s="2031">
        <f t="shared" si="48"/>
        <v>0.14499999999999999</v>
      </c>
      <c r="CA44" s="2031">
        <f t="shared" si="48"/>
        <v>5.7789999999999999</v>
      </c>
      <c r="CB44" s="2031">
        <f t="shared" si="48"/>
        <v>0</v>
      </c>
      <c r="CC44" s="2031">
        <f t="shared" si="48"/>
        <v>0</v>
      </c>
      <c r="CD44" s="2031">
        <f t="shared" si="48"/>
        <v>7152.25353</v>
      </c>
      <c r="CE44" s="2031">
        <f t="shared" si="48"/>
        <v>0</v>
      </c>
      <c r="CF44" s="2031">
        <f t="shared" si="48"/>
        <v>0</v>
      </c>
      <c r="CG44" s="2031">
        <f t="shared" si="48"/>
        <v>175.06359999999998</v>
      </c>
      <c r="CH44" s="2031">
        <f t="shared" si="48"/>
        <v>6977.1899300000005</v>
      </c>
      <c r="CI44" s="2031">
        <f t="shared" si="48"/>
        <v>0</v>
      </c>
      <c r="CJ44" s="2031">
        <f t="shared" si="48"/>
        <v>0</v>
      </c>
      <c r="CK44" s="2031">
        <f t="shared" si="48"/>
        <v>6.7129999999999992</v>
      </c>
      <c r="CL44" s="2031">
        <f t="shared" si="48"/>
        <v>0</v>
      </c>
      <c r="CM44" s="2031">
        <f t="shared" si="48"/>
        <v>0</v>
      </c>
      <c r="CN44" s="2031">
        <f t="shared" si="48"/>
        <v>0.157</v>
      </c>
      <c r="CO44" s="2031">
        <f t="shared" si="48"/>
        <v>6.556</v>
      </c>
      <c r="CP44" s="2031">
        <f t="shared" si="48"/>
        <v>0</v>
      </c>
      <c r="CQ44" s="2031">
        <f t="shared" si="48"/>
        <v>0</v>
      </c>
      <c r="CR44" s="2031">
        <f t="shared" si="48"/>
        <v>7164.6043900000004</v>
      </c>
      <c r="CS44" s="2031">
        <f t="shared" si="48"/>
        <v>0</v>
      </c>
      <c r="CT44" s="2031">
        <f t="shared" si="48"/>
        <v>0</v>
      </c>
      <c r="CU44" s="2031">
        <f t="shared" si="48"/>
        <v>439.46540000000005</v>
      </c>
      <c r="CV44" s="2031">
        <f t="shared" si="48"/>
        <v>6725.1389899999995</v>
      </c>
      <c r="CW44" s="2031">
        <f t="shared" si="48"/>
        <v>0</v>
      </c>
      <c r="CX44" s="2031">
        <f t="shared" si="48"/>
        <v>0</v>
      </c>
      <c r="CY44" s="2031">
        <f t="shared" si="48"/>
        <v>0</v>
      </c>
      <c r="CZ44" s="2031">
        <f t="shared" si="48"/>
        <v>0</v>
      </c>
      <c r="DA44" s="2031">
        <f t="shared" si="48"/>
        <v>0</v>
      </c>
      <c r="DB44" s="2031">
        <f t="shared" si="48"/>
        <v>0</v>
      </c>
      <c r="DC44" s="2031">
        <f t="shared" si="48"/>
        <v>0</v>
      </c>
      <c r="DD44" s="2031">
        <f t="shared" si="48"/>
        <v>0</v>
      </c>
      <c r="DE44" s="2031">
        <f t="shared" si="48"/>
        <v>0</v>
      </c>
    </row>
  </sheetData>
  <mergeCells count="54">
    <mergeCell ref="C3:C6"/>
    <mergeCell ref="D3:D6"/>
    <mergeCell ref="E3:R3"/>
    <mergeCell ref="S3:AF3"/>
    <mergeCell ref="AG3:AT3"/>
    <mergeCell ref="E5:E6"/>
    <mergeCell ref="F5:K5"/>
    <mergeCell ref="AA5:AF5"/>
    <mergeCell ref="CY3:DE4"/>
    <mergeCell ref="E4:K4"/>
    <mergeCell ref="L4:R4"/>
    <mergeCell ref="S4:Y4"/>
    <mergeCell ref="Z4:AF4"/>
    <mergeCell ref="AG4:AM4"/>
    <mergeCell ref="AN4:AT4"/>
    <mergeCell ref="AU3:BH3"/>
    <mergeCell ref="AU4:BA4"/>
    <mergeCell ref="BB4:BH4"/>
    <mergeCell ref="CK4:CQ4"/>
    <mergeCell ref="CR4:CX4"/>
    <mergeCell ref="BI3:BV3"/>
    <mergeCell ref="BW3:CJ3"/>
    <mergeCell ref="CK3:CX3"/>
    <mergeCell ref="BI4:BO4"/>
    <mergeCell ref="BP4:BV4"/>
    <mergeCell ref="BW4:CC4"/>
    <mergeCell ref="CD4:CJ4"/>
    <mergeCell ref="L5:L6"/>
    <mergeCell ref="M5:R5"/>
    <mergeCell ref="S5:S6"/>
    <mergeCell ref="T5:Y5"/>
    <mergeCell ref="Z5:Z6"/>
    <mergeCell ref="BQ5:BV5"/>
    <mergeCell ref="AG5:AG6"/>
    <mergeCell ref="AH5:AM5"/>
    <mergeCell ref="AN5:AN6"/>
    <mergeCell ref="AO5:AT5"/>
    <mergeCell ref="AU5:AU6"/>
    <mergeCell ref="AV5:BA5"/>
    <mergeCell ref="BB5:BB6"/>
    <mergeCell ref="BC5:BH5"/>
    <mergeCell ref="BI5:BI6"/>
    <mergeCell ref="BJ5:BO5"/>
    <mergeCell ref="BP5:BP6"/>
    <mergeCell ref="CR5:CR6"/>
    <mergeCell ref="CS5:CX5"/>
    <mergeCell ref="CY5:CY6"/>
    <mergeCell ref="CZ5:DE5"/>
    <mergeCell ref="BW5:BW6"/>
    <mergeCell ref="BX5:CC5"/>
    <mergeCell ref="CD5:CD6"/>
    <mergeCell ref="CE5:CH5"/>
    <mergeCell ref="CK5:CK6"/>
    <mergeCell ref="CL5:CQ5"/>
  </mergeCells>
  <pageMargins left="0.7" right="0.7" top="0.75" bottom="0.75" header="0.3" footer="0.3"/>
  <tableParts count="1">
    <tablePart r:id="rId1"/>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F45"/>
  <sheetViews>
    <sheetView topLeftCell="C1" zoomScale="60" zoomScaleNormal="60" workbookViewId="0">
      <selection activeCell="A21" sqref="A21"/>
    </sheetView>
  </sheetViews>
  <sheetFormatPr defaultRowHeight="15"/>
  <cols>
    <col min="1" max="1" width="7.28515625" style="1652" hidden="1" customWidth="1"/>
    <col min="2" max="2" width="7.42578125" style="1652" hidden="1" customWidth="1"/>
    <col min="3" max="3" width="45.7109375" style="1652" customWidth="1"/>
    <col min="4" max="4" width="7.140625" style="1652" customWidth="1"/>
    <col min="5" max="5" width="15.7109375" style="1652" customWidth="1"/>
    <col min="6" max="6" width="18" style="1652" customWidth="1"/>
    <col min="7" max="9" width="15.7109375" style="1652" customWidth="1"/>
    <col min="10" max="10" width="18" style="1652" customWidth="1"/>
    <col min="11" max="13" width="15.7109375" style="1652" customWidth="1"/>
    <col min="14" max="14" width="18" style="1652" customWidth="1"/>
    <col min="15" max="17" width="15.7109375" style="1652" customWidth="1"/>
    <col min="18" max="18" width="18" style="1652" customWidth="1"/>
    <col min="19" max="21" width="15.7109375" style="1652" customWidth="1"/>
    <col min="22" max="22" width="18" style="1652" customWidth="1"/>
    <col min="23" max="25" width="15.7109375" style="1652" customWidth="1"/>
    <col min="26" max="26" width="18" style="1652" customWidth="1"/>
    <col min="27" max="29" width="15.7109375" style="1652" customWidth="1"/>
    <col min="30" max="30" width="18" style="1652" customWidth="1"/>
    <col min="31" max="33" width="15.7109375" style="1652" customWidth="1"/>
    <col min="34" max="34" width="18" style="1652" customWidth="1"/>
    <col min="35" max="37" width="15.7109375" style="1652" customWidth="1"/>
    <col min="38" max="38" width="18" style="1652" customWidth="1"/>
    <col min="39" max="41" width="15.7109375" style="1652" customWidth="1"/>
    <col min="42" max="42" width="18" style="1652" customWidth="1"/>
    <col min="43" max="45" width="15.7109375" style="1652" customWidth="1"/>
    <col min="46" max="46" width="18" style="1652" customWidth="1"/>
    <col min="47" max="49" width="15.7109375" style="1652" customWidth="1"/>
    <col min="50" max="50" width="18" style="1652" customWidth="1"/>
    <col min="51" max="53" width="15.7109375" style="1652" customWidth="1"/>
    <col min="54" max="54" width="18" style="1652" customWidth="1"/>
    <col min="55" max="57" width="15.7109375" style="1652" customWidth="1"/>
    <col min="58" max="58" width="18" style="1652" customWidth="1"/>
    <col min="59" max="60" width="15.7109375" style="1652" customWidth="1"/>
    <col min="61" max="69" width="8.85546875" style="1652"/>
    <col min="70" max="70" width="10" style="1652" bestFit="1" customWidth="1"/>
    <col min="71" max="230" width="8.85546875" style="1652"/>
    <col min="231" max="231" width="43.85546875" style="1652" customWidth="1"/>
    <col min="232" max="232" width="7.140625" style="1652" customWidth="1"/>
    <col min="233" max="233" width="15.5703125" style="1652" customWidth="1"/>
    <col min="234" max="234" width="23.140625" style="1652" customWidth="1"/>
    <col min="235" max="235" width="15.140625" style="1652" customWidth="1"/>
    <col min="236" max="236" width="14.85546875" style="1652" customWidth="1"/>
    <col min="237" max="237" width="16.28515625" style="1652" customWidth="1"/>
    <col min="238" max="238" width="20.85546875" style="1652" customWidth="1"/>
    <col min="239" max="239" width="14.140625" style="1652" customWidth="1"/>
    <col min="240" max="240" width="15.7109375" style="1652" bestFit="1" customWidth="1"/>
    <col min="241" max="241" width="13.42578125" style="1652" bestFit="1" customWidth="1"/>
    <col min="242" max="242" width="17.7109375" style="1652" customWidth="1"/>
    <col min="243" max="244" width="13.28515625" style="1652" customWidth="1"/>
    <col min="245" max="245" width="11.5703125" style="1652" customWidth="1"/>
    <col min="246" max="246" width="16.85546875" style="1652" customWidth="1"/>
    <col min="247" max="247" width="13.85546875" style="1652" customWidth="1"/>
    <col min="248" max="248" width="15.140625" style="1652" customWidth="1"/>
    <col min="249" max="249" width="16.7109375" style="1652" customWidth="1"/>
    <col min="250" max="250" width="21.7109375" style="1652" customWidth="1"/>
    <col min="251" max="252" width="16.7109375" style="1652" customWidth="1"/>
    <col min="253" max="253" width="15" style="1652" customWidth="1"/>
    <col min="254" max="254" width="21.7109375" style="1652" customWidth="1"/>
    <col min="255" max="255" width="14.140625" style="1652" customWidth="1"/>
    <col min="256" max="256" width="13.85546875" style="1652" customWidth="1"/>
    <col min="257" max="257" width="12.140625" style="1652" customWidth="1"/>
    <col min="258" max="258" width="20.140625" style="1652" customWidth="1"/>
    <col min="259" max="259" width="15" style="1652" customWidth="1"/>
    <col min="260" max="260" width="12.140625" style="1652" customWidth="1"/>
    <col min="261" max="261" width="12" style="1652" customWidth="1"/>
    <col min="262" max="262" width="17.5703125" style="1652" customWidth="1"/>
    <col min="263" max="263" width="16.5703125" style="1652" customWidth="1"/>
    <col min="264" max="264" width="12.5703125" style="1652" customWidth="1"/>
    <col min="265" max="265" width="24.85546875" style="1652" customWidth="1"/>
    <col min="266" max="266" width="25.42578125" style="1652" customWidth="1"/>
    <col min="267" max="268" width="13.5703125" style="1652" customWidth="1"/>
    <col min="269" max="269" width="18.7109375" style="1652" customWidth="1"/>
    <col min="270" max="270" width="24.5703125" style="1652" customWidth="1"/>
    <col min="271" max="271" width="18.5703125" style="1652" customWidth="1"/>
    <col min="272" max="272" width="13.28515625" style="1652" customWidth="1"/>
    <col min="273" max="273" width="13.140625" style="1652" customWidth="1"/>
    <col min="274" max="274" width="18.7109375" style="1652" customWidth="1"/>
    <col min="275" max="275" width="12.42578125" style="1652" customWidth="1"/>
    <col min="276" max="276" width="13.85546875" style="1652" customWidth="1"/>
    <col min="277" max="277" width="6.85546875" style="1652" customWidth="1"/>
    <col min="278" max="278" width="23" style="1652" customWidth="1"/>
    <col min="279" max="280" width="8.85546875" style="1652"/>
    <col min="281" max="281" width="12.28515625" style="1652" customWidth="1"/>
    <col min="282" max="282" width="22" style="1652" customWidth="1"/>
    <col min="283" max="285" width="13.28515625" style="1652" bestFit="1" customWidth="1"/>
    <col min="286" max="286" width="21.7109375" style="1652" customWidth="1"/>
    <col min="287" max="287" width="18.7109375" style="1652" bestFit="1" customWidth="1"/>
    <col min="288" max="289" width="19" style="1652" bestFit="1" customWidth="1"/>
    <col min="290" max="296" width="13.28515625" style="1652" bestFit="1" customWidth="1"/>
    <col min="297" max="297" width="14.140625" style="1652" bestFit="1" customWidth="1"/>
    <col min="298" max="299" width="15.7109375" style="1652" bestFit="1" customWidth="1"/>
    <col min="300" max="302" width="14.140625" style="1652" bestFit="1" customWidth="1"/>
    <col min="303" max="304" width="15.7109375" style="1652" bestFit="1" customWidth="1"/>
    <col min="305" max="306" width="14.140625" style="1652" bestFit="1" customWidth="1"/>
    <col min="307" max="325" width="8.85546875" style="1652"/>
    <col min="326" max="326" width="10" style="1652" bestFit="1" customWidth="1"/>
    <col min="327" max="486" width="8.85546875" style="1652"/>
    <col min="487" max="487" width="43.85546875" style="1652" customWidth="1"/>
    <col min="488" max="488" width="7.140625" style="1652" customWidth="1"/>
    <col min="489" max="489" width="15.5703125" style="1652" customWidth="1"/>
    <col min="490" max="490" width="23.140625" style="1652" customWidth="1"/>
    <col min="491" max="491" width="15.140625" style="1652" customWidth="1"/>
    <col min="492" max="492" width="14.85546875" style="1652" customWidth="1"/>
    <col min="493" max="493" width="16.28515625" style="1652" customWidth="1"/>
    <col min="494" max="494" width="20.85546875" style="1652" customWidth="1"/>
    <col min="495" max="495" width="14.140625" style="1652" customWidth="1"/>
    <col min="496" max="496" width="15.7109375" style="1652" bestFit="1" customWidth="1"/>
    <col min="497" max="497" width="13.42578125" style="1652" bestFit="1" customWidth="1"/>
    <col min="498" max="498" width="17.7109375" style="1652" customWidth="1"/>
    <col min="499" max="500" width="13.28515625" style="1652" customWidth="1"/>
    <col min="501" max="501" width="11.5703125" style="1652" customWidth="1"/>
    <col min="502" max="502" width="16.85546875" style="1652" customWidth="1"/>
    <col min="503" max="503" width="13.85546875" style="1652" customWidth="1"/>
    <col min="504" max="504" width="15.140625" style="1652" customWidth="1"/>
    <col min="505" max="505" width="16.7109375" style="1652" customWidth="1"/>
    <col min="506" max="506" width="21.7109375" style="1652" customWidth="1"/>
    <col min="507" max="508" width="16.7109375" style="1652" customWidth="1"/>
    <col min="509" max="509" width="15" style="1652" customWidth="1"/>
    <col min="510" max="510" width="21.7109375" style="1652" customWidth="1"/>
    <col min="511" max="511" width="14.140625" style="1652" customWidth="1"/>
    <col min="512" max="512" width="13.85546875" style="1652" customWidth="1"/>
    <col min="513" max="513" width="12.140625" style="1652" customWidth="1"/>
    <col min="514" max="514" width="20.140625" style="1652" customWidth="1"/>
    <col min="515" max="515" width="15" style="1652" customWidth="1"/>
    <col min="516" max="516" width="12.140625" style="1652" customWidth="1"/>
    <col min="517" max="517" width="12" style="1652" customWidth="1"/>
    <col min="518" max="518" width="17.5703125" style="1652" customWidth="1"/>
    <col min="519" max="519" width="16.5703125" style="1652" customWidth="1"/>
    <col min="520" max="520" width="12.5703125" style="1652" customWidth="1"/>
    <col min="521" max="521" width="24.85546875" style="1652" customWidth="1"/>
    <col min="522" max="522" width="25.42578125" style="1652" customWidth="1"/>
    <col min="523" max="524" width="13.5703125" style="1652" customWidth="1"/>
    <col min="525" max="525" width="18.7109375" style="1652" customWidth="1"/>
    <col min="526" max="526" width="24.5703125" style="1652" customWidth="1"/>
    <col min="527" max="527" width="18.5703125" style="1652" customWidth="1"/>
    <col min="528" max="528" width="13.28515625" style="1652" customWidth="1"/>
    <col min="529" max="529" width="13.140625" style="1652" customWidth="1"/>
    <col min="530" max="530" width="18.7109375" style="1652" customWidth="1"/>
    <col min="531" max="531" width="12.42578125" style="1652" customWidth="1"/>
    <col min="532" max="532" width="13.85546875" style="1652" customWidth="1"/>
    <col min="533" max="533" width="6.85546875" style="1652" customWidth="1"/>
    <col min="534" max="534" width="23" style="1652" customWidth="1"/>
    <col min="535" max="536" width="8.85546875" style="1652"/>
    <col min="537" max="537" width="12.28515625" style="1652" customWidth="1"/>
    <col min="538" max="538" width="22" style="1652" customWidth="1"/>
    <col min="539" max="541" width="13.28515625" style="1652" bestFit="1" customWidth="1"/>
    <col min="542" max="542" width="21.7109375" style="1652" customWidth="1"/>
    <col min="543" max="543" width="18.7109375" style="1652" bestFit="1" customWidth="1"/>
    <col min="544" max="545" width="19" style="1652" bestFit="1" customWidth="1"/>
    <col min="546" max="552" width="13.28515625" style="1652" bestFit="1" customWidth="1"/>
    <col min="553" max="553" width="14.140625" style="1652" bestFit="1" customWidth="1"/>
    <col min="554" max="555" width="15.7109375" style="1652" bestFit="1" customWidth="1"/>
    <col min="556" max="558" width="14.140625" style="1652" bestFit="1" customWidth="1"/>
    <col min="559" max="560" width="15.7109375" style="1652" bestFit="1" customWidth="1"/>
    <col min="561" max="562" width="14.140625" style="1652" bestFit="1" customWidth="1"/>
    <col min="563" max="581" width="8.85546875" style="1652"/>
    <col min="582" max="582" width="10" style="1652" bestFit="1" customWidth="1"/>
    <col min="583" max="742" width="8.85546875" style="1652"/>
    <col min="743" max="743" width="43.85546875" style="1652" customWidth="1"/>
    <col min="744" max="744" width="7.140625" style="1652" customWidth="1"/>
    <col min="745" max="745" width="15.5703125" style="1652" customWidth="1"/>
    <col min="746" max="746" width="23.140625" style="1652" customWidth="1"/>
    <col min="747" max="747" width="15.140625" style="1652" customWidth="1"/>
    <col min="748" max="748" width="14.85546875" style="1652" customWidth="1"/>
    <col min="749" max="749" width="16.28515625" style="1652" customWidth="1"/>
    <col min="750" max="750" width="20.85546875" style="1652" customWidth="1"/>
    <col min="751" max="751" width="14.140625" style="1652" customWidth="1"/>
    <col min="752" max="752" width="15.7109375" style="1652" bestFit="1" customWidth="1"/>
    <col min="753" max="753" width="13.42578125" style="1652" bestFit="1" customWidth="1"/>
    <col min="754" max="754" width="17.7109375" style="1652" customWidth="1"/>
    <col min="755" max="756" width="13.28515625" style="1652" customWidth="1"/>
    <col min="757" max="757" width="11.5703125" style="1652" customWidth="1"/>
    <col min="758" max="758" width="16.85546875" style="1652" customWidth="1"/>
    <col min="759" max="759" width="13.85546875" style="1652" customWidth="1"/>
    <col min="760" max="760" width="15.140625" style="1652" customWidth="1"/>
    <col min="761" max="761" width="16.7109375" style="1652" customWidth="1"/>
    <col min="762" max="762" width="21.7109375" style="1652" customWidth="1"/>
    <col min="763" max="764" width="16.7109375" style="1652" customWidth="1"/>
    <col min="765" max="765" width="15" style="1652" customWidth="1"/>
    <col min="766" max="766" width="21.7109375" style="1652" customWidth="1"/>
    <col min="767" max="767" width="14.140625" style="1652" customWidth="1"/>
    <col min="768" max="768" width="13.85546875" style="1652" customWidth="1"/>
    <col min="769" max="769" width="12.140625" style="1652" customWidth="1"/>
    <col min="770" max="770" width="20.140625" style="1652" customWidth="1"/>
    <col min="771" max="771" width="15" style="1652" customWidth="1"/>
    <col min="772" max="772" width="12.140625" style="1652" customWidth="1"/>
    <col min="773" max="773" width="12" style="1652" customWidth="1"/>
    <col min="774" max="774" width="17.5703125" style="1652" customWidth="1"/>
    <col min="775" max="775" width="16.5703125" style="1652" customWidth="1"/>
    <col min="776" max="776" width="12.5703125" style="1652" customWidth="1"/>
    <col min="777" max="777" width="24.85546875" style="1652" customWidth="1"/>
    <col min="778" max="778" width="25.42578125" style="1652" customWidth="1"/>
    <col min="779" max="780" width="13.5703125" style="1652" customWidth="1"/>
    <col min="781" max="781" width="18.7109375" style="1652" customWidth="1"/>
    <col min="782" max="782" width="24.5703125" style="1652" customWidth="1"/>
    <col min="783" max="783" width="18.5703125" style="1652" customWidth="1"/>
    <col min="784" max="784" width="13.28515625" style="1652" customWidth="1"/>
    <col min="785" max="785" width="13.140625" style="1652" customWidth="1"/>
    <col min="786" max="786" width="18.7109375" style="1652" customWidth="1"/>
    <col min="787" max="787" width="12.42578125" style="1652" customWidth="1"/>
    <col min="788" max="788" width="13.85546875" style="1652" customWidth="1"/>
    <col min="789" max="789" width="6.85546875" style="1652" customWidth="1"/>
    <col min="790" max="790" width="23" style="1652" customWidth="1"/>
    <col min="791" max="792" width="8.85546875" style="1652"/>
    <col min="793" max="793" width="12.28515625" style="1652" customWidth="1"/>
    <col min="794" max="794" width="22" style="1652" customWidth="1"/>
    <col min="795" max="797" width="13.28515625" style="1652" bestFit="1" customWidth="1"/>
    <col min="798" max="798" width="21.7109375" style="1652" customWidth="1"/>
    <col min="799" max="799" width="18.7109375" style="1652" bestFit="1" customWidth="1"/>
    <col min="800" max="801" width="19" style="1652" bestFit="1" customWidth="1"/>
    <col min="802" max="808" width="13.28515625" style="1652" bestFit="1" customWidth="1"/>
    <col min="809" max="809" width="14.140625" style="1652" bestFit="1" customWidth="1"/>
    <col min="810" max="811" width="15.7109375" style="1652" bestFit="1" customWidth="1"/>
    <col min="812" max="814" width="14.140625" style="1652" bestFit="1" customWidth="1"/>
    <col min="815" max="816" width="15.7109375" style="1652" bestFit="1" customWidth="1"/>
    <col min="817" max="818" width="14.140625" style="1652" bestFit="1" customWidth="1"/>
    <col min="819" max="837" width="8.85546875" style="1652"/>
    <col min="838" max="838" width="10" style="1652" bestFit="1" customWidth="1"/>
    <col min="839" max="998" width="8.85546875" style="1652"/>
    <col min="999" max="999" width="43.85546875" style="1652" customWidth="1"/>
    <col min="1000" max="1000" width="7.140625" style="1652" customWidth="1"/>
    <col min="1001" max="1001" width="15.5703125" style="1652" customWidth="1"/>
    <col min="1002" max="1002" width="23.140625" style="1652" customWidth="1"/>
    <col min="1003" max="1003" width="15.140625" style="1652" customWidth="1"/>
    <col min="1004" max="1004" width="14.85546875" style="1652" customWidth="1"/>
    <col min="1005" max="1005" width="16.28515625" style="1652" customWidth="1"/>
    <col min="1006" max="1006" width="20.85546875" style="1652" customWidth="1"/>
    <col min="1007" max="1007" width="14.140625" style="1652" customWidth="1"/>
    <col min="1008" max="1008" width="15.7109375" style="1652" bestFit="1" customWidth="1"/>
    <col min="1009" max="1009" width="13.42578125" style="1652" bestFit="1" customWidth="1"/>
    <col min="1010" max="1010" width="17.7109375" style="1652" customWidth="1"/>
    <col min="1011" max="1012" width="13.28515625" style="1652" customWidth="1"/>
    <col min="1013" max="1013" width="11.5703125" style="1652" customWidth="1"/>
    <col min="1014" max="1014" width="16.85546875" style="1652" customWidth="1"/>
    <col min="1015" max="1015" width="13.85546875" style="1652" customWidth="1"/>
    <col min="1016" max="1016" width="15.140625" style="1652" customWidth="1"/>
    <col min="1017" max="1017" width="16.7109375" style="1652" customWidth="1"/>
    <col min="1018" max="1018" width="21.7109375" style="1652" customWidth="1"/>
    <col min="1019" max="1020" width="16.7109375" style="1652" customWidth="1"/>
    <col min="1021" max="1021" width="15" style="1652" customWidth="1"/>
    <col min="1022" max="1022" width="21.7109375" style="1652" customWidth="1"/>
    <col min="1023" max="1023" width="14.140625" style="1652" customWidth="1"/>
    <col min="1024" max="1024" width="13.85546875" style="1652" customWidth="1"/>
    <col min="1025" max="1025" width="12.140625" style="1652" customWidth="1"/>
    <col min="1026" max="1026" width="20.140625" style="1652" customWidth="1"/>
    <col min="1027" max="1027" width="15" style="1652" customWidth="1"/>
    <col min="1028" max="1028" width="12.140625" style="1652" customWidth="1"/>
    <col min="1029" max="1029" width="12" style="1652" customWidth="1"/>
    <col min="1030" max="1030" width="17.5703125" style="1652" customWidth="1"/>
    <col min="1031" max="1031" width="16.5703125" style="1652" customWidth="1"/>
    <col min="1032" max="1032" width="12.5703125" style="1652" customWidth="1"/>
    <col min="1033" max="1033" width="24.85546875" style="1652" customWidth="1"/>
    <col min="1034" max="1034" width="25.42578125" style="1652" customWidth="1"/>
    <col min="1035" max="1036" width="13.5703125" style="1652" customWidth="1"/>
    <col min="1037" max="1037" width="18.7109375" style="1652" customWidth="1"/>
    <col min="1038" max="1038" width="24.5703125" style="1652" customWidth="1"/>
    <col min="1039" max="1039" width="18.5703125" style="1652" customWidth="1"/>
    <col min="1040" max="1040" width="13.28515625" style="1652" customWidth="1"/>
    <col min="1041" max="1041" width="13.140625" style="1652" customWidth="1"/>
    <col min="1042" max="1042" width="18.7109375" style="1652" customWidth="1"/>
    <col min="1043" max="1043" width="12.42578125" style="1652" customWidth="1"/>
    <col min="1044" max="1044" width="13.85546875" style="1652" customWidth="1"/>
    <col min="1045" max="1045" width="6.85546875" style="1652" customWidth="1"/>
    <col min="1046" max="1046" width="23" style="1652" customWidth="1"/>
    <col min="1047" max="1048" width="8.85546875" style="1652"/>
    <col min="1049" max="1049" width="12.28515625" style="1652" customWidth="1"/>
    <col min="1050" max="1050" width="22" style="1652" customWidth="1"/>
    <col min="1051" max="1053" width="13.28515625" style="1652" bestFit="1" customWidth="1"/>
    <col min="1054" max="1054" width="21.7109375" style="1652" customWidth="1"/>
    <col min="1055" max="1055" width="18.7109375" style="1652" bestFit="1" customWidth="1"/>
    <col min="1056" max="1057" width="19" style="1652" bestFit="1" customWidth="1"/>
    <col min="1058" max="1064" width="13.28515625" style="1652" bestFit="1" customWidth="1"/>
    <col min="1065" max="1065" width="14.140625" style="1652" bestFit="1" customWidth="1"/>
    <col min="1066" max="1067" width="15.7109375" style="1652" bestFit="1" customWidth="1"/>
    <col min="1068" max="1070" width="14.140625" style="1652" bestFit="1" customWidth="1"/>
    <col min="1071" max="1072" width="15.7109375" style="1652" bestFit="1" customWidth="1"/>
    <col min="1073" max="1074" width="14.140625" style="1652" bestFit="1" customWidth="1"/>
    <col min="1075" max="1093" width="8.85546875" style="1652"/>
    <col min="1094" max="1094" width="10" style="1652" bestFit="1" customWidth="1"/>
    <col min="1095" max="1254" width="8.85546875" style="1652"/>
    <col min="1255" max="1255" width="43.85546875" style="1652" customWidth="1"/>
    <col min="1256" max="1256" width="7.140625" style="1652" customWidth="1"/>
    <col min="1257" max="1257" width="15.5703125" style="1652" customWidth="1"/>
    <col min="1258" max="1258" width="23.140625" style="1652" customWidth="1"/>
    <col min="1259" max="1259" width="15.140625" style="1652" customWidth="1"/>
    <col min="1260" max="1260" width="14.85546875" style="1652" customWidth="1"/>
    <col min="1261" max="1261" width="16.28515625" style="1652" customWidth="1"/>
    <col min="1262" max="1262" width="20.85546875" style="1652" customWidth="1"/>
    <col min="1263" max="1263" width="14.140625" style="1652" customWidth="1"/>
    <col min="1264" max="1264" width="15.7109375" style="1652" bestFit="1" customWidth="1"/>
    <col min="1265" max="1265" width="13.42578125" style="1652" bestFit="1" customWidth="1"/>
    <col min="1266" max="1266" width="17.7109375" style="1652" customWidth="1"/>
    <col min="1267" max="1268" width="13.28515625" style="1652" customWidth="1"/>
    <col min="1269" max="1269" width="11.5703125" style="1652" customWidth="1"/>
    <col min="1270" max="1270" width="16.85546875" style="1652" customWidth="1"/>
    <col min="1271" max="1271" width="13.85546875" style="1652" customWidth="1"/>
    <col min="1272" max="1272" width="15.140625" style="1652" customWidth="1"/>
    <col min="1273" max="1273" width="16.7109375" style="1652" customWidth="1"/>
    <col min="1274" max="1274" width="21.7109375" style="1652" customWidth="1"/>
    <col min="1275" max="1276" width="16.7109375" style="1652" customWidth="1"/>
    <col min="1277" max="1277" width="15" style="1652" customWidth="1"/>
    <col min="1278" max="1278" width="21.7109375" style="1652" customWidth="1"/>
    <col min="1279" max="1279" width="14.140625" style="1652" customWidth="1"/>
    <col min="1280" max="1280" width="13.85546875" style="1652" customWidth="1"/>
    <col min="1281" max="1281" width="12.140625" style="1652" customWidth="1"/>
    <col min="1282" max="1282" width="20.140625" style="1652" customWidth="1"/>
    <col min="1283" max="1283" width="15" style="1652" customWidth="1"/>
    <col min="1284" max="1284" width="12.140625" style="1652" customWidth="1"/>
    <col min="1285" max="1285" width="12" style="1652" customWidth="1"/>
    <col min="1286" max="1286" width="17.5703125" style="1652" customWidth="1"/>
    <col min="1287" max="1287" width="16.5703125" style="1652" customWidth="1"/>
    <col min="1288" max="1288" width="12.5703125" style="1652" customWidth="1"/>
    <col min="1289" max="1289" width="24.85546875" style="1652" customWidth="1"/>
    <col min="1290" max="1290" width="25.42578125" style="1652" customWidth="1"/>
    <col min="1291" max="1292" width="13.5703125" style="1652" customWidth="1"/>
    <col min="1293" max="1293" width="18.7109375" style="1652" customWidth="1"/>
    <col min="1294" max="1294" width="24.5703125" style="1652" customWidth="1"/>
    <col min="1295" max="1295" width="18.5703125" style="1652" customWidth="1"/>
    <col min="1296" max="1296" width="13.28515625" style="1652" customWidth="1"/>
    <col min="1297" max="1297" width="13.140625" style="1652" customWidth="1"/>
    <col min="1298" max="1298" width="18.7109375" style="1652" customWidth="1"/>
    <col min="1299" max="1299" width="12.42578125" style="1652" customWidth="1"/>
    <col min="1300" max="1300" width="13.85546875" style="1652" customWidth="1"/>
    <col min="1301" max="1301" width="6.85546875" style="1652" customWidth="1"/>
    <col min="1302" max="1302" width="23" style="1652" customWidth="1"/>
    <col min="1303" max="1304" width="8.85546875" style="1652"/>
    <col min="1305" max="1305" width="12.28515625" style="1652" customWidth="1"/>
    <col min="1306" max="1306" width="22" style="1652" customWidth="1"/>
    <col min="1307" max="1309" width="13.28515625" style="1652" bestFit="1" customWidth="1"/>
    <col min="1310" max="1310" width="21.7109375" style="1652" customWidth="1"/>
    <col min="1311" max="1311" width="18.7109375" style="1652" bestFit="1" customWidth="1"/>
    <col min="1312" max="1313" width="19" style="1652" bestFit="1" customWidth="1"/>
    <col min="1314" max="1320" width="13.28515625" style="1652" bestFit="1" customWidth="1"/>
    <col min="1321" max="1321" width="14.140625" style="1652" bestFit="1" customWidth="1"/>
    <col min="1322" max="1323" width="15.7109375" style="1652" bestFit="1" customWidth="1"/>
    <col min="1324" max="1326" width="14.140625" style="1652" bestFit="1" customWidth="1"/>
    <col min="1327" max="1328" width="15.7109375" style="1652" bestFit="1" customWidth="1"/>
    <col min="1329" max="1330" width="14.140625" style="1652" bestFit="1" customWidth="1"/>
    <col min="1331" max="1349" width="8.85546875" style="1652"/>
    <col min="1350" max="1350" width="10" style="1652" bestFit="1" customWidth="1"/>
    <col min="1351" max="1510" width="8.85546875" style="1652"/>
    <col min="1511" max="1511" width="43.85546875" style="1652" customWidth="1"/>
    <col min="1512" max="1512" width="7.140625" style="1652" customWidth="1"/>
    <col min="1513" max="1513" width="15.5703125" style="1652" customWidth="1"/>
    <col min="1514" max="1514" width="23.140625" style="1652" customWidth="1"/>
    <col min="1515" max="1515" width="15.140625" style="1652" customWidth="1"/>
    <col min="1516" max="1516" width="14.85546875" style="1652" customWidth="1"/>
    <col min="1517" max="1517" width="16.28515625" style="1652" customWidth="1"/>
    <col min="1518" max="1518" width="20.85546875" style="1652" customWidth="1"/>
    <col min="1519" max="1519" width="14.140625" style="1652" customWidth="1"/>
    <col min="1520" max="1520" width="15.7109375" style="1652" bestFit="1" customWidth="1"/>
    <col min="1521" max="1521" width="13.42578125" style="1652" bestFit="1" customWidth="1"/>
    <col min="1522" max="1522" width="17.7109375" style="1652" customWidth="1"/>
    <col min="1523" max="1524" width="13.28515625" style="1652" customWidth="1"/>
    <col min="1525" max="1525" width="11.5703125" style="1652" customWidth="1"/>
    <col min="1526" max="1526" width="16.85546875" style="1652" customWidth="1"/>
    <col min="1527" max="1527" width="13.85546875" style="1652" customWidth="1"/>
    <col min="1528" max="1528" width="15.140625" style="1652" customWidth="1"/>
    <col min="1529" max="1529" width="16.7109375" style="1652" customWidth="1"/>
    <col min="1530" max="1530" width="21.7109375" style="1652" customWidth="1"/>
    <col min="1531" max="1532" width="16.7109375" style="1652" customWidth="1"/>
    <col min="1533" max="1533" width="15" style="1652" customWidth="1"/>
    <col min="1534" max="1534" width="21.7109375" style="1652" customWidth="1"/>
    <col min="1535" max="1535" width="14.140625" style="1652" customWidth="1"/>
    <col min="1536" max="1536" width="13.85546875" style="1652" customWidth="1"/>
    <col min="1537" max="1537" width="12.140625" style="1652" customWidth="1"/>
    <col min="1538" max="1538" width="20.140625" style="1652" customWidth="1"/>
    <col min="1539" max="1539" width="15" style="1652" customWidth="1"/>
    <col min="1540" max="1540" width="12.140625" style="1652" customWidth="1"/>
    <col min="1541" max="1541" width="12" style="1652" customWidth="1"/>
    <col min="1542" max="1542" width="17.5703125" style="1652" customWidth="1"/>
    <col min="1543" max="1543" width="16.5703125" style="1652" customWidth="1"/>
    <col min="1544" max="1544" width="12.5703125" style="1652" customWidth="1"/>
    <col min="1545" max="1545" width="24.85546875" style="1652" customWidth="1"/>
    <col min="1546" max="1546" width="25.42578125" style="1652" customWidth="1"/>
    <col min="1547" max="1548" width="13.5703125" style="1652" customWidth="1"/>
    <col min="1549" max="1549" width="18.7109375" style="1652" customWidth="1"/>
    <col min="1550" max="1550" width="24.5703125" style="1652" customWidth="1"/>
    <col min="1551" max="1551" width="18.5703125" style="1652" customWidth="1"/>
    <col min="1552" max="1552" width="13.28515625" style="1652" customWidth="1"/>
    <col min="1553" max="1553" width="13.140625" style="1652" customWidth="1"/>
    <col min="1554" max="1554" width="18.7109375" style="1652" customWidth="1"/>
    <col min="1555" max="1555" width="12.42578125" style="1652" customWidth="1"/>
    <col min="1556" max="1556" width="13.85546875" style="1652" customWidth="1"/>
    <col min="1557" max="1557" width="6.85546875" style="1652" customWidth="1"/>
    <col min="1558" max="1558" width="23" style="1652" customWidth="1"/>
    <col min="1559" max="1560" width="8.85546875" style="1652"/>
    <col min="1561" max="1561" width="12.28515625" style="1652" customWidth="1"/>
    <col min="1562" max="1562" width="22" style="1652" customWidth="1"/>
    <col min="1563" max="1565" width="13.28515625" style="1652" bestFit="1" customWidth="1"/>
    <col min="1566" max="1566" width="21.7109375" style="1652" customWidth="1"/>
    <col min="1567" max="1567" width="18.7109375" style="1652" bestFit="1" customWidth="1"/>
    <col min="1568" max="1569" width="19" style="1652" bestFit="1" customWidth="1"/>
    <col min="1570" max="1576" width="13.28515625" style="1652" bestFit="1" customWidth="1"/>
    <col min="1577" max="1577" width="14.140625" style="1652" bestFit="1" customWidth="1"/>
    <col min="1578" max="1579" width="15.7109375" style="1652" bestFit="1" customWidth="1"/>
    <col min="1580" max="1582" width="14.140625" style="1652" bestFit="1" customWidth="1"/>
    <col min="1583" max="1584" width="15.7109375" style="1652" bestFit="1" customWidth="1"/>
    <col min="1585" max="1586" width="14.140625" style="1652" bestFit="1" customWidth="1"/>
    <col min="1587" max="1605" width="8.85546875" style="1652"/>
    <col min="1606" max="1606" width="10" style="1652" bestFit="1" customWidth="1"/>
    <col min="1607" max="1766" width="8.85546875" style="1652"/>
    <col min="1767" max="1767" width="43.85546875" style="1652" customWidth="1"/>
    <col min="1768" max="1768" width="7.140625" style="1652" customWidth="1"/>
    <col min="1769" max="1769" width="15.5703125" style="1652" customWidth="1"/>
    <col min="1770" max="1770" width="23.140625" style="1652" customWidth="1"/>
    <col min="1771" max="1771" width="15.140625" style="1652" customWidth="1"/>
    <col min="1772" max="1772" width="14.85546875" style="1652" customWidth="1"/>
    <col min="1773" max="1773" width="16.28515625" style="1652" customWidth="1"/>
    <col min="1774" max="1774" width="20.85546875" style="1652" customWidth="1"/>
    <col min="1775" max="1775" width="14.140625" style="1652" customWidth="1"/>
    <col min="1776" max="1776" width="15.7109375" style="1652" bestFit="1" customWidth="1"/>
    <col min="1777" max="1777" width="13.42578125" style="1652" bestFit="1" customWidth="1"/>
    <col min="1778" max="1778" width="17.7109375" style="1652" customWidth="1"/>
    <col min="1779" max="1780" width="13.28515625" style="1652" customWidth="1"/>
    <col min="1781" max="1781" width="11.5703125" style="1652" customWidth="1"/>
    <col min="1782" max="1782" width="16.85546875" style="1652" customWidth="1"/>
    <col min="1783" max="1783" width="13.85546875" style="1652" customWidth="1"/>
    <col min="1784" max="1784" width="15.140625" style="1652" customWidth="1"/>
    <col min="1785" max="1785" width="16.7109375" style="1652" customWidth="1"/>
    <col min="1786" max="1786" width="21.7109375" style="1652" customWidth="1"/>
    <col min="1787" max="1788" width="16.7109375" style="1652" customWidth="1"/>
    <col min="1789" max="1789" width="15" style="1652" customWidth="1"/>
    <col min="1790" max="1790" width="21.7109375" style="1652" customWidth="1"/>
    <col min="1791" max="1791" width="14.140625" style="1652" customWidth="1"/>
    <col min="1792" max="1792" width="13.85546875" style="1652" customWidth="1"/>
    <col min="1793" max="1793" width="12.140625" style="1652" customWidth="1"/>
    <col min="1794" max="1794" width="20.140625" style="1652" customWidth="1"/>
    <col min="1795" max="1795" width="15" style="1652" customWidth="1"/>
    <col min="1796" max="1796" width="12.140625" style="1652" customWidth="1"/>
    <col min="1797" max="1797" width="12" style="1652" customWidth="1"/>
    <col min="1798" max="1798" width="17.5703125" style="1652" customWidth="1"/>
    <col min="1799" max="1799" width="16.5703125" style="1652" customWidth="1"/>
    <col min="1800" max="1800" width="12.5703125" style="1652" customWidth="1"/>
    <col min="1801" max="1801" width="24.85546875" style="1652" customWidth="1"/>
    <col min="1802" max="1802" width="25.42578125" style="1652" customWidth="1"/>
    <col min="1803" max="1804" width="13.5703125" style="1652" customWidth="1"/>
    <col min="1805" max="1805" width="18.7109375" style="1652" customWidth="1"/>
    <col min="1806" max="1806" width="24.5703125" style="1652" customWidth="1"/>
    <col min="1807" max="1807" width="18.5703125" style="1652" customWidth="1"/>
    <col min="1808" max="1808" width="13.28515625" style="1652" customWidth="1"/>
    <col min="1809" max="1809" width="13.140625" style="1652" customWidth="1"/>
    <col min="1810" max="1810" width="18.7109375" style="1652" customWidth="1"/>
    <col min="1811" max="1811" width="12.42578125" style="1652" customWidth="1"/>
    <col min="1812" max="1812" width="13.85546875" style="1652" customWidth="1"/>
    <col min="1813" max="1813" width="6.85546875" style="1652" customWidth="1"/>
    <col min="1814" max="1814" width="23" style="1652" customWidth="1"/>
    <col min="1815" max="1816" width="8.85546875" style="1652"/>
    <col min="1817" max="1817" width="12.28515625" style="1652" customWidth="1"/>
    <col min="1818" max="1818" width="22" style="1652" customWidth="1"/>
    <col min="1819" max="1821" width="13.28515625" style="1652" bestFit="1" customWidth="1"/>
    <col min="1822" max="1822" width="21.7109375" style="1652" customWidth="1"/>
    <col min="1823" max="1823" width="18.7109375" style="1652" bestFit="1" customWidth="1"/>
    <col min="1824" max="1825" width="19" style="1652" bestFit="1" customWidth="1"/>
    <col min="1826" max="1832" width="13.28515625" style="1652" bestFit="1" customWidth="1"/>
    <col min="1833" max="1833" width="14.140625" style="1652" bestFit="1" customWidth="1"/>
    <col min="1834" max="1835" width="15.7109375" style="1652" bestFit="1" customWidth="1"/>
    <col min="1836" max="1838" width="14.140625" style="1652" bestFit="1" customWidth="1"/>
    <col min="1839" max="1840" width="15.7109375" style="1652" bestFit="1" customWidth="1"/>
    <col min="1841" max="1842" width="14.140625" style="1652" bestFit="1" customWidth="1"/>
    <col min="1843" max="1861" width="8.85546875" style="1652"/>
    <col min="1862" max="1862" width="10" style="1652" bestFit="1" customWidth="1"/>
    <col min="1863" max="2022" width="8.85546875" style="1652"/>
    <col min="2023" max="2023" width="43.85546875" style="1652" customWidth="1"/>
    <col min="2024" max="2024" width="7.140625" style="1652" customWidth="1"/>
    <col min="2025" max="2025" width="15.5703125" style="1652" customWidth="1"/>
    <col min="2026" max="2026" width="23.140625" style="1652" customWidth="1"/>
    <col min="2027" max="2027" width="15.140625" style="1652" customWidth="1"/>
    <col min="2028" max="2028" width="14.85546875" style="1652" customWidth="1"/>
    <col min="2029" max="2029" width="16.28515625" style="1652" customWidth="1"/>
    <col min="2030" max="2030" width="20.85546875" style="1652" customWidth="1"/>
    <col min="2031" max="2031" width="14.140625" style="1652" customWidth="1"/>
    <col min="2032" max="2032" width="15.7109375" style="1652" bestFit="1" customWidth="1"/>
    <col min="2033" max="2033" width="13.42578125" style="1652" bestFit="1" customWidth="1"/>
    <col min="2034" max="2034" width="17.7109375" style="1652" customWidth="1"/>
    <col min="2035" max="2036" width="13.28515625" style="1652" customWidth="1"/>
    <col min="2037" max="2037" width="11.5703125" style="1652" customWidth="1"/>
    <col min="2038" max="2038" width="16.85546875" style="1652" customWidth="1"/>
    <col min="2039" max="2039" width="13.85546875" style="1652" customWidth="1"/>
    <col min="2040" max="2040" width="15.140625" style="1652" customWidth="1"/>
    <col min="2041" max="2041" width="16.7109375" style="1652" customWidth="1"/>
    <col min="2042" max="2042" width="21.7109375" style="1652" customWidth="1"/>
    <col min="2043" max="2044" width="16.7109375" style="1652" customWidth="1"/>
    <col min="2045" max="2045" width="15" style="1652" customWidth="1"/>
    <col min="2046" max="2046" width="21.7109375" style="1652" customWidth="1"/>
    <col min="2047" max="2047" width="14.140625" style="1652" customWidth="1"/>
    <col min="2048" max="2048" width="13.85546875" style="1652" customWidth="1"/>
    <col min="2049" max="2049" width="12.140625" style="1652" customWidth="1"/>
    <col min="2050" max="2050" width="20.140625" style="1652" customWidth="1"/>
    <col min="2051" max="2051" width="15" style="1652" customWidth="1"/>
    <col min="2052" max="2052" width="12.140625" style="1652" customWidth="1"/>
    <col min="2053" max="2053" width="12" style="1652" customWidth="1"/>
    <col min="2054" max="2054" width="17.5703125" style="1652" customWidth="1"/>
    <col min="2055" max="2055" width="16.5703125" style="1652" customWidth="1"/>
    <col min="2056" max="2056" width="12.5703125" style="1652" customWidth="1"/>
    <col min="2057" max="2057" width="24.85546875" style="1652" customWidth="1"/>
    <col min="2058" max="2058" width="25.42578125" style="1652" customWidth="1"/>
    <col min="2059" max="2060" width="13.5703125" style="1652" customWidth="1"/>
    <col min="2061" max="2061" width="18.7109375" style="1652" customWidth="1"/>
    <col min="2062" max="2062" width="24.5703125" style="1652" customWidth="1"/>
    <col min="2063" max="2063" width="18.5703125" style="1652" customWidth="1"/>
    <col min="2064" max="2064" width="13.28515625" style="1652" customWidth="1"/>
    <col min="2065" max="2065" width="13.140625" style="1652" customWidth="1"/>
    <col min="2066" max="2066" width="18.7109375" style="1652" customWidth="1"/>
    <col min="2067" max="2067" width="12.42578125" style="1652" customWidth="1"/>
    <col min="2068" max="2068" width="13.85546875" style="1652" customWidth="1"/>
    <col min="2069" max="2069" width="6.85546875" style="1652" customWidth="1"/>
    <col min="2070" max="2070" width="23" style="1652" customWidth="1"/>
    <col min="2071" max="2072" width="8.85546875" style="1652"/>
    <col min="2073" max="2073" width="12.28515625" style="1652" customWidth="1"/>
    <col min="2074" max="2074" width="22" style="1652" customWidth="1"/>
    <col min="2075" max="2077" width="13.28515625" style="1652" bestFit="1" customWidth="1"/>
    <col min="2078" max="2078" width="21.7109375" style="1652" customWidth="1"/>
    <col min="2079" max="2079" width="18.7109375" style="1652" bestFit="1" customWidth="1"/>
    <col min="2080" max="2081" width="19" style="1652" bestFit="1" customWidth="1"/>
    <col min="2082" max="2088" width="13.28515625" style="1652" bestFit="1" customWidth="1"/>
    <col min="2089" max="2089" width="14.140625" style="1652" bestFit="1" customWidth="1"/>
    <col min="2090" max="2091" width="15.7109375" style="1652" bestFit="1" customWidth="1"/>
    <col min="2092" max="2094" width="14.140625" style="1652" bestFit="1" customWidth="1"/>
    <col min="2095" max="2096" width="15.7109375" style="1652" bestFit="1" customWidth="1"/>
    <col min="2097" max="2098" width="14.140625" style="1652" bestFit="1" customWidth="1"/>
    <col min="2099" max="2117" width="8.85546875" style="1652"/>
    <col min="2118" max="2118" width="10" style="1652" bestFit="1" customWidth="1"/>
    <col min="2119" max="2278" width="8.85546875" style="1652"/>
    <col min="2279" max="2279" width="43.85546875" style="1652" customWidth="1"/>
    <col min="2280" max="2280" width="7.140625" style="1652" customWidth="1"/>
    <col min="2281" max="2281" width="15.5703125" style="1652" customWidth="1"/>
    <col min="2282" max="2282" width="23.140625" style="1652" customWidth="1"/>
    <col min="2283" max="2283" width="15.140625" style="1652" customWidth="1"/>
    <col min="2284" max="2284" width="14.85546875" style="1652" customWidth="1"/>
    <col min="2285" max="2285" width="16.28515625" style="1652" customWidth="1"/>
    <col min="2286" max="2286" width="20.85546875" style="1652" customWidth="1"/>
    <col min="2287" max="2287" width="14.140625" style="1652" customWidth="1"/>
    <col min="2288" max="2288" width="15.7109375" style="1652" bestFit="1" customWidth="1"/>
    <col min="2289" max="2289" width="13.42578125" style="1652" bestFit="1" customWidth="1"/>
    <col min="2290" max="2290" width="17.7109375" style="1652" customWidth="1"/>
    <col min="2291" max="2292" width="13.28515625" style="1652" customWidth="1"/>
    <col min="2293" max="2293" width="11.5703125" style="1652" customWidth="1"/>
    <col min="2294" max="2294" width="16.85546875" style="1652" customWidth="1"/>
    <col min="2295" max="2295" width="13.85546875" style="1652" customWidth="1"/>
    <col min="2296" max="2296" width="15.140625" style="1652" customWidth="1"/>
    <col min="2297" max="2297" width="16.7109375" style="1652" customWidth="1"/>
    <col min="2298" max="2298" width="21.7109375" style="1652" customWidth="1"/>
    <col min="2299" max="2300" width="16.7109375" style="1652" customWidth="1"/>
    <col min="2301" max="2301" width="15" style="1652" customWidth="1"/>
    <col min="2302" max="2302" width="21.7109375" style="1652" customWidth="1"/>
    <col min="2303" max="2303" width="14.140625" style="1652" customWidth="1"/>
    <col min="2304" max="2304" width="13.85546875" style="1652" customWidth="1"/>
    <col min="2305" max="2305" width="12.140625" style="1652" customWidth="1"/>
    <col min="2306" max="2306" width="20.140625" style="1652" customWidth="1"/>
    <col min="2307" max="2307" width="15" style="1652" customWidth="1"/>
    <col min="2308" max="2308" width="12.140625" style="1652" customWidth="1"/>
    <col min="2309" max="2309" width="12" style="1652" customWidth="1"/>
    <col min="2310" max="2310" width="17.5703125" style="1652" customWidth="1"/>
    <col min="2311" max="2311" width="16.5703125" style="1652" customWidth="1"/>
    <col min="2312" max="2312" width="12.5703125" style="1652" customWidth="1"/>
    <col min="2313" max="2313" width="24.85546875" style="1652" customWidth="1"/>
    <col min="2314" max="2314" width="25.42578125" style="1652" customWidth="1"/>
    <col min="2315" max="2316" width="13.5703125" style="1652" customWidth="1"/>
    <col min="2317" max="2317" width="18.7109375" style="1652" customWidth="1"/>
    <col min="2318" max="2318" width="24.5703125" style="1652" customWidth="1"/>
    <col min="2319" max="2319" width="18.5703125" style="1652" customWidth="1"/>
    <col min="2320" max="2320" width="13.28515625" style="1652" customWidth="1"/>
    <col min="2321" max="2321" width="13.140625" style="1652" customWidth="1"/>
    <col min="2322" max="2322" width="18.7109375" style="1652" customWidth="1"/>
    <col min="2323" max="2323" width="12.42578125" style="1652" customWidth="1"/>
    <col min="2324" max="2324" width="13.85546875" style="1652" customWidth="1"/>
    <col min="2325" max="2325" width="6.85546875" style="1652" customWidth="1"/>
    <col min="2326" max="2326" width="23" style="1652" customWidth="1"/>
    <col min="2327" max="2328" width="8.85546875" style="1652"/>
    <col min="2329" max="2329" width="12.28515625" style="1652" customWidth="1"/>
    <col min="2330" max="2330" width="22" style="1652" customWidth="1"/>
    <col min="2331" max="2333" width="13.28515625" style="1652" bestFit="1" customWidth="1"/>
    <col min="2334" max="2334" width="21.7109375" style="1652" customWidth="1"/>
    <col min="2335" max="2335" width="18.7109375" style="1652" bestFit="1" customWidth="1"/>
    <col min="2336" max="2337" width="19" style="1652" bestFit="1" customWidth="1"/>
    <col min="2338" max="2344" width="13.28515625" style="1652" bestFit="1" customWidth="1"/>
    <col min="2345" max="2345" width="14.140625" style="1652" bestFit="1" customWidth="1"/>
    <col min="2346" max="2347" width="15.7109375" style="1652" bestFit="1" customWidth="1"/>
    <col min="2348" max="2350" width="14.140625" style="1652" bestFit="1" customWidth="1"/>
    <col min="2351" max="2352" width="15.7109375" style="1652" bestFit="1" customWidth="1"/>
    <col min="2353" max="2354" width="14.140625" style="1652" bestFit="1" customWidth="1"/>
    <col min="2355" max="2373" width="8.85546875" style="1652"/>
    <col min="2374" max="2374" width="10" style="1652" bestFit="1" customWidth="1"/>
    <col min="2375" max="2534" width="8.85546875" style="1652"/>
    <col min="2535" max="2535" width="43.85546875" style="1652" customWidth="1"/>
    <col min="2536" max="2536" width="7.140625" style="1652" customWidth="1"/>
    <col min="2537" max="2537" width="15.5703125" style="1652" customWidth="1"/>
    <col min="2538" max="2538" width="23.140625" style="1652" customWidth="1"/>
    <col min="2539" max="2539" width="15.140625" style="1652" customWidth="1"/>
    <col min="2540" max="2540" width="14.85546875" style="1652" customWidth="1"/>
    <col min="2541" max="2541" width="16.28515625" style="1652" customWidth="1"/>
    <col min="2542" max="2542" width="20.85546875" style="1652" customWidth="1"/>
    <col min="2543" max="2543" width="14.140625" style="1652" customWidth="1"/>
    <col min="2544" max="2544" width="15.7109375" style="1652" bestFit="1" customWidth="1"/>
    <col min="2545" max="2545" width="13.42578125" style="1652" bestFit="1" customWidth="1"/>
    <col min="2546" max="2546" width="17.7109375" style="1652" customWidth="1"/>
    <col min="2547" max="2548" width="13.28515625" style="1652" customWidth="1"/>
    <col min="2549" max="2549" width="11.5703125" style="1652" customWidth="1"/>
    <col min="2550" max="2550" width="16.85546875" style="1652" customWidth="1"/>
    <col min="2551" max="2551" width="13.85546875" style="1652" customWidth="1"/>
    <col min="2552" max="2552" width="15.140625" style="1652" customWidth="1"/>
    <col min="2553" max="2553" width="16.7109375" style="1652" customWidth="1"/>
    <col min="2554" max="2554" width="21.7109375" style="1652" customWidth="1"/>
    <col min="2555" max="2556" width="16.7109375" style="1652" customWidth="1"/>
    <col min="2557" max="2557" width="15" style="1652" customWidth="1"/>
    <col min="2558" max="2558" width="21.7109375" style="1652" customWidth="1"/>
    <col min="2559" max="2559" width="14.140625" style="1652" customWidth="1"/>
    <col min="2560" max="2560" width="13.85546875" style="1652" customWidth="1"/>
    <col min="2561" max="2561" width="12.140625" style="1652" customWidth="1"/>
    <col min="2562" max="2562" width="20.140625" style="1652" customWidth="1"/>
    <col min="2563" max="2563" width="15" style="1652" customWidth="1"/>
    <col min="2564" max="2564" width="12.140625" style="1652" customWidth="1"/>
    <col min="2565" max="2565" width="12" style="1652" customWidth="1"/>
    <col min="2566" max="2566" width="17.5703125" style="1652" customWidth="1"/>
    <col min="2567" max="2567" width="16.5703125" style="1652" customWidth="1"/>
    <col min="2568" max="2568" width="12.5703125" style="1652" customWidth="1"/>
    <col min="2569" max="2569" width="24.85546875" style="1652" customWidth="1"/>
    <col min="2570" max="2570" width="25.42578125" style="1652" customWidth="1"/>
    <col min="2571" max="2572" width="13.5703125" style="1652" customWidth="1"/>
    <col min="2573" max="2573" width="18.7109375" style="1652" customWidth="1"/>
    <col min="2574" max="2574" width="24.5703125" style="1652" customWidth="1"/>
    <col min="2575" max="2575" width="18.5703125" style="1652" customWidth="1"/>
    <col min="2576" max="2576" width="13.28515625" style="1652" customWidth="1"/>
    <col min="2577" max="2577" width="13.140625" style="1652" customWidth="1"/>
    <col min="2578" max="2578" width="18.7109375" style="1652" customWidth="1"/>
    <col min="2579" max="2579" width="12.42578125" style="1652" customWidth="1"/>
    <col min="2580" max="2580" width="13.85546875" style="1652" customWidth="1"/>
    <col min="2581" max="2581" width="6.85546875" style="1652" customWidth="1"/>
    <col min="2582" max="2582" width="23" style="1652" customWidth="1"/>
    <col min="2583" max="2584" width="8.85546875" style="1652"/>
    <col min="2585" max="2585" width="12.28515625" style="1652" customWidth="1"/>
    <col min="2586" max="2586" width="22" style="1652" customWidth="1"/>
    <col min="2587" max="2589" width="13.28515625" style="1652" bestFit="1" customWidth="1"/>
    <col min="2590" max="2590" width="21.7109375" style="1652" customWidth="1"/>
    <col min="2591" max="2591" width="18.7109375" style="1652" bestFit="1" customWidth="1"/>
    <col min="2592" max="2593" width="19" style="1652" bestFit="1" customWidth="1"/>
    <col min="2594" max="2600" width="13.28515625" style="1652" bestFit="1" customWidth="1"/>
    <col min="2601" max="2601" width="14.140625" style="1652" bestFit="1" customWidth="1"/>
    <col min="2602" max="2603" width="15.7109375" style="1652" bestFit="1" customWidth="1"/>
    <col min="2604" max="2606" width="14.140625" style="1652" bestFit="1" customWidth="1"/>
    <col min="2607" max="2608" width="15.7109375" style="1652" bestFit="1" customWidth="1"/>
    <col min="2609" max="2610" width="14.140625" style="1652" bestFit="1" customWidth="1"/>
    <col min="2611" max="2629" width="8.85546875" style="1652"/>
    <col min="2630" max="2630" width="10" style="1652" bestFit="1" customWidth="1"/>
    <col min="2631" max="2790" width="8.85546875" style="1652"/>
    <col min="2791" max="2791" width="43.85546875" style="1652" customWidth="1"/>
    <col min="2792" max="2792" width="7.140625" style="1652" customWidth="1"/>
    <col min="2793" max="2793" width="15.5703125" style="1652" customWidth="1"/>
    <col min="2794" max="2794" width="23.140625" style="1652" customWidth="1"/>
    <col min="2795" max="2795" width="15.140625" style="1652" customWidth="1"/>
    <col min="2796" max="2796" width="14.85546875" style="1652" customWidth="1"/>
    <col min="2797" max="2797" width="16.28515625" style="1652" customWidth="1"/>
    <col min="2798" max="2798" width="20.85546875" style="1652" customWidth="1"/>
    <col min="2799" max="2799" width="14.140625" style="1652" customWidth="1"/>
    <col min="2800" max="2800" width="15.7109375" style="1652" bestFit="1" customWidth="1"/>
    <col min="2801" max="2801" width="13.42578125" style="1652" bestFit="1" customWidth="1"/>
    <col min="2802" max="2802" width="17.7109375" style="1652" customWidth="1"/>
    <col min="2803" max="2804" width="13.28515625" style="1652" customWidth="1"/>
    <col min="2805" max="2805" width="11.5703125" style="1652" customWidth="1"/>
    <col min="2806" max="2806" width="16.85546875" style="1652" customWidth="1"/>
    <col min="2807" max="2807" width="13.85546875" style="1652" customWidth="1"/>
    <col min="2808" max="2808" width="15.140625" style="1652" customWidth="1"/>
    <col min="2809" max="2809" width="16.7109375" style="1652" customWidth="1"/>
    <col min="2810" max="2810" width="21.7109375" style="1652" customWidth="1"/>
    <col min="2811" max="2812" width="16.7109375" style="1652" customWidth="1"/>
    <col min="2813" max="2813" width="15" style="1652" customWidth="1"/>
    <col min="2814" max="2814" width="21.7109375" style="1652" customWidth="1"/>
    <col min="2815" max="2815" width="14.140625" style="1652" customWidth="1"/>
    <col min="2816" max="2816" width="13.85546875" style="1652" customWidth="1"/>
    <col min="2817" max="2817" width="12.140625" style="1652" customWidth="1"/>
    <col min="2818" max="2818" width="20.140625" style="1652" customWidth="1"/>
    <col min="2819" max="2819" width="15" style="1652" customWidth="1"/>
    <col min="2820" max="2820" width="12.140625" style="1652" customWidth="1"/>
    <col min="2821" max="2821" width="12" style="1652" customWidth="1"/>
    <col min="2822" max="2822" width="17.5703125" style="1652" customWidth="1"/>
    <col min="2823" max="2823" width="16.5703125" style="1652" customWidth="1"/>
    <col min="2824" max="2824" width="12.5703125" style="1652" customWidth="1"/>
    <col min="2825" max="2825" width="24.85546875" style="1652" customWidth="1"/>
    <col min="2826" max="2826" width="25.42578125" style="1652" customWidth="1"/>
    <col min="2827" max="2828" width="13.5703125" style="1652" customWidth="1"/>
    <col min="2829" max="2829" width="18.7109375" style="1652" customWidth="1"/>
    <col min="2830" max="2830" width="24.5703125" style="1652" customWidth="1"/>
    <col min="2831" max="2831" width="18.5703125" style="1652" customWidth="1"/>
    <col min="2832" max="2832" width="13.28515625" style="1652" customWidth="1"/>
    <col min="2833" max="2833" width="13.140625" style="1652" customWidth="1"/>
    <col min="2834" max="2834" width="18.7109375" style="1652" customWidth="1"/>
    <col min="2835" max="2835" width="12.42578125" style="1652" customWidth="1"/>
    <col min="2836" max="2836" width="13.85546875" style="1652" customWidth="1"/>
    <col min="2837" max="2837" width="6.85546875" style="1652" customWidth="1"/>
    <col min="2838" max="2838" width="23" style="1652" customWidth="1"/>
    <col min="2839" max="2840" width="8.85546875" style="1652"/>
    <col min="2841" max="2841" width="12.28515625" style="1652" customWidth="1"/>
    <col min="2842" max="2842" width="22" style="1652" customWidth="1"/>
    <col min="2843" max="2845" width="13.28515625" style="1652" bestFit="1" customWidth="1"/>
    <col min="2846" max="2846" width="21.7109375" style="1652" customWidth="1"/>
    <col min="2847" max="2847" width="18.7109375" style="1652" bestFit="1" customWidth="1"/>
    <col min="2848" max="2849" width="19" style="1652" bestFit="1" customWidth="1"/>
    <col min="2850" max="2856" width="13.28515625" style="1652" bestFit="1" customWidth="1"/>
    <col min="2857" max="2857" width="14.140625" style="1652" bestFit="1" customWidth="1"/>
    <col min="2858" max="2859" width="15.7109375" style="1652" bestFit="1" customWidth="1"/>
    <col min="2860" max="2862" width="14.140625" style="1652" bestFit="1" customWidth="1"/>
    <col min="2863" max="2864" width="15.7109375" style="1652" bestFit="1" customWidth="1"/>
    <col min="2865" max="2866" width="14.140625" style="1652" bestFit="1" customWidth="1"/>
    <col min="2867" max="2885" width="8.85546875" style="1652"/>
    <col min="2886" max="2886" width="10" style="1652" bestFit="1" customWidth="1"/>
    <col min="2887" max="3046" width="8.85546875" style="1652"/>
    <col min="3047" max="3047" width="43.85546875" style="1652" customWidth="1"/>
    <col min="3048" max="3048" width="7.140625" style="1652" customWidth="1"/>
    <col min="3049" max="3049" width="15.5703125" style="1652" customWidth="1"/>
    <col min="3050" max="3050" width="23.140625" style="1652" customWidth="1"/>
    <col min="3051" max="3051" width="15.140625" style="1652" customWidth="1"/>
    <col min="3052" max="3052" width="14.85546875" style="1652" customWidth="1"/>
    <col min="3053" max="3053" width="16.28515625" style="1652" customWidth="1"/>
    <col min="3054" max="3054" width="20.85546875" style="1652" customWidth="1"/>
    <col min="3055" max="3055" width="14.140625" style="1652" customWidth="1"/>
    <col min="3056" max="3056" width="15.7109375" style="1652" bestFit="1" customWidth="1"/>
    <col min="3057" max="3057" width="13.42578125" style="1652" bestFit="1" customWidth="1"/>
    <col min="3058" max="3058" width="17.7109375" style="1652" customWidth="1"/>
    <col min="3059" max="3060" width="13.28515625" style="1652" customWidth="1"/>
    <col min="3061" max="3061" width="11.5703125" style="1652" customWidth="1"/>
    <col min="3062" max="3062" width="16.85546875" style="1652" customWidth="1"/>
    <col min="3063" max="3063" width="13.85546875" style="1652" customWidth="1"/>
    <col min="3064" max="3064" width="15.140625" style="1652" customWidth="1"/>
    <col min="3065" max="3065" width="16.7109375" style="1652" customWidth="1"/>
    <col min="3066" max="3066" width="21.7109375" style="1652" customWidth="1"/>
    <col min="3067" max="3068" width="16.7109375" style="1652" customWidth="1"/>
    <col min="3069" max="3069" width="15" style="1652" customWidth="1"/>
    <col min="3070" max="3070" width="21.7109375" style="1652" customWidth="1"/>
    <col min="3071" max="3071" width="14.140625" style="1652" customWidth="1"/>
    <col min="3072" max="3072" width="13.85546875" style="1652" customWidth="1"/>
    <col min="3073" max="3073" width="12.140625" style="1652" customWidth="1"/>
    <col min="3074" max="3074" width="20.140625" style="1652" customWidth="1"/>
    <col min="3075" max="3075" width="15" style="1652" customWidth="1"/>
    <col min="3076" max="3076" width="12.140625" style="1652" customWidth="1"/>
    <col min="3077" max="3077" width="12" style="1652" customWidth="1"/>
    <col min="3078" max="3078" width="17.5703125" style="1652" customWidth="1"/>
    <col min="3079" max="3079" width="16.5703125" style="1652" customWidth="1"/>
    <col min="3080" max="3080" width="12.5703125" style="1652" customWidth="1"/>
    <col min="3081" max="3081" width="24.85546875" style="1652" customWidth="1"/>
    <col min="3082" max="3082" width="25.42578125" style="1652" customWidth="1"/>
    <col min="3083" max="3084" width="13.5703125" style="1652" customWidth="1"/>
    <col min="3085" max="3085" width="18.7109375" style="1652" customWidth="1"/>
    <col min="3086" max="3086" width="24.5703125" style="1652" customWidth="1"/>
    <col min="3087" max="3087" width="18.5703125" style="1652" customWidth="1"/>
    <col min="3088" max="3088" width="13.28515625" style="1652" customWidth="1"/>
    <col min="3089" max="3089" width="13.140625" style="1652" customWidth="1"/>
    <col min="3090" max="3090" width="18.7109375" style="1652" customWidth="1"/>
    <col min="3091" max="3091" width="12.42578125" style="1652" customWidth="1"/>
    <col min="3092" max="3092" width="13.85546875" style="1652" customWidth="1"/>
    <col min="3093" max="3093" width="6.85546875" style="1652" customWidth="1"/>
    <col min="3094" max="3094" width="23" style="1652" customWidth="1"/>
    <col min="3095" max="3096" width="8.85546875" style="1652"/>
    <col min="3097" max="3097" width="12.28515625" style="1652" customWidth="1"/>
    <col min="3098" max="3098" width="22" style="1652" customWidth="1"/>
    <col min="3099" max="3101" width="13.28515625" style="1652" bestFit="1" customWidth="1"/>
    <col min="3102" max="3102" width="21.7109375" style="1652" customWidth="1"/>
    <col min="3103" max="3103" width="18.7109375" style="1652" bestFit="1" customWidth="1"/>
    <col min="3104" max="3105" width="19" style="1652" bestFit="1" customWidth="1"/>
    <col min="3106" max="3112" width="13.28515625" style="1652" bestFit="1" customWidth="1"/>
    <col min="3113" max="3113" width="14.140625" style="1652" bestFit="1" customWidth="1"/>
    <col min="3114" max="3115" width="15.7109375" style="1652" bestFit="1" customWidth="1"/>
    <col min="3116" max="3118" width="14.140625" style="1652" bestFit="1" customWidth="1"/>
    <col min="3119" max="3120" width="15.7109375" style="1652" bestFit="1" customWidth="1"/>
    <col min="3121" max="3122" width="14.140625" style="1652" bestFit="1" customWidth="1"/>
    <col min="3123" max="3141" width="8.85546875" style="1652"/>
    <col min="3142" max="3142" width="10" style="1652" bestFit="1" customWidth="1"/>
    <col min="3143" max="3302" width="8.85546875" style="1652"/>
    <col min="3303" max="3303" width="43.85546875" style="1652" customWidth="1"/>
    <col min="3304" max="3304" width="7.140625" style="1652" customWidth="1"/>
    <col min="3305" max="3305" width="15.5703125" style="1652" customWidth="1"/>
    <col min="3306" max="3306" width="23.140625" style="1652" customWidth="1"/>
    <col min="3307" max="3307" width="15.140625" style="1652" customWidth="1"/>
    <col min="3308" max="3308" width="14.85546875" style="1652" customWidth="1"/>
    <col min="3309" max="3309" width="16.28515625" style="1652" customWidth="1"/>
    <col min="3310" max="3310" width="20.85546875" style="1652" customWidth="1"/>
    <col min="3311" max="3311" width="14.140625" style="1652" customWidth="1"/>
    <col min="3312" max="3312" width="15.7109375" style="1652" bestFit="1" customWidth="1"/>
    <col min="3313" max="3313" width="13.42578125" style="1652" bestFit="1" customWidth="1"/>
    <col min="3314" max="3314" width="17.7109375" style="1652" customWidth="1"/>
    <col min="3315" max="3316" width="13.28515625" style="1652" customWidth="1"/>
    <col min="3317" max="3317" width="11.5703125" style="1652" customWidth="1"/>
    <col min="3318" max="3318" width="16.85546875" style="1652" customWidth="1"/>
    <col min="3319" max="3319" width="13.85546875" style="1652" customWidth="1"/>
    <col min="3320" max="3320" width="15.140625" style="1652" customWidth="1"/>
    <col min="3321" max="3321" width="16.7109375" style="1652" customWidth="1"/>
    <col min="3322" max="3322" width="21.7109375" style="1652" customWidth="1"/>
    <col min="3323" max="3324" width="16.7109375" style="1652" customWidth="1"/>
    <col min="3325" max="3325" width="15" style="1652" customWidth="1"/>
    <col min="3326" max="3326" width="21.7109375" style="1652" customWidth="1"/>
    <col min="3327" max="3327" width="14.140625" style="1652" customWidth="1"/>
    <col min="3328" max="3328" width="13.85546875" style="1652" customWidth="1"/>
    <col min="3329" max="3329" width="12.140625" style="1652" customWidth="1"/>
    <col min="3330" max="3330" width="20.140625" style="1652" customWidth="1"/>
    <col min="3331" max="3331" width="15" style="1652" customWidth="1"/>
    <col min="3332" max="3332" width="12.140625" style="1652" customWidth="1"/>
    <col min="3333" max="3333" width="12" style="1652" customWidth="1"/>
    <col min="3334" max="3334" width="17.5703125" style="1652" customWidth="1"/>
    <col min="3335" max="3335" width="16.5703125" style="1652" customWidth="1"/>
    <col min="3336" max="3336" width="12.5703125" style="1652" customWidth="1"/>
    <col min="3337" max="3337" width="24.85546875" style="1652" customWidth="1"/>
    <col min="3338" max="3338" width="25.42578125" style="1652" customWidth="1"/>
    <col min="3339" max="3340" width="13.5703125" style="1652" customWidth="1"/>
    <col min="3341" max="3341" width="18.7109375" style="1652" customWidth="1"/>
    <col min="3342" max="3342" width="24.5703125" style="1652" customWidth="1"/>
    <col min="3343" max="3343" width="18.5703125" style="1652" customWidth="1"/>
    <col min="3344" max="3344" width="13.28515625" style="1652" customWidth="1"/>
    <col min="3345" max="3345" width="13.140625" style="1652" customWidth="1"/>
    <col min="3346" max="3346" width="18.7109375" style="1652" customWidth="1"/>
    <col min="3347" max="3347" width="12.42578125" style="1652" customWidth="1"/>
    <col min="3348" max="3348" width="13.85546875" style="1652" customWidth="1"/>
    <col min="3349" max="3349" width="6.85546875" style="1652" customWidth="1"/>
    <col min="3350" max="3350" width="23" style="1652" customWidth="1"/>
    <col min="3351" max="3352" width="8.85546875" style="1652"/>
    <col min="3353" max="3353" width="12.28515625" style="1652" customWidth="1"/>
    <col min="3354" max="3354" width="22" style="1652" customWidth="1"/>
    <col min="3355" max="3357" width="13.28515625" style="1652" bestFit="1" customWidth="1"/>
    <col min="3358" max="3358" width="21.7109375" style="1652" customWidth="1"/>
    <col min="3359" max="3359" width="18.7109375" style="1652" bestFit="1" customWidth="1"/>
    <col min="3360" max="3361" width="19" style="1652" bestFit="1" customWidth="1"/>
    <col min="3362" max="3368" width="13.28515625" style="1652" bestFit="1" customWidth="1"/>
    <col min="3369" max="3369" width="14.140625" style="1652" bestFit="1" customWidth="1"/>
    <col min="3370" max="3371" width="15.7109375" style="1652" bestFit="1" customWidth="1"/>
    <col min="3372" max="3374" width="14.140625" style="1652" bestFit="1" customWidth="1"/>
    <col min="3375" max="3376" width="15.7109375" style="1652" bestFit="1" customWidth="1"/>
    <col min="3377" max="3378" width="14.140625" style="1652" bestFit="1" customWidth="1"/>
    <col min="3379" max="3397" width="8.85546875" style="1652"/>
    <col min="3398" max="3398" width="10" style="1652" bestFit="1" customWidth="1"/>
    <col min="3399" max="3558" width="8.85546875" style="1652"/>
    <col min="3559" max="3559" width="43.85546875" style="1652" customWidth="1"/>
    <col min="3560" max="3560" width="7.140625" style="1652" customWidth="1"/>
    <col min="3561" max="3561" width="15.5703125" style="1652" customWidth="1"/>
    <col min="3562" max="3562" width="23.140625" style="1652" customWidth="1"/>
    <col min="3563" max="3563" width="15.140625" style="1652" customWidth="1"/>
    <col min="3564" max="3564" width="14.85546875" style="1652" customWidth="1"/>
    <col min="3565" max="3565" width="16.28515625" style="1652" customWidth="1"/>
    <col min="3566" max="3566" width="20.85546875" style="1652" customWidth="1"/>
    <col min="3567" max="3567" width="14.140625" style="1652" customWidth="1"/>
    <col min="3568" max="3568" width="15.7109375" style="1652" bestFit="1" customWidth="1"/>
    <col min="3569" max="3569" width="13.42578125" style="1652" bestFit="1" customWidth="1"/>
    <col min="3570" max="3570" width="17.7109375" style="1652" customWidth="1"/>
    <col min="3571" max="3572" width="13.28515625" style="1652" customWidth="1"/>
    <col min="3573" max="3573" width="11.5703125" style="1652" customWidth="1"/>
    <col min="3574" max="3574" width="16.85546875" style="1652" customWidth="1"/>
    <col min="3575" max="3575" width="13.85546875" style="1652" customWidth="1"/>
    <col min="3576" max="3576" width="15.140625" style="1652" customWidth="1"/>
    <col min="3577" max="3577" width="16.7109375" style="1652" customWidth="1"/>
    <col min="3578" max="3578" width="21.7109375" style="1652" customWidth="1"/>
    <col min="3579" max="3580" width="16.7109375" style="1652" customWidth="1"/>
    <col min="3581" max="3581" width="15" style="1652" customWidth="1"/>
    <col min="3582" max="3582" width="21.7109375" style="1652" customWidth="1"/>
    <col min="3583" max="3583" width="14.140625" style="1652" customWidth="1"/>
    <col min="3584" max="3584" width="13.85546875" style="1652" customWidth="1"/>
    <col min="3585" max="3585" width="12.140625" style="1652" customWidth="1"/>
    <col min="3586" max="3586" width="20.140625" style="1652" customWidth="1"/>
    <col min="3587" max="3587" width="15" style="1652" customWidth="1"/>
    <col min="3588" max="3588" width="12.140625" style="1652" customWidth="1"/>
    <col min="3589" max="3589" width="12" style="1652" customWidth="1"/>
    <col min="3590" max="3590" width="17.5703125" style="1652" customWidth="1"/>
    <col min="3591" max="3591" width="16.5703125" style="1652" customWidth="1"/>
    <col min="3592" max="3592" width="12.5703125" style="1652" customWidth="1"/>
    <col min="3593" max="3593" width="24.85546875" style="1652" customWidth="1"/>
    <col min="3594" max="3594" width="25.42578125" style="1652" customWidth="1"/>
    <col min="3595" max="3596" width="13.5703125" style="1652" customWidth="1"/>
    <col min="3597" max="3597" width="18.7109375" style="1652" customWidth="1"/>
    <col min="3598" max="3598" width="24.5703125" style="1652" customWidth="1"/>
    <col min="3599" max="3599" width="18.5703125" style="1652" customWidth="1"/>
    <col min="3600" max="3600" width="13.28515625" style="1652" customWidth="1"/>
    <col min="3601" max="3601" width="13.140625" style="1652" customWidth="1"/>
    <col min="3602" max="3602" width="18.7109375" style="1652" customWidth="1"/>
    <col min="3603" max="3603" width="12.42578125" style="1652" customWidth="1"/>
    <col min="3604" max="3604" width="13.85546875" style="1652" customWidth="1"/>
    <col min="3605" max="3605" width="6.85546875" style="1652" customWidth="1"/>
    <col min="3606" max="3606" width="23" style="1652" customWidth="1"/>
    <col min="3607" max="3608" width="8.85546875" style="1652"/>
    <col min="3609" max="3609" width="12.28515625" style="1652" customWidth="1"/>
    <col min="3610" max="3610" width="22" style="1652" customWidth="1"/>
    <col min="3611" max="3613" width="13.28515625" style="1652" bestFit="1" customWidth="1"/>
    <col min="3614" max="3614" width="21.7109375" style="1652" customWidth="1"/>
    <col min="3615" max="3615" width="18.7109375" style="1652" bestFit="1" customWidth="1"/>
    <col min="3616" max="3617" width="19" style="1652" bestFit="1" customWidth="1"/>
    <col min="3618" max="3624" width="13.28515625" style="1652" bestFit="1" customWidth="1"/>
    <col min="3625" max="3625" width="14.140625" style="1652" bestFit="1" customWidth="1"/>
    <col min="3626" max="3627" width="15.7109375" style="1652" bestFit="1" customWidth="1"/>
    <col min="3628" max="3630" width="14.140625" style="1652" bestFit="1" customWidth="1"/>
    <col min="3631" max="3632" width="15.7109375" style="1652" bestFit="1" customWidth="1"/>
    <col min="3633" max="3634" width="14.140625" style="1652" bestFit="1" customWidth="1"/>
    <col min="3635" max="3653" width="8.85546875" style="1652"/>
    <col min="3654" max="3654" width="10" style="1652" bestFit="1" customWidth="1"/>
    <col min="3655" max="3814" width="8.85546875" style="1652"/>
    <col min="3815" max="3815" width="43.85546875" style="1652" customWidth="1"/>
    <col min="3816" max="3816" width="7.140625" style="1652" customWidth="1"/>
    <col min="3817" max="3817" width="15.5703125" style="1652" customWidth="1"/>
    <col min="3818" max="3818" width="23.140625" style="1652" customWidth="1"/>
    <col min="3819" max="3819" width="15.140625" style="1652" customWidth="1"/>
    <col min="3820" max="3820" width="14.85546875" style="1652" customWidth="1"/>
    <col min="3821" max="3821" width="16.28515625" style="1652" customWidth="1"/>
    <col min="3822" max="3822" width="20.85546875" style="1652" customWidth="1"/>
    <col min="3823" max="3823" width="14.140625" style="1652" customWidth="1"/>
    <col min="3824" max="3824" width="15.7109375" style="1652" bestFit="1" customWidth="1"/>
    <col min="3825" max="3825" width="13.42578125" style="1652" bestFit="1" customWidth="1"/>
    <col min="3826" max="3826" width="17.7109375" style="1652" customWidth="1"/>
    <col min="3827" max="3828" width="13.28515625" style="1652" customWidth="1"/>
    <col min="3829" max="3829" width="11.5703125" style="1652" customWidth="1"/>
    <col min="3830" max="3830" width="16.85546875" style="1652" customWidth="1"/>
    <col min="3831" max="3831" width="13.85546875" style="1652" customWidth="1"/>
    <col min="3832" max="3832" width="15.140625" style="1652" customWidth="1"/>
    <col min="3833" max="3833" width="16.7109375" style="1652" customWidth="1"/>
    <col min="3834" max="3834" width="21.7109375" style="1652" customWidth="1"/>
    <col min="3835" max="3836" width="16.7109375" style="1652" customWidth="1"/>
    <col min="3837" max="3837" width="15" style="1652" customWidth="1"/>
    <col min="3838" max="3838" width="21.7109375" style="1652" customWidth="1"/>
    <col min="3839" max="3839" width="14.140625" style="1652" customWidth="1"/>
    <col min="3840" max="3840" width="13.85546875" style="1652" customWidth="1"/>
    <col min="3841" max="3841" width="12.140625" style="1652" customWidth="1"/>
    <col min="3842" max="3842" width="20.140625" style="1652" customWidth="1"/>
    <col min="3843" max="3843" width="15" style="1652" customWidth="1"/>
    <col min="3844" max="3844" width="12.140625" style="1652" customWidth="1"/>
    <col min="3845" max="3845" width="12" style="1652" customWidth="1"/>
    <col min="3846" max="3846" width="17.5703125" style="1652" customWidth="1"/>
    <col min="3847" max="3847" width="16.5703125" style="1652" customWidth="1"/>
    <col min="3848" max="3848" width="12.5703125" style="1652" customWidth="1"/>
    <col min="3849" max="3849" width="24.85546875" style="1652" customWidth="1"/>
    <col min="3850" max="3850" width="25.42578125" style="1652" customWidth="1"/>
    <col min="3851" max="3852" width="13.5703125" style="1652" customWidth="1"/>
    <col min="3853" max="3853" width="18.7109375" style="1652" customWidth="1"/>
    <col min="3854" max="3854" width="24.5703125" style="1652" customWidth="1"/>
    <col min="3855" max="3855" width="18.5703125" style="1652" customWidth="1"/>
    <col min="3856" max="3856" width="13.28515625" style="1652" customWidth="1"/>
    <col min="3857" max="3857" width="13.140625" style="1652" customWidth="1"/>
    <col min="3858" max="3858" width="18.7109375" style="1652" customWidth="1"/>
    <col min="3859" max="3859" width="12.42578125" style="1652" customWidth="1"/>
    <col min="3860" max="3860" width="13.85546875" style="1652" customWidth="1"/>
    <col min="3861" max="3861" width="6.85546875" style="1652" customWidth="1"/>
    <col min="3862" max="3862" width="23" style="1652" customWidth="1"/>
    <col min="3863" max="3864" width="8.85546875" style="1652"/>
    <col min="3865" max="3865" width="12.28515625" style="1652" customWidth="1"/>
    <col min="3866" max="3866" width="22" style="1652" customWidth="1"/>
    <col min="3867" max="3869" width="13.28515625" style="1652" bestFit="1" customWidth="1"/>
    <col min="3870" max="3870" width="21.7109375" style="1652" customWidth="1"/>
    <col min="3871" max="3871" width="18.7109375" style="1652" bestFit="1" customWidth="1"/>
    <col min="3872" max="3873" width="19" style="1652" bestFit="1" customWidth="1"/>
    <col min="3874" max="3880" width="13.28515625" style="1652" bestFit="1" customWidth="1"/>
    <col min="3881" max="3881" width="14.140625" style="1652" bestFit="1" customWidth="1"/>
    <col min="3882" max="3883" width="15.7109375" style="1652" bestFit="1" customWidth="1"/>
    <col min="3884" max="3886" width="14.140625" style="1652" bestFit="1" customWidth="1"/>
    <col min="3887" max="3888" width="15.7109375" style="1652" bestFit="1" customWidth="1"/>
    <col min="3889" max="3890" width="14.140625" style="1652" bestFit="1" customWidth="1"/>
    <col min="3891" max="3909" width="8.85546875" style="1652"/>
    <col min="3910" max="3910" width="10" style="1652" bestFit="1" customWidth="1"/>
    <col min="3911" max="4070" width="8.85546875" style="1652"/>
    <col min="4071" max="4071" width="43.85546875" style="1652" customWidth="1"/>
    <col min="4072" max="4072" width="7.140625" style="1652" customWidth="1"/>
    <col min="4073" max="4073" width="15.5703125" style="1652" customWidth="1"/>
    <col min="4074" max="4074" width="23.140625" style="1652" customWidth="1"/>
    <col min="4075" max="4075" width="15.140625" style="1652" customWidth="1"/>
    <col min="4076" max="4076" width="14.85546875" style="1652" customWidth="1"/>
    <col min="4077" max="4077" width="16.28515625" style="1652" customWidth="1"/>
    <col min="4078" max="4078" width="20.85546875" style="1652" customWidth="1"/>
    <col min="4079" max="4079" width="14.140625" style="1652" customWidth="1"/>
    <col min="4080" max="4080" width="15.7109375" style="1652" bestFit="1" customWidth="1"/>
    <col min="4081" max="4081" width="13.42578125" style="1652" bestFit="1" customWidth="1"/>
    <col min="4082" max="4082" width="17.7109375" style="1652" customWidth="1"/>
    <col min="4083" max="4084" width="13.28515625" style="1652" customWidth="1"/>
    <col min="4085" max="4085" width="11.5703125" style="1652" customWidth="1"/>
    <col min="4086" max="4086" width="16.85546875" style="1652" customWidth="1"/>
    <col min="4087" max="4087" width="13.85546875" style="1652" customWidth="1"/>
    <col min="4088" max="4088" width="15.140625" style="1652" customWidth="1"/>
    <col min="4089" max="4089" width="16.7109375" style="1652" customWidth="1"/>
    <col min="4090" max="4090" width="21.7109375" style="1652" customWidth="1"/>
    <col min="4091" max="4092" width="16.7109375" style="1652" customWidth="1"/>
    <col min="4093" max="4093" width="15" style="1652" customWidth="1"/>
    <col min="4094" max="4094" width="21.7109375" style="1652" customWidth="1"/>
    <col min="4095" max="4095" width="14.140625" style="1652" customWidth="1"/>
    <col min="4096" max="4096" width="13.85546875" style="1652" customWidth="1"/>
    <col min="4097" max="4097" width="12.140625" style="1652" customWidth="1"/>
    <col min="4098" max="4098" width="20.140625" style="1652" customWidth="1"/>
    <col min="4099" max="4099" width="15" style="1652" customWidth="1"/>
    <col min="4100" max="4100" width="12.140625" style="1652" customWidth="1"/>
    <col min="4101" max="4101" width="12" style="1652" customWidth="1"/>
    <col min="4102" max="4102" width="17.5703125" style="1652" customWidth="1"/>
    <col min="4103" max="4103" width="16.5703125" style="1652" customWidth="1"/>
    <col min="4104" max="4104" width="12.5703125" style="1652" customWidth="1"/>
    <col min="4105" max="4105" width="24.85546875" style="1652" customWidth="1"/>
    <col min="4106" max="4106" width="25.42578125" style="1652" customWidth="1"/>
    <col min="4107" max="4108" width="13.5703125" style="1652" customWidth="1"/>
    <col min="4109" max="4109" width="18.7109375" style="1652" customWidth="1"/>
    <col min="4110" max="4110" width="24.5703125" style="1652" customWidth="1"/>
    <col min="4111" max="4111" width="18.5703125" style="1652" customWidth="1"/>
    <col min="4112" max="4112" width="13.28515625" style="1652" customWidth="1"/>
    <col min="4113" max="4113" width="13.140625" style="1652" customWidth="1"/>
    <col min="4114" max="4114" width="18.7109375" style="1652" customWidth="1"/>
    <col min="4115" max="4115" width="12.42578125" style="1652" customWidth="1"/>
    <col min="4116" max="4116" width="13.85546875" style="1652" customWidth="1"/>
    <col min="4117" max="4117" width="6.85546875" style="1652" customWidth="1"/>
    <col min="4118" max="4118" width="23" style="1652" customWidth="1"/>
    <col min="4119" max="4120" width="8.85546875" style="1652"/>
    <col min="4121" max="4121" width="12.28515625" style="1652" customWidth="1"/>
    <col min="4122" max="4122" width="22" style="1652" customWidth="1"/>
    <col min="4123" max="4125" width="13.28515625" style="1652" bestFit="1" customWidth="1"/>
    <col min="4126" max="4126" width="21.7109375" style="1652" customWidth="1"/>
    <col min="4127" max="4127" width="18.7109375" style="1652" bestFit="1" customWidth="1"/>
    <col min="4128" max="4129" width="19" style="1652" bestFit="1" customWidth="1"/>
    <col min="4130" max="4136" width="13.28515625" style="1652" bestFit="1" customWidth="1"/>
    <col min="4137" max="4137" width="14.140625" style="1652" bestFit="1" customWidth="1"/>
    <col min="4138" max="4139" width="15.7109375" style="1652" bestFit="1" customWidth="1"/>
    <col min="4140" max="4142" width="14.140625" style="1652" bestFit="1" customWidth="1"/>
    <col min="4143" max="4144" width="15.7109375" style="1652" bestFit="1" customWidth="1"/>
    <col min="4145" max="4146" width="14.140625" style="1652" bestFit="1" customWidth="1"/>
    <col min="4147" max="4165" width="8.85546875" style="1652"/>
    <col min="4166" max="4166" width="10" style="1652" bestFit="1" customWidth="1"/>
    <col min="4167" max="4326" width="8.85546875" style="1652"/>
    <col min="4327" max="4327" width="43.85546875" style="1652" customWidth="1"/>
    <col min="4328" max="4328" width="7.140625" style="1652" customWidth="1"/>
    <col min="4329" max="4329" width="15.5703125" style="1652" customWidth="1"/>
    <col min="4330" max="4330" width="23.140625" style="1652" customWidth="1"/>
    <col min="4331" max="4331" width="15.140625" style="1652" customWidth="1"/>
    <col min="4332" max="4332" width="14.85546875" style="1652" customWidth="1"/>
    <col min="4333" max="4333" width="16.28515625" style="1652" customWidth="1"/>
    <col min="4334" max="4334" width="20.85546875" style="1652" customWidth="1"/>
    <col min="4335" max="4335" width="14.140625" style="1652" customWidth="1"/>
    <col min="4336" max="4336" width="15.7109375" style="1652" bestFit="1" customWidth="1"/>
    <col min="4337" max="4337" width="13.42578125" style="1652" bestFit="1" customWidth="1"/>
    <col min="4338" max="4338" width="17.7109375" style="1652" customWidth="1"/>
    <col min="4339" max="4340" width="13.28515625" style="1652" customWidth="1"/>
    <col min="4341" max="4341" width="11.5703125" style="1652" customWidth="1"/>
    <col min="4342" max="4342" width="16.85546875" style="1652" customWidth="1"/>
    <col min="4343" max="4343" width="13.85546875" style="1652" customWidth="1"/>
    <col min="4344" max="4344" width="15.140625" style="1652" customWidth="1"/>
    <col min="4345" max="4345" width="16.7109375" style="1652" customWidth="1"/>
    <col min="4346" max="4346" width="21.7109375" style="1652" customWidth="1"/>
    <col min="4347" max="4348" width="16.7109375" style="1652" customWidth="1"/>
    <col min="4349" max="4349" width="15" style="1652" customWidth="1"/>
    <col min="4350" max="4350" width="21.7109375" style="1652" customWidth="1"/>
    <col min="4351" max="4351" width="14.140625" style="1652" customWidth="1"/>
    <col min="4352" max="4352" width="13.85546875" style="1652" customWidth="1"/>
    <col min="4353" max="4353" width="12.140625" style="1652" customWidth="1"/>
    <col min="4354" max="4354" width="20.140625" style="1652" customWidth="1"/>
    <col min="4355" max="4355" width="15" style="1652" customWidth="1"/>
    <col min="4356" max="4356" width="12.140625" style="1652" customWidth="1"/>
    <col min="4357" max="4357" width="12" style="1652" customWidth="1"/>
    <col min="4358" max="4358" width="17.5703125" style="1652" customWidth="1"/>
    <col min="4359" max="4359" width="16.5703125" style="1652" customWidth="1"/>
    <col min="4360" max="4360" width="12.5703125" style="1652" customWidth="1"/>
    <col min="4361" max="4361" width="24.85546875" style="1652" customWidth="1"/>
    <col min="4362" max="4362" width="25.42578125" style="1652" customWidth="1"/>
    <col min="4363" max="4364" width="13.5703125" style="1652" customWidth="1"/>
    <col min="4365" max="4365" width="18.7109375" style="1652" customWidth="1"/>
    <col min="4366" max="4366" width="24.5703125" style="1652" customWidth="1"/>
    <col min="4367" max="4367" width="18.5703125" style="1652" customWidth="1"/>
    <col min="4368" max="4368" width="13.28515625" style="1652" customWidth="1"/>
    <col min="4369" max="4369" width="13.140625" style="1652" customWidth="1"/>
    <col min="4370" max="4370" width="18.7109375" style="1652" customWidth="1"/>
    <col min="4371" max="4371" width="12.42578125" style="1652" customWidth="1"/>
    <col min="4372" max="4372" width="13.85546875" style="1652" customWidth="1"/>
    <col min="4373" max="4373" width="6.85546875" style="1652" customWidth="1"/>
    <col min="4374" max="4374" width="23" style="1652" customWidth="1"/>
    <col min="4375" max="4376" width="8.85546875" style="1652"/>
    <col min="4377" max="4377" width="12.28515625" style="1652" customWidth="1"/>
    <col min="4378" max="4378" width="22" style="1652" customWidth="1"/>
    <col min="4379" max="4381" width="13.28515625" style="1652" bestFit="1" customWidth="1"/>
    <col min="4382" max="4382" width="21.7109375" style="1652" customWidth="1"/>
    <col min="4383" max="4383" width="18.7109375" style="1652" bestFit="1" customWidth="1"/>
    <col min="4384" max="4385" width="19" style="1652" bestFit="1" customWidth="1"/>
    <col min="4386" max="4392" width="13.28515625" style="1652" bestFit="1" customWidth="1"/>
    <col min="4393" max="4393" width="14.140625" style="1652" bestFit="1" customWidth="1"/>
    <col min="4394" max="4395" width="15.7109375" style="1652" bestFit="1" customWidth="1"/>
    <col min="4396" max="4398" width="14.140625" style="1652" bestFit="1" customWidth="1"/>
    <col min="4399" max="4400" width="15.7109375" style="1652" bestFit="1" customWidth="1"/>
    <col min="4401" max="4402" width="14.140625" style="1652" bestFit="1" customWidth="1"/>
    <col min="4403" max="4421" width="8.85546875" style="1652"/>
    <col min="4422" max="4422" width="10" style="1652" bestFit="1" customWidth="1"/>
    <col min="4423" max="4582" width="8.85546875" style="1652"/>
    <col min="4583" max="4583" width="43.85546875" style="1652" customWidth="1"/>
    <col min="4584" max="4584" width="7.140625" style="1652" customWidth="1"/>
    <col min="4585" max="4585" width="15.5703125" style="1652" customWidth="1"/>
    <col min="4586" max="4586" width="23.140625" style="1652" customWidth="1"/>
    <col min="4587" max="4587" width="15.140625" style="1652" customWidth="1"/>
    <col min="4588" max="4588" width="14.85546875" style="1652" customWidth="1"/>
    <col min="4589" max="4589" width="16.28515625" style="1652" customWidth="1"/>
    <col min="4590" max="4590" width="20.85546875" style="1652" customWidth="1"/>
    <col min="4591" max="4591" width="14.140625" style="1652" customWidth="1"/>
    <col min="4592" max="4592" width="15.7109375" style="1652" bestFit="1" customWidth="1"/>
    <col min="4593" max="4593" width="13.42578125" style="1652" bestFit="1" customWidth="1"/>
    <col min="4594" max="4594" width="17.7109375" style="1652" customWidth="1"/>
    <col min="4595" max="4596" width="13.28515625" style="1652" customWidth="1"/>
    <col min="4597" max="4597" width="11.5703125" style="1652" customWidth="1"/>
    <col min="4598" max="4598" width="16.85546875" style="1652" customWidth="1"/>
    <col min="4599" max="4599" width="13.85546875" style="1652" customWidth="1"/>
    <col min="4600" max="4600" width="15.140625" style="1652" customWidth="1"/>
    <col min="4601" max="4601" width="16.7109375" style="1652" customWidth="1"/>
    <col min="4602" max="4602" width="21.7109375" style="1652" customWidth="1"/>
    <col min="4603" max="4604" width="16.7109375" style="1652" customWidth="1"/>
    <col min="4605" max="4605" width="15" style="1652" customWidth="1"/>
    <col min="4606" max="4606" width="21.7109375" style="1652" customWidth="1"/>
    <col min="4607" max="4607" width="14.140625" style="1652" customWidth="1"/>
    <col min="4608" max="4608" width="13.85546875" style="1652" customWidth="1"/>
    <col min="4609" max="4609" width="12.140625" style="1652" customWidth="1"/>
    <col min="4610" max="4610" width="20.140625" style="1652" customWidth="1"/>
    <col min="4611" max="4611" width="15" style="1652" customWidth="1"/>
    <col min="4612" max="4612" width="12.140625" style="1652" customWidth="1"/>
    <col min="4613" max="4613" width="12" style="1652" customWidth="1"/>
    <col min="4614" max="4614" width="17.5703125" style="1652" customWidth="1"/>
    <col min="4615" max="4615" width="16.5703125" style="1652" customWidth="1"/>
    <col min="4616" max="4616" width="12.5703125" style="1652" customWidth="1"/>
    <col min="4617" max="4617" width="24.85546875" style="1652" customWidth="1"/>
    <col min="4618" max="4618" width="25.42578125" style="1652" customWidth="1"/>
    <col min="4619" max="4620" width="13.5703125" style="1652" customWidth="1"/>
    <col min="4621" max="4621" width="18.7109375" style="1652" customWidth="1"/>
    <col min="4622" max="4622" width="24.5703125" style="1652" customWidth="1"/>
    <col min="4623" max="4623" width="18.5703125" style="1652" customWidth="1"/>
    <col min="4624" max="4624" width="13.28515625" style="1652" customWidth="1"/>
    <col min="4625" max="4625" width="13.140625" style="1652" customWidth="1"/>
    <col min="4626" max="4626" width="18.7109375" style="1652" customWidth="1"/>
    <col min="4627" max="4627" width="12.42578125" style="1652" customWidth="1"/>
    <col min="4628" max="4628" width="13.85546875" style="1652" customWidth="1"/>
    <col min="4629" max="4629" width="6.85546875" style="1652" customWidth="1"/>
    <col min="4630" max="4630" width="23" style="1652" customWidth="1"/>
    <col min="4631" max="4632" width="8.85546875" style="1652"/>
    <col min="4633" max="4633" width="12.28515625" style="1652" customWidth="1"/>
    <col min="4634" max="4634" width="22" style="1652" customWidth="1"/>
    <col min="4635" max="4637" width="13.28515625" style="1652" bestFit="1" customWidth="1"/>
    <col min="4638" max="4638" width="21.7109375" style="1652" customWidth="1"/>
    <col min="4639" max="4639" width="18.7109375" style="1652" bestFit="1" customWidth="1"/>
    <col min="4640" max="4641" width="19" style="1652" bestFit="1" customWidth="1"/>
    <col min="4642" max="4648" width="13.28515625" style="1652" bestFit="1" customWidth="1"/>
    <col min="4649" max="4649" width="14.140625" style="1652" bestFit="1" customWidth="1"/>
    <col min="4650" max="4651" width="15.7109375" style="1652" bestFit="1" customWidth="1"/>
    <col min="4652" max="4654" width="14.140625" style="1652" bestFit="1" customWidth="1"/>
    <col min="4655" max="4656" width="15.7109375" style="1652" bestFit="1" customWidth="1"/>
    <col min="4657" max="4658" width="14.140625" style="1652" bestFit="1" customWidth="1"/>
    <col min="4659" max="4677" width="8.85546875" style="1652"/>
    <col min="4678" max="4678" width="10" style="1652" bestFit="1" customWidth="1"/>
    <col min="4679" max="4838" width="8.85546875" style="1652"/>
    <col min="4839" max="4839" width="43.85546875" style="1652" customWidth="1"/>
    <col min="4840" max="4840" width="7.140625" style="1652" customWidth="1"/>
    <col min="4841" max="4841" width="15.5703125" style="1652" customWidth="1"/>
    <col min="4842" max="4842" width="23.140625" style="1652" customWidth="1"/>
    <col min="4843" max="4843" width="15.140625" style="1652" customWidth="1"/>
    <col min="4844" max="4844" width="14.85546875" style="1652" customWidth="1"/>
    <col min="4845" max="4845" width="16.28515625" style="1652" customWidth="1"/>
    <col min="4846" max="4846" width="20.85546875" style="1652" customWidth="1"/>
    <col min="4847" max="4847" width="14.140625" style="1652" customWidth="1"/>
    <col min="4848" max="4848" width="15.7109375" style="1652" bestFit="1" customWidth="1"/>
    <col min="4849" max="4849" width="13.42578125" style="1652" bestFit="1" customWidth="1"/>
    <col min="4850" max="4850" width="17.7109375" style="1652" customWidth="1"/>
    <col min="4851" max="4852" width="13.28515625" style="1652" customWidth="1"/>
    <col min="4853" max="4853" width="11.5703125" style="1652" customWidth="1"/>
    <col min="4854" max="4854" width="16.85546875" style="1652" customWidth="1"/>
    <col min="4855" max="4855" width="13.85546875" style="1652" customWidth="1"/>
    <col min="4856" max="4856" width="15.140625" style="1652" customWidth="1"/>
    <col min="4857" max="4857" width="16.7109375" style="1652" customWidth="1"/>
    <col min="4858" max="4858" width="21.7109375" style="1652" customWidth="1"/>
    <col min="4859" max="4860" width="16.7109375" style="1652" customWidth="1"/>
    <col min="4861" max="4861" width="15" style="1652" customWidth="1"/>
    <col min="4862" max="4862" width="21.7109375" style="1652" customWidth="1"/>
    <col min="4863" max="4863" width="14.140625" style="1652" customWidth="1"/>
    <col min="4864" max="4864" width="13.85546875" style="1652" customWidth="1"/>
    <col min="4865" max="4865" width="12.140625" style="1652" customWidth="1"/>
    <col min="4866" max="4866" width="20.140625" style="1652" customWidth="1"/>
    <col min="4867" max="4867" width="15" style="1652" customWidth="1"/>
    <col min="4868" max="4868" width="12.140625" style="1652" customWidth="1"/>
    <col min="4869" max="4869" width="12" style="1652" customWidth="1"/>
    <col min="4870" max="4870" width="17.5703125" style="1652" customWidth="1"/>
    <col min="4871" max="4871" width="16.5703125" style="1652" customWidth="1"/>
    <col min="4872" max="4872" width="12.5703125" style="1652" customWidth="1"/>
    <col min="4873" max="4873" width="24.85546875" style="1652" customWidth="1"/>
    <col min="4874" max="4874" width="25.42578125" style="1652" customWidth="1"/>
    <col min="4875" max="4876" width="13.5703125" style="1652" customWidth="1"/>
    <col min="4877" max="4877" width="18.7109375" style="1652" customWidth="1"/>
    <col min="4878" max="4878" width="24.5703125" style="1652" customWidth="1"/>
    <col min="4879" max="4879" width="18.5703125" style="1652" customWidth="1"/>
    <col min="4880" max="4880" width="13.28515625" style="1652" customWidth="1"/>
    <col min="4881" max="4881" width="13.140625" style="1652" customWidth="1"/>
    <col min="4882" max="4882" width="18.7109375" style="1652" customWidth="1"/>
    <col min="4883" max="4883" width="12.42578125" style="1652" customWidth="1"/>
    <col min="4884" max="4884" width="13.85546875" style="1652" customWidth="1"/>
    <col min="4885" max="4885" width="6.85546875" style="1652" customWidth="1"/>
    <col min="4886" max="4886" width="23" style="1652" customWidth="1"/>
    <col min="4887" max="4888" width="8.85546875" style="1652"/>
    <col min="4889" max="4889" width="12.28515625" style="1652" customWidth="1"/>
    <col min="4890" max="4890" width="22" style="1652" customWidth="1"/>
    <col min="4891" max="4893" width="13.28515625" style="1652" bestFit="1" customWidth="1"/>
    <col min="4894" max="4894" width="21.7109375" style="1652" customWidth="1"/>
    <col min="4895" max="4895" width="18.7109375" style="1652" bestFit="1" customWidth="1"/>
    <col min="4896" max="4897" width="19" style="1652" bestFit="1" customWidth="1"/>
    <col min="4898" max="4904" width="13.28515625" style="1652" bestFit="1" customWidth="1"/>
    <col min="4905" max="4905" width="14.140625" style="1652" bestFit="1" customWidth="1"/>
    <col min="4906" max="4907" width="15.7109375" style="1652" bestFit="1" customWidth="1"/>
    <col min="4908" max="4910" width="14.140625" style="1652" bestFit="1" customWidth="1"/>
    <col min="4911" max="4912" width="15.7109375" style="1652" bestFit="1" customWidth="1"/>
    <col min="4913" max="4914" width="14.140625" style="1652" bestFit="1" customWidth="1"/>
    <col min="4915" max="4933" width="8.85546875" style="1652"/>
    <col min="4934" max="4934" width="10" style="1652" bestFit="1" customWidth="1"/>
    <col min="4935" max="5094" width="8.85546875" style="1652"/>
    <col min="5095" max="5095" width="43.85546875" style="1652" customWidth="1"/>
    <col min="5096" max="5096" width="7.140625" style="1652" customWidth="1"/>
    <col min="5097" max="5097" width="15.5703125" style="1652" customWidth="1"/>
    <col min="5098" max="5098" width="23.140625" style="1652" customWidth="1"/>
    <col min="5099" max="5099" width="15.140625" style="1652" customWidth="1"/>
    <col min="5100" max="5100" width="14.85546875" style="1652" customWidth="1"/>
    <col min="5101" max="5101" width="16.28515625" style="1652" customWidth="1"/>
    <col min="5102" max="5102" width="20.85546875" style="1652" customWidth="1"/>
    <col min="5103" max="5103" width="14.140625" style="1652" customWidth="1"/>
    <col min="5104" max="5104" width="15.7109375" style="1652" bestFit="1" customWidth="1"/>
    <col min="5105" max="5105" width="13.42578125" style="1652" bestFit="1" customWidth="1"/>
    <col min="5106" max="5106" width="17.7109375" style="1652" customWidth="1"/>
    <col min="5107" max="5108" width="13.28515625" style="1652" customWidth="1"/>
    <col min="5109" max="5109" width="11.5703125" style="1652" customWidth="1"/>
    <col min="5110" max="5110" width="16.85546875" style="1652" customWidth="1"/>
    <col min="5111" max="5111" width="13.85546875" style="1652" customWidth="1"/>
    <col min="5112" max="5112" width="15.140625" style="1652" customWidth="1"/>
    <col min="5113" max="5113" width="16.7109375" style="1652" customWidth="1"/>
    <col min="5114" max="5114" width="21.7109375" style="1652" customWidth="1"/>
    <col min="5115" max="5116" width="16.7109375" style="1652" customWidth="1"/>
    <col min="5117" max="5117" width="15" style="1652" customWidth="1"/>
    <col min="5118" max="5118" width="21.7109375" style="1652" customWidth="1"/>
    <col min="5119" max="5119" width="14.140625" style="1652" customWidth="1"/>
    <col min="5120" max="5120" width="13.85546875" style="1652" customWidth="1"/>
    <col min="5121" max="5121" width="12.140625" style="1652" customWidth="1"/>
    <col min="5122" max="5122" width="20.140625" style="1652" customWidth="1"/>
    <col min="5123" max="5123" width="15" style="1652" customWidth="1"/>
    <col min="5124" max="5124" width="12.140625" style="1652" customWidth="1"/>
    <col min="5125" max="5125" width="12" style="1652" customWidth="1"/>
    <col min="5126" max="5126" width="17.5703125" style="1652" customWidth="1"/>
    <col min="5127" max="5127" width="16.5703125" style="1652" customWidth="1"/>
    <col min="5128" max="5128" width="12.5703125" style="1652" customWidth="1"/>
    <col min="5129" max="5129" width="24.85546875" style="1652" customWidth="1"/>
    <col min="5130" max="5130" width="25.42578125" style="1652" customWidth="1"/>
    <col min="5131" max="5132" width="13.5703125" style="1652" customWidth="1"/>
    <col min="5133" max="5133" width="18.7109375" style="1652" customWidth="1"/>
    <col min="5134" max="5134" width="24.5703125" style="1652" customWidth="1"/>
    <col min="5135" max="5135" width="18.5703125" style="1652" customWidth="1"/>
    <col min="5136" max="5136" width="13.28515625" style="1652" customWidth="1"/>
    <col min="5137" max="5137" width="13.140625" style="1652" customWidth="1"/>
    <col min="5138" max="5138" width="18.7109375" style="1652" customWidth="1"/>
    <col min="5139" max="5139" width="12.42578125" style="1652" customWidth="1"/>
    <col min="5140" max="5140" width="13.85546875" style="1652" customWidth="1"/>
    <col min="5141" max="5141" width="6.85546875" style="1652" customWidth="1"/>
    <col min="5142" max="5142" width="23" style="1652" customWidth="1"/>
    <col min="5143" max="5144" width="8.85546875" style="1652"/>
    <col min="5145" max="5145" width="12.28515625" style="1652" customWidth="1"/>
    <col min="5146" max="5146" width="22" style="1652" customWidth="1"/>
    <col min="5147" max="5149" width="13.28515625" style="1652" bestFit="1" customWidth="1"/>
    <col min="5150" max="5150" width="21.7109375" style="1652" customWidth="1"/>
    <col min="5151" max="5151" width="18.7109375" style="1652" bestFit="1" customWidth="1"/>
    <col min="5152" max="5153" width="19" style="1652" bestFit="1" customWidth="1"/>
    <col min="5154" max="5160" width="13.28515625" style="1652" bestFit="1" customWidth="1"/>
    <col min="5161" max="5161" width="14.140625" style="1652" bestFit="1" customWidth="1"/>
    <col min="5162" max="5163" width="15.7109375" style="1652" bestFit="1" customWidth="1"/>
    <col min="5164" max="5166" width="14.140625" style="1652" bestFit="1" customWidth="1"/>
    <col min="5167" max="5168" width="15.7109375" style="1652" bestFit="1" customWidth="1"/>
    <col min="5169" max="5170" width="14.140625" style="1652" bestFit="1" customWidth="1"/>
    <col min="5171" max="5189" width="8.85546875" style="1652"/>
    <col min="5190" max="5190" width="10" style="1652" bestFit="1" customWidth="1"/>
    <col min="5191" max="5350" width="8.85546875" style="1652"/>
    <col min="5351" max="5351" width="43.85546875" style="1652" customWidth="1"/>
    <col min="5352" max="5352" width="7.140625" style="1652" customWidth="1"/>
    <col min="5353" max="5353" width="15.5703125" style="1652" customWidth="1"/>
    <col min="5354" max="5354" width="23.140625" style="1652" customWidth="1"/>
    <col min="5355" max="5355" width="15.140625" style="1652" customWidth="1"/>
    <col min="5356" max="5356" width="14.85546875" style="1652" customWidth="1"/>
    <col min="5357" max="5357" width="16.28515625" style="1652" customWidth="1"/>
    <col min="5358" max="5358" width="20.85546875" style="1652" customWidth="1"/>
    <col min="5359" max="5359" width="14.140625" style="1652" customWidth="1"/>
    <col min="5360" max="5360" width="15.7109375" style="1652" bestFit="1" customWidth="1"/>
    <col min="5361" max="5361" width="13.42578125" style="1652" bestFit="1" customWidth="1"/>
    <col min="5362" max="5362" width="17.7109375" style="1652" customWidth="1"/>
    <col min="5363" max="5364" width="13.28515625" style="1652" customWidth="1"/>
    <col min="5365" max="5365" width="11.5703125" style="1652" customWidth="1"/>
    <col min="5366" max="5366" width="16.85546875" style="1652" customWidth="1"/>
    <col min="5367" max="5367" width="13.85546875" style="1652" customWidth="1"/>
    <col min="5368" max="5368" width="15.140625" style="1652" customWidth="1"/>
    <col min="5369" max="5369" width="16.7109375" style="1652" customWidth="1"/>
    <col min="5370" max="5370" width="21.7109375" style="1652" customWidth="1"/>
    <col min="5371" max="5372" width="16.7109375" style="1652" customWidth="1"/>
    <col min="5373" max="5373" width="15" style="1652" customWidth="1"/>
    <col min="5374" max="5374" width="21.7109375" style="1652" customWidth="1"/>
    <col min="5375" max="5375" width="14.140625" style="1652" customWidth="1"/>
    <col min="5376" max="5376" width="13.85546875" style="1652" customWidth="1"/>
    <col min="5377" max="5377" width="12.140625" style="1652" customWidth="1"/>
    <col min="5378" max="5378" width="20.140625" style="1652" customWidth="1"/>
    <col min="5379" max="5379" width="15" style="1652" customWidth="1"/>
    <col min="5380" max="5380" width="12.140625" style="1652" customWidth="1"/>
    <col min="5381" max="5381" width="12" style="1652" customWidth="1"/>
    <col min="5382" max="5382" width="17.5703125" style="1652" customWidth="1"/>
    <col min="5383" max="5383" width="16.5703125" style="1652" customWidth="1"/>
    <col min="5384" max="5384" width="12.5703125" style="1652" customWidth="1"/>
    <col min="5385" max="5385" width="24.85546875" style="1652" customWidth="1"/>
    <col min="5386" max="5386" width="25.42578125" style="1652" customWidth="1"/>
    <col min="5387" max="5388" width="13.5703125" style="1652" customWidth="1"/>
    <col min="5389" max="5389" width="18.7109375" style="1652" customWidth="1"/>
    <col min="5390" max="5390" width="24.5703125" style="1652" customWidth="1"/>
    <col min="5391" max="5391" width="18.5703125" style="1652" customWidth="1"/>
    <col min="5392" max="5392" width="13.28515625" style="1652" customWidth="1"/>
    <col min="5393" max="5393" width="13.140625" style="1652" customWidth="1"/>
    <col min="5394" max="5394" width="18.7109375" style="1652" customWidth="1"/>
    <col min="5395" max="5395" width="12.42578125" style="1652" customWidth="1"/>
    <col min="5396" max="5396" width="13.85546875" style="1652" customWidth="1"/>
    <col min="5397" max="5397" width="6.85546875" style="1652" customWidth="1"/>
    <col min="5398" max="5398" width="23" style="1652" customWidth="1"/>
    <col min="5399" max="5400" width="8.85546875" style="1652"/>
    <col min="5401" max="5401" width="12.28515625" style="1652" customWidth="1"/>
    <col min="5402" max="5402" width="22" style="1652" customWidth="1"/>
    <col min="5403" max="5405" width="13.28515625" style="1652" bestFit="1" customWidth="1"/>
    <col min="5406" max="5406" width="21.7109375" style="1652" customWidth="1"/>
    <col min="5407" max="5407" width="18.7109375" style="1652" bestFit="1" customWidth="1"/>
    <col min="5408" max="5409" width="19" style="1652" bestFit="1" customWidth="1"/>
    <col min="5410" max="5416" width="13.28515625" style="1652" bestFit="1" customWidth="1"/>
    <col min="5417" max="5417" width="14.140625" style="1652" bestFit="1" customWidth="1"/>
    <col min="5418" max="5419" width="15.7109375" style="1652" bestFit="1" customWidth="1"/>
    <col min="5420" max="5422" width="14.140625" style="1652" bestFit="1" customWidth="1"/>
    <col min="5423" max="5424" width="15.7109375" style="1652" bestFit="1" customWidth="1"/>
    <col min="5425" max="5426" width="14.140625" style="1652" bestFit="1" customWidth="1"/>
    <col min="5427" max="5445" width="8.85546875" style="1652"/>
    <col min="5446" max="5446" width="10" style="1652" bestFit="1" customWidth="1"/>
    <col min="5447" max="5606" width="8.85546875" style="1652"/>
    <col min="5607" max="5607" width="43.85546875" style="1652" customWidth="1"/>
    <col min="5608" max="5608" width="7.140625" style="1652" customWidth="1"/>
    <col min="5609" max="5609" width="15.5703125" style="1652" customWidth="1"/>
    <col min="5610" max="5610" width="23.140625" style="1652" customWidth="1"/>
    <col min="5611" max="5611" width="15.140625" style="1652" customWidth="1"/>
    <col min="5612" max="5612" width="14.85546875" style="1652" customWidth="1"/>
    <col min="5613" max="5613" width="16.28515625" style="1652" customWidth="1"/>
    <col min="5614" max="5614" width="20.85546875" style="1652" customWidth="1"/>
    <col min="5615" max="5615" width="14.140625" style="1652" customWidth="1"/>
    <col min="5616" max="5616" width="15.7109375" style="1652" bestFit="1" customWidth="1"/>
    <col min="5617" max="5617" width="13.42578125" style="1652" bestFit="1" customWidth="1"/>
    <col min="5618" max="5618" width="17.7109375" style="1652" customWidth="1"/>
    <col min="5619" max="5620" width="13.28515625" style="1652" customWidth="1"/>
    <col min="5621" max="5621" width="11.5703125" style="1652" customWidth="1"/>
    <col min="5622" max="5622" width="16.85546875" style="1652" customWidth="1"/>
    <col min="5623" max="5623" width="13.85546875" style="1652" customWidth="1"/>
    <col min="5624" max="5624" width="15.140625" style="1652" customWidth="1"/>
    <col min="5625" max="5625" width="16.7109375" style="1652" customWidth="1"/>
    <col min="5626" max="5626" width="21.7109375" style="1652" customWidth="1"/>
    <col min="5627" max="5628" width="16.7109375" style="1652" customWidth="1"/>
    <col min="5629" max="5629" width="15" style="1652" customWidth="1"/>
    <col min="5630" max="5630" width="21.7109375" style="1652" customWidth="1"/>
    <col min="5631" max="5631" width="14.140625" style="1652" customWidth="1"/>
    <col min="5632" max="5632" width="13.85546875" style="1652" customWidth="1"/>
    <col min="5633" max="5633" width="12.140625" style="1652" customWidth="1"/>
    <col min="5634" max="5634" width="20.140625" style="1652" customWidth="1"/>
    <col min="5635" max="5635" width="15" style="1652" customWidth="1"/>
    <col min="5636" max="5636" width="12.140625" style="1652" customWidth="1"/>
    <col min="5637" max="5637" width="12" style="1652" customWidth="1"/>
    <col min="5638" max="5638" width="17.5703125" style="1652" customWidth="1"/>
    <col min="5639" max="5639" width="16.5703125" style="1652" customWidth="1"/>
    <col min="5640" max="5640" width="12.5703125" style="1652" customWidth="1"/>
    <col min="5641" max="5641" width="24.85546875" style="1652" customWidth="1"/>
    <col min="5642" max="5642" width="25.42578125" style="1652" customWidth="1"/>
    <col min="5643" max="5644" width="13.5703125" style="1652" customWidth="1"/>
    <col min="5645" max="5645" width="18.7109375" style="1652" customWidth="1"/>
    <col min="5646" max="5646" width="24.5703125" style="1652" customWidth="1"/>
    <col min="5647" max="5647" width="18.5703125" style="1652" customWidth="1"/>
    <col min="5648" max="5648" width="13.28515625" style="1652" customWidth="1"/>
    <col min="5649" max="5649" width="13.140625" style="1652" customWidth="1"/>
    <col min="5650" max="5650" width="18.7109375" style="1652" customWidth="1"/>
    <col min="5651" max="5651" width="12.42578125" style="1652" customWidth="1"/>
    <col min="5652" max="5652" width="13.85546875" style="1652" customWidth="1"/>
    <col min="5653" max="5653" width="6.85546875" style="1652" customWidth="1"/>
    <col min="5654" max="5654" width="23" style="1652" customWidth="1"/>
    <col min="5655" max="5656" width="8.85546875" style="1652"/>
    <col min="5657" max="5657" width="12.28515625" style="1652" customWidth="1"/>
    <col min="5658" max="5658" width="22" style="1652" customWidth="1"/>
    <col min="5659" max="5661" width="13.28515625" style="1652" bestFit="1" customWidth="1"/>
    <col min="5662" max="5662" width="21.7109375" style="1652" customWidth="1"/>
    <col min="5663" max="5663" width="18.7109375" style="1652" bestFit="1" customWidth="1"/>
    <col min="5664" max="5665" width="19" style="1652" bestFit="1" customWidth="1"/>
    <col min="5666" max="5672" width="13.28515625" style="1652" bestFit="1" customWidth="1"/>
    <col min="5673" max="5673" width="14.140625" style="1652" bestFit="1" customWidth="1"/>
    <col min="5674" max="5675" width="15.7109375" style="1652" bestFit="1" customWidth="1"/>
    <col min="5676" max="5678" width="14.140625" style="1652" bestFit="1" customWidth="1"/>
    <col min="5679" max="5680" width="15.7109375" style="1652" bestFit="1" customWidth="1"/>
    <col min="5681" max="5682" width="14.140625" style="1652" bestFit="1" customWidth="1"/>
    <col min="5683" max="5701" width="8.85546875" style="1652"/>
    <col min="5702" max="5702" width="10" style="1652" bestFit="1" customWidth="1"/>
    <col min="5703" max="5862" width="8.85546875" style="1652"/>
    <col min="5863" max="5863" width="43.85546875" style="1652" customWidth="1"/>
    <col min="5864" max="5864" width="7.140625" style="1652" customWidth="1"/>
    <col min="5865" max="5865" width="15.5703125" style="1652" customWidth="1"/>
    <col min="5866" max="5866" width="23.140625" style="1652" customWidth="1"/>
    <col min="5867" max="5867" width="15.140625" style="1652" customWidth="1"/>
    <col min="5868" max="5868" width="14.85546875" style="1652" customWidth="1"/>
    <col min="5869" max="5869" width="16.28515625" style="1652" customWidth="1"/>
    <col min="5870" max="5870" width="20.85546875" style="1652" customWidth="1"/>
    <col min="5871" max="5871" width="14.140625" style="1652" customWidth="1"/>
    <col min="5872" max="5872" width="15.7109375" style="1652" bestFit="1" customWidth="1"/>
    <col min="5873" max="5873" width="13.42578125" style="1652" bestFit="1" customWidth="1"/>
    <col min="5874" max="5874" width="17.7109375" style="1652" customWidth="1"/>
    <col min="5875" max="5876" width="13.28515625" style="1652" customWidth="1"/>
    <col min="5877" max="5877" width="11.5703125" style="1652" customWidth="1"/>
    <col min="5878" max="5878" width="16.85546875" style="1652" customWidth="1"/>
    <col min="5879" max="5879" width="13.85546875" style="1652" customWidth="1"/>
    <col min="5880" max="5880" width="15.140625" style="1652" customWidth="1"/>
    <col min="5881" max="5881" width="16.7109375" style="1652" customWidth="1"/>
    <col min="5882" max="5882" width="21.7109375" style="1652" customWidth="1"/>
    <col min="5883" max="5884" width="16.7109375" style="1652" customWidth="1"/>
    <col min="5885" max="5885" width="15" style="1652" customWidth="1"/>
    <col min="5886" max="5886" width="21.7109375" style="1652" customWidth="1"/>
    <col min="5887" max="5887" width="14.140625" style="1652" customWidth="1"/>
    <col min="5888" max="5888" width="13.85546875" style="1652" customWidth="1"/>
    <col min="5889" max="5889" width="12.140625" style="1652" customWidth="1"/>
    <col min="5890" max="5890" width="20.140625" style="1652" customWidth="1"/>
    <col min="5891" max="5891" width="15" style="1652" customWidth="1"/>
    <col min="5892" max="5892" width="12.140625" style="1652" customWidth="1"/>
    <col min="5893" max="5893" width="12" style="1652" customWidth="1"/>
    <col min="5894" max="5894" width="17.5703125" style="1652" customWidth="1"/>
    <col min="5895" max="5895" width="16.5703125" style="1652" customWidth="1"/>
    <col min="5896" max="5896" width="12.5703125" style="1652" customWidth="1"/>
    <col min="5897" max="5897" width="24.85546875" style="1652" customWidth="1"/>
    <col min="5898" max="5898" width="25.42578125" style="1652" customWidth="1"/>
    <col min="5899" max="5900" width="13.5703125" style="1652" customWidth="1"/>
    <col min="5901" max="5901" width="18.7109375" style="1652" customWidth="1"/>
    <col min="5902" max="5902" width="24.5703125" style="1652" customWidth="1"/>
    <col min="5903" max="5903" width="18.5703125" style="1652" customWidth="1"/>
    <col min="5904" max="5904" width="13.28515625" style="1652" customWidth="1"/>
    <col min="5905" max="5905" width="13.140625" style="1652" customWidth="1"/>
    <col min="5906" max="5906" width="18.7109375" style="1652" customWidth="1"/>
    <col min="5907" max="5907" width="12.42578125" style="1652" customWidth="1"/>
    <col min="5908" max="5908" width="13.85546875" style="1652" customWidth="1"/>
    <col min="5909" max="5909" width="6.85546875" style="1652" customWidth="1"/>
    <col min="5910" max="5910" width="23" style="1652" customWidth="1"/>
    <col min="5911" max="5912" width="8.85546875" style="1652"/>
    <col min="5913" max="5913" width="12.28515625" style="1652" customWidth="1"/>
    <col min="5914" max="5914" width="22" style="1652" customWidth="1"/>
    <col min="5915" max="5917" width="13.28515625" style="1652" bestFit="1" customWidth="1"/>
    <col min="5918" max="5918" width="21.7109375" style="1652" customWidth="1"/>
    <col min="5919" max="5919" width="18.7109375" style="1652" bestFit="1" customWidth="1"/>
    <col min="5920" max="5921" width="19" style="1652" bestFit="1" customWidth="1"/>
    <col min="5922" max="5928" width="13.28515625" style="1652" bestFit="1" customWidth="1"/>
    <col min="5929" max="5929" width="14.140625" style="1652" bestFit="1" customWidth="1"/>
    <col min="5930" max="5931" width="15.7109375" style="1652" bestFit="1" customWidth="1"/>
    <col min="5932" max="5934" width="14.140625" style="1652" bestFit="1" customWidth="1"/>
    <col min="5935" max="5936" width="15.7109375" style="1652" bestFit="1" customWidth="1"/>
    <col min="5937" max="5938" width="14.140625" style="1652" bestFit="1" customWidth="1"/>
    <col min="5939" max="5957" width="8.85546875" style="1652"/>
    <col min="5958" max="5958" width="10" style="1652" bestFit="1" customWidth="1"/>
    <col min="5959" max="6118" width="8.85546875" style="1652"/>
    <col min="6119" max="6119" width="43.85546875" style="1652" customWidth="1"/>
    <col min="6120" max="6120" width="7.140625" style="1652" customWidth="1"/>
    <col min="6121" max="6121" width="15.5703125" style="1652" customWidth="1"/>
    <col min="6122" max="6122" width="23.140625" style="1652" customWidth="1"/>
    <col min="6123" max="6123" width="15.140625" style="1652" customWidth="1"/>
    <col min="6124" max="6124" width="14.85546875" style="1652" customWidth="1"/>
    <col min="6125" max="6125" width="16.28515625" style="1652" customWidth="1"/>
    <col min="6126" max="6126" width="20.85546875" style="1652" customWidth="1"/>
    <col min="6127" max="6127" width="14.140625" style="1652" customWidth="1"/>
    <col min="6128" max="6128" width="15.7109375" style="1652" bestFit="1" customWidth="1"/>
    <col min="6129" max="6129" width="13.42578125" style="1652" bestFit="1" customWidth="1"/>
    <col min="6130" max="6130" width="17.7109375" style="1652" customWidth="1"/>
    <col min="6131" max="6132" width="13.28515625" style="1652" customWidth="1"/>
    <col min="6133" max="6133" width="11.5703125" style="1652" customWidth="1"/>
    <col min="6134" max="6134" width="16.85546875" style="1652" customWidth="1"/>
    <col min="6135" max="6135" width="13.85546875" style="1652" customWidth="1"/>
    <col min="6136" max="6136" width="15.140625" style="1652" customWidth="1"/>
    <col min="6137" max="6137" width="16.7109375" style="1652" customWidth="1"/>
    <col min="6138" max="6138" width="21.7109375" style="1652" customWidth="1"/>
    <col min="6139" max="6140" width="16.7109375" style="1652" customWidth="1"/>
    <col min="6141" max="6141" width="15" style="1652" customWidth="1"/>
    <col min="6142" max="6142" width="21.7109375" style="1652" customWidth="1"/>
    <col min="6143" max="6143" width="14.140625" style="1652" customWidth="1"/>
    <col min="6144" max="6144" width="13.85546875" style="1652" customWidth="1"/>
    <col min="6145" max="6145" width="12.140625" style="1652" customWidth="1"/>
    <col min="6146" max="6146" width="20.140625" style="1652" customWidth="1"/>
    <col min="6147" max="6147" width="15" style="1652" customWidth="1"/>
    <col min="6148" max="6148" width="12.140625" style="1652" customWidth="1"/>
    <col min="6149" max="6149" width="12" style="1652" customWidth="1"/>
    <col min="6150" max="6150" width="17.5703125" style="1652" customWidth="1"/>
    <col min="6151" max="6151" width="16.5703125" style="1652" customWidth="1"/>
    <col min="6152" max="6152" width="12.5703125" style="1652" customWidth="1"/>
    <col min="6153" max="6153" width="24.85546875" style="1652" customWidth="1"/>
    <col min="6154" max="6154" width="25.42578125" style="1652" customWidth="1"/>
    <col min="6155" max="6156" width="13.5703125" style="1652" customWidth="1"/>
    <col min="6157" max="6157" width="18.7109375" style="1652" customWidth="1"/>
    <col min="6158" max="6158" width="24.5703125" style="1652" customWidth="1"/>
    <col min="6159" max="6159" width="18.5703125" style="1652" customWidth="1"/>
    <col min="6160" max="6160" width="13.28515625" style="1652" customWidth="1"/>
    <col min="6161" max="6161" width="13.140625" style="1652" customWidth="1"/>
    <col min="6162" max="6162" width="18.7109375" style="1652" customWidth="1"/>
    <col min="6163" max="6163" width="12.42578125" style="1652" customWidth="1"/>
    <col min="6164" max="6164" width="13.85546875" style="1652" customWidth="1"/>
    <col min="6165" max="6165" width="6.85546875" style="1652" customWidth="1"/>
    <col min="6166" max="6166" width="23" style="1652" customWidth="1"/>
    <col min="6167" max="6168" width="8.85546875" style="1652"/>
    <col min="6169" max="6169" width="12.28515625" style="1652" customWidth="1"/>
    <col min="6170" max="6170" width="22" style="1652" customWidth="1"/>
    <col min="6171" max="6173" width="13.28515625" style="1652" bestFit="1" customWidth="1"/>
    <col min="6174" max="6174" width="21.7109375" style="1652" customWidth="1"/>
    <col min="6175" max="6175" width="18.7109375" style="1652" bestFit="1" customWidth="1"/>
    <col min="6176" max="6177" width="19" style="1652" bestFit="1" customWidth="1"/>
    <col min="6178" max="6184" width="13.28515625" style="1652" bestFit="1" customWidth="1"/>
    <col min="6185" max="6185" width="14.140625" style="1652" bestFit="1" customWidth="1"/>
    <col min="6186" max="6187" width="15.7109375" style="1652" bestFit="1" customWidth="1"/>
    <col min="6188" max="6190" width="14.140625" style="1652" bestFit="1" customWidth="1"/>
    <col min="6191" max="6192" width="15.7109375" style="1652" bestFit="1" customWidth="1"/>
    <col min="6193" max="6194" width="14.140625" style="1652" bestFit="1" customWidth="1"/>
    <col min="6195" max="6213" width="8.85546875" style="1652"/>
    <col min="6214" max="6214" width="10" style="1652" bestFit="1" customWidth="1"/>
    <col min="6215" max="6374" width="8.85546875" style="1652"/>
    <col min="6375" max="6375" width="43.85546875" style="1652" customWidth="1"/>
    <col min="6376" max="6376" width="7.140625" style="1652" customWidth="1"/>
    <col min="6377" max="6377" width="15.5703125" style="1652" customWidth="1"/>
    <col min="6378" max="6378" width="23.140625" style="1652" customWidth="1"/>
    <col min="6379" max="6379" width="15.140625" style="1652" customWidth="1"/>
    <col min="6380" max="6380" width="14.85546875" style="1652" customWidth="1"/>
    <col min="6381" max="6381" width="16.28515625" style="1652" customWidth="1"/>
    <col min="6382" max="6382" width="20.85546875" style="1652" customWidth="1"/>
    <col min="6383" max="6383" width="14.140625" style="1652" customWidth="1"/>
    <col min="6384" max="6384" width="15.7109375" style="1652" bestFit="1" customWidth="1"/>
    <col min="6385" max="6385" width="13.42578125" style="1652" bestFit="1" customWidth="1"/>
    <col min="6386" max="6386" width="17.7109375" style="1652" customWidth="1"/>
    <col min="6387" max="6388" width="13.28515625" style="1652" customWidth="1"/>
    <col min="6389" max="6389" width="11.5703125" style="1652" customWidth="1"/>
    <col min="6390" max="6390" width="16.85546875" style="1652" customWidth="1"/>
    <col min="6391" max="6391" width="13.85546875" style="1652" customWidth="1"/>
    <col min="6392" max="6392" width="15.140625" style="1652" customWidth="1"/>
    <col min="6393" max="6393" width="16.7109375" style="1652" customWidth="1"/>
    <col min="6394" max="6394" width="21.7109375" style="1652" customWidth="1"/>
    <col min="6395" max="6396" width="16.7109375" style="1652" customWidth="1"/>
    <col min="6397" max="6397" width="15" style="1652" customWidth="1"/>
    <col min="6398" max="6398" width="21.7109375" style="1652" customWidth="1"/>
    <col min="6399" max="6399" width="14.140625" style="1652" customWidth="1"/>
    <col min="6400" max="6400" width="13.85546875" style="1652" customWidth="1"/>
    <col min="6401" max="6401" width="12.140625" style="1652" customWidth="1"/>
    <col min="6402" max="6402" width="20.140625" style="1652" customWidth="1"/>
    <col min="6403" max="6403" width="15" style="1652" customWidth="1"/>
    <col min="6404" max="6404" width="12.140625" style="1652" customWidth="1"/>
    <col min="6405" max="6405" width="12" style="1652" customWidth="1"/>
    <col min="6406" max="6406" width="17.5703125" style="1652" customWidth="1"/>
    <col min="6407" max="6407" width="16.5703125" style="1652" customWidth="1"/>
    <col min="6408" max="6408" width="12.5703125" style="1652" customWidth="1"/>
    <col min="6409" max="6409" width="24.85546875" style="1652" customWidth="1"/>
    <col min="6410" max="6410" width="25.42578125" style="1652" customWidth="1"/>
    <col min="6411" max="6412" width="13.5703125" style="1652" customWidth="1"/>
    <col min="6413" max="6413" width="18.7109375" style="1652" customWidth="1"/>
    <col min="6414" max="6414" width="24.5703125" style="1652" customWidth="1"/>
    <col min="6415" max="6415" width="18.5703125" style="1652" customWidth="1"/>
    <col min="6416" max="6416" width="13.28515625" style="1652" customWidth="1"/>
    <col min="6417" max="6417" width="13.140625" style="1652" customWidth="1"/>
    <col min="6418" max="6418" width="18.7109375" style="1652" customWidth="1"/>
    <col min="6419" max="6419" width="12.42578125" style="1652" customWidth="1"/>
    <col min="6420" max="6420" width="13.85546875" style="1652" customWidth="1"/>
    <col min="6421" max="6421" width="6.85546875" style="1652" customWidth="1"/>
    <col min="6422" max="6422" width="23" style="1652" customWidth="1"/>
    <col min="6423" max="6424" width="8.85546875" style="1652"/>
    <col min="6425" max="6425" width="12.28515625" style="1652" customWidth="1"/>
    <col min="6426" max="6426" width="22" style="1652" customWidth="1"/>
    <col min="6427" max="6429" width="13.28515625" style="1652" bestFit="1" customWidth="1"/>
    <col min="6430" max="6430" width="21.7109375" style="1652" customWidth="1"/>
    <col min="6431" max="6431" width="18.7109375" style="1652" bestFit="1" customWidth="1"/>
    <col min="6432" max="6433" width="19" style="1652" bestFit="1" customWidth="1"/>
    <col min="6434" max="6440" width="13.28515625" style="1652" bestFit="1" customWidth="1"/>
    <col min="6441" max="6441" width="14.140625" style="1652" bestFit="1" customWidth="1"/>
    <col min="6442" max="6443" width="15.7109375" style="1652" bestFit="1" customWidth="1"/>
    <col min="6444" max="6446" width="14.140625" style="1652" bestFit="1" customWidth="1"/>
    <col min="6447" max="6448" width="15.7109375" style="1652" bestFit="1" customWidth="1"/>
    <col min="6449" max="6450" width="14.140625" style="1652" bestFit="1" customWidth="1"/>
    <col min="6451" max="6469" width="8.85546875" style="1652"/>
    <col min="6470" max="6470" width="10" style="1652" bestFit="1" customWidth="1"/>
    <col min="6471" max="6630" width="8.85546875" style="1652"/>
    <col min="6631" max="6631" width="43.85546875" style="1652" customWidth="1"/>
    <col min="6632" max="6632" width="7.140625" style="1652" customWidth="1"/>
    <col min="6633" max="6633" width="15.5703125" style="1652" customWidth="1"/>
    <col min="6634" max="6634" width="23.140625" style="1652" customWidth="1"/>
    <col min="6635" max="6635" width="15.140625" style="1652" customWidth="1"/>
    <col min="6636" max="6636" width="14.85546875" style="1652" customWidth="1"/>
    <col min="6637" max="6637" width="16.28515625" style="1652" customWidth="1"/>
    <col min="6638" max="6638" width="20.85546875" style="1652" customWidth="1"/>
    <col min="6639" max="6639" width="14.140625" style="1652" customWidth="1"/>
    <col min="6640" max="6640" width="15.7109375" style="1652" bestFit="1" customWidth="1"/>
    <col min="6641" max="6641" width="13.42578125" style="1652" bestFit="1" customWidth="1"/>
    <col min="6642" max="6642" width="17.7109375" style="1652" customWidth="1"/>
    <col min="6643" max="6644" width="13.28515625" style="1652" customWidth="1"/>
    <col min="6645" max="6645" width="11.5703125" style="1652" customWidth="1"/>
    <col min="6646" max="6646" width="16.85546875" style="1652" customWidth="1"/>
    <col min="6647" max="6647" width="13.85546875" style="1652" customWidth="1"/>
    <col min="6648" max="6648" width="15.140625" style="1652" customWidth="1"/>
    <col min="6649" max="6649" width="16.7109375" style="1652" customWidth="1"/>
    <col min="6650" max="6650" width="21.7109375" style="1652" customWidth="1"/>
    <col min="6651" max="6652" width="16.7109375" style="1652" customWidth="1"/>
    <col min="6653" max="6653" width="15" style="1652" customWidth="1"/>
    <col min="6654" max="6654" width="21.7109375" style="1652" customWidth="1"/>
    <col min="6655" max="6655" width="14.140625" style="1652" customWidth="1"/>
    <col min="6656" max="6656" width="13.85546875" style="1652" customWidth="1"/>
    <col min="6657" max="6657" width="12.140625" style="1652" customWidth="1"/>
    <col min="6658" max="6658" width="20.140625" style="1652" customWidth="1"/>
    <col min="6659" max="6659" width="15" style="1652" customWidth="1"/>
    <col min="6660" max="6660" width="12.140625" style="1652" customWidth="1"/>
    <col min="6661" max="6661" width="12" style="1652" customWidth="1"/>
    <col min="6662" max="6662" width="17.5703125" style="1652" customWidth="1"/>
    <col min="6663" max="6663" width="16.5703125" style="1652" customWidth="1"/>
    <col min="6664" max="6664" width="12.5703125" style="1652" customWidth="1"/>
    <col min="6665" max="6665" width="24.85546875" style="1652" customWidth="1"/>
    <col min="6666" max="6666" width="25.42578125" style="1652" customWidth="1"/>
    <col min="6667" max="6668" width="13.5703125" style="1652" customWidth="1"/>
    <col min="6669" max="6669" width="18.7109375" style="1652" customWidth="1"/>
    <col min="6670" max="6670" width="24.5703125" style="1652" customWidth="1"/>
    <col min="6671" max="6671" width="18.5703125" style="1652" customWidth="1"/>
    <col min="6672" max="6672" width="13.28515625" style="1652" customWidth="1"/>
    <col min="6673" max="6673" width="13.140625" style="1652" customWidth="1"/>
    <col min="6674" max="6674" width="18.7109375" style="1652" customWidth="1"/>
    <col min="6675" max="6675" width="12.42578125" style="1652" customWidth="1"/>
    <col min="6676" max="6676" width="13.85546875" style="1652" customWidth="1"/>
    <col min="6677" max="6677" width="6.85546875" style="1652" customWidth="1"/>
    <col min="6678" max="6678" width="23" style="1652" customWidth="1"/>
    <col min="6679" max="6680" width="8.85546875" style="1652"/>
    <col min="6681" max="6681" width="12.28515625" style="1652" customWidth="1"/>
    <col min="6682" max="6682" width="22" style="1652" customWidth="1"/>
    <col min="6683" max="6685" width="13.28515625" style="1652" bestFit="1" customWidth="1"/>
    <col min="6686" max="6686" width="21.7109375" style="1652" customWidth="1"/>
    <col min="6687" max="6687" width="18.7109375" style="1652" bestFit="1" customWidth="1"/>
    <col min="6688" max="6689" width="19" style="1652" bestFit="1" customWidth="1"/>
    <col min="6690" max="6696" width="13.28515625" style="1652" bestFit="1" customWidth="1"/>
    <col min="6697" max="6697" width="14.140625" style="1652" bestFit="1" customWidth="1"/>
    <col min="6698" max="6699" width="15.7109375" style="1652" bestFit="1" customWidth="1"/>
    <col min="6700" max="6702" width="14.140625" style="1652" bestFit="1" customWidth="1"/>
    <col min="6703" max="6704" width="15.7109375" style="1652" bestFit="1" customWidth="1"/>
    <col min="6705" max="6706" width="14.140625" style="1652" bestFit="1" customWidth="1"/>
    <col min="6707" max="6725" width="8.85546875" style="1652"/>
    <col min="6726" max="6726" width="10" style="1652" bestFit="1" customWidth="1"/>
    <col min="6727" max="6886" width="8.85546875" style="1652"/>
    <col min="6887" max="6887" width="43.85546875" style="1652" customWidth="1"/>
    <col min="6888" max="6888" width="7.140625" style="1652" customWidth="1"/>
    <col min="6889" max="6889" width="15.5703125" style="1652" customWidth="1"/>
    <col min="6890" max="6890" width="23.140625" style="1652" customWidth="1"/>
    <col min="6891" max="6891" width="15.140625" style="1652" customWidth="1"/>
    <col min="6892" max="6892" width="14.85546875" style="1652" customWidth="1"/>
    <col min="6893" max="6893" width="16.28515625" style="1652" customWidth="1"/>
    <col min="6894" max="6894" width="20.85546875" style="1652" customWidth="1"/>
    <col min="6895" max="6895" width="14.140625" style="1652" customWidth="1"/>
    <col min="6896" max="6896" width="15.7109375" style="1652" bestFit="1" customWidth="1"/>
    <col min="6897" max="6897" width="13.42578125" style="1652" bestFit="1" customWidth="1"/>
    <col min="6898" max="6898" width="17.7109375" style="1652" customWidth="1"/>
    <col min="6899" max="6900" width="13.28515625" style="1652" customWidth="1"/>
    <col min="6901" max="6901" width="11.5703125" style="1652" customWidth="1"/>
    <col min="6902" max="6902" width="16.85546875" style="1652" customWidth="1"/>
    <col min="6903" max="6903" width="13.85546875" style="1652" customWidth="1"/>
    <col min="6904" max="6904" width="15.140625" style="1652" customWidth="1"/>
    <col min="6905" max="6905" width="16.7109375" style="1652" customWidth="1"/>
    <col min="6906" max="6906" width="21.7109375" style="1652" customWidth="1"/>
    <col min="6907" max="6908" width="16.7109375" style="1652" customWidth="1"/>
    <col min="6909" max="6909" width="15" style="1652" customWidth="1"/>
    <col min="6910" max="6910" width="21.7109375" style="1652" customWidth="1"/>
    <col min="6911" max="6911" width="14.140625" style="1652" customWidth="1"/>
    <col min="6912" max="6912" width="13.85546875" style="1652" customWidth="1"/>
    <col min="6913" max="6913" width="12.140625" style="1652" customWidth="1"/>
    <col min="6914" max="6914" width="20.140625" style="1652" customWidth="1"/>
    <col min="6915" max="6915" width="15" style="1652" customWidth="1"/>
    <col min="6916" max="6916" width="12.140625" style="1652" customWidth="1"/>
    <col min="6917" max="6917" width="12" style="1652" customWidth="1"/>
    <col min="6918" max="6918" width="17.5703125" style="1652" customWidth="1"/>
    <col min="6919" max="6919" width="16.5703125" style="1652" customWidth="1"/>
    <col min="6920" max="6920" width="12.5703125" style="1652" customWidth="1"/>
    <col min="6921" max="6921" width="24.85546875" style="1652" customWidth="1"/>
    <col min="6922" max="6922" width="25.42578125" style="1652" customWidth="1"/>
    <col min="6923" max="6924" width="13.5703125" style="1652" customWidth="1"/>
    <col min="6925" max="6925" width="18.7109375" style="1652" customWidth="1"/>
    <col min="6926" max="6926" width="24.5703125" style="1652" customWidth="1"/>
    <col min="6927" max="6927" width="18.5703125" style="1652" customWidth="1"/>
    <col min="6928" max="6928" width="13.28515625" style="1652" customWidth="1"/>
    <col min="6929" max="6929" width="13.140625" style="1652" customWidth="1"/>
    <col min="6930" max="6930" width="18.7109375" style="1652" customWidth="1"/>
    <col min="6931" max="6931" width="12.42578125" style="1652" customWidth="1"/>
    <col min="6932" max="6932" width="13.85546875" style="1652" customWidth="1"/>
    <col min="6933" max="6933" width="6.85546875" style="1652" customWidth="1"/>
    <col min="6934" max="6934" width="23" style="1652" customWidth="1"/>
    <col min="6935" max="6936" width="8.85546875" style="1652"/>
    <col min="6937" max="6937" width="12.28515625" style="1652" customWidth="1"/>
    <col min="6938" max="6938" width="22" style="1652" customWidth="1"/>
    <col min="6939" max="6941" width="13.28515625" style="1652" bestFit="1" customWidth="1"/>
    <col min="6942" max="6942" width="21.7109375" style="1652" customWidth="1"/>
    <col min="6943" max="6943" width="18.7109375" style="1652" bestFit="1" customWidth="1"/>
    <col min="6944" max="6945" width="19" style="1652" bestFit="1" customWidth="1"/>
    <col min="6946" max="6952" width="13.28515625" style="1652" bestFit="1" customWidth="1"/>
    <col min="6953" max="6953" width="14.140625" style="1652" bestFit="1" customWidth="1"/>
    <col min="6954" max="6955" width="15.7109375" style="1652" bestFit="1" customWidth="1"/>
    <col min="6956" max="6958" width="14.140625" style="1652" bestFit="1" customWidth="1"/>
    <col min="6959" max="6960" width="15.7109375" style="1652" bestFit="1" customWidth="1"/>
    <col min="6961" max="6962" width="14.140625" style="1652" bestFit="1" customWidth="1"/>
    <col min="6963" max="6981" width="8.85546875" style="1652"/>
    <col min="6982" max="6982" width="10" style="1652" bestFit="1" customWidth="1"/>
    <col min="6983" max="7142" width="8.85546875" style="1652"/>
    <col min="7143" max="7143" width="43.85546875" style="1652" customWidth="1"/>
    <col min="7144" max="7144" width="7.140625" style="1652" customWidth="1"/>
    <col min="7145" max="7145" width="15.5703125" style="1652" customWidth="1"/>
    <col min="7146" max="7146" width="23.140625" style="1652" customWidth="1"/>
    <col min="7147" max="7147" width="15.140625" style="1652" customWidth="1"/>
    <col min="7148" max="7148" width="14.85546875" style="1652" customWidth="1"/>
    <col min="7149" max="7149" width="16.28515625" style="1652" customWidth="1"/>
    <col min="7150" max="7150" width="20.85546875" style="1652" customWidth="1"/>
    <col min="7151" max="7151" width="14.140625" style="1652" customWidth="1"/>
    <col min="7152" max="7152" width="15.7109375" style="1652" bestFit="1" customWidth="1"/>
    <col min="7153" max="7153" width="13.42578125" style="1652" bestFit="1" customWidth="1"/>
    <col min="7154" max="7154" width="17.7109375" style="1652" customWidth="1"/>
    <col min="7155" max="7156" width="13.28515625" style="1652" customWidth="1"/>
    <col min="7157" max="7157" width="11.5703125" style="1652" customWidth="1"/>
    <col min="7158" max="7158" width="16.85546875" style="1652" customWidth="1"/>
    <col min="7159" max="7159" width="13.85546875" style="1652" customWidth="1"/>
    <col min="7160" max="7160" width="15.140625" style="1652" customWidth="1"/>
    <col min="7161" max="7161" width="16.7109375" style="1652" customWidth="1"/>
    <col min="7162" max="7162" width="21.7109375" style="1652" customWidth="1"/>
    <col min="7163" max="7164" width="16.7109375" style="1652" customWidth="1"/>
    <col min="7165" max="7165" width="15" style="1652" customWidth="1"/>
    <col min="7166" max="7166" width="21.7109375" style="1652" customWidth="1"/>
    <col min="7167" max="7167" width="14.140625" style="1652" customWidth="1"/>
    <col min="7168" max="7168" width="13.85546875" style="1652" customWidth="1"/>
    <col min="7169" max="7169" width="12.140625" style="1652" customWidth="1"/>
    <col min="7170" max="7170" width="20.140625" style="1652" customWidth="1"/>
    <col min="7171" max="7171" width="15" style="1652" customWidth="1"/>
    <col min="7172" max="7172" width="12.140625" style="1652" customWidth="1"/>
    <col min="7173" max="7173" width="12" style="1652" customWidth="1"/>
    <col min="7174" max="7174" width="17.5703125" style="1652" customWidth="1"/>
    <col min="7175" max="7175" width="16.5703125" style="1652" customWidth="1"/>
    <col min="7176" max="7176" width="12.5703125" style="1652" customWidth="1"/>
    <col min="7177" max="7177" width="24.85546875" style="1652" customWidth="1"/>
    <col min="7178" max="7178" width="25.42578125" style="1652" customWidth="1"/>
    <col min="7179" max="7180" width="13.5703125" style="1652" customWidth="1"/>
    <col min="7181" max="7181" width="18.7109375" style="1652" customWidth="1"/>
    <col min="7182" max="7182" width="24.5703125" style="1652" customWidth="1"/>
    <col min="7183" max="7183" width="18.5703125" style="1652" customWidth="1"/>
    <col min="7184" max="7184" width="13.28515625" style="1652" customWidth="1"/>
    <col min="7185" max="7185" width="13.140625" style="1652" customWidth="1"/>
    <col min="7186" max="7186" width="18.7109375" style="1652" customWidth="1"/>
    <col min="7187" max="7187" width="12.42578125" style="1652" customWidth="1"/>
    <col min="7188" max="7188" width="13.85546875" style="1652" customWidth="1"/>
    <col min="7189" max="7189" width="6.85546875" style="1652" customWidth="1"/>
    <col min="7190" max="7190" width="23" style="1652" customWidth="1"/>
    <col min="7191" max="7192" width="8.85546875" style="1652"/>
    <col min="7193" max="7193" width="12.28515625" style="1652" customWidth="1"/>
    <col min="7194" max="7194" width="22" style="1652" customWidth="1"/>
    <col min="7195" max="7197" width="13.28515625" style="1652" bestFit="1" customWidth="1"/>
    <col min="7198" max="7198" width="21.7109375" style="1652" customWidth="1"/>
    <col min="7199" max="7199" width="18.7109375" style="1652" bestFit="1" customWidth="1"/>
    <col min="7200" max="7201" width="19" style="1652" bestFit="1" customWidth="1"/>
    <col min="7202" max="7208" width="13.28515625" style="1652" bestFit="1" customWidth="1"/>
    <col min="7209" max="7209" width="14.140625" style="1652" bestFit="1" customWidth="1"/>
    <col min="7210" max="7211" width="15.7109375" style="1652" bestFit="1" customWidth="1"/>
    <col min="7212" max="7214" width="14.140625" style="1652" bestFit="1" customWidth="1"/>
    <col min="7215" max="7216" width="15.7109375" style="1652" bestFit="1" customWidth="1"/>
    <col min="7217" max="7218" width="14.140625" style="1652" bestFit="1" customWidth="1"/>
    <col min="7219" max="7237" width="8.85546875" style="1652"/>
    <col min="7238" max="7238" width="10" style="1652" bestFit="1" customWidth="1"/>
    <col min="7239" max="7398" width="8.85546875" style="1652"/>
    <col min="7399" max="7399" width="43.85546875" style="1652" customWidth="1"/>
    <col min="7400" max="7400" width="7.140625" style="1652" customWidth="1"/>
    <col min="7401" max="7401" width="15.5703125" style="1652" customWidth="1"/>
    <col min="7402" max="7402" width="23.140625" style="1652" customWidth="1"/>
    <col min="7403" max="7403" width="15.140625" style="1652" customWidth="1"/>
    <col min="7404" max="7404" width="14.85546875" style="1652" customWidth="1"/>
    <col min="7405" max="7405" width="16.28515625" style="1652" customWidth="1"/>
    <col min="7406" max="7406" width="20.85546875" style="1652" customWidth="1"/>
    <col min="7407" max="7407" width="14.140625" style="1652" customWidth="1"/>
    <col min="7408" max="7408" width="15.7109375" style="1652" bestFit="1" customWidth="1"/>
    <col min="7409" max="7409" width="13.42578125" style="1652" bestFit="1" customWidth="1"/>
    <col min="7410" max="7410" width="17.7109375" style="1652" customWidth="1"/>
    <col min="7411" max="7412" width="13.28515625" style="1652" customWidth="1"/>
    <col min="7413" max="7413" width="11.5703125" style="1652" customWidth="1"/>
    <col min="7414" max="7414" width="16.85546875" style="1652" customWidth="1"/>
    <col min="7415" max="7415" width="13.85546875" style="1652" customWidth="1"/>
    <col min="7416" max="7416" width="15.140625" style="1652" customWidth="1"/>
    <col min="7417" max="7417" width="16.7109375" style="1652" customWidth="1"/>
    <col min="7418" max="7418" width="21.7109375" style="1652" customWidth="1"/>
    <col min="7419" max="7420" width="16.7109375" style="1652" customWidth="1"/>
    <col min="7421" max="7421" width="15" style="1652" customWidth="1"/>
    <col min="7422" max="7422" width="21.7109375" style="1652" customWidth="1"/>
    <col min="7423" max="7423" width="14.140625" style="1652" customWidth="1"/>
    <col min="7424" max="7424" width="13.85546875" style="1652" customWidth="1"/>
    <col min="7425" max="7425" width="12.140625" style="1652" customWidth="1"/>
    <col min="7426" max="7426" width="20.140625" style="1652" customWidth="1"/>
    <col min="7427" max="7427" width="15" style="1652" customWidth="1"/>
    <col min="7428" max="7428" width="12.140625" style="1652" customWidth="1"/>
    <col min="7429" max="7429" width="12" style="1652" customWidth="1"/>
    <col min="7430" max="7430" width="17.5703125" style="1652" customWidth="1"/>
    <col min="7431" max="7431" width="16.5703125" style="1652" customWidth="1"/>
    <col min="7432" max="7432" width="12.5703125" style="1652" customWidth="1"/>
    <col min="7433" max="7433" width="24.85546875" style="1652" customWidth="1"/>
    <col min="7434" max="7434" width="25.42578125" style="1652" customWidth="1"/>
    <col min="7435" max="7436" width="13.5703125" style="1652" customWidth="1"/>
    <col min="7437" max="7437" width="18.7109375" style="1652" customWidth="1"/>
    <col min="7438" max="7438" width="24.5703125" style="1652" customWidth="1"/>
    <col min="7439" max="7439" width="18.5703125" style="1652" customWidth="1"/>
    <col min="7440" max="7440" width="13.28515625" style="1652" customWidth="1"/>
    <col min="7441" max="7441" width="13.140625" style="1652" customWidth="1"/>
    <col min="7442" max="7442" width="18.7109375" style="1652" customWidth="1"/>
    <col min="7443" max="7443" width="12.42578125" style="1652" customWidth="1"/>
    <col min="7444" max="7444" width="13.85546875" style="1652" customWidth="1"/>
    <col min="7445" max="7445" width="6.85546875" style="1652" customWidth="1"/>
    <col min="7446" max="7446" width="23" style="1652" customWidth="1"/>
    <col min="7447" max="7448" width="8.85546875" style="1652"/>
    <col min="7449" max="7449" width="12.28515625" style="1652" customWidth="1"/>
    <col min="7450" max="7450" width="22" style="1652" customWidth="1"/>
    <col min="7451" max="7453" width="13.28515625" style="1652" bestFit="1" customWidth="1"/>
    <col min="7454" max="7454" width="21.7109375" style="1652" customWidth="1"/>
    <col min="7455" max="7455" width="18.7109375" style="1652" bestFit="1" customWidth="1"/>
    <col min="7456" max="7457" width="19" style="1652" bestFit="1" customWidth="1"/>
    <col min="7458" max="7464" width="13.28515625" style="1652" bestFit="1" customWidth="1"/>
    <col min="7465" max="7465" width="14.140625" style="1652" bestFit="1" customWidth="1"/>
    <col min="7466" max="7467" width="15.7109375" style="1652" bestFit="1" customWidth="1"/>
    <col min="7468" max="7470" width="14.140625" style="1652" bestFit="1" customWidth="1"/>
    <col min="7471" max="7472" width="15.7109375" style="1652" bestFit="1" customWidth="1"/>
    <col min="7473" max="7474" width="14.140625" style="1652" bestFit="1" customWidth="1"/>
    <col min="7475" max="7493" width="8.85546875" style="1652"/>
    <col min="7494" max="7494" width="10" style="1652" bestFit="1" customWidth="1"/>
    <col min="7495" max="7654" width="8.85546875" style="1652"/>
    <col min="7655" max="7655" width="43.85546875" style="1652" customWidth="1"/>
    <col min="7656" max="7656" width="7.140625" style="1652" customWidth="1"/>
    <col min="7657" max="7657" width="15.5703125" style="1652" customWidth="1"/>
    <col min="7658" max="7658" width="23.140625" style="1652" customWidth="1"/>
    <col min="7659" max="7659" width="15.140625" style="1652" customWidth="1"/>
    <col min="7660" max="7660" width="14.85546875" style="1652" customWidth="1"/>
    <col min="7661" max="7661" width="16.28515625" style="1652" customWidth="1"/>
    <col min="7662" max="7662" width="20.85546875" style="1652" customWidth="1"/>
    <col min="7663" max="7663" width="14.140625" style="1652" customWidth="1"/>
    <col min="7664" max="7664" width="15.7109375" style="1652" bestFit="1" customWidth="1"/>
    <col min="7665" max="7665" width="13.42578125" style="1652" bestFit="1" customWidth="1"/>
    <col min="7666" max="7666" width="17.7109375" style="1652" customWidth="1"/>
    <col min="7667" max="7668" width="13.28515625" style="1652" customWidth="1"/>
    <col min="7669" max="7669" width="11.5703125" style="1652" customWidth="1"/>
    <col min="7670" max="7670" width="16.85546875" style="1652" customWidth="1"/>
    <col min="7671" max="7671" width="13.85546875" style="1652" customWidth="1"/>
    <col min="7672" max="7672" width="15.140625" style="1652" customWidth="1"/>
    <col min="7673" max="7673" width="16.7109375" style="1652" customWidth="1"/>
    <col min="7674" max="7674" width="21.7109375" style="1652" customWidth="1"/>
    <col min="7675" max="7676" width="16.7109375" style="1652" customWidth="1"/>
    <col min="7677" max="7677" width="15" style="1652" customWidth="1"/>
    <col min="7678" max="7678" width="21.7109375" style="1652" customWidth="1"/>
    <col min="7679" max="7679" width="14.140625" style="1652" customWidth="1"/>
    <col min="7680" max="7680" width="13.85546875" style="1652" customWidth="1"/>
    <col min="7681" max="7681" width="12.140625" style="1652" customWidth="1"/>
    <col min="7682" max="7682" width="20.140625" style="1652" customWidth="1"/>
    <col min="7683" max="7683" width="15" style="1652" customWidth="1"/>
    <col min="7684" max="7684" width="12.140625" style="1652" customWidth="1"/>
    <col min="7685" max="7685" width="12" style="1652" customWidth="1"/>
    <col min="7686" max="7686" width="17.5703125" style="1652" customWidth="1"/>
    <col min="7687" max="7687" width="16.5703125" style="1652" customWidth="1"/>
    <col min="7688" max="7688" width="12.5703125" style="1652" customWidth="1"/>
    <col min="7689" max="7689" width="24.85546875" style="1652" customWidth="1"/>
    <col min="7690" max="7690" width="25.42578125" style="1652" customWidth="1"/>
    <col min="7691" max="7692" width="13.5703125" style="1652" customWidth="1"/>
    <col min="7693" max="7693" width="18.7109375" style="1652" customWidth="1"/>
    <col min="7694" max="7694" width="24.5703125" style="1652" customWidth="1"/>
    <col min="7695" max="7695" width="18.5703125" style="1652" customWidth="1"/>
    <col min="7696" max="7696" width="13.28515625" style="1652" customWidth="1"/>
    <col min="7697" max="7697" width="13.140625" style="1652" customWidth="1"/>
    <col min="7698" max="7698" width="18.7109375" style="1652" customWidth="1"/>
    <col min="7699" max="7699" width="12.42578125" style="1652" customWidth="1"/>
    <col min="7700" max="7700" width="13.85546875" style="1652" customWidth="1"/>
    <col min="7701" max="7701" width="6.85546875" style="1652" customWidth="1"/>
    <col min="7702" max="7702" width="23" style="1652" customWidth="1"/>
    <col min="7703" max="7704" width="8.85546875" style="1652"/>
    <col min="7705" max="7705" width="12.28515625" style="1652" customWidth="1"/>
    <col min="7706" max="7706" width="22" style="1652" customWidth="1"/>
    <col min="7707" max="7709" width="13.28515625" style="1652" bestFit="1" customWidth="1"/>
    <col min="7710" max="7710" width="21.7109375" style="1652" customWidth="1"/>
    <col min="7711" max="7711" width="18.7109375" style="1652" bestFit="1" customWidth="1"/>
    <col min="7712" max="7713" width="19" style="1652" bestFit="1" customWidth="1"/>
    <col min="7714" max="7720" width="13.28515625" style="1652" bestFit="1" customWidth="1"/>
    <col min="7721" max="7721" width="14.140625" style="1652" bestFit="1" customWidth="1"/>
    <col min="7722" max="7723" width="15.7109375" style="1652" bestFit="1" customWidth="1"/>
    <col min="7724" max="7726" width="14.140625" style="1652" bestFit="1" customWidth="1"/>
    <col min="7727" max="7728" width="15.7109375" style="1652" bestFit="1" customWidth="1"/>
    <col min="7729" max="7730" width="14.140625" style="1652" bestFit="1" customWidth="1"/>
    <col min="7731" max="7749" width="8.85546875" style="1652"/>
    <col min="7750" max="7750" width="10" style="1652" bestFit="1" customWidth="1"/>
    <col min="7751" max="7910" width="8.85546875" style="1652"/>
    <col min="7911" max="7911" width="43.85546875" style="1652" customWidth="1"/>
    <col min="7912" max="7912" width="7.140625" style="1652" customWidth="1"/>
    <col min="7913" max="7913" width="15.5703125" style="1652" customWidth="1"/>
    <col min="7914" max="7914" width="23.140625" style="1652" customWidth="1"/>
    <col min="7915" max="7915" width="15.140625" style="1652" customWidth="1"/>
    <col min="7916" max="7916" width="14.85546875" style="1652" customWidth="1"/>
    <col min="7917" max="7917" width="16.28515625" style="1652" customWidth="1"/>
    <col min="7918" max="7918" width="20.85546875" style="1652" customWidth="1"/>
    <col min="7919" max="7919" width="14.140625" style="1652" customWidth="1"/>
    <col min="7920" max="7920" width="15.7109375" style="1652" bestFit="1" customWidth="1"/>
    <col min="7921" max="7921" width="13.42578125" style="1652" bestFit="1" customWidth="1"/>
    <col min="7922" max="7922" width="17.7109375" style="1652" customWidth="1"/>
    <col min="7923" max="7924" width="13.28515625" style="1652" customWidth="1"/>
    <col min="7925" max="7925" width="11.5703125" style="1652" customWidth="1"/>
    <col min="7926" max="7926" width="16.85546875" style="1652" customWidth="1"/>
    <col min="7927" max="7927" width="13.85546875" style="1652" customWidth="1"/>
    <col min="7928" max="7928" width="15.140625" style="1652" customWidth="1"/>
    <col min="7929" max="7929" width="16.7109375" style="1652" customWidth="1"/>
    <col min="7930" max="7930" width="21.7109375" style="1652" customWidth="1"/>
    <col min="7931" max="7932" width="16.7109375" style="1652" customWidth="1"/>
    <col min="7933" max="7933" width="15" style="1652" customWidth="1"/>
    <col min="7934" max="7934" width="21.7109375" style="1652" customWidth="1"/>
    <col min="7935" max="7935" width="14.140625" style="1652" customWidth="1"/>
    <col min="7936" max="7936" width="13.85546875" style="1652" customWidth="1"/>
    <col min="7937" max="7937" width="12.140625" style="1652" customWidth="1"/>
    <col min="7938" max="7938" width="20.140625" style="1652" customWidth="1"/>
    <col min="7939" max="7939" width="15" style="1652" customWidth="1"/>
    <col min="7940" max="7940" width="12.140625" style="1652" customWidth="1"/>
    <col min="7941" max="7941" width="12" style="1652" customWidth="1"/>
    <col min="7942" max="7942" width="17.5703125" style="1652" customWidth="1"/>
    <col min="7943" max="7943" width="16.5703125" style="1652" customWidth="1"/>
    <col min="7944" max="7944" width="12.5703125" style="1652" customWidth="1"/>
    <col min="7945" max="7945" width="24.85546875" style="1652" customWidth="1"/>
    <col min="7946" max="7946" width="25.42578125" style="1652" customWidth="1"/>
    <col min="7947" max="7948" width="13.5703125" style="1652" customWidth="1"/>
    <col min="7949" max="7949" width="18.7109375" style="1652" customWidth="1"/>
    <col min="7950" max="7950" width="24.5703125" style="1652" customWidth="1"/>
    <col min="7951" max="7951" width="18.5703125" style="1652" customWidth="1"/>
    <col min="7952" max="7952" width="13.28515625" style="1652" customWidth="1"/>
    <col min="7953" max="7953" width="13.140625" style="1652" customWidth="1"/>
    <col min="7954" max="7954" width="18.7109375" style="1652" customWidth="1"/>
    <col min="7955" max="7955" width="12.42578125" style="1652" customWidth="1"/>
    <col min="7956" max="7956" width="13.85546875" style="1652" customWidth="1"/>
    <col min="7957" max="7957" width="6.85546875" style="1652" customWidth="1"/>
    <col min="7958" max="7958" width="23" style="1652" customWidth="1"/>
    <col min="7959" max="7960" width="8.85546875" style="1652"/>
    <col min="7961" max="7961" width="12.28515625" style="1652" customWidth="1"/>
    <col min="7962" max="7962" width="22" style="1652" customWidth="1"/>
    <col min="7963" max="7965" width="13.28515625" style="1652" bestFit="1" customWidth="1"/>
    <col min="7966" max="7966" width="21.7109375" style="1652" customWidth="1"/>
    <col min="7967" max="7967" width="18.7109375" style="1652" bestFit="1" customWidth="1"/>
    <col min="7968" max="7969" width="19" style="1652" bestFit="1" customWidth="1"/>
    <col min="7970" max="7976" width="13.28515625" style="1652" bestFit="1" customWidth="1"/>
    <col min="7977" max="7977" width="14.140625" style="1652" bestFit="1" customWidth="1"/>
    <col min="7978" max="7979" width="15.7109375" style="1652" bestFit="1" customWidth="1"/>
    <col min="7980" max="7982" width="14.140625" style="1652" bestFit="1" customWidth="1"/>
    <col min="7983" max="7984" width="15.7109375" style="1652" bestFit="1" customWidth="1"/>
    <col min="7985" max="7986" width="14.140625" style="1652" bestFit="1" customWidth="1"/>
    <col min="7987" max="8005" width="8.85546875" style="1652"/>
    <col min="8006" max="8006" width="10" style="1652" bestFit="1" customWidth="1"/>
    <col min="8007" max="8166" width="8.85546875" style="1652"/>
    <col min="8167" max="8167" width="43.85546875" style="1652" customWidth="1"/>
    <col min="8168" max="8168" width="7.140625" style="1652" customWidth="1"/>
    <col min="8169" max="8169" width="15.5703125" style="1652" customWidth="1"/>
    <col min="8170" max="8170" width="23.140625" style="1652" customWidth="1"/>
    <col min="8171" max="8171" width="15.140625" style="1652" customWidth="1"/>
    <col min="8172" max="8172" width="14.85546875" style="1652" customWidth="1"/>
    <col min="8173" max="8173" width="16.28515625" style="1652" customWidth="1"/>
    <col min="8174" max="8174" width="20.85546875" style="1652" customWidth="1"/>
    <col min="8175" max="8175" width="14.140625" style="1652" customWidth="1"/>
    <col min="8176" max="8176" width="15.7109375" style="1652" bestFit="1" customWidth="1"/>
    <col min="8177" max="8177" width="13.42578125" style="1652" bestFit="1" customWidth="1"/>
    <col min="8178" max="8178" width="17.7109375" style="1652" customWidth="1"/>
    <col min="8179" max="8180" width="13.28515625" style="1652" customWidth="1"/>
    <col min="8181" max="8181" width="11.5703125" style="1652" customWidth="1"/>
    <col min="8182" max="8182" width="16.85546875" style="1652" customWidth="1"/>
    <col min="8183" max="8183" width="13.85546875" style="1652" customWidth="1"/>
    <col min="8184" max="8184" width="15.140625" style="1652" customWidth="1"/>
    <col min="8185" max="8185" width="16.7109375" style="1652" customWidth="1"/>
    <col min="8186" max="8186" width="21.7109375" style="1652" customWidth="1"/>
    <col min="8187" max="8188" width="16.7109375" style="1652" customWidth="1"/>
    <col min="8189" max="8189" width="15" style="1652" customWidth="1"/>
    <col min="8190" max="8190" width="21.7109375" style="1652" customWidth="1"/>
    <col min="8191" max="8191" width="14.140625" style="1652" customWidth="1"/>
    <col min="8192" max="8192" width="13.85546875" style="1652" customWidth="1"/>
    <col min="8193" max="8193" width="12.140625" style="1652" customWidth="1"/>
    <col min="8194" max="8194" width="20.140625" style="1652" customWidth="1"/>
    <col min="8195" max="8195" width="15" style="1652" customWidth="1"/>
    <col min="8196" max="8196" width="12.140625" style="1652" customWidth="1"/>
    <col min="8197" max="8197" width="12" style="1652" customWidth="1"/>
    <col min="8198" max="8198" width="17.5703125" style="1652" customWidth="1"/>
    <col min="8199" max="8199" width="16.5703125" style="1652" customWidth="1"/>
    <col min="8200" max="8200" width="12.5703125" style="1652" customWidth="1"/>
    <col min="8201" max="8201" width="24.85546875" style="1652" customWidth="1"/>
    <col min="8202" max="8202" width="25.42578125" style="1652" customWidth="1"/>
    <col min="8203" max="8204" width="13.5703125" style="1652" customWidth="1"/>
    <col min="8205" max="8205" width="18.7109375" style="1652" customWidth="1"/>
    <col min="8206" max="8206" width="24.5703125" style="1652" customWidth="1"/>
    <col min="8207" max="8207" width="18.5703125" style="1652" customWidth="1"/>
    <col min="8208" max="8208" width="13.28515625" style="1652" customWidth="1"/>
    <col min="8209" max="8209" width="13.140625" style="1652" customWidth="1"/>
    <col min="8210" max="8210" width="18.7109375" style="1652" customWidth="1"/>
    <col min="8211" max="8211" width="12.42578125" style="1652" customWidth="1"/>
    <col min="8212" max="8212" width="13.85546875" style="1652" customWidth="1"/>
    <col min="8213" max="8213" width="6.85546875" style="1652" customWidth="1"/>
    <col min="8214" max="8214" width="23" style="1652" customWidth="1"/>
    <col min="8215" max="8216" width="8.85546875" style="1652"/>
    <col min="8217" max="8217" width="12.28515625" style="1652" customWidth="1"/>
    <col min="8218" max="8218" width="22" style="1652" customWidth="1"/>
    <col min="8219" max="8221" width="13.28515625" style="1652" bestFit="1" customWidth="1"/>
    <col min="8222" max="8222" width="21.7109375" style="1652" customWidth="1"/>
    <col min="8223" max="8223" width="18.7109375" style="1652" bestFit="1" customWidth="1"/>
    <col min="8224" max="8225" width="19" style="1652" bestFit="1" customWidth="1"/>
    <col min="8226" max="8232" width="13.28515625" style="1652" bestFit="1" customWidth="1"/>
    <col min="8233" max="8233" width="14.140625" style="1652" bestFit="1" customWidth="1"/>
    <col min="8234" max="8235" width="15.7109375" style="1652" bestFit="1" customWidth="1"/>
    <col min="8236" max="8238" width="14.140625" style="1652" bestFit="1" customWidth="1"/>
    <col min="8239" max="8240" width="15.7109375" style="1652" bestFit="1" customWidth="1"/>
    <col min="8241" max="8242" width="14.140625" style="1652" bestFit="1" customWidth="1"/>
    <col min="8243" max="8261" width="8.85546875" style="1652"/>
    <col min="8262" max="8262" width="10" style="1652" bestFit="1" customWidth="1"/>
    <col min="8263" max="8422" width="8.85546875" style="1652"/>
    <col min="8423" max="8423" width="43.85546875" style="1652" customWidth="1"/>
    <col min="8424" max="8424" width="7.140625" style="1652" customWidth="1"/>
    <col min="8425" max="8425" width="15.5703125" style="1652" customWidth="1"/>
    <col min="8426" max="8426" width="23.140625" style="1652" customWidth="1"/>
    <col min="8427" max="8427" width="15.140625" style="1652" customWidth="1"/>
    <col min="8428" max="8428" width="14.85546875" style="1652" customWidth="1"/>
    <col min="8429" max="8429" width="16.28515625" style="1652" customWidth="1"/>
    <col min="8430" max="8430" width="20.85546875" style="1652" customWidth="1"/>
    <col min="8431" max="8431" width="14.140625" style="1652" customWidth="1"/>
    <col min="8432" max="8432" width="15.7109375" style="1652" bestFit="1" customWidth="1"/>
    <col min="8433" max="8433" width="13.42578125" style="1652" bestFit="1" customWidth="1"/>
    <col min="8434" max="8434" width="17.7109375" style="1652" customWidth="1"/>
    <col min="8435" max="8436" width="13.28515625" style="1652" customWidth="1"/>
    <col min="8437" max="8437" width="11.5703125" style="1652" customWidth="1"/>
    <col min="8438" max="8438" width="16.85546875" style="1652" customWidth="1"/>
    <col min="8439" max="8439" width="13.85546875" style="1652" customWidth="1"/>
    <col min="8440" max="8440" width="15.140625" style="1652" customWidth="1"/>
    <col min="8441" max="8441" width="16.7109375" style="1652" customWidth="1"/>
    <col min="8442" max="8442" width="21.7109375" style="1652" customWidth="1"/>
    <col min="8443" max="8444" width="16.7109375" style="1652" customWidth="1"/>
    <col min="8445" max="8445" width="15" style="1652" customWidth="1"/>
    <col min="8446" max="8446" width="21.7109375" style="1652" customWidth="1"/>
    <col min="8447" max="8447" width="14.140625" style="1652" customWidth="1"/>
    <col min="8448" max="8448" width="13.85546875" style="1652" customWidth="1"/>
    <col min="8449" max="8449" width="12.140625" style="1652" customWidth="1"/>
    <col min="8450" max="8450" width="20.140625" style="1652" customWidth="1"/>
    <col min="8451" max="8451" width="15" style="1652" customWidth="1"/>
    <col min="8452" max="8452" width="12.140625" style="1652" customWidth="1"/>
    <col min="8453" max="8453" width="12" style="1652" customWidth="1"/>
    <col min="8454" max="8454" width="17.5703125" style="1652" customWidth="1"/>
    <col min="8455" max="8455" width="16.5703125" style="1652" customWidth="1"/>
    <col min="8456" max="8456" width="12.5703125" style="1652" customWidth="1"/>
    <col min="8457" max="8457" width="24.85546875" style="1652" customWidth="1"/>
    <col min="8458" max="8458" width="25.42578125" style="1652" customWidth="1"/>
    <col min="8459" max="8460" width="13.5703125" style="1652" customWidth="1"/>
    <col min="8461" max="8461" width="18.7109375" style="1652" customWidth="1"/>
    <col min="8462" max="8462" width="24.5703125" style="1652" customWidth="1"/>
    <col min="8463" max="8463" width="18.5703125" style="1652" customWidth="1"/>
    <col min="8464" max="8464" width="13.28515625" style="1652" customWidth="1"/>
    <col min="8465" max="8465" width="13.140625" style="1652" customWidth="1"/>
    <col min="8466" max="8466" width="18.7109375" style="1652" customWidth="1"/>
    <col min="8467" max="8467" width="12.42578125" style="1652" customWidth="1"/>
    <col min="8468" max="8468" width="13.85546875" style="1652" customWidth="1"/>
    <col min="8469" max="8469" width="6.85546875" style="1652" customWidth="1"/>
    <col min="8470" max="8470" width="23" style="1652" customWidth="1"/>
    <col min="8471" max="8472" width="8.85546875" style="1652"/>
    <col min="8473" max="8473" width="12.28515625" style="1652" customWidth="1"/>
    <col min="8474" max="8474" width="22" style="1652" customWidth="1"/>
    <col min="8475" max="8477" width="13.28515625" style="1652" bestFit="1" customWidth="1"/>
    <col min="8478" max="8478" width="21.7109375" style="1652" customWidth="1"/>
    <col min="8479" max="8479" width="18.7109375" style="1652" bestFit="1" customWidth="1"/>
    <col min="8480" max="8481" width="19" style="1652" bestFit="1" customWidth="1"/>
    <col min="8482" max="8488" width="13.28515625" style="1652" bestFit="1" customWidth="1"/>
    <col min="8489" max="8489" width="14.140625" style="1652" bestFit="1" customWidth="1"/>
    <col min="8490" max="8491" width="15.7109375" style="1652" bestFit="1" customWidth="1"/>
    <col min="8492" max="8494" width="14.140625" style="1652" bestFit="1" customWidth="1"/>
    <col min="8495" max="8496" width="15.7109375" style="1652" bestFit="1" customWidth="1"/>
    <col min="8497" max="8498" width="14.140625" style="1652" bestFit="1" customWidth="1"/>
    <col min="8499" max="8517" width="8.85546875" style="1652"/>
    <col min="8518" max="8518" width="10" style="1652" bestFit="1" customWidth="1"/>
    <col min="8519" max="8678" width="8.85546875" style="1652"/>
    <col min="8679" max="8679" width="43.85546875" style="1652" customWidth="1"/>
    <col min="8680" max="8680" width="7.140625" style="1652" customWidth="1"/>
    <col min="8681" max="8681" width="15.5703125" style="1652" customWidth="1"/>
    <col min="8682" max="8682" width="23.140625" style="1652" customWidth="1"/>
    <col min="8683" max="8683" width="15.140625" style="1652" customWidth="1"/>
    <col min="8684" max="8684" width="14.85546875" style="1652" customWidth="1"/>
    <col min="8685" max="8685" width="16.28515625" style="1652" customWidth="1"/>
    <col min="8686" max="8686" width="20.85546875" style="1652" customWidth="1"/>
    <col min="8687" max="8687" width="14.140625" style="1652" customWidth="1"/>
    <col min="8688" max="8688" width="15.7109375" style="1652" bestFit="1" customWidth="1"/>
    <col min="8689" max="8689" width="13.42578125" style="1652" bestFit="1" customWidth="1"/>
    <col min="8690" max="8690" width="17.7109375" style="1652" customWidth="1"/>
    <col min="8691" max="8692" width="13.28515625" style="1652" customWidth="1"/>
    <col min="8693" max="8693" width="11.5703125" style="1652" customWidth="1"/>
    <col min="8694" max="8694" width="16.85546875" style="1652" customWidth="1"/>
    <col min="8695" max="8695" width="13.85546875" style="1652" customWidth="1"/>
    <col min="8696" max="8696" width="15.140625" style="1652" customWidth="1"/>
    <col min="8697" max="8697" width="16.7109375" style="1652" customWidth="1"/>
    <col min="8698" max="8698" width="21.7109375" style="1652" customWidth="1"/>
    <col min="8699" max="8700" width="16.7109375" style="1652" customWidth="1"/>
    <col min="8701" max="8701" width="15" style="1652" customWidth="1"/>
    <col min="8702" max="8702" width="21.7109375" style="1652" customWidth="1"/>
    <col min="8703" max="8703" width="14.140625" style="1652" customWidth="1"/>
    <col min="8704" max="8704" width="13.85546875" style="1652" customWidth="1"/>
    <col min="8705" max="8705" width="12.140625" style="1652" customWidth="1"/>
    <col min="8706" max="8706" width="20.140625" style="1652" customWidth="1"/>
    <col min="8707" max="8707" width="15" style="1652" customWidth="1"/>
    <col min="8708" max="8708" width="12.140625" style="1652" customWidth="1"/>
    <col min="8709" max="8709" width="12" style="1652" customWidth="1"/>
    <col min="8710" max="8710" width="17.5703125" style="1652" customWidth="1"/>
    <col min="8711" max="8711" width="16.5703125" style="1652" customWidth="1"/>
    <col min="8712" max="8712" width="12.5703125" style="1652" customWidth="1"/>
    <col min="8713" max="8713" width="24.85546875" style="1652" customWidth="1"/>
    <col min="8714" max="8714" width="25.42578125" style="1652" customWidth="1"/>
    <col min="8715" max="8716" width="13.5703125" style="1652" customWidth="1"/>
    <col min="8717" max="8717" width="18.7109375" style="1652" customWidth="1"/>
    <col min="8718" max="8718" width="24.5703125" style="1652" customWidth="1"/>
    <col min="8719" max="8719" width="18.5703125" style="1652" customWidth="1"/>
    <col min="8720" max="8720" width="13.28515625" style="1652" customWidth="1"/>
    <col min="8721" max="8721" width="13.140625" style="1652" customWidth="1"/>
    <col min="8722" max="8722" width="18.7109375" style="1652" customWidth="1"/>
    <col min="8723" max="8723" width="12.42578125" style="1652" customWidth="1"/>
    <col min="8724" max="8724" width="13.85546875" style="1652" customWidth="1"/>
    <col min="8725" max="8725" width="6.85546875" style="1652" customWidth="1"/>
    <col min="8726" max="8726" width="23" style="1652" customWidth="1"/>
    <col min="8727" max="8728" width="8.85546875" style="1652"/>
    <col min="8729" max="8729" width="12.28515625" style="1652" customWidth="1"/>
    <col min="8730" max="8730" width="22" style="1652" customWidth="1"/>
    <col min="8731" max="8733" width="13.28515625" style="1652" bestFit="1" customWidth="1"/>
    <col min="8734" max="8734" width="21.7109375" style="1652" customWidth="1"/>
    <col min="8735" max="8735" width="18.7109375" style="1652" bestFit="1" customWidth="1"/>
    <col min="8736" max="8737" width="19" style="1652" bestFit="1" customWidth="1"/>
    <col min="8738" max="8744" width="13.28515625" style="1652" bestFit="1" customWidth="1"/>
    <col min="8745" max="8745" width="14.140625" style="1652" bestFit="1" customWidth="1"/>
    <col min="8746" max="8747" width="15.7109375" style="1652" bestFit="1" customWidth="1"/>
    <col min="8748" max="8750" width="14.140625" style="1652" bestFit="1" customWidth="1"/>
    <col min="8751" max="8752" width="15.7109375" style="1652" bestFit="1" customWidth="1"/>
    <col min="8753" max="8754" width="14.140625" style="1652" bestFit="1" customWidth="1"/>
    <col min="8755" max="8773" width="8.85546875" style="1652"/>
    <col min="8774" max="8774" width="10" style="1652" bestFit="1" customWidth="1"/>
    <col min="8775" max="8934" width="8.85546875" style="1652"/>
    <col min="8935" max="8935" width="43.85546875" style="1652" customWidth="1"/>
    <col min="8936" max="8936" width="7.140625" style="1652" customWidth="1"/>
    <col min="8937" max="8937" width="15.5703125" style="1652" customWidth="1"/>
    <col min="8938" max="8938" width="23.140625" style="1652" customWidth="1"/>
    <col min="8939" max="8939" width="15.140625" style="1652" customWidth="1"/>
    <col min="8940" max="8940" width="14.85546875" style="1652" customWidth="1"/>
    <col min="8941" max="8941" width="16.28515625" style="1652" customWidth="1"/>
    <col min="8942" max="8942" width="20.85546875" style="1652" customWidth="1"/>
    <col min="8943" max="8943" width="14.140625" style="1652" customWidth="1"/>
    <col min="8944" max="8944" width="15.7109375" style="1652" bestFit="1" customWidth="1"/>
    <col min="8945" max="8945" width="13.42578125" style="1652" bestFit="1" customWidth="1"/>
    <col min="8946" max="8946" width="17.7109375" style="1652" customWidth="1"/>
    <col min="8947" max="8948" width="13.28515625" style="1652" customWidth="1"/>
    <col min="8949" max="8949" width="11.5703125" style="1652" customWidth="1"/>
    <col min="8950" max="8950" width="16.85546875" style="1652" customWidth="1"/>
    <col min="8951" max="8951" width="13.85546875" style="1652" customWidth="1"/>
    <col min="8952" max="8952" width="15.140625" style="1652" customWidth="1"/>
    <col min="8953" max="8953" width="16.7109375" style="1652" customWidth="1"/>
    <col min="8954" max="8954" width="21.7109375" style="1652" customWidth="1"/>
    <col min="8955" max="8956" width="16.7109375" style="1652" customWidth="1"/>
    <col min="8957" max="8957" width="15" style="1652" customWidth="1"/>
    <col min="8958" max="8958" width="21.7109375" style="1652" customWidth="1"/>
    <col min="8959" max="8959" width="14.140625" style="1652" customWidth="1"/>
    <col min="8960" max="8960" width="13.85546875" style="1652" customWidth="1"/>
    <col min="8961" max="8961" width="12.140625" style="1652" customWidth="1"/>
    <col min="8962" max="8962" width="20.140625" style="1652" customWidth="1"/>
    <col min="8963" max="8963" width="15" style="1652" customWidth="1"/>
    <col min="8964" max="8964" width="12.140625" style="1652" customWidth="1"/>
    <col min="8965" max="8965" width="12" style="1652" customWidth="1"/>
    <col min="8966" max="8966" width="17.5703125" style="1652" customWidth="1"/>
    <col min="8967" max="8967" width="16.5703125" style="1652" customWidth="1"/>
    <col min="8968" max="8968" width="12.5703125" style="1652" customWidth="1"/>
    <col min="8969" max="8969" width="24.85546875" style="1652" customWidth="1"/>
    <col min="8970" max="8970" width="25.42578125" style="1652" customWidth="1"/>
    <col min="8971" max="8972" width="13.5703125" style="1652" customWidth="1"/>
    <col min="8973" max="8973" width="18.7109375" style="1652" customWidth="1"/>
    <col min="8974" max="8974" width="24.5703125" style="1652" customWidth="1"/>
    <col min="8975" max="8975" width="18.5703125" style="1652" customWidth="1"/>
    <col min="8976" max="8976" width="13.28515625" style="1652" customWidth="1"/>
    <col min="8977" max="8977" width="13.140625" style="1652" customWidth="1"/>
    <col min="8978" max="8978" width="18.7109375" style="1652" customWidth="1"/>
    <col min="8979" max="8979" width="12.42578125" style="1652" customWidth="1"/>
    <col min="8980" max="8980" width="13.85546875" style="1652" customWidth="1"/>
    <col min="8981" max="8981" width="6.85546875" style="1652" customWidth="1"/>
    <col min="8982" max="8982" width="23" style="1652" customWidth="1"/>
    <col min="8983" max="8984" width="8.85546875" style="1652"/>
    <col min="8985" max="8985" width="12.28515625" style="1652" customWidth="1"/>
    <col min="8986" max="8986" width="22" style="1652" customWidth="1"/>
    <col min="8987" max="8989" width="13.28515625" style="1652" bestFit="1" customWidth="1"/>
    <col min="8990" max="8990" width="21.7109375" style="1652" customWidth="1"/>
    <col min="8991" max="8991" width="18.7109375" style="1652" bestFit="1" customWidth="1"/>
    <col min="8992" max="8993" width="19" style="1652" bestFit="1" customWidth="1"/>
    <col min="8994" max="9000" width="13.28515625" style="1652" bestFit="1" customWidth="1"/>
    <col min="9001" max="9001" width="14.140625" style="1652" bestFit="1" customWidth="1"/>
    <col min="9002" max="9003" width="15.7109375" style="1652" bestFit="1" customWidth="1"/>
    <col min="9004" max="9006" width="14.140625" style="1652" bestFit="1" customWidth="1"/>
    <col min="9007" max="9008" width="15.7109375" style="1652" bestFit="1" customWidth="1"/>
    <col min="9009" max="9010" width="14.140625" style="1652" bestFit="1" customWidth="1"/>
    <col min="9011" max="9029" width="8.85546875" style="1652"/>
    <col min="9030" max="9030" width="10" style="1652" bestFit="1" customWidth="1"/>
    <col min="9031" max="9190" width="8.85546875" style="1652"/>
    <col min="9191" max="9191" width="43.85546875" style="1652" customWidth="1"/>
    <col min="9192" max="9192" width="7.140625" style="1652" customWidth="1"/>
    <col min="9193" max="9193" width="15.5703125" style="1652" customWidth="1"/>
    <col min="9194" max="9194" width="23.140625" style="1652" customWidth="1"/>
    <col min="9195" max="9195" width="15.140625" style="1652" customWidth="1"/>
    <col min="9196" max="9196" width="14.85546875" style="1652" customWidth="1"/>
    <col min="9197" max="9197" width="16.28515625" style="1652" customWidth="1"/>
    <col min="9198" max="9198" width="20.85546875" style="1652" customWidth="1"/>
    <col min="9199" max="9199" width="14.140625" style="1652" customWidth="1"/>
    <col min="9200" max="9200" width="15.7109375" style="1652" bestFit="1" customWidth="1"/>
    <col min="9201" max="9201" width="13.42578125" style="1652" bestFit="1" customWidth="1"/>
    <col min="9202" max="9202" width="17.7109375" style="1652" customWidth="1"/>
    <col min="9203" max="9204" width="13.28515625" style="1652" customWidth="1"/>
    <col min="9205" max="9205" width="11.5703125" style="1652" customWidth="1"/>
    <col min="9206" max="9206" width="16.85546875" style="1652" customWidth="1"/>
    <col min="9207" max="9207" width="13.85546875" style="1652" customWidth="1"/>
    <col min="9208" max="9208" width="15.140625" style="1652" customWidth="1"/>
    <col min="9209" max="9209" width="16.7109375" style="1652" customWidth="1"/>
    <col min="9210" max="9210" width="21.7109375" style="1652" customWidth="1"/>
    <col min="9211" max="9212" width="16.7109375" style="1652" customWidth="1"/>
    <col min="9213" max="9213" width="15" style="1652" customWidth="1"/>
    <col min="9214" max="9214" width="21.7109375" style="1652" customWidth="1"/>
    <col min="9215" max="9215" width="14.140625" style="1652" customWidth="1"/>
    <col min="9216" max="9216" width="13.85546875" style="1652" customWidth="1"/>
    <col min="9217" max="9217" width="12.140625" style="1652" customWidth="1"/>
    <col min="9218" max="9218" width="20.140625" style="1652" customWidth="1"/>
    <col min="9219" max="9219" width="15" style="1652" customWidth="1"/>
    <col min="9220" max="9220" width="12.140625" style="1652" customWidth="1"/>
    <col min="9221" max="9221" width="12" style="1652" customWidth="1"/>
    <col min="9222" max="9222" width="17.5703125" style="1652" customWidth="1"/>
    <col min="9223" max="9223" width="16.5703125" style="1652" customWidth="1"/>
    <col min="9224" max="9224" width="12.5703125" style="1652" customWidth="1"/>
    <col min="9225" max="9225" width="24.85546875" style="1652" customWidth="1"/>
    <col min="9226" max="9226" width="25.42578125" style="1652" customWidth="1"/>
    <col min="9227" max="9228" width="13.5703125" style="1652" customWidth="1"/>
    <col min="9229" max="9229" width="18.7109375" style="1652" customWidth="1"/>
    <col min="9230" max="9230" width="24.5703125" style="1652" customWidth="1"/>
    <col min="9231" max="9231" width="18.5703125" style="1652" customWidth="1"/>
    <col min="9232" max="9232" width="13.28515625" style="1652" customWidth="1"/>
    <col min="9233" max="9233" width="13.140625" style="1652" customWidth="1"/>
    <col min="9234" max="9234" width="18.7109375" style="1652" customWidth="1"/>
    <col min="9235" max="9235" width="12.42578125" style="1652" customWidth="1"/>
    <col min="9236" max="9236" width="13.85546875" style="1652" customWidth="1"/>
    <col min="9237" max="9237" width="6.85546875" style="1652" customWidth="1"/>
    <col min="9238" max="9238" width="23" style="1652" customWidth="1"/>
    <col min="9239" max="9240" width="8.85546875" style="1652"/>
    <col min="9241" max="9241" width="12.28515625" style="1652" customWidth="1"/>
    <col min="9242" max="9242" width="22" style="1652" customWidth="1"/>
    <col min="9243" max="9245" width="13.28515625" style="1652" bestFit="1" customWidth="1"/>
    <col min="9246" max="9246" width="21.7109375" style="1652" customWidth="1"/>
    <col min="9247" max="9247" width="18.7109375" style="1652" bestFit="1" customWidth="1"/>
    <col min="9248" max="9249" width="19" style="1652" bestFit="1" customWidth="1"/>
    <col min="9250" max="9256" width="13.28515625" style="1652" bestFit="1" customWidth="1"/>
    <col min="9257" max="9257" width="14.140625" style="1652" bestFit="1" customWidth="1"/>
    <col min="9258" max="9259" width="15.7109375" style="1652" bestFit="1" customWidth="1"/>
    <col min="9260" max="9262" width="14.140625" style="1652" bestFit="1" customWidth="1"/>
    <col min="9263" max="9264" width="15.7109375" style="1652" bestFit="1" customWidth="1"/>
    <col min="9265" max="9266" width="14.140625" style="1652" bestFit="1" customWidth="1"/>
    <col min="9267" max="9285" width="8.85546875" style="1652"/>
    <col min="9286" max="9286" width="10" style="1652" bestFit="1" customWidth="1"/>
    <col min="9287" max="9446" width="8.85546875" style="1652"/>
    <col min="9447" max="9447" width="43.85546875" style="1652" customWidth="1"/>
    <col min="9448" max="9448" width="7.140625" style="1652" customWidth="1"/>
    <col min="9449" max="9449" width="15.5703125" style="1652" customWidth="1"/>
    <col min="9450" max="9450" width="23.140625" style="1652" customWidth="1"/>
    <col min="9451" max="9451" width="15.140625" style="1652" customWidth="1"/>
    <col min="9452" max="9452" width="14.85546875" style="1652" customWidth="1"/>
    <col min="9453" max="9453" width="16.28515625" style="1652" customWidth="1"/>
    <col min="9454" max="9454" width="20.85546875" style="1652" customWidth="1"/>
    <col min="9455" max="9455" width="14.140625" style="1652" customWidth="1"/>
    <col min="9456" max="9456" width="15.7109375" style="1652" bestFit="1" customWidth="1"/>
    <col min="9457" max="9457" width="13.42578125" style="1652" bestFit="1" customWidth="1"/>
    <col min="9458" max="9458" width="17.7109375" style="1652" customWidth="1"/>
    <col min="9459" max="9460" width="13.28515625" style="1652" customWidth="1"/>
    <col min="9461" max="9461" width="11.5703125" style="1652" customWidth="1"/>
    <col min="9462" max="9462" width="16.85546875" style="1652" customWidth="1"/>
    <col min="9463" max="9463" width="13.85546875" style="1652" customWidth="1"/>
    <col min="9464" max="9464" width="15.140625" style="1652" customWidth="1"/>
    <col min="9465" max="9465" width="16.7109375" style="1652" customWidth="1"/>
    <col min="9466" max="9466" width="21.7109375" style="1652" customWidth="1"/>
    <col min="9467" max="9468" width="16.7109375" style="1652" customWidth="1"/>
    <col min="9469" max="9469" width="15" style="1652" customWidth="1"/>
    <col min="9470" max="9470" width="21.7109375" style="1652" customWidth="1"/>
    <col min="9471" max="9471" width="14.140625" style="1652" customWidth="1"/>
    <col min="9472" max="9472" width="13.85546875" style="1652" customWidth="1"/>
    <col min="9473" max="9473" width="12.140625" style="1652" customWidth="1"/>
    <col min="9474" max="9474" width="20.140625" style="1652" customWidth="1"/>
    <col min="9475" max="9475" width="15" style="1652" customWidth="1"/>
    <col min="9476" max="9476" width="12.140625" style="1652" customWidth="1"/>
    <col min="9477" max="9477" width="12" style="1652" customWidth="1"/>
    <col min="9478" max="9478" width="17.5703125" style="1652" customWidth="1"/>
    <col min="9479" max="9479" width="16.5703125" style="1652" customWidth="1"/>
    <col min="9480" max="9480" width="12.5703125" style="1652" customWidth="1"/>
    <col min="9481" max="9481" width="24.85546875" style="1652" customWidth="1"/>
    <col min="9482" max="9482" width="25.42578125" style="1652" customWidth="1"/>
    <col min="9483" max="9484" width="13.5703125" style="1652" customWidth="1"/>
    <col min="9485" max="9485" width="18.7109375" style="1652" customWidth="1"/>
    <col min="9486" max="9486" width="24.5703125" style="1652" customWidth="1"/>
    <col min="9487" max="9487" width="18.5703125" style="1652" customWidth="1"/>
    <col min="9488" max="9488" width="13.28515625" style="1652" customWidth="1"/>
    <col min="9489" max="9489" width="13.140625" style="1652" customWidth="1"/>
    <col min="9490" max="9490" width="18.7109375" style="1652" customWidth="1"/>
    <col min="9491" max="9491" width="12.42578125" style="1652" customWidth="1"/>
    <col min="9492" max="9492" width="13.85546875" style="1652" customWidth="1"/>
    <col min="9493" max="9493" width="6.85546875" style="1652" customWidth="1"/>
    <col min="9494" max="9494" width="23" style="1652" customWidth="1"/>
    <col min="9495" max="9496" width="8.85546875" style="1652"/>
    <col min="9497" max="9497" width="12.28515625" style="1652" customWidth="1"/>
    <col min="9498" max="9498" width="22" style="1652" customWidth="1"/>
    <col min="9499" max="9501" width="13.28515625" style="1652" bestFit="1" customWidth="1"/>
    <col min="9502" max="9502" width="21.7109375" style="1652" customWidth="1"/>
    <col min="9503" max="9503" width="18.7109375" style="1652" bestFit="1" customWidth="1"/>
    <col min="9504" max="9505" width="19" style="1652" bestFit="1" customWidth="1"/>
    <col min="9506" max="9512" width="13.28515625" style="1652" bestFit="1" customWidth="1"/>
    <col min="9513" max="9513" width="14.140625" style="1652" bestFit="1" customWidth="1"/>
    <col min="9514" max="9515" width="15.7109375" style="1652" bestFit="1" customWidth="1"/>
    <col min="9516" max="9518" width="14.140625" style="1652" bestFit="1" customWidth="1"/>
    <col min="9519" max="9520" width="15.7109375" style="1652" bestFit="1" customWidth="1"/>
    <col min="9521" max="9522" width="14.140625" style="1652" bestFit="1" customWidth="1"/>
    <col min="9523" max="9541" width="8.85546875" style="1652"/>
    <col min="9542" max="9542" width="10" style="1652" bestFit="1" customWidth="1"/>
    <col min="9543" max="9702" width="8.85546875" style="1652"/>
    <col min="9703" max="9703" width="43.85546875" style="1652" customWidth="1"/>
    <col min="9704" max="9704" width="7.140625" style="1652" customWidth="1"/>
    <col min="9705" max="9705" width="15.5703125" style="1652" customWidth="1"/>
    <col min="9706" max="9706" width="23.140625" style="1652" customWidth="1"/>
    <col min="9707" max="9707" width="15.140625" style="1652" customWidth="1"/>
    <col min="9708" max="9708" width="14.85546875" style="1652" customWidth="1"/>
    <col min="9709" max="9709" width="16.28515625" style="1652" customWidth="1"/>
    <col min="9710" max="9710" width="20.85546875" style="1652" customWidth="1"/>
    <col min="9711" max="9711" width="14.140625" style="1652" customWidth="1"/>
    <col min="9712" max="9712" width="15.7109375" style="1652" bestFit="1" customWidth="1"/>
    <col min="9713" max="9713" width="13.42578125" style="1652" bestFit="1" customWidth="1"/>
    <col min="9714" max="9714" width="17.7109375" style="1652" customWidth="1"/>
    <col min="9715" max="9716" width="13.28515625" style="1652" customWidth="1"/>
    <col min="9717" max="9717" width="11.5703125" style="1652" customWidth="1"/>
    <col min="9718" max="9718" width="16.85546875" style="1652" customWidth="1"/>
    <col min="9719" max="9719" width="13.85546875" style="1652" customWidth="1"/>
    <col min="9720" max="9720" width="15.140625" style="1652" customWidth="1"/>
    <col min="9721" max="9721" width="16.7109375" style="1652" customWidth="1"/>
    <col min="9722" max="9722" width="21.7109375" style="1652" customWidth="1"/>
    <col min="9723" max="9724" width="16.7109375" style="1652" customWidth="1"/>
    <col min="9725" max="9725" width="15" style="1652" customWidth="1"/>
    <col min="9726" max="9726" width="21.7109375" style="1652" customWidth="1"/>
    <col min="9727" max="9727" width="14.140625" style="1652" customWidth="1"/>
    <col min="9728" max="9728" width="13.85546875" style="1652" customWidth="1"/>
    <col min="9729" max="9729" width="12.140625" style="1652" customWidth="1"/>
    <col min="9730" max="9730" width="20.140625" style="1652" customWidth="1"/>
    <col min="9731" max="9731" width="15" style="1652" customWidth="1"/>
    <col min="9732" max="9732" width="12.140625" style="1652" customWidth="1"/>
    <col min="9733" max="9733" width="12" style="1652" customWidth="1"/>
    <col min="9734" max="9734" width="17.5703125" style="1652" customWidth="1"/>
    <col min="9735" max="9735" width="16.5703125" style="1652" customWidth="1"/>
    <col min="9736" max="9736" width="12.5703125" style="1652" customWidth="1"/>
    <col min="9737" max="9737" width="24.85546875" style="1652" customWidth="1"/>
    <col min="9738" max="9738" width="25.42578125" style="1652" customWidth="1"/>
    <col min="9739" max="9740" width="13.5703125" style="1652" customWidth="1"/>
    <col min="9741" max="9741" width="18.7109375" style="1652" customWidth="1"/>
    <col min="9742" max="9742" width="24.5703125" style="1652" customWidth="1"/>
    <col min="9743" max="9743" width="18.5703125" style="1652" customWidth="1"/>
    <col min="9744" max="9744" width="13.28515625" style="1652" customWidth="1"/>
    <col min="9745" max="9745" width="13.140625" style="1652" customWidth="1"/>
    <col min="9746" max="9746" width="18.7109375" style="1652" customWidth="1"/>
    <col min="9747" max="9747" width="12.42578125" style="1652" customWidth="1"/>
    <col min="9748" max="9748" width="13.85546875" style="1652" customWidth="1"/>
    <col min="9749" max="9749" width="6.85546875" style="1652" customWidth="1"/>
    <col min="9750" max="9750" width="23" style="1652" customWidth="1"/>
    <col min="9751" max="9752" width="8.85546875" style="1652"/>
    <col min="9753" max="9753" width="12.28515625" style="1652" customWidth="1"/>
    <col min="9754" max="9754" width="22" style="1652" customWidth="1"/>
    <col min="9755" max="9757" width="13.28515625" style="1652" bestFit="1" customWidth="1"/>
    <col min="9758" max="9758" width="21.7109375" style="1652" customWidth="1"/>
    <col min="9759" max="9759" width="18.7109375" style="1652" bestFit="1" customWidth="1"/>
    <col min="9760" max="9761" width="19" style="1652" bestFit="1" customWidth="1"/>
    <col min="9762" max="9768" width="13.28515625" style="1652" bestFit="1" customWidth="1"/>
    <col min="9769" max="9769" width="14.140625" style="1652" bestFit="1" customWidth="1"/>
    <col min="9770" max="9771" width="15.7109375" style="1652" bestFit="1" customWidth="1"/>
    <col min="9772" max="9774" width="14.140625" style="1652" bestFit="1" customWidth="1"/>
    <col min="9775" max="9776" width="15.7109375" style="1652" bestFit="1" customWidth="1"/>
    <col min="9777" max="9778" width="14.140625" style="1652" bestFit="1" customWidth="1"/>
    <col min="9779" max="9797" width="8.85546875" style="1652"/>
    <col min="9798" max="9798" width="10" style="1652" bestFit="1" customWidth="1"/>
    <col min="9799" max="9958" width="8.85546875" style="1652"/>
    <col min="9959" max="9959" width="43.85546875" style="1652" customWidth="1"/>
    <col min="9960" max="9960" width="7.140625" style="1652" customWidth="1"/>
    <col min="9961" max="9961" width="15.5703125" style="1652" customWidth="1"/>
    <col min="9962" max="9962" width="23.140625" style="1652" customWidth="1"/>
    <col min="9963" max="9963" width="15.140625" style="1652" customWidth="1"/>
    <col min="9964" max="9964" width="14.85546875" style="1652" customWidth="1"/>
    <col min="9965" max="9965" width="16.28515625" style="1652" customWidth="1"/>
    <col min="9966" max="9966" width="20.85546875" style="1652" customWidth="1"/>
    <col min="9967" max="9967" width="14.140625" style="1652" customWidth="1"/>
    <col min="9968" max="9968" width="15.7109375" style="1652" bestFit="1" customWidth="1"/>
    <col min="9969" max="9969" width="13.42578125" style="1652" bestFit="1" customWidth="1"/>
    <col min="9970" max="9970" width="17.7109375" style="1652" customWidth="1"/>
    <col min="9971" max="9972" width="13.28515625" style="1652" customWidth="1"/>
    <col min="9973" max="9973" width="11.5703125" style="1652" customWidth="1"/>
    <col min="9974" max="9974" width="16.85546875" style="1652" customWidth="1"/>
    <col min="9975" max="9975" width="13.85546875" style="1652" customWidth="1"/>
    <col min="9976" max="9976" width="15.140625" style="1652" customWidth="1"/>
    <col min="9977" max="9977" width="16.7109375" style="1652" customWidth="1"/>
    <col min="9978" max="9978" width="21.7109375" style="1652" customWidth="1"/>
    <col min="9979" max="9980" width="16.7109375" style="1652" customWidth="1"/>
    <col min="9981" max="9981" width="15" style="1652" customWidth="1"/>
    <col min="9982" max="9982" width="21.7109375" style="1652" customWidth="1"/>
    <col min="9983" max="9983" width="14.140625" style="1652" customWidth="1"/>
    <col min="9984" max="9984" width="13.85546875" style="1652" customWidth="1"/>
    <col min="9985" max="9985" width="12.140625" style="1652" customWidth="1"/>
    <col min="9986" max="9986" width="20.140625" style="1652" customWidth="1"/>
    <col min="9987" max="9987" width="15" style="1652" customWidth="1"/>
    <col min="9988" max="9988" width="12.140625" style="1652" customWidth="1"/>
    <col min="9989" max="9989" width="12" style="1652" customWidth="1"/>
    <col min="9990" max="9990" width="17.5703125" style="1652" customWidth="1"/>
    <col min="9991" max="9991" width="16.5703125" style="1652" customWidth="1"/>
    <col min="9992" max="9992" width="12.5703125" style="1652" customWidth="1"/>
    <col min="9993" max="9993" width="24.85546875" style="1652" customWidth="1"/>
    <col min="9994" max="9994" width="25.42578125" style="1652" customWidth="1"/>
    <col min="9995" max="9996" width="13.5703125" style="1652" customWidth="1"/>
    <col min="9997" max="9997" width="18.7109375" style="1652" customWidth="1"/>
    <col min="9998" max="9998" width="24.5703125" style="1652" customWidth="1"/>
    <col min="9999" max="9999" width="18.5703125" style="1652" customWidth="1"/>
    <col min="10000" max="10000" width="13.28515625" style="1652" customWidth="1"/>
    <col min="10001" max="10001" width="13.140625" style="1652" customWidth="1"/>
    <col min="10002" max="10002" width="18.7109375" style="1652" customWidth="1"/>
    <col min="10003" max="10003" width="12.42578125" style="1652" customWidth="1"/>
    <col min="10004" max="10004" width="13.85546875" style="1652" customWidth="1"/>
    <col min="10005" max="10005" width="6.85546875" style="1652" customWidth="1"/>
    <col min="10006" max="10006" width="23" style="1652" customWidth="1"/>
    <col min="10007" max="10008" width="8.85546875" style="1652"/>
    <col min="10009" max="10009" width="12.28515625" style="1652" customWidth="1"/>
    <col min="10010" max="10010" width="22" style="1652" customWidth="1"/>
    <col min="10011" max="10013" width="13.28515625" style="1652" bestFit="1" customWidth="1"/>
    <col min="10014" max="10014" width="21.7109375" style="1652" customWidth="1"/>
    <col min="10015" max="10015" width="18.7109375" style="1652" bestFit="1" customWidth="1"/>
    <col min="10016" max="10017" width="19" style="1652" bestFit="1" customWidth="1"/>
    <col min="10018" max="10024" width="13.28515625" style="1652" bestFit="1" customWidth="1"/>
    <col min="10025" max="10025" width="14.140625" style="1652" bestFit="1" customWidth="1"/>
    <col min="10026" max="10027" width="15.7109375" style="1652" bestFit="1" customWidth="1"/>
    <col min="10028" max="10030" width="14.140625" style="1652" bestFit="1" customWidth="1"/>
    <col min="10031" max="10032" width="15.7109375" style="1652" bestFit="1" customWidth="1"/>
    <col min="10033" max="10034" width="14.140625" style="1652" bestFit="1" customWidth="1"/>
    <col min="10035" max="10053" width="8.85546875" style="1652"/>
    <col min="10054" max="10054" width="10" style="1652" bestFit="1" customWidth="1"/>
    <col min="10055" max="10214" width="8.85546875" style="1652"/>
    <col min="10215" max="10215" width="43.85546875" style="1652" customWidth="1"/>
    <col min="10216" max="10216" width="7.140625" style="1652" customWidth="1"/>
    <col min="10217" max="10217" width="15.5703125" style="1652" customWidth="1"/>
    <col min="10218" max="10218" width="23.140625" style="1652" customWidth="1"/>
    <col min="10219" max="10219" width="15.140625" style="1652" customWidth="1"/>
    <col min="10220" max="10220" width="14.85546875" style="1652" customWidth="1"/>
    <col min="10221" max="10221" width="16.28515625" style="1652" customWidth="1"/>
    <col min="10222" max="10222" width="20.85546875" style="1652" customWidth="1"/>
    <col min="10223" max="10223" width="14.140625" style="1652" customWidth="1"/>
    <col min="10224" max="10224" width="15.7109375" style="1652" bestFit="1" customWidth="1"/>
    <col min="10225" max="10225" width="13.42578125" style="1652" bestFit="1" customWidth="1"/>
    <col min="10226" max="10226" width="17.7109375" style="1652" customWidth="1"/>
    <col min="10227" max="10228" width="13.28515625" style="1652" customWidth="1"/>
    <col min="10229" max="10229" width="11.5703125" style="1652" customWidth="1"/>
    <col min="10230" max="10230" width="16.85546875" style="1652" customWidth="1"/>
    <col min="10231" max="10231" width="13.85546875" style="1652" customWidth="1"/>
    <col min="10232" max="10232" width="15.140625" style="1652" customWidth="1"/>
    <col min="10233" max="10233" width="16.7109375" style="1652" customWidth="1"/>
    <col min="10234" max="10234" width="21.7109375" style="1652" customWidth="1"/>
    <col min="10235" max="10236" width="16.7109375" style="1652" customWidth="1"/>
    <col min="10237" max="10237" width="15" style="1652" customWidth="1"/>
    <col min="10238" max="10238" width="21.7109375" style="1652" customWidth="1"/>
    <col min="10239" max="10239" width="14.140625" style="1652" customWidth="1"/>
    <col min="10240" max="10240" width="13.85546875" style="1652" customWidth="1"/>
    <col min="10241" max="10241" width="12.140625" style="1652" customWidth="1"/>
    <col min="10242" max="10242" width="20.140625" style="1652" customWidth="1"/>
    <col min="10243" max="10243" width="15" style="1652" customWidth="1"/>
    <col min="10244" max="10244" width="12.140625" style="1652" customWidth="1"/>
    <col min="10245" max="10245" width="12" style="1652" customWidth="1"/>
    <col min="10246" max="10246" width="17.5703125" style="1652" customWidth="1"/>
    <col min="10247" max="10247" width="16.5703125" style="1652" customWidth="1"/>
    <col min="10248" max="10248" width="12.5703125" style="1652" customWidth="1"/>
    <col min="10249" max="10249" width="24.85546875" style="1652" customWidth="1"/>
    <col min="10250" max="10250" width="25.42578125" style="1652" customWidth="1"/>
    <col min="10251" max="10252" width="13.5703125" style="1652" customWidth="1"/>
    <col min="10253" max="10253" width="18.7109375" style="1652" customWidth="1"/>
    <col min="10254" max="10254" width="24.5703125" style="1652" customWidth="1"/>
    <col min="10255" max="10255" width="18.5703125" style="1652" customWidth="1"/>
    <col min="10256" max="10256" width="13.28515625" style="1652" customWidth="1"/>
    <col min="10257" max="10257" width="13.140625" style="1652" customWidth="1"/>
    <col min="10258" max="10258" width="18.7109375" style="1652" customWidth="1"/>
    <col min="10259" max="10259" width="12.42578125" style="1652" customWidth="1"/>
    <col min="10260" max="10260" width="13.85546875" style="1652" customWidth="1"/>
    <col min="10261" max="10261" width="6.85546875" style="1652" customWidth="1"/>
    <col min="10262" max="10262" width="23" style="1652" customWidth="1"/>
    <col min="10263" max="10264" width="8.85546875" style="1652"/>
    <col min="10265" max="10265" width="12.28515625" style="1652" customWidth="1"/>
    <col min="10266" max="10266" width="22" style="1652" customWidth="1"/>
    <col min="10267" max="10269" width="13.28515625" style="1652" bestFit="1" customWidth="1"/>
    <col min="10270" max="10270" width="21.7109375" style="1652" customWidth="1"/>
    <col min="10271" max="10271" width="18.7109375" style="1652" bestFit="1" customWidth="1"/>
    <col min="10272" max="10273" width="19" style="1652" bestFit="1" customWidth="1"/>
    <col min="10274" max="10280" width="13.28515625" style="1652" bestFit="1" customWidth="1"/>
    <col min="10281" max="10281" width="14.140625" style="1652" bestFit="1" customWidth="1"/>
    <col min="10282" max="10283" width="15.7109375" style="1652" bestFit="1" customWidth="1"/>
    <col min="10284" max="10286" width="14.140625" style="1652" bestFit="1" customWidth="1"/>
    <col min="10287" max="10288" width="15.7109375" style="1652" bestFit="1" customWidth="1"/>
    <col min="10289" max="10290" width="14.140625" style="1652" bestFit="1" customWidth="1"/>
    <col min="10291" max="10309" width="8.85546875" style="1652"/>
    <col min="10310" max="10310" width="10" style="1652" bestFit="1" customWidth="1"/>
    <col min="10311" max="10470" width="8.85546875" style="1652"/>
    <col min="10471" max="10471" width="43.85546875" style="1652" customWidth="1"/>
    <col min="10472" max="10472" width="7.140625" style="1652" customWidth="1"/>
    <col min="10473" max="10473" width="15.5703125" style="1652" customWidth="1"/>
    <col min="10474" max="10474" width="23.140625" style="1652" customWidth="1"/>
    <col min="10475" max="10475" width="15.140625" style="1652" customWidth="1"/>
    <col min="10476" max="10476" width="14.85546875" style="1652" customWidth="1"/>
    <col min="10477" max="10477" width="16.28515625" style="1652" customWidth="1"/>
    <col min="10478" max="10478" width="20.85546875" style="1652" customWidth="1"/>
    <col min="10479" max="10479" width="14.140625" style="1652" customWidth="1"/>
    <col min="10480" max="10480" width="15.7109375" style="1652" bestFit="1" customWidth="1"/>
    <col min="10481" max="10481" width="13.42578125" style="1652" bestFit="1" customWidth="1"/>
    <col min="10482" max="10482" width="17.7109375" style="1652" customWidth="1"/>
    <col min="10483" max="10484" width="13.28515625" style="1652" customWidth="1"/>
    <col min="10485" max="10485" width="11.5703125" style="1652" customWidth="1"/>
    <col min="10486" max="10486" width="16.85546875" style="1652" customWidth="1"/>
    <col min="10487" max="10487" width="13.85546875" style="1652" customWidth="1"/>
    <col min="10488" max="10488" width="15.140625" style="1652" customWidth="1"/>
    <col min="10489" max="10489" width="16.7109375" style="1652" customWidth="1"/>
    <col min="10490" max="10490" width="21.7109375" style="1652" customWidth="1"/>
    <col min="10491" max="10492" width="16.7109375" style="1652" customWidth="1"/>
    <col min="10493" max="10493" width="15" style="1652" customWidth="1"/>
    <col min="10494" max="10494" width="21.7109375" style="1652" customWidth="1"/>
    <col min="10495" max="10495" width="14.140625" style="1652" customWidth="1"/>
    <col min="10496" max="10496" width="13.85546875" style="1652" customWidth="1"/>
    <col min="10497" max="10497" width="12.140625" style="1652" customWidth="1"/>
    <col min="10498" max="10498" width="20.140625" style="1652" customWidth="1"/>
    <col min="10499" max="10499" width="15" style="1652" customWidth="1"/>
    <col min="10500" max="10500" width="12.140625" style="1652" customWidth="1"/>
    <col min="10501" max="10501" width="12" style="1652" customWidth="1"/>
    <col min="10502" max="10502" width="17.5703125" style="1652" customWidth="1"/>
    <col min="10503" max="10503" width="16.5703125" style="1652" customWidth="1"/>
    <col min="10504" max="10504" width="12.5703125" style="1652" customWidth="1"/>
    <col min="10505" max="10505" width="24.85546875" style="1652" customWidth="1"/>
    <col min="10506" max="10506" width="25.42578125" style="1652" customWidth="1"/>
    <col min="10507" max="10508" width="13.5703125" style="1652" customWidth="1"/>
    <col min="10509" max="10509" width="18.7109375" style="1652" customWidth="1"/>
    <col min="10510" max="10510" width="24.5703125" style="1652" customWidth="1"/>
    <col min="10511" max="10511" width="18.5703125" style="1652" customWidth="1"/>
    <col min="10512" max="10512" width="13.28515625" style="1652" customWidth="1"/>
    <col min="10513" max="10513" width="13.140625" style="1652" customWidth="1"/>
    <col min="10514" max="10514" width="18.7109375" style="1652" customWidth="1"/>
    <col min="10515" max="10515" width="12.42578125" style="1652" customWidth="1"/>
    <col min="10516" max="10516" width="13.85546875" style="1652" customWidth="1"/>
    <col min="10517" max="10517" width="6.85546875" style="1652" customWidth="1"/>
    <col min="10518" max="10518" width="23" style="1652" customWidth="1"/>
    <col min="10519" max="10520" width="8.85546875" style="1652"/>
    <col min="10521" max="10521" width="12.28515625" style="1652" customWidth="1"/>
    <col min="10522" max="10522" width="22" style="1652" customWidth="1"/>
    <col min="10523" max="10525" width="13.28515625" style="1652" bestFit="1" customWidth="1"/>
    <col min="10526" max="10526" width="21.7109375" style="1652" customWidth="1"/>
    <col min="10527" max="10527" width="18.7109375" style="1652" bestFit="1" customWidth="1"/>
    <col min="10528" max="10529" width="19" style="1652" bestFit="1" customWidth="1"/>
    <col min="10530" max="10536" width="13.28515625" style="1652" bestFit="1" customWidth="1"/>
    <col min="10537" max="10537" width="14.140625" style="1652" bestFit="1" customWidth="1"/>
    <col min="10538" max="10539" width="15.7109375" style="1652" bestFit="1" customWidth="1"/>
    <col min="10540" max="10542" width="14.140625" style="1652" bestFit="1" customWidth="1"/>
    <col min="10543" max="10544" width="15.7109375" style="1652" bestFit="1" customWidth="1"/>
    <col min="10545" max="10546" width="14.140625" style="1652" bestFit="1" customWidth="1"/>
    <col min="10547" max="10565" width="8.85546875" style="1652"/>
    <col min="10566" max="10566" width="10" style="1652" bestFit="1" customWidth="1"/>
    <col min="10567" max="10726" width="8.85546875" style="1652"/>
    <col min="10727" max="10727" width="43.85546875" style="1652" customWidth="1"/>
    <col min="10728" max="10728" width="7.140625" style="1652" customWidth="1"/>
    <col min="10729" max="10729" width="15.5703125" style="1652" customWidth="1"/>
    <col min="10730" max="10730" width="23.140625" style="1652" customWidth="1"/>
    <col min="10731" max="10731" width="15.140625" style="1652" customWidth="1"/>
    <col min="10732" max="10732" width="14.85546875" style="1652" customWidth="1"/>
    <col min="10733" max="10733" width="16.28515625" style="1652" customWidth="1"/>
    <col min="10734" max="10734" width="20.85546875" style="1652" customWidth="1"/>
    <col min="10735" max="10735" width="14.140625" style="1652" customWidth="1"/>
    <col min="10736" max="10736" width="15.7109375" style="1652" bestFit="1" customWidth="1"/>
    <col min="10737" max="10737" width="13.42578125" style="1652" bestFit="1" customWidth="1"/>
    <col min="10738" max="10738" width="17.7109375" style="1652" customWidth="1"/>
    <col min="10739" max="10740" width="13.28515625" style="1652" customWidth="1"/>
    <col min="10741" max="10741" width="11.5703125" style="1652" customWidth="1"/>
    <col min="10742" max="10742" width="16.85546875" style="1652" customWidth="1"/>
    <col min="10743" max="10743" width="13.85546875" style="1652" customWidth="1"/>
    <col min="10744" max="10744" width="15.140625" style="1652" customWidth="1"/>
    <col min="10745" max="10745" width="16.7109375" style="1652" customWidth="1"/>
    <col min="10746" max="10746" width="21.7109375" style="1652" customWidth="1"/>
    <col min="10747" max="10748" width="16.7109375" style="1652" customWidth="1"/>
    <col min="10749" max="10749" width="15" style="1652" customWidth="1"/>
    <col min="10750" max="10750" width="21.7109375" style="1652" customWidth="1"/>
    <col min="10751" max="10751" width="14.140625" style="1652" customWidth="1"/>
    <col min="10752" max="10752" width="13.85546875" style="1652" customWidth="1"/>
    <col min="10753" max="10753" width="12.140625" style="1652" customWidth="1"/>
    <col min="10754" max="10754" width="20.140625" style="1652" customWidth="1"/>
    <col min="10755" max="10755" width="15" style="1652" customWidth="1"/>
    <col min="10756" max="10756" width="12.140625" style="1652" customWidth="1"/>
    <col min="10757" max="10757" width="12" style="1652" customWidth="1"/>
    <col min="10758" max="10758" width="17.5703125" style="1652" customWidth="1"/>
    <col min="10759" max="10759" width="16.5703125" style="1652" customWidth="1"/>
    <col min="10760" max="10760" width="12.5703125" style="1652" customWidth="1"/>
    <col min="10761" max="10761" width="24.85546875" style="1652" customWidth="1"/>
    <col min="10762" max="10762" width="25.42578125" style="1652" customWidth="1"/>
    <col min="10763" max="10764" width="13.5703125" style="1652" customWidth="1"/>
    <col min="10765" max="10765" width="18.7109375" style="1652" customWidth="1"/>
    <col min="10766" max="10766" width="24.5703125" style="1652" customWidth="1"/>
    <col min="10767" max="10767" width="18.5703125" style="1652" customWidth="1"/>
    <col min="10768" max="10768" width="13.28515625" style="1652" customWidth="1"/>
    <col min="10769" max="10769" width="13.140625" style="1652" customWidth="1"/>
    <col min="10770" max="10770" width="18.7109375" style="1652" customWidth="1"/>
    <col min="10771" max="10771" width="12.42578125" style="1652" customWidth="1"/>
    <col min="10772" max="10772" width="13.85546875" style="1652" customWidth="1"/>
    <col min="10773" max="10773" width="6.85546875" style="1652" customWidth="1"/>
    <col min="10774" max="10774" width="23" style="1652" customWidth="1"/>
    <col min="10775" max="10776" width="8.85546875" style="1652"/>
    <col min="10777" max="10777" width="12.28515625" style="1652" customWidth="1"/>
    <col min="10778" max="10778" width="22" style="1652" customWidth="1"/>
    <col min="10779" max="10781" width="13.28515625" style="1652" bestFit="1" customWidth="1"/>
    <col min="10782" max="10782" width="21.7109375" style="1652" customWidth="1"/>
    <col min="10783" max="10783" width="18.7109375" style="1652" bestFit="1" customWidth="1"/>
    <col min="10784" max="10785" width="19" style="1652" bestFit="1" customWidth="1"/>
    <col min="10786" max="10792" width="13.28515625" style="1652" bestFit="1" customWidth="1"/>
    <col min="10793" max="10793" width="14.140625" style="1652" bestFit="1" customWidth="1"/>
    <col min="10794" max="10795" width="15.7109375" style="1652" bestFit="1" customWidth="1"/>
    <col min="10796" max="10798" width="14.140625" style="1652" bestFit="1" customWidth="1"/>
    <col min="10799" max="10800" width="15.7109375" style="1652" bestFit="1" customWidth="1"/>
    <col min="10801" max="10802" width="14.140625" style="1652" bestFit="1" customWidth="1"/>
    <col min="10803" max="10821" width="8.85546875" style="1652"/>
    <col min="10822" max="10822" width="10" style="1652" bestFit="1" customWidth="1"/>
    <col min="10823" max="10982" width="8.85546875" style="1652"/>
    <col min="10983" max="10983" width="43.85546875" style="1652" customWidth="1"/>
    <col min="10984" max="10984" width="7.140625" style="1652" customWidth="1"/>
    <col min="10985" max="10985" width="15.5703125" style="1652" customWidth="1"/>
    <col min="10986" max="10986" width="23.140625" style="1652" customWidth="1"/>
    <col min="10987" max="10987" width="15.140625" style="1652" customWidth="1"/>
    <col min="10988" max="10988" width="14.85546875" style="1652" customWidth="1"/>
    <col min="10989" max="10989" width="16.28515625" style="1652" customWidth="1"/>
    <col min="10990" max="10990" width="20.85546875" style="1652" customWidth="1"/>
    <col min="10991" max="10991" width="14.140625" style="1652" customWidth="1"/>
    <col min="10992" max="10992" width="15.7109375" style="1652" bestFit="1" customWidth="1"/>
    <col min="10993" max="10993" width="13.42578125" style="1652" bestFit="1" customWidth="1"/>
    <col min="10994" max="10994" width="17.7109375" style="1652" customWidth="1"/>
    <col min="10995" max="10996" width="13.28515625" style="1652" customWidth="1"/>
    <col min="10997" max="10997" width="11.5703125" style="1652" customWidth="1"/>
    <col min="10998" max="10998" width="16.85546875" style="1652" customWidth="1"/>
    <col min="10999" max="10999" width="13.85546875" style="1652" customWidth="1"/>
    <col min="11000" max="11000" width="15.140625" style="1652" customWidth="1"/>
    <col min="11001" max="11001" width="16.7109375" style="1652" customWidth="1"/>
    <col min="11002" max="11002" width="21.7109375" style="1652" customWidth="1"/>
    <col min="11003" max="11004" width="16.7109375" style="1652" customWidth="1"/>
    <col min="11005" max="11005" width="15" style="1652" customWidth="1"/>
    <col min="11006" max="11006" width="21.7109375" style="1652" customWidth="1"/>
    <col min="11007" max="11007" width="14.140625" style="1652" customWidth="1"/>
    <col min="11008" max="11008" width="13.85546875" style="1652" customWidth="1"/>
    <col min="11009" max="11009" width="12.140625" style="1652" customWidth="1"/>
    <col min="11010" max="11010" width="20.140625" style="1652" customWidth="1"/>
    <col min="11011" max="11011" width="15" style="1652" customWidth="1"/>
    <col min="11012" max="11012" width="12.140625" style="1652" customWidth="1"/>
    <col min="11013" max="11013" width="12" style="1652" customWidth="1"/>
    <col min="11014" max="11014" width="17.5703125" style="1652" customWidth="1"/>
    <col min="11015" max="11015" width="16.5703125" style="1652" customWidth="1"/>
    <col min="11016" max="11016" width="12.5703125" style="1652" customWidth="1"/>
    <col min="11017" max="11017" width="24.85546875" style="1652" customWidth="1"/>
    <col min="11018" max="11018" width="25.42578125" style="1652" customWidth="1"/>
    <col min="11019" max="11020" width="13.5703125" style="1652" customWidth="1"/>
    <col min="11021" max="11021" width="18.7109375" style="1652" customWidth="1"/>
    <col min="11022" max="11022" width="24.5703125" style="1652" customWidth="1"/>
    <col min="11023" max="11023" width="18.5703125" style="1652" customWidth="1"/>
    <col min="11024" max="11024" width="13.28515625" style="1652" customWidth="1"/>
    <col min="11025" max="11025" width="13.140625" style="1652" customWidth="1"/>
    <col min="11026" max="11026" width="18.7109375" style="1652" customWidth="1"/>
    <col min="11027" max="11027" width="12.42578125" style="1652" customWidth="1"/>
    <col min="11028" max="11028" width="13.85546875" style="1652" customWidth="1"/>
    <col min="11029" max="11029" width="6.85546875" style="1652" customWidth="1"/>
    <col min="11030" max="11030" width="23" style="1652" customWidth="1"/>
    <col min="11031" max="11032" width="8.85546875" style="1652"/>
    <col min="11033" max="11033" width="12.28515625" style="1652" customWidth="1"/>
    <col min="11034" max="11034" width="22" style="1652" customWidth="1"/>
    <col min="11035" max="11037" width="13.28515625" style="1652" bestFit="1" customWidth="1"/>
    <col min="11038" max="11038" width="21.7109375" style="1652" customWidth="1"/>
    <col min="11039" max="11039" width="18.7109375" style="1652" bestFit="1" customWidth="1"/>
    <col min="11040" max="11041" width="19" style="1652" bestFit="1" customWidth="1"/>
    <col min="11042" max="11048" width="13.28515625" style="1652" bestFit="1" customWidth="1"/>
    <col min="11049" max="11049" width="14.140625" style="1652" bestFit="1" customWidth="1"/>
    <col min="11050" max="11051" width="15.7109375" style="1652" bestFit="1" customWidth="1"/>
    <col min="11052" max="11054" width="14.140625" style="1652" bestFit="1" customWidth="1"/>
    <col min="11055" max="11056" width="15.7109375" style="1652" bestFit="1" customWidth="1"/>
    <col min="11057" max="11058" width="14.140625" style="1652" bestFit="1" customWidth="1"/>
    <col min="11059" max="11077" width="8.85546875" style="1652"/>
    <col min="11078" max="11078" width="10" style="1652" bestFit="1" customWidth="1"/>
    <col min="11079" max="11238" width="8.85546875" style="1652"/>
    <col min="11239" max="11239" width="43.85546875" style="1652" customWidth="1"/>
    <col min="11240" max="11240" width="7.140625" style="1652" customWidth="1"/>
    <col min="11241" max="11241" width="15.5703125" style="1652" customWidth="1"/>
    <col min="11242" max="11242" width="23.140625" style="1652" customWidth="1"/>
    <col min="11243" max="11243" width="15.140625" style="1652" customWidth="1"/>
    <col min="11244" max="11244" width="14.85546875" style="1652" customWidth="1"/>
    <col min="11245" max="11245" width="16.28515625" style="1652" customWidth="1"/>
    <col min="11246" max="11246" width="20.85546875" style="1652" customWidth="1"/>
    <col min="11247" max="11247" width="14.140625" style="1652" customWidth="1"/>
    <col min="11248" max="11248" width="15.7109375" style="1652" bestFit="1" customWidth="1"/>
    <col min="11249" max="11249" width="13.42578125" style="1652" bestFit="1" customWidth="1"/>
    <col min="11250" max="11250" width="17.7109375" style="1652" customWidth="1"/>
    <col min="11251" max="11252" width="13.28515625" style="1652" customWidth="1"/>
    <col min="11253" max="11253" width="11.5703125" style="1652" customWidth="1"/>
    <col min="11254" max="11254" width="16.85546875" style="1652" customWidth="1"/>
    <col min="11255" max="11255" width="13.85546875" style="1652" customWidth="1"/>
    <col min="11256" max="11256" width="15.140625" style="1652" customWidth="1"/>
    <col min="11257" max="11257" width="16.7109375" style="1652" customWidth="1"/>
    <col min="11258" max="11258" width="21.7109375" style="1652" customWidth="1"/>
    <col min="11259" max="11260" width="16.7109375" style="1652" customWidth="1"/>
    <col min="11261" max="11261" width="15" style="1652" customWidth="1"/>
    <col min="11262" max="11262" width="21.7109375" style="1652" customWidth="1"/>
    <col min="11263" max="11263" width="14.140625" style="1652" customWidth="1"/>
    <col min="11264" max="11264" width="13.85546875" style="1652" customWidth="1"/>
    <col min="11265" max="11265" width="12.140625" style="1652" customWidth="1"/>
    <col min="11266" max="11266" width="20.140625" style="1652" customWidth="1"/>
    <col min="11267" max="11267" width="15" style="1652" customWidth="1"/>
    <col min="11268" max="11268" width="12.140625" style="1652" customWidth="1"/>
    <col min="11269" max="11269" width="12" style="1652" customWidth="1"/>
    <col min="11270" max="11270" width="17.5703125" style="1652" customWidth="1"/>
    <col min="11271" max="11271" width="16.5703125" style="1652" customWidth="1"/>
    <col min="11272" max="11272" width="12.5703125" style="1652" customWidth="1"/>
    <col min="11273" max="11273" width="24.85546875" style="1652" customWidth="1"/>
    <col min="11274" max="11274" width="25.42578125" style="1652" customWidth="1"/>
    <col min="11275" max="11276" width="13.5703125" style="1652" customWidth="1"/>
    <col min="11277" max="11277" width="18.7109375" style="1652" customWidth="1"/>
    <col min="11278" max="11278" width="24.5703125" style="1652" customWidth="1"/>
    <col min="11279" max="11279" width="18.5703125" style="1652" customWidth="1"/>
    <col min="11280" max="11280" width="13.28515625" style="1652" customWidth="1"/>
    <col min="11281" max="11281" width="13.140625" style="1652" customWidth="1"/>
    <col min="11282" max="11282" width="18.7109375" style="1652" customWidth="1"/>
    <col min="11283" max="11283" width="12.42578125" style="1652" customWidth="1"/>
    <col min="11284" max="11284" width="13.85546875" style="1652" customWidth="1"/>
    <col min="11285" max="11285" width="6.85546875" style="1652" customWidth="1"/>
    <col min="11286" max="11286" width="23" style="1652" customWidth="1"/>
    <col min="11287" max="11288" width="8.85546875" style="1652"/>
    <col min="11289" max="11289" width="12.28515625" style="1652" customWidth="1"/>
    <col min="11290" max="11290" width="22" style="1652" customWidth="1"/>
    <col min="11291" max="11293" width="13.28515625" style="1652" bestFit="1" customWidth="1"/>
    <col min="11294" max="11294" width="21.7109375" style="1652" customWidth="1"/>
    <col min="11295" max="11295" width="18.7109375" style="1652" bestFit="1" customWidth="1"/>
    <col min="11296" max="11297" width="19" style="1652" bestFit="1" customWidth="1"/>
    <col min="11298" max="11304" width="13.28515625" style="1652" bestFit="1" customWidth="1"/>
    <col min="11305" max="11305" width="14.140625" style="1652" bestFit="1" customWidth="1"/>
    <col min="11306" max="11307" width="15.7109375" style="1652" bestFit="1" customWidth="1"/>
    <col min="11308" max="11310" width="14.140625" style="1652" bestFit="1" customWidth="1"/>
    <col min="11311" max="11312" width="15.7109375" style="1652" bestFit="1" customWidth="1"/>
    <col min="11313" max="11314" width="14.140625" style="1652" bestFit="1" customWidth="1"/>
    <col min="11315" max="11333" width="8.85546875" style="1652"/>
    <col min="11334" max="11334" width="10" style="1652" bestFit="1" customWidth="1"/>
    <col min="11335" max="11494" width="8.85546875" style="1652"/>
    <col min="11495" max="11495" width="43.85546875" style="1652" customWidth="1"/>
    <col min="11496" max="11496" width="7.140625" style="1652" customWidth="1"/>
    <col min="11497" max="11497" width="15.5703125" style="1652" customWidth="1"/>
    <col min="11498" max="11498" width="23.140625" style="1652" customWidth="1"/>
    <col min="11499" max="11499" width="15.140625" style="1652" customWidth="1"/>
    <col min="11500" max="11500" width="14.85546875" style="1652" customWidth="1"/>
    <col min="11501" max="11501" width="16.28515625" style="1652" customWidth="1"/>
    <col min="11502" max="11502" width="20.85546875" style="1652" customWidth="1"/>
    <col min="11503" max="11503" width="14.140625" style="1652" customWidth="1"/>
    <col min="11504" max="11504" width="15.7109375" style="1652" bestFit="1" customWidth="1"/>
    <col min="11505" max="11505" width="13.42578125" style="1652" bestFit="1" customWidth="1"/>
    <col min="11506" max="11506" width="17.7109375" style="1652" customWidth="1"/>
    <col min="11507" max="11508" width="13.28515625" style="1652" customWidth="1"/>
    <col min="11509" max="11509" width="11.5703125" style="1652" customWidth="1"/>
    <col min="11510" max="11510" width="16.85546875" style="1652" customWidth="1"/>
    <col min="11511" max="11511" width="13.85546875" style="1652" customWidth="1"/>
    <col min="11512" max="11512" width="15.140625" style="1652" customWidth="1"/>
    <col min="11513" max="11513" width="16.7109375" style="1652" customWidth="1"/>
    <col min="11514" max="11514" width="21.7109375" style="1652" customWidth="1"/>
    <col min="11515" max="11516" width="16.7109375" style="1652" customWidth="1"/>
    <col min="11517" max="11517" width="15" style="1652" customWidth="1"/>
    <col min="11518" max="11518" width="21.7109375" style="1652" customWidth="1"/>
    <col min="11519" max="11519" width="14.140625" style="1652" customWidth="1"/>
    <col min="11520" max="11520" width="13.85546875" style="1652" customWidth="1"/>
    <col min="11521" max="11521" width="12.140625" style="1652" customWidth="1"/>
    <col min="11522" max="11522" width="20.140625" style="1652" customWidth="1"/>
    <col min="11523" max="11523" width="15" style="1652" customWidth="1"/>
    <col min="11524" max="11524" width="12.140625" style="1652" customWidth="1"/>
    <col min="11525" max="11525" width="12" style="1652" customWidth="1"/>
    <col min="11526" max="11526" width="17.5703125" style="1652" customWidth="1"/>
    <col min="11527" max="11527" width="16.5703125" style="1652" customWidth="1"/>
    <col min="11528" max="11528" width="12.5703125" style="1652" customWidth="1"/>
    <col min="11529" max="11529" width="24.85546875" style="1652" customWidth="1"/>
    <col min="11530" max="11530" width="25.42578125" style="1652" customWidth="1"/>
    <col min="11531" max="11532" width="13.5703125" style="1652" customWidth="1"/>
    <col min="11533" max="11533" width="18.7109375" style="1652" customWidth="1"/>
    <col min="11534" max="11534" width="24.5703125" style="1652" customWidth="1"/>
    <col min="11535" max="11535" width="18.5703125" style="1652" customWidth="1"/>
    <col min="11536" max="11536" width="13.28515625" style="1652" customWidth="1"/>
    <col min="11537" max="11537" width="13.140625" style="1652" customWidth="1"/>
    <col min="11538" max="11538" width="18.7109375" style="1652" customWidth="1"/>
    <col min="11539" max="11539" width="12.42578125" style="1652" customWidth="1"/>
    <col min="11540" max="11540" width="13.85546875" style="1652" customWidth="1"/>
    <col min="11541" max="11541" width="6.85546875" style="1652" customWidth="1"/>
    <col min="11542" max="11542" width="23" style="1652" customWidth="1"/>
    <col min="11543" max="11544" width="8.85546875" style="1652"/>
    <col min="11545" max="11545" width="12.28515625" style="1652" customWidth="1"/>
    <col min="11546" max="11546" width="22" style="1652" customWidth="1"/>
    <col min="11547" max="11549" width="13.28515625" style="1652" bestFit="1" customWidth="1"/>
    <col min="11550" max="11550" width="21.7109375" style="1652" customWidth="1"/>
    <col min="11551" max="11551" width="18.7109375" style="1652" bestFit="1" customWidth="1"/>
    <col min="11552" max="11553" width="19" style="1652" bestFit="1" customWidth="1"/>
    <col min="11554" max="11560" width="13.28515625" style="1652" bestFit="1" customWidth="1"/>
    <col min="11561" max="11561" width="14.140625" style="1652" bestFit="1" customWidth="1"/>
    <col min="11562" max="11563" width="15.7109375" style="1652" bestFit="1" customWidth="1"/>
    <col min="11564" max="11566" width="14.140625" style="1652" bestFit="1" customWidth="1"/>
    <col min="11567" max="11568" width="15.7109375" style="1652" bestFit="1" customWidth="1"/>
    <col min="11569" max="11570" width="14.140625" style="1652" bestFit="1" customWidth="1"/>
    <col min="11571" max="11589" width="8.85546875" style="1652"/>
    <col min="11590" max="11590" width="10" style="1652" bestFit="1" customWidth="1"/>
    <col min="11591" max="11750" width="8.85546875" style="1652"/>
    <col min="11751" max="11751" width="43.85546875" style="1652" customWidth="1"/>
    <col min="11752" max="11752" width="7.140625" style="1652" customWidth="1"/>
    <col min="11753" max="11753" width="15.5703125" style="1652" customWidth="1"/>
    <col min="11754" max="11754" width="23.140625" style="1652" customWidth="1"/>
    <col min="11755" max="11755" width="15.140625" style="1652" customWidth="1"/>
    <col min="11756" max="11756" width="14.85546875" style="1652" customWidth="1"/>
    <col min="11757" max="11757" width="16.28515625" style="1652" customWidth="1"/>
    <col min="11758" max="11758" width="20.85546875" style="1652" customWidth="1"/>
    <col min="11759" max="11759" width="14.140625" style="1652" customWidth="1"/>
    <col min="11760" max="11760" width="15.7109375" style="1652" bestFit="1" customWidth="1"/>
    <col min="11761" max="11761" width="13.42578125" style="1652" bestFit="1" customWidth="1"/>
    <col min="11762" max="11762" width="17.7109375" style="1652" customWidth="1"/>
    <col min="11763" max="11764" width="13.28515625" style="1652" customWidth="1"/>
    <col min="11765" max="11765" width="11.5703125" style="1652" customWidth="1"/>
    <col min="11766" max="11766" width="16.85546875" style="1652" customWidth="1"/>
    <col min="11767" max="11767" width="13.85546875" style="1652" customWidth="1"/>
    <col min="11768" max="11768" width="15.140625" style="1652" customWidth="1"/>
    <col min="11769" max="11769" width="16.7109375" style="1652" customWidth="1"/>
    <col min="11770" max="11770" width="21.7109375" style="1652" customWidth="1"/>
    <col min="11771" max="11772" width="16.7109375" style="1652" customWidth="1"/>
    <col min="11773" max="11773" width="15" style="1652" customWidth="1"/>
    <col min="11774" max="11774" width="21.7109375" style="1652" customWidth="1"/>
    <col min="11775" max="11775" width="14.140625" style="1652" customWidth="1"/>
    <col min="11776" max="11776" width="13.85546875" style="1652" customWidth="1"/>
    <col min="11777" max="11777" width="12.140625" style="1652" customWidth="1"/>
    <col min="11778" max="11778" width="20.140625" style="1652" customWidth="1"/>
    <col min="11779" max="11779" width="15" style="1652" customWidth="1"/>
    <col min="11780" max="11780" width="12.140625" style="1652" customWidth="1"/>
    <col min="11781" max="11781" width="12" style="1652" customWidth="1"/>
    <col min="11782" max="11782" width="17.5703125" style="1652" customWidth="1"/>
    <col min="11783" max="11783" width="16.5703125" style="1652" customWidth="1"/>
    <col min="11784" max="11784" width="12.5703125" style="1652" customWidth="1"/>
    <col min="11785" max="11785" width="24.85546875" style="1652" customWidth="1"/>
    <col min="11786" max="11786" width="25.42578125" style="1652" customWidth="1"/>
    <col min="11787" max="11788" width="13.5703125" style="1652" customWidth="1"/>
    <col min="11789" max="11789" width="18.7109375" style="1652" customWidth="1"/>
    <col min="11790" max="11790" width="24.5703125" style="1652" customWidth="1"/>
    <col min="11791" max="11791" width="18.5703125" style="1652" customWidth="1"/>
    <col min="11792" max="11792" width="13.28515625" style="1652" customWidth="1"/>
    <col min="11793" max="11793" width="13.140625" style="1652" customWidth="1"/>
    <col min="11794" max="11794" width="18.7109375" style="1652" customWidth="1"/>
    <col min="11795" max="11795" width="12.42578125" style="1652" customWidth="1"/>
    <col min="11796" max="11796" width="13.85546875" style="1652" customWidth="1"/>
    <col min="11797" max="11797" width="6.85546875" style="1652" customWidth="1"/>
    <col min="11798" max="11798" width="23" style="1652" customWidth="1"/>
    <col min="11799" max="11800" width="8.85546875" style="1652"/>
    <col min="11801" max="11801" width="12.28515625" style="1652" customWidth="1"/>
    <col min="11802" max="11802" width="22" style="1652" customWidth="1"/>
    <col min="11803" max="11805" width="13.28515625" style="1652" bestFit="1" customWidth="1"/>
    <col min="11806" max="11806" width="21.7109375" style="1652" customWidth="1"/>
    <col min="11807" max="11807" width="18.7109375" style="1652" bestFit="1" customWidth="1"/>
    <col min="11808" max="11809" width="19" style="1652" bestFit="1" customWidth="1"/>
    <col min="11810" max="11816" width="13.28515625" style="1652" bestFit="1" customWidth="1"/>
    <col min="11817" max="11817" width="14.140625" style="1652" bestFit="1" customWidth="1"/>
    <col min="11818" max="11819" width="15.7109375" style="1652" bestFit="1" customWidth="1"/>
    <col min="11820" max="11822" width="14.140625" style="1652" bestFit="1" customWidth="1"/>
    <col min="11823" max="11824" width="15.7109375" style="1652" bestFit="1" customWidth="1"/>
    <col min="11825" max="11826" width="14.140625" style="1652" bestFit="1" customWidth="1"/>
    <col min="11827" max="11845" width="8.85546875" style="1652"/>
    <col min="11846" max="11846" width="10" style="1652" bestFit="1" customWidth="1"/>
    <col min="11847" max="12006" width="8.85546875" style="1652"/>
    <col min="12007" max="12007" width="43.85546875" style="1652" customWidth="1"/>
    <col min="12008" max="12008" width="7.140625" style="1652" customWidth="1"/>
    <col min="12009" max="12009" width="15.5703125" style="1652" customWidth="1"/>
    <col min="12010" max="12010" width="23.140625" style="1652" customWidth="1"/>
    <col min="12011" max="12011" width="15.140625" style="1652" customWidth="1"/>
    <col min="12012" max="12012" width="14.85546875" style="1652" customWidth="1"/>
    <col min="12013" max="12013" width="16.28515625" style="1652" customWidth="1"/>
    <col min="12014" max="12014" width="20.85546875" style="1652" customWidth="1"/>
    <col min="12015" max="12015" width="14.140625" style="1652" customWidth="1"/>
    <col min="12016" max="12016" width="15.7109375" style="1652" bestFit="1" customWidth="1"/>
    <col min="12017" max="12017" width="13.42578125" style="1652" bestFit="1" customWidth="1"/>
    <col min="12018" max="12018" width="17.7109375" style="1652" customWidth="1"/>
    <col min="12019" max="12020" width="13.28515625" style="1652" customWidth="1"/>
    <col min="12021" max="12021" width="11.5703125" style="1652" customWidth="1"/>
    <col min="12022" max="12022" width="16.85546875" style="1652" customWidth="1"/>
    <col min="12023" max="12023" width="13.85546875" style="1652" customWidth="1"/>
    <col min="12024" max="12024" width="15.140625" style="1652" customWidth="1"/>
    <col min="12025" max="12025" width="16.7109375" style="1652" customWidth="1"/>
    <col min="12026" max="12026" width="21.7109375" style="1652" customWidth="1"/>
    <col min="12027" max="12028" width="16.7109375" style="1652" customWidth="1"/>
    <col min="12029" max="12029" width="15" style="1652" customWidth="1"/>
    <col min="12030" max="12030" width="21.7109375" style="1652" customWidth="1"/>
    <col min="12031" max="12031" width="14.140625" style="1652" customWidth="1"/>
    <col min="12032" max="12032" width="13.85546875" style="1652" customWidth="1"/>
    <col min="12033" max="12033" width="12.140625" style="1652" customWidth="1"/>
    <col min="12034" max="12034" width="20.140625" style="1652" customWidth="1"/>
    <col min="12035" max="12035" width="15" style="1652" customWidth="1"/>
    <col min="12036" max="12036" width="12.140625" style="1652" customWidth="1"/>
    <col min="12037" max="12037" width="12" style="1652" customWidth="1"/>
    <col min="12038" max="12038" width="17.5703125" style="1652" customWidth="1"/>
    <col min="12039" max="12039" width="16.5703125" style="1652" customWidth="1"/>
    <col min="12040" max="12040" width="12.5703125" style="1652" customWidth="1"/>
    <col min="12041" max="12041" width="24.85546875" style="1652" customWidth="1"/>
    <col min="12042" max="12042" width="25.42578125" style="1652" customWidth="1"/>
    <col min="12043" max="12044" width="13.5703125" style="1652" customWidth="1"/>
    <col min="12045" max="12045" width="18.7109375" style="1652" customWidth="1"/>
    <col min="12046" max="12046" width="24.5703125" style="1652" customWidth="1"/>
    <col min="12047" max="12047" width="18.5703125" style="1652" customWidth="1"/>
    <col min="12048" max="12048" width="13.28515625" style="1652" customWidth="1"/>
    <col min="12049" max="12049" width="13.140625" style="1652" customWidth="1"/>
    <col min="12050" max="12050" width="18.7109375" style="1652" customWidth="1"/>
    <col min="12051" max="12051" width="12.42578125" style="1652" customWidth="1"/>
    <col min="12052" max="12052" width="13.85546875" style="1652" customWidth="1"/>
    <col min="12053" max="12053" width="6.85546875" style="1652" customWidth="1"/>
    <col min="12054" max="12054" width="23" style="1652" customWidth="1"/>
    <col min="12055" max="12056" width="8.85546875" style="1652"/>
    <col min="12057" max="12057" width="12.28515625" style="1652" customWidth="1"/>
    <col min="12058" max="12058" width="22" style="1652" customWidth="1"/>
    <col min="12059" max="12061" width="13.28515625" style="1652" bestFit="1" customWidth="1"/>
    <col min="12062" max="12062" width="21.7109375" style="1652" customWidth="1"/>
    <col min="12063" max="12063" width="18.7109375" style="1652" bestFit="1" customWidth="1"/>
    <col min="12064" max="12065" width="19" style="1652" bestFit="1" customWidth="1"/>
    <col min="12066" max="12072" width="13.28515625" style="1652" bestFit="1" customWidth="1"/>
    <col min="12073" max="12073" width="14.140625" style="1652" bestFit="1" customWidth="1"/>
    <col min="12074" max="12075" width="15.7109375" style="1652" bestFit="1" customWidth="1"/>
    <col min="12076" max="12078" width="14.140625" style="1652" bestFit="1" customWidth="1"/>
    <col min="12079" max="12080" width="15.7109375" style="1652" bestFit="1" customWidth="1"/>
    <col min="12081" max="12082" width="14.140625" style="1652" bestFit="1" customWidth="1"/>
    <col min="12083" max="12101" width="8.85546875" style="1652"/>
    <col min="12102" max="12102" width="10" style="1652" bestFit="1" customWidth="1"/>
    <col min="12103" max="12262" width="8.85546875" style="1652"/>
    <col min="12263" max="12263" width="43.85546875" style="1652" customWidth="1"/>
    <col min="12264" max="12264" width="7.140625" style="1652" customWidth="1"/>
    <col min="12265" max="12265" width="15.5703125" style="1652" customWidth="1"/>
    <col min="12266" max="12266" width="23.140625" style="1652" customWidth="1"/>
    <col min="12267" max="12267" width="15.140625" style="1652" customWidth="1"/>
    <col min="12268" max="12268" width="14.85546875" style="1652" customWidth="1"/>
    <col min="12269" max="12269" width="16.28515625" style="1652" customWidth="1"/>
    <col min="12270" max="12270" width="20.85546875" style="1652" customWidth="1"/>
    <col min="12271" max="12271" width="14.140625" style="1652" customWidth="1"/>
    <col min="12272" max="12272" width="15.7109375" style="1652" bestFit="1" customWidth="1"/>
    <col min="12273" max="12273" width="13.42578125" style="1652" bestFit="1" customWidth="1"/>
    <col min="12274" max="12274" width="17.7109375" style="1652" customWidth="1"/>
    <col min="12275" max="12276" width="13.28515625" style="1652" customWidth="1"/>
    <col min="12277" max="12277" width="11.5703125" style="1652" customWidth="1"/>
    <col min="12278" max="12278" width="16.85546875" style="1652" customWidth="1"/>
    <col min="12279" max="12279" width="13.85546875" style="1652" customWidth="1"/>
    <col min="12280" max="12280" width="15.140625" style="1652" customWidth="1"/>
    <col min="12281" max="12281" width="16.7109375" style="1652" customWidth="1"/>
    <col min="12282" max="12282" width="21.7109375" style="1652" customWidth="1"/>
    <col min="12283" max="12284" width="16.7109375" style="1652" customWidth="1"/>
    <col min="12285" max="12285" width="15" style="1652" customWidth="1"/>
    <col min="12286" max="12286" width="21.7109375" style="1652" customWidth="1"/>
    <col min="12287" max="12287" width="14.140625" style="1652" customWidth="1"/>
    <col min="12288" max="12288" width="13.85546875" style="1652" customWidth="1"/>
    <col min="12289" max="12289" width="12.140625" style="1652" customWidth="1"/>
    <col min="12290" max="12290" width="20.140625" style="1652" customWidth="1"/>
    <col min="12291" max="12291" width="15" style="1652" customWidth="1"/>
    <col min="12292" max="12292" width="12.140625" style="1652" customWidth="1"/>
    <col min="12293" max="12293" width="12" style="1652" customWidth="1"/>
    <col min="12294" max="12294" width="17.5703125" style="1652" customWidth="1"/>
    <col min="12295" max="12295" width="16.5703125" style="1652" customWidth="1"/>
    <col min="12296" max="12296" width="12.5703125" style="1652" customWidth="1"/>
    <col min="12297" max="12297" width="24.85546875" style="1652" customWidth="1"/>
    <col min="12298" max="12298" width="25.42578125" style="1652" customWidth="1"/>
    <col min="12299" max="12300" width="13.5703125" style="1652" customWidth="1"/>
    <col min="12301" max="12301" width="18.7109375" style="1652" customWidth="1"/>
    <col min="12302" max="12302" width="24.5703125" style="1652" customWidth="1"/>
    <col min="12303" max="12303" width="18.5703125" style="1652" customWidth="1"/>
    <col min="12304" max="12304" width="13.28515625" style="1652" customWidth="1"/>
    <col min="12305" max="12305" width="13.140625" style="1652" customWidth="1"/>
    <col min="12306" max="12306" width="18.7109375" style="1652" customWidth="1"/>
    <col min="12307" max="12307" width="12.42578125" style="1652" customWidth="1"/>
    <col min="12308" max="12308" width="13.85546875" style="1652" customWidth="1"/>
    <col min="12309" max="12309" width="6.85546875" style="1652" customWidth="1"/>
    <col min="12310" max="12310" width="23" style="1652" customWidth="1"/>
    <col min="12311" max="12312" width="8.85546875" style="1652"/>
    <col min="12313" max="12313" width="12.28515625" style="1652" customWidth="1"/>
    <col min="12314" max="12314" width="22" style="1652" customWidth="1"/>
    <col min="12315" max="12317" width="13.28515625" style="1652" bestFit="1" customWidth="1"/>
    <col min="12318" max="12318" width="21.7109375" style="1652" customWidth="1"/>
    <col min="12319" max="12319" width="18.7109375" style="1652" bestFit="1" customWidth="1"/>
    <col min="12320" max="12321" width="19" style="1652" bestFit="1" customWidth="1"/>
    <col min="12322" max="12328" width="13.28515625" style="1652" bestFit="1" customWidth="1"/>
    <col min="12329" max="12329" width="14.140625" style="1652" bestFit="1" customWidth="1"/>
    <col min="12330" max="12331" width="15.7109375" style="1652" bestFit="1" customWidth="1"/>
    <col min="12332" max="12334" width="14.140625" style="1652" bestFit="1" customWidth="1"/>
    <col min="12335" max="12336" width="15.7109375" style="1652" bestFit="1" customWidth="1"/>
    <col min="12337" max="12338" width="14.140625" style="1652" bestFit="1" customWidth="1"/>
    <col min="12339" max="12357" width="8.85546875" style="1652"/>
    <col min="12358" max="12358" width="10" style="1652" bestFit="1" customWidth="1"/>
    <col min="12359" max="12518" width="8.85546875" style="1652"/>
    <col min="12519" max="12519" width="43.85546875" style="1652" customWidth="1"/>
    <col min="12520" max="12520" width="7.140625" style="1652" customWidth="1"/>
    <col min="12521" max="12521" width="15.5703125" style="1652" customWidth="1"/>
    <col min="12522" max="12522" width="23.140625" style="1652" customWidth="1"/>
    <col min="12523" max="12523" width="15.140625" style="1652" customWidth="1"/>
    <col min="12524" max="12524" width="14.85546875" style="1652" customWidth="1"/>
    <col min="12525" max="12525" width="16.28515625" style="1652" customWidth="1"/>
    <col min="12526" max="12526" width="20.85546875" style="1652" customWidth="1"/>
    <col min="12527" max="12527" width="14.140625" style="1652" customWidth="1"/>
    <col min="12528" max="12528" width="15.7109375" style="1652" bestFit="1" customWidth="1"/>
    <col min="12529" max="12529" width="13.42578125" style="1652" bestFit="1" customWidth="1"/>
    <col min="12530" max="12530" width="17.7109375" style="1652" customWidth="1"/>
    <col min="12531" max="12532" width="13.28515625" style="1652" customWidth="1"/>
    <col min="12533" max="12533" width="11.5703125" style="1652" customWidth="1"/>
    <col min="12534" max="12534" width="16.85546875" style="1652" customWidth="1"/>
    <col min="12535" max="12535" width="13.85546875" style="1652" customWidth="1"/>
    <col min="12536" max="12536" width="15.140625" style="1652" customWidth="1"/>
    <col min="12537" max="12537" width="16.7109375" style="1652" customWidth="1"/>
    <col min="12538" max="12538" width="21.7109375" style="1652" customWidth="1"/>
    <col min="12539" max="12540" width="16.7109375" style="1652" customWidth="1"/>
    <col min="12541" max="12541" width="15" style="1652" customWidth="1"/>
    <col min="12542" max="12542" width="21.7109375" style="1652" customWidth="1"/>
    <col min="12543" max="12543" width="14.140625" style="1652" customWidth="1"/>
    <col min="12544" max="12544" width="13.85546875" style="1652" customWidth="1"/>
    <col min="12545" max="12545" width="12.140625" style="1652" customWidth="1"/>
    <col min="12546" max="12546" width="20.140625" style="1652" customWidth="1"/>
    <col min="12547" max="12547" width="15" style="1652" customWidth="1"/>
    <col min="12548" max="12548" width="12.140625" style="1652" customWidth="1"/>
    <col min="12549" max="12549" width="12" style="1652" customWidth="1"/>
    <col min="12550" max="12550" width="17.5703125" style="1652" customWidth="1"/>
    <col min="12551" max="12551" width="16.5703125" style="1652" customWidth="1"/>
    <col min="12552" max="12552" width="12.5703125" style="1652" customWidth="1"/>
    <col min="12553" max="12553" width="24.85546875" style="1652" customWidth="1"/>
    <col min="12554" max="12554" width="25.42578125" style="1652" customWidth="1"/>
    <col min="12555" max="12556" width="13.5703125" style="1652" customWidth="1"/>
    <col min="12557" max="12557" width="18.7109375" style="1652" customWidth="1"/>
    <col min="12558" max="12558" width="24.5703125" style="1652" customWidth="1"/>
    <col min="12559" max="12559" width="18.5703125" style="1652" customWidth="1"/>
    <col min="12560" max="12560" width="13.28515625" style="1652" customWidth="1"/>
    <col min="12561" max="12561" width="13.140625" style="1652" customWidth="1"/>
    <col min="12562" max="12562" width="18.7109375" style="1652" customWidth="1"/>
    <col min="12563" max="12563" width="12.42578125" style="1652" customWidth="1"/>
    <col min="12564" max="12564" width="13.85546875" style="1652" customWidth="1"/>
    <col min="12565" max="12565" width="6.85546875" style="1652" customWidth="1"/>
    <col min="12566" max="12566" width="23" style="1652" customWidth="1"/>
    <col min="12567" max="12568" width="8.85546875" style="1652"/>
    <col min="12569" max="12569" width="12.28515625" style="1652" customWidth="1"/>
    <col min="12570" max="12570" width="22" style="1652" customWidth="1"/>
    <col min="12571" max="12573" width="13.28515625" style="1652" bestFit="1" customWidth="1"/>
    <col min="12574" max="12574" width="21.7109375" style="1652" customWidth="1"/>
    <col min="12575" max="12575" width="18.7109375" style="1652" bestFit="1" customWidth="1"/>
    <col min="12576" max="12577" width="19" style="1652" bestFit="1" customWidth="1"/>
    <col min="12578" max="12584" width="13.28515625" style="1652" bestFit="1" customWidth="1"/>
    <col min="12585" max="12585" width="14.140625" style="1652" bestFit="1" customWidth="1"/>
    <col min="12586" max="12587" width="15.7109375" style="1652" bestFit="1" customWidth="1"/>
    <col min="12588" max="12590" width="14.140625" style="1652" bestFit="1" customWidth="1"/>
    <col min="12591" max="12592" width="15.7109375" style="1652" bestFit="1" customWidth="1"/>
    <col min="12593" max="12594" width="14.140625" style="1652" bestFit="1" customWidth="1"/>
    <col min="12595" max="12613" width="8.85546875" style="1652"/>
    <col min="12614" max="12614" width="10" style="1652" bestFit="1" customWidth="1"/>
    <col min="12615" max="12774" width="8.85546875" style="1652"/>
    <col min="12775" max="12775" width="43.85546875" style="1652" customWidth="1"/>
    <col min="12776" max="12776" width="7.140625" style="1652" customWidth="1"/>
    <col min="12777" max="12777" width="15.5703125" style="1652" customWidth="1"/>
    <col min="12778" max="12778" width="23.140625" style="1652" customWidth="1"/>
    <col min="12779" max="12779" width="15.140625" style="1652" customWidth="1"/>
    <col min="12780" max="12780" width="14.85546875" style="1652" customWidth="1"/>
    <col min="12781" max="12781" width="16.28515625" style="1652" customWidth="1"/>
    <col min="12782" max="12782" width="20.85546875" style="1652" customWidth="1"/>
    <col min="12783" max="12783" width="14.140625" style="1652" customWidth="1"/>
    <col min="12784" max="12784" width="15.7109375" style="1652" bestFit="1" customWidth="1"/>
    <col min="12785" max="12785" width="13.42578125" style="1652" bestFit="1" customWidth="1"/>
    <col min="12786" max="12786" width="17.7109375" style="1652" customWidth="1"/>
    <col min="12787" max="12788" width="13.28515625" style="1652" customWidth="1"/>
    <col min="12789" max="12789" width="11.5703125" style="1652" customWidth="1"/>
    <col min="12790" max="12790" width="16.85546875" style="1652" customWidth="1"/>
    <col min="12791" max="12791" width="13.85546875" style="1652" customWidth="1"/>
    <col min="12792" max="12792" width="15.140625" style="1652" customWidth="1"/>
    <col min="12793" max="12793" width="16.7109375" style="1652" customWidth="1"/>
    <col min="12794" max="12794" width="21.7109375" style="1652" customWidth="1"/>
    <col min="12795" max="12796" width="16.7109375" style="1652" customWidth="1"/>
    <col min="12797" max="12797" width="15" style="1652" customWidth="1"/>
    <col min="12798" max="12798" width="21.7109375" style="1652" customWidth="1"/>
    <col min="12799" max="12799" width="14.140625" style="1652" customWidth="1"/>
    <col min="12800" max="12800" width="13.85546875" style="1652" customWidth="1"/>
    <col min="12801" max="12801" width="12.140625" style="1652" customWidth="1"/>
    <col min="12802" max="12802" width="20.140625" style="1652" customWidth="1"/>
    <col min="12803" max="12803" width="15" style="1652" customWidth="1"/>
    <col min="12804" max="12804" width="12.140625" style="1652" customWidth="1"/>
    <col min="12805" max="12805" width="12" style="1652" customWidth="1"/>
    <col min="12806" max="12806" width="17.5703125" style="1652" customWidth="1"/>
    <col min="12807" max="12807" width="16.5703125" style="1652" customWidth="1"/>
    <col min="12808" max="12808" width="12.5703125" style="1652" customWidth="1"/>
    <col min="12809" max="12809" width="24.85546875" style="1652" customWidth="1"/>
    <col min="12810" max="12810" width="25.42578125" style="1652" customWidth="1"/>
    <col min="12811" max="12812" width="13.5703125" style="1652" customWidth="1"/>
    <col min="12813" max="12813" width="18.7109375" style="1652" customWidth="1"/>
    <col min="12814" max="12814" width="24.5703125" style="1652" customWidth="1"/>
    <col min="12815" max="12815" width="18.5703125" style="1652" customWidth="1"/>
    <col min="12816" max="12816" width="13.28515625" style="1652" customWidth="1"/>
    <col min="12817" max="12817" width="13.140625" style="1652" customWidth="1"/>
    <col min="12818" max="12818" width="18.7109375" style="1652" customWidth="1"/>
    <col min="12819" max="12819" width="12.42578125" style="1652" customWidth="1"/>
    <col min="12820" max="12820" width="13.85546875" style="1652" customWidth="1"/>
    <col min="12821" max="12821" width="6.85546875" style="1652" customWidth="1"/>
    <col min="12822" max="12822" width="23" style="1652" customWidth="1"/>
    <col min="12823" max="12824" width="8.85546875" style="1652"/>
    <col min="12825" max="12825" width="12.28515625" style="1652" customWidth="1"/>
    <col min="12826" max="12826" width="22" style="1652" customWidth="1"/>
    <col min="12827" max="12829" width="13.28515625" style="1652" bestFit="1" customWidth="1"/>
    <col min="12830" max="12830" width="21.7109375" style="1652" customWidth="1"/>
    <col min="12831" max="12831" width="18.7109375" style="1652" bestFit="1" customWidth="1"/>
    <col min="12832" max="12833" width="19" style="1652" bestFit="1" customWidth="1"/>
    <col min="12834" max="12840" width="13.28515625" style="1652" bestFit="1" customWidth="1"/>
    <col min="12841" max="12841" width="14.140625" style="1652" bestFit="1" customWidth="1"/>
    <col min="12842" max="12843" width="15.7109375" style="1652" bestFit="1" customWidth="1"/>
    <col min="12844" max="12846" width="14.140625" style="1652" bestFit="1" customWidth="1"/>
    <col min="12847" max="12848" width="15.7109375" style="1652" bestFit="1" customWidth="1"/>
    <col min="12849" max="12850" width="14.140625" style="1652" bestFit="1" customWidth="1"/>
    <col min="12851" max="12869" width="8.85546875" style="1652"/>
    <col min="12870" max="12870" width="10" style="1652" bestFit="1" customWidth="1"/>
    <col min="12871" max="13030" width="8.85546875" style="1652"/>
    <col min="13031" max="13031" width="43.85546875" style="1652" customWidth="1"/>
    <col min="13032" max="13032" width="7.140625" style="1652" customWidth="1"/>
    <col min="13033" max="13033" width="15.5703125" style="1652" customWidth="1"/>
    <col min="13034" max="13034" width="23.140625" style="1652" customWidth="1"/>
    <col min="13035" max="13035" width="15.140625" style="1652" customWidth="1"/>
    <col min="13036" max="13036" width="14.85546875" style="1652" customWidth="1"/>
    <col min="13037" max="13037" width="16.28515625" style="1652" customWidth="1"/>
    <col min="13038" max="13038" width="20.85546875" style="1652" customWidth="1"/>
    <col min="13039" max="13039" width="14.140625" style="1652" customWidth="1"/>
    <col min="13040" max="13040" width="15.7109375" style="1652" bestFit="1" customWidth="1"/>
    <col min="13041" max="13041" width="13.42578125" style="1652" bestFit="1" customWidth="1"/>
    <col min="13042" max="13042" width="17.7109375" style="1652" customWidth="1"/>
    <col min="13043" max="13044" width="13.28515625" style="1652" customWidth="1"/>
    <col min="13045" max="13045" width="11.5703125" style="1652" customWidth="1"/>
    <col min="13046" max="13046" width="16.85546875" style="1652" customWidth="1"/>
    <col min="13047" max="13047" width="13.85546875" style="1652" customWidth="1"/>
    <col min="13048" max="13048" width="15.140625" style="1652" customWidth="1"/>
    <col min="13049" max="13049" width="16.7109375" style="1652" customWidth="1"/>
    <col min="13050" max="13050" width="21.7109375" style="1652" customWidth="1"/>
    <col min="13051" max="13052" width="16.7109375" style="1652" customWidth="1"/>
    <col min="13053" max="13053" width="15" style="1652" customWidth="1"/>
    <col min="13054" max="13054" width="21.7109375" style="1652" customWidth="1"/>
    <col min="13055" max="13055" width="14.140625" style="1652" customWidth="1"/>
    <col min="13056" max="13056" width="13.85546875" style="1652" customWidth="1"/>
    <col min="13057" max="13057" width="12.140625" style="1652" customWidth="1"/>
    <col min="13058" max="13058" width="20.140625" style="1652" customWidth="1"/>
    <col min="13059" max="13059" width="15" style="1652" customWidth="1"/>
    <col min="13060" max="13060" width="12.140625" style="1652" customWidth="1"/>
    <col min="13061" max="13061" width="12" style="1652" customWidth="1"/>
    <col min="13062" max="13062" width="17.5703125" style="1652" customWidth="1"/>
    <col min="13063" max="13063" width="16.5703125" style="1652" customWidth="1"/>
    <col min="13064" max="13064" width="12.5703125" style="1652" customWidth="1"/>
    <col min="13065" max="13065" width="24.85546875" style="1652" customWidth="1"/>
    <col min="13066" max="13066" width="25.42578125" style="1652" customWidth="1"/>
    <col min="13067" max="13068" width="13.5703125" style="1652" customWidth="1"/>
    <col min="13069" max="13069" width="18.7109375" style="1652" customWidth="1"/>
    <col min="13070" max="13070" width="24.5703125" style="1652" customWidth="1"/>
    <col min="13071" max="13071" width="18.5703125" style="1652" customWidth="1"/>
    <col min="13072" max="13072" width="13.28515625" style="1652" customWidth="1"/>
    <col min="13073" max="13073" width="13.140625" style="1652" customWidth="1"/>
    <col min="13074" max="13074" width="18.7109375" style="1652" customWidth="1"/>
    <col min="13075" max="13075" width="12.42578125" style="1652" customWidth="1"/>
    <col min="13076" max="13076" width="13.85546875" style="1652" customWidth="1"/>
    <col min="13077" max="13077" width="6.85546875" style="1652" customWidth="1"/>
    <col min="13078" max="13078" width="23" style="1652" customWidth="1"/>
    <col min="13079" max="13080" width="8.85546875" style="1652"/>
    <col min="13081" max="13081" width="12.28515625" style="1652" customWidth="1"/>
    <col min="13082" max="13082" width="22" style="1652" customWidth="1"/>
    <col min="13083" max="13085" width="13.28515625" style="1652" bestFit="1" customWidth="1"/>
    <col min="13086" max="13086" width="21.7109375" style="1652" customWidth="1"/>
    <col min="13087" max="13087" width="18.7109375" style="1652" bestFit="1" customWidth="1"/>
    <col min="13088" max="13089" width="19" style="1652" bestFit="1" customWidth="1"/>
    <col min="13090" max="13096" width="13.28515625" style="1652" bestFit="1" customWidth="1"/>
    <col min="13097" max="13097" width="14.140625" style="1652" bestFit="1" customWidth="1"/>
    <col min="13098" max="13099" width="15.7109375" style="1652" bestFit="1" customWidth="1"/>
    <col min="13100" max="13102" width="14.140625" style="1652" bestFit="1" customWidth="1"/>
    <col min="13103" max="13104" width="15.7109375" style="1652" bestFit="1" customWidth="1"/>
    <col min="13105" max="13106" width="14.140625" style="1652" bestFit="1" customWidth="1"/>
    <col min="13107" max="13125" width="8.85546875" style="1652"/>
    <col min="13126" max="13126" width="10" style="1652" bestFit="1" customWidth="1"/>
    <col min="13127" max="13286" width="8.85546875" style="1652"/>
    <col min="13287" max="13287" width="43.85546875" style="1652" customWidth="1"/>
    <col min="13288" max="13288" width="7.140625" style="1652" customWidth="1"/>
    <col min="13289" max="13289" width="15.5703125" style="1652" customWidth="1"/>
    <col min="13290" max="13290" width="23.140625" style="1652" customWidth="1"/>
    <col min="13291" max="13291" width="15.140625" style="1652" customWidth="1"/>
    <col min="13292" max="13292" width="14.85546875" style="1652" customWidth="1"/>
    <col min="13293" max="13293" width="16.28515625" style="1652" customWidth="1"/>
    <col min="13294" max="13294" width="20.85546875" style="1652" customWidth="1"/>
    <col min="13295" max="13295" width="14.140625" style="1652" customWidth="1"/>
    <col min="13296" max="13296" width="15.7109375" style="1652" bestFit="1" customWidth="1"/>
    <col min="13297" max="13297" width="13.42578125" style="1652" bestFit="1" customWidth="1"/>
    <col min="13298" max="13298" width="17.7109375" style="1652" customWidth="1"/>
    <col min="13299" max="13300" width="13.28515625" style="1652" customWidth="1"/>
    <col min="13301" max="13301" width="11.5703125" style="1652" customWidth="1"/>
    <col min="13302" max="13302" width="16.85546875" style="1652" customWidth="1"/>
    <col min="13303" max="13303" width="13.85546875" style="1652" customWidth="1"/>
    <col min="13304" max="13304" width="15.140625" style="1652" customWidth="1"/>
    <col min="13305" max="13305" width="16.7109375" style="1652" customWidth="1"/>
    <col min="13306" max="13306" width="21.7109375" style="1652" customWidth="1"/>
    <col min="13307" max="13308" width="16.7109375" style="1652" customWidth="1"/>
    <col min="13309" max="13309" width="15" style="1652" customWidth="1"/>
    <col min="13310" max="13310" width="21.7109375" style="1652" customWidth="1"/>
    <col min="13311" max="13311" width="14.140625" style="1652" customWidth="1"/>
    <col min="13312" max="13312" width="13.85546875" style="1652" customWidth="1"/>
    <col min="13313" max="13313" width="12.140625" style="1652" customWidth="1"/>
    <col min="13314" max="13314" width="20.140625" style="1652" customWidth="1"/>
    <col min="13315" max="13315" width="15" style="1652" customWidth="1"/>
    <col min="13316" max="13316" width="12.140625" style="1652" customWidth="1"/>
    <col min="13317" max="13317" width="12" style="1652" customWidth="1"/>
    <col min="13318" max="13318" width="17.5703125" style="1652" customWidth="1"/>
    <col min="13319" max="13319" width="16.5703125" style="1652" customWidth="1"/>
    <col min="13320" max="13320" width="12.5703125" style="1652" customWidth="1"/>
    <col min="13321" max="13321" width="24.85546875" style="1652" customWidth="1"/>
    <col min="13322" max="13322" width="25.42578125" style="1652" customWidth="1"/>
    <col min="13323" max="13324" width="13.5703125" style="1652" customWidth="1"/>
    <col min="13325" max="13325" width="18.7109375" style="1652" customWidth="1"/>
    <col min="13326" max="13326" width="24.5703125" style="1652" customWidth="1"/>
    <col min="13327" max="13327" width="18.5703125" style="1652" customWidth="1"/>
    <col min="13328" max="13328" width="13.28515625" style="1652" customWidth="1"/>
    <col min="13329" max="13329" width="13.140625" style="1652" customWidth="1"/>
    <col min="13330" max="13330" width="18.7109375" style="1652" customWidth="1"/>
    <col min="13331" max="13331" width="12.42578125" style="1652" customWidth="1"/>
    <col min="13332" max="13332" width="13.85546875" style="1652" customWidth="1"/>
    <col min="13333" max="13333" width="6.85546875" style="1652" customWidth="1"/>
    <col min="13334" max="13334" width="23" style="1652" customWidth="1"/>
    <col min="13335" max="13336" width="8.85546875" style="1652"/>
    <col min="13337" max="13337" width="12.28515625" style="1652" customWidth="1"/>
    <col min="13338" max="13338" width="22" style="1652" customWidth="1"/>
    <col min="13339" max="13341" width="13.28515625" style="1652" bestFit="1" customWidth="1"/>
    <col min="13342" max="13342" width="21.7109375" style="1652" customWidth="1"/>
    <col min="13343" max="13343" width="18.7109375" style="1652" bestFit="1" customWidth="1"/>
    <col min="13344" max="13345" width="19" style="1652" bestFit="1" customWidth="1"/>
    <col min="13346" max="13352" width="13.28515625" style="1652" bestFit="1" customWidth="1"/>
    <col min="13353" max="13353" width="14.140625" style="1652" bestFit="1" customWidth="1"/>
    <col min="13354" max="13355" width="15.7109375" style="1652" bestFit="1" customWidth="1"/>
    <col min="13356" max="13358" width="14.140625" style="1652" bestFit="1" customWidth="1"/>
    <col min="13359" max="13360" width="15.7109375" style="1652" bestFit="1" customWidth="1"/>
    <col min="13361" max="13362" width="14.140625" style="1652" bestFit="1" customWidth="1"/>
    <col min="13363" max="13381" width="8.85546875" style="1652"/>
    <col min="13382" max="13382" width="10" style="1652" bestFit="1" customWidth="1"/>
    <col min="13383" max="13542" width="8.85546875" style="1652"/>
    <col min="13543" max="13543" width="43.85546875" style="1652" customWidth="1"/>
    <col min="13544" max="13544" width="7.140625" style="1652" customWidth="1"/>
    <col min="13545" max="13545" width="15.5703125" style="1652" customWidth="1"/>
    <col min="13546" max="13546" width="23.140625" style="1652" customWidth="1"/>
    <col min="13547" max="13547" width="15.140625" style="1652" customWidth="1"/>
    <col min="13548" max="13548" width="14.85546875" style="1652" customWidth="1"/>
    <col min="13549" max="13549" width="16.28515625" style="1652" customWidth="1"/>
    <col min="13550" max="13550" width="20.85546875" style="1652" customWidth="1"/>
    <col min="13551" max="13551" width="14.140625" style="1652" customWidth="1"/>
    <col min="13552" max="13552" width="15.7109375" style="1652" bestFit="1" customWidth="1"/>
    <col min="13553" max="13553" width="13.42578125" style="1652" bestFit="1" customWidth="1"/>
    <col min="13554" max="13554" width="17.7109375" style="1652" customWidth="1"/>
    <col min="13555" max="13556" width="13.28515625" style="1652" customWidth="1"/>
    <col min="13557" max="13557" width="11.5703125" style="1652" customWidth="1"/>
    <col min="13558" max="13558" width="16.85546875" style="1652" customWidth="1"/>
    <col min="13559" max="13559" width="13.85546875" style="1652" customWidth="1"/>
    <col min="13560" max="13560" width="15.140625" style="1652" customWidth="1"/>
    <col min="13561" max="13561" width="16.7109375" style="1652" customWidth="1"/>
    <col min="13562" max="13562" width="21.7109375" style="1652" customWidth="1"/>
    <col min="13563" max="13564" width="16.7109375" style="1652" customWidth="1"/>
    <col min="13565" max="13565" width="15" style="1652" customWidth="1"/>
    <col min="13566" max="13566" width="21.7109375" style="1652" customWidth="1"/>
    <col min="13567" max="13567" width="14.140625" style="1652" customWidth="1"/>
    <col min="13568" max="13568" width="13.85546875" style="1652" customWidth="1"/>
    <col min="13569" max="13569" width="12.140625" style="1652" customWidth="1"/>
    <col min="13570" max="13570" width="20.140625" style="1652" customWidth="1"/>
    <col min="13571" max="13571" width="15" style="1652" customWidth="1"/>
    <col min="13572" max="13572" width="12.140625" style="1652" customWidth="1"/>
    <col min="13573" max="13573" width="12" style="1652" customWidth="1"/>
    <col min="13574" max="13574" width="17.5703125" style="1652" customWidth="1"/>
    <col min="13575" max="13575" width="16.5703125" style="1652" customWidth="1"/>
    <col min="13576" max="13576" width="12.5703125" style="1652" customWidth="1"/>
    <col min="13577" max="13577" width="24.85546875" style="1652" customWidth="1"/>
    <col min="13578" max="13578" width="25.42578125" style="1652" customWidth="1"/>
    <col min="13579" max="13580" width="13.5703125" style="1652" customWidth="1"/>
    <col min="13581" max="13581" width="18.7109375" style="1652" customWidth="1"/>
    <col min="13582" max="13582" width="24.5703125" style="1652" customWidth="1"/>
    <col min="13583" max="13583" width="18.5703125" style="1652" customWidth="1"/>
    <col min="13584" max="13584" width="13.28515625" style="1652" customWidth="1"/>
    <col min="13585" max="13585" width="13.140625" style="1652" customWidth="1"/>
    <col min="13586" max="13586" width="18.7109375" style="1652" customWidth="1"/>
    <col min="13587" max="13587" width="12.42578125" style="1652" customWidth="1"/>
    <col min="13588" max="13588" width="13.85546875" style="1652" customWidth="1"/>
    <col min="13589" max="13589" width="6.85546875" style="1652" customWidth="1"/>
    <col min="13590" max="13590" width="23" style="1652" customWidth="1"/>
    <col min="13591" max="13592" width="8.85546875" style="1652"/>
    <col min="13593" max="13593" width="12.28515625" style="1652" customWidth="1"/>
    <col min="13594" max="13594" width="22" style="1652" customWidth="1"/>
    <col min="13595" max="13597" width="13.28515625" style="1652" bestFit="1" customWidth="1"/>
    <col min="13598" max="13598" width="21.7109375" style="1652" customWidth="1"/>
    <col min="13599" max="13599" width="18.7109375" style="1652" bestFit="1" customWidth="1"/>
    <col min="13600" max="13601" width="19" style="1652" bestFit="1" customWidth="1"/>
    <col min="13602" max="13608" width="13.28515625" style="1652" bestFit="1" customWidth="1"/>
    <col min="13609" max="13609" width="14.140625" style="1652" bestFit="1" customWidth="1"/>
    <col min="13610" max="13611" width="15.7109375" style="1652" bestFit="1" customWidth="1"/>
    <col min="13612" max="13614" width="14.140625" style="1652" bestFit="1" customWidth="1"/>
    <col min="13615" max="13616" width="15.7109375" style="1652" bestFit="1" customWidth="1"/>
    <col min="13617" max="13618" width="14.140625" style="1652" bestFit="1" customWidth="1"/>
    <col min="13619" max="13637" width="8.85546875" style="1652"/>
    <col min="13638" max="13638" width="10" style="1652" bestFit="1" customWidth="1"/>
    <col min="13639" max="13798" width="8.85546875" style="1652"/>
    <col min="13799" max="13799" width="43.85546875" style="1652" customWidth="1"/>
    <col min="13800" max="13800" width="7.140625" style="1652" customWidth="1"/>
    <col min="13801" max="13801" width="15.5703125" style="1652" customWidth="1"/>
    <col min="13802" max="13802" width="23.140625" style="1652" customWidth="1"/>
    <col min="13803" max="13803" width="15.140625" style="1652" customWidth="1"/>
    <col min="13804" max="13804" width="14.85546875" style="1652" customWidth="1"/>
    <col min="13805" max="13805" width="16.28515625" style="1652" customWidth="1"/>
    <col min="13806" max="13806" width="20.85546875" style="1652" customWidth="1"/>
    <col min="13807" max="13807" width="14.140625" style="1652" customWidth="1"/>
    <col min="13808" max="13808" width="15.7109375" style="1652" bestFit="1" customWidth="1"/>
    <col min="13809" max="13809" width="13.42578125" style="1652" bestFit="1" customWidth="1"/>
    <col min="13810" max="13810" width="17.7109375" style="1652" customWidth="1"/>
    <col min="13811" max="13812" width="13.28515625" style="1652" customWidth="1"/>
    <col min="13813" max="13813" width="11.5703125" style="1652" customWidth="1"/>
    <col min="13814" max="13814" width="16.85546875" style="1652" customWidth="1"/>
    <col min="13815" max="13815" width="13.85546875" style="1652" customWidth="1"/>
    <col min="13816" max="13816" width="15.140625" style="1652" customWidth="1"/>
    <col min="13817" max="13817" width="16.7109375" style="1652" customWidth="1"/>
    <col min="13818" max="13818" width="21.7109375" style="1652" customWidth="1"/>
    <col min="13819" max="13820" width="16.7109375" style="1652" customWidth="1"/>
    <col min="13821" max="13821" width="15" style="1652" customWidth="1"/>
    <col min="13822" max="13822" width="21.7109375" style="1652" customWidth="1"/>
    <col min="13823" max="13823" width="14.140625" style="1652" customWidth="1"/>
    <col min="13824" max="13824" width="13.85546875" style="1652" customWidth="1"/>
    <col min="13825" max="13825" width="12.140625" style="1652" customWidth="1"/>
    <col min="13826" max="13826" width="20.140625" style="1652" customWidth="1"/>
    <col min="13827" max="13827" width="15" style="1652" customWidth="1"/>
    <col min="13828" max="13828" width="12.140625" style="1652" customWidth="1"/>
    <col min="13829" max="13829" width="12" style="1652" customWidth="1"/>
    <col min="13830" max="13830" width="17.5703125" style="1652" customWidth="1"/>
    <col min="13831" max="13831" width="16.5703125" style="1652" customWidth="1"/>
    <col min="13832" max="13832" width="12.5703125" style="1652" customWidth="1"/>
    <col min="13833" max="13833" width="24.85546875" style="1652" customWidth="1"/>
    <col min="13834" max="13834" width="25.42578125" style="1652" customWidth="1"/>
    <col min="13835" max="13836" width="13.5703125" style="1652" customWidth="1"/>
    <col min="13837" max="13837" width="18.7109375" style="1652" customWidth="1"/>
    <col min="13838" max="13838" width="24.5703125" style="1652" customWidth="1"/>
    <col min="13839" max="13839" width="18.5703125" style="1652" customWidth="1"/>
    <col min="13840" max="13840" width="13.28515625" style="1652" customWidth="1"/>
    <col min="13841" max="13841" width="13.140625" style="1652" customWidth="1"/>
    <col min="13842" max="13842" width="18.7109375" style="1652" customWidth="1"/>
    <col min="13843" max="13843" width="12.42578125" style="1652" customWidth="1"/>
    <col min="13844" max="13844" width="13.85546875" style="1652" customWidth="1"/>
    <col min="13845" max="13845" width="6.85546875" style="1652" customWidth="1"/>
    <col min="13846" max="13846" width="23" style="1652" customWidth="1"/>
    <col min="13847" max="13848" width="8.85546875" style="1652"/>
    <col min="13849" max="13849" width="12.28515625" style="1652" customWidth="1"/>
    <col min="13850" max="13850" width="22" style="1652" customWidth="1"/>
    <col min="13851" max="13853" width="13.28515625" style="1652" bestFit="1" customWidth="1"/>
    <col min="13854" max="13854" width="21.7109375" style="1652" customWidth="1"/>
    <col min="13855" max="13855" width="18.7109375" style="1652" bestFit="1" customWidth="1"/>
    <col min="13856" max="13857" width="19" style="1652" bestFit="1" customWidth="1"/>
    <col min="13858" max="13864" width="13.28515625" style="1652" bestFit="1" customWidth="1"/>
    <col min="13865" max="13865" width="14.140625" style="1652" bestFit="1" customWidth="1"/>
    <col min="13866" max="13867" width="15.7109375" style="1652" bestFit="1" customWidth="1"/>
    <col min="13868" max="13870" width="14.140625" style="1652" bestFit="1" customWidth="1"/>
    <col min="13871" max="13872" width="15.7109375" style="1652" bestFit="1" customWidth="1"/>
    <col min="13873" max="13874" width="14.140625" style="1652" bestFit="1" customWidth="1"/>
    <col min="13875" max="13893" width="8.85546875" style="1652"/>
    <col min="13894" max="13894" width="10" style="1652" bestFit="1" customWidth="1"/>
    <col min="13895" max="14054" width="8.85546875" style="1652"/>
    <col min="14055" max="14055" width="43.85546875" style="1652" customWidth="1"/>
    <col min="14056" max="14056" width="7.140625" style="1652" customWidth="1"/>
    <col min="14057" max="14057" width="15.5703125" style="1652" customWidth="1"/>
    <col min="14058" max="14058" width="23.140625" style="1652" customWidth="1"/>
    <col min="14059" max="14059" width="15.140625" style="1652" customWidth="1"/>
    <col min="14060" max="14060" width="14.85546875" style="1652" customWidth="1"/>
    <col min="14061" max="14061" width="16.28515625" style="1652" customWidth="1"/>
    <col min="14062" max="14062" width="20.85546875" style="1652" customWidth="1"/>
    <col min="14063" max="14063" width="14.140625" style="1652" customWidth="1"/>
    <col min="14064" max="14064" width="15.7109375" style="1652" bestFit="1" customWidth="1"/>
    <col min="14065" max="14065" width="13.42578125" style="1652" bestFit="1" customWidth="1"/>
    <col min="14066" max="14066" width="17.7109375" style="1652" customWidth="1"/>
    <col min="14067" max="14068" width="13.28515625" style="1652" customWidth="1"/>
    <col min="14069" max="14069" width="11.5703125" style="1652" customWidth="1"/>
    <col min="14070" max="14070" width="16.85546875" style="1652" customWidth="1"/>
    <col min="14071" max="14071" width="13.85546875" style="1652" customWidth="1"/>
    <col min="14072" max="14072" width="15.140625" style="1652" customWidth="1"/>
    <col min="14073" max="14073" width="16.7109375" style="1652" customWidth="1"/>
    <col min="14074" max="14074" width="21.7109375" style="1652" customWidth="1"/>
    <col min="14075" max="14076" width="16.7109375" style="1652" customWidth="1"/>
    <col min="14077" max="14077" width="15" style="1652" customWidth="1"/>
    <col min="14078" max="14078" width="21.7109375" style="1652" customWidth="1"/>
    <col min="14079" max="14079" width="14.140625" style="1652" customWidth="1"/>
    <col min="14080" max="14080" width="13.85546875" style="1652" customWidth="1"/>
    <col min="14081" max="14081" width="12.140625" style="1652" customWidth="1"/>
    <col min="14082" max="14082" width="20.140625" style="1652" customWidth="1"/>
    <col min="14083" max="14083" width="15" style="1652" customWidth="1"/>
    <col min="14084" max="14084" width="12.140625" style="1652" customWidth="1"/>
    <col min="14085" max="14085" width="12" style="1652" customWidth="1"/>
    <col min="14086" max="14086" width="17.5703125" style="1652" customWidth="1"/>
    <col min="14087" max="14087" width="16.5703125" style="1652" customWidth="1"/>
    <col min="14088" max="14088" width="12.5703125" style="1652" customWidth="1"/>
    <col min="14089" max="14089" width="24.85546875" style="1652" customWidth="1"/>
    <col min="14090" max="14090" width="25.42578125" style="1652" customWidth="1"/>
    <col min="14091" max="14092" width="13.5703125" style="1652" customWidth="1"/>
    <col min="14093" max="14093" width="18.7109375" style="1652" customWidth="1"/>
    <col min="14094" max="14094" width="24.5703125" style="1652" customWidth="1"/>
    <col min="14095" max="14095" width="18.5703125" style="1652" customWidth="1"/>
    <col min="14096" max="14096" width="13.28515625" style="1652" customWidth="1"/>
    <col min="14097" max="14097" width="13.140625" style="1652" customWidth="1"/>
    <col min="14098" max="14098" width="18.7109375" style="1652" customWidth="1"/>
    <col min="14099" max="14099" width="12.42578125" style="1652" customWidth="1"/>
    <col min="14100" max="14100" width="13.85546875" style="1652" customWidth="1"/>
    <col min="14101" max="14101" width="6.85546875" style="1652" customWidth="1"/>
    <col min="14102" max="14102" width="23" style="1652" customWidth="1"/>
    <col min="14103" max="14104" width="8.85546875" style="1652"/>
    <col min="14105" max="14105" width="12.28515625" style="1652" customWidth="1"/>
    <col min="14106" max="14106" width="22" style="1652" customWidth="1"/>
    <col min="14107" max="14109" width="13.28515625" style="1652" bestFit="1" customWidth="1"/>
    <col min="14110" max="14110" width="21.7109375" style="1652" customWidth="1"/>
    <col min="14111" max="14111" width="18.7109375" style="1652" bestFit="1" customWidth="1"/>
    <col min="14112" max="14113" width="19" style="1652" bestFit="1" customWidth="1"/>
    <col min="14114" max="14120" width="13.28515625" style="1652" bestFit="1" customWidth="1"/>
    <col min="14121" max="14121" width="14.140625" style="1652" bestFit="1" customWidth="1"/>
    <col min="14122" max="14123" width="15.7109375" style="1652" bestFit="1" customWidth="1"/>
    <col min="14124" max="14126" width="14.140625" style="1652" bestFit="1" customWidth="1"/>
    <col min="14127" max="14128" width="15.7109375" style="1652" bestFit="1" customWidth="1"/>
    <col min="14129" max="14130" width="14.140625" style="1652" bestFit="1" customWidth="1"/>
    <col min="14131" max="14149" width="8.85546875" style="1652"/>
    <col min="14150" max="14150" width="10" style="1652" bestFit="1" customWidth="1"/>
    <col min="14151" max="14310" width="8.85546875" style="1652"/>
    <col min="14311" max="14311" width="43.85546875" style="1652" customWidth="1"/>
    <col min="14312" max="14312" width="7.140625" style="1652" customWidth="1"/>
    <col min="14313" max="14313" width="15.5703125" style="1652" customWidth="1"/>
    <col min="14314" max="14314" width="23.140625" style="1652" customWidth="1"/>
    <col min="14315" max="14315" width="15.140625" style="1652" customWidth="1"/>
    <col min="14316" max="14316" width="14.85546875" style="1652" customWidth="1"/>
    <col min="14317" max="14317" width="16.28515625" style="1652" customWidth="1"/>
    <col min="14318" max="14318" width="20.85546875" style="1652" customWidth="1"/>
    <col min="14319" max="14319" width="14.140625" style="1652" customWidth="1"/>
    <col min="14320" max="14320" width="15.7109375" style="1652" bestFit="1" customWidth="1"/>
    <col min="14321" max="14321" width="13.42578125" style="1652" bestFit="1" customWidth="1"/>
    <col min="14322" max="14322" width="17.7109375" style="1652" customWidth="1"/>
    <col min="14323" max="14324" width="13.28515625" style="1652" customWidth="1"/>
    <col min="14325" max="14325" width="11.5703125" style="1652" customWidth="1"/>
    <col min="14326" max="14326" width="16.85546875" style="1652" customWidth="1"/>
    <col min="14327" max="14327" width="13.85546875" style="1652" customWidth="1"/>
    <col min="14328" max="14328" width="15.140625" style="1652" customWidth="1"/>
    <col min="14329" max="14329" width="16.7109375" style="1652" customWidth="1"/>
    <col min="14330" max="14330" width="21.7109375" style="1652" customWidth="1"/>
    <col min="14331" max="14332" width="16.7109375" style="1652" customWidth="1"/>
    <col min="14333" max="14333" width="15" style="1652" customWidth="1"/>
    <col min="14334" max="14334" width="21.7109375" style="1652" customWidth="1"/>
    <col min="14335" max="14335" width="14.140625" style="1652" customWidth="1"/>
    <col min="14336" max="14336" width="13.85546875" style="1652" customWidth="1"/>
    <col min="14337" max="14337" width="12.140625" style="1652" customWidth="1"/>
    <col min="14338" max="14338" width="20.140625" style="1652" customWidth="1"/>
    <col min="14339" max="14339" width="15" style="1652" customWidth="1"/>
    <col min="14340" max="14340" width="12.140625" style="1652" customWidth="1"/>
    <col min="14341" max="14341" width="12" style="1652" customWidth="1"/>
    <col min="14342" max="14342" width="17.5703125" style="1652" customWidth="1"/>
    <col min="14343" max="14343" width="16.5703125" style="1652" customWidth="1"/>
    <col min="14344" max="14344" width="12.5703125" style="1652" customWidth="1"/>
    <col min="14345" max="14345" width="24.85546875" style="1652" customWidth="1"/>
    <col min="14346" max="14346" width="25.42578125" style="1652" customWidth="1"/>
    <col min="14347" max="14348" width="13.5703125" style="1652" customWidth="1"/>
    <col min="14349" max="14349" width="18.7109375" style="1652" customWidth="1"/>
    <col min="14350" max="14350" width="24.5703125" style="1652" customWidth="1"/>
    <col min="14351" max="14351" width="18.5703125" style="1652" customWidth="1"/>
    <col min="14352" max="14352" width="13.28515625" style="1652" customWidth="1"/>
    <col min="14353" max="14353" width="13.140625" style="1652" customWidth="1"/>
    <col min="14354" max="14354" width="18.7109375" style="1652" customWidth="1"/>
    <col min="14355" max="14355" width="12.42578125" style="1652" customWidth="1"/>
    <col min="14356" max="14356" width="13.85546875" style="1652" customWidth="1"/>
    <col min="14357" max="14357" width="6.85546875" style="1652" customWidth="1"/>
    <col min="14358" max="14358" width="23" style="1652" customWidth="1"/>
    <col min="14359" max="14360" width="8.85546875" style="1652"/>
    <col min="14361" max="14361" width="12.28515625" style="1652" customWidth="1"/>
    <col min="14362" max="14362" width="22" style="1652" customWidth="1"/>
    <col min="14363" max="14365" width="13.28515625" style="1652" bestFit="1" customWidth="1"/>
    <col min="14366" max="14366" width="21.7109375" style="1652" customWidth="1"/>
    <col min="14367" max="14367" width="18.7109375" style="1652" bestFit="1" customWidth="1"/>
    <col min="14368" max="14369" width="19" style="1652" bestFit="1" customWidth="1"/>
    <col min="14370" max="14376" width="13.28515625" style="1652" bestFit="1" customWidth="1"/>
    <col min="14377" max="14377" width="14.140625" style="1652" bestFit="1" customWidth="1"/>
    <col min="14378" max="14379" width="15.7109375" style="1652" bestFit="1" customWidth="1"/>
    <col min="14380" max="14382" width="14.140625" style="1652" bestFit="1" customWidth="1"/>
    <col min="14383" max="14384" width="15.7109375" style="1652" bestFit="1" customWidth="1"/>
    <col min="14385" max="14386" width="14.140625" style="1652" bestFit="1" customWidth="1"/>
    <col min="14387" max="14405" width="8.85546875" style="1652"/>
    <col min="14406" max="14406" width="10" style="1652" bestFit="1" customWidth="1"/>
    <col min="14407" max="14566" width="8.85546875" style="1652"/>
    <col min="14567" max="14567" width="43.85546875" style="1652" customWidth="1"/>
    <col min="14568" max="14568" width="7.140625" style="1652" customWidth="1"/>
    <col min="14569" max="14569" width="15.5703125" style="1652" customWidth="1"/>
    <col min="14570" max="14570" width="23.140625" style="1652" customWidth="1"/>
    <col min="14571" max="14571" width="15.140625" style="1652" customWidth="1"/>
    <col min="14572" max="14572" width="14.85546875" style="1652" customWidth="1"/>
    <col min="14573" max="14573" width="16.28515625" style="1652" customWidth="1"/>
    <col min="14574" max="14574" width="20.85546875" style="1652" customWidth="1"/>
    <col min="14575" max="14575" width="14.140625" style="1652" customWidth="1"/>
    <col min="14576" max="14576" width="15.7109375" style="1652" bestFit="1" customWidth="1"/>
    <col min="14577" max="14577" width="13.42578125" style="1652" bestFit="1" customWidth="1"/>
    <col min="14578" max="14578" width="17.7109375" style="1652" customWidth="1"/>
    <col min="14579" max="14580" width="13.28515625" style="1652" customWidth="1"/>
    <col min="14581" max="14581" width="11.5703125" style="1652" customWidth="1"/>
    <col min="14582" max="14582" width="16.85546875" style="1652" customWidth="1"/>
    <col min="14583" max="14583" width="13.85546875" style="1652" customWidth="1"/>
    <col min="14584" max="14584" width="15.140625" style="1652" customWidth="1"/>
    <col min="14585" max="14585" width="16.7109375" style="1652" customWidth="1"/>
    <col min="14586" max="14586" width="21.7109375" style="1652" customWidth="1"/>
    <col min="14587" max="14588" width="16.7109375" style="1652" customWidth="1"/>
    <col min="14589" max="14589" width="15" style="1652" customWidth="1"/>
    <col min="14590" max="14590" width="21.7109375" style="1652" customWidth="1"/>
    <col min="14591" max="14591" width="14.140625" style="1652" customWidth="1"/>
    <col min="14592" max="14592" width="13.85546875" style="1652" customWidth="1"/>
    <col min="14593" max="14593" width="12.140625" style="1652" customWidth="1"/>
    <col min="14594" max="14594" width="20.140625" style="1652" customWidth="1"/>
    <col min="14595" max="14595" width="15" style="1652" customWidth="1"/>
    <col min="14596" max="14596" width="12.140625" style="1652" customWidth="1"/>
    <col min="14597" max="14597" width="12" style="1652" customWidth="1"/>
    <col min="14598" max="14598" width="17.5703125" style="1652" customWidth="1"/>
    <col min="14599" max="14599" width="16.5703125" style="1652" customWidth="1"/>
    <col min="14600" max="14600" width="12.5703125" style="1652" customWidth="1"/>
    <col min="14601" max="14601" width="24.85546875" style="1652" customWidth="1"/>
    <col min="14602" max="14602" width="25.42578125" style="1652" customWidth="1"/>
    <col min="14603" max="14604" width="13.5703125" style="1652" customWidth="1"/>
    <col min="14605" max="14605" width="18.7109375" style="1652" customWidth="1"/>
    <col min="14606" max="14606" width="24.5703125" style="1652" customWidth="1"/>
    <col min="14607" max="14607" width="18.5703125" style="1652" customWidth="1"/>
    <col min="14608" max="14608" width="13.28515625" style="1652" customWidth="1"/>
    <col min="14609" max="14609" width="13.140625" style="1652" customWidth="1"/>
    <col min="14610" max="14610" width="18.7109375" style="1652" customWidth="1"/>
    <col min="14611" max="14611" width="12.42578125" style="1652" customWidth="1"/>
    <col min="14612" max="14612" width="13.85546875" style="1652" customWidth="1"/>
    <col min="14613" max="14613" width="6.85546875" style="1652" customWidth="1"/>
    <col min="14614" max="14614" width="23" style="1652" customWidth="1"/>
    <col min="14615" max="14616" width="8.85546875" style="1652"/>
    <col min="14617" max="14617" width="12.28515625" style="1652" customWidth="1"/>
    <col min="14618" max="14618" width="22" style="1652" customWidth="1"/>
    <col min="14619" max="14621" width="13.28515625" style="1652" bestFit="1" customWidth="1"/>
    <col min="14622" max="14622" width="21.7109375" style="1652" customWidth="1"/>
    <col min="14623" max="14623" width="18.7109375" style="1652" bestFit="1" customWidth="1"/>
    <col min="14624" max="14625" width="19" style="1652" bestFit="1" customWidth="1"/>
    <col min="14626" max="14632" width="13.28515625" style="1652" bestFit="1" customWidth="1"/>
    <col min="14633" max="14633" width="14.140625" style="1652" bestFit="1" customWidth="1"/>
    <col min="14634" max="14635" width="15.7109375" style="1652" bestFit="1" customWidth="1"/>
    <col min="14636" max="14638" width="14.140625" style="1652" bestFit="1" customWidth="1"/>
    <col min="14639" max="14640" width="15.7109375" style="1652" bestFit="1" customWidth="1"/>
    <col min="14641" max="14642" width="14.140625" style="1652" bestFit="1" customWidth="1"/>
    <col min="14643" max="14661" width="8.85546875" style="1652"/>
    <col min="14662" max="14662" width="10" style="1652" bestFit="1" customWidth="1"/>
    <col min="14663" max="14822" width="8.85546875" style="1652"/>
    <col min="14823" max="14823" width="43.85546875" style="1652" customWidth="1"/>
    <col min="14824" max="14824" width="7.140625" style="1652" customWidth="1"/>
    <col min="14825" max="14825" width="15.5703125" style="1652" customWidth="1"/>
    <col min="14826" max="14826" width="23.140625" style="1652" customWidth="1"/>
    <col min="14827" max="14827" width="15.140625" style="1652" customWidth="1"/>
    <col min="14828" max="14828" width="14.85546875" style="1652" customWidth="1"/>
    <col min="14829" max="14829" width="16.28515625" style="1652" customWidth="1"/>
    <col min="14830" max="14830" width="20.85546875" style="1652" customWidth="1"/>
    <col min="14831" max="14831" width="14.140625" style="1652" customWidth="1"/>
    <col min="14832" max="14832" width="15.7109375" style="1652" bestFit="1" customWidth="1"/>
    <col min="14833" max="14833" width="13.42578125" style="1652" bestFit="1" customWidth="1"/>
    <col min="14834" max="14834" width="17.7109375" style="1652" customWidth="1"/>
    <col min="14835" max="14836" width="13.28515625" style="1652" customWidth="1"/>
    <col min="14837" max="14837" width="11.5703125" style="1652" customWidth="1"/>
    <col min="14838" max="14838" width="16.85546875" style="1652" customWidth="1"/>
    <col min="14839" max="14839" width="13.85546875" style="1652" customWidth="1"/>
    <col min="14840" max="14840" width="15.140625" style="1652" customWidth="1"/>
    <col min="14841" max="14841" width="16.7109375" style="1652" customWidth="1"/>
    <col min="14842" max="14842" width="21.7109375" style="1652" customWidth="1"/>
    <col min="14843" max="14844" width="16.7109375" style="1652" customWidth="1"/>
    <col min="14845" max="14845" width="15" style="1652" customWidth="1"/>
    <col min="14846" max="14846" width="21.7109375" style="1652" customWidth="1"/>
    <col min="14847" max="14847" width="14.140625" style="1652" customWidth="1"/>
    <col min="14848" max="14848" width="13.85546875" style="1652" customWidth="1"/>
    <col min="14849" max="14849" width="12.140625" style="1652" customWidth="1"/>
    <col min="14850" max="14850" width="20.140625" style="1652" customWidth="1"/>
    <col min="14851" max="14851" width="15" style="1652" customWidth="1"/>
    <col min="14852" max="14852" width="12.140625" style="1652" customWidth="1"/>
    <col min="14853" max="14853" width="12" style="1652" customWidth="1"/>
    <col min="14854" max="14854" width="17.5703125" style="1652" customWidth="1"/>
    <col min="14855" max="14855" width="16.5703125" style="1652" customWidth="1"/>
    <col min="14856" max="14856" width="12.5703125" style="1652" customWidth="1"/>
    <col min="14857" max="14857" width="24.85546875" style="1652" customWidth="1"/>
    <col min="14858" max="14858" width="25.42578125" style="1652" customWidth="1"/>
    <col min="14859" max="14860" width="13.5703125" style="1652" customWidth="1"/>
    <col min="14861" max="14861" width="18.7109375" style="1652" customWidth="1"/>
    <col min="14862" max="14862" width="24.5703125" style="1652" customWidth="1"/>
    <col min="14863" max="14863" width="18.5703125" style="1652" customWidth="1"/>
    <col min="14864" max="14864" width="13.28515625" style="1652" customWidth="1"/>
    <col min="14865" max="14865" width="13.140625" style="1652" customWidth="1"/>
    <col min="14866" max="14866" width="18.7109375" style="1652" customWidth="1"/>
    <col min="14867" max="14867" width="12.42578125" style="1652" customWidth="1"/>
    <col min="14868" max="14868" width="13.85546875" style="1652" customWidth="1"/>
    <col min="14869" max="14869" width="6.85546875" style="1652" customWidth="1"/>
    <col min="14870" max="14870" width="23" style="1652" customWidth="1"/>
    <col min="14871" max="14872" width="8.85546875" style="1652"/>
    <col min="14873" max="14873" width="12.28515625" style="1652" customWidth="1"/>
    <col min="14874" max="14874" width="22" style="1652" customWidth="1"/>
    <col min="14875" max="14877" width="13.28515625" style="1652" bestFit="1" customWidth="1"/>
    <col min="14878" max="14878" width="21.7109375" style="1652" customWidth="1"/>
    <col min="14879" max="14879" width="18.7109375" style="1652" bestFit="1" customWidth="1"/>
    <col min="14880" max="14881" width="19" style="1652" bestFit="1" customWidth="1"/>
    <col min="14882" max="14888" width="13.28515625" style="1652" bestFit="1" customWidth="1"/>
    <col min="14889" max="14889" width="14.140625" style="1652" bestFit="1" customWidth="1"/>
    <col min="14890" max="14891" width="15.7109375" style="1652" bestFit="1" customWidth="1"/>
    <col min="14892" max="14894" width="14.140625" style="1652" bestFit="1" customWidth="1"/>
    <col min="14895" max="14896" width="15.7109375" style="1652" bestFit="1" customWidth="1"/>
    <col min="14897" max="14898" width="14.140625" style="1652" bestFit="1" customWidth="1"/>
    <col min="14899" max="14917" width="8.85546875" style="1652"/>
    <col min="14918" max="14918" width="10" style="1652" bestFit="1" customWidth="1"/>
    <col min="14919" max="15078" width="8.85546875" style="1652"/>
    <col min="15079" max="15079" width="43.85546875" style="1652" customWidth="1"/>
    <col min="15080" max="15080" width="7.140625" style="1652" customWidth="1"/>
    <col min="15081" max="15081" width="15.5703125" style="1652" customWidth="1"/>
    <col min="15082" max="15082" width="23.140625" style="1652" customWidth="1"/>
    <col min="15083" max="15083" width="15.140625" style="1652" customWidth="1"/>
    <col min="15084" max="15084" width="14.85546875" style="1652" customWidth="1"/>
    <col min="15085" max="15085" width="16.28515625" style="1652" customWidth="1"/>
    <col min="15086" max="15086" width="20.85546875" style="1652" customWidth="1"/>
    <col min="15087" max="15087" width="14.140625" style="1652" customWidth="1"/>
    <col min="15088" max="15088" width="15.7109375" style="1652" bestFit="1" customWidth="1"/>
    <col min="15089" max="15089" width="13.42578125" style="1652" bestFit="1" customWidth="1"/>
    <col min="15090" max="15090" width="17.7109375" style="1652" customWidth="1"/>
    <col min="15091" max="15092" width="13.28515625" style="1652" customWidth="1"/>
    <col min="15093" max="15093" width="11.5703125" style="1652" customWidth="1"/>
    <col min="15094" max="15094" width="16.85546875" style="1652" customWidth="1"/>
    <col min="15095" max="15095" width="13.85546875" style="1652" customWidth="1"/>
    <col min="15096" max="15096" width="15.140625" style="1652" customWidth="1"/>
    <col min="15097" max="15097" width="16.7109375" style="1652" customWidth="1"/>
    <col min="15098" max="15098" width="21.7109375" style="1652" customWidth="1"/>
    <col min="15099" max="15100" width="16.7109375" style="1652" customWidth="1"/>
    <col min="15101" max="15101" width="15" style="1652" customWidth="1"/>
    <col min="15102" max="15102" width="21.7109375" style="1652" customWidth="1"/>
    <col min="15103" max="15103" width="14.140625" style="1652" customWidth="1"/>
    <col min="15104" max="15104" width="13.85546875" style="1652" customWidth="1"/>
    <col min="15105" max="15105" width="12.140625" style="1652" customWidth="1"/>
    <col min="15106" max="15106" width="20.140625" style="1652" customWidth="1"/>
    <col min="15107" max="15107" width="15" style="1652" customWidth="1"/>
    <col min="15108" max="15108" width="12.140625" style="1652" customWidth="1"/>
    <col min="15109" max="15109" width="12" style="1652" customWidth="1"/>
    <col min="15110" max="15110" width="17.5703125" style="1652" customWidth="1"/>
    <col min="15111" max="15111" width="16.5703125" style="1652" customWidth="1"/>
    <col min="15112" max="15112" width="12.5703125" style="1652" customWidth="1"/>
    <col min="15113" max="15113" width="24.85546875" style="1652" customWidth="1"/>
    <col min="15114" max="15114" width="25.42578125" style="1652" customWidth="1"/>
    <col min="15115" max="15116" width="13.5703125" style="1652" customWidth="1"/>
    <col min="15117" max="15117" width="18.7109375" style="1652" customWidth="1"/>
    <col min="15118" max="15118" width="24.5703125" style="1652" customWidth="1"/>
    <col min="15119" max="15119" width="18.5703125" style="1652" customWidth="1"/>
    <col min="15120" max="15120" width="13.28515625" style="1652" customWidth="1"/>
    <col min="15121" max="15121" width="13.140625" style="1652" customWidth="1"/>
    <col min="15122" max="15122" width="18.7109375" style="1652" customWidth="1"/>
    <col min="15123" max="15123" width="12.42578125" style="1652" customWidth="1"/>
    <col min="15124" max="15124" width="13.85546875" style="1652" customWidth="1"/>
    <col min="15125" max="15125" width="6.85546875" style="1652" customWidth="1"/>
    <col min="15126" max="15126" width="23" style="1652" customWidth="1"/>
    <col min="15127" max="15128" width="8.85546875" style="1652"/>
    <col min="15129" max="15129" width="12.28515625" style="1652" customWidth="1"/>
    <col min="15130" max="15130" width="22" style="1652" customWidth="1"/>
    <col min="15131" max="15133" width="13.28515625" style="1652" bestFit="1" customWidth="1"/>
    <col min="15134" max="15134" width="21.7109375" style="1652" customWidth="1"/>
    <col min="15135" max="15135" width="18.7109375" style="1652" bestFit="1" customWidth="1"/>
    <col min="15136" max="15137" width="19" style="1652" bestFit="1" customWidth="1"/>
    <col min="15138" max="15144" width="13.28515625" style="1652" bestFit="1" customWidth="1"/>
    <col min="15145" max="15145" width="14.140625" style="1652" bestFit="1" customWidth="1"/>
    <col min="15146" max="15147" width="15.7109375" style="1652" bestFit="1" customWidth="1"/>
    <col min="15148" max="15150" width="14.140625" style="1652" bestFit="1" customWidth="1"/>
    <col min="15151" max="15152" width="15.7109375" style="1652" bestFit="1" customWidth="1"/>
    <col min="15153" max="15154" width="14.140625" style="1652" bestFit="1" customWidth="1"/>
    <col min="15155" max="15173" width="8.85546875" style="1652"/>
    <col min="15174" max="15174" width="10" style="1652" bestFit="1" customWidth="1"/>
    <col min="15175" max="15334" width="8.85546875" style="1652"/>
    <col min="15335" max="15335" width="43.85546875" style="1652" customWidth="1"/>
    <col min="15336" max="15336" width="7.140625" style="1652" customWidth="1"/>
    <col min="15337" max="15337" width="15.5703125" style="1652" customWidth="1"/>
    <col min="15338" max="15338" width="23.140625" style="1652" customWidth="1"/>
    <col min="15339" max="15339" width="15.140625" style="1652" customWidth="1"/>
    <col min="15340" max="15340" width="14.85546875" style="1652" customWidth="1"/>
    <col min="15341" max="15341" width="16.28515625" style="1652" customWidth="1"/>
    <col min="15342" max="15342" width="20.85546875" style="1652" customWidth="1"/>
    <col min="15343" max="15343" width="14.140625" style="1652" customWidth="1"/>
    <col min="15344" max="15344" width="15.7109375" style="1652" bestFit="1" customWidth="1"/>
    <col min="15345" max="15345" width="13.42578125" style="1652" bestFit="1" customWidth="1"/>
    <col min="15346" max="15346" width="17.7109375" style="1652" customWidth="1"/>
    <col min="15347" max="15348" width="13.28515625" style="1652" customWidth="1"/>
    <col min="15349" max="15349" width="11.5703125" style="1652" customWidth="1"/>
    <col min="15350" max="15350" width="16.85546875" style="1652" customWidth="1"/>
    <col min="15351" max="15351" width="13.85546875" style="1652" customWidth="1"/>
    <col min="15352" max="15352" width="15.140625" style="1652" customWidth="1"/>
    <col min="15353" max="15353" width="16.7109375" style="1652" customWidth="1"/>
    <col min="15354" max="15354" width="21.7109375" style="1652" customWidth="1"/>
    <col min="15355" max="15356" width="16.7109375" style="1652" customWidth="1"/>
    <col min="15357" max="15357" width="15" style="1652" customWidth="1"/>
    <col min="15358" max="15358" width="21.7109375" style="1652" customWidth="1"/>
    <col min="15359" max="15359" width="14.140625" style="1652" customWidth="1"/>
    <col min="15360" max="15360" width="13.85546875" style="1652" customWidth="1"/>
    <col min="15361" max="15361" width="12.140625" style="1652" customWidth="1"/>
    <col min="15362" max="15362" width="20.140625" style="1652" customWidth="1"/>
    <col min="15363" max="15363" width="15" style="1652" customWidth="1"/>
    <col min="15364" max="15364" width="12.140625" style="1652" customWidth="1"/>
    <col min="15365" max="15365" width="12" style="1652" customWidth="1"/>
    <col min="15366" max="15366" width="17.5703125" style="1652" customWidth="1"/>
    <col min="15367" max="15367" width="16.5703125" style="1652" customWidth="1"/>
    <col min="15368" max="15368" width="12.5703125" style="1652" customWidth="1"/>
    <col min="15369" max="15369" width="24.85546875" style="1652" customWidth="1"/>
    <col min="15370" max="15370" width="25.42578125" style="1652" customWidth="1"/>
    <col min="15371" max="15372" width="13.5703125" style="1652" customWidth="1"/>
    <col min="15373" max="15373" width="18.7109375" style="1652" customWidth="1"/>
    <col min="15374" max="15374" width="24.5703125" style="1652" customWidth="1"/>
    <col min="15375" max="15375" width="18.5703125" style="1652" customWidth="1"/>
    <col min="15376" max="15376" width="13.28515625" style="1652" customWidth="1"/>
    <col min="15377" max="15377" width="13.140625" style="1652" customWidth="1"/>
    <col min="15378" max="15378" width="18.7109375" style="1652" customWidth="1"/>
    <col min="15379" max="15379" width="12.42578125" style="1652" customWidth="1"/>
    <col min="15380" max="15380" width="13.85546875" style="1652" customWidth="1"/>
    <col min="15381" max="15381" width="6.85546875" style="1652" customWidth="1"/>
    <col min="15382" max="15382" width="23" style="1652" customWidth="1"/>
    <col min="15383" max="15384" width="8.85546875" style="1652"/>
    <col min="15385" max="15385" width="12.28515625" style="1652" customWidth="1"/>
    <col min="15386" max="15386" width="22" style="1652" customWidth="1"/>
    <col min="15387" max="15389" width="13.28515625" style="1652" bestFit="1" customWidth="1"/>
    <col min="15390" max="15390" width="21.7109375" style="1652" customWidth="1"/>
    <col min="15391" max="15391" width="18.7109375" style="1652" bestFit="1" customWidth="1"/>
    <col min="15392" max="15393" width="19" style="1652" bestFit="1" customWidth="1"/>
    <col min="15394" max="15400" width="13.28515625" style="1652" bestFit="1" customWidth="1"/>
    <col min="15401" max="15401" width="14.140625" style="1652" bestFit="1" customWidth="1"/>
    <col min="15402" max="15403" width="15.7109375" style="1652" bestFit="1" customWidth="1"/>
    <col min="15404" max="15406" width="14.140625" style="1652" bestFit="1" customWidth="1"/>
    <col min="15407" max="15408" width="15.7109375" style="1652" bestFit="1" customWidth="1"/>
    <col min="15409" max="15410" width="14.140625" style="1652" bestFit="1" customWidth="1"/>
    <col min="15411" max="15429" width="8.85546875" style="1652"/>
    <col min="15430" max="15430" width="10" style="1652" bestFit="1" customWidth="1"/>
    <col min="15431" max="15590" width="8.85546875" style="1652"/>
    <col min="15591" max="15591" width="43.85546875" style="1652" customWidth="1"/>
    <col min="15592" max="15592" width="7.140625" style="1652" customWidth="1"/>
    <col min="15593" max="15593" width="15.5703125" style="1652" customWidth="1"/>
    <col min="15594" max="15594" width="23.140625" style="1652" customWidth="1"/>
    <col min="15595" max="15595" width="15.140625" style="1652" customWidth="1"/>
    <col min="15596" max="15596" width="14.85546875" style="1652" customWidth="1"/>
    <col min="15597" max="15597" width="16.28515625" style="1652" customWidth="1"/>
    <col min="15598" max="15598" width="20.85546875" style="1652" customWidth="1"/>
    <col min="15599" max="15599" width="14.140625" style="1652" customWidth="1"/>
    <col min="15600" max="15600" width="15.7109375" style="1652" bestFit="1" customWidth="1"/>
    <col min="15601" max="15601" width="13.42578125" style="1652" bestFit="1" customWidth="1"/>
    <col min="15602" max="15602" width="17.7109375" style="1652" customWidth="1"/>
    <col min="15603" max="15604" width="13.28515625" style="1652" customWidth="1"/>
    <col min="15605" max="15605" width="11.5703125" style="1652" customWidth="1"/>
    <col min="15606" max="15606" width="16.85546875" style="1652" customWidth="1"/>
    <col min="15607" max="15607" width="13.85546875" style="1652" customWidth="1"/>
    <col min="15608" max="15608" width="15.140625" style="1652" customWidth="1"/>
    <col min="15609" max="15609" width="16.7109375" style="1652" customWidth="1"/>
    <col min="15610" max="15610" width="21.7109375" style="1652" customWidth="1"/>
    <col min="15611" max="15612" width="16.7109375" style="1652" customWidth="1"/>
    <col min="15613" max="15613" width="15" style="1652" customWidth="1"/>
    <col min="15614" max="15614" width="21.7109375" style="1652" customWidth="1"/>
    <col min="15615" max="15615" width="14.140625" style="1652" customWidth="1"/>
    <col min="15616" max="15616" width="13.85546875" style="1652" customWidth="1"/>
    <col min="15617" max="15617" width="12.140625" style="1652" customWidth="1"/>
    <col min="15618" max="15618" width="20.140625" style="1652" customWidth="1"/>
    <col min="15619" max="15619" width="15" style="1652" customWidth="1"/>
    <col min="15620" max="15620" width="12.140625" style="1652" customWidth="1"/>
    <col min="15621" max="15621" width="12" style="1652" customWidth="1"/>
    <col min="15622" max="15622" width="17.5703125" style="1652" customWidth="1"/>
    <col min="15623" max="15623" width="16.5703125" style="1652" customWidth="1"/>
    <col min="15624" max="15624" width="12.5703125" style="1652" customWidth="1"/>
    <col min="15625" max="15625" width="24.85546875" style="1652" customWidth="1"/>
    <col min="15626" max="15626" width="25.42578125" style="1652" customWidth="1"/>
    <col min="15627" max="15628" width="13.5703125" style="1652" customWidth="1"/>
    <col min="15629" max="15629" width="18.7109375" style="1652" customWidth="1"/>
    <col min="15630" max="15630" width="24.5703125" style="1652" customWidth="1"/>
    <col min="15631" max="15631" width="18.5703125" style="1652" customWidth="1"/>
    <col min="15632" max="15632" width="13.28515625" style="1652" customWidth="1"/>
    <col min="15633" max="15633" width="13.140625" style="1652" customWidth="1"/>
    <col min="15634" max="15634" width="18.7109375" style="1652" customWidth="1"/>
    <col min="15635" max="15635" width="12.42578125" style="1652" customWidth="1"/>
    <col min="15636" max="15636" width="13.85546875" style="1652" customWidth="1"/>
    <col min="15637" max="15637" width="6.85546875" style="1652" customWidth="1"/>
    <col min="15638" max="15638" width="23" style="1652" customWidth="1"/>
    <col min="15639" max="15640" width="8.85546875" style="1652"/>
    <col min="15641" max="15641" width="12.28515625" style="1652" customWidth="1"/>
    <col min="15642" max="15642" width="22" style="1652" customWidth="1"/>
    <col min="15643" max="15645" width="13.28515625" style="1652" bestFit="1" customWidth="1"/>
    <col min="15646" max="15646" width="21.7109375" style="1652" customWidth="1"/>
    <col min="15647" max="15647" width="18.7109375" style="1652" bestFit="1" customWidth="1"/>
    <col min="15648" max="15649" width="19" style="1652" bestFit="1" customWidth="1"/>
    <col min="15650" max="15656" width="13.28515625" style="1652" bestFit="1" customWidth="1"/>
    <col min="15657" max="15657" width="14.140625" style="1652" bestFit="1" customWidth="1"/>
    <col min="15658" max="15659" width="15.7109375" style="1652" bestFit="1" customWidth="1"/>
    <col min="15660" max="15662" width="14.140625" style="1652" bestFit="1" customWidth="1"/>
    <col min="15663" max="15664" width="15.7109375" style="1652" bestFit="1" customWidth="1"/>
    <col min="15665" max="15666" width="14.140625" style="1652" bestFit="1" customWidth="1"/>
    <col min="15667" max="15685" width="8.85546875" style="1652"/>
    <col min="15686" max="15686" width="10" style="1652" bestFit="1" customWidth="1"/>
    <col min="15687" max="15846" width="8.85546875" style="1652"/>
    <col min="15847" max="15847" width="43.85546875" style="1652" customWidth="1"/>
    <col min="15848" max="15848" width="7.140625" style="1652" customWidth="1"/>
    <col min="15849" max="15849" width="15.5703125" style="1652" customWidth="1"/>
    <col min="15850" max="15850" width="23.140625" style="1652" customWidth="1"/>
    <col min="15851" max="15851" width="15.140625" style="1652" customWidth="1"/>
    <col min="15852" max="15852" width="14.85546875" style="1652" customWidth="1"/>
    <col min="15853" max="15853" width="16.28515625" style="1652" customWidth="1"/>
    <col min="15854" max="15854" width="20.85546875" style="1652" customWidth="1"/>
    <col min="15855" max="15855" width="14.140625" style="1652" customWidth="1"/>
    <col min="15856" max="15856" width="15.7109375" style="1652" bestFit="1" customWidth="1"/>
    <col min="15857" max="15857" width="13.42578125" style="1652" bestFit="1" customWidth="1"/>
    <col min="15858" max="15858" width="17.7109375" style="1652" customWidth="1"/>
    <col min="15859" max="15860" width="13.28515625" style="1652" customWidth="1"/>
    <col min="15861" max="15861" width="11.5703125" style="1652" customWidth="1"/>
    <col min="15862" max="15862" width="16.85546875" style="1652" customWidth="1"/>
    <col min="15863" max="15863" width="13.85546875" style="1652" customWidth="1"/>
    <col min="15864" max="15864" width="15.140625" style="1652" customWidth="1"/>
    <col min="15865" max="15865" width="16.7109375" style="1652" customWidth="1"/>
    <col min="15866" max="15866" width="21.7109375" style="1652" customWidth="1"/>
    <col min="15867" max="15868" width="16.7109375" style="1652" customWidth="1"/>
    <col min="15869" max="15869" width="15" style="1652" customWidth="1"/>
    <col min="15870" max="15870" width="21.7109375" style="1652" customWidth="1"/>
    <col min="15871" max="15871" width="14.140625" style="1652" customWidth="1"/>
    <col min="15872" max="15872" width="13.85546875" style="1652" customWidth="1"/>
    <col min="15873" max="15873" width="12.140625" style="1652" customWidth="1"/>
    <col min="15874" max="15874" width="20.140625" style="1652" customWidth="1"/>
    <col min="15875" max="15875" width="15" style="1652" customWidth="1"/>
    <col min="15876" max="15876" width="12.140625" style="1652" customWidth="1"/>
    <col min="15877" max="15877" width="12" style="1652" customWidth="1"/>
    <col min="15878" max="15878" width="17.5703125" style="1652" customWidth="1"/>
    <col min="15879" max="15879" width="16.5703125" style="1652" customWidth="1"/>
    <col min="15880" max="15880" width="12.5703125" style="1652" customWidth="1"/>
    <col min="15881" max="15881" width="24.85546875" style="1652" customWidth="1"/>
    <col min="15882" max="15882" width="25.42578125" style="1652" customWidth="1"/>
    <col min="15883" max="15884" width="13.5703125" style="1652" customWidth="1"/>
    <col min="15885" max="15885" width="18.7109375" style="1652" customWidth="1"/>
    <col min="15886" max="15886" width="24.5703125" style="1652" customWidth="1"/>
    <col min="15887" max="15887" width="18.5703125" style="1652" customWidth="1"/>
    <col min="15888" max="15888" width="13.28515625" style="1652" customWidth="1"/>
    <col min="15889" max="15889" width="13.140625" style="1652" customWidth="1"/>
    <col min="15890" max="15890" width="18.7109375" style="1652" customWidth="1"/>
    <col min="15891" max="15891" width="12.42578125" style="1652" customWidth="1"/>
    <col min="15892" max="15892" width="13.85546875" style="1652" customWidth="1"/>
    <col min="15893" max="15893" width="6.85546875" style="1652" customWidth="1"/>
    <col min="15894" max="15894" width="23" style="1652" customWidth="1"/>
    <col min="15895" max="15896" width="8.85546875" style="1652"/>
    <col min="15897" max="15897" width="12.28515625" style="1652" customWidth="1"/>
    <col min="15898" max="15898" width="22" style="1652" customWidth="1"/>
    <col min="15899" max="15901" width="13.28515625" style="1652" bestFit="1" customWidth="1"/>
    <col min="15902" max="15902" width="21.7109375" style="1652" customWidth="1"/>
    <col min="15903" max="15903" width="18.7109375" style="1652" bestFit="1" customWidth="1"/>
    <col min="15904" max="15905" width="19" style="1652" bestFit="1" customWidth="1"/>
    <col min="15906" max="15912" width="13.28515625" style="1652" bestFit="1" customWidth="1"/>
    <col min="15913" max="15913" width="14.140625" style="1652" bestFit="1" customWidth="1"/>
    <col min="15914" max="15915" width="15.7109375" style="1652" bestFit="1" customWidth="1"/>
    <col min="15916" max="15918" width="14.140625" style="1652" bestFit="1" customWidth="1"/>
    <col min="15919" max="15920" width="15.7109375" style="1652" bestFit="1" customWidth="1"/>
    <col min="15921" max="15922" width="14.140625" style="1652" bestFit="1" customWidth="1"/>
    <col min="15923" max="15941" width="8.85546875" style="1652"/>
    <col min="15942" max="15942" width="10" style="1652" bestFit="1" customWidth="1"/>
    <col min="15943" max="16102" width="8.85546875" style="1652"/>
    <col min="16103" max="16103" width="43.85546875" style="1652" customWidth="1"/>
    <col min="16104" max="16104" width="7.140625" style="1652" customWidth="1"/>
    <col min="16105" max="16105" width="15.5703125" style="1652" customWidth="1"/>
    <col min="16106" max="16106" width="23.140625" style="1652" customWidth="1"/>
    <col min="16107" max="16107" width="15.140625" style="1652" customWidth="1"/>
    <col min="16108" max="16108" width="14.85546875" style="1652" customWidth="1"/>
    <col min="16109" max="16109" width="16.28515625" style="1652" customWidth="1"/>
    <col min="16110" max="16110" width="20.85546875" style="1652" customWidth="1"/>
    <col min="16111" max="16111" width="14.140625" style="1652" customWidth="1"/>
    <col min="16112" max="16112" width="15.7109375" style="1652" bestFit="1" customWidth="1"/>
    <col min="16113" max="16113" width="13.42578125" style="1652" bestFit="1" customWidth="1"/>
    <col min="16114" max="16114" width="17.7109375" style="1652" customWidth="1"/>
    <col min="16115" max="16116" width="13.28515625" style="1652" customWidth="1"/>
    <col min="16117" max="16117" width="11.5703125" style="1652" customWidth="1"/>
    <col min="16118" max="16118" width="16.85546875" style="1652" customWidth="1"/>
    <col min="16119" max="16119" width="13.85546875" style="1652" customWidth="1"/>
    <col min="16120" max="16120" width="15.140625" style="1652" customWidth="1"/>
    <col min="16121" max="16121" width="16.7109375" style="1652" customWidth="1"/>
    <col min="16122" max="16122" width="21.7109375" style="1652" customWidth="1"/>
    <col min="16123" max="16124" width="16.7109375" style="1652" customWidth="1"/>
    <col min="16125" max="16125" width="15" style="1652" customWidth="1"/>
    <col min="16126" max="16126" width="21.7109375" style="1652" customWidth="1"/>
    <col min="16127" max="16127" width="14.140625" style="1652" customWidth="1"/>
    <col min="16128" max="16128" width="13.85546875" style="1652" customWidth="1"/>
    <col min="16129" max="16129" width="12.140625" style="1652" customWidth="1"/>
    <col min="16130" max="16130" width="20.140625" style="1652" customWidth="1"/>
    <col min="16131" max="16131" width="15" style="1652" customWidth="1"/>
    <col min="16132" max="16132" width="12.140625" style="1652" customWidth="1"/>
    <col min="16133" max="16133" width="12" style="1652" customWidth="1"/>
    <col min="16134" max="16134" width="17.5703125" style="1652" customWidth="1"/>
    <col min="16135" max="16135" width="16.5703125" style="1652" customWidth="1"/>
    <col min="16136" max="16136" width="12.5703125" style="1652" customWidth="1"/>
    <col min="16137" max="16137" width="24.85546875" style="1652" customWidth="1"/>
    <col min="16138" max="16138" width="25.42578125" style="1652" customWidth="1"/>
    <col min="16139" max="16140" width="13.5703125" style="1652" customWidth="1"/>
    <col min="16141" max="16141" width="18.7109375" style="1652" customWidth="1"/>
    <col min="16142" max="16142" width="24.5703125" style="1652" customWidth="1"/>
    <col min="16143" max="16143" width="18.5703125" style="1652" customWidth="1"/>
    <col min="16144" max="16144" width="13.28515625" style="1652" customWidth="1"/>
    <col min="16145" max="16145" width="13.140625" style="1652" customWidth="1"/>
    <col min="16146" max="16146" width="18.7109375" style="1652" customWidth="1"/>
    <col min="16147" max="16147" width="12.42578125" style="1652" customWidth="1"/>
    <col min="16148" max="16148" width="13.85546875" style="1652" customWidth="1"/>
    <col min="16149" max="16149" width="6.85546875" style="1652" customWidth="1"/>
    <col min="16150" max="16150" width="23" style="1652" customWidth="1"/>
    <col min="16151" max="16152" width="8.85546875" style="1652"/>
    <col min="16153" max="16153" width="12.28515625" style="1652" customWidth="1"/>
    <col min="16154" max="16154" width="22" style="1652" customWidth="1"/>
    <col min="16155" max="16157" width="13.28515625" style="1652" bestFit="1" customWidth="1"/>
    <col min="16158" max="16158" width="21.7109375" style="1652" customWidth="1"/>
    <col min="16159" max="16159" width="18.7109375" style="1652" bestFit="1" customWidth="1"/>
    <col min="16160" max="16161" width="19" style="1652" bestFit="1" customWidth="1"/>
    <col min="16162" max="16168" width="13.28515625" style="1652" bestFit="1" customWidth="1"/>
    <col min="16169" max="16169" width="14.140625" style="1652" bestFit="1" customWidth="1"/>
    <col min="16170" max="16171" width="15.7109375" style="1652" bestFit="1" customWidth="1"/>
    <col min="16172" max="16174" width="14.140625" style="1652" bestFit="1" customWidth="1"/>
    <col min="16175" max="16176" width="15.7109375" style="1652" bestFit="1" customWidth="1"/>
    <col min="16177" max="16178" width="14.140625" style="1652" bestFit="1" customWidth="1"/>
    <col min="16179" max="16197" width="8.85546875" style="1652"/>
    <col min="16198" max="16198" width="10" style="1652" bestFit="1" customWidth="1"/>
    <col min="16199" max="16384" width="8.85546875" style="1652"/>
  </cols>
  <sheetData>
    <row r="1" spans="1:84" s="1655" customFormat="1" ht="15.75">
      <c r="A1" s="1656"/>
      <c r="B1" s="1656"/>
      <c r="C1" s="1656" t="s">
        <v>1984</v>
      </c>
      <c r="D1" s="1656"/>
      <c r="F1" s="1656"/>
      <c r="G1" s="1656"/>
      <c r="H1" s="1656"/>
      <c r="I1" s="1656"/>
      <c r="J1" s="1656"/>
      <c r="K1" s="1656"/>
      <c r="L1" s="1656"/>
      <c r="M1" s="1656"/>
      <c r="N1" s="1656"/>
      <c r="O1" s="1656"/>
      <c r="P1" s="1656"/>
      <c r="Q1" s="1656"/>
      <c r="R1" s="1656"/>
      <c r="S1" s="1656"/>
      <c r="T1" s="1656"/>
      <c r="U1" s="1656"/>
      <c r="V1" s="1656"/>
      <c r="W1" s="1656"/>
      <c r="X1" s="1656"/>
      <c r="Y1" s="1656"/>
      <c r="Z1" s="1656"/>
      <c r="AA1" s="1656"/>
      <c r="AB1" s="1656"/>
      <c r="AC1" s="1656"/>
      <c r="AD1" s="1656"/>
      <c r="AE1" s="1656"/>
      <c r="AF1" s="1656"/>
      <c r="AG1" s="1656"/>
      <c r="AH1" s="2036"/>
      <c r="AI1" s="2036"/>
      <c r="AJ1" s="2036"/>
      <c r="AK1" s="2036"/>
      <c r="AL1" s="2036"/>
      <c r="AM1" s="2036"/>
      <c r="AN1" s="2036"/>
      <c r="AO1" s="1671"/>
      <c r="AP1" s="1671"/>
      <c r="AQ1" s="1671"/>
      <c r="AR1" s="1671"/>
      <c r="AS1" s="1671"/>
      <c r="AT1" s="1671"/>
      <c r="AU1" s="1671"/>
      <c r="AV1" s="1671"/>
      <c r="AW1" s="1671"/>
      <c r="AX1" s="1671"/>
      <c r="AY1" s="1671"/>
      <c r="AZ1" s="1671"/>
      <c r="BA1" s="1671"/>
      <c r="BB1" s="1671"/>
      <c r="BC1" s="1671"/>
      <c r="BD1" s="1671"/>
      <c r="BE1" s="1671"/>
      <c r="BF1" s="1671"/>
      <c r="BG1" s="1671"/>
      <c r="BH1" s="1671"/>
    </row>
    <row r="2" spans="1:84">
      <c r="A2" s="1663"/>
      <c r="B2" s="1663"/>
      <c r="C2" s="2025"/>
      <c r="D2" s="1663"/>
      <c r="E2" s="1675"/>
      <c r="F2" s="1675"/>
      <c r="G2" s="1675"/>
      <c r="H2" s="1675"/>
      <c r="I2" s="1675"/>
      <c r="J2" s="1675"/>
      <c r="K2" s="1675"/>
      <c r="L2" s="1675"/>
      <c r="M2" s="1675"/>
      <c r="N2" s="1675"/>
      <c r="O2" s="1675"/>
      <c r="P2" s="1675"/>
      <c r="Q2" s="1675"/>
      <c r="R2" s="1675"/>
      <c r="S2" s="1675"/>
      <c r="T2" s="1675"/>
      <c r="U2" s="1675"/>
      <c r="V2" s="1675"/>
      <c r="W2" s="1675"/>
      <c r="X2" s="1675"/>
      <c r="Y2" s="1675"/>
      <c r="Z2" s="1675"/>
      <c r="AA2" s="1675"/>
      <c r="AB2" s="1675"/>
      <c r="AC2" s="1675"/>
      <c r="AD2" s="1675"/>
      <c r="AE2" s="1675"/>
      <c r="AF2" s="1675"/>
      <c r="AG2" s="1675"/>
      <c r="AH2" s="2037"/>
      <c r="AI2" s="2038"/>
      <c r="AJ2" s="1675"/>
      <c r="AK2" s="1675"/>
      <c r="AL2" s="1675"/>
      <c r="AM2" s="1675"/>
      <c r="AN2" s="1675"/>
      <c r="AO2" s="1671"/>
      <c r="AP2" s="1671"/>
      <c r="AQ2" s="1671"/>
      <c r="AR2" s="1671"/>
      <c r="AS2" s="1671"/>
      <c r="AT2" s="1671"/>
      <c r="AU2" s="1671"/>
      <c r="AV2" s="1671"/>
      <c r="AW2" s="1671"/>
      <c r="AX2" s="1671"/>
      <c r="AY2" s="1671"/>
      <c r="AZ2" s="1671"/>
      <c r="BA2" s="1671"/>
      <c r="BB2" s="1671"/>
      <c r="BC2" s="1671"/>
      <c r="BD2" s="1671"/>
      <c r="BE2" s="1671"/>
      <c r="BF2" s="1671"/>
      <c r="BG2" s="1671"/>
      <c r="BH2" s="1671"/>
      <c r="BI2" s="1675"/>
      <c r="BJ2" s="1675"/>
      <c r="BK2" s="1675"/>
      <c r="BL2" s="1675"/>
      <c r="BM2" s="1675"/>
      <c r="BN2" s="1675"/>
      <c r="BO2" s="1675"/>
      <c r="BP2" s="1675"/>
      <c r="BQ2" s="1675"/>
      <c r="BR2" s="1675"/>
      <c r="BS2" s="1675"/>
      <c r="BT2" s="1675"/>
      <c r="BU2" s="1675"/>
      <c r="BV2" s="1675"/>
      <c r="BW2" s="1675"/>
      <c r="BX2" s="1675"/>
      <c r="BY2" s="1675"/>
      <c r="BZ2" s="1675"/>
      <c r="CA2" s="1675"/>
      <c r="CB2" s="1675"/>
      <c r="CC2" s="1675"/>
      <c r="CD2" s="1675"/>
      <c r="CE2" s="1675"/>
      <c r="CF2" s="1675"/>
    </row>
    <row r="3" spans="1:84">
      <c r="A3" s="1658"/>
      <c r="B3" s="1658"/>
      <c r="C3" s="4331" t="s">
        <v>497</v>
      </c>
      <c r="D3" s="4327" t="s">
        <v>498</v>
      </c>
      <c r="E3" s="4344" t="s">
        <v>205</v>
      </c>
      <c r="F3" s="4345"/>
      <c r="G3" s="4345"/>
      <c r="H3" s="4345"/>
      <c r="I3" s="4345"/>
      <c r="J3" s="4345"/>
      <c r="K3" s="4345"/>
      <c r="L3" s="4331"/>
      <c r="M3" s="4335" t="s">
        <v>608</v>
      </c>
      <c r="N3" s="4336"/>
      <c r="O3" s="4336"/>
      <c r="P3" s="4336"/>
      <c r="Q3" s="4336"/>
      <c r="R3" s="4336"/>
      <c r="S3" s="4336"/>
      <c r="T3" s="4337"/>
      <c r="U3" s="4327" t="s">
        <v>622</v>
      </c>
      <c r="V3" s="4327"/>
      <c r="W3" s="4327"/>
      <c r="X3" s="4327"/>
      <c r="Y3" s="4327"/>
      <c r="Z3" s="4327"/>
      <c r="AA3" s="4327"/>
      <c r="AB3" s="4327"/>
      <c r="AC3" s="4327"/>
      <c r="AD3" s="4327"/>
      <c r="AE3" s="4327"/>
      <c r="AF3" s="4327"/>
      <c r="AG3" s="4327"/>
      <c r="AH3" s="4327"/>
      <c r="AI3" s="4327"/>
      <c r="AJ3" s="4327"/>
      <c r="AK3" s="4327" t="s">
        <v>623</v>
      </c>
      <c r="AL3" s="4327"/>
      <c r="AM3" s="4327"/>
      <c r="AN3" s="4327"/>
      <c r="AO3" s="4327"/>
      <c r="AP3" s="4327"/>
      <c r="AQ3" s="4327"/>
      <c r="AR3" s="4327"/>
      <c r="AS3" s="4327"/>
      <c r="AT3" s="4327"/>
      <c r="AU3" s="4327"/>
      <c r="AV3" s="4327"/>
      <c r="AW3" s="4327"/>
      <c r="AX3" s="4327"/>
      <c r="AY3" s="4327"/>
      <c r="AZ3" s="4327"/>
      <c r="BA3" s="4335" t="s">
        <v>1985</v>
      </c>
      <c r="BB3" s="4336"/>
      <c r="BC3" s="4336"/>
      <c r="BD3" s="4337"/>
      <c r="BE3" s="4327" t="s">
        <v>1544</v>
      </c>
      <c r="BF3" s="4327"/>
      <c r="BG3" s="4327"/>
      <c r="BH3" s="4327"/>
    </row>
    <row r="4" spans="1:84">
      <c r="A4" s="1658"/>
      <c r="B4" s="1658"/>
      <c r="C4" s="4331"/>
      <c r="D4" s="4327"/>
      <c r="E4" s="4335" t="s">
        <v>1986</v>
      </c>
      <c r="F4" s="4336"/>
      <c r="G4" s="4336"/>
      <c r="H4" s="4337"/>
      <c r="I4" s="4335" t="s">
        <v>1987</v>
      </c>
      <c r="J4" s="4336"/>
      <c r="K4" s="4336"/>
      <c r="L4" s="4337"/>
      <c r="M4" s="4327" t="s">
        <v>1986</v>
      </c>
      <c r="N4" s="4327"/>
      <c r="O4" s="4327"/>
      <c r="P4" s="4327"/>
      <c r="Q4" s="4327" t="s">
        <v>1987</v>
      </c>
      <c r="R4" s="4327"/>
      <c r="S4" s="4327"/>
      <c r="T4" s="4327"/>
      <c r="U4" s="4327" t="s">
        <v>1988</v>
      </c>
      <c r="V4" s="4327"/>
      <c r="W4" s="4327"/>
      <c r="X4" s="4327"/>
      <c r="Y4" s="4327" t="s">
        <v>1989</v>
      </c>
      <c r="Z4" s="4327"/>
      <c r="AA4" s="4327"/>
      <c r="AB4" s="4327"/>
      <c r="AC4" s="4335" t="s">
        <v>1549</v>
      </c>
      <c r="AD4" s="4336"/>
      <c r="AE4" s="4336"/>
      <c r="AF4" s="4337"/>
      <c r="AG4" s="4327" t="s">
        <v>1990</v>
      </c>
      <c r="AH4" s="4327"/>
      <c r="AI4" s="4327"/>
      <c r="AJ4" s="4327"/>
      <c r="AK4" s="4327" t="s">
        <v>1991</v>
      </c>
      <c r="AL4" s="4327"/>
      <c r="AM4" s="4327"/>
      <c r="AN4" s="4327"/>
      <c r="AO4" s="4327" t="s">
        <v>1992</v>
      </c>
      <c r="AP4" s="4327"/>
      <c r="AQ4" s="4327"/>
      <c r="AR4" s="4327"/>
      <c r="AS4" s="4335" t="s">
        <v>1549</v>
      </c>
      <c r="AT4" s="4336"/>
      <c r="AU4" s="4336"/>
      <c r="AV4" s="4337"/>
      <c r="AW4" s="4327" t="s">
        <v>1990</v>
      </c>
      <c r="AX4" s="4327"/>
      <c r="AY4" s="4327"/>
      <c r="AZ4" s="4327"/>
      <c r="BA4" s="4338"/>
      <c r="BB4" s="4339"/>
      <c r="BC4" s="4339"/>
      <c r="BD4" s="4340"/>
      <c r="BE4" s="4327"/>
      <c r="BF4" s="4327"/>
      <c r="BG4" s="4327"/>
      <c r="BH4" s="4327"/>
    </row>
    <row r="5" spans="1:84">
      <c r="A5" s="1658"/>
      <c r="B5" s="1658"/>
      <c r="C5" s="4331"/>
      <c r="D5" s="4327"/>
      <c r="E5" s="4341"/>
      <c r="F5" s="4342"/>
      <c r="G5" s="4342"/>
      <c r="H5" s="4343"/>
      <c r="I5" s="4341"/>
      <c r="J5" s="4342"/>
      <c r="K5" s="4342"/>
      <c r="L5" s="4343"/>
      <c r="M5" s="4327"/>
      <c r="N5" s="4327"/>
      <c r="O5" s="4327"/>
      <c r="P5" s="4327"/>
      <c r="Q5" s="4327"/>
      <c r="R5" s="4327"/>
      <c r="S5" s="4327"/>
      <c r="T5" s="4327"/>
      <c r="U5" s="4327"/>
      <c r="V5" s="4327"/>
      <c r="W5" s="4327"/>
      <c r="X5" s="4327"/>
      <c r="Y5" s="4327"/>
      <c r="Z5" s="4327"/>
      <c r="AA5" s="4327"/>
      <c r="AB5" s="4327"/>
      <c r="AC5" s="4341"/>
      <c r="AD5" s="4342"/>
      <c r="AE5" s="4342"/>
      <c r="AF5" s="4343"/>
      <c r="AG5" s="4327"/>
      <c r="AH5" s="4327"/>
      <c r="AI5" s="4327"/>
      <c r="AJ5" s="4327"/>
      <c r="AK5" s="4327"/>
      <c r="AL5" s="4327"/>
      <c r="AM5" s="4327"/>
      <c r="AN5" s="4327"/>
      <c r="AO5" s="4327"/>
      <c r="AP5" s="4327"/>
      <c r="AQ5" s="4327"/>
      <c r="AR5" s="4327"/>
      <c r="AS5" s="4341"/>
      <c r="AT5" s="4342"/>
      <c r="AU5" s="4342"/>
      <c r="AV5" s="4343"/>
      <c r="AW5" s="4327"/>
      <c r="AX5" s="4327"/>
      <c r="AY5" s="4327"/>
      <c r="AZ5" s="4327"/>
      <c r="BA5" s="4341"/>
      <c r="BB5" s="4342"/>
      <c r="BC5" s="4342"/>
      <c r="BD5" s="4343"/>
      <c r="BE5" s="4327"/>
      <c r="BF5" s="4327"/>
      <c r="BG5" s="4327"/>
      <c r="BH5" s="4327"/>
    </row>
    <row r="6" spans="1:84">
      <c r="A6" s="1658"/>
      <c r="B6" s="1658"/>
      <c r="C6" s="4331"/>
      <c r="D6" s="4327"/>
      <c r="E6" s="4327" t="s">
        <v>511</v>
      </c>
      <c r="F6" s="4327" t="s">
        <v>512</v>
      </c>
      <c r="G6" s="4327"/>
      <c r="H6" s="4327"/>
      <c r="I6" s="4327" t="s">
        <v>511</v>
      </c>
      <c r="J6" s="4327" t="s">
        <v>512</v>
      </c>
      <c r="K6" s="4327"/>
      <c r="L6" s="4327"/>
      <c r="M6" s="4327" t="s">
        <v>511</v>
      </c>
      <c r="N6" s="4327" t="s">
        <v>512</v>
      </c>
      <c r="O6" s="4327"/>
      <c r="P6" s="4327"/>
      <c r="Q6" s="4327" t="s">
        <v>511</v>
      </c>
      <c r="R6" s="4327" t="s">
        <v>512</v>
      </c>
      <c r="S6" s="4327"/>
      <c r="T6" s="4327"/>
      <c r="U6" s="4327" t="s">
        <v>511</v>
      </c>
      <c r="V6" s="4327" t="s">
        <v>512</v>
      </c>
      <c r="W6" s="4327"/>
      <c r="X6" s="4327"/>
      <c r="Y6" s="4327" t="s">
        <v>511</v>
      </c>
      <c r="Z6" s="4327" t="s">
        <v>512</v>
      </c>
      <c r="AA6" s="4327"/>
      <c r="AB6" s="4327"/>
      <c r="AC6" s="4327" t="s">
        <v>511</v>
      </c>
      <c r="AD6" s="4327" t="s">
        <v>512</v>
      </c>
      <c r="AE6" s="4327"/>
      <c r="AF6" s="4327"/>
      <c r="AG6" s="4327" t="s">
        <v>511</v>
      </c>
      <c r="AH6" s="4327" t="s">
        <v>512</v>
      </c>
      <c r="AI6" s="4327"/>
      <c r="AJ6" s="4327"/>
      <c r="AK6" s="4327" t="s">
        <v>511</v>
      </c>
      <c r="AL6" s="4327" t="s">
        <v>512</v>
      </c>
      <c r="AM6" s="4327"/>
      <c r="AN6" s="4327"/>
      <c r="AO6" s="4327" t="s">
        <v>511</v>
      </c>
      <c r="AP6" s="4327" t="s">
        <v>512</v>
      </c>
      <c r="AQ6" s="4327"/>
      <c r="AR6" s="4327"/>
      <c r="AS6" s="4327" t="s">
        <v>511</v>
      </c>
      <c r="AT6" s="4327" t="s">
        <v>512</v>
      </c>
      <c r="AU6" s="4327"/>
      <c r="AV6" s="4327"/>
      <c r="AW6" s="4327" t="s">
        <v>511</v>
      </c>
      <c r="AX6" s="4327" t="s">
        <v>512</v>
      </c>
      <c r="AY6" s="4327"/>
      <c r="AZ6" s="4327"/>
      <c r="BA6" s="4327" t="s">
        <v>511</v>
      </c>
      <c r="BB6" s="4327" t="s">
        <v>512</v>
      </c>
      <c r="BC6" s="4327"/>
      <c r="BD6" s="4327"/>
      <c r="BE6" s="4327" t="s">
        <v>511</v>
      </c>
      <c r="BF6" s="4327" t="s">
        <v>512</v>
      </c>
      <c r="BG6" s="4327"/>
      <c r="BH6" s="4327"/>
    </row>
    <row r="7" spans="1:84" ht="25.5">
      <c r="A7" s="1658"/>
      <c r="B7" s="1658"/>
      <c r="C7" s="4331"/>
      <c r="D7" s="4327"/>
      <c r="E7" s="4327"/>
      <c r="F7" s="2003" t="s">
        <v>630</v>
      </c>
      <c r="G7" s="2003" t="s">
        <v>439</v>
      </c>
      <c r="H7" s="2003" t="s">
        <v>514</v>
      </c>
      <c r="I7" s="4327"/>
      <c r="J7" s="2003" t="s">
        <v>630</v>
      </c>
      <c r="K7" s="2003" t="s">
        <v>439</v>
      </c>
      <c r="L7" s="2003" t="s">
        <v>514</v>
      </c>
      <c r="M7" s="4327"/>
      <c r="N7" s="2003" t="s">
        <v>630</v>
      </c>
      <c r="O7" s="2003" t="s">
        <v>439</v>
      </c>
      <c r="P7" s="2003" t="s">
        <v>514</v>
      </c>
      <c r="Q7" s="4327"/>
      <c r="R7" s="2003" t="s">
        <v>630</v>
      </c>
      <c r="S7" s="2003" t="s">
        <v>439</v>
      </c>
      <c r="T7" s="2003" t="s">
        <v>514</v>
      </c>
      <c r="U7" s="4327"/>
      <c r="V7" s="2003" t="s">
        <v>630</v>
      </c>
      <c r="W7" s="2003" t="s">
        <v>439</v>
      </c>
      <c r="X7" s="2003" t="s">
        <v>514</v>
      </c>
      <c r="Y7" s="4327"/>
      <c r="Z7" s="2003" t="s">
        <v>630</v>
      </c>
      <c r="AA7" s="2003" t="s">
        <v>439</v>
      </c>
      <c r="AB7" s="2003" t="s">
        <v>514</v>
      </c>
      <c r="AC7" s="4327"/>
      <c r="AD7" s="2003" t="s">
        <v>630</v>
      </c>
      <c r="AE7" s="2003" t="s">
        <v>439</v>
      </c>
      <c r="AF7" s="2003" t="s">
        <v>514</v>
      </c>
      <c r="AG7" s="4327"/>
      <c r="AH7" s="2003" t="s">
        <v>630</v>
      </c>
      <c r="AI7" s="2003" t="s">
        <v>439</v>
      </c>
      <c r="AJ7" s="2003" t="s">
        <v>514</v>
      </c>
      <c r="AK7" s="4327"/>
      <c r="AL7" s="2003" t="s">
        <v>630</v>
      </c>
      <c r="AM7" s="2003" t="s">
        <v>439</v>
      </c>
      <c r="AN7" s="2003" t="s">
        <v>514</v>
      </c>
      <c r="AO7" s="4327"/>
      <c r="AP7" s="2003" t="s">
        <v>630</v>
      </c>
      <c r="AQ7" s="2003" t="s">
        <v>439</v>
      </c>
      <c r="AR7" s="2003" t="s">
        <v>514</v>
      </c>
      <c r="AS7" s="4327"/>
      <c r="AT7" s="2003" t="s">
        <v>630</v>
      </c>
      <c r="AU7" s="2003" t="s">
        <v>439</v>
      </c>
      <c r="AV7" s="2003" t="s">
        <v>514</v>
      </c>
      <c r="AW7" s="4327"/>
      <c r="AX7" s="2003" t="s">
        <v>630</v>
      </c>
      <c r="AY7" s="2003" t="s">
        <v>439</v>
      </c>
      <c r="AZ7" s="2003" t="s">
        <v>514</v>
      </c>
      <c r="BA7" s="4327"/>
      <c r="BB7" s="2003" t="s">
        <v>630</v>
      </c>
      <c r="BC7" s="2003" t="s">
        <v>439</v>
      </c>
      <c r="BD7" s="2003" t="s">
        <v>514</v>
      </c>
      <c r="BE7" s="4327"/>
      <c r="BF7" s="2003" t="s">
        <v>630</v>
      </c>
      <c r="BG7" s="2003" t="s">
        <v>439</v>
      </c>
      <c r="BH7" s="2003" t="s">
        <v>514</v>
      </c>
    </row>
    <row r="8" spans="1:84">
      <c r="A8" s="1658"/>
      <c r="B8" s="1658"/>
      <c r="C8" s="2007">
        <v>1</v>
      </c>
      <c r="D8" s="2003">
        <v>2</v>
      </c>
      <c r="E8" s="2003">
        <v>3</v>
      </c>
      <c r="F8" s="2003">
        <v>4</v>
      </c>
      <c r="G8" s="2003">
        <v>5</v>
      </c>
      <c r="H8" s="2003">
        <v>6</v>
      </c>
      <c r="I8" s="2003">
        <v>7</v>
      </c>
      <c r="J8" s="2003">
        <v>8</v>
      </c>
      <c r="K8" s="2003">
        <v>9</v>
      </c>
      <c r="L8" s="2003">
        <v>10</v>
      </c>
      <c r="M8" s="2003">
        <v>11</v>
      </c>
      <c r="N8" s="2003">
        <v>12</v>
      </c>
      <c r="O8" s="2003">
        <v>13</v>
      </c>
      <c r="P8" s="2003">
        <v>14</v>
      </c>
      <c r="Q8" s="2003">
        <v>15</v>
      </c>
      <c r="R8" s="2003">
        <v>16</v>
      </c>
      <c r="S8" s="2003">
        <v>17</v>
      </c>
      <c r="T8" s="2003">
        <v>18</v>
      </c>
      <c r="U8" s="2003">
        <v>19</v>
      </c>
      <c r="V8" s="2003">
        <v>20</v>
      </c>
      <c r="W8" s="2003">
        <v>21</v>
      </c>
      <c r="X8" s="2003">
        <v>22</v>
      </c>
      <c r="Y8" s="2003">
        <v>23</v>
      </c>
      <c r="Z8" s="2003">
        <v>24</v>
      </c>
      <c r="AA8" s="2003">
        <v>25</v>
      </c>
      <c r="AB8" s="2003">
        <v>26</v>
      </c>
      <c r="AC8" s="2003">
        <v>27</v>
      </c>
      <c r="AD8" s="2003">
        <v>28</v>
      </c>
      <c r="AE8" s="2003">
        <v>29</v>
      </c>
      <c r="AF8" s="2003">
        <v>30</v>
      </c>
      <c r="AG8" s="2003">
        <v>31</v>
      </c>
      <c r="AH8" s="2003">
        <v>32</v>
      </c>
      <c r="AI8" s="2003">
        <v>33</v>
      </c>
      <c r="AJ8" s="2003">
        <v>34</v>
      </c>
      <c r="AK8" s="2003">
        <v>35</v>
      </c>
      <c r="AL8" s="2003">
        <v>36</v>
      </c>
      <c r="AM8" s="2003">
        <v>37</v>
      </c>
      <c r="AN8" s="2003">
        <v>38</v>
      </c>
      <c r="AO8" s="2003">
        <v>39</v>
      </c>
      <c r="AP8" s="2003">
        <v>40</v>
      </c>
      <c r="AQ8" s="2003">
        <v>41</v>
      </c>
      <c r="AR8" s="2003">
        <v>42</v>
      </c>
      <c r="AS8" s="2003">
        <v>43</v>
      </c>
      <c r="AT8" s="2003">
        <v>44</v>
      </c>
      <c r="AU8" s="2003">
        <v>45</v>
      </c>
      <c r="AV8" s="2003">
        <v>46</v>
      </c>
      <c r="AW8" s="2003">
        <v>47</v>
      </c>
      <c r="AX8" s="2003">
        <v>48</v>
      </c>
      <c r="AY8" s="2003">
        <v>49</v>
      </c>
      <c r="AZ8" s="2003">
        <v>50</v>
      </c>
      <c r="BA8" s="2003">
        <v>51</v>
      </c>
      <c r="BB8" s="2003">
        <v>52</v>
      </c>
      <c r="BC8" s="2003">
        <v>53</v>
      </c>
      <c r="BD8" s="2003">
        <v>54</v>
      </c>
      <c r="BE8" s="2003">
        <v>55</v>
      </c>
      <c r="BF8" s="2003">
        <v>56</v>
      </c>
      <c r="BG8" s="2003">
        <v>57</v>
      </c>
      <c r="BH8" s="2003">
        <v>58</v>
      </c>
    </row>
    <row r="9" spans="1:84" ht="15.75" thickBot="1">
      <c r="A9" s="2006" t="s">
        <v>1554</v>
      </c>
      <c r="B9" s="2006" t="s">
        <v>1555</v>
      </c>
      <c r="C9" s="1658" t="s">
        <v>497</v>
      </c>
      <c r="D9" s="1658" t="s">
        <v>1540</v>
      </c>
      <c r="E9" s="2027" t="s">
        <v>1299</v>
      </c>
      <c r="F9" s="2027" t="s">
        <v>1300</v>
      </c>
      <c r="G9" s="2027" t="s">
        <v>1301</v>
      </c>
      <c r="H9" s="2027" t="s">
        <v>1302</v>
      </c>
      <c r="I9" s="2027" t="s">
        <v>1303</v>
      </c>
      <c r="J9" s="2027" t="s">
        <v>1304</v>
      </c>
      <c r="K9" s="2027" t="s">
        <v>1305</v>
      </c>
      <c r="L9" s="2027" t="s">
        <v>1306</v>
      </c>
      <c r="M9" s="2027" t="s">
        <v>1307</v>
      </c>
      <c r="N9" s="2027" t="s">
        <v>1308</v>
      </c>
      <c r="O9" s="2027" t="s">
        <v>1309</v>
      </c>
      <c r="P9" s="2027" t="s">
        <v>1310</v>
      </c>
      <c r="Q9" s="2027" t="s">
        <v>1311</v>
      </c>
      <c r="R9" s="2027" t="s">
        <v>1312</v>
      </c>
      <c r="S9" s="2027" t="s">
        <v>1313</v>
      </c>
      <c r="T9" s="2027" t="s">
        <v>1314</v>
      </c>
      <c r="U9" s="2027" t="s">
        <v>1315</v>
      </c>
      <c r="V9" s="2027" t="s">
        <v>1316</v>
      </c>
      <c r="W9" s="2027" t="s">
        <v>1556</v>
      </c>
      <c r="X9" s="2027" t="s">
        <v>1557</v>
      </c>
      <c r="Y9" s="2027" t="s">
        <v>1558</v>
      </c>
      <c r="Z9" s="2027" t="s">
        <v>1559</v>
      </c>
      <c r="AA9" s="2027" t="s">
        <v>1560</v>
      </c>
      <c r="AB9" s="2027" t="s">
        <v>1561</v>
      </c>
      <c r="AC9" s="2027" t="s">
        <v>1562</v>
      </c>
      <c r="AD9" s="2027" t="s">
        <v>1563</v>
      </c>
      <c r="AE9" s="2027" t="s">
        <v>1564</v>
      </c>
      <c r="AF9" s="2027" t="s">
        <v>1565</v>
      </c>
      <c r="AG9" s="2027" t="s">
        <v>1566</v>
      </c>
      <c r="AH9" s="2027" t="s">
        <v>1567</v>
      </c>
      <c r="AI9" s="2027" t="s">
        <v>1568</v>
      </c>
      <c r="AJ9" s="2027" t="s">
        <v>1569</v>
      </c>
      <c r="AK9" s="2027" t="s">
        <v>1570</v>
      </c>
      <c r="AL9" s="2027" t="s">
        <v>1571</v>
      </c>
      <c r="AM9" s="2027" t="s">
        <v>1572</v>
      </c>
      <c r="AN9" s="2027" t="s">
        <v>1573</v>
      </c>
      <c r="AO9" s="2027" t="s">
        <v>1574</v>
      </c>
      <c r="AP9" s="2027" t="s">
        <v>1575</v>
      </c>
      <c r="AQ9" s="2027" t="s">
        <v>1576</v>
      </c>
      <c r="AR9" s="2027" t="s">
        <v>1577</v>
      </c>
      <c r="AS9" s="2027" t="s">
        <v>1578</v>
      </c>
      <c r="AT9" s="2027" t="s">
        <v>1579</v>
      </c>
      <c r="AU9" s="2027" t="s">
        <v>1580</v>
      </c>
      <c r="AV9" s="2027" t="s">
        <v>1581</v>
      </c>
      <c r="AW9" s="2027" t="s">
        <v>1582</v>
      </c>
      <c r="AX9" s="2027" t="s">
        <v>1583</v>
      </c>
      <c r="AY9" s="2027" t="s">
        <v>1584</v>
      </c>
      <c r="AZ9" s="2027" t="s">
        <v>1585</v>
      </c>
      <c r="BA9" s="2027" t="s">
        <v>1586</v>
      </c>
      <c r="BB9" s="2027" t="s">
        <v>1587</v>
      </c>
      <c r="BC9" s="2027" t="s">
        <v>1588</v>
      </c>
      <c r="BD9" s="2027" t="s">
        <v>1589</v>
      </c>
      <c r="BE9" s="2027" t="s">
        <v>1590</v>
      </c>
      <c r="BF9" s="2027" t="s">
        <v>1591</v>
      </c>
      <c r="BG9" s="2027" t="s">
        <v>1592</v>
      </c>
      <c r="BH9" s="2027" t="s">
        <v>1593</v>
      </c>
    </row>
    <row r="10" spans="1:84" ht="51.75" thickTop="1">
      <c r="A10" s="1652">
        <v>9</v>
      </c>
      <c r="B10" s="1652">
        <v>13</v>
      </c>
      <c r="C10" s="1679" t="s">
        <v>1979</v>
      </c>
      <c r="D10" s="1680">
        <v>100</v>
      </c>
      <c r="E10" s="2039">
        <v>0</v>
      </c>
      <c r="F10" s="2039">
        <v>0</v>
      </c>
      <c r="G10" s="2039">
        <v>0</v>
      </c>
      <c r="H10" s="2039">
        <v>0</v>
      </c>
      <c r="I10" s="2039">
        <v>0</v>
      </c>
      <c r="J10" s="2039">
        <v>0</v>
      </c>
      <c r="K10" s="2039">
        <v>0</v>
      </c>
      <c r="L10" s="2039">
        <v>0</v>
      </c>
      <c r="M10" s="2039">
        <v>0</v>
      </c>
      <c r="N10" s="2039">
        <v>0</v>
      </c>
      <c r="O10" s="2039">
        <v>0</v>
      </c>
      <c r="P10" s="2039">
        <v>0</v>
      </c>
      <c r="Q10" s="2039">
        <v>0</v>
      </c>
      <c r="R10" s="2039">
        <v>0</v>
      </c>
      <c r="S10" s="2039">
        <v>0</v>
      </c>
      <c r="T10" s="2039">
        <v>0</v>
      </c>
      <c r="U10" s="2039">
        <v>0</v>
      </c>
      <c r="V10" s="2039">
        <v>0</v>
      </c>
      <c r="W10" s="2039">
        <v>0</v>
      </c>
      <c r="X10" s="2039">
        <v>0</v>
      </c>
      <c r="Y10" s="2039">
        <v>0</v>
      </c>
      <c r="Z10" s="2039">
        <v>0</v>
      </c>
      <c r="AA10" s="2039">
        <v>0</v>
      </c>
      <c r="AB10" s="2039">
        <v>0</v>
      </c>
      <c r="AC10" s="2039">
        <v>0</v>
      </c>
      <c r="AD10" s="2039">
        <v>0</v>
      </c>
      <c r="AE10" s="2039">
        <v>0</v>
      </c>
      <c r="AF10" s="2039">
        <v>0</v>
      </c>
      <c r="AG10" s="2039">
        <v>0</v>
      </c>
      <c r="AH10" s="2039">
        <v>0</v>
      </c>
      <c r="AI10" s="2039">
        <v>0</v>
      </c>
      <c r="AJ10" s="2039">
        <v>0</v>
      </c>
      <c r="AK10" s="2039">
        <v>0</v>
      </c>
      <c r="AL10" s="2039">
        <v>0</v>
      </c>
      <c r="AM10" s="2039">
        <v>0</v>
      </c>
      <c r="AN10" s="2039">
        <v>0</v>
      </c>
      <c r="AO10" s="2039">
        <v>0</v>
      </c>
      <c r="AP10" s="2039">
        <v>0</v>
      </c>
      <c r="AQ10" s="2039">
        <v>0</v>
      </c>
      <c r="AR10" s="2039">
        <v>0</v>
      </c>
      <c r="AS10" s="2039">
        <v>0</v>
      </c>
      <c r="AT10" s="2039">
        <v>0</v>
      </c>
      <c r="AU10" s="2039">
        <v>0</v>
      </c>
      <c r="AV10" s="2039">
        <v>0</v>
      </c>
      <c r="AW10" s="2039">
        <v>0</v>
      </c>
      <c r="AX10" s="2039">
        <v>0</v>
      </c>
      <c r="AY10" s="2039">
        <v>0</v>
      </c>
      <c r="AZ10" s="2039">
        <v>0</v>
      </c>
      <c r="BA10" s="2039">
        <v>0</v>
      </c>
      <c r="BB10" s="2039">
        <v>0</v>
      </c>
      <c r="BC10" s="2039">
        <v>0</v>
      </c>
      <c r="BD10" s="2039">
        <v>0</v>
      </c>
      <c r="BE10" s="2039">
        <v>0</v>
      </c>
      <c r="BF10" s="2039">
        <v>0</v>
      </c>
      <c r="BG10" s="2039">
        <v>0</v>
      </c>
      <c r="BH10" s="2039">
        <v>0</v>
      </c>
    </row>
    <row r="11" spans="1:84" ht="38.25">
      <c r="A11" s="1652">
        <v>9</v>
      </c>
      <c r="B11" s="1652">
        <v>4</v>
      </c>
      <c r="C11" s="1679" t="s">
        <v>515</v>
      </c>
      <c r="D11" s="1680">
        <v>200</v>
      </c>
      <c r="E11" s="2039">
        <v>0</v>
      </c>
      <c r="F11" s="2039">
        <v>0</v>
      </c>
      <c r="G11" s="2039">
        <v>0</v>
      </c>
      <c r="H11" s="2039">
        <v>0</v>
      </c>
      <c r="I11" s="2039">
        <v>0</v>
      </c>
      <c r="J11" s="2039">
        <v>0</v>
      </c>
      <c r="K11" s="2039">
        <v>0</v>
      </c>
      <c r="L11" s="2039">
        <v>0</v>
      </c>
      <c r="M11" s="2039">
        <v>0</v>
      </c>
      <c r="N11" s="2039">
        <v>0</v>
      </c>
      <c r="O11" s="2039">
        <v>0</v>
      </c>
      <c r="P11" s="2039">
        <v>0</v>
      </c>
      <c r="Q11" s="2039">
        <v>0</v>
      </c>
      <c r="R11" s="2039">
        <v>0</v>
      </c>
      <c r="S11" s="2039">
        <v>0</v>
      </c>
      <c r="T11" s="2039">
        <v>0</v>
      </c>
      <c r="U11" s="2039">
        <v>0</v>
      </c>
      <c r="V11" s="2039">
        <v>0</v>
      </c>
      <c r="W11" s="2039">
        <v>0</v>
      </c>
      <c r="X11" s="2039">
        <v>0</v>
      </c>
      <c r="Y11" s="2039">
        <v>0</v>
      </c>
      <c r="Z11" s="2039">
        <v>0</v>
      </c>
      <c r="AA11" s="2039">
        <v>0</v>
      </c>
      <c r="AB11" s="2039">
        <v>0</v>
      </c>
      <c r="AC11" s="2039">
        <v>0</v>
      </c>
      <c r="AD11" s="2039">
        <v>0</v>
      </c>
      <c r="AE11" s="2039">
        <v>0</v>
      </c>
      <c r="AF11" s="2039">
        <v>0</v>
      </c>
      <c r="AG11" s="2039">
        <v>0</v>
      </c>
      <c r="AH11" s="2039">
        <v>0</v>
      </c>
      <c r="AI11" s="2039">
        <v>0</v>
      </c>
      <c r="AJ11" s="2039">
        <v>0</v>
      </c>
      <c r="AK11" s="2039">
        <v>0</v>
      </c>
      <c r="AL11" s="2039">
        <v>0</v>
      </c>
      <c r="AM11" s="2039">
        <v>0</v>
      </c>
      <c r="AN11" s="2039">
        <v>0</v>
      </c>
      <c r="AO11" s="2039">
        <v>0</v>
      </c>
      <c r="AP11" s="2039">
        <v>0</v>
      </c>
      <c r="AQ11" s="2039">
        <v>0</v>
      </c>
      <c r="AR11" s="2039">
        <v>0</v>
      </c>
      <c r="AS11" s="2039">
        <v>0</v>
      </c>
      <c r="AT11" s="2039">
        <v>0</v>
      </c>
      <c r="AU11" s="2039">
        <v>0</v>
      </c>
      <c r="AV11" s="2039">
        <v>0</v>
      </c>
      <c r="AW11" s="2039">
        <v>0</v>
      </c>
      <c r="AX11" s="2039">
        <v>0</v>
      </c>
      <c r="AY11" s="2039">
        <v>0</v>
      </c>
      <c r="AZ11" s="2039">
        <v>0</v>
      </c>
      <c r="BA11" s="2039">
        <v>0</v>
      </c>
      <c r="BB11" s="2039">
        <v>0</v>
      </c>
      <c r="BC11" s="2039">
        <v>0</v>
      </c>
      <c r="BD11" s="2039">
        <v>0</v>
      </c>
      <c r="BE11" s="2039">
        <v>0</v>
      </c>
      <c r="BF11" s="2039">
        <v>0</v>
      </c>
      <c r="BG11" s="2039">
        <v>0</v>
      </c>
      <c r="BH11" s="2039">
        <v>0</v>
      </c>
    </row>
    <row r="12" spans="1:84">
      <c r="A12" s="1652">
        <v>1</v>
      </c>
      <c r="B12" s="1652">
        <v>4</v>
      </c>
      <c r="C12" s="1681" t="s">
        <v>516</v>
      </c>
      <c r="D12" s="2003">
        <v>211</v>
      </c>
      <c r="E12" s="694"/>
      <c r="F12" s="694"/>
      <c r="G12" s="694"/>
      <c r="H12" s="694"/>
      <c r="I12" s="694"/>
      <c r="J12" s="694"/>
      <c r="K12" s="694"/>
      <c r="L12" s="694"/>
      <c r="M12" s="694"/>
      <c r="N12" s="694"/>
      <c r="O12" s="694"/>
      <c r="P12" s="694"/>
      <c r="Q12" s="694"/>
      <c r="R12" s="694"/>
      <c r="S12" s="694"/>
      <c r="T12" s="694"/>
      <c r="U12" s="694"/>
      <c r="V12" s="694"/>
      <c r="W12" s="694"/>
      <c r="X12" s="694"/>
      <c r="Y12" s="694"/>
      <c r="Z12" s="694"/>
      <c r="AA12" s="694"/>
      <c r="AB12" s="694"/>
      <c r="AC12" s="694"/>
      <c r="AD12" s="694"/>
      <c r="AE12" s="694"/>
      <c r="AF12" s="694"/>
      <c r="AG12" s="694"/>
      <c r="AH12" s="694"/>
      <c r="AI12" s="694"/>
      <c r="AJ12" s="694"/>
      <c r="AK12" s="694"/>
      <c r="AL12" s="694"/>
      <c r="AM12" s="694"/>
      <c r="AN12" s="694"/>
      <c r="AO12" s="694"/>
      <c r="AP12" s="694"/>
      <c r="AQ12" s="694"/>
      <c r="AR12" s="694"/>
      <c r="AS12" s="694"/>
      <c r="AT12" s="694"/>
      <c r="AU12" s="694"/>
      <c r="AV12" s="694"/>
      <c r="AW12" s="694"/>
      <c r="AX12" s="694"/>
      <c r="AY12" s="694"/>
      <c r="AZ12" s="694"/>
      <c r="BA12" s="694"/>
      <c r="BB12" s="694"/>
      <c r="BC12" s="694"/>
      <c r="BD12" s="694"/>
      <c r="BE12" s="694"/>
      <c r="BF12" s="694"/>
      <c r="BG12" s="694"/>
      <c r="BH12" s="694"/>
    </row>
    <row r="13" spans="1:84" ht="25.5">
      <c r="A13" s="1652">
        <v>2</v>
      </c>
      <c r="B13" s="1652">
        <v>4</v>
      </c>
      <c r="C13" s="1681" t="s">
        <v>517</v>
      </c>
      <c r="D13" s="2003">
        <v>221</v>
      </c>
      <c r="E13" s="694"/>
      <c r="F13" s="694"/>
      <c r="G13" s="694"/>
      <c r="H13" s="694"/>
      <c r="I13" s="694"/>
      <c r="J13" s="694"/>
      <c r="K13" s="694"/>
      <c r="L13" s="694"/>
      <c r="M13" s="694"/>
      <c r="N13" s="694"/>
      <c r="O13" s="694"/>
      <c r="P13" s="694"/>
      <c r="Q13" s="694"/>
      <c r="R13" s="694"/>
      <c r="S13" s="694"/>
      <c r="T13" s="694"/>
      <c r="U13" s="694"/>
      <c r="V13" s="694"/>
      <c r="W13" s="694"/>
      <c r="X13" s="694"/>
      <c r="Y13" s="694"/>
      <c r="Z13" s="694"/>
      <c r="AA13" s="694"/>
      <c r="AB13" s="694"/>
      <c r="AC13" s="694"/>
      <c r="AD13" s="694"/>
      <c r="AE13" s="694"/>
      <c r="AF13" s="694"/>
      <c r="AG13" s="694"/>
      <c r="AH13" s="694"/>
      <c r="AI13" s="694"/>
      <c r="AJ13" s="694"/>
      <c r="AK13" s="694"/>
      <c r="AL13" s="694"/>
      <c r="AM13" s="694"/>
      <c r="AN13" s="694"/>
      <c r="AO13" s="694"/>
      <c r="AP13" s="694"/>
      <c r="AQ13" s="694"/>
      <c r="AR13" s="694"/>
      <c r="AS13" s="694"/>
      <c r="AT13" s="694"/>
      <c r="AU13" s="694"/>
      <c r="AV13" s="694"/>
      <c r="AW13" s="694"/>
      <c r="AX13" s="694"/>
      <c r="AY13" s="694"/>
      <c r="AZ13" s="694"/>
      <c r="BA13" s="694"/>
      <c r="BB13" s="694"/>
      <c r="BC13" s="694"/>
      <c r="BD13" s="694"/>
      <c r="BE13" s="694"/>
      <c r="BF13" s="694"/>
      <c r="BG13" s="694"/>
      <c r="BH13" s="694"/>
    </row>
    <row r="14" spans="1:84">
      <c r="A14" s="1652">
        <v>3</v>
      </c>
      <c r="B14" s="1652">
        <v>4</v>
      </c>
      <c r="C14" s="1681" t="s">
        <v>518</v>
      </c>
      <c r="D14" s="2003">
        <v>231</v>
      </c>
      <c r="E14" s="694"/>
      <c r="F14" s="694"/>
      <c r="G14" s="694"/>
      <c r="H14" s="694"/>
      <c r="I14" s="694"/>
      <c r="J14" s="694"/>
      <c r="K14" s="694"/>
      <c r="L14" s="694"/>
      <c r="M14" s="694"/>
      <c r="N14" s="694"/>
      <c r="O14" s="694"/>
      <c r="P14" s="694"/>
      <c r="Q14" s="694"/>
      <c r="R14" s="694"/>
      <c r="S14" s="694"/>
      <c r="T14" s="694"/>
      <c r="U14" s="694"/>
      <c r="V14" s="694"/>
      <c r="W14" s="694"/>
      <c r="X14" s="694"/>
      <c r="Y14" s="694"/>
      <c r="Z14" s="694"/>
      <c r="AA14" s="694"/>
      <c r="AB14" s="694"/>
      <c r="AC14" s="694"/>
      <c r="AD14" s="694"/>
      <c r="AE14" s="694"/>
      <c r="AF14" s="694"/>
      <c r="AG14" s="694"/>
      <c r="AH14" s="694"/>
      <c r="AI14" s="694"/>
      <c r="AJ14" s="694"/>
      <c r="AK14" s="694"/>
      <c r="AL14" s="694"/>
      <c r="AM14" s="694"/>
      <c r="AN14" s="694"/>
      <c r="AO14" s="694"/>
      <c r="AP14" s="694"/>
      <c r="AQ14" s="694"/>
      <c r="AR14" s="694"/>
      <c r="AS14" s="694"/>
      <c r="AT14" s="694"/>
      <c r="AU14" s="694"/>
      <c r="AV14" s="694"/>
      <c r="AW14" s="694"/>
      <c r="AX14" s="694"/>
      <c r="AY14" s="694"/>
      <c r="AZ14" s="694"/>
      <c r="BA14" s="694"/>
      <c r="BB14" s="694"/>
      <c r="BC14" s="694"/>
      <c r="BD14" s="694"/>
      <c r="BE14" s="694"/>
      <c r="BF14" s="694"/>
      <c r="BG14" s="694"/>
      <c r="BH14" s="694"/>
    </row>
    <row r="15" spans="1:84">
      <c r="A15" s="1652">
        <v>4</v>
      </c>
      <c r="B15" s="1652">
        <v>4</v>
      </c>
      <c r="C15" s="1681" t="s">
        <v>519</v>
      </c>
      <c r="D15" s="2003">
        <v>241</v>
      </c>
      <c r="E15" s="694"/>
      <c r="F15" s="694"/>
      <c r="G15" s="694"/>
      <c r="H15" s="694"/>
      <c r="I15" s="694"/>
      <c r="J15" s="694"/>
      <c r="K15" s="694"/>
      <c r="L15" s="694"/>
      <c r="M15" s="694"/>
      <c r="N15" s="694"/>
      <c r="O15" s="694"/>
      <c r="P15" s="694"/>
      <c r="Q15" s="694"/>
      <c r="R15" s="694"/>
      <c r="S15" s="694"/>
      <c r="T15" s="694"/>
      <c r="U15" s="694"/>
      <c r="V15" s="694"/>
      <c r="W15" s="694"/>
      <c r="X15" s="694"/>
      <c r="Y15" s="694"/>
      <c r="Z15" s="694"/>
      <c r="AA15" s="694"/>
      <c r="AB15" s="694"/>
      <c r="AC15" s="694"/>
      <c r="AD15" s="694"/>
      <c r="AE15" s="694"/>
      <c r="AF15" s="694"/>
      <c r="AG15" s="694"/>
      <c r="AH15" s="694"/>
      <c r="AI15" s="694"/>
      <c r="AJ15" s="694"/>
      <c r="AK15" s="694"/>
      <c r="AL15" s="694"/>
      <c r="AM15" s="694"/>
      <c r="AN15" s="694"/>
      <c r="AO15" s="694"/>
      <c r="AP15" s="694"/>
      <c r="AQ15" s="694"/>
      <c r="AR15" s="694"/>
      <c r="AS15" s="694"/>
      <c r="AT15" s="694"/>
      <c r="AU15" s="694"/>
      <c r="AV15" s="694"/>
      <c r="AW15" s="694"/>
      <c r="AX15" s="694"/>
      <c r="AY15" s="694"/>
      <c r="AZ15" s="694"/>
      <c r="BA15" s="694"/>
      <c r="BB15" s="694"/>
      <c r="BC15" s="694"/>
      <c r="BD15" s="694"/>
      <c r="BE15" s="694"/>
      <c r="BF15" s="694"/>
      <c r="BG15" s="694"/>
      <c r="BH15" s="694"/>
    </row>
    <row r="16" spans="1:84">
      <c r="A16" s="1652">
        <v>5</v>
      </c>
      <c r="B16" s="1652">
        <v>4</v>
      </c>
      <c r="C16" s="1681" t="s">
        <v>520</v>
      </c>
      <c r="D16" s="2003">
        <v>251</v>
      </c>
      <c r="E16" s="694"/>
      <c r="F16" s="694"/>
      <c r="G16" s="694"/>
      <c r="H16" s="694"/>
      <c r="I16" s="694"/>
      <c r="J16" s="694"/>
      <c r="K16" s="694"/>
      <c r="L16" s="694"/>
      <c r="M16" s="694"/>
      <c r="N16" s="694"/>
      <c r="O16" s="694"/>
      <c r="P16" s="694"/>
      <c r="Q16" s="694"/>
      <c r="R16" s="694"/>
      <c r="S16" s="694"/>
      <c r="T16" s="694"/>
      <c r="U16" s="694"/>
      <c r="V16" s="694"/>
      <c r="W16" s="694"/>
      <c r="X16" s="694"/>
      <c r="Y16" s="694"/>
      <c r="Z16" s="694"/>
      <c r="AA16" s="694"/>
      <c r="AB16" s="694"/>
      <c r="AC16" s="694"/>
      <c r="AD16" s="694"/>
      <c r="AE16" s="694"/>
      <c r="AF16" s="694"/>
      <c r="AG16" s="694"/>
      <c r="AH16" s="694"/>
      <c r="AI16" s="694"/>
      <c r="AJ16" s="694"/>
      <c r="AK16" s="694"/>
      <c r="AL16" s="694"/>
      <c r="AM16" s="694"/>
      <c r="AN16" s="694"/>
      <c r="AO16" s="694"/>
      <c r="AP16" s="694"/>
      <c r="AQ16" s="694"/>
      <c r="AR16" s="694"/>
      <c r="AS16" s="694"/>
      <c r="AT16" s="694"/>
      <c r="AU16" s="694"/>
      <c r="AV16" s="694"/>
      <c r="AW16" s="694"/>
      <c r="AX16" s="694"/>
      <c r="AY16" s="694"/>
      <c r="AZ16" s="694"/>
      <c r="BA16" s="694"/>
      <c r="BB16" s="694"/>
      <c r="BC16" s="694"/>
      <c r="BD16" s="694"/>
      <c r="BE16" s="694"/>
      <c r="BF16" s="694"/>
      <c r="BG16" s="694"/>
      <c r="BH16" s="694"/>
    </row>
    <row r="17" spans="1:60">
      <c r="A17" s="1652">
        <v>6</v>
      </c>
      <c r="B17" s="1652">
        <v>4</v>
      </c>
      <c r="C17" s="1681" t="s">
        <v>521</v>
      </c>
      <c r="D17" s="2003">
        <v>261</v>
      </c>
      <c r="E17" s="694"/>
      <c r="F17" s="694"/>
      <c r="G17" s="694"/>
      <c r="H17" s="694"/>
      <c r="I17" s="694"/>
      <c r="J17" s="694"/>
      <c r="K17" s="694"/>
      <c r="L17" s="694"/>
      <c r="M17" s="694"/>
      <c r="N17" s="694"/>
      <c r="O17" s="694"/>
      <c r="P17" s="694"/>
      <c r="Q17" s="694"/>
      <c r="R17" s="694"/>
      <c r="S17" s="694"/>
      <c r="T17" s="694"/>
      <c r="U17" s="694"/>
      <c r="V17" s="694"/>
      <c r="W17" s="694"/>
      <c r="X17" s="694"/>
      <c r="Y17" s="694"/>
      <c r="Z17" s="694"/>
      <c r="AA17" s="694"/>
      <c r="AB17" s="694"/>
      <c r="AC17" s="694"/>
      <c r="AD17" s="694"/>
      <c r="AE17" s="694"/>
      <c r="AF17" s="694"/>
      <c r="AG17" s="694"/>
      <c r="AH17" s="694"/>
      <c r="AI17" s="694"/>
      <c r="AJ17" s="694"/>
      <c r="AK17" s="694"/>
      <c r="AL17" s="694"/>
      <c r="AM17" s="694"/>
      <c r="AN17" s="694"/>
      <c r="AO17" s="694"/>
      <c r="AP17" s="694"/>
      <c r="AQ17" s="694"/>
      <c r="AR17" s="694"/>
      <c r="AS17" s="694"/>
      <c r="AT17" s="694"/>
      <c r="AU17" s="694"/>
      <c r="AV17" s="694"/>
      <c r="AW17" s="694"/>
      <c r="AX17" s="694"/>
      <c r="AY17" s="694"/>
      <c r="AZ17" s="694"/>
      <c r="BA17" s="694"/>
      <c r="BB17" s="694"/>
      <c r="BC17" s="694"/>
      <c r="BD17" s="694"/>
      <c r="BE17" s="694"/>
      <c r="BF17" s="694"/>
      <c r="BG17" s="694"/>
      <c r="BH17" s="694"/>
    </row>
    <row r="18" spans="1:60">
      <c r="A18" s="1652">
        <v>7</v>
      </c>
      <c r="B18" s="1652">
        <v>4</v>
      </c>
      <c r="C18" s="1681" t="s">
        <v>522</v>
      </c>
      <c r="D18" s="2003">
        <v>271</v>
      </c>
      <c r="E18" s="2039"/>
      <c r="F18" s="2039"/>
      <c r="G18" s="2039"/>
      <c r="H18" s="2039"/>
      <c r="I18" s="2039"/>
      <c r="J18" s="2039"/>
      <c r="K18" s="2039"/>
      <c r="L18" s="2039"/>
      <c r="M18" s="2039"/>
      <c r="N18" s="2039"/>
      <c r="O18" s="2039"/>
      <c r="P18" s="2039"/>
      <c r="Q18" s="2039"/>
      <c r="R18" s="2039"/>
      <c r="S18" s="2039"/>
      <c r="T18" s="2039"/>
      <c r="U18" s="2039"/>
      <c r="V18" s="2039"/>
      <c r="W18" s="2039"/>
      <c r="X18" s="2039"/>
      <c r="Y18" s="2039"/>
      <c r="Z18" s="2039"/>
      <c r="AA18" s="2039"/>
      <c r="AB18" s="2039"/>
      <c r="AC18" s="2039"/>
      <c r="AD18" s="2039"/>
      <c r="AE18" s="2039"/>
      <c r="AF18" s="2039"/>
      <c r="AG18" s="2039"/>
      <c r="AH18" s="2039"/>
      <c r="AI18" s="2039"/>
      <c r="AJ18" s="2039"/>
      <c r="AK18" s="2039"/>
      <c r="AL18" s="2039"/>
      <c r="AM18" s="2039"/>
      <c r="AN18" s="2039"/>
      <c r="AO18" s="2039"/>
      <c r="AP18" s="2039"/>
      <c r="AQ18" s="2039"/>
      <c r="AR18" s="2039"/>
      <c r="AS18" s="2039"/>
      <c r="AT18" s="2039"/>
      <c r="AU18" s="2039"/>
      <c r="AV18" s="2039"/>
      <c r="AW18" s="2039"/>
      <c r="AX18" s="2039"/>
      <c r="AY18" s="2039"/>
      <c r="AZ18" s="2039"/>
      <c r="BA18" s="2039"/>
      <c r="BB18" s="2039"/>
      <c r="BC18" s="2039"/>
      <c r="BD18" s="2039"/>
      <c r="BE18" s="2039"/>
      <c r="BF18" s="2039"/>
      <c r="BG18" s="2039"/>
      <c r="BH18" s="2039"/>
    </row>
    <row r="19" spans="1:60" ht="38.25">
      <c r="A19" s="1652">
        <v>9</v>
      </c>
      <c r="B19" s="1652">
        <v>3</v>
      </c>
      <c r="C19" s="1679" t="s">
        <v>523</v>
      </c>
      <c r="D19" s="1680">
        <v>300</v>
      </c>
      <c r="E19" s="2039">
        <v>0</v>
      </c>
      <c r="F19" s="2039">
        <v>0</v>
      </c>
      <c r="G19" s="2039">
        <v>0</v>
      </c>
      <c r="H19" s="2039">
        <v>0</v>
      </c>
      <c r="I19" s="2039">
        <v>0</v>
      </c>
      <c r="J19" s="2039">
        <v>0</v>
      </c>
      <c r="K19" s="2039">
        <v>0</v>
      </c>
      <c r="L19" s="2039">
        <v>0</v>
      </c>
      <c r="M19" s="2039">
        <v>0</v>
      </c>
      <c r="N19" s="2039">
        <v>0</v>
      </c>
      <c r="O19" s="2039">
        <v>0</v>
      </c>
      <c r="P19" s="2039">
        <v>0</v>
      </c>
      <c r="Q19" s="2039">
        <v>0</v>
      </c>
      <c r="R19" s="2039">
        <v>0</v>
      </c>
      <c r="S19" s="2039">
        <v>0</v>
      </c>
      <c r="T19" s="2039">
        <v>0</v>
      </c>
      <c r="U19" s="2039">
        <v>0</v>
      </c>
      <c r="V19" s="2039">
        <v>0</v>
      </c>
      <c r="W19" s="2039">
        <v>0</v>
      </c>
      <c r="X19" s="2039">
        <v>0</v>
      </c>
      <c r="Y19" s="2039">
        <v>0</v>
      </c>
      <c r="Z19" s="2039">
        <v>0</v>
      </c>
      <c r="AA19" s="2039">
        <v>0</v>
      </c>
      <c r="AB19" s="2039">
        <v>0</v>
      </c>
      <c r="AC19" s="2039">
        <v>0</v>
      </c>
      <c r="AD19" s="2039">
        <v>0</v>
      </c>
      <c r="AE19" s="2039">
        <v>0</v>
      </c>
      <c r="AF19" s="2039">
        <v>0</v>
      </c>
      <c r="AG19" s="2039">
        <v>0</v>
      </c>
      <c r="AH19" s="2039">
        <v>0</v>
      </c>
      <c r="AI19" s="2039">
        <v>0</v>
      </c>
      <c r="AJ19" s="2039">
        <v>0</v>
      </c>
      <c r="AK19" s="2039">
        <v>0</v>
      </c>
      <c r="AL19" s="2039">
        <v>0</v>
      </c>
      <c r="AM19" s="2039">
        <v>0</v>
      </c>
      <c r="AN19" s="2039">
        <v>0</v>
      </c>
      <c r="AO19" s="2039">
        <v>0</v>
      </c>
      <c r="AP19" s="2039">
        <v>0</v>
      </c>
      <c r="AQ19" s="2039">
        <v>0</v>
      </c>
      <c r="AR19" s="2039">
        <v>0</v>
      </c>
      <c r="AS19" s="2039">
        <v>0</v>
      </c>
      <c r="AT19" s="2039">
        <v>0</v>
      </c>
      <c r="AU19" s="2039">
        <v>0</v>
      </c>
      <c r="AV19" s="2039">
        <v>0</v>
      </c>
      <c r="AW19" s="2039">
        <v>0</v>
      </c>
      <c r="AX19" s="2039">
        <v>0</v>
      </c>
      <c r="AY19" s="2039">
        <v>0</v>
      </c>
      <c r="AZ19" s="2039">
        <v>0</v>
      </c>
      <c r="BA19" s="2039">
        <v>0</v>
      </c>
      <c r="BB19" s="2039">
        <v>0</v>
      </c>
      <c r="BC19" s="2039">
        <v>0</v>
      </c>
      <c r="BD19" s="2039">
        <v>0</v>
      </c>
      <c r="BE19" s="2039">
        <v>0</v>
      </c>
      <c r="BF19" s="2039">
        <v>0</v>
      </c>
      <c r="BG19" s="2039">
        <v>0</v>
      </c>
      <c r="BH19" s="2039">
        <v>0</v>
      </c>
    </row>
    <row r="20" spans="1:60">
      <c r="A20" s="1652">
        <v>1</v>
      </c>
      <c r="B20" s="1652">
        <v>3</v>
      </c>
      <c r="C20" s="1681" t="s">
        <v>516</v>
      </c>
      <c r="D20" s="2003">
        <v>311</v>
      </c>
      <c r="E20" s="701"/>
      <c r="F20" s="701"/>
      <c r="G20" s="701"/>
      <c r="H20" s="701"/>
      <c r="I20" s="701"/>
      <c r="J20" s="701"/>
      <c r="K20" s="701"/>
      <c r="L20" s="701"/>
      <c r="M20" s="701"/>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c r="AL20" s="701"/>
      <c r="AM20" s="701"/>
      <c r="AN20" s="701"/>
      <c r="AO20" s="701"/>
      <c r="AP20" s="701"/>
      <c r="AQ20" s="701"/>
      <c r="AR20" s="701"/>
      <c r="AS20" s="701"/>
      <c r="AT20" s="701"/>
      <c r="AU20" s="701"/>
      <c r="AV20" s="701"/>
      <c r="AW20" s="701"/>
      <c r="AX20" s="701"/>
      <c r="AY20" s="701"/>
      <c r="AZ20" s="701"/>
      <c r="BA20" s="701"/>
      <c r="BB20" s="701"/>
      <c r="BC20" s="701"/>
      <c r="BD20" s="701"/>
      <c r="BE20" s="701"/>
      <c r="BF20" s="701"/>
      <c r="BG20" s="701"/>
      <c r="BH20" s="701"/>
    </row>
    <row r="21" spans="1:60" ht="25.5">
      <c r="A21" s="1652">
        <v>2</v>
      </c>
      <c r="B21" s="1652">
        <v>3</v>
      </c>
      <c r="C21" s="1681" t="s">
        <v>517</v>
      </c>
      <c r="D21" s="2003">
        <v>321</v>
      </c>
      <c r="E21" s="717"/>
      <c r="F21" s="717"/>
      <c r="G21" s="717"/>
      <c r="H21" s="717"/>
      <c r="I21" s="717"/>
      <c r="J21" s="717"/>
      <c r="K21" s="717"/>
      <c r="L21" s="717"/>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717"/>
      <c r="AP21" s="717"/>
      <c r="AQ21" s="717"/>
      <c r="AR21" s="717"/>
      <c r="AS21" s="717"/>
      <c r="AT21" s="717"/>
      <c r="AU21" s="717"/>
      <c r="AV21" s="717"/>
      <c r="AW21" s="717"/>
      <c r="AX21" s="717"/>
      <c r="AY21" s="717"/>
      <c r="AZ21" s="717"/>
      <c r="BA21" s="717"/>
      <c r="BB21" s="717"/>
      <c r="BC21" s="717"/>
      <c r="BD21" s="717"/>
      <c r="BE21" s="717"/>
      <c r="BF21" s="717"/>
      <c r="BG21" s="717"/>
      <c r="BH21" s="717"/>
    </row>
    <row r="22" spans="1:60">
      <c r="A22" s="1652">
        <v>3</v>
      </c>
      <c r="B22" s="1652">
        <v>3</v>
      </c>
      <c r="C22" s="1681" t="s">
        <v>518</v>
      </c>
      <c r="D22" s="2003">
        <v>331</v>
      </c>
      <c r="E22" s="717"/>
      <c r="F22" s="717"/>
      <c r="G22" s="717"/>
      <c r="H22" s="717"/>
      <c r="I22" s="717"/>
      <c r="J22" s="717"/>
      <c r="K22" s="717"/>
      <c r="L22" s="717"/>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717"/>
      <c r="AP22" s="717"/>
      <c r="AQ22" s="717"/>
      <c r="AR22" s="717"/>
      <c r="AS22" s="717"/>
      <c r="AT22" s="717"/>
      <c r="AU22" s="717"/>
      <c r="AV22" s="717"/>
      <c r="AW22" s="717"/>
      <c r="AX22" s="717"/>
      <c r="AY22" s="717"/>
      <c r="AZ22" s="717"/>
      <c r="BA22" s="717"/>
      <c r="BB22" s="717"/>
      <c r="BC22" s="717"/>
      <c r="BD22" s="717"/>
      <c r="BE22" s="717"/>
      <c r="BF22" s="717"/>
      <c r="BG22" s="717"/>
      <c r="BH22" s="717"/>
    </row>
    <row r="23" spans="1:60">
      <c r="A23" s="1652">
        <v>4</v>
      </c>
      <c r="B23" s="1652">
        <v>3</v>
      </c>
      <c r="C23" s="1681" t="s">
        <v>519</v>
      </c>
      <c r="D23" s="2003">
        <v>341</v>
      </c>
      <c r="E23" s="717"/>
      <c r="F23" s="717"/>
      <c r="G23" s="717"/>
      <c r="H23" s="717"/>
      <c r="I23" s="717"/>
      <c r="J23" s="717"/>
      <c r="K23" s="717"/>
      <c r="L23" s="717"/>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717"/>
      <c r="AP23" s="717"/>
      <c r="AQ23" s="717"/>
      <c r="AR23" s="717"/>
      <c r="AS23" s="717"/>
      <c r="AT23" s="717"/>
      <c r="AU23" s="717"/>
      <c r="AV23" s="717"/>
      <c r="AW23" s="717"/>
      <c r="AX23" s="717"/>
      <c r="AY23" s="717"/>
      <c r="AZ23" s="717"/>
      <c r="BA23" s="717"/>
      <c r="BB23" s="717"/>
      <c r="BC23" s="717"/>
      <c r="BD23" s="717"/>
      <c r="BE23" s="717"/>
      <c r="BF23" s="717"/>
      <c r="BG23" s="717"/>
      <c r="BH23" s="717"/>
    </row>
    <row r="24" spans="1:60">
      <c r="A24" s="1652">
        <v>5</v>
      </c>
      <c r="B24" s="1652">
        <v>3</v>
      </c>
      <c r="C24" s="1681" t="s">
        <v>520</v>
      </c>
      <c r="D24" s="2003">
        <v>351</v>
      </c>
      <c r="E24" s="717"/>
      <c r="F24" s="717"/>
      <c r="G24" s="717"/>
      <c r="H24" s="717"/>
      <c r="I24" s="717"/>
      <c r="J24" s="717"/>
      <c r="K24" s="717"/>
      <c r="L24" s="717"/>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c r="AT24" s="717"/>
      <c r="AU24" s="717"/>
      <c r="AV24" s="717"/>
      <c r="AW24" s="717"/>
      <c r="AX24" s="717"/>
      <c r="AY24" s="717"/>
      <c r="AZ24" s="717"/>
      <c r="BA24" s="717"/>
      <c r="BB24" s="717"/>
      <c r="BC24" s="717"/>
      <c r="BD24" s="717"/>
      <c r="BE24" s="717"/>
      <c r="BF24" s="717"/>
      <c r="BG24" s="717"/>
      <c r="BH24" s="717"/>
    </row>
    <row r="25" spans="1:60">
      <c r="A25" s="1652">
        <v>6</v>
      </c>
      <c r="B25" s="1652">
        <v>3</v>
      </c>
      <c r="C25" s="1681" t="s">
        <v>521</v>
      </c>
      <c r="D25" s="2003">
        <v>361</v>
      </c>
      <c r="E25" s="717"/>
      <c r="F25" s="717"/>
      <c r="G25" s="717"/>
      <c r="H25" s="717"/>
      <c r="I25" s="717"/>
      <c r="J25" s="717"/>
      <c r="K25" s="717"/>
      <c r="L25" s="717"/>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717"/>
      <c r="AP25" s="717"/>
      <c r="AQ25" s="717"/>
      <c r="AR25" s="717"/>
      <c r="AS25" s="717"/>
      <c r="AT25" s="717"/>
      <c r="AU25" s="717"/>
      <c r="AV25" s="717"/>
      <c r="AW25" s="717"/>
      <c r="AX25" s="717"/>
      <c r="AY25" s="717"/>
      <c r="AZ25" s="717"/>
      <c r="BA25" s="717"/>
      <c r="BB25" s="717"/>
      <c r="BC25" s="717"/>
      <c r="BD25" s="717"/>
      <c r="BE25" s="717"/>
      <c r="BF25" s="717"/>
      <c r="BG25" s="717"/>
      <c r="BH25" s="717"/>
    </row>
    <row r="26" spans="1:60">
      <c r="A26" s="1652">
        <v>7</v>
      </c>
      <c r="B26" s="1652">
        <v>3</v>
      </c>
      <c r="C26" s="1681" t="s">
        <v>522</v>
      </c>
      <c r="D26" s="2003">
        <v>371</v>
      </c>
      <c r="E26" s="2039"/>
      <c r="F26" s="2039"/>
      <c r="G26" s="2039"/>
      <c r="H26" s="2039"/>
      <c r="I26" s="2039"/>
      <c r="J26" s="2039"/>
      <c r="K26" s="2039"/>
      <c r="L26" s="2039"/>
      <c r="M26" s="2039"/>
      <c r="N26" s="2039"/>
      <c r="O26" s="2039"/>
      <c r="P26" s="2039"/>
      <c r="Q26" s="2039"/>
      <c r="R26" s="2039"/>
      <c r="S26" s="2039"/>
      <c r="T26" s="2039"/>
      <c r="U26" s="2039"/>
      <c r="V26" s="2039"/>
      <c r="W26" s="2039"/>
      <c r="X26" s="2039"/>
      <c r="Y26" s="2039"/>
      <c r="Z26" s="2039"/>
      <c r="AA26" s="2039"/>
      <c r="AB26" s="2039"/>
      <c r="AC26" s="2039"/>
      <c r="AD26" s="2039"/>
      <c r="AE26" s="2039"/>
      <c r="AF26" s="2039"/>
      <c r="AG26" s="2039"/>
      <c r="AH26" s="2039"/>
      <c r="AI26" s="2039"/>
      <c r="AJ26" s="2039"/>
      <c r="AK26" s="2039"/>
      <c r="AL26" s="2039"/>
      <c r="AM26" s="2039"/>
      <c r="AN26" s="2039"/>
      <c r="AO26" s="2039"/>
      <c r="AP26" s="2039"/>
      <c r="AQ26" s="2039"/>
      <c r="AR26" s="2039"/>
      <c r="AS26" s="2039"/>
      <c r="AT26" s="2039"/>
      <c r="AU26" s="2039"/>
      <c r="AV26" s="2039"/>
      <c r="AW26" s="2039"/>
      <c r="AX26" s="2039"/>
      <c r="AY26" s="2039"/>
      <c r="AZ26" s="2039"/>
      <c r="BA26" s="2039"/>
      <c r="BB26" s="2039"/>
      <c r="BC26" s="2039"/>
      <c r="BD26" s="2039"/>
      <c r="BE26" s="2039"/>
      <c r="BF26" s="2039"/>
      <c r="BG26" s="2039"/>
      <c r="BH26" s="2039"/>
    </row>
    <row r="27" spans="1:60" ht="38.25">
      <c r="A27" s="1652">
        <v>8</v>
      </c>
      <c r="B27" s="1652">
        <v>3</v>
      </c>
      <c r="C27" s="1681" t="s">
        <v>1980</v>
      </c>
      <c r="D27" s="2003">
        <v>381</v>
      </c>
      <c r="E27" s="717"/>
      <c r="F27" s="717"/>
      <c r="G27" s="717"/>
      <c r="H27" s="717"/>
      <c r="I27" s="717"/>
      <c r="J27" s="717"/>
      <c r="K27" s="717"/>
      <c r="L27" s="717"/>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717"/>
      <c r="AP27" s="717"/>
      <c r="AQ27" s="717"/>
      <c r="AR27" s="717"/>
      <c r="AS27" s="717"/>
      <c r="AT27" s="717"/>
      <c r="AU27" s="717"/>
      <c r="AV27" s="717"/>
      <c r="AW27" s="717"/>
      <c r="AX27" s="717"/>
      <c r="AY27" s="717"/>
      <c r="AZ27" s="717"/>
      <c r="BA27" s="717"/>
      <c r="BB27" s="717"/>
      <c r="BC27" s="717"/>
      <c r="BD27" s="717"/>
      <c r="BE27" s="717"/>
      <c r="BF27" s="717"/>
      <c r="BG27" s="717"/>
      <c r="BH27" s="717"/>
    </row>
    <row r="28" spans="1:60" ht="38.25">
      <c r="A28" s="1652">
        <v>9</v>
      </c>
      <c r="B28" s="1652">
        <v>5</v>
      </c>
      <c r="C28" s="1679" t="s">
        <v>1981</v>
      </c>
      <c r="D28" s="1680">
        <v>400</v>
      </c>
      <c r="E28" s="2039">
        <v>0</v>
      </c>
      <c r="F28" s="2039">
        <v>0</v>
      </c>
      <c r="G28" s="2039">
        <v>0</v>
      </c>
      <c r="H28" s="2039">
        <v>0</v>
      </c>
      <c r="I28" s="2039">
        <v>0</v>
      </c>
      <c r="J28" s="2039">
        <v>0</v>
      </c>
      <c r="K28" s="2039">
        <v>0</v>
      </c>
      <c r="L28" s="2039">
        <v>0</v>
      </c>
      <c r="M28" s="2039">
        <v>0</v>
      </c>
      <c r="N28" s="2039">
        <v>0</v>
      </c>
      <c r="O28" s="2039">
        <v>0</v>
      </c>
      <c r="P28" s="2039">
        <v>0</v>
      </c>
      <c r="Q28" s="2039">
        <v>0</v>
      </c>
      <c r="R28" s="2039">
        <v>0</v>
      </c>
      <c r="S28" s="2039">
        <v>0</v>
      </c>
      <c r="T28" s="2039">
        <v>0</v>
      </c>
      <c r="U28" s="2039">
        <v>0</v>
      </c>
      <c r="V28" s="2039">
        <v>0</v>
      </c>
      <c r="W28" s="2039">
        <v>0</v>
      </c>
      <c r="X28" s="2039">
        <v>0</v>
      </c>
      <c r="Y28" s="2039">
        <v>0</v>
      </c>
      <c r="Z28" s="2039">
        <v>0</v>
      </c>
      <c r="AA28" s="2039">
        <v>0</v>
      </c>
      <c r="AB28" s="2039">
        <v>0</v>
      </c>
      <c r="AC28" s="2039">
        <v>0</v>
      </c>
      <c r="AD28" s="2039">
        <v>0</v>
      </c>
      <c r="AE28" s="2039">
        <v>0</v>
      </c>
      <c r="AF28" s="2039">
        <v>0</v>
      </c>
      <c r="AG28" s="2039">
        <v>0</v>
      </c>
      <c r="AH28" s="2039">
        <v>0</v>
      </c>
      <c r="AI28" s="2039">
        <v>0</v>
      </c>
      <c r="AJ28" s="2039">
        <v>0</v>
      </c>
      <c r="AK28" s="2039">
        <v>0</v>
      </c>
      <c r="AL28" s="2039">
        <v>0</v>
      </c>
      <c r="AM28" s="2039">
        <v>0</v>
      </c>
      <c r="AN28" s="2039">
        <v>0</v>
      </c>
      <c r="AO28" s="2039">
        <v>0</v>
      </c>
      <c r="AP28" s="2039">
        <v>0</v>
      </c>
      <c r="AQ28" s="2039">
        <v>0</v>
      </c>
      <c r="AR28" s="2039">
        <v>0</v>
      </c>
      <c r="AS28" s="2039">
        <v>0</v>
      </c>
      <c r="AT28" s="2039">
        <v>0</v>
      </c>
      <c r="AU28" s="2039">
        <v>0</v>
      </c>
      <c r="AV28" s="2039">
        <v>0</v>
      </c>
      <c r="AW28" s="2039">
        <v>0</v>
      </c>
      <c r="AX28" s="2039">
        <v>0</v>
      </c>
      <c r="AY28" s="2039">
        <v>0</v>
      </c>
      <c r="AZ28" s="2039">
        <v>0</v>
      </c>
      <c r="BA28" s="2039">
        <v>0</v>
      </c>
      <c r="BB28" s="2039">
        <v>0</v>
      </c>
      <c r="BC28" s="2039">
        <v>0</v>
      </c>
      <c r="BD28" s="2039">
        <v>0</v>
      </c>
      <c r="BE28" s="2039">
        <v>0</v>
      </c>
      <c r="BF28" s="2039">
        <v>0</v>
      </c>
      <c r="BG28" s="2039">
        <v>0</v>
      </c>
      <c r="BH28" s="2039">
        <v>0</v>
      </c>
    </row>
    <row r="29" spans="1:60">
      <c r="A29" s="1652">
        <v>1</v>
      </c>
      <c r="B29" s="1652">
        <v>5</v>
      </c>
      <c r="C29" s="1681" t="s">
        <v>516</v>
      </c>
      <c r="D29" s="2003">
        <v>411</v>
      </c>
      <c r="E29" s="717"/>
      <c r="F29" s="717"/>
      <c r="G29" s="717"/>
      <c r="H29" s="717"/>
      <c r="I29" s="717"/>
      <c r="J29" s="717"/>
      <c r="K29" s="717"/>
      <c r="L29" s="717"/>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717"/>
      <c r="AP29" s="717"/>
      <c r="AQ29" s="717"/>
      <c r="AR29" s="717"/>
      <c r="AS29" s="717"/>
      <c r="AT29" s="717"/>
      <c r="AU29" s="717"/>
      <c r="AV29" s="717"/>
      <c r="AW29" s="717"/>
      <c r="AX29" s="717"/>
      <c r="AY29" s="717"/>
      <c r="AZ29" s="717"/>
      <c r="BA29" s="717"/>
      <c r="BB29" s="717"/>
      <c r="BC29" s="717"/>
      <c r="BD29" s="717"/>
      <c r="BE29" s="717"/>
      <c r="BF29" s="717"/>
      <c r="BG29" s="717"/>
      <c r="BH29" s="717"/>
    </row>
    <row r="30" spans="1:60" ht="25.5">
      <c r="A30" s="1652">
        <v>2</v>
      </c>
      <c r="B30" s="1652">
        <v>5</v>
      </c>
      <c r="C30" s="1681" t="s">
        <v>517</v>
      </c>
      <c r="D30" s="2003">
        <v>421</v>
      </c>
      <c r="E30" s="717"/>
      <c r="F30" s="717"/>
      <c r="G30" s="717"/>
      <c r="H30" s="717"/>
      <c r="I30" s="717"/>
      <c r="J30" s="717"/>
      <c r="K30" s="717"/>
      <c r="L30" s="717"/>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717"/>
      <c r="AP30" s="717"/>
      <c r="AQ30" s="717"/>
      <c r="AR30" s="717"/>
      <c r="AS30" s="717"/>
      <c r="AT30" s="717"/>
      <c r="AU30" s="717"/>
      <c r="AV30" s="717"/>
      <c r="AW30" s="717"/>
      <c r="AX30" s="717"/>
      <c r="AY30" s="717"/>
      <c r="AZ30" s="717"/>
      <c r="BA30" s="717"/>
      <c r="BB30" s="717"/>
      <c r="BC30" s="717"/>
      <c r="BD30" s="717"/>
      <c r="BE30" s="717"/>
      <c r="BF30" s="717"/>
      <c r="BG30" s="717"/>
      <c r="BH30" s="717"/>
    </row>
    <row r="31" spans="1:60">
      <c r="A31" s="1652">
        <v>3</v>
      </c>
      <c r="B31" s="1652">
        <v>5</v>
      </c>
      <c r="C31" s="1681" t="s">
        <v>518</v>
      </c>
      <c r="D31" s="2003">
        <v>431</v>
      </c>
      <c r="E31" s="717"/>
      <c r="F31" s="717"/>
      <c r="G31" s="717"/>
      <c r="H31" s="717"/>
      <c r="I31" s="717"/>
      <c r="J31" s="717"/>
      <c r="K31" s="717"/>
      <c r="L31" s="717"/>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717"/>
      <c r="AP31" s="717"/>
      <c r="AQ31" s="717"/>
      <c r="AR31" s="717"/>
      <c r="AS31" s="717"/>
      <c r="AT31" s="717"/>
      <c r="AU31" s="717"/>
      <c r="AV31" s="717"/>
      <c r="AW31" s="717"/>
      <c r="AX31" s="717"/>
      <c r="AY31" s="717"/>
      <c r="AZ31" s="717"/>
      <c r="BA31" s="717"/>
      <c r="BB31" s="717"/>
      <c r="BC31" s="717"/>
      <c r="BD31" s="717"/>
      <c r="BE31" s="717"/>
      <c r="BF31" s="717"/>
      <c r="BG31" s="717"/>
      <c r="BH31" s="717"/>
    </row>
    <row r="32" spans="1:60">
      <c r="A32" s="1652">
        <v>4</v>
      </c>
      <c r="B32" s="1652">
        <v>5</v>
      </c>
      <c r="C32" s="1681" t="s">
        <v>519</v>
      </c>
      <c r="D32" s="2003">
        <v>441</v>
      </c>
      <c r="E32" s="717"/>
      <c r="F32" s="717"/>
      <c r="G32" s="717"/>
      <c r="H32" s="717"/>
      <c r="I32" s="717"/>
      <c r="J32" s="717"/>
      <c r="K32" s="717"/>
      <c r="L32" s="717"/>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717"/>
      <c r="AP32" s="717"/>
      <c r="AQ32" s="717"/>
      <c r="AR32" s="717"/>
      <c r="AS32" s="717"/>
      <c r="AT32" s="717"/>
      <c r="AU32" s="717"/>
      <c r="AV32" s="717"/>
      <c r="AW32" s="717"/>
      <c r="AX32" s="717"/>
      <c r="AY32" s="717"/>
      <c r="AZ32" s="717"/>
      <c r="BA32" s="717"/>
      <c r="BB32" s="717"/>
      <c r="BC32" s="717"/>
      <c r="BD32" s="717"/>
      <c r="BE32" s="717"/>
      <c r="BF32" s="717"/>
      <c r="BG32" s="717"/>
      <c r="BH32" s="717"/>
    </row>
    <row r="33" spans="1:60">
      <c r="A33" s="1652">
        <v>5</v>
      </c>
      <c r="B33" s="1652">
        <v>5</v>
      </c>
      <c r="C33" s="1681" t="s">
        <v>520</v>
      </c>
      <c r="D33" s="2003">
        <v>451</v>
      </c>
      <c r="E33" s="717"/>
      <c r="F33" s="717"/>
      <c r="G33" s="717"/>
      <c r="H33" s="717"/>
      <c r="I33" s="717"/>
      <c r="J33" s="717"/>
      <c r="K33" s="717"/>
      <c r="L33" s="717"/>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717"/>
      <c r="AP33" s="717"/>
      <c r="AQ33" s="717"/>
      <c r="AR33" s="717"/>
      <c r="AS33" s="717"/>
      <c r="AT33" s="717"/>
      <c r="AU33" s="717"/>
      <c r="AV33" s="717"/>
      <c r="AW33" s="717"/>
      <c r="AX33" s="717"/>
      <c r="AY33" s="717"/>
      <c r="AZ33" s="717"/>
      <c r="BA33" s="717"/>
      <c r="BB33" s="717"/>
      <c r="BC33" s="717"/>
      <c r="BD33" s="717"/>
      <c r="BE33" s="717"/>
      <c r="BF33" s="717"/>
      <c r="BG33" s="717"/>
      <c r="BH33" s="717"/>
    </row>
    <row r="34" spans="1:60">
      <c r="A34" s="1652">
        <v>6</v>
      </c>
      <c r="B34" s="1652">
        <v>5</v>
      </c>
      <c r="C34" s="1681" t="s">
        <v>521</v>
      </c>
      <c r="D34" s="2003">
        <v>461</v>
      </c>
      <c r="E34" s="717"/>
      <c r="F34" s="717"/>
      <c r="G34" s="717"/>
      <c r="H34" s="717"/>
      <c r="I34" s="717"/>
      <c r="J34" s="717"/>
      <c r="K34" s="717"/>
      <c r="L34" s="717"/>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717"/>
      <c r="AP34" s="717"/>
      <c r="AQ34" s="717"/>
      <c r="AR34" s="717"/>
      <c r="AS34" s="717"/>
      <c r="AT34" s="717"/>
      <c r="AU34" s="717"/>
      <c r="AV34" s="717"/>
      <c r="AW34" s="717"/>
      <c r="AX34" s="717"/>
      <c r="AY34" s="717"/>
      <c r="AZ34" s="717"/>
      <c r="BA34" s="717"/>
      <c r="BB34" s="717"/>
      <c r="BC34" s="717"/>
      <c r="BD34" s="717"/>
      <c r="BE34" s="717"/>
      <c r="BF34" s="717"/>
      <c r="BG34" s="717"/>
      <c r="BH34" s="717"/>
    </row>
    <row r="35" spans="1:60">
      <c r="A35" s="1652">
        <v>7</v>
      </c>
      <c r="B35" s="1652">
        <v>5</v>
      </c>
      <c r="C35" s="1681" t="s">
        <v>522</v>
      </c>
      <c r="D35" s="2003">
        <v>471</v>
      </c>
      <c r="E35" s="2039"/>
      <c r="F35" s="2039"/>
      <c r="G35" s="2039"/>
      <c r="H35" s="2039"/>
      <c r="I35" s="2039"/>
      <c r="J35" s="2039"/>
      <c r="K35" s="2039"/>
      <c r="L35" s="2039"/>
      <c r="M35" s="2039"/>
      <c r="N35" s="2039"/>
      <c r="O35" s="2039"/>
      <c r="P35" s="2039"/>
      <c r="Q35" s="2039"/>
      <c r="R35" s="2039"/>
      <c r="S35" s="2039"/>
      <c r="T35" s="2039"/>
      <c r="U35" s="2039"/>
      <c r="V35" s="2039"/>
      <c r="W35" s="2039"/>
      <c r="X35" s="2039"/>
      <c r="Y35" s="2039"/>
      <c r="Z35" s="2039"/>
      <c r="AA35" s="2039"/>
      <c r="AB35" s="2039"/>
      <c r="AC35" s="2039"/>
      <c r="AD35" s="2039"/>
      <c r="AE35" s="2039"/>
      <c r="AF35" s="2039"/>
      <c r="AG35" s="2039"/>
      <c r="AH35" s="2039"/>
      <c r="AI35" s="2039"/>
      <c r="AJ35" s="2039"/>
      <c r="AK35" s="2039"/>
      <c r="AL35" s="2039"/>
      <c r="AM35" s="2039"/>
      <c r="AN35" s="2039"/>
      <c r="AO35" s="2039"/>
      <c r="AP35" s="2039"/>
      <c r="AQ35" s="2039"/>
      <c r="AR35" s="2039"/>
      <c r="AS35" s="2039"/>
      <c r="AT35" s="2039"/>
      <c r="AU35" s="2039"/>
      <c r="AV35" s="2039"/>
      <c r="AW35" s="2039"/>
      <c r="AX35" s="2039"/>
      <c r="AY35" s="2039"/>
      <c r="AZ35" s="2039"/>
      <c r="BA35" s="2039"/>
      <c r="BB35" s="2039"/>
      <c r="BC35" s="2039"/>
      <c r="BD35" s="2039"/>
      <c r="BE35" s="2039"/>
      <c r="BF35" s="2039"/>
      <c r="BG35" s="2039"/>
      <c r="BH35" s="2039"/>
    </row>
    <row r="36" spans="1:60" ht="38.25">
      <c r="A36" s="1652">
        <v>8</v>
      </c>
      <c r="B36" s="1652">
        <v>0</v>
      </c>
      <c r="C36" s="1679" t="s">
        <v>1982</v>
      </c>
      <c r="D36" s="1680">
        <v>500</v>
      </c>
      <c r="E36" s="2040"/>
      <c r="F36" s="2040"/>
      <c r="G36" s="2040"/>
      <c r="H36" s="2040"/>
      <c r="I36" s="2040"/>
      <c r="J36" s="2040"/>
      <c r="K36" s="2040"/>
      <c r="L36" s="2040"/>
      <c r="M36" s="2040"/>
      <c r="N36" s="2041"/>
      <c r="O36" s="2040"/>
      <c r="P36" s="2040"/>
      <c r="Q36" s="2040"/>
      <c r="R36" s="2041"/>
      <c r="S36" s="2040"/>
      <c r="T36" s="2040"/>
      <c r="U36" s="2040"/>
      <c r="V36" s="2041"/>
      <c r="W36" s="2040"/>
      <c r="X36" s="2040"/>
      <c r="Y36" s="2040"/>
      <c r="Z36" s="2041"/>
      <c r="AA36" s="2040"/>
      <c r="AB36" s="2040"/>
      <c r="AC36" s="2040"/>
      <c r="AD36" s="2041"/>
      <c r="AE36" s="2040"/>
      <c r="AF36" s="2040"/>
      <c r="AG36" s="2040"/>
      <c r="AH36" s="2041"/>
      <c r="AI36" s="2040"/>
      <c r="AJ36" s="2040"/>
      <c r="AK36" s="2040"/>
      <c r="AL36" s="2041"/>
      <c r="AM36" s="2040"/>
      <c r="AN36" s="2040"/>
      <c r="AO36" s="2040"/>
      <c r="AP36" s="2041"/>
      <c r="AQ36" s="2040"/>
      <c r="AR36" s="2040"/>
      <c r="AS36" s="2040"/>
      <c r="AT36" s="2041"/>
      <c r="AU36" s="2040"/>
      <c r="AV36" s="2040"/>
      <c r="AW36" s="2040"/>
      <c r="AX36" s="2041"/>
      <c r="AY36" s="2040"/>
      <c r="AZ36" s="2040"/>
      <c r="BA36" s="2042"/>
      <c r="BB36" s="2042"/>
      <c r="BC36" s="2042"/>
      <c r="BD36" s="2042"/>
      <c r="BE36" s="2042"/>
      <c r="BF36" s="2042"/>
      <c r="BG36" s="2042"/>
      <c r="BH36" s="2042"/>
    </row>
    <row r="37" spans="1:60" ht="76.5">
      <c r="A37" s="1652">
        <v>9</v>
      </c>
      <c r="B37" s="1652">
        <v>14</v>
      </c>
      <c r="C37" s="1679" t="s">
        <v>1983</v>
      </c>
      <c r="D37" s="1680">
        <v>600</v>
      </c>
      <c r="E37" s="2039"/>
      <c r="F37" s="2039"/>
      <c r="G37" s="2039"/>
      <c r="H37" s="2039"/>
      <c r="I37" s="2039"/>
      <c r="J37" s="2039"/>
      <c r="K37" s="2039"/>
      <c r="L37" s="2039"/>
      <c r="M37" s="2039"/>
      <c r="N37" s="2039"/>
      <c r="O37" s="2039"/>
      <c r="P37" s="2039"/>
      <c r="Q37" s="2039"/>
      <c r="R37" s="2039"/>
      <c r="S37" s="2039"/>
      <c r="T37" s="2039"/>
      <c r="U37" s="2039"/>
      <c r="V37" s="2039"/>
      <c r="W37" s="2039"/>
      <c r="X37" s="2039"/>
      <c r="Y37" s="2039"/>
      <c r="Z37" s="2039"/>
      <c r="AA37" s="2039"/>
      <c r="AB37" s="2039"/>
      <c r="AC37" s="2039"/>
      <c r="AD37" s="2039"/>
      <c r="AE37" s="2039"/>
      <c r="AF37" s="2039"/>
      <c r="AG37" s="2039"/>
      <c r="AH37" s="2039"/>
      <c r="AI37" s="2039"/>
      <c r="AJ37" s="2039"/>
      <c r="AK37" s="2039"/>
      <c r="AL37" s="2039"/>
      <c r="AM37" s="2039"/>
      <c r="AN37" s="2039"/>
      <c r="AO37" s="2039"/>
      <c r="AP37" s="2039"/>
      <c r="AQ37" s="2039"/>
      <c r="AR37" s="2039"/>
      <c r="AS37" s="2039"/>
      <c r="AT37" s="2039"/>
      <c r="AU37" s="2039"/>
      <c r="AV37" s="2039"/>
      <c r="AW37" s="2039"/>
      <c r="AX37" s="2039"/>
      <c r="AY37" s="2039"/>
      <c r="AZ37" s="2039"/>
      <c r="BA37" s="2039"/>
      <c r="BB37" s="2039"/>
      <c r="BC37" s="2039"/>
      <c r="BD37" s="2039"/>
      <c r="BE37" s="2039"/>
      <c r="BF37" s="2039"/>
      <c r="BG37" s="2039"/>
      <c r="BH37" s="2039"/>
    </row>
    <row r="38" spans="1:60">
      <c r="A38" s="1652">
        <v>1</v>
      </c>
      <c r="B38" s="1652">
        <v>14</v>
      </c>
      <c r="C38" s="1681" t="s">
        <v>516</v>
      </c>
      <c r="D38" s="2003">
        <v>611</v>
      </c>
      <c r="E38" s="2040"/>
      <c r="F38" s="2040"/>
      <c r="G38" s="2040"/>
      <c r="H38" s="2040"/>
      <c r="I38" s="2040"/>
      <c r="J38" s="2040"/>
      <c r="K38" s="2040"/>
      <c r="L38" s="2040"/>
      <c r="M38" s="2040"/>
      <c r="N38" s="2041"/>
      <c r="O38" s="2040"/>
      <c r="P38" s="2040"/>
      <c r="Q38" s="2040"/>
      <c r="R38" s="2041"/>
      <c r="S38" s="2040"/>
      <c r="T38" s="2040"/>
      <c r="U38" s="2040"/>
      <c r="V38" s="2041"/>
      <c r="W38" s="2040"/>
      <c r="X38" s="2040"/>
      <c r="Y38" s="2040"/>
      <c r="Z38" s="2041"/>
      <c r="AA38" s="2040"/>
      <c r="AB38" s="2040"/>
      <c r="AC38" s="2040"/>
      <c r="AD38" s="2041"/>
      <c r="AE38" s="2040"/>
      <c r="AF38" s="2040"/>
      <c r="AG38" s="2040"/>
      <c r="AH38" s="2041"/>
      <c r="AI38" s="2040"/>
      <c r="AJ38" s="2040"/>
      <c r="AK38" s="2040"/>
      <c r="AL38" s="2041"/>
      <c r="AM38" s="2040"/>
      <c r="AN38" s="2040"/>
      <c r="AO38" s="2040"/>
      <c r="AP38" s="2041"/>
      <c r="AQ38" s="2040"/>
      <c r="AR38" s="2040"/>
      <c r="AS38" s="2040"/>
      <c r="AT38" s="2041"/>
      <c r="AU38" s="2040"/>
      <c r="AV38" s="2040"/>
      <c r="AW38" s="2040"/>
      <c r="AX38" s="2041"/>
      <c r="AY38" s="2040"/>
      <c r="AZ38" s="2040"/>
      <c r="BA38" s="2042"/>
      <c r="BB38" s="2042"/>
      <c r="BC38" s="2042"/>
      <c r="BD38" s="2042"/>
      <c r="BE38" s="2042"/>
      <c r="BF38" s="2042"/>
      <c r="BG38" s="2042"/>
      <c r="BH38" s="2042"/>
    </row>
    <row r="39" spans="1:60" ht="25.5">
      <c r="A39" s="1652">
        <v>2</v>
      </c>
      <c r="B39" s="1652">
        <v>14</v>
      </c>
      <c r="C39" s="1681" t="s">
        <v>517</v>
      </c>
      <c r="D39" s="2003">
        <v>621</v>
      </c>
      <c r="E39" s="2040"/>
      <c r="F39" s="2040"/>
      <c r="G39" s="2040"/>
      <c r="H39" s="2040"/>
      <c r="I39" s="2040"/>
      <c r="J39" s="2040"/>
      <c r="K39" s="2040"/>
      <c r="L39" s="2040"/>
      <c r="M39" s="2040"/>
      <c r="N39" s="2041"/>
      <c r="O39" s="2040"/>
      <c r="P39" s="2040"/>
      <c r="Q39" s="2040"/>
      <c r="R39" s="2041"/>
      <c r="S39" s="2040"/>
      <c r="T39" s="2040"/>
      <c r="U39" s="2040"/>
      <c r="V39" s="2041"/>
      <c r="W39" s="2040"/>
      <c r="X39" s="2040"/>
      <c r="Y39" s="2040"/>
      <c r="Z39" s="2041"/>
      <c r="AA39" s="2040"/>
      <c r="AB39" s="2040"/>
      <c r="AC39" s="2040"/>
      <c r="AD39" s="2041"/>
      <c r="AE39" s="2040"/>
      <c r="AF39" s="2040"/>
      <c r="AG39" s="2040"/>
      <c r="AH39" s="2041"/>
      <c r="AI39" s="2040"/>
      <c r="AJ39" s="2040"/>
      <c r="AK39" s="2040"/>
      <c r="AL39" s="2041"/>
      <c r="AM39" s="2040"/>
      <c r="AN39" s="2040"/>
      <c r="AO39" s="2040"/>
      <c r="AP39" s="2041"/>
      <c r="AQ39" s="2040"/>
      <c r="AR39" s="2040"/>
      <c r="AS39" s="2040"/>
      <c r="AT39" s="2041"/>
      <c r="AU39" s="2040"/>
      <c r="AV39" s="2040"/>
      <c r="AW39" s="2040"/>
      <c r="AX39" s="2041"/>
      <c r="AY39" s="2040"/>
      <c r="AZ39" s="2040"/>
      <c r="BA39" s="2042"/>
      <c r="BB39" s="2042"/>
      <c r="BC39" s="2042"/>
      <c r="BD39" s="2042"/>
      <c r="BE39" s="2042"/>
      <c r="BF39" s="2042"/>
      <c r="BG39" s="2042"/>
      <c r="BH39" s="2042"/>
    </row>
    <row r="40" spans="1:60">
      <c r="A40" s="1652">
        <v>3</v>
      </c>
      <c r="B40" s="1652">
        <v>14</v>
      </c>
      <c r="C40" s="1681" t="s">
        <v>518</v>
      </c>
      <c r="D40" s="2003">
        <v>631</v>
      </c>
      <c r="E40" s="2040"/>
      <c r="F40" s="2040"/>
      <c r="G40" s="2040"/>
      <c r="H40" s="2040"/>
      <c r="I40" s="2040"/>
      <c r="J40" s="2040"/>
      <c r="K40" s="2040"/>
      <c r="L40" s="2040"/>
      <c r="M40" s="2040"/>
      <c r="N40" s="2041"/>
      <c r="O40" s="2040"/>
      <c r="P40" s="2040"/>
      <c r="Q40" s="2040"/>
      <c r="R40" s="2041"/>
      <c r="S40" s="2040"/>
      <c r="T40" s="2040"/>
      <c r="U40" s="2040"/>
      <c r="V40" s="2041"/>
      <c r="W40" s="2040"/>
      <c r="X40" s="2040"/>
      <c r="Y40" s="2040"/>
      <c r="Z40" s="2041"/>
      <c r="AA40" s="2040"/>
      <c r="AB40" s="2040"/>
      <c r="AC40" s="2040"/>
      <c r="AD40" s="2041"/>
      <c r="AE40" s="2040"/>
      <c r="AF40" s="2040"/>
      <c r="AG40" s="2040"/>
      <c r="AH40" s="2041"/>
      <c r="AI40" s="2040"/>
      <c r="AJ40" s="2040"/>
      <c r="AK40" s="2040"/>
      <c r="AL40" s="2041"/>
      <c r="AM40" s="2040"/>
      <c r="AN40" s="2040"/>
      <c r="AO40" s="2040"/>
      <c r="AP40" s="2041"/>
      <c r="AQ40" s="2040"/>
      <c r="AR40" s="2040"/>
      <c r="AS40" s="2040"/>
      <c r="AT40" s="2041"/>
      <c r="AU40" s="2040"/>
      <c r="AV40" s="2040"/>
      <c r="AW40" s="2040"/>
      <c r="AX40" s="2041"/>
      <c r="AY40" s="2040"/>
      <c r="AZ40" s="2040"/>
      <c r="BA40" s="2042"/>
      <c r="BB40" s="2042"/>
      <c r="BC40" s="2042"/>
      <c r="BD40" s="2042"/>
      <c r="BE40" s="2042"/>
      <c r="BF40" s="2042"/>
      <c r="BG40" s="2042"/>
      <c r="BH40" s="2042"/>
    </row>
    <row r="41" spans="1:60">
      <c r="A41" s="1652">
        <v>4</v>
      </c>
      <c r="B41" s="1652">
        <v>14</v>
      </c>
      <c r="C41" s="1681" t="s">
        <v>519</v>
      </c>
      <c r="D41" s="2003">
        <v>641</v>
      </c>
      <c r="E41" s="2040"/>
      <c r="F41" s="2040"/>
      <c r="G41" s="2040"/>
      <c r="H41" s="2040"/>
      <c r="I41" s="2040"/>
      <c r="J41" s="2040"/>
      <c r="K41" s="2040"/>
      <c r="L41" s="2040"/>
      <c r="M41" s="2040"/>
      <c r="N41" s="2041"/>
      <c r="O41" s="2040"/>
      <c r="P41" s="2040"/>
      <c r="Q41" s="2040"/>
      <c r="R41" s="2041"/>
      <c r="S41" s="2040"/>
      <c r="T41" s="2040"/>
      <c r="U41" s="2040"/>
      <c r="V41" s="2041"/>
      <c r="W41" s="2040"/>
      <c r="X41" s="2040"/>
      <c r="Y41" s="2040"/>
      <c r="Z41" s="2041"/>
      <c r="AA41" s="2040"/>
      <c r="AB41" s="2040"/>
      <c r="AC41" s="2040"/>
      <c r="AD41" s="2041"/>
      <c r="AE41" s="2040"/>
      <c r="AF41" s="2040"/>
      <c r="AG41" s="2040"/>
      <c r="AH41" s="2041"/>
      <c r="AI41" s="2040"/>
      <c r="AJ41" s="2040"/>
      <c r="AK41" s="2040"/>
      <c r="AL41" s="2041"/>
      <c r="AM41" s="2040"/>
      <c r="AN41" s="2040"/>
      <c r="AO41" s="2040"/>
      <c r="AP41" s="2041"/>
      <c r="AQ41" s="2040"/>
      <c r="AR41" s="2040"/>
      <c r="AS41" s="2040"/>
      <c r="AT41" s="2041"/>
      <c r="AU41" s="2040"/>
      <c r="AV41" s="2040"/>
      <c r="AW41" s="2040"/>
      <c r="AX41" s="2041"/>
      <c r="AY41" s="2040"/>
      <c r="AZ41" s="2040"/>
      <c r="BA41" s="2042"/>
      <c r="BB41" s="2042"/>
      <c r="BC41" s="2042"/>
      <c r="BD41" s="2042"/>
      <c r="BE41" s="2042"/>
      <c r="BF41" s="2042"/>
      <c r="BG41" s="2042"/>
      <c r="BH41" s="2042"/>
    </row>
    <row r="42" spans="1:60">
      <c r="A42" s="1652">
        <v>5</v>
      </c>
      <c r="B42" s="1652">
        <v>14</v>
      </c>
      <c r="C42" s="1681" t="s">
        <v>520</v>
      </c>
      <c r="D42" s="2003">
        <v>651</v>
      </c>
      <c r="E42" s="2040"/>
      <c r="F42" s="2040"/>
      <c r="G42" s="2040"/>
      <c r="H42" s="2040"/>
      <c r="I42" s="2040"/>
      <c r="J42" s="2040"/>
      <c r="K42" s="2040"/>
      <c r="L42" s="2040"/>
      <c r="M42" s="2040"/>
      <c r="N42" s="2041"/>
      <c r="O42" s="2040"/>
      <c r="P42" s="2040"/>
      <c r="Q42" s="2040"/>
      <c r="R42" s="2041"/>
      <c r="S42" s="2040"/>
      <c r="T42" s="2040"/>
      <c r="U42" s="2040"/>
      <c r="V42" s="2041"/>
      <c r="W42" s="2040"/>
      <c r="X42" s="2040"/>
      <c r="Y42" s="2040"/>
      <c r="Z42" s="2041"/>
      <c r="AA42" s="2040"/>
      <c r="AB42" s="2040"/>
      <c r="AC42" s="2040"/>
      <c r="AD42" s="2041"/>
      <c r="AE42" s="2040"/>
      <c r="AF42" s="2040"/>
      <c r="AG42" s="2040"/>
      <c r="AH42" s="2041"/>
      <c r="AI42" s="2040"/>
      <c r="AJ42" s="2040"/>
      <c r="AK42" s="2040"/>
      <c r="AL42" s="2041"/>
      <c r="AM42" s="2040"/>
      <c r="AN42" s="2040"/>
      <c r="AO42" s="2040"/>
      <c r="AP42" s="2041"/>
      <c r="AQ42" s="2040"/>
      <c r="AR42" s="2040"/>
      <c r="AS42" s="2040"/>
      <c r="AT42" s="2041"/>
      <c r="AU42" s="2040"/>
      <c r="AV42" s="2040"/>
      <c r="AW42" s="2040"/>
      <c r="AX42" s="2041"/>
      <c r="AY42" s="2040"/>
      <c r="AZ42" s="2040"/>
      <c r="BA42" s="2042"/>
      <c r="BB42" s="2042"/>
      <c r="BC42" s="2042"/>
      <c r="BD42" s="2042"/>
      <c r="BE42" s="2042"/>
      <c r="BF42" s="2042"/>
      <c r="BG42" s="2042"/>
      <c r="BH42" s="2042"/>
    </row>
    <row r="43" spans="1:60">
      <c r="A43" s="1652">
        <v>6</v>
      </c>
      <c r="B43" s="1652">
        <v>14</v>
      </c>
      <c r="C43" s="1681" t="s">
        <v>521</v>
      </c>
      <c r="D43" s="2003">
        <v>661</v>
      </c>
      <c r="E43" s="2040"/>
      <c r="F43" s="2040"/>
      <c r="G43" s="2040"/>
      <c r="H43" s="2040"/>
      <c r="I43" s="2040"/>
      <c r="J43" s="2040"/>
      <c r="K43" s="2040"/>
      <c r="L43" s="2040"/>
      <c r="M43" s="2040"/>
      <c r="N43" s="2041"/>
      <c r="O43" s="2040"/>
      <c r="P43" s="2040"/>
      <c r="Q43" s="2040"/>
      <c r="R43" s="2041"/>
      <c r="S43" s="2040"/>
      <c r="T43" s="2040"/>
      <c r="U43" s="2040"/>
      <c r="V43" s="2041"/>
      <c r="W43" s="2040"/>
      <c r="X43" s="2040"/>
      <c r="Y43" s="2040"/>
      <c r="Z43" s="2041"/>
      <c r="AA43" s="2040"/>
      <c r="AB43" s="2040"/>
      <c r="AC43" s="2040"/>
      <c r="AD43" s="2041"/>
      <c r="AE43" s="2040"/>
      <c r="AF43" s="2040"/>
      <c r="AG43" s="2040"/>
      <c r="AH43" s="2041"/>
      <c r="AI43" s="2040"/>
      <c r="AJ43" s="2040"/>
      <c r="AK43" s="2040"/>
      <c r="AL43" s="2041"/>
      <c r="AM43" s="2040"/>
      <c r="AN43" s="2040"/>
      <c r="AO43" s="2040"/>
      <c r="AP43" s="2041"/>
      <c r="AQ43" s="2040"/>
      <c r="AR43" s="2040"/>
      <c r="AS43" s="2040"/>
      <c r="AT43" s="2041"/>
      <c r="AU43" s="2040"/>
      <c r="AV43" s="2040"/>
      <c r="AW43" s="2040"/>
      <c r="AX43" s="2041"/>
      <c r="AY43" s="2040"/>
      <c r="AZ43" s="2040"/>
      <c r="BA43" s="2042"/>
      <c r="BB43" s="2042"/>
      <c r="BC43" s="2042"/>
      <c r="BD43" s="2042"/>
      <c r="BE43" s="2042"/>
      <c r="BF43" s="2042"/>
      <c r="BG43" s="2042"/>
      <c r="BH43" s="2042"/>
    </row>
    <row r="44" spans="1:60">
      <c r="A44" s="1652">
        <v>7</v>
      </c>
      <c r="B44" s="1652">
        <v>14</v>
      </c>
      <c r="C44" s="1681" t="s">
        <v>522</v>
      </c>
      <c r="D44" s="2003">
        <v>671</v>
      </c>
      <c r="E44" s="2040"/>
      <c r="F44" s="2040"/>
      <c r="G44" s="2040"/>
      <c r="H44" s="2040"/>
      <c r="I44" s="2040"/>
      <c r="J44" s="2040"/>
      <c r="K44" s="2040"/>
      <c r="L44" s="2040"/>
      <c r="M44" s="2040"/>
      <c r="N44" s="2041"/>
      <c r="O44" s="2040"/>
      <c r="P44" s="2040"/>
      <c r="Q44" s="2040"/>
      <c r="R44" s="2041"/>
      <c r="S44" s="2040"/>
      <c r="T44" s="2040"/>
      <c r="U44" s="2040"/>
      <c r="V44" s="2041"/>
      <c r="W44" s="2040"/>
      <c r="X44" s="2040"/>
      <c r="Y44" s="2040"/>
      <c r="Z44" s="2041"/>
      <c r="AA44" s="2040"/>
      <c r="AB44" s="2040"/>
      <c r="AC44" s="2040"/>
      <c r="AD44" s="2041"/>
      <c r="AE44" s="2040"/>
      <c r="AF44" s="2040"/>
      <c r="AG44" s="2040"/>
      <c r="AH44" s="2041"/>
      <c r="AI44" s="2040"/>
      <c r="AJ44" s="2040"/>
      <c r="AK44" s="2040"/>
      <c r="AL44" s="2041"/>
      <c r="AM44" s="2040"/>
      <c r="AN44" s="2040"/>
      <c r="AO44" s="2040"/>
      <c r="AP44" s="2041"/>
      <c r="AQ44" s="2040"/>
      <c r="AR44" s="2040"/>
      <c r="AS44" s="2040"/>
      <c r="AT44" s="2041"/>
      <c r="AU44" s="2040"/>
      <c r="AV44" s="2040"/>
      <c r="AW44" s="2040"/>
      <c r="AX44" s="2041"/>
      <c r="AY44" s="2040"/>
      <c r="AZ44" s="2040"/>
      <c r="BA44" s="2042"/>
      <c r="BB44" s="2042"/>
      <c r="BC44" s="2042"/>
      <c r="BD44" s="2042"/>
      <c r="BE44" s="2042"/>
      <c r="BF44" s="2042"/>
      <c r="BG44" s="2042"/>
      <c r="BH44" s="2042"/>
    </row>
    <row r="45" spans="1:60">
      <c r="A45" s="1652">
        <v>9</v>
      </c>
      <c r="B45" s="1652">
        <v>0</v>
      </c>
      <c r="C45" s="1679" t="s">
        <v>527</v>
      </c>
      <c r="D45" s="1680">
        <v>700</v>
      </c>
      <c r="E45" s="2039">
        <v>0</v>
      </c>
      <c r="F45" s="2039">
        <v>0</v>
      </c>
      <c r="G45" s="2039">
        <v>0</v>
      </c>
      <c r="H45" s="2039">
        <v>0</v>
      </c>
      <c r="I45" s="2039">
        <v>0</v>
      </c>
      <c r="J45" s="2039">
        <v>0</v>
      </c>
      <c r="K45" s="2039">
        <v>0</v>
      </c>
      <c r="L45" s="2039">
        <v>0</v>
      </c>
      <c r="M45" s="2039">
        <v>0</v>
      </c>
      <c r="N45" s="2039">
        <v>0</v>
      </c>
      <c r="O45" s="2039">
        <v>0</v>
      </c>
      <c r="P45" s="2039">
        <v>0</v>
      </c>
      <c r="Q45" s="2039">
        <v>0</v>
      </c>
      <c r="R45" s="2039">
        <v>0</v>
      </c>
      <c r="S45" s="2039">
        <v>0</v>
      </c>
      <c r="T45" s="2039">
        <v>0</v>
      </c>
      <c r="U45" s="2039">
        <v>0</v>
      </c>
      <c r="V45" s="2039">
        <v>0</v>
      </c>
      <c r="W45" s="2039">
        <v>0</v>
      </c>
      <c r="X45" s="2039">
        <v>0</v>
      </c>
      <c r="Y45" s="2039">
        <v>0</v>
      </c>
      <c r="Z45" s="2039">
        <v>0</v>
      </c>
      <c r="AA45" s="2039">
        <v>0</v>
      </c>
      <c r="AB45" s="2039">
        <v>0</v>
      </c>
      <c r="AC45" s="2039">
        <v>0</v>
      </c>
      <c r="AD45" s="2039">
        <v>0</v>
      </c>
      <c r="AE45" s="2039">
        <v>0</v>
      </c>
      <c r="AF45" s="2039">
        <v>0</v>
      </c>
      <c r="AG45" s="2039">
        <v>0</v>
      </c>
      <c r="AH45" s="2039">
        <v>0</v>
      </c>
      <c r="AI45" s="2039">
        <v>0</v>
      </c>
      <c r="AJ45" s="2039">
        <v>0</v>
      </c>
      <c r="AK45" s="2039">
        <v>0</v>
      </c>
      <c r="AL45" s="2039">
        <v>0</v>
      </c>
      <c r="AM45" s="2039">
        <v>0</v>
      </c>
      <c r="AN45" s="2039">
        <v>0</v>
      </c>
      <c r="AO45" s="2039">
        <v>0</v>
      </c>
      <c r="AP45" s="2039">
        <v>0</v>
      </c>
      <c r="AQ45" s="2039">
        <v>0</v>
      </c>
      <c r="AR45" s="2039">
        <v>0</v>
      </c>
      <c r="AS45" s="2039">
        <v>0</v>
      </c>
      <c r="AT45" s="2039">
        <v>0</v>
      </c>
      <c r="AU45" s="2039">
        <v>0</v>
      </c>
      <c r="AV45" s="2039">
        <v>0</v>
      </c>
      <c r="AW45" s="2039">
        <v>0</v>
      </c>
      <c r="AX45" s="2039">
        <v>0</v>
      </c>
      <c r="AY45" s="2039">
        <v>0</v>
      </c>
      <c r="AZ45" s="2039">
        <v>0</v>
      </c>
      <c r="BA45" s="2039">
        <v>0</v>
      </c>
      <c r="BB45" s="2039">
        <v>0</v>
      </c>
      <c r="BC45" s="2039">
        <v>0</v>
      </c>
      <c r="BD45" s="2039">
        <v>0</v>
      </c>
      <c r="BE45" s="2039">
        <v>0</v>
      </c>
      <c r="BF45" s="2039">
        <v>0</v>
      </c>
      <c r="BG45" s="2039">
        <v>0</v>
      </c>
      <c r="BH45" s="2039">
        <v>0</v>
      </c>
    </row>
  </sheetData>
  <mergeCells count="48">
    <mergeCell ref="C3:C7"/>
    <mergeCell ref="D3:D7"/>
    <mergeCell ref="E3:L3"/>
    <mergeCell ref="M3:T3"/>
    <mergeCell ref="U3:AJ3"/>
    <mergeCell ref="N6:P6"/>
    <mergeCell ref="E6:E7"/>
    <mergeCell ref="F6:H6"/>
    <mergeCell ref="I6:I7"/>
    <mergeCell ref="J6:L6"/>
    <mergeCell ref="M6:M7"/>
    <mergeCell ref="BA3:BD5"/>
    <mergeCell ref="BE3:BH5"/>
    <mergeCell ref="E4:H5"/>
    <mergeCell ref="I4:L5"/>
    <mergeCell ref="M4:P5"/>
    <mergeCell ref="Q4:T5"/>
    <mergeCell ref="U4:X5"/>
    <mergeCell ref="Y4:AB5"/>
    <mergeCell ref="AC4:AF5"/>
    <mergeCell ref="AG4:AJ5"/>
    <mergeCell ref="AK3:AZ3"/>
    <mergeCell ref="AK4:AN5"/>
    <mergeCell ref="AO4:AR5"/>
    <mergeCell ref="AS4:AV5"/>
    <mergeCell ref="AW4:AZ5"/>
    <mergeCell ref="AL6:AN6"/>
    <mergeCell ref="Q6:Q7"/>
    <mergeCell ref="R6:T6"/>
    <mergeCell ref="U6:U7"/>
    <mergeCell ref="V6:X6"/>
    <mergeCell ref="Y6:Y7"/>
    <mergeCell ref="Z6:AB6"/>
    <mergeCell ref="AC6:AC7"/>
    <mergeCell ref="AD6:AF6"/>
    <mergeCell ref="AG6:AG7"/>
    <mergeCell ref="AH6:AJ6"/>
    <mergeCell ref="AK6:AK7"/>
    <mergeCell ref="BA6:BA7"/>
    <mergeCell ref="BB6:BD6"/>
    <mergeCell ref="BE6:BE7"/>
    <mergeCell ref="BF6:BH6"/>
    <mergeCell ref="AO6:AO7"/>
    <mergeCell ref="AP6:AR6"/>
    <mergeCell ref="AS6:AS7"/>
    <mergeCell ref="AT6:AV6"/>
    <mergeCell ref="AW6:AW7"/>
    <mergeCell ref="AX6:AZ6"/>
  </mergeCells>
  <dataValidations count="1">
    <dataValidation type="decimal" operator="greaterThanOrEqual" allowBlank="1" showErrorMessage="1" errorTitle="НЕВЕРНОЕ ЗНАЧЕНИЕ" error="Введенное значение не является числовым" sqref="E36:BH45">
      <formula1>-9.99999999999999E+42</formula1>
    </dataValidation>
  </dataValidations>
  <pageMargins left="0.7" right="0.7" top="0.75" bottom="0.75" header="0.3" footer="0.3"/>
  <tableParts count="1">
    <tablePart r:id="rId1"/>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366"/>
  <sheetViews>
    <sheetView zoomScale="60" zoomScaleNormal="60" workbookViewId="0">
      <selection sqref="A1:XFD1048576"/>
    </sheetView>
  </sheetViews>
  <sheetFormatPr defaultColWidth="8.7109375" defaultRowHeight="15"/>
  <cols>
    <col min="1" max="1" width="6.28515625" style="1154" customWidth="1"/>
    <col min="2" max="2" width="46.5703125" style="1155" customWidth="1"/>
    <col min="3" max="3" width="24.28515625" style="1155" customWidth="1"/>
    <col min="4" max="4" width="12.7109375" style="1155" customWidth="1"/>
    <col min="5" max="5" width="5.5703125" style="1155" customWidth="1"/>
    <col min="6" max="6" width="13.5703125" style="1155" customWidth="1"/>
    <col min="7" max="7" width="16.7109375" style="1155" customWidth="1"/>
    <col min="8" max="8" width="15.28515625" style="1155" customWidth="1"/>
    <col min="9" max="9" width="10.7109375" style="1155" customWidth="1"/>
    <col min="10" max="10" width="10" style="1155" customWidth="1"/>
    <col min="11" max="11" width="15.28515625" style="1155" customWidth="1"/>
    <col min="12" max="12" width="14.28515625" style="1155" customWidth="1"/>
    <col min="13" max="13" width="18.28515625" style="1155" customWidth="1"/>
    <col min="14" max="14" width="14" style="1155" customWidth="1"/>
    <col min="15" max="15" width="16.7109375" style="1155" customWidth="1"/>
    <col min="16" max="16" width="21.28515625" style="1155" customWidth="1"/>
    <col min="17" max="17" width="21.7109375" style="1155" customWidth="1"/>
    <col min="18" max="18" width="17.28515625" style="1153" customWidth="1"/>
    <col min="19" max="19" width="15" style="1153" customWidth="1"/>
    <col min="20" max="20" width="12.7109375" style="1153" customWidth="1"/>
    <col min="21" max="21" width="10.7109375" style="1153" customWidth="1"/>
    <col min="22" max="22" width="11.28515625" style="1153" customWidth="1"/>
    <col min="23" max="23" width="14.28515625" style="1153" customWidth="1"/>
    <col min="24" max="24" width="12.7109375" style="1153" customWidth="1"/>
    <col min="25" max="25" width="13.7109375" style="1153" customWidth="1"/>
    <col min="26" max="16384" width="8.7109375" style="1153"/>
  </cols>
  <sheetData>
    <row r="2" spans="1:24" ht="25.5">
      <c r="A2" s="4346" t="s">
        <v>1319</v>
      </c>
      <c r="B2" s="4346"/>
      <c r="C2" s="4346"/>
      <c r="D2" s="4346"/>
      <c r="E2" s="4346"/>
      <c r="F2" s="4346"/>
      <c r="G2" s="4346"/>
      <c r="H2" s="4346"/>
      <c r="I2" s="4346"/>
      <c r="J2" s="4346"/>
      <c r="K2" s="4346"/>
      <c r="L2" s="4346"/>
      <c r="M2" s="4346"/>
      <c r="N2" s="4346"/>
      <c r="O2" s="4346"/>
      <c r="P2" s="4346"/>
      <c r="Q2" s="4346"/>
    </row>
    <row r="4" spans="1:24" s="1157" customFormat="1" ht="20.25">
      <c r="A4" s="4347" t="str">
        <f>'Шаблон 46 ГП'!A8:P8</f>
        <v>Май 2026 год</v>
      </c>
      <c r="B4" s="4347"/>
      <c r="C4" s="4347"/>
      <c r="D4" s="4347"/>
      <c r="E4" s="4347"/>
      <c r="F4" s="4347"/>
      <c r="G4" s="4347"/>
      <c r="H4" s="4347"/>
      <c r="I4" s="4347"/>
      <c r="J4" s="4347"/>
      <c r="K4" s="4347"/>
      <c r="L4" s="4347"/>
      <c r="M4" s="4347"/>
      <c r="N4" s="4347"/>
      <c r="O4" s="4347"/>
      <c r="P4" s="4347"/>
      <c r="Q4" s="4347"/>
      <c r="R4" s="1156"/>
      <c r="S4" s="1156"/>
      <c r="T4" s="1156"/>
      <c r="U4" s="1156"/>
      <c r="V4" s="1156"/>
      <c r="W4" s="1156"/>
      <c r="X4" s="1156"/>
    </row>
    <row r="5" spans="1:24" s="1161" customFormat="1" ht="23.25">
      <c r="A5" s="1158" t="s">
        <v>25</v>
      </c>
      <c r="B5" s="1159" t="s">
        <v>1320</v>
      </c>
      <c r="C5" s="1160"/>
      <c r="D5" s="1160"/>
      <c r="E5" s="1160"/>
      <c r="F5" s="1160"/>
      <c r="G5" s="1160"/>
      <c r="H5" s="1160"/>
      <c r="I5" s="1160"/>
      <c r="J5" s="1160"/>
      <c r="K5" s="1160"/>
      <c r="L5" s="1160"/>
      <c r="M5" s="1160"/>
      <c r="N5" s="1160"/>
      <c r="O5" s="1160"/>
      <c r="P5" s="1160"/>
      <c r="Q5" s="1160"/>
    </row>
    <row r="6" spans="1:24" ht="15.75" thickBot="1"/>
    <row r="7" spans="1:24" ht="47.25" customHeight="1">
      <c r="A7" s="4348" t="s">
        <v>3</v>
      </c>
      <c r="B7" s="4350" t="s">
        <v>4</v>
      </c>
      <c r="C7" s="4352" t="s">
        <v>5</v>
      </c>
      <c r="D7" s="4352"/>
      <c r="E7" s="4352"/>
      <c r="F7" s="4352"/>
      <c r="G7" s="4352"/>
      <c r="H7" s="4352"/>
      <c r="I7" s="4353" t="s">
        <v>1321</v>
      </c>
      <c r="J7" s="4354"/>
      <c r="K7" s="4354"/>
      <c r="L7" s="4355"/>
      <c r="M7" s="4352" t="s">
        <v>7</v>
      </c>
      <c r="N7" s="4352"/>
      <c r="O7" s="4352"/>
      <c r="P7" s="4352"/>
      <c r="Q7" s="4356"/>
    </row>
    <row r="8" spans="1:24" ht="45.75" customHeight="1" thickBot="1">
      <c r="A8" s="4349"/>
      <c r="B8" s="4351"/>
      <c r="C8" s="1162" t="s">
        <v>8</v>
      </c>
      <c r="D8" s="1162" t="s">
        <v>9</v>
      </c>
      <c r="E8" s="1162"/>
      <c r="F8" s="1163" t="s">
        <v>10</v>
      </c>
      <c r="G8" s="1163" t="s">
        <v>11</v>
      </c>
      <c r="H8" s="1162" t="s">
        <v>12</v>
      </c>
      <c r="I8" s="1162" t="s">
        <v>9</v>
      </c>
      <c r="J8" s="1163" t="s">
        <v>10</v>
      </c>
      <c r="K8" s="1163" t="s">
        <v>11</v>
      </c>
      <c r="L8" s="1162" t="s">
        <v>12</v>
      </c>
      <c r="M8" s="1162" t="s">
        <v>8</v>
      </c>
      <c r="N8" s="1162" t="s">
        <v>9</v>
      </c>
      <c r="O8" s="1163" t="s">
        <v>10</v>
      </c>
      <c r="P8" s="1163" t="s">
        <v>11</v>
      </c>
      <c r="Q8" s="1164" t="s">
        <v>12</v>
      </c>
    </row>
    <row r="9" spans="1:24" ht="16.149999999999999" customHeight="1" thickBot="1">
      <c r="A9" s="1165">
        <v>1</v>
      </c>
      <c r="B9" s="1166">
        <f>+A9+1</f>
        <v>2</v>
      </c>
      <c r="C9" s="1167">
        <f>+B9+1</f>
        <v>3</v>
      </c>
      <c r="D9" s="1167">
        <f>+C9+1</f>
        <v>4</v>
      </c>
      <c r="E9" s="1167"/>
      <c r="F9" s="1167">
        <f>+D9+1</f>
        <v>5</v>
      </c>
      <c r="G9" s="1167">
        <f>+F9+1</f>
        <v>6</v>
      </c>
      <c r="H9" s="1167">
        <f>+G9+1</f>
        <v>7</v>
      </c>
      <c r="I9" s="1167">
        <v>8</v>
      </c>
      <c r="J9" s="1167">
        <v>9</v>
      </c>
      <c r="K9" s="1167">
        <v>10</v>
      </c>
      <c r="L9" s="1167">
        <v>11</v>
      </c>
      <c r="M9" s="1167">
        <v>12</v>
      </c>
      <c r="N9" s="1167">
        <v>13</v>
      </c>
      <c r="O9" s="1167">
        <f>+N9+1</f>
        <v>14</v>
      </c>
      <c r="P9" s="1167">
        <f>+O9+1</f>
        <v>15</v>
      </c>
      <c r="Q9" s="1168">
        <f>+P9+1</f>
        <v>16</v>
      </c>
    </row>
    <row r="10" spans="1:24" ht="24" customHeight="1" thickBot="1">
      <c r="A10" s="4357"/>
      <c r="B10" s="4358"/>
      <c r="C10" s="4358"/>
      <c r="D10" s="4358"/>
      <c r="E10" s="4358"/>
      <c r="F10" s="4358"/>
      <c r="G10" s="4358"/>
      <c r="H10" s="4358"/>
      <c r="I10" s="4358"/>
      <c r="J10" s="4358"/>
      <c r="K10" s="4358"/>
      <c r="L10" s="4358"/>
      <c r="M10" s="4358"/>
      <c r="N10" s="4358"/>
      <c r="O10" s="4358"/>
      <c r="P10" s="4358"/>
      <c r="Q10" s="4359"/>
    </row>
    <row r="11" spans="1:24" ht="16.149999999999999" customHeight="1">
      <c r="A11" s="1169" t="s">
        <v>25</v>
      </c>
      <c r="B11" s="1170" t="s">
        <v>28</v>
      </c>
      <c r="C11" s="1171">
        <f>SUM(D11:H11)</f>
        <v>24830239</v>
      </c>
      <c r="D11" s="1171"/>
      <c r="E11" s="1171"/>
      <c r="F11" s="1171"/>
      <c r="G11" s="1171">
        <f>SUM(G12:G13)</f>
        <v>3618243</v>
      </c>
      <c r="H11" s="1171">
        <f>SUM(H12:H13)</f>
        <v>21211996</v>
      </c>
      <c r="I11" s="1172"/>
      <c r="J11" s="1173"/>
      <c r="K11" s="1173"/>
      <c r="L11" s="1173"/>
      <c r="M11" s="1174">
        <f>SUM(N11:Q11)</f>
        <v>0</v>
      </c>
      <c r="N11" s="1174"/>
      <c r="O11" s="1174"/>
      <c r="P11" s="1174">
        <f>SUM(P12:P13)</f>
        <v>0</v>
      </c>
      <c r="Q11" s="1175">
        <f>SUM(Q12:Q13)</f>
        <v>0</v>
      </c>
      <c r="R11" s="1176"/>
    </row>
    <row r="12" spans="1:24" ht="16.149999999999999" customHeight="1">
      <c r="A12" s="1177"/>
      <c r="B12" s="1178" t="s">
        <v>326</v>
      </c>
      <c r="C12" s="1179">
        <f>SUM(D12:H12)</f>
        <v>3616133</v>
      </c>
      <c r="D12" s="1179"/>
      <c r="E12" s="1179"/>
      <c r="F12" s="1179"/>
      <c r="G12" s="1179">
        <f>'Шаблон 46 ГП'!F320*1000</f>
        <v>1956120</v>
      </c>
      <c r="H12" s="1179">
        <f>'Шаблон 46 ГП'!F324*1000</f>
        <v>1660013</v>
      </c>
      <c r="I12" s="1180"/>
      <c r="J12" s="1181"/>
      <c r="K12" s="1181">
        <f>'Шаблон 46 ГП'!G320/1000</f>
        <v>0</v>
      </c>
      <c r="L12" s="1181">
        <f>'Шаблон 46 ГП'!G324/1000</f>
        <v>0</v>
      </c>
      <c r="M12" s="1182">
        <f>SUM(N12:Q12)</f>
        <v>0</v>
      </c>
      <c r="N12" s="1182"/>
      <c r="O12" s="1182"/>
      <c r="P12" s="1182">
        <f>ROUND(G12*K12,2)</f>
        <v>0</v>
      </c>
      <c r="Q12" s="1183">
        <f>ROUND(H12*L12,2)</f>
        <v>0</v>
      </c>
      <c r="R12" s="1176"/>
    </row>
    <row r="13" spans="1:24" ht="16.149999999999999" customHeight="1">
      <c r="A13" s="1177"/>
      <c r="B13" s="1178" t="s">
        <v>327</v>
      </c>
      <c r="C13" s="1179">
        <f>SUM(D13:H13)</f>
        <v>21214106</v>
      </c>
      <c r="D13" s="1179"/>
      <c r="E13" s="1179"/>
      <c r="F13" s="1179"/>
      <c r="G13" s="1179">
        <f>'Шаблон 46 ГП'!F328*1000</f>
        <v>1662123</v>
      </c>
      <c r="H13" s="1179">
        <f>'Шаблон 46 ГП'!F332*1000</f>
        <v>19551983</v>
      </c>
      <c r="I13" s="1180"/>
      <c r="J13" s="1181"/>
      <c r="K13" s="1181">
        <f>'Шаблон 46 ГП'!G328/1000</f>
        <v>0</v>
      </c>
      <c r="L13" s="1181">
        <f>'Шаблон 46 ГП'!G332/1000</f>
        <v>0</v>
      </c>
      <c r="M13" s="1182">
        <f>SUM(N13:Q13)</f>
        <v>0</v>
      </c>
      <c r="N13" s="1182"/>
      <c r="O13" s="1182"/>
      <c r="P13" s="1183">
        <f>ROUND(G13*K13,2)</f>
        <v>0</v>
      </c>
      <c r="Q13" s="1183">
        <f>ROUND(H13*L13,2)</f>
        <v>0</v>
      </c>
      <c r="R13" s="1176"/>
    </row>
    <row r="14" spans="1:24" ht="16.149999999999999" customHeight="1">
      <c r="A14" s="1184"/>
      <c r="B14" s="1185"/>
      <c r="C14" s="1186"/>
      <c r="D14" s="1186"/>
      <c r="E14" s="1186"/>
      <c r="F14" s="1186"/>
      <c r="G14" s="1186"/>
      <c r="H14" s="1186"/>
      <c r="I14" s="1187"/>
      <c r="J14" s="1188"/>
      <c r="K14" s="1188"/>
      <c r="L14" s="1188"/>
      <c r="M14" s="1189"/>
      <c r="N14" s="1189"/>
      <c r="O14" s="1189"/>
      <c r="P14" s="1189"/>
      <c r="Q14" s="1190"/>
      <c r="R14" s="1176"/>
    </row>
    <row r="15" spans="1:24" ht="51.6" customHeight="1">
      <c r="A15" s="1177" t="s">
        <v>27</v>
      </c>
      <c r="B15" s="1191" t="s">
        <v>418</v>
      </c>
      <c r="C15" s="1179">
        <f>SUM(D15:H15)</f>
        <v>6713</v>
      </c>
      <c r="D15" s="1179"/>
      <c r="E15" s="1179"/>
      <c r="F15" s="1179"/>
      <c r="G15" s="1179">
        <f>'Шаблон 46 ГП'!F337*1000</f>
        <v>157</v>
      </c>
      <c r="H15" s="1179">
        <f>'Шаблон 46 ГП'!F338*1000</f>
        <v>6556</v>
      </c>
      <c r="I15" s="1180"/>
      <c r="J15" s="1181"/>
      <c r="K15" s="1192">
        <f>'Шаблон 46 ГП'!G337</f>
        <v>2799142.66</v>
      </c>
      <c r="L15" s="1192">
        <f>'Шаблон 46 ГП'!G338</f>
        <v>1025799.1099999999</v>
      </c>
      <c r="M15" s="1182">
        <f>SUM(N15:Q15)</f>
        <v>7164604.3700000001</v>
      </c>
      <c r="N15" s="1182"/>
      <c r="O15" s="1182"/>
      <c r="P15" s="1182">
        <f>ROUND(G15*K15/1000,2)</f>
        <v>439465.4</v>
      </c>
      <c r="Q15" s="1183">
        <f>ROUND(H15*L15/1000,2)</f>
        <v>6725138.9699999997</v>
      </c>
      <c r="R15" s="1176"/>
    </row>
    <row r="16" spans="1:24" ht="16.149999999999999" customHeight="1">
      <c r="A16" s="1184"/>
      <c r="B16" s="1185"/>
      <c r="C16" s="1186"/>
      <c r="D16" s="1186"/>
      <c r="E16" s="1186"/>
      <c r="F16" s="1186"/>
      <c r="G16" s="1186"/>
      <c r="H16" s="1186"/>
      <c r="I16" s="1187"/>
      <c r="J16" s="1188"/>
      <c r="K16" s="1188"/>
      <c r="L16" s="1188"/>
      <c r="M16" s="1189"/>
      <c r="N16" s="1189"/>
      <c r="O16" s="1189"/>
      <c r="P16" s="1189"/>
      <c r="Q16" s="1190"/>
      <c r="R16" s="1176"/>
    </row>
    <row r="17" spans="1:18" ht="65.650000000000006" customHeight="1">
      <c r="A17" s="1177" t="s">
        <v>41</v>
      </c>
      <c r="B17" s="1191" t="s">
        <v>422</v>
      </c>
      <c r="C17" s="1179">
        <f>SUM(D17:H17)</f>
        <v>3683248.0000000005</v>
      </c>
      <c r="D17" s="1179"/>
      <c r="E17" s="1179"/>
      <c r="F17" s="1179"/>
      <c r="G17" s="1179">
        <f>'Шаблон 46 ГП'!F340*1000</f>
        <v>102423</v>
      </c>
      <c r="H17" s="1179">
        <f>'Шаблон 46 ГП'!F341*1000</f>
        <v>3580825.0000000005</v>
      </c>
      <c r="I17" s="1180"/>
      <c r="J17" s="1181"/>
      <c r="K17" s="1192">
        <f>'Шаблон 46 ГП'!G340</f>
        <v>333.05</v>
      </c>
      <c r="L17" s="1192">
        <f>'Шаблон 46 ГП'!G341</f>
        <v>705.67000000000007</v>
      </c>
      <c r="M17" s="1182">
        <f>SUM(N17:Q17)</f>
        <v>2560992.7599999998</v>
      </c>
      <c r="N17" s="1182"/>
      <c r="O17" s="1182"/>
      <c r="P17" s="1182">
        <f>ROUND(G17*K17/1000,2)</f>
        <v>34111.980000000003</v>
      </c>
      <c r="Q17" s="1183">
        <f>ROUND(H17*L17/1000,2)</f>
        <v>2526880.7799999998</v>
      </c>
      <c r="R17" s="1176"/>
    </row>
    <row r="18" spans="1:18" ht="16.149999999999999" customHeight="1">
      <c r="A18" s="1184"/>
      <c r="B18" s="1185"/>
      <c r="C18" s="1186"/>
      <c r="D18" s="1186"/>
      <c r="E18" s="1186"/>
      <c r="F18" s="1186"/>
      <c r="G18" s="1186"/>
      <c r="H18" s="1186"/>
      <c r="I18" s="1187"/>
      <c r="J18" s="1188"/>
      <c r="K18" s="1188"/>
      <c r="L18" s="1188"/>
      <c r="M18" s="1189"/>
      <c r="N18" s="1189"/>
      <c r="O18" s="1189"/>
      <c r="P18" s="1189"/>
      <c r="Q18" s="1190"/>
      <c r="R18" s="1176"/>
    </row>
    <row r="19" spans="1:18" ht="16.149999999999999" customHeight="1">
      <c r="A19" s="1177" t="s">
        <v>44</v>
      </c>
      <c r="B19" s="1193" t="s">
        <v>1322</v>
      </c>
      <c r="C19" s="1179">
        <f>SUM(D19:H19)</f>
        <v>26798798</v>
      </c>
      <c r="D19" s="1179"/>
      <c r="E19" s="1179"/>
      <c r="F19" s="1179">
        <f>'Шаблон 46 ГП'!F317*1000</f>
        <v>2685312</v>
      </c>
      <c r="G19" s="1179">
        <f>'Шаблон 46 ГП'!F318*1000</f>
        <v>16975991</v>
      </c>
      <c r="H19" s="1179">
        <f>'Шаблон 46 ГП'!F319*1000</f>
        <v>7137495</v>
      </c>
      <c r="I19" s="1180"/>
      <c r="J19" s="1181">
        <f>'Шаблон 46 ГП'!G317/1000</f>
        <v>4.0697000000000001</v>
      </c>
      <c r="K19" s="1181">
        <f>'Шаблон 46 ГП'!G318/1000</f>
        <v>4.3606199999999999</v>
      </c>
      <c r="L19" s="1181">
        <f>'Шаблон 46 ГП'!G319/1000</f>
        <v>4.6002999999999998</v>
      </c>
      <c r="M19" s="1182">
        <f>SUM(N19:Q19)</f>
        <v>117788878.37</v>
      </c>
      <c r="N19" s="1182"/>
      <c r="O19" s="1182">
        <f>ROUND(F19*J19,2)</f>
        <v>10928414.25</v>
      </c>
      <c r="P19" s="1182">
        <f>ROUND(G19*K19,2)</f>
        <v>74025845.870000005</v>
      </c>
      <c r="Q19" s="1183">
        <f>ROUND(H19*L19,2)</f>
        <v>32834618.25</v>
      </c>
      <c r="R19" s="1176"/>
    </row>
    <row r="20" spans="1:18" ht="18.75" customHeight="1">
      <c r="A20" s="1194"/>
      <c r="B20" s="1195" t="s">
        <v>1323</v>
      </c>
      <c r="C20" s="1196">
        <f>SUM(D20:H20)</f>
        <v>51629037</v>
      </c>
      <c r="D20" s="1196"/>
      <c r="E20" s="1196"/>
      <c r="F20" s="1196">
        <f>F11+F19</f>
        <v>2685312</v>
      </c>
      <c r="G20" s="1196">
        <f>G11+G19</f>
        <v>20594234</v>
      </c>
      <c r="H20" s="1196">
        <f>H11+H19</f>
        <v>28349491</v>
      </c>
      <c r="I20" s="1197"/>
      <c r="J20" s="1198"/>
      <c r="K20" s="1198"/>
      <c r="L20" s="1198"/>
      <c r="M20" s="1199">
        <f>SUM(N20:Q20)-M21</f>
        <v>127514475.5</v>
      </c>
      <c r="N20" s="1199"/>
      <c r="O20" s="1199">
        <f>SUM(O12:O19)</f>
        <v>10928414.25</v>
      </c>
      <c r="P20" s="1199">
        <f>SUM(P12:P19)</f>
        <v>74499423.25</v>
      </c>
      <c r="Q20" s="1200">
        <f>SUM(Q12:Q19)</f>
        <v>42086638</v>
      </c>
      <c r="R20" s="1176"/>
    </row>
    <row r="21" spans="1:18" s="1207" customFormat="1" ht="16.149999999999999" customHeight="1" thickBot="1">
      <c r="A21" s="1201" t="s">
        <v>427</v>
      </c>
      <c r="B21" s="1202" t="s">
        <v>24</v>
      </c>
      <c r="C21" s="1203"/>
      <c r="D21" s="1203"/>
      <c r="E21" s="1203"/>
      <c r="F21" s="1203"/>
      <c r="G21" s="1203"/>
      <c r="H21" s="1203"/>
      <c r="I21" s="1204"/>
      <c r="J21" s="1204"/>
      <c r="K21" s="1204"/>
      <c r="L21" s="1204"/>
      <c r="M21" s="1205">
        <f>'Шаблон 46 ГП'!H355</f>
        <v>0</v>
      </c>
      <c r="N21" s="1205"/>
      <c r="O21" s="1205"/>
      <c r="P21" s="1205"/>
      <c r="Q21" s="1206"/>
    </row>
    <row r="22" spans="1:18" ht="12.75">
      <c r="A22" s="1153"/>
      <c r="B22" s="1153"/>
      <c r="C22" s="1153"/>
      <c r="D22" s="1153"/>
      <c r="E22" s="1153"/>
      <c r="F22" s="1153"/>
      <c r="G22" s="1153"/>
      <c r="H22" s="1153"/>
      <c r="I22" s="1153"/>
      <c r="J22" s="1153"/>
      <c r="K22" s="1153"/>
      <c r="L22" s="1153"/>
      <c r="M22" s="1153"/>
      <c r="N22" s="1153"/>
      <c r="O22" s="1153"/>
      <c r="P22" s="1153"/>
      <c r="Q22" s="1153"/>
    </row>
    <row r="23" spans="1:18" ht="15.75">
      <c r="A23" s="1153"/>
      <c r="B23" s="1208" t="s">
        <v>1324</v>
      </c>
      <c r="C23" s="1209">
        <f>C24+C25</f>
        <v>127514475.5</v>
      </c>
      <c r="D23" s="1153" t="s">
        <v>1325</v>
      </c>
      <c r="E23" s="1153"/>
      <c r="F23" s="1153"/>
      <c r="G23" s="1153"/>
      <c r="H23" s="1153"/>
      <c r="I23" s="1153"/>
      <c r="J23" s="1153"/>
      <c r="K23" s="1153"/>
      <c r="L23" s="1153"/>
      <c r="M23" s="1153"/>
      <c r="N23" s="1153"/>
      <c r="O23" s="1153"/>
      <c r="P23" s="1153"/>
      <c r="Q23" s="1153"/>
    </row>
    <row r="24" spans="1:18" ht="15.75">
      <c r="A24" s="1153"/>
      <c r="B24" s="1210" t="s">
        <v>1326</v>
      </c>
      <c r="C24" s="1209">
        <f>M11</f>
        <v>0</v>
      </c>
      <c r="D24" s="1153" t="s">
        <v>1325</v>
      </c>
      <c r="E24" s="1153"/>
      <c r="F24" s="1153"/>
      <c r="G24" s="1153"/>
      <c r="H24" s="1153"/>
      <c r="I24" s="1153"/>
      <c r="J24" s="1153"/>
      <c r="K24" s="1153"/>
      <c r="L24" s="1153"/>
      <c r="M24" s="1153"/>
      <c r="N24" s="1153"/>
      <c r="O24" s="1153"/>
      <c r="P24" s="1153"/>
      <c r="Q24" s="1153"/>
    </row>
    <row r="25" spans="1:18" ht="15.75">
      <c r="A25" s="1153"/>
      <c r="B25" s="1210" t="s">
        <v>1327</v>
      </c>
      <c r="C25" s="1209">
        <f>M20-C24</f>
        <v>127514475.5</v>
      </c>
      <c r="D25" s="1153" t="s">
        <v>1325</v>
      </c>
      <c r="E25" s="1153"/>
      <c r="F25" s="1153"/>
      <c r="G25" s="1153"/>
      <c r="H25" s="1153"/>
      <c r="I25" s="1153"/>
      <c r="J25" s="1153"/>
      <c r="K25" s="1153"/>
      <c r="L25" s="1153"/>
      <c r="M25" s="1153"/>
      <c r="N25" s="1153"/>
      <c r="O25" s="1153"/>
      <c r="P25" s="1153"/>
      <c r="Q25" s="1153"/>
    </row>
    <row r="26" spans="1:18" ht="12.75">
      <c r="A26" s="1153"/>
      <c r="B26" s="1153"/>
      <c r="C26" s="1153"/>
      <c r="D26" s="1153"/>
      <c r="E26" s="1153"/>
      <c r="F26" s="1153"/>
      <c r="G26" s="1153"/>
      <c r="H26" s="1153"/>
      <c r="I26" s="1153"/>
      <c r="J26" s="1153"/>
      <c r="K26" s="1153"/>
      <c r="L26" s="1153"/>
      <c r="M26" s="1153"/>
      <c r="N26" s="1153"/>
      <c r="O26" s="1153"/>
      <c r="P26" s="1153"/>
      <c r="Q26" s="1153"/>
    </row>
    <row r="27" spans="1:18" s="1215" customFormat="1" ht="27" customHeight="1">
      <c r="A27" s="1211" t="s">
        <v>27</v>
      </c>
      <c r="B27" s="1212" t="s">
        <v>1328</v>
      </c>
      <c r="C27" s="1213"/>
      <c r="D27" s="1213"/>
      <c r="E27" s="1213"/>
      <c r="F27" s="1213"/>
      <c r="G27" s="1213"/>
      <c r="H27" s="1213"/>
      <c r="I27" s="1213"/>
      <c r="J27" s="1213"/>
      <c r="K27" s="1213"/>
      <c r="L27" s="1214"/>
      <c r="M27" s="1214"/>
      <c r="N27" s="1214"/>
      <c r="O27" s="1214"/>
      <c r="P27" s="1214"/>
      <c r="Q27" s="1214"/>
    </row>
    <row r="28" spans="1:18" ht="18" customHeight="1" thickBot="1">
      <c r="A28" s="4360"/>
      <c r="B28" s="4361"/>
      <c r="C28" s="4361"/>
      <c r="D28" s="4361"/>
      <c r="E28" s="4361"/>
      <c r="F28" s="4361"/>
      <c r="G28" s="4361"/>
      <c r="H28" s="4361"/>
      <c r="I28" s="4361"/>
      <c r="J28" s="4361"/>
      <c r="K28" s="4361"/>
      <c r="L28" s="4361"/>
      <c r="M28" s="4361"/>
      <c r="N28" s="4361"/>
      <c r="O28" s="4361"/>
      <c r="P28" s="4361"/>
      <c r="Q28" s="4362"/>
    </row>
    <row r="29" spans="1:18" ht="28.5" customHeight="1">
      <c r="A29" s="4363" t="s">
        <v>400</v>
      </c>
      <c r="B29" s="4365" t="s">
        <v>1329</v>
      </c>
      <c r="C29" s="4367" t="s">
        <v>1330</v>
      </c>
      <c r="D29" s="4369" t="s">
        <v>1331</v>
      </c>
      <c r="E29" s="4370"/>
      <c r="F29" s="4373" t="s">
        <v>1332</v>
      </c>
      <c r="G29" s="4373"/>
      <c r="H29" s="4373"/>
      <c r="I29" s="4369" t="s">
        <v>1333</v>
      </c>
      <c r="J29" s="4370"/>
      <c r="K29" s="4374" t="s">
        <v>1334</v>
      </c>
      <c r="L29" s="4375"/>
      <c r="M29" s="4375"/>
      <c r="N29" s="4375"/>
      <c r="O29" s="4376"/>
      <c r="P29" s="1216" t="s">
        <v>1335</v>
      </c>
      <c r="Q29" s="1217" t="s">
        <v>1336</v>
      </c>
    </row>
    <row r="30" spans="1:18" ht="36.75" thickBot="1">
      <c r="A30" s="4364"/>
      <c r="B30" s="4366"/>
      <c r="C30" s="4368"/>
      <c r="D30" s="4371"/>
      <c r="E30" s="4372"/>
      <c r="F30" s="1219" t="s">
        <v>1337</v>
      </c>
      <c r="G30" s="1219" t="s">
        <v>1338</v>
      </c>
      <c r="H30" s="1219" t="s">
        <v>1339</v>
      </c>
      <c r="I30" s="4371"/>
      <c r="J30" s="4372"/>
      <c r="K30" s="1219" t="s">
        <v>1340</v>
      </c>
      <c r="L30" s="4377" t="s">
        <v>1338</v>
      </c>
      <c r="M30" s="4378"/>
      <c r="N30" s="4377" t="s">
        <v>1339</v>
      </c>
      <c r="O30" s="4378"/>
      <c r="P30" s="1218"/>
      <c r="Q30" s="1220"/>
    </row>
    <row r="31" spans="1:18" ht="15" customHeight="1">
      <c r="A31" s="1221"/>
      <c r="B31" s="1222"/>
      <c r="C31" s="1223"/>
      <c r="D31" s="4365" t="s">
        <v>1341</v>
      </c>
      <c r="E31" s="4383"/>
      <c r="F31" s="1224" t="s">
        <v>1342</v>
      </c>
      <c r="G31" s="1224" t="s">
        <v>923</v>
      </c>
      <c r="H31" s="1224" t="s">
        <v>923</v>
      </c>
      <c r="I31" s="4365" t="s">
        <v>420</v>
      </c>
      <c r="J31" s="4383"/>
      <c r="K31" s="1224" t="s">
        <v>1343</v>
      </c>
      <c r="L31" s="4384" t="s">
        <v>923</v>
      </c>
      <c r="M31" s="4385"/>
      <c r="N31" s="4384" t="s">
        <v>923</v>
      </c>
      <c r="O31" s="4385"/>
      <c r="P31" s="1224" t="s">
        <v>923</v>
      </c>
      <c r="Q31" s="1225" t="s">
        <v>923</v>
      </c>
    </row>
    <row r="32" spans="1:18" ht="14.25">
      <c r="A32" s="1226">
        <v>1</v>
      </c>
      <c r="B32" s="1226" t="s">
        <v>1344</v>
      </c>
      <c r="C32" s="1226" t="s">
        <v>1345</v>
      </c>
      <c r="D32" s="1227">
        <v>3923100</v>
      </c>
      <c r="E32" s="1228"/>
      <c r="F32" s="1229">
        <v>0.44952999999999999</v>
      </c>
      <c r="G32" s="1230">
        <v>1763551.14</v>
      </c>
      <c r="H32" s="1230">
        <v>2080990.35</v>
      </c>
      <c r="I32" s="1231">
        <v>0</v>
      </c>
      <c r="J32" s="1232"/>
      <c r="K32" s="1233">
        <v>0</v>
      </c>
      <c r="L32" s="1234">
        <v>0</v>
      </c>
      <c r="M32" s="1235"/>
      <c r="N32" s="1234">
        <v>0</v>
      </c>
      <c r="O32" s="1235"/>
      <c r="P32" s="1230">
        <v>1763551.14</v>
      </c>
      <c r="Q32" s="1230">
        <v>2080990.35</v>
      </c>
    </row>
    <row r="33" spans="1:17" ht="14.25">
      <c r="A33" s="1226">
        <v>2</v>
      </c>
      <c r="B33" s="1226" t="s">
        <v>1346</v>
      </c>
      <c r="C33" s="1226" t="s">
        <v>1347</v>
      </c>
      <c r="D33" s="1227">
        <v>691659</v>
      </c>
      <c r="E33" s="1228"/>
      <c r="F33" s="1229">
        <v>0.61951000000000001</v>
      </c>
      <c r="G33" s="1230">
        <v>428489.67</v>
      </c>
      <c r="H33" s="1230">
        <v>505617.81</v>
      </c>
      <c r="I33" s="1231">
        <v>0</v>
      </c>
      <c r="J33" s="1232"/>
      <c r="K33" s="1233">
        <v>0</v>
      </c>
      <c r="L33" s="1234">
        <v>0</v>
      </c>
      <c r="M33" s="1235"/>
      <c r="N33" s="1234">
        <v>0</v>
      </c>
      <c r="O33" s="1235"/>
      <c r="P33" s="1230">
        <v>428489.67</v>
      </c>
      <c r="Q33" s="1230">
        <v>505617.81</v>
      </c>
    </row>
    <row r="34" spans="1:17" ht="14.25">
      <c r="A34" s="1226">
        <v>3</v>
      </c>
      <c r="B34" s="1226" t="s">
        <v>1348</v>
      </c>
      <c r="C34" s="1226" t="s">
        <v>1347</v>
      </c>
      <c r="D34" s="1227">
        <v>2557296</v>
      </c>
      <c r="E34" s="1228"/>
      <c r="F34" s="1229">
        <v>0.65817000000000003</v>
      </c>
      <c r="G34" s="1230">
        <v>1683135.51</v>
      </c>
      <c r="H34" s="1230">
        <v>1986099.9</v>
      </c>
      <c r="I34" s="1231">
        <v>19.939</v>
      </c>
      <c r="J34" s="1232"/>
      <c r="K34" s="1233">
        <v>147641.94</v>
      </c>
      <c r="L34" s="1234">
        <v>2943832.64</v>
      </c>
      <c r="M34" s="1235"/>
      <c r="N34" s="1234">
        <v>3473722.52</v>
      </c>
      <c r="O34" s="1235"/>
      <c r="P34" s="1230">
        <v>4626968.1500000004</v>
      </c>
      <c r="Q34" s="1230">
        <v>5459822.4199999999</v>
      </c>
    </row>
    <row r="35" spans="1:17" ht="14.25">
      <c r="A35" s="1226">
        <v>4</v>
      </c>
      <c r="B35" s="1226" t="s">
        <v>1349</v>
      </c>
      <c r="C35" s="1226" t="s">
        <v>1350</v>
      </c>
      <c r="D35" s="1227">
        <v>0</v>
      </c>
      <c r="E35" s="1228"/>
      <c r="F35" s="1229">
        <v>1.0200000000000001E-2</v>
      </c>
      <c r="G35" s="1230">
        <v>0</v>
      </c>
      <c r="H35" s="1230">
        <v>0</v>
      </c>
      <c r="I35" s="1231">
        <v>0</v>
      </c>
      <c r="J35" s="1232"/>
      <c r="K35" s="1233">
        <v>123913.13</v>
      </c>
      <c r="L35" s="1234">
        <v>0</v>
      </c>
      <c r="M35" s="1235"/>
      <c r="N35" s="1234">
        <v>0</v>
      </c>
      <c r="O35" s="1235"/>
      <c r="P35" s="1230">
        <v>0</v>
      </c>
      <c r="Q35" s="1230">
        <v>0</v>
      </c>
    </row>
    <row r="36" spans="1:17" ht="14.25">
      <c r="A36" s="1226">
        <v>5</v>
      </c>
      <c r="B36" s="1226" t="s">
        <v>1351</v>
      </c>
      <c r="C36" s="1226" t="s">
        <v>1350</v>
      </c>
      <c r="D36" s="1227">
        <v>0</v>
      </c>
      <c r="E36" s="1228"/>
      <c r="F36" s="1229">
        <v>1.0189999999999999E-2</v>
      </c>
      <c r="G36" s="1230">
        <v>0</v>
      </c>
      <c r="H36" s="1230">
        <v>0</v>
      </c>
      <c r="I36" s="1231">
        <v>0</v>
      </c>
      <c r="J36" s="1232"/>
      <c r="K36" s="1233">
        <v>127837.24</v>
      </c>
      <c r="L36" s="1234">
        <v>0</v>
      </c>
      <c r="M36" s="1235"/>
      <c r="N36" s="1234">
        <v>0</v>
      </c>
      <c r="O36" s="1235"/>
      <c r="P36" s="1230">
        <v>0</v>
      </c>
      <c r="Q36" s="1230">
        <v>0</v>
      </c>
    </row>
    <row r="37" spans="1:17" ht="14.25">
      <c r="A37" s="1226">
        <v>6</v>
      </c>
      <c r="B37" s="1226" t="s">
        <v>1352</v>
      </c>
      <c r="C37" s="1226" t="s">
        <v>1350</v>
      </c>
      <c r="D37" s="1227">
        <v>0</v>
      </c>
      <c r="E37" s="1228"/>
      <c r="F37" s="1229">
        <v>1.0189999999999999E-2</v>
      </c>
      <c r="G37" s="1230">
        <v>0</v>
      </c>
      <c r="H37" s="1230">
        <v>0</v>
      </c>
      <c r="I37" s="1231">
        <v>0</v>
      </c>
      <c r="J37" s="1232"/>
      <c r="K37" s="1233">
        <v>133000</v>
      </c>
      <c r="L37" s="1234">
        <v>0</v>
      </c>
      <c r="M37" s="1235"/>
      <c r="N37" s="1234">
        <v>0</v>
      </c>
      <c r="O37" s="1235"/>
      <c r="P37" s="1230">
        <v>0</v>
      </c>
      <c r="Q37" s="1230">
        <v>0</v>
      </c>
    </row>
    <row r="38" spans="1:17" ht="14.25">
      <c r="A38" s="1226">
        <v>7</v>
      </c>
      <c r="B38" s="1226" t="s">
        <v>1353</v>
      </c>
      <c r="C38" s="1226" t="s">
        <v>1350</v>
      </c>
      <c r="D38" s="1227">
        <v>0</v>
      </c>
      <c r="E38" s="1228"/>
      <c r="F38" s="1229">
        <v>1.0189999999999999E-2</v>
      </c>
      <c r="G38" s="1230">
        <v>0</v>
      </c>
      <c r="H38" s="1230">
        <v>0</v>
      </c>
      <c r="I38" s="1231">
        <v>0</v>
      </c>
      <c r="J38" s="1232"/>
      <c r="K38" s="1233">
        <v>128400</v>
      </c>
      <c r="L38" s="1234">
        <v>0</v>
      </c>
      <c r="M38" s="1235"/>
      <c r="N38" s="1234">
        <v>0</v>
      </c>
      <c r="O38" s="1235"/>
      <c r="P38" s="1230">
        <v>0</v>
      </c>
      <c r="Q38" s="1230">
        <v>0</v>
      </c>
    </row>
    <row r="39" spans="1:17" ht="14.25">
      <c r="A39" s="1226">
        <v>8</v>
      </c>
      <c r="B39" s="1226" t="s">
        <v>1354</v>
      </c>
      <c r="C39" s="1226" t="s">
        <v>1350</v>
      </c>
      <c r="D39" s="1227">
        <v>0</v>
      </c>
      <c r="E39" s="1228"/>
      <c r="F39" s="1229">
        <v>1.123E-2</v>
      </c>
      <c r="G39" s="1230">
        <v>0</v>
      </c>
      <c r="H39" s="1230">
        <v>0</v>
      </c>
      <c r="I39" s="1231">
        <v>0</v>
      </c>
      <c r="J39" s="1232"/>
      <c r="K39" s="1233">
        <v>123913.13</v>
      </c>
      <c r="L39" s="1234">
        <v>0</v>
      </c>
      <c r="M39" s="1235"/>
      <c r="N39" s="1234">
        <v>0</v>
      </c>
      <c r="O39" s="1235"/>
      <c r="P39" s="1230">
        <v>0</v>
      </c>
      <c r="Q39" s="1230">
        <v>0</v>
      </c>
    </row>
    <row r="40" spans="1:17" ht="14.25">
      <c r="A40" s="1226">
        <v>9</v>
      </c>
      <c r="B40" s="1226" t="s">
        <v>1355</v>
      </c>
      <c r="C40" s="1226" t="s">
        <v>1350</v>
      </c>
      <c r="D40" s="1227">
        <v>0</v>
      </c>
      <c r="E40" s="1228"/>
      <c r="F40" s="1229">
        <v>1.0540000000000001E-2</v>
      </c>
      <c r="G40" s="1230">
        <v>0</v>
      </c>
      <c r="H40" s="1230">
        <v>0</v>
      </c>
      <c r="I40" s="1231">
        <v>0</v>
      </c>
      <c r="J40" s="1232"/>
      <c r="K40" s="1233">
        <v>133000</v>
      </c>
      <c r="L40" s="1234">
        <v>0</v>
      </c>
      <c r="M40" s="1235"/>
      <c r="N40" s="1234">
        <v>0</v>
      </c>
      <c r="O40" s="1235"/>
      <c r="P40" s="1230">
        <v>0</v>
      </c>
      <c r="Q40" s="1230">
        <v>0</v>
      </c>
    </row>
    <row r="41" spans="1:17" ht="14.25">
      <c r="A41" s="1226">
        <v>10</v>
      </c>
      <c r="B41" s="1226" t="s">
        <v>1356</v>
      </c>
      <c r="C41" s="1226" t="s">
        <v>1350</v>
      </c>
      <c r="D41" s="1227">
        <v>0</v>
      </c>
      <c r="E41" s="1228"/>
      <c r="F41" s="1229">
        <v>1.059E-2</v>
      </c>
      <c r="G41" s="1230">
        <v>0</v>
      </c>
      <c r="H41" s="1230">
        <v>0</v>
      </c>
      <c r="I41" s="1231">
        <v>0</v>
      </c>
      <c r="J41" s="1232"/>
      <c r="K41" s="1233">
        <v>123913.13</v>
      </c>
      <c r="L41" s="1234">
        <v>0</v>
      </c>
      <c r="M41" s="1235"/>
      <c r="N41" s="1234">
        <v>0</v>
      </c>
      <c r="O41" s="1235"/>
      <c r="P41" s="1230">
        <v>0</v>
      </c>
      <c r="Q41" s="1230">
        <v>0</v>
      </c>
    </row>
    <row r="42" spans="1:17" ht="14.25">
      <c r="A42" s="1226">
        <v>11</v>
      </c>
      <c r="B42" s="1226" t="s">
        <v>1357</v>
      </c>
      <c r="C42" s="1226" t="s">
        <v>1350</v>
      </c>
      <c r="D42" s="1227">
        <v>0</v>
      </c>
      <c r="E42" s="1228"/>
      <c r="F42" s="1229">
        <v>1.039E-2</v>
      </c>
      <c r="G42" s="1230">
        <v>0</v>
      </c>
      <c r="H42" s="1230">
        <v>0</v>
      </c>
      <c r="I42" s="1231">
        <v>0</v>
      </c>
      <c r="J42" s="1232"/>
      <c r="K42" s="1233">
        <v>127837.24</v>
      </c>
      <c r="L42" s="1234">
        <v>0</v>
      </c>
      <c r="M42" s="1235"/>
      <c r="N42" s="1234">
        <v>0</v>
      </c>
      <c r="O42" s="1235"/>
      <c r="P42" s="1230">
        <v>0</v>
      </c>
      <c r="Q42" s="1230">
        <v>0</v>
      </c>
    </row>
    <row r="43" spans="1:17" ht="14.25">
      <c r="A43" s="1226">
        <v>12</v>
      </c>
      <c r="B43" s="1226" t="s">
        <v>1358</v>
      </c>
      <c r="C43" s="1226" t="s">
        <v>1359</v>
      </c>
      <c r="D43" s="1227">
        <v>0</v>
      </c>
      <c r="E43" s="1228"/>
      <c r="F43" s="1229">
        <v>0.59775999999999996</v>
      </c>
      <c r="G43" s="1230">
        <v>0</v>
      </c>
      <c r="H43" s="1230">
        <v>0</v>
      </c>
      <c r="I43" s="1231">
        <v>0</v>
      </c>
      <c r="J43" s="1232"/>
      <c r="K43" s="1233">
        <v>151988.67000000001</v>
      </c>
      <c r="L43" s="1234">
        <v>0</v>
      </c>
      <c r="M43" s="1235"/>
      <c r="N43" s="1234">
        <v>0</v>
      </c>
      <c r="O43" s="1235"/>
      <c r="P43" s="1230">
        <v>0</v>
      </c>
      <c r="Q43" s="1230">
        <v>0</v>
      </c>
    </row>
    <row r="44" spans="1:17" ht="14.25">
      <c r="A44" s="1226">
        <v>13</v>
      </c>
      <c r="B44" s="1226" t="s">
        <v>1360</v>
      </c>
      <c r="C44" s="1226" t="s">
        <v>1359</v>
      </c>
      <c r="D44" s="1227">
        <v>0</v>
      </c>
      <c r="E44" s="1228"/>
      <c r="F44" s="1229">
        <v>0.72745000000000004</v>
      </c>
      <c r="G44" s="1230">
        <v>0</v>
      </c>
      <c r="H44" s="1230">
        <v>0</v>
      </c>
      <c r="I44" s="1231">
        <v>0</v>
      </c>
      <c r="J44" s="1232"/>
      <c r="K44" s="1233">
        <v>149876.16</v>
      </c>
      <c r="L44" s="1234">
        <v>0</v>
      </c>
      <c r="M44" s="1235"/>
      <c r="N44" s="1234">
        <v>0</v>
      </c>
      <c r="O44" s="1235"/>
      <c r="P44" s="1230">
        <v>0</v>
      </c>
      <c r="Q44" s="1230">
        <v>0</v>
      </c>
    </row>
    <row r="45" spans="1:17" ht="14.25">
      <c r="A45" s="1226">
        <v>14</v>
      </c>
      <c r="B45" s="1226" t="s">
        <v>1361</v>
      </c>
      <c r="C45" s="1226" t="s">
        <v>1359</v>
      </c>
      <c r="D45" s="1227">
        <v>0</v>
      </c>
      <c r="E45" s="1228"/>
      <c r="F45" s="1229">
        <v>0.48609000000000002</v>
      </c>
      <c r="G45" s="1230">
        <v>0</v>
      </c>
      <c r="H45" s="1230">
        <v>0</v>
      </c>
      <c r="I45" s="1231">
        <v>0</v>
      </c>
      <c r="J45" s="1232"/>
      <c r="K45" s="1233">
        <v>0</v>
      </c>
      <c r="L45" s="1234">
        <v>0</v>
      </c>
      <c r="M45" s="1235"/>
      <c r="N45" s="1234">
        <v>0</v>
      </c>
      <c r="O45" s="1235"/>
      <c r="P45" s="1230">
        <v>0</v>
      </c>
      <c r="Q45" s="1230">
        <v>0</v>
      </c>
    </row>
    <row r="46" spans="1:17" ht="14.25">
      <c r="A46" s="1226">
        <v>15</v>
      </c>
      <c r="B46" s="1226" t="s">
        <v>1362</v>
      </c>
      <c r="C46" s="1226" t="s">
        <v>1359</v>
      </c>
      <c r="D46" s="1227">
        <v>0</v>
      </c>
      <c r="E46" s="1228"/>
      <c r="F46" s="1229">
        <v>0.58337000000000006</v>
      </c>
      <c r="G46" s="1230">
        <v>0</v>
      </c>
      <c r="H46" s="1230">
        <v>0</v>
      </c>
      <c r="I46" s="1231">
        <v>0</v>
      </c>
      <c r="J46" s="1232"/>
      <c r="K46" s="1233">
        <v>0</v>
      </c>
      <c r="L46" s="1234">
        <v>0</v>
      </c>
      <c r="M46" s="1235"/>
      <c r="N46" s="1234">
        <v>0</v>
      </c>
      <c r="O46" s="1235"/>
      <c r="P46" s="1230">
        <v>0</v>
      </c>
      <c r="Q46" s="1230">
        <v>0</v>
      </c>
    </row>
    <row r="47" spans="1:17" ht="14.25">
      <c r="A47" s="1226">
        <v>16</v>
      </c>
      <c r="B47" s="1226" t="s">
        <v>1363</v>
      </c>
      <c r="C47" s="1226" t="s">
        <v>1359</v>
      </c>
      <c r="D47" s="1227">
        <v>4262328</v>
      </c>
      <c r="E47" s="1228"/>
      <c r="F47" s="1229">
        <v>0.54762</v>
      </c>
      <c r="G47" s="1230">
        <v>2334136.06</v>
      </c>
      <c r="H47" s="1230">
        <v>2754280.55</v>
      </c>
      <c r="I47" s="1231">
        <v>0</v>
      </c>
      <c r="J47" s="1232"/>
      <c r="K47" s="1233">
        <v>0</v>
      </c>
      <c r="L47" s="1234">
        <v>0</v>
      </c>
      <c r="M47" s="1235"/>
      <c r="N47" s="1234">
        <v>0</v>
      </c>
      <c r="O47" s="1235"/>
      <c r="P47" s="1230">
        <v>2334136.06</v>
      </c>
      <c r="Q47" s="1230">
        <v>2754280.55</v>
      </c>
    </row>
    <row r="48" spans="1:17" ht="14.25">
      <c r="A48" s="1226">
        <v>17</v>
      </c>
      <c r="B48" s="1226" t="s">
        <v>1364</v>
      </c>
      <c r="C48" s="1226" t="s">
        <v>1365</v>
      </c>
      <c r="D48" s="1227">
        <v>0</v>
      </c>
      <c r="E48" s="1228"/>
      <c r="F48" s="1229">
        <v>0.51888999999999996</v>
      </c>
      <c r="G48" s="1230">
        <v>0</v>
      </c>
      <c r="H48" s="1230">
        <v>0</v>
      </c>
      <c r="I48" s="1231">
        <v>0</v>
      </c>
      <c r="J48" s="1232"/>
      <c r="K48" s="1233">
        <v>0</v>
      </c>
      <c r="L48" s="1234">
        <v>0</v>
      </c>
      <c r="M48" s="1235"/>
      <c r="N48" s="1234">
        <v>0</v>
      </c>
      <c r="O48" s="1235"/>
      <c r="P48" s="1230">
        <v>0</v>
      </c>
      <c r="Q48" s="1230">
        <v>0</v>
      </c>
    </row>
    <row r="49" spans="1:17" ht="14.25">
      <c r="A49" s="1226">
        <v>18</v>
      </c>
      <c r="B49" s="1226" t="s">
        <v>1366</v>
      </c>
      <c r="C49" s="1226" t="s">
        <v>1365</v>
      </c>
      <c r="D49" s="1227">
        <v>5653317</v>
      </c>
      <c r="E49" s="1228"/>
      <c r="F49" s="1229">
        <v>0.51780999999999999</v>
      </c>
      <c r="G49" s="1230">
        <v>2927344.08</v>
      </c>
      <c r="H49" s="1230">
        <v>3454266.01</v>
      </c>
      <c r="I49" s="1231">
        <v>0</v>
      </c>
      <c r="J49" s="1232"/>
      <c r="K49" s="1233">
        <v>0</v>
      </c>
      <c r="L49" s="1234">
        <v>0</v>
      </c>
      <c r="M49" s="1235"/>
      <c r="N49" s="1234">
        <v>0</v>
      </c>
      <c r="O49" s="1235"/>
      <c r="P49" s="1230">
        <v>2927344.08</v>
      </c>
      <c r="Q49" s="1230">
        <v>3454266.01</v>
      </c>
    </row>
    <row r="50" spans="1:17" ht="14.25">
      <c r="A50" s="1226">
        <v>19</v>
      </c>
      <c r="B50" s="1226" t="s">
        <v>1367</v>
      </c>
      <c r="C50" s="1226" t="s">
        <v>1365</v>
      </c>
      <c r="D50" s="1227">
        <v>0</v>
      </c>
      <c r="E50" s="1228"/>
      <c r="F50" s="1229">
        <v>0.69725999999999999</v>
      </c>
      <c r="G50" s="1230">
        <v>0</v>
      </c>
      <c r="H50" s="1230">
        <v>0</v>
      </c>
      <c r="I50" s="1231">
        <v>0</v>
      </c>
      <c r="J50" s="1232"/>
      <c r="K50" s="1233">
        <v>86930.97</v>
      </c>
      <c r="L50" s="1234">
        <v>0</v>
      </c>
      <c r="M50" s="1235"/>
      <c r="N50" s="1234">
        <v>0</v>
      </c>
      <c r="O50" s="1235"/>
      <c r="P50" s="1230">
        <v>0</v>
      </c>
      <c r="Q50" s="1230">
        <v>0</v>
      </c>
    </row>
    <row r="51" spans="1:17" ht="14.25">
      <c r="A51" s="1226">
        <v>20</v>
      </c>
      <c r="B51" s="1226" t="s">
        <v>1368</v>
      </c>
      <c r="C51" s="1226" t="s">
        <v>1369</v>
      </c>
      <c r="D51" s="1227">
        <v>0</v>
      </c>
      <c r="E51" s="1228"/>
      <c r="F51" s="1229">
        <v>0.80539000000000005</v>
      </c>
      <c r="G51" s="1230">
        <v>0</v>
      </c>
      <c r="H51" s="1230">
        <v>0</v>
      </c>
      <c r="I51" s="1231">
        <v>0</v>
      </c>
      <c r="J51" s="1232"/>
      <c r="K51" s="1233">
        <v>165592.57</v>
      </c>
      <c r="L51" s="1234">
        <v>0</v>
      </c>
      <c r="M51" s="1235"/>
      <c r="N51" s="1234">
        <v>0</v>
      </c>
      <c r="O51" s="1235"/>
      <c r="P51" s="1230">
        <v>0</v>
      </c>
      <c r="Q51" s="1230">
        <v>0</v>
      </c>
    </row>
    <row r="52" spans="1:17" ht="14.25">
      <c r="A52" s="1226">
        <v>21</v>
      </c>
      <c r="B52" s="1226" t="s">
        <v>1370</v>
      </c>
      <c r="C52" s="1226" t="s">
        <v>1371</v>
      </c>
      <c r="D52" s="1227">
        <v>0</v>
      </c>
      <c r="E52" s="1228"/>
      <c r="F52" s="1229">
        <v>0.72009999999999996</v>
      </c>
      <c r="G52" s="1230">
        <v>0</v>
      </c>
      <c r="H52" s="1230">
        <v>0</v>
      </c>
      <c r="I52" s="1231">
        <v>40.241999999999997</v>
      </c>
      <c r="J52" s="1232"/>
      <c r="K52" s="1233">
        <v>97830.56</v>
      </c>
      <c r="L52" s="1234">
        <v>3936897.4</v>
      </c>
      <c r="M52" s="1235"/>
      <c r="N52" s="1234">
        <v>4645538.93</v>
      </c>
      <c r="O52" s="1235"/>
      <c r="P52" s="1230">
        <v>3936897.4</v>
      </c>
      <c r="Q52" s="1230">
        <v>4645538.93</v>
      </c>
    </row>
    <row r="53" spans="1:17" ht="14.25">
      <c r="A53" s="1226">
        <v>22</v>
      </c>
      <c r="B53" s="1226" t="s">
        <v>1372</v>
      </c>
      <c r="C53" s="1226" t="s">
        <v>1373</v>
      </c>
      <c r="D53" s="1227">
        <v>0</v>
      </c>
      <c r="E53" s="1228"/>
      <c r="F53" s="1229">
        <v>1.4035599999999999</v>
      </c>
      <c r="G53" s="1230">
        <v>0</v>
      </c>
      <c r="H53" s="1230">
        <v>0</v>
      </c>
      <c r="I53" s="1231">
        <v>0</v>
      </c>
      <c r="J53" s="1232"/>
      <c r="K53" s="1233">
        <v>242903.88</v>
      </c>
      <c r="L53" s="1234">
        <v>0</v>
      </c>
      <c r="M53" s="1235"/>
      <c r="N53" s="1234">
        <v>0</v>
      </c>
      <c r="O53" s="1235"/>
      <c r="P53" s="1230">
        <v>0</v>
      </c>
      <c r="Q53" s="1230">
        <v>0</v>
      </c>
    </row>
    <row r="54" spans="1:17" ht="14.25">
      <c r="A54" s="1226">
        <v>23</v>
      </c>
      <c r="B54" s="1226" t="s">
        <v>1374</v>
      </c>
      <c r="C54" s="1226" t="s">
        <v>1375</v>
      </c>
      <c r="D54" s="1227">
        <v>0</v>
      </c>
      <c r="E54" s="1228"/>
      <c r="F54" s="1229">
        <v>1.1379999999999999E-2</v>
      </c>
      <c r="G54" s="1230">
        <v>0</v>
      </c>
      <c r="H54" s="1230">
        <v>0</v>
      </c>
      <c r="I54" s="1231">
        <v>0</v>
      </c>
      <c r="J54" s="1232"/>
      <c r="K54" s="1233">
        <v>92581.47</v>
      </c>
      <c r="L54" s="1234">
        <v>0</v>
      </c>
      <c r="M54" s="1235"/>
      <c r="N54" s="1234">
        <v>0</v>
      </c>
      <c r="O54" s="1235"/>
      <c r="P54" s="1230">
        <v>0</v>
      </c>
      <c r="Q54" s="1230">
        <v>0</v>
      </c>
    </row>
    <row r="55" spans="1:17" ht="14.25">
      <c r="A55" s="1226">
        <v>24</v>
      </c>
      <c r="B55" s="1226" t="s">
        <v>1376</v>
      </c>
      <c r="C55" s="1226" t="s">
        <v>1375</v>
      </c>
      <c r="D55" s="1227">
        <v>0</v>
      </c>
      <c r="E55" s="1228"/>
      <c r="F55" s="1229">
        <v>1.2670000000000001E-2</v>
      </c>
      <c r="G55" s="1230">
        <v>0</v>
      </c>
      <c r="H55" s="1230">
        <v>0</v>
      </c>
      <c r="I55" s="1231">
        <v>0</v>
      </c>
      <c r="J55" s="1232"/>
      <c r="K55" s="1233">
        <v>92396.4</v>
      </c>
      <c r="L55" s="1234">
        <v>0</v>
      </c>
      <c r="M55" s="1235"/>
      <c r="N55" s="1234">
        <v>0</v>
      </c>
      <c r="O55" s="1235"/>
      <c r="P55" s="1230">
        <v>0</v>
      </c>
      <c r="Q55" s="1230">
        <v>0</v>
      </c>
    </row>
    <row r="56" spans="1:17" ht="14.25">
      <c r="A56" s="1226">
        <v>25</v>
      </c>
      <c r="B56" s="1226" t="s">
        <v>1377</v>
      </c>
      <c r="C56" s="1226" t="s">
        <v>1375</v>
      </c>
      <c r="D56" s="1227">
        <v>0</v>
      </c>
      <c r="E56" s="1228"/>
      <c r="F56" s="1229">
        <v>1.3809999999999999E-2</v>
      </c>
      <c r="G56" s="1230">
        <v>0</v>
      </c>
      <c r="H56" s="1230">
        <v>0</v>
      </c>
      <c r="I56" s="1231">
        <v>0</v>
      </c>
      <c r="J56" s="1232"/>
      <c r="K56" s="1233">
        <v>120131.25</v>
      </c>
      <c r="L56" s="1234">
        <v>0</v>
      </c>
      <c r="M56" s="1235"/>
      <c r="N56" s="1234">
        <v>0</v>
      </c>
      <c r="O56" s="1235"/>
      <c r="P56" s="1230">
        <v>0</v>
      </c>
      <c r="Q56" s="1230">
        <v>0</v>
      </c>
    </row>
    <row r="57" spans="1:17" ht="22.5" customHeight="1" thickBot="1">
      <c r="A57" s="1236" t="s">
        <v>1378</v>
      </c>
      <c r="B57" s="1237"/>
      <c r="C57" s="1238"/>
      <c r="D57" s="4386">
        <f>SUM(D32:E56)</f>
        <v>17087700</v>
      </c>
      <c r="E57" s="4387"/>
      <c r="F57" s="1239"/>
      <c r="G57" s="1240">
        <f>SUM(G32:G56)</f>
        <v>9136656.4600000009</v>
      </c>
      <c r="H57" s="1240">
        <f>SUM(H32:H56)</f>
        <v>10781254.620000001</v>
      </c>
      <c r="I57" s="4388">
        <f>SUM(I32:J56)</f>
        <v>60.180999999999997</v>
      </c>
      <c r="J57" s="4388"/>
      <c r="K57" s="1239"/>
      <c r="L57" s="4389">
        <f>SUM(L32:M56)</f>
        <v>6880730.04</v>
      </c>
      <c r="M57" s="4390"/>
      <c r="N57" s="4389">
        <f>SUM(N32:O56)</f>
        <v>8119261.4499999993</v>
      </c>
      <c r="O57" s="4390"/>
      <c r="P57" s="1240">
        <f>G57+L57</f>
        <v>16017386.5</v>
      </c>
      <c r="Q57" s="1241">
        <f>H57+N57</f>
        <v>18900516.07</v>
      </c>
    </row>
    <row r="58" spans="1:17" ht="19.5" customHeight="1" thickBot="1">
      <c r="A58" s="4379" t="s">
        <v>1379</v>
      </c>
      <c r="B58" s="4380"/>
      <c r="C58" s="4380"/>
      <c r="D58" s="4380"/>
      <c r="E58" s="4380"/>
      <c r="F58" s="4380"/>
      <c r="G58" s="4380"/>
      <c r="H58" s="4380"/>
      <c r="I58" s="4380"/>
      <c r="J58" s="4380"/>
      <c r="K58" s="4380"/>
      <c r="L58" s="4380"/>
      <c r="M58" s="4380"/>
      <c r="N58" s="4380"/>
      <c r="O58" s="4381"/>
      <c r="P58" s="1242">
        <v>89112904.640000001</v>
      </c>
      <c r="Q58" s="1243">
        <f>P58*1.18</f>
        <v>105153227.4752</v>
      </c>
    </row>
    <row r="59" spans="1:17" ht="18.75" thickBot="1">
      <c r="A59" s="4379" t="s">
        <v>248</v>
      </c>
      <c r="B59" s="4380"/>
      <c r="C59" s="4380"/>
      <c r="D59" s="4380"/>
      <c r="E59" s="4380"/>
      <c r="F59" s="4380"/>
      <c r="G59" s="4380"/>
      <c r="H59" s="4380"/>
      <c r="I59" s="4380"/>
      <c r="J59" s="4380"/>
      <c r="K59" s="4380"/>
      <c r="L59" s="4380"/>
      <c r="M59" s="4380"/>
      <c r="N59" s="4380"/>
      <c r="O59" s="4381"/>
      <c r="P59" s="1244">
        <f>P57/P58</f>
        <v>0.17974261488509818</v>
      </c>
      <c r="Q59" s="1244">
        <f>Q57/Q58</f>
        <v>0.17974261488509821</v>
      </c>
    </row>
    <row r="60" spans="1:17" ht="12.75">
      <c r="A60" s="1153"/>
      <c r="B60" s="1153"/>
      <c r="C60" s="1153"/>
      <c r="D60" s="1153"/>
      <c r="E60" s="1153"/>
      <c r="F60" s="1153"/>
      <c r="G60" s="1153"/>
      <c r="H60" s="1153"/>
      <c r="I60" s="1153"/>
      <c r="J60" s="1153"/>
      <c r="K60" s="1153"/>
      <c r="L60" s="1153"/>
      <c r="M60" s="1153"/>
      <c r="N60" s="1153"/>
      <c r="O60" s="1153"/>
      <c r="P60" s="1153"/>
      <c r="Q60" s="1153"/>
    </row>
    <row r="61" spans="1:17" ht="12.75">
      <c r="A61" s="1153"/>
      <c r="B61" s="1153"/>
      <c r="C61" s="1153"/>
      <c r="D61" s="1153"/>
      <c r="E61" s="1153"/>
      <c r="F61" s="1153"/>
      <c r="G61" s="1153"/>
      <c r="H61" s="1153"/>
      <c r="I61" s="1153"/>
      <c r="J61" s="1153"/>
      <c r="K61" s="1153"/>
      <c r="L61" s="1153"/>
      <c r="M61" s="1153"/>
      <c r="N61" s="1153"/>
      <c r="O61" s="1153"/>
      <c r="P61" s="1153"/>
      <c r="Q61" s="1153"/>
    </row>
    <row r="62" spans="1:17" ht="15.75">
      <c r="A62" s="1153"/>
      <c r="B62" s="1208" t="s">
        <v>1324</v>
      </c>
      <c r="C62" s="1209">
        <f>P58</f>
        <v>89112904.640000001</v>
      </c>
      <c r="D62" s="1153" t="s">
        <v>1325</v>
      </c>
      <c r="E62" s="1153"/>
      <c r="F62" s="1153"/>
      <c r="G62" s="1153"/>
      <c r="H62" s="1153"/>
      <c r="I62" s="1153"/>
      <c r="J62" s="1153"/>
      <c r="K62" s="1153"/>
      <c r="L62" s="1153"/>
      <c r="M62" s="1153"/>
      <c r="N62" s="1153"/>
      <c r="O62" s="1153"/>
      <c r="P62" s="1153"/>
      <c r="Q62" s="1153"/>
    </row>
    <row r="63" spans="1:17" ht="15.75">
      <c r="A63" s="1153"/>
      <c r="B63" s="1210" t="s">
        <v>1326</v>
      </c>
      <c r="C63" s="1209">
        <f>P57</f>
        <v>16017386.5</v>
      </c>
      <c r="D63" s="1153" t="s">
        <v>1325</v>
      </c>
      <c r="E63" s="1153"/>
      <c r="F63" s="1153"/>
      <c r="G63" s="1153"/>
      <c r="H63" s="1153"/>
      <c r="I63" s="1153"/>
      <c r="J63" s="1153"/>
      <c r="K63" s="1153"/>
      <c r="L63" s="1153"/>
      <c r="M63" s="1153"/>
      <c r="N63" s="1153"/>
      <c r="O63" s="1153"/>
      <c r="P63" s="1153"/>
      <c r="Q63" s="1153"/>
    </row>
    <row r="64" spans="1:17" ht="15.75">
      <c r="A64" s="1153"/>
      <c r="B64" s="1210" t="s">
        <v>1327</v>
      </c>
      <c r="C64" s="1209">
        <f>IF(P58-P57&gt;0,P58-P57,"")</f>
        <v>73095518.140000001</v>
      </c>
      <c r="D64" s="1153" t="s">
        <v>1325</v>
      </c>
      <c r="E64" s="1153"/>
      <c r="F64" s="1153"/>
      <c r="G64" s="1153"/>
      <c r="H64" s="1153"/>
      <c r="I64" s="1153"/>
      <c r="J64" s="1153"/>
      <c r="K64" s="1153"/>
      <c r="L64" s="1153"/>
      <c r="M64" s="1153"/>
      <c r="N64" s="1153"/>
      <c r="O64" s="1153"/>
      <c r="P64" s="1153"/>
      <c r="Q64" s="1153"/>
    </row>
    <row r="65" spans="1:17" ht="15.75">
      <c r="A65" s="1153"/>
      <c r="B65" s="1210" t="s">
        <v>1380</v>
      </c>
      <c r="C65" s="1245">
        <f>P59</f>
        <v>0.17974261488509818</v>
      </c>
      <c r="D65" s="1153"/>
      <c r="E65" s="1153"/>
      <c r="F65" s="1153"/>
      <c r="G65" s="1153"/>
      <c r="H65" s="1153"/>
      <c r="I65" s="1153"/>
      <c r="J65" s="1153"/>
      <c r="K65" s="1153"/>
      <c r="L65" s="1153"/>
      <c r="M65" s="1153"/>
      <c r="N65" s="1153"/>
      <c r="O65" s="1153"/>
      <c r="P65" s="1153"/>
      <c r="Q65" s="1153"/>
    </row>
    <row r="66" spans="1:17" ht="12.75">
      <c r="A66" s="1153"/>
      <c r="B66" s="1153"/>
      <c r="C66" s="1153"/>
      <c r="D66" s="1153"/>
      <c r="E66" s="1153"/>
      <c r="F66" s="1153"/>
      <c r="G66" s="1153"/>
      <c r="H66" s="1153"/>
      <c r="I66" s="1153"/>
      <c r="J66" s="1153"/>
      <c r="K66" s="1153"/>
      <c r="L66" s="1153"/>
      <c r="M66" s="1153"/>
      <c r="N66" s="1153"/>
      <c r="O66" s="1153"/>
      <c r="P66" s="1153"/>
      <c r="Q66" s="1153"/>
    </row>
    <row r="67" spans="1:17" ht="23.25">
      <c r="A67" s="4382" t="s">
        <v>1381</v>
      </c>
      <c r="B67" s="4382"/>
      <c r="C67" s="4382"/>
      <c r="D67" s="4382"/>
      <c r="E67" s="4382"/>
      <c r="F67" s="4382"/>
      <c r="G67" s="4382"/>
      <c r="H67" s="4382"/>
      <c r="I67" s="4382"/>
      <c r="J67" s="4382"/>
      <c r="K67" s="4382"/>
      <c r="L67" s="4382"/>
      <c r="M67" s="4382"/>
      <c r="N67" s="4382"/>
      <c r="O67" s="4382"/>
      <c r="P67" s="4382"/>
      <c r="Q67" s="4382"/>
    </row>
    <row r="68" spans="1:17" ht="12.75">
      <c r="A68" s="1153"/>
      <c r="B68" s="1153"/>
      <c r="C68" s="1153"/>
      <c r="D68" s="1153"/>
      <c r="E68" s="1153"/>
      <c r="F68" s="1153"/>
      <c r="G68" s="1153"/>
      <c r="H68" s="1153"/>
      <c r="I68" s="1153"/>
      <c r="J68" s="1153"/>
      <c r="K68" s="1153"/>
      <c r="L68" s="1153"/>
      <c r="M68" s="1153"/>
      <c r="N68" s="1153"/>
      <c r="O68" s="1153"/>
      <c r="P68" s="1153"/>
      <c r="Q68" s="1153"/>
    </row>
    <row r="69" spans="1:17" ht="12.75">
      <c r="A69" s="1153"/>
      <c r="B69" s="1153"/>
      <c r="C69" s="1153"/>
      <c r="D69" s="1153"/>
      <c r="E69" s="1153"/>
      <c r="F69" s="1153"/>
      <c r="G69" s="1153"/>
      <c r="H69" s="1153"/>
      <c r="I69" s="1153"/>
      <c r="J69" s="1153"/>
      <c r="K69" s="1153"/>
      <c r="L69" s="1153"/>
      <c r="M69" s="1153"/>
      <c r="N69" s="1153"/>
      <c r="O69" s="1153"/>
      <c r="P69" s="1153"/>
      <c r="Q69" s="1153"/>
    </row>
    <row r="70" spans="1:17" ht="12.75">
      <c r="A70" s="1153"/>
      <c r="B70" s="1153"/>
      <c r="C70" s="1153"/>
      <c r="D70" s="1153"/>
      <c r="E70" s="1153"/>
      <c r="F70" s="1153"/>
      <c r="G70" s="1153"/>
      <c r="H70" s="1153"/>
      <c r="I70" s="1153"/>
      <c r="J70" s="1153"/>
      <c r="K70" s="1153"/>
      <c r="L70" s="1153"/>
      <c r="M70" s="1153"/>
      <c r="N70" s="1153"/>
      <c r="O70" s="1153"/>
      <c r="P70" s="1153"/>
      <c r="Q70" s="1153"/>
    </row>
    <row r="71" spans="1:17" ht="12.75">
      <c r="A71" s="1153"/>
      <c r="B71" s="1153"/>
      <c r="C71" s="1153"/>
      <c r="D71" s="1153"/>
      <c r="E71" s="1153"/>
      <c r="F71" s="1153"/>
      <c r="G71" s="1153"/>
      <c r="H71" s="1153"/>
      <c r="I71" s="1153"/>
      <c r="J71" s="1153"/>
      <c r="K71" s="1153"/>
      <c r="L71" s="1153"/>
      <c r="M71" s="1153"/>
      <c r="N71" s="1153"/>
      <c r="O71" s="1153"/>
      <c r="P71" s="1153"/>
      <c r="Q71" s="1153"/>
    </row>
    <row r="72" spans="1:17" ht="12.75">
      <c r="A72" s="1153"/>
      <c r="B72" s="1153"/>
      <c r="C72" s="1153"/>
      <c r="D72" s="1153"/>
      <c r="E72" s="1153"/>
      <c r="F72" s="1153"/>
      <c r="G72" s="1153"/>
      <c r="H72" s="1153"/>
      <c r="I72" s="1153"/>
      <c r="J72" s="1153"/>
      <c r="K72" s="1153"/>
      <c r="L72" s="1153"/>
      <c r="M72" s="1153"/>
      <c r="N72" s="1153"/>
      <c r="O72" s="1153"/>
      <c r="P72" s="1153"/>
      <c r="Q72" s="1153"/>
    </row>
    <row r="73" spans="1:17" ht="12.75">
      <c r="A73" s="1153"/>
      <c r="B73" s="1153"/>
      <c r="C73" s="1153"/>
      <c r="D73" s="1153"/>
      <c r="E73" s="1153"/>
      <c r="F73" s="1153"/>
      <c r="G73" s="1153"/>
      <c r="H73" s="1153"/>
      <c r="I73" s="1153"/>
      <c r="J73" s="1153"/>
      <c r="K73" s="1153"/>
      <c r="L73" s="1153"/>
      <c r="M73" s="1153"/>
      <c r="N73" s="1153"/>
      <c r="O73" s="1153"/>
      <c r="P73" s="1153"/>
      <c r="Q73" s="1153"/>
    </row>
    <row r="74" spans="1:17" ht="12.75">
      <c r="A74" s="1153"/>
      <c r="B74" s="1153"/>
      <c r="C74" s="1153"/>
      <c r="D74" s="1153"/>
      <c r="E74" s="1153"/>
      <c r="F74" s="1153"/>
      <c r="G74" s="1153"/>
      <c r="H74" s="1153"/>
      <c r="I74" s="1153"/>
      <c r="J74" s="1153"/>
      <c r="K74" s="1153"/>
      <c r="L74" s="1153"/>
      <c r="M74" s="1153"/>
      <c r="N74" s="1153"/>
      <c r="O74" s="1153"/>
      <c r="P74" s="1153"/>
      <c r="Q74" s="1153"/>
    </row>
    <row r="75" spans="1:17" ht="12.75">
      <c r="A75" s="1153"/>
      <c r="B75" s="1153"/>
      <c r="C75" s="1153"/>
      <c r="D75" s="1153"/>
      <c r="E75" s="1153"/>
      <c r="F75" s="1153"/>
      <c r="G75" s="1153"/>
      <c r="H75" s="1153"/>
      <c r="I75" s="1153"/>
      <c r="J75" s="1153"/>
      <c r="K75" s="1153"/>
      <c r="L75" s="1153"/>
      <c r="M75" s="1153"/>
      <c r="N75" s="1153"/>
      <c r="O75" s="1153"/>
      <c r="P75" s="1153"/>
      <c r="Q75" s="1153"/>
    </row>
    <row r="76" spans="1:17" ht="12.75">
      <c r="A76" s="1153"/>
      <c r="B76" s="1153"/>
      <c r="C76" s="1153"/>
      <c r="D76" s="1153"/>
      <c r="E76" s="1153"/>
      <c r="F76" s="1153"/>
      <c r="G76" s="1153"/>
      <c r="H76" s="1153"/>
      <c r="I76" s="1153"/>
      <c r="J76" s="1153"/>
      <c r="K76" s="1153"/>
      <c r="L76" s="1153"/>
      <c r="M76" s="1153"/>
      <c r="N76" s="1153"/>
      <c r="O76" s="1153"/>
      <c r="P76" s="1153"/>
      <c r="Q76" s="1153"/>
    </row>
    <row r="77" spans="1:17" ht="12.75">
      <c r="A77" s="1153"/>
      <c r="B77" s="1153"/>
      <c r="C77" s="1153"/>
      <c r="D77" s="1153"/>
      <c r="E77" s="1153"/>
      <c r="F77" s="1153"/>
      <c r="G77" s="1153"/>
      <c r="H77" s="1153"/>
      <c r="I77" s="1153"/>
      <c r="J77" s="1153"/>
      <c r="K77" s="1153"/>
      <c r="L77" s="1153"/>
      <c r="M77" s="1153"/>
      <c r="N77" s="1153"/>
      <c r="O77" s="1153"/>
      <c r="P77" s="1153"/>
      <c r="Q77" s="1153"/>
    </row>
    <row r="78" spans="1:17" ht="12.75">
      <c r="A78" s="1153"/>
      <c r="B78" s="1153"/>
      <c r="C78" s="1153"/>
      <c r="D78" s="1153"/>
      <c r="E78" s="1153"/>
      <c r="F78" s="1153"/>
      <c r="G78" s="1153"/>
      <c r="H78" s="1153"/>
      <c r="I78" s="1153"/>
      <c r="J78" s="1153"/>
      <c r="K78" s="1153"/>
      <c r="L78" s="1153"/>
      <c r="M78" s="1153"/>
      <c r="N78" s="1153"/>
      <c r="O78" s="1153"/>
      <c r="P78" s="1153"/>
      <c r="Q78" s="1153"/>
    </row>
    <row r="79" spans="1:17" ht="12.75">
      <c r="A79" s="1153"/>
      <c r="B79" s="1153"/>
      <c r="C79" s="1153"/>
      <c r="D79" s="1153"/>
      <c r="E79" s="1153"/>
      <c r="F79" s="1153"/>
      <c r="G79" s="1153"/>
      <c r="H79" s="1153"/>
      <c r="I79" s="1153"/>
      <c r="J79" s="1153"/>
      <c r="K79" s="1153"/>
      <c r="L79" s="1153"/>
      <c r="M79" s="1153"/>
      <c r="N79" s="1153"/>
      <c r="O79" s="1153"/>
      <c r="P79" s="1153"/>
      <c r="Q79" s="1153"/>
    </row>
    <row r="80" spans="1:17" ht="12.75">
      <c r="A80" s="1153"/>
      <c r="B80" s="1153"/>
      <c r="C80" s="1153"/>
      <c r="D80" s="1153"/>
      <c r="E80" s="1153"/>
      <c r="F80" s="1153"/>
      <c r="G80" s="1153"/>
      <c r="H80" s="1153"/>
      <c r="I80" s="1153"/>
      <c r="J80" s="1153"/>
      <c r="K80" s="1153"/>
      <c r="L80" s="1153"/>
      <c r="M80" s="1153"/>
      <c r="N80" s="1153"/>
      <c r="O80" s="1153"/>
      <c r="P80" s="1153"/>
      <c r="Q80" s="1153"/>
    </row>
    <row r="81" spans="1:17" ht="12.75">
      <c r="A81" s="1153"/>
      <c r="B81" s="1153"/>
      <c r="C81" s="1153"/>
      <c r="D81" s="1153"/>
      <c r="E81" s="1153"/>
      <c r="F81" s="1153"/>
      <c r="G81" s="1153"/>
      <c r="H81" s="1153"/>
      <c r="I81" s="1153"/>
      <c r="J81" s="1153"/>
      <c r="K81" s="1153"/>
      <c r="L81" s="1153"/>
      <c r="M81" s="1153"/>
      <c r="N81" s="1153"/>
      <c r="O81" s="1153"/>
      <c r="P81" s="1153"/>
      <c r="Q81" s="1153"/>
    </row>
    <row r="82" spans="1:17" ht="12.75">
      <c r="A82" s="1153"/>
      <c r="B82" s="1153"/>
      <c r="C82" s="1153"/>
      <c r="D82" s="1153"/>
      <c r="E82" s="1153"/>
      <c r="F82" s="1153"/>
      <c r="G82" s="1153"/>
      <c r="H82" s="1153"/>
      <c r="I82" s="1153"/>
      <c r="J82" s="1153"/>
      <c r="K82" s="1153"/>
      <c r="L82" s="1153"/>
      <c r="M82" s="1153"/>
      <c r="N82" s="1153"/>
      <c r="O82" s="1153"/>
      <c r="P82" s="1153"/>
      <c r="Q82" s="1153"/>
    </row>
    <row r="83" spans="1:17" ht="12.75">
      <c r="A83" s="1153"/>
      <c r="B83" s="1153"/>
      <c r="C83" s="1153"/>
      <c r="D83" s="1153"/>
      <c r="E83" s="1153"/>
      <c r="F83" s="1153"/>
      <c r="G83" s="1153"/>
      <c r="H83" s="1153"/>
      <c r="I83" s="1153"/>
      <c r="J83" s="1153"/>
      <c r="K83" s="1153"/>
      <c r="L83" s="1153"/>
      <c r="M83" s="1153"/>
      <c r="N83" s="1153"/>
      <c r="O83" s="1153"/>
      <c r="P83" s="1153"/>
      <c r="Q83" s="1153"/>
    </row>
    <row r="84" spans="1:17" ht="12.75">
      <c r="A84" s="1153"/>
      <c r="B84" s="1153"/>
      <c r="C84" s="1153"/>
      <c r="D84" s="1153"/>
      <c r="E84" s="1153"/>
      <c r="F84" s="1153"/>
      <c r="G84" s="1153"/>
      <c r="H84" s="1153"/>
      <c r="I84" s="1153"/>
      <c r="J84" s="1153"/>
      <c r="K84" s="1153"/>
      <c r="L84" s="1153"/>
      <c r="M84" s="1153"/>
      <c r="N84" s="1153"/>
      <c r="O84" s="1153"/>
      <c r="P84" s="1153"/>
      <c r="Q84" s="1153"/>
    </row>
    <row r="85" spans="1:17" ht="12.75">
      <c r="A85" s="1153"/>
      <c r="B85" s="1153"/>
      <c r="C85" s="1153"/>
      <c r="D85" s="1153"/>
      <c r="E85" s="1153"/>
      <c r="F85" s="1153"/>
      <c r="G85" s="1153"/>
      <c r="H85" s="1153"/>
      <c r="I85" s="1153"/>
      <c r="J85" s="1153"/>
      <c r="K85" s="1153"/>
      <c r="L85" s="1153"/>
      <c r="M85" s="1153"/>
      <c r="N85" s="1153"/>
      <c r="O85" s="1153"/>
      <c r="P85" s="1153"/>
      <c r="Q85" s="1153"/>
    </row>
    <row r="86" spans="1:17" ht="12.75">
      <c r="A86" s="1153"/>
      <c r="B86" s="1153"/>
      <c r="C86" s="1153"/>
      <c r="D86" s="1153"/>
      <c r="E86" s="1153"/>
      <c r="F86" s="1153"/>
      <c r="G86" s="1153"/>
      <c r="H86" s="1153"/>
      <c r="I86" s="1153"/>
      <c r="J86" s="1153"/>
      <c r="K86" s="1153"/>
      <c r="L86" s="1153"/>
      <c r="M86" s="1153"/>
      <c r="N86" s="1153"/>
      <c r="O86" s="1153"/>
      <c r="P86" s="1153"/>
      <c r="Q86" s="1153"/>
    </row>
    <row r="87" spans="1:17" ht="12.75">
      <c r="A87" s="1153"/>
      <c r="B87" s="1153"/>
      <c r="C87" s="1153"/>
      <c r="D87" s="1153"/>
      <c r="E87" s="1153"/>
      <c r="F87" s="1153"/>
      <c r="G87" s="1153"/>
      <c r="H87" s="1153"/>
      <c r="I87" s="1153"/>
      <c r="J87" s="1153"/>
      <c r="K87" s="1153"/>
      <c r="L87" s="1153"/>
      <c r="M87" s="1153"/>
      <c r="N87" s="1153"/>
      <c r="O87" s="1153"/>
      <c r="P87" s="1153"/>
      <c r="Q87" s="1153"/>
    </row>
    <row r="88" spans="1:17" ht="12.75">
      <c r="A88" s="1153"/>
      <c r="B88" s="1153"/>
      <c r="C88" s="1153"/>
      <c r="D88" s="1153"/>
      <c r="E88" s="1153"/>
      <c r="F88" s="1153"/>
      <c r="G88" s="1153"/>
      <c r="H88" s="1153"/>
      <c r="I88" s="1153"/>
      <c r="J88" s="1153"/>
      <c r="K88" s="1153"/>
      <c r="L88" s="1153"/>
      <c r="M88" s="1153"/>
      <c r="N88" s="1153"/>
      <c r="O88" s="1153"/>
      <c r="P88" s="1153"/>
      <c r="Q88" s="1153"/>
    </row>
    <row r="89" spans="1:17" ht="12.75">
      <c r="A89" s="1153"/>
      <c r="B89" s="1153"/>
      <c r="C89" s="1153"/>
      <c r="D89" s="1153"/>
      <c r="E89" s="1153"/>
      <c r="F89" s="1153"/>
      <c r="G89" s="1153"/>
      <c r="H89" s="1153"/>
      <c r="I89" s="1153"/>
      <c r="J89" s="1153"/>
      <c r="K89" s="1153"/>
      <c r="L89" s="1153"/>
      <c r="M89" s="1153"/>
      <c r="N89" s="1153"/>
      <c r="O89" s="1153"/>
      <c r="P89" s="1153"/>
      <c r="Q89" s="1153"/>
    </row>
    <row r="90" spans="1:17" ht="12.75">
      <c r="A90" s="1153"/>
      <c r="B90" s="1153"/>
      <c r="C90" s="1153"/>
      <c r="D90" s="1153"/>
      <c r="E90" s="1153"/>
      <c r="F90" s="1153"/>
      <c r="G90" s="1153"/>
      <c r="H90" s="1153"/>
      <c r="I90" s="1153"/>
      <c r="J90" s="1153"/>
      <c r="K90" s="1153"/>
      <c r="L90" s="1153"/>
      <c r="M90" s="1153"/>
      <c r="N90" s="1153"/>
      <c r="O90" s="1153"/>
      <c r="P90" s="1153"/>
      <c r="Q90" s="1153"/>
    </row>
    <row r="91" spans="1:17" ht="12.75">
      <c r="A91" s="1153"/>
      <c r="B91" s="1153"/>
      <c r="C91" s="1153"/>
      <c r="D91" s="1153"/>
      <c r="E91" s="1153"/>
      <c r="F91" s="1153"/>
      <c r="G91" s="1153"/>
      <c r="H91" s="1153"/>
      <c r="I91" s="1153"/>
      <c r="J91" s="1153"/>
      <c r="K91" s="1153"/>
      <c r="L91" s="1153"/>
      <c r="M91" s="1153"/>
      <c r="N91" s="1153"/>
      <c r="O91" s="1153"/>
      <c r="P91" s="1153"/>
      <c r="Q91" s="1153"/>
    </row>
    <row r="92" spans="1:17" ht="12.75">
      <c r="A92" s="1153"/>
      <c r="B92" s="1153"/>
      <c r="C92" s="1153"/>
      <c r="D92" s="1153"/>
      <c r="E92" s="1153"/>
      <c r="F92" s="1153"/>
      <c r="G92" s="1153"/>
      <c r="H92" s="1153"/>
      <c r="I92" s="1153"/>
      <c r="J92" s="1153"/>
      <c r="K92" s="1153"/>
      <c r="L92" s="1153"/>
      <c r="M92" s="1153"/>
      <c r="N92" s="1153"/>
      <c r="O92" s="1153"/>
      <c r="P92" s="1153"/>
      <c r="Q92" s="1153"/>
    </row>
    <row r="93" spans="1:17" ht="12.75">
      <c r="A93" s="1153"/>
      <c r="B93" s="1153"/>
      <c r="C93" s="1153"/>
      <c r="D93" s="1153"/>
      <c r="E93" s="1153"/>
      <c r="F93" s="1153"/>
      <c r="G93" s="1153"/>
      <c r="H93" s="1153"/>
      <c r="I93" s="1153"/>
      <c r="J93" s="1153"/>
      <c r="K93" s="1153"/>
      <c r="L93" s="1153"/>
      <c r="M93" s="1153"/>
      <c r="N93" s="1153"/>
      <c r="O93" s="1153"/>
      <c r="P93" s="1153"/>
      <c r="Q93" s="1153"/>
    </row>
    <row r="94" spans="1:17" ht="12.75">
      <c r="A94" s="1153"/>
      <c r="B94" s="1153"/>
      <c r="C94" s="1153"/>
      <c r="D94" s="1153"/>
      <c r="E94" s="1153"/>
      <c r="F94" s="1153"/>
      <c r="G94" s="1153"/>
      <c r="H94" s="1153"/>
      <c r="I94" s="1153"/>
      <c r="J94" s="1153"/>
      <c r="K94" s="1153"/>
      <c r="L94" s="1153"/>
      <c r="M94" s="1153"/>
      <c r="N94" s="1153"/>
      <c r="O94" s="1153"/>
      <c r="P94" s="1153"/>
      <c r="Q94" s="1153"/>
    </row>
    <row r="95" spans="1:17" ht="12.75">
      <c r="A95" s="1153"/>
      <c r="B95" s="1153"/>
      <c r="C95" s="1153"/>
      <c r="D95" s="1153"/>
      <c r="E95" s="1153"/>
      <c r="F95" s="1153"/>
      <c r="G95" s="1153"/>
      <c r="H95" s="1153"/>
      <c r="I95" s="1153"/>
      <c r="J95" s="1153"/>
      <c r="K95" s="1153"/>
      <c r="L95" s="1153"/>
      <c r="M95" s="1153"/>
      <c r="N95" s="1153"/>
      <c r="O95" s="1153"/>
      <c r="P95" s="1153"/>
      <c r="Q95" s="1153"/>
    </row>
    <row r="96" spans="1:17" ht="12.75">
      <c r="A96" s="1153"/>
      <c r="B96" s="1153"/>
      <c r="C96" s="1153"/>
      <c r="D96" s="1153"/>
      <c r="E96" s="1153"/>
      <c r="F96" s="1153"/>
      <c r="G96" s="1153"/>
      <c r="H96" s="1153"/>
      <c r="I96" s="1153"/>
      <c r="J96" s="1153"/>
      <c r="K96" s="1153"/>
      <c r="L96" s="1153"/>
      <c r="M96" s="1153"/>
      <c r="N96" s="1153"/>
      <c r="O96" s="1153"/>
      <c r="P96" s="1153"/>
      <c r="Q96" s="1153"/>
    </row>
    <row r="97" spans="1:17" ht="12.75">
      <c r="A97" s="1153"/>
      <c r="B97" s="1153"/>
      <c r="C97" s="1153"/>
      <c r="D97" s="1153"/>
      <c r="E97" s="1153"/>
      <c r="F97" s="1153"/>
      <c r="G97" s="1153"/>
      <c r="H97" s="1153"/>
      <c r="I97" s="1153"/>
      <c r="J97" s="1153"/>
      <c r="K97" s="1153"/>
      <c r="L97" s="1153"/>
      <c r="M97" s="1153"/>
      <c r="N97" s="1153"/>
      <c r="O97" s="1153"/>
      <c r="P97" s="1153"/>
      <c r="Q97" s="1153"/>
    </row>
    <row r="98" spans="1:17" ht="12.75">
      <c r="A98" s="1153"/>
      <c r="B98" s="1153"/>
      <c r="C98" s="1153"/>
      <c r="D98" s="1153"/>
      <c r="E98" s="1153"/>
      <c r="F98" s="1153"/>
      <c r="G98" s="1153"/>
      <c r="H98" s="1153"/>
      <c r="I98" s="1153"/>
      <c r="J98" s="1153"/>
      <c r="K98" s="1153"/>
      <c r="L98" s="1153"/>
      <c r="M98" s="1153"/>
      <c r="N98" s="1153"/>
      <c r="O98" s="1153"/>
      <c r="P98" s="1153"/>
      <c r="Q98" s="1153"/>
    </row>
    <row r="99" spans="1:17" ht="12.75">
      <c r="A99" s="1153"/>
      <c r="B99" s="1153"/>
      <c r="C99" s="1153"/>
      <c r="D99" s="1153"/>
      <c r="E99" s="1153"/>
      <c r="F99" s="1153"/>
      <c r="G99" s="1153"/>
      <c r="H99" s="1153"/>
      <c r="I99" s="1153"/>
      <c r="J99" s="1153"/>
      <c r="K99" s="1153"/>
      <c r="L99" s="1153"/>
      <c r="M99" s="1153"/>
      <c r="N99" s="1153"/>
      <c r="O99" s="1153"/>
      <c r="P99" s="1153"/>
      <c r="Q99" s="1153"/>
    </row>
    <row r="100" spans="1:17" ht="12.75">
      <c r="A100" s="1153"/>
      <c r="B100" s="1153"/>
      <c r="C100" s="1153"/>
      <c r="D100" s="1153"/>
      <c r="E100" s="1153"/>
      <c r="F100" s="1153"/>
      <c r="G100" s="1153"/>
      <c r="H100" s="1153"/>
      <c r="I100" s="1153"/>
      <c r="J100" s="1153"/>
      <c r="K100" s="1153"/>
      <c r="L100" s="1153"/>
      <c r="M100" s="1153"/>
      <c r="N100" s="1153"/>
      <c r="O100" s="1153"/>
      <c r="P100" s="1153"/>
      <c r="Q100" s="1153"/>
    </row>
    <row r="101" spans="1:17" ht="12.75">
      <c r="A101" s="1153"/>
      <c r="B101" s="1153"/>
      <c r="C101" s="1153"/>
      <c r="D101" s="1153"/>
      <c r="E101" s="1153"/>
      <c r="F101" s="1153"/>
      <c r="G101" s="1153"/>
      <c r="H101" s="1153"/>
      <c r="I101" s="1153"/>
      <c r="J101" s="1153"/>
      <c r="K101" s="1153"/>
      <c r="L101" s="1153"/>
      <c r="M101" s="1153"/>
      <c r="N101" s="1153"/>
      <c r="O101" s="1153"/>
      <c r="P101" s="1153"/>
      <c r="Q101" s="1153"/>
    </row>
    <row r="102" spans="1:17" ht="12.75">
      <c r="A102" s="1153"/>
      <c r="B102" s="1153"/>
      <c r="C102" s="1153"/>
      <c r="D102" s="1153"/>
      <c r="E102" s="1153"/>
      <c r="F102" s="1153"/>
      <c r="G102" s="1153"/>
      <c r="H102" s="1153"/>
      <c r="I102" s="1153"/>
      <c r="J102" s="1153"/>
      <c r="K102" s="1153"/>
      <c r="L102" s="1153"/>
      <c r="M102" s="1153"/>
      <c r="N102" s="1153"/>
      <c r="O102" s="1153"/>
      <c r="P102" s="1153"/>
      <c r="Q102" s="1153"/>
    </row>
    <row r="103" spans="1:17" ht="12.75">
      <c r="A103" s="1153"/>
      <c r="B103" s="1153"/>
      <c r="C103" s="1153"/>
      <c r="D103" s="1153"/>
      <c r="E103" s="1153"/>
      <c r="F103" s="1153"/>
      <c r="G103" s="1153"/>
      <c r="H103" s="1153"/>
      <c r="I103" s="1153"/>
      <c r="J103" s="1153"/>
      <c r="K103" s="1153"/>
      <c r="L103" s="1153"/>
      <c r="M103" s="1153"/>
      <c r="N103" s="1153"/>
      <c r="O103" s="1153"/>
      <c r="P103" s="1153"/>
      <c r="Q103" s="1153"/>
    </row>
    <row r="104" spans="1:17" ht="12.75">
      <c r="A104" s="1153"/>
      <c r="B104" s="1153"/>
      <c r="C104" s="1153"/>
      <c r="D104" s="1153"/>
      <c r="E104" s="1153"/>
      <c r="F104" s="1153"/>
      <c r="G104" s="1153"/>
      <c r="H104" s="1153"/>
      <c r="I104" s="1153"/>
      <c r="J104" s="1153"/>
      <c r="K104" s="1153"/>
      <c r="L104" s="1153"/>
      <c r="M104" s="1153"/>
      <c r="N104" s="1153"/>
      <c r="O104" s="1153"/>
      <c r="P104" s="1153"/>
      <c r="Q104" s="1153"/>
    </row>
    <row r="105" spans="1:17" ht="12.75">
      <c r="A105" s="1153"/>
      <c r="B105" s="1153"/>
      <c r="C105" s="1153"/>
      <c r="D105" s="1153"/>
      <c r="E105" s="1153"/>
      <c r="F105" s="1153"/>
      <c r="G105" s="1153"/>
      <c r="H105" s="1153"/>
      <c r="I105" s="1153"/>
      <c r="J105" s="1153"/>
      <c r="K105" s="1153"/>
      <c r="L105" s="1153"/>
      <c r="M105" s="1153"/>
      <c r="N105" s="1153"/>
      <c r="O105" s="1153"/>
      <c r="P105" s="1153"/>
      <c r="Q105" s="1153"/>
    </row>
    <row r="106" spans="1:17" ht="12.75">
      <c r="A106" s="1153"/>
      <c r="B106" s="1153"/>
      <c r="C106" s="1153"/>
      <c r="D106" s="1153"/>
      <c r="E106" s="1153"/>
      <c r="F106" s="1153"/>
      <c r="G106" s="1153"/>
      <c r="H106" s="1153"/>
      <c r="I106" s="1153"/>
      <c r="J106" s="1153"/>
      <c r="K106" s="1153"/>
      <c r="L106" s="1153"/>
      <c r="M106" s="1153"/>
      <c r="N106" s="1153"/>
      <c r="O106" s="1153"/>
      <c r="P106" s="1153"/>
      <c r="Q106" s="1153"/>
    </row>
    <row r="107" spans="1:17" ht="12.75">
      <c r="A107" s="1153"/>
      <c r="B107" s="1153"/>
      <c r="C107" s="1153"/>
      <c r="D107" s="1153"/>
      <c r="E107" s="1153"/>
      <c r="F107" s="1153"/>
      <c r="G107" s="1153"/>
      <c r="H107" s="1153"/>
      <c r="I107" s="1153"/>
      <c r="J107" s="1153"/>
      <c r="K107" s="1153"/>
      <c r="L107" s="1153"/>
      <c r="M107" s="1153"/>
      <c r="N107" s="1153"/>
      <c r="O107" s="1153"/>
      <c r="P107" s="1153"/>
      <c r="Q107" s="1153"/>
    </row>
    <row r="108" spans="1:17" ht="12.75">
      <c r="A108" s="1153"/>
      <c r="B108" s="1153"/>
      <c r="C108" s="1153"/>
      <c r="D108" s="1153"/>
      <c r="E108" s="1153"/>
      <c r="F108" s="1153"/>
      <c r="G108" s="1153"/>
      <c r="H108" s="1153"/>
      <c r="I108" s="1153"/>
      <c r="J108" s="1153"/>
      <c r="K108" s="1153"/>
      <c r="L108" s="1153"/>
      <c r="M108" s="1153"/>
      <c r="N108" s="1153"/>
      <c r="O108" s="1153"/>
      <c r="P108" s="1153"/>
      <c r="Q108" s="1153"/>
    </row>
    <row r="109" spans="1:17" ht="12.75">
      <c r="A109" s="1153"/>
      <c r="B109" s="1153"/>
      <c r="C109" s="1153"/>
      <c r="D109" s="1153"/>
      <c r="E109" s="1153"/>
      <c r="F109" s="1153"/>
      <c r="G109" s="1153"/>
      <c r="H109" s="1153"/>
      <c r="I109" s="1153"/>
      <c r="J109" s="1153"/>
      <c r="K109" s="1153"/>
      <c r="L109" s="1153"/>
      <c r="M109" s="1153"/>
      <c r="N109" s="1153"/>
      <c r="O109" s="1153"/>
      <c r="P109" s="1153"/>
      <c r="Q109" s="1153"/>
    </row>
    <row r="110" spans="1:17" ht="12.75">
      <c r="A110" s="1153"/>
      <c r="B110" s="1153"/>
      <c r="C110" s="1153"/>
      <c r="D110" s="1153"/>
      <c r="E110" s="1153"/>
      <c r="F110" s="1153"/>
      <c r="G110" s="1153"/>
      <c r="H110" s="1153"/>
      <c r="I110" s="1153"/>
      <c r="J110" s="1153"/>
      <c r="K110" s="1153"/>
      <c r="L110" s="1153"/>
      <c r="M110" s="1153"/>
      <c r="N110" s="1153"/>
      <c r="O110" s="1153"/>
      <c r="P110" s="1153"/>
      <c r="Q110" s="1153"/>
    </row>
    <row r="111" spans="1:17" ht="12.75">
      <c r="A111" s="1153"/>
      <c r="B111" s="1153"/>
      <c r="C111" s="1153"/>
      <c r="D111" s="1153"/>
      <c r="E111" s="1153"/>
      <c r="F111" s="1153"/>
      <c r="G111" s="1153"/>
      <c r="H111" s="1153"/>
      <c r="I111" s="1153"/>
      <c r="J111" s="1153"/>
      <c r="K111" s="1153"/>
      <c r="L111" s="1153"/>
      <c r="M111" s="1153"/>
      <c r="N111" s="1153"/>
      <c r="O111" s="1153"/>
      <c r="P111" s="1153"/>
      <c r="Q111" s="1153"/>
    </row>
    <row r="112" spans="1:17" ht="12.75">
      <c r="A112" s="1153"/>
      <c r="B112" s="1153"/>
      <c r="C112" s="1153"/>
      <c r="D112" s="1153"/>
      <c r="E112" s="1153"/>
      <c r="F112" s="1153"/>
      <c r="G112" s="1153"/>
      <c r="H112" s="1153"/>
      <c r="I112" s="1153"/>
      <c r="J112" s="1153"/>
      <c r="K112" s="1153"/>
      <c r="L112" s="1153"/>
      <c r="M112" s="1153"/>
      <c r="N112" s="1153"/>
      <c r="O112" s="1153"/>
      <c r="P112" s="1153"/>
      <c r="Q112" s="1153"/>
    </row>
    <row r="113" spans="1:17" ht="12.75">
      <c r="A113" s="1153"/>
      <c r="B113" s="1153"/>
      <c r="C113" s="1153"/>
      <c r="D113" s="1153"/>
      <c r="E113" s="1153"/>
      <c r="F113" s="1153"/>
      <c r="G113" s="1153"/>
      <c r="H113" s="1153"/>
      <c r="I113" s="1153"/>
      <c r="J113" s="1153"/>
      <c r="K113" s="1153"/>
      <c r="L113" s="1153"/>
      <c r="M113" s="1153"/>
      <c r="N113" s="1153"/>
      <c r="O113" s="1153"/>
      <c r="P113" s="1153"/>
      <c r="Q113" s="1153"/>
    </row>
    <row r="114" spans="1:17" ht="12.75">
      <c r="A114" s="1153"/>
      <c r="B114" s="1153"/>
      <c r="C114" s="1153"/>
      <c r="D114" s="1153"/>
      <c r="E114" s="1153"/>
      <c r="F114" s="1153"/>
      <c r="G114" s="1153"/>
      <c r="H114" s="1153"/>
      <c r="I114" s="1153"/>
      <c r="J114" s="1153"/>
      <c r="K114" s="1153"/>
      <c r="L114" s="1153"/>
      <c r="M114" s="1153"/>
      <c r="N114" s="1153"/>
      <c r="O114" s="1153"/>
      <c r="P114" s="1153"/>
      <c r="Q114" s="1153"/>
    </row>
    <row r="115" spans="1:17" ht="12.75">
      <c r="A115" s="1153"/>
      <c r="B115" s="1153"/>
      <c r="C115" s="1153"/>
      <c r="D115" s="1153"/>
      <c r="E115" s="1153"/>
      <c r="F115" s="1153"/>
      <c r="G115" s="1153"/>
      <c r="H115" s="1153"/>
      <c r="I115" s="1153"/>
      <c r="J115" s="1153"/>
      <c r="K115" s="1153"/>
      <c r="L115" s="1153"/>
      <c r="M115" s="1153"/>
      <c r="N115" s="1153"/>
      <c r="O115" s="1153"/>
      <c r="P115" s="1153"/>
      <c r="Q115" s="1153"/>
    </row>
    <row r="116" spans="1:17" ht="12.75">
      <c r="A116" s="1153"/>
      <c r="B116" s="1153"/>
      <c r="C116" s="1153"/>
      <c r="D116" s="1153"/>
      <c r="E116" s="1153"/>
      <c r="F116" s="1153"/>
      <c r="G116" s="1153"/>
      <c r="H116" s="1153"/>
      <c r="I116" s="1153"/>
      <c r="J116" s="1153"/>
      <c r="K116" s="1153"/>
      <c r="L116" s="1153"/>
      <c r="M116" s="1153"/>
      <c r="N116" s="1153"/>
      <c r="O116" s="1153"/>
      <c r="P116" s="1153"/>
      <c r="Q116" s="1153"/>
    </row>
    <row r="117" spans="1:17" ht="12.75">
      <c r="A117" s="1153"/>
      <c r="B117" s="1153"/>
      <c r="C117" s="1153"/>
      <c r="D117" s="1153"/>
      <c r="E117" s="1153"/>
      <c r="F117" s="1153"/>
      <c r="G117" s="1153"/>
      <c r="H117" s="1153"/>
      <c r="I117" s="1153"/>
      <c r="J117" s="1153"/>
      <c r="K117" s="1153"/>
      <c r="L117" s="1153"/>
      <c r="M117" s="1153"/>
      <c r="N117" s="1153"/>
      <c r="O117" s="1153"/>
      <c r="P117" s="1153"/>
      <c r="Q117" s="1153"/>
    </row>
    <row r="118" spans="1:17" ht="12.75">
      <c r="A118" s="1153"/>
      <c r="B118" s="1153"/>
      <c r="C118" s="1153"/>
      <c r="D118" s="1153"/>
      <c r="E118" s="1153"/>
      <c r="F118" s="1153"/>
      <c r="G118" s="1153"/>
      <c r="H118" s="1153"/>
      <c r="I118" s="1153"/>
      <c r="J118" s="1153"/>
      <c r="K118" s="1153"/>
      <c r="L118" s="1153"/>
      <c r="M118" s="1153"/>
      <c r="N118" s="1153"/>
      <c r="O118" s="1153"/>
      <c r="P118" s="1153"/>
      <c r="Q118" s="1153"/>
    </row>
    <row r="119" spans="1:17" ht="12.75">
      <c r="A119" s="1153"/>
      <c r="B119" s="1153"/>
      <c r="C119" s="1153"/>
      <c r="D119" s="1153"/>
      <c r="E119" s="1153"/>
      <c r="F119" s="1153"/>
      <c r="G119" s="1153"/>
      <c r="H119" s="1153"/>
      <c r="I119" s="1153"/>
      <c r="J119" s="1153"/>
      <c r="K119" s="1153"/>
      <c r="L119" s="1153"/>
      <c r="M119" s="1153"/>
      <c r="N119" s="1153"/>
      <c r="O119" s="1153"/>
      <c r="P119" s="1153"/>
      <c r="Q119" s="1153"/>
    </row>
    <row r="120" spans="1:17" ht="12.75">
      <c r="A120" s="1153"/>
      <c r="B120" s="1153"/>
      <c r="C120" s="1153"/>
      <c r="D120" s="1153"/>
      <c r="E120" s="1153"/>
      <c r="F120" s="1153"/>
      <c r="G120" s="1153"/>
      <c r="H120" s="1153"/>
      <c r="I120" s="1153"/>
      <c r="J120" s="1153"/>
      <c r="K120" s="1153"/>
      <c r="L120" s="1153"/>
      <c r="M120" s="1153"/>
      <c r="N120" s="1153"/>
      <c r="O120" s="1153"/>
      <c r="P120" s="1153"/>
      <c r="Q120" s="1153"/>
    </row>
    <row r="121" spans="1:17" ht="12.75">
      <c r="A121" s="1153"/>
      <c r="B121" s="1153"/>
      <c r="C121" s="1153"/>
      <c r="D121" s="1153"/>
      <c r="E121" s="1153"/>
      <c r="F121" s="1153"/>
      <c r="G121" s="1153"/>
      <c r="H121" s="1153"/>
      <c r="I121" s="1153"/>
      <c r="J121" s="1153"/>
      <c r="K121" s="1153"/>
      <c r="L121" s="1153"/>
      <c r="M121" s="1153"/>
      <c r="N121" s="1153"/>
      <c r="O121" s="1153"/>
      <c r="P121" s="1153"/>
      <c r="Q121" s="1153"/>
    </row>
    <row r="122" spans="1:17" ht="12.75">
      <c r="A122" s="1153"/>
      <c r="B122" s="1153"/>
      <c r="C122" s="1153"/>
      <c r="D122" s="1153"/>
      <c r="E122" s="1153"/>
      <c r="F122" s="1153"/>
      <c r="G122" s="1153"/>
      <c r="H122" s="1153"/>
      <c r="I122" s="1153"/>
      <c r="J122" s="1153"/>
      <c r="K122" s="1153"/>
      <c r="L122" s="1153"/>
      <c r="M122" s="1153"/>
      <c r="N122" s="1153"/>
      <c r="O122" s="1153"/>
      <c r="P122" s="1153"/>
      <c r="Q122" s="1153"/>
    </row>
    <row r="123" spans="1:17" ht="12.75">
      <c r="A123" s="1153"/>
      <c r="B123" s="1153"/>
      <c r="C123" s="1153"/>
      <c r="D123" s="1153"/>
      <c r="E123" s="1153"/>
      <c r="F123" s="1153"/>
      <c r="G123" s="1153"/>
      <c r="H123" s="1153"/>
      <c r="I123" s="1153"/>
      <c r="J123" s="1153"/>
      <c r="K123" s="1153"/>
      <c r="L123" s="1153"/>
      <c r="M123" s="1153"/>
      <c r="N123" s="1153"/>
      <c r="O123" s="1153"/>
      <c r="P123" s="1153"/>
      <c r="Q123" s="1153"/>
    </row>
    <row r="124" spans="1:17" ht="12.75">
      <c r="A124" s="1153"/>
      <c r="B124" s="1153"/>
      <c r="C124" s="1153"/>
      <c r="D124" s="1153"/>
      <c r="E124" s="1153"/>
      <c r="F124" s="1153"/>
      <c r="G124" s="1153"/>
      <c r="H124" s="1153"/>
      <c r="I124" s="1153"/>
      <c r="J124" s="1153"/>
      <c r="K124" s="1153"/>
      <c r="L124" s="1153"/>
      <c r="M124" s="1153"/>
      <c r="N124" s="1153"/>
      <c r="O124" s="1153"/>
      <c r="P124" s="1153"/>
      <c r="Q124" s="1153"/>
    </row>
    <row r="125" spans="1:17" ht="12.75">
      <c r="A125" s="1153"/>
      <c r="B125" s="1153"/>
      <c r="C125" s="1153"/>
      <c r="D125" s="1153"/>
      <c r="E125" s="1153"/>
      <c r="F125" s="1153"/>
      <c r="G125" s="1153"/>
      <c r="H125" s="1153"/>
      <c r="I125" s="1153"/>
      <c r="J125" s="1153"/>
      <c r="K125" s="1153"/>
      <c r="L125" s="1153"/>
      <c r="M125" s="1153"/>
      <c r="N125" s="1153"/>
      <c r="O125" s="1153"/>
      <c r="P125" s="1153"/>
      <c r="Q125" s="1153"/>
    </row>
    <row r="126" spans="1:17" ht="12.75">
      <c r="A126" s="1153"/>
      <c r="B126" s="1153"/>
      <c r="C126" s="1153"/>
      <c r="D126" s="1153"/>
      <c r="E126" s="1153"/>
      <c r="F126" s="1153"/>
      <c r="G126" s="1153"/>
      <c r="H126" s="1153"/>
      <c r="I126" s="1153"/>
      <c r="J126" s="1153"/>
      <c r="K126" s="1153"/>
      <c r="L126" s="1153"/>
      <c r="M126" s="1153"/>
      <c r="N126" s="1153"/>
      <c r="O126" s="1153"/>
      <c r="P126" s="1153"/>
      <c r="Q126" s="1153"/>
    </row>
    <row r="127" spans="1:17" ht="12.75">
      <c r="A127" s="1153"/>
      <c r="B127" s="1153"/>
      <c r="C127" s="1153"/>
      <c r="D127" s="1153"/>
      <c r="E127" s="1153"/>
      <c r="F127" s="1153"/>
      <c r="G127" s="1153"/>
      <c r="H127" s="1153"/>
      <c r="I127" s="1153"/>
      <c r="J127" s="1153"/>
      <c r="K127" s="1153"/>
      <c r="L127" s="1153"/>
      <c r="M127" s="1153"/>
      <c r="N127" s="1153"/>
      <c r="O127" s="1153"/>
      <c r="P127" s="1153"/>
      <c r="Q127" s="1153"/>
    </row>
    <row r="128" spans="1:17" ht="12.75">
      <c r="A128" s="1153"/>
      <c r="B128" s="1153"/>
      <c r="C128" s="1153"/>
      <c r="D128" s="1153"/>
      <c r="E128" s="1153"/>
      <c r="F128" s="1153"/>
      <c r="G128" s="1153"/>
      <c r="H128" s="1153"/>
      <c r="I128" s="1153"/>
      <c r="J128" s="1153"/>
      <c r="K128" s="1153"/>
      <c r="L128" s="1153"/>
      <c r="M128" s="1153"/>
      <c r="N128" s="1153"/>
      <c r="O128" s="1153"/>
      <c r="P128" s="1153"/>
      <c r="Q128" s="1153"/>
    </row>
    <row r="129" spans="1:17" ht="12.75">
      <c r="A129" s="1153"/>
      <c r="B129" s="1153"/>
      <c r="C129" s="1153"/>
      <c r="D129" s="1153"/>
      <c r="E129" s="1153"/>
      <c r="F129" s="1153"/>
      <c r="G129" s="1153"/>
      <c r="H129" s="1153"/>
      <c r="I129" s="1153"/>
      <c r="J129" s="1153"/>
      <c r="K129" s="1153"/>
      <c r="L129" s="1153"/>
      <c r="M129" s="1153"/>
      <c r="N129" s="1153"/>
      <c r="O129" s="1153"/>
      <c r="P129" s="1153"/>
      <c r="Q129" s="1153"/>
    </row>
    <row r="130" spans="1:17" ht="12.75">
      <c r="A130" s="1153"/>
      <c r="B130" s="1153"/>
      <c r="C130" s="1153"/>
      <c r="D130" s="1153"/>
      <c r="E130" s="1153"/>
      <c r="F130" s="1153"/>
      <c r="G130" s="1153"/>
      <c r="H130" s="1153"/>
      <c r="I130" s="1153"/>
      <c r="J130" s="1153"/>
      <c r="K130" s="1153"/>
      <c r="L130" s="1153"/>
      <c r="M130" s="1153"/>
      <c r="N130" s="1153"/>
      <c r="O130" s="1153"/>
      <c r="P130" s="1153"/>
      <c r="Q130" s="1153"/>
    </row>
    <row r="131" spans="1:17" ht="12.75">
      <c r="A131" s="1153"/>
      <c r="B131" s="1153"/>
      <c r="C131" s="1153"/>
      <c r="D131" s="1153"/>
      <c r="E131" s="1153"/>
      <c r="F131" s="1153"/>
      <c r="G131" s="1153"/>
      <c r="H131" s="1153"/>
      <c r="I131" s="1153"/>
      <c r="J131" s="1153"/>
      <c r="K131" s="1153"/>
      <c r="L131" s="1153"/>
      <c r="M131" s="1153"/>
      <c r="N131" s="1153"/>
      <c r="O131" s="1153"/>
      <c r="P131" s="1153"/>
      <c r="Q131" s="1153"/>
    </row>
    <row r="132" spans="1:17" ht="12.75">
      <c r="A132" s="1153"/>
      <c r="B132" s="1153"/>
      <c r="C132" s="1153"/>
      <c r="D132" s="1153"/>
      <c r="E132" s="1153"/>
      <c r="F132" s="1153"/>
      <c r="G132" s="1153"/>
      <c r="H132" s="1153"/>
      <c r="I132" s="1153"/>
      <c r="J132" s="1153"/>
      <c r="K132" s="1153"/>
      <c r="L132" s="1153"/>
      <c r="M132" s="1153"/>
      <c r="N132" s="1153"/>
      <c r="O132" s="1153"/>
      <c r="P132" s="1153"/>
      <c r="Q132" s="1153"/>
    </row>
    <row r="133" spans="1:17" ht="12.75">
      <c r="A133" s="1153"/>
      <c r="B133" s="1153"/>
      <c r="C133" s="1153"/>
      <c r="D133" s="1153"/>
      <c r="E133" s="1153"/>
      <c r="F133" s="1153"/>
      <c r="G133" s="1153"/>
      <c r="H133" s="1153"/>
      <c r="I133" s="1153"/>
      <c r="J133" s="1153"/>
      <c r="K133" s="1153"/>
      <c r="L133" s="1153"/>
      <c r="M133" s="1153"/>
      <c r="N133" s="1153"/>
      <c r="O133" s="1153"/>
      <c r="P133" s="1153"/>
      <c r="Q133" s="1153"/>
    </row>
    <row r="134" spans="1:17" ht="12.75">
      <c r="A134" s="1153"/>
      <c r="B134" s="1153"/>
      <c r="C134" s="1153"/>
      <c r="D134" s="1153"/>
      <c r="E134" s="1153"/>
      <c r="F134" s="1153"/>
      <c r="G134" s="1153"/>
      <c r="H134" s="1153"/>
      <c r="I134" s="1153"/>
      <c r="J134" s="1153"/>
      <c r="K134" s="1153"/>
      <c r="L134" s="1153"/>
      <c r="M134" s="1153"/>
      <c r="N134" s="1153"/>
      <c r="O134" s="1153"/>
      <c r="P134" s="1153"/>
      <c r="Q134" s="1153"/>
    </row>
    <row r="135" spans="1:17" ht="12.75">
      <c r="A135" s="1153"/>
      <c r="B135" s="1153"/>
      <c r="C135" s="1153"/>
      <c r="D135" s="1153"/>
      <c r="E135" s="1153"/>
      <c r="F135" s="1153"/>
      <c r="G135" s="1153"/>
      <c r="H135" s="1153"/>
      <c r="I135" s="1153"/>
      <c r="J135" s="1153"/>
      <c r="K135" s="1153"/>
      <c r="L135" s="1153"/>
      <c r="M135" s="1153"/>
      <c r="N135" s="1153"/>
      <c r="O135" s="1153"/>
      <c r="P135" s="1153"/>
      <c r="Q135" s="1153"/>
    </row>
    <row r="136" spans="1:17" ht="12.75">
      <c r="A136" s="1153"/>
      <c r="B136" s="1153"/>
      <c r="C136" s="1153"/>
      <c r="D136" s="1153"/>
      <c r="E136" s="1153"/>
      <c r="F136" s="1153"/>
      <c r="G136" s="1153"/>
      <c r="H136" s="1153"/>
      <c r="I136" s="1153"/>
      <c r="J136" s="1153"/>
      <c r="K136" s="1153"/>
      <c r="L136" s="1153"/>
      <c r="M136" s="1153"/>
      <c r="N136" s="1153"/>
      <c r="O136" s="1153"/>
      <c r="P136" s="1153"/>
      <c r="Q136" s="1153"/>
    </row>
    <row r="137" spans="1:17" ht="12.75">
      <c r="A137" s="1153"/>
      <c r="B137" s="1153"/>
      <c r="C137" s="1153"/>
      <c r="D137" s="1153"/>
      <c r="E137" s="1153"/>
      <c r="F137" s="1153"/>
      <c r="G137" s="1153"/>
      <c r="H137" s="1153"/>
      <c r="I137" s="1153"/>
      <c r="J137" s="1153"/>
      <c r="K137" s="1153"/>
      <c r="L137" s="1153"/>
      <c r="M137" s="1153"/>
      <c r="N137" s="1153"/>
      <c r="O137" s="1153"/>
      <c r="P137" s="1153"/>
      <c r="Q137" s="1153"/>
    </row>
    <row r="138" spans="1:17" ht="12.75">
      <c r="A138" s="1153"/>
      <c r="B138" s="1153"/>
      <c r="C138" s="1153"/>
      <c r="D138" s="1153"/>
      <c r="E138" s="1153"/>
      <c r="F138" s="1153"/>
      <c r="G138" s="1153"/>
      <c r="H138" s="1153"/>
      <c r="I138" s="1153"/>
      <c r="J138" s="1153"/>
      <c r="K138" s="1153"/>
      <c r="L138" s="1153"/>
      <c r="M138" s="1153"/>
      <c r="N138" s="1153"/>
      <c r="O138" s="1153"/>
      <c r="P138" s="1153"/>
      <c r="Q138" s="1153"/>
    </row>
    <row r="139" spans="1:17" ht="12.75">
      <c r="A139" s="1153"/>
      <c r="B139" s="1153"/>
      <c r="C139" s="1153"/>
      <c r="D139" s="1153"/>
      <c r="E139" s="1153"/>
      <c r="F139" s="1153"/>
      <c r="G139" s="1153"/>
      <c r="H139" s="1153"/>
      <c r="I139" s="1153"/>
      <c r="J139" s="1153"/>
      <c r="K139" s="1153"/>
      <c r="L139" s="1153"/>
      <c r="M139" s="1153"/>
      <c r="N139" s="1153"/>
      <c r="O139" s="1153"/>
      <c r="P139" s="1153"/>
      <c r="Q139" s="1153"/>
    </row>
    <row r="140" spans="1:17" ht="12.75">
      <c r="A140" s="1153"/>
      <c r="B140" s="1153"/>
      <c r="C140" s="1153"/>
      <c r="D140" s="1153"/>
      <c r="E140" s="1153"/>
      <c r="F140" s="1153"/>
      <c r="G140" s="1153"/>
      <c r="H140" s="1153"/>
      <c r="I140" s="1153"/>
      <c r="J140" s="1153"/>
      <c r="K140" s="1153"/>
      <c r="L140" s="1153"/>
      <c r="M140" s="1153"/>
      <c r="N140" s="1153"/>
      <c r="O140" s="1153"/>
      <c r="P140" s="1153"/>
      <c r="Q140" s="1153"/>
    </row>
    <row r="141" spans="1:17" ht="12.75">
      <c r="A141" s="1153"/>
      <c r="B141" s="1153"/>
      <c r="C141" s="1153"/>
      <c r="D141" s="1153"/>
      <c r="E141" s="1153"/>
      <c r="F141" s="1153"/>
      <c r="G141" s="1153"/>
      <c r="H141" s="1153"/>
      <c r="I141" s="1153"/>
      <c r="J141" s="1153"/>
      <c r="K141" s="1153"/>
      <c r="L141" s="1153"/>
      <c r="M141" s="1153"/>
      <c r="N141" s="1153"/>
      <c r="O141" s="1153"/>
      <c r="P141" s="1153"/>
      <c r="Q141" s="1153"/>
    </row>
    <row r="142" spans="1:17" ht="12.75">
      <c r="A142" s="1153"/>
      <c r="B142" s="1153"/>
      <c r="C142" s="1153"/>
      <c r="D142" s="1153"/>
      <c r="E142" s="1153"/>
      <c r="F142" s="1153"/>
      <c r="G142" s="1153"/>
      <c r="H142" s="1153"/>
      <c r="I142" s="1153"/>
      <c r="J142" s="1153"/>
      <c r="K142" s="1153"/>
      <c r="L142" s="1153"/>
      <c r="M142" s="1153"/>
      <c r="N142" s="1153"/>
      <c r="O142" s="1153"/>
      <c r="P142" s="1153"/>
      <c r="Q142" s="1153"/>
    </row>
    <row r="143" spans="1:17" ht="12.75">
      <c r="A143" s="1153"/>
      <c r="B143" s="1153"/>
      <c r="C143" s="1153"/>
      <c r="D143" s="1153"/>
      <c r="E143" s="1153"/>
      <c r="F143" s="1153"/>
      <c r="G143" s="1153"/>
      <c r="H143" s="1153"/>
      <c r="I143" s="1153"/>
      <c r="J143" s="1153"/>
      <c r="K143" s="1153"/>
      <c r="L143" s="1153"/>
      <c r="M143" s="1153"/>
      <c r="N143" s="1153"/>
      <c r="O143" s="1153"/>
      <c r="P143" s="1153"/>
      <c r="Q143" s="1153"/>
    </row>
    <row r="144" spans="1:17" ht="12.75">
      <c r="A144" s="1153"/>
      <c r="B144" s="1153"/>
      <c r="C144" s="1153"/>
      <c r="D144" s="1153"/>
      <c r="E144" s="1153"/>
      <c r="F144" s="1153"/>
      <c r="G144" s="1153"/>
      <c r="H144" s="1153"/>
      <c r="I144" s="1153"/>
      <c r="J144" s="1153"/>
      <c r="K144" s="1153"/>
      <c r="L144" s="1153"/>
      <c r="M144" s="1153"/>
      <c r="N144" s="1153"/>
      <c r="O144" s="1153"/>
      <c r="P144" s="1153"/>
      <c r="Q144" s="1153"/>
    </row>
    <row r="145" spans="1:17" ht="12.75">
      <c r="A145" s="1153"/>
      <c r="B145" s="1153"/>
      <c r="C145" s="1153"/>
      <c r="D145" s="1153"/>
      <c r="E145" s="1153"/>
      <c r="F145" s="1153"/>
      <c r="G145" s="1153"/>
      <c r="H145" s="1153"/>
      <c r="I145" s="1153"/>
      <c r="J145" s="1153"/>
      <c r="K145" s="1153"/>
      <c r="L145" s="1153"/>
      <c r="M145" s="1153"/>
      <c r="N145" s="1153"/>
      <c r="O145" s="1153"/>
      <c r="P145" s="1153"/>
      <c r="Q145" s="1153"/>
    </row>
    <row r="146" spans="1:17" ht="12.75">
      <c r="A146" s="1153"/>
      <c r="B146" s="1153"/>
      <c r="C146" s="1153"/>
      <c r="D146" s="1153"/>
      <c r="E146" s="1153"/>
      <c r="F146" s="1153"/>
      <c r="G146" s="1153"/>
      <c r="H146" s="1153"/>
      <c r="I146" s="1153"/>
      <c r="J146" s="1153"/>
      <c r="K146" s="1153"/>
      <c r="L146" s="1153"/>
      <c r="M146" s="1153"/>
      <c r="N146" s="1153"/>
      <c r="O146" s="1153"/>
      <c r="P146" s="1153"/>
      <c r="Q146" s="1153"/>
    </row>
    <row r="147" spans="1:17" ht="12.75">
      <c r="A147" s="1153"/>
      <c r="B147" s="1153"/>
      <c r="C147" s="1153"/>
      <c r="D147" s="1153"/>
      <c r="E147" s="1153"/>
      <c r="F147" s="1153"/>
      <c r="G147" s="1153"/>
      <c r="H147" s="1153"/>
      <c r="I147" s="1153"/>
      <c r="J147" s="1153"/>
      <c r="K147" s="1153"/>
      <c r="L147" s="1153"/>
      <c r="M147" s="1153"/>
      <c r="N147" s="1153"/>
      <c r="O147" s="1153"/>
      <c r="P147" s="1153"/>
      <c r="Q147" s="1153"/>
    </row>
    <row r="148" spans="1:17" ht="12.75">
      <c r="A148" s="1153"/>
      <c r="B148" s="1153"/>
      <c r="C148" s="1153"/>
      <c r="D148" s="1153"/>
      <c r="E148" s="1153"/>
      <c r="F148" s="1153"/>
      <c r="G148" s="1153"/>
      <c r="H148" s="1153"/>
      <c r="I148" s="1153"/>
      <c r="J148" s="1153"/>
      <c r="K148" s="1153"/>
      <c r="L148" s="1153"/>
      <c r="M148" s="1153"/>
      <c r="N148" s="1153"/>
      <c r="O148" s="1153"/>
      <c r="P148" s="1153"/>
      <c r="Q148" s="1153"/>
    </row>
    <row r="149" spans="1:17" ht="12.75">
      <c r="A149" s="1153"/>
      <c r="B149" s="1153"/>
      <c r="C149" s="1153"/>
      <c r="D149" s="1153"/>
      <c r="E149" s="1153"/>
      <c r="F149" s="1153"/>
      <c r="G149" s="1153"/>
      <c r="H149" s="1153"/>
      <c r="I149" s="1153"/>
      <c r="J149" s="1153"/>
      <c r="K149" s="1153"/>
      <c r="L149" s="1153"/>
      <c r="M149" s="1153"/>
      <c r="N149" s="1153"/>
      <c r="O149" s="1153"/>
      <c r="P149" s="1153"/>
      <c r="Q149" s="1153"/>
    </row>
    <row r="150" spans="1:17" ht="12.75">
      <c r="A150" s="1153"/>
      <c r="B150" s="1153"/>
      <c r="C150" s="1153"/>
      <c r="D150" s="1153"/>
      <c r="E150" s="1153"/>
      <c r="F150" s="1153"/>
      <c r="G150" s="1153"/>
      <c r="H150" s="1153"/>
      <c r="I150" s="1153"/>
      <c r="J150" s="1153"/>
      <c r="K150" s="1153"/>
      <c r="L150" s="1153"/>
      <c r="M150" s="1153"/>
      <c r="N150" s="1153"/>
      <c r="O150" s="1153"/>
      <c r="P150" s="1153"/>
      <c r="Q150" s="1153"/>
    </row>
    <row r="151" spans="1:17" ht="12.75">
      <c r="A151" s="1153"/>
      <c r="B151" s="1153"/>
      <c r="C151" s="1153"/>
      <c r="D151" s="1153"/>
      <c r="E151" s="1153"/>
      <c r="F151" s="1153"/>
      <c r="G151" s="1153"/>
      <c r="H151" s="1153"/>
      <c r="I151" s="1153"/>
      <c r="J151" s="1153"/>
      <c r="K151" s="1153"/>
      <c r="L151" s="1153"/>
      <c r="M151" s="1153"/>
      <c r="N151" s="1153"/>
      <c r="O151" s="1153"/>
      <c r="P151" s="1153"/>
      <c r="Q151" s="1153"/>
    </row>
    <row r="152" spans="1:17" ht="12.75">
      <c r="A152" s="1153"/>
      <c r="B152" s="1153"/>
      <c r="C152" s="1153"/>
      <c r="D152" s="1153"/>
      <c r="E152" s="1153"/>
      <c r="F152" s="1153"/>
      <c r="G152" s="1153"/>
      <c r="H152" s="1153"/>
      <c r="I152" s="1153"/>
      <c r="J152" s="1153"/>
      <c r="K152" s="1153"/>
      <c r="L152" s="1153"/>
      <c r="M152" s="1153"/>
      <c r="N152" s="1153"/>
      <c r="O152" s="1153"/>
      <c r="P152" s="1153"/>
      <c r="Q152" s="1153"/>
    </row>
    <row r="153" spans="1:17" ht="12.75">
      <c r="A153" s="1153"/>
      <c r="B153" s="1153"/>
      <c r="C153" s="1153"/>
      <c r="D153" s="1153"/>
      <c r="E153" s="1153"/>
      <c r="F153" s="1153"/>
      <c r="G153" s="1153"/>
      <c r="H153" s="1153"/>
      <c r="I153" s="1153"/>
      <c r="J153" s="1153"/>
      <c r="K153" s="1153"/>
      <c r="L153" s="1153"/>
      <c r="M153" s="1153"/>
      <c r="N153" s="1153"/>
      <c r="O153" s="1153"/>
      <c r="P153" s="1153"/>
      <c r="Q153" s="1153"/>
    </row>
    <row r="154" spans="1:17" ht="12.75">
      <c r="A154" s="1153"/>
      <c r="B154" s="1153"/>
      <c r="C154" s="1153"/>
      <c r="D154" s="1153"/>
      <c r="E154" s="1153"/>
      <c r="F154" s="1153"/>
      <c r="G154" s="1153"/>
      <c r="H154" s="1153"/>
      <c r="I154" s="1153"/>
      <c r="J154" s="1153"/>
      <c r="K154" s="1153"/>
      <c r="L154" s="1153"/>
      <c r="M154" s="1153"/>
      <c r="N154" s="1153"/>
      <c r="O154" s="1153"/>
      <c r="P154" s="1153"/>
      <c r="Q154" s="1153"/>
    </row>
    <row r="155" spans="1:17" ht="12.75">
      <c r="A155" s="1153"/>
      <c r="B155" s="1153"/>
      <c r="C155" s="1153"/>
      <c r="D155" s="1153"/>
      <c r="E155" s="1153"/>
      <c r="F155" s="1153"/>
      <c r="G155" s="1153"/>
      <c r="H155" s="1153"/>
      <c r="I155" s="1153"/>
      <c r="J155" s="1153"/>
      <c r="K155" s="1153"/>
      <c r="L155" s="1153"/>
      <c r="M155" s="1153"/>
      <c r="N155" s="1153"/>
      <c r="O155" s="1153"/>
      <c r="P155" s="1153"/>
      <c r="Q155" s="1153"/>
    </row>
    <row r="156" spans="1:17" ht="12.75">
      <c r="A156" s="1153"/>
      <c r="B156" s="1153"/>
      <c r="C156" s="1153"/>
      <c r="D156" s="1153"/>
      <c r="E156" s="1153"/>
      <c r="F156" s="1153"/>
      <c r="G156" s="1153"/>
      <c r="H156" s="1153"/>
      <c r="I156" s="1153"/>
      <c r="J156" s="1153"/>
      <c r="K156" s="1153"/>
      <c r="L156" s="1153"/>
      <c r="M156" s="1153"/>
      <c r="N156" s="1153"/>
      <c r="O156" s="1153"/>
      <c r="P156" s="1153"/>
      <c r="Q156" s="1153"/>
    </row>
    <row r="157" spans="1:17" ht="12.75">
      <c r="A157" s="1153"/>
      <c r="B157" s="1153"/>
      <c r="C157" s="1153"/>
      <c r="D157" s="1153"/>
      <c r="E157" s="1153"/>
      <c r="F157" s="1153"/>
      <c r="G157" s="1153"/>
      <c r="H157" s="1153"/>
      <c r="I157" s="1153"/>
      <c r="J157" s="1153"/>
      <c r="K157" s="1153"/>
      <c r="L157" s="1153"/>
      <c r="M157" s="1153"/>
      <c r="N157" s="1153"/>
      <c r="O157" s="1153"/>
      <c r="P157" s="1153"/>
      <c r="Q157" s="1153"/>
    </row>
    <row r="158" spans="1:17" ht="12.75">
      <c r="A158" s="1153"/>
      <c r="B158" s="1153"/>
      <c r="C158" s="1153"/>
      <c r="D158" s="1153"/>
      <c r="E158" s="1153"/>
      <c r="F158" s="1153"/>
      <c r="G158" s="1153"/>
      <c r="H158" s="1153"/>
      <c r="I158" s="1153"/>
      <c r="J158" s="1153"/>
      <c r="K158" s="1153"/>
      <c r="L158" s="1153"/>
      <c r="M158" s="1153"/>
      <c r="N158" s="1153"/>
      <c r="O158" s="1153"/>
      <c r="P158" s="1153"/>
      <c r="Q158" s="1153"/>
    </row>
    <row r="159" spans="1:17" ht="12.75">
      <c r="A159" s="1153"/>
      <c r="B159" s="1153"/>
      <c r="C159" s="1153"/>
      <c r="D159" s="1153"/>
      <c r="E159" s="1153"/>
      <c r="F159" s="1153"/>
      <c r="G159" s="1153"/>
      <c r="H159" s="1153"/>
      <c r="I159" s="1153"/>
      <c r="J159" s="1153"/>
      <c r="K159" s="1153"/>
      <c r="L159" s="1153"/>
      <c r="M159" s="1153"/>
      <c r="N159" s="1153"/>
      <c r="O159" s="1153"/>
      <c r="P159" s="1153"/>
      <c r="Q159" s="1153"/>
    </row>
    <row r="160" spans="1:17" ht="12.75">
      <c r="A160" s="1153"/>
      <c r="B160" s="1153"/>
      <c r="C160" s="1153"/>
      <c r="D160" s="1153"/>
      <c r="E160" s="1153"/>
      <c r="F160" s="1153"/>
      <c r="G160" s="1153"/>
      <c r="H160" s="1153"/>
      <c r="I160" s="1153"/>
      <c r="J160" s="1153"/>
      <c r="K160" s="1153"/>
      <c r="L160" s="1153"/>
      <c r="M160" s="1153"/>
      <c r="N160" s="1153"/>
      <c r="O160" s="1153"/>
      <c r="P160" s="1153"/>
      <c r="Q160" s="1153"/>
    </row>
    <row r="161" spans="1:17" ht="12.75">
      <c r="A161" s="1153"/>
      <c r="B161" s="1153"/>
      <c r="C161" s="1153"/>
      <c r="D161" s="1153"/>
      <c r="E161" s="1153"/>
      <c r="F161" s="1153"/>
      <c r="G161" s="1153"/>
      <c r="H161" s="1153"/>
      <c r="I161" s="1153"/>
      <c r="J161" s="1153"/>
      <c r="K161" s="1153"/>
      <c r="L161" s="1153"/>
      <c r="M161" s="1153"/>
      <c r="N161" s="1153"/>
      <c r="O161" s="1153"/>
      <c r="P161" s="1153"/>
      <c r="Q161" s="1153"/>
    </row>
    <row r="162" spans="1:17" ht="12.75">
      <c r="A162" s="1153"/>
      <c r="B162" s="1153"/>
      <c r="C162" s="1153"/>
      <c r="D162" s="1153"/>
      <c r="E162" s="1153"/>
      <c r="F162" s="1153"/>
      <c r="G162" s="1153"/>
      <c r="H162" s="1153"/>
      <c r="I162" s="1153"/>
      <c r="J162" s="1153"/>
      <c r="K162" s="1153"/>
      <c r="L162" s="1153"/>
      <c r="M162" s="1153"/>
      <c r="N162" s="1153"/>
      <c r="O162" s="1153"/>
      <c r="P162" s="1153"/>
      <c r="Q162" s="1153"/>
    </row>
    <row r="163" spans="1:17" ht="12.75">
      <c r="A163" s="1153"/>
      <c r="B163" s="1153"/>
      <c r="C163" s="1153"/>
      <c r="D163" s="1153"/>
      <c r="E163" s="1153"/>
      <c r="F163" s="1153"/>
      <c r="G163" s="1153"/>
      <c r="H163" s="1153"/>
      <c r="I163" s="1153"/>
      <c r="J163" s="1153"/>
      <c r="K163" s="1153"/>
      <c r="L163" s="1153"/>
      <c r="M163" s="1153"/>
      <c r="N163" s="1153"/>
      <c r="O163" s="1153"/>
      <c r="P163" s="1153"/>
      <c r="Q163" s="1153"/>
    </row>
    <row r="164" spans="1:17" ht="12.75">
      <c r="A164" s="1153"/>
      <c r="B164" s="1153"/>
      <c r="C164" s="1153"/>
      <c r="D164" s="1153"/>
      <c r="E164" s="1153"/>
      <c r="F164" s="1153"/>
      <c r="G164" s="1153"/>
      <c r="H164" s="1153"/>
      <c r="I164" s="1153"/>
      <c r="J164" s="1153"/>
      <c r="K164" s="1153"/>
      <c r="L164" s="1153"/>
      <c r="M164" s="1153"/>
      <c r="N164" s="1153"/>
      <c r="O164" s="1153"/>
      <c r="P164" s="1153"/>
      <c r="Q164" s="1153"/>
    </row>
    <row r="165" spans="1:17" ht="12.75">
      <c r="A165" s="1153"/>
      <c r="B165" s="1153"/>
      <c r="C165" s="1153"/>
      <c r="D165" s="1153"/>
      <c r="E165" s="1153"/>
      <c r="F165" s="1153"/>
      <c r="G165" s="1153"/>
      <c r="H165" s="1153"/>
      <c r="I165" s="1153"/>
      <c r="J165" s="1153"/>
      <c r="K165" s="1153"/>
      <c r="L165" s="1153"/>
      <c r="M165" s="1153"/>
      <c r="N165" s="1153"/>
      <c r="O165" s="1153"/>
      <c r="P165" s="1153"/>
      <c r="Q165" s="1153"/>
    </row>
    <row r="166" spans="1:17" ht="12.75">
      <c r="A166" s="1153"/>
      <c r="B166" s="1153"/>
      <c r="C166" s="1153"/>
      <c r="D166" s="1153"/>
      <c r="E166" s="1153"/>
      <c r="F166" s="1153"/>
      <c r="G166" s="1153"/>
      <c r="H166" s="1153"/>
      <c r="I166" s="1153"/>
      <c r="J166" s="1153"/>
      <c r="K166" s="1153"/>
      <c r="L166" s="1153"/>
      <c r="M166" s="1153"/>
      <c r="N166" s="1153"/>
      <c r="O166" s="1153"/>
      <c r="P166" s="1153"/>
      <c r="Q166" s="1153"/>
    </row>
    <row r="167" spans="1:17" ht="12.75">
      <c r="A167" s="1153"/>
      <c r="B167" s="1153"/>
      <c r="C167" s="1153"/>
      <c r="D167" s="1153"/>
      <c r="E167" s="1153"/>
      <c r="F167" s="1153"/>
      <c r="G167" s="1153"/>
      <c r="H167" s="1153"/>
      <c r="I167" s="1153"/>
      <c r="J167" s="1153"/>
      <c r="K167" s="1153"/>
      <c r="L167" s="1153"/>
      <c r="M167" s="1153"/>
      <c r="N167" s="1153"/>
      <c r="O167" s="1153"/>
      <c r="P167" s="1153"/>
      <c r="Q167" s="1153"/>
    </row>
    <row r="168" spans="1:17" ht="12.75">
      <c r="A168" s="1153"/>
      <c r="B168" s="1153"/>
      <c r="C168" s="1153"/>
      <c r="D168" s="1153"/>
      <c r="E168" s="1153"/>
      <c r="F168" s="1153"/>
      <c r="G168" s="1153"/>
      <c r="H168" s="1153"/>
      <c r="I168" s="1153"/>
      <c r="J168" s="1153"/>
      <c r="K168" s="1153"/>
      <c r="L168" s="1153"/>
      <c r="M168" s="1153"/>
      <c r="N168" s="1153"/>
      <c r="O168" s="1153"/>
      <c r="P168" s="1153"/>
      <c r="Q168" s="1153"/>
    </row>
    <row r="169" spans="1:17" ht="12.75">
      <c r="A169" s="1153"/>
      <c r="B169" s="1153"/>
      <c r="C169" s="1153"/>
      <c r="D169" s="1153"/>
      <c r="E169" s="1153"/>
      <c r="F169" s="1153"/>
      <c r="G169" s="1153"/>
      <c r="H169" s="1153"/>
      <c r="I169" s="1153"/>
      <c r="J169" s="1153"/>
      <c r="K169" s="1153"/>
      <c r="L169" s="1153"/>
      <c r="M169" s="1153"/>
      <c r="N169" s="1153"/>
      <c r="O169" s="1153"/>
      <c r="P169" s="1153"/>
      <c r="Q169" s="1153"/>
    </row>
    <row r="170" spans="1:17" ht="12.75">
      <c r="A170" s="1153"/>
      <c r="B170" s="1153"/>
      <c r="C170" s="1153"/>
      <c r="D170" s="1153"/>
      <c r="E170" s="1153"/>
      <c r="F170" s="1153"/>
      <c r="G170" s="1153"/>
      <c r="H170" s="1153"/>
      <c r="I170" s="1153"/>
      <c r="J170" s="1153"/>
      <c r="K170" s="1153"/>
      <c r="L170" s="1153"/>
      <c r="M170" s="1153"/>
      <c r="N170" s="1153"/>
      <c r="O170" s="1153"/>
      <c r="P170" s="1153"/>
      <c r="Q170" s="1153"/>
    </row>
    <row r="171" spans="1:17" ht="12.75">
      <c r="A171" s="1153"/>
      <c r="B171" s="1153"/>
      <c r="C171" s="1153"/>
      <c r="D171" s="1153"/>
      <c r="E171" s="1153"/>
      <c r="F171" s="1153"/>
      <c r="G171" s="1153"/>
      <c r="H171" s="1153"/>
      <c r="I171" s="1153"/>
      <c r="J171" s="1153"/>
      <c r="K171" s="1153"/>
      <c r="L171" s="1153"/>
      <c r="M171" s="1153"/>
      <c r="N171" s="1153"/>
      <c r="O171" s="1153"/>
      <c r="P171" s="1153"/>
      <c r="Q171" s="1153"/>
    </row>
    <row r="172" spans="1:17" ht="12.75">
      <c r="A172" s="1153"/>
      <c r="B172" s="1153"/>
      <c r="C172" s="1153"/>
      <c r="D172" s="1153"/>
      <c r="E172" s="1153"/>
      <c r="F172" s="1153"/>
      <c r="G172" s="1153"/>
      <c r="H172" s="1153"/>
      <c r="I172" s="1153"/>
      <c r="J172" s="1153"/>
      <c r="K172" s="1153"/>
      <c r="L172" s="1153"/>
      <c r="M172" s="1153"/>
      <c r="N172" s="1153"/>
      <c r="O172" s="1153"/>
      <c r="P172" s="1153"/>
      <c r="Q172" s="1153"/>
    </row>
    <row r="173" spans="1:17" ht="12.75">
      <c r="A173" s="1153"/>
      <c r="B173" s="1153"/>
      <c r="C173" s="1153"/>
      <c r="D173" s="1153"/>
      <c r="E173" s="1153"/>
      <c r="F173" s="1153"/>
      <c r="G173" s="1153"/>
      <c r="H173" s="1153"/>
      <c r="I173" s="1153"/>
      <c r="J173" s="1153"/>
      <c r="K173" s="1153"/>
      <c r="L173" s="1153"/>
      <c r="M173" s="1153"/>
      <c r="N173" s="1153"/>
      <c r="O173" s="1153"/>
      <c r="P173" s="1153"/>
      <c r="Q173" s="1153"/>
    </row>
    <row r="174" spans="1:17" ht="12.75">
      <c r="A174" s="1153"/>
      <c r="B174" s="1153"/>
      <c r="C174" s="1153"/>
      <c r="D174" s="1153"/>
      <c r="E174" s="1153"/>
      <c r="F174" s="1153"/>
      <c r="G174" s="1153"/>
      <c r="H174" s="1153"/>
      <c r="I174" s="1153"/>
      <c r="J174" s="1153"/>
      <c r="K174" s="1153"/>
      <c r="L174" s="1153"/>
      <c r="M174" s="1153"/>
      <c r="N174" s="1153"/>
      <c r="O174" s="1153"/>
      <c r="P174" s="1153"/>
      <c r="Q174" s="1153"/>
    </row>
    <row r="175" spans="1:17" ht="12.75">
      <c r="A175" s="1153"/>
      <c r="B175" s="1153"/>
      <c r="C175" s="1153"/>
      <c r="D175" s="1153"/>
      <c r="E175" s="1153"/>
      <c r="F175" s="1153"/>
      <c r="G175" s="1153"/>
      <c r="H175" s="1153"/>
      <c r="I175" s="1153"/>
      <c r="J175" s="1153"/>
      <c r="K175" s="1153"/>
      <c r="L175" s="1153"/>
      <c r="M175" s="1153"/>
      <c r="N175" s="1153"/>
      <c r="O175" s="1153"/>
      <c r="P175" s="1153"/>
      <c r="Q175" s="1153"/>
    </row>
    <row r="176" spans="1:17" ht="12.75">
      <c r="A176" s="1153"/>
      <c r="B176" s="1153"/>
      <c r="C176" s="1153"/>
      <c r="D176" s="1153"/>
      <c r="E176" s="1153"/>
      <c r="F176" s="1153"/>
      <c r="G176" s="1153"/>
      <c r="H176" s="1153"/>
      <c r="I176" s="1153"/>
      <c r="J176" s="1153"/>
      <c r="K176" s="1153"/>
      <c r="L176" s="1153"/>
      <c r="M176" s="1153"/>
      <c r="N176" s="1153"/>
      <c r="O176" s="1153"/>
      <c r="P176" s="1153"/>
      <c r="Q176" s="1153"/>
    </row>
    <row r="177" spans="1:17" ht="12.75">
      <c r="A177" s="1153"/>
      <c r="B177" s="1153"/>
      <c r="C177" s="1153"/>
      <c r="D177" s="1153"/>
      <c r="E177" s="1153"/>
      <c r="F177" s="1153"/>
      <c r="G177" s="1153"/>
      <c r="H177" s="1153"/>
      <c r="I177" s="1153"/>
      <c r="J177" s="1153"/>
      <c r="K177" s="1153"/>
      <c r="L177" s="1153"/>
      <c r="M177" s="1153"/>
      <c r="N177" s="1153"/>
      <c r="O177" s="1153"/>
      <c r="P177" s="1153"/>
      <c r="Q177" s="1153"/>
    </row>
    <row r="178" spans="1:17" ht="12.75">
      <c r="A178" s="1153"/>
      <c r="B178" s="1153"/>
      <c r="C178" s="1153"/>
      <c r="D178" s="1153"/>
      <c r="E178" s="1153"/>
      <c r="F178" s="1153"/>
      <c r="G178" s="1153"/>
      <c r="H178" s="1153"/>
      <c r="I178" s="1153"/>
      <c r="J178" s="1153"/>
      <c r="K178" s="1153"/>
      <c r="L178" s="1153"/>
      <c r="M178" s="1153"/>
      <c r="N178" s="1153"/>
      <c r="O178" s="1153"/>
      <c r="P178" s="1153"/>
      <c r="Q178" s="1153"/>
    </row>
    <row r="179" spans="1:17" ht="12.75">
      <c r="A179" s="1153"/>
      <c r="B179" s="1153"/>
      <c r="C179" s="1153"/>
      <c r="D179" s="1153"/>
      <c r="E179" s="1153"/>
      <c r="F179" s="1153"/>
      <c r="G179" s="1153"/>
      <c r="H179" s="1153"/>
      <c r="I179" s="1153"/>
      <c r="J179" s="1153"/>
      <c r="K179" s="1153"/>
      <c r="L179" s="1153"/>
      <c r="M179" s="1153"/>
      <c r="N179" s="1153"/>
      <c r="O179" s="1153"/>
      <c r="P179" s="1153"/>
      <c r="Q179" s="1153"/>
    </row>
    <row r="180" spans="1:17" ht="12.75">
      <c r="A180" s="1153"/>
      <c r="B180" s="1153"/>
      <c r="C180" s="1153"/>
      <c r="D180" s="1153"/>
      <c r="E180" s="1153"/>
      <c r="F180" s="1153"/>
      <c r="G180" s="1153"/>
      <c r="H180" s="1153"/>
      <c r="I180" s="1153"/>
      <c r="J180" s="1153"/>
      <c r="K180" s="1153"/>
      <c r="L180" s="1153"/>
      <c r="M180" s="1153"/>
      <c r="N180" s="1153"/>
      <c r="O180" s="1153"/>
      <c r="P180" s="1153"/>
      <c r="Q180" s="1153"/>
    </row>
    <row r="181" spans="1:17" ht="12.75">
      <c r="A181" s="1153"/>
      <c r="B181" s="1153"/>
      <c r="C181" s="1153"/>
      <c r="D181" s="1153"/>
      <c r="E181" s="1153"/>
      <c r="F181" s="1153"/>
      <c r="G181" s="1153"/>
      <c r="H181" s="1153"/>
      <c r="I181" s="1153"/>
      <c r="J181" s="1153"/>
      <c r="K181" s="1153"/>
      <c r="L181" s="1153"/>
      <c r="M181" s="1153"/>
      <c r="N181" s="1153"/>
      <c r="O181" s="1153"/>
      <c r="P181" s="1153"/>
      <c r="Q181" s="1153"/>
    </row>
    <row r="182" spans="1:17" ht="12.75">
      <c r="A182" s="1153"/>
      <c r="B182" s="1153"/>
      <c r="C182" s="1153"/>
      <c r="D182" s="1153"/>
      <c r="E182" s="1153"/>
      <c r="F182" s="1153"/>
      <c r="G182" s="1153"/>
      <c r="H182" s="1153"/>
      <c r="I182" s="1153"/>
      <c r="J182" s="1153"/>
      <c r="K182" s="1153"/>
      <c r="L182" s="1153"/>
      <c r="M182" s="1153"/>
      <c r="N182" s="1153"/>
      <c r="O182" s="1153"/>
      <c r="P182" s="1153"/>
      <c r="Q182" s="1153"/>
    </row>
    <row r="183" spans="1:17" ht="12.75">
      <c r="A183" s="1153"/>
      <c r="B183" s="1153"/>
      <c r="C183" s="1153"/>
      <c r="D183" s="1153"/>
      <c r="E183" s="1153"/>
      <c r="F183" s="1153"/>
      <c r="G183" s="1153"/>
      <c r="H183" s="1153"/>
      <c r="I183" s="1153"/>
      <c r="J183" s="1153"/>
      <c r="K183" s="1153"/>
      <c r="L183" s="1153"/>
      <c r="M183" s="1153"/>
      <c r="N183" s="1153"/>
      <c r="O183" s="1153"/>
      <c r="P183" s="1153"/>
      <c r="Q183" s="1153"/>
    </row>
    <row r="184" spans="1:17" ht="12.75">
      <c r="A184" s="1153"/>
      <c r="B184" s="1153"/>
      <c r="C184" s="1153"/>
      <c r="D184" s="1153"/>
      <c r="E184" s="1153"/>
      <c r="F184" s="1153"/>
      <c r="G184" s="1153"/>
      <c r="H184" s="1153"/>
      <c r="I184" s="1153"/>
      <c r="J184" s="1153"/>
      <c r="K184" s="1153"/>
      <c r="L184" s="1153"/>
      <c r="M184" s="1153"/>
      <c r="N184" s="1153"/>
      <c r="O184" s="1153"/>
      <c r="P184" s="1153"/>
      <c r="Q184" s="1153"/>
    </row>
    <row r="185" spans="1:17" ht="12.75">
      <c r="A185" s="1153"/>
      <c r="B185" s="1153"/>
      <c r="C185" s="1153"/>
      <c r="D185" s="1153"/>
      <c r="E185" s="1153"/>
      <c r="F185" s="1153"/>
      <c r="G185" s="1153"/>
      <c r="H185" s="1153"/>
      <c r="I185" s="1153"/>
      <c r="J185" s="1153"/>
      <c r="K185" s="1153"/>
      <c r="L185" s="1153"/>
      <c r="M185" s="1153"/>
      <c r="N185" s="1153"/>
      <c r="O185" s="1153"/>
      <c r="P185" s="1153"/>
      <c r="Q185" s="1153"/>
    </row>
    <row r="186" spans="1:17" ht="12.75">
      <c r="A186" s="1153"/>
      <c r="B186" s="1153"/>
      <c r="C186" s="1153"/>
      <c r="D186" s="1153"/>
      <c r="E186" s="1153"/>
      <c r="F186" s="1153"/>
      <c r="G186" s="1153"/>
      <c r="H186" s="1153"/>
      <c r="I186" s="1153"/>
      <c r="J186" s="1153"/>
      <c r="K186" s="1153"/>
      <c r="L186" s="1153"/>
      <c r="M186" s="1153"/>
      <c r="N186" s="1153"/>
      <c r="O186" s="1153"/>
      <c r="P186" s="1153"/>
      <c r="Q186" s="1153"/>
    </row>
    <row r="187" spans="1:17" ht="12.75">
      <c r="A187" s="1153"/>
      <c r="B187" s="1153"/>
      <c r="C187" s="1153"/>
      <c r="D187" s="1153"/>
      <c r="E187" s="1153"/>
      <c r="F187" s="1153"/>
      <c r="G187" s="1153"/>
      <c r="H187" s="1153"/>
      <c r="I187" s="1153"/>
      <c r="J187" s="1153"/>
      <c r="K187" s="1153"/>
      <c r="L187" s="1153"/>
      <c r="M187" s="1153"/>
      <c r="N187" s="1153"/>
      <c r="O187" s="1153"/>
      <c r="P187" s="1153"/>
      <c r="Q187" s="1153"/>
    </row>
    <row r="188" spans="1:17" ht="12.75">
      <c r="A188" s="1153"/>
      <c r="B188" s="1153"/>
      <c r="C188" s="1153"/>
      <c r="D188" s="1153"/>
      <c r="E188" s="1153"/>
      <c r="F188" s="1153"/>
      <c r="G188" s="1153"/>
      <c r="H188" s="1153"/>
      <c r="I188" s="1153"/>
      <c r="J188" s="1153"/>
      <c r="K188" s="1153"/>
      <c r="L188" s="1153"/>
      <c r="M188" s="1153"/>
      <c r="N188" s="1153"/>
      <c r="O188" s="1153"/>
      <c r="P188" s="1153"/>
      <c r="Q188" s="1153"/>
    </row>
    <row r="189" spans="1:17" ht="12.75">
      <c r="A189" s="1153"/>
      <c r="B189" s="1153"/>
      <c r="C189" s="1153"/>
      <c r="D189" s="1153"/>
      <c r="E189" s="1153"/>
      <c r="F189" s="1153"/>
      <c r="G189" s="1153"/>
      <c r="H189" s="1153"/>
      <c r="I189" s="1153"/>
      <c r="J189" s="1153"/>
      <c r="K189" s="1153"/>
      <c r="L189" s="1153"/>
      <c r="M189" s="1153"/>
      <c r="N189" s="1153"/>
      <c r="O189" s="1153"/>
      <c r="P189" s="1153"/>
      <c r="Q189" s="1153"/>
    </row>
    <row r="190" spans="1:17" ht="12.75">
      <c r="A190" s="1153"/>
      <c r="B190" s="1153"/>
      <c r="C190" s="1153"/>
      <c r="D190" s="1153"/>
      <c r="E190" s="1153"/>
      <c r="F190" s="1153"/>
      <c r="G190" s="1153"/>
      <c r="H190" s="1153"/>
      <c r="I190" s="1153"/>
      <c r="J190" s="1153"/>
      <c r="K190" s="1153"/>
      <c r="L190" s="1153"/>
      <c r="M190" s="1153"/>
      <c r="N190" s="1153"/>
      <c r="O190" s="1153"/>
      <c r="P190" s="1153"/>
      <c r="Q190" s="1153"/>
    </row>
    <row r="191" spans="1:17" ht="12.75">
      <c r="A191" s="1153"/>
      <c r="B191" s="1153"/>
      <c r="C191" s="1153"/>
      <c r="D191" s="1153"/>
      <c r="E191" s="1153"/>
      <c r="F191" s="1153"/>
      <c r="G191" s="1153"/>
      <c r="H191" s="1153"/>
      <c r="I191" s="1153"/>
      <c r="J191" s="1153"/>
      <c r="K191" s="1153"/>
      <c r="L191" s="1153"/>
      <c r="M191" s="1153"/>
      <c r="N191" s="1153"/>
      <c r="O191" s="1153"/>
      <c r="P191" s="1153"/>
      <c r="Q191" s="1153"/>
    </row>
    <row r="192" spans="1:17" ht="12.75">
      <c r="A192" s="1153"/>
      <c r="B192" s="1153"/>
      <c r="C192" s="1153"/>
      <c r="D192" s="1153"/>
      <c r="E192" s="1153"/>
      <c r="F192" s="1153"/>
      <c r="G192" s="1153"/>
      <c r="H192" s="1153"/>
      <c r="I192" s="1153"/>
      <c r="J192" s="1153"/>
      <c r="K192" s="1153"/>
      <c r="L192" s="1153"/>
      <c r="M192" s="1153"/>
      <c r="N192" s="1153"/>
      <c r="O192" s="1153"/>
      <c r="P192" s="1153"/>
      <c r="Q192" s="1153"/>
    </row>
    <row r="193" spans="1:17" ht="12.75">
      <c r="A193" s="1153"/>
      <c r="B193" s="1153"/>
      <c r="C193" s="1153"/>
      <c r="D193" s="1153"/>
      <c r="E193" s="1153"/>
      <c r="F193" s="1153"/>
      <c r="G193" s="1153"/>
      <c r="H193" s="1153"/>
      <c r="I193" s="1153"/>
      <c r="J193" s="1153"/>
      <c r="K193" s="1153"/>
      <c r="L193" s="1153"/>
      <c r="M193" s="1153"/>
      <c r="N193" s="1153"/>
      <c r="O193" s="1153"/>
      <c r="P193" s="1153"/>
      <c r="Q193" s="1153"/>
    </row>
    <row r="194" spans="1:17" ht="12.75">
      <c r="A194" s="1153"/>
      <c r="B194" s="1153"/>
      <c r="C194" s="1153"/>
      <c r="D194" s="1153"/>
      <c r="E194" s="1153"/>
      <c r="F194" s="1153"/>
      <c r="G194" s="1153"/>
      <c r="H194" s="1153"/>
      <c r="I194" s="1153"/>
      <c r="J194" s="1153"/>
      <c r="K194" s="1153"/>
      <c r="L194" s="1153"/>
      <c r="M194" s="1153"/>
      <c r="N194" s="1153"/>
      <c r="O194" s="1153"/>
      <c r="P194" s="1153"/>
      <c r="Q194" s="1153"/>
    </row>
    <row r="195" spans="1:17" ht="12.75">
      <c r="A195" s="1153"/>
      <c r="B195" s="1153"/>
      <c r="C195" s="1153"/>
      <c r="D195" s="1153"/>
      <c r="E195" s="1153"/>
      <c r="F195" s="1153"/>
      <c r="G195" s="1153"/>
      <c r="H195" s="1153"/>
      <c r="I195" s="1153"/>
      <c r="J195" s="1153"/>
      <c r="K195" s="1153"/>
      <c r="L195" s="1153"/>
      <c r="M195" s="1153"/>
      <c r="N195" s="1153"/>
      <c r="O195" s="1153"/>
      <c r="P195" s="1153"/>
      <c r="Q195" s="1153"/>
    </row>
    <row r="196" spans="1:17" ht="12.75">
      <c r="A196" s="1153"/>
      <c r="B196" s="1153"/>
      <c r="C196" s="1153"/>
      <c r="D196" s="1153"/>
      <c r="E196" s="1153"/>
      <c r="F196" s="1153"/>
      <c r="G196" s="1153"/>
      <c r="H196" s="1153"/>
      <c r="I196" s="1153"/>
      <c r="J196" s="1153"/>
      <c r="K196" s="1153"/>
      <c r="L196" s="1153"/>
      <c r="M196" s="1153"/>
      <c r="N196" s="1153"/>
      <c r="O196" s="1153"/>
      <c r="P196" s="1153"/>
      <c r="Q196" s="1153"/>
    </row>
    <row r="197" spans="1:17" ht="12.75">
      <c r="A197" s="1153"/>
      <c r="B197" s="1153"/>
      <c r="C197" s="1153"/>
      <c r="D197" s="1153"/>
      <c r="E197" s="1153"/>
      <c r="F197" s="1153"/>
      <c r="G197" s="1153"/>
      <c r="H197" s="1153"/>
      <c r="I197" s="1153"/>
      <c r="J197" s="1153"/>
      <c r="K197" s="1153"/>
      <c r="L197" s="1153"/>
      <c r="M197" s="1153"/>
      <c r="N197" s="1153"/>
      <c r="O197" s="1153"/>
      <c r="P197" s="1153"/>
      <c r="Q197" s="1153"/>
    </row>
    <row r="198" spans="1:17" ht="12.75">
      <c r="A198" s="1153"/>
      <c r="B198" s="1153"/>
      <c r="C198" s="1153"/>
      <c r="D198" s="1153"/>
      <c r="E198" s="1153"/>
      <c r="F198" s="1153"/>
      <c r="G198" s="1153"/>
      <c r="H198" s="1153"/>
      <c r="I198" s="1153"/>
      <c r="J198" s="1153"/>
      <c r="K198" s="1153"/>
      <c r="L198" s="1153"/>
      <c r="M198" s="1153"/>
      <c r="N198" s="1153"/>
      <c r="O198" s="1153"/>
      <c r="P198" s="1153"/>
      <c r="Q198" s="1153"/>
    </row>
    <row r="199" spans="1:17" ht="12.75">
      <c r="A199" s="1153"/>
      <c r="B199" s="1153"/>
      <c r="C199" s="1153"/>
      <c r="D199" s="1153"/>
      <c r="E199" s="1153"/>
      <c r="F199" s="1153"/>
      <c r="G199" s="1153"/>
      <c r="H199" s="1153"/>
      <c r="I199" s="1153"/>
      <c r="J199" s="1153"/>
      <c r="K199" s="1153"/>
      <c r="L199" s="1153"/>
      <c r="M199" s="1153"/>
      <c r="N199" s="1153"/>
      <c r="O199" s="1153"/>
      <c r="P199" s="1153"/>
      <c r="Q199" s="1153"/>
    </row>
    <row r="200" spans="1:17" ht="12.75">
      <c r="A200" s="1153"/>
      <c r="B200" s="1153"/>
      <c r="C200" s="1153"/>
      <c r="D200" s="1153"/>
      <c r="E200" s="1153"/>
      <c r="F200" s="1153"/>
      <c r="G200" s="1153"/>
      <c r="H200" s="1153"/>
      <c r="I200" s="1153"/>
      <c r="J200" s="1153"/>
      <c r="K200" s="1153"/>
      <c r="L200" s="1153"/>
      <c r="M200" s="1153"/>
      <c r="N200" s="1153"/>
      <c r="O200" s="1153"/>
      <c r="P200" s="1153"/>
      <c r="Q200" s="1153"/>
    </row>
    <row r="201" spans="1:17" ht="12.75">
      <c r="A201" s="1153"/>
      <c r="B201" s="1153"/>
      <c r="C201" s="1153"/>
      <c r="D201" s="1153"/>
      <c r="E201" s="1153"/>
      <c r="F201" s="1153"/>
      <c r="G201" s="1153"/>
      <c r="H201" s="1153"/>
      <c r="I201" s="1153"/>
      <c r="J201" s="1153"/>
      <c r="K201" s="1153"/>
      <c r="L201" s="1153"/>
      <c r="M201" s="1153"/>
      <c r="N201" s="1153"/>
      <c r="O201" s="1153"/>
      <c r="P201" s="1153"/>
      <c r="Q201" s="1153"/>
    </row>
    <row r="202" spans="1:17" ht="12.75">
      <c r="A202" s="1153"/>
      <c r="B202" s="1153"/>
      <c r="C202" s="1153"/>
      <c r="D202" s="1153"/>
      <c r="E202" s="1153"/>
      <c r="F202" s="1153"/>
      <c r="G202" s="1153"/>
      <c r="H202" s="1153"/>
      <c r="I202" s="1153"/>
      <c r="J202" s="1153"/>
      <c r="K202" s="1153"/>
      <c r="L202" s="1153"/>
      <c r="M202" s="1153"/>
      <c r="N202" s="1153"/>
      <c r="O202" s="1153"/>
      <c r="P202" s="1153"/>
      <c r="Q202" s="1153"/>
    </row>
    <row r="203" spans="1:17" ht="12.75">
      <c r="A203" s="1153"/>
      <c r="B203" s="1153"/>
      <c r="C203" s="1153"/>
      <c r="D203" s="1153"/>
      <c r="E203" s="1153"/>
      <c r="F203" s="1153"/>
      <c r="G203" s="1153"/>
      <c r="H203" s="1153"/>
      <c r="I203" s="1153"/>
      <c r="J203" s="1153"/>
      <c r="K203" s="1153"/>
      <c r="L203" s="1153"/>
      <c r="M203" s="1153"/>
      <c r="N203" s="1153"/>
      <c r="O203" s="1153"/>
      <c r="P203" s="1153"/>
      <c r="Q203" s="1153"/>
    </row>
    <row r="204" spans="1:17" ht="12.75">
      <c r="A204" s="1153"/>
      <c r="B204" s="1153"/>
      <c r="C204" s="1153"/>
      <c r="D204" s="1153"/>
      <c r="E204" s="1153"/>
      <c r="F204" s="1153"/>
      <c r="G204" s="1153"/>
      <c r="H204" s="1153"/>
      <c r="I204" s="1153"/>
      <c r="J204" s="1153"/>
      <c r="K204" s="1153"/>
      <c r="L204" s="1153"/>
      <c r="M204" s="1153"/>
      <c r="N204" s="1153"/>
      <c r="O204" s="1153"/>
      <c r="P204" s="1153"/>
      <c r="Q204" s="1153"/>
    </row>
    <row r="205" spans="1:17" ht="12.75">
      <c r="A205" s="1153"/>
      <c r="B205" s="1153"/>
      <c r="C205" s="1153"/>
      <c r="D205" s="1153"/>
      <c r="E205" s="1153"/>
      <c r="F205" s="1153"/>
      <c r="G205" s="1153"/>
      <c r="H205" s="1153"/>
      <c r="I205" s="1153"/>
      <c r="J205" s="1153"/>
      <c r="K205" s="1153"/>
      <c r="L205" s="1153"/>
      <c r="M205" s="1153"/>
      <c r="N205" s="1153"/>
      <c r="O205" s="1153"/>
      <c r="P205" s="1153"/>
      <c r="Q205" s="1153"/>
    </row>
    <row r="206" spans="1:17" ht="12.75">
      <c r="A206" s="1153"/>
      <c r="B206" s="1153"/>
      <c r="C206" s="1153"/>
      <c r="D206" s="1153"/>
      <c r="E206" s="1153"/>
      <c r="F206" s="1153"/>
      <c r="G206" s="1153"/>
      <c r="H206" s="1153"/>
      <c r="I206" s="1153"/>
      <c r="J206" s="1153"/>
      <c r="K206" s="1153"/>
      <c r="L206" s="1153"/>
      <c r="M206" s="1153"/>
      <c r="N206" s="1153"/>
      <c r="O206" s="1153"/>
      <c r="P206" s="1153"/>
      <c r="Q206" s="1153"/>
    </row>
    <row r="207" spans="1:17" ht="12.75">
      <c r="A207" s="1153"/>
      <c r="B207" s="1153"/>
      <c r="C207" s="1153"/>
      <c r="D207" s="1153"/>
      <c r="E207" s="1153"/>
      <c r="F207" s="1153"/>
      <c r="G207" s="1153"/>
      <c r="H207" s="1153"/>
      <c r="I207" s="1153"/>
      <c r="J207" s="1153"/>
      <c r="K207" s="1153"/>
      <c r="L207" s="1153"/>
      <c r="M207" s="1153"/>
      <c r="N207" s="1153"/>
      <c r="O207" s="1153"/>
      <c r="P207" s="1153"/>
      <c r="Q207" s="1153"/>
    </row>
    <row r="208" spans="1:17" ht="12.75">
      <c r="A208" s="1153"/>
      <c r="B208" s="1153"/>
      <c r="C208" s="1153"/>
      <c r="D208" s="1153"/>
      <c r="E208" s="1153"/>
      <c r="F208" s="1153"/>
      <c r="G208" s="1153"/>
      <c r="H208" s="1153"/>
      <c r="I208" s="1153"/>
      <c r="J208" s="1153"/>
      <c r="K208" s="1153"/>
      <c r="L208" s="1153"/>
      <c r="M208" s="1153"/>
      <c r="N208" s="1153"/>
      <c r="O208" s="1153"/>
      <c r="P208" s="1153"/>
      <c r="Q208" s="1153"/>
    </row>
    <row r="209" spans="1:17" ht="12.75">
      <c r="A209" s="1153"/>
      <c r="B209" s="1153"/>
      <c r="C209" s="1153"/>
      <c r="D209" s="1153"/>
      <c r="E209" s="1153"/>
      <c r="F209" s="1153"/>
      <c r="G209" s="1153"/>
      <c r="H209" s="1153"/>
      <c r="I209" s="1153"/>
      <c r="J209" s="1153"/>
      <c r="K209" s="1153"/>
      <c r="L209" s="1153"/>
      <c r="M209" s="1153"/>
      <c r="N209" s="1153"/>
      <c r="O209" s="1153"/>
      <c r="P209" s="1153"/>
      <c r="Q209" s="1153"/>
    </row>
    <row r="210" spans="1:17" ht="12.75">
      <c r="A210" s="1153"/>
      <c r="B210" s="1153"/>
      <c r="C210" s="1153"/>
      <c r="D210" s="1153"/>
      <c r="E210" s="1153"/>
      <c r="F210" s="1153"/>
      <c r="G210" s="1153"/>
      <c r="H210" s="1153"/>
      <c r="I210" s="1153"/>
      <c r="J210" s="1153"/>
      <c r="K210" s="1153"/>
      <c r="L210" s="1153"/>
      <c r="M210" s="1153"/>
      <c r="N210" s="1153"/>
      <c r="O210" s="1153"/>
      <c r="P210" s="1153"/>
      <c r="Q210" s="1153"/>
    </row>
    <row r="211" spans="1:17" ht="12.75">
      <c r="A211" s="1153"/>
      <c r="B211" s="1153"/>
      <c r="C211" s="1153"/>
      <c r="D211" s="1153"/>
      <c r="E211" s="1153"/>
      <c r="F211" s="1153"/>
      <c r="G211" s="1153"/>
      <c r="H211" s="1153"/>
      <c r="I211" s="1153"/>
      <c r="J211" s="1153"/>
      <c r="K211" s="1153"/>
      <c r="L211" s="1153"/>
      <c r="M211" s="1153"/>
      <c r="N211" s="1153"/>
      <c r="O211" s="1153"/>
      <c r="P211" s="1153"/>
      <c r="Q211" s="1153"/>
    </row>
    <row r="212" spans="1:17" ht="12.75">
      <c r="A212" s="1153"/>
      <c r="B212" s="1153"/>
      <c r="C212" s="1153"/>
      <c r="D212" s="1153"/>
      <c r="E212" s="1153"/>
      <c r="F212" s="1153"/>
      <c r="G212" s="1153"/>
      <c r="H212" s="1153"/>
      <c r="I212" s="1153"/>
      <c r="J212" s="1153"/>
      <c r="K212" s="1153"/>
      <c r="L212" s="1153"/>
      <c r="M212" s="1153"/>
      <c r="N212" s="1153"/>
      <c r="O212" s="1153"/>
      <c r="P212" s="1153"/>
      <c r="Q212" s="1153"/>
    </row>
    <row r="213" spans="1:17" ht="12.75">
      <c r="A213" s="1153"/>
      <c r="B213" s="1153"/>
      <c r="C213" s="1153"/>
      <c r="D213" s="1153"/>
      <c r="E213" s="1153"/>
      <c r="F213" s="1153"/>
      <c r="G213" s="1153"/>
      <c r="H213" s="1153"/>
      <c r="I213" s="1153"/>
      <c r="J213" s="1153"/>
      <c r="K213" s="1153"/>
      <c r="L213" s="1153"/>
      <c r="M213" s="1153"/>
      <c r="N213" s="1153"/>
      <c r="O213" s="1153"/>
      <c r="P213" s="1153"/>
      <c r="Q213" s="1153"/>
    </row>
    <row r="214" spans="1:17" ht="12.75">
      <c r="A214" s="1153"/>
      <c r="B214" s="1153"/>
      <c r="C214" s="1153"/>
      <c r="D214" s="1153"/>
      <c r="E214" s="1153"/>
      <c r="F214" s="1153"/>
      <c r="G214" s="1153"/>
      <c r="H214" s="1153"/>
      <c r="I214" s="1153"/>
      <c r="J214" s="1153"/>
      <c r="K214" s="1153"/>
      <c r="L214" s="1153"/>
      <c r="M214" s="1153"/>
      <c r="N214" s="1153"/>
      <c r="O214" s="1153"/>
      <c r="P214" s="1153"/>
      <c r="Q214" s="1153"/>
    </row>
    <row r="215" spans="1:17" ht="12.75">
      <c r="A215" s="1153"/>
      <c r="B215" s="1153"/>
      <c r="C215" s="1153"/>
      <c r="D215" s="1153"/>
      <c r="E215" s="1153"/>
      <c r="F215" s="1153"/>
      <c r="G215" s="1153"/>
      <c r="H215" s="1153"/>
      <c r="I215" s="1153"/>
      <c r="J215" s="1153"/>
      <c r="K215" s="1153"/>
      <c r="L215" s="1153"/>
      <c r="M215" s="1153"/>
      <c r="N215" s="1153"/>
      <c r="O215" s="1153"/>
      <c r="P215" s="1153"/>
      <c r="Q215" s="1153"/>
    </row>
    <row r="216" spans="1:17" ht="12.75">
      <c r="A216" s="1153"/>
      <c r="B216" s="1153"/>
      <c r="C216" s="1153"/>
      <c r="D216" s="1153"/>
      <c r="E216" s="1153"/>
      <c r="F216" s="1153"/>
      <c r="G216" s="1153"/>
      <c r="H216" s="1153"/>
      <c r="I216" s="1153"/>
      <c r="J216" s="1153"/>
      <c r="K216" s="1153"/>
      <c r="L216" s="1153"/>
      <c r="M216" s="1153"/>
      <c r="N216" s="1153"/>
      <c r="O216" s="1153"/>
      <c r="P216" s="1153"/>
      <c r="Q216" s="1153"/>
    </row>
    <row r="217" spans="1:17" ht="12.75">
      <c r="A217" s="1153"/>
      <c r="B217" s="1153"/>
      <c r="C217" s="1153"/>
      <c r="D217" s="1153"/>
      <c r="E217" s="1153"/>
      <c r="F217" s="1153"/>
      <c r="G217" s="1153"/>
      <c r="H217" s="1153"/>
      <c r="I217" s="1153"/>
      <c r="J217" s="1153"/>
      <c r="K217" s="1153"/>
      <c r="L217" s="1153"/>
      <c r="M217" s="1153"/>
      <c r="N217" s="1153"/>
      <c r="O217" s="1153"/>
      <c r="P217" s="1153"/>
      <c r="Q217" s="1153"/>
    </row>
    <row r="218" spans="1:17" ht="12.75">
      <c r="A218" s="1153"/>
      <c r="B218" s="1153"/>
      <c r="C218" s="1153"/>
      <c r="D218" s="1153"/>
      <c r="E218" s="1153"/>
      <c r="F218" s="1153"/>
      <c r="G218" s="1153"/>
      <c r="H218" s="1153"/>
      <c r="I218" s="1153"/>
      <c r="J218" s="1153"/>
      <c r="K218" s="1153"/>
      <c r="L218" s="1153"/>
      <c r="M218" s="1153"/>
      <c r="N218" s="1153"/>
      <c r="O218" s="1153"/>
      <c r="P218" s="1153"/>
      <c r="Q218" s="1153"/>
    </row>
    <row r="219" spans="1:17" ht="12.75">
      <c r="A219" s="1153"/>
      <c r="B219" s="1153"/>
      <c r="C219" s="1153"/>
      <c r="D219" s="1153"/>
      <c r="E219" s="1153"/>
      <c r="F219" s="1153"/>
      <c r="G219" s="1153"/>
      <c r="H219" s="1153"/>
      <c r="I219" s="1153"/>
      <c r="J219" s="1153"/>
      <c r="K219" s="1153"/>
      <c r="L219" s="1153"/>
      <c r="M219" s="1153"/>
      <c r="N219" s="1153"/>
      <c r="O219" s="1153"/>
      <c r="P219" s="1153"/>
      <c r="Q219" s="1153"/>
    </row>
    <row r="220" spans="1:17" ht="12.75">
      <c r="A220" s="1153"/>
      <c r="B220" s="1153"/>
      <c r="C220" s="1153"/>
      <c r="D220" s="1153"/>
      <c r="E220" s="1153"/>
      <c r="F220" s="1153"/>
      <c r="G220" s="1153"/>
      <c r="H220" s="1153"/>
      <c r="I220" s="1153"/>
      <c r="J220" s="1153"/>
      <c r="K220" s="1153"/>
      <c r="L220" s="1153"/>
      <c r="M220" s="1153"/>
      <c r="N220" s="1153"/>
      <c r="O220" s="1153"/>
      <c r="P220" s="1153"/>
      <c r="Q220" s="1153"/>
    </row>
    <row r="221" spans="1:17" ht="12.75">
      <c r="A221" s="1153"/>
      <c r="B221" s="1153"/>
      <c r="C221" s="1153"/>
      <c r="D221" s="1153"/>
      <c r="E221" s="1153"/>
      <c r="F221" s="1153"/>
      <c r="G221" s="1153"/>
      <c r="H221" s="1153"/>
      <c r="I221" s="1153"/>
      <c r="J221" s="1153"/>
      <c r="K221" s="1153"/>
      <c r="L221" s="1153"/>
      <c r="M221" s="1153"/>
      <c r="N221" s="1153"/>
      <c r="O221" s="1153"/>
      <c r="P221" s="1153"/>
      <c r="Q221" s="1153"/>
    </row>
    <row r="222" spans="1:17" ht="12.75">
      <c r="A222" s="1153"/>
      <c r="B222" s="1153"/>
      <c r="C222" s="1153"/>
      <c r="D222" s="1153"/>
      <c r="E222" s="1153"/>
      <c r="F222" s="1153"/>
      <c r="G222" s="1153"/>
      <c r="H222" s="1153"/>
      <c r="I222" s="1153"/>
      <c r="J222" s="1153"/>
      <c r="K222" s="1153"/>
      <c r="L222" s="1153"/>
      <c r="M222" s="1153"/>
      <c r="N222" s="1153"/>
      <c r="O222" s="1153"/>
      <c r="P222" s="1153"/>
      <c r="Q222" s="1153"/>
    </row>
    <row r="223" spans="1:17" ht="12.75">
      <c r="A223" s="1153"/>
      <c r="B223" s="1153"/>
      <c r="C223" s="1153"/>
      <c r="D223" s="1153"/>
      <c r="E223" s="1153"/>
      <c r="F223" s="1153"/>
      <c r="G223" s="1153"/>
      <c r="H223" s="1153"/>
      <c r="I223" s="1153"/>
      <c r="J223" s="1153"/>
      <c r="K223" s="1153"/>
      <c r="L223" s="1153"/>
      <c r="M223" s="1153"/>
      <c r="N223" s="1153"/>
      <c r="O223" s="1153"/>
      <c r="P223" s="1153"/>
      <c r="Q223" s="1153"/>
    </row>
    <row r="224" spans="1:17" ht="12.75">
      <c r="A224" s="1153"/>
      <c r="B224" s="1153"/>
      <c r="C224" s="1153"/>
      <c r="D224" s="1153"/>
      <c r="E224" s="1153"/>
      <c r="F224" s="1153"/>
      <c r="G224" s="1153"/>
      <c r="H224" s="1153"/>
      <c r="I224" s="1153"/>
      <c r="J224" s="1153"/>
      <c r="K224" s="1153"/>
      <c r="L224" s="1153"/>
      <c r="M224" s="1153"/>
      <c r="N224" s="1153"/>
      <c r="O224" s="1153"/>
      <c r="P224" s="1153"/>
      <c r="Q224" s="1153"/>
    </row>
    <row r="225" spans="1:17" ht="12.75">
      <c r="A225" s="1153"/>
      <c r="B225" s="1153"/>
      <c r="C225" s="1153"/>
      <c r="D225" s="1153"/>
      <c r="E225" s="1153"/>
      <c r="F225" s="1153"/>
      <c r="G225" s="1153"/>
      <c r="H225" s="1153"/>
      <c r="I225" s="1153"/>
      <c r="J225" s="1153"/>
      <c r="K225" s="1153"/>
      <c r="L225" s="1153"/>
      <c r="M225" s="1153"/>
      <c r="N225" s="1153"/>
      <c r="O225" s="1153"/>
      <c r="P225" s="1153"/>
      <c r="Q225" s="1153"/>
    </row>
    <row r="226" spans="1:17" ht="12.75">
      <c r="A226" s="1153"/>
      <c r="B226" s="1153"/>
      <c r="C226" s="1153"/>
      <c r="D226" s="1153"/>
      <c r="E226" s="1153"/>
      <c r="F226" s="1153"/>
      <c r="G226" s="1153"/>
      <c r="H226" s="1153"/>
      <c r="I226" s="1153"/>
      <c r="J226" s="1153"/>
      <c r="K226" s="1153"/>
      <c r="L226" s="1153"/>
      <c r="M226" s="1153"/>
      <c r="N226" s="1153"/>
      <c r="O226" s="1153"/>
      <c r="P226" s="1153"/>
      <c r="Q226" s="1153"/>
    </row>
    <row r="227" spans="1:17" ht="12.75">
      <c r="A227" s="1153"/>
      <c r="B227" s="1153"/>
      <c r="C227" s="1153"/>
      <c r="D227" s="1153"/>
      <c r="E227" s="1153"/>
      <c r="F227" s="1153"/>
      <c r="G227" s="1153"/>
      <c r="H227" s="1153"/>
      <c r="I227" s="1153"/>
      <c r="J227" s="1153"/>
      <c r="K227" s="1153"/>
      <c r="L227" s="1153"/>
      <c r="M227" s="1153"/>
      <c r="N227" s="1153"/>
      <c r="O227" s="1153"/>
      <c r="P227" s="1153"/>
      <c r="Q227" s="1153"/>
    </row>
    <row r="228" spans="1:17" ht="12.75">
      <c r="A228" s="1153"/>
      <c r="B228" s="1153"/>
      <c r="C228" s="1153"/>
      <c r="D228" s="1153"/>
      <c r="E228" s="1153"/>
      <c r="F228" s="1153"/>
      <c r="G228" s="1153"/>
      <c r="H228" s="1153"/>
      <c r="I228" s="1153"/>
      <c r="J228" s="1153"/>
      <c r="K228" s="1153"/>
      <c r="L228" s="1153"/>
      <c r="M228" s="1153"/>
      <c r="N228" s="1153"/>
      <c r="O228" s="1153"/>
      <c r="P228" s="1153"/>
      <c r="Q228" s="1153"/>
    </row>
    <row r="229" spans="1:17" ht="12.75">
      <c r="A229" s="1153"/>
      <c r="B229" s="1153"/>
      <c r="C229" s="1153"/>
      <c r="D229" s="1153"/>
      <c r="E229" s="1153"/>
      <c r="F229" s="1153"/>
      <c r="G229" s="1153"/>
      <c r="H229" s="1153"/>
      <c r="I229" s="1153"/>
      <c r="J229" s="1153"/>
      <c r="K229" s="1153"/>
      <c r="L229" s="1153"/>
      <c r="M229" s="1153"/>
      <c r="N229" s="1153"/>
      <c r="O229" s="1153"/>
      <c r="P229" s="1153"/>
      <c r="Q229" s="1153"/>
    </row>
    <row r="230" spans="1:17" ht="12.75">
      <c r="A230" s="1153"/>
      <c r="B230" s="1153"/>
      <c r="C230" s="1153"/>
      <c r="D230" s="1153"/>
      <c r="E230" s="1153"/>
      <c r="F230" s="1153"/>
      <c r="G230" s="1153"/>
      <c r="H230" s="1153"/>
      <c r="I230" s="1153"/>
      <c r="J230" s="1153"/>
      <c r="K230" s="1153"/>
      <c r="L230" s="1153"/>
      <c r="M230" s="1153"/>
      <c r="N230" s="1153"/>
      <c r="O230" s="1153"/>
      <c r="P230" s="1153"/>
      <c r="Q230" s="1153"/>
    </row>
    <row r="231" spans="1:17" ht="12.75">
      <c r="A231" s="1153"/>
      <c r="B231" s="1153"/>
      <c r="C231" s="1153"/>
      <c r="D231" s="1153"/>
      <c r="E231" s="1153"/>
      <c r="F231" s="1153"/>
      <c r="G231" s="1153"/>
      <c r="H231" s="1153"/>
      <c r="I231" s="1153"/>
      <c r="J231" s="1153"/>
      <c r="K231" s="1153"/>
      <c r="L231" s="1153"/>
      <c r="M231" s="1153"/>
      <c r="N231" s="1153"/>
      <c r="O231" s="1153"/>
      <c r="P231" s="1153"/>
      <c r="Q231" s="1153"/>
    </row>
    <row r="232" spans="1:17" ht="12.75">
      <c r="A232" s="1153"/>
      <c r="B232" s="1153"/>
      <c r="C232" s="1153"/>
      <c r="D232" s="1153"/>
      <c r="E232" s="1153"/>
      <c r="F232" s="1153"/>
      <c r="G232" s="1153"/>
      <c r="H232" s="1153"/>
      <c r="I232" s="1153"/>
      <c r="J232" s="1153"/>
      <c r="K232" s="1153"/>
      <c r="L232" s="1153"/>
      <c r="M232" s="1153"/>
      <c r="N232" s="1153"/>
      <c r="O232" s="1153"/>
      <c r="P232" s="1153"/>
      <c r="Q232" s="1153"/>
    </row>
    <row r="233" spans="1:17" ht="12.75">
      <c r="A233" s="1153"/>
      <c r="B233" s="1153"/>
      <c r="C233" s="1153"/>
      <c r="D233" s="1153"/>
      <c r="E233" s="1153"/>
      <c r="F233" s="1153"/>
      <c r="G233" s="1153"/>
      <c r="H233" s="1153"/>
      <c r="I233" s="1153"/>
      <c r="J233" s="1153"/>
      <c r="K233" s="1153"/>
      <c r="L233" s="1153"/>
      <c r="M233" s="1153"/>
      <c r="N233" s="1153"/>
      <c r="O233" s="1153"/>
      <c r="P233" s="1153"/>
      <c r="Q233" s="1153"/>
    </row>
    <row r="234" spans="1:17" ht="12.75">
      <c r="A234" s="1153"/>
      <c r="B234" s="1153"/>
      <c r="C234" s="1153"/>
      <c r="D234" s="1153"/>
      <c r="E234" s="1153"/>
      <c r="F234" s="1153"/>
      <c r="G234" s="1153"/>
      <c r="H234" s="1153"/>
      <c r="I234" s="1153"/>
      <c r="J234" s="1153"/>
      <c r="K234" s="1153"/>
      <c r="L234" s="1153"/>
      <c r="M234" s="1153"/>
      <c r="N234" s="1153"/>
      <c r="O234" s="1153"/>
      <c r="P234" s="1153"/>
      <c r="Q234" s="1153"/>
    </row>
    <row r="235" spans="1:17" ht="12.75">
      <c r="A235" s="1153"/>
      <c r="B235" s="1153"/>
      <c r="C235" s="1153"/>
      <c r="D235" s="1153"/>
      <c r="E235" s="1153"/>
      <c r="F235" s="1153"/>
      <c r="G235" s="1153"/>
      <c r="H235" s="1153"/>
      <c r="I235" s="1153"/>
      <c r="J235" s="1153"/>
      <c r="K235" s="1153"/>
      <c r="L235" s="1153"/>
      <c r="M235" s="1153"/>
      <c r="N235" s="1153"/>
      <c r="O235" s="1153"/>
      <c r="P235" s="1153"/>
      <c r="Q235" s="1153"/>
    </row>
    <row r="236" spans="1:17" ht="12.75">
      <c r="A236" s="1153"/>
      <c r="B236" s="1153"/>
      <c r="C236" s="1153"/>
      <c r="D236" s="1153"/>
      <c r="E236" s="1153"/>
      <c r="F236" s="1153"/>
      <c r="G236" s="1153"/>
      <c r="H236" s="1153"/>
      <c r="I236" s="1153"/>
      <c r="J236" s="1153"/>
      <c r="K236" s="1153"/>
      <c r="L236" s="1153"/>
      <c r="M236" s="1153"/>
      <c r="N236" s="1153"/>
      <c r="O236" s="1153"/>
      <c r="P236" s="1153"/>
      <c r="Q236" s="1153"/>
    </row>
    <row r="237" spans="1:17" ht="12.75">
      <c r="A237" s="1153"/>
      <c r="B237" s="1153"/>
      <c r="C237" s="1153"/>
      <c r="D237" s="1153"/>
      <c r="E237" s="1153"/>
      <c r="F237" s="1153"/>
      <c r="G237" s="1153"/>
      <c r="H237" s="1153"/>
      <c r="I237" s="1153"/>
      <c r="J237" s="1153"/>
      <c r="K237" s="1153"/>
      <c r="L237" s="1153"/>
      <c r="M237" s="1153"/>
      <c r="N237" s="1153"/>
      <c r="O237" s="1153"/>
      <c r="P237" s="1153"/>
      <c r="Q237" s="1153"/>
    </row>
    <row r="238" spans="1:17" ht="12.75">
      <c r="A238" s="1153"/>
      <c r="B238" s="1153"/>
      <c r="C238" s="1153"/>
      <c r="D238" s="1153"/>
      <c r="E238" s="1153"/>
      <c r="F238" s="1153"/>
      <c r="G238" s="1153"/>
      <c r="H238" s="1153"/>
      <c r="I238" s="1153"/>
      <c r="J238" s="1153"/>
      <c r="K238" s="1153"/>
      <c r="L238" s="1153"/>
      <c r="M238" s="1153"/>
      <c r="N238" s="1153"/>
      <c r="O238" s="1153"/>
      <c r="P238" s="1153"/>
      <c r="Q238" s="1153"/>
    </row>
    <row r="239" spans="1:17" ht="12.75">
      <c r="A239" s="1153"/>
      <c r="B239" s="1153"/>
      <c r="C239" s="1153"/>
      <c r="D239" s="1153"/>
      <c r="E239" s="1153"/>
      <c r="F239" s="1153"/>
      <c r="G239" s="1153"/>
      <c r="H239" s="1153"/>
      <c r="I239" s="1153"/>
      <c r="J239" s="1153"/>
      <c r="K239" s="1153"/>
      <c r="L239" s="1153"/>
      <c r="M239" s="1153"/>
      <c r="N239" s="1153"/>
      <c r="O239" s="1153"/>
      <c r="P239" s="1153"/>
      <c r="Q239" s="1153"/>
    </row>
    <row r="240" spans="1:17" ht="12.75">
      <c r="A240" s="1153"/>
      <c r="B240" s="1153"/>
      <c r="C240" s="1153"/>
      <c r="D240" s="1153"/>
      <c r="E240" s="1153"/>
      <c r="F240" s="1153"/>
      <c r="G240" s="1153"/>
      <c r="H240" s="1153"/>
      <c r="I240" s="1153"/>
      <c r="J240" s="1153"/>
      <c r="K240" s="1153"/>
      <c r="L240" s="1153"/>
      <c r="M240" s="1153"/>
      <c r="N240" s="1153"/>
      <c r="O240" s="1153"/>
      <c r="P240" s="1153"/>
      <c r="Q240" s="1153"/>
    </row>
    <row r="241" spans="1:17" ht="12.75">
      <c r="A241" s="1153"/>
      <c r="B241" s="1153"/>
      <c r="C241" s="1153"/>
      <c r="D241" s="1153"/>
      <c r="E241" s="1153"/>
      <c r="F241" s="1153"/>
      <c r="G241" s="1153"/>
      <c r="H241" s="1153"/>
      <c r="I241" s="1153"/>
      <c r="J241" s="1153"/>
      <c r="K241" s="1153"/>
      <c r="L241" s="1153"/>
      <c r="M241" s="1153"/>
      <c r="N241" s="1153"/>
      <c r="O241" s="1153"/>
      <c r="P241" s="1153"/>
      <c r="Q241" s="1153"/>
    </row>
    <row r="242" spans="1:17" ht="12.75">
      <c r="A242" s="1153"/>
      <c r="B242" s="1153"/>
      <c r="C242" s="1153"/>
      <c r="D242" s="1153"/>
      <c r="E242" s="1153"/>
      <c r="F242" s="1153"/>
      <c r="G242" s="1153"/>
      <c r="H242" s="1153"/>
      <c r="I242" s="1153"/>
      <c r="J242" s="1153"/>
      <c r="K242" s="1153"/>
      <c r="L242" s="1153"/>
      <c r="M242" s="1153"/>
      <c r="N242" s="1153"/>
      <c r="O242" s="1153"/>
      <c r="P242" s="1153"/>
      <c r="Q242" s="1153"/>
    </row>
    <row r="243" spans="1:17" ht="12.75">
      <c r="A243" s="1153"/>
      <c r="B243" s="1153"/>
      <c r="C243" s="1153"/>
      <c r="D243" s="1153"/>
      <c r="E243" s="1153"/>
      <c r="F243" s="1153"/>
      <c r="G243" s="1153"/>
      <c r="H243" s="1153"/>
      <c r="I243" s="1153"/>
      <c r="J243" s="1153"/>
      <c r="K243" s="1153"/>
      <c r="L243" s="1153"/>
      <c r="M243" s="1153"/>
      <c r="N243" s="1153"/>
      <c r="O243" s="1153"/>
      <c r="P243" s="1153"/>
      <c r="Q243" s="1153"/>
    </row>
    <row r="244" spans="1:17" ht="12.75">
      <c r="A244" s="1153"/>
      <c r="B244" s="1153"/>
      <c r="C244" s="1153"/>
      <c r="D244" s="1153"/>
      <c r="E244" s="1153"/>
      <c r="F244" s="1153"/>
      <c r="G244" s="1153"/>
      <c r="H244" s="1153"/>
      <c r="I244" s="1153"/>
      <c r="J244" s="1153"/>
      <c r="K244" s="1153"/>
      <c r="L244" s="1153"/>
      <c r="M244" s="1153"/>
      <c r="N244" s="1153"/>
      <c r="O244" s="1153"/>
      <c r="P244" s="1153"/>
      <c r="Q244" s="1153"/>
    </row>
    <row r="245" spans="1:17" ht="12.75">
      <c r="A245" s="1153"/>
      <c r="B245" s="1153"/>
      <c r="C245" s="1153"/>
      <c r="D245" s="1153"/>
      <c r="E245" s="1153"/>
      <c r="F245" s="1153"/>
      <c r="G245" s="1153"/>
      <c r="H245" s="1153"/>
      <c r="I245" s="1153"/>
      <c r="J245" s="1153"/>
      <c r="K245" s="1153"/>
      <c r="L245" s="1153"/>
      <c r="M245" s="1153"/>
      <c r="N245" s="1153"/>
      <c r="O245" s="1153"/>
      <c r="P245" s="1153"/>
      <c r="Q245" s="1153"/>
    </row>
    <row r="246" spans="1:17" ht="12.75">
      <c r="A246" s="1153"/>
      <c r="B246" s="1153"/>
      <c r="C246" s="1153"/>
      <c r="D246" s="1153"/>
      <c r="E246" s="1153"/>
      <c r="F246" s="1153"/>
      <c r="G246" s="1153"/>
      <c r="H246" s="1153"/>
      <c r="I246" s="1153"/>
      <c r="J246" s="1153"/>
      <c r="K246" s="1153"/>
      <c r="L246" s="1153"/>
      <c r="M246" s="1153"/>
      <c r="N246" s="1153"/>
      <c r="O246" s="1153"/>
      <c r="P246" s="1153"/>
      <c r="Q246" s="1153"/>
    </row>
    <row r="247" spans="1:17" ht="12.75">
      <c r="A247" s="1153"/>
      <c r="B247" s="1153"/>
      <c r="C247" s="1153"/>
      <c r="D247" s="1153"/>
      <c r="E247" s="1153"/>
      <c r="F247" s="1153"/>
      <c r="G247" s="1153"/>
      <c r="H247" s="1153"/>
      <c r="I247" s="1153"/>
      <c r="J247" s="1153"/>
      <c r="K247" s="1153"/>
      <c r="L247" s="1153"/>
      <c r="M247" s="1153"/>
      <c r="N247" s="1153"/>
      <c r="O247" s="1153"/>
      <c r="P247" s="1153"/>
      <c r="Q247" s="1153"/>
    </row>
    <row r="248" spans="1:17" ht="12.75">
      <c r="A248" s="1153"/>
      <c r="B248" s="1153"/>
      <c r="C248" s="1153"/>
      <c r="D248" s="1153"/>
      <c r="E248" s="1153"/>
      <c r="F248" s="1153"/>
      <c r="G248" s="1153"/>
      <c r="H248" s="1153"/>
      <c r="I248" s="1153"/>
      <c r="J248" s="1153"/>
      <c r="K248" s="1153"/>
      <c r="L248" s="1153"/>
      <c r="M248" s="1153"/>
      <c r="N248" s="1153"/>
      <c r="O248" s="1153"/>
      <c r="P248" s="1153"/>
      <c r="Q248" s="1153"/>
    </row>
    <row r="249" spans="1:17" ht="12.75">
      <c r="A249" s="1153"/>
      <c r="B249" s="1153"/>
      <c r="C249" s="1153"/>
      <c r="D249" s="1153"/>
      <c r="E249" s="1153"/>
      <c r="F249" s="1153"/>
      <c r="G249" s="1153"/>
      <c r="H249" s="1153"/>
      <c r="I249" s="1153"/>
      <c r="J249" s="1153"/>
      <c r="K249" s="1153"/>
      <c r="L249" s="1153"/>
      <c r="M249" s="1153"/>
      <c r="N249" s="1153"/>
      <c r="O249" s="1153"/>
      <c r="P249" s="1153"/>
      <c r="Q249" s="1153"/>
    </row>
    <row r="250" spans="1:17" ht="12.75">
      <c r="A250" s="1153"/>
      <c r="B250" s="1153"/>
      <c r="C250" s="1153"/>
      <c r="D250" s="1153"/>
      <c r="E250" s="1153"/>
      <c r="F250" s="1153"/>
      <c r="G250" s="1153"/>
      <c r="H250" s="1153"/>
      <c r="I250" s="1153"/>
      <c r="J250" s="1153"/>
      <c r="K250" s="1153"/>
      <c r="L250" s="1153"/>
      <c r="M250" s="1153"/>
      <c r="N250" s="1153"/>
      <c r="O250" s="1153"/>
      <c r="P250" s="1153"/>
      <c r="Q250" s="1153"/>
    </row>
    <row r="251" spans="1:17" ht="12.75">
      <c r="A251" s="1153"/>
      <c r="B251" s="1153"/>
      <c r="C251" s="1153"/>
      <c r="D251" s="1153"/>
      <c r="E251" s="1153"/>
      <c r="F251" s="1153"/>
      <c r="G251" s="1153"/>
      <c r="H251" s="1153"/>
      <c r="I251" s="1153"/>
      <c r="J251" s="1153"/>
      <c r="K251" s="1153"/>
      <c r="L251" s="1153"/>
      <c r="M251" s="1153"/>
      <c r="N251" s="1153"/>
      <c r="O251" s="1153"/>
      <c r="P251" s="1153"/>
      <c r="Q251" s="1153"/>
    </row>
    <row r="252" spans="1:17" ht="12.75">
      <c r="A252" s="1153"/>
      <c r="B252" s="1153"/>
      <c r="C252" s="1153"/>
      <c r="D252" s="1153"/>
      <c r="E252" s="1153"/>
      <c r="F252" s="1153"/>
      <c r="G252" s="1153"/>
      <c r="H252" s="1153"/>
      <c r="I252" s="1153"/>
      <c r="J252" s="1153"/>
      <c r="K252" s="1153"/>
      <c r="L252" s="1153"/>
      <c r="M252" s="1153"/>
      <c r="N252" s="1153"/>
      <c r="O252" s="1153"/>
      <c r="P252" s="1153"/>
      <c r="Q252" s="1153"/>
    </row>
    <row r="253" spans="1:17" ht="12.75">
      <c r="A253" s="1153"/>
      <c r="B253" s="1153"/>
      <c r="C253" s="1153"/>
      <c r="D253" s="1153"/>
      <c r="E253" s="1153"/>
      <c r="F253" s="1153"/>
      <c r="G253" s="1153"/>
      <c r="H253" s="1153"/>
      <c r="I253" s="1153"/>
      <c r="J253" s="1153"/>
      <c r="K253" s="1153"/>
      <c r="L253" s="1153"/>
      <c r="M253" s="1153"/>
      <c r="N253" s="1153"/>
      <c r="O253" s="1153"/>
      <c r="P253" s="1153"/>
      <c r="Q253" s="1153"/>
    </row>
    <row r="254" spans="1:17" ht="12.75">
      <c r="A254" s="1153"/>
      <c r="B254" s="1153"/>
      <c r="C254" s="1153"/>
      <c r="D254" s="1153"/>
      <c r="E254" s="1153"/>
      <c r="F254" s="1153"/>
      <c r="G254" s="1153"/>
      <c r="H254" s="1153"/>
      <c r="I254" s="1153"/>
      <c r="J254" s="1153"/>
      <c r="K254" s="1153"/>
      <c r="L254" s="1153"/>
      <c r="M254" s="1153"/>
      <c r="N254" s="1153"/>
      <c r="O254" s="1153"/>
      <c r="P254" s="1153"/>
      <c r="Q254" s="1153"/>
    </row>
    <row r="255" spans="1:17" ht="12.75">
      <c r="A255" s="1153"/>
      <c r="B255" s="1153"/>
      <c r="C255" s="1153"/>
      <c r="D255" s="1153"/>
      <c r="E255" s="1153"/>
      <c r="F255" s="1153"/>
      <c r="G255" s="1153"/>
      <c r="H255" s="1153"/>
      <c r="I255" s="1153"/>
      <c r="J255" s="1153"/>
      <c r="K255" s="1153"/>
      <c r="L255" s="1153"/>
      <c r="M255" s="1153"/>
      <c r="N255" s="1153"/>
      <c r="O255" s="1153"/>
      <c r="P255" s="1153"/>
      <c r="Q255" s="1153"/>
    </row>
    <row r="256" spans="1:17" ht="12.75">
      <c r="A256" s="1153"/>
      <c r="B256" s="1153"/>
      <c r="C256" s="1153"/>
      <c r="D256" s="1153"/>
      <c r="E256" s="1153"/>
      <c r="F256" s="1153"/>
      <c r="G256" s="1153"/>
      <c r="H256" s="1153"/>
      <c r="I256" s="1153"/>
      <c r="J256" s="1153"/>
      <c r="K256" s="1153"/>
      <c r="L256" s="1153"/>
      <c r="M256" s="1153"/>
      <c r="N256" s="1153"/>
      <c r="O256" s="1153"/>
      <c r="P256" s="1153"/>
      <c r="Q256" s="1153"/>
    </row>
    <row r="257" spans="1:17" ht="12.75">
      <c r="A257" s="1153"/>
      <c r="B257" s="1153"/>
      <c r="C257" s="1153"/>
      <c r="D257" s="1153"/>
      <c r="E257" s="1153"/>
      <c r="F257" s="1153"/>
      <c r="G257" s="1153"/>
      <c r="H257" s="1153"/>
      <c r="I257" s="1153"/>
      <c r="J257" s="1153"/>
      <c r="K257" s="1153"/>
      <c r="L257" s="1153"/>
      <c r="M257" s="1153"/>
      <c r="N257" s="1153"/>
      <c r="O257" s="1153"/>
      <c r="P257" s="1153"/>
      <c r="Q257" s="1153"/>
    </row>
    <row r="258" spans="1:17" ht="12.75">
      <c r="A258" s="1153"/>
      <c r="B258" s="1153"/>
      <c r="C258" s="1153"/>
      <c r="D258" s="1153"/>
      <c r="E258" s="1153"/>
      <c r="F258" s="1153"/>
      <c r="G258" s="1153"/>
      <c r="H258" s="1153"/>
      <c r="I258" s="1153"/>
      <c r="J258" s="1153"/>
      <c r="K258" s="1153"/>
      <c r="L258" s="1153"/>
      <c r="M258" s="1153"/>
      <c r="N258" s="1153"/>
      <c r="O258" s="1153"/>
      <c r="P258" s="1153"/>
      <c r="Q258" s="1153"/>
    </row>
    <row r="259" spans="1:17" ht="12.75">
      <c r="A259" s="1153"/>
      <c r="B259" s="1153"/>
      <c r="C259" s="1153"/>
      <c r="D259" s="1153"/>
      <c r="E259" s="1153"/>
      <c r="F259" s="1153"/>
      <c r="G259" s="1153"/>
      <c r="H259" s="1153"/>
      <c r="I259" s="1153"/>
      <c r="J259" s="1153"/>
      <c r="K259" s="1153"/>
      <c r="L259" s="1153"/>
      <c r="M259" s="1153"/>
      <c r="N259" s="1153"/>
      <c r="O259" s="1153"/>
      <c r="P259" s="1153"/>
      <c r="Q259" s="1153"/>
    </row>
    <row r="260" spans="1:17" ht="12.75">
      <c r="A260" s="1153"/>
      <c r="B260" s="1153"/>
      <c r="C260" s="1153"/>
      <c r="D260" s="1153"/>
      <c r="E260" s="1153"/>
      <c r="F260" s="1153"/>
      <c r="G260" s="1153"/>
      <c r="H260" s="1153"/>
      <c r="I260" s="1153"/>
      <c r="J260" s="1153"/>
      <c r="K260" s="1153"/>
      <c r="L260" s="1153"/>
      <c r="M260" s="1153"/>
      <c r="N260" s="1153"/>
      <c r="O260" s="1153"/>
      <c r="P260" s="1153"/>
      <c r="Q260" s="1153"/>
    </row>
    <row r="261" spans="1:17" ht="12.75">
      <c r="A261" s="1153"/>
      <c r="B261" s="1153"/>
      <c r="C261" s="1153"/>
      <c r="D261" s="1153"/>
      <c r="E261" s="1153"/>
      <c r="F261" s="1153"/>
      <c r="G261" s="1153"/>
      <c r="H261" s="1153"/>
      <c r="I261" s="1153"/>
      <c r="J261" s="1153"/>
      <c r="K261" s="1153"/>
      <c r="L261" s="1153"/>
      <c r="M261" s="1153"/>
      <c r="N261" s="1153"/>
      <c r="O261" s="1153"/>
      <c r="P261" s="1153"/>
      <c r="Q261" s="1153"/>
    </row>
    <row r="262" spans="1:17" ht="12.75">
      <c r="A262" s="1153"/>
      <c r="B262" s="1153"/>
      <c r="C262" s="1153"/>
      <c r="D262" s="1153"/>
      <c r="E262" s="1153"/>
      <c r="F262" s="1153"/>
      <c r="G262" s="1153"/>
      <c r="H262" s="1153"/>
      <c r="I262" s="1153"/>
      <c r="J262" s="1153"/>
      <c r="K262" s="1153"/>
      <c r="L262" s="1153"/>
      <c r="M262" s="1153"/>
      <c r="N262" s="1153"/>
      <c r="O262" s="1153"/>
      <c r="P262" s="1153"/>
      <c r="Q262" s="1153"/>
    </row>
    <row r="263" spans="1:17" ht="12.75">
      <c r="A263" s="1153"/>
      <c r="B263" s="1153"/>
      <c r="C263" s="1153"/>
      <c r="D263" s="1153"/>
      <c r="E263" s="1153"/>
      <c r="F263" s="1153"/>
      <c r="G263" s="1153"/>
      <c r="H263" s="1153"/>
      <c r="I263" s="1153"/>
      <c r="J263" s="1153"/>
      <c r="K263" s="1153"/>
      <c r="L263" s="1153"/>
      <c r="M263" s="1153"/>
      <c r="N263" s="1153"/>
      <c r="O263" s="1153"/>
      <c r="P263" s="1153"/>
      <c r="Q263" s="1153"/>
    </row>
    <row r="264" spans="1:17" ht="12.75">
      <c r="A264" s="1153"/>
      <c r="B264" s="1153"/>
      <c r="C264" s="1153"/>
      <c r="D264" s="1153"/>
      <c r="E264" s="1153"/>
      <c r="F264" s="1153"/>
      <c r="G264" s="1153"/>
      <c r="H264" s="1153"/>
      <c r="I264" s="1153"/>
      <c r="J264" s="1153"/>
      <c r="K264" s="1153"/>
      <c r="L264" s="1153"/>
      <c r="M264" s="1153"/>
      <c r="N264" s="1153"/>
      <c r="O264" s="1153"/>
      <c r="P264" s="1153"/>
      <c r="Q264" s="1153"/>
    </row>
    <row r="265" spans="1:17" ht="12.75">
      <c r="A265" s="1153"/>
      <c r="B265" s="1153"/>
      <c r="C265" s="1153"/>
      <c r="D265" s="1153"/>
      <c r="E265" s="1153"/>
      <c r="F265" s="1153"/>
      <c r="G265" s="1153"/>
      <c r="H265" s="1153"/>
      <c r="I265" s="1153"/>
      <c r="J265" s="1153"/>
      <c r="K265" s="1153"/>
      <c r="L265" s="1153"/>
      <c r="M265" s="1153"/>
      <c r="N265" s="1153"/>
      <c r="O265" s="1153"/>
      <c r="P265" s="1153"/>
      <c r="Q265" s="1153"/>
    </row>
    <row r="266" spans="1:17" ht="12.75">
      <c r="A266" s="1153"/>
      <c r="B266" s="1153"/>
      <c r="C266" s="1153"/>
      <c r="D266" s="1153"/>
      <c r="E266" s="1153"/>
      <c r="F266" s="1153"/>
      <c r="G266" s="1153"/>
      <c r="H266" s="1153"/>
      <c r="I266" s="1153"/>
      <c r="J266" s="1153"/>
      <c r="K266" s="1153"/>
      <c r="L266" s="1153"/>
      <c r="M266" s="1153"/>
      <c r="N266" s="1153"/>
      <c r="O266" s="1153"/>
      <c r="P266" s="1153"/>
      <c r="Q266" s="1153"/>
    </row>
    <row r="267" spans="1:17" ht="12.75">
      <c r="A267" s="1153"/>
      <c r="B267" s="1153"/>
      <c r="C267" s="1153"/>
      <c r="D267" s="1153"/>
      <c r="E267" s="1153"/>
      <c r="F267" s="1153"/>
      <c r="G267" s="1153"/>
      <c r="H267" s="1153"/>
      <c r="I267" s="1153"/>
      <c r="J267" s="1153"/>
      <c r="K267" s="1153"/>
      <c r="L267" s="1153"/>
      <c r="M267" s="1153"/>
      <c r="N267" s="1153"/>
      <c r="O267" s="1153"/>
      <c r="P267" s="1153"/>
      <c r="Q267" s="1153"/>
    </row>
    <row r="268" spans="1:17" ht="12.75">
      <c r="A268" s="1153"/>
      <c r="B268" s="1153"/>
      <c r="C268" s="1153"/>
      <c r="D268" s="1153"/>
      <c r="E268" s="1153"/>
      <c r="F268" s="1153"/>
      <c r="G268" s="1153"/>
      <c r="H268" s="1153"/>
      <c r="I268" s="1153"/>
      <c r="J268" s="1153"/>
      <c r="K268" s="1153"/>
      <c r="L268" s="1153"/>
      <c r="M268" s="1153"/>
      <c r="N268" s="1153"/>
      <c r="O268" s="1153"/>
      <c r="P268" s="1153"/>
      <c r="Q268" s="1153"/>
    </row>
    <row r="269" spans="1:17" ht="12.75">
      <c r="A269" s="1153"/>
      <c r="B269" s="1153"/>
      <c r="C269" s="1153"/>
      <c r="D269" s="1153"/>
      <c r="E269" s="1153"/>
      <c r="F269" s="1153"/>
      <c r="G269" s="1153"/>
      <c r="H269" s="1153"/>
      <c r="I269" s="1153"/>
      <c r="J269" s="1153"/>
      <c r="K269" s="1153"/>
      <c r="L269" s="1153"/>
      <c r="M269" s="1153"/>
      <c r="N269" s="1153"/>
      <c r="O269" s="1153"/>
      <c r="P269" s="1153"/>
      <c r="Q269" s="1153"/>
    </row>
    <row r="270" spans="1:17" ht="12.75">
      <c r="A270" s="1153"/>
      <c r="B270" s="1153"/>
      <c r="C270" s="1153"/>
      <c r="D270" s="1153"/>
      <c r="E270" s="1153"/>
      <c r="F270" s="1153"/>
      <c r="G270" s="1153"/>
      <c r="H270" s="1153"/>
      <c r="I270" s="1153"/>
      <c r="J270" s="1153"/>
      <c r="K270" s="1153"/>
      <c r="L270" s="1153"/>
      <c r="M270" s="1153"/>
      <c r="N270" s="1153"/>
      <c r="O270" s="1153"/>
      <c r="P270" s="1153"/>
      <c r="Q270" s="1153"/>
    </row>
    <row r="271" spans="1:17" ht="12.75">
      <c r="A271" s="1153"/>
      <c r="B271" s="1153"/>
      <c r="C271" s="1153"/>
      <c r="D271" s="1153"/>
      <c r="E271" s="1153"/>
      <c r="F271" s="1153"/>
      <c r="G271" s="1153"/>
      <c r="H271" s="1153"/>
      <c r="I271" s="1153"/>
      <c r="J271" s="1153"/>
      <c r="K271" s="1153"/>
      <c r="L271" s="1153"/>
      <c r="M271" s="1153"/>
      <c r="N271" s="1153"/>
      <c r="O271" s="1153"/>
      <c r="P271" s="1153"/>
      <c r="Q271" s="1153"/>
    </row>
    <row r="272" spans="1:17" ht="12.75">
      <c r="A272" s="1153"/>
      <c r="B272" s="1153"/>
      <c r="C272" s="1153"/>
      <c r="D272" s="1153"/>
      <c r="E272" s="1153"/>
      <c r="F272" s="1153"/>
      <c r="G272" s="1153"/>
      <c r="H272" s="1153"/>
      <c r="I272" s="1153"/>
      <c r="J272" s="1153"/>
      <c r="K272" s="1153"/>
      <c r="L272" s="1153"/>
      <c r="M272" s="1153"/>
      <c r="N272" s="1153"/>
      <c r="O272" s="1153"/>
      <c r="P272" s="1153"/>
      <c r="Q272" s="1153"/>
    </row>
    <row r="273" spans="1:17" ht="12.75">
      <c r="A273" s="1153"/>
      <c r="B273" s="1153"/>
      <c r="C273" s="1153"/>
      <c r="D273" s="1153"/>
      <c r="E273" s="1153"/>
      <c r="F273" s="1153"/>
      <c r="G273" s="1153"/>
      <c r="H273" s="1153"/>
      <c r="I273" s="1153"/>
      <c r="J273" s="1153"/>
      <c r="K273" s="1153"/>
      <c r="L273" s="1153"/>
      <c r="M273" s="1153"/>
      <c r="N273" s="1153"/>
      <c r="O273" s="1153"/>
      <c r="P273" s="1153"/>
      <c r="Q273" s="1153"/>
    </row>
    <row r="274" spans="1:17" ht="12.75">
      <c r="A274" s="1153"/>
      <c r="B274" s="1153"/>
      <c r="C274" s="1153"/>
      <c r="D274" s="1153"/>
      <c r="E274" s="1153"/>
      <c r="F274" s="1153"/>
      <c r="G274" s="1153"/>
      <c r="H274" s="1153"/>
      <c r="I274" s="1153"/>
      <c r="J274" s="1153"/>
      <c r="K274" s="1153"/>
      <c r="L274" s="1153"/>
      <c r="M274" s="1153"/>
      <c r="N274" s="1153"/>
      <c r="O274" s="1153"/>
      <c r="P274" s="1153"/>
      <c r="Q274" s="1153"/>
    </row>
    <row r="275" spans="1:17" ht="12.75">
      <c r="A275" s="1153"/>
      <c r="B275" s="1153"/>
      <c r="C275" s="1153"/>
      <c r="D275" s="1153"/>
      <c r="E275" s="1153"/>
      <c r="F275" s="1153"/>
      <c r="G275" s="1153"/>
      <c r="H275" s="1153"/>
      <c r="I275" s="1153"/>
      <c r="J275" s="1153"/>
      <c r="K275" s="1153"/>
      <c r="L275" s="1153"/>
      <c r="M275" s="1153"/>
      <c r="N275" s="1153"/>
      <c r="O275" s="1153"/>
      <c r="P275" s="1153"/>
      <c r="Q275" s="1153"/>
    </row>
    <row r="276" spans="1:17" ht="12.75">
      <c r="A276" s="1153"/>
      <c r="B276" s="1153"/>
      <c r="C276" s="1153"/>
      <c r="D276" s="1153"/>
      <c r="E276" s="1153"/>
      <c r="F276" s="1153"/>
      <c r="G276" s="1153"/>
      <c r="H276" s="1153"/>
      <c r="I276" s="1153"/>
      <c r="J276" s="1153"/>
      <c r="K276" s="1153"/>
      <c r="L276" s="1153"/>
      <c r="M276" s="1153"/>
      <c r="N276" s="1153"/>
      <c r="O276" s="1153"/>
      <c r="P276" s="1153"/>
      <c r="Q276" s="1153"/>
    </row>
    <row r="277" spans="1:17" ht="12.75">
      <c r="A277" s="1153"/>
      <c r="B277" s="1153"/>
      <c r="C277" s="1153"/>
      <c r="D277" s="1153"/>
      <c r="E277" s="1153"/>
      <c r="F277" s="1153"/>
      <c r="G277" s="1153"/>
      <c r="H277" s="1153"/>
      <c r="I277" s="1153"/>
      <c r="J277" s="1153"/>
      <c r="K277" s="1153"/>
      <c r="L277" s="1153"/>
      <c r="M277" s="1153"/>
      <c r="N277" s="1153"/>
      <c r="O277" s="1153"/>
      <c r="P277" s="1153"/>
      <c r="Q277" s="1153"/>
    </row>
    <row r="278" spans="1:17" ht="12.75">
      <c r="A278" s="1153"/>
      <c r="B278" s="1153"/>
      <c r="C278" s="1153"/>
      <c r="D278" s="1153"/>
      <c r="E278" s="1153"/>
      <c r="F278" s="1153"/>
      <c r="G278" s="1153"/>
      <c r="H278" s="1153"/>
      <c r="I278" s="1153"/>
      <c r="J278" s="1153"/>
      <c r="K278" s="1153"/>
      <c r="L278" s="1153"/>
      <c r="M278" s="1153"/>
      <c r="N278" s="1153"/>
      <c r="O278" s="1153"/>
      <c r="P278" s="1153"/>
      <c r="Q278" s="1153"/>
    </row>
    <row r="279" spans="1:17" ht="12.75">
      <c r="A279" s="1153"/>
      <c r="B279" s="1153"/>
      <c r="C279" s="1153"/>
      <c r="D279" s="1153"/>
      <c r="E279" s="1153"/>
      <c r="F279" s="1153"/>
      <c r="G279" s="1153"/>
      <c r="H279" s="1153"/>
      <c r="I279" s="1153"/>
      <c r="J279" s="1153"/>
      <c r="K279" s="1153"/>
      <c r="L279" s="1153"/>
      <c r="M279" s="1153"/>
      <c r="N279" s="1153"/>
      <c r="O279" s="1153"/>
      <c r="P279" s="1153"/>
      <c r="Q279" s="1153"/>
    </row>
    <row r="280" spans="1:17" ht="12.75">
      <c r="A280" s="1153"/>
      <c r="B280" s="1153"/>
      <c r="C280" s="1153"/>
      <c r="D280" s="1153"/>
      <c r="E280" s="1153"/>
      <c r="F280" s="1153"/>
      <c r="G280" s="1153"/>
      <c r="H280" s="1153"/>
      <c r="I280" s="1153"/>
      <c r="J280" s="1153"/>
      <c r="K280" s="1153"/>
      <c r="L280" s="1153"/>
      <c r="M280" s="1153"/>
      <c r="N280" s="1153"/>
      <c r="O280" s="1153"/>
      <c r="P280" s="1153"/>
      <c r="Q280" s="1153"/>
    </row>
    <row r="281" spans="1:17" ht="12.75">
      <c r="A281" s="1153"/>
      <c r="B281" s="1153"/>
      <c r="C281" s="1153"/>
      <c r="D281" s="1153"/>
      <c r="E281" s="1153"/>
      <c r="F281" s="1153"/>
      <c r="G281" s="1153"/>
      <c r="H281" s="1153"/>
      <c r="I281" s="1153"/>
      <c r="J281" s="1153"/>
      <c r="K281" s="1153"/>
      <c r="L281" s="1153"/>
      <c r="M281" s="1153"/>
      <c r="N281" s="1153"/>
      <c r="O281" s="1153"/>
      <c r="P281" s="1153"/>
      <c r="Q281" s="1153"/>
    </row>
    <row r="282" spans="1:17" ht="12.75">
      <c r="A282" s="1153"/>
      <c r="B282" s="1153"/>
      <c r="C282" s="1153"/>
      <c r="D282" s="1153"/>
      <c r="E282" s="1153"/>
      <c r="F282" s="1153"/>
      <c r="G282" s="1153"/>
      <c r="H282" s="1153"/>
      <c r="I282" s="1153"/>
      <c r="J282" s="1153"/>
      <c r="K282" s="1153"/>
      <c r="L282" s="1153"/>
      <c r="M282" s="1153"/>
      <c r="N282" s="1153"/>
      <c r="O282" s="1153"/>
      <c r="P282" s="1153"/>
      <c r="Q282" s="1153"/>
    </row>
    <row r="283" spans="1:17" ht="12.75">
      <c r="A283" s="1153"/>
      <c r="B283" s="1153"/>
      <c r="C283" s="1153"/>
      <c r="D283" s="1153"/>
      <c r="E283" s="1153"/>
      <c r="F283" s="1153"/>
      <c r="G283" s="1153"/>
      <c r="H283" s="1153"/>
      <c r="I283" s="1153"/>
      <c r="J283" s="1153"/>
      <c r="K283" s="1153"/>
      <c r="L283" s="1153"/>
      <c r="M283" s="1153"/>
      <c r="N283" s="1153"/>
      <c r="O283" s="1153"/>
      <c r="P283" s="1153"/>
      <c r="Q283" s="1153"/>
    </row>
    <row r="284" spans="1:17" ht="12.75">
      <c r="A284" s="1153"/>
      <c r="B284" s="1153"/>
      <c r="C284" s="1153"/>
      <c r="D284" s="1153"/>
      <c r="E284" s="1153"/>
      <c r="F284" s="1153"/>
      <c r="G284" s="1153"/>
      <c r="H284" s="1153"/>
      <c r="I284" s="1153"/>
      <c r="J284" s="1153"/>
      <c r="K284" s="1153"/>
      <c r="L284" s="1153"/>
      <c r="M284" s="1153"/>
      <c r="N284" s="1153"/>
      <c r="O284" s="1153"/>
      <c r="P284" s="1153"/>
      <c r="Q284" s="1153"/>
    </row>
    <row r="285" spans="1:17" ht="12.75">
      <c r="A285" s="1153"/>
      <c r="B285" s="1153"/>
      <c r="C285" s="1153"/>
      <c r="D285" s="1153"/>
      <c r="E285" s="1153"/>
      <c r="F285" s="1153"/>
      <c r="G285" s="1153"/>
      <c r="H285" s="1153"/>
      <c r="I285" s="1153"/>
      <c r="J285" s="1153"/>
      <c r="K285" s="1153"/>
      <c r="L285" s="1153"/>
      <c r="M285" s="1153"/>
      <c r="N285" s="1153"/>
      <c r="O285" s="1153"/>
      <c r="P285" s="1153"/>
      <c r="Q285" s="1153"/>
    </row>
    <row r="286" spans="1:17" ht="12.75">
      <c r="A286" s="1153"/>
      <c r="B286" s="1153"/>
      <c r="C286" s="1153"/>
      <c r="D286" s="1153"/>
      <c r="E286" s="1153"/>
      <c r="F286" s="1153"/>
      <c r="G286" s="1153"/>
      <c r="H286" s="1153"/>
      <c r="I286" s="1153"/>
      <c r="J286" s="1153"/>
      <c r="K286" s="1153"/>
      <c r="L286" s="1153"/>
      <c r="M286" s="1153"/>
      <c r="N286" s="1153"/>
      <c r="O286" s="1153"/>
      <c r="P286" s="1153"/>
      <c r="Q286" s="1153"/>
    </row>
    <row r="287" spans="1:17" ht="12.75">
      <c r="A287" s="1153"/>
      <c r="B287" s="1153"/>
      <c r="C287" s="1153"/>
      <c r="D287" s="1153"/>
      <c r="E287" s="1153"/>
      <c r="F287" s="1153"/>
      <c r="G287" s="1153"/>
      <c r="H287" s="1153"/>
      <c r="I287" s="1153"/>
      <c r="J287" s="1153"/>
      <c r="K287" s="1153"/>
      <c r="L287" s="1153"/>
      <c r="M287" s="1153"/>
      <c r="N287" s="1153"/>
      <c r="O287" s="1153"/>
      <c r="P287" s="1153"/>
      <c r="Q287" s="1153"/>
    </row>
    <row r="288" spans="1:17" ht="12.75">
      <c r="A288" s="1153"/>
      <c r="B288" s="1153"/>
      <c r="C288" s="1153"/>
      <c r="D288" s="1153"/>
      <c r="E288" s="1153"/>
      <c r="F288" s="1153"/>
      <c r="G288" s="1153"/>
      <c r="H288" s="1153"/>
      <c r="I288" s="1153"/>
      <c r="J288" s="1153"/>
      <c r="K288" s="1153"/>
      <c r="L288" s="1153"/>
      <c r="M288" s="1153"/>
      <c r="N288" s="1153"/>
      <c r="O288" s="1153"/>
      <c r="P288" s="1153"/>
      <c r="Q288" s="1153"/>
    </row>
    <row r="289" spans="1:17" ht="12.75">
      <c r="A289" s="1153"/>
      <c r="B289" s="1153"/>
      <c r="C289" s="1153"/>
      <c r="D289" s="1153"/>
      <c r="E289" s="1153"/>
      <c r="F289" s="1153"/>
      <c r="G289" s="1153"/>
      <c r="H289" s="1153"/>
      <c r="I289" s="1153"/>
      <c r="J289" s="1153"/>
      <c r="K289" s="1153"/>
      <c r="L289" s="1153"/>
      <c r="M289" s="1153"/>
      <c r="N289" s="1153"/>
      <c r="O289" s="1153"/>
      <c r="P289" s="1153"/>
      <c r="Q289" s="1153"/>
    </row>
    <row r="290" spans="1:17" ht="12.75">
      <c r="A290" s="1153"/>
      <c r="B290" s="1153"/>
      <c r="C290" s="1153"/>
      <c r="D290" s="1153"/>
      <c r="E290" s="1153"/>
      <c r="F290" s="1153"/>
      <c r="G290" s="1153"/>
      <c r="H290" s="1153"/>
      <c r="I290" s="1153"/>
      <c r="J290" s="1153"/>
      <c r="K290" s="1153"/>
      <c r="L290" s="1153"/>
      <c r="M290" s="1153"/>
      <c r="N290" s="1153"/>
      <c r="O290" s="1153"/>
      <c r="P290" s="1153"/>
      <c r="Q290" s="1153"/>
    </row>
    <row r="291" spans="1:17" ht="12.75">
      <c r="A291" s="1153"/>
      <c r="B291" s="1153"/>
      <c r="C291" s="1153"/>
      <c r="D291" s="1153"/>
      <c r="E291" s="1153"/>
      <c r="F291" s="1153"/>
      <c r="G291" s="1153"/>
      <c r="H291" s="1153"/>
      <c r="I291" s="1153"/>
      <c r="J291" s="1153"/>
      <c r="K291" s="1153"/>
      <c r="L291" s="1153"/>
      <c r="M291" s="1153"/>
      <c r="N291" s="1153"/>
      <c r="O291" s="1153"/>
      <c r="P291" s="1153"/>
      <c r="Q291" s="1153"/>
    </row>
    <row r="292" spans="1:17" ht="12.75">
      <c r="A292" s="1153"/>
      <c r="B292" s="1153"/>
      <c r="C292" s="1153"/>
      <c r="D292" s="1153"/>
      <c r="E292" s="1153"/>
      <c r="F292" s="1153"/>
      <c r="G292" s="1153"/>
      <c r="H292" s="1153"/>
      <c r="I292" s="1153"/>
      <c r="J292" s="1153"/>
      <c r="K292" s="1153"/>
      <c r="L292" s="1153"/>
      <c r="M292" s="1153"/>
      <c r="N292" s="1153"/>
      <c r="O292" s="1153"/>
      <c r="P292" s="1153"/>
      <c r="Q292" s="1153"/>
    </row>
    <row r="293" spans="1:17" ht="12.75">
      <c r="A293" s="1153"/>
      <c r="B293" s="1153"/>
      <c r="C293" s="1153"/>
      <c r="D293" s="1153"/>
      <c r="E293" s="1153"/>
      <c r="F293" s="1153"/>
      <c r="G293" s="1153"/>
      <c r="H293" s="1153"/>
      <c r="I293" s="1153"/>
      <c r="J293" s="1153"/>
      <c r="K293" s="1153"/>
      <c r="L293" s="1153"/>
      <c r="M293" s="1153"/>
      <c r="N293" s="1153"/>
      <c r="O293" s="1153"/>
      <c r="P293" s="1153"/>
      <c r="Q293" s="1153"/>
    </row>
    <row r="294" spans="1:17" ht="12.75">
      <c r="A294" s="1153"/>
      <c r="B294" s="1153"/>
      <c r="C294" s="1153"/>
      <c r="D294" s="1153"/>
      <c r="E294" s="1153"/>
      <c r="F294" s="1153"/>
      <c r="G294" s="1153"/>
      <c r="H294" s="1153"/>
      <c r="I294" s="1153"/>
      <c r="J294" s="1153"/>
      <c r="K294" s="1153"/>
      <c r="L294" s="1153"/>
      <c r="M294" s="1153"/>
      <c r="N294" s="1153"/>
      <c r="O294" s="1153"/>
      <c r="P294" s="1153"/>
      <c r="Q294" s="1153"/>
    </row>
    <row r="295" spans="1:17" ht="12.75">
      <c r="A295" s="1153"/>
      <c r="B295" s="1153"/>
      <c r="C295" s="1153"/>
      <c r="D295" s="1153"/>
      <c r="E295" s="1153"/>
      <c r="F295" s="1153"/>
      <c r="G295" s="1153"/>
      <c r="H295" s="1153"/>
      <c r="I295" s="1153"/>
      <c r="J295" s="1153"/>
      <c r="K295" s="1153"/>
      <c r="L295" s="1153"/>
      <c r="M295" s="1153"/>
      <c r="N295" s="1153"/>
      <c r="O295" s="1153"/>
      <c r="P295" s="1153"/>
      <c r="Q295" s="1153"/>
    </row>
    <row r="296" spans="1:17" ht="12.75">
      <c r="A296" s="1153"/>
      <c r="B296" s="1153"/>
      <c r="C296" s="1153"/>
      <c r="D296" s="1153"/>
      <c r="E296" s="1153"/>
      <c r="F296" s="1153"/>
      <c r="G296" s="1153"/>
      <c r="H296" s="1153"/>
      <c r="I296" s="1153"/>
      <c r="J296" s="1153"/>
      <c r="K296" s="1153"/>
      <c r="L296" s="1153"/>
      <c r="M296" s="1153"/>
      <c r="N296" s="1153"/>
      <c r="O296" s="1153"/>
      <c r="P296" s="1153"/>
      <c r="Q296" s="1153"/>
    </row>
    <row r="297" spans="1:17" ht="12.75">
      <c r="A297" s="1153"/>
      <c r="B297" s="1153"/>
      <c r="C297" s="1153"/>
      <c r="D297" s="1153"/>
      <c r="E297" s="1153"/>
      <c r="F297" s="1153"/>
      <c r="G297" s="1153"/>
      <c r="H297" s="1153"/>
      <c r="I297" s="1153"/>
      <c r="J297" s="1153"/>
      <c r="K297" s="1153"/>
      <c r="L297" s="1153"/>
      <c r="M297" s="1153"/>
      <c r="N297" s="1153"/>
      <c r="O297" s="1153"/>
      <c r="P297" s="1153"/>
      <c r="Q297" s="1153"/>
    </row>
    <row r="298" spans="1:17" ht="12.75">
      <c r="A298" s="1153"/>
      <c r="B298" s="1153"/>
      <c r="C298" s="1153"/>
      <c r="D298" s="1153"/>
      <c r="E298" s="1153"/>
      <c r="F298" s="1153"/>
      <c r="G298" s="1153"/>
      <c r="H298" s="1153"/>
      <c r="I298" s="1153"/>
      <c r="J298" s="1153"/>
      <c r="K298" s="1153"/>
      <c r="L298" s="1153"/>
      <c r="M298" s="1153"/>
      <c r="N298" s="1153"/>
      <c r="O298" s="1153"/>
      <c r="P298" s="1153"/>
      <c r="Q298" s="1153"/>
    </row>
    <row r="299" spans="1:17" ht="12.75">
      <c r="A299" s="1153"/>
      <c r="B299" s="1153"/>
      <c r="C299" s="1153"/>
      <c r="D299" s="1153"/>
      <c r="E299" s="1153"/>
      <c r="F299" s="1153"/>
      <c r="G299" s="1153"/>
      <c r="H299" s="1153"/>
      <c r="I299" s="1153"/>
      <c r="J299" s="1153"/>
      <c r="K299" s="1153"/>
      <c r="L299" s="1153"/>
      <c r="M299" s="1153"/>
      <c r="N299" s="1153"/>
      <c r="O299" s="1153"/>
      <c r="P299" s="1153"/>
      <c r="Q299" s="1153"/>
    </row>
    <row r="300" spans="1:17" ht="12.75">
      <c r="A300" s="1153"/>
      <c r="B300" s="1153"/>
      <c r="C300" s="1153"/>
      <c r="D300" s="1153"/>
      <c r="E300" s="1153"/>
      <c r="F300" s="1153"/>
      <c r="G300" s="1153"/>
      <c r="H300" s="1153"/>
      <c r="I300" s="1153"/>
      <c r="J300" s="1153"/>
      <c r="K300" s="1153"/>
      <c r="L300" s="1153"/>
      <c r="M300" s="1153"/>
      <c r="N300" s="1153"/>
      <c r="O300" s="1153"/>
      <c r="P300" s="1153"/>
      <c r="Q300" s="1153"/>
    </row>
    <row r="301" spans="1:17" ht="12.75">
      <c r="A301" s="1153"/>
      <c r="B301" s="1153"/>
      <c r="C301" s="1153"/>
      <c r="D301" s="1153"/>
      <c r="E301" s="1153"/>
      <c r="F301" s="1153"/>
      <c r="G301" s="1153"/>
      <c r="H301" s="1153"/>
      <c r="I301" s="1153"/>
      <c r="J301" s="1153"/>
      <c r="K301" s="1153"/>
      <c r="L301" s="1153"/>
      <c r="M301" s="1153"/>
      <c r="N301" s="1153"/>
      <c r="O301" s="1153"/>
      <c r="P301" s="1153"/>
      <c r="Q301" s="1153"/>
    </row>
    <row r="302" spans="1:17" ht="12.75">
      <c r="A302" s="1153"/>
      <c r="B302" s="1153"/>
      <c r="C302" s="1153"/>
      <c r="D302" s="1153"/>
      <c r="E302" s="1153"/>
      <c r="F302" s="1153"/>
      <c r="G302" s="1153"/>
      <c r="H302" s="1153"/>
      <c r="I302" s="1153"/>
      <c r="J302" s="1153"/>
      <c r="K302" s="1153"/>
      <c r="L302" s="1153"/>
      <c r="M302" s="1153"/>
      <c r="N302" s="1153"/>
      <c r="O302" s="1153"/>
      <c r="P302" s="1153"/>
      <c r="Q302" s="1153"/>
    </row>
    <row r="303" spans="1:17" ht="12.75">
      <c r="A303" s="1153"/>
      <c r="B303" s="1153"/>
      <c r="C303" s="1153"/>
      <c r="D303" s="1153"/>
      <c r="E303" s="1153"/>
      <c r="F303" s="1153"/>
      <c r="G303" s="1153"/>
      <c r="H303" s="1153"/>
      <c r="I303" s="1153"/>
      <c r="J303" s="1153"/>
      <c r="K303" s="1153"/>
      <c r="L303" s="1153"/>
      <c r="M303" s="1153"/>
      <c r="N303" s="1153"/>
      <c r="O303" s="1153"/>
      <c r="P303" s="1153"/>
      <c r="Q303" s="1153"/>
    </row>
    <row r="304" spans="1:17" ht="12.75">
      <c r="A304" s="1153"/>
      <c r="B304" s="1153"/>
      <c r="C304" s="1153"/>
      <c r="D304" s="1153"/>
      <c r="E304" s="1153"/>
      <c r="F304" s="1153"/>
      <c r="G304" s="1153"/>
      <c r="H304" s="1153"/>
      <c r="I304" s="1153"/>
      <c r="J304" s="1153"/>
      <c r="K304" s="1153"/>
      <c r="L304" s="1153"/>
      <c r="M304" s="1153"/>
      <c r="N304" s="1153"/>
      <c r="O304" s="1153"/>
      <c r="P304" s="1153"/>
      <c r="Q304" s="1153"/>
    </row>
    <row r="305" spans="1:17" ht="12.75">
      <c r="A305" s="1153"/>
      <c r="B305" s="1153"/>
      <c r="C305" s="1153"/>
      <c r="D305" s="1153"/>
      <c r="E305" s="1153"/>
      <c r="F305" s="1153"/>
      <c r="G305" s="1153"/>
      <c r="H305" s="1153"/>
      <c r="I305" s="1153"/>
      <c r="J305" s="1153"/>
      <c r="K305" s="1153"/>
      <c r="L305" s="1153"/>
      <c r="M305" s="1153"/>
      <c r="N305" s="1153"/>
      <c r="O305" s="1153"/>
      <c r="P305" s="1153"/>
      <c r="Q305" s="1153"/>
    </row>
    <row r="306" spans="1:17" ht="12.75">
      <c r="A306" s="1153"/>
      <c r="B306" s="1153"/>
      <c r="C306" s="1153"/>
      <c r="D306" s="1153"/>
      <c r="E306" s="1153"/>
      <c r="F306" s="1153"/>
      <c r="G306" s="1153"/>
      <c r="H306" s="1153"/>
      <c r="I306" s="1153"/>
      <c r="J306" s="1153"/>
      <c r="K306" s="1153"/>
      <c r="L306" s="1153"/>
      <c r="M306" s="1153"/>
      <c r="N306" s="1153"/>
      <c r="O306" s="1153"/>
      <c r="P306" s="1153"/>
      <c r="Q306" s="1153"/>
    </row>
    <row r="307" spans="1:17" ht="12.75">
      <c r="A307" s="1153"/>
      <c r="B307" s="1153"/>
      <c r="C307" s="1153"/>
      <c r="D307" s="1153"/>
      <c r="E307" s="1153"/>
      <c r="F307" s="1153"/>
      <c r="G307" s="1153"/>
      <c r="H307" s="1153"/>
      <c r="I307" s="1153"/>
      <c r="J307" s="1153"/>
      <c r="K307" s="1153"/>
      <c r="L307" s="1153"/>
      <c r="M307" s="1153"/>
      <c r="N307" s="1153"/>
      <c r="O307" s="1153"/>
      <c r="P307" s="1153"/>
      <c r="Q307" s="1153"/>
    </row>
    <row r="308" spans="1:17" ht="12.75">
      <c r="A308" s="1153"/>
      <c r="B308" s="1153"/>
      <c r="C308" s="1153"/>
      <c r="D308" s="1153"/>
      <c r="E308" s="1153"/>
      <c r="F308" s="1153"/>
      <c r="G308" s="1153"/>
      <c r="H308" s="1153"/>
      <c r="I308" s="1153"/>
      <c r="J308" s="1153"/>
      <c r="K308" s="1153"/>
      <c r="L308" s="1153"/>
      <c r="M308" s="1153"/>
      <c r="N308" s="1153"/>
      <c r="O308" s="1153"/>
      <c r="P308" s="1153"/>
      <c r="Q308" s="1153"/>
    </row>
    <row r="309" spans="1:17" ht="12.75">
      <c r="A309" s="1153"/>
      <c r="B309" s="1153"/>
      <c r="C309" s="1153"/>
      <c r="D309" s="1153"/>
      <c r="E309" s="1153"/>
      <c r="F309" s="1153"/>
      <c r="G309" s="1153"/>
      <c r="H309" s="1153"/>
      <c r="I309" s="1153"/>
      <c r="J309" s="1153"/>
      <c r="K309" s="1153"/>
      <c r="L309" s="1153"/>
      <c r="M309" s="1153"/>
      <c r="N309" s="1153"/>
      <c r="O309" s="1153"/>
      <c r="P309" s="1153"/>
      <c r="Q309" s="1153"/>
    </row>
    <row r="310" spans="1:17" ht="12.75">
      <c r="A310" s="1153"/>
      <c r="B310" s="1153"/>
      <c r="C310" s="1153"/>
      <c r="D310" s="1153"/>
      <c r="E310" s="1153"/>
      <c r="F310" s="1153"/>
      <c r="G310" s="1153"/>
      <c r="H310" s="1153"/>
      <c r="I310" s="1153"/>
      <c r="J310" s="1153"/>
      <c r="K310" s="1153"/>
      <c r="L310" s="1153"/>
      <c r="M310" s="1153"/>
      <c r="N310" s="1153"/>
      <c r="O310" s="1153"/>
      <c r="P310" s="1153"/>
      <c r="Q310" s="1153"/>
    </row>
    <row r="311" spans="1:17" ht="12.75">
      <c r="A311" s="1153"/>
      <c r="B311" s="1153"/>
      <c r="C311" s="1153"/>
      <c r="D311" s="1153"/>
      <c r="E311" s="1153"/>
      <c r="F311" s="1153"/>
      <c r="G311" s="1153"/>
      <c r="H311" s="1153"/>
      <c r="I311" s="1153"/>
      <c r="J311" s="1153"/>
      <c r="K311" s="1153"/>
      <c r="L311" s="1153"/>
      <c r="M311" s="1153"/>
      <c r="N311" s="1153"/>
      <c r="O311" s="1153"/>
      <c r="P311" s="1153"/>
      <c r="Q311" s="1153"/>
    </row>
    <row r="312" spans="1:17" ht="12.75">
      <c r="A312" s="1153"/>
      <c r="B312" s="1153"/>
      <c r="C312" s="1153"/>
      <c r="D312" s="1153"/>
      <c r="E312" s="1153"/>
      <c r="F312" s="1153"/>
      <c r="G312" s="1153"/>
      <c r="H312" s="1153"/>
      <c r="I312" s="1153"/>
      <c r="J312" s="1153"/>
      <c r="K312" s="1153"/>
      <c r="L312" s="1153"/>
      <c r="M312" s="1153"/>
      <c r="N312" s="1153"/>
      <c r="O312" s="1153"/>
      <c r="P312" s="1153"/>
      <c r="Q312" s="1153"/>
    </row>
    <row r="313" spans="1:17" ht="12.75">
      <c r="A313" s="1153"/>
      <c r="B313" s="1153"/>
      <c r="C313" s="1153"/>
      <c r="D313" s="1153"/>
      <c r="E313" s="1153"/>
      <c r="F313" s="1153"/>
      <c r="G313" s="1153"/>
      <c r="H313" s="1153"/>
      <c r="I313" s="1153"/>
      <c r="J313" s="1153"/>
      <c r="K313" s="1153"/>
      <c r="L313" s="1153"/>
      <c r="M313" s="1153"/>
      <c r="N313" s="1153"/>
      <c r="O313" s="1153"/>
      <c r="P313" s="1153"/>
      <c r="Q313" s="1153"/>
    </row>
    <row r="314" spans="1:17" ht="12.75">
      <c r="A314" s="1153"/>
      <c r="B314" s="1153"/>
      <c r="C314" s="1153"/>
      <c r="D314" s="1153"/>
      <c r="E314" s="1153"/>
      <c r="F314" s="1153"/>
      <c r="G314" s="1153"/>
      <c r="H314" s="1153"/>
      <c r="I314" s="1153"/>
      <c r="J314" s="1153"/>
      <c r="K314" s="1153"/>
      <c r="L314" s="1153"/>
      <c r="M314" s="1153"/>
      <c r="N314" s="1153"/>
      <c r="O314" s="1153"/>
      <c r="P314" s="1153"/>
      <c r="Q314" s="1153"/>
    </row>
    <row r="315" spans="1:17" ht="12.75">
      <c r="A315" s="1153"/>
      <c r="B315" s="1153"/>
      <c r="C315" s="1153"/>
      <c r="D315" s="1153"/>
      <c r="E315" s="1153"/>
      <c r="F315" s="1153"/>
      <c r="G315" s="1153"/>
      <c r="H315" s="1153"/>
      <c r="I315" s="1153"/>
      <c r="J315" s="1153"/>
      <c r="K315" s="1153"/>
      <c r="L315" s="1153"/>
      <c r="M315" s="1153"/>
      <c r="N315" s="1153"/>
      <c r="O315" s="1153"/>
      <c r="P315" s="1153"/>
      <c r="Q315" s="1153"/>
    </row>
    <row r="316" spans="1:17" ht="12.75">
      <c r="A316" s="1153"/>
      <c r="B316" s="1153"/>
      <c r="C316" s="1153"/>
      <c r="D316" s="1153"/>
      <c r="E316" s="1153"/>
      <c r="F316" s="1153"/>
      <c r="G316" s="1153"/>
      <c r="H316" s="1153"/>
      <c r="I316" s="1153"/>
      <c r="J316" s="1153"/>
      <c r="K316" s="1153"/>
      <c r="L316" s="1153"/>
      <c r="M316" s="1153"/>
      <c r="N316" s="1153"/>
      <c r="O316" s="1153"/>
      <c r="P316" s="1153"/>
      <c r="Q316" s="1153"/>
    </row>
    <row r="317" spans="1:17" ht="12.75">
      <c r="A317" s="1153"/>
      <c r="B317" s="1153"/>
      <c r="C317" s="1153"/>
      <c r="D317" s="1153"/>
      <c r="E317" s="1153"/>
      <c r="F317" s="1153"/>
      <c r="G317" s="1153"/>
      <c r="H317" s="1153"/>
      <c r="I317" s="1153"/>
      <c r="J317" s="1153"/>
      <c r="K317" s="1153"/>
      <c r="L317" s="1153"/>
      <c r="M317" s="1153"/>
      <c r="N317" s="1153"/>
      <c r="O317" s="1153"/>
      <c r="P317" s="1153"/>
      <c r="Q317" s="1153"/>
    </row>
    <row r="318" spans="1:17" ht="12.75">
      <c r="A318" s="1153"/>
      <c r="B318" s="1153"/>
      <c r="C318" s="1153"/>
      <c r="D318" s="1153"/>
      <c r="E318" s="1153"/>
      <c r="F318" s="1153"/>
      <c r="G318" s="1153"/>
      <c r="H318" s="1153"/>
      <c r="I318" s="1153"/>
      <c r="J318" s="1153"/>
      <c r="K318" s="1153"/>
      <c r="L318" s="1153"/>
      <c r="M318" s="1153"/>
      <c r="N318" s="1153"/>
      <c r="O318" s="1153"/>
      <c r="P318" s="1153"/>
      <c r="Q318" s="1153"/>
    </row>
    <row r="319" spans="1:17" ht="12.75">
      <c r="A319" s="1153"/>
      <c r="B319" s="1153"/>
      <c r="C319" s="1153"/>
      <c r="D319" s="1153"/>
      <c r="E319" s="1153"/>
      <c r="F319" s="1153"/>
      <c r="G319" s="1153"/>
      <c r="H319" s="1153"/>
      <c r="I319" s="1153"/>
      <c r="J319" s="1153"/>
      <c r="K319" s="1153"/>
      <c r="L319" s="1153"/>
      <c r="M319" s="1153"/>
      <c r="N319" s="1153"/>
      <c r="O319" s="1153"/>
      <c r="P319" s="1153"/>
      <c r="Q319" s="1153"/>
    </row>
    <row r="320" spans="1:17" ht="12.75">
      <c r="A320" s="1153"/>
      <c r="B320" s="1153"/>
      <c r="C320" s="1153"/>
      <c r="D320" s="1153"/>
      <c r="E320" s="1153"/>
      <c r="F320" s="1153"/>
      <c r="G320" s="1153"/>
      <c r="H320" s="1153"/>
      <c r="I320" s="1153"/>
      <c r="J320" s="1153"/>
      <c r="K320" s="1153"/>
      <c r="L320" s="1153"/>
      <c r="M320" s="1153"/>
      <c r="N320" s="1153"/>
      <c r="O320" s="1153"/>
      <c r="P320" s="1153"/>
      <c r="Q320" s="1153"/>
    </row>
    <row r="321" spans="1:17" ht="12.75">
      <c r="A321" s="1153"/>
      <c r="B321" s="1153"/>
      <c r="C321" s="1153"/>
      <c r="D321" s="1153"/>
      <c r="E321" s="1153"/>
      <c r="F321" s="1153"/>
      <c r="G321" s="1153"/>
      <c r="H321" s="1153"/>
      <c r="I321" s="1153"/>
      <c r="J321" s="1153"/>
      <c r="K321" s="1153"/>
      <c r="L321" s="1153"/>
      <c r="M321" s="1153"/>
      <c r="N321" s="1153"/>
      <c r="O321" s="1153"/>
      <c r="P321" s="1153"/>
      <c r="Q321" s="1153"/>
    </row>
    <row r="322" spans="1:17" ht="12.75">
      <c r="A322" s="1153"/>
      <c r="B322" s="1153"/>
      <c r="C322" s="1153"/>
      <c r="D322" s="1153"/>
      <c r="E322" s="1153"/>
      <c r="F322" s="1153"/>
      <c r="G322" s="1153"/>
      <c r="H322" s="1153"/>
      <c r="I322" s="1153"/>
      <c r="J322" s="1153"/>
      <c r="K322" s="1153"/>
      <c r="L322" s="1153"/>
      <c r="M322" s="1153"/>
      <c r="N322" s="1153"/>
      <c r="O322" s="1153"/>
      <c r="P322" s="1153"/>
      <c r="Q322" s="1153"/>
    </row>
    <row r="323" spans="1:17" ht="12.75">
      <c r="A323" s="1153"/>
      <c r="B323" s="1153"/>
      <c r="C323" s="1153"/>
      <c r="D323" s="1153"/>
      <c r="E323" s="1153"/>
      <c r="F323" s="1153"/>
      <c r="G323" s="1153"/>
      <c r="H323" s="1153"/>
      <c r="I323" s="1153"/>
      <c r="J323" s="1153"/>
      <c r="K323" s="1153"/>
      <c r="L323" s="1153"/>
      <c r="M323" s="1153"/>
      <c r="N323" s="1153"/>
      <c r="O323" s="1153"/>
      <c r="P323" s="1153"/>
      <c r="Q323" s="1153"/>
    </row>
    <row r="324" spans="1:17" ht="12.75">
      <c r="A324" s="1153"/>
      <c r="B324" s="1153"/>
      <c r="C324" s="1153"/>
      <c r="D324" s="1153"/>
      <c r="E324" s="1153"/>
      <c r="F324" s="1153"/>
      <c r="G324" s="1153"/>
      <c r="H324" s="1153"/>
      <c r="I324" s="1153"/>
      <c r="J324" s="1153"/>
      <c r="K324" s="1153"/>
      <c r="L324" s="1153"/>
      <c r="M324" s="1153"/>
      <c r="N324" s="1153"/>
      <c r="O324" s="1153"/>
      <c r="P324" s="1153"/>
      <c r="Q324" s="1153"/>
    </row>
    <row r="325" spans="1:17" ht="12.75">
      <c r="A325" s="1153"/>
      <c r="B325" s="1153"/>
      <c r="C325" s="1153"/>
      <c r="D325" s="1153"/>
      <c r="E325" s="1153"/>
      <c r="F325" s="1153"/>
      <c r="G325" s="1153"/>
      <c r="H325" s="1153"/>
      <c r="I325" s="1153"/>
      <c r="J325" s="1153"/>
      <c r="K325" s="1153"/>
      <c r="L325" s="1153"/>
      <c r="M325" s="1153"/>
      <c r="N325" s="1153"/>
      <c r="O325" s="1153"/>
      <c r="P325" s="1153"/>
      <c r="Q325" s="1153"/>
    </row>
    <row r="326" spans="1:17" ht="12.75">
      <c r="A326" s="1153"/>
      <c r="B326" s="1153"/>
      <c r="C326" s="1153"/>
      <c r="D326" s="1153"/>
      <c r="E326" s="1153"/>
      <c r="F326" s="1153"/>
      <c r="G326" s="1153"/>
      <c r="H326" s="1153"/>
      <c r="I326" s="1153"/>
      <c r="J326" s="1153"/>
      <c r="K326" s="1153"/>
      <c r="L326" s="1153"/>
      <c r="M326" s="1153"/>
      <c r="N326" s="1153"/>
      <c r="O326" s="1153"/>
      <c r="P326" s="1153"/>
      <c r="Q326" s="1153"/>
    </row>
    <row r="327" spans="1:17" ht="12.75">
      <c r="A327" s="1153"/>
      <c r="B327" s="1153"/>
      <c r="C327" s="1153"/>
      <c r="D327" s="1153"/>
      <c r="E327" s="1153"/>
      <c r="F327" s="1153"/>
      <c r="G327" s="1153"/>
      <c r="H327" s="1153"/>
      <c r="I327" s="1153"/>
      <c r="J327" s="1153"/>
      <c r="K327" s="1153"/>
      <c r="L327" s="1153"/>
      <c r="M327" s="1153"/>
      <c r="N327" s="1153"/>
      <c r="O327" s="1153"/>
      <c r="P327" s="1153"/>
      <c r="Q327" s="1153"/>
    </row>
    <row r="328" spans="1:17" ht="12.75">
      <c r="A328" s="1153"/>
      <c r="B328" s="1153"/>
      <c r="C328" s="1153"/>
      <c r="D328" s="1153"/>
      <c r="E328" s="1153"/>
      <c r="F328" s="1153"/>
      <c r="G328" s="1153"/>
      <c r="H328" s="1153"/>
      <c r="I328" s="1153"/>
      <c r="J328" s="1153"/>
      <c r="K328" s="1153"/>
      <c r="L328" s="1153"/>
      <c r="M328" s="1153"/>
      <c r="N328" s="1153"/>
      <c r="O328" s="1153"/>
      <c r="P328" s="1153"/>
      <c r="Q328" s="1153"/>
    </row>
    <row r="329" spans="1:17" ht="12.75">
      <c r="A329" s="1153"/>
      <c r="B329" s="1153"/>
      <c r="C329" s="1153"/>
      <c r="D329" s="1153"/>
      <c r="E329" s="1153"/>
      <c r="F329" s="1153"/>
      <c r="G329" s="1153"/>
      <c r="H329" s="1153"/>
      <c r="I329" s="1153"/>
      <c r="J329" s="1153"/>
      <c r="K329" s="1153"/>
      <c r="L329" s="1153"/>
      <c r="M329" s="1153"/>
      <c r="N329" s="1153"/>
      <c r="O329" s="1153"/>
      <c r="P329" s="1153"/>
      <c r="Q329" s="1153"/>
    </row>
    <row r="330" spans="1:17" ht="12.75">
      <c r="A330" s="1153"/>
      <c r="B330" s="1153"/>
      <c r="C330" s="1153"/>
      <c r="D330" s="1153"/>
      <c r="E330" s="1153"/>
      <c r="F330" s="1153"/>
      <c r="G330" s="1153"/>
      <c r="H330" s="1153"/>
      <c r="I330" s="1153"/>
      <c r="J330" s="1153"/>
      <c r="K330" s="1153"/>
      <c r="L330" s="1153"/>
      <c r="M330" s="1153"/>
      <c r="N330" s="1153"/>
      <c r="O330" s="1153"/>
      <c r="P330" s="1153"/>
      <c r="Q330" s="1153"/>
    </row>
    <row r="331" spans="1:17" ht="12.75">
      <c r="A331" s="1153"/>
      <c r="B331" s="1153"/>
      <c r="C331" s="1153"/>
      <c r="D331" s="1153"/>
      <c r="E331" s="1153"/>
      <c r="F331" s="1153"/>
      <c r="G331" s="1153"/>
      <c r="H331" s="1153"/>
      <c r="I331" s="1153"/>
      <c r="J331" s="1153"/>
      <c r="K331" s="1153"/>
      <c r="L331" s="1153"/>
      <c r="M331" s="1153"/>
      <c r="N331" s="1153"/>
      <c r="O331" s="1153"/>
      <c r="P331" s="1153"/>
      <c r="Q331" s="1153"/>
    </row>
    <row r="332" spans="1:17" ht="12.75">
      <c r="A332" s="1153"/>
      <c r="B332" s="1153"/>
      <c r="C332" s="1153"/>
      <c r="D332" s="1153"/>
      <c r="E332" s="1153"/>
      <c r="F332" s="1153"/>
      <c r="G332" s="1153"/>
      <c r="H332" s="1153"/>
      <c r="I332" s="1153"/>
      <c r="J332" s="1153"/>
      <c r="K332" s="1153"/>
      <c r="L332" s="1153"/>
      <c r="M332" s="1153"/>
      <c r="N332" s="1153"/>
      <c r="O332" s="1153"/>
      <c r="P332" s="1153"/>
      <c r="Q332" s="1153"/>
    </row>
    <row r="333" spans="1:17" ht="12.75">
      <c r="A333" s="1153"/>
      <c r="B333" s="1153"/>
      <c r="C333" s="1153"/>
      <c r="D333" s="1153"/>
      <c r="E333" s="1153"/>
      <c r="F333" s="1153"/>
      <c r="G333" s="1153"/>
      <c r="H333" s="1153"/>
      <c r="I333" s="1153"/>
      <c r="J333" s="1153"/>
      <c r="K333" s="1153"/>
      <c r="L333" s="1153"/>
      <c r="M333" s="1153"/>
      <c r="N333" s="1153"/>
      <c r="O333" s="1153"/>
      <c r="P333" s="1153"/>
      <c r="Q333" s="1153"/>
    </row>
    <row r="334" spans="1:17" ht="12.75">
      <c r="A334" s="1153"/>
      <c r="B334" s="1153"/>
      <c r="C334" s="1153"/>
      <c r="D334" s="1153"/>
      <c r="E334" s="1153"/>
      <c r="F334" s="1153"/>
      <c r="G334" s="1153"/>
      <c r="H334" s="1153"/>
      <c r="I334" s="1153"/>
      <c r="J334" s="1153"/>
      <c r="K334" s="1153"/>
      <c r="L334" s="1153"/>
      <c r="M334" s="1153"/>
      <c r="N334" s="1153"/>
      <c r="O334" s="1153"/>
      <c r="P334" s="1153"/>
      <c r="Q334" s="1153"/>
    </row>
    <row r="335" spans="1:17" ht="12.75">
      <c r="A335" s="1153"/>
      <c r="B335" s="1153"/>
      <c r="C335" s="1153"/>
      <c r="D335" s="1153"/>
      <c r="E335" s="1153"/>
      <c r="F335" s="1153"/>
      <c r="G335" s="1153"/>
      <c r="H335" s="1153"/>
      <c r="I335" s="1153"/>
      <c r="J335" s="1153"/>
      <c r="K335" s="1153"/>
      <c r="L335" s="1153"/>
      <c r="M335" s="1153"/>
      <c r="N335" s="1153"/>
      <c r="O335" s="1153"/>
      <c r="P335" s="1153"/>
      <c r="Q335" s="1153"/>
    </row>
    <row r="336" spans="1:17" ht="12.75">
      <c r="A336" s="1153"/>
      <c r="B336" s="1153"/>
      <c r="C336" s="1153"/>
      <c r="D336" s="1153"/>
      <c r="E336" s="1153"/>
      <c r="F336" s="1153"/>
      <c r="G336" s="1153"/>
      <c r="H336" s="1153"/>
      <c r="I336" s="1153"/>
      <c r="J336" s="1153"/>
      <c r="K336" s="1153"/>
      <c r="L336" s="1153"/>
      <c r="M336" s="1153"/>
      <c r="N336" s="1153"/>
      <c r="O336" s="1153"/>
      <c r="P336" s="1153"/>
      <c r="Q336" s="1153"/>
    </row>
    <row r="337" spans="1:24" ht="12.75">
      <c r="A337" s="1153"/>
      <c r="B337" s="1153"/>
      <c r="C337" s="1153"/>
      <c r="D337" s="1153"/>
      <c r="E337" s="1153"/>
      <c r="F337" s="1153"/>
      <c r="G337" s="1153"/>
      <c r="H337" s="1153"/>
      <c r="I337" s="1153"/>
      <c r="J337" s="1153"/>
      <c r="K337" s="1153"/>
      <c r="L337" s="1153"/>
      <c r="M337" s="1153"/>
      <c r="N337" s="1153"/>
      <c r="O337" s="1153"/>
      <c r="P337" s="1153"/>
      <c r="Q337" s="1153"/>
    </row>
    <row r="338" spans="1:24" ht="12.75">
      <c r="A338" s="1153"/>
      <c r="B338" s="1153"/>
      <c r="C338" s="1153"/>
      <c r="D338" s="1153"/>
      <c r="E338" s="1153"/>
      <c r="F338" s="1153"/>
      <c r="G338" s="1153"/>
      <c r="H338" s="1153"/>
      <c r="I338" s="1153"/>
      <c r="J338" s="1153"/>
      <c r="K338" s="1153"/>
      <c r="L338" s="1153"/>
      <c r="M338" s="1153"/>
      <c r="N338" s="1153"/>
      <c r="O338" s="1153"/>
      <c r="P338" s="1153"/>
      <c r="Q338" s="1153"/>
    </row>
    <row r="339" spans="1:24" ht="12.75">
      <c r="A339" s="1153"/>
      <c r="B339" s="1153"/>
      <c r="C339" s="1153"/>
      <c r="D339" s="1153"/>
      <c r="E339" s="1153"/>
      <c r="F339" s="1153"/>
      <c r="G339" s="1153"/>
      <c r="H339" s="1153"/>
      <c r="I339" s="1153"/>
      <c r="J339" s="1153"/>
      <c r="K339" s="1153"/>
      <c r="L339" s="1153"/>
      <c r="M339" s="1153"/>
      <c r="N339" s="1153"/>
      <c r="O339" s="1153"/>
      <c r="P339" s="1153"/>
      <c r="Q339" s="1153"/>
    </row>
    <row r="340" spans="1:24" ht="12.75">
      <c r="A340" s="1153"/>
      <c r="B340" s="1153"/>
      <c r="C340" s="1153"/>
      <c r="D340" s="1153"/>
      <c r="E340" s="1153"/>
      <c r="F340" s="1153"/>
      <c r="G340" s="1153"/>
      <c r="H340" s="1153"/>
      <c r="I340" s="1153"/>
      <c r="J340" s="1153"/>
      <c r="K340" s="1153"/>
      <c r="L340" s="1153"/>
      <c r="M340" s="1153"/>
      <c r="N340" s="1153"/>
      <c r="O340" s="1153"/>
      <c r="P340" s="1153"/>
      <c r="Q340" s="1153"/>
    </row>
    <row r="341" spans="1:24" ht="12.75">
      <c r="A341" s="1153"/>
      <c r="B341" s="1153"/>
      <c r="C341" s="1153"/>
      <c r="D341" s="1153"/>
      <c r="E341" s="1153"/>
      <c r="F341" s="1153"/>
      <c r="G341" s="1153"/>
      <c r="H341" s="1153"/>
      <c r="I341" s="1153"/>
      <c r="J341" s="1153"/>
      <c r="K341" s="1153"/>
      <c r="L341" s="1153"/>
      <c r="M341" s="1153"/>
      <c r="N341" s="1153"/>
      <c r="O341" s="1153"/>
      <c r="P341" s="1153"/>
      <c r="Q341" s="1153"/>
    </row>
    <row r="342" spans="1:24" ht="12.75">
      <c r="A342" s="1153"/>
      <c r="B342" s="1153"/>
      <c r="C342" s="1153"/>
      <c r="D342" s="1153"/>
      <c r="E342" s="1153"/>
      <c r="F342" s="1153"/>
      <c r="G342" s="1153"/>
      <c r="H342" s="1153"/>
      <c r="I342" s="1153"/>
      <c r="J342" s="1153"/>
      <c r="K342" s="1153"/>
      <c r="L342" s="1153"/>
      <c r="M342" s="1153"/>
      <c r="N342" s="1153"/>
      <c r="O342" s="1153"/>
      <c r="P342" s="1153"/>
      <c r="Q342" s="1153"/>
    </row>
    <row r="343" spans="1:24">
      <c r="A343" s="1153"/>
      <c r="B343" s="1153"/>
    </row>
    <row r="344" spans="1:24">
      <c r="A344" s="1153"/>
      <c r="B344" s="1153"/>
    </row>
    <row r="345" spans="1:24">
      <c r="A345" s="1153"/>
      <c r="B345" s="1153"/>
    </row>
    <row r="346" spans="1:24">
      <c r="A346" s="1153"/>
      <c r="B346" s="1153"/>
    </row>
    <row r="347" spans="1:24">
      <c r="A347" s="1153"/>
      <c r="B347" s="1153"/>
    </row>
    <row r="348" spans="1:24" s="1155" customFormat="1">
      <c r="A348" s="1153"/>
      <c r="B348" s="1153"/>
      <c r="R348" s="1153"/>
      <c r="S348" s="1153"/>
      <c r="T348" s="1153"/>
      <c r="U348" s="1153"/>
      <c r="V348" s="1153"/>
      <c r="W348" s="1153"/>
      <c r="X348" s="1153"/>
    </row>
    <row r="349" spans="1:24" s="1155" customFormat="1">
      <c r="A349" s="1153"/>
      <c r="B349" s="1153"/>
      <c r="R349" s="1153"/>
      <c r="S349" s="1153"/>
      <c r="T349" s="1153"/>
      <c r="U349" s="1153"/>
      <c r="V349" s="1153"/>
      <c r="W349" s="1153"/>
      <c r="X349" s="1153"/>
    </row>
    <row r="350" spans="1:24" s="1155" customFormat="1">
      <c r="A350" s="1153"/>
      <c r="B350" s="1153"/>
      <c r="R350" s="1153"/>
      <c r="S350" s="1153"/>
      <c r="T350" s="1153"/>
      <c r="U350" s="1153"/>
      <c r="V350" s="1153"/>
      <c r="W350" s="1153"/>
      <c r="X350" s="1153"/>
    </row>
    <row r="351" spans="1:24" s="1155" customFormat="1">
      <c r="A351" s="1153"/>
      <c r="B351" s="1153"/>
      <c r="R351" s="1153"/>
      <c r="S351" s="1153"/>
      <c r="T351" s="1153"/>
      <c r="U351" s="1153"/>
      <c r="V351" s="1153"/>
      <c r="W351" s="1153"/>
      <c r="X351" s="1153"/>
    </row>
    <row r="352" spans="1:24" s="1155" customFormat="1">
      <c r="A352" s="1153"/>
      <c r="B352" s="1153"/>
      <c r="R352" s="1153"/>
      <c r="S352" s="1153"/>
      <c r="T352" s="1153"/>
      <c r="U352" s="1153"/>
      <c r="V352" s="1153"/>
      <c r="W352" s="1153"/>
      <c r="X352" s="1153"/>
    </row>
    <row r="353" spans="1:24" s="1155" customFormat="1">
      <c r="A353" s="1153"/>
      <c r="B353" s="1153"/>
      <c r="R353" s="1153"/>
      <c r="S353" s="1153"/>
      <c r="T353" s="1153"/>
      <c r="U353" s="1153"/>
      <c r="V353" s="1153"/>
      <c r="W353" s="1153"/>
      <c r="X353" s="1153"/>
    </row>
    <row r="354" spans="1:24" s="1155" customFormat="1">
      <c r="A354" s="1153"/>
      <c r="B354" s="1153"/>
      <c r="R354" s="1153"/>
      <c r="S354" s="1153"/>
      <c r="T354" s="1153"/>
      <c r="U354" s="1153"/>
      <c r="V354" s="1153"/>
      <c r="W354" s="1153"/>
      <c r="X354" s="1153"/>
    </row>
    <row r="355" spans="1:24" s="1155" customFormat="1">
      <c r="A355" s="1153"/>
      <c r="B355" s="1153"/>
      <c r="R355" s="1153"/>
      <c r="S355" s="1153"/>
      <c r="T355" s="1153"/>
      <c r="U355" s="1153"/>
      <c r="V355" s="1153"/>
      <c r="W355" s="1153"/>
      <c r="X355" s="1153"/>
    </row>
    <row r="356" spans="1:24" s="1155" customFormat="1">
      <c r="A356" s="1153"/>
      <c r="B356" s="1153"/>
      <c r="R356" s="1153"/>
      <c r="S356" s="1153"/>
      <c r="T356" s="1153"/>
      <c r="U356" s="1153"/>
      <c r="V356" s="1153"/>
      <c r="W356" s="1153"/>
      <c r="X356" s="1153"/>
    </row>
    <row r="357" spans="1:24" s="1155" customFormat="1">
      <c r="A357" s="1153"/>
      <c r="B357" s="1153"/>
      <c r="R357" s="1153"/>
      <c r="S357" s="1153"/>
      <c r="T357" s="1153"/>
      <c r="U357" s="1153"/>
      <c r="V357" s="1153"/>
      <c r="W357" s="1153"/>
      <c r="X357" s="1153"/>
    </row>
    <row r="358" spans="1:24" s="1155" customFormat="1">
      <c r="A358" s="1153"/>
      <c r="B358" s="1153"/>
      <c r="R358" s="1153"/>
      <c r="S358" s="1153"/>
      <c r="T358" s="1153"/>
      <c r="U358" s="1153"/>
      <c r="V358" s="1153"/>
      <c r="W358" s="1153"/>
      <c r="X358" s="1153"/>
    </row>
    <row r="359" spans="1:24" s="1155" customFormat="1">
      <c r="A359" s="1153"/>
      <c r="B359" s="1153"/>
      <c r="R359" s="1153"/>
      <c r="S359" s="1153"/>
      <c r="T359" s="1153"/>
      <c r="U359" s="1153"/>
      <c r="V359" s="1153"/>
      <c r="W359" s="1153"/>
      <c r="X359" s="1153"/>
    </row>
    <row r="360" spans="1:24" s="1155" customFormat="1">
      <c r="A360" s="1153"/>
      <c r="B360" s="1153"/>
      <c r="R360" s="1153"/>
      <c r="S360" s="1153"/>
      <c r="T360" s="1153"/>
      <c r="U360" s="1153"/>
      <c r="V360" s="1153"/>
      <c r="W360" s="1153"/>
      <c r="X360" s="1153"/>
    </row>
    <row r="361" spans="1:24" s="1155" customFormat="1">
      <c r="A361" s="1153"/>
      <c r="B361" s="1153"/>
      <c r="R361" s="1153"/>
      <c r="S361" s="1153"/>
      <c r="T361" s="1153"/>
      <c r="U361" s="1153"/>
      <c r="V361" s="1153"/>
      <c r="W361" s="1153"/>
      <c r="X361" s="1153"/>
    </row>
    <row r="362" spans="1:24" s="1155" customFormat="1">
      <c r="A362" s="1153"/>
      <c r="B362" s="1153"/>
      <c r="R362" s="1153"/>
      <c r="S362" s="1153"/>
      <c r="T362" s="1153"/>
      <c r="U362" s="1153"/>
      <c r="V362" s="1153"/>
      <c r="W362" s="1153"/>
      <c r="X362" s="1153"/>
    </row>
    <row r="363" spans="1:24" s="1155" customFormat="1">
      <c r="A363" s="1153"/>
      <c r="B363" s="1153"/>
      <c r="R363" s="1153"/>
      <c r="S363" s="1153"/>
      <c r="T363" s="1153"/>
      <c r="U363" s="1153"/>
      <c r="V363" s="1153"/>
      <c r="W363" s="1153"/>
      <c r="X363" s="1153"/>
    </row>
    <row r="364" spans="1:24" s="1155" customFormat="1">
      <c r="A364" s="1153"/>
      <c r="B364" s="1153"/>
      <c r="R364" s="1153"/>
      <c r="S364" s="1153"/>
      <c r="T364" s="1153"/>
      <c r="U364" s="1153"/>
      <c r="V364" s="1153"/>
      <c r="W364" s="1153"/>
      <c r="X364" s="1153"/>
    </row>
    <row r="365" spans="1:24" s="1155" customFormat="1">
      <c r="A365" s="1153"/>
      <c r="B365" s="1153"/>
      <c r="R365" s="1153"/>
      <c r="S365" s="1153"/>
      <c r="T365" s="1153"/>
      <c r="U365" s="1153"/>
      <c r="V365" s="1153"/>
      <c r="W365" s="1153"/>
      <c r="X365" s="1153"/>
    </row>
    <row r="366" spans="1:24" s="1155" customFormat="1">
      <c r="A366" s="1153"/>
      <c r="B366" s="1153"/>
      <c r="R366" s="1153"/>
      <c r="S366" s="1153"/>
      <c r="T366" s="1153"/>
      <c r="U366" s="1153"/>
      <c r="V366" s="1153"/>
      <c r="W366" s="1153"/>
      <c r="X366" s="1153"/>
    </row>
  </sheetData>
  <mergeCells count="29">
    <mergeCell ref="A58:O58"/>
    <mergeCell ref="A59:O59"/>
    <mergeCell ref="A67:Q67"/>
    <mergeCell ref="N30:O30"/>
    <mergeCell ref="D31:E31"/>
    <mergeCell ref="I31:J31"/>
    <mergeCell ref="L31:M31"/>
    <mergeCell ref="N31:O31"/>
    <mergeCell ref="D57:E57"/>
    <mergeCell ref="I57:J57"/>
    <mergeCell ref="L57:M57"/>
    <mergeCell ref="N57:O57"/>
    <mergeCell ref="A10:Q10"/>
    <mergeCell ref="A28:Q28"/>
    <mergeCell ref="A29:A30"/>
    <mergeCell ref="B29:B30"/>
    <mergeCell ref="C29:C30"/>
    <mergeCell ref="D29:E30"/>
    <mergeCell ref="F29:H29"/>
    <mergeCell ref="I29:J30"/>
    <mergeCell ref="K29:O29"/>
    <mergeCell ref="L30:M30"/>
    <mergeCell ref="A2:Q2"/>
    <mergeCell ref="A4:Q4"/>
    <mergeCell ref="A7:A8"/>
    <mergeCell ref="B7:B8"/>
    <mergeCell ref="C7:H7"/>
    <mergeCell ref="I7:L7"/>
    <mergeCell ref="M7:Q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75"/>
  <sheetViews>
    <sheetView view="pageBreakPreview" zoomScaleNormal="100" zoomScaleSheetLayoutView="100" workbookViewId="0">
      <selection activeCell="T18" sqref="T18"/>
    </sheetView>
  </sheetViews>
  <sheetFormatPr defaultColWidth="9.140625" defaultRowHeight="15"/>
  <cols>
    <col min="1" max="1" width="8.28515625" style="3291" customWidth="1"/>
    <col min="2" max="2" width="55.140625" style="3292" customWidth="1"/>
    <col min="3" max="3" width="26.7109375" style="3293" customWidth="1"/>
    <col min="4" max="4" width="16.42578125" style="3295" customWidth="1"/>
    <col min="5" max="5" width="16" style="3295" hidden="1" customWidth="1"/>
    <col min="6" max="6" width="15.85546875" style="3295" hidden="1" customWidth="1"/>
    <col min="7" max="7" width="16.85546875" style="3295" hidden="1" customWidth="1"/>
    <col min="8" max="8" width="15" style="3295" hidden="1" customWidth="1"/>
    <col min="9" max="9" width="15.28515625" style="3295" hidden="1" customWidth="1"/>
    <col min="10" max="10" width="14.7109375" style="3295" hidden="1" customWidth="1"/>
    <col min="11" max="11" width="16.140625" style="3295" hidden="1" customWidth="1"/>
    <col min="12" max="12" width="14.5703125" style="3295" hidden="1" customWidth="1"/>
    <col min="13" max="13" width="15.85546875" style="3295" hidden="1" customWidth="1"/>
    <col min="14" max="14" width="15" style="3295" hidden="1" customWidth="1"/>
    <col min="15" max="15" width="14.85546875" style="3295" hidden="1" customWidth="1"/>
    <col min="16" max="16" width="14.7109375" style="3291" hidden="1" customWidth="1"/>
    <col min="17" max="16384" width="9.140625" style="3295"/>
  </cols>
  <sheetData>
    <row r="1" spans="1:81">
      <c r="D1" s="3294"/>
      <c r="E1" s="3294"/>
      <c r="F1" s="3294"/>
      <c r="G1" s="3294"/>
      <c r="O1" s="3447" t="s">
        <v>3779</v>
      </c>
      <c r="P1" s="3447"/>
    </row>
    <row r="2" spans="1:81">
      <c r="A2" s="3448" t="s">
        <v>3780</v>
      </c>
      <c r="B2" s="3448"/>
      <c r="C2" s="3448"/>
      <c r="D2" s="3448"/>
      <c r="E2" s="3448"/>
      <c r="F2" s="3448"/>
      <c r="G2" s="3448"/>
      <c r="H2" s="3448"/>
      <c r="I2" s="3448"/>
      <c r="J2" s="3448"/>
      <c r="K2" s="3448"/>
    </row>
    <row r="3" spans="1:81">
      <c r="A3" s="3296"/>
    </row>
    <row r="4" spans="1:81">
      <c r="A4" s="3449" t="s">
        <v>3</v>
      </c>
      <c r="B4" s="3450" t="s">
        <v>1441</v>
      </c>
      <c r="C4" s="3451" t="s">
        <v>210</v>
      </c>
      <c r="D4" s="3452" t="s">
        <v>4015</v>
      </c>
      <c r="E4" s="3452"/>
      <c r="F4" s="3452"/>
      <c r="G4" s="3452"/>
      <c r="H4" s="3452"/>
      <c r="I4" s="3452"/>
      <c r="J4" s="3452"/>
      <c r="K4" s="3452"/>
      <c r="L4" s="3452"/>
      <c r="M4" s="3452"/>
      <c r="N4" s="3452"/>
      <c r="O4" s="3452"/>
      <c r="P4" s="3452"/>
    </row>
    <row r="5" spans="1:81">
      <c r="A5" s="3449"/>
      <c r="B5" s="3450"/>
      <c r="C5" s="3451"/>
      <c r="D5" s="3297" t="str">
        <f>'Шаблон 46 ГП'!A8</f>
        <v>Май 2026 год</v>
      </c>
      <c r="E5" s="3446" t="s">
        <v>3781</v>
      </c>
      <c r="F5" s="3446" t="s">
        <v>3782</v>
      </c>
      <c r="G5" s="3446" t="s">
        <v>666</v>
      </c>
      <c r="H5" s="3298" t="s">
        <v>3783</v>
      </c>
      <c r="I5" s="3446" t="s">
        <v>3784</v>
      </c>
      <c r="J5" s="3298" t="s">
        <v>3785</v>
      </c>
      <c r="K5" s="3446" t="s">
        <v>3786</v>
      </c>
      <c r="L5" s="3298" t="s">
        <v>3787</v>
      </c>
      <c r="M5" s="3446" t="s">
        <v>3788</v>
      </c>
      <c r="N5" s="3298" t="s">
        <v>3789</v>
      </c>
      <c r="O5" s="3298" t="s">
        <v>3790</v>
      </c>
      <c r="P5" s="3298" t="s">
        <v>446</v>
      </c>
      <c r="Q5" s="3299"/>
      <c r="R5" s="3299"/>
      <c r="S5" s="3299"/>
      <c r="T5" s="3299"/>
      <c r="U5" s="3299"/>
      <c r="V5" s="3299"/>
      <c r="W5" s="3299"/>
      <c r="X5" s="3299"/>
      <c r="Y5" s="3299"/>
      <c r="Z5" s="3299"/>
      <c r="AA5" s="3299"/>
      <c r="AB5" s="3299"/>
      <c r="AC5" s="3299"/>
      <c r="AD5" s="3299"/>
      <c r="AE5" s="3299"/>
      <c r="AF5" s="3299"/>
      <c r="AG5" s="3299"/>
      <c r="AH5" s="3299"/>
      <c r="AI5" s="3299"/>
      <c r="AJ5" s="3299"/>
      <c r="AK5" s="3299"/>
      <c r="AL5" s="3299"/>
      <c r="AM5" s="3299"/>
      <c r="AN5" s="3299"/>
      <c r="AO5" s="3299"/>
      <c r="AP5" s="3299"/>
      <c r="AQ5" s="3299"/>
      <c r="AR5" s="3299"/>
      <c r="AS5" s="3299"/>
      <c r="AT5" s="3299"/>
      <c r="AU5" s="3299"/>
      <c r="AV5" s="3299"/>
      <c r="AW5" s="3299"/>
      <c r="AX5" s="3299"/>
      <c r="AY5" s="3299"/>
      <c r="AZ5" s="3299"/>
      <c r="BA5" s="3299"/>
      <c r="BB5" s="3299"/>
      <c r="BC5" s="3299"/>
      <c r="BD5" s="3299"/>
      <c r="BE5" s="3299"/>
      <c r="BF5" s="3299"/>
      <c r="BG5" s="3299"/>
      <c r="BH5" s="3299"/>
      <c r="BI5" s="3299"/>
      <c r="BJ5" s="3299"/>
      <c r="BK5" s="3299"/>
      <c r="BL5" s="3299"/>
      <c r="BM5" s="3299"/>
      <c r="BN5" s="3299"/>
      <c r="BO5" s="3299"/>
      <c r="BP5" s="3299"/>
      <c r="BQ5" s="3299"/>
      <c r="BR5" s="3299"/>
      <c r="BS5" s="3299"/>
      <c r="BT5" s="3299"/>
      <c r="BU5" s="3299"/>
      <c r="BV5" s="3299"/>
      <c r="BW5" s="3299"/>
      <c r="BX5" s="3299"/>
      <c r="BY5" s="3299"/>
      <c r="BZ5" s="3299"/>
      <c r="CA5" s="3299"/>
      <c r="CB5" s="3299"/>
      <c r="CC5" s="3299"/>
    </row>
    <row r="6" spans="1:81" s="3303" customFormat="1" ht="14.25" customHeight="1">
      <c r="A6" s="3300">
        <v>1</v>
      </c>
      <c r="B6" s="3453" t="s">
        <v>1282</v>
      </c>
      <c r="C6" s="3453"/>
      <c r="D6" s="3453"/>
      <c r="E6" s="3453"/>
      <c r="F6" s="3453"/>
      <c r="G6" s="3453"/>
      <c r="H6" s="3301"/>
      <c r="I6" s="3301"/>
      <c r="J6" s="3301"/>
      <c r="K6" s="3301"/>
      <c r="L6" s="3301"/>
      <c r="M6" s="3301"/>
      <c r="N6" s="3301"/>
      <c r="O6" s="3301"/>
      <c r="P6" s="3300"/>
      <c r="Q6" s="3302"/>
      <c r="R6" s="3302"/>
      <c r="S6" s="3302"/>
      <c r="T6" s="3302"/>
      <c r="U6" s="3302"/>
      <c r="V6" s="3302"/>
      <c r="W6" s="3302"/>
      <c r="X6" s="3302"/>
      <c r="Y6" s="3302"/>
      <c r="Z6" s="3302"/>
      <c r="AA6" s="3302"/>
      <c r="AB6" s="3302"/>
      <c r="AC6" s="3302"/>
      <c r="AD6" s="3302"/>
      <c r="AE6" s="3302"/>
      <c r="AF6" s="3302"/>
      <c r="AG6" s="3302"/>
      <c r="AH6" s="3302"/>
      <c r="AI6" s="3302"/>
      <c r="AJ6" s="3302"/>
      <c r="AK6" s="3302"/>
      <c r="AL6" s="3302"/>
      <c r="AM6" s="3302"/>
      <c r="AN6" s="3302"/>
      <c r="AO6" s="3302"/>
      <c r="AP6" s="3302"/>
      <c r="AQ6" s="3302"/>
      <c r="AR6" s="3302"/>
      <c r="AS6" s="3302"/>
      <c r="AT6" s="3302"/>
      <c r="AU6" s="3302"/>
      <c r="AV6" s="3302"/>
      <c r="AW6" s="3302"/>
      <c r="AX6" s="3302"/>
      <c r="AY6" s="3302"/>
      <c r="AZ6" s="3302"/>
      <c r="BA6" s="3302"/>
      <c r="BB6" s="3302"/>
      <c r="BC6" s="3302"/>
      <c r="BD6" s="3302"/>
      <c r="BE6" s="3302"/>
      <c r="BF6" s="3302"/>
      <c r="BG6" s="3302"/>
      <c r="BH6" s="3302"/>
      <c r="BI6" s="3302"/>
      <c r="BJ6" s="3302"/>
      <c r="BK6" s="3302"/>
      <c r="BL6" s="3302"/>
      <c r="BM6" s="3302"/>
      <c r="BN6" s="3302"/>
      <c r="BO6" s="3302"/>
      <c r="BP6" s="3302"/>
      <c r="BQ6" s="3302"/>
      <c r="BR6" s="3302"/>
      <c r="BS6" s="3302"/>
      <c r="BT6" s="3302"/>
      <c r="BU6" s="3302"/>
      <c r="BV6" s="3302"/>
      <c r="BW6" s="3302"/>
      <c r="BX6" s="3302"/>
      <c r="BY6" s="3302"/>
      <c r="BZ6" s="3302"/>
      <c r="CA6" s="3302"/>
      <c r="CB6" s="3302"/>
      <c r="CC6" s="3302"/>
    </row>
    <row r="7" spans="1:81" s="3307" customFormat="1">
      <c r="A7" s="3298" t="s">
        <v>339</v>
      </c>
      <c r="B7" s="3304" t="s">
        <v>2002</v>
      </c>
      <c r="C7" s="3305" t="s">
        <v>2003</v>
      </c>
      <c r="D7" s="3305">
        <f>D9/D8</f>
        <v>2.7105626859572318</v>
      </c>
      <c r="E7" s="3305" t="e">
        <f>E9/E8</f>
        <v>#DIV/0!</v>
      </c>
      <c r="F7" s="3305" t="e">
        <f>F9/F8</f>
        <v>#DIV/0!</v>
      </c>
      <c r="G7" s="3305" t="e">
        <f>G9/G8</f>
        <v>#DIV/0!</v>
      </c>
      <c r="H7" s="3305" t="e">
        <f>H9/H8</f>
        <v>#DIV/0!</v>
      </c>
      <c r="I7" s="3305" t="e">
        <f t="shared" ref="I7:O7" si="0">I9/I8</f>
        <v>#DIV/0!</v>
      </c>
      <c r="J7" s="3305" t="e">
        <f t="shared" si="0"/>
        <v>#DIV/0!</v>
      </c>
      <c r="K7" s="3305" t="e">
        <f t="shared" si="0"/>
        <v>#DIV/0!</v>
      </c>
      <c r="L7" s="3305" t="e">
        <f t="shared" si="0"/>
        <v>#DIV/0!</v>
      </c>
      <c r="M7" s="3305" t="e">
        <f t="shared" si="0"/>
        <v>#DIV/0!</v>
      </c>
      <c r="N7" s="3305" t="e">
        <f t="shared" si="0"/>
        <v>#DIV/0!</v>
      </c>
      <c r="O7" s="3305" t="e">
        <f t="shared" si="0"/>
        <v>#DIV/0!</v>
      </c>
      <c r="P7" s="3306">
        <f>P9/P8</f>
        <v>2.7105626859572318</v>
      </c>
      <c r="Q7" s="3299"/>
      <c r="R7" s="3299"/>
      <c r="S7" s="3299"/>
      <c r="T7" s="3299"/>
      <c r="U7" s="3299"/>
      <c r="V7" s="3299"/>
      <c r="W7" s="3299"/>
      <c r="X7" s="3299"/>
      <c r="Y7" s="3299"/>
      <c r="Z7" s="3299"/>
      <c r="AA7" s="3299"/>
      <c r="AB7" s="3299"/>
      <c r="AC7" s="3299"/>
      <c r="AD7" s="3299"/>
      <c r="AE7" s="3299"/>
      <c r="AF7" s="3299"/>
      <c r="AG7" s="3299"/>
      <c r="AH7" s="3299"/>
      <c r="AI7" s="3299"/>
      <c r="AJ7" s="3299"/>
      <c r="AK7" s="3299"/>
      <c r="AL7" s="3299"/>
      <c r="AM7" s="3299"/>
      <c r="AN7" s="3299"/>
      <c r="AO7" s="3299"/>
      <c r="AP7" s="3299"/>
      <c r="AQ7" s="3299"/>
      <c r="AR7" s="3299"/>
      <c r="AS7" s="3299"/>
      <c r="AT7" s="3299"/>
      <c r="AU7" s="3299"/>
      <c r="AV7" s="3299"/>
      <c r="AW7" s="3299"/>
      <c r="AX7" s="3299"/>
      <c r="AY7" s="3299"/>
      <c r="AZ7" s="3299"/>
      <c r="BA7" s="3299"/>
      <c r="BB7" s="3299"/>
      <c r="BC7" s="3299"/>
      <c r="BD7" s="3299"/>
      <c r="BE7" s="3299"/>
      <c r="BF7" s="3299"/>
      <c r="BG7" s="3299"/>
      <c r="BH7" s="3299"/>
      <c r="BI7" s="3299"/>
      <c r="BJ7" s="3299"/>
      <c r="BK7" s="3299"/>
      <c r="BL7" s="3299"/>
      <c r="BM7" s="3299"/>
      <c r="BN7" s="3299"/>
      <c r="BO7" s="3299"/>
      <c r="BP7" s="3299"/>
      <c r="BQ7" s="3299"/>
      <c r="BR7" s="3299"/>
      <c r="BS7" s="3299"/>
      <c r="BT7" s="3299"/>
      <c r="BU7" s="3299"/>
      <c r="BV7" s="3299"/>
      <c r="BW7" s="3299"/>
      <c r="BX7" s="3299"/>
      <c r="BY7" s="3299"/>
      <c r="BZ7" s="3299"/>
      <c r="CA7" s="3299"/>
      <c r="CB7" s="3299"/>
      <c r="CC7" s="3299"/>
    </row>
    <row r="8" spans="1:81" s="3307" customFormat="1">
      <c r="A8" s="3298" t="s">
        <v>390</v>
      </c>
      <c r="B8" s="3304" t="s">
        <v>2004</v>
      </c>
      <c r="C8" s="3305" t="s">
        <v>2005</v>
      </c>
      <c r="D8" s="3308">
        <f>'Раздел 1 В'!F58</f>
        <v>24830.238999999998</v>
      </c>
      <c r="E8" s="3308"/>
      <c r="F8" s="3308"/>
      <c r="G8" s="3308"/>
      <c r="H8" s="3308"/>
      <c r="I8" s="3308"/>
      <c r="J8" s="3308"/>
      <c r="K8" s="3308"/>
      <c r="L8" s="3308"/>
      <c r="M8" s="3308"/>
      <c r="N8" s="3308"/>
      <c r="O8" s="3308"/>
      <c r="P8" s="3309">
        <f>SUM(D8:O8)</f>
        <v>24830.238999999998</v>
      </c>
      <c r="Q8" s="3299"/>
      <c r="R8" s="3299"/>
      <c r="S8" s="3299"/>
      <c r="T8" s="3299"/>
      <c r="U8" s="3299"/>
      <c r="V8" s="3299"/>
      <c r="W8" s="3299"/>
      <c r="X8" s="3299"/>
      <c r="Y8" s="3299"/>
      <c r="Z8" s="3299"/>
      <c r="AA8" s="3299"/>
      <c r="AB8" s="3299"/>
      <c r="AC8" s="3299"/>
      <c r="AD8" s="3299"/>
      <c r="AE8" s="3299"/>
      <c r="AF8" s="3299"/>
      <c r="AG8" s="3299"/>
      <c r="AH8" s="3299"/>
      <c r="AI8" s="3299"/>
      <c r="AJ8" s="3299"/>
      <c r="AK8" s="3299"/>
      <c r="AL8" s="3299"/>
      <c r="AM8" s="3299"/>
      <c r="AN8" s="3299"/>
      <c r="AO8" s="3299"/>
      <c r="AP8" s="3299"/>
      <c r="AQ8" s="3299"/>
      <c r="AR8" s="3299"/>
      <c r="AS8" s="3299"/>
      <c r="AT8" s="3299"/>
      <c r="AU8" s="3299"/>
      <c r="AV8" s="3299"/>
      <c r="AW8" s="3299"/>
      <c r="AX8" s="3299"/>
      <c r="AY8" s="3299"/>
      <c r="AZ8" s="3299"/>
      <c r="BA8" s="3299"/>
      <c r="BB8" s="3299"/>
      <c r="BC8" s="3299"/>
      <c r="BD8" s="3299"/>
      <c r="BE8" s="3299"/>
      <c r="BF8" s="3299"/>
      <c r="BG8" s="3299"/>
      <c r="BH8" s="3299"/>
      <c r="BI8" s="3299"/>
      <c r="BJ8" s="3299"/>
      <c r="BK8" s="3299"/>
      <c r="BL8" s="3299"/>
      <c r="BM8" s="3299"/>
      <c r="BN8" s="3299"/>
      <c r="BO8" s="3299"/>
      <c r="BP8" s="3299"/>
      <c r="BQ8" s="3299"/>
      <c r="BR8" s="3299"/>
      <c r="BS8" s="3299"/>
      <c r="BT8" s="3299"/>
      <c r="BU8" s="3299"/>
      <c r="BV8" s="3299"/>
      <c r="BW8" s="3299"/>
      <c r="BX8" s="3299"/>
      <c r="BY8" s="3299"/>
      <c r="BZ8" s="3299"/>
      <c r="CA8" s="3299"/>
      <c r="CB8" s="3299"/>
      <c r="CC8" s="3299"/>
    </row>
    <row r="9" spans="1:81" s="3307" customFormat="1">
      <c r="A9" s="3298" t="s">
        <v>391</v>
      </c>
      <c r="B9" s="3304" t="s">
        <v>1390</v>
      </c>
      <c r="C9" s="3305" t="s">
        <v>1391</v>
      </c>
      <c r="D9" s="3308">
        <f>'Раздел 1 В'!G58</f>
        <v>67303.919316800006</v>
      </c>
      <c r="E9" s="3308"/>
      <c r="F9" s="3308"/>
      <c r="G9" s="3308"/>
      <c r="H9" s="3308"/>
      <c r="I9" s="3308"/>
      <c r="J9" s="3308"/>
      <c r="K9" s="3308"/>
      <c r="L9" s="3308"/>
      <c r="M9" s="3308"/>
      <c r="N9" s="3308"/>
      <c r="O9" s="3308"/>
      <c r="P9" s="3309">
        <f>SUM(D9:O9)</f>
        <v>67303.919316800006</v>
      </c>
      <c r="Q9" s="3299"/>
      <c r="R9" s="3299"/>
      <c r="S9" s="3299"/>
      <c r="T9" s="3299"/>
      <c r="U9" s="3299"/>
      <c r="V9" s="3299"/>
      <c r="W9" s="3299"/>
      <c r="X9" s="3299"/>
      <c r="Y9" s="3299"/>
      <c r="Z9" s="3299"/>
      <c r="AA9" s="3299"/>
      <c r="AB9" s="3299"/>
      <c r="AC9" s="3299"/>
      <c r="AD9" s="3299"/>
      <c r="AE9" s="3299"/>
      <c r="AF9" s="3299"/>
      <c r="AG9" s="3299"/>
      <c r="AH9" s="3299"/>
      <c r="AI9" s="3299"/>
      <c r="AJ9" s="3299"/>
      <c r="AK9" s="3299"/>
      <c r="AL9" s="3299"/>
      <c r="AM9" s="3299"/>
      <c r="AN9" s="3299"/>
      <c r="AO9" s="3299"/>
      <c r="AP9" s="3299"/>
      <c r="AQ9" s="3299"/>
      <c r="AR9" s="3299"/>
      <c r="AS9" s="3299"/>
      <c r="AT9" s="3299"/>
      <c r="AU9" s="3299"/>
      <c r="AV9" s="3299"/>
      <c r="AW9" s="3299"/>
      <c r="AX9" s="3299"/>
      <c r="AY9" s="3299"/>
      <c r="AZ9" s="3299"/>
      <c r="BA9" s="3299"/>
      <c r="BB9" s="3299"/>
      <c r="BC9" s="3299"/>
      <c r="BD9" s="3299"/>
      <c r="BE9" s="3299"/>
      <c r="BF9" s="3299"/>
      <c r="BG9" s="3299"/>
      <c r="BH9" s="3299"/>
      <c r="BI9" s="3299"/>
      <c r="BJ9" s="3299"/>
      <c r="BK9" s="3299"/>
      <c r="BL9" s="3299"/>
      <c r="BM9" s="3299"/>
      <c r="BN9" s="3299"/>
      <c r="BO9" s="3299"/>
      <c r="BP9" s="3299"/>
      <c r="BQ9" s="3299"/>
      <c r="BR9" s="3299"/>
      <c r="BS9" s="3299"/>
      <c r="BT9" s="3299"/>
      <c r="BU9" s="3299"/>
      <c r="BV9" s="3299"/>
      <c r="BW9" s="3299"/>
      <c r="BX9" s="3299"/>
      <c r="BY9" s="3299"/>
      <c r="BZ9" s="3299"/>
      <c r="CA9" s="3299"/>
      <c r="CB9" s="3299"/>
      <c r="CC9" s="3299"/>
    </row>
    <row r="10" spans="1:81" s="3303" customFormat="1" ht="14.25" customHeight="1">
      <c r="A10" s="3310">
        <v>2</v>
      </c>
      <c r="B10" s="3320" t="s">
        <v>2006</v>
      </c>
      <c r="C10" s="3320"/>
      <c r="D10" s="3320"/>
      <c r="E10" s="3320"/>
      <c r="F10" s="3320"/>
      <c r="G10" s="3320"/>
      <c r="H10" s="3311"/>
      <c r="I10" s="3311"/>
      <c r="J10" s="3311"/>
      <c r="K10" s="3311"/>
      <c r="L10" s="3311"/>
      <c r="M10" s="3311"/>
      <c r="N10" s="3311"/>
      <c r="O10" s="3311"/>
      <c r="P10" s="3310"/>
      <c r="Q10" s="3302"/>
      <c r="R10" s="3302"/>
      <c r="S10" s="3302"/>
      <c r="T10" s="3302"/>
      <c r="U10" s="3302"/>
      <c r="V10" s="3302"/>
      <c r="W10" s="3302"/>
      <c r="X10" s="3302"/>
      <c r="Y10" s="3302"/>
      <c r="Z10" s="3302"/>
      <c r="AA10" s="3302"/>
      <c r="AB10" s="3302"/>
      <c r="AC10" s="3302"/>
      <c r="AD10" s="3302"/>
      <c r="AE10" s="3302"/>
      <c r="AF10" s="3302"/>
      <c r="AG10" s="3302"/>
      <c r="AH10" s="3302"/>
      <c r="AI10" s="3302"/>
      <c r="AJ10" s="3302"/>
      <c r="AK10" s="3302"/>
      <c r="AL10" s="3302"/>
      <c r="AM10" s="3302"/>
      <c r="AN10" s="3302"/>
      <c r="AO10" s="3302"/>
      <c r="AP10" s="3302"/>
      <c r="AQ10" s="3302"/>
      <c r="AR10" s="3302"/>
      <c r="AS10" s="3302"/>
      <c r="AT10" s="3302"/>
      <c r="AU10" s="3302"/>
      <c r="AV10" s="3302"/>
      <c r="AW10" s="3302"/>
      <c r="AX10" s="3302"/>
      <c r="AY10" s="3302"/>
      <c r="AZ10" s="3302"/>
      <c r="BA10" s="3302"/>
      <c r="BB10" s="3302"/>
      <c r="BC10" s="3302"/>
      <c r="BD10" s="3302"/>
      <c r="BE10" s="3302"/>
      <c r="BF10" s="3302"/>
      <c r="BG10" s="3302"/>
      <c r="BH10" s="3302"/>
      <c r="BI10" s="3302"/>
      <c r="BJ10" s="3302"/>
      <c r="BK10" s="3302"/>
      <c r="BL10" s="3302"/>
      <c r="BM10" s="3302"/>
      <c r="BN10" s="3302"/>
      <c r="BO10" s="3302"/>
      <c r="BP10" s="3302"/>
      <c r="BQ10" s="3302"/>
      <c r="BR10" s="3302"/>
      <c r="BS10" s="3302"/>
      <c r="BT10" s="3302"/>
      <c r="BU10" s="3302"/>
      <c r="BV10" s="3302"/>
      <c r="BW10" s="3302"/>
      <c r="BX10" s="3302"/>
      <c r="BY10" s="3302"/>
      <c r="BZ10" s="3302"/>
      <c r="CA10" s="3302"/>
      <c r="CB10" s="3302"/>
      <c r="CC10" s="3302"/>
    </row>
    <row r="11" spans="1:81" s="3307" customFormat="1">
      <c r="A11" s="3298" t="s">
        <v>427</v>
      </c>
      <c r="B11" s="3304" t="s">
        <v>2002</v>
      </c>
      <c r="C11" s="3305" t="s">
        <v>2007</v>
      </c>
      <c r="D11" s="3305">
        <f t="shared" ref="D11:P11" si="1">D13/D12</f>
        <v>3.9499699999105311</v>
      </c>
      <c r="E11" s="3305" t="e">
        <f t="shared" si="1"/>
        <v>#DIV/0!</v>
      </c>
      <c r="F11" s="3305" t="e">
        <f t="shared" si="1"/>
        <v>#DIV/0!</v>
      </c>
      <c r="G11" s="3305" t="e">
        <f t="shared" si="1"/>
        <v>#DIV/0!</v>
      </c>
      <c r="H11" s="3305" t="e">
        <f t="shared" si="1"/>
        <v>#DIV/0!</v>
      </c>
      <c r="I11" s="3305" t="e">
        <f t="shared" si="1"/>
        <v>#DIV/0!</v>
      </c>
      <c r="J11" s="3305" t="e">
        <f t="shared" si="1"/>
        <v>#DIV/0!</v>
      </c>
      <c r="K11" s="3312" t="e">
        <f t="shared" si="1"/>
        <v>#DIV/0!</v>
      </c>
      <c r="L11" s="3305" t="e">
        <f t="shared" si="1"/>
        <v>#DIV/0!</v>
      </c>
      <c r="M11" s="3305" t="e">
        <f t="shared" si="1"/>
        <v>#DIV/0!</v>
      </c>
      <c r="N11" s="3305" t="e">
        <f t="shared" si="1"/>
        <v>#DIV/0!</v>
      </c>
      <c r="O11" s="3305" t="e">
        <f t="shared" si="1"/>
        <v>#DIV/0!</v>
      </c>
      <c r="P11" s="3306">
        <f t="shared" si="1"/>
        <v>3.9499699999105311</v>
      </c>
      <c r="Q11" s="3299"/>
      <c r="R11" s="3299"/>
      <c r="S11" s="3299"/>
      <c r="T11" s="3299"/>
      <c r="U11" s="3299"/>
      <c r="V11" s="3299"/>
      <c r="W11" s="3299"/>
      <c r="X11" s="3299"/>
      <c r="Y11" s="3299"/>
      <c r="Z11" s="3299"/>
      <c r="AA11" s="3299"/>
      <c r="AB11" s="3299"/>
      <c r="AC11" s="3299"/>
      <c r="AD11" s="3299"/>
      <c r="AE11" s="3299"/>
      <c r="AF11" s="3299"/>
      <c r="AG11" s="3299"/>
      <c r="AH11" s="3299"/>
      <c r="AI11" s="3299"/>
      <c r="AJ11" s="3299"/>
      <c r="AK11" s="3299"/>
      <c r="AL11" s="3299"/>
      <c r="AM11" s="3299"/>
      <c r="AN11" s="3299"/>
      <c r="AO11" s="3299"/>
      <c r="AP11" s="3299"/>
      <c r="AQ11" s="3299"/>
      <c r="AR11" s="3299"/>
      <c r="AS11" s="3299"/>
      <c r="AT11" s="3299"/>
      <c r="AU11" s="3299"/>
      <c r="AV11" s="3299"/>
      <c r="AW11" s="3299"/>
      <c r="AX11" s="3299"/>
      <c r="AY11" s="3299"/>
      <c r="AZ11" s="3299"/>
      <c r="BA11" s="3299"/>
      <c r="BB11" s="3299"/>
      <c r="BC11" s="3299"/>
      <c r="BD11" s="3299"/>
      <c r="BE11" s="3299"/>
      <c r="BF11" s="3299"/>
      <c r="BG11" s="3299"/>
      <c r="BH11" s="3299"/>
      <c r="BI11" s="3299"/>
      <c r="BJ11" s="3299"/>
      <c r="BK11" s="3299"/>
      <c r="BL11" s="3299"/>
      <c r="BM11" s="3299"/>
      <c r="BN11" s="3299"/>
      <c r="BO11" s="3299"/>
      <c r="BP11" s="3299"/>
      <c r="BQ11" s="3299"/>
      <c r="BR11" s="3299"/>
      <c r="BS11" s="3299"/>
      <c r="BT11" s="3299"/>
      <c r="BU11" s="3299"/>
      <c r="BV11" s="3299"/>
      <c r="BW11" s="3299"/>
      <c r="BX11" s="3299"/>
      <c r="BY11" s="3299"/>
      <c r="BZ11" s="3299"/>
      <c r="CA11" s="3299"/>
      <c r="CB11" s="3299"/>
      <c r="CC11" s="3299"/>
    </row>
    <row r="12" spans="1:81" s="3307" customFormat="1">
      <c r="A12" s="3298" t="s">
        <v>428</v>
      </c>
      <c r="B12" s="3304" t="s">
        <v>2004</v>
      </c>
      <c r="C12" s="3305" t="s">
        <v>2005</v>
      </c>
      <c r="D12" s="3308">
        <f>'Раздел 2А'!F49</f>
        <v>1788.328</v>
      </c>
      <c r="E12" s="3312"/>
      <c r="F12" s="3312"/>
      <c r="G12" s="3308"/>
      <c r="H12" s="3308"/>
      <c r="I12" s="3308"/>
      <c r="J12" s="3308"/>
      <c r="K12" s="3308"/>
      <c r="L12" s="3308"/>
      <c r="M12" s="3313"/>
      <c r="N12" s="3308"/>
      <c r="O12" s="3314"/>
      <c r="P12" s="3309">
        <f>SUM(D12:O12)</f>
        <v>1788.328</v>
      </c>
      <c r="Q12" s="3299"/>
      <c r="R12" s="3299"/>
      <c r="S12" s="3299"/>
      <c r="T12" s="3299"/>
      <c r="U12" s="3299"/>
      <c r="V12" s="3299"/>
      <c r="W12" s="3299"/>
      <c r="X12" s="3299"/>
      <c r="Y12" s="3299"/>
      <c r="Z12" s="3299"/>
      <c r="AA12" s="3299"/>
      <c r="AB12" s="3299"/>
      <c r="AC12" s="3299"/>
      <c r="AD12" s="3299"/>
      <c r="AE12" s="3299"/>
      <c r="AF12" s="3299"/>
      <c r="AG12" s="3299"/>
      <c r="AH12" s="3299"/>
      <c r="AI12" s="3299"/>
      <c r="AJ12" s="3299"/>
      <c r="AK12" s="3299"/>
      <c r="AL12" s="3299"/>
      <c r="AM12" s="3299"/>
      <c r="AN12" s="3299"/>
      <c r="AO12" s="3299"/>
      <c r="AP12" s="3299"/>
      <c r="AQ12" s="3299"/>
      <c r="AR12" s="3299"/>
      <c r="AS12" s="3299"/>
      <c r="AT12" s="3299"/>
      <c r="AU12" s="3299"/>
      <c r="AV12" s="3299"/>
      <c r="AW12" s="3299"/>
      <c r="AX12" s="3299"/>
      <c r="AY12" s="3299"/>
      <c r="AZ12" s="3299"/>
      <c r="BA12" s="3299"/>
      <c r="BB12" s="3299"/>
      <c r="BC12" s="3299"/>
      <c r="BD12" s="3299"/>
      <c r="BE12" s="3299"/>
      <c r="BF12" s="3299"/>
      <c r="BG12" s="3299"/>
      <c r="BH12" s="3299"/>
      <c r="BI12" s="3299"/>
      <c r="BJ12" s="3299"/>
      <c r="BK12" s="3299"/>
      <c r="BL12" s="3299"/>
      <c r="BM12" s="3299"/>
      <c r="BN12" s="3299"/>
      <c r="BO12" s="3299"/>
      <c r="BP12" s="3299"/>
      <c r="BQ12" s="3299"/>
      <c r="BR12" s="3299"/>
      <c r="BS12" s="3299"/>
      <c r="BT12" s="3299"/>
      <c r="BU12" s="3299"/>
      <c r="BV12" s="3299"/>
      <c r="BW12" s="3299"/>
      <c r="BX12" s="3299"/>
      <c r="BY12" s="3299"/>
      <c r="BZ12" s="3299"/>
      <c r="CA12" s="3299"/>
      <c r="CB12" s="3299"/>
      <c r="CC12" s="3299"/>
    </row>
    <row r="13" spans="1:81" s="3307" customFormat="1">
      <c r="A13" s="3298" t="s">
        <v>429</v>
      </c>
      <c r="B13" s="3304" t="s">
        <v>1390</v>
      </c>
      <c r="C13" s="3305" t="s">
        <v>1396</v>
      </c>
      <c r="D13" s="3308">
        <f>'Раздел 2А'!M49</f>
        <v>7063.84195</v>
      </c>
      <c r="E13" s="3312"/>
      <c r="F13" s="3312"/>
      <c r="G13" s="3308"/>
      <c r="H13" s="3308"/>
      <c r="I13" s="3308"/>
      <c r="J13" s="3308"/>
      <c r="K13" s="3308"/>
      <c r="L13" s="3308"/>
      <c r="M13" s="3313"/>
      <c r="N13" s="3308"/>
      <c r="O13" s="3314"/>
      <c r="P13" s="3309">
        <f>SUM(D13:O13)</f>
        <v>7063.84195</v>
      </c>
      <c r="Q13" s="3299"/>
      <c r="R13" s="3299"/>
      <c r="S13" s="3299"/>
      <c r="T13" s="3299"/>
      <c r="U13" s="3299"/>
      <c r="V13" s="3299"/>
      <c r="W13" s="3299"/>
      <c r="X13" s="3299"/>
      <c r="Y13" s="3299"/>
      <c r="Z13" s="3299"/>
      <c r="AA13" s="3299"/>
      <c r="AB13" s="3299"/>
      <c r="AC13" s="3299"/>
      <c r="AD13" s="3299"/>
      <c r="AE13" s="3299"/>
      <c r="AF13" s="3299"/>
      <c r="AG13" s="3299"/>
      <c r="AH13" s="3299"/>
      <c r="AI13" s="3299"/>
      <c r="AJ13" s="3299"/>
      <c r="AK13" s="3299"/>
      <c r="AL13" s="3299"/>
      <c r="AM13" s="3299"/>
      <c r="AN13" s="3299"/>
      <c r="AO13" s="3299"/>
      <c r="AP13" s="3299"/>
      <c r="AQ13" s="3299"/>
      <c r="AR13" s="3299"/>
      <c r="AS13" s="3299"/>
      <c r="AT13" s="3299"/>
      <c r="AU13" s="3299"/>
      <c r="AV13" s="3299"/>
      <c r="AW13" s="3299"/>
      <c r="AX13" s="3299"/>
      <c r="AY13" s="3299"/>
      <c r="AZ13" s="3299"/>
      <c r="BA13" s="3299"/>
      <c r="BB13" s="3299"/>
      <c r="BC13" s="3299"/>
      <c r="BD13" s="3299"/>
      <c r="BE13" s="3299"/>
      <c r="BF13" s="3299"/>
      <c r="BG13" s="3299"/>
      <c r="BH13" s="3299"/>
      <c r="BI13" s="3299"/>
      <c r="BJ13" s="3299"/>
      <c r="BK13" s="3299"/>
      <c r="BL13" s="3299"/>
      <c r="BM13" s="3299"/>
      <c r="BN13" s="3299"/>
      <c r="BO13" s="3299"/>
      <c r="BP13" s="3299"/>
      <c r="BQ13" s="3299"/>
      <c r="BR13" s="3299"/>
      <c r="BS13" s="3299"/>
      <c r="BT13" s="3299"/>
      <c r="BU13" s="3299"/>
      <c r="BV13" s="3299"/>
      <c r="BW13" s="3299"/>
      <c r="BX13" s="3299"/>
      <c r="BY13" s="3299"/>
      <c r="BZ13" s="3299"/>
      <c r="CA13" s="3299"/>
      <c r="CB13" s="3299"/>
      <c r="CC13" s="3299"/>
    </row>
    <row r="14" spans="1:81" s="3303" customFormat="1" ht="14.25">
      <c r="A14" s="3310">
        <v>3</v>
      </c>
      <c r="B14" s="3320" t="s">
        <v>42</v>
      </c>
      <c r="C14" s="3320"/>
      <c r="D14" s="3320"/>
      <c r="E14" s="3320"/>
      <c r="F14" s="3320"/>
      <c r="G14" s="3320"/>
      <c r="H14" s="3311"/>
      <c r="I14" s="3311"/>
      <c r="J14" s="3311"/>
      <c r="K14" s="3311"/>
      <c r="L14" s="3311"/>
      <c r="M14" s="3311"/>
      <c r="N14" s="3311"/>
      <c r="O14" s="3311"/>
      <c r="P14" s="3310"/>
      <c r="Q14" s="3302"/>
      <c r="R14" s="3302"/>
      <c r="S14" s="3302"/>
      <c r="T14" s="3302"/>
      <c r="U14" s="3302"/>
      <c r="V14" s="3302"/>
      <c r="W14" s="3302"/>
      <c r="X14" s="3302"/>
      <c r="Y14" s="3302"/>
      <c r="Z14" s="3302"/>
      <c r="AA14" s="3302"/>
      <c r="AB14" s="3302"/>
      <c r="AC14" s="3302"/>
      <c r="AD14" s="3302"/>
      <c r="AE14" s="3302"/>
      <c r="AF14" s="3302"/>
      <c r="AG14" s="3302"/>
      <c r="AH14" s="3302"/>
      <c r="AI14" s="3302"/>
      <c r="AJ14" s="3302"/>
      <c r="AK14" s="3302"/>
      <c r="AL14" s="3302"/>
      <c r="AM14" s="3302"/>
      <c r="AN14" s="3302"/>
      <c r="AO14" s="3302"/>
      <c r="AP14" s="3302"/>
      <c r="AQ14" s="3302"/>
      <c r="AR14" s="3302"/>
      <c r="AS14" s="3302"/>
      <c r="AT14" s="3302"/>
      <c r="AU14" s="3302"/>
      <c r="AV14" s="3302"/>
      <c r="AW14" s="3302"/>
      <c r="AX14" s="3302"/>
      <c r="AY14" s="3302"/>
      <c r="AZ14" s="3302"/>
      <c r="BA14" s="3302"/>
      <c r="BB14" s="3302"/>
      <c r="BC14" s="3302"/>
      <c r="BD14" s="3302"/>
      <c r="BE14" s="3302"/>
      <c r="BF14" s="3302"/>
      <c r="BG14" s="3302"/>
      <c r="BH14" s="3302"/>
      <c r="BI14" s="3302"/>
      <c r="BJ14" s="3302"/>
      <c r="BK14" s="3302"/>
      <c r="BL14" s="3302"/>
      <c r="BM14" s="3302"/>
      <c r="BN14" s="3302"/>
      <c r="BO14" s="3302"/>
      <c r="BP14" s="3302"/>
      <c r="BQ14" s="3302"/>
      <c r="BR14" s="3302"/>
      <c r="BS14" s="3302"/>
      <c r="BT14" s="3302"/>
      <c r="BU14" s="3302"/>
      <c r="BV14" s="3302"/>
      <c r="BW14" s="3302"/>
      <c r="BX14" s="3302"/>
      <c r="BY14" s="3302"/>
      <c r="BZ14" s="3302"/>
      <c r="CA14" s="3302"/>
      <c r="CB14" s="3302"/>
      <c r="CC14" s="3302"/>
    </row>
    <row r="15" spans="1:81" s="3307" customFormat="1" ht="42.75">
      <c r="A15" s="3315" t="s">
        <v>2008</v>
      </c>
      <c r="B15" s="3316" t="s">
        <v>2009</v>
      </c>
      <c r="C15" s="3317" t="s">
        <v>2007</v>
      </c>
      <c r="D15" s="3318">
        <f t="shared" ref="D15:P21" si="2">D53/D34</f>
        <v>8.6721335774396024</v>
      </c>
      <c r="E15" s="3318" t="e">
        <f t="shared" si="2"/>
        <v>#DIV/0!</v>
      </c>
      <c r="F15" s="3318" t="e">
        <f t="shared" si="2"/>
        <v>#DIV/0!</v>
      </c>
      <c r="G15" s="3318" t="e">
        <f t="shared" si="2"/>
        <v>#DIV/0!</v>
      </c>
      <c r="H15" s="3318" t="e">
        <f t="shared" si="2"/>
        <v>#DIV/0!</v>
      </c>
      <c r="I15" s="3318" t="e">
        <f t="shared" si="2"/>
        <v>#DIV/0!</v>
      </c>
      <c r="J15" s="3318" t="e">
        <f t="shared" si="2"/>
        <v>#DIV/0!</v>
      </c>
      <c r="K15" s="3318" t="e">
        <f t="shared" si="2"/>
        <v>#DIV/0!</v>
      </c>
      <c r="L15" s="3318" t="e">
        <f t="shared" si="2"/>
        <v>#DIV/0!</v>
      </c>
      <c r="M15" s="3318" t="e">
        <f t="shared" si="2"/>
        <v>#DIV/0!</v>
      </c>
      <c r="N15" s="3318" t="e">
        <f t="shared" si="2"/>
        <v>#DIV/0!</v>
      </c>
      <c r="O15" s="3318" t="e">
        <f t="shared" si="2"/>
        <v>#DIV/0!</v>
      </c>
      <c r="P15" s="3318" t="e">
        <f t="shared" si="2"/>
        <v>#DIV/0!</v>
      </c>
      <c r="Q15" s="3299"/>
      <c r="R15" s="3319"/>
      <c r="S15" s="3319"/>
      <c r="T15" s="3299"/>
      <c r="U15" s="3299"/>
      <c r="V15" s="3299"/>
      <c r="W15" s="3299"/>
      <c r="X15" s="3299"/>
      <c r="Y15" s="3299"/>
      <c r="Z15" s="3299"/>
      <c r="AA15" s="3299"/>
      <c r="AB15" s="3299"/>
      <c r="AC15" s="3299"/>
      <c r="AD15" s="3299"/>
      <c r="AE15" s="3299"/>
      <c r="AF15" s="3299"/>
      <c r="AG15" s="3299"/>
      <c r="AH15" s="3299"/>
      <c r="AI15" s="3299"/>
      <c r="AJ15" s="3299"/>
      <c r="AK15" s="3299"/>
      <c r="AL15" s="3299"/>
      <c r="AM15" s="3299"/>
      <c r="AN15" s="3299"/>
      <c r="AO15" s="3299"/>
      <c r="AP15" s="3299"/>
      <c r="AQ15" s="3299"/>
      <c r="AR15" s="3299"/>
      <c r="AS15" s="3299"/>
      <c r="AT15" s="3299"/>
      <c r="AU15" s="3299"/>
      <c r="AV15" s="3299"/>
      <c r="AW15" s="3299"/>
      <c r="AX15" s="3299"/>
      <c r="AY15" s="3299"/>
      <c r="AZ15" s="3299"/>
      <c r="BA15" s="3299"/>
      <c r="BB15" s="3299"/>
      <c r="BC15" s="3299"/>
      <c r="BD15" s="3299"/>
      <c r="BE15" s="3299"/>
      <c r="BF15" s="3299"/>
      <c r="BG15" s="3299"/>
      <c r="BH15" s="3299"/>
      <c r="BI15" s="3299"/>
      <c r="BJ15" s="3299"/>
      <c r="BK15" s="3299"/>
      <c r="BL15" s="3299"/>
      <c r="BM15" s="3299"/>
      <c r="BN15" s="3299"/>
      <c r="BO15" s="3299"/>
      <c r="BP15" s="3299"/>
      <c r="BQ15" s="3299"/>
      <c r="BR15" s="3299"/>
      <c r="BS15" s="3299"/>
      <c r="BT15" s="3299"/>
      <c r="BU15" s="3299"/>
      <c r="BV15" s="3299"/>
      <c r="BW15" s="3299"/>
      <c r="BX15" s="3299"/>
      <c r="BY15" s="3299"/>
      <c r="BZ15" s="3299"/>
      <c r="CA15" s="3299"/>
      <c r="CB15" s="3299"/>
      <c r="CC15" s="3299"/>
    </row>
    <row r="16" spans="1:81">
      <c r="A16" s="3298" t="s">
        <v>2010</v>
      </c>
      <c r="B16" s="3320" t="s">
        <v>1934</v>
      </c>
      <c r="C16" s="3306" t="s">
        <v>2007</v>
      </c>
      <c r="D16" s="3321">
        <f t="shared" si="2"/>
        <v>8.7627284748248915</v>
      </c>
      <c r="E16" s="3321" t="e">
        <f t="shared" si="2"/>
        <v>#DIV/0!</v>
      </c>
      <c r="F16" s="3321" t="e">
        <f t="shared" si="2"/>
        <v>#DIV/0!</v>
      </c>
      <c r="G16" s="3321" t="e">
        <f t="shared" si="2"/>
        <v>#DIV/0!</v>
      </c>
      <c r="H16" s="3321" t="e">
        <f t="shared" si="2"/>
        <v>#DIV/0!</v>
      </c>
      <c r="I16" s="3321" t="e">
        <f t="shared" si="2"/>
        <v>#DIV/0!</v>
      </c>
      <c r="J16" s="3321" t="e">
        <f t="shared" si="2"/>
        <v>#DIV/0!</v>
      </c>
      <c r="K16" s="3321" t="e">
        <f t="shared" si="2"/>
        <v>#DIV/0!</v>
      </c>
      <c r="L16" s="3321" t="e">
        <f t="shared" si="2"/>
        <v>#DIV/0!</v>
      </c>
      <c r="M16" s="3321" t="e">
        <f t="shared" si="2"/>
        <v>#DIV/0!</v>
      </c>
      <c r="N16" s="3321" t="e">
        <f t="shared" si="2"/>
        <v>#DIV/0!</v>
      </c>
      <c r="O16" s="3321" t="e">
        <f t="shared" si="2"/>
        <v>#DIV/0!</v>
      </c>
      <c r="P16" s="3321" t="e">
        <f t="shared" si="2"/>
        <v>#DIV/0!</v>
      </c>
      <c r="Q16" s="3299"/>
      <c r="R16" s="3299"/>
      <c r="S16" s="3299"/>
      <c r="T16" s="3299"/>
      <c r="U16" s="3299"/>
      <c r="V16" s="3299"/>
      <c r="W16" s="3299"/>
      <c r="X16" s="3299"/>
      <c r="Y16" s="3299"/>
      <c r="Z16" s="3299"/>
      <c r="AA16" s="3299"/>
      <c r="AB16" s="3299"/>
      <c r="AC16" s="3299"/>
      <c r="AD16" s="3299"/>
      <c r="AE16" s="3299"/>
      <c r="AF16" s="3299"/>
      <c r="AG16" s="3299"/>
      <c r="AH16" s="3299"/>
      <c r="AI16" s="3299"/>
      <c r="AJ16" s="3299"/>
      <c r="AK16" s="3299"/>
      <c r="AL16" s="3299"/>
      <c r="AM16" s="3299"/>
      <c r="AN16" s="3299"/>
      <c r="AO16" s="3299"/>
      <c r="AP16" s="3299"/>
      <c r="AQ16" s="3299"/>
      <c r="AR16" s="3299"/>
      <c r="AS16" s="3299"/>
      <c r="AT16" s="3299"/>
      <c r="AU16" s="3299"/>
      <c r="AV16" s="3299"/>
      <c r="AW16" s="3299"/>
      <c r="AX16" s="3299"/>
      <c r="AY16" s="3299"/>
      <c r="AZ16" s="3299"/>
      <c r="BA16" s="3299"/>
      <c r="BB16" s="3299"/>
      <c r="BC16" s="3299"/>
      <c r="BD16" s="3299"/>
      <c r="BE16" s="3299"/>
      <c r="BF16" s="3299"/>
      <c r="BG16" s="3299"/>
      <c r="BH16" s="3299"/>
      <c r="BI16" s="3299"/>
      <c r="BJ16" s="3299"/>
      <c r="BK16" s="3299"/>
      <c r="BL16" s="3299"/>
      <c r="BM16" s="3299"/>
      <c r="BN16" s="3299"/>
      <c r="BO16" s="3299"/>
      <c r="BP16" s="3299"/>
      <c r="BQ16" s="3299"/>
      <c r="BR16" s="3299"/>
      <c r="BS16" s="3299"/>
      <c r="BT16" s="3299"/>
      <c r="BU16" s="3299"/>
      <c r="BV16" s="3299"/>
      <c r="BW16" s="3299"/>
      <c r="BX16" s="3299"/>
      <c r="BY16" s="3299"/>
      <c r="BZ16" s="3299"/>
      <c r="CA16" s="3299"/>
      <c r="CB16" s="3299"/>
      <c r="CC16" s="3299"/>
    </row>
    <row r="17" spans="1:81">
      <c r="A17" s="3298"/>
      <c r="B17" s="3304" t="s">
        <v>516</v>
      </c>
      <c r="C17" s="3306" t="s">
        <v>2007</v>
      </c>
      <c r="D17" s="3321">
        <f>D55/D36</f>
        <v>7.7027869416885739</v>
      </c>
      <c r="E17" s="3321" t="e">
        <f t="shared" si="2"/>
        <v>#DIV/0!</v>
      </c>
      <c r="F17" s="3321" t="e">
        <f t="shared" si="2"/>
        <v>#DIV/0!</v>
      </c>
      <c r="G17" s="3321" t="e">
        <f t="shared" si="2"/>
        <v>#DIV/0!</v>
      </c>
      <c r="H17" s="3321" t="e">
        <f t="shared" si="2"/>
        <v>#DIV/0!</v>
      </c>
      <c r="I17" s="3321" t="e">
        <f t="shared" si="2"/>
        <v>#DIV/0!</v>
      </c>
      <c r="J17" s="3321" t="e">
        <f t="shared" si="2"/>
        <v>#DIV/0!</v>
      </c>
      <c r="K17" s="3321" t="e">
        <f t="shared" si="2"/>
        <v>#DIV/0!</v>
      </c>
      <c r="L17" s="3321" t="e">
        <f t="shared" si="2"/>
        <v>#DIV/0!</v>
      </c>
      <c r="M17" s="3321" t="e">
        <f t="shared" si="2"/>
        <v>#DIV/0!</v>
      </c>
      <c r="N17" s="3321" t="e">
        <f t="shared" si="2"/>
        <v>#DIV/0!</v>
      </c>
      <c r="O17" s="3321" t="e">
        <f t="shared" si="2"/>
        <v>#DIV/0!</v>
      </c>
      <c r="P17" s="3321" t="e">
        <f t="shared" si="2"/>
        <v>#DIV/0!</v>
      </c>
      <c r="Q17" s="3299"/>
      <c r="R17" s="3299"/>
      <c r="S17" s="3299"/>
      <c r="T17" s="3299"/>
      <c r="U17" s="3299"/>
      <c r="V17" s="3299"/>
      <c r="W17" s="3299"/>
      <c r="X17" s="3299"/>
      <c r="Y17" s="3299"/>
      <c r="Z17" s="3299"/>
      <c r="AA17" s="3299"/>
      <c r="AB17" s="3299"/>
      <c r="AC17" s="3299"/>
      <c r="AD17" s="3299"/>
      <c r="AE17" s="3299"/>
      <c r="AF17" s="3299"/>
      <c r="AG17" s="3299"/>
      <c r="AH17" s="3299"/>
      <c r="AI17" s="3299"/>
      <c r="AJ17" s="3299"/>
      <c r="AK17" s="3299"/>
      <c r="AL17" s="3299"/>
      <c r="AM17" s="3299"/>
      <c r="AN17" s="3299"/>
      <c r="AO17" s="3299"/>
      <c r="AP17" s="3299"/>
      <c r="AQ17" s="3299"/>
      <c r="AR17" s="3299"/>
      <c r="AS17" s="3299"/>
      <c r="AT17" s="3299"/>
      <c r="AU17" s="3299"/>
      <c r="AV17" s="3299"/>
      <c r="AW17" s="3299"/>
      <c r="AX17" s="3299"/>
      <c r="AY17" s="3299"/>
      <c r="AZ17" s="3299"/>
      <c r="BA17" s="3299"/>
      <c r="BB17" s="3299"/>
      <c r="BC17" s="3299"/>
      <c r="BD17" s="3299"/>
      <c r="BE17" s="3299"/>
      <c r="BF17" s="3299"/>
      <c r="BG17" s="3299"/>
      <c r="BH17" s="3299"/>
      <c r="BI17" s="3299"/>
      <c r="BJ17" s="3299"/>
      <c r="BK17" s="3299"/>
      <c r="BL17" s="3299"/>
      <c r="BM17" s="3299"/>
      <c r="BN17" s="3299"/>
      <c r="BO17" s="3299"/>
      <c r="BP17" s="3299"/>
      <c r="BQ17" s="3299"/>
      <c r="BR17" s="3299"/>
      <c r="BS17" s="3299"/>
      <c r="BT17" s="3299"/>
      <c r="BU17" s="3299"/>
      <c r="BV17" s="3299"/>
      <c r="BW17" s="3299"/>
      <c r="BX17" s="3299"/>
      <c r="BY17" s="3299"/>
      <c r="BZ17" s="3299"/>
      <c r="CA17" s="3299"/>
      <c r="CB17" s="3299"/>
      <c r="CC17" s="3299"/>
    </row>
    <row r="18" spans="1:81">
      <c r="A18" s="3298"/>
      <c r="B18" s="3304" t="s">
        <v>519</v>
      </c>
      <c r="C18" s="3306" t="s">
        <v>2007</v>
      </c>
      <c r="D18" s="3321">
        <f>D56/D37</f>
        <v>8.5189623029389683</v>
      </c>
      <c r="E18" s="3321" t="e">
        <f t="shared" si="2"/>
        <v>#DIV/0!</v>
      </c>
      <c r="F18" s="3321" t="e">
        <f t="shared" si="2"/>
        <v>#DIV/0!</v>
      </c>
      <c r="G18" s="3321" t="e">
        <f t="shared" si="2"/>
        <v>#DIV/0!</v>
      </c>
      <c r="H18" s="3321" t="e">
        <f t="shared" si="2"/>
        <v>#DIV/0!</v>
      </c>
      <c r="I18" s="3321" t="e">
        <f t="shared" si="2"/>
        <v>#DIV/0!</v>
      </c>
      <c r="J18" s="3321" t="e">
        <f t="shared" si="2"/>
        <v>#DIV/0!</v>
      </c>
      <c r="K18" s="3321" t="e">
        <f t="shared" si="2"/>
        <v>#DIV/0!</v>
      </c>
      <c r="L18" s="3321" t="e">
        <f t="shared" si="2"/>
        <v>#DIV/0!</v>
      </c>
      <c r="M18" s="3321" t="e">
        <f t="shared" si="2"/>
        <v>#DIV/0!</v>
      </c>
      <c r="N18" s="3321" t="e">
        <f t="shared" si="2"/>
        <v>#DIV/0!</v>
      </c>
      <c r="O18" s="3321" t="e">
        <f t="shared" si="2"/>
        <v>#DIV/0!</v>
      </c>
      <c r="P18" s="3321" t="e">
        <f t="shared" si="2"/>
        <v>#DIV/0!</v>
      </c>
      <c r="Q18" s="3299"/>
      <c r="R18" s="3299"/>
      <c r="S18" s="3299"/>
      <c r="T18" s="3299"/>
      <c r="U18" s="3299"/>
      <c r="V18" s="3299"/>
      <c r="W18" s="3299"/>
      <c r="X18" s="3299"/>
      <c r="Y18" s="3299"/>
      <c r="Z18" s="3299"/>
      <c r="AA18" s="3299"/>
      <c r="AB18" s="3299"/>
      <c r="AC18" s="3299"/>
      <c r="AD18" s="3299"/>
      <c r="AE18" s="3299"/>
      <c r="AF18" s="3299"/>
      <c r="AG18" s="3299"/>
      <c r="AH18" s="3299"/>
      <c r="AI18" s="3299"/>
      <c r="AJ18" s="3299"/>
      <c r="AK18" s="3299"/>
      <c r="AL18" s="3299"/>
      <c r="AM18" s="3299"/>
      <c r="AN18" s="3299"/>
      <c r="AO18" s="3299"/>
      <c r="AP18" s="3299"/>
      <c r="AQ18" s="3299"/>
      <c r="AR18" s="3299"/>
      <c r="AS18" s="3299"/>
      <c r="AT18" s="3299"/>
      <c r="AU18" s="3299"/>
      <c r="AV18" s="3299"/>
      <c r="AW18" s="3299"/>
      <c r="AX18" s="3299"/>
      <c r="AY18" s="3299"/>
      <c r="AZ18" s="3299"/>
      <c r="BA18" s="3299"/>
      <c r="BB18" s="3299"/>
      <c r="BC18" s="3299"/>
      <c r="BD18" s="3299"/>
      <c r="BE18" s="3299"/>
      <c r="BF18" s="3299"/>
      <c r="BG18" s="3299"/>
      <c r="BH18" s="3299"/>
      <c r="BI18" s="3299"/>
      <c r="BJ18" s="3299"/>
      <c r="BK18" s="3299"/>
      <c r="BL18" s="3299"/>
      <c r="BM18" s="3299"/>
      <c r="BN18" s="3299"/>
      <c r="BO18" s="3299"/>
      <c r="BP18" s="3299"/>
      <c r="BQ18" s="3299"/>
      <c r="BR18" s="3299"/>
      <c r="BS18" s="3299"/>
      <c r="BT18" s="3299"/>
      <c r="BU18" s="3299"/>
      <c r="BV18" s="3299"/>
      <c r="BW18" s="3299"/>
      <c r="BX18" s="3299"/>
      <c r="BY18" s="3299"/>
      <c r="BZ18" s="3299"/>
      <c r="CA18" s="3299"/>
      <c r="CB18" s="3299"/>
      <c r="CC18" s="3299"/>
    </row>
    <row r="19" spans="1:81">
      <c r="A19" s="3298"/>
      <c r="B19" s="3304" t="s">
        <v>3791</v>
      </c>
      <c r="C19" s="3306" t="s">
        <v>2007</v>
      </c>
      <c r="D19" s="3321">
        <f>D57/D38</f>
        <v>10.327212196690352</v>
      </c>
      <c r="E19" s="3321" t="e">
        <f t="shared" si="2"/>
        <v>#DIV/0!</v>
      </c>
      <c r="F19" s="3321" t="e">
        <f t="shared" si="2"/>
        <v>#DIV/0!</v>
      </c>
      <c r="G19" s="3321" t="e">
        <f t="shared" si="2"/>
        <v>#DIV/0!</v>
      </c>
      <c r="H19" s="3321" t="e">
        <f t="shared" si="2"/>
        <v>#DIV/0!</v>
      </c>
      <c r="I19" s="3321" t="e">
        <f t="shared" si="2"/>
        <v>#DIV/0!</v>
      </c>
      <c r="J19" s="3321" t="e">
        <f t="shared" si="2"/>
        <v>#DIV/0!</v>
      </c>
      <c r="K19" s="3321" t="e">
        <f t="shared" si="2"/>
        <v>#DIV/0!</v>
      </c>
      <c r="L19" s="3321" t="e">
        <f t="shared" si="2"/>
        <v>#DIV/0!</v>
      </c>
      <c r="M19" s="3321" t="e">
        <f t="shared" si="2"/>
        <v>#DIV/0!</v>
      </c>
      <c r="N19" s="3321" t="e">
        <f t="shared" si="2"/>
        <v>#DIV/0!</v>
      </c>
      <c r="O19" s="3321" t="e">
        <f t="shared" si="2"/>
        <v>#DIV/0!</v>
      </c>
      <c r="P19" s="3321" t="e">
        <f t="shared" si="2"/>
        <v>#DIV/0!</v>
      </c>
      <c r="Q19" s="3299"/>
      <c r="R19" s="3299"/>
      <c r="S19" s="3299"/>
      <c r="T19" s="3299"/>
      <c r="U19" s="3299"/>
      <c r="V19" s="3299"/>
      <c r="W19" s="3299"/>
      <c r="X19" s="3299"/>
      <c r="Y19" s="3299"/>
      <c r="Z19" s="3299"/>
      <c r="AA19" s="3299"/>
      <c r="AB19" s="3299"/>
      <c r="AC19" s="3299"/>
      <c r="AD19" s="3299"/>
      <c r="AE19" s="3299"/>
      <c r="AF19" s="3299"/>
      <c r="AG19" s="3299"/>
      <c r="AH19" s="3299"/>
      <c r="AI19" s="3299"/>
      <c r="AJ19" s="3299"/>
      <c r="AK19" s="3299"/>
      <c r="AL19" s="3299"/>
      <c r="AM19" s="3299"/>
      <c r="AN19" s="3299"/>
      <c r="AO19" s="3299"/>
      <c r="AP19" s="3299"/>
      <c r="AQ19" s="3299"/>
      <c r="AR19" s="3299"/>
      <c r="AS19" s="3299"/>
      <c r="AT19" s="3299"/>
      <c r="AU19" s="3299"/>
      <c r="AV19" s="3299"/>
      <c r="AW19" s="3299"/>
      <c r="AX19" s="3299"/>
      <c r="AY19" s="3299"/>
      <c r="AZ19" s="3299"/>
      <c r="BA19" s="3299"/>
      <c r="BB19" s="3299"/>
      <c r="BC19" s="3299"/>
      <c r="BD19" s="3299"/>
      <c r="BE19" s="3299"/>
      <c r="BF19" s="3299"/>
      <c r="BG19" s="3299"/>
      <c r="BH19" s="3299"/>
      <c r="BI19" s="3299"/>
      <c r="BJ19" s="3299"/>
      <c r="BK19" s="3299"/>
      <c r="BL19" s="3299"/>
      <c r="BM19" s="3299"/>
      <c r="BN19" s="3299"/>
      <c r="BO19" s="3299"/>
      <c r="BP19" s="3299"/>
      <c r="BQ19" s="3299"/>
      <c r="BR19" s="3299"/>
      <c r="BS19" s="3299"/>
      <c r="BT19" s="3299"/>
      <c r="BU19" s="3299"/>
      <c r="BV19" s="3299"/>
      <c r="BW19" s="3299"/>
      <c r="BX19" s="3299"/>
      <c r="BY19" s="3299"/>
      <c r="BZ19" s="3299"/>
      <c r="CA19" s="3299"/>
      <c r="CB19" s="3299"/>
      <c r="CC19" s="3299"/>
    </row>
    <row r="20" spans="1:81">
      <c r="A20" s="3298"/>
      <c r="B20" s="3304" t="s">
        <v>521</v>
      </c>
      <c r="C20" s="3306" t="s">
        <v>2007</v>
      </c>
      <c r="D20" s="3321">
        <f>D58/D39</f>
        <v>9.5550725971152275</v>
      </c>
      <c r="E20" s="3321" t="e">
        <f t="shared" si="2"/>
        <v>#DIV/0!</v>
      </c>
      <c r="F20" s="3321" t="e">
        <f t="shared" si="2"/>
        <v>#DIV/0!</v>
      </c>
      <c r="G20" s="3321" t="e">
        <f t="shared" si="2"/>
        <v>#DIV/0!</v>
      </c>
      <c r="H20" s="3321" t="e">
        <f t="shared" si="2"/>
        <v>#DIV/0!</v>
      </c>
      <c r="I20" s="3321" t="e">
        <f t="shared" si="2"/>
        <v>#DIV/0!</v>
      </c>
      <c r="J20" s="3321" t="e">
        <f t="shared" si="2"/>
        <v>#DIV/0!</v>
      </c>
      <c r="K20" s="3321" t="e">
        <f t="shared" si="2"/>
        <v>#DIV/0!</v>
      </c>
      <c r="L20" s="3321" t="e">
        <f t="shared" si="2"/>
        <v>#DIV/0!</v>
      </c>
      <c r="M20" s="3321" t="e">
        <f t="shared" si="2"/>
        <v>#DIV/0!</v>
      </c>
      <c r="N20" s="3321" t="e">
        <f t="shared" si="2"/>
        <v>#DIV/0!</v>
      </c>
      <c r="O20" s="3321" t="e">
        <f t="shared" si="2"/>
        <v>#DIV/0!</v>
      </c>
      <c r="P20" s="3321" t="e">
        <f t="shared" si="2"/>
        <v>#DIV/0!</v>
      </c>
      <c r="Q20" s="3299"/>
      <c r="R20" s="3299"/>
      <c r="S20" s="3299"/>
      <c r="T20" s="3299"/>
      <c r="U20" s="3299"/>
      <c r="V20" s="3299"/>
      <c r="W20" s="3299"/>
      <c r="X20" s="3299"/>
      <c r="Y20" s="3299"/>
      <c r="Z20" s="3299"/>
      <c r="AA20" s="3299"/>
      <c r="AB20" s="3299"/>
      <c r="AC20" s="3299"/>
      <c r="AD20" s="3299"/>
      <c r="AE20" s="3299"/>
      <c r="AF20" s="3299"/>
      <c r="AG20" s="3299"/>
      <c r="AH20" s="3299"/>
      <c r="AI20" s="3299"/>
      <c r="AJ20" s="3299"/>
      <c r="AK20" s="3299"/>
      <c r="AL20" s="3299"/>
      <c r="AM20" s="3299"/>
      <c r="AN20" s="3299"/>
      <c r="AO20" s="3299"/>
      <c r="AP20" s="3299"/>
      <c r="AQ20" s="3299"/>
      <c r="AR20" s="3299"/>
      <c r="AS20" s="3299"/>
      <c r="AT20" s="3299"/>
      <c r="AU20" s="3299"/>
      <c r="AV20" s="3299"/>
      <c r="AW20" s="3299"/>
      <c r="AX20" s="3299"/>
      <c r="AY20" s="3299"/>
      <c r="AZ20" s="3299"/>
      <c r="BA20" s="3299"/>
      <c r="BB20" s="3299"/>
      <c r="BC20" s="3299"/>
      <c r="BD20" s="3299"/>
      <c r="BE20" s="3299"/>
      <c r="BF20" s="3299"/>
      <c r="BG20" s="3299"/>
      <c r="BH20" s="3299"/>
      <c r="BI20" s="3299"/>
      <c r="BJ20" s="3299"/>
      <c r="BK20" s="3299"/>
      <c r="BL20" s="3299"/>
      <c r="BM20" s="3299"/>
      <c r="BN20" s="3299"/>
      <c r="BO20" s="3299"/>
      <c r="BP20" s="3299"/>
      <c r="BQ20" s="3299"/>
      <c r="BR20" s="3299"/>
      <c r="BS20" s="3299"/>
      <c r="BT20" s="3299"/>
      <c r="BU20" s="3299"/>
      <c r="BV20" s="3299"/>
      <c r="BW20" s="3299"/>
      <c r="BX20" s="3299"/>
      <c r="BY20" s="3299"/>
      <c r="BZ20" s="3299"/>
      <c r="CA20" s="3299"/>
      <c r="CB20" s="3299"/>
      <c r="CC20" s="3299"/>
    </row>
    <row r="21" spans="1:81">
      <c r="A21" s="3298"/>
      <c r="B21" s="3304" t="s">
        <v>3792</v>
      </c>
      <c r="C21" s="3306" t="s">
        <v>2007</v>
      </c>
      <c r="D21" s="3321">
        <f>D59/D40</f>
        <v>9.451556996855615</v>
      </c>
      <c r="E21" s="3321" t="e">
        <f t="shared" si="2"/>
        <v>#DIV/0!</v>
      </c>
      <c r="F21" s="3321" t="e">
        <f t="shared" si="2"/>
        <v>#DIV/0!</v>
      </c>
      <c r="G21" s="3321" t="e">
        <f t="shared" si="2"/>
        <v>#DIV/0!</v>
      </c>
      <c r="H21" s="3321" t="e">
        <f t="shared" si="2"/>
        <v>#DIV/0!</v>
      </c>
      <c r="I21" s="3321" t="e">
        <f t="shared" si="2"/>
        <v>#DIV/0!</v>
      </c>
      <c r="J21" s="3321" t="e">
        <f t="shared" si="2"/>
        <v>#DIV/0!</v>
      </c>
      <c r="K21" s="3321" t="e">
        <f t="shared" si="2"/>
        <v>#DIV/0!</v>
      </c>
      <c r="L21" s="3321" t="e">
        <f t="shared" si="2"/>
        <v>#DIV/0!</v>
      </c>
      <c r="M21" s="3321" t="e">
        <f t="shared" si="2"/>
        <v>#DIV/0!</v>
      </c>
      <c r="N21" s="3321" t="e">
        <f t="shared" si="2"/>
        <v>#DIV/0!</v>
      </c>
      <c r="O21" s="3321" t="e">
        <f t="shared" si="2"/>
        <v>#DIV/0!</v>
      </c>
      <c r="P21" s="3321" t="e">
        <f t="shared" si="2"/>
        <v>#DIV/0!</v>
      </c>
      <c r="Q21" s="3299"/>
      <c r="R21" s="3299"/>
      <c r="S21" s="3299"/>
      <c r="T21" s="3299"/>
      <c r="U21" s="3299"/>
      <c r="V21" s="3299"/>
      <c r="W21" s="3299"/>
      <c r="X21" s="3299"/>
      <c r="Y21" s="3299"/>
      <c r="Z21" s="3299"/>
      <c r="AA21" s="3299"/>
      <c r="AB21" s="3299"/>
      <c r="AC21" s="3299"/>
      <c r="AD21" s="3299"/>
      <c r="AE21" s="3299"/>
      <c r="AF21" s="3299"/>
      <c r="AG21" s="3299"/>
      <c r="AH21" s="3299"/>
      <c r="AI21" s="3299"/>
      <c r="AJ21" s="3299"/>
      <c r="AK21" s="3299"/>
      <c r="AL21" s="3299"/>
      <c r="AM21" s="3299"/>
      <c r="AN21" s="3299"/>
      <c r="AO21" s="3299"/>
      <c r="AP21" s="3299"/>
      <c r="AQ21" s="3299"/>
      <c r="AR21" s="3299"/>
      <c r="AS21" s="3299"/>
      <c r="AT21" s="3299"/>
      <c r="AU21" s="3299"/>
      <c r="AV21" s="3299"/>
      <c r="AW21" s="3299"/>
      <c r="AX21" s="3299"/>
      <c r="AY21" s="3299"/>
      <c r="AZ21" s="3299"/>
      <c r="BA21" s="3299"/>
      <c r="BB21" s="3299"/>
      <c r="BC21" s="3299"/>
      <c r="BD21" s="3299"/>
      <c r="BE21" s="3299"/>
      <c r="BF21" s="3299"/>
      <c r="BG21" s="3299"/>
      <c r="BH21" s="3299"/>
      <c r="BI21" s="3299"/>
      <c r="BJ21" s="3299"/>
      <c r="BK21" s="3299"/>
      <c r="BL21" s="3299"/>
      <c r="BM21" s="3299"/>
      <c r="BN21" s="3299"/>
      <c r="BO21" s="3299"/>
      <c r="BP21" s="3299"/>
      <c r="BQ21" s="3299"/>
      <c r="BR21" s="3299"/>
      <c r="BS21" s="3299"/>
      <c r="BT21" s="3299"/>
      <c r="BU21" s="3299"/>
      <c r="BV21" s="3299"/>
      <c r="BW21" s="3299"/>
      <c r="BX21" s="3299"/>
      <c r="BY21" s="3299"/>
      <c r="BZ21" s="3299"/>
      <c r="CA21" s="3299"/>
      <c r="CB21" s="3299"/>
      <c r="CC21" s="3299"/>
    </row>
    <row r="22" spans="1:81">
      <c r="A22" s="3298" t="s">
        <v>2011</v>
      </c>
      <c r="B22" s="3320" t="s">
        <v>158</v>
      </c>
      <c r="C22" s="3306" t="s">
        <v>2007</v>
      </c>
      <c r="D22" s="3321">
        <f t="shared" ref="D22:P27" si="3">D60/D41</f>
        <v>8.4619175334187524</v>
      </c>
      <c r="E22" s="3321" t="e">
        <f t="shared" si="3"/>
        <v>#DIV/0!</v>
      </c>
      <c r="F22" s="3321" t="e">
        <f t="shared" si="3"/>
        <v>#DIV/0!</v>
      </c>
      <c r="G22" s="3321" t="e">
        <f t="shared" si="3"/>
        <v>#DIV/0!</v>
      </c>
      <c r="H22" s="3321" t="e">
        <f t="shared" si="3"/>
        <v>#DIV/0!</v>
      </c>
      <c r="I22" s="3321" t="e">
        <f t="shared" si="3"/>
        <v>#DIV/0!</v>
      </c>
      <c r="J22" s="3321" t="e">
        <f t="shared" si="3"/>
        <v>#DIV/0!</v>
      </c>
      <c r="K22" s="3321" t="e">
        <f t="shared" si="3"/>
        <v>#DIV/0!</v>
      </c>
      <c r="L22" s="3321" t="e">
        <f t="shared" si="3"/>
        <v>#DIV/0!</v>
      </c>
      <c r="M22" s="3321" t="e">
        <f t="shared" si="3"/>
        <v>#DIV/0!</v>
      </c>
      <c r="N22" s="3321" t="e">
        <f t="shared" si="3"/>
        <v>#DIV/0!</v>
      </c>
      <c r="O22" s="3321" t="e">
        <f t="shared" si="3"/>
        <v>#DIV/0!</v>
      </c>
      <c r="P22" s="3321" t="e">
        <f t="shared" si="3"/>
        <v>#DIV/0!</v>
      </c>
      <c r="Q22" s="3299"/>
      <c r="R22" s="3299"/>
      <c r="S22" s="3299"/>
      <c r="T22" s="3299"/>
      <c r="U22" s="3299"/>
      <c r="V22" s="3299"/>
      <c r="W22" s="3299"/>
      <c r="X22" s="3299"/>
      <c r="Y22" s="3299"/>
      <c r="Z22" s="3299"/>
      <c r="AA22" s="3299"/>
      <c r="AB22" s="3299"/>
      <c r="AC22" s="3299"/>
      <c r="AD22" s="3299"/>
      <c r="AE22" s="3299"/>
      <c r="AF22" s="3299"/>
      <c r="AG22" s="3299"/>
      <c r="AH22" s="3299"/>
      <c r="AI22" s="3299"/>
      <c r="AJ22" s="3299"/>
      <c r="AK22" s="3299"/>
      <c r="AL22" s="3299"/>
      <c r="AM22" s="3299"/>
      <c r="AN22" s="3299"/>
      <c r="AO22" s="3299"/>
      <c r="AP22" s="3299"/>
      <c r="AQ22" s="3299"/>
      <c r="AR22" s="3299"/>
      <c r="AS22" s="3299"/>
      <c r="AT22" s="3299"/>
      <c r="AU22" s="3299"/>
      <c r="AV22" s="3299"/>
      <c r="AW22" s="3299"/>
      <c r="AX22" s="3299"/>
      <c r="AY22" s="3299"/>
      <c r="AZ22" s="3299"/>
      <c r="BA22" s="3299"/>
      <c r="BB22" s="3299"/>
      <c r="BC22" s="3299"/>
      <c r="BD22" s="3299"/>
      <c r="BE22" s="3299"/>
      <c r="BF22" s="3299"/>
      <c r="BG22" s="3299"/>
      <c r="BH22" s="3299"/>
      <c r="BI22" s="3299"/>
      <c r="BJ22" s="3299"/>
      <c r="BK22" s="3299"/>
      <c r="BL22" s="3299"/>
      <c r="BM22" s="3299"/>
      <c r="BN22" s="3299"/>
      <c r="BO22" s="3299"/>
      <c r="BP22" s="3299"/>
      <c r="BQ22" s="3299"/>
      <c r="BR22" s="3299"/>
      <c r="BS22" s="3299"/>
      <c r="BT22" s="3299"/>
      <c r="BU22" s="3299"/>
      <c r="BV22" s="3299"/>
      <c r="BW22" s="3299"/>
      <c r="BX22" s="3299"/>
      <c r="BY22" s="3299"/>
      <c r="BZ22" s="3299"/>
      <c r="CA22" s="3299"/>
      <c r="CB22" s="3299"/>
      <c r="CC22" s="3299"/>
    </row>
    <row r="23" spans="1:81">
      <c r="A23" s="3298"/>
      <c r="B23" s="3304" t="s">
        <v>516</v>
      </c>
      <c r="C23" s="3306" t="s">
        <v>2007</v>
      </c>
      <c r="D23" s="3321">
        <f>D61/D42</f>
        <v>8.4619175334187524</v>
      </c>
      <c r="E23" s="3321" t="e">
        <f t="shared" si="3"/>
        <v>#DIV/0!</v>
      </c>
      <c r="F23" s="3321" t="e">
        <f t="shared" si="3"/>
        <v>#DIV/0!</v>
      </c>
      <c r="G23" s="3321" t="e">
        <f t="shared" si="3"/>
        <v>#DIV/0!</v>
      </c>
      <c r="H23" s="3321" t="e">
        <f t="shared" si="3"/>
        <v>#DIV/0!</v>
      </c>
      <c r="I23" s="3321" t="e">
        <f t="shared" si="3"/>
        <v>#DIV/0!</v>
      </c>
      <c r="J23" s="3321" t="e">
        <f t="shared" si="3"/>
        <v>#DIV/0!</v>
      </c>
      <c r="K23" s="3321" t="e">
        <f t="shared" si="3"/>
        <v>#DIV/0!</v>
      </c>
      <c r="L23" s="3321" t="e">
        <f t="shared" si="3"/>
        <v>#DIV/0!</v>
      </c>
      <c r="M23" s="3321" t="e">
        <f t="shared" si="3"/>
        <v>#DIV/0!</v>
      </c>
      <c r="N23" s="3321" t="e">
        <f t="shared" si="3"/>
        <v>#DIV/0!</v>
      </c>
      <c r="O23" s="3321" t="e">
        <f t="shared" si="3"/>
        <v>#DIV/0!</v>
      </c>
      <c r="P23" s="3321" t="e">
        <f t="shared" si="3"/>
        <v>#DIV/0!</v>
      </c>
      <c r="Q23" s="3299"/>
      <c r="R23" s="3299"/>
      <c r="S23" s="3299"/>
      <c r="T23" s="3299"/>
      <c r="U23" s="3299"/>
      <c r="V23" s="3299"/>
      <c r="W23" s="3299"/>
      <c r="X23" s="3299"/>
      <c r="Y23" s="3299"/>
      <c r="Z23" s="3299"/>
      <c r="AA23" s="3299"/>
      <c r="AB23" s="3299"/>
      <c r="AC23" s="3299"/>
      <c r="AD23" s="3299"/>
      <c r="AE23" s="3299"/>
      <c r="AF23" s="3299"/>
      <c r="AG23" s="3299"/>
      <c r="AH23" s="3299"/>
      <c r="AI23" s="3299"/>
      <c r="AJ23" s="3299"/>
      <c r="AK23" s="3299"/>
      <c r="AL23" s="3299"/>
      <c r="AM23" s="3299"/>
      <c r="AN23" s="3299"/>
      <c r="AO23" s="3299"/>
      <c r="AP23" s="3299"/>
      <c r="AQ23" s="3299"/>
      <c r="AR23" s="3299"/>
      <c r="AS23" s="3299"/>
      <c r="AT23" s="3299"/>
      <c r="AU23" s="3299"/>
      <c r="AV23" s="3299"/>
      <c r="AW23" s="3299"/>
      <c r="AX23" s="3299"/>
      <c r="AY23" s="3299"/>
      <c r="AZ23" s="3299"/>
      <c r="BA23" s="3299"/>
      <c r="BB23" s="3299"/>
      <c r="BC23" s="3299"/>
      <c r="BD23" s="3299"/>
      <c r="BE23" s="3299"/>
      <c r="BF23" s="3299"/>
      <c r="BG23" s="3299"/>
      <c r="BH23" s="3299"/>
      <c r="BI23" s="3299"/>
      <c r="BJ23" s="3299"/>
      <c r="BK23" s="3299"/>
      <c r="BL23" s="3299"/>
      <c r="BM23" s="3299"/>
      <c r="BN23" s="3299"/>
      <c r="BO23" s="3299"/>
      <c r="BP23" s="3299"/>
      <c r="BQ23" s="3299"/>
      <c r="BR23" s="3299"/>
      <c r="BS23" s="3299"/>
      <c r="BT23" s="3299"/>
      <c r="BU23" s="3299"/>
      <c r="BV23" s="3299"/>
      <c r="BW23" s="3299"/>
      <c r="BX23" s="3299"/>
      <c r="BY23" s="3299"/>
      <c r="BZ23" s="3299"/>
      <c r="CA23" s="3299"/>
      <c r="CB23" s="3299"/>
      <c r="CC23" s="3299"/>
    </row>
    <row r="24" spans="1:81">
      <c r="A24" s="3298"/>
      <c r="B24" s="3304" t="s">
        <v>519</v>
      </c>
      <c r="C24" s="3306" t="s">
        <v>2007</v>
      </c>
      <c r="D24" s="3321">
        <v>0</v>
      </c>
      <c r="E24" s="3321" t="e">
        <f t="shared" si="3"/>
        <v>#DIV/0!</v>
      </c>
      <c r="F24" s="3321" t="e">
        <f t="shared" si="3"/>
        <v>#DIV/0!</v>
      </c>
      <c r="G24" s="3321" t="e">
        <f t="shared" si="3"/>
        <v>#DIV/0!</v>
      </c>
      <c r="H24" s="3321" t="e">
        <f t="shared" si="3"/>
        <v>#DIV/0!</v>
      </c>
      <c r="I24" s="3321" t="e">
        <f t="shared" si="3"/>
        <v>#DIV/0!</v>
      </c>
      <c r="J24" s="3321" t="e">
        <f t="shared" si="3"/>
        <v>#DIV/0!</v>
      </c>
      <c r="K24" s="3321" t="e">
        <f t="shared" si="3"/>
        <v>#DIV/0!</v>
      </c>
      <c r="L24" s="3321" t="e">
        <f t="shared" si="3"/>
        <v>#DIV/0!</v>
      </c>
      <c r="M24" s="3321" t="e">
        <f t="shared" si="3"/>
        <v>#DIV/0!</v>
      </c>
      <c r="N24" s="3321" t="e">
        <f t="shared" si="3"/>
        <v>#DIV/0!</v>
      </c>
      <c r="O24" s="3321" t="e">
        <f t="shared" si="3"/>
        <v>#DIV/0!</v>
      </c>
      <c r="P24" s="3321" t="e">
        <f t="shared" si="3"/>
        <v>#DIV/0!</v>
      </c>
      <c r="Q24" s="3299"/>
      <c r="R24" s="3299"/>
      <c r="S24" s="3299"/>
      <c r="T24" s="3299"/>
      <c r="U24" s="3299"/>
      <c r="V24" s="3299"/>
      <c r="W24" s="3299"/>
      <c r="X24" s="3299"/>
      <c r="Y24" s="3299"/>
      <c r="Z24" s="3299"/>
      <c r="AA24" s="3299"/>
      <c r="AB24" s="3299"/>
      <c r="AC24" s="3299"/>
      <c r="AD24" s="3299"/>
      <c r="AE24" s="3299"/>
      <c r="AF24" s="3299"/>
      <c r="AG24" s="3299"/>
      <c r="AH24" s="3299"/>
      <c r="AI24" s="3299"/>
      <c r="AJ24" s="3299"/>
      <c r="AK24" s="3299"/>
      <c r="AL24" s="3299"/>
      <c r="AM24" s="3299"/>
      <c r="AN24" s="3299"/>
      <c r="AO24" s="3299"/>
      <c r="AP24" s="3299"/>
      <c r="AQ24" s="3299"/>
      <c r="AR24" s="3299"/>
      <c r="AS24" s="3299"/>
      <c r="AT24" s="3299"/>
      <c r="AU24" s="3299"/>
      <c r="AV24" s="3299"/>
      <c r="AW24" s="3299"/>
      <c r="AX24" s="3299"/>
      <c r="AY24" s="3299"/>
      <c r="AZ24" s="3299"/>
      <c r="BA24" s="3299"/>
      <c r="BB24" s="3299"/>
      <c r="BC24" s="3299"/>
      <c r="BD24" s="3299"/>
      <c r="BE24" s="3299"/>
      <c r="BF24" s="3299"/>
      <c r="BG24" s="3299"/>
      <c r="BH24" s="3299"/>
      <c r="BI24" s="3299"/>
      <c r="BJ24" s="3299"/>
      <c r="BK24" s="3299"/>
      <c r="BL24" s="3299"/>
      <c r="BM24" s="3299"/>
      <c r="BN24" s="3299"/>
      <c r="BO24" s="3299"/>
      <c r="BP24" s="3299"/>
      <c r="BQ24" s="3299"/>
      <c r="BR24" s="3299"/>
      <c r="BS24" s="3299"/>
      <c r="BT24" s="3299"/>
      <c r="BU24" s="3299"/>
      <c r="BV24" s="3299"/>
      <c r="BW24" s="3299"/>
      <c r="BX24" s="3299"/>
      <c r="BY24" s="3299"/>
      <c r="BZ24" s="3299"/>
      <c r="CA24" s="3299"/>
      <c r="CB24" s="3299"/>
      <c r="CC24" s="3299"/>
    </row>
    <row r="25" spans="1:81">
      <c r="A25" s="3298"/>
      <c r="B25" s="3304" t="s">
        <v>3791</v>
      </c>
      <c r="C25" s="3306" t="s">
        <v>2007</v>
      </c>
      <c r="D25" s="3321">
        <v>0</v>
      </c>
      <c r="E25" s="3321" t="e">
        <f t="shared" si="3"/>
        <v>#DIV/0!</v>
      </c>
      <c r="F25" s="3321" t="e">
        <f t="shared" si="3"/>
        <v>#DIV/0!</v>
      </c>
      <c r="G25" s="3321" t="e">
        <f t="shared" si="3"/>
        <v>#DIV/0!</v>
      </c>
      <c r="H25" s="3321" t="e">
        <f t="shared" si="3"/>
        <v>#DIV/0!</v>
      </c>
      <c r="I25" s="3321" t="e">
        <f t="shared" si="3"/>
        <v>#DIV/0!</v>
      </c>
      <c r="J25" s="3321" t="e">
        <f t="shared" si="3"/>
        <v>#DIV/0!</v>
      </c>
      <c r="K25" s="3321" t="e">
        <f t="shared" si="3"/>
        <v>#DIV/0!</v>
      </c>
      <c r="L25" s="3321" t="e">
        <f t="shared" si="3"/>
        <v>#DIV/0!</v>
      </c>
      <c r="M25" s="3321" t="e">
        <f t="shared" si="3"/>
        <v>#DIV/0!</v>
      </c>
      <c r="N25" s="3321" t="e">
        <f t="shared" si="3"/>
        <v>#DIV/0!</v>
      </c>
      <c r="O25" s="3321" t="e">
        <f t="shared" si="3"/>
        <v>#DIV/0!</v>
      </c>
      <c r="P25" s="3321" t="e">
        <f t="shared" si="3"/>
        <v>#DIV/0!</v>
      </c>
      <c r="Q25" s="3299"/>
      <c r="R25" s="3299"/>
      <c r="S25" s="3299"/>
      <c r="T25" s="3299"/>
      <c r="U25" s="3299"/>
      <c r="V25" s="3299"/>
      <c r="W25" s="3299"/>
      <c r="X25" s="3299"/>
      <c r="Y25" s="3299"/>
      <c r="Z25" s="3299"/>
      <c r="AA25" s="3299"/>
      <c r="AB25" s="3299"/>
      <c r="AC25" s="3299"/>
      <c r="AD25" s="3299"/>
      <c r="AE25" s="3299"/>
      <c r="AF25" s="3299"/>
      <c r="AG25" s="3299"/>
      <c r="AH25" s="3299"/>
      <c r="AI25" s="3299"/>
      <c r="AJ25" s="3299"/>
      <c r="AK25" s="3299"/>
      <c r="AL25" s="3299"/>
      <c r="AM25" s="3299"/>
      <c r="AN25" s="3299"/>
      <c r="AO25" s="3299"/>
      <c r="AP25" s="3299"/>
      <c r="AQ25" s="3299"/>
      <c r="AR25" s="3299"/>
      <c r="AS25" s="3299"/>
      <c r="AT25" s="3299"/>
      <c r="AU25" s="3299"/>
      <c r="AV25" s="3299"/>
      <c r="AW25" s="3299"/>
      <c r="AX25" s="3299"/>
      <c r="AY25" s="3299"/>
      <c r="AZ25" s="3299"/>
      <c r="BA25" s="3299"/>
      <c r="BB25" s="3299"/>
      <c r="BC25" s="3299"/>
      <c r="BD25" s="3299"/>
      <c r="BE25" s="3299"/>
      <c r="BF25" s="3299"/>
      <c r="BG25" s="3299"/>
      <c r="BH25" s="3299"/>
      <c r="BI25" s="3299"/>
      <c r="BJ25" s="3299"/>
      <c r="BK25" s="3299"/>
      <c r="BL25" s="3299"/>
      <c r="BM25" s="3299"/>
      <c r="BN25" s="3299"/>
      <c r="BO25" s="3299"/>
      <c r="BP25" s="3299"/>
      <c r="BQ25" s="3299"/>
      <c r="BR25" s="3299"/>
      <c r="BS25" s="3299"/>
      <c r="BT25" s="3299"/>
      <c r="BU25" s="3299"/>
      <c r="BV25" s="3299"/>
      <c r="BW25" s="3299"/>
      <c r="BX25" s="3299"/>
      <c r="BY25" s="3299"/>
      <c r="BZ25" s="3299"/>
      <c r="CA25" s="3299"/>
      <c r="CB25" s="3299"/>
      <c r="CC25" s="3299"/>
    </row>
    <row r="26" spans="1:81">
      <c r="A26" s="3298"/>
      <c r="B26" s="3304" t="s">
        <v>521</v>
      </c>
      <c r="C26" s="3306" t="s">
        <v>2007</v>
      </c>
      <c r="D26" s="3321">
        <v>0</v>
      </c>
      <c r="E26" s="3321" t="e">
        <f t="shared" si="3"/>
        <v>#DIV/0!</v>
      </c>
      <c r="F26" s="3321" t="e">
        <f t="shared" si="3"/>
        <v>#DIV/0!</v>
      </c>
      <c r="G26" s="3321" t="e">
        <f t="shared" si="3"/>
        <v>#DIV/0!</v>
      </c>
      <c r="H26" s="3321" t="e">
        <f t="shared" si="3"/>
        <v>#DIV/0!</v>
      </c>
      <c r="I26" s="3321" t="e">
        <f t="shared" si="3"/>
        <v>#DIV/0!</v>
      </c>
      <c r="J26" s="3321" t="e">
        <f t="shared" si="3"/>
        <v>#DIV/0!</v>
      </c>
      <c r="K26" s="3321" t="e">
        <f t="shared" si="3"/>
        <v>#DIV/0!</v>
      </c>
      <c r="L26" s="3321" t="e">
        <f t="shared" si="3"/>
        <v>#DIV/0!</v>
      </c>
      <c r="M26" s="3321" t="e">
        <f t="shared" si="3"/>
        <v>#DIV/0!</v>
      </c>
      <c r="N26" s="3321" t="e">
        <f t="shared" si="3"/>
        <v>#DIV/0!</v>
      </c>
      <c r="O26" s="3321" t="e">
        <f t="shared" si="3"/>
        <v>#DIV/0!</v>
      </c>
      <c r="P26" s="3321" t="e">
        <f t="shared" si="3"/>
        <v>#DIV/0!</v>
      </c>
      <c r="Q26" s="3299"/>
      <c r="R26" s="3299"/>
      <c r="S26" s="3299"/>
      <c r="T26" s="3299"/>
      <c r="U26" s="3299"/>
      <c r="V26" s="3299"/>
      <c r="W26" s="3299"/>
      <c r="X26" s="3299"/>
      <c r="Y26" s="3299"/>
      <c r="Z26" s="3299"/>
      <c r="AA26" s="3299"/>
      <c r="AB26" s="3299"/>
      <c r="AC26" s="3299"/>
      <c r="AD26" s="3299"/>
      <c r="AE26" s="3299"/>
      <c r="AF26" s="3299"/>
      <c r="AG26" s="3299"/>
      <c r="AH26" s="3299"/>
      <c r="AI26" s="3299"/>
      <c r="AJ26" s="3299"/>
      <c r="AK26" s="3299"/>
      <c r="AL26" s="3299"/>
      <c r="AM26" s="3299"/>
      <c r="AN26" s="3299"/>
      <c r="AO26" s="3299"/>
      <c r="AP26" s="3299"/>
      <c r="AQ26" s="3299"/>
      <c r="AR26" s="3299"/>
      <c r="AS26" s="3299"/>
      <c r="AT26" s="3299"/>
      <c r="AU26" s="3299"/>
      <c r="AV26" s="3299"/>
      <c r="AW26" s="3299"/>
      <c r="AX26" s="3299"/>
      <c r="AY26" s="3299"/>
      <c r="AZ26" s="3299"/>
      <c r="BA26" s="3299"/>
      <c r="BB26" s="3299"/>
      <c r="BC26" s="3299"/>
      <c r="BD26" s="3299"/>
      <c r="BE26" s="3299"/>
      <c r="BF26" s="3299"/>
      <c r="BG26" s="3299"/>
      <c r="BH26" s="3299"/>
      <c r="BI26" s="3299"/>
      <c r="BJ26" s="3299"/>
      <c r="BK26" s="3299"/>
      <c r="BL26" s="3299"/>
      <c r="BM26" s="3299"/>
      <c r="BN26" s="3299"/>
      <c r="BO26" s="3299"/>
      <c r="BP26" s="3299"/>
      <c r="BQ26" s="3299"/>
      <c r="BR26" s="3299"/>
      <c r="BS26" s="3299"/>
      <c r="BT26" s="3299"/>
      <c r="BU26" s="3299"/>
      <c r="BV26" s="3299"/>
      <c r="BW26" s="3299"/>
      <c r="BX26" s="3299"/>
      <c r="BY26" s="3299"/>
      <c r="BZ26" s="3299"/>
      <c r="CA26" s="3299"/>
      <c r="CB26" s="3299"/>
      <c r="CC26" s="3299"/>
    </row>
    <row r="27" spans="1:81">
      <c r="A27" s="3298"/>
      <c r="B27" s="3304" t="s">
        <v>1322</v>
      </c>
      <c r="C27" s="3306" t="s">
        <v>2007</v>
      </c>
      <c r="D27" s="3321">
        <v>0</v>
      </c>
      <c r="E27" s="3321" t="e">
        <f t="shared" si="3"/>
        <v>#DIV/0!</v>
      </c>
      <c r="F27" s="3321" t="e">
        <f t="shared" si="3"/>
        <v>#DIV/0!</v>
      </c>
      <c r="G27" s="3321" t="e">
        <f t="shared" si="3"/>
        <v>#DIV/0!</v>
      </c>
      <c r="H27" s="3321" t="e">
        <f t="shared" si="3"/>
        <v>#DIV/0!</v>
      </c>
      <c r="I27" s="3321" t="e">
        <f t="shared" si="3"/>
        <v>#DIV/0!</v>
      </c>
      <c r="J27" s="3321" t="e">
        <f t="shared" si="3"/>
        <v>#DIV/0!</v>
      </c>
      <c r="K27" s="3321" t="e">
        <f t="shared" si="3"/>
        <v>#DIV/0!</v>
      </c>
      <c r="L27" s="3321" t="e">
        <f t="shared" si="3"/>
        <v>#DIV/0!</v>
      </c>
      <c r="M27" s="3321" t="e">
        <f t="shared" si="3"/>
        <v>#DIV/0!</v>
      </c>
      <c r="N27" s="3321" t="e">
        <f t="shared" si="3"/>
        <v>#DIV/0!</v>
      </c>
      <c r="O27" s="3321" t="e">
        <f t="shared" si="3"/>
        <v>#DIV/0!</v>
      </c>
      <c r="P27" s="3321" t="e">
        <f t="shared" si="3"/>
        <v>#DIV/0!</v>
      </c>
      <c r="Q27" s="3299"/>
      <c r="R27" s="3299"/>
      <c r="S27" s="3299"/>
      <c r="T27" s="3299"/>
      <c r="U27" s="3299"/>
      <c r="V27" s="3299"/>
      <c r="W27" s="3299"/>
      <c r="X27" s="3299"/>
      <c r="Y27" s="3299"/>
      <c r="Z27" s="3299"/>
      <c r="AA27" s="3299"/>
      <c r="AB27" s="3299"/>
      <c r="AC27" s="3299"/>
      <c r="AD27" s="3299"/>
      <c r="AE27" s="3299"/>
      <c r="AF27" s="3299"/>
      <c r="AG27" s="3299"/>
      <c r="AH27" s="3299"/>
      <c r="AI27" s="3299"/>
      <c r="AJ27" s="3299"/>
      <c r="AK27" s="3299"/>
      <c r="AL27" s="3299"/>
      <c r="AM27" s="3299"/>
      <c r="AN27" s="3299"/>
      <c r="AO27" s="3299"/>
      <c r="AP27" s="3299"/>
      <c r="AQ27" s="3299"/>
      <c r="AR27" s="3299"/>
      <c r="AS27" s="3299"/>
      <c r="AT27" s="3299"/>
      <c r="AU27" s="3299"/>
      <c r="AV27" s="3299"/>
      <c r="AW27" s="3299"/>
      <c r="AX27" s="3299"/>
      <c r="AY27" s="3299"/>
      <c r="AZ27" s="3299"/>
      <c r="BA27" s="3299"/>
      <c r="BB27" s="3299"/>
      <c r="BC27" s="3299"/>
      <c r="BD27" s="3299"/>
      <c r="BE27" s="3299"/>
      <c r="BF27" s="3299"/>
      <c r="BG27" s="3299"/>
      <c r="BH27" s="3299"/>
      <c r="BI27" s="3299"/>
      <c r="BJ27" s="3299"/>
      <c r="BK27" s="3299"/>
      <c r="BL27" s="3299"/>
      <c r="BM27" s="3299"/>
      <c r="BN27" s="3299"/>
      <c r="BO27" s="3299"/>
      <c r="BP27" s="3299"/>
      <c r="BQ27" s="3299"/>
      <c r="BR27" s="3299"/>
      <c r="BS27" s="3299"/>
      <c r="BT27" s="3299"/>
      <c r="BU27" s="3299"/>
      <c r="BV27" s="3299"/>
      <c r="BW27" s="3299"/>
      <c r="BX27" s="3299"/>
      <c r="BY27" s="3299"/>
      <c r="BZ27" s="3299"/>
      <c r="CA27" s="3299"/>
      <c r="CB27" s="3299"/>
      <c r="CC27" s="3299"/>
    </row>
    <row r="28" spans="1:81">
      <c r="A28" s="3298" t="s">
        <v>2012</v>
      </c>
      <c r="B28" s="3320" t="s">
        <v>1404</v>
      </c>
      <c r="C28" s="3306" t="s">
        <v>2007</v>
      </c>
      <c r="D28" s="3321">
        <v>0</v>
      </c>
      <c r="E28" s="3321" t="e">
        <f t="shared" ref="E28:P33" si="4">E66/E47</f>
        <v>#DIV/0!</v>
      </c>
      <c r="F28" s="3321" t="e">
        <f t="shared" si="4"/>
        <v>#DIV/0!</v>
      </c>
      <c r="G28" s="3321" t="e">
        <f t="shared" si="4"/>
        <v>#DIV/0!</v>
      </c>
      <c r="H28" s="3321" t="e">
        <f t="shared" si="4"/>
        <v>#DIV/0!</v>
      </c>
      <c r="I28" s="3321" t="e">
        <f t="shared" si="4"/>
        <v>#DIV/0!</v>
      </c>
      <c r="J28" s="3321" t="e">
        <f t="shared" si="4"/>
        <v>#DIV/0!</v>
      </c>
      <c r="K28" s="3321" t="e">
        <f t="shared" si="4"/>
        <v>#DIV/0!</v>
      </c>
      <c r="L28" s="3321" t="e">
        <f t="shared" si="4"/>
        <v>#DIV/0!</v>
      </c>
      <c r="M28" s="3321" t="e">
        <f t="shared" si="4"/>
        <v>#DIV/0!</v>
      </c>
      <c r="N28" s="3321" t="e">
        <f t="shared" si="4"/>
        <v>#DIV/0!</v>
      </c>
      <c r="O28" s="3321" t="e">
        <f t="shared" si="4"/>
        <v>#DIV/0!</v>
      </c>
      <c r="P28" s="3321" t="e">
        <f t="shared" si="4"/>
        <v>#DIV/0!</v>
      </c>
      <c r="Q28" s="3299"/>
      <c r="R28" s="3299"/>
      <c r="S28" s="3299"/>
      <c r="T28" s="3299"/>
      <c r="U28" s="3299"/>
      <c r="V28" s="3299"/>
      <c r="W28" s="3299"/>
      <c r="X28" s="3299"/>
      <c r="Y28" s="3299"/>
      <c r="Z28" s="3299"/>
      <c r="AA28" s="3299"/>
      <c r="AB28" s="3299"/>
      <c r="AC28" s="3299"/>
      <c r="AD28" s="3299"/>
      <c r="AE28" s="3299"/>
      <c r="AF28" s="3299"/>
      <c r="AG28" s="3299"/>
      <c r="AH28" s="3299"/>
      <c r="AI28" s="3299"/>
      <c r="AJ28" s="3299"/>
      <c r="AK28" s="3299"/>
      <c r="AL28" s="3299"/>
      <c r="AM28" s="3299"/>
      <c r="AN28" s="3299"/>
      <c r="AO28" s="3299"/>
      <c r="AP28" s="3299"/>
      <c r="AQ28" s="3299"/>
      <c r="AR28" s="3299"/>
      <c r="AS28" s="3299"/>
      <c r="AT28" s="3299"/>
      <c r="AU28" s="3299"/>
      <c r="AV28" s="3299"/>
      <c r="AW28" s="3299"/>
      <c r="AX28" s="3299"/>
      <c r="AY28" s="3299"/>
      <c r="AZ28" s="3299"/>
      <c r="BA28" s="3299"/>
      <c r="BB28" s="3299"/>
      <c r="BC28" s="3299"/>
      <c r="BD28" s="3299"/>
      <c r="BE28" s="3299"/>
      <c r="BF28" s="3299"/>
      <c r="BG28" s="3299"/>
      <c r="BH28" s="3299"/>
      <c r="BI28" s="3299"/>
      <c r="BJ28" s="3299"/>
      <c r="BK28" s="3299"/>
      <c r="BL28" s="3299"/>
      <c r="BM28" s="3299"/>
      <c r="BN28" s="3299"/>
      <c r="BO28" s="3299"/>
      <c r="BP28" s="3299"/>
      <c r="BQ28" s="3299"/>
      <c r="BR28" s="3299"/>
      <c r="BS28" s="3299"/>
      <c r="BT28" s="3299"/>
      <c r="BU28" s="3299"/>
      <c r="BV28" s="3299"/>
      <c r="BW28" s="3299"/>
      <c r="BX28" s="3299"/>
      <c r="BY28" s="3299"/>
      <c r="BZ28" s="3299"/>
      <c r="CA28" s="3299"/>
      <c r="CB28" s="3299"/>
      <c r="CC28" s="3299"/>
    </row>
    <row r="29" spans="1:81">
      <c r="A29" s="3298"/>
      <c r="B29" s="3304" t="s">
        <v>516</v>
      </c>
      <c r="C29" s="3306" t="s">
        <v>2007</v>
      </c>
      <c r="D29" s="3321">
        <v>0</v>
      </c>
      <c r="E29" s="3321" t="e">
        <f t="shared" si="4"/>
        <v>#DIV/0!</v>
      </c>
      <c r="F29" s="3321" t="e">
        <f t="shared" si="4"/>
        <v>#DIV/0!</v>
      </c>
      <c r="G29" s="3321" t="e">
        <f t="shared" si="4"/>
        <v>#DIV/0!</v>
      </c>
      <c r="H29" s="3321" t="e">
        <f t="shared" si="4"/>
        <v>#DIV/0!</v>
      </c>
      <c r="I29" s="3321" t="e">
        <f t="shared" si="4"/>
        <v>#DIV/0!</v>
      </c>
      <c r="J29" s="3321" t="e">
        <f t="shared" si="4"/>
        <v>#DIV/0!</v>
      </c>
      <c r="K29" s="3321" t="e">
        <f t="shared" si="4"/>
        <v>#DIV/0!</v>
      </c>
      <c r="L29" s="3321" t="e">
        <f t="shared" si="4"/>
        <v>#DIV/0!</v>
      </c>
      <c r="M29" s="3321" t="e">
        <f t="shared" si="4"/>
        <v>#DIV/0!</v>
      </c>
      <c r="N29" s="3321" t="e">
        <f t="shared" si="4"/>
        <v>#DIV/0!</v>
      </c>
      <c r="O29" s="3321" t="e">
        <f t="shared" si="4"/>
        <v>#DIV/0!</v>
      </c>
      <c r="P29" s="3321" t="e">
        <f t="shared" si="4"/>
        <v>#DIV/0!</v>
      </c>
      <c r="Q29" s="3299"/>
      <c r="R29" s="3299"/>
      <c r="S29" s="3299"/>
      <c r="T29" s="3299"/>
      <c r="U29" s="3299"/>
      <c r="V29" s="3299"/>
      <c r="W29" s="3299"/>
      <c r="X29" s="3299"/>
      <c r="Y29" s="3299"/>
      <c r="Z29" s="3299"/>
      <c r="AA29" s="3299"/>
      <c r="AB29" s="3299"/>
      <c r="AC29" s="3299"/>
      <c r="AD29" s="3299"/>
      <c r="AE29" s="3299"/>
      <c r="AF29" s="3299"/>
      <c r="AG29" s="3299"/>
      <c r="AH29" s="3299"/>
      <c r="AI29" s="3299"/>
      <c r="AJ29" s="3299"/>
      <c r="AK29" s="3299"/>
      <c r="AL29" s="3299"/>
      <c r="AM29" s="3299"/>
      <c r="AN29" s="3299"/>
      <c r="AO29" s="3299"/>
      <c r="AP29" s="3299"/>
      <c r="AQ29" s="3299"/>
      <c r="AR29" s="3299"/>
      <c r="AS29" s="3299"/>
      <c r="AT29" s="3299"/>
      <c r="AU29" s="3299"/>
      <c r="AV29" s="3299"/>
      <c r="AW29" s="3299"/>
      <c r="AX29" s="3299"/>
      <c r="AY29" s="3299"/>
      <c r="AZ29" s="3299"/>
      <c r="BA29" s="3299"/>
      <c r="BB29" s="3299"/>
      <c r="BC29" s="3299"/>
      <c r="BD29" s="3299"/>
      <c r="BE29" s="3299"/>
      <c r="BF29" s="3299"/>
      <c r="BG29" s="3299"/>
      <c r="BH29" s="3299"/>
      <c r="BI29" s="3299"/>
      <c r="BJ29" s="3299"/>
      <c r="BK29" s="3299"/>
      <c r="BL29" s="3299"/>
      <c r="BM29" s="3299"/>
      <c r="BN29" s="3299"/>
      <c r="BO29" s="3299"/>
      <c r="BP29" s="3299"/>
      <c r="BQ29" s="3299"/>
      <c r="BR29" s="3299"/>
      <c r="BS29" s="3299"/>
      <c r="BT29" s="3299"/>
      <c r="BU29" s="3299"/>
      <c r="BV29" s="3299"/>
      <c r="BW29" s="3299"/>
      <c r="BX29" s="3299"/>
      <c r="BY29" s="3299"/>
      <c r="BZ29" s="3299"/>
      <c r="CA29" s="3299"/>
      <c r="CB29" s="3299"/>
      <c r="CC29" s="3299"/>
    </row>
    <row r="30" spans="1:81">
      <c r="A30" s="3298"/>
      <c r="B30" s="3304" t="s">
        <v>519</v>
      </c>
      <c r="C30" s="3306" t="s">
        <v>2007</v>
      </c>
      <c r="D30" s="3321">
        <v>0</v>
      </c>
      <c r="E30" s="3321" t="e">
        <f t="shared" si="4"/>
        <v>#DIV/0!</v>
      </c>
      <c r="F30" s="3321" t="e">
        <f t="shared" si="4"/>
        <v>#DIV/0!</v>
      </c>
      <c r="G30" s="3321" t="e">
        <f t="shared" si="4"/>
        <v>#DIV/0!</v>
      </c>
      <c r="H30" s="3321" t="e">
        <f t="shared" si="4"/>
        <v>#DIV/0!</v>
      </c>
      <c r="I30" s="3321" t="e">
        <f t="shared" si="4"/>
        <v>#DIV/0!</v>
      </c>
      <c r="J30" s="3321" t="e">
        <f t="shared" si="4"/>
        <v>#DIV/0!</v>
      </c>
      <c r="K30" s="3321" t="e">
        <f t="shared" si="4"/>
        <v>#DIV/0!</v>
      </c>
      <c r="L30" s="3321" t="e">
        <f t="shared" si="4"/>
        <v>#DIV/0!</v>
      </c>
      <c r="M30" s="3321" t="e">
        <f t="shared" si="4"/>
        <v>#DIV/0!</v>
      </c>
      <c r="N30" s="3321" t="e">
        <f t="shared" si="4"/>
        <v>#DIV/0!</v>
      </c>
      <c r="O30" s="3321" t="e">
        <f t="shared" si="4"/>
        <v>#DIV/0!</v>
      </c>
      <c r="P30" s="3321" t="e">
        <f t="shared" si="4"/>
        <v>#DIV/0!</v>
      </c>
      <c r="Q30" s="3299"/>
      <c r="R30" s="3299"/>
      <c r="S30" s="3299"/>
      <c r="T30" s="3299"/>
      <c r="U30" s="3299"/>
      <c r="V30" s="3299"/>
      <c r="W30" s="3299"/>
      <c r="X30" s="3299"/>
      <c r="Y30" s="3299"/>
      <c r="Z30" s="3299"/>
      <c r="AA30" s="3299"/>
      <c r="AB30" s="3299"/>
      <c r="AC30" s="3299"/>
      <c r="AD30" s="3299"/>
      <c r="AE30" s="3299"/>
      <c r="AF30" s="3299"/>
      <c r="AG30" s="3299"/>
      <c r="AH30" s="3299"/>
      <c r="AI30" s="3299"/>
      <c r="AJ30" s="3299"/>
      <c r="AK30" s="3299"/>
      <c r="AL30" s="3299"/>
      <c r="AM30" s="3299"/>
      <c r="AN30" s="3299"/>
      <c r="AO30" s="3299"/>
      <c r="AP30" s="3299"/>
      <c r="AQ30" s="3299"/>
      <c r="AR30" s="3299"/>
      <c r="AS30" s="3299"/>
      <c r="AT30" s="3299"/>
      <c r="AU30" s="3299"/>
      <c r="AV30" s="3299"/>
      <c r="AW30" s="3299"/>
      <c r="AX30" s="3299"/>
      <c r="AY30" s="3299"/>
      <c r="AZ30" s="3299"/>
      <c r="BA30" s="3299"/>
      <c r="BB30" s="3299"/>
      <c r="BC30" s="3299"/>
      <c r="BD30" s="3299"/>
      <c r="BE30" s="3299"/>
      <c r="BF30" s="3299"/>
      <c r="BG30" s="3299"/>
      <c r="BH30" s="3299"/>
      <c r="BI30" s="3299"/>
      <c r="BJ30" s="3299"/>
      <c r="BK30" s="3299"/>
      <c r="BL30" s="3299"/>
      <c r="BM30" s="3299"/>
      <c r="BN30" s="3299"/>
      <c r="BO30" s="3299"/>
      <c r="BP30" s="3299"/>
      <c r="BQ30" s="3299"/>
      <c r="BR30" s="3299"/>
      <c r="BS30" s="3299"/>
      <c r="BT30" s="3299"/>
      <c r="BU30" s="3299"/>
      <c r="BV30" s="3299"/>
      <c r="BW30" s="3299"/>
      <c r="BX30" s="3299"/>
      <c r="BY30" s="3299"/>
      <c r="BZ30" s="3299"/>
      <c r="CA30" s="3299"/>
      <c r="CB30" s="3299"/>
      <c r="CC30" s="3299"/>
    </row>
    <row r="31" spans="1:81">
      <c r="A31" s="3298"/>
      <c r="B31" s="3304" t="s">
        <v>3791</v>
      </c>
      <c r="C31" s="3306" t="s">
        <v>2007</v>
      </c>
      <c r="D31" s="3321">
        <v>0</v>
      </c>
      <c r="E31" s="3321" t="e">
        <f t="shared" si="4"/>
        <v>#DIV/0!</v>
      </c>
      <c r="F31" s="3321" t="e">
        <f t="shared" si="4"/>
        <v>#DIV/0!</v>
      </c>
      <c r="G31" s="3321" t="e">
        <f t="shared" si="4"/>
        <v>#DIV/0!</v>
      </c>
      <c r="H31" s="3321" t="e">
        <f t="shared" si="4"/>
        <v>#DIV/0!</v>
      </c>
      <c r="I31" s="3321" t="e">
        <f t="shared" si="4"/>
        <v>#DIV/0!</v>
      </c>
      <c r="J31" s="3321" t="e">
        <f t="shared" si="4"/>
        <v>#DIV/0!</v>
      </c>
      <c r="K31" s="3321" t="e">
        <f t="shared" si="4"/>
        <v>#DIV/0!</v>
      </c>
      <c r="L31" s="3321" t="e">
        <f t="shared" si="4"/>
        <v>#DIV/0!</v>
      </c>
      <c r="M31" s="3321" t="e">
        <f t="shared" si="4"/>
        <v>#DIV/0!</v>
      </c>
      <c r="N31" s="3321" t="e">
        <f t="shared" si="4"/>
        <v>#DIV/0!</v>
      </c>
      <c r="O31" s="3321" t="e">
        <f t="shared" si="4"/>
        <v>#DIV/0!</v>
      </c>
      <c r="P31" s="3321" t="e">
        <f t="shared" si="4"/>
        <v>#DIV/0!</v>
      </c>
      <c r="Q31" s="3299"/>
      <c r="R31" s="3299"/>
      <c r="S31" s="3299"/>
      <c r="T31" s="3299"/>
      <c r="U31" s="3299"/>
      <c r="V31" s="3299"/>
      <c r="W31" s="3299"/>
      <c r="X31" s="3299"/>
      <c r="Y31" s="3299"/>
      <c r="Z31" s="3299"/>
      <c r="AA31" s="3299"/>
      <c r="AB31" s="3299"/>
      <c r="AC31" s="3299"/>
      <c r="AD31" s="3299"/>
      <c r="AE31" s="3299"/>
      <c r="AF31" s="3299"/>
      <c r="AG31" s="3299"/>
      <c r="AH31" s="3299"/>
      <c r="AI31" s="3299"/>
      <c r="AJ31" s="3299"/>
      <c r="AK31" s="3299"/>
      <c r="AL31" s="3299"/>
      <c r="AM31" s="3299"/>
      <c r="AN31" s="3299"/>
      <c r="AO31" s="3299"/>
      <c r="AP31" s="3299"/>
      <c r="AQ31" s="3299"/>
      <c r="AR31" s="3299"/>
      <c r="AS31" s="3299"/>
      <c r="AT31" s="3299"/>
      <c r="AU31" s="3299"/>
      <c r="AV31" s="3299"/>
      <c r="AW31" s="3299"/>
      <c r="AX31" s="3299"/>
      <c r="AY31" s="3299"/>
      <c r="AZ31" s="3299"/>
      <c r="BA31" s="3299"/>
      <c r="BB31" s="3299"/>
      <c r="BC31" s="3299"/>
      <c r="BD31" s="3299"/>
      <c r="BE31" s="3299"/>
      <c r="BF31" s="3299"/>
      <c r="BG31" s="3299"/>
      <c r="BH31" s="3299"/>
      <c r="BI31" s="3299"/>
      <c r="BJ31" s="3299"/>
      <c r="BK31" s="3299"/>
      <c r="BL31" s="3299"/>
      <c r="BM31" s="3299"/>
      <c r="BN31" s="3299"/>
      <c r="BO31" s="3299"/>
      <c r="BP31" s="3299"/>
      <c r="BQ31" s="3299"/>
      <c r="BR31" s="3299"/>
      <c r="BS31" s="3299"/>
      <c r="BT31" s="3299"/>
      <c r="BU31" s="3299"/>
      <c r="BV31" s="3299"/>
      <c r="BW31" s="3299"/>
      <c r="BX31" s="3299"/>
      <c r="BY31" s="3299"/>
      <c r="BZ31" s="3299"/>
      <c r="CA31" s="3299"/>
      <c r="CB31" s="3299"/>
      <c r="CC31" s="3299"/>
    </row>
    <row r="32" spans="1:81">
      <c r="A32" s="3298"/>
      <c r="B32" s="3304" t="s">
        <v>521</v>
      </c>
      <c r="C32" s="3306" t="s">
        <v>2007</v>
      </c>
      <c r="D32" s="3321">
        <v>0</v>
      </c>
      <c r="E32" s="3321" t="e">
        <f t="shared" si="4"/>
        <v>#DIV/0!</v>
      </c>
      <c r="F32" s="3321" t="e">
        <f t="shared" si="4"/>
        <v>#DIV/0!</v>
      </c>
      <c r="G32" s="3321" t="e">
        <f t="shared" si="4"/>
        <v>#DIV/0!</v>
      </c>
      <c r="H32" s="3321" t="e">
        <f t="shared" si="4"/>
        <v>#DIV/0!</v>
      </c>
      <c r="I32" s="3321" t="e">
        <f t="shared" si="4"/>
        <v>#DIV/0!</v>
      </c>
      <c r="J32" s="3321" t="e">
        <f t="shared" si="4"/>
        <v>#DIV/0!</v>
      </c>
      <c r="K32" s="3321" t="e">
        <f t="shared" si="4"/>
        <v>#DIV/0!</v>
      </c>
      <c r="L32" s="3321" t="e">
        <f t="shared" si="4"/>
        <v>#DIV/0!</v>
      </c>
      <c r="M32" s="3321" t="e">
        <f t="shared" si="4"/>
        <v>#DIV/0!</v>
      </c>
      <c r="N32" s="3321" t="e">
        <f t="shared" si="4"/>
        <v>#DIV/0!</v>
      </c>
      <c r="O32" s="3321" t="e">
        <f t="shared" si="4"/>
        <v>#DIV/0!</v>
      </c>
      <c r="P32" s="3321" t="e">
        <f t="shared" si="4"/>
        <v>#DIV/0!</v>
      </c>
      <c r="Q32" s="3299"/>
      <c r="R32" s="3299"/>
      <c r="S32" s="3299"/>
      <c r="T32" s="3299"/>
      <c r="U32" s="3299"/>
      <c r="V32" s="3299"/>
      <c r="W32" s="3299"/>
      <c r="X32" s="3299"/>
      <c r="Y32" s="3299"/>
      <c r="Z32" s="3299"/>
      <c r="AA32" s="3299"/>
      <c r="AB32" s="3299"/>
      <c r="AC32" s="3299"/>
      <c r="AD32" s="3299"/>
      <c r="AE32" s="3299"/>
      <c r="AF32" s="3299"/>
      <c r="AG32" s="3299"/>
      <c r="AH32" s="3299"/>
      <c r="AI32" s="3299"/>
      <c r="AJ32" s="3299"/>
      <c r="AK32" s="3299"/>
      <c r="AL32" s="3299"/>
      <c r="AM32" s="3299"/>
      <c r="AN32" s="3299"/>
      <c r="AO32" s="3299"/>
      <c r="AP32" s="3299"/>
      <c r="AQ32" s="3299"/>
      <c r="AR32" s="3299"/>
      <c r="AS32" s="3299"/>
      <c r="AT32" s="3299"/>
      <c r="AU32" s="3299"/>
      <c r="AV32" s="3299"/>
      <c r="AW32" s="3299"/>
      <c r="AX32" s="3299"/>
      <c r="AY32" s="3299"/>
      <c r="AZ32" s="3299"/>
      <c r="BA32" s="3299"/>
      <c r="BB32" s="3299"/>
      <c r="BC32" s="3299"/>
      <c r="BD32" s="3299"/>
      <c r="BE32" s="3299"/>
      <c r="BF32" s="3299"/>
      <c r="BG32" s="3299"/>
      <c r="BH32" s="3299"/>
      <c r="BI32" s="3299"/>
      <c r="BJ32" s="3299"/>
      <c r="BK32" s="3299"/>
      <c r="BL32" s="3299"/>
      <c r="BM32" s="3299"/>
      <c r="BN32" s="3299"/>
      <c r="BO32" s="3299"/>
      <c r="BP32" s="3299"/>
      <c r="BQ32" s="3299"/>
      <c r="BR32" s="3299"/>
      <c r="BS32" s="3299"/>
      <c r="BT32" s="3299"/>
      <c r="BU32" s="3299"/>
      <c r="BV32" s="3299"/>
      <c r="BW32" s="3299"/>
      <c r="BX32" s="3299"/>
      <c r="BY32" s="3299"/>
      <c r="BZ32" s="3299"/>
      <c r="CA32" s="3299"/>
      <c r="CB32" s="3299"/>
      <c r="CC32" s="3299"/>
    </row>
    <row r="33" spans="1:81">
      <c r="A33" s="3298"/>
      <c r="B33" s="3304" t="s">
        <v>1322</v>
      </c>
      <c r="C33" s="3306" t="s">
        <v>2007</v>
      </c>
      <c r="D33" s="3321">
        <v>0</v>
      </c>
      <c r="E33" s="3321" t="e">
        <f t="shared" si="4"/>
        <v>#DIV/0!</v>
      </c>
      <c r="F33" s="3321" t="e">
        <f t="shared" si="4"/>
        <v>#DIV/0!</v>
      </c>
      <c r="G33" s="3321" t="e">
        <f t="shared" si="4"/>
        <v>#DIV/0!</v>
      </c>
      <c r="H33" s="3321" t="e">
        <f t="shared" si="4"/>
        <v>#DIV/0!</v>
      </c>
      <c r="I33" s="3321" t="e">
        <f t="shared" si="4"/>
        <v>#DIV/0!</v>
      </c>
      <c r="J33" s="3321" t="e">
        <f t="shared" si="4"/>
        <v>#DIV/0!</v>
      </c>
      <c r="K33" s="3321" t="e">
        <f t="shared" si="4"/>
        <v>#DIV/0!</v>
      </c>
      <c r="L33" s="3321" t="e">
        <f t="shared" si="4"/>
        <v>#DIV/0!</v>
      </c>
      <c r="M33" s="3321" t="e">
        <f t="shared" si="4"/>
        <v>#DIV/0!</v>
      </c>
      <c r="N33" s="3321" t="e">
        <f t="shared" si="4"/>
        <v>#DIV/0!</v>
      </c>
      <c r="O33" s="3321" t="e">
        <f t="shared" si="4"/>
        <v>#DIV/0!</v>
      </c>
      <c r="P33" s="3321" t="e">
        <f t="shared" si="4"/>
        <v>#DIV/0!</v>
      </c>
      <c r="Q33" s="3299"/>
      <c r="R33" s="3299"/>
      <c r="S33" s="3299"/>
      <c r="T33" s="3299"/>
      <c r="U33" s="3299"/>
      <c r="V33" s="3299"/>
      <c r="W33" s="3299"/>
      <c r="X33" s="3299"/>
      <c r="Y33" s="3299"/>
      <c r="Z33" s="3299"/>
      <c r="AA33" s="3299"/>
      <c r="AB33" s="3299"/>
      <c r="AC33" s="3299"/>
      <c r="AD33" s="3299"/>
      <c r="AE33" s="3299"/>
      <c r="AF33" s="3299"/>
      <c r="AG33" s="3299"/>
      <c r="AH33" s="3299"/>
      <c r="AI33" s="3299"/>
      <c r="AJ33" s="3299"/>
      <c r="AK33" s="3299"/>
      <c r="AL33" s="3299"/>
      <c r="AM33" s="3299"/>
      <c r="AN33" s="3299"/>
      <c r="AO33" s="3299"/>
      <c r="AP33" s="3299"/>
      <c r="AQ33" s="3299"/>
      <c r="AR33" s="3299"/>
      <c r="AS33" s="3299"/>
      <c r="AT33" s="3299"/>
      <c r="AU33" s="3299"/>
      <c r="AV33" s="3299"/>
      <c r="AW33" s="3299"/>
      <c r="AX33" s="3299"/>
      <c r="AY33" s="3299"/>
      <c r="AZ33" s="3299"/>
      <c r="BA33" s="3299"/>
      <c r="BB33" s="3299"/>
      <c r="BC33" s="3299"/>
      <c r="BD33" s="3299"/>
      <c r="BE33" s="3299"/>
      <c r="BF33" s="3299"/>
      <c r="BG33" s="3299"/>
      <c r="BH33" s="3299"/>
      <c r="BI33" s="3299"/>
      <c r="BJ33" s="3299"/>
      <c r="BK33" s="3299"/>
      <c r="BL33" s="3299"/>
      <c r="BM33" s="3299"/>
      <c r="BN33" s="3299"/>
      <c r="BO33" s="3299"/>
      <c r="BP33" s="3299"/>
      <c r="BQ33" s="3299"/>
      <c r="BR33" s="3299"/>
      <c r="BS33" s="3299"/>
      <c r="BT33" s="3299"/>
      <c r="BU33" s="3299"/>
      <c r="BV33" s="3299"/>
      <c r="BW33" s="3299"/>
      <c r="BX33" s="3299"/>
      <c r="BY33" s="3299"/>
      <c r="BZ33" s="3299"/>
      <c r="CA33" s="3299"/>
      <c r="CB33" s="3299"/>
      <c r="CC33" s="3299"/>
    </row>
    <row r="34" spans="1:81" s="3307" customFormat="1" ht="43.5">
      <c r="A34" s="3322" t="s">
        <v>2013</v>
      </c>
      <c r="B34" s="3323" t="s">
        <v>2014</v>
      </c>
      <c r="C34" s="3317" t="s">
        <v>2005</v>
      </c>
      <c r="D34" s="3324">
        <f>D35+D41+D47</f>
        <v>30561.553</v>
      </c>
      <c r="E34" s="3324">
        <f t="shared" ref="E34:P34" si="5">E35+E41+E47</f>
        <v>0</v>
      </c>
      <c r="F34" s="3324">
        <f t="shared" si="5"/>
        <v>0</v>
      </c>
      <c r="G34" s="3324">
        <f t="shared" si="5"/>
        <v>0</v>
      </c>
      <c r="H34" s="3324">
        <f t="shared" si="5"/>
        <v>0</v>
      </c>
      <c r="I34" s="3324">
        <f t="shared" si="5"/>
        <v>0</v>
      </c>
      <c r="J34" s="3324">
        <f t="shared" si="5"/>
        <v>0</v>
      </c>
      <c r="K34" s="3324">
        <f t="shared" si="5"/>
        <v>0</v>
      </c>
      <c r="L34" s="3324">
        <f t="shared" si="5"/>
        <v>0</v>
      </c>
      <c r="M34" s="3324">
        <f t="shared" si="5"/>
        <v>0</v>
      </c>
      <c r="N34" s="3324">
        <f t="shared" si="5"/>
        <v>0</v>
      </c>
      <c r="O34" s="3324">
        <f t="shared" si="5"/>
        <v>0</v>
      </c>
      <c r="P34" s="3324">
        <f t="shared" si="5"/>
        <v>0</v>
      </c>
      <c r="Q34" s="3299"/>
      <c r="R34" s="3299"/>
      <c r="S34" s="3299"/>
      <c r="T34" s="3299"/>
      <c r="U34" s="3299"/>
      <c r="V34" s="3299"/>
      <c r="W34" s="3299"/>
      <c r="X34" s="3299"/>
      <c r="Y34" s="3299"/>
      <c r="Z34" s="3299"/>
      <c r="AA34" s="3299"/>
      <c r="AB34" s="3299"/>
      <c r="AC34" s="3299"/>
      <c r="AD34" s="3299"/>
      <c r="AE34" s="3299"/>
      <c r="AF34" s="3299"/>
      <c r="AG34" s="3299"/>
      <c r="AH34" s="3299"/>
      <c r="AI34" s="3299"/>
      <c r="AJ34" s="3299"/>
      <c r="AK34" s="3299"/>
      <c r="AL34" s="3299"/>
      <c r="AM34" s="3299"/>
      <c r="AN34" s="3299"/>
      <c r="AO34" s="3299"/>
      <c r="AP34" s="3299"/>
      <c r="AQ34" s="3299"/>
      <c r="AR34" s="3299"/>
      <c r="AS34" s="3299"/>
      <c r="AT34" s="3299"/>
      <c r="AU34" s="3299"/>
      <c r="AV34" s="3299"/>
      <c r="AW34" s="3299"/>
      <c r="AX34" s="3299"/>
      <c r="AY34" s="3299"/>
      <c r="AZ34" s="3299"/>
      <c r="BA34" s="3299"/>
      <c r="BB34" s="3299"/>
      <c r="BC34" s="3299"/>
      <c r="BD34" s="3299"/>
      <c r="BE34" s="3299"/>
      <c r="BF34" s="3299"/>
      <c r="BG34" s="3299"/>
      <c r="BH34" s="3299"/>
      <c r="BI34" s="3299"/>
      <c r="BJ34" s="3299"/>
      <c r="BK34" s="3299"/>
      <c r="BL34" s="3299"/>
      <c r="BM34" s="3299"/>
      <c r="BN34" s="3299"/>
      <c r="BO34" s="3299"/>
      <c r="BP34" s="3299"/>
      <c r="BQ34" s="3299"/>
      <c r="BR34" s="3299"/>
      <c r="BS34" s="3299"/>
      <c r="BT34" s="3299"/>
      <c r="BU34" s="3299"/>
      <c r="BV34" s="3299"/>
      <c r="BW34" s="3299"/>
      <c r="BX34" s="3299"/>
      <c r="BY34" s="3299"/>
      <c r="BZ34" s="3299"/>
      <c r="CA34" s="3299"/>
      <c r="CB34" s="3299"/>
      <c r="CC34" s="3299"/>
    </row>
    <row r="35" spans="1:81">
      <c r="A35" s="3298" t="s">
        <v>2015</v>
      </c>
      <c r="B35" s="3320" t="s">
        <v>1934</v>
      </c>
      <c r="C35" s="3306" t="s">
        <v>2005</v>
      </c>
      <c r="D35" s="3325">
        <f>SUM(D36:D40)</f>
        <v>21357.363999999998</v>
      </c>
      <c r="E35" s="3325">
        <f t="shared" ref="E35:P35" si="6">SUM(E36:E40)</f>
        <v>0</v>
      </c>
      <c r="F35" s="3325">
        <f t="shared" si="6"/>
        <v>0</v>
      </c>
      <c r="G35" s="3325">
        <f t="shared" si="6"/>
        <v>0</v>
      </c>
      <c r="H35" s="3325">
        <f t="shared" si="6"/>
        <v>0</v>
      </c>
      <c r="I35" s="3325">
        <f t="shared" si="6"/>
        <v>0</v>
      </c>
      <c r="J35" s="3325">
        <f t="shared" si="6"/>
        <v>0</v>
      </c>
      <c r="K35" s="3325">
        <f t="shared" si="6"/>
        <v>0</v>
      </c>
      <c r="L35" s="3325">
        <f t="shared" si="6"/>
        <v>0</v>
      </c>
      <c r="M35" s="3325">
        <f t="shared" si="6"/>
        <v>0</v>
      </c>
      <c r="N35" s="3325">
        <f t="shared" si="6"/>
        <v>0</v>
      </c>
      <c r="O35" s="3325">
        <f t="shared" si="6"/>
        <v>0</v>
      </c>
      <c r="P35" s="3325">
        <f t="shared" si="6"/>
        <v>0</v>
      </c>
      <c r="Q35" s="3299"/>
      <c r="R35" s="3299"/>
      <c r="S35" s="3299"/>
      <c r="T35" s="3299"/>
      <c r="U35" s="3299"/>
      <c r="V35" s="3299"/>
      <c r="W35" s="3299"/>
      <c r="X35" s="3299"/>
      <c r="Y35" s="3299"/>
      <c r="Z35" s="3299"/>
      <c r="AA35" s="3299"/>
      <c r="AB35" s="3299"/>
      <c r="AC35" s="3299"/>
      <c r="AD35" s="3299"/>
      <c r="AE35" s="3299"/>
      <c r="AF35" s="3299"/>
      <c r="AG35" s="3299"/>
      <c r="AH35" s="3299"/>
      <c r="AI35" s="3299"/>
      <c r="AJ35" s="3299"/>
      <c r="AK35" s="3299"/>
      <c r="AL35" s="3299"/>
      <c r="AM35" s="3299"/>
      <c r="AN35" s="3299"/>
      <c r="AO35" s="3299"/>
      <c r="AP35" s="3299"/>
      <c r="AQ35" s="3299"/>
      <c r="AR35" s="3299"/>
      <c r="AS35" s="3299"/>
      <c r="AT35" s="3299"/>
      <c r="AU35" s="3299"/>
      <c r="AV35" s="3299"/>
      <c r="AW35" s="3299"/>
      <c r="AX35" s="3299"/>
      <c r="AY35" s="3299"/>
      <c r="AZ35" s="3299"/>
      <c r="BA35" s="3299"/>
      <c r="BB35" s="3299"/>
      <c r="BC35" s="3299"/>
      <c r="BD35" s="3299"/>
      <c r="BE35" s="3299"/>
      <c r="BF35" s="3299"/>
      <c r="BG35" s="3299"/>
      <c r="BH35" s="3299"/>
      <c r="BI35" s="3299"/>
      <c r="BJ35" s="3299"/>
      <c r="BK35" s="3299"/>
      <c r="BL35" s="3299"/>
      <c r="BM35" s="3299"/>
      <c r="BN35" s="3299"/>
      <c r="BO35" s="3299"/>
      <c r="BP35" s="3299"/>
      <c r="BQ35" s="3299"/>
      <c r="BR35" s="3299"/>
      <c r="BS35" s="3299"/>
      <c r="BT35" s="3299"/>
      <c r="BU35" s="3299"/>
      <c r="BV35" s="3299"/>
      <c r="BW35" s="3299"/>
      <c r="BX35" s="3299"/>
      <c r="BY35" s="3299"/>
      <c r="BZ35" s="3299"/>
      <c r="CA35" s="3299"/>
      <c r="CB35" s="3299"/>
      <c r="CC35" s="3299"/>
    </row>
    <row r="36" spans="1:81">
      <c r="A36" s="3298"/>
      <c r="B36" s="3304" t="s">
        <v>516</v>
      </c>
      <c r="C36" s="3306" t="s">
        <v>2005</v>
      </c>
      <c r="D36" s="3325">
        <f>'Раздел 2А'!F42+'Раздел 2А'!T42+'Раздел 2А'!BJ42</f>
        <v>1211.152</v>
      </c>
      <c r="E36" s="3325"/>
      <c r="F36" s="3325"/>
      <c r="G36" s="3325"/>
      <c r="H36" s="3325"/>
      <c r="I36" s="3325"/>
      <c r="J36" s="3325"/>
      <c r="K36" s="3325"/>
      <c r="L36" s="3325"/>
      <c r="M36" s="3308"/>
      <c r="N36" s="3308"/>
      <c r="O36" s="3308"/>
      <c r="P36" s="3309"/>
      <c r="Q36" s="3299"/>
      <c r="R36" s="3299"/>
      <c r="S36" s="3299"/>
      <c r="T36" s="3299"/>
      <c r="U36" s="3299"/>
      <c r="V36" s="3299"/>
      <c r="W36" s="3299"/>
      <c r="X36" s="3299"/>
      <c r="Y36" s="3299"/>
      <c r="Z36" s="3299"/>
      <c r="AA36" s="3299"/>
      <c r="AB36" s="3299"/>
      <c r="AC36" s="3299"/>
      <c r="AD36" s="3299"/>
      <c r="AE36" s="3299"/>
      <c r="AF36" s="3299"/>
      <c r="AG36" s="3299"/>
      <c r="AH36" s="3299"/>
      <c r="AI36" s="3299"/>
      <c r="AJ36" s="3299"/>
      <c r="AK36" s="3299"/>
      <c r="AL36" s="3299"/>
      <c r="AM36" s="3299"/>
      <c r="AN36" s="3299"/>
      <c r="AO36" s="3299"/>
      <c r="AP36" s="3299"/>
      <c r="AQ36" s="3299"/>
      <c r="AR36" s="3299"/>
      <c r="AS36" s="3299"/>
      <c r="AT36" s="3299"/>
      <c r="AU36" s="3299"/>
      <c r="AV36" s="3299"/>
      <c r="AW36" s="3299"/>
      <c r="AX36" s="3299"/>
      <c r="AY36" s="3299"/>
      <c r="AZ36" s="3299"/>
      <c r="BA36" s="3299"/>
      <c r="BB36" s="3299"/>
      <c r="BC36" s="3299"/>
      <c r="BD36" s="3299"/>
      <c r="BE36" s="3299"/>
      <c r="BF36" s="3299"/>
      <c r="BG36" s="3299"/>
      <c r="BH36" s="3299"/>
      <c r="BI36" s="3299"/>
      <c r="BJ36" s="3299"/>
      <c r="BK36" s="3299"/>
      <c r="BL36" s="3299"/>
      <c r="BM36" s="3299"/>
      <c r="BN36" s="3299"/>
      <c r="BO36" s="3299"/>
      <c r="BP36" s="3299"/>
      <c r="BQ36" s="3299"/>
      <c r="BR36" s="3299"/>
      <c r="BS36" s="3299"/>
      <c r="BT36" s="3299"/>
      <c r="BU36" s="3299"/>
      <c r="BV36" s="3299"/>
      <c r="BW36" s="3299"/>
      <c r="BX36" s="3299"/>
      <c r="BY36" s="3299"/>
      <c r="BZ36" s="3299"/>
      <c r="CA36" s="3299"/>
      <c r="CB36" s="3299"/>
      <c r="CC36" s="3299"/>
    </row>
    <row r="37" spans="1:81">
      <c r="A37" s="3298"/>
      <c r="B37" s="3304" t="s">
        <v>519</v>
      </c>
      <c r="C37" s="3306" t="s">
        <v>2005</v>
      </c>
      <c r="D37" s="3325">
        <f>'Раздел 2А'!F45</f>
        <v>14113.965</v>
      </c>
      <c r="E37" s="3325"/>
      <c r="F37" s="3325"/>
      <c r="G37" s="3325"/>
      <c r="H37" s="3325"/>
      <c r="I37" s="3325"/>
      <c r="J37" s="3325"/>
      <c r="K37" s="3325"/>
      <c r="L37" s="3325"/>
      <c r="M37" s="3308"/>
      <c r="N37" s="3308"/>
      <c r="O37" s="3308"/>
      <c r="P37" s="3309"/>
      <c r="Q37" s="3299"/>
      <c r="R37" s="3299"/>
      <c r="S37" s="3299"/>
      <c r="T37" s="3299"/>
      <c r="U37" s="3299"/>
      <c r="V37" s="3299"/>
      <c r="W37" s="3299"/>
      <c r="X37" s="3299"/>
      <c r="Y37" s="3299"/>
      <c r="Z37" s="3299"/>
      <c r="AA37" s="3299"/>
      <c r="AB37" s="3299"/>
      <c r="AC37" s="3299"/>
      <c r="AD37" s="3299"/>
      <c r="AE37" s="3299"/>
      <c r="AF37" s="3299"/>
      <c r="AG37" s="3299"/>
      <c r="AH37" s="3299"/>
      <c r="AI37" s="3299"/>
      <c r="AJ37" s="3299"/>
      <c r="AK37" s="3299"/>
      <c r="AL37" s="3299"/>
      <c r="AM37" s="3299"/>
      <c r="AN37" s="3299"/>
      <c r="AO37" s="3299"/>
      <c r="AP37" s="3299"/>
      <c r="AQ37" s="3299"/>
      <c r="AR37" s="3299"/>
      <c r="AS37" s="3299"/>
      <c r="AT37" s="3299"/>
      <c r="AU37" s="3299"/>
      <c r="AV37" s="3299"/>
      <c r="AW37" s="3299"/>
      <c r="AX37" s="3299"/>
      <c r="AY37" s="3299"/>
      <c r="AZ37" s="3299"/>
      <c r="BA37" s="3299"/>
      <c r="BB37" s="3299"/>
      <c r="BC37" s="3299"/>
      <c r="BD37" s="3299"/>
      <c r="BE37" s="3299"/>
      <c r="BF37" s="3299"/>
      <c r="BG37" s="3299"/>
      <c r="BH37" s="3299"/>
      <c r="BI37" s="3299"/>
      <c r="BJ37" s="3299"/>
      <c r="BK37" s="3299"/>
      <c r="BL37" s="3299"/>
      <c r="BM37" s="3299"/>
      <c r="BN37" s="3299"/>
      <c r="BO37" s="3299"/>
      <c r="BP37" s="3299"/>
      <c r="BQ37" s="3299"/>
      <c r="BR37" s="3299"/>
      <c r="BS37" s="3299"/>
      <c r="BT37" s="3299"/>
      <c r="BU37" s="3299"/>
      <c r="BV37" s="3299"/>
      <c r="BW37" s="3299"/>
      <c r="BX37" s="3299"/>
      <c r="BY37" s="3299"/>
      <c r="BZ37" s="3299"/>
      <c r="CA37" s="3299"/>
      <c r="CB37" s="3299"/>
      <c r="CC37" s="3299"/>
    </row>
    <row r="38" spans="1:81">
      <c r="A38" s="3298"/>
      <c r="B38" s="3304" t="s">
        <v>3791</v>
      </c>
      <c r="C38" s="3306" t="s">
        <v>2005</v>
      </c>
      <c r="D38" s="3325">
        <f>'Раздел 2А'!F46</f>
        <v>122.85300000000001</v>
      </c>
      <c r="E38" s="3325"/>
      <c r="F38" s="3325"/>
      <c r="G38" s="3325"/>
      <c r="H38" s="3325"/>
      <c r="I38" s="3325"/>
      <c r="J38" s="3325"/>
      <c r="K38" s="3325"/>
      <c r="L38" s="3325"/>
      <c r="M38" s="3308"/>
      <c r="N38" s="3308"/>
      <c r="O38" s="3308"/>
      <c r="P38" s="3309"/>
      <c r="Q38" s="3299"/>
      <c r="R38" s="3299"/>
      <c r="S38" s="3299"/>
      <c r="T38" s="3299"/>
      <c r="U38" s="3299"/>
      <c r="V38" s="3299"/>
      <c r="W38" s="3299"/>
      <c r="X38" s="3299"/>
      <c r="Y38" s="3299"/>
      <c r="Z38" s="3299"/>
      <c r="AA38" s="3299"/>
      <c r="AB38" s="3299"/>
      <c r="AC38" s="3299"/>
      <c r="AD38" s="3299"/>
      <c r="AE38" s="3299"/>
      <c r="AF38" s="3299"/>
      <c r="AG38" s="3299"/>
      <c r="AH38" s="3299"/>
      <c r="AI38" s="3299"/>
      <c r="AJ38" s="3299"/>
      <c r="AK38" s="3299"/>
      <c r="AL38" s="3299"/>
      <c r="AM38" s="3299"/>
      <c r="AN38" s="3299"/>
      <c r="AO38" s="3299"/>
      <c r="AP38" s="3299"/>
      <c r="AQ38" s="3299"/>
      <c r="AR38" s="3299"/>
      <c r="AS38" s="3299"/>
      <c r="AT38" s="3299"/>
      <c r="AU38" s="3299"/>
      <c r="AV38" s="3299"/>
      <c r="AW38" s="3299"/>
      <c r="AX38" s="3299"/>
      <c r="AY38" s="3299"/>
      <c r="AZ38" s="3299"/>
      <c r="BA38" s="3299"/>
      <c r="BB38" s="3299"/>
      <c r="BC38" s="3299"/>
      <c r="BD38" s="3299"/>
      <c r="BE38" s="3299"/>
      <c r="BF38" s="3299"/>
      <c r="BG38" s="3299"/>
      <c r="BH38" s="3299"/>
      <c r="BI38" s="3299"/>
      <c r="BJ38" s="3299"/>
      <c r="BK38" s="3299"/>
      <c r="BL38" s="3299"/>
      <c r="BM38" s="3299"/>
      <c r="BN38" s="3299"/>
      <c r="BO38" s="3299"/>
      <c r="BP38" s="3299"/>
      <c r="BQ38" s="3299"/>
      <c r="BR38" s="3299"/>
      <c r="BS38" s="3299"/>
      <c r="BT38" s="3299"/>
      <c r="BU38" s="3299"/>
      <c r="BV38" s="3299"/>
      <c r="BW38" s="3299"/>
      <c r="BX38" s="3299"/>
      <c r="BY38" s="3299"/>
      <c r="BZ38" s="3299"/>
      <c r="CA38" s="3299"/>
      <c r="CB38" s="3299"/>
      <c r="CC38" s="3299"/>
    </row>
    <row r="39" spans="1:81">
      <c r="A39" s="3298"/>
      <c r="B39" s="3304" t="s">
        <v>521</v>
      </c>
      <c r="C39" s="3306" t="s">
        <v>2005</v>
      </c>
      <c r="D39" s="3325">
        <f>'Раздел 2А'!F47+'Раздел 2А'!T47</f>
        <v>4458.2349999999997</v>
      </c>
      <c r="E39" s="3325"/>
      <c r="F39" s="3325"/>
      <c r="G39" s="3325"/>
      <c r="H39" s="3325"/>
      <c r="I39" s="3325"/>
      <c r="J39" s="3325"/>
      <c r="K39" s="3325"/>
      <c r="L39" s="3325"/>
      <c r="M39" s="3308"/>
      <c r="N39" s="3308"/>
      <c r="O39" s="3308"/>
      <c r="P39" s="3309"/>
      <c r="Q39" s="3299"/>
      <c r="R39" s="3299"/>
      <c r="S39" s="3299"/>
      <c r="T39" s="3299"/>
      <c r="U39" s="3299"/>
      <c r="V39" s="3299"/>
      <c r="W39" s="3299"/>
      <c r="X39" s="3299"/>
      <c r="Y39" s="3299"/>
      <c r="Z39" s="3299"/>
      <c r="AA39" s="3299"/>
      <c r="AB39" s="3299"/>
      <c r="AC39" s="3299"/>
      <c r="AD39" s="3299"/>
      <c r="AE39" s="3299"/>
      <c r="AF39" s="3299"/>
      <c r="AG39" s="3299"/>
      <c r="AH39" s="3299"/>
      <c r="AI39" s="3299"/>
      <c r="AJ39" s="3299"/>
      <c r="AK39" s="3299"/>
      <c r="AL39" s="3299"/>
      <c r="AM39" s="3299"/>
      <c r="AN39" s="3299"/>
      <c r="AO39" s="3299"/>
      <c r="AP39" s="3299"/>
      <c r="AQ39" s="3299"/>
      <c r="AR39" s="3299"/>
      <c r="AS39" s="3299"/>
      <c r="AT39" s="3299"/>
      <c r="AU39" s="3299"/>
      <c r="AV39" s="3299"/>
      <c r="AW39" s="3299"/>
      <c r="AX39" s="3299"/>
      <c r="AY39" s="3299"/>
      <c r="AZ39" s="3299"/>
      <c r="BA39" s="3299"/>
      <c r="BB39" s="3299"/>
      <c r="BC39" s="3299"/>
      <c r="BD39" s="3299"/>
      <c r="BE39" s="3299"/>
      <c r="BF39" s="3299"/>
      <c r="BG39" s="3299"/>
      <c r="BH39" s="3299"/>
      <c r="BI39" s="3299"/>
      <c r="BJ39" s="3299"/>
      <c r="BK39" s="3299"/>
      <c r="BL39" s="3299"/>
      <c r="BM39" s="3299"/>
      <c r="BN39" s="3299"/>
      <c r="BO39" s="3299"/>
      <c r="BP39" s="3299"/>
      <c r="BQ39" s="3299"/>
      <c r="BR39" s="3299"/>
      <c r="BS39" s="3299"/>
      <c r="BT39" s="3299"/>
      <c r="BU39" s="3299"/>
      <c r="BV39" s="3299"/>
      <c r="BW39" s="3299"/>
      <c r="BX39" s="3299"/>
      <c r="BY39" s="3299"/>
      <c r="BZ39" s="3299"/>
      <c r="CA39" s="3299"/>
      <c r="CB39" s="3299"/>
      <c r="CC39" s="3299"/>
    </row>
    <row r="40" spans="1:81">
      <c r="A40" s="3298"/>
      <c r="B40" s="3304" t="s">
        <v>3793</v>
      </c>
      <c r="C40" s="3306" t="s">
        <v>2005</v>
      </c>
      <c r="D40" s="3325">
        <f>'Раздел 2А'!F48</f>
        <v>1451.1590000000001</v>
      </c>
      <c r="E40" s="3325"/>
      <c r="F40" s="3325"/>
      <c r="G40" s="3325"/>
      <c r="H40" s="3325"/>
      <c r="I40" s="3325"/>
      <c r="J40" s="3325"/>
      <c r="K40" s="3325"/>
      <c r="L40" s="3325"/>
      <c r="M40" s="3308"/>
      <c r="N40" s="3308"/>
      <c r="O40" s="3308"/>
      <c r="P40" s="3309"/>
      <c r="Q40" s="3299"/>
      <c r="R40" s="3299"/>
      <c r="S40" s="3299"/>
      <c r="T40" s="3299"/>
      <c r="U40" s="3299"/>
      <c r="V40" s="3299"/>
      <c r="W40" s="3299"/>
      <c r="X40" s="3299"/>
      <c r="Y40" s="3299"/>
      <c r="Z40" s="3299"/>
      <c r="AA40" s="3299"/>
      <c r="AB40" s="3299"/>
      <c r="AC40" s="3299"/>
      <c r="AD40" s="3299"/>
      <c r="AE40" s="3299"/>
      <c r="AF40" s="3299"/>
      <c r="AG40" s="3299"/>
      <c r="AH40" s="3299"/>
      <c r="AI40" s="3299"/>
      <c r="AJ40" s="3299"/>
      <c r="AK40" s="3299"/>
      <c r="AL40" s="3299"/>
      <c r="AM40" s="3299"/>
      <c r="AN40" s="3299"/>
      <c r="AO40" s="3299"/>
      <c r="AP40" s="3299"/>
      <c r="AQ40" s="3299"/>
      <c r="AR40" s="3299"/>
      <c r="AS40" s="3299"/>
      <c r="AT40" s="3299"/>
      <c r="AU40" s="3299"/>
      <c r="AV40" s="3299"/>
      <c r="AW40" s="3299"/>
      <c r="AX40" s="3299"/>
      <c r="AY40" s="3299"/>
      <c r="AZ40" s="3299"/>
      <c r="BA40" s="3299"/>
      <c r="BB40" s="3299"/>
      <c r="BC40" s="3299"/>
      <c r="BD40" s="3299"/>
      <c r="BE40" s="3299"/>
      <c r="BF40" s="3299"/>
      <c r="BG40" s="3299"/>
      <c r="BH40" s="3299"/>
      <c r="BI40" s="3299"/>
      <c r="BJ40" s="3299"/>
      <c r="BK40" s="3299"/>
      <c r="BL40" s="3299"/>
      <c r="BM40" s="3299"/>
      <c r="BN40" s="3299"/>
      <c r="BO40" s="3299"/>
      <c r="BP40" s="3299"/>
      <c r="BQ40" s="3299"/>
      <c r="BR40" s="3299"/>
      <c r="BS40" s="3299"/>
      <c r="BT40" s="3299"/>
      <c r="BU40" s="3299"/>
      <c r="BV40" s="3299"/>
      <c r="BW40" s="3299"/>
      <c r="BX40" s="3299"/>
      <c r="BY40" s="3299"/>
      <c r="BZ40" s="3299"/>
      <c r="CA40" s="3299"/>
      <c r="CB40" s="3299"/>
      <c r="CC40" s="3299"/>
    </row>
    <row r="41" spans="1:81">
      <c r="A41" s="3298" t="s">
        <v>2016</v>
      </c>
      <c r="B41" s="3320" t="s">
        <v>158</v>
      </c>
      <c r="C41" s="3306" t="s">
        <v>2005</v>
      </c>
      <c r="D41" s="3325">
        <f>SUM(D42:D46)</f>
        <v>9204.1890000000003</v>
      </c>
      <c r="E41" s="3325">
        <f t="shared" ref="E41:P41" si="7">SUM(E42:E46)</f>
        <v>0</v>
      </c>
      <c r="F41" s="3325">
        <f t="shared" si="7"/>
        <v>0</v>
      </c>
      <c r="G41" s="3325">
        <f t="shared" si="7"/>
        <v>0</v>
      </c>
      <c r="H41" s="3325">
        <f t="shared" si="7"/>
        <v>0</v>
      </c>
      <c r="I41" s="3325">
        <f t="shared" si="7"/>
        <v>0</v>
      </c>
      <c r="J41" s="3325">
        <f t="shared" si="7"/>
        <v>0</v>
      </c>
      <c r="K41" s="3325">
        <f t="shared" si="7"/>
        <v>0</v>
      </c>
      <c r="L41" s="3325">
        <f t="shared" si="7"/>
        <v>0</v>
      </c>
      <c r="M41" s="3325">
        <f t="shared" si="7"/>
        <v>0</v>
      </c>
      <c r="N41" s="3325">
        <f t="shared" si="7"/>
        <v>0</v>
      </c>
      <c r="O41" s="3325">
        <f t="shared" si="7"/>
        <v>0</v>
      </c>
      <c r="P41" s="3325">
        <f t="shared" si="7"/>
        <v>0</v>
      </c>
      <c r="Q41" s="3299"/>
      <c r="R41" s="3299"/>
      <c r="S41" s="3299"/>
      <c r="T41" s="3299"/>
      <c r="U41" s="3299"/>
      <c r="V41" s="3299"/>
      <c r="W41" s="3299"/>
      <c r="X41" s="3299"/>
      <c r="Y41" s="3299"/>
      <c r="Z41" s="3299"/>
      <c r="AA41" s="3299"/>
      <c r="AB41" s="3299"/>
      <c r="AC41" s="3299"/>
      <c r="AD41" s="3299"/>
      <c r="AE41" s="3299"/>
      <c r="AF41" s="3299"/>
      <c r="AG41" s="3299"/>
      <c r="AH41" s="3299"/>
      <c r="AI41" s="3299"/>
      <c r="AJ41" s="3299"/>
      <c r="AK41" s="3299"/>
      <c r="AL41" s="3299"/>
      <c r="AM41" s="3299"/>
      <c r="AN41" s="3299"/>
      <c r="AO41" s="3299"/>
      <c r="AP41" s="3299"/>
      <c r="AQ41" s="3299"/>
      <c r="AR41" s="3299"/>
      <c r="AS41" s="3299"/>
      <c r="AT41" s="3299"/>
      <c r="AU41" s="3299"/>
      <c r="AV41" s="3299"/>
      <c r="AW41" s="3299"/>
      <c r="AX41" s="3299"/>
      <c r="AY41" s="3299"/>
      <c r="AZ41" s="3299"/>
      <c r="BA41" s="3299"/>
      <c r="BB41" s="3299"/>
      <c r="BC41" s="3299"/>
      <c r="BD41" s="3299"/>
      <c r="BE41" s="3299"/>
      <c r="BF41" s="3299"/>
      <c r="BG41" s="3299"/>
      <c r="BH41" s="3299"/>
      <c r="BI41" s="3299"/>
      <c r="BJ41" s="3299"/>
      <c r="BK41" s="3299"/>
      <c r="BL41" s="3299"/>
      <c r="BM41" s="3299"/>
      <c r="BN41" s="3299"/>
      <c r="BO41" s="3299"/>
      <c r="BP41" s="3299"/>
      <c r="BQ41" s="3299"/>
      <c r="BR41" s="3299"/>
      <c r="BS41" s="3299"/>
      <c r="BT41" s="3299"/>
      <c r="BU41" s="3299"/>
      <c r="BV41" s="3299"/>
      <c r="BW41" s="3299"/>
      <c r="BX41" s="3299"/>
      <c r="BY41" s="3299"/>
      <c r="BZ41" s="3299"/>
      <c r="CA41" s="3299"/>
      <c r="CB41" s="3299"/>
      <c r="CC41" s="3299"/>
    </row>
    <row r="42" spans="1:81">
      <c r="A42" s="3298"/>
      <c r="B42" s="3304" t="s">
        <v>516</v>
      </c>
      <c r="C42" s="3306" t="s">
        <v>2005</v>
      </c>
      <c r="D42" s="3325">
        <f>'Раздел 2А'!AH26+'Раздел 2А'!BJ26</f>
        <v>9204.1890000000003</v>
      </c>
      <c r="E42" s="3325"/>
      <c r="F42" s="3325"/>
      <c r="G42" s="3325"/>
      <c r="H42" s="3325"/>
      <c r="I42" s="3325"/>
      <c r="J42" s="3325"/>
      <c r="K42" s="3325"/>
      <c r="L42" s="3325"/>
      <c r="M42" s="3308"/>
      <c r="N42" s="3308"/>
      <c r="O42" s="3308"/>
      <c r="P42" s="3309"/>
      <c r="Q42" s="3299"/>
      <c r="R42" s="3299"/>
      <c r="S42" s="3299"/>
      <c r="T42" s="3299"/>
      <c r="U42" s="3299"/>
      <c r="V42" s="3299"/>
      <c r="W42" s="3299"/>
      <c r="X42" s="3299"/>
      <c r="Y42" s="3299"/>
      <c r="Z42" s="3299"/>
      <c r="AA42" s="3299"/>
      <c r="AB42" s="3299"/>
      <c r="AC42" s="3299"/>
      <c r="AD42" s="3299"/>
      <c r="AE42" s="3299"/>
      <c r="AF42" s="3299"/>
      <c r="AG42" s="3299"/>
      <c r="AH42" s="3299"/>
      <c r="AI42" s="3299"/>
      <c r="AJ42" s="3299"/>
      <c r="AK42" s="3299"/>
      <c r="AL42" s="3299"/>
      <c r="AM42" s="3299"/>
      <c r="AN42" s="3299"/>
      <c r="AO42" s="3299"/>
      <c r="AP42" s="3299"/>
      <c r="AQ42" s="3299"/>
      <c r="AR42" s="3299"/>
      <c r="AS42" s="3299"/>
      <c r="AT42" s="3299"/>
      <c r="AU42" s="3299"/>
      <c r="AV42" s="3299"/>
      <c r="AW42" s="3299"/>
      <c r="AX42" s="3299"/>
      <c r="AY42" s="3299"/>
      <c r="AZ42" s="3299"/>
      <c r="BA42" s="3299"/>
      <c r="BB42" s="3299"/>
      <c r="BC42" s="3299"/>
      <c r="BD42" s="3299"/>
      <c r="BE42" s="3299"/>
      <c r="BF42" s="3299"/>
      <c r="BG42" s="3299"/>
      <c r="BH42" s="3299"/>
      <c r="BI42" s="3299"/>
      <c r="BJ42" s="3299"/>
      <c r="BK42" s="3299"/>
      <c r="BL42" s="3299"/>
      <c r="BM42" s="3299"/>
      <c r="BN42" s="3299"/>
      <c r="BO42" s="3299"/>
      <c r="BP42" s="3299"/>
      <c r="BQ42" s="3299"/>
      <c r="BR42" s="3299"/>
      <c r="BS42" s="3299"/>
      <c r="BT42" s="3299"/>
      <c r="BU42" s="3299"/>
      <c r="BV42" s="3299"/>
      <c r="BW42" s="3299"/>
      <c r="BX42" s="3299"/>
      <c r="BY42" s="3299"/>
      <c r="BZ42" s="3299"/>
      <c r="CA42" s="3299"/>
      <c r="CB42" s="3299"/>
      <c r="CC42" s="3299"/>
    </row>
    <row r="43" spans="1:81">
      <c r="A43" s="3298"/>
      <c r="B43" s="3304" t="s">
        <v>519</v>
      </c>
      <c r="C43" s="3306" t="s">
        <v>2005</v>
      </c>
      <c r="D43" s="3325">
        <v>0</v>
      </c>
      <c r="E43" s="3325"/>
      <c r="F43" s="3325"/>
      <c r="G43" s="3325"/>
      <c r="H43" s="3325"/>
      <c r="I43" s="3325"/>
      <c r="J43" s="3325"/>
      <c r="K43" s="3325"/>
      <c r="L43" s="3325"/>
      <c r="M43" s="3308"/>
      <c r="N43" s="3308"/>
      <c r="O43" s="3308"/>
      <c r="P43" s="3309"/>
      <c r="Q43" s="3299"/>
      <c r="R43" s="3299"/>
      <c r="S43" s="3299"/>
      <c r="T43" s="3299"/>
      <c r="U43" s="3299"/>
      <c r="V43" s="3299"/>
      <c r="W43" s="3299"/>
      <c r="X43" s="3299"/>
      <c r="Y43" s="3299"/>
      <c r="Z43" s="3299"/>
      <c r="AA43" s="3299"/>
      <c r="AB43" s="3299"/>
      <c r="AC43" s="3299"/>
      <c r="AD43" s="3299"/>
      <c r="AE43" s="3299"/>
      <c r="AF43" s="3299"/>
      <c r="AG43" s="3299"/>
      <c r="AH43" s="3299"/>
      <c r="AI43" s="3299"/>
      <c r="AJ43" s="3299"/>
      <c r="AK43" s="3299"/>
      <c r="AL43" s="3299"/>
      <c r="AM43" s="3299"/>
      <c r="AN43" s="3299"/>
      <c r="AO43" s="3299"/>
      <c r="AP43" s="3299"/>
      <c r="AQ43" s="3299"/>
      <c r="AR43" s="3299"/>
      <c r="AS43" s="3299"/>
      <c r="AT43" s="3299"/>
      <c r="AU43" s="3299"/>
      <c r="AV43" s="3299"/>
      <c r="AW43" s="3299"/>
      <c r="AX43" s="3299"/>
      <c r="AY43" s="3299"/>
      <c r="AZ43" s="3299"/>
      <c r="BA43" s="3299"/>
      <c r="BB43" s="3299"/>
      <c r="BC43" s="3299"/>
      <c r="BD43" s="3299"/>
      <c r="BE43" s="3299"/>
      <c r="BF43" s="3299"/>
      <c r="BG43" s="3299"/>
      <c r="BH43" s="3299"/>
      <c r="BI43" s="3299"/>
      <c r="BJ43" s="3299"/>
      <c r="BK43" s="3299"/>
      <c r="BL43" s="3299"/>
      <c r="BM43" s="3299"/>
      <c r="BN43" s="3299"/>
      <c r="BO43" s="3299"/>
      <c r="BP43" s="3299"/>
      <c r="BQ43" s="3299"/>
      <c r="BR43" s="3299"/>
      <c r="BS43" s="3299"/>
      <c r="BT43" s="3299"/>
      <c r="BU43" s="3299"/>
      <c r="BV43" s="3299"/>
      <c r="BW43" s="3299"/>
      <c r="BX43" s="3299"/>
      <c r="BY43" s="3299"/>
      <c r="BZ43" s="3299"/>
      <c r="CA43" s="3299"/>
      <c r="CB43" s="3299"/>
      <c r="CC43" s="3299"/>
    </row>
    <row r="44" spans="1:81">
      <c r="A44" s="3298"/>
      <c r="B44" s="3304" t="s">
        <v>3791</v>
      </c>
      <c r="C44" s="3306" t="s">
        <v>2005</v>
      </c>
      <c r="D44" s="3325">
        <v>0</v>
      </c>
      <c r="E44" s="3325"/>
      <c r="F44" s="3325"/>
      <c r="G44" s="3325"/>
      <c r="H44" s="3325"/>
      <c r="I44" s="3325"/>
      <c r="J44" s="3325"/>
      <c r="K44" s="3325"/>
      <c r="L44" s="3325"/>
      <c r="M44" s="3308"/>
      <c r="N44" s="3308"/>
      <c r="O44" s="3308"/>
      <c r="P44" s="3309"/>
      <c r="Q44" s="3299"/>
      <c r="R44" s="3299"/>
      <c r="S44" s="3299"/>
      <c r="T44" s="3299"/>
      <c r="U44" s="3299"/>
      <c r="V44" s="3299"/>
      <c r="W44" s="3299"/>
      <c r="X44" s="3299"/>
      <c r="Y44" s="3299"/>
      <c r="Z44" s="3299"/>
      <c r="AA44" s="3299"/>
      <c r="AB44" s="3299"/>
      <c r="AC44" s="3299"/>
      <c r="AD44" s="3299"/>
      <c r="AE44" s="3299"/>
      <c r="AF44" s="3299"/>
      <c r="AG44" s="3299"/>
      <c r="AH44" s="3299"/>
      <c r="AI44" s="3299"/>
      <c r="AJ44" s="3299"/>
      <c r="AK44" s="3299"/>
      <c r="AL44" s="3299"/>
      <c r="AM44" s="3299"/>
      <c r="AN44" s="3299"/>
      <c r="AO44" s="3299"/>
      <c r="AP44" s="3299"/>
      <c r="AQ44" s="3299"/>
      <c r="AR44" s="3299"/>
      <c r="AS44" s="3299"/>
      <c r="AT44" s="3299"/>
      <c r="AU44" s="3299"/>
      <c r="AV44" s="3299"/>
      <c r="AW44" s="3299"/>
      <c r="AX44" s="3299"/>
      <c r="AY44" s="3299"/>
      <c r="AZ44" s="3299"/>
      <c r="BA44" s="3299"/>
      <c r="BB44" s="3299"/>
      <c r="BC44" s="3299"/>
      <c r="BD44" s="3299"/>
      <c r="BE44" s="3299"/>
      <c r="BF44" s="3299"/>
      <c r="BG44" s="3299"/>
      <c r="BH44" s="3299"/>
      <c r="BI44" s="3299"/>
      <c r="BJ44" s="3299"/>
      <c r="BK44" s="3299"/>
      <c r="BL44" s="3299"/>
      <c r="BM44" s="3299"/>
      <c r="BN44" s="3299"/>
      <c r="BO44" s="3299"/>
      <c r="BP44" s="3299"/>
      <c r="BQ44" s="3299"/>
      <c r="BR44" s="3299"/>
      <c r="BS44" s="3299"/>
      <c r="BT44" s="3299"/>
      <c r="BU44" s="3299"/>
      <c r="BV44" s="3299"/>
      <c r="BW44" s="3299"/>
      <c r="BX44" s="3299"/>
      <c r="BY44" s="3299"/>
      <c r="BZ44" s="3299"/>
      <c r="CA44" s="3299"/>
      <c r="CB44" s="3299"/>
      <c r="CC44" s="3299"/>
    </row>
    <row r="45" spans="1:81">
      <c r="A45" s="3298"/>
      <c r="B45" s="3304" t="s">
        <v>521</v>
      </c>
      <c r="C45" s="3306" t="s">
        <v>2005</v>
      </c>
      <c r="D45" s="3325">
        <v>0</v>
      </c>
      <c r="E45" s="3325"/>
      <c r="F45" s="3325"/>
      <c r="G45" s="3325"/>
      <c r="H45" s="3325"/>
      <c r="I45" s="3325"/>
      <c r="J45" s="3325"/>
      <c r="K45" s="3325"/>
      <c r="L45" s="3325"/>
      <c r="M45" s="3308"/>
      <c r="N45" s="3308"/>
      <c r="O45" s="3308"/>
      <c r="P45" s="3309"/>
      <c r="Q45" s="3299"/>
      <c r="R45" s="3299"/>
      <c r="S45" s="3299"/>
      <c r="T45" s="3299"/>
      <c r="U45" s="3299"/>
      <c r="V45" s="3299"/>
      <c r="W45" s="3299"/>
      <c r="X45" s="3299"/>
      <c r="Y45" s="3299"/>
      <c r="Z45" s="3299"/>
      <c r="AA45" s="3299"/>
      <c r="AB45" s="3299"/>
      <c r="AC45" s="3299"/>
      <c r="AD45" s="3299"/>
      <c r="AE45" s="3299"/>
      <c r="AF45" s="3299"/>
      <c r="AG45" s="3299"/>
      <c r="AH45" s="3299"/>
      <c r="AI45" s="3299"/>
      <c r="AJ45" s="3299"/>
      <c r="AK45" s="3299"/>
      <c r="AL45" s="3299"/>
      <c r="AM45" s="3299"/>
      <c r="AN45" s="3299"/>
      <c r="AO45" s="3299"/>
      <c r="AP45" s="3299"/>
      <c r="AQ45" s="3299"/>
      <c r="AR45" s="3299"/>
      <c r="AS45" s="3299"/>
      <c r="AT45" s="3299"/>
      <c r="AU45" s="3299"/>
      <c r="AV45" s="3299"/>
      <c r="AW45" s="3299"/>
      <c r="AX45" s="3299"/>
      <c r="AY45" s="3299"/>
      <c r="AZ45" s="3299"/>
      <c r="BA45" s="3299"/>
      <c r="BB45" s="3299"/>
      <c r="BC45" s="3299"/>
      <c r="BD45" s="3299"/>
      <c r="BE45" s="3299"/>
      <c r="BF45" s="3299"/>
      <c r="BG45" s="3299"/>
      <c r="BH45" s="3299"/>
      <c r="BI45" s="3299"/>
      <c r="BJ45" s="3299"/>
      <c r="BK45" s="3299"/>
      <c r="BL45" s="3299"/>
      <c r="BM45" s="3299"/>
      <c r="BN45" s="3299"/>
      <c r="BO45" s="3299"/>
      <c r="BP45" s="3299"/>
      <c r="BQ45" s="3299"/>
      <c r="BR45" s="3299"/>
      <c r="BS45" s="3299"/>
      <c r="BT45" s="3299"/>
      <c r="BU45" s="3299"/>
      <c r="BV45" s="3299"/>
      <c r="BW45" s="3299"/>
      <c r="BX45" s="3299"/>
      <c r="BY45" s="3299"/>
      <c r="BZ45" s="3299"/>
      <c r="CA45" s="3299"/>
      <c r="CB45" s="3299"/>
      <c r="CC45" s="3299"/>
    </row>
    <row r="46" spans="1:81">
      <c r="A46" s="3298"/>
      <c r="B46" s="3304" t="s">
        <v>1322</v>
      </c>
      <c r="C46" s="3306" t="s">
        <v>2005</v>
      </c>
      <c r="D46" s="3325">
        <v>0</v>
      </c>
      <c r="E46" s="3325"/>
      <c r="F46" s="3325"/>
      <c r="G46" s="3325"/>
      <c r="H46" s="3325"/>
      <c r="I46" s="3325"/>
      <c r="J46" s="3325"/>
      <c r="K46" s="3325"/>
      <c r="L46" s="3325"/>
      <c r="M46" s="3308"/>
      <c r="N46" s="3308"/>
      <c r="O46" s="3308"/>
      <c r="P46" s="3309"/>
      <c r="Q46" s="3299"/>
      <c r="R46" s="3299"/>
      <c r="S46" s="3299"/>
      <c r="T46" s="3299"/>
      <c r="U46" s="3299"/>
      <c r="V46" s="3299"/>
      <c r="W46" s="3299"/>
      <c r="X46" s="3299"/>
      <c r="Y46" s="3299"/>
      <c r="Z46" s="3299"/>
      <c r="AA46" s="3299"/>
      <c r="AB46" s="3299"/>
      <c r="AC46" s="3299"/>
      <c r="AD46" s="3299"/>
      <c r="AE46" s="3299"/>
      <c r="AF46" s="3299"/>
      <c r="AG46" s="3299"/>
      <c r="AH46" s="3299"/>
      <c r="AI46" s="3299"/>
      <c r="AJ46" s="3299"/>
      <c r="AK46" s="3299"/>
      <c r="AL46" s="3299"/>
      <c r="AM46" s="3299"/>
      <c r="AN46" s="3299"/>
      <c r="AO46" s="3299"/>
      <c r="AP46" s="3299"/>
      <c r="AQ46" s="3299"/>
      <c r="AR46" s="3299"/>
      <c r="AS46" s="3299"/>
      <c r="AT46" s="3299"/>
      <c r="AU46" s="3299"/>
      <c r="AV46" s="3299"/>
      <c r="AW46" s="3299"/>
      <c r="AX46" s="3299"/>
      <c r="AY46" s="3299"/>
      <c r="AZ46" s="3299"/>
      <c r="BA46" s="3299"/>
      <c r="BB46" s="3299"/>
      <c r="BC46" s="3299"/>
      <c r="BD46" s="3299"/>
      <c r="BE46" s="3299"/>
      <c r="BF46" s="3299"/>
      <c r="BG46" s="3299"/>
      <c r="BH46" s="3299"/>
      <c r="BI46" s="3299"/>
      <c r="BJ46" s="3299"/>
      <c r="BK46" s="3299"/>
      <c r="BL46" s="3299"/>
      <c r="BM46" s="3299"/>
      <c r="BN46" s="3299"/>
      <c r="BO46" s="3299"/>
      <c r="BP46" s="3299"/>
      <c r="BQ46" s="3299"/>
      <c r="BR46" s="3299"/>
      <c r="BS46" s="3299"/>
      <c r="BT46" s="3299"/>
      <c r="BU46" s="3299"/>
      <c r="BV46" s="3299"/>
      <c r="BW46" s="3299"/>
      <c r="BX46" s="3299"/>
      <c r="BY46" s="3299"/>
      <c r="BZ46" s="3299"/>
      <c r="CA46" s="3299"/>
      <c r="CB46" s="3299"/>
      <c r="CC46" s="3299"/>
    </row>
    <row r="47" spans="1:81">
      <c r="A47" s="3298" t="s">
        <v>2017</v>
      </c>
      <c r="B47" s="3320" t="s">
        <v>1404</v>
      </c>
      <c r="C47" s="3306" t="s">
        <v>2005</v>
      </c>
      <c r="D47" s="3325">
        <v>0</v>
      </c>
      <c r="E47" s="3325">
        <f t="shared" ref="E47:P47" si="8">SUM(E48:E52)</f>
        <v>0</v>
      </c>
      <c r="F47" s="3325">
        <f t="shared" si="8"/>
        <v>0</v>
      </c>
      <c r="G47" s="3325">
        <f t="shared" si="8"/>
        <v>0</v>
      </c>
      <c r="H47" s="3325">
        <f t="shared" si="8"/>
        <v>0</v>
      </c>
      <c r="I47" s="3325">
        <f t="shared" si="8"/>
        <v>0</v>
      </c>
      <c r="J47" s="3325">
        <f t="shared" si="8"/>
        <v>0</v>
      </c>
      <c r="K47" s="3325">
        <f t="shared" si="8"/>
        <v>0</v>
      </c>
      <c r="L47" s="3325">
        <f t="shared" si="8"/>
        <v>0</v>
      </c>
      <c r="M47" s="3325">
        <f t="shared" si="8"/>
        <v>0</v>
      </c>
      <c r="N47" s="3325">
        <f t="shared" si="8"/>
        <v>0</v>
      </c>
      <c r="O47" s="3325">
        <f t="shared" si="8"/>
        <v>0</v>
      </c>
      <c r="P47" s="3325">
        <f t="shared" si="8"/>
        <v>0</v>
      </c>
      <c r="Q47" s="3299"/>
      <c r="R47" s="3299"/>
      <c r="S47" s="3299"/>
      <c r="T47" s="3299"/>
      <c r="U47" s="3299"/>
      <c r="V47" s="3299"/>
      <c r="W47" s="3299"/>
      <c r="X47" s="3299"/>
      <c r="Y47" s="3299"/>
      <c r="Z47" s="3299"/>
      <c r="AA47" s="3299"/>
      <c r="AB47" s="3299"/>
      <c r="AC47" s="3299"/>
      <c r="AD47" s="3299"/>
      <c r="AE47" s="3299"/>
      <c r="AF47" s="3299"/>
      <c r="AG47" s="3299"/>
      <c r="AH47" s="3299"/>
      <c r="AI47" s="3299"/>
      <c r="AJ47" s="3299"/>
      <c r="AK47" s="3299"/>
      <c r="AL47" s="3299"/>
      <c r="AM47" s="3299"/>
      <c r="AN47" s="3299"/>
      <c r="AO47" s="3299"/>
      <c r="AP47" s="3299"/>
      <c r="AQ47" s="3299"/>
      <c r="AR47" s="3299"/>
      <c r="AS47" s="3299"/>
      <c r="AT47" s="3299"/>
      <c r="AU47" s="3299"/>
      <c r="AV47" s="3299"/>
      <c r="AW47" s="3299"/>
      <c r="AX47" s="3299"/>
      <c r="AY47" s="3299"/>
      <c r="AZ47" s="3299"/>
      <c r="BA47" s="3299"/>
      <c r="BB47" s="3299"/>
      <c r="BC47" s="3299"/>
      <c r="BD47" s="3299"/>
      <c r="BE47" s="3299"/>
      <c r="BF47" s="3299"/>
      <c r="BG47" s="3299"/>
      <c r="BH47" s="3299"/>
      <c r="BI47" s="3299"/>
      <c r="BJ47" s="3299"/>
      <c r="BK47" s="3299"/>
      <c r="BL47" s="3299"/>
      <c r="BM47" s="3299"/>
      <c r="BN47" s="3299"/>
      <c r="BO47" s="3299"/>
      <c r="BP47" s="3299"/>
      <c r="BQ47" s="3299"/>
      <c r="BR47" s="3299"/>
      <c r="BS47" s="3299"/>
      <c r="BT47" s="3299"/>
      <c r="BU47" s="3299"/>
      <c r="BV47" s="3299"/>
      <c r="BW47" s="3299"/>
      <c r="BX47" s="3299"/>
      <c r="BY47" s="3299"/>
      <c r="BZ47" s="3299"/>
      <c r="CA47" s="3299"/>
      <c r="CB47" s="3299"/>
      <c r="CC47" s="3299"/>
    </row>
    <row r="48" spans="1:81">
      <c r="A48" s="3298"/>
      <c r="B48" s="3304" t="s">
        <v>516</v>
      </c>
      <c r="C48" s="3306" t="s">
        <v>2005</v>
      </c>
      <c r="D48" s="3325">
        <v>0</v>
      </c>
      <c r="E48" s="3325"/>
      <c r="F48" s="3325"/>
      <c r="G48" s="3325"/>
      <c r="H48" s="3325"/>
      <c r="I48" s="3325"/>
      <c r="J48" s="3325"/>
      <c r="K48" s="3325"/>
      <c r="L48" s="3325"/>
      <c r="M48" s="3326"/>
      <c r="N48" s="3308"/>
      <c r="O48" s="3308"/>
      <c r="P48" s="3309"/>
      <c r="Q48" s="3299"/>
      <c r="R48" s="3299"/>
      <c r="S48" s="3299"/>
      <c r="T48" s="3299"/>
      <c r="U48" s="3299"/>
      <c r="V48" s="3299"/>
      <c r="W48" s="3299"/>
      <c r="X48" s="3299"/>
      <c r="Y48" s="3299"/>
      <c r="Z48" s="3299"/>
      <c r="AA48" s="3299"/>
      <c r="AB48" s="3299"/>
      <c r="AC48" s="3299"/>
      <c r="AD48" s="3299"/>
      <c r="AE48" s="3299"/>
      <c r="AF48" s="3299"/>
      <c r="AG48" s="3299"/>
      <c r="AH48" s="3299"/>
      <c r="AI48" s="3299"/>
      <c r="AJ48" s="3299"/>
      <c r="AK48" s="3299"/>
      <c r="AL48" s="3299"/>
      <c r="AM48" s="3299"/>
      <c r="AN48" s="3299"/>
      <c r="AO48" s="3299"/>
      <c r="AP48" s="3299"/>
      <c r="AQ48" s="3299"/>
      <c r="AR48" s="3299"/>
      <c r="AS48" s="3299"/>
      <c r="AT48" s="3299"/>
      <c r="AU48" s="3299"/>
      <c r="AV48" s="3299"/>
      <c r="AW48" s="3299"/>
      <c r="AX48" s="3299"/>
      <c r="AY48" s="3299"/>
      <c r="AZ48" s="3299"/>
      <c r="BA48" s="3299"/>
      <c r="BB48" s="3299"/>
      <c r="BC48" s="3299"/>
      <c r="BD48" s="3299"/>
      <c r="BE48" s="3299"/>
      <c r="BF48" s="3299"/>
      <c r="BG48" s="3299"/>
      <c r="BH48" s="3299"/>
      <c r="BI48" s="3299"/>
      <c r="BJ48" s="3299"/>
      <c r="BK48" s="3299"/>
      <c r="BL48" s="3299"/>
      <c r="BM48" s="3299"/>
      <c r="BN48" s="3299"/>
      <c r="BO48" s="3299"/>
      <c r="BP48" s="3299"/>
      <c r="BQ48" s="3299"/>
      <c r="BR48" s="3299"/>
      <c r="BS48" s="3299"/>
      <c r="BT48" s="3299"/>
      <c r="BU48" s="3299"/>
      <c r="BV48" s="3299"/>
      <c r="BW48" s="3299"/>
      <c r="BX48" s="3299"/>
      <c r="BY48" s="3299"/>
      <c r="BZ48" s="3299"/>
      <c r="CA48" s="3299"/>
      <c r="CB48" s="3299"/>
      <c r="CC48" s="3299"/>
    </row>
    <row r="49" spans="1:81">
      <c r="A49" s="3298"/>
      <c r="B49" s="3304" t="s">
        <v>519</v>
      </c>
      <c r="C49" s="3306" t="s">
        <v>2005</v>
      </c>
      <c r="D49" s="3325">
        <v>0</v>
      </c>
      <c r="E49" s="3325"/>
      <c r="F49" s="3325"/>
      <c r="G49" s="3325"/>
      <c r="H49" s="3325"/>
      <c r="I49" s="3325"/>
      <c r="J49" s="3325"/>
      <c r="K49" s="3325"/>
      <c r="L49" s="3325"/>
      <c r="M49" s="3326"/>
      <c r="N49" s="3308"/>
      <c r="O49" s="3308"/>
      <c r="P49" s="3309"/>
      <c r="Q49" s="3299"/>
      <c r="R49" s="3299"/>
      <c r="S49" s="3299"/>
      <c r="T49" s="3299"/>
      <c r="U49" s="3299"/>
      <c r="V49" s="3299"/>
      <c r="W49" s="3299"/>
      <c r="X49" s="3299"/>
      <c r="Y49" s="3299"/>
      <c r="Z49" s="3299"/>
      <c r="AA49" s="3299"/>
      <c r="AB49" s="3299"/>
      <c r="AC49" s="3299"/>
      <c r="AD49" s="3299"/>
      <c r="AE49" s="3299"/>
      <c r="AF49" s="3299"/>
      <c r="AG49" s="3299"/>
      <c r="AH49" s="3299"/>
      <c r="AI49" s="3299"/>
      <c r="AJ49" s="3299"/>
      <c r="AK49" s="3299"/>
      <c r="AL49" s="3299"/>
      <c r="AM49" s="3299"/>
      <c r="AN49" s="3299"/>
      <c r="AO49" s="3299"/>
      <c r="AP49" s="3299"/>
      <c r="AQ49" s="3299"/>
      <c r="AR49" s="3299"/>
      <c r="AS49" s="3299"/>
      <c r="AT49" s="3299"/>
      <c r="AU49" s="3299"/>
      <c r="AV49" s="3299"/>
      <c r="AW49" s="3299"/>
      <c r="AX49" s="3299"/>
      <c r="AY49" s="3299"/>
      <c r="AZ49" s="3299"/>
      <c r="BA49" s="3299"/>
      <c r="BB49" s="3299"/>
      <c r="BC49" s="3299"/>
      <c r="BD49" s="3299"/>
      <c r="BE49" s="3299"/>
      <c r="BF49" s="3299"/>
      <c r="BG49" s="3299"/>
      <c r="BH49" s="3299"/>
      <c r="BI49" s="3299"/>
      <c r="BJ49" s="3299"/>
      <c r="BK49" s="3299"/>
      <c r="BL49" s="3299"/>
      <c r="BM49" s="3299"/>
      <c r="BN49" s="3299"/>
      <c r="BO49" s="3299"/>
      <c r="BP49" s="3299"/>
      <c r="BQ49" s="3299"/>
      <c r="BR49" s="3299"/>
      <c r="BS49" s="3299"/>
      <c r="BT49" s="3299"/>
      <c r="BU49" s="3299"/>
      <c r="BV49" s="3299"/>
      <c r="BW49" s="3299"/>
      <c r="BX49" s="3299"/>
      <c r="BY49" s="3299"/>
      <c r="BZ49" s="3299"/>
      <c r="CA49" s="3299"/>
      <c r="CB49" s="3299"/>
      <c r="CC49" s="3299"/>
    </row>
    <row r="50" spans="1:81">
      <c r="A50" s="3298"/>
      <c r="B50" s="3304" t="s">
        <v>3791</v>
      </c>
      <c r="C50" s="3306" t="s">
        <v>2005</v>
      </c>
      <c r="D50" s="3325">
        <v>0</v>
      </c>
      <c r="E50" s="3325"/>
      <c r="F50" s="3325"/>
      <c r="G50" s="3325"/>
      <c r="H50" s="3325"/>
      <c r="I50" s="3325"/>
      <c r="J50" s="3325"/>
      <c r="K50" s="3325"/>
      <c r="L50" s="3325"/>
      <c r="M50" s="3326"/>
      <c r="N50" s="3308"/>
      <c r="O50" s="3308"/>
      <c r="P50" s="3309"/>
      <c r="Q50" s="3299"/>
      <c r="R50" s="3299"/>
      <c r="S50" s="3299"/>
      <c r="T50" s="3299"/>
      <c r="U50" s="3299"/>
      <c r="V50" s="3299"/>
      <c r="W50" s="3299"/>
      <c r="X50" s="3299"/>
      <c r="Y50" s="3299"/>
      <c r="Z50" s="3299"/>
      <c r="AA50" s="3299"/>
      <c r="AB50" s="3299"/>
      <c r="AC50" s="3299"/>
      <c r="AD50" s="3299"/>
      <c r="AE50" s="3299"/>
      <c r="AF50" s="3299"/>
      <c r="AG50" s="3299"/>
      <c r="AH50" s="3299"/>
      <c r="AI50" s="3299"/>
      <c r="AJ50" s="3299"/>
      <c r="AK50" s="3299"/>
      <c r="AL50" s="3299"/>
      <c r="AM50" s="3299"/>
      <c r="AN50" s="3299"/>
      <c r="AO50" s="3299"/>
      <c r="AP50" s="3299"/>
      <c r="AQ50" s="3299"/>
      <c r="AR50" s="3299"/>
      <c r="AS50" s="3299"/>
      <c r="AT50" s="3299"/>
      <c r="AU50" s="3299"/>
      <c r="AV50" s="3299"/>
      <c r="AW50" s="3299"/>
      <c r="AX50" s="3299"/>
      <c r="AY50" s="3299"/>
      <c r="AZ50" s="3299"/>
      <c r="BA50" s="3299"/>
      <c r="BB50" s="3299"/>
      <c r="BC50" s="3299"/>
      <c r="BD50" s="3299"/>
      <c r="BE50" s="3299"/>
      <c r="BF50" s="3299"/>
      <c r="BG50" s="3299"/>
      <c r="BH50" s="3299"/>
      <c r="BI50" s="3299"/>
      <c r="BJ50" s="3299"/>
      <c r="BK50" s="3299"/>
      <c r="BL50" s="3299"/>
      <c r="BM50" s="3299"/>
      <c r="BN50" s="3299"/>
      <c r="BO50" s="3299"/>
      <c r="BP50" s="3299"/>
      <c r="BQ50" s="3299"/>
      <c r="BR50" s="3299"/>
      <c r="BS50" s="3299"/>
      <c r="BT50" s="3299"/>
      <c r="BU50" s="3299"/>
      <c r="BV50" s="3299"/>
      <c r="BW50" s="3299"/>
      <c r="BX50" s="3299"/>
      <c r="BY50" s="3299"/>
      <c r="BZ50" s="3299"/>
      <c r="CA50" s="3299"/>
      <c r="CB50" s="3299"/>
      <c r="CC50" s="3299"/>
    </row>
    <row r="51" spans="1:81">
      <c r="A51" s="3298"/>
      <c r="B51" s="3304" t="s">
        <v>521</v>
      </c>
      <c r="C51" s="3306" t="s">
        <v>2005</v>
      </c>
      <c r="D51" s="3325">
        <v>0</v>
      </c>
      <c r="E51" s="3325"/>
      <c r="F51" s="3325"/>
      <c r="G51" s="3325"/>
      <c r="H51" s="3325"/>
      <c r="I51" s="3325"/>
      <c r="J51" s="3325"/>
      <c r="K51" s="3325"/>
      <c r="L51" s="3325"/>
      <c r="M51" s="3326"/>
      <c r="N51" s="3308"/>
      <c r="O51" s="3308"/>
      <c r="P51" s="3309"/>
      <c r="Q51" s="3299"/>
      <c r="R51" s="3299"/>
      <c r="S51" s="3299"/>
      <c r="T51" s="3299"/>
      <c r="U51" s="3299"/>
      <c r="V51" s="3299"/>
      <c r="W51" s="3299"/>
      <c r="X51" s="3299"/>
      <c r="Y51" s="3299"/>
      <c r="Z51" s="3299"/>
      <c r="AA51" s="3299"/>
      <c r="AB51" s="3299"/>
      <c r="AC51" s="3299"/>
      <c r="AD51" s="3299"/>
      <c r="AE51" s="3299"/>
      <c r="AF51" s="3299"/>
      <c r="AG51" s="3299"/>
      <c r="AH51" s="3299"/>
      <c r="AI51" s="3299"/>
      <c r="AJ51" s="3299"/>
      <c r="AK51" s="3299"/>
      <c r="AL51" s="3299"/>
      <c r="AM51" s="3299"/>
      <c r="AN51" s="3299"/>
      <c r="AO51" s="3299"/>
      <c r="AP51" s="3299"/>
      <c r="AQ51" s="3299"/>
      <c r="AR51" s="3299"/>
      <c r="AS51" s="3299"/>
      <c r="AT51" s="3299"/>
      <c r="AU51" s="3299"/>
      <c r="AV51" s="3299"/>
      <c r="AW51" s="3299"/>
      <c r="AX51" s="3299"/>
      <c r="AY51" s="3299"/>
      <c r="AZ51" s="3299"/>
      <c r="BA51" s="3299"/>
      <c r="BB51" s="3299"/>
      <c r="BC51" s="3299"/>
      <c r="BD51" s="3299"/>
      <c r="BE51" s="3299"/>
      <c r="BF51" s="3299"/>
      <c r="BG51" s="3299"/>
      <c r="BH51" s="3299"/>
      <c r="BI51" s="3299"/>
      <c r="BJ51" s="3299"/>
      <c r="BK51" s="3299"/>
      <c r="BL51" s="3299"/>
      <c r="BM51" s="3299"/>
      <c r="BN51" s="3299"/>
      <c r="BO51" s="3299"/>
      <c r="BP51" s="3299"/>
      <c r="BQ51" s="3299"/>
      <c r="BR51" s="3299"/>
      <c r="BS51" s="3299"/>
      <c r="BT51" s="3299"/>
      <c r="BU51" s="3299"/>
      <c r="BV51" s="3299"/>
      <c r="BW51" s="3299"/>
      <c r="BX51" s="3299"/>
      <c r="BY51" s="3299"/>
      <c r="BZ51" s="3299"/>
      <c r="CA51" s="3299"/>
      <c r="CB51" s="3299"/>
      <c r="CC51" s="3299"/>
    </row>
    <row r="52" spans="1:81">
      <c r="A52" s="3298"/>
      <c r="B52" s="3304" t="s">
        <v>1322</v>
      </c>
      <c r="C52" s="3306" t="s">
        <v>2005</v>
      </c>
      <c r="D52" s="3325">
        <v>0</v>
      </c>
      <c r="E52" s="3325"/>
      <c r="F52" s="3325"/>
      <c r="G52" s="3325"/>
      <c r="H52" s="3325"/>
      <c r="I52" s="3325"/>
      <c r="J52" s="3325"/>
      <c r="K52" s="3325"/>
      <c r="L52" s="3325"/>
      <c r="M52" s="3326"/>
      <c r="N52" s="3308"/>
      <c r="O52" s="3308"/>
      <c r="P52" s="3309"/>
      <c r="Q52" s="3299"/>
      <c r="R52" s="3299"/>
      <c r="S52" s="3299"/>
      <c r="T52" s="3299"/>
      <c r="U52" s="3299"/>
      <c r="V52" s="3299"/>
      <c r="W52" s="3299"/>
      <c r="X52" s="3299"/>
      <c r="Y52" s="3299"/>
      <c r="Z52" s="3299"/>
      <c r="AA52" s="3299"/>
      <c r="AB52" s="3299"/>
      <c r="AC52" s="3299"/>
      <c r="AD52" s="3299"/>
      <c r="AE52" s="3299"/>
      <c r="AF52" s="3299"/>
      <c r="AG52" s="3299"/>
      <c r="AH52" s="3299"/>
      <c r="AI52" s="3299"/>
      <c r="AJ52" s="3299"/>
      <c r="AK52" s="3299"/>
      <c r="AL52" s="3299"/>
      <c r="AM52" s="3299"/>
      <c r="AN52" s="3299"/>
      <c r="AO52" s="3299"/>
      <c r="AP52" s="3299"/>
      <c r="AQ52" s="3299"/>
      <c r="AR52" s="3299"/>
      <c r="AS52" s="3299"/>
      <c r="AT52" s="3299"/>
      <c r="AU52" s="3299"/>
      <c r="AV52" s="3299"/>
      <c r="AW52" s="3299"/>
      <c r="AX52" s="3299"/>
      <c r="AY52" s="3299"/>
      <c r="AZ52" s="3299"/>
      <c r="BA52" s="3299"/>
      <c r="BB52" s="3299"/>
      <c r="BC52" s="3299"/>
      <c r="BD52" s="3299"/>
      <c r="BE52" s="3299"/>
      <c r="BF52" s="3299"/>
      <c r="BG52" s="3299"/>
      <c r="BH52" s="3299"/>
      <c r="BI52" s="3299"/>
      <c r="BJ52" s="3299"/>
      <c r="BK52" s="3299"/>
      <c r="BL52" s="3299"/>
      <c r="BM52" s="3299"/>
      <c r="BN52" s="3299"/>
      <c r="BO52" s="3299"/>
      <c r="BP52" s="3299"/>
      <c r="BQ52" s="3299"/>
      <c r="BR52" s="3299"/>
      <c r="BS52" s="3299"/>
      <c r="BT52" s="3299"/>
      <c r="BU52" s="3299"/>
      <c r="BV52" s="3299"/>
      <c r="BW52" s="3299"/>
      <c r="BX52" s="3299"/>
      <c r="BY52" s="3299"/>
      <c r="BZ52" s="3299"/>
      <c r="CA52" s="3299"/>
      <c r="CB52" s="3299"/>
      <c r="CC52" s="3299"/>
    </row>
    <row r="53" spans="1:81" s="3307" customFormat="1" ht="43.5">
      <c r="A53" s="3322" t="s">
        <v>2018</v>
      </c>
      <c r="B53" s="3323" t="s">
        <v>2019</v>
      </c>
      <c r="C53" s="3317" t="s">
        <v>1396</v>
      </c>
      <c r="D53" s="3324">
        <f>D54+D60+D66</f>
        <v>265033.86995000002</v>
      </c>
      <c r="E53" s="3324">
        <f t="shared" ref="E53:P53" si="9">E54+E60+E66</f>
        <v>0</v>
      </c>
      <c r="F53" s="3324">
        <f t="shared" si="9"/>
        <v>0</v>
      </c>
      <c r="G53" s="3324">
        <f t="shared" si="9"/>
        <v>0</v>
      </c>
      <c r="H53" s="3324">
        <f t="shared" si="9"/>
        <v>0</v>
      </c>
      <c r="I53" s="3324">
        <f t="shared" si="9"/>
        <v>0</v>
      </c>
      <c r="J53" s="3324">
        <f t="shared" si="9"/>
        <v>0</v>
      </c>
      <c r="K53" s="3324">
        <f t="shared" si="9"/>
        <v>0</v>
      </c>
      <c r="L53" s="3324">
        <f t="shared" si="9"/>
        <v>0</v>
      </c>
      <c r="M53" s="3324">
        <f t="shared" si="9"/>
        <v>0</v>
      </c>
      <c r="N53" s="3324">
        <f t="shared" si="9"/>
        <v>0</v>
      </c>
      <c r="O53" s="3324">
        <f t="shared" si="9"/>
        <v>0</v>
      </c>
      <c r="P53" s="3324">
        <f t="shared" si="9"/>
        <v>0</v>
      </c>
      <c r="Q53" s="3299"/>
      <c r="R53" s="3299"/>
      <c r="S53" s="3299"/>
      <c r="T53" s="3299"/>
      <c r="U53" s="3299"/>
      <c r="V53" s="3299"/>
      <c r="W53" s="3299"/>
      <c r="X53" s="3299"/>
      <c r="Y53" s="3299"/>
      <c r="Z53" s="3299"/>
      <c r="AA53" s="3299"/>
      <c r="AB53" s="3299"/>
      <c r="AC53" s="3299"/>
      <c r="AD53" s="3299"/>
      <c r="AE53" s="3299"/>
      <c r="AF53" s="3299"/>
      <c r="AG53" s="3299"/>
      <c r="AH53" s="3299"/>
      <c r="AI53" s="3299"/>
      <c r="AJ53" s="3299"/>
      <c r="AK53" s="3299"/>
      <c r="AL53" s="3299"/>
      <c r="AM53" s="3299"/>
      <c r="AN53" s="3299"/>
      <c r="AO53" s="3299"/>
      <c r="AP53" s="3299"/>
      <c r="AQ53" s="3299"/>
      <c r="AR53" s="3299"/>
      <c r="AS53" s="3299"/>
      <c r="AT53" s="3299"/>
      <c r="AU53" s="3299"/>
      <c r="AV53" s="3299"/>
      <c r="AW53" s="3299"/>
      <c r="AX53" s="3299"/>
      <c r="AY53" s="3299"/>
      <c r="AZ53" s="3299"/>
      <c r="BA53" s="3299"/>
      <c r="BB53" s="3299"/>
      <c r="BC53" s="3299"/>
      <c r="BD53" s="3299"/>
      <c r="BE53" s="3299"/>
      <c r="BF53" s="3299"/>
      <c r="BG53" s="3299"/>
      <c r="BH53" s="3299"/>
      <c r="BI53" s="3299"/>
      <c r="BJ53" s="3299"/>
      <c r="BK53" s="3299"/>
      <c r="BL53" s="3299"/>
      <c r="BM53" s="3299"/>
      <c r="BN53" s="3299"/>
      <c r="BO53" s="3299"/>
      <c r="BP53" s="3299"/>
      <c r="BQ53" s="3299"/>
      <c r="BR53" s="3299"/>
      <c r="BS53" s="3299"/>
      <c r="BT53" s="3299"/>
      <c r="BU53" s="3299"/>
      <c r="BV53" s="3299"/>
      <c r="BW53" s="3299"/>
      <c r="BX53" s="3299"/>
      <c r="BY53" s="3299"/>
      <c r="BZ53" s="3299"/>
      <c r="CA53" s="3299"/>
      <c r="CB53" s="3299"/>
      <c r="CC53" s="3299"/>
    </row>
    <row r="54" spans="1:81">
      <c r="A54" s="3298" t="s">
        <v>2020</v>
      </c>
      <c r="B54" s="3320" t="s">
        <v>1934</v>
      </c>
      <c r="C54" s="3306" t="s">
        <v>1396</v>
      </c>
      <c r="D54" s="3325">
        <f>SUM(D55:D59)</f>
        <v>187148.78167000003</v>
      </c>
      <c r="E54" s="3325">
        <f t="shared" ref="E54:P54" si="10">SUM(E55:E59)</f>
        <v>0</v>
      </c>
      <c r="F54" s="3325">
        <f t="shared" si="10"/>
        <v>0</v>
      </c>
      <c r="G54" s="3325">
        <f t="shared" si="10"/>
        <v>0</v>
      </c>
      <c r="H54" s="3325">
        <f t="shared" si="10"/>
        <v>0</v>
      </c>
      <c r="I54" s="3325">
        <f t="shared" si="10"/>
        <v>0</v>
      </c>
      <c r="J54" s="3325">
        <f t="shared" si="10"/>
        <v>0</v>
      </c>
      <c r="K54" s="3325">
        <f t="shared" si="10"/>
        <v>0</v>
      </c>
      <c r="L54" s="3325">
        <f t="shared" si="10"/>
        <v>0</v>
      </c>
      <c r="M54" s="3325">
        <f t="shared" si="10"/>
        <v>0</v>
      </c>
      <c r="N54" s="3325">
        <f t="shared" si="10"/>
        <v>0</v>
      </c>
      <c r="O54" s="3325">
        <f t="shared" si="10"/>
        <v>0</v>
      </c>
      <c r="P54" s="3325">
        <f t="shared" si="10"/>
        <v>0</v>
      </c>
      <c r="Q54" s="3299"/>
      <c r="R54" s="3299"/>
      <c r="S54" s="3299"/>
      <c r="T54" s="3299"/>
      <c r="U54" s="3299"/>
      <c r="V54" s="3299"/>
      <c r="W54" s="3299"/>
      <c r="X54" s="3299"/>
      <c r="Y54" s="3299"/>
      <c r="Z54" s="3299"/>
      <c r="AA54" s="3299"/>
      <c r="AB54" s="3299"/>
      <c r="AC54" s="3299"/>
      <c r="AD54" s="3299"/>
      <c r="AE54" s="3299"/>
      <c r="AF54" s="3299"/>
      <c r="AG54" s="3299"/>
      <c r="AH54" s="3299"/>
      <c r="AI54" s="3299"/>
      <c r="AJ54" s="3299"/>
      <c r="AK54" s="3299"/>
      <c r="AL54" s="3299"/>
      <c r="AM54" s="3299"/>
      <c r="AN54" s="3299"/>
      <c r="AO54" s="3299"/>
      <c r="AP54" s="3299"/>
      <c r="AQ54" s="3299"/>
      <c r="AR54" s="3299"/>
      <c r="AS54" s="3299"/>
      <c r="AT54" s="3299"/>
      <c r="AU54" s="3299"/>
      <c r="AV54" s="3299"/>
      <c r="AW54" s="3299"/>
      <c r="AX54" s="3299"/>
      <c r="AY54" s="3299"/>
      <c r="AZ54" s="3299"/>
      <c r="BA54" s="3299"/>
      <c r="BB54" s="3299"/>
      <c r="BC54" s="3299"/>
      <c r="BD54" s="3299"/>
      <c r="BE54" s="3299"/>
      <c r="BF54" s="3299"/>
      <c r="BG54" s="3299"/>
      <c r="BH54" s="3299"/>
      <c r="BI54" s="3299"/>
      <c r="BJ54" s="3299"/>
      <c r="BK54" s="3299"/>
      <c r="BL54" s="3299"/>
      <c r="BM54" s="3299"/>
      <c r="BN54" s="3299"/>
      <c r="BO54" s="3299"/>
      <c r="BP54" s="3299"/>
      <c r="BQ54" s="3299"/>
      <c r="BR54" s="3299"/>
      <c r="BS54" s="3299"/>
      <c r="BT54" s="3299"/>
      <c r="BU54" s="3299"/>
      <c r="BV54" s="3299"/>
      <c r="BW54" s="3299"/>
      <c r="BX54" s="3299"/>
      <c r="BY54" s="3299"/>
      <c r="BZ54" s="3299"/>
      <c r="CA54" s="3299"/>
      <c r="CB54" s="3299"/>
      <c r="CC54" s="3299"/>
    </row>
    <row r="55" spans="1:81" ht="17.25" customHeight="1">
      <c r="A55" s="3298"/>
      <c r="B55" s="3304" t="s">
        <v>516</v>
      </c>
      <c r="C55" s="3306" t="s">
        <v>1396</v>
      </c>
      <c r="D55" s="3325">
        <f>'Раздел 2А'!M42+'Раздел 2А'!AO42+'Раздел 2А'!BC42+'Раздел 2А'!BQ42+'Раздел 2А'!CE42+'Раздел 2А'!CS42</f>
        <v>9329.2458100000003</v>
      </c>
      <c r="E55" s="3325"/>
      <c r="F55" s="3325"/>
      <c r="G55" s="3325"/>
      <c r="H55" s="3325"/>
      <c r="I55" s="3325"/>
      <c r="J55" s="3325"/>
      <c r="K55" s="3325"/>
      <c r="L55" s="3325"/>
      <c r="M55" s="3308"/>
      <c r="N55" s="3308"/>
      <c r="O55" s="3308"/>
      <c r="P55" s="3309"/>
      <c r="Q55" s="3299"/>
      <c r="R55" s="3299"/>
      <c r="S55" s="3299"/>
      <c r="T55" s="3299"/>
      <c r="U55" s="3299"/>
      <c r="V55" s="3299"/>
      <c r="W55" s="3299"/>
      <c r="X55" s="3299"/>
      <c r="Y55" s="3299"/>
      <c r="Z55" s="3299"/>
      <c r="AA55" s="3299"/>
      <c r="AB55" s="3299"/>
      <c r="AC55" s="3299"/>
      <c r="AD55" s="3299"/>
      <c r="AE55" s="3299"/>
      <c r="AF55" s="3299"/>
      <c r="AG55" s="3299"/>
      <c r="AH55" s="3299"/>
      <c r="AI55" s="3299"/>
      <c r="AJ55" s="3299"/>
      <c r="AK55" s="3299"/>
      <c r="AL55" s="3299"/>
      <c r="AM55" s="3299"/>
      <c r="AN55" s="3299"/>
      <c r="AO55" s="3299"/>
      <c r="AP55" s="3299"/>
      <c r="AQ55" s="3299"/>
      <c r="AR55" s="3299"/>
      <c r="AS55" s="3299"/>
      <c r="AT55" s="3299"/>
      <c r="AU55" s="3299"/>
      <c r="AV55" s="3299"/>
      <c r="AW55" s="3299"/>
      <c r="AX55" s="3299"/>
      <c r="AY55" s="3299"/>
      <c r="AZ55" s="3299"/>
      <c r="BA55" s="3299"/>
      <c r="BB55" s="3299"/>
      <c r="BC55" s="3299"/>
      <c r="BD55" s="3299"/>
      <c r="BE55" s="3299"/>
      <c r="BF55" s="3299"/>
      <c r="BG55" s="3299"/>
      <c r="BH55" s="3299"/>
      <c r="BI55" s="3299"/>
      <c r="BJ55" s="3299"/>
      <c r="BK55" s="3299"/>
      <c r="BL55" s="3299"/>
      <c r="BM55" s="3299"/>
      <c r="BN55" s="3299"/>
      <c r="BO55" s="3299"/>
      <c r="BP55" s="3299"/>
      <c r="BQ55" s="3299"/>
      <c r="BR55" s="3299"/>
      <c r="BS55" s="3299"/>
      <c r="BT55" s="3299"/>
      <c r="BU55" s="3299"/>
      <c r="BV55" s="3299"/>
      <c r="BW55" s="3299"/>
      <c r="BX55" s="3299"/>
      <c r="BY55" s="3299"/>
      <c r="BZ55" s="3299"/>
      <c r="CA55" s="3299"/>
      <c r="CB55" s="3299"/>
      <c r="CC55" s="3299"/>
    </row>
    <row r="56" spans="1:81">
      <c r="A56" s="3298"/>
      <c r="B56" s="3304" t="s">
        <v>519</v>
      </c>
      <c r="C56" s="3306" t="s">
        <v>1396</v>
      </c>
      <c r="D56" s="3325">
        <f>'Раздел 2А'!M45</f>
        <v>120236.33578000001</v>
      </c>
      <c r="E56" s="3325"/>
      <c r="F56" s="3325"/>
      <c r="G56" s="3325"/>
      <c r="H56" s="3325"/>
      <c r="I56" s="3325"/>
      <c r="J56" s="3325"/>
      <c r="K56" s="3325"/>
      <c r="L56" s="3325"/>
      <c r="M56" s="3308"/>
      <c r="N56" s="3308"/>
      <c r="O56" s="3308"/>
      <c r="P56" s="3309"/>
      <c r="Q56" s="3299"/>
      <c r="R56" s="3299"/>
      <c r="S56" s="3299"/>
      <c r="T56" s="3299"/>
      <c r="U56" s="3299"/>
      <c r="V56" s="3299"/>
      <c r="W56" s="3299"/>
      <c r="X56" s="3299"/>
      <c r="Y56" s="3299"/>
      <c r="Z56" s="3299"/>
      <c r="AA56" s="3299"/>
      <c r="AB56" s="3299"/>
      <c r="AC56" s="3299"/>
      <c r="AD56" s="3299"/>
      <c r="AE56" s="3299"/>
      <c r="AF56" s="3299"/>
      <c r="AG56" s="3299"/>
      <c r="AH56" s="3299"/>
      <c r="AI56" s="3299"/>
      <c r="AJ56" s="3299"/>
      <c r="AK56" s="3299"/>
      <c r="AL56" s="3299"/>
      <c r="AM56" s="3299"/>
      <c r="AN56" s="3299"/>
      <c r="AO56" s="3299"/>
      <c r="AP56" s="3299"/>
      <c r="AQ56" s="3299"/>
      <c r="AR56" s="3299"/>
      <c r="AS56" s="3299"/>
      <c r="AT56" s="3299"/>
      <c r="AU56" s="3299"/>
      <c r="AV56" s="3299"/>
      <c r="AW56" s="3299"/>
      <c r="AX56" s="3299"/>
      <c r="AY56" s="3299"/>
      <c r="AZ56" s="3299"/>
      <c r="BA56" s="3299"/>
      <c r="BB56" s="3299"/>
      <c r="BC56" s="3299"/>
      <c r="BD56" s="3299"/>
      <c r="BE56" s="3299"/>
      <c r="BF56" s="3299"/>
      <c r="BG56" s="3299"/>
      <c r="BH56" s="3299"/>
      <c r="BI56" s="3299"/>
      <c r="BJ56" s="3299"/>
      <c r="BK56" s="3299"/>
      <c r="BL56" s="3299"/>
      <c r="BM56" s="3299"/>
      <c r="BN56" s="3299"/>
      <c r="BO56" s="3299"/>
      <c r="BP56" s="3299"/>
      <c r="BQ56" s="3299"/>
      <c r="BR56" s="3299"/>
      <c r="BS56" s="3299"/>
      <c r="BT56" s="3299"/>
      <c r="BU56" s="3299"/>
      <c r="BV56" s="3299"/>
      <c r="BW56" s="3299"/>
      <c r="BX56" s="3299"/>
      <c r="BY56" s="3299"/>
      <c r="BZ56" s="3299"/>
      <c r="CA56" s="3299"/>
      <c r="CB56" s="3299"/>
      <c r="CC56" s="3299"/>
    </row>
    <row r="57" spans="1:81">
      <c r="A57" s="3298"/>
      <c r="B57" s="3304" t="s">
        <v>3791</v>
      </c>
      <c r="C57" s="3306" t="s">
        <v>1396</v>
      </c>
      <c r="D57" s="3325">
        <f>'Раздел 2А'!M46</f>
        <v>1268.729</v>
      </c>
      <c r="E57" s="3325"/>
      <c r="F57" s="3325"/>
      <c r="G57" s="3325"/>
      <c r="H57" s="3325"/>
      <c r="I57" s="3325"/>
      <c r="J57" s="3325"/>
      <c r="K57" s="3325"/>
      <c r="L57" s="3325"/>
      <c r="M57" s="3308"/>
      <c r="N57" s="3308"/>
      <c r="O57" s="3308"/>
      <c r="P57" s="3309"/>
      <c r="Q57" s="3299"/>
      <c r="R57" s="3299"/>
      <c r="S57" s="3299"/>
      <c r="T57" s="3299"/>
      <c r="U57" s="3299"/>
      <c r="V57" s="3299"/>
      <c r="W57" s="3299"/>
      <c r="X57" s="3299"/>
      <c r="Y57" s="3299"/>
      <c r="Z57" s="3299"/>
      <c r="AA57" s="3299"/>
      <c r="AB57" s="3299"/>
      <c r="AC57" s="3299"/>
      <c r="AD57" s="3299"/>
      <c r="AE57" s="3299"/>
      <c r="AF57" s="3299"/>
      <c r="AG57" s="3299"/>
      <c r="AH57" s="3299"/>
      <c r="AI57" s="3299"/>
      <c r="AJ57" s="3299"/>
      <c r="AK57" s="3299"/>
      <c r="AL57" s="3299"/>
      <c r="AM57" s="3299"/>
      <c r="AN57" s="3299"/>
      <c r="AO57" s="3299"/>
      <c r="AP57" s="3299"/>
      <c r="AQ57" s="3299"/>
      <c r="AR57" s="3299"/>
      <c r="AS57" s="3299"/>
      <c r="AT57" s="3299"/>
      <c r="AU57" s="3299"/>
      <c r="AV57" s="3299"/>
      <c r="AW57" s="3299"/>
      <c r="AX57" s="3299"/>
      <c r="AY57" s="3299"/>
      <c r="AZ57" s="3299"/>
      <c r="BA57" s="3299"/>
      <c r="BB57" s="3299"/>
      <c r="BC57" s="3299"/>
      <c r="BD57" s="3299"/>
      <c r="BE57" s="3299"/>
      <c r="BF57" s="3299"/>
      <c r="BG57" s="3299"/>
      <c r="BH57" s="3299"/>
      <c r="BI57" s="3299"/>
      <c r="BJ57" s="3299"/>
      <c r="BK57" s="3299"/>
      <c r="BL57" s="3299"/>
      <c r="BM57" s="3299"/>
      <c r="BN57" s="3299"/>
      <c r="BO57" s="3299"/>
      <c r="BP57" s="3299"/>
      <c r="BQ57" s="3299"/>
      <c r="BR57" s="3299"/>
      <c r="BS57" s="3299"/>
      <c r="BT57" s="3299"/>
      <c r="BU57" s="3299"/>
      <c r="BV57" s="3299"/>
      <c r="BW57" s="3299"/>
      <c r="BX57" s="3299"/>
      <c r="BY57" s="3299"/>
      <c r="BZ57" s="3299"/>
      <c r="CA57" s="3299"/>
      <c r="CB57" s="3299"/>
      <c r="CC57" s="3299"/>
    </row>
    <row r="58" spans="1:81">
      <c r="A58" s="3298"/>
      <c r="B58" s="3304" t="s">
        <v>521</v>
      </c>
      <c r="C58" s="3306" t="s">
        <v>1396</v>
      </c>
      <c r="D58" s="3325">
        <f>'Раздел 2А'!M47+'Раздел 2А'!AA47</f>
        <v>42598.759080000003</v>
      </c>
      <c r="E58" s="3325"/>
      <c r="F58" s="3325"/>
      <c r="G58" s="3325"/>
      <c r="H58" s="3325"/>
      <c r="I58" s="3325"/>
      <c r="J58" s="3325"/>
      <c r="K58" s="3325"/>
      <c r="L58" s="3325"/>
      <c r="M58" s="3308"/>
      <c r="N58" s="3308"/>
      <c r="O58" s="3308"/>
      <c r="P58" s="3309"/>
      <c r="Q58" s="3299"/>
      <c r="R58" s="3299"/>
      <c r="S58" s="3299"/>
      <c r="T58" s="3299"/>
      <c r="U58" s="3299"/>
      <c r="V58" s="3299"/>
      <c r="W58" s="3299"/>
      <c r="X58" s="3299"/>
      <c r="Y58" s="3299"/>
      <c r="Z58" s="3299"/>
      <c r="AA58" s="3299"/>
      <c r="AB58" s="3299"/>
      <c r="AC58" s="3299"/>
      <c r="AD58" s="3299"/>
      <c r="AE58" s="3299"/>
      <c r="AF58" s="3299"/>
      <c r="AG58" s="3299"/>
      <c r="AH58" s="3299"/>
      <c r="AI58" s="3299"/>
      <c r="AJ58" s="3299"/>
      <c r="AK58" s="3299"/>
      <c r="AL58" s="3299"/>
      <c r="AM58" s="3299"/>
      <c r="AN58" s="3299"/>
      <c r="AO58" s="3299"/>
      <c r="AP58" s="3299"/>
      <c r="AQ58" s="3299"/>
      <c r="AR58" s="3299"/>
      <c r="AS58" s="3299"/>
      <c r="AT58" s="3299"/>
      <c r="AU58" s="3299"/>
      <c r="AV58" s="3299"/>
      <c r="AW58" s="3299"/>
      <c r="AX58" s="3299"/>
      <c r="AY58" s="3299"/>
      <c r="AZ58" s="3299"/>
      <c r="BA58" s="3299"/>
      <c r="BB58" s="3299"/>
      <c r="BC58" s="3299"/>
      <c r="BD58" s="3299"/>
      <c r="BE58" s="3299"/>
      <c r="BF58" s="3299"/>
      <c r="BG58" s="3299"/>
      <c r="BH58" s="3299"/>
      <c r="BI58" s="3299"/>
      <c r="BJ58" s="3299"/>
      <c r="BK58" s="3299"/>
      <c r="BL58" s="3299"/>
      <c r="BM58" s="3299"/>
      <c r="BN58" s="3299"/>
      <c r="BO58" s="3299"/>
      <c r="BP58" s="3299"/>
      <c r="BQ58" s="3299"/>
      <c r="BR58" s="3299"/>
      <c r="BS58" s="3299"/>
      <c r="BT58" s="3299"/>
      <c r="BU58" s="3299"/>
      <c r="BV58" s="3299"/>
      <c r="BW58" s="3299"/>
      <c r="BX58" s="3299"/>
      <c r="BY58" s="3299"/>
      <c r="BZ58" s="3299"/>
      <c r="CA58" s="3299"/>
      <c r="CB58" s="3299"/>
      <c r="CC58" s="3299"/>
    </row>
    <row r="59" spans="1:81">
      <c r="A59" s="3298"/>
      <c r="B59" s="3304" t="s">
        <v>1322</v>
      </c>
      <c r="C59" s="3306" t="s">
        <v>1396</v>
      </c>
      <c r="D59" s="3325">
        <f>'Раздел 2А'!M48</f>
        <v>13715.712</v>
      </c>
      <c r="E59" s="3325"/>
      <c r="F59" s="3325"/>
      <c r="G59" s="3325"/>
      <c r="H59" s="3325"/>
      <c r="I59" s="3325"/>
      <c r="J59" s="3325"/>
      <c r="K59" s="3325"/>
      <c r="L59" s="3325"/>
      <c r="M59" s="3308"/>
      <c r="N59" s="3308"/>
      <c r="O59" s="3308"/>
      <c r="P59" s="3309"/>
      <c r="Q59" s="3299"/>
      <c r="R59" s="3299"/>
      <c r="S59" s="3299"/>
      <c r="T59" s="3299"/>
      <c r="U59" s="3299"/>
      <c r="V59" s="3299"/>
      <c r="W59" s="3299"/>
      <c r="X59" s="3299"/>
      <c r="Y59" s="3299"/>
      <c r="Z59" s="3299"/>
      <c r="AA59" s="3299"/>
      <c r="AB59" s="3299"/>
      <c r="AC59" s="3299"/>
      <c r="AD59" s="3299"/>
      <c r="AE59" s="3299"/>
      <c r="AF59" s="3299"/>
      <c r="AG59" s="3299"/>
      <c r="AH59" s="3299"/>
      <c r="AI59" s="3299"/>
      <c r="AJ59" s="3299"/>
      <c r="AK59" s="3299"/>
      <c r="AL59" s="3299"/>
      <c r="AM59" s="3299"/>
      <c r="AN59" s="3299"/>
      <c r="AO59" s="3299"/>
      <c r="AP59" s="3299"/>
      <c r="AQ59" s="3299"/>
      <c r="AR59" s="3299"/>
      <c r="AS59" s="3299"/>
      <c r="AT59" s="3299"/>
      <c r="AU59" s="3299"/>
      <c r="AV59" s="3299"/>
      <c r="AW59" s="3299"/>
      <c r="AX59" s="3299"/>
      <c r="AY59" s="3299"/>
      <c r="AZ59" s="3299"/>
      <c r="BA59" s="3299"/>
      <c r="BB59" s="3299"/>
      <c r="BC59" s="3299"/>
      <c r="BD59" s="3299"/>
      <c r="BE59" s="3299"/>
      <c r="BF59" s="3299"/>
      <c r="BG59" s="3299"/>
      <c r="BH59" s="3299"/>
      <c r="BI59" s="3299"/>
      <c r="BJ59" s="3299"/>
      <c r="BK59" s="3299"/>
      <c r="BL59" s="3299"/>
      <c r="BM59" s="3299"/>
      <c r="BN59" s="3299"/>
      <c r="BO59" s="3299"/>
      <c r="BP59" s="3299"/>
      <c r="BQ59" s="3299"/>
      <c r="BR59" s="3299"/>
      <c r="BS59" s="3299"/>
      <c r="BT59" s="3299"/>
      <c r="BU59" s="3299"/>
      <c r="BV59" s="3299"/>
      <c r="BW59" s="3299"/>
      <c r="BX59" s="3299"/>
      <c r="BY59" s="3299"/>
      <c r="BZ59" s="3299"/>
      <c r="CA59" s="3299"/>
      <c r="CB59" s="3299"/>
      <c r="CC59" s="3299"/>
    </row>
    <row r="60" spans="1:81">
      <c r="A60" s="3298" t="s">
        <v>2021</v>
      </c>
      <c r="B60" s="3320" t="s">
        <v>158</v>
      </c>
      <c r="C60" s="3306" t="s">
        <v>1396</v>
      </c>
      <c r="D60" s="3325">
        <f>SUM(D61:D65)</f>
        <v>77885.088280000011</v>
      </c>
      <c r="E60" s="3325">
        <f t="shared" ref="E60:P60" si="11">SUM(E61:E65)</f>
        <v>0</v>
      </c>
      <c r="F60" s="3325">
        <f t="shared" si="11"/>
        <v>0</v>
      </c>
      <c r="G60" s="3325">
        <f t="shared" si="11"/>
        <v>0</v>
      </c>
      <c r="H60" s="3325">
        <f t="shared" si="11"/>
        <v>0</v>
      </c>
      <c r="I60" s="3325">
        <f t="shared" si="11"/>
        <v>0</v>
      </c>
      <c r="J60" s="3325">
        <f t="shared" si="11"/>
        <v>0</v>
      </c>
      <c r="K60" s="3325">
        <f t="shared" si="11"/>
        <v>0</v>
      </c>
      <c r="L60" s="3325">
        <f t="shared" si="11"/>
        <v>0</v>
      </c>
      <c r="M60" s="3325">
        <f t="shared" si="11"/>
        <v>0</v>
      </c>
      <c r="N60" s="3325">
        <f t="shared" si="11"/>
        <v>0</v>
      </c>
      <c r="O60" s="3325">
        <f t="shared" si="11"/>
        <v>0</v>
      </c>
      <c r="P60" s="3325">
        <f t="shared" si="11"/>
        <v>0</v>
      </c>
      <c r="Q60" s="3299"/>
      <c r="R60" s="3299"/>
      <c r="S60" s="3299"/>
      <c r="T60" s="3299"/>
      <c r="U60" s="3299"/>
      <c r="V60" s="3299"/>
      <c r="W60" s="3299"/>
      <c r="X60" s="3299"/>
      <c r="Y60" s="3299"/>
      <c r="Z60" s="3299"/>
      <c r="AA60" s="3299"/>
      <c r="AB60" s="3299"/>
      <c r="AC60" s="3299"/>
      <c r="AD60" s="3299"/>
      <c r="AE60" s="3299"/>
      <c r="AF60" s="3299"/>
      <c r="AG60" s="3299"/>
      <c r="AH60" s="3299"/>
      <c r="AI60" s="3299"/>
      <c r="AJ60" s="3299"/>
      <c r="AK60" s="3299"/>
      <c r="AL60" s="3299"/>
      <c r="AM60" s="3299"/>
      <c r="AN60" s="3299"/>
      <c r="AO60" s="3299"/>
      <c r="AP60" s="3299"/>
      <c r="AQ60" s="3299"/>
      <c r="AR60" s="3299"/>
      <c r="AS60" s="3299"/>
      <c r="AT60" s="3299"/>
      <c r="AU60" s="3299"/>
      <c r="AV60" s="3299"/>
      <c r="AW60" s="3299"/>
      <c r="AX60" s="3299"/>
      <c r="AY60" s="3299"/>
      <c r="AZ60" s="3299"/>
      <c r="BA60" s="3299"/>
      <c r="BB60" s="3299"/>
      <c r="BC60" s="3299"/>
      <c r="BD60" s="3299"/>
      <c r="BE60" s="3299"/>
      <c r="BF60" s="3299"/>
      <c r="BG60" s="3299"/>
      <c r="BH60" s="3299"/>
      <c r="BI60" s="3299"/>
      <c r="BJ60" s="3299"/>
      <c r="BK60" s="3299"/>
      <c r="BL60" s="3299"/>
      <c r="BM60" s="3299"/>
      <c r="BN60" s="3299"/>
      <c r="BO60" s="3299"/>
      <c r="BP60" s="3299"/>
      <c r="BQ60" s="3299"/>
      <c r="BR60" s="3299"/>
      <c r="BS60" s="3299"/>
      <c r="BT60" s="3299"/>
      <c r="BU60" s="3299"/>
      <c r="BV60" s="3299"/>
      <c r="BW60" s="3299"/>
      <c r="BX60" s="3299"/>
      <c r="BY60" s="3299"/>
      <c r="BZ60" s="3299"/>
      <c r="CA60" s="3299"/>
      <c r="CB60" s="3299"/>
      <c r="CC60" s="3299"/>
    </row>
    <row r="61" spans="1:81">
      <c r="A61" s="3298"/>
      <c r="B61" s="3304" t="s">
        <v>516</v>
      </c>
      <c r="C61" s="3306" t="s">
        <v>1396</v>
      </c>
      <c r="D61" s="3325">
        <f>'Раздел 2А'!AO26+'Раздел 2А'!BC26+'Раздел 2А'!BQ26+'Раздел 2А'!CE26+'Раздел 2А'!CS26</f>
        <v>77885.088280000011</v>
      </c>
      <c r="E61" s="3325"/>
      <c r="F61" s="3325"/>
      <c r="G61" s="3325"/>
      <c r="H61" s="3325"/>
      <c r="I61" s="3325"/>
      <c r="J61" s="3325"/>
      <c r="K61" s="3325"/>
      <c r="L61" s="3325"/>
      <c r="M61" s="3308"/>
      <c r="N61" s="3308"/>
      <c r="O61" s="3308"/>
      <c r="P61" s="3309"/>
      <c r="Q61" s="3299"/>
      <c r="R61" s="3299"/>
      <c r="S61" s="3299"/>
      <c r="T61" s="3299"/>
      <c r="U61" s="3299"/>
      <c r="V61" s="3299"/>
      <c r="W61" s="3299"/>
      <c r="X61" s="3299"/>
      <c r="Y61" s="3299"/>
      <c r="Z61" s="3299"/>
      <c r="AA61" s="3299"/>
      <c r="AB61" s="3299"/>
      <c r="AC61" s="3299"/>
      <c r="AD61" s="3299"/>
      <c r="AE61" s="3299"/>
      <c r="AF61" s="3299"/>
      <c r="AG61" s="3299"/>
      <c r="AH61" s="3299"/>
      <c r="AI61" s="3299"/>
      <c r="AJ61" s="3299"/>
      <c r="AK61" s="3299"/>
      <c r="AL61" s="3299"/>
      <c r="AM61" s="3299"/>
      <c r="AN61" s="3299"/>
      <c r="AO61" s="3299"/>
      <c r="AP61" s="3299"/>
      <c r="AQ61" s="3299"/>
      <c r="AR61" s="3299"/>
      <c r="AS61" s="3299"/>
      <c r="AT61" s="3299"/>
      <c r="AU61" s="3299"/>
      <c r="AV61" s="3299"/>
      <c r="AW61" s="3299"/>
      <c r="AX61" s="3299"/>
      <c r="AY61" s="3299"/>
      <c r="AZ61" s="3299"/>
      <c r="BA61" s="3299"/>
      <c r="BB61" s="3299"/>
      <c r="BC61" s="3299"/>
      <c r="BD61" s="3299"/>
      <c r="BE61" s="3299"/>
      <c r="BF61" s="3299"/>
      <c r="BG61" s="3299"/>
      <c r="BH61" s="3299"/>
      <c r="BI61" s="3299"/>
      <c r="BJ61" s="3299"/>
      <c r="BK61" s="3299"/>
      <c r="BL61" s="3299"/>
      <c r="BM61" s="3299"/>
      <c r="BN61" s="3299"/>
      <c r="BO61" s="3299"/>
      <c r="BP61" s="3299"/>
      <c r="BQ61" s="3299"/>
      <c r="BR61" s="3299"/>
      <c r="BS61" s="3299"/>
      <c r="BT61" s="3299"/>
      <c r="BU61" s="3299"/>
      <c r="BV61" s="3299"/>
      <c r="BW61" s="3299"/>
      <c r="BX61" s="3299"/>
      <c r="BY61" s="3299"/>
      <c r="BZ61" s="3299"/>
      <c r="CA61" s="3299"/>
      <c r="CB61" s="3299"/>
      <c r="CC61" s="3299"/>
    </row>
    <row r="62" spans="1:81">
      <c r="A62" s="3298"/>
      <c r="B62" s="3304" t="s">
        <v>519</v>
      </c>
      <c r="C62" s="3306" t="s">
        <v>1396</v>
      </c>
      <c r="D62" s="3325">
        <v>0</v>
      </c>
      <c r="E62" s="3325"/>
      <c r="F62" s="3325"/>
      <c r="G62" s="3325"/>
      <c r="H62" s="3325"/>
      <c r="I62" s="3325"/>
      <c r="J62" s="3325"/>
      <c r="K62" s="3325"/>
      <c r="L62" s="3325"/>
      <c r="M62" s="3308"/>
      <c r="N62" s="3308"/>
      <c r="O62" s="3308"/>
      <c r="P62" s="3309"/>
      <c r="Q62" s="3299"/>
      <c r="R62" s="3299"/>
      <c r="S62" s="3299"/>
      <c r="T62" s="3299"/>
      <c r="U62" s="3299"/>
      <c r="V62" s="3299"/>
      <c r="W62" s="3299"/>
      <c r="X62" s="3299"/>
      <c r="Y62" s="3299"/>
      <c r="Z62" s="3299"/>
      <c r="AA62" s="3299"/>
      <c r="AB62" s="3299"/>
      <c r="AC62" s="3299"/>
      <c r="AD62" s="3299"/>
      <c r="AE62" s="3299"/>
      <c r="AF62" s="3299"/>
      <c r="AG62" s="3299"/>
      <c r="AH62" s="3299"/>
      <c r="AI62" s="3299"/>
      <c r="AJ62" s="3299"/>
      <c r="AK62" s="3299"/>
      <c r="AL62" s="3299"/>
      <c r="AM62" s="3299"/>
      <c r="AN62" s="3299"/>
      <c r="AO62" s="3299"/>
      <c r="AP62" s="3299"/>
      <c r="AQ62" s="3299"/>
      <c r="AR62" s="3299"/>
      <c r="AS62" s="3299"/>
      <c r="AT62" s="3299"/>
      <c r="AU62" s="3299"/>
      <c r="AV62" s="3299"/>
      <c r="AW62" s="3299"/>
      <c r="AX62" s="3299"/>
      <c r="AY62" s="3299"/>
      <c r="AZ62" s="3299"/>
      <c r="BA62" s="3299"/>
      <c r="BB62" s="3299"/>
      <c r="BC62" s="3299"/>
      <c r="BD62" s="3299"/>
      <c r="BE62" s="3299"/>
      <c r="BF62" s="3299"/>
      <c r="BG62" s="3299"/>
      <c r="BH62" s="3299"/>
      <c r="BI62" s="3299"/>
      <c r="BJ62" s="3299"/>
      <c r="BK62" s="3299"/>
      <c r="BL62" s="3299"/>
      <c r="BM62" s="3299"/>
      <c r="BN62" s="3299"/>
      <c r="BO62" s="3299"/>
      <c r="BP62" s="3299"/>
      <c r="BQ62" s="3299"/>
      <c r="BR62" s="3299"/>
      <c r="BS62" s="3299"/>
      <c r="BT62" s="3299"/>
      <c r="BU62" s="3299"/>
      <c r="BV62" s="3299"/>
      <c r="BW62" s="3299"/>
      <c r="BX62" s="3299"/>
      <c r="BY62" s="3299"/>
      <c r="BZ62" s="3299"/>
      <c r="CA62" s="3299"/>
      <c r="CB62" s="3299"/>
      <c r="CC62" s="3299"/>
    </row>
    <row r="63" spans="1:81">
      <c r="A63" s="3298"/>
      <c r="B63" s="3304" t="s">
        <v>3791</v>
      </c>
      <c r="C63" s="3306" t="s">
        <v>1396</v>
      </c>
      <c r="D63" s="3325">
        <v>0</v>
      </c>
      <c r="E63" s="3325"/>
      <c r="F63" s="3325"/>
      <c r="G63" s="3325"/>
      <c r="H63" s="3325"/>
      <c r="I63" s="3325"/>
      <c r="J63" s="3325"/>
      <c r="K63" s="3325"/>
      <c r="L63" s="3325"/>
      <c r="M63" s="3308"/>
      <c r="N63" s="3308"/>
      <c r="O63" s="3308"/>
      <c r="P63" s="3309"/>
      <c r="Q63" s="3299"/>
      <c r="R63" s="3299"/>
      <c r="S63" s="3299"/>
      <c r="T63" s="3299"/>
      <c r="U63" s="3299"/>
      <c r="V63" s="3299"/>
      <c r="W63" s="3299"/>
      <c r="X63" s="3299"/>
      <c r="Y63" s="3299"/>
      <c r="Z63" s="3299"/>
      <c r="AA63" s="3299"/>
      <c r="AB63" s="3299"/>
      <c r="AC63" s="3299"/>
      <c r="AD63" s="3299"/>
      <c r="AE63" s="3299"/>
      <c r="AF63" s="3299"/>
      <c r="AG63" s="3299"/>
      <c r="AH63" s="3299"/>
      <c r="AI63" s="3299"/>
      <c r="AJ63" s="3299"/>
      <c r="AK63" s="3299"/>
      <c r="AL63" s="3299"/>
      <c r="AM63" s="3299"/>
      <c r="AN63" s="3299"/>
      <c r="AO63" s="3299"/>
      <c r="AP63" s="3299"/>
      <c r="AQ63" s="3299"/>
      <c r="AR63" s="3299"/>
      <c r="AS63" s="3299"/>
      <c r="AT63" s="3299"/>
      <c r="AU63" s="3299"/>
      <c r="AV63" s="3299"/>
      <c r="AW63" s="3299"/>
      <c r="AX63" s="3299"/>
      <c r="AY63" s="3299"/>
      <c r="AZ63" s="3299"/>
      <c r="BA63" s="3299"/>
      <c r="BB63" s="3299"/>
      <c r="BC63" s="3299"/>
      <c r="BD63" s="3299"/>
      <c r="BE63" s="3299"/>
      <c r="BF63" s="3299"/>
      <c r="BG63" s="3299"/>
      <c r="BH63" s="3299"/>
      <c r="BI63" s="3299"/>
      <c r="BJ63" s="3299"/>
      <c r="BK63" s="3299"/>
      <c r="BL63" s="3299"/>
      <c r="BM63" s="3299"/>
      <c r="BN63" s="3299"/>
      <c r="BO63" s="3299"/>
      <c r="BP63" s="3299"/>
      <c r="BQ63" s="3299"/>
      <c r="BR63" s="3299"/>
      <c r="BS63" s="3299"/>
      <c r="BT63" s="3299"/>
      <c r="BU63" s="3299"/>
      <c r="BV63" s="3299"/>
      <c r="BW63" s="3299"/>
      <c r="BX63" s="3299"/>
      <c r="BY63" s="3299"/>
      <c r="BZ63" s="3299"/>
      <c r="CA63" s="3299"/>
      <c r="CB63" s="3299"/>
      <c r="CC63" s="3299"/>
    </row>
    <row r="64" spans="1:81">
      <c r="A64" s="3298"/>
      <c r="B64" s="3304" t="s">
        <v>521</v>
      </c>
      <c r="C64" s="3306" t="s">
        <v>1396</v>
      </c>
      <c r="D64" s="3325">
        <v>0</v>
      </c>
      <c r="E64" s="3325"/>
      <c r="F64" s="3325"/>
      <c r="G64" s="3325"/>
      <c r="H64" s="3325"/>
      <c r="I64" s="3325"/>
      <c r="J64" s="3325"/>
      <c r="K64" s="3325"/>
      <c r="L64" s="3325"/>
      <c r="M64" s="3308"/>
      <c r="N64" s="3308"/>
      <c r="O64" s="3308"/>
      <c r="P64" s="3309"/>
      <c r="Q64" s="3299"/>
      <c r="R64" s="3299"/>
      <c r="S64" s="3299"/>
      <c r="T64" s="3299"/>
      <c r="U64" s="3299"/>
      <c r="V64" s="3299"/>
      <c r="W64" s="3299"/>
      <c r="X64" s="3299"/>
      <c r="Y64" s="3299"/>
      <c r="Z64" s="3299"/>
      <c r="AA64" s="3299"/>
      <c r="AB64" s="3299"/>
      <c r="AC64" s="3299"/>
      <c r="AD64" s="3299"/>
      <c r="AE64" s="3299"/>
      <c r="AF64" s="3299"/>
      <c r="AG64" s="3299"/>
      <c r="AH64" s="3299"/>
      <c r="AI64" s="3299"/>
      <c r="AJ64" s="3299"/>
      <c r="AK64" s="3299"/>
      <c r="AL64" s="3299"/>
      <c r="AM64" s="3299"/>
      <c r="AN64" s="3299"/>
      <c r="AO64" s="3299"/>
      <c r="AP64" s="3299"/>
      <c r="AQ64" s="3299"/>
      <c r="AR64" s="3299"/>
      <c r="AS64" s="3299"/>
      <c r="AT64" s="3299"/>
      <c r="AU64" s="3299"/>
      <c r="AV64" s="3299"/>
      <c r="AW64" s="3299"/>
      <c r="AX64" s="3299"/>
      <c r="AY64" s="3299"/>
      <c r="AZ64" s="3299"/>
      <c r="BA64" s="3299"/>
      <c r="BB64" s="3299"/>
      <c r="BC64" s="3299"/>
      <c r="BD64" s="3299"/>
      <c r="BE64" s="3299"/>
      <c r="BF64" s="3299"/>
      <c r="BG64" s="3299"/>
      <c r="BH64" s="3299"/>
      <c r="BI64" s="3299"/>
      <c r="BJ64" s="3299"/>
      <c r="BK64" s="3299"/>
      <c r="BL64" s="3299"/>
      <c r="BM64" s="3299"/>
      <c r="BN64" s="3299"/>
      <c r="BO64" s="3299"/>
      <c r="BP64" s="3299"/>
      <c r="BQ64" s="3299"/>
      <c r="BR64" s="3299"/>
      <c r="BS64" s="3299"/>
      <c r="BT64" s="3299"/>
      <c r="BU64" s="3299"/>
      <c r="BV64" s="3299"/>
      <c r="BW64" s="3299"/>
      <c r="BX64" s="3299"/>
      <c r="BY64" s="3299"/>
      <c r="BZ64" s="3299"/>
      <c r="CA64" s="3299"/>
      <c r="CB64" s="3299"/>
      <c r="CC64" s="3299"/>
    </row>
    <row r="65" spans="1:81">
      <c r="A65" s="3298"/>
      <c r="B65" s="3304" t="s">
        <v>1322</v>
      </c>
      <c r="C65" s="3306" t="s">
        <v>1396</v>
      </c>
      <c r="D65" s="3325">
        <v>0</v>
      </c>
      <c r="E65" s="3325"/>
      <c r="F65" s="3325"/>
      <c r="G65" s="3325"/>
      <c r="H65" s="3325"/>
      <c r="I65" s="3325"/>
      <c r="J65" s="3325"/>
      <c r="K65" s="3325"/>
      <c r="L65" s="3325"/>
      <c r="M65" s="3308"/>
      <c r="N65" s="3308"/>
      <c r="O65" s="3308"/>
      <c r="P65" s="3309"/>
      <c r="Q65" s="3299"/>
      <c r="R65" s="3299"/>
      <c r="S65" s="3299"/>
      <c r="T65" s="3299"/>
      <c r="U65" s="3299"/>
      <c r="V65" s="3299"/>
      <c r="W65" s="3299"/>
      <c r="X65" s="3299"/>
      <c r="Y65" s="3299"/>
      <c r="Z65" s="3299"/>
      <c r="AA65" s="3299"/>
      <c r="AB65" s="3299"/>
      <c r="AC65" s="3299"/>
      <c r="AD65" s="3299"/>
      <c r="AE65" s="3299"/>
      <c r="AF65" s="3299"/>
      <c r="AG65" s="3299"/>
      <c r="AH65" s="3299"/>
      <c r="AI65" s="3299"/>
      <c r="AJ65" s="3299"/>
      <c r="AK65" s="3299"/>
      <c r="AL65" s="3299"/>
      <c r="AM65" s="3299"/>
      <c r="AN65" s="3299"/>
      <c r="AO65" s="3299"/>
      <c r="AP65" s="3299"/>
      <c r="AQ65" s="3299"/>
      <c r="AR65" s="3299"/>
      <c r="AS65" s="3299"/>
      <c r="AT65" s="3299"/>
      <c r="AU65" s="3299"/>
      <c r="AV65" s="3299"/>
      <c r="AW65" s="3299"/>
      <c r="AX65" s="3299"/>
      <c r="AY65" s="3299"/>
      <c r="AZ65" s="3299"/>
      <c r="BA65" s="3299"/>
      <c r="BB65" s="3299"/>
      <c r="BC65" s="3299"/>
      <c r="BD65" s="3299"/>
      <c r="BE65" s="3299"/>
      <c r="BF65" s="3299"/>
      <c r="BG65" s="3299"/>
      <c r="BH65" s="3299"/>
      <c r="BI65" s="3299"/>
      <c r="BJ65" s="3299"/>
      <c r="BK65" s="3299"/>
      <c r="BL65" s="3299"/>
      <c r="BM65" s="3299"/>
      <c r="BN65" s="3299"/>
      <c r="BO65" s="3299"/>
      <c r="BP65" s="3299"/>
      <c r="BQ65" s="3299"/>
      <c r="BR65" s="3299"/>
      <c r="BS65" s="3299"/>
      <c r="BT65" s="3299"/>
      <c r="BU65" s="3299"/>
      <c r="BV65" s="3299"/>
      <c r="BW65" s="3299"/>
      <c r="BX65" s="3299"/>
      <c r="BY65" s="3299"/>
      <c r="BZ65" s="3299"/>
      <c r="CA65" s="3299"/>
      <c r="CB65" s="3299"/>
      <c r="CC65" s="3299"/>
    </row>
    <row r="66" spans="1:81">
      <c r="A66" s="3298" t="s">
        <v>2022</v>
      </c>
      <c r="B66" s="3320" t="s">
        <v>1404</v>
      </c>
      <c r="C66" s="3306" t="s">
        <v>1396</v>
      </c>
      <c r="D66" s="3325">
        <v>0</v>
      </c>
      <c r="E66" s="3325">
        <f t="shared" ref="E66:P66" si="12">SUM(E67:E71)</f>
        <v>0</v>
      </c>
      <c r="F66" s="3325">
        <f t="shared" si="12"/>
        <v>0</v>
      </c>
      <c r="G66" s="3325">
        <f t="shared" si="12"/>
        <v>0</v>
      </c>
      <c r="H66" s="3325">
        <f t="shared" si="12"/>
        <v>0</v>
      </c>
      <c r="I66" s="3325">
        <f t="shared" si="12"/>
        <v>0</v>
      </c>
      <c r="J66" s="3325">
        <f t="shared" si="12"/>
        <v>0</v>
      </c>
      <c r="K66" s="3325">
        <f t="shared" si="12"/>
        <v>0</v>
      </c>
      <c r="L66" s="3325">
        <f t="shared" si="12"/>
        <v>0</v>
      </c>
      <c r="M66" s="3325">
        <f t="shared" si="12"/>
        <v>0</v>
      </c>
      <c r="N66" s="3325">
        <f t="shared" si="12"/>
        <v>0</v>
      </c>
      <c r="O66" s="3325">
        <f t="shared" si="12"/>
        <v>0</v>
      </c>
      <c r="P66" s="3325">
        <f t="shared" si="12"/>
        <v>0</v>
      </c>
      <c r="Q66" s="3299"/>
      <c r="R66" s="3299"/>
      <c r="S66" s="3299"/>
      <c r="T66" s="3299"/>
      <c r="U66" s="3299"/>
      <c r="V66" s="3299"/>
      <c r="W66" s="3299"/>
      <c r="X66" s="3299"/>
      <c r="Y66" s="3299"/>
      <c r="Z66" s="3299"/>
      <c r="AA66" s="3299"/>
      <c r="AB66" s="3299"/>
      <c r="AC66" s="3299"/>
      <c r="AD66" s="3299"/>
      <c r="AE66" s="3299"/>
      <c r="AF66" s="3299"/>
      <c r="AG66" s="3299"/>
      <c r="AH66" s="3299"/>
      <c r="AI66" s="3299"/>
      <c r="AJ66" s="3299"/>
      <c r="AK66" s="3299"/>
      <c r="AL66" s="3299"/>
      <c r="AM66" s="3299"/>
      <c r="AN66" s="3299"/>
      <c r="AO66" s="3299"/>
      <c r="AP66" s="3299"/>
      <c r="AQ66" s="3299"/>
      <c r="AR66" s="3299"/>
      <c r="AS66" s="3299"/>
      <c r="AT66" s="3299"/>
      <c r="AU66" s="3299"/>
      <c r="AV66" s="3299"/>
      <c r="AW66" s="3299"/>
      <c r="AX66" s="3299"/>
      <c r="AY66" s="3299"/>
      <c r="AZ66" s="3299"/>
      <c r="BA66" s="3299"/>
      <c r="BB66" s="3299"/>
      <c r="BC66" s="3299"/>
      <c r="BD66" s="3299"/>
      <c r="BE66" s="3299"/>
      <c r="BF66" s="3299"/>
      <c r="BG66" s="3299"/>
      <c r="BH66" s="3299"/>
      <c r="BI66" s="3299"/>
      <c r="BJ66" s="3299"/>
      <c r="BK66" s="3299"/>
      <c r="BL66" s="3299"/>
      <c r="BM66" s="3299"/>
      <c r="BN66" s="3299"/>
      <c r="BO66" s="3299"/>
      <c r="BP66" s="3299"/>
      <c r="BQ66" s="3299"/>
      <c r="BR66" s="3299"/>
      <c r="BS66" s="3299"/>
      <c r="BT66" s="3299"/>
      <c r="BU66" s="3299"/>
      <c r="BV66" s="3299"/>
      <c r="BW66" s="3299"/>
      <c r="BX66" s="3299"/>
      <c r="BY66" s="3299"/>
      <c r="BZ66" s="3299"/>
      <c r="CA66" s="3299"/>
      <c r="CB66" s="3299"/>
      <c r="CC66" s="3299"/>
    </row>
    <row r="67" spans="1:81">
      <c r="A67" s="3298"/>
      <c r="B67" s="3304" t="s">
        <v>516</v>
      </c>
      <c r="C67" s="3306" t="s">
        <v>1396</v>
      </c>
      <c r="D67" s="3325">
        <v>0</v>
      </c>
      <c r="E67" s="3325"/>
      <c r="F67" s="3325"/>
      <c r="G67" s="3325"/>
      <c r="H67" s="3325"/>
      <c r="I67" s="3325"/>
      <c r="J67" s="3325"/>
      <c r="K67" s="3325"/>
      <c r="L67" s="3325"/>
      <c r="M67" s="3325"/>
      <c r="N67" s="3308"/>
      <c r="O67" s="3308"/>
      <c r="P67" s="3309"/>
      <c r="Q67" s="3299"/>
      <c r="R67" s="3299"/>
      <c r="S67" s="3299"/>
      <c r="T67" s="3299"/>
      <c r="U67" s="3299"/>
      <c r="V67" s="3299"/>
      <c r="W67" s="3299"/>
      <c r="X67" s="3299"/>
      <c r="Y67" s="3299"/>
      <c r="Z67" s="3299"/>
      <c r="AA67" s="3299"/>
      <c r="AB67" s="3299"/>
      <c r="AC67" s="3299"/>
      <c r="AD67" s="3299"/>
      <c r="AE67" s="3299"/>
      <c r="AF67" s="3299"/>
      <c r="AG67" s="3299"/>
      <c r="AH67" s="3299"/>
      <c r="AI67" s="3299"/>
      <c r="AJ67" s="3299"/>
      <c r="AK67" s="3299"/>
      <c r="AL67" s="3299"/>
      <c r="AM67" s="3299"/>
      <c r="AN67" s="3299"/>
      <c r="AO67" s="3299"/>
      <c r="AP67" s="3299"/>
      <c r="AQ67" s="3299"/>
      <c r="AR67" s="3299"/>
      <c r="AS67" s="3299"/>
      <c r="AT67" s="3299"/>
      <c r="AU67" s="3299"/>
      <c r="AV67" s="3299"/>
      <c r="AW67" s="3299"/>
      <c r="AX67" s="3299"/>
      <c r="AY67" s="3299"/>
      <c r="AZ67" s="3299"/>
      <c r="BA67" s="3299"/>
      <c r="BB67" s="3299"/>
      <c r="BC67" s="3299"/>
      <c r="BD67" s="3299"/>
      <c r="BE67" s="3299"/>
      <c r="BF67" s="3299"/>
      <c r="BG67" s="3299"/>
      <c r="BH67" s="3299"/>
      <c r="BI67" s="3299"/>
      <c r="BJ67" s="3299"/>
      <c r="BK67" s="3299"/>
      <c r="BL67" s="3299"/>
      <c r="BM67" s="3299"/>
      <c r="BN67" s="3299"/>
      <c r="BO67" s="3299"/>
      <c r="BP67" s="3299"/>
      <c r="BQ67" s="3299"/>
      <c r="BR67" s="3299"/>
      <c r="BS67" s="3299"/>
      <c r="BT67" s="3299"/>
      <c r="BU67" s="3299"/>
      <c r="BV67" s="3299"/>
      <c r="BW67" s="3299"/>
      <c r="BX67" s="3299"/>
      <c r="BY67" s="3299"/>
      <c r="BZ67" s="3299"/>
      <c r="CA67" s="3299"/>
      <c r="CB67" s="3299"/>
      <c r="CC67" s="3299"/>
    </row>
    <row r="68" spans="1:81">
      <c r="A68" s="3298"/>
      <c r="B68" s="3304" t="s">
        <v>519</v>
      </c>
      <c r="C68" s="3306" t="s">
        <v>1396</v>
      </c>
      <c r="D68" s="3325">
        <v>0</v>
      </c>
      <c r="E68" s="3325"/>
      <c r="F68" s="3325"/>
      <c r="G68" s="3325"/>
      <c r="H68" s="3325"/>
      <c r="I68" s="3325"/>
      <c r="J68" s="3325"/>
      <c r="K68" s="3325"/>
      <c r="L68" s="3325"/>
      <c r="M68" s="3325"/>
      <c r="N68" s="3308"/>
      <c r="O68" s="3308"/>
      <c r="P68" s="3309"/>
      <c r="Q68" s="3299"/>
      <c r="R68" s="3299"/>
      <c r="S68" s="3299"/>
      <c r="T68" s="3299"/>
      <c r="U68" s="3299"/>
      <c r="V68" s="3299"/>
      <c r="W68" s="3299"/>
      <c r="X68" s="3299"/>
      <c r="Y68" s="3299"/>
      <c r="Z68" s="3299"/>
      <c r="AA68" s="3299"/>
      <c r="AB68" s="3299"/>
      <c r="AC68" s="3299"/>
      <c r="AD68" s="3299"/>
      <c r="AE68" s="3299"/>
      <c r="AF68" s="3299"/>
      <c r="AG68" s="3299"/>
      <c r="AH68" s="3299"/>
      <c r="AI68" s="3299"/>
      <c r="AJ68" s="3299"/>
      <c r="AK68" s="3299"/>
      <c r="AL68" s="3299"/>
      <c r="AM68" s="3299"/>
      <c r="AN68" s="3299"/>
      <c r="AO68" s="3299"/>
      <c r="AP68" s="3299"/>
      <c r="AQ68" s="3299"/>
      <c r="AR68" s="3299"/>
      <c r="AS68" s="3299"/>
      <c r="AT68" s="3299"/>
      <c r="AU68" s="3299"/>
      <c r="AV68" s="3299"/>
      <c r="AW68" s="3299"/>
      <c r="AX68" s="3299"/>
      <c r="AY68" s="3299"/>
      <c r="AZ68" s="3299"/>
      <c r="BA68" s="3299"/>
      <c r="BB68" s="3299"/>
      <c r="BC68" s="3299"/>
      <c r="BD68" s="3299"/>
      <c r="BE68" s="3299"/>
      <c r="BF68" s="3299"/>
      <c r="BG68" s="3299"/>
      <c r="BH68" s="3299"/>
      <c r="BI68" s="3299"/>
      <c r="BJ68" s="3299"/>
      <c r="BK68" s="3299"/>
      <c r="BL68" s="3299"/>
      <c r="BM68" s="3299"/>
      <c r="BN68" s="3299"/>
      <c r="BO68" s="3299"/>
      <c r="BP68" s="3299"/>
      <c r="BQ68" s="3299"/>
      <c r="BR68" s="3299"/>
      <c r="BS68" s="3299"/>
      <c r="BT68" s="3299"/>
      <c r="BU68" s="3299"/>
      <c r="BV68" s="3299"/>
      <c r="BW68" s="3299"/>
      <c r="BX68" s="3299"/>
      <c r="BY68" s="3299"/>
      <c r="BZ68" s="3299"/>
      <c r="CA68" s="3299"/>
      <c r="CB68" s="3299"/>
      <c r="CC68" s="3299"/>
    </row>
    <row r="69" spans="1:81">
      <c r="A69" s="3298"/>
      <c r="B69" s="3304" t="s">
        <v>3791</v>
      </c>
      <c r="C69" s="3306" t="s">
        <v>1396</v>
      </c>
      <c r="D69" s="3325">
        <v>0</v>
      </c>
      <c r="E69" s="3325"/>
      <c r="F69" s="3325"/>
      <c r="G69" s="3325"/>
      <c r="H69" s="3325"/>
      <c r="I69" s="3325"/>
      <c r="J69" s="3325"/>
      <c r="K69" s="3325"/>
      <c r="L69" s="3325"/>
      <c r="M69" s="3325"/>
      <c r="N69" s="3308"/>
      <c r="O69" s="3308"/>
      <c r="P69" s="3309"/>
      <c r="Q69" s="3299"/>
      <c r="R69" s="3299"/>
      <c r="S69" s="3299"/>
      <c r="T69" s="3299"/>
      <c r="U69" s="3299"/>
      <c r="V69" s="3299"/>
      <c r="W69" s="3299"/>
      <c r="X69" s="3299"/>
      <c r="Y69" s="3299"/>
      <c r="Z69" s="3299"/>
      <c r="AA69" s="3299"/>
      <c r="AB69" s="3299"/>
      <c r="AC69" s="3299"/>
      <c r="AD69" s="3299"/>
      <c r="AE69" s="3299"/>
      <c r="AF69" s="3299"/>
      <c r="AG69" s="3299"/>
      <c r="AH69" s="3299"/>
      <c r="AI69" s="3299"/>
      <c r="AJ69" s="3299"/>
      <c r="AK69" s="3299"/>
      <c r="AL69" s="3299"/>
      <c r="AM69" s="3299"/>
      <c r="AN69" s="3299"/>
      <c r="AO69" s="3299"/>
      <c r="AP69" s="3299"/>
      <c r="AQ69" s="3299"/>
      <c r="AR69" s="3299"/>
      <c r="AS69" s="3299"/>
      <c r="AT69" s="3299"/>
      <c r="AU69" s="3299"/>
      <c r="AV69" s="3299"/>
      <c r="AW69" s="3299"/>
      <c r="AX69" s="3299"/>
      <c r="AY69" s="3299"/>
      <c r="AZ69" s="3299"/>
      <c r="BA69" s="3299"/>
      <c r="BB69" s="3299"/>
      <c r="BC69" s="3299"/>
      <c r="BD69" s="3299"/>
      <c r="BE69" s="3299"/>
      <c r="BF69" s="3299"/>
      <c r="BG69" s="3299"/>
      <c r="BH69" s="3299"/>
      <c r="BI69" s="3299"/>
      <c r="BJ69" s="3299"/>
      <c r="BK69" s="3299"/>
      <c r="BL69" s="3299"/>
      <c r="BM69" s="3299"/>
      <c r="BN69" s="3299"/>
      <c r="BO69" s="3299"/>
      <c r="BP69" s="3299"/>
      <c r="BQ69" s="3299"/>
      <c r="BR69" s="3299"/>
      <c r="BS69" s="3299"/>
      <c r="BT69" s="3299"/>
      <c r="BU69" s="3299"/>
      <c r="BV69" s="3299"/>
      <c r="BW69" s="3299"/>
      <c r="BX69" s="3299"/>
      <c r="BY69" s="3299"/>
      <c r="BZ69" s="3299"/>
      <c r="CA69" s="3299"/>
      <c r="CB69" s="3299"/>
      <c r="CC69" s="3299"/>
    </row>
    <row r="70" spans="1:81">
      <c r="A70" s="3327"/>
      <c r="B70" s="3304" t="s">
        <v>521</v>
      </c>
      <c r="C70" s="3306" t="s">
        <v>1396</v>
      </c>
      <c r="D70" s="3325">
        <v>0</v>
      </c>
      <c r="E70" s="3328"/>
      <c r="F70" s="3328"/>
      <c r="G70" s="3328"/>
      <c r="H70" s="3328"/>
      <c r="I70" s="3328"/>
      <c r="J70" s="3328"/>
      <c r="K70" s="3328"/>
      <c r="L70" s="3328"/>
      <c r="M70" s="3328"/>
      <c r="N70" s="3328"/>
      <c r="O70" s="3328"/>
      <c r="P70" s="3446"/>
      <c r="Q70" s="3299"/>
      <c r="R70" s="3299"/>
      <c r="S70" s="3299"/>
      <c r="T70" s="3299"/>
      <c r="U70" s="3299"/>
      <c r="V70" s="3299"/>
      <c r="W70" s="3299"/>
      <c r="X70" s="3299"/>
      <c r="Y70" s="3299"/>
      <c r="Z70" s="3299"/>
      <c r="AA70" s="3299"/>
      <c r="AB70" s="3299"/>
      <c r="AC70" s="3299"/>
      <c r="AD70" s="3299"/>
      <c r="AE70" s="3299"/>
      <c r="AF70" s="3299"/>
      <c r="AG70" s="3299"/>
      <c r="AH70" s="3299"/>
      <c r="AI70" s="3299"/>
      <c r="AJ70" s="3299"/>
      <c r="AK70" s="3299"/>
      <c r="AL70" s="3299"/>
      <c r="AM70" s="3299"/>
      <c r="AN70" s="3299"/>
      <c r="AO70" s="3299"/>
      <c r="AP70" s="3299"/>
      <c r="AQ70" s="3299"/>
      <c r="AR70" s="3299"/>
      <c r="AS70" s="3299"/>
      <c r="AT70" s="3299"/>
      <c r="AU70" s="3299"/>
      <c r="AV70" s="3299"/>
      <c r="AW70" s="3299"/>
      <c r="AX70" s="3299"/>
      <c r="AY70" s="3299"/>
      <c r="AZ70" s="3299"/>
      <c r="BA70" s="3299"/>
      <c r="BB70" s="3299"/>
      <c r="BC70" s="3299"/>
      <c r="BD70" s="3299"/>
      <c r="BE70" s="3299"/>
      <c r="BF70" s="3299"/>
      <c r="BG70" s="3299"/>
      <c r="BH70" s="3299"/>
      <c r="BI70" s="3299"/>
      <c r="BJ70" s="3299"/>
      <c r="BK70" s="3299"/>
      <c r="BL70" s="3299"/>
      <c r="BM70" s="3299"/>
      <c r="BN70" s="3299"/>
      <c r="BO70" s="3299"/>
      <c r="BP70" s="3299"/>
      <c r="BQ70" s="3299"/>
      <c r="BR70" s="3299"/>
      <c r="BS70" s="3299"/>
      <c r="BT70" s="3299"/>
      <c r="BU70" s="3299"/>
      <c r="BV70" s="3299"/>
      <c r="BW70" s="3299"/>
      <c r="BX70" s="3299"/>
      <c r="BY70" s="3299"/>
      <c r="BZ70" s="3299"/>
      <c r="CA70" s="3299"/>
      <c r="CB70" s="3299"/>
      <c r="CC70" s="3299"/>
    </row>
    <row r="71" spans="1:81">
      <c r="A71" s="3327"/>
      <c r="B71" s="3304" t="s">
        <v>1322</v>
      </c>
      <c r="C71" s="3306" t="s">
        <v>1396</v>
      </c>
      <c r="D71" s="3325">
        <v>0</v>
      </c>
      <c r="E71" s="3328"/>
      <c r="F71" s="3328"/>
      <c r="G71" s="3328"/>
      <c r="H71" s="3328"/>
      <c r="I71" s="3328"/>
      <c r="J71" s="3328"/>
      <c r="K71" s="3328"/>
      <c r="L71" s="3328"/>
      <c r="M71" s="3328"/>
      <c r="N71" s="3328"/>
      <c r="O71" s="3328"/>
      <c r="P71" s="3446"/>
      <c r="Q71" s="3299"/>
      <c r="R71" s="3299"/>
      <c r="S71" s="3299"/>
      <c r="T71" s="3299"/>
      <c r="U71" s="3299"/>
      <c r="V71" s="3299"/>
      <c r="W71" s="3299"/>
      <c r="X71" s="3299"/>
      <c r="Y71" s="3299"/>
      <c r="Z71" s="3299"/>
      <c r="AA71" s="3299"/>
      <c r="AB71" s="3299"/>
      <c r="AC71" s="3299"/>
      <c r="AD71" s="3299"/>
      <c r="AE71" s="3299"/>
      <c r="AF71" s="3299"/>
      <c r="AG71" s="3299"/>
      <c r="AH71" s="3299"/>
      <c r="AI71" s="3299"/>
      <c r="AJ71" s="3299"/>
      <c r="AK71" s="3299"/>
      <c r="AL71" s="3299"/>
      <c r="AM71" s="3299"/>
      <c r="AN71" s="3299"/>
      <c r="AO71" s="3299"/>
      <c r="AP71" s="3299"/>
      <c r="AQ71" s="3299"/>
      <c r="AR71" s="3299"/>
      <c r="AS71" s="3299"/>
      <c r="AT71" s="3299"/>
      <c r="AU71" s="3299"/>
      <c r="AV71" s="3299"/>
      <c r="AW71" s="3299"/>
      <c r="AX71" s="3299"/>
      <c r="AY71" s="3299"/>
      <c r="AZ71" s="3299"/>
      <c r="BA71" s="3299"/>
      <c r="BB71" s="3299"/>
      <c r="BC71" s="3299"/>
      <c r="BD71" s="3299"/>
      <c r="BE71" s="3299"/>
      <c r="BF71" s="3299"/>
      <c r="BG71" s="3299"/>
      <c r="BH71" s="3299"/>
      <c r="BI71" s="3299"/>
      <c r="BJ71" s="3299"/>
      <c r="BK71" s="3299"/>
      <c r="BL71" s="3299"/>
      <c r="BM71" s="3299"/>
      <c r="BN71" s="3299"/>
      <c r="BO71" s="3299"/>
      <c r="BP71" s="3299"/>
      <c r="BQ71" s="3299"/>
      <c r="BR71" s="3299"/>
      <c r="BS71" s="3299"/>
      <c r="BT71" s="3299"/>
      <c r="BU71" s="3299"/>
      <c r="BV71" s="3299"/>
      <c r="BW71" s="3299"/>
      <c r="BX71" s="3299"/>
      <c r="BY71" s="3299"/>
      <c r="BZ71" s="3299"/>
      <c r="CA71" s="3299"/>
      <c r="CB71" s="3299"/>
      <c r="CC71" s="3299"/>
    </row>
    <row r="72" spans="1:81">
      <c r="Q72" s="3299"/>
      <c r="R72" s="3299"/>
      <c r="S72" s="3299"/>
      <c r="T72" s="3299"/>
      <c r="U72" s="3299"/>
      <c r="V72" s="3299"/>
      <c r="W72" s="3299"/>
      <c r="X72" s="3299"/>
      <c r="Y72" s="3299"/>
      <c r="Z72" s="3299"/>
      <c r="AA72" s="3299"/>
      <c r="AB72" s="3299"/>
      <c r="AC72" s="3299"/>
      <c r="AD72" s="3299"/>
      <c r="AE72" s="3299"/>
      <c r="AF72" s="3299"/>
      <c r="AG72" s="3299"/>
      <c r="AH72" s="3299"/>
      <c r="AI72" s="3299"/>
      <c r="AJ72" s="3299"/>
      <c r="AK72" s="3299"/>
      <c r="AL72" s="3299"/>
      <c r="AM72" s="3299"/>
      <c r="AN72" s="3299"/>
      <c r="AO72" s="3299"/>
      <c r="AP72" s="3299"/>
      <c r="AQ72" s="3299"/>
      <c r="AR72" s="3299"/>
      <c r="AS72" s="3299"/>
      <c r="AT72" s="3299"/>
      <c r="AU72" s="3299"/>
      <c r="AV72" s="3299"/>
      <c r="AW72" s="3299"/>
      <c r="AX72" s="3299"/>
      <c r="AY72" s="3299"/>
      <c r="AZ72" s="3299"/>
      <c r="BA72" s="3299"/>
      <c r="BB72" s="3299"/>
      <c r="BC72" s="3299"/>
      <c r="BD72" s="3299"/>
      <c r="BE72" s="3299"/>
      <c r="BF72" s="3299"/>
      <c r="BG72" s="3299"/>
      <c r="BH72" s="3299"/>
      <c r="BI72" s="3299"/>
      <c r="BJ72" s="3299"/>
      <c r="BK72" s="3299"/>
      <c r="BL72" s="3299"/>
      <c r="BM72" s="3299"/>
      <c r="BN72" s="3299"/>
      <c r="BO72" s="3299"/>
      <c r="BP72" s="3299"/>
      <c r="BQ72" s="3299"/>
      <c r="BR72" s="3299"/>
      <c r="BS72" s="3299"/>
      <c r="BT72" s="3299"/>
      <c r="BU72" s="3299"/>
      <c r="BV72" s="3299"/>
      <c r="BW72" s="3299"/>
      <c r="BX72" s="3299"/>
      <c r="BY72" s="3299"/>
      <c r="BZ72" s="3299"/>
      <c r="CA72" s="3299"/>
      <c r="CB72" s="3299"/>
      <c r="CC72" s="3299"/>
    </row>
    <row r="73" spans="1:81">
      <c r="A73" s="3296" t="s">
        <v>3794</v>
      </c>
      <c r="D73" s="3329"/>
    </row>
    <row r="74" spans="1:81">
      <c r="A74" s="3296"/>
      <c r="C74" s="3295"/>
      <c r="D74" s="3294"/>
      <c r="E74" s="3294"/>
      <c r="F74" s="3294"/>
      <c r="G74" s="3294"/>
    </row>
    <row r="75" spans="1:81">
      <c r="A75" s="3296" t="s">
        <v>2024</v>
      </c>
      <c r="B75" s="3292" t="s">
        <v>3795</v>
      </c>
    </row>
  </sheetData>
  <pageMargins left="0.70866141732283505" right="0.31496062992126" top="0.35433070866141703" bottom="0.35433070866141703" header="0.31496062992126" footer="0.31496062992126"/>
  <pageSetup paperSize="9" scale="45" orientation="landscape" r:id="rId1"/>
  <headerFooter>
    <oddFooter>&amp;L&amp;"Microsoft Sans Serif, Regular"&amp;K000000Рег. номер WSSDOCS: В-Н-2021-1799,  ID:785</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R492"/>
  <sheetViews>
    <sheetView zoomScaleSheetLayoutView="75" workbookViewId="0">
      <pane xSplit="2" ySplit="7" topLeftCell="C8" activePane="bottomRight" state="frozenSplit"/>
      <selection activeCell="F87" sqref="F87"/>
      <selection pane="topRight" activeCell="F87" sqref="F87"/>
      <selection pane="bottomLeft" activeCell="F87" sqref="F87"/>
      <selection pane="bottomRight" activeCell="E54" sqref="E54"/>
    </sheetView>
  </sheetViews>
  <sheetFormatPr defaultColWidth="9.28515625" defaultRowHeight="15"/>
  <cols>
    <col min="1" max="1" width="6.28515625" style="153" customWidth="1"/>
    <col min="2" max="2" width="75.7109375" style="3" customWidth="1"/>
    <col min="3" max="7" width="15.7109375" style="3" customWidth="1"/>
    <col min="8" max="8" width="12.28515625" style="3" customWidth="1"/>
    <col min="9" max="11" width="10.42578125" style="3" customWidth="1"/>
    <col min="12" max="16" width="17.42578125" style="3" customWidth="1"/>
    <col min="17" max="17" width="17.28515625" style="2" customWidth="1"/>
    <col min="18" max="18" width="15" style="2" customWidth="1"/>
    <col min="19" max="19" width="12.7109375" style="2" customWidth="1"/>
    <col min="20" max="20" width="10.7109375" style="2" customWidth="1"/>
    <col min="21" max="21" width="11.28515625" style="2" customWidth="1"/>
    <col min="22" max="22" width="14.28515625" style="2" customWidth="1"/>
    <col min="23" max="23" width="12.7109375" style="2" customWidth="1"/>
    <col min="24" max="24" width="13.7109375" style="2" customWidth="1"/>
    <col min="25" max="16384" width="9.28515625" style="2"/>
  </cols>
  <sheetData>
    <row r="1" spans="1:17" ht="16.149999999999999" customHeight="1">
      <c r="A1" s="4114" t="s">
        <v>0</v>
      </c>
      <c r="B1" s="4114"/>
      <c r="C1" s="1"/>
      <c r="D1" s="2"/>
      <c r="E1" s="2"/>
      <c r="F1" s="2"/>
      <c r="G1" s="2"/>
      <c r="H1" s="2"/>
      <c r="I1" s="2"/>
      <c r="J1" s="2"/>
      <c r="K1" s="2"/>
    </row>
    <row r="2" spans="1:17" ht="16.149999999999999" customHeight="1">
      <c r="A2" s="4114"/>
      <c r="B2" s="4114"/>
      <c r="C2" s="4116" t="s">
        <v>1</v>
      </c>
      <c r="D2" s="4116"/>
      <c r="E2" s="4116"/>
      <c r="F2" s="4116"/>
      <c r="G2" s="4116"/>
      <c r="H2" s="4116"/>
      <c r="I2" s="4116"/>
      <c r="J2" s="4116"/>
      <c r="K2" s="4116"/>
      <c r="L2" s="4116"/>
      <c r="M2" s="4116"/>
      <c r="N2" s="4116"/>
      <c r="O2" s="4116"/>
      <c r="P2" s="4116"/>
    </row>
    <row r="3" spans="1:17" ht="16.149999999999999" customHeight="1">
      <c r="A3" s="4114"/>
      <c r="B3" s="4114"/>
      <c r="C3" s="4104" t="s">
        <v>2</v>
      </c>
      <c r="D3" s="4104"/>
      <c r="E3" s="4104"/>
      <c r="F3" s="4104"/>
      <c r="G3" s="4104"/>
      <c r="H3" s="4104"/>
      <c r="I3" s="4104"/>
      <c r="J3" s="4104"/>
      <c r="K3" s="4104"/>
      <c r="L3" s="4104"/>
      <c r="M3" s="4104"/>
      <c r="N3" s="4104"/>
      <c r="O3" s="4104"/>
      <c r="P3" s="4104"/>
    </row>
    <row r="4" spans="1:17" ht="16.149999999999999" customHeight="1" thickBot="1">
      <c r="A4" s="4115"/>
      <c r="B4" s="4115"/>
      <c r="C4" s="4"/>
      <c r="D4" s="4"/>
      <c r="E4" s="4"/>
      <c r="F4" s="4"/>
      <c r="G4" s="4"/>
      <c r="H4" s="4"/>
      <c r="I4" s="4"/>
      <c r="J4" s="4"/>
      <c r="K4" s="4"/>
      <c r="L4" s="4"/>
      <c r="M4" s="4"/>
      <c r="N4" s="4"/>
      <c r="O4" s="5"/>
    </row>
    <row r="5" spans="1:17" ht="47.25" customHeight="1">
      <c r="A5" s="4105" t="s">
        <v>3</v>
      </c>
      <c r="B5" s="4107" t="s">
        <v>4</v>
      </c>
      <c r="C5" s="4109" t="s">
        <v>5</v>
      </c>
      <c r="D5" s="4109"/>
      <c r="E5" s="4109"/>
      <c r="F5" s="4109"/>
      <c r="G5" s="4109"/>
      <c r="H5" s="4111" t="s">
        <v>6</v>
      </c>
      <c r="I5" s="4112"/>
      <c r="J5" s="4112"/>
      <c r="K5" s="4113"/>
      <c r="L5" s="4109" t="s">
        <v>7</v>
      </c>
      <c r="M5" s="4109"/>
      <c r="N5" s="4109"/>
      <c r="O5" s="4109"/>
      <c r="P5" s="4110"/>
    </row>
    <row r="6" spans="1:17" ht="45.75" customHeight="1" thickBot="1">
      <c r="A6" s="4106"/>
      <c r="B6" s="4108"/>
      <c r="C6" s="6" t="s">
        <v>8</v>
      </c>
      <c r="D6" s="6" t="s">
        <v>9</v>
      </c>
      <c r="E6" s="7" t="s">
        <v>10</v>
      </c>
      <c r="F6" s="7" t="s">
        <v>11</v>
      </c>
      <c r="G6" s="6" t="s">
        <v>12</v>
      </c>
      <c r="H6" s="6" t="s">
        <v>9</v>
      </c>
      <c r="I6" s="7" t="s">
        <v>10</v>
      </c>
      <c r="J6" s="7" t="s">
        <v>11</v>
      </c>
      <c r="K6" s="6" t="s">
        <v>12</v>
      </c>
      <c r="L6" s="6" t="s">
        <v>8</v>
      </c>
      <c r="M6" s="6" t="s">
        <v>9</v>
      </c>
      <c r="N6" s="7" t="s">
        <v>10</v>
      </c>
      <c r="O6" s="7" t="s">
        <v>11</v>
      </c>
      <c r="P6" s="8" t="s">
        <v>12</v>
      </c>
    </row>
    <row r="7" spans="1:17" ht="16.149999999999999" customHeight="1" thickBot="1">
      <c r="A7" s="9">
        <v>1</v>
      </c>
      <c r="B7" s="10">
        <f t="shared" ref="B7:G7" si="0">+A7+1</f>
        <v>2</v>
      </c>
      <c r="C7" s="11">
        <f t="shared" si="0"/>
        <v>3</v>
      </c>
      <c r="D7" s="11">
        <f t="shared" si="0"/>
        <v>4</v>
      </c>
      <c r="E7" s="11">
        <f t="shared" si="0"/>
        <v>5</v>
      </c>
      <c r="F7" s="11">
        <f t="shared" si="0"/>
        <v>6</v>
      </c>
      <c r="G7" s="11">
        <f t="shared" si="0"/>
        <v>7</v>
      </c>
      <c r="H7" s="11">
        <v>8</v>
      </c>
      <c r="I7" s="11">
        <v>9</v>
      </c>
      <c r="J7" s="11">
        <v>10</v>
      </c>
      <c r="K7" s="11">
        <v>11</v>
      </c>
      <c r="L7" s="11">
        <v>12</v>
      </c>
      <c r="M7" s="11">
        <v>13</v>
      </c>
      <c r="N7" s="11">
        <f>+M7+1</f>
        <v>14</v>
      </c>
      <c r="O7" s="11">
        <f>+N7+1</f>
        <v>15</v>
      </c>
      <c r="P7" s="12">
        <f>+O7+1</f>
        <v>16</v>
      </c>
    </row>
    <row r="8" spans="1:17" ht="24" customHeight="1" thickBot="1">
      <c r="A8" s="4125" t="str">
        <f>'Шаблон 46 ГП'!A8:P8</f>
        <v>Май 2026 год</v>
      </c>
      <c r="B8" s="4126"/>
      <c r="C8" s="4126"/>
      <c r="D8" s="4126"/>
      <c r="E8" s="4126"/>
      <c r="F8" s="4126"/>
      <c r="G8" s="4126"/>
      <c r="H8" s="4126"/>
      <c r="I8" s="4126"/>
      <c r="J8" s="4126"/>
      <c r="K8" s="4126"/>
      <c r="L8" s="4126"/>
      <c r="M8" s="4126"/>
      <c r="N8" s="4126"/>
      <c r="O8" s="4126"/>
      <c r="P8" s="4127"/>
    </row>
    <row r="9" spans="1:17" ht="16.149999999999999" customHeight="1" thickBot="1">
      <c r="A9" s="13"/>
      <c r="B9" s="225" t="s">
        <v>13</v>
      </c>
      <c r="C9" s="15">
        <f>D9+E9+F9+G9</f>
        <v>57180120</v>
      </c>
      <c r="D9" s="16">
        <f>D10+D13+D19+D21</f>
        <v>57180120</v>
      </c>
      <c r="E9" s="16">
        <f>E10+E13+E19+E21</f>
        <v>0</v>
      </c>
      <c r="F9" s="16">
        <f>F10+F13+F19+F21</f>
        <v>0</v>
      </c>
      <c r="G9" s="16">
        <f>G10+G13+G19+G21</f>
        <v>0</v>
      </c>
      <c r="H9" s="17"/>
      <c r="I9" s="18"/>
      <c r="J9" s="19"/>
      <c r="K9" s="19"/>
      <c r="L9" s="20">
        <f>M9+N9+O9+P9</f>
        <v>53818308.530000001</v>
      </c>
      <c r="M9" s="21">
        <f>M10+M13+M19+M21</f>
        <v>53818308.530000001</v>
      </c>
      <c r="N9" s="20">
        <f>N10+N13+N19+N21</f>
        <v>0</v>
      </c>
      <c r="O9" s="21">
        <f>O10+O13+O19+O21</f>
        <v>0</v>
      </c>
      <c r="P9" s="73">
        <f>P10+P13+P19+P21</f>
        <v>0</v>
      </c>
    </row>
    <row r="10" spans="1:17" ht="16.149999999999999" customHeight="1">
      <c r="A10" s="209">
        <v>1</v>
      </c>
      <c r="B10" s="222" t="s">
        <v>14</v>
      </c>
      <c r="C10" s="223">
        <f>D10+E10+F10+G10</f>
        <v>57180120</v>
      </c>
      <c r="D10" s="26">
        <f>D11+D12</f>
        <v>57180120</v>
      </c>
      <c r="E10" s="27"/>
      <c r="F10" s="27"/>
      <c r="G10" s="27"/>
      <c r="H10" s="28"/>
      <c r="I10" s="28"/>
      <c r="J10" s="28"/>
      <c r="K10" s="28"/>
      <c r="L10" s="224">
        <f t="shared" ref="L10:L19" si="1">SUM(M10:P10)</f>
        <v>53818308.530000001</v>
      </c>
      <c r="M10" s="224">
        <f>M11+M12</f>
        <v>53818308.530000001</v>
      </c>
      <c r="N10" s="220"/>
      <c r="O10" s="220"/>
      <c r="P10" s="221"/>
    </row>
    <row r="11" spans="1:17" ht="16.149999999999999" customHeight="1">
      <c r="A11" s="205"/>
      <c r="B11" s="32" t="s">
        <v>15</v>
      </c>
      <c r="C11" s="33">
        <f>D11+E11+F11+G11</f>
        <v>26300028</v>
      </c>
      <c r="D11" s="27">
        <f>'Шаблон 46 ГП'!D11</f>
        <v>26300028</v>
      </c>
      <c r="E11" s="26"/>
      <c r="F11" s="26"/>
      <c r="G11" s="34"/>
      <c r="H11" s="35"/>
      <c r="I11" s="36"/>
      <c r="J11" s="36"/>
      <c r="K11" s="36"/>
      <c r="L11" s="30">
        <f t="shared" si="1"/>
        <v>0</v>
      </c>
      <c r="M11" s="37">
        <f>'Шаблон 46 ГП'!M11</f>
        <v>0</v>
      </c>
      <c r="N11" s="38"/>
      <c r="O11" s="38"/>
      <c r="P11" s="206"/>
    </row>
    <row r="12" spans="1:17" ht="16.149999999999999" customHeight="1">
      <c r="A12" s="207"/>
      <c r="B12" s="32" t="s">
        <v>16</v>
      </c>
      <c r="C12" s="33">
        <f>D12</f>
        <v>30880092</v>
      </c>
      <c r="D12" s="27">
        <f>'Шаблон 46 ГП'!D12</f>
        <v>30880092</v>
      </c>
      <c r="E12" s="42"/>
      <c r="F12" s="42"/>
      <c r="G12" s="42"/>
      <c r="H12" s="43"/>
      <c r="I12" s="44"/>
      <c r="J12" s="44"/>
      <c r="K12" s="44"/>
      <c r="L12" s="30">
        <f t="shared" si="1"/>
        <v>53818308.530000001</v>
      </c>
      <c r="M12" s="45">
        <f>'Шаблон 46 ГП'!M12</f>
        <v>53818308.530000001</v>
      </c>
      <c r="N12" s="46"/>
      <c r="O12" s="46"/>
      <c r="P12" s="208"/>
    </row>
    <row r="13" spans="1:17" ht="16.149999999999999" customHeight="1">
      <c r="A13" s="209">
        <v>2</v>
      </c>
      <c r="B13" s="24" t="s">
        <v>17</v>
      </c>
      <c r="C13" s="25">
        <f>D13+E13+F13+G13</f>
        <v>0</v>
      </c>
      <c r="D13" s="25">
        <f>SUM(D14)</f>
        <v>0</v>
      </c>
      <c r="E13" s="25">
        <f>E14+E16</f>
        <v>0</v>
      </c>
      <c r="F13" s="25"/>
      <c r="G13" s="48"/>
      <c r="H13" s="49">
        <v>0</v>
      </c>
      <c r="I13" s="50">
        <v>0</v>
      </c>
      <c r="J13" s="50"/>
      <c r="K13" s="50"/>
      <c r="L13" s="29">
        <f t="shared" si="1"/>
        <v>0</v>
      </c>
      <c r="M13" s="29">
        <f>SUM(M14)</f>
        <v>0</v>
      </c>
      <c r="N13" s="29">
        <f>N16</f>
        <v>0</v>
      </c>
      <c r="O13" s="29"/>
      <c r="P13" s="51"/>
      <c r="Q13" s="52"/>
    </row>
    <row r="14" spans="1:17" ht="16.149999999999999" customHeight="1">
      <c r="A14" s="209"/>
      <c r="B14" s="53" t="s">
        <v>197</v>
      </c>
      <c r="C14" s="33">
        <f>D14+E14+F14+G14</f>
        <v>0</v>
      </c>
      <c r="D14" s="33">
        <f>D15</f>
        <v>0</v>
      </c>
      <c r="E14" s="33"/>
      <c r="F14" s="25"/>
      <c r="G14" s="48"/>
      <c r="H14" s="49">
        <f>H15</f>
        <v>0</v>
      </c>
      <c r="I14" s="50"/>
      <c r="J14" s="50"/>
      <c r="K14" s="50"/>
      <c r="L14" s="30">
        <f t="shared" si="1"/>
        <v>0</v>
      </c>
      <c r="M14" s="30">
        <f>M15</f>
        <v>0</v>
      </c>
      <c r="N14" s="30"/>
      <c r="O14" s="29"/>
      <c r="P14" s="51"/>
      <c r="Q14" s="52"/>
    </row>
    <row r="15" spans="1:17" ht="16.149999999999999" customHeight="1">
      <c r="A15" s="209"/>
      <c r="B15" s="203" t="s">
        <v>204</v>
      </c>
      <c r="C15" s="33"/>
      <c r="D15" s="33">
        <v>0</v>
      </c>
      <c r="E15" s="33"/>
      <c r="F15" s="25"/>
      <c r="G15" s="48"/>
      <c r="H15" s="49">
        <v>0</v>
      </c>
      <c r="I15" s="50"/>
      <c r="J15" s="50"/>
      <c r="K15" s="50"/>
      <c r="L15" s="30"/>
      <c r="M15" s="175">
        <f>ROUND(D15*H15,2)</f>
        <v>0</v>
      </c>
      <c r="N15" s="30"/>
      <c r="O15" s="29"/>
      <c r="P15" s="51"/>
      <c r="Q15" s="52"/>
    </row>
    <row r="16" spans="1:17" ht="16.149999999999999" customHeight="1">
      <c r="A16" s="209"/>
      <c r="B16" s="53" t="s">
        <v>200</v>
      </c>
      <c r="C16" s="33">
        <f>D16+E16+F16+G16</f>
        <v>0</v>
      </c>
      <c r="D16" s="25"/>
      <c r="E16" s="33">
        <f>E17</f>
        <v>0</v>
      </c>
      <c r="F16" s="25"/>
      <c r="G16" s="48"/>
      <c r="H16" s="49"/>
      <c r="I16" s="50">
        <f>I17</f>
        <v>0</v>
      </c>
      <c r="J16" s="50"/>
      <c r="K16" s="50"/>
      <c r="L16" s="30">
        <f t="shared" si="1"/>
        <v>0</v>
      </c>
      <c r="M16" s="30"/>
      <c r="N16" s="30">
        <f>N17+N18</f>
        <v>0</v>
      </c>
      <c r="O16" s="29"/>
      <c r="P16" s="51"/>
      <c r="Q16" s="52"/>
    </row>
    <row r="17" spans="1:17" ht="16.149999999999999" customHeight="1">
      <c r="A17" s="209"/>
      <c r="B17" s="203" t="s">
        <v>204</v>
      </c>
      <c r="C17" s="33"/>
      <c r="D17" s="25"/>
      <c r="E17" s="33">
        <v>0</v>
      </c>
      <c r="F17" s="25"/>
      <c r="G17" s="48"/>
      <c r="H17" s="49"/>
      <c r="I17" s="50">
        <v>0</v>
      </c>
      <c r="J17" s="50"/>
      <c r="K17" s="50"/>
      <c r="L17" s="30"/>
      <c r="M17" s="30"/>
      <c r="N17" s="175">
        <f>ROUND(E17*I17,2)</f>
        <v>0</v>
      </c>
      <c r="O17" s="29"/>
      <c r="P17" s="51"/>
      <c r="Q17" s="52"/>
    </row>
    <row r="18" spans="1:17" ht="16.149999999999999" customHeight="1">
      <c r="A18" s="209"/>
      <c r="B18" s="203" t="s">
        <v>192</v>
      </c>
      <c r="C18" s="33">
        <f>D18+E18+F18+G18</f>
        <v>0</v>
      </c>
      <c r="D18" s="25"/>
      <c r="E18" s="33">
        <v>0</v>
      </c>
      <c r="F18" s="25"/>
      <c r="G18" s="48"/>
      <c r="H18" s="49"/>
      <c r="I18" s="50">
        <v>0</v>
      </c>
      <c r="J18" s="50"/>
      <c r="K18" s="50"/>
      <c r="L18" s="30">
        <f t="shared" si="1"/>
        <v>0</v>
      </c>
      <c r="M18" s="30"/>
      <c r="N18" s="175">
        <f>ROUND(E18*I18,2)</f>
        <v>0</v>
      </c>
      <c r="O18" s="29"/>
      <c r="P18" s="51"/>
      <c r="Q18" s="52"/>
    </row>
    <row r="19" spans="1:17" s="64" customFormat="1" ht="16.149999999999999" customHeight="1">
      <c r="A19" s="66">
        <v>3</v>
      </c>
      <c r="B19" s="67" t="s">
        <v>20</v>
      </c>
      <c r="C19" s="25">
        <f>D19+E19+F19+G19</f>
        <v>0</v>
      </c>
      <c r="D19" s="25"/>
      <c r="E19" s="25">
        <f>SUM(E20:E20)</f>
        <v>0</v>
      </c>
      <c r="F19" s="25">
        <f>SUM(F20:F20)</f>
        <v>0</v>
      </c>
      <c r="G19" s="59"/>
      <c r="H19" s="63"/>
      <c r="I19" s="50"/>
      <c r="J19" s="50"/>
      <c r="K19" s="63"/>
      <c r="L19" s="29">
        <f t="shared" si="1"/>
        <v>0</v>
      </c>
      <c r="M19" s="29"/>
      <c r="N19" s="29">
        <f>SUM(N20:N20)</f>
        <v>0</v>
      </c>
      <c r="O19" s="29">
        <f>SUM(O20:O20)</f>
        <v>0</v>
      </c>
      <c r="P19" s="65"/>
    </row>
    <row r="20" spans="1:17" s="64" customFormat="1" ht="16.149999999999999" customHeight="1">
      <c r="A20" s="66"/>
      <c r="B20" s="105" t="s">
        <v>196</v>
      </c>
      <c r="C20" s="54">
        <f>SUM(D20:G20)</f>
        <v>0</v>
      </c>
      <c r="D20" s="25"/>
      <c r="E20" s="33">
        <f>'Шаблон 46 ГП'!E20</f>
        <v>0</v>
      </c>
      <c r="F20" s="33">
        <f>'Шаблон 46 ГП'!F20</f>
        <v>0</v>
      </c>
      <c r="G20" s="59"/>
      <c r="H20" s="63"/>
      <c r="I20" s="49">
        <f>'Шаблон 46 ГП'!I20</f>
        <v>0</v>
      </c>
      <c r="J20" s="49">
        <f>'Шаблон 46 ГП'!J20</f>
        <v>0</v>
      </c>
      <c r="K20" s="63"/>
      <c r="L20" s="175">
        <f>SUM(M20:P20)</f>
        <v>0</v>
      </c>
      <c r="M20" s="29"/>
      <c r="N20" s="175">
        <f>ROUND(E20*I20,2)</f>
        <v>0</v>
      </c>
      <c r="O20" s="175">
        <f>ROUND(F20*J20,2)</f>
        <v>0</v>
      </c>
      <c r="P20" s="65"/>
    </row>
    <row r="21" spans="1:17" ht="16.149999999999999" customHeight="1">
      <c r="A21" s="210">
        <v>4</v>
      </c>
      <c r="B21" s="58" t="s">
        <v>18</v>
      </c>
      <c r="C21" s="25">
        <f t="shared" ref="C21:C31" si="2">D21+E21+F21+G21</f>
        <v>0</v>
      </c>
      <c r="D21" s="59">
        <f>D22</f>
        <v>0</v>
      </c>
      <c r="E21" s="59"/>
      <c r="F21" s="59"/>
      <c r="G21" s="59">
        <f>G22</f>
        <v>0</v>
      </c>
      <c r="H21" s="50"/>
      <c r="I21" s="50"/>
      <c r="J21" s="50"/>
      <c r="K21" s="50"/>
      <c r="L21" s="29">
        <f t="shared" ref="L21:L31" si="3">M21+N21+O21+P21</f>
        <v>0</v>
      </c>
      <c r="M21" s="60">
        <f>M22</f>
        <v>0</v>
      </c>
      <c r="N21" s="60"/>
      <c r="O21" s="60"/>
      <c r="P21" s="211">
        <f>P22</f>
        <v>0</v>
      </c>
    </row>
    <row r="22" spans="1:17" s="64" customFormat="1" ht="16.149999999999999" customHeight="1">
      <c r="A22" s="212">
        <v>4.4000000000000004</v>
      </c>
      <c r="B22" s="62" t="s">
        <v>19</v>
      </c>
      <c r="C22" s="25">
        <f t="shared" si="2"/>
        <v>0</v>
      </c>
      <c r="D22" s="25">
        <f>D23+D26+D29</f>
        <v>0</v>
      </c>
      <c r="E22" s="59"/>
      <c r="F22" s="59"/>
      <c r="G22" s="59">
        <f>G23</f>
        <v>0</v>
      </c>
      <c r="H22" s="63"/>
      <c r="I22" s="63"/>
      <c r="J22" s="63"/>
      <c r="K22" s="63"/>
      <c r="L22" s="29">
        <f t="shared" si="3"/>
        <v>0</v>
      </c>
      <c r="M22" s="60">
        <f>M26+M29</f>
        <v>0</v>
      </c>
      <c r="N22" s="60"/>
      <c r="O22" s="29"/>
      <c r="P22" s="211">
        <f>P23</f>
        <v>0</v>
      </c>
    </row>
    <row r="23" spans="1:17" ht="16.149999999999999" customHeight="1">
      <c r="A23" s="212"/>
      <c r="B23" s="53" t="s">
        <v>197</v>
      </c>
      <c r="C23" s="25">
        <f t="shared" si="2"/>
        <v>0</v>
      </c>
      <c r="D23" s="25"/>
      <c r="E23" s="54"/>
      <c r="F23" s="54"/>
      <c r="G23" s="59">
        <f>G24+G25+G27</f>
        <v>0</v>
      </c>
      <c r="H23" s="50"/>
      <c r="I23" s="50"/>
      <c r="J23" s="50"/>
      <c r="K23" s="50"/>
      <c r="L23" s="29">
        <f t="shared" si="3"/>
        <v>0</v>
      </c>
      <c r="M23" s="60"/>
      <c r="N23" s="60"/>
      <c r="O23" s="29"/>
      <c r="P23" s="65">
        <f>P24+P25+P27</f>
        <v>0</v>
      </c>
    </row>
    <row r="24" spans="1:17" ht="16.149999999999999" customHeight="1">
      <c r="A24" s="212"/>
      <c r="B24" s="203" t="s">
        <v>198</v>
      </c>
      <c r="C24" s="33">
        <f t="shared" si="2"/>
        <v>0</v>
      </c>
      <c r="D24" s="33"/>
      <c r="E24" s="54"/>
      <c r="F24" s="54"/>
      <c r="G24" s="54">
        <f>'Шаблон 46 ЭСК'!G13</f>
        <v>0</v>
      </c>
      <c r="H24" s="50"/>
      <c r="I24" s="50"/>
      <c r="J24" s="50"/>
      <c r="K24" s="50">
        <f>'Шаблон 46 ЭСК'!K13</f>
        <v>0</v>
      </c>
      <c r="L24" s="30">
        <f t="shared" si="3"/>
        <v>0</v>
      </c>
      <c r="M24" s="55"/>
      <c r="N24" s="55"/>
      <c r="O24" s="30"/>
      <c r="P24" s="213">
        <f>ROUND(G24*K24,2)</f>
        <v>0</v>
      </c>
    </row>
    <row r="25" spans="1:17" ht="16.149999999999999" customHeight="1">
      <c r="A25" s="212"/>
      <c r="B25" s="203" t="s">
        <v>199</v>
      </c>
      <c r="C25" s="33">
        <f t="shared" si="2"/>
        <v>0</v>
      </c>
      <c r="D25" s="33"/>
      <c r="E25" s="54"/>
      <c r="F25" s="54"/>
      <c r="G25" s="54">
        <f>'Шаблон 46 ЭСК'!G14</f>
        <v>0</v>
      </c>
      <c r="H25" s="50"/>
      <c r="I25" s="50"/>
      <c r="J25" s="50"/>
      <c r="K25" s="50">
        <f>'Шаблон 46 ЭСК'!K14</f>
        <v>0</v>
      </c>
      <c r="L25" s="30">
        <f t="shared" si="3"/>
        <v>0</v>
      </c>
      <c r="M25" s="55"/>
      <c r="N25" s="55"/>
      <c r="O25" s="30"/>
      <c r="P25" s="213">
        <f>ROUND(G25*K25,2)</f>
        <v>0</v>
      </c>
    </row>
    <row r="26" spans="1:17" ht="18.75" customHeight="1">
      <c r="A26" s="212"/>
      <c r="B26" s="53" t="s">
        <v>200</v>
      </c>
      <c r="C26" s="25">
        <f>D26+E26+F26+G26</f>
        <v>0</v>
      </c>
      <c r="D26" s="25">
        <f>D27</f>
        <v>0</v>
      </c>
      <c r="E26" s="54"/>
      <c r="F26" s="54"/>
      <c r="G26" s="54"/>
      <c r="H26" s="50" t="e">
        <f>ROUND(M26/D26,5)</f>
        <v>#DIV/0!</v>
      </c>
      <c r="I26" s="50"/>
      <c r="J26" s="50"/>
      <c r="K26" s="50"/>
      <c r="L26" s="29">
        <f>M26</f>
        <v>0</v>
      </c>
      <c r="M26" s="60">
        <f>M27+M28</f>
        <v>0</v>
      </c>
      <c r="N26" s="55"/>
      <c r="O26" s="30"/>
      <c r="P26" s="56"/>
    </row>
    <row r="27" spans="1:17" ht="16.149999999999999" customHeight="1">
      <c r="A27" s="212"/>
      <c r="B27" s="203" t="s">
        <v>201</v>
      </c>
      <c r="C27" s="33">
        <f t="shared" si="2"/>
        <v>0</v>
      </c>
      <c r="D27" s="54">
        <f>'Шаблон 46 ЭСК'!D17</f>
        <v>0</v>
      </c>
      <c r="E27" s="54"/>
      <c r="F27" s="54"/>
      <c r="G27" s="54"/>
      <c r="H27" s="50">
        <f>'Шаблон 46 ЭСК'!H17</f>
        <v>0</v>
      </c>
      <c r="I27" s="50"/>
      <c r="J27" s="50"/>
      <c r="K27" s="50"/>
      <c r="L27" s="30">
        <f>M27+N27+O27+P27</f>
        <v>0</v>
      </c>
      <c r="M27" s="55">
        <f>ROUND(D27*H27,2)</f>
        <v>0</v>
      </c>
      <c r="N27" s="55"/>
      <c r="O27" s="30"/>
      <c r="P27" s="56"/>
    </row>
    <row r="28" spans="1:17" ht="18.75" customHeight="1">
      <c r="A28" s="212"/>
      <c r="B28" s="204" t="s">
        <v>192</v>
      </c>
      <c r="C28" s="33">
        <f>D28+E28+F28+G28</f>
        <v>0</v>
      </c>
      <c r="D28" s="54">
        <f>'Шаблон 46 ЭСК'!D18</f>
        <v>0</v>
      </c>
      <c r="E28" s="54"/>
      <c r="F28" s="54"/>
      <c r="G28" s="54"/>
      <c r="H28" s="50">
        <f>'Шаблон 46 ЭСК'!H18</f>
        <v>0</v>
      </c>
      <c r="I28" s="50"/>
      <c r="J28" s="50"/>
      <c r="K28" s="50"/>
      <c r="L28" s="30">
        <f>M28+N28+O28+P28</f>
        <v>0</v>
      </c>
      <c r="M28" s="55">
        <f>ROUND(D28*H28,2)</f>
        <v>0</v>
      </c>
      <c r="N28" s="55"/>
      <c r="O28" s="30"/>
      <c r="P28" s="56"/>
    </row>
    <row r="29" spans="1:17" ht="18.75" customHeight="1">
      <c r="A29" s="212"/>
      <c r="B29" s="53" t="s">
        <v>203</v>
      </c>
      <c r="C29" s="25">
        <f t="shared" si="2"/>
        <v>0</v>
      </c>
      <c r="D29" s="25">
        <f>SUM(D30)</f>
        <v>0</v>
      </c>
      <c r="E29" s="54"/>
      <c r="F29" s="54"/>
      <c r="G29" s="54"/>
      <c r="H29" s="50" t="e">
        <f>ROUND(M29/D29,5)</f>
        <v>#DIV/0!</v>
      </c>
      <c r="I29" s="50"/>
      <c r="J29" s="50"/>
      <c r="K29" s="50"/>
      <c r="L29" s="29">
        <f>M29</f>
        <v>0</v>
      </c>
      <c r="M29" s="60">
        <f>SUM(M30:M32)</f>
        <v>0</v>
      </c>
      <c r="N29" s="55"/>
      <c r="O29" s="30"/>
      <c r="P29" s="56"/>
    </row>
    <row r="30" spans="1:17" ht="18.75" customHeight="1">
      <c r="A30" s="212"/>
      <c r="B30" s="203" t="s">
        <v>201</v>
      </c>
      <c r="C30" s="33">
        <f t="shared" si="2"/>
        <v>0</v>
      </c>
      <c r="D30" s="54">
        <f>'Шаблон 46 ЭСК'!D23</f>
        <v>0</v>
      </c>
      <c r="E30" s="54"/>
      <c r="F30" s="54"/>
      <c r="G30" s="54"/>
      <c r="H30" s="50">
        <f>'Шаблон 46 ЭСК'!H23</f>
        <v>0</v>
      </c>
      <c r="I30" s="50"/>
      <c r="J30" s="50"/>
      <c r="K30" s="50"/>
      <c r="L30" s="30">
        <f t="shared" si="3"/>
        <v>0</v>
      </c>
      <c r="M30" s="55">
        <f>D30*H30</f>
        <v>0</v>
      </c>
      <c r="N30" s="55"/>
      <c r="O30" s="30"/>
      <c r="P30" s="56"/>
    </row>
    <row r="31" spans="1:17" ht="18.75" customHeight="1">
      <c r="A31" s="212"/>
      <c r="B31" s="204" t="s">
        <v>192</v>
      </c>
      <c r="C31" s="33">
        <f t="shared" si="2"/>
        <v>0</v>
      </c>
      <c r="D31" s="54">
        <f>'Шаблон 46 ЭСК'!D24</f>
        <v>0</v>
      </c>
      <c r="E31" s="54"/>
      <c r="F31" s="54"/>
      <c r="G31" s="54"/>
      <c r="H31" s="50">
        <f>'Шаблон 46 ЭСК'!H24</f>
        <v>0</v>
      </c>
      <c r="I31" s="50"/>
      <c r="J31" s="50"/>
      <c r="K31" s="50"/>
      <c r="L31" s="30">
        <f t="shared" si="3"/>
        <v>0</v>
      </c>
      <c r="M31" s="55">
        <f>D31*H31</f>
        <v>0</v>
      </c>
      <c r="N31" s="55"/>
      <c r="O31" s="30"/>
      <c r="P31" s="56"/>
    </row>
    <row r="32" spans="1:17" ht="18.75" customHeight="1" thickBot="1">
      <c r="A32" s="212"/>
      <c r="B32" s="204" t="s">
        <v>206</v>
      </c>
      <c r="C32" s="33">
        <f>D32+E32+F32+G32</f>
        <v>0</v>
      </c>
      <c r="D32" s="54">
        <f>'Шаблон 46 ЭСК'!D25</f>
        <v>0</v>
      </c>
      <c r="E32" s="54"/>
      <c r="F32" s="54"/>
      <c r="G32" s="54"/>
      <c r="H32" s="50">
        <f>'Шаблон 46 ЭСК'!H25</f>
        <v>0</v>
      </c>
      <c r="I32" s="50"/>
      <c r="J32" s="50"/>
      <c r="K32" s="50"/>
      <c r="L32" s="30">
        <f>M32+N32+O32+P32</f>
        <v>0</v>
      </c>
      <c r="M32" s="55">
        <f>D32*H32</f>
        <v>0</v>
      </c>
      <c r="N32" s="55"/>
      <c r="O32" s="30"/>
      <c r="P32" s="56"/>
    </row>
    <row r="33" spans="1:17" ht="16.149999999999999" customHeight="1" thickBot="1">
      <c r="A33" s="70"/>
      <c r="B33" s="71" t="s">
        <v>21</v>
      </c>
      <c r="C33" s="72">
        <f>C34+C35</f>
        <v>785687</v>
      </c>
      <c r="D33" s="72"/>
      <c r="E33" s="72"/>
      <c r="F33" s="72"/>
      <c r="G33" s="72"/>
      <c r="H33" s="4146"/>
      <c r="I33" s="4147"/>
      <c r="J33" s="4147"/>
      <c r="K33" s="4148"/>
      <c r="L33" s="20">
        <f>L34+L35</f>
        <v>158100.37</v>
      </c>
      <c r="M33" s="20"/>
      <c r="N33" s="20"/>
      <c r="O33" s="20"/>
      <c r="P33" s="73"/>
    </row>
    <row r="34" spans="1:17" ht="16.149999999999999" customHeight="1">
      <c r="A34" s="74">
        <v>1</v>
      </c>
      <c r="B34" s="75" t="s">
        <v>22</v>
      </c>
      <c r="C34" s="33">
        <f>'Шаблон 46 ГП'!C22</f>
        <v>367525</v>
      </c>
      <c r="D34" s="76"/>
      <c r="E34" s="76"/>
      <c r="F34" s="76"/>
      <c r="G34" s="77"/>
      <c r="H34" s="4149"/>
      <c r="I34" s="4150"/>
      <c r="J34" s="4150"/>
      <c r="K34" s="4151"/>
      <c r="L34" s="78">
        <f>'Шаблон 46 ГП'!L22</f>
        <v>158100.37</v>
      </c>
      <c r="M34" s="79"/>
      <c r="N34" s="79"/>
      <c r="O34" s="80"/>
      <c r="P34" s="81"/>
    </row>
    <row r="35" spans="1:17" ht="16.149999999999999" customHeight="1" thickBot="1">
      <c r="A35" s="82">
        <v>2</v>
      </c>
      <c r="B35" s="83" t="s">
        <v>23</v>
      </c>
      <c r="C35" s="33">
        <f>'Шаблон 46 ГП'!C23</f>
        <v>418162</v>
      </c>
      <c r="D35" s="84"/>
      <c r="E35" s="84"/>
      <c r="F35" s="84"/>
      <c r="G35" s="84"/>
      <c r="H35" s="4152"/>
      <c r="I35" s="4153"/>
      <c r="J35" s="4153"/>
      <c r="K35" s="4154"/>
      <c r="L35" s="45">
        <f>'Шаблон 46 ГП'!L23</f>
        <v>0</v>
      </c>
      <c r="M35" s="85"/>
      <c r="N35" s="46"/>
      <c r="O35" s="46"/>
      <c r="P35" s="86"/>
    </row>
    <row r="36" spans="1:17" ht="16.149999999999999" customHeight="1" thickBot="1">
      <c r="A36" s="70"/>
      <c r="B36" s="71" t="s">
        <v>24</v>
      </c>
      <c r="C36" s="72">
        <f>'Шаблон 46 ГП'!C24</f>
        <v>0</v>
      </c>
      <c r="D36" s="72"/>
      <c r="E36" s="72"/>
      <c r="F36" s="72"/>
      <c r="G36" s="72"/>
      <c r="H36" s="17"/>
      <c r="I36" s="17"/>
      <c r="J36" s="17"/>
      <c r="K36" s="17"/>
      <c r="L36" s="20"/>
      <c r="M36" s="20"/>
      <c r="N36" s="20"/>
      <c r="O36" s="20"/>
      <c r="P36" s="73"/>
    </row>
    <row r="37" spans="1:17" ht="16.149999999999999" customHeight="1" thickBot="1">
      <c r="A37" s="87"/>
      <c r="B37" s="88"/>
      <c r="C37" s="90"/>
      <c r="D37" s="89"/>
      <c r="E37" s="89"/>
      <c r="F37" s="89"/>
      <c r="G37" s="89"/>
      <c r="H37" s="91"/>
      <c r="I37" s="92"/>
      <c r="J37" s="92"/>
      <c r="K37" s="93"/>
      <c r="L37" s="94"/>
      <c r="M37" s="85"/>
      <c r="N37" s="85"/>
      <c r="O37" s="85"/>
      <c r="P37" s="95"/>
    </row>
    <row r="38" spans="1:17" ht="16.149999999999999" customHeight="1" thickBot="1">
      <c r="A38" s="96" t="s">
        <v>25</v>
      </c>
      <c r="B38" s="97" t="s">
        <v>26</v>
      </c>
      <c r="C38" s="98"/>
      <c r="D38" s="98"/>
      <c r="E38" s="98"/>
      <c r="F38" s="98"/>
      <c r="G38" s="98"/>
      <c r="H38" s="17"/>
      <c r="I38" s="17"/>
      <c r="J38" s="17"/>
      <c r="K38" s="17"/>
      <c r="L38" s="20"/>
      <c r="M38" s="20"/>
      <c r="N38" s="20"/>
      <c r="O38" s="20"/>
      <c r="P38" s="73"/>
    </row>
    <row r="39" spans="1:17" ht="16.149999999999999" customHeight="1" thickBot="1">
      <c r="A39" s="96" t="s">
        <v>27</v>
      </c>
      <c r="B39" s="97" t="s">
        <v>28</v>
      </c>
      <c r="C39" s="72">
        <f>SUM(D39:G39)</f>
        <v>24789950</v>
      </c>
      <c r="D39" s="72">
        <f>SUM(D40:D51)</f>
        <v>0</v>
      </c>
      <c r="E39" s="72">
        <f>SUM(E40:E51)</f>
        <v>0</v>
      </c>
      <c r="F39" s="72">
        <f>SUM(F40:F51)</f>
        <v>3596581</v>
      </c>
      <c r="G39" s="72">
        <f>SUM(G40:G51)</f>
        <v>21193369</v>
      </c>
      <c r="H39" s="99"/>
      <c r="I39" s="99"/>
      <c r="J39" s="99"/>
      <c r="K39" s="99"/>
      <c r="L39" s="166">
        <f>SUM(M39:P39)</f>
        <v>56787602.640000008</v>
      </c>
      <c r="M39" s="166">
        <f>SUM(M40:M51)</f>
        <v>0</v>
      </c>
      <c r="N39" s="166">
        <f>SUM(N40:N51)</f>
        <v>0</v>
      </c>
      <c r="O39" s="166">
        <f>SUM(O40:O51)</f>
        <v>9002750.4299999997</v>
      </c>
      <c r="P39" s="190">
        <f>SUM(P40:P51)</f>
        <v>47784852.210000008</v>
      </c>
      <c r="Q39" s="100"/>
    </row>
    <row r="40" spans="1:17" ht="16.149999999999999" customHeight="1">
      <c r="A40" s="101">
        <v>2.1</v>
      </c>
      <c r="B40" s="102" t="s">
        <v>29</v>
      </c>
      <c r="C40" s="54">
        <f>SUM(D40:G40)</f>
        <v>7393218</v>
      </c>
      <c r="D40" s="54">
        <f>SUM('Шаблон 46 ГП'!D28)</f>
        <v>0</v>
      </c>
      <c r="E40" s="54">
        <f>SUM('Шаблон 46 ГП'!E28)</f>
        <v>0</v>
      </c>
      <c r="F40" s="54">
        <f>SUM('Шаблон 46 ГП'!F28)</f>
        <v>44194</v>
      </c>
      <c r="G40" s="54">
        <f>SUM('Шаблон 46 ГП'!G28)</f>
        <v>7349024</v>
      </c>
      <c r="H40" s="160">
        <f>SUM('Шаблон 46 ГП'!H28)</f>
        <v>0</v>
      </c>
      <c r="I40" s="160">
        <f>SUM('Шаблон 46 ГП'!I28)</f>
        <v>0</v>
      </c>
      <c r="J40" s="160">
        <f>SUM('Шаблон 46 ГП'!J28)</f>
        <v>3</v>
      </c>
      <c r="K40" s="160">
        <f>SUM('Шаблон 46 ГП'!K28)</f>
        <v>2.9324999999999997</v>
      </c>
      <c r="L40" s="175">
        <f>SUM(M40:P40)</f>
        <v>18199021.23</v>
      </c>
      <c r="M40" s="175">
        <f>SUM('Шаблон 46 ГП'!M28)</f>
        <v>0</v>
      </c>
      <c r="N40" s="175">
        <f>SUM('Шаблон 46 ГП'!N28)</f>
        <v>0</v>
      </c>
      <c r="O40" s="175">
        <f>SUM('Шаблон 46 ГП'!O28)</f>
        <v>108673.78</v>
      </c>
      <c r="P40" s="185">
        <f>SUM('Шаблон 46 ГП'!P28)</f>
        <v>18090347.449999999</v>
      </c>
      <c r="Q40" s="100"/>
    </row>
    <row r="41" spans="1:17" ht="16.149999999999999" customHeight="1">
      <c r="A41" s="101">
        <v>2.2000000000000002</v>
      </c>
      <c r="B41" s="102" t="s">
        <v>30</v>
      </c>
      <c r="C41" s="54">
        <f t="shared" ref="C41:C51" si="4">SUM(D41:G41)</f>
        <v>10256021</v>
      </c>
      <c r="D41" s="54">
        <f>SUM('Шаблон 46 ГП'!D31)</f>
        <v>0</v>
      </c>
      <c r="E41" s="54">
        <f>SUM('Шаблон 46 ГП'!E31)</f>
        <v>0</v>
      </c>
      <c r="F41" s="54">
        <f>SUM('Шаблон 46 ГП'!F31)</f>
        <v>1212745</v>
      </c>
      <c r="G41" s="54">
        <f>SUM('Шаблон 46 ГП'!G31)</f>
        <v>9043276</v>
      </c>
      <c r="H41" s="160">
        <f>SUM('Шаблон 46 ГП'!H31)</f>
        <v>0</v>
      </c>
      <c r="I41" s="160">
        <f>SUM('Шаблон 46 ГП'!I31)</f>
        <v>0</v>
      </c>
      <c r="J41" s="160">
        <f>SUM('Шаблон 46 ГП'!J31)</f>
        <v>2.73</v>
      </c>
      <c r="K41" s="160">
        <f>SUM('Шаблон 46 ГП'!K31)</f>
        <v>2.714375</v>
      </c>
      <c r="L41" s="175">
        <f t="shared" ref="L41:L51" si="5">SUM(M41:P41)</f>
        <v>22950898.640000001</v>
      </c>
      <c r="M41" s="175">
        <f>SUM('Шаблон 46 ГП'!M31)</f>
        <v>0</v>
      </c>
      <c r="N41" s="175">
        <f>SUM('Шаблон 46 ГП'!N31)</f>
        <v>0</v>
      </c>
      <c r="O41" s="175">
        <f>SUM('Шаблон 46 ГП'!O31)</f>
        <v>2713765.45</v>
      </c>
      <c r="P41" s="185">
        <f>SUM('Шаблон 46 ГП'!P31)</f>
        <v>20237133.190000001</v>
      </c>
      <c r="Q41" s="100"/>
    </row>
    <row r="42" spans="1:17" ht="16.149999999999999" customHeight="1">
      <c r="A42" s="101">
        <v>2.2999999999999998</v>
      </c>
      <c r="B42" s="102" t="s">
        <v>31</v>
      </c>
      <c r="C42" s="54">
        <f t="shared" si="4"/>
        <v>3530241</v>
      </c>
      <c r="D42" s="54">
        <f>SUM('Шаблон 46 ГП'!D34)</f>
        <v>0</v>
      </c>
      <c r="E42" s="54">
        <f>SUM('Шаблон 46 ГП'!E34)</f>
        <v>0</v>
      </c>
      <c r="F42" s="54">
        <f>SUM('Шаблон 46 ГП'!F34)</f>
        <v>405184</v>
      </c>
      <c r="G42" s="54">
        <f>SUM('Шаблон 46 ГП'!G34)</f>
        <v>3125057</v>
      </c>
      <c r="H42" s="160">
        <f>SUM('Шаблон 46 ГП'!H34)</f>
        <v>0</v>
      </c>
      <c r="I42" s="160">
        <f>SUM('Шаблон 46 ГП'!I34)</f>
        <v>0</v>
      </c>
      <c r="J42" s="160">
        <f>SUM('Шаблон 46 ГП'!J34)</f>
        <v>1.7999999999999998</v>
      </c>
      <c r="K42" s="160">
        <f>SUM('Шаблон 46 ГП'!K34)</f>
        <v>1.7487692307599998</v>
      </c>
      <c r="L42" s="175">
        <f t="shared" si="5"/>
        <v>5204104.040000001</v>
      </c>
      <c r="M42" s="175">
        <f>SUM('Шаблон 46 ГП'!M34)</f>
        <v>0</v>
      </c>
      <c r="N42" s="175">
        <f>SUM('Шаблон 46 ГП'!N34)</f>
        <v>0</v>
      </c>
      <c r="O42" s="175">
        <f>SUM('Шаблон 46 ГП'!O34)</f>
        <v>597812.47999999998</v>
      </c>
      <c r="P42" s="185">
        <f>SUM('Шаблон 46 ГП'!P34)</f>
        <v>4606291.5600000005</v>
      </c>
      <c r="Q42" s="100"/>
    </row>
    <row r="43" spans="1:17" ht="16.149999999999999" customHeight="1">
      <c r="A43" s="101">
        <v>2.4</v>
      </c>
      <c r="B43" s="102" t="s">
        <v>32</v>
      </c>
      <c r="C43" s="54">
        <f t="shared" si="4"/>
        <v>0</v>
      </c>
      <c r="D43" s="54">
        <f>SUM('Шаблон 46 ГП'!D37)</f>
        <v>0</v>
      </c>
      <c r="E43" s="54">
        <f>SUM('Шаблон 46 ГП'!E37)</f>
        <v>0</v>
      </c>
      <c r="F43" s="54">
        <f>SUM('Шаблон 46 ГП'!F37)</f>
        <v>0</v>
      </c>
      <c r="G43" s="54">
        <f>SUM('Шаблон 46 ГП'!G37)</f>
        <v>0</v>
      </c>
      <c r="H43" s="160">
        <f>SUM('Шаблон 46 ГП'!H37)</f>
        <v>0</v>
      </c>
      <c r="I43" s="160">
        <f>SUM('Шаблон 46 ГП'!I37)</f>
        <v>0</v>
      </c>
      <c r="J43" s="160">
        <f>SUM('Шаблон 46 ГП'!J37)</f>
        <v>0</v>
      </c>
      <c r="K43" s="160">
        <f>SUM('Шаблон 46 ГП'!K37)</f>
        <v>0</v>
      </c>
      <c r="L43" s="175">
        <f t="shared" si="5"/>
        <v>0</v>
      </c>
      <c r="M43" s="175">
        <f>SUM('Шаблон 46 ГП'!M37)</f>
        <v>0</v>
      </c>
      <c r="N43" s="175">
        <f>SUM('Шаблон 46 ГП'!N37)</f>
        <v>0</v>
      </c>
      <c r="O43" s="175">
        <f>SUM('Шаблон 46 ГП'!O37)</f>
        <v>0</v>
      </c>
      <c r="P43" s="185">
        <f>SUM('Шаблон 46 ГП'!P37)</f>
        <v>0</v>
      </c>
      <c r="Q43" s="100"/>
    </row>
    <row r="44" spans="1:17" ht="16.149999999999999" customHeight="1">
      <c r="A44" s="101">
        <v>2.5</v>
      </c>
      <c r="B44" s="102" t="s">
        <v>33</v>
      </c>
      <c r="C44" s="54">
        <f t="shared" si="4"/>
        <v>0</v>
      </c>
      <c r="D44" s="54">
        <f>SUM('Шаблон 46 ГП'!D38)</f>
        <v>0</v>
      </c>
      <c r="E44" s="54">
        <f>SUM('Шаблон 46 ГП'!E38)</f>
        <v>0</v>
      </c>
      <c r="F44" s="54">
        <f>SUM('Шаблон 46 ГП'!F38)</f>
        <v>0</v>
      </c>
      <c r="G44" s="54">
        <f>SUM('Шаблон 46 ГП'!G38)</f>
        <v>0</v>
      </c>
      <c r="H44" s="160">
        <f>SUM('Шаблон 46 ГП'!H38)</f>
        <v>0</v>
      </c>
      <c r="I44" s="160">
        <f>SUM('Шаблон 46 ГП'!I38)</f>
        <v>0</v>
      </c>
      <c r="J44" s="160">
        <f>SUM('Шаблон 46 ГП'!J38)</f>
        <v>0</v>
      </c>
      <c r="K44" s="160">
        <f>SUM('Шаблон 46 ГП'!K38)</f>
        <v>0</v>
      </c>
      <c r="L44" s="175">
        <f t="shared" si="5"/>
        <v>0</v>
      </c>
      <c r="M44" s="175">
        <f>SUM('Шаблон 46 ГП'!M38)</f>
        <v>0</v>
      </c>
      <c r="N44" s="175">
        <f>SUM('Шаблон 46 ГП'!N38)</f>
        <v>0</v>
      </c>
      <c r="O44" s="175">
        <f>SUM('Шаблон 46 ГП'!O38)</f>
        <v>0</v>
      </c>
      <c r="P44" s="185">
        <f>SUM('Шаблон 46 ГП'!P38)</f>
        <v>0</v>
      </c>
      <c r="Q44" s="100"/>
    </row>
    <row r="45" spans="1:17" ht="16.149999999999999" customHeight="1">
      <c r="A45" s="101">
        <v>2.6</v>
      </c>
      <c r="B45" s="102" t="s">
        <v>34</v>
      </c>
      <c r="C45" s="54">
        <f t="shared" si="4"/>
        <v>0</v>
      </c>
      <c r="D45" s="54">
        <f>SUM('Шаблон 46 ГП'!D39)</f>
        <v>0</v>
      </c>
      <c r="E45" s="54">
        <f>SUM('Шаблон 46 ГП'!E39)</f>
        <v>0</v>
      </c>
      <c r="F45" s="54">
        <f>SUM('Шаблон 46 ГП'!F39)</f>
        <v>0</v>
      </c>
      <c r="G45" s="54">
        <f>SUM('Шаблон 46 ГП'!G39)</f>
        <v>0</v>
      </c>
      <c r="H45" s="160">
        <f>SUM('Шаблон 46 ГП'!H39)</f>
        <v>0</v>
      </c>
      <c r="I45" s="160">
        <f>SUM('Шаблон 46 ГП'!I39)</f>
        <v>0</v>
      </c>
      <c r="J45" s="160">
        <f>SUM('Шаблон 46 ГП'!J39)</f>
        <v>0</v>
      </c>
      <c r="K45" s="160">
        <f>SUM('Шаблон 46 ГП'!K39)</f>
        <v>0</v>
      </c>
      <c r="L45" s="175">
        <f t="shared" si="5"/>
        <v>0</v>
      </c>
      <c r="M45" s="175">
        <f>SUM('Шаблон 46 ГП'!M39)</f>
        <v>0</v>
      </c>
      <c r="N45" s="175">
        <f>SUM('Шаблон 46 ГП'!N39)</f>
        <v>0</v>
      </c>
      <c r="O45" s="175">
        <f>SUM('Шаблон 46 ГП'!O39)</f>
        <v>0</v>
      </c>
      <c r="P45" s="185">
        <f>SUM('Шаблон 46 ГП'!P39)</f>
        <v>0</v>
      </c>
      <c r="Q45" s="100"/>
    </row>
    <row r="46" spans="1:17" ht="16.149999999999999" customHeight="1">
      <c r="A46" s="101">
        <v>2.7</v>
      </c>
      <c r="B46" s="102" t="s">
        <v>35</v>
      </c>
      <c r="C46" s="54">
        <f t="shared" si="4"/>
        <v>101987</v>
      </c>
      <c r="D46" s="54">
        <f>SUM('Шаблон 46 ГП'!D40)</f>
        <v>0</v>
      </c>
      <c r="E46" s="54">
        <f>SUM('Шаблон 46 ГП'!E40)</f>
        <v>0</v>
      </c>
      <c r="F46" s="54">
        <f>SUM('Шаблон 46 ГП'!F40)</f>
        <v>0</v>
      </c>
      <c r="G46" s="54">
        <f>SUM('Шаблон 46 ГП'!G40)</f>
        <v>101987</v>
      </c>
      <c r="H46" s="160">
        <f>SUM('Шаблон 46 ГП'!H40)</f>
        <v>0</v>
      </c>
      <c r="I46" s="160">
        <f>SUM('Шаблон 46 ГП'!I40)</f>
        <v>0</v>
      </c>
      <c r="J46" s="160">
        <f>SUM('Шаблон 46 ГП'!J40)</f>
        <v>0</v>
      </c>
      <c r="K46" s="160">
        <f>SUM('Шаблон 46 ГП'!K40)</f>
        <v>4.29</v>
      </c>
      <c r="L46" s="175">
        <f t="shared" si="5"/>
        <v>358626.42</v>
      </c>
      <c r="M46" s="175">
        <f>SUM('Шаблон 46 ГП'!M40)</f>
        <v>0</v>
      </c>
      <c r="N46" s="175">
        <f>SUM('Шаблон 46 ГП'!N40)</f>
        <v>0</v>
      </c>
      <c r="O46" s="175">
        <f>SUM('Шаблон 46 ГП'!O40)</f>
        <v>0</v>
      </c>
      <c r="P46" s="185">
        <f>SUM('Шаблон 46 ГП'!P40)</f>
        <v>358626.42</v>
      </c>
      <c r="Q46" s="100"/>
    </row>
    <row r="47" spans="1:17" ht="16.149999999999999" customHeight="1">
      <c r="A47" s="101">
        <v>2.8</v>
      </c>
      <c r="B47" s="102" t="s">
        <v>36</v>
      </c>
      <c r="C47" s="54">
        <f t="shared" si="4"/>
        <v>936712</v>
      </c>
      <c r="D47" s="54">
        <f>SUM('Шаблон 46 ГП'!D43)</f>
        <v>0</v>
      </c>
      <c r="E47" s="54">
        <f>SUM('Шаблон 46 ГП'!E43)</f>
        <v>0</v>
      </c>
      <c r="F47" s="54">
        <f>SUM('Шаблон 46 ГП'!F43)</f>
        <v>0</v>
      </c>
      <c r="G47" s="54">
        <f>SUM('Шаблон 46 ГП'!G43)</f>
        <v>936712</v>
      </c>
      <c r="H47" s="160">
        <f>SUM('Шаблон 46 ГП'!H43)</f>
        <v>0</v>
      </c>
      <c r="I47" s="160">
        <f>SUM('Шаблон 46 ГП'!I43)</f>
        <v>0</v>
      </c>
      <c r="J47" s="160">
        <f>SUM('Шаблон 46 ГП'!J43)</f>
        <v>0</v>
      </c>
      <c r="K47" s="160">
        <f>SUM('Шаблон 46 ГП'!K43)</f>
        <v>3.9099999999999997</v>
      </c>
      <c r="L47" s="175">
        <f t="shared" si="5"/>
        <v>3002085.18</v>
      </c>
      <c r="M47" s="175">
        <f>SUM('Шаблон 46 ГП'!M43)</f>
        <v>0</v>
      </c>
      <c r="N47" s="175">
        <f>SUM('Шаблон 46 ГП'!N43)</f>
        <v>0</v>
      </c>
      <c r="O47" s="175">
        <f>SUM('Шаблон 46 ГП'!O43)</f>
        <v>0</v>
      </c>
      <c r="P47" s="185">
        <f>SUM('Шаблон 46 ГП'!P43)</f>
        <v>3002085.18</v>
      </c>
      <c r="Q47" s="100"/>
    </row>
    <row r="48" spans="1:17" ht="16.149999999999999" customHeight="1">
      <c r="A48" s="101">
        <v>2.9</v>
      </c>
      <c r="B48" s="102" t="s">
        <v>37</v>
      </c>
      <c r="C48" s="54">
        <f t="shared" si="4"/>
        <v>466150</v>
      </c>
      <c r="D48" s="54">
        <f>SUM('Шаблон 46 ГП'!D46)</f>
        <v>0</v>
      </c>
      <c r="E48" s="54">
        <f>SUM('Шаблон 46 ГП'!E46)</f>
        <v>0</v>
      </c>
      <c r="F48" s="54">
        <f>SUM('Шаблон 46 ГП'!F46)</f>
        <v>0</v>
      </c>
      <c r="G48" s="54">
        <f>SUM('Шаблон 46 ГП'!G46)</f>
        <v>466150</v>
      </c>
      <c r="H48" s="160">
        <f>SUM('Шаблон 46 ГП'!H46)</f>
        <v>0</v>
      </c>
      <c r="I48" s="160">
        <f>SUM('Шаблон 46 ГП'!I46)</f>
        <v>0</v>
      </c>
      <c r="J48" s="160">
        <f>SUM('Шаблон 46 ГП'!J46)</f>
        <v>0</v>
      </c>
      <c r="K48" s="160">
        <f>SUM('Шаблон 46 ГП'!K46)</f>
        <v>2.57</v>
      </c>
      <c r="L48" s="175">
        <f t="shared" si="5"/>
        <v>981971.72</v>
      </c>
      <c r="M48" s="175">
        <f>SUM('Шаблон 46 ГП'!M46)</f>
        <v>0</v>
      </c>
      <c r="N48" s="175">
        <f>SUM('Шаблон 46 ГП'!N46)</f>
        <v>0</v>
      </c>
      <c r="O48" s="175">
        <f>SUM('Шаблон 46 ГП'!O46)</f>
        <v>0</v>
      </c>
      <c r="P48" s="185">
        <f>SUM('Шаблон 46 ГП'!P46)</f>
        <v>981971.72</v>
      </c>
      <c r="Q48" s="100"/>
    </row>
    <row r="49" spans="1:17" ht="16.149999999999999" customHeight="1">
      <c r="A49" s="104">
        <v>2.1</v>
      </c>
      <c r="B49" s="105" t="s">
        <v>38</v>
      </c>
      <c r="C49" s="54">
        <f t="shared" si="4"/>
        <v>1399760</v>
      </c>
      <c r="D49" s="54">
        <f>SUM('Шаблон 46 ГП'!D49)</f>
        <v>0</v>
      </c>
      <c r="E49" s="54">
        <f>SUM('Шаблон 46 ГП'!E49)</f>
        <v>0</v>
      </c>
      <c r="F49" s="54">
        <f>SUM('Шаблон 46 ГП'!F49)</f>
        <v>1305828</v>
      </c>
      <c r="G49" s="54">
        <f>SUM('Шаблон 46 ГП'!G49)</f>
        <v>93932</v>
      </c>
      <c r="H49" s="160">
        <f>SUM('Шаблон 46 ГП'!H49)</f>
        <v>0</v>
      </c>
      <c r="I49" s="160">
        <f>SUM('Шаблон 46 ГП'!I49)</f>
        <v>0</v>
      </c>
      <c r="J49" s="160">
        <f>SUM('Шаблон 46 ГП'!J49)</f>
        <v>3.9099999999999997</v>
      </c>
      <c r="K49" s="160">
        <f>SUM('Шаблон 46 ГП'!K49)</f>
        <v>3.9099999999999997</v>
      </c>
      <c r="L49" s="175">
        <f t="shared" si="5"/>
        <v>4486116.1100000003</v>
      </c>
      <c r="M49" s="175">
        <f>SUM('Шаблон 46 ГП'!M49)</f>
        <v>0</v>
      </c>
      <c r="N49" s="175">
        <f>SUM('Шаблон 46 ГП'!N49)</f>
        <v>0</v>
      </c>
      <c r="O49" s="175">
        <f>SUM('Шаблон 46 ГП'!O49)</f>
        <v>4185071.77</v>
      </c>
      <c r="P49" s="185">
        <f>SUM('Шаблон 46 ГП'!P49)</f>
        <v>301044.34000000003</v>
      </c>
      <c r="Q49" s="100"/>
    </row>
    <row r="50" spans="1:17" ht="16.149999999999999" customHeight="1">
      <c r="A50" s="104">
        <v>2.11</v>
      </c>
      <c r="B50" s="107" t="s">
        <v>39</v>
      </c>
      <c r="C50" s="54">
        <f t="shared" si="4"/>
        <v>622275</v>
      </c>
      <c r="D50" s="54">
        <f>SUM('Шаблон 46 ГП'!D52)</f>
        <v>0</v>
      </c>
      <c r="E50" s="54">
        <f>SUM('Шаблон 46 ГП'!E52)</f>
        <v>0</v>
      </c>
      <c r="F50" s="54">
        <f>SUM('Шаблон 46 ГП'!F52)</f>
        <v>576722</v>
      </c>
      <c r="G50" s="54">
        <f>SUM('Шаблон 46 ГП'!G52)</f>
        <v>45553</v>
      </c>
      <c r="H50" s="160">
        <f>SUM('Шаблон 46 ГП'!H52)</f>
        <v>0</v>
      </c>
      <c r="I50" s="160">
        <f>SUM('Шаблон 46 ГП'!I52)</f>
        <v>0</v>
      </c>
      <c r="J50" s="160">
        <f>SUM('Шаблон 46 ГП'!J52)</f>
        <v>2.57</v>
      </c>
      <c r="K50" s="160">
        <f>SUM('Шаблон 46 ГП'!K52)</f>
        <v>2.57</v>
      </c>
      <c r="L50" s="175">
        <f t="shared" si="5"/>
        <v>1310858.03</v>
      </c>
      <c r="M50" s="175">
        <f>SUM('Шаблон 46 ГП'!M52)</f>
        <v>0</v>
      </c>
      <c r="N50" s="175">
        <f>SUM('Шаблон 46 ГП'!N52)</f>
        <v>0</v>
      </c>
      <c r="O50" s="175">
        <f>SUM('Шаблон 46 ГП'!O52)</f>
        <v>1214898</v>
      </c>
      <c r="P50" s="185">
        <f>SUM('Шаблон 46 ГП'!P52)</f>
        <v>95960.03</v>
      </c>
      <c r="Q50" s="100"/>
    </row>
    <row r="51" spans="1:17" ht="18.75" customHeight="1" thickBot="1">
      <c r="A51" s="104">
        <v>2.12</v>
      </c>
      <c r="B51" s="68" t="s">
        <v>40</v>
      </c>
      <c r="C51" s="54">
        <f t="shared" si="4"/>
        <v>83586</v>
      </c>
      <c r="D51" s="54">
        <f>SUM('Шаблон 46 ГП'!D55,'Шаблон 46 ЭСК'!D35)</f>
        <v>0</v>
      </c>
      <c r="E51" s="54">
        <f>SUM('Шаблон 46 ГП'!E55)</f>
        <v>0</v>
      </c>
      <c r="F51" s="54">
        <f>SUM('Шаблон 46 ГП'!F55)</f>
        <v>51908</v>
      </c>
      <c r="G51" s="54">
        <f>SUM('Шаблон 46 ГП'!G55)</f>
        <v>31678</v>
      </c>
      <c r="H51" s="160">
        <f>SUM('Шаблон 46 ГП'!H55)</f>
        <v>0</v>
      </c>
      <c r="I51" s="160">
        <f>SUM('Шаблон 46 ГП'!I55)</f>
        <v>0</v>
      </c>
      <c r="J51" s="160">
        <f>SUM('Шаблон 46 ГП'!J55)</f>
        <v>4.29</v>
      </c>
      <c r="K51" s="160">
        <f>SUM('Шаблон 46 ГП'!K55)</f>
        <v>4.29</v>
      </c>
      <c r="L51" s="175">
        <f t="shared" si="5"/>
        <v>293921.27</v>
      </c>
      <c r="M51" s="175">
        <f>SUM('Шаблон 46 ГП'!M55,'Шаблон 46 ЭСК'!M35)</f>
        <v>0</v>
      </c>
      <c r="N51" s="175">
        <f>SUM('Шаблон 46 ГП'!N55)</f>
        <v>0</v>
      </c>
      <c r="O51" s="175">
        <f>SUM('Шаблон 46 ГП'!O55)</f>
        <v>182528.95</v>
      </c>
      <c r="P51" s="185">
        <f>SUM('Шаблон 46 ГП'!P55)</f>
        <v>111392.32000000001</v>
      </c>
      <c r="Q51" s="100"/>
    </row>
    <row r="52" spans="1:17" ht="16.149999999999999" customHeight="1" thickBot="1">
      <c r="A52" s="96" t="s">
        <v>41</v>
      </c>
      <c r="B52" s="97" t="s">
        <v>42</v>
      </c>
      <c r="C52" s="72" t="e">
        <f>D52+E52+F52+G52</f>
        <v>#REF!</v>
      </c>
      <c r="D52" s="72" t="e">
        <f>D53+D57+D60+D63+D64+D65</f>
        <v>#REF!</v>
      </c>
      <c r="E52" s="72" t="e">
        <f>E53+E57+E60+E63+E64+E65</f>
        <v>#REF!</v>
      </c>
      <c r="F52" s="72" t="e">
        <f>F53+F57+F60+F63+F64+F65</f>
        <v>#REF!</v>
      </c>
      <c r="G52" s="72" t="e">
        <f>G53+G57+G60+G63+G64+G65</f>
        <v>#REF!</v>
      </c>
      <c r="H52" s="196" t="e">
        <f t="shared" ref="H52:K53" si="6">M52/D52</f>
        <v>#REF!</v>
      </c>
      <c r="I52" s="196" t="e">
        <f t="shared" si="6"/>
        <v>#REF!</v>
      </c>
      <c r="J52" s="196" t="e">
        <f t="shared" si="6"/>
        <v>#REF!</v>
      </c>
      <c r="K52" s="196" t="e">
        <f t="shared" si="6"/>
        <v>#REF!</v>
      </c>
      <c r="L52" s="165" t="e">
        <f>N52+M52+O52+P52</f>
        <v>#REF!</v>
      </c>
      <c r="M52" s="176" t="e">
        <f>M53+M57+M60+M63+M64+M65</f>
        <v>#REF!</v>
      </c>
      <c r="N52" s="176" t="e">
        <f>N53+N57+N60+N63+N64+N65</f>
        <v>#REF!</v>
      </c>
      <c r="O52" s="176" t="e">
        <f>O53+O57+O60+O63+O64+O65</f>
        <v>#REF!</v>
      </c>
      <c r="P52" s="214" t="e">
        <f>P53+P57+P60+P63+P64+P65</f>
        <v>#REF!</v>
      </c>
      <c r="Q52" s="100"/>
    </row>
    <row r="53" spans="1:17" ht="16.149999999999999" customHeight="1">
      <c r="A53" s="119">
        <v>3.1</v>
      </c>
      <c r="B53" s="110" t="s">
        <v>155</v>
      </c>
      <c r="C53" s="111" t="e">
        <f>SUM(D53:G53)</f>
        <v>#REF!</v>
      </c>
      <c r="D53" s="112" t="e">
        <f>SUM(D54:D55)</f>
        <v>#REF!</v>
      </c>
      <c r="E53" s="112" t="e">
        <f>SUM(E54:E55)</f>
        <v>#REF!</v>
      </c>
      <c r="F53" s="112" t="e">
        <f>SUM(F54:F55)</f>
        <v>#REF!</v>
      </c>
      <c r="G53" s="112" t="e">
        <f>SUM(G54:G55)</f>
        <v>#REF!</v>
      </c>
      <c r="H53" s="63" t="e">
        <f t="shared" si="6"/>
        <v>#REF!</v>
      </c>
      <c r="I53" s="194" t="e">
        <f t="shared" si="6"/>
        <v>#REF!</v>
      </c>
      <c r="J53" s="63" t="e">
        <f t="shared" si="6"/>
        <v>#REF!</v>
      </c>
      <c r="K53" s="194" t="e">
        <f t="shared" si="6"/>
        <v>#REF!</v>
      </c>
      <c r="L53" s="123" t="e">
        <f>SUM(M53:P53)</f>
        <v>#REF!</v>
      </c>
      <c r="M53" s="177" t="e">
        <f>SUM(M54:M55)</f>
        <v>#REF!</v>
      </c>
      <c r="N53" s="177" t="e">
        <f>SUM(N54:N55)</f>
        <v>#REF!</v>
      </c>
      <c r="O53" s="177" t="e">
        <f>SUM(O54:O55)</f>
        <v>#REF!</v>
      </c>
      <c r="P53" s="215" t="e">
        <f>SUM(P54:P55)</f>
        <v>#REF!</v>
      </c>
      <c r="Q53" s="100"/>
    </row>
    <row r="54" spans="1:17" ht="16.149999999999999" customHeight="1">
      <c r="A54" s="119">
        <v>3.2</v>
      </c>
      <c r="B54" s="203" t="s">
        <v>156</v>
      </c>
      <c r="C54" s="111" t="e">
        <f>SUM(D54:G54)</f>
        <v>#REF!</v>
      </c>
      <c r="D54" s="193" t="e">
        <f>SUM('Шаблон 46 ГП'!D68,'Шаблон 46 ГП'!#REF!,'Шаблон 46 ЭСК'!D42)</f>
        <v>#REF!</v>
      </c>
      <c r="E54" s="193" t="e">
        <f>SUM('Шаблон 46 ГП'!E68,'Шаблон 46 ГП'!#REF!,'Шаблон 46 ЭСК'!E42)</f>
        <v>#REF!</v>
      </c>
      <c r="F54" s="193" t="e">
        <f>SUM('Шаблон 46 ГП'!F68,'Шаблон 46 ГП'!#REF!,'Шаблон 46 ЭСК'!F42)</f>
        <v>#REF!</v>
      </c>
      <c r="G54" s="193" t="e">
        <f>SUM('Шаблон 46 ГП'!G68,'Шаблон 46 ГП'!#REF!,'Шаблон 46 ЭСК'!G42)</f>
        <v>#REF!</v>
      </c>
      <c r="H54" s="50" t="e">
        <f t="shared" ref="H54:K55" si="7">ROUND(M54/D54,5)</f>
        <v>#REF!</v>
      </c>
      <c r="I54" s="50" t="e">
        <f t="shared" si="7"/>
        <v>#REF!</v>
      </c>
      <c r="J54" s="50" t="e">
        <f t="shared" si="7"/>
        <v>#REF!</v>
      </c>
      <c r="K54" s="50" t="e">
        <f t="shared" si="7"/>
        <v>#REF!</v>
      </c>
      <c r="L54" s="123" t="e">
        <f>SUM(M54:P54)</f>
        <v>#REF!</v>
      </c>
      <c r="M54" s="191" t="e">
        <f>SUM('Шаблон 46 ГП'!M68,'Шаблон 46 ГП'!#REF!,'Шаблон 46 ЭСК'!M42)</f>
        <v>#REF!</v>
      </c>
      <c r="N54" s="192" t="e">
        <f>SUM('Шаблон 46 ГП'!N68,'Шаблон 46 ГП'!#REF!,'Шаблон 46 ЭСК'!N42)</f>
        <v>#REF!</v>
      </c>
      <c r="O54" s="191" t="e">
        <f>SUM('Шаблон 46 ГП'!O68,'Шаблон 46 ГП'!#REF!,'Шаблон 46 ЭСК'!O42)</f>
        <v>#REF!</v>
      </c>
      <c r="P54" s="216" t="e">
        <f>SUM('Шаблон 46 ГП'!P68,'Шаблон 46 ГП'!#REF!,'Шаблон 46 ЭСК'!P42)</f>
        <v>#REF!</v>
      </c>
      <c r="Q54" s="100"/>
    </row>
    <row r="55" spans="1:17" ht="16.149999999999999" customHeight="1">
      <c r="A55" s="119">
        <v>3.3</v>
      </c>
      <c r="B55" s="203" t="s">
        <v>157</v>
      </c>
      <c r="C55" s="111" t="e">
        <f>SUM(D55:G55)</f>
        <v>#REF!</v>
      </c>
      <c r="D55" s="193" t="e">
        <f>SUM('Шаблон 46 ГП'!D70,'Шаблон 46 ГП'!#REF!)</f>
        <v>#REF!</v>
      </c>
      <c r="E55" s="193" t="e">
        <f>SUM('Шаблон 46 ГП'!E70,'Шаблон 46 ГП'!#REF!)</f>
        <v>#REF!</v>
      </c>
      <c r="F55" s="193" t="e">
        <f>SUM('Шаблон 46 ГП'!F70,'Шаблон 46 ГП'!#REF!)</f>
        <v>#REF!</v>
      </c>
      <c r="G55" s="193" t="e">
        <f>SUM('Шаблон 46 ГП'!G70,'Шаблон 46 ГП'!#REF!)</f>
        <v>#REF!</v>
      </c>
      <c r="H55" s="50" t="e">
        <f t="shared" si="7"/>
        <v>#REF!</v>
      </c>
      <c r="I55" s="50" t="e">
        <f t="shared" si="7"/>
        <v>#REF!</v>
      </c>
      <c r="J55" s="50" t="e">
        <f t="shared" si="7"/>
        <v>#REF!</v>
      </c>
      <c r="K55" s="50" t="e">
        <f t="shared" si="7"/>
        <v>#REF!</v>
      </c>
      <c r="L55" s="123" t="e">
        <f>SUM(M55:P55)</f>
        <v>#REF!</v>
      </c>
      <c r="M55" s="191" t="e">
        <f>SUM('Шаблон 46 ГП'!M70,'Шаблон 46 ГП'!#REF!)</f>
        <v>#REF!</v>
      </c>
      <c r="N55" s="192" t="e">
        <f>SUM('Шаблон 46 ГП'!N70,'Шаблон 46 ГП'!#REF!)</f>
        <v>#REF!</v>
      </c>
      <c r="O55" s="191" t="e">
        <f>SUM('Шаблон 46 ГП'!O70,'Шаблон 46 ГП'!#REF!)</f>
        <v>#REF!</v>
      </c>
      <c r="P55" s="216" t="e">
        <f>SUM('Шаблон 46 ГП'!P70,'Шаблон 46 ГП'!#REF!)</f>
        <v>#REF!</v>
      </c>
      <c r="Q55" s="100"/>
    </row>
    <row r="56" spans="1:17" ht="16.149999999999999" customHeight="1">
      <c r="A56" s="121"/>
      <c r="B56" s="169" t="s">
        <v>96</v>
      </c>
      <c r="C56" s="170">
        <f>D56+E56+F56+G56</f>
        <v>0</v>
      </c>
      <c r="D56" s="170"/>
      <c r="E56" s="171"/>
      <c r="F56" s="186">
        <f>'Шаблон 46 ГП'!F153</f>
        <v>0</v>
      </c>
      <c r="G56" s="171"/>
      <c r="H56" s="172"/>
      <c r="I56" s="172"/>
      <c r="J56" s="173" t="e">
        <f>O56/F56</f>
        <v>#DIV/0!</v>
      </c>
      <c r="K56" s="174"/>
      <c r="L56" s="178">
        <f>M56+N56+O56+P56</f>
        <v>0</v>
      </c>
      <c r="M56" s="179"/>
      <c r="N56" s="178"/>
      <c r="O56" s="178">
        <f>'Шаблон 46 ГП'!O153</f>
        <v>0</v>
      </c>
      <c r="P56" s="180"/>
      <c r="Q56" s="100"/>
    </row>
    <row r="57" spans="1:17" ht="16.149999999999999" customHeight="1">
      <c r="A57" s="114">
        <v>3.2</v>
      </c>
      <c r="B57" s="115" t="s">
        <v>159</v>
      </c>
      <c r="C57" s="42">
        <f>D57+E57+F57+G57</f>
        <v>295927</v>
      </c>
      <c r="D57" s="42">
        <f>SUM(D58:D59)</f>
        <v>0</v>
      </c>
      <c r="E57" s="42">
        <f>SUM(E58:E59)</f>
        <v>0</v>
      </c>
      <c r="F57" s="42">
        <f>SUM(F58:F59)</f>
        <v>292866</v>
      </c>
      <c r="G57" s="42">
        <f>SUM(G58:G59)</f>
        <v>3061</v>
      </c>
      <c r="H57" s="116"/>
      <c r="I57" s="117"/>
      <c r="J57" s="118">
        <f>O57/F57</f>
        <v>9.4044642259599964</v>
      </c>
      <c r="K57" s="118">
        <f>P57/G57</f>
        <v>9.5492518784710878</v>
      </c>
      <c r="L57" s="181">
        <f>M57+N57+O57+P57</f>
        <v>2783478.08</v>
      </c>
      <c r="M57" s="181">
        <f>SUM(M58:M59)</f>
        <v>0</v>
      </c>
      <c r="N57" s="181">
        <f>SUM(N58:N59)</f>
        <v>0</v>
      </c>
      <c r="O57" s="181">
        <f>SUM(O58:O59)</f>
        <v>2754247.8200000003</v>
      </c>
      <c r="P57" s="217">
        <f>SUM(P58:P59)</f>
        <v>29230.260000000002</v>
      </c>
    </row>
    <row r="58" spans="1:17" ht="16.149999999999999" customHeight="1">
      <c r="A58" s="119"/>
      <c r="B58" s="203" t="s">
        <v>162</v>
      </c>
      <c r="C58" s="41">
        <f>SUM(D58:G58)</f>
        <v>165399</v>
      </c>
      <c r="D58" s="41">
        <f>SUM('Шаблон 46 ГП'!D72)</f>
        <v>0</v>
      </c>
      <c r="E58" s="41">
        <f>SUM('Шаблон 46 ГП'!E72)</f>
        <v>0</v>
      </c>
      <c r="F58" s="41">
        <f>SUM('Шаблон 46 ГП'!F72)</f>
        <v>163630</v>
      </c>
      <c r="G58" s="41">
        <f>SUM('Шаблон 46 ГП'!G72)</f>
        <v>1769</v>
      </c>
      <c r="H58" s="163"/>
      <c r="I58" s="163"/>
      <c r="J58" s="187">
        <f>O58/F58</f>
        <v>7.2230700360569573</v>
      </c>
      <c r="K58" s="187">
        <f>P58/G58</f>
        <v>7.4627473148671566</v>
      </c>
      <c r="L58" s="175">
        <f>SUM(M58:P58)</f>
        <v>1195112.55</v>
      </c>
      <c r="M58" s="182">
        <f>SUM('Шаблон 46 ГП'!M72)</f>
        <v>0</v>
      </c>
      <c r="N58" s="182">
        <f>SUM('Шаблон 46 ГП'!N72)</f>
        <v>0</v>
      </c>
      <c r="O58" s="182">
        <f>SUM('Шаблон 46 ГП'!O72)</f>
        <v>1181910.95</v>
      </c>
      <c r="P58" s="218">
        <f>SUM('Шаблон 46 ГП'!P72)</f>
        <v>13201.6</v>
      </c>
      <c r="Q58" s="100"/>
    </row>
    <row r="59" spans="1:17" ht="16.149999999999999" customHeight="1">
      <c r="A59" s="121"/>
      <c r="B59" s="203" t="s">
        <v>163</v>
      </c>
      <c r="C59" s="41">
        <f>SUM(D59:G59)</f>
        <v>130528</v>
      </c>
      <c r="D59" s="41">
        <f>SUM('Шаблон 46 ГП'!D73)</f>
        <v>0</v>
      </c>
      <c r="E59" s="41">
        <f>SUM('Шаблон 46 ГП'!E73)</f>
        <v>0</v>
      </c>
      <c r="F59" s="41">
        <f>SUM('Шаблон 46 ГП'!F73)</f>
        <v>129236</v>
      </c>
      <c r="G59" s="41">
        <f>SUM('Шаблон 46 ГП'!G73)</f>
        <v>1292</v>
      </c>
      <c r="H59" s="163"/>
      <c r="I59" s="163"/>
      <c r="J59" s="187">
        <f>O59/F59</f>
        <v>12.166399996904888</v>
      </c>
      <c r="K59" s="187">
        <f>P59/G59</f>
        <v>12.406083591331269</v>
      </c>
      <c r="L59" s="175">
        <f>SUM(M59:P59)</f>
        <v>1588365.53</v>
      </c>
      <c r="M59" s="182">
        <f>SUM('Шаблон 46 ГП'!M73)</f>
        <v>0</v>
      </c>
      <c r="N59" s="182">
        <f>SUM('Шаблон 46 ГП'!N73)</f>
        <v>0</v>
      </c>
      <c r="O59" s="182">
        <f>SUM('Шаблон 46 ГП'!O73)</f>
        <v>1572336.87</v>
      </c>
      <c r="P59" s="218">
        <f>SUM('Шаблон 46 ГП'!P73)</f>
        <v>16028.66</v>
      </c>
      <c r="Q59" s="100"/>
    </row>
    <row r="60" spans="1:17" ht="16.149999999999999" customHeight="1">
      <c r="A60" s="114">
        <v>3.3</v>
      </c>
      <c r="B60" s="110" t="s">
        <v>200</v>
      </c>
      <c r="C60" s="41">
        <f>SUM(D60:G60)</f>
        <v>6724069</v>
      </c>
      <c r="D60" s="41">
        <f>D61</f>
        <v>0</v>
      </c>
      <c r="E60" s="41">
        <f>E61</f>
        <v>2494779</v>
      </c>
      <c r="F60" s="41">
        <f>F61</f>
        <v>4215410</v>
      </c>
      <c r="G60" s="41">
        <f>G61</f>
        <v>13880</v>
      </c>
      <c r="H60" s="163"/>
      <c r="I60" s="163"/>
      <c r="J60" s="187"/>
      <c r="K60" s="187"/>
      <c r="L60" s="175">
        <f>SUM(M60:P60)</f>
        <v>59227528.810000002</v>
      </c>
      <c r="M60" s="45">
        <f>SUM(M61,M62)</f>
        <v>0</v>
      </c>
      <c r="N60" s="45">
        <f>SUM(N61,N62)</f>
        <v>21153287.399999999</v>
      </c>
      <c r="O60" s="45">
        <f>SUM(O61,O62)</f>
        <v>37922105.470000006</v>
      </c>
      <c r="P60" s="219">
        <f>SUM(P61,P62)</f>
        <v>152135.94</v>
      </c>
      <c r="Q60" s="100"/>
    </row>
    <row r="61" spans="1:17" ht="16.149999999999999" customHeight="1">
      <c r="A61" s="114"/>
      <c r="B61" s="203" t="s">
        <v>201</v>
      </c>
      <c r="C61" s="41">
        <f>SUM(D61:G61)</f>
        <v>6724069</v>
      </c>
      <c r="D61" s="41">
        <f>SUM('Шаблон 46 ГП'!D75)</f>
        <v>0</v>
      </c>
      <c r="E61" s="41">
        <f>SUM('Шаблон 46 ГП'!E75)</f>
        <v>2494779</v>
      </c>
      <c r="F61" s="41">
        <f>SUM('Шаблон 46 ГП'!F75)</f>
        <v>4215410</v>
      </c>
      <c r="G61" s="41">
        <f>SUM('Шаблон 46 ГП'!G75)</f>
        <v>13880</v>
      </c>
      <c r="H61" s="163"/>
      <c r="I61" s="163"/>
      <c r="J61" s="187"/>
      <c r="K61" s="187"/>
      <c r="L61" s="175">
        <f>SUM(M61:P61)</f>
        <v>47691441.340000004</v>
      </c>
      <c r="M61" s="45">
        <f>SUM('Шаблон 46 ГП'!M75)</f>
        <v>0</v>
      </c>
      <c r="N61" s="45">
        <f>SUM('Шаблон 46 ГП'!N75)</f>
        <v>17193228.07</v>
      </c>
      <c r="O61" s="45">
        <f>SUM('Шаблон 46 ГП'!O75)</f>
        <v>30394370.740000006</v>
      </c>
      <c r="P61" s="219">
        <f>SUM('Шаблон 46 ГП'!P75)</f>
        <v>103842.53</v>
      </c>
      <c r="Q61" s="100"/>
    </row>
    <row r="62" spans="1:17" ht="16.149999999999999" customHeight="1">
      <c r="A62" s="114"/>
      <c r="B62" s="203" t="s">
        <v>195</v>
      </c>
      <c r="C62" s="41">
        <f>SUM(D62:G62)</f>
        <v>9555</v>
      </c>
      <c r="D62" s="41">
        <f>SUM('Шаблон 46 ГП'!D100)</f>
        <v>0</v>
      </c>
      <c r="E62" s="41">
        <f>SUM('Шаблон 46 ГП'!E100)</f>
        <v>3280</v>
      </c>
      <c r="F62" s="41">
        <f>SUM('Шаблон 46 ГП'!F100)</f>
        <v>6235</v>
      </c>
      <c r="G62" s="41">
        <f>SUM('Шаблон 46 ГП'!G100)</f>
        <v>40</v>
      </c>
      <c r="H62" s="163"/>
      <c r="I62" s="163"/>
      <c r="J62" s="201">
        <f>'Шаблон 46 ГП'!J100</f>
        <v>1207.3351599999999</v>
      </c>
      <c r="K62" s="187"/>
      <c r="L62" s="175">
        <f>SUM(M62:P62)</f>
        <v>11536087.470000001</v>
      </c>
      <c r="M62" s="45">
        <f>SUM('Шаблон 46 ГП'!M100)</f>
        <v>0</v>
      </c>
      <c r="N62" s="45">
        <f>SUM('Шаблон 46 ГП'!N100)</f>
        <v>3960059.33</v>
      </c>
      <c r="O62" s="45">
        <f>SUM('Шаблон 46 ГП'!O100)</f>
        <v>7527734.7300000004</v>
      </c>
      <c r="P62" s="219">
        <f>SUM('Шаблон 46 ГП'!P100)</f>
        <v>48293.41</v>
      </c>
      <c r="Q62" s="100"/>
    </row>
    <row r="63" spans="1:17" ht="16.149999999999999" customHeight="1">
      <c r="A63" s="114">
        <v>3.4</v>
      </c>
      <c r="B63" s="110" t="s">
        <v>152</v>
      </c>
      <c r="C63" s="106">
        <f>D63+E63+F63+G63</f>
        <v>0</v>
      </c>
      <c r="D63" s="41"/>
      <c r="E63" s="41"/>
      <c r="F63" s="41"/>
      <c r="G63" s="41"/>
      <c r="H63" s="163"/>
      <c r="I63" s="163"/>
      <c r="J63" s="187"/>
      <c r="K63" s="187"/>
      <c r="L63" s="175">
        <f>M63+N63+O63+P63</f>
        <v>0</v>
      </c>
      <c r="M63" s="182"/>
      <c r="N63" s="182"/>
      <c r="O63" s="182"/>
      <c r="P63" s="218"/>
      <c r="Q63" s="100"/>
    </row>
    <row r="64" spans="1:17" ht="16.149999999999999" customHeight="1">
      <c r="A64" s="114">
        <v>3.5</v>
      </c>
      <c r="B64" s="110" t="s">
        <v>153</v>
      </c>
      <c r="C64" s="106">
        <f>D64+E64+F64+G64</f>
        <v>0</v>
      </c>
      <c r="D64" s="41"/>
      <c r="E64" s="41"/>
      <c r="F64" s="41"/>
      <c r="G64" s="41"/>
      <c r="H64" s="163"/>
      <c r="I64" s="163"/>
      <c r="J64" s="187"/>
      <c r="K64" s="187"/>
      <c r="L64" s="175">
        <f>M64+N64+O64+P64</f>
        <v>0</v>
      </c>
      <c r="M64" s="182"/>
      <c r="N64" s="182"/>
      <c r="O64" s="182"/>
      <c r="P64" s="218"/>
      <c r="Q64" s="100"/>
    </row>
    <row r="65" spans="1:17" ht="16.149999999999999" customHeight="1">
      <c r="A65" s="114">
        <v>3.6</v>
      </c>
      <c r="B65" s="335" t="s">
        <v>154</v>
      </c>
      <c r="C65" s="106">
        <f>D65+E65+F65+G65</f>
        <v>0</v>
      </c>
      <c r="D65" s="106"/>
      <c r="E65" s="106"/>
      <c r="F65" s="106"/>
      <c r="G65" s="106"/>
      <c r="H65" s="336"/>
      <c r="I65" s="336"/>
      <c r="J65" s="337"/>
      <c r="K65" s="337"/>
      <c r="L65" s="321">
        <f>M65+N65+O65+P65</f>
        <v>0</v>
      </c>
      <c r="M65" s="338"/>
      <c r="N65" s="338"/>
      <c r="O65" s="338"/>
      <c r="P65" s="339"/>
      <c r="Q65" s="100"/>
    </row>
    <row r="66" spans="1:17" ht="16.149999999999999" customHeight="1">
      <c r="A66" s="328" t="s">
        <v>44</v>
      </c>
      <c r="B66" s="329" t="s">
        <v>287</v>
      </c>
      <c r="C66" s="330">
        <f>SUM(D66:G66)</f>
        <v>1788328</v>
      </c>
      <c r="D66" s="331"/>
      <c r="E66" s="330">
        <f>SUM(E67:E68)</f>
        <v>160949.52000000002</v>
      </c>
      <c r="F66" s="330">
        <f>SUM(F67:F68)</f>
        <v>608031.52</v>
      </c>
      <c r="G66" s="330">
        <f>SUM(G67:G68)</f>
        <v>1019346.96</v>
      </c>
      <c r="H66" s="340"/>
      <c r="I66" s="340">
        <f t="shared" ref="I66:K68" si="8">N66/E66</f>
        <v>3.9499700278696075</v>
      </c>
      <c r="J66" s="340">
        <f t="shared" si="8"/>
        <v>3.9499699949765756</v>
      </c>
      <c r="K66" s="340">
        <f t="shared" si="8"/>
        <v>3.9499699984390011</v>
      </c>
      <c r="L66" s="334">
        <f>SUM(M66:P66)</f>
        <v>7063841.9500000002</v>
      </c>
      <c r="M66" s="334"/>
      <c r="N66" s="334">
        <f>SUM(N67:N68)</f>
        <v>635745.78</v>
      </c>
      <c r="O66" s="334">
        <f>SUM(O67:O68)</f>
        <v>2401706.2599999998</v>
      </c>
      <c r="P66" s="334">
        <f>SUM(P67:P68)</f>
        <v>4026389.91</v>
      </c>
      <c r="Q66" s="100"/>
    </row>
    <row r="67" spans="1:17" ht="16.149999999999999" customHeight="1">
      <c r="A67" s="328" t="s">
        <v>285</v>
      </c>
      <c r="B67" s="329" t="s">
        <v>283</v>
      </c>
      <c r="C67" s="330">
        <f>SUM(D67:G67)</f>
        <v>1788328</v>
      </c>
      <c r="D67" s="331"/>
      <c r="E67" s="330">
        <f>'Шаблон 46 ГП'!E269</f>
        <v>160949.52000000002</v>
      </c>
      <c r="F67" s="330">
        <f>'Шаблон 46 ГП'!F269</f>
        <v>608031.52</v>
      </c>
      <c r="G67" s="330">
        <f>'Шаблон 46 ГП'!G269</f>
        <v>1019346.96</v>
      </c>
      <c r="H67" s="332"/>
      <c r="I67" s="340">
        <f t="shared" si="8"/>
        <v>3.9499700278696075</v>
      </c>
      <c r="J67" s="340">
        <f t="shared" si="8"/>
        <v>3.9499699949765756</v>
      </c>
      <c r="K67" s="340">
        <f t="shared" si="8"/>
        <v>3.9499699984390011</v>
      </c>
      <c r="L67" s="334">
        <f>SUM(M67:P67)</f>
        <v>7063841.9500000002</v>
      </c>
      <c r="M67" s="334"/>
      <c r="N67" s="334">
        <f>'Шаблон 46 ГП'!N269</f>
        <v>635745.78</v>
      </c>
      <c r="O67" s="334">
        <f>'Шаблон 46 ГП'!O269</f>
        <v>2401706.2599999998</v>
      </c>
      <c r="P67" s="334">
        <f>'Шаблон 46 ГП'!P269</f>
        <v>4026389.91</v>
      </c>
      <c r="Q67" s="100"/>
    </row>
    <row r="68" spans="1:17" ht="16.149999999999999" customHeight="1">
      <c r="A68" s="328" t="s">
        <v>286</v>
      </c>
      <c r="B68" s="329" t="s">
        <v>284</v>
      </c>
      <c r="C68" s="330">
        <f>SUM(D68:G68)</f>
        <v>0</v>
      </c>
      <c r="D68" s="331"/>
      <c r="E68" s="330">
        <f>'Шаблон 46 ГП'!E272</f>
        <v>0</v>
      </c>
      <c r="F68" s="330">
        <f>'Шаблон 46 ГП'!F272</f>
        <v>0</v>
      </c>
      <c r="G68" s="330">
        <f>'Шаблон 46 ГП'!G272</f>
        <v>0</v>
      </c>
      <c r="H68" s="332"/>
      <c r="I68" s="340" t="e">
        <f t="shared" si="8"/>
        <v>#DIV/0!</v>
      </c>
      <c r="J68" s="340" t="e">
        <f t="shared" si="8"/>
        <v>#DIV/0!</v>
      </c>
      <c r="K68" s="340" t="e">
        <f t="shared" si="8"/>
        <v>#DIV/0!</v>
      </c>
      <c r="L68" s="334">
        <f>SUM(M68:P68)</f>
        <v>0</v>
      </c>
      <c r="M68" s="334"/>
      <c r="N68" s="334">
        <f>'Шаблон 46 ГП'!N272</f>
        <v>0</v>
      </c>
      <c r="O68" s="334">
        <f>'Шаблон 46 ГП'!O272</f>
        <v>0</v>
      </c>
      <c r="P68" s="334">
        <f>'Шаблон 46 ГП'!P272</f>
        <v>0</v>
      </c>
      <c r="Q68" s="100"/>
    </row>
    <row r="69" spans="1:17" ht="16.149999999999999" customHeight="1" thickBot="1">
      <c r="A69" s="126"/>
      <c r="B69" s="127"/>
      <c r="C69" s="48"/>
      <c r="D69" s="128"/>
      <c r="E69" s="69"/>
      <c r="F69" s="69"/>
      <c r="G69" s="69"/>
      <c r="H69" s="129"/>
      <c r="I69" s="129"/>
      <c r="J69" s="129"/>
      <c r="K69" s="129"/>
      <c r="L69" s="175"/>
      <c r="M69" s="175"/>
      <c r="N69" s="175"/>
      <c r="O69" s="175"/>
      <c r="P69" s="185"/>
      <c r="Q69" s="100"/>
    </row>
    <row r="70" spans="1:17" ht="16.149999999999999" customHeight="1" thickBot="1">
      <c r="A70" s="130" t="s">
        <v>45</v>
      </c>
      <c r="B70" s="125" t="s">
        <v>46</v>
      </c>
      <c r="C70" s="98" t="e">
        <f t="shared" ref="C70:C75" si="9">D70+E70+F70+G70</f>
        <v>#REF!</v>
      </c>
      <c r="D70" s="98" t="e">
        <f>D71+D72</f>
        <v>#REF!</v>
      </c>
      <c r="E70" s="98" t="e">
        <f>E71+E72</f>
        <v>#REF!</v>
      </c>
      <c r="F70" s="98" t="e">
        <f>F71+F72</f>
        <v>#REF!</v>
      </c>
      <c r="G70" s="98" t="e">
        <f>G71+G72</f>
        <v>#REF!</v>
      </c>
      <c r="H70" s="99"/>
      <c r="I70" s="99"/>
      <c r="J70" s="99"/>
      <c r="K70" s="99"/>
      <c r="L70" s="166" t="e">
        <f t="shared" ref="L70:L75" si="10">M70+N70+O70+P70</f>
        <v>#REF!</v>
      </c>
      <c r="M70" s="166" t="e">
        <f>M71+M72</f>
        <v>#REF!</v>
      </c>
      <c r="N70" s="166" t="e">
        <f>N71+N72</f>
        <v>#REF!</v>
      </c>
      <c r="O70" s="166" t="e">
        <f>O71+O72</f>
        <v>#REF!</v>
      </c>
      <c r="P70" s="190" t="e">
        <f>P71+P72</f>
        <v>#REF!</v>
      </c>
      <c r="Q70" s="100"/>
    </row>
    <row r="71" spans="1:17" ht="16.149999999999999" customHeight="1" thickBot="1">
      <c r="A71" s="131"/>
      <c r="B71" s="125" t="s">
        <v>47</v>
      </c>
      <c r="C71" s="98">
        <f t="shared" si="9"/>
        <v>24789950</v>
      </c>
      <c r="D71" s="16">
        <f>D74</f>
        <v>0</v>
      </c>
      <c r="E71" s="16">
        <f>E74</f>
        <v>0</v>
      </c>
      <c r="F71" s="16">
        <f>F74</f>
        <v>3596581</v>
      </c>
      <c r="G71" s="16">
        <f>G74</f>
        <v>21193369</v>
      </c>
      <c r="H71" s="99"/>
      <c r="I71" s="132"/>
      <c r="J71" s="99"/>
      <c r="K71" s="132"/>
      <c r="L71" s="166">
        <f t="shared" si="10"/>
        <v>56787602.640000008</v>
      </c>
      <c r="M71" s="165">
        <f>M74</f>
        <v>0</v>
      </c>
      <c r="N71" s="165">
        <f>N74</f>
        <v>0</v>
      </c>
      <c r="O71" s="165">
        <f>O74</f>
        <v>9002750.4299999997</v>
      </c>
      <c r="P71" s="190">
        <f>P74</f>
        <v>47784852.210000008</v>
      </c>
      <c r="Q71" s="100"/>
    </row>
    <row r="72" spans="1:17" ht="16.149999999999999" customHeight="1" thickBot="1">
      <c r="A72" s="131"/>
      <c r="B72" s="125" t="s">
        <v>48</v>
      </c>
      <c r="C72" s="98" t="e">
        <f>D72+E72+F72+G72</f>
        <v>#REF!</v>
      </c>
      <c r="D72" s="16" t="e">
        <f>D75+D66</f>
        <v>#REF!</v>
      </c>
      <c r="E72" s="16" t="e">
        <f>E75+E66</f>
        <v>#REF!</v>
      </c>
      <c r="F72" s="16" t="e">
        <f>F75+F66</f>
        <v>#REF!</v>
      </c>
      <c r="G72" s="16" t="e">
        <f>G75+G66</f>
        <v>#REF!</v>
      </c>
      <c r="H72" s="99"/>
      <c r="I72" s="132"/>
      <c r="J72" s="99"/>
      <c r="K72" s="132"/>
      <c r="L72" s="166" t="e">
        <f t="shared" si="10"/>
        <v>#REF!</v>
      </c>
      <c r="M72" s="165" t="e">
        <f>M75+M66</f>
        <v>#REF!</v>
      </c>
      <c r="N72" s="165" t="e">
        <f>N75+N66</f>
        <v>#REF!</v>
      </c>
      <c r="O72" s="165" t="e">
        <f>O75+O66</f>
        <v>#REF!</v>
      </c>
      <c r="P72" s="190" t="e">
        <f>P75+P66</f>
        <v>#REF!</v>
      </c>
      <c r="Q72" s="100"/>
    </row>
    <row r="73" spans="1:17" ht="16.149999999999999" customHeight="1" thickBot="1">
      <c r="A73" s="131"/>
      <c r="B73" s="125" t="s">
        <v>49</v>
      </c>
      <c r="C73" s="98" t="e">
        <f t="shared" si="9"/>
        <v>#REF!</v>
      </c>
      <c r="D73" s="16" t="e">
        <f>D74+D75</f>
        <v>#REF!</v>
      </c>
      <c r="E73" s="16" t="e">
        <f>E74+E75</f>
        <v>#REF!</v>
      </c>
      <c r="F73" s="16" t="e">
        <f>F74+F75</f>
        <v>#REF!</v>
      </c>
      <c r="G73" s="16" t="e">
        <f>G74+G75</f>
        <v>#REF!</v>
      </c>
      <c r="H73" s="99"/>
      <c r="I73" s="132"/>
      <c r="J73" s="99"/>
      <c r="K73" s="132"/>
      <c r="L73" s="166" t="e">
        <f t="shared" si="10"/>
        <v>#REF!</v>
      </c>
      <c r="M73" s="165" t="e">
        <f>M74+M75</f>
        <v>#REF!</v>
      </c>
      <c r="N73" s="165" t="e">
        <f>N74+N75</f>
        <v>#REF!</v>
      </c>
      <c r="O73" s="165" t="e">
        <f>O74+O75</f>
        <v>#REF!</v>
      </c>
      <c r="P73" s="190" t="e">
        <f>P74+P75</f>
        <v>#REF!</v>
      </c>
      <c r="Q73" s="100"/>
    </row>
    <row r="74" spans="1:17" ht="16.149999999999999" customHeight="1" thickBot="1">
      <c r="A74" s="133"/>
      <c r="B74" s="125" t="s">
        <v>50</v>
      </c>
      <c r="C74" s="98">
        <f t="shared" si="9"/>
        <v>24789950</v>
      </c>
      <c r="D74" s="16">
        <f>D39</f>
        <v>0</v>
      </c>
      <c r="E74" s="16">
        <f>E39</f>
        <v>0</v>
      </c>
      <c r="F74" s="16">
        <f>F39</f>
        <v>3596581</v>
      </c>
      <c r="G74" s="16">
        <f>G39</f>
        <v>21193369</v>
      </c>
      <c r="H74" s="134"/>
      <c r="I74" s="135"/>
      <c r="J74" s="134"/>
      <c r="K74" s="135"/>
      <c r="L74" s="166">
        <f t="shared" si="10"/>
        <v>56787602.640000008</v>
      </c>
      <c r="M74" s="165">
        <f>M39</f>
        <v>0</v>
      </c>
      <c r="N74" s="165">
        <f>N39</f>
        <v>0</v>
      </c>
      <c r="O74" s="165">
        <f>O39</f>
        <v>9002750.4299999997</v>
      </c>
      <c r="P74" s="190">
        <f>P39</f>
        <v>47784852.210000008</v>
      </c>
      <c r="Q74" s="100"/>
    </row>
    <row r="75" spans="1:17" ht="16.149999999999999" customHeight="1" thickBot="1">
      <c r="A75" s="133"/>
      <c r="B75" s="125" t="s">
        <v>51</v>
      </c>
      <c r="C75" s="98" t="e">
        <f t="shared" si="9"/>
        <v>#REF!</v>
      </c>
      <c r="D75" s="16" t="e">
        <f>D52</f>
        <v>#REF!</v>
      </c>
      <c r="E75" s="16" t="e">
        <f>E52</f>
        <v>#REF!</v>
      </c>
      <c r="F75" s="16" t="e">
        <f>F52</f>
        <v>#REF!</v>
      </c>
      <c r="G75" s="16" t="e">
        <f>G52</f>
        <v>#REF!</v>
      </c>
      <c r="H75" s="134"/>
      <c r="I75" s="135"/>
      <c r="J75" s="134"/>
      <c r="K75" s="135"/>
      <c r="L75" s="166" t="e">
        <f t="shared" si="10"/>
        <v>#REF!</v>
      </c>
      <c r="M75" s="165" t="e">
        <f>M52</f>
        <v>#REF!</v>
      </c>
      <c r="N75" s="165" t="e">
        <f>N52</f>
        <v>#REF!</v>
      </c>
      <c r="O75" s="165" t="e">
        <f>O52</f>
        <v>#REF!</v>
      </c>
      <c r="P75" s="190" t="e">
        <f>P52</f>
        <v>#REF!</v>
      </c>
      <c r="Q75" s="100"/>
    </row>
    <row r="76" spans="1:17" ht="16.149999999999999" customHeight="1" thickBot="1">
      <c r="A76" s="133" t="s">
        <v>52</v>
      </c>
      <c r="B76" s="125" t="s">
        <v>53</v>
      </c>
      <c r="C76" s="98" t="e">
        <f>C33+C70</f>
        <v>#REF!</v>
      </c>
      <c r="D76" s="16"/>
      <c r="E76" s="16"/>
      <c r="F76" s="16"/>
      <c r="G76" s="16"/>
      <c r="H76" s="134"/>
      <c r="I76" s="135"/>
      <c r="J76" s="134"/>
      <c r="K76" s="135"/>
      <c r="L76" s="166" t="e">
        <f>L33+L70</f>
        <v>#REF!</v>
      </c>
      <c r="M76" s="165"/>
      <c r="N76" s="165"/>
      <c r="O76" s="165"/>
      <c r="P76" s="190"/>
      <c r="Q76" s="100"/>
    </row>
    <row r="77" spans="1:17" s="143" customFormat="1" ht="16.149999999999999" customHeight="1">
      <c r="A77" s="136"/>
      <c r="B77" s="136"/>
      <c r="C77" s="137"/>
      <c r="D77" s="136"/>
      <c r="E77" s="138"/>
      <c r="F77" s="138"/>
      <c r="G77" s="138"/>
      <c r="H77" s="136"/>
      <c r="I77" s="136"/>
      <c r="J77" s="136"/>
      <c r="K77" s="136"/>
      <c r="L77" s="139"/>
      <c r="M77" s="140"/>
      <c r="N77" s="140"/>
      <c r="O77" s="141"/>
      <c r="P77" s="141"/>
      <c r="Q77" s="142"/>
    </row>
    <row r="78" spans="1:17" s="143" customFormat="1" ht="16.149999999999999" customHeight="1">
      <c r="A78" s="136"/>
      <c r="B78" s="144" t="s">
        <v>54</v>
      </c>
      <c r="C78" s="145"/>
      <c r="D78" s="146"/>
      <c r="E78" s="147"/>
      <c r="F78" s="147"/>
      <c r="G78" s="147"/>
      <c r="L78" s="141"/>
      <c r="M78" s="136"/>
      <c r="N78" s="144"/>
      <c r="O78" s="144"/>
    </row>
    <row r="79" spans="1:17" s="143" customFormat="1" ht="16.149999999999999" customHeight="1">
      <c r="A79" s="136"/>
      <c r="B79" s="144" t="s">
        <v>55</v>
      </c>
      <c r="C79" s="2"/>
      <c r="D79" s="2"/>
      <c r="E79" s="2"/>
      <c r="F79" s="2"/>
      <c r="G79" s="2"/>
      <c r="H79" s="2"/>
      <c r="I79" s="2"/>
      <c r="J79" s="2"/>
      <c r="K79" s="2"/>
      <c r="L79" s="2"/>
      <c r="M79" s="2"/>
      <c r="N79" s="2"/>
      <c r="O79" s="2"/>
      <c r="P79" s="2"/>
    </row>
    <row r="80" spans="1:17" s="143" customFormat="1" ht="16.149999999999999" customHeight="1">
      <c r="A80" s="136"/>
      <c r="B80" s="144" t="s">
        <v>56</v>
      </c>
      <c r="C80" s="2"/>
      <c r="D80" s="2"/>
      <c r="E80" s="2"/>
      <c r="F80" s="2"/>
      <c r="G80" s="2"/>
      <c r="H80" s="2"/>
      <c r="I80" s="2"/>
      <c r="J80" s="2"/>
      <c r="K80" s="2"/>
      <c r="L80" s="2"/>
      <c r="M80" s="2"/>
      <c r="N80" s="2"/>
      <c r="O80" s="2"/>
      <c r="P80" s="2"/>
    </row>
    <row r="81" spans="1:16" s="143" customFormat="1" ht="15.75" customHeight="1">
      <c r="A81" s="136"/>
      <c r="B81" s="148"/>
      <c r="C81" s="2"/>
      <c r="D81" s="2"/>
      <c r="E81" s="2"/>
      <c r="F81" s="2"/>
      <c r="G81" s="2"/>
      <c r="H81" s="2"/>
      <c r="I81" s="2"/>
      <c r="J81" s="2"/>
      <c r="K81" s="2"/>
      <c r="L81" s="2"/>
      <c r="M81" s="2"/>
      <c r="N81" s="2"/>
      <c r="O81" s="2"/>
      <c r="P81" s="2"/>
    </row>
    <row r="82" spans="1:16" s="143" customFormat="1" ht="15.75" customHeight="1">
      <c r="A82" s="136"/>
      <c r="B82" s="149"/>
      <c r="C82" s="2"/>
      <c r="D82" s="2"/>
      <c r="E82" s="2"/>
      <c r="F82" s="2"/>
      <c r="G82" s="2"/>
      <c r="H82" s="2"/>
      <c r="I82" s="2"/>
      <c r="J82" s="2"/>
      <c r="K82" s="2"/>
      <c r="L82" s="2"/>
      <c r="M82" s="2"/>
      <c r="N82" s="2"/>
      <c r="O82" s="2"/>
      <c r="P82" s="2"/>
    </row>
    <row r="83" spans="1:16" s="143" customFormat="1" ht="15.75" customHeight="1">
      <c r="A83" s="136"/>
      <c r="B83" s="148"/>
      <c r="C83" s="2"/>
      <c r="D83" s="2"/>
      <c r="E83" s="2"/>
      <c r="F83" s="2"/>
      <c r="G83" s="2"/>
      <c r="H83" s="2"/>
      <c r="I83" s="2"/>
      <c r="J83" s="2"/>
      <c r="K83" s="2"/>
      <c r="L83" s="2"/>
      <c r="M83" s="2"/>
      <c r="N83" s="2"/>
      <c r="O83" s="2"/>
      <c r="P83" s="2"/>
    </row>
    <row r="84" spans="1:16" s="143" customFormat="1" ht="15.75" customHeight="1">
      <c r="A84" s="136"/>
      <c r="B84" s="148"/>
      <c r="C84" s="2"/>
      <c r="D84" s="2"/>
      <c r="E84" s="2"/>
      <c r="F84" s="2"/>
      <c r="G84" s="2"/>
      <c r="H84" s="2"/>
      <c r="I84" s="2"/>
      <c r="J84" s="2"/>
      <c r="K84" s="2"/>
      <c r="L84" s="2"/>
      <c r="M84" s="2"/>
      <c r="N84" s="2"/>
      <c r="O84" s="2"/>
      <c r="P84" s="2"/>
    </row>
    <row r="85" spans="1:16" s="143" customFormat="1" ht="15.75" customHeight="1">
      <c r="A85" s="136"/>
      <c r="B85" s="148"/>
      <c r="C85" s="2"/>
      <c r="D85" s="2"/>
      <c r="E85" s="2"/>
      <c r="F85" s="2"/>
      <c r="G85" s="2"/>
      <c r="H85" s="2"/>
      <c r="I85" s="2"/>
      <c r="J85" s="2"/>
      <c r="K85" s="2"/>
      <c r="L85" s="2"/>
      <c r="M85" s="2"/>
      <c r="N85" s="2"/>
      <c r="O85" s="2"/>
      <c r="P85" s="2"/>
    </row>
    <row r="86" spans="1:16" s="143" customFormat="1" ht="15.75" customHeight="1">
      <c r="A86" s="136"/>
      <c r="B86" s="144" t="s">
        <v>57</v>
      </c>
      <c r="C86" s="2"/>
      <c r="D86" s="2"/>
      <c r="E86" s="2"/>
      <c r="F86" s="2"/>
      <c r="G86" s="2"/>
      <c r="H86" s="2"/>
      <c r="I86" s="2"/>
      <c r="J86" s="2"/>
      <c r="K86" s="2"/>
      <c r="L86" s="2"/>
      <c r="M86" s="2"/>
      <c r="N86" s="2"/>
      <c r="O86" s="2"/>
      <c r="P86" s="2"/>
    </row>
    <row r="87" spans="1:16" ht="16.149999999999999" customHeight="1">
      <c r="A87" s="150"/>
      <c r="B87" s="151"/>
      <c r="C87" s="2"/>
      <c r="D87" s="2"/>
      <c r="E87" s="2"/>
      <c r="F87" s="2"/>
      <c r="G87" s="2"/>
      <c r="H87" s="2"/>
      <c r="I87" s="2"/>
      <c r="J87" s="2"/>
      <c r="K87" s="2"/>
      <c r="L87" s="2"/>
      <c r="M87" s="2"/>
      <c r="N87" s="2"/>
      <c r="O87" s="2"/>
      <c r="P87" s="2"/>
    </row>
    <row r="88" spans="1:16" ht="15" customHeight="1">
      <c r="A88" s="2"/>
      <c r="B88" s="2"/>
      <c r="C88" s="2"/>
      <c r="D88" s="2"/>
      <c r="E88" s="2"/>
      <c r="F88" s="2"/>
      <c r="G88" s="2"/>
      <c r="H88" s="2"/>
      <c r="I88" s="2"/>
      <c r="J88" s="2"/>
      <c r="K88" s="2"/>
      <c r="L88" s="2"/>
      <c r="M88" s="2"/>
      <c r="N88" s="2"/>
      <c r="O88" s="2"/>
      <c r="P88" s="2"/>
    </row>
    <row r="89" spans="1:16" ht="15" customHeight="1">
      <c r="A89" s="2"/>
      <c r="B89" s="2"/>
      <c r="C89" s="2"/>
      <c r="D89" s="2"/>
      <c r="E89" s="2"/>
      <c r="F89" s="2"/>
      <c r="G89" s="2"/>
      <c r="H89" s="2"/>
      <c r="I89" s="2"/>
      <c r="J89" s="2"/>
      <c r="K89" s="2"/>
      <c r="L89" s="2"/>
      <c r="M89" s="2"/>
      <c r="N89" s="2"/>
      <c r="O89" s="2"/>
      <c r="P89" s="2"/>
    </row>
    <row r="90" spans="1:16" ht="12.75">
      <c r="A90" s="2"/>
      <c r="B90" s="2"/>
      <c r="C90" s="2"/>
      <c r="D90" s="2"/>
      <c r="E90" s="2"/>
      <c r="F90" s="2"/>
      <c r="G90" s="2"/>
      <c r="H90" s="2"/>
      <c r="I90" s="2"/>
      <c r="J90" s="2"/>
      <c r="K90" s="2"/>
      <c r="L90" s="2"/>
      <c r="M90" s="2"/>
      <c r="N90" s="2"/>
      <c r="O90" s="2"/>
      <c r="P90" s="2"/>
    </row>
    <row r="91" spans="1:16" ht="12.75">
      <c r="A91" s="2"/>
      <c r="B91" s="2"/>
      <c r="C91" s="2"/>
      <c r="D91" s="2"/>
      <c r="E91" s="2"/>
      <c r="F91" s="2"/>
      <c r="G91" s="2"/>
      <c r="H91" s="2"/>
      <c r="I91" s="2"/>
      <c r="J91" s="2"/>
      <c r="K91" s="2"/>
      <c r="L91" s="2"/>
      <c r="M91" s="2"/>
      <c r="N91" s="2"/>
      <c r="O91" s="2"/>
      <c r="P91" s="2"/>
    </row>
    <row r="92" spans="1:16" ht="12.75">
      <c r="A92" s="2"/>
      <c r="B92" s="2"/>
      <c r="C92" s="2"/>
      <c r="D92" s="2"/>
      <c r="E92" s="2"/>
      <c r="F92" s="2"/>
      <c r="G92" s="2"/>
      <c r="H92" s="2"/>
      <c r="I92" s="2"/>
      <c r="J92" s="2"/>
      <c r="K92" s="2"/>
      <c r="L92" s="2"/>
      <c r="M92" s="2"/>
      <c r="N92" s="2"/>
      <c r="O92" s="2"/>
      <c r="P92" s="2"/>
    </row>
    <row r="93" spans="1:16" ht="12.75">
      <c r="A93" s="2"/>
      <c r="B93" s="152"/>
      <c r="C93" s="2"/>
      <c r="D93" s="2"/>
      <c r="E93" s="2"/>
      <c r="F93" s="2"/>
      <c r="G93" s="2"/>
      <c r="H93" s="2"/>
      <c r="I93" s="2"/>
      <c r="J93" s="2"/>
      <c r="K93" s="2"/>
      <c r="L93" s="2"/>
      <c r="M93" s="2"/>
      <c r="N93" s="2"/>
      <c r="O93" s="2"/>
      <c r="P93" s="2"/>
    </row>
    <row r="94" spans="1:16" ht="12.75">
      <c r="A94" s="2"/>
      <c r="B94" s="2"/>
      <c r="C94" s="2"/>
      <c r="D94" s="2"/>
      <c r="E94" s="2"/>
      <c r="F94" s="2"/>
      <c r="G94" s="2"/>
      <c r="H94" s="2"/>
      <c r="I94" s="2"/>
      <c r="J94" s="2"/>
      <c r="K94" s="2"/>
      <c r="L94" s="2"/>
      <c r="M94" s="2"/>
      <c r="N94" s="2"/>
      <c r="O94" s="2"/>
      <c r="P94" s="2"/>
    </row>
    <row r="95" spans="1:16" ht="12.75">
      <c r="A95" s="2"/>
      <c r="B95" s="2"/>
      <c r="C95" s="2"/>
      <c r="D95" s="2"/>
      <c r="E95" s="2"/>
      <c r="F95" s="2"/>
      <c r="G95" s="2"/>
      <c r="H95" s="2"/>
      <c r="I95" s="2"/>
      <c r="J95" s="2"/>
      <c r="K95" s="2"/>
      <c r="L95" s="2"/>
      <c r="M95" s="2"/>
      <c r="N95" s="2"/>
      <c r="O95" s="2"/>
      <c r="P95" s="2"/>
    </row>
    <row r="96" spans="1:16" ht="12.75">
      <c r="A96" s="2"/>
      <c r="B96" s="2"/>
      <c r="C96" s="2"/>
      <c r="D96" s="2"/>
      <c r="E96" s="2"/>
      <c r="F96" s="2"/>
      <c r="G96" s="2"/>
      <c r="H96" s="2"/>
      <c r="I96" s="2"/>
      <c r="J96" s="2"/>
      <c r="K96" s="2"/>
      <c r="L96" s="2"/>
      <c r="M96" s="2"/>
      <c r="N96" s="2"/>
      <c r="O96" s="2"/>
      <c r="P96" s="2"/>
    </row>
    <row r="97" spans="1:16" ht="12.75">
      <c r="A97" s="2"/>
      <c r="B97" s="2"/>
      <c r="C97" s="2"/>
      <c r="D97" s="2"/>
      <c r="E97" s="2"/>
      <c r="F97" s="2"/>
      <c r="G97" s="2"/>
      <c r="H97" s="2"/>
      <c r="I97" s="2"/>
      <c r="J97" s="2"/>
      <c r="K97" s="2"/>
      <c r="L97" s="2"/>
      <c r="M97" s="2"/>
      <c r="N97" s="2"/>
      <c r="O97" s="2"/>
      <c r="P97" s="2"/>
    </row>
    <row r="98" spans="1:16" ht="12.75">
      <c r="A98" s="2"/>
      <c r="B98" s="2"/>
      <c r="C98" s="2"/>
      <c r="D98" s="2"/>
      <c r="E98" s="2"/>
      <c r="F98" s="2"/>
      <c r="G98" s="2"/>
      <c r="H98" s="2"/>
      <c r="I98" s="2"/>
      <c r="J98" s="2"/>
      <c r="K98" s="2"/>
      <c r="L98" s="2"/>
      <c r="M98" s="2"/>
      <c r="N98" s="2"/>
      <c r="O98" s="2"/>
      <c r="P98" s="2"/>
    </row>
    <row r="99" spans="1:16" ht="12.75">
      <c r="A99" s="2"/>
      <c r="B99" s="2"/>
      <c r="C99" s="2"/>
      <c r="D99" s="2"/>
      <c r="E99" s="2"/>
      <c r="F99" s="2"/>
      <c r="G99" s="2"/>
      <c r="H99" s="2"/>
      <c r="I99" s="2"/>
      <c r="J99" s="2"/>
      <c r="K99" s="2"/>
      <c r="L99" s="2"/>
      <c r="M99" s="2"/>
      <c r="N99" s="2"/>
      <c r="O99" s="2"/>
      <c r="P99" s="2"/>
    </row>
    <row r="100" spans="1:16" ht="12.75">
      <c r="A100" s="2"/>
      <c r="B100" s="2"/>
      <c r="C100" s="2"/>
      <c r="D100" s="2"/>
      <c r="E100" s="2"/>
      <c r="F100" s="2"/>
      <c r="G100" s="2"/>
      <c r="H100" s="2"/>
      <c r="I100" s="2"/>
      <c r="J100" s="2"/>
      <c r="K100" s="2"/>
      <c r="L100" s="2"/>
      <c r="M100" s="2"/>
      <c r="N100" s="2"/>
      <c r="O100" s="2"/>
      <c r="P100" s="2"/>
    </row>
    <row r="101" spans="1:16" ht="12.75">
      <c r="A101" s="2"/>
      <c r="B101" s="2"/>
      <c r="C101" s="2"/>
      <c r="D101" s="2"/>
      <c r="E101" s="2"/>
      <c r="F101" s="2"/>
      <c r="G101" s="2"/>
      <c r="H101" s="2"/>
      <c r="I101" s="2"/>
      <c r="J101" s="2"/>
      <c r="K101" s="2"/>
      <c r="L101" s="2"/>
      <c r="M101" s="2"/>
      <c r="N101" s="2"/>
      <c r="O101" s="2"/>
      <c r="P101" s="2"/>
    </row>
    <row r="102" spans="1:16" ht="12.75">
      <c r="A102" s="2"/>
      <c r="B102" s="2"/>
      <c r="C102" s="2"/>
      <c r="D102" s="2"/>
      <c r="E102" s="2"/>
      <c r="F102" s="2"/>
      <c r="G102" s="2"/>
      <c r="H102" s="2"/>
      <c r="I102" s="2"/>
      <c r="J102" s="2"/>
      <c r="K102" s="2"/>
      <c r="L102" s="2"/>
      <c r="M102" s="2"/>
      <c r="N102" s="2"/>
      <c r="O102" s="2"/>
      <c r="P102" s="2"/>
    </row>
    <row r="103" spans="1:16" ht="12.75">
      <c r="A103" s="2"/>
      <c r="B103" s="2"/>
      <c r="C103" s="2"/>
      <c r="D103" s="2"/>
      <c r="E103" s="2"/>
      <c r="F103" s="2"/>
      <c r="G103" s="2"/>
      <c r="H103" s="2"/>
      <c r="I103" s="2"/>
      <c r="J103" s="2"/>
      <c r="K103" s="2"/>
      <c r="L103" s="2"/>
      <c r="M103" s="2"/>
      <c r="N103" s="2"/>
      <c r="O103" s="2"/>
      <c r="P103" s="2"/>
    </row>
    <row r="104" spans="1:16" ht="12.75">
      <c r="A104" s="2"/>
      <c r="B104" s="2"/>
      <c r="C104" s="2"/>
      <c r="D104" s="2"/>
      <c r="E104" s="2"/>
      <c r="F104" s="2"/>
      <c r="G104" s="2"/>
      <c r="H104" s="2"/>
      <c r="I104" s="2"/>
      <c r="J104" s="2"/>
      <c r="K104" s="2"/>
      <c r="L104" s="2"/>
      <c r="M104" s="2"/>
      <c r="N104" s="2"/>
      <c r="O104" s="2"/>
      <c r="P104" s="2"/>
    </row>
    <row r="105" spans="1:16" ht="12.75">
      <c r="A105" s="2"/>
      <c r="B105" s="2"/>
      <c r="C105" s="2"/>
      <c r="D105" s="2"/>
      <c r="E105" s="2"/>
      <c r="F105" s="2"/>
      <c r="G105" s="2"/>
      <c r="H105" s="2"/>
      <c r="I105" s="2"/>
      <c r="J105" s="2"/>
      <c r="K105" s="2"/>
      <c r="L105" s="2"/>
      <c r="M105" s="2"/>
      <c r="N105" s="2"/>
      <c r="O105" s="2"/>
      <c r="P105" s="2"/>
    </row>
    <row r="106" spans="1:16" ht="12.75">
      <c r="A106" s="2"/>
      <c r="B106" s="2"/>
      <c r="C106" s="2"/>
      <c r="D106" s="2"/>
      <c r="E106" s="2"/>
      <c r="F106" s="2"/>
      <c r="G106" s="2"/>
      <c r="H106" s="2"/>
      <c r="I106" s="2"/>
      <c r="J106" s="2"/>
      <c r="K106" s="2"/>
      <c r="L106" s="2"/>
      <c r="M106" s="2"/>
      <c r="N106" s="2"/>
      <c r="O106" s="2"/>
      <c r="P106" s="2"/>
    </row>
    <row r="107" spans="1:16" ht="12.75">
      <c r="A107" s="2"/>
      <c r="B107" s="2"/>
      <c r="C107" s="2"/>
      <c r="D107" s="2"/>
      <c r="E107" s="2"/>
      <c r="F107" s="2"/>
      <c r="G107" s="2"/>
      <c r="H107" s="2"/>
      <c r="I107" s="2"/>
      <c r="J107" s="2"/>
      <c r="K107" s="2"/>
      <c r="L107" s="2"/>
      <c r="M107" s="2"/>
      <c r="N107" s="2"/>
      <c r="O107" s="2"/>
      <c r="P107" s="2"/>
    </row>
    <row r="108" spans="1:16" ht="12.75">
      <c r="A108" s="2"/>
      <c r="B108" s="2"/>
      <c r="C108" s="2"/>
      <c r="D108" s="2"/>
      <c r="E108" s="2"/>
      <c r="F108" s="2"/>
      <c r="G108" s="2"/>
      <c r="H108" s="2"/>
      <c r="I108" s="2"/>
      <c r="J108" s="2"/>
      <c r="K108" s="2"/>
      <c r="L108" s="2"/>
      <c r="M108" s="2"/>
      <c r="N108" s="2"/>
      <c r="O108" s="2"/>
      <c r="P108" s="2"/>
    </row>
    <row r="109" spans="1:16" ht="12.75">
      <c r="A109" s="2"/>
      <c r="B109" s="2"/>
      <c r="C109" s="2"/>
      <c r="D109" s="2"/>
      <c r="E109" s="2"/>
      <c r="F109" s="2"/>
      <c r="G109" s="2"/>
      <c r="H109" s="2"/>
      <c r="I109" s="2"/>
      <c r="J109" s="2"/>
      <c r="K109" s="2"/>
      <c r="L109" s="2"/>
      <c r="M109" s="2"/>
      <c r="N109" s="2"/>
      <c r="O109" s="2"/>
      <c r="P109" s="2"/>
    </row>
    <row r="110" spans="1:16" ht="12.75">
      <c r="A110" s="2"/>
      <c r="B110" s="2"/>
      <c r="C110" s="2"/>
      <c r="D110" s="2"/>
      <c r="E110" s="2"/>
      <c r="F110" s="2"/>
      <c r="G110" s="2"/>
      <c r="H110" s="2"/>
      <c r="I110" s="2"/>
      <c r="J110" s="2"/>
      <c r="K110" s="2"/>
      <c r="L110" s="2"/>
      <c r="M110" s="2"/>
      <c r="N110" s="2"/>
      <c r="O110" s="2"/>
      <c r="P110" s="2"/>
    </row>
    <row r="111" spans="1:16" ht="12.75">
      <c r="A111" s="2"/>
      <c r="B111" s="2"/>
      <c r="C111" s="2"/>
      <c r="D111" s="2"/>
      <c r="E111" s="2"/>
      <c r="F111" s="2"/>
      <c r="G111" s="2"/>
      <c r="H111" s="2"/>
      <c r="I111" s="2"/>
      <c r="J111" s="2"/>
      <c r="K111" s="2"/>
      <c r="L111" s="2"/>
      <c r="M111" s="2"/>
      <c r="N111" s="2"/>
      <c r="O111" s="2"/>
      <c r="P111" s="2"/>
    </row>
    <row r="112" spans="1:16" ht="12.75">
      <c r="A112" s="2"/>
      <c r="B112" s="2"/>
      <c r="C112" s="2"/>
      <c r="D112" s="2"/>
      <c r="E112" s="2"/>
      <c r="F112" s="2"/>
      <c r="G112" s="2"/>
      <c r="H112" s="2"/>
      <c r="I112" s="2"/>
      <c r="J112" s="2"/>
      <c r="K112" s="2"/>
      <c r="L112" s="2"/>
      <c r="M112" s="2"/>
      <c r="N112" s="2"/>
      <c r="O112" s="2"/>
      <c r="P112" s="2"/>
    </row>
    <row r="113" spans="1:16" ht="12.75">
      <c r="A113" s="2"/>
      <c r="B113" s="2"/>
      <c r="C113" s="2"/>
      <c r="D113" s="2"/>
      <c r="E113" s="2"/>
      <c r="F113" s="2"/>
      <c r="G113" s="2"/>
      <c r="H113" s="2"/>
      <c r="I113" s="2"/>
      <c r="J113" s="2"/>
      <c r="K113" s="2"/>
      <c r="L113" s="2"/>
      <c r="M113" s="2"/>
      <c r="N113" s="2"/>
      <c r="O113" s="2"/>
      <c r="P113" s="2"/>
    </row>
    <row r="114" spans="1:16" ht="12.75">
      <c r="A114" s="2"/>
      <c r="B114" s="2"/>
      <c r="C114" s="2"/>
      <c r="D114" s="2"/>
      <c r="E114" s="2"/>
      <c r="F114" s="2"/>
      <c r="G114" s="2"/>
      <c r="H114" s="2"/>
      <c r="I114" s="2"/>
      <c r="J114" s="2"/>
      <c r="K114" s="2"/>
      <c r="L114" s="2"/>
      <c r="M114" s="2"/>
      <c r="N114" s="2"/>
      <c r="O114" s="2"/>
      <c r="P114" s="2"/>
    </row>
    <row r="115" spans="1:16" ht="12.75">
      <c r="A115" s="2"/>
      <c r="B115" s="2"/>
      <c r="C115" s="2"/>
      <c r="D115" s="2"/>
      <c r="E115" s="2"/>
      <c r="F115" s="2"/>
      <c r="G115" s="2"/>
      <c r="H115" s="2"/>
      <c r="I115" s="2"/>
      <c r="J115" s="2"/>
      <c r="K115" s="2"/>
      <c r="L115" s="2"/>
      <c r="M115" s="2"/>
      <c r="N115" s="2"/>
      <c r="O115" s="2"/>
      <c r="P115" s="2"/>
    </row>
    <row r="116" spans="1:16" ht="12.75">
      <c r="A116" s="2"/>
      <c r="B116" s="2"/>
      <c r="C116" s="2"/>
      <c r="D116" s="2"/>
      <c r="E116" s="2"/>
      <c r="F116" s="2"/>
      <c r="G116" s="2"/>
      <c r="H116" s="2"/>
      <c r="I116" s="2"/>
      <c r="J116" s="2"/>
      <c r="K116" s="2"/>
      <c r="L116" s="2"/>
      <c r="M116" s="2"/>
      <c r="N116" s="2"/>
      <c r="O116" s="2"/>
      <c r="P116" s="2"/>
    </row>
    <row r="117" spans="1:16" ht="12.75">
      <c r="A117" s="2"/>
      <c r="B117" s="2"/>
      <c r="C117" s="2"/>
      <c r="D117" s="2"/>
      <c r="E117" s="2"/>
      <c r="F117" s="2"/>
      <c r="G117" s="2"/>
      <c r="H117" s="2"/>
      <c r="I117" s="2"/>
      <c r="J117" s="2"/>
      <c r="K117" s="2"/>
      <c r="L117" s="2"/>
      <c r="M117" s="2"/>
      <c r="N117" s="2"/>
      <c r="O117" s="2"/>
      <c r="P117" s="2"/>
    </row>
    <row r="118" spans="1:16" ht="12.75">
      <c r="A118" s="2"/>
      <c r="B118" s="2"/>
      <c r="C118" s="2"/>
      <c r="D118" s="2"/>
      <c r="E118" s="2"/>
      <c r="F118" s="2"/>
      <c r="G118" s="2"/>
      <c r="H118" s="2"/>
      <c r="I118" s="2"/>
      <c r="J118" s="2"/>
      <c r="K118" s="2"/>
      <c r="L118" s="2"/>
      <c r="M118" s="2"/>
      <c r="N118" s="2"/>
      <c r="O118" s="2"/>
      <c r="P118" s="2"/>
    </row>
    <row r="119" spans="1:16" ht="12.75">
      <c r="A119" s="2"/>
      <c r="B119" s="2"/>
      <c r="C119" s="2"/>
      <c r="D119" s="2"/>
      <c r="E119" s="2"/>
      <c r="F119" s="2"/>
      <c r="G119" s="2"/>
      <c r="H119" s="2"/>
      <c r="I119" s="2"/>
      <c r="J119" s="2"/>
      <c r="K119" s="2"/>
      <c r="L119" s="2"/>
      <c r="M119" s="2"/>
      <c r="N119" s="2"/>
      <c r="O119" s="2"/>
      <c r="P119" s="2"/>
    </row>
    <row r="120" spans="1:16" ht="12.75">
      <c r="A120" s="2"/>
      <c r="B120" s="2"/>
      <c r="C120" s="2"/>
      <c r="D120" s="2"/>
      <c r="E120" s="2"/>
      <c r="F120" s="2"/>
      <c r="G120" s="2"/>
      <c r="H120" s="2"/>
      <c r="I120" s="2"/>
      <c r="J120" s="2"/>
      <c r="K120" s="2"/>
      <c r="L120" s="2"/>
      <c r="M120" s="2"/>
      <c r="N120" s="2"/>
      <c r="O120" s="2"/>
      <c r="P120" s="2"/>
    </row>
    <row r="121" spans="1:16" ht="12.75">
      <c r="A121" s="2"/>
      <c r="B121" s="2"/>
      <c r="C121" s="2"/>
      <c r="D121" s="2"/>
      <c r="E121" s="2"/>
      <c r="F121" s="2"/>
      <c r="G121" s="2"/>
      <c r="H121" s="2"/>
      <c r="I121" s="2"/>
      <c r="J121" s="2"/>
      <c r="K121" s="2"/>
      <c r="L121" s="2"/>
      <c r="M121" s="2"/>
      <c r="N121" s="2"/>
      <c r="O121" s="2"/>
      <c r="P121" s="2"/>
    </row>
    <row r="122" spans="1:16" ht="12.75">
      <c r="A122" s="2"/>
      <c r="B122" s="2"/>
      <c r="C122" s="2"/>
      <c r="D122" s="2"/>
      <c r="E122" s="2"/>
      <c r="F122" s="2"/>
      <c r="G122" s="2"/>
      <c r="H122" s="2"/>
      <c r="I122" s="2"/>
      <c r="J122" s="2"/>
      <c r="K122" s="2"/>
      <c r="L122" s="2"/>
      <c r="M122" s="2"/>
      <c r="N122" s="2"/>
      <c r="O122" s="2"/>
      <c r="P122" s="2"/>
    </row>
    <row r="123" spans="1:16" ht="12.75">
      <c r="A123" s="2"/>
      <c r="B123" s="2"/>
      <c r="C123" s="2"/>
      <c r="D123" s="2"/>
      <c r="E123" s="2"/>
      <c r="F123" s="2"/>
      <c r="G123" s="2"/>
      <c r="H123" s="2"/>
      <c r="I123" s="2"/>
      <c r="J123" s="2"/>
      <c r="K123" s="2"/>
      <c r="L123" s="2"/>
      <c r="M123" s="2"/>
      <c r="N123" s="2"/>
      <c r="O123" s="2"/>
      <c r="P123" s="2"/>
    </row>
    <row r="124" spans="1:16" ht="12.75">
      <c r="A124" s="2"/>
      <c r="B124" s="2"/>
      <c r="C124" s="2"/>
      <c r="D124" s="2"/>
      <c r="E124" s="2"/>
      <c r="F124" s="2"/>
      <c r="G124" s="2"/>
      <c r="H124" s="2"/>
      <c r="I124" s="2"/>
      <c r="J124" s="2"/>
      <c r="K124" s="2"/>
      <c r="L124" s="2"/>
      <c r="M124" s="2"/>
      <c r="N124" s="2"/>
      <c r="O124" s="2"/>
      <c r="P124" s="2"/>
    </row>
    <row r="125" spans="1:16" ht="12.75">
      <c r="A125" s="2"/>
      <c r="B125" s="2"/>
      <c r="C125" s="2"/>
      <c r="D125" s="2"/>
      <c r="E125" s="2"/>
      <c r="F125" s="2"/>
      <c r="G125" s="2"/>
      <c r="H125" s="2"/>
      <c r="I125" s="2"/>
      <c r="J125" s="2"/>
      <c r="K125" s="2"/>
      <c r="L125" s="2"/>
      <c r="M125" s="2"/>
      <c r="N125" s="2"/>
      <c r="O125" s="2"/>
      <c r="P125" s="2"/>
    </row>
    <row r="126" spans="1:16" ht="12.75">
      <c r="A126" s="2"/>
      <c r="B126" s="2"/>
      <c r="C126" s="2"/>
      <c r="D126" s="2"/>
      <c r="E126" s="2"/>
      <c r="F126" s="2"/>
      <c r="G126" s="2"/>
      <c r="H126" s="2"/>
      <c r="I126" s="2"/>
      <c r="J126" s="2"/>
      <c r="K126" s="2"/>
      <c r="L126" s="2"/>
      <c r="M126" s="2"/>
      <c r="N126" s="2"/>
      <c r="O126" s="2"/>
      <c r="P126" s="2"/>
    </row>
    <row r="127" spans="1:16" ht="12.75">
      <c r="A127" s="2"/>
      <c r="B127" s="2"/>
      <c r="C127" s="2"/>
      <c r="D127" s="2"/>
      <c r="E127" s="2"/>
      <c r="F127" s="2"/>
      <c r="G127" s="2"/>
      <c r="H127" s="2"/>
      <c r="I127" s="2"/>
      <c r="J127" s="2"/>
      <c r="K127" s="2"/>
      <c r="L127" s="2"/>
      <c r="M127" s="2"/>
      <c r="N127" s="2"/>
      <c r="O127" s="2"/>
      <c r="P127" s="2"/>
    </row>
    <row r="128" spans="1:16" ht="12.75">
      <c r="A128" s="2"/>
      <c r="B128" s="2"/>
      <c r="C128" s="2"/>
      <c r="D128" s="2"/>
      <c r="E128" s="2"/>
      <c r="F128" s="2"/>
      <c r="G128" s="2"/>
      <c r="H128" s="2"/>
      <c r="I128" s="2"/>
      <c r="J128" s="2"/>
      <c r="K128" s="2"/>
      <c r="L128" s="2"/>
      <c r="M128" s="2"/>
      <c r="N128" s="2"/>
      <c r="O128" s="2"/>
      <c r="P128" s="2"/>
    </row>
    <row r="129" spans="1:16" ht="12.75">
      <c r="A129" s="2"/>
      <c r="B129" s="2"/>
      <c r="C129" s="2"/>
      <c r="D129" s="2"/>
      <c r="E129" s="2"/>
      <c r="F129" s="2"/>
      <c r="G129" s="2"/>
      <c r="H129" s="2"/>
      <c r="I129" s="2"/>
      <c r="J129" s="2"/>
      <c r="K129" s="2"/>
      <c r="L129" s="2"/>
      <c r="M129" s="2"/>
      <c r="N129" s="2"/>
      <c r="O129" s="2"/>
      <c r="P129" s="2"/>
    </row>
    <row r="130" spans="1:16" ht="12.75">
      <c r="A130" s="2"/>
      <c r="B130" s="2"/>
      <c r="C130" s="2"/>
      <c r="D130" s="2"/>
      <c r="E130" s="2"/>
      <c r="F130" s="2"/>
      <c r="G130" s="2"/>
      <c r="H130" s="2"/>
      <c r="I130" s="2"/>
      <c r="J130" s="2"/>
      <c r="K130" s="2"/>
      <c r="L130" s="2"/>
      <c r="M130" s="2"/>
      <c r="N130" s="2"/>
      <c r="O130" s="2"/>
      <c r="P130" s="2"/>
    </row>
    <row r="131" spans="1:16" ht="12.75">
      <c r="A131" s="2"/>
      <c r="B131" s="2"/>
      <c r="C131" s="2"/>
      <c r="D131" s="2"/>
      <c r="E131" s="2"/>
      <c r="F131" s="2"/>
      <c r="G131" s="2"/>
      <c r="H131" s="2"/>
      <c r="I131" s="2"/>
      <c r="J131" s="2"/>
      <c r="K131" s="2"/>
      <c r="L131" s="2"/>
      <c r="M131" s="2"/>
      <c r="N131" s="2"/>
      <c r="O131" s="2"/>
      <c r="P131" s="2"/>
    </row>
    <row r="132" spans="1:16" ht="12.75">
      <c r="A132" s="2"/>
      <c r="B132" s="2"/>
      <c r="C132" s="2"/>
      <c r="D132" s="2"/>
      <c r="E132" s="2"/>
      <c r="F132" s="2"/>
      <c r="G132" s="2"/>
      <c r="H132" s="2"/>
      <c r="I132" s="2"/>
      <c r="J132" s="2"/>
      <c r="K132" s="2"/>
      <c r="L132" s="2"/>
      <c r="M132" s="2"/>
      <c r="N132" s="2"/>
      <c r="O132" s="2"/>
      <c r="P132" s="2"/>
    </row>
    <row r="133" spans="1:16" ht="12.75">
      <c r="A133" s="2"/>
      <c r="B133" s="2"/>
      <c r="C133" s="2"/>
      <c r="D133" s="2"/>
      <c r="E133" s="2"/>
      <c r="F133" s="2"/>
      <c r="G133" s="2"/>
      <c r="H133" s="2"/>
      <c r="I133" s="2"/>
      <c r="J133" s="2"/>
      <c r="K133" s="2"/>
      <c r="L133" s="2"/>
      <c r="M133" s="2"/>
      <c r="N133" s="2"/>
      <c r="O133" s="2"/>
      <c r="P133" s="2"/>
    </row>
    <row r="134" spans="1:16" ht="12.75">
      <c r="A134" s="2"/>
      <c r="B134" s="2"/>
      <c r="C134" s="2"/>
      <c r="D134" s="2"/>
      <c r="E134" s="2"/>
      <c r="F134" s="2"/>
      <c r="G134" s="2"/>
      <c r="H134" s="2"/>
      <c r="I134" s="2"/>
      <c r="J134" s="2"/>
      <c r="K134" s="2"/>
      <c r="L134" s="2"/>
      <c r="M134" s="2"/>
      <c r="N134" s="2"/>
      <c r="O134" s="2"/>
      <c r="P134" s="2"/>
    </row>
    <row r="135" spans="1:16" ht="12.75">
      <c r="A135" s="2"/>
      <c r="B135" s="2"/>
      <c r="C135" s="2"/>
      <c r="D135" s="2"/>
      <c r="E135" s="2"/>
      <c r="F135" s="2"/>
      <c r="G135" s="2"/>
      <c r="H135" s="2"/>
      <c r="I135" s="2"/>
      <c r="J135" s="2"/>
      <c r="K135" s="2"/>
      <c r="L135" s="2"/>
      <c r="M135" s="2"/>
      <c r="N135" s="2"/>
      <c r="O135" s="2"/>
      <c r="P135" s="2"/>
    </row>
    <row r="136" spans="1:16" ht="12.75">
      <c r="A136" s="2"/>
      <c r="B136" s="2"/>
      <c r="C136" s="2"/>
      <c r="D136" s="2"/>
      <c r="E136" s="2"/>
      <c r="F136" s="2"/>
      <c r="G136" s="2"/>
      <c r="H136" s="2"/>
      <c r="I136" s="2"/>
      <c r="J136" s="2"/>
      <c r="K136" s="2"/>
      <c r="L136" s="2"/>
      <c r="M136" s="2"/>
      <c r="N136" s="2"/>
      <c r="O136" s="2"/>
      <c r="P136" s="2"/>
    </row>
    <row r="137" spans="1:16" ht="12.75">
      <c r="A137" s="2"/>
      <c r="B137" s="2"/>
      <c r="C137" s="2"/>
      <c r="D137" s="2"/>
      <c r="E137" s="2"/>
      <c r="F137" s="2"/>
      <c r="G137" s="2"/>
      <c r="H137" s="2"/>
      <c r="I137" s="2"/>
      <c r="J137" s="2"/>
      <c r="K137" s="2"/>
      <c r="L137" s="2"/>
      <c r="M137" s="2"/>
      <c r="N137" s="2"/>
      <c r="O137" s="2"/>
      <c r="P137" s="2"/>
    </row>
    <row r="138" spans="1:16" ht="12.75">
      <c r="A138" s="2"/>
      <c r="B138" s="2"/>
      <c r="C138" s="2"/>
      <c r="D138" s="2"/>
      <c r="E138" s="2"/>
      <c r="F138" s="2"/>
      <c r="G138" s="2"/>
      <c r="H138" s="2"/>
      <c r="I138" s="2"/>
      <c r="J138" s="2"/>
      <c r="K138" s="2"/>
      <c r="L138" s="2"/>
      <c r="M138" s="2"/>
      <c r="N138" s="2"/>
      <c r="O138" s="2"/>
      <c r="P138" s="2"/>
    </row>
    <row r="139" spans="1:16" ht="12.75">
      <c r="A139" s="2"/>
      <c r="B139" s="2"/>
      <c r="C139" s="2"/>
      <c r="D139" s="2"/>
      <c r="E139" s="2"/>
      <c r="F139" s="2"/>
      <c r="G139" s="2"/>
      <c r="H139" s="2"/>
      <c r="I139" s="2"/>
      <c r="J139" s="2"/>
      <c r="K139" s="2"/>
      <c r="L139" s="2"/>
      <c r="M139" s="2"/>
      <c r="N139" s="2"/>
      <c r="O139" s="2"/>
      <c r="P139" s="2"/>
    </row>
    <row r="140" spans="1:16" ht="12.75">
      <c r="A140" s="2"/>
      <c r="B140" s="2"/>
      <c r="C140" s="2"/>
      <c r="D140" s="2"/>
      <c r="E140" s="2"/>
      <c r="F140" s="2"/>
      <c r="G140" s="2"/>
      <c r="H140" s="2"/>
      <c r="I140" s="2"/>
      <c r="J140" s="2"/>
      <c r="K140" s="2"/>
      <c r="L140" s="2"/>
      <c r="M140" s="2"/>
      <c r="N140" s="2"/>
      <c r="O140" s="2"/>
      <c r="P140" s="2"/>
    </row>
    <row r="141" spans="1:16" ht="12.75">
      <c r="A141" s="2"/>
      <c r="B141" s="2"/>
      <c r="C141" s="2"/>
      <c r="D141" s="2"/>
      <c r="E141" s="2"/>
      <c r="F141" s="2"/>
      <c r="G141" s="2"/>
      <c r="H141" s="2"/>
      <c r="I141" s="2"/>
      <c r="J141" s="2"/>
      <c r="K141" s="2"/>
      <c r="L141" s="2"/>
      <c r="M141" s="2"/>
      <c r="N141" s="2"/>
      <c r="O141" s="2"/>
      <c r="P141" s="2"/>
    </row>
    <row r="142" spans="1:16" ht="12.75">
      <c r="A142" s="2"/>
      <c r="B142" s="2"/>
      <c r="C142" s="2"/>
      <c r="D142" s="2"/>
      <c r="E142" s="2"/>
      <c r="F142" s="2"/>
      <c r="G142" s="2"/>
      <c r="H142" s="2"/>
      <c r="I142" s="2"/>
      <c r="J142" s="2"/>
      <c r="K142" s="2"/>
      <c r="L142" s="2"/>
      <c r="M142" s="2"/>
      <c r="N142" s="2"/>
      <c r="O142" s="2"/>
      <c r="P142" s="2"/>
    </row>
    <row r="143" spans="1:16" ht="12.75">
      <c r="A143" s="2"/>
      <c r="B143" s="2"/>
      <c r="C143" s="2"/>
      <c r="D143" s="2"/>
      <c r="E143" s="2"/>
      <c r="F143" s="2"/>
      <c r="G143" s="2"/>
      <c r="H143" s="2"/>
      <c r="I143" s="2"/>
      <c r="J143" s="2"/>
      <c r="K143" s="2"/>
      <c r="L143" s="2"/>
      <c r="M143" s="2"/>
      <c r="N143" s="2"/>
      <c r="O143" s="2"/>
      <c r="P143" s="2"/>
    </row>
    <row r="144" spans="1:16" ht="12.75">
      <c r="A144" s="2"/>
      <c r="B144" s="2"/>
      <c r="C144" s="2"/>
      <c r="D144" s="2"/>
      <c r="E144" s="2"/>
      <c r="F144" s="2"/>
      <c r="G144" s="2"/>
      <c r="H144" s="2"/>
      <c r="I144" s="2"/>
      <c r="J144" s="2"/>
      <c r="K144" s="2"/>
      <c r="L144" s="2"/>
      <c r="M144" s="2"/>
      <c r="N144" s="2"/>
      <c r="O144" s="2"/>
      <c r="P144" s="2"/>
    </row>
    <row r="145" spans="1:16" ht="12.75">
      <c r="A145" s="2"/>
      <c r="B145" s="2"/>
      <c r="C145" s="2"/>
      <c r="D145" s="2"/>
      <c r="E145" s="2"/>
      <c r="F145" s="2"/>
      <c r="G145" s="2"/>
      <c r="H145" s="2"/>
      <c r="I145" s="2"/>
      <c r="J145" s="2"/>
      <c r="K145" s="2"/>
      <c r="L145" s="2"/>
      <c r="M145" s="2"/>
      <c r="N145" s="2"/>
      <c r="O145" s="2"/>
      <c r="P145" s="2"/>
    </row>
    <row r="146" spans="1:16" ht="12.75">
      <c r="A146" s="2"/>
      <c r="B146" s="2"/>
      <c r="C146" s="2"/>
      <c r="D146" s="2"/>
      <c r="E146" s="2"/>
      <c r="F146" s="2"/>
      <c r="G146" s="2"/>
      <c r="H146" s="2"/>
      <c r="I146" s="2"/>
      <c r="J146" s="2"/>
      <c r="K146" s="2"/>
      <c r="L146" s="2"/>
      <c r="M146" s="2"/>
      <c r="N146" s="2"/>
      <c r="O146" s="2"/>
      <c r="P146" s="2"/>
    </row>
    <row r="147" spans="1:16" ht="12.75">
      <c r="A147" s="2"/>
      <c r="B147" s="2"/>
      <c r="C147" s="2"/>
      <c r="D147" s="2"/>
      <c r="E147" s="2"/>
      <c r="F147" s="2"/>
      <c r="G147" s="2"/>
      <c r="H147" s="2"/>
      <c r="I147" s="2"/>
      <c r="J147" s="2"/>
      <c r="K147" s="2"/>
      <c r="L147" s="2"/>
      <c r="M147" s="2"/>
      <c r="N147" s="2"/>
      <c r="O147" s="2"/>
      <c r="P147" s="2"/>
    </row>
    <row r="148" spans="1:16" ht="12.75">
      <c r="A148" s="2"/>
      <c r="B148" s="2"/>
      <c r="C148" s="2"/>
      <c r="D148" s="2"/>
      <c r="E148" s="2"/>
      <c r="F148" s="2"/>
      <c r="G148" s="2"/>
      <c r="H148" s="2"/>
      <c r="I148" s="2"/>
      <c r="J148" s="2"/>
      <c r="K148" s="2"/>
      <c r="L148" s="2"/>
      <c r="M148" s="2"/>
      <c r="N148" s="2"/>
      <c r="O148" s="2"/>
      <c r="P148" s="2"/>
    </row>
    <row r="149" spans="1:16" ht="12.75">
      <c r="A149" s="2"/>
      <c r="B149" s="2"/>
      <c r="C149" s="2"/>
      <c r="D149" s="2"/>
      <c r="E149" s="2"/>
      <c r="F149" s="2"/>
      <c r="G149" s="2"/>
      <c r="H149" s="2"/>
      <c r="I149" s="2"/>
      <c r="J149" s="2"/>
      <c r="K149" s="2"/>
      <c r="L149" s="2"/>
      <c r="M149" s="2"/>
      <c r="N149" s="2"/>
      <c r="O149" s="2"/>
      <c r="P149" s="2"/>
    </row>
    <row r="150" spans="1:16" ht="12.75">
      <c r="A150" s="2"/>
      <c r="B150" s="2"/>
      <c r="C150" s="2"/>
      <c r="D150" s="2"/>
      <c r="E150" s="2"/>
      <c r="F150" s="2"/>
      <c r="G150" s="2"/>
      <c r="H150" s="2"/>
      <c r="I150" s="2"/>
      <c r="J150" s="2"/>
      <c r="K150" s="2"/>
      <c r="L150" s="2"/>
      <c r="M150" s="2"/>
      <c r="N150" s="2"/>
      <c r="O150" s="2"/>
      <c r="P150" s="2"/>
    </row>
    <row r="151" spans="1:16" ht="12.75">
      <c r="A151" s="2"/>
      <c r="B151" s="2"/>
      <c r="C151" s="2"/>
      <c r="D151" s="2"/>
      <c r="E151" s="2"/>
      <c r="F151" s="2"/>
      <c r="G151" s="2"/>
      <c r="H151" s="2"/>
      <c r="I151" s="2"/>
      <c r="J151" s="2"/>
      <c r="K151" s="2"/>
      <c r="L151" s="2"/>
      <c r="M151" s="2"/>
      <c r="N151" s="2"/>
      <c r="O151" s="2"/>
      <c r="P151" s="2"/>
    </row>
    <row r="152" spans="1:16" ht="12.75">
      <c r="A152" s="2"/>
      <c r="B152" s="2"/>
      <c r="C152" s="2"/>
      <c r="D152" s="2"/>
      <c r="E152" s="2"/>
      <c r="F152" s="2"/>
      <c r="G152" s="2"/>
      <c r="H152" s="2"/>
      <c r="I152" s="2"/>
      <c r="J152" s="2"/>
      <c r="K152" s="2"/>
      <c r="L152" s="2"/>
      <c r="M152" s="2"/>
      <c r="N152" s="2"/>
      <c r="O152" s="2"/>
      <c r="P152" s="2"/>
    </row>
    <row r="153" spans="1:16" ht="12.75">
      <c r="A153" s="2"/>
      <c r="B153" s="2"/>
      <c r="C153" s="2"/>
      <c r="D153" s="2"/>
      <c r="E153" s="2"/>
      <c r="F153" s="2"/>
      <c r="G153" s="2"/>
      <c r="H153" s="2"/>
      <c r="I153" s="2"/>
      <c r="J153" s="2"/>
      <c r="K153" s="2"/>
      <c r="L153" s="2"/>
      <c r="M153" s="2"/>
      <c r="N153" s="2"/>
      <c r="O153" s="2"/>
      <c r="P153" s="2"/>
    </row>
    <row r="154" spans="1:16" ht="12.75">
      <c r="A154" s="2"/>
      <c r="B154" s="2"/>
      <c r="C154" s="2"/>
      <c r="D154" s="2"/>
      <c r="E154" s="2"/>
      <c r="F154" s="2"/>
      <c r="G154" s="2"/>
      <c r="H154" s="2"/>
      <c r="I154" s="2"/>
      <c r="J154" s="2"/>
      <c r="K154" s="2"/>
      <c r="L154" s="2"/>
      <c r="M154" s="2"/>
      <c r="N154" s="2"/>
      <c r="O154" s="2"/>
      <c r="P154" s="2"/>
    </row>
    <row r="155" spans="1:16" ht="12.75">
      <c r="A155" s="2"/>
      <c r="B155" s="2"/>
      <c r="C155" s="2"/>
      <c r="D155" s="2"/>
      <c r="E155" s="2"/>
      <c r="F155" s="2"/>
      <c r="G155" s="2"/>
      <c r="H155" s="2"/>
      <c r="I155" s="2"/>
      <c r="J155" s="2"/>
      <c r="K155" s="2"/>
      <c r="L155" s="2"/>
      <c r="M155" s="2"/>
      <c r="N155" s="2"/>
      <c r="O155" s="2"/>
      <c r="P155" s="2"/>
    </row>
    <row r="156" spans="1:16" ht="12.75">
      <c r="A156" s="2"/>
      <c r="B156" s="2"/>
      <c r="C156" s="2"/>
      <c r="D156" s="2"/>
      <c r="E156" s="2"/>
      <c r="F156" s="2"/>
      <c r="G156" s="2"/>
      <c r="H156" s="2"/>
      <c r="I156" s="2"/>
      <c r="J156" s="2"/>
      <c r="K156" s="2"/>
      <c r="L156" s="2"/>
      <c r="M156" s="2"/>
      <c r="N156" s="2"/>
      <c r="O156" s="2"/>
      <c r="P156" s="2"/>
    </row>
    <row r="157" spans="1:16" ht="12.75">
      <c r="A157" s="2"/>
      <c r="B157" s="2"/>
      <c r="C157" s="2"/>
      <c r="D157" s="2"/>
      <c r="E157" s="2"/>
      <c r="F157" s="2"/>
      <c r="G157" s="2"/>
      <c r="H157" s="2"/>
      <c r="I157" s="2"/>
      <c r="J157" s="2"/>
      <c r="K157" s="2"/>
      <c r="L157" s="2"/>
      <c r="M157" s="2"/>
      <c r="N157" s="2"/>
      <c r="O157" s="2"/>
      <c r="P157" s="2"/>
    </row>
    <row r="158" spans="1:16" ht="12.75">
      <c r="A158" s="2"/>
      <c r="B158" s="2"/>
      <c r="C158" s="2"/>
      <c r="D158" s="2"/>
      <c r="E158" s="2"/>
      <c r="F158" s="2"/>
      <c r="G158" s="2"/>
      <c r="H158" s="2"/>
      <c r="I158" s="2"/>
      <c r="J158" s="2"/>
      <c r="K158" s="2"/>
      <c r="L158" s="2"/>
      <c r="M158" s="2"/>
      <c r="N158" s="2"/>
      <c r="O158" s="2"/>
      <c r="P158" s="2"/>
    </row>
    <row r="159" spans="1:16" ht="12.75">
      <c r="A159" s="2"/>
      <c r="B159" s="2"/>
      <c r="C159" s="2"/>
      <c r="D159" s="2"/>
      <c r="E159" s="2"/>
      <c r="F159" s="2"/>
      <c r="G159" s="2"/>
      <c r="H159" s="2"/>
      <c r="I159" s="2"/>
      <c r="J159" s="2"/>
      <c r="K159" s="2"/>
      <c r="L159" s="2"/>
      <c r="M159" s="2"/>
      <c r="N159" s="2"/>
      <c r="O159" s="2"/>
      <c r="P159" s="2"/>
    </row>
    <row r="160" spans="1:16" ht="12.75">
      <c r="A160" s="2"/>
      <c r="B160" s="2"/>
      <c r="C160" s="2"/>
      <c r="D160" s="2"/>
      <c r="E160" s="2"/>
      <c r="F160" s="2"/>
      <c r="G160" s="2"/>
      <c r="H160" s="2"/>
      <c r="I160" s="2"/>
      <c r="J160" s="2"/>
      <c r="K160" s="2"/>
      <c r="L160" s="2"/>
      <c r="M160" s="2"/>
      <c r="N160" s="2"/>
      <c r="O160" s="2"/>
      <c r="P160" s="2"/>
    </row>
    <row r="161" spans="1:16" ht="12.75">
      <c r="A161" s="2"/>
      <c r="B161" s="2"/>
      <c r="C161" s="2"/>
      <c r="D161" s="2"/>
      <c r="E161" s="2"/>
      <c r="F161" s="2"/>
      <c r="G161" s="2"/>
      <c r="H161" s="2"/>
      <c r="I161" s="2"/>
      <c r="J161" s="2"/>
      <c r="K161" s="2"/>
      <c r="L161" s="2"/>
      <c r="M161" s="2"/>
      <c r="N161" s="2"/>
      <c r="O161" s="2"/>
      <c r="P161" s="2"/>
    </row>
    <row r="162" spans="1:16" ht="12.75">
      <c r="A162" s="2"/>
      <c r="B162" s="2"/>
      <c r="C162" s="2"/>
      <c r="D162" s="2"/>
      <c r="E162" s="2"/>
      <c r="F162" s="2"/>
      <c r="G162" s="2"/>
      <c r="H162" s="2"/>
      <c r="I162" s="2"/>
      <c r="J162" s="2"/>
      <c r="K162" s="2"/>
      <c r="L162" s="2"/>
      <c r="M162" s="2"/>
      <c r="N162" s="2"/>
      <c r="O162" s="2"/>
      <c r="P162" s="2"/>
    </row>
    <row r="163" spans="1:16" ht="12.75">
      <c r="A163" s="2"/>
      <c r="B163" s="2"/>
      <c r="C163" s="2"/>
      <c r="D163" s="2"/>
      <c r="E163" s="2"/>
      <c r="F163" s="2"/>
      <c r="G163" s="2"/>
      <c r="H163" s="2"/>
      <c r="I163" s="2"/>
      <c r="J163" s="2"/>
      <c r="K163" s="2"/>
      <c r="L163" s="2"/>
      <c r="M163" s="2"/>
      <c r="N163" s="2"/>
      <c r="O163" s="2"/>
      <c r="P163" s="2"/>
    </row>
    <row r="164" spans="1:16" ht="12.75">
      <c r="A164" s="2"/>
      <c r="B164" s="2"/>
      <c r="C164" s="2"/>
      <c r="D164" s="2"/>
      <c r="E164" s="2"/>
      <c r="F164" s="2"/>
      <c r="G164" s="2"/>
      <c r="H164" s="2"/>
      <c r="I164" s="2"/>
      <c r="J164" s="2"/>
      <c r="K164" s="2"/>
      <c r="L164" s="2"/>
      <c r="M164" s="2"/>
      <c r="N164" s="2"/>
      <c r="O164" s="2"/>
      <c r="P164" s="2"/>
    </row>
    <row r="165" spans="1:16" ht="12.75">
      <c r="A165" s="2"/>
      <c r="B165" s="2"/>
      <c r="C165" s="2"/>
      <c r="D165" s="2"/>
      <c r="E165" s="2"/>
      <c r="F165" s="2"/>
      <c r="G165" s="2"/>
      <c r="H165" s="2"/>
      <c r="I165" s="2"/>
      <c r="J165" s="2"/>
      <c r="K165" s="2"/>
      <c r="L165" s="2"/>
      <c r="M165" s="2"/>
      <c r="N165" s="2"/>
      <c r="O165" s="2"/>
      <c r="P165" s="2"/>
    </row>
    <row r="166" spans="1:16" ht="12.75">
      <c r="A166" s="2"/>
      <c r="B166" s="2"/>
      <c r="C166" s="2"/>
      <c r="D166" s="2"/>
      <c r="E166" s="2"/>
      <c r="F166" s="2"/>
      <c r="G166" s="2"/>
      <c r="H166" s="2"/>
      <c r="I166" s="2"/>
      <c r="J166" s="2"/>
      <c r="K166" s="2"/>
      <c r="L166" s="2"/>
      <c r="M166" s="2"/>
      <c r="N166" s="2"/>
      <c r="O166" s="2"/>
      <c r="P166" s="2"/>
    </row>
    <row r="167" spans="1:16" ht="12.75">
      <c r="A167" s="2"/>
      <c r="B167" s="2"/>
      <c r="C167" s="2"/>
      <c r="D167" s="2"/>
      <c r="E167" s="2"/>
      <c r="F167" s="2"/>
      <c r="G167" s="2"/>
      <c r="H167" s="2"/>
      <c r="I167" s="2"/>
      <c r="J167" s="2"/>
      <c r="K167" s="2"/>
      <c r="L167" s="2"/>
      <c r="M167" s="2"/>
      <c r="N167" s="2"/>
      <c r="O167" s="2"/>
      <c r="P167" s="2"/>
    </row>
    <row r="168" spans="1:16" ht="12.75">
      <c r="A168" s="2"/>
      <c r="B168" s="2"/>
      <c r="C168" s="2"/>
      <c r="D168" s="2"/>
      <c r="E168" s="2"/>
      <c r="F168" s="2"/>
      <c r="G168" s="2"/>
      <c r="H168" s="2"/>
      <c r="I168" s="2"/>
      <c r="J168" s="2"/>
      <c r="K168" s="2"/>
      <c r="L168" s="2"/>
      <c r="M168" s="2"/>
      <c r="N168" s="2"/>
      <c r="O168" s="2"/>
      <c r="P168" s="2"/>
    </row>
    <row r="169" spans="1:16" ht="12.75">
      <c r="A169" s="2"/>
      <c r="B169" s="2"/>
      <c r="C169" s="2"/>
      <c r="D169" s="2"/>
      <c r="E169" s="2"/>
      <c r="F169" s="2"/>
      <c r="G169" s="2"/>
      <c r="H169" s="2"/>
      <c r="I169" s="2"/>
      <c r="J169" s="2"/>
      <c r="K169" s="2"/>
      <c r="L169" s="2"/>
      <c r="M169" s="2"/>
      <c r="N169" s="2"/>
      <c r="O169" s="2"/>
      <c r="P169" s="2"/>
    </row>
    <row r="170" spans="1:16" ht="12.75">
      <c r="A170" s="2"/>
      <c r="B170" s="2"/>
      <c r="C170" s="2"/>
      <c r="D170" s="2"/>
      <c r="E170" s="2"/>
      <c r="F170" s="2"/>
      <c r="G170" s="2"/>
      <c r="H170" s="2"/>
      <c r="I170" s="2"/>
      <c r="J170" s="2"/>
      <c r="K170" s="2"/>
      <c r="L170" s="2"/>
      <c r="M170" s="2"/>
      <c r="N170" s="2"/>
      <c r="O170" s="2"/>
      <c r="P170" s="2"/>
    </row>
    <row r="171" spans="1:16" ht="12.75">
      <c r="A171" s="2"/>
      <c r="B171" s="2"/>
      <c r="C171" s="2"/>
      <c r="D171" s="2"/>
      <c r="E171" s="2"/>
      <c r="F171" s="2"/>
      <c r="G171" s="2"/>
      <c r="H171" s="2"/>
      <c r="I171" s="2"/>
      <c r="J171" s="2"/>
      <c r="K171" s="2"/>
      <c r="L171" s="2"/>
      <c r="M171" s="2"/>
      <c r="N171" s="2"/>
      <c r="O171" s="2"/>
      <c r="P171" s="2"/>
    </row>
    <row r="172" spans="1:16" ht="12.75">
      <c r="A172" s="2"/>
      <c r="B172" s="2"/>
      <c r="C172" s="2"/>
      <c r="D172" s="2"/>
      <c r="E172" s="2"/>
      <c r="F172" s="2"/>
      <c r="G172" s="2"/>
      <c r="H172" s="2"/>
      <c r="I172" s="2"/>
      <c r="J172" s="2"/>
      <c r="K172" s="2"/>
      <c r="L172" s="2"/>
      <c r="M172" s="2"/>
      <c r="N172" s="2"/>
      <c r="O172" s="2"/>
      <c r="P172" s="2"/>
    </row>
    <row r="173" spans="1:16" ht="12.75">
      <c r="A173" s="2"/>
      <c r="B173" s="2"/>
      <c r="C173" s="2"/>
      <c r="D173" s="2"/>
      <c r="E173" s="2"/>
      <c r="F173" s="2"/>
      <c r="G173" s="2"/>
      <c r="H173" s="2"/>
      <c r="I173" s="2"/>
      <c r="J173" s="2"/>
      <c r="K173" s="2"/>
      <c r="L173" s="2"/>
      <c r="M173" s="2"/>
      <c r="N173" s="2"/>
      <c r="O173" s="2"/>
      <c r="P173" s="2"/>
    </row>
    <row r="174" spans="1:16" ht="12.75">
      <c r="A174" s="2"/>
      <c r="B174" s="2"/>
      <c r="C174" s="2"/>
      <c r="D174" s="2"/>
      <c r="E174" s="2"/>
      <c r="F174" s="2"/>
      <c r="G174" s="2"/>
      <c r="H174" s="2"/>
      <c r="I174" s="2"/>
      <c r="J174" s="2"/>
      <c r="K174" s="2"/>
      <c r="L174" s="2"/>
      <c r="M174" s="2"/>
      <c r="N174" s="2"/>
      <c r="O174" s="2"/>
      <c r="P174" s="2"/>
    </row>
    <row r="175" spans="1:16" ht="12.75">
      <c r="A175" s="2"/>
      <c r="B175" s="2"/>
      <c r="C175" s="2"/>
      <c r="D175" s="2"/>
      <c r="E175" s="2"/>
      <c r="F175" s="2"/>
      <c r="G175" s="2"/>
      <c r="H175" s="2"/>
      <c r="I175" s="2"/>
      <c r="J175" s="2"/>
      <c r="K175" s="2"/>
      <c r="L175" s="2"/>
      <c r="M175" s="2"/>
      <c r="N175" s="2"/>
      <c r="O175" s="2"/>
      <c r="P175" s="2"/>
    </row>
    <row r="176" spans="1:16" ht="12.75">
      <c r="A176" s="2"/>
      <c r="B176" s="2"/>
      <c r="C176" s="2"/>
      <c r="D176" s="2"/>
      <c r="E176" s="2"/>
      <c r="F176" s="2"/>
      <c r="G176" s="2"/>
      <c r="H176" s="2"/>
      <c r="I176" s="2"/>
      <c r="J176" s="2"/>
      <c r="K176" s="2"/>
      <c r="L176" s="2"/>
      <c r="M176" s="2"/>
      <c r="N176" s="2"/>
      <c r="O176" s="2"/>
      <c r="P176" s="2"/>
    </row>
    <row r="177" spans="1:16" ht="12.75">
      <c r="A177" s="2"/>
      <c r="B177" s="2"/>
      <c r="C177" s="2"/>
      <c r="D177" s="2"/>
      <c r="E177" s="2"/>
      <c r="F177" s="2"/>
      <c r="G177" s="2"/>
      <c r="H177" s="2"/>
      <c r="I177" s="2"/>
      <c r="J177" s="2"/>
      <c r="K177" s="2"/>
      <c r="L177" s="2"/>
      <c r="M177" s="2"/>
      <c r="N177" s="2"/>
      <c r="O177" s="2"/>
      <c r="P177" s="2"/>
    </row>
    <row r="178" spans="1:16" ht="12.75">
      <c r="A178" s="2"/>
      <c r="B178" s="2"/>
      <c r="C178" s="2"/>
      <c r="D178" s="2"/>
      <c r="E178" s="2"/>
      <c r="F178" s="2"/>
      <c r="G178" s="2"/>
      <c r="H178" s="2"/>
      <c r="I178" s="2"/>
      <c r="J178" s="2"/>
      <c r="K178" s="2"/>
      <c r="L178" s="2"/>
      <c r="M178" s="2"/>
      <c r="N178" s="2"/>
      <c r="O178" s="2"/>
      <c r="P178" s="2"/>
    </row>
    <row r="179" spans="1:16" ht="12.75">
      <c r="A179" s="2"/>
      <c r="B179" s="2"/>
      <c r="C179" s="2"/>
      <c r="D179" s="2"/>
      <c r="E179" s="2"/>
      <c r="F179" s="2"/>
      <c r="G179" s="2"/>
      <c r="H179" s="2"/>
      <c r="I179" s="2"/>
      <c r="J179" s="2"/>
      <c r="K179" s="2"/>
      <c r="L179" s="2"/>
      <c r="M179" s="2"/>
      <c r="N179" s="2"/>
      <c r="O179" s="2"/>
      <c r="P179" s="2"/>
    </row>
    <row r="180" spans="1:16" ht="12.75">
      <c r="A180" s="2"/>
      <c r="B180" s="2"/>
      <c r="C180" s="2"/>
      <c r="D180" s="2"/>
      <c r="E180" s="2"/>
      <c r="F180" s="2"/>
      <c r="G180" s="2"/>
      <c r="H180" s="2"/>
      <c r="I180" s="2"/>
      <c r="J180" s="2"/>
      <c r="K180" s="2"/>
      <c r="L180" s="2"/>
      <c r="M180" s="2"/>
      <c r="N180" s="2"/>
      <c r="O180" s="2"/>
      <c r="P180" s="2"/>
    </row>
    <row r="181" spans="1:16" ht="12.75">
      <c r="A181" s="2"/>
      <c r="B181" s="2"/>
      <c r="C181" s="2"/>
      <c r="D181" s="2"/>
      <c r="E181" s="2"/>
      <c r="F181" s="2"/>
      <c r="G181" s="2"/>
      <c r="H181" s="2"/>
      <c r="I181" s="2"/>
      <c r="J181" s="2"/>
      <c r="K181" s="2"/>
      <c r="L181" s="2"/>
      <c r="M181" s="2"/>
      <c r="N181" s="2"/>
      <c r="O181" s="2"/>
      <c r="P181" s="2"/>
    </row>
    <row r="182" spans="1:16" ht="12.75">
      <c r="A182" s="2"/>
      <c r="B182" s="2"/>
      <c r="C182" s="2"/>
      <c r="D182" s="2"/>
      <c r="E182" s="2"/>
      <c r="F182" s="2"/>
      <c r="G182" s="2"/>
      <c r="H182" s="2"/>
      <c r="I182" s="2"/>
      <c r="J182" s="2"/>
      <c r="K182" s="2"/>
      <c r="L182" s="2"/>
      <c r="M182" s="2"/>
      <c r="N182" s="2"/>
      <c r="O182" s="2"/>
      <c r="P182" s="2"/>
    </row>
    <row r="183" spans="1:16" ht="12.75">
      <c r="A183" s="2"/>
      <c r="B183" s="2"/>
      <c r="C183" s="2"/>
      <c r="D183" s="2"/>
      <c r="E183" s="2"/>
      <c r="F183" s="2"/>
      <c r="G183" s="2"/>
      <c r="H183" s="2"/>
      <c r="I183" s="2"/>
      <c r="J183" s="2"/>
      <c r="K183" s="2"/>
      <c r="L183" s="2"/>
      <c r="M183" s="2"/>
      <c r="N183" s="2"/>
      <c r="O183" s="2"/>
      <c r="P183" s="2"/>
    </row>
    <row r="184" spans="1:16" ht="12.75">
      <c r="A184" s="2"/>
      <c r="B184" s="2"/>
      <c r="C184" s="2"/>
      <c r="D184" s="2"/>
      <c r="E184" s="2"/>
      <c r="F184" s="2"/>
      <c r="G184" s="2"/>
      <c r="H184" s="2"/>
      <c r="I184" s="2"/>
      <c r="J184" s="2"/>
      <c r="K184" s="2"/>
      <c r="L184" s="2"/>
      <c r="M184" s="2"/>
      <c r="N184" s="2"/>
      <c r="O184" s="2"/>
      <c r="P184" s="2"/>
    </row>
    <row r="185" spans="1:16" ht="12.75">
      <c r="A185" s="2"/>
      <c r="B185" s="2"/>
      <c r="C185" s="2"/>
      <c r="D185" s="2"/>
      <c r="E185" s="2"/>
      <c r="F185" s="2"/>
      <c r="G185" s="2"/>
      <c r="H185" s="2"/>
      <c r="I185" s="2"/>
      <c r="J185" s="2"/>
      <c r="K185" s="2"/>
      <c r="L185" s="2"/>
      <c r="M185" s="2"/>
      <c r="N185" s="2"/>
      <c r="O185" s="2"/>
      <c r="P185" s="2"/>
    </row>
    <row r="186" spans="1:16" ht="12.75">
      <c r="A186" s="2"/>
      <c r="B186" s="2"/>
      <c r="C186" s="2"/>
      <c r="D186" s="2"/>
      <c r="E186" s="2"/>
      <c r="F186" s="2"/>
      <c r="G186" s="2"/>
      <c r="H186" s="2"/>
      <c r="I186" s="2"/>
      <c r="J186" s="2"/>
      <c r="K186" s="2"/>
      <c r="L186" s="2"/>
      <c r="M186" s="2"/>
      <c r="N186" s="2"/>
      <c r="O186" s="2"/>
      <c r="P186" s="2"/>
    </row>
    <row r="187" spans="1:16" ht="12.75">
      <c r="A187" s="2"/>
      <c r="B187" s="2"/>
      <c r="C187" s="2"/>
      <c r="D187" s="2"/>
      <c r="E187" s="2"/>
      <c r="F187" s="2"/>
      <c r="G187" s="2"/>
      <c r="H187" s="2"/>
      <c r="I187" s="2"/>
      <c r="J187" s="2"/>
      <c r="K187" s="2"/>
      <c r="L187" s="2"/>
      <c r="M187" s="2"/>
      <c r="N187" s="2"/>
      <c r="O187" s="2"/>
      <c r="P187" s="2"/>
    </row>
    <row r="188" spans="1:16" ht="12.75">
      <c r="A188" s="2"/>
      <c r="B188" s="2"/>
      <c r="C188" s="2"/>
      <c r="D188" s="2"/>
      <c r="E188" s="2"/>
      <c r="F188" s="2"/>
      <c r="G188" s="2"/>
      <c r="H188" s="2"/>
      <c r="I188" s="2"/>
      <c r="J188" s="2"/>
      <c r="K188" s="2"/>
      <c r="L188" s="2"/>
      <c r="M188" s="2"/>
      <c r="N188" s="2"/>
      <c r="O188" s="2"/>
      <c r="P188" s="2"/>
    </row>
    <row r="189" spans="1:16" ht="12.75">
      <c r="A189" s="2"/>
      <c r="B189" s="2"/>
      <c r="C189" s="2"/>
      <c r="D189" s="2"/>
      <c r="E189" s="2"/>
      <c r="F189" s="2"/>
      <c r="G189" s="2"/>
      <c r="H189" s="2"/>
      <c r="I189" s="2"/>
      <c r="J189" s="2"/>
      <c r="K189" s="2"/>
      <c r="L189" s="2"/>
      <c r="M189" s="2"/>
      <c r="N189" s="2"/>
      <c r="O189" s="2"/>
      <c r="P189" s="2"/>
    </row>
    <row r="190" spans="1:16" ht="12.75">
      <c r="A190" s="2"/>
      <c r="B190" s="2"/>
      <c r="C190" s="2"/>
      <c r="D190" s="2"/>
      <c r="E190" s="2"/>
      <c r="F190" s="2"/>
      <c r="G190" s="2"/>
      <c r="H190" s="2"/>
      <c r="I190" s="2"/>
      <c r="J190" s="2"/>
      <c r="K190" s="2"/>
      <c r="L190" s="2"/>
      <c r="M190" s="2"/>
      <c r="N190" s="2"/>
      <c r="O190" s="2"/>
      <c r="P190" s="2"/>
    </row>
    <row r="191" spans="1:16" ht="12.75">
      <c r="A191" s="2"/>
      <c r="B191" s="2"/>
      <c r="C191" s="2"/>
      <c r="D191" s="2"/>
      <c r="E191" s="2"/>
      <c r="F191" s="2"/>
      <c r="G191" s="2"/>
      <c r="H191" s="2"/>
      <c r="I191" s="2"/>
      <c r="J191" s="2"/>
      <c r="K191" s="2"/>
      <c r="L191" s="2"/>
      <c r="M191" s="2"/>
      <c r="N191" s="2"/>
      <c r="O191" s="2"/>
      <c r="P191" s="2"/>
    </row>
    <row r="192" spans="1:16" ht="12.75">
      <c r="A192" s="2"/>
      <c r="B192" s="2"/>
      <c r="C192" s="2"/>
      <c r="D192" s="2"/>
      <c r="E192" s="2"/>
      <c r="F192" s="2"/>
      <c r="G192" s="2"/>
      <c r="H192" s="2"/>
      <c r="I192" s="2"/>
      <c r="J192" s="2"/>
      <c r="K192" s="2"/>
      <c r="L192" s="2"/>
      <c r="M192" s="2"/>
      <c r="N192" s="2"/>
      <c r="O192" s="2"/>
      <c r="P192" s="2"/>
    </row>
    <row r="193" spans="1:16" ht="12.75">
      <c r="A193" s="2"/>
      <c r="B193" s="2"/>
      <c r="C193" s="2"/>
      <c r="D193" s="2"/>
      <c r="E193" s="2"/>
      <c r="F193" s="2"/>
      <c r="G193" s="2"/>
      <c r="H193" s="2"/>
      <c r="I193" s="2"/>
      <c r="J193" s="2"/>
      <c r="K193" s="2"/>
      <c r="L193" s="2"/>
      <c r="M193" s="2"/>
      <c r="N193" s="2"/>
      <c r="O193" s="2"/>
      <c r="P193" s="2"/>
    </row>
    <row r="194" spans="1:16" ht="12.75">
      <c r="A194" s="2"/>
      <c r="B194" s="2"/>
      <c r="C194" s="2"/>
      <c r="D194" s="2"/>
      <c r="E194" s="2"/>
      <c r="F194" s="2"/>
      <c r="G194" s="2"/>
      <c r="H194" s="2"/>
      <c r="I194" s="2"/>
      <c r="J194" s="2"/>
      <c r="K194" s="2"/>
      <c r="L194" s="2"/>
      <c r="M194" s="2"/>
      <c r="N194" s="2"/>
      <c r="O194" s="2"/>
      <c r="P194" s="2"/>
    </row>
    <row r="195" spans="1:16" ht="12.75">
      <c r="A195" s="2"/>
      <c r="B195" s="2"/>
      <c r="C195" s="2"/>
      <c r="D195" s="2"/>
      <c r="E195" s="2"/>
      <c r="F195" s="2"/>
      <c r="G195" s="2"/>
      <c r="H195" s="2"/>
      <c r="I195" s="2"/>
      <c r="J195" s="2"/>
      <c r="K195" s="2"/>
      <c r="L195" s="2"/>
      <c r="M195" s="2"/>
      <c r="N195" s="2"/>
      <c r="O195" s="2"/>
      <c r="P195" s="2"/>
    </row>
    <row r="196" spans="1:16" ht="12.75">
      <c r="A196" s="2"/>
      <c r="B196" s="2"/>
      <c r="C196" s="2"/>
      <c r="D196" s="2"/>
      <c r="E196" s="2"/>
      <c r="F196" s="2"/>
      <c r="G196" s="2"/>
      <c r="H196" s="2"/>
      <c r="I196" s="2"/>
      <c r="J196" s="2"/>
      <c r="K196" s="2"/>
      <c r="L196" s="2"/>
      <c r="M196" s="2"/>
      <c r="N196" s="2"/>
      <c r="O196" s="2"/>
      <c r="P196" s="2"/>
    </row>
    <row r="197" spans="1:16" ht="12.75">
      <c r="A197" s="2"/>
      <c r="B197" s="2"/>
      <c r="C197" s="2"/>
      <c r="D197" s="2"/>
      <c r="E197" s="2"/>
      <c r="F197" s="2"/>
      <c r="G197" s="2"/>
      <c r="H197" s="2"/>
      <c r="I197" s="2"/>
      <c r="J197" s="2"/>
      <c r="K197" s="2"/>
      <c r="L197" s="2"/>
      <c r="M197" s="2"/>
      <c r="N197" s="2"/>
      <c r="O197" s="2"/>
      <c r="P197" s="2"/>
    </row>
    <row r="198" spans="1:16" ht="12.75">
      <c r="A198" s="2"/>
      <c r="B198" s="2"/>
      <c r="C198" s="2"/>
      <c r="D198" s="2"/>
      <c r="E198" s="2"/>
      <c r="F198" s="2"/>
      <c r="G198" s="2"/>
      <c r="H198" s="2"/>
      <c r="I198" s="2"/>
      <c r="J198" s="2"/>
      <c r="K198" s="2"/>
      <c r="L198" s="2"/>
      <c r="M198" s="2"/>
      <c r="N198" s="2"/>
      <c r="O198" s="2"/>
      <c r="P198" s="2"/>
    </row>
    <row r="199" spans="1:16" ht="12.75">
      <c r="A199" s="2"/>
      <c r="B199" s="2"/>
      <c r="C199" s="2"/>
      <c r="D199" s="2"/>
      <c r="E199" s="2"/>
      <c r="F199" s="2"/>
      <c r="G199" s="2"/>
      <c r="H199" s="2"/>
      <c r="I199" s="2"/>
      <c r="J199" s="2"/>
      <c r="K199" s="2"/>
      <c r="L199" s="2"/>
      <c r="M199" s="2"/>
      <c r="N199" s="2"/>
      <c r="O199" s="2"/>
      <c r="P199" s="2"/>
    </row>
    <row r="200" spans="1:16" ht="12.75">
      <c r="A200" s="2"/>
      <c r="B200" s="2"/>
      <c r="C200" s="2"/>
      <c r="D200" s="2"/>
      <c r="E200" s="2"/>
      <c r="F200" s="2"/>
      <c r="G200" s="2"/>
      <c r="H200" s="2"/>
      <c r="I200" s="2"/>
      <c r="J200" s="2"/>
      <c r="K200" s="2"/>
      <c r="L200" s="2"/>
      <c r="M200" s="2"/>
      <c r="N200" s="2"/>
      <c r="O200" s="2"/>
      <c r="P200" s="2"/>
    </row>
    <row r="201" spans="1:16" ht="12.75">
      <c r="A201" s="2"/>
      <c r="B201" s="2"/>
      <c r="C201" s="2"/>
      <c r="D201" s="2"/>
      <c r="E201" s="2"/>
      <c r="F201" s="2"/>
      <c r="G201" s="2"/>
      <c r="H201" s="2"/>
      <c r="I201" s="2"/>
      <c r="J201" s="2"/>
      <c r="K201" s="2"/>
      <c r="L201" s="2"/>
      <c r="M201" s="2"/>
      <c r="N201" s="2"/>
      <c r="O201" s="2"/>
      <c r="P201" s="2"/>
    </row>
    <row r="202" spans="1:16" ht="12.75">
      <c r="A202" s="2"/>
      <c r="B202" s="2"/>
      <c r="C202" s="2"/>
      <c r="D202" s="2"/>
      <c r="E202" s="2"/>
      <c r="F202" s="2"/>
      <c r="G202" s="2"/>
      <c r="H202" s="2"/>
      <c r="I202" s="2"/>
      <c r="J202" s="2"/>
      <c r="K202" s="2"/>
      <c r="L202" s="2"/>
      <c r="M202" s="2"/>
      <c r="N202" s="2"/>
      <c r="O202" s="2"/>
      <c r="P202" s="2"/>
    </row>
    <row r="203" spans="1:16" ht="12.75">
      <c r="A203" s="2"/>
      <c r="B203" s="2"/>
      <c r="C203" s="2"/>
      <c r="D203" s="2"/>
      <c r="E203" s="2"/>
      <c r="F203" s="2"/>
      <c r="G203" s="2"/>
      <c r="H203" s="2"/>
      <c r="I203" s="2"/>
      <c r="J203" s="2"/>
      <c r="K203" s="2"/>
      <c r="L203" s="2"/>
      <c r="M203" s="2"/>
      <c r="N203" s="2"/>
      <c r="O203" s="2"/>
      <c r="P203" s="2"/>
    </row>
    <row r="204" spans="1:16" ht="12.75">
      <c r="A204" s="2"/>
      <c r="B204" s="2"/>
      <c r="C204" s="2"/>
      <c r="D204" s="2"/>
      <c r="E204" s="2"/>
      <c r="F204" s="2"/>
      <c r="G204" s="2"/>
      <c r="H204" s="2"/>
      <c r="I204" s="2"/>
      <c r="J204" s="2"/>
      <c r="K204" s="2"/>
      <c r="L204" s="2"/>
      <c r="M204" s="2"/>
      <c r="N204" s="2"/>
      <c r="O204" s="2"/>
      <c r="P204" s="2"/>
    </row>
    <row r="205" spans="1:16" ht="12.75">
      <c r="A205" s="2"/>
      <c r="B205" s="2"/>
      <c r="C205" s="2"/>
      <c r="D205" s="2"/>
      <c r="E205" s="2"/>
      <c r="F205" s="2"/>
      <c r="G205" s="2"/>
      <c r="H205" s="2"/>
      <c r="I205" s="2"/>
      <c r="J205" s="2"/>
      <c r="K205" s="2"/>
      <c r="L205" s="2"/>
      <c r="M205" s="2"/>
      <c r="N205" s="2"/>
      <c r="O205" s="2"/>
      <c r="P205" s="2"/>
    </row>
    <row r="206" spans="1:16" ht="12.75">
      <c r="A206" s="2"/>
      <c r="B206" s="2"/>
      <c r="C206" s="2"/>
      <c r="D206" s="2"/>
      <c r="E206" s="2"/>
      <c r="F206" s="2"/>
      <c r="G206" s="2"/>
      <c r="H206" s="2"/>
      <c r="I206" s="2"/>
      <c r="J206" s="2"/>
      <c r="K206" s="2"/>
      <c r="L206" s="2"/>
      <c r="M206" s="2"/>
      <c r="N206" s="2"/>
      <c r="O206" s="2"/>
      <c r="P206" s="2"/>
    </row>
    <row r="207" spans="1:16" ht="12.75">
      <c r="A207" s="2"/>
      <c r="B207" s="2"/>
      <c r="C207" s="2"/>
      <c r="D207" s="2"/>
      <c r="E207" s="2"/>
      <c r="F207" s="2"/>
      <c r="G207" s="2"/>
      <c r="H207" s="2"/>
      <c r="I207" s="2"/>
      <c r="J207" s="2"/>
      <c r="K207" s="2"/>
      <c r="L207" s="2"/>
      <c r="M207" s="2"/>
      <c r="N207" s="2"/>
      <c r="O207" s="2"/>
      <c r="P207" s="2"/>
    </row>
    <row r="208" spans="1:16" ht="12.75">
      <c r="A208" s="2"/>
      <c r="B208" s="2"/>
      <c r="C208" s="2"/>
      <c r="D208" s="2"/>
      <c r="E208" s="2"/>
      <c r="F208" s="2"/>
      <c r="G208" s="2"/>
      <c r="H208" s="2"/>
      <c r="I208" s="2"/>
      <c r="J208" s="2"/>
      <c r="K208" s="2"/>
      <c r="L208" s="2"/>
      <c r="M208" s="2"/>
      <c r="N208" s="2"/>
      <c r="O208" s="2"/>
      <c r="P208" s="2"/>
    </row>
    <row r="209" spans="1:16" ht="12.75">
      <c r="A209" s="2"/>
      <c r="B209" s="2"/>
      <c r="C209" s="2"/>
      <c r="D209" s="2"/>
      <c r="E209" s="2"/>
      <c r="F209" s="2"/>
      <c r="G209" s="2"/>
      <c r="H209" s="2"/>
      <c r="I209" s="2"/>
      <c r="J209" s="2"/>
      <c r="K209" s="2"/>
      <c r="L209" s="2"/>
      <c r="M209" s="2"/>
      <c r="N209" s="2"/>
      <c r="O209" s="2"/>
      <c r="P209" s="2"/>
    </row>
    <row r="210" spans="1:16" ht="12.75">
      <c r="A210" s="2"/>
      <c r="B210" s="2"/>
      <c r="C210" s="2"/>
      <c r="D210" s="2"/>
      <c r="E210" s="2"/>
      <c r="F210" s="2"/>
      <c r="G210" s="2"/>
      <c r="H210" s="2"/>
      <c r="I210" s="2"/>
      <c r="J210" s="2"/>
      <c r="K210" s="2"/>
      <c r="L210" s="2"/>
      <c r="M210" s="2"/>
      <c r="N210" s="2"/>
      <c r="O210" s="2"/>
      <c r="P210" s="2"/>
    </row>
    <row r="211" spans="1:16" ht="12.75">
      <c r="A211" s="2"/>
      <c r="B211" s="2"/>
      <c r="C211" s="2"/>
      <c r="D211" s="2"/>
      <c r="E211" s="2"/>
      <c r="F211" s="2"/>
      <c r="G211" s="2"/>
      <c r="H211" s="2"/>
      <c r="I211" s="2"/>
      <c r="J211" s="2"/>
      <c r="K211" s="2"/>
      <c r="L211" s="2"/>
      <c r="M211" s="2"/>
      <c r="N211" s="2"/>
      <c r="O211" s="2"/>
      <c r="P211" s="2"/>
    </row>
    <row r="212" spans="1:16" ht="12.75">
      <c r="A212" s="2"/>
      <c r="B212" s="2"/>
      <c r="C212" s="2"/>
      <c r="D212" s="2"/>
      <c r="E212" s="2"/>
      <c r="F212" s="2"/>
      <c r="G212" s="2"/>
      <c r="H212" s="2"/>
      <c r="I212" s="2"/>
      <c r="J212" s="2"/>
      <c r="K212" s="2"/>
      <c r="L212" s="2"/>
      <c r="M212" s="2"/>
      <c r="N212" s="2"/>
      <c r="O212" s="2"/>
      <c r="P212" s="2"/>
    </row>
    <row r="213" spans="1:16" ht="12.75">
      <c r="A213" s="2"/>
      <c r="B213" s="2"/>
      <c r="C213" s="2"/>
      <c r="D213" s="2"/>
      <c r="E213" s="2"/>
      <c r="F213" s="2"/>
      <c r="G213" s="2"/>
      <c r="H213" s="2"/>
      <c r="I213" s="2"/>
      <c r="J213" s="2"/>
      <c r="K213" s="2"/>
      <c r="L213" s="2"/>
      <c r="M213" s="2"/>
      <c r="N213" s="2"/>
      <c r="O213" s="2"/>
      <c r="P213" s="2"/>
    </row>
    <row r="214" spans="1:16" ht="12.75">
      <c r="A214" s="2"/>
      <c r="B214" s="2"/>
      <c r="C214" s="2"/>
      <c r="D214" s="2"/>
      <c r="E214" s="2"/>
      <c r="F214" s="2"/>
      <c r="G214" s="2"/>
      <c r="H214" s="2"/>
      <c r="I214" s="2"/>
      <c r="J214" s="2"/>
      <c r="K214" s="2"/>
      <c r="L214" s="2"/>
      <c r="M214" s="2"/>
      <c r="N214" s="2"/>
      <c r="O214" s="2"/>
      <c r="P214" s="2"/>
    </row>
    <row r="215" spans="1:16" ht="12.75">
      <c r="A215" s="2"/>
      <c r="B215" s="2"/>
      <c r="C215" s="2"/>
      <c r="D215" s="2"/>
      <c r="E215" s="2"/>
      <c r="F215" s="2"/>
      <c r="G215" s="2"/>
      <c r="H215" s="2"/>
      <c r="I215" s="2"/>
      <c r="J215" s="2"/>
      <c r="K215" s="2"/>
      <c r="L215" s="2"/>
      <c r="M215" s="2"/>
      <c r="N215" s="2"/>
      <c r="O215" s="2"/>
      <c r="P215" s="2"/>
    </row>
    <row r="216" spans="1:16" ht="12.75">
      <c r="A216" s="2"/>
      <c r="B216" s="2"/>
      <c r="C216" s="2"/>
      <c r="D216" s="2"/>
      <c r="E216" s="2"/>
      <c r="F216" s="2"/>
      <c r="G216" s="2"/>
      <c r="H216" s="2"/>
      <c r="I216" s="2"/>
      <c r="J216" s="2"/>
      <c r="K216" s="2"/>
      <c r="L216" s="2"/>
      <c r="M216" s="2"/>
      <c r="N216" s="2"/>
      <c r="O216" s="2"/>
      <c r="P216" s="2"/>
    </row>
    <row r="217" spans="1:16" ht="12.75">
      <c r="A217" s="2"/>
      <c r="B217" s="2"/>
      <c r="C217" s="2"/>
      <c r="D217" s="2"/>
      <c r="E217" s="2"/>
      <c r="F217" s="2"/>
      <c r="G217" s="2"/>
      <c r="H217" s="2"/>
      <c r="I217" s="2"/>
      <c r="J217" s="2"/>
      <c r="K217" s="2"/>
      <c r="L217" s="2"/>
      <c r="M217" s="2"/>
      <c r="N217" s="2"/>
      <c r="O217" s="2"/>
      <c r="P217" s="2"/>
    </row>
    <row r="218" spans="1:16" ht="12.75">
      <c r="A218" s="2"/>
      <c r="B218" s="2"/>
      <c r="C218" s="2"/>
      <c r="D218" s="2"/>
      <c r="E218" s="2"/>
      <c r="F218" s="2"/>
      <c r="G218" s="2"/>
      <c r="H218" s="2"/>
      <c r="I218" s="2"/>
      <c r="J218" s="2"/>
      <c r="K218" s="2"/>
      <c r="L218" s="2"/>
      <c r="M218" s="2"/>
      <c r="N218" s="2"/>
      <c r="O218" s="2"/>
      <c r="P218" s="2"/>
    </row>
    <row r="219" spans="1:16" ht="12.75">
      <c r="A219" s="2"/>
      <c r="B219" s="2"/>
      <c r="C219" s="2"/>
      <c r="D219" s="2"/>
      <c r="E219" s="2"/>
      <c r="F219" s="2"/>
      <c r="G219" s="2"/>
      <c r="H219" s="2"/>
      <c r="I219" s="2"/>
      <c r="J219" s="2"/>
      <c r="K219" s="2"/>
      <c r="L219" s="2"/>
      <c r="M219" s="2"/>
      <c r="N219" s="2"/>
      <c r="O219" s="2"/>
      <c r="P219" s="2"/>
    </row>
    <row r="220" spans="1:16" ht="12.75">
      <c r="A220" s="2"/>
      <c r="B220" s="2"/>
      <c r="C220" s="2"/>
      <c r="D220" s="2"/>
      <c r="E220" s="2"/>
      <c r="F220" s="2"/>
      <c r="G220" s="2"/>
      <c r="H220" s="2"/>
      <c r="I220" s="2"/>
      <c r="J220" s="2"/>
      <c r="K220" s="2"/>
      <c r="L220" s="2"/>
      <c r="M220" s="2"/>
      <c r="N220" s="2"/>
      <c r="O220" s="2"/>
      <c r="P220" s="2"/>
    </row>
    <row r="221" spans="1:16" ht="12.75">
      <c r="A221" s="2"/>
      <c r="B221" s="2"/>
      <c r="C221" s="2"/>
      <c r="D221" s="2"/>
      <c r="E221" s="2"/>
      <c r="F221" s="2"/>
      <c r="G221" s="2"/>
      <c r="H221" s="2"/>
      <c r="I221" s="2"/>
      <c r="J221" s="2"/>
      <c r="K221" s="2"/>
      <c r="L221" s="2"/>
      <c r="M221" s="2"/>
      <c r="N221" s="2"/>
      <c r="O221" s="2"/>
      <c r="P221" s="2"/>
    </row>
    <row r="222" spans="1:16" ht="12.75">
      <c r="A222" s="2"/>
      <c r="B222" s="2"/>
      <c r="C222" s="2"/>
      <c r="D222" s="2"/>
      <c r="E222" s="2"/>
      <c r="F222" s="2"/>
      <c r="G222" s="2"/>
      <c r="H222" s="2"/>
      <c r="I222" s="2"/>
      <c r="J222" s="2"/>
      <c r="K222" s="2"/>
      <c r="L222" s="2"/>
      <c r="M222" s="2"/>
      <c r="N222" s="2"/>
      <c r="O222" s="2"/>
      <c r="P222" s="2"/>
    </row>
    <row r="223" spans="1:16" ht="12.75">
      <c r="A223" s="2"/>
      <c r="B223" s="2"/>
      <c r="C223" s="2"/>
      <c r="D223" s="2"/>
      <c r="E223" s="2"/>
      <c r="F223" s="2"/>
      <c r="G223" s="2"/>
      <c r="H223" s="2"/>
      <c r="I223" s="2"/>
      <c r="J223" s="2"/>
      <c r="K223" s="2"/>
      <c r="L223" s="2"/>
      <c r="M223" s="2"/>
      <c r="N223" s="2"/>
      <c r="O223" s="2"/>
      <c r="P223" s="2"/>
    </row>
    <row r="224" spans="1:16" ht="12.75">
      <c r="A224" s="2"/>
      <c r="B224" s="2"/>
      <c r="C224" s="2"/>
      <c r="D224" s="2"/>
      <c r="E224" s="2"/>
      <c r="F224" s="2"/>
      <c r="G224" s="2"/>
      <c r="H224" s="2"/>
      <c r="I224" s="2"/>
      <c r="J224" s="2"/>
      <c r="K224" s="2"/>
      <c r="L224" s="2"/>
      <c r="M224" s="2"/>
      <c r="N224" s="2"/>
      <c r="O224" s="2"/>
      <c r="P224" s="2"/>
    </row>
    <row r="225" spans="1:16" ht="12.75">
      <c r="A225" s="2"/>
      <c r="B225" s="2"/>
      <c r="C225" s="2"/>
      <c r="D225" s="2"/>
      <c r="E225" s="2"/>
      <c r="F225" s="2"/>
      <c r="G225" s="2"/>
      <c r="H225" s="2"/>
      <c r="I225" s="2"/>
      <c r="J225" s="2"/>
      <c r="K225" s="2"/>
      <c r="L225" s="2"/>
      <c r="M225" s="2"/>
      <c r="N225" s="2"/>
      <c r="O225" s="2"/>
      <c r="P225" s="2"/>
    </row>
    <row r="226" spans="1:16" ht="12.75">
      <c r="A226" s="2"/>
      <c r="B226" s="2"/>
      <c r="C226" s="2"/>
      <c r="D226" s="2"/>
      <c r="E226" s="2"/>
      <c r="F226" s="2"/>
      <c r="G226" s="2"/>
      <c r="H226" s="2"/>
      <c r="I226" s="2"/>
      <c r="J226" s="2"/>
      <c r="K226" s="2"/>
      <c r="L226" s="2"/>
      <c r="M226" s="2"/>
      <c r="N226" s="2"/>
      <c r="O226" s="2"/>
      <c r="P226" s="2"/>
    </row>
    <row r="227" spans="1:16" ht="12.75">
      <c r="A227" s="2"/>
      <c r="B227" s="2"/>
      <c r="C227" s="2"/>
      <c r="D227" s="2"/>
      <c r="E227" s="2"/>
      <c r="F227" s="2"/>
      <c r="G227" s="2"/>
      <c r="H227" s="2"/>
      <c r="I227" s="2"/>
      <c r="J227" s="2"/>
      <c r="K227" s="2"/>
      <c r="L227" s="2"/>
      <c r="M227" s="2"/>
      <c r="N227" s="2"/>
      <c r="O227" s="2"/>
      <c r="P227" s="2"/>
    </row>
    <row r="228" spans="1:16" ht="12.75">
      <c r="A228" s="2"/>
      <c r="B228" s="2"/>
      <c r="C228" s="2"/>
      <c r="D228" s="2"/>
      <c r="E228" s="2"/>
      <c r="F228" s="2"/>
      <c r="G228" s="2"/>
      <c r="H228" s="2"/>
      <c r="I228" s="2"/>
      <c r="J228" s="2"/>
      <c r="K228" s="2"/>
      <c r="L228" s="2"/>
      <c r="M228" s="2"/>
      <c r="N228" s="2"/>
      <c r="O228" s="2"/>
      <c r="P228" s="2"/>
    </row>
    <row r="229" spans="1:16" ht="12.75">
      <c r="A229" s="2"/>
      <c r="B229" s="2"/>
      <c r="C229" s="2"/>
      <c r="D229" s="2"/>
      <c r="E229" s="2"/>
      <c r="F229" s="2"/>
      <c r="G229" s="2"/>
      <c r="H229" s="2"/>
      <c r="I229" s="2"/>
      <c r="J229" s="2"/>
      <c r="K229" s="2"/>
      <c r="L229" s="2"/>
      <c r="M229" s="2"/>
      <c r="N229" s="2"/>
      <c r="O229" s="2"/>
      <c r="P229" s="2"/>
    </row>
    <row r="230" spans="1:16" ht="12.75">
      <c r="A230" s="2"/>
      <c r="B230" s="2"/>
      <c r="C230" s="2"/>
      <c r="D230" s="2"/>
      <c r="E230" s="2"/>
      <c r="F230" s="2"/>
      <c r="G230" s="2"/>
      <c r="H230" s="2"/>
      <c r="I230" s="2"/>
      <c r="J230" s="2"/>
      <c r="K230" s="2"/>
      <c r="L230" s="2"/>
      <c r="M230" s="2"/>
      <c r="N230" s="2"/>
      <c r="O230" s="2"/>
      <c r="P230" s="2"/>
    </row>
    <row r="231" spans="1:16" ht="12.75">
      <c r="A231" s="2"/>
      <c r="B231" s="2"/>
      <c r="C231" s="2"/>
      <c r="D231" s="2"/>
      <c r="E231" s="2"/>
      <c r="F231" s="2"/>
      <c r="G231" s="2"/>
      <c r="H231" s="2"/>
      <c r="I231" s="2"/>
      <c r="J231" s="2"/>
      <c r="K231" s="2"/>
      <c r="L231" s="2"/>
      <c r="M231" s="2"/>
      <c r="N231" s="2"/>
      <c r="O231" s="2"/>
      <c r="P231" s="2"/>
    </row>
    <row r="232" spans="1:16" ht="12.75">
      <c r="A232" s="2"/>
      <c r="B232" s="2"/>
      <c r="C232" s="2"/>
      <c r="D232" s="2"/>
      <c r="E232" s="2"/>
      <c r="F232" s="2"/>
      <c r="G232" s="2"/>
      <c r="H232" s="2"/>
      <c r="I232" s="2"/>
      <c r="J232" s="2"/>
      <c r="K232" s="2"/>
      <c r="L232" s="2"/>
      <c r="M232" s="2"/>
      <c r="N232" s="2"/>
      <c r="O232" s="2"/>
      <c r="P232" s="2"/>
    </row>
    <row r="233" spans="1:16" ht="12.75">
      <c r="A233" s="2"/>
      <c r="B233" s="2"/>
      <c r="C233" s="2"/>
      <c r="D233" s="2"/>
      <c r="E233" s="2"/>
      <c r="F233" s="2"/>
      <c r="G233" s="2"/>
      <c r="H233" s="2"/>
      <c r="I233" s="2"/>
      <c r="J233" s="2"/>
      <c r="K233" s="2"/>
      <c r="L233" s="2"/>
      <c r="M233" s="2"/>
      <c r="N233" s="2"/>
      <c r="O233" s="2"/>
      <c r="P233" s="2"/>
    </row>
    <row r="234" spans="1:16" ht="12.75">
      <c r="A234" s="2"/>
      <c r="B234" s="2"/>
      <c r="C234" s="2"/>
      <c r="D234" s="2"/>
      <c r="E234" s="2"/>
      <c r="F234" s="2"/>
      <c r="G234" s="2"/>
      <c r="H234" s="2"/>
      <c r="I234" s="2"/>
      <c r="J234" s="2"/>
      <c r="K234" s="2"/>
      <c r="L234" s="2"/>
      <c r="M234" s="2"/>
      <c r="N234" s="2"/>
      <c r="O234" s="2"/>
      <c r="P234" s="2"/>
    </row>
    <row r="235" spans="1:16" ht="12.75">
      <c r="A235" s="2"/>
      <c r="B235" s="2"/>
      <c r="C235" s="2"/>
      <c r="D235" s="2"/>
      <c r="E235" s="2"/>
      <c r="F235" s="2"/>
      <c r="G235" s="2"/>
      <c r="H235" s="2"/>
      <c r="I235" s="2"/>
      <c r="J235" s="2"/>
      <c r="K235" s="2"/>
      <c r="L235" s="2"/>
      <c r="M235" s="2"/>
      <c r="N235" s="2"/>
      <c r="O235" s="2"/>
      <c r="P235" s="2"/>
    </row>
    <row r="236" spans="1:16" ht="12.75">
      <c r="A236" s="2"/>
      <c r="B236" s="2"/>
      <c r="C236" s="2"/>
      <c r="D236" s="2"/>
      <c r="E236" s="2"/>
      <c r="F236" s="2"/>
      <c r="G236" s="2"/>
      <c r="H236" s="2"/>
      <c r="I236" s="2"/>
      <c r="J236" s="2"/>
      <c r="K236" s="2"/>
      <c r="L236" s="2"/>
      <c r="M236" s="2"/>
      <c r="N236" s="2"/>
      <c r="O236" s="2"/>
      <c r="P236" s="2"/>
    </row>
    <row r="237" spans="1:16" ht="12.75">
      <c r="A237" s="2"/>
      <c r="B237" s="2"/>
      <c r="C237" s="2"/>
      <c r="D237" s="2"/>
      <c r="E237" s="2"/>
      <c r="F237" s="2"/>
      <c r="G237" s="2"/>
      <c r="H237" s="2"/>
      <c r="I237" s="2"/>
      <c r="J237" s="2"/>
      <c r="K237" s="2"/>
      <c r="L237" s="2"/>
      <c r="M237" s="2"/>
      <c r="N237" s="2"/>
      <c r="O237" s="2"/>
      <c r="P237" s="2"/>
    </row>
    <row r="238" spans="1:16" ht="12.75">
      <c r="A238" s="2"/>
      <c r="B238" s="2"/>
      <c r="C238" s="2"/>
      <c r="D238" s="2"/>
      <c r="E238" s="2"/>
      <c r="F238" s="2"/>
      <c r="G238" s="2"/>
      <c r="H238" s="2"/>
      <c r="I238" s="2"/>
      <c r="J238" s="2"/>
      <c r="K238" s="2"/>
      <c r="L238" s="2"/>
      <c r="M238" s="2"/>
      <c r="N238" s="2"/>
      <c r="O238" s="2"/>
      <c r="P238" s="2"/>
    </row>
    <row r="239" spans="1:16" ht="12.75">
      <c r="A239" s="2"/>
      <c r="B239" s="2"/>
      <c r="C239" s="2"/>
      <c r="D239" s="2"/>
      <c r="E239" s="2"/>
      <c r="F239" s="2"/>
      <c r="G239" s="2"/>
      <c r="H239" s="2"/>
      <c r="I239" s="2"/>
      <c r="J239" s="2"/>
      <c r="K239" s="2"/>
      <c r="L239" s="2"/>
      <c r="M239" s="2"/>
      <c r="N239" s="2"/>
      <c r="O239" s="2"/>
      <c r="P239" s="2"/>
    </row>
    <row r="240" spans="1:16" ht="12.75">
      <c r="A240" s="2"/>
      <c r="B240" s="2"/>
      <c r="C240" s="2"/>
      <c r="D240" s="2"/>
      <c r="E240" s="2"/>
      <c r="F240" s="2"/>
      <c r="G240" s="2"/>
      <c r="H240" s="2"/>
      <c r="I240" s="2"/>
      <c r="J240" s="2"/>
      <c r="K240" s="2"/>
      <c r="L240" s="2"/>
      <c r="M240" s="2"/>
      <c r="N240" s="2"/>
      <c r="O240" s="2"/>
      <c r="P240" s="2"/>
    </row>
    <row r="241" spans="1:16" ht="12.75">
      <c r="A241" s="2"/>
      <c r="B241" s="2"/>
      <c r="C241" s="2"/>
      <c r="D241" s="2"/>
      <c r="E241" s="2"/>
      <c r="F241" s="2"/>
      <c r="G241" s="2"/>
      <c r="H241" s="2"/>
      <c r="I241" s="2"/>
      <c r="J241" s="2"/>
      <c r="K241" s="2"/>
      <c r="L241" s="2"/>
      <c r="M241" s="2"/>
      <c r="N241" s="2"/>
      <c r="O241" s="2"/>
      <c r="P241" s="2"/>
    </row>
    <row r="242" spans="1:16" ht="12.75">
      <c r="A242" s="2"/>
      <c r="B242" s="2"/>
      <c r="C242" s="2"/>
      <c r="D242" s="2"/>
      <c r="E242" s="2"/>
      <c r="F242" s="2"/>
      <c r="G242" s="2"/>
      <c r="H242" s="2"/>
      <c r="I242" s="2"/>
      <c r="J242" s="2"/>
      <c r="K242" s="2"/>
      <c r="L242" s="2"/>
      <c r="M242" s="2"/>
      <c r="N242" s="2"/>
      <c r="O242" s="2"/>
      <c r="P242" s="2"/>
    </row>
    <row r="243" spans="1:16" ht="12.75">
      <c r="A243" s="2"/>
      <c r="B243" s="2"/>
      <c r="C243" s="2"/>
      <c r="D243" s="2"/>
      <c r="E243" s="2"/>
      <c r="F243" s="2"/>
      <c r="G243" s="2"/>
      <c r="H243" s="2"/>
      <c r="I243" s="2"/>
      <c r="J243" s="2"/>
      <c r="K243" s="2"/>
      <c r="L243" s="2"/>
      <c r="M243" s="2"/>
      <c r="N243" s="2"/>
      <c r="O243" s="2"/>
      <c r="P243" s="2"/>
    </row>
    <row r="244" spans="1:16" ht="12.75">
      <c r="A244" s="2"/>
      <c r="B244" s="2"/>
      <c r="C244" s="2"/>
      <c r="D244" s="2"/>
      <c r="E244" s="2"/>
      <c r="F244" s="2"/>
      <c r="G244" s="2"/>
      <c r="H244" s="2"/>
      <c r="I244" s="2"/>
      <c r="J244" s="2"/>
      <c r="K244" s="2"/>
      <c r="L244" s="2"/>
      <c r="M244" s="2"/>
      <c r="N244" s="2"/>
      <c r="O244" s="2"/>
      <c r="P244" s="2"/>
    </row>
    <row r="245" spans="1:16" ht="12.75">
      <c r="A245" s="2"/>
      <c r="B245" s="2"/>
      <c r="C245" s="2"/>
      <c r="D245" s="2"/>
      <c r="E245" s="2"/>
      <c r="F245" s="2"/>
      <c r="G245" s="2"/>
      <c r="H245" s="2"/>
      <c r="I245" s="2"/>
      <c r="J245" s="2"/>
      <c r="K245" s="2"/>
      <c r="L245" s="2"/>
      <c r="M245" s="2"/>
      <c r="N245" s="2"/>
      <c r="O245" s="2"/>
      <c r="P245" s="2"/>
    </row>
    <row r="246" spans="1:16" ht="12.75">
      <c r="A246" s="2"/>
      <c r="B246" s="2"/>
      <c r="C246" s="2"/>
      <c r="D246" s="2"/>
      <c r="E246" s="2"/>
      <c r="F246" s="2"/>
      <c r="G246" s="2"/>
      <c r="H246" s="2"/>
      <c r="I246" s="2"/>
      <c r="J246" s="2"/>
      <c r="K246" s="2"/>
      <c r="L246" s="2"/>
      <c r="M246" s="2"/>
      <c r="N246" s="2"/>
      <c r="O246" s="2"/>
      <c r="P246" s="2"/>
    </row>
    <row r="247" spans="1:16" ht="12.75">
      <c r="A247" s="2"/>
      <c r="B247" s="2"/>
      <c r="C247" s="2"/>
      <c r="D247" s="2"/>
      <c r="E247" s="2"/>
      <c r="F247" s="2"/>
      <c r="G247" s="2"/>
      <c r="H247" s="2"/>
      <c r="I247" s="2"/>
      <c r="J247" s="2"/>
      <c r="K247" s="2"/>
      <c r="L247" s="2"/>
      <c r="M247" s="2"/>
      <c r="N247" s="2"/>
      <c r="O247" s="2"/>
      <c r="P247" s="2"/>
    </row>
    <row r="248" spans="1:16" ht="12.75">
      <c r="A248" s="2"/>
      <c r="B248" s="2"/>
      <c r="C248" s="2"/>
      <c r="D248" s="2"/>
      <c r="E248" s="2"/>
      <c r="F248" s="2"/>
      <c r="G248" s="2"/>
      <c r="H248" s="2"/>
      <c r="I248" s="2"/>
      <c r="J248" s="2"/>
      <c r="K248" s="2"/>
      <c r="L248" s="2"/>
      <c r="M248" s="2"/>
      <c r="N248" s="2"/>
      <c r="O248" s="2"/>
      <c r="P248" s="2"/>
    </row>
    <row r="249" spans="1:16" ht="12.75">
      <c r="A249" s="2"/>
      <c r="B249" s="2"/>
      <c r="C249" s="2"/>
      <c r="D249" s="2"/>
      <c r="E249" s="2"/>
      <c r="F249" s="2"/>
      <c r="G249" s="2"/>
      <c r="H249" s="2"/>
      <c r="I249" s="2"/>
      <c r="J249" s="2"/>
      <c r="K249" s="2"/>
      <c r="L249" s="2"/>
      <c r="M249" s="2"/>
      <c r="N249" s="2"/>
      <c r="O249" s="2"/>
      <c r="P249" s="2"/>
    </row>
    <row r="250" spans="1:16" ht="12.75">
      <c r="A250" s="2"/>
      <c r="B250" s="2"/>
      <c r="C250" s="2"/>
      <c r="D250" s="2"/>
      <c r="E250" s="2"/>
      <c r="F250" s="2"/>
      <c r="G250" s="2"/>
      <c r="H250" s="2"/>
      <c r="I250" s="2"/>
      <c r="J250" s="2"/>
      <c r="K250" s="2"/>
      <c r="L250" s="2"/>
      <c r="M250" s="2"/>
      <c r="N250" s="2"/>
      <c r="O250" s="2"/>
      <c r="P250" s="2"/>
    </row>
    <row r="251" spans="1:16" ht="12.75">
      <c r="A251" s="2"/>
      <c r="B251" s="2"/>
      <c r="C251" s="2"/>
      <c r="D251" s="2"/>
      <c r="E251" s="2"/>
      <c r="F251" s="2"/>
      <c r="G251" s="2"/>
      <c r="H251" s="2"/>
      <c r="I251" s="2"/>
      <c r="J251" s="2"/>
      <c r="K251" s="2"/>
      <c r="L251" s="2"/>
      <c r="M251" s="2"/>
      <c r="N251" s="2"/>
      <c r="O251" s="2"/>
      <c r="P251" s="2"/>
    </row>
    <row r="252" spans="1:16" ht="12.75">
      <c r="A252" s="2"/>
      <c r="B252" s="2"/>
      <c r="C252" s="2"/>
      <c r="D252" s="2"/>
      <c r="E252" s="2"/>
      <c r="F252" s="2"/>
      <c r="G252" s="2"/>
      <c r="H252" s="2"/>
      <c r="I252" s="2"/>
      <c r="J252" s="2"/>
      <c r="K252" s="2"/>
      <c r="L252" s="2"/>
      <c r="M252" s="2"/>
      <c r="N252" s="2"/>
      <c r="O252" s="2"/>
      <c r="P252" s="2"/>
    </row>
    <row r="253" spans="1:16" ht="12.75">
      <c r="A253" s="2"/>
      <c r="B253" s="2"/>
      <c r="C253" s="2"/>
      <c r="D253" s="2"/>
      <c r="E253" s="2"/>
      <c r="F253" s="2"/>
      <c r="G253" s="2"/>
      <c r="H253" s="2"/>
      <c r="I253" s="2"/>
      <c r="J253" s="2"/>
      <c r="K253" s="2"/>
      <c r="L253" s="2"/>
      <c r="M253" s="2"/>
      <c r="N253" s="2"/>
      <c r="O253" s="2"/>
      <c r="P253" s="2"/>
    </row>
    <row r="254" spans="1:16" ht="12.75">
      <c r="A254" s="2"/>
      <c r="B254" s="2"/>
      <c r="C254" s="2"/>
      <c r="D254" s="2"/>
      <c r="E254" s="2"/>
      <c r="F254" s="2"/>
      <c r="G254" s="2"/>
      <c r="H254" s="2"/>
      <c r="I254" s="2"/>
      <c r="J254" s="2"/>
      <c r="K254" s="2"/>
      <c r="L254" s="2"/>
      <c r="M254" s="2"/>
      <c r="N254" s="2"/>
      <c r="O254" s="2"/>
      <c r="P254" s="2"/>
    </row>
    <row r="255" spans="1:16" ht="12.75">
      <c r="A255" s="2"/>
      <c r="B255" s="2"/>
      <c r="C255" s="2"/>
      <c r="D255" s="2"/>
      <c r="E255" s="2"/>
      <c r="F255" s="2"/>
      <c r="G255" s="2"/>
      <c r="H255" s="2"/>
      <c r="I255" s="2"/>
      <c r="J255" s="2"/>
      <c r="K255" s="2"/>
      <c r="L255" s="2"/>
      <c r="M255" s="2"/>
      <c r="N255" s="2"/>
      <c r="O255" s="2"/>
      <c r="P255" s="2"/>
    </row>
    <row r="256" spans="1:16" ht="12.75">
      <c r="A256" s="2"/>
      <c r="B256" s="2"/>
      <c r="C256" s="2"/>
      <c r="D256" s="2"/>
      <c r="E256" s="2"/>
      <c r="F256" s="2"/>
      <c r="G256" s="2"/>
      <c r="H256" s="2"/>
      <c r="I256" s="2"/>
      <c r="J256" s="2"/>
      <c r="K256" s="2"/>
      <c r="L256" s="2"/>
      <c r="M256" s="2"/>
      <c r="N256" s="2"/>
      <c r="O256" s="2"/>
      <c r="P256" s="2"/>
    </row>
    <row r="257" spans="1:16" ht="12.75">
      <c r="A257" s="2"/>
      <c r="B257" s="2"/>
      <c r="C257" s="2"/>
      <c r="D257" s="2"/>
      <c r="E257" s="2"/>
      <c r="F257" s="2"/>
      <c r="G257" s="2"/>
      <c r="H257" s="2"/>
      <c r="I257" s="2"/>
      <c r="J257" s="2"/>
      <c r="K257" s="2"/>
      <c r="L257" s="2"/>
      <c r="M257" s="2"/>
      <c r="N257" s="2"/>
      <c r="O257" s="2"/>
      <c r="P257" s="2"/>
    </row>
    <row r="258" spans="1:16" ht="12.75">
      <c r="A258" s="2"/>
      <c r="B258" s="2"/>
      <c r="C258" s="2"/>
      <c r="D258" s="2"/>
      <c r="E258" s="2"/>
      <c r="F258" s="2"/>
      <c r="G258" s="2"/>
      <c r="H258" s="2"/>
      <c r="I258" s="2"/>
      <c r="J258" s="2"/>
      <c r="K258" s="2"/>
      <c r="L258" s="2"/>
      <c r="M258" s="2"/>
      <c r="N258" s="2"/>
      <c r="O258" s="2"/>
      <c r="P258" s="2"/>
    </row>
    <row r="259" spans="1:16" ht="12.75">
      <c r="A259" s="2"/>
      <c r="B259" s="2"/>
      <c r="C259" s="2"/>
      <c r="D259" s="2"/>
      <c r="E259" s="2"/>
      <c r="F259" s="2"/>
      <c r="G259" s="2"/>
      <c r="H259" s="2"/>
      <c r="I259" s="2"/>
      <c r="J259" s="2"/>
      <c r="K259" s="2"/>
      <c r="L259" s="2"/>
      <c r="M259" s="2"/>
      <c r="N259" s="2"/>
      <c r="O259" s="2"/>
      <c r="P259" s="2"/>
    </row>
    <row r="260" spans="1:16" ht="12.75">
      <c r="A260" s="2"/>
      <c r="B260" s="2"/>
      <c r="C260" s="2"/>
      <c r="D260" s="2"/>
      <c r="E260" s="2"/>
      <c r="F260" s="2"/>
      <c r="G260" s="2"/>
      <c r="H260" s="2"/>
      <c r="I260" s="2"/>
      <c r="J260" s="2"/>
      <c r="K260" s="2"/>
      <c r="L260" s="2"/>
      <c r="M260" s="2"/>
      <c r="N260" s="2"/>
      <c r="O260" s="2"/>
      <c r="P260" s="2"/>
    </row>
    <row r="261" spans="1:16" ht="12.75">
      <c r="A261" s="2"/>
      <c r="B261" s="2"/>
      <c r="C261" s="2"/>
      <c r="D261" s="2"/>
      <c r="E261" s="2"/>
      <c r="F261" s="2"/>
      <c r="G261" s="2"/>
      <c r="H261" s="2"/>
      <c r="I261" s="2"/>
      <c r="J261" s="2"/>
      <c r="K261" s="2"/>
      <c r="L261" s="2"/>
      <c r="M261" s="2"/>
      <c r="N261" s="2"/>
      <c r="O261" s="2"/>
      <c r="P261" s="2"/>
    </row>
    <row r="262" spans="1:16" ht="12.75">
      <c r="A262" s="2"/>
      <c r="B262" s="2"/>
      <c r="C262" s="2"/>
      <c r="D262" s="2"/>
      <c r="E262" s="2"/>
      <c r="F262" s="2"/>
      <c r="G262" s="2"/>
      <c r="H262" s="2"/>
      <c r="I262" s="2"/>
      <c r="J262" s="2"/>
      <c r="K262" s="2"/>
      <c r="L262" s="2"/>
      <c r="M262" s="2"/>
      <c r="N262" s="2"/>
      <c r="O262" s="2"/>
      <c r="P262" s="2"/>
    </row>
    <row r="263" spans="1:16" ht="12.75">
      <c r="A263" s="2"/>
      <c r="B263" s="2"/>
      <c r="C263" s="2"/>
      <c r="D263" s="2"/>
      <c r="E263" s="2"/>
      <c r="F263" s="2"/>
      <c r="G263" s="2"/>
      <c r="H263" s="2"/>
      <c r="I263" s="2"/>
      <c r="J263" s="2"/>
      <c r="K263" s="2"/>
      <c r="L263" s="2"/>
      <c r="M263" s="2"/>
      <c r="N263" s="2"/>
      <c r="O263" s="2"/>
      <c r="P263" s="2"/>
    </row>
    <row r="264" spans="1:16" ht="12.75">
      <c r="A264" s="2"/>
      <c r="B264" s="2"/>
      <c r="C264" s="2"/>
      <c r="D264" s="2"/>
      <c r="E264" s="2"/>
      <c r="F264" s="2"/>
      <c r="G264" s="2"/>
      <c r="H264" s="2"/>
      <c r="I264" s="2"/>
      <c r="J264" s="2"/>
      <c r="K264" s="2"/>
      <c r="L264" s="2"/>
      <c r="M264" s="2"/>
      <c r="N264" s="2"/>
      <c r="O264" s="2"/>
      <c r="P264" s="2"/>
    </row>
    <row r="265" spans="1:16" ht="12.75">
      <c r="A265" s="2"/>
      <c r="B265" s="2"/>
      <c r="C265" s="2"/>
      <c r="D265" s="2"/>
      <c r="E265" s="2"/>
      <c r="F265" s="2"/>
      <c r="G265" s="2"/>
      <c r="H265" s="2"/>
      <c r="I265" s="2"/>
      <c r="J265" s="2"/>
      <c r="K265" s="2"/>
      <c r="L265" s="2"/>
      <c r="M265" s="2"/>
      <c r="N265" s="2"/>
      <c r="O265" s="2"/>
      <c r="P265" s="2"/>
    </row>
    <row r="266" spans="1:16" ht="12.75">
      <c r="A266" s="2"/>
      <c r="B266" s="2"/>
      <c r="C266" s="2"/>
      <c r="D266" s="2"/>
      <c r="E266" s="2"/>
      <c r="F266" s="2"/>
      <c r="G266" s="2"/>
      <c r="H266" s="2"/>
      <c r="I266" s="2"/>
      <c r="J266" s="2"/>
      <c r="K266" s="2"/>
      <c r="L266" s="2"/>
      <c r="M266" s="2"/>
      <c r="N266" s="2"/>
      <c r="O266" s="2"/>
      <c r="P266" s="2"/>
    </row>
    <row r="267" spans="1:16" ht="12.75">
      <c r="A267" s="2"/>
      <c r="B267" s="2"/>
      <c r="C267" s="2"/>
      <c r="D267" s="2"/>
      <c r="E267" s="2"/>
      <c r="F267" s="2"/>
      <c r="G267" s="2"/>
      <c r="H267" s="2"/>
      <c r="I267" s="2"/>
      <c r="J267" s="2"/>
      <c r="K267" s="2"/>
      <c r="L267" s="2"/>
      <c r="M267" s="2"/>
      <c r="N267" s="2"/>
      <c r="O267" s="2"/>
      <c r="P267" s="2"/>
    </row>
    <row r="268" spans="1:16" ht="12.75">
      <c r="A268" s="2"/>
      <c r="B268" s="2"/>
      <c r="C268" s="2"/>
      <c r="D268" s="2"/>
      <c r="E268" s="2"/>
      <c r="F268" s="2"/>
      <c r="G268" s="2"/>
      <c r="H268" s="2"/>
      <c r="I268" s="2"/>
      <c r="J268" s="2"/>
      <c r="K268" s="2"/>
      <c r="L268" s="2"/>
      <c r="M268" s="2"/>
      <c r="N268" s="2"/>
      <c r="O268" s="2"/>
      <c r="P268" s="2"/>
    </row>
    <row r="269" spans="1:16" ht="12.75">
      <c r="A269" s="2"/>
      <c r="B269" s="2"/>
      <c r="C269" s="2"/>
      <c r="D269" s="2"/>
      <c r="E269" s="2"/>
      <c r="F269" s="2"/>
      <c r="G269" s="2"/>
      <c r="H269" s="2"/>
      <c r="I269" s="2"/>
      <c r="J269" s="2"/>
      <c r="K269" s="2"/>
      <c r="L269" s="2"/>
      <c r="M269" s="2"/>
      <c r="N269" s="2"/>
      <c r="O269" s="2"/>
      <c r="P269" s="2"/>
    </row>
    <row r="270" spans="1:16" ht="12.75">
      <c r="A270" s="2"/>
      <c r="B270" s="2"/>
      <c r="C270" s="2"/>
      <c r="D270" s="2"/>
      <c r="E270" s="2"/>
      <c r="F270" s="2"/>
      <c r="G270" s="2"/>
      <c r="H270" s="2"/>
      <c r="I270" s="2"/>
      <c r="J270" s="2"/>
      <c r="K270" s="2"/>
      <c r="L270" s="2"/>
      <c r="M270" s="2"/>
      <c r="N270" s="2"/>
      <c r="O270" s="2"/>
      <c r="P270" s="2"/>
    </row>
    <row r="271" spans="1:16" ht="12.75">
      <c r="A271" s="2"/>
      <c r="B271" s="2"/>
      <c r="C271" s="2"/>
      <c r="D271" s="2"/>
      <c r="E271" s="2"/>
      <c r="F271" s="2"/>
      <c r="G271" s="2"/>
      <c r="H271" s="2"/>
      <c r="I271" s="2"/>
      <c r="J271" s="2"/>
      <c r="K271" s="2"/>
      <c r="L271" s="2"/>
      <c r="M271" s="2"/>
      <c r="N271" s="2"/>
      <c r="O271" s="2"/>
      <c r="P271" s="2"/>
    </row>
    <row r="272" spans="1:16" ht="12.75">
      <c r="A272" s="2"/>
      <c r="B272" s="2"/>
      <c r="C272" s="2"/>
      <c r="D272" s="2"/>
      <c r="E272" s="2"/>
      <c r="F272" s="2"/>
      <c r="G272" s="2"/>
      <c r="H272" s="2"/>
      <c r="I272" s="2"/>
      <c r="J272" s="2"/>
      <c r="K272" s="2"/>
      <c r="L272" s="2"/>
      <c r="M272" s="2"/>
      <c r="N272" s="2"/>
      <c r="O272" s="2"/>
      <c r="P272" s="2"/>
    </row>
    <row r="273" spans="1:16" ht="12.75">
      <c r="A273" s="2"/>
      <c r="B273" s="2"/>
      <c r="C273" s="2"/>
      <c r="D273" s="2"/>
      <c r="E273" s="2"/>
      <c r="F273" s="2"/>
      <c r="G273" s="2"/>
      <c r="H273" s="2"/>
      <c r="I273" s="2"/>
      <c r="J273" s="2"/>
      <c r="K273" s="2"/>
      <c r="L273" s="2"/>
      <c r="M273" s="2"/>
      <c r="N273" s="2"/>
      <c r="O273" s="2"/>
      <c r="P273" s="2"/>
    </row>
    <row r="274" spans="1:16" ht="12.75">
      <c r="A274" s="2"/>
      <c r="B274" s="2"/>
      <c r="C274" s="2"/>
      <c r="D274" s="2"/>
      <c r="E274" s="2"/>
      <c r="F274" s="2"/>
      <c r="G274" s="2"/>
      <c r="H274" s="2"/>
      <c r="I274" s="2"/>
      <c r="J274" s="2"/>
      <c r="K274" s="2"/>
      <c r="L274" s="2"/>
      <c r="M274" s="2"/>
      <c r="N274" s="2"/>
      <c r="O274" s="2"/>
      <c r="P274" s="2"/>
    </row>
    <row r="275" spans="1:16" ht="12.75">
      <c r="A275" s="2"/>
      <c r="B275" s="2"/>
      <c r="C275" s="2"/>
      <c r="D275" s="2"/>
      <c r="E275" s="2"/>
      <c r="F275" s="2"/>
      <c r="G275" s="2"/>
      <c r="H275" s="2"/>
      <c r="I275" s="2"/>
      <c r="J275" s="2"/>
      <c r="K275" s="2"/>
      <c r="L275" s="2"/>
      <c r="M275" s="2"/>
      <c r="N275" s="2"/>
      <c r="O275" s="2"/>
      <c r="P275" s="2"/>
    </row>
    <row r="276" spans="1:16" ht="12.75">
      <c r="A276" s="2"/>
      <c r="B276" s="2"/>
      <c r="C276" s="2"/>
      <c r="D276" s="2"/>
      <c r="E276" s="2"/>
      <c r="F276" s="2"/>
      <c r="G276" s="2"/>
      <c r="H276" s="2"/>
      <c r="I276" s="2"/>
      <c r="J276" s="2"/>
      <c r="K276" s="2"/>
      <c r="L276" s="2"/>
      <c r="M276" s="2"/>
      <c r="N276" s="2"/>
      <c r="O276" s="2"/>
      <c r="P276" s="2"/>
    </row>
    <row r="277" spans="1:16" ht="12.75">
      <c r="A277" s="2"/>
      <c r="B277" s="2"/>
      <c r="C277" s="2"/>
      <c r="D277" s="2"/>
      <c r="E277" s="2"/>
      <c r="F277" s="2"/>
      <c r="G277" s="2"/>
      <c r="H277" s="2"/>
      <c r="I277" s="2"/>
      <c r="J277" s="2"/>
      <c r="K277" s="2"/>
      <c r="L277" s="2"/>
      <c r="M277" s="2"/>
      <c r="N277" s="2"/>
      <c r="O277" s="2"/>
      <c r="P277" s="2"/>
    </row>
    <row r="278" spans="1:16" ht="12.75">
      <c r="A278" s="2"/>
      <c r="B278" s="2"/>
      <c r="C278" s="2"/>
      <c r="D278" s="2"/>
      <c r="E278" s="2"/>
      <c r="F278" s="2"/>
      <c r="G278" s="2"/>
      <c r="H278" s="2"/>
      <c r="I278" s="2"/>
      <c r="J278" s="2"/>
      <c r="K278" s="2"/>
      <c r="L278" s="2"/>
      <c r="M278" s="2"/>
      <c r="N278" s="2"/>
      <c r="O278" s="2"/>
      <c r="P278" s="2"/>
    </row>
    <row r="279" spans="1:16" ht="12.75">
      <c r="A279" s="2"/>
      <c r="B279" s="2"/>
      <c r="C279" s="2"/>
      <c r="D279" s="2"/>
      <c r="E279" s="2"/>
      <c r="F279" s="2"/>
      <c r="G279" s="2"/>
      <c r="H279" s="2"/>
      <c r="I279" s="2"/>
      <c r="J279" s="2"/>
      <c r="K279" s="2"/>
      <c r="L279" s="2"/>
      <c r="M279" s="2"/>
      <c r="N279" s="2"/>
      <c r="O279" s="2"/>
      <c r="P279" s="2"/>
    </row>
    <row r="280" spans="1:16" ht="12.75">
      <c r="A280" s="2"/>
      <c r="B280" s="2"/>
      <c r="C280" s="2"/>
      <c r="D280" s="2"/>
      <c r="E280" s="2"/>
      <c r="F280" s="2"/>
      <c r="G280" s="2"/>
      <c r="H280" s="2"/>
      <c r="I280" s="2"/>
      <c r="J280" s="2"/>
      <c r="K280" s="2"/>
      <c r="L280" s="2"/>
      <c r="M280" s="2"/>
      <c r="N280" s="2"/>
      <c r="O280" s="2"/>
      <c r="P280" s="2"/>
    </row>
    <row r="281" spans="1:16" ht="12.75">
      <c r="A281" s="2"/>
      <c r="B281" s="2"/>
      <c r="C281" s="2"/>
      <c r="D281" s="2"/>
      <c r="E281" s="2"/>
      <c r="F281" s="2"/>
      <c r="G281" s="2"/>
      <c r="H281" s="2"/>
      <c r="I281" s="2"/>
      <c r="J281" s="2"/>
      <c r="K281" s="2"/>
      <c r="L281" s="2"/>
      <c r="M281" s="2"/>
      <c r="N281" s="2"/>
      <c r="O281" s="2"/>
      <c r="P281" s="2"/>
    </row>
    <row r="282" spans="1:16" ht="12.75">
      <c r="A282" s="2"/>
      <c r="B282" s="2"/>
      <c r="C282" s="2"/>
      <c r="D282" s="2"/>
      <c r="E282" s="2"/>
      <c r="F282" s="2"/>
      <c r="G282" s="2"/>
      <c r="H282" s="2"/>
      <c r="I282" s="2"/>
      <c r="J282" s="2"/>
      <c r="K282" s="2"/>
      <c r="L282" s="2"/>
      <c r="M282" s="2"/>
      <c r="N282" s="2"/>
      <c r="O282" s="2"/>
      <c r="P282" s="2"/>
    </row>
    <row r="283" spans="1:16" ht="12.75">
      <c r="A283" s="2"/>
      <c r="B283" s="2"/>
      <c r="C283" s="2"/>
      <c r="D283" s="2"/>
      <c r="E283" s="2"/>
      <c r="F283" s="2"/>
      <c r="G283" s="2"/>
      <c r="H283" s="2"/>
      <c r="I283" s="2"/>
      <c r="J283" s="2"/>
      <c r="K283" s="2"/>
      <c r="L283" s="2"/>
      <c r="M283" s="2"/>
      <c r="N283" s="2"/>
      <c r="O283" s="2"/>
      <c r="P283" s="2"/>
    </row>
    <row r="284" spans="1:16" ht="12.75">
      <c r="A284" s="2"/>
      <c r="B284" s="2"/>
      <c r="C284" s="2"/>
      <c r="D284" s="2"/>
      <c r="E284" s="2"/>
      <c r="F284" s="2"/>
      <c r="G284" s="2"/>
      <c r="H284" s="2"/>
      <c r="I284" s="2"/>
      <c r="J284" s="2"/>
      <c r="K284" s="2"/>
      <c r="L284" s="2"/>
      <c r="M284" s="2"/>
      <c r="N284" s="2"/>
      <c r="O284" s="2"/>
      <c r="P284" s="2"/>
    </row>
    <row r="285" spans="1:16" ht="12.75">
      <c r="A285" s="2"/>
      <c r="B285" s="2"/>
      <c r="C285" s="2"/>
      <c r="D285" s="2"/>
      <c r="E285" s="2"/>
      <c r="F285" s="2"/>
      <c r="G285" s="2"/>
      <c r="H285" s="2"/>
      <c r="I285" s="2"/>
      <c r="J285" s="2"/>
      <c r="K285" s="2"/>
      <c r="L285" s="2"/>
      <c r="M285" s="2"/>
      <c r="N285" s="2"/>
      <c r="O285" s="2"/>
      <c r="P285" s="2"/>
    </row>
    <row r="286" spans="1:16" ht="12.75">
      <c r="A286" s="2"/>
      <c r="B286" s="2"/>
      <c r="C286" s="2"/>
      <c r="D286" s="2"/>
      <c r="E286" s="2"/>
      <c r="F286" s="2"/>
      <c r="G286" s="2"/>
      <c r="H286" s="2"/>
      <c r="I286" s="2"/>
      <c r="J286" s="2"/>
      <c r="K286" s="2"/>
      <c r="L286" s="2"/>
      <c r="M286" s="2"/>
      <c r="N286" s="2"/>
      <c r="O286" s="2"/>
      <c r="P286" s="2"/>
    </row>
    <row r="287" spans="1:16" ht="12.75">
      <c r="A287" s="2"/>
      <c r="B287" s="2"/>
      <c r="C287" s="2"/>
      <c r="D287" s="2"/>
      <c r="E287" s="2"/>
      <c r="F287" s="2"/>
      <c r="G287" s="2"/>
      <c r="H287" s="2"/>
      <c r="I287" s="2"/>
      <c r="J287" s="2"/>
      <c r="K287" s="2"/>
      <c r="L287" s="2"/>
      <c r="M287" s="2"/>
      <c r="N287" s="2"/>
      <c r="O287" s="2"/>
      <c r="P287" s="2"/>
    </row>
    <row r="288" spans="1:16" ht="12.75">
      <c r="A288" s="2"/>
      <c r="B288" s="2"/>
      <c r="C288" s="2"/>
      <c r="D288" s="2"/>
      <c r="E288" s="2"/>
      <c r="F288" s="2"/>
      <c r="G288" s="2"/>
      <c r="H288" s="2"/>
      <c r="I288" s="2"/>
      <c r="J288" s="2"/>
      <c r="K288" s="2"/>
      <c r="L288" s="2"/>
      <c r="M288" s="2"/>
      <c r="N288" s="2"/>
      <c r="O288" s="2"/>
      <c r="P288" s="2"/>
    </row>
    <row r="289" spans="1:16" ht="12.75">
      <c r="A289" s="2"/>
      <c r="B289" s="2"/>
      <c r="C289" s="2"/>
      <c r="D289" s="2"/>
      <c r="E289" s="2"/>
      <c r="F289" s="2"/>
      <c r="G289" s="2"/>
      <c r="H289" s="2"/>
      <c r="I289" s="2"/>
      <c r="J289" s="2"/>
      <c r="K289" s="2"/>
      <c r="L289" s="2"/>
      <c r="M289" s="2"/>
      <c r="N289" s="2"/>
      <c r="O289" s="2"/>
      <c r="P289" s="2"/>
    </row>
    <row r="290" spans="1:16" ht="12.75">
      <c r="A290" s="2"/>
      <c r="B290" s="2"/>
      <c r="C290" s="2"/>
      <c r="D290" s="2"/>
      <c r="E290" s="2"/>
      <c r="F290" s="2"/>
      <c r="G290" s="2"/>
      <c r="H290" s="2"/>
      <c r="I290" s="2"/>
      <c r="J290" s="2"/>
      <c r="K290" s="2"/>
      <c r="L290" s="2"/>
      <c r="M290" s="2"/>
      <c r="N290" s="2"/>
      <c r="O290" s="2"/>
      <c r="P290" s="2"/>
    </row>
    <row r="291" spans="1:16" ht="12.75">
      <c r="A291" s="2"/>
      <c r="B291" s="2"/>
      <c r="C291" s="2"/>
      <c r="D291" s="2"/>
      <c r="E291" s="2"/>
      <c r="F291" s="2"/>
      <c r="G291" s="2"/>
      <c r="H291" s="2"/>
      <c r="I291" s="2"/>
      <c r="J291" s="2"/>
      <c r="K291" s="2"/>
      <c r="L291" s="2"/>
      <c r="M291" s="2"/>
      <c r="N291" s="2"/>
      <c r="O291" s="2"/>
      <c r="P291" s="2"/>
    </row>
    <row r="292" spans="1:16" ht="12.75">
      <c r="A292" s="2"/>
      <c r="B292" s="2"/>
      <c r="C292" s="2"/>
      <c r="D292" s="2"/>
      <c r="E292" s="2"/>
      <c r="F292" s="2"/>
      <c r="G292" s="2"/>
      <c r="H292" s="2"/>
      <c r="I292" s="2"/>
      <c r="J292" s="2"/>
      <c r="K292" s="2"/>
      <c r="L292" s="2"/>
      <c r="M292" s="2"/>
      <c r="N292" s="2"/>
      <c r="O292" s="2"/>
      <c r="P292" s="2"/>
    </row>
    <row r="293" spans="1:16" ht="12.75">
      <c r="A293" s="2"/>
      <c r="B293" s="2"/>
      <c r="C293" s="2"/>
      <c r="D293" s="2"/>
      <c r="E293" s="2"/>
      <c r="F293" s="2"/>
      <c r="G293" s="2"/>
      <c r="H293" s="2"/>
      <c r="I293" s="2"/>
      <c r="J293" s="2"/>
      <c r="K293" s="2"/>
      <c r="L293" s="2"/>
      <c r="M293" s="2"/>
      <c r="N293" s="2"/>
      <c r="O293" s="2"/>
      <c r="P293" s="2"/>
    </row>
    <row r="294" spans="1:16" ht="12.75">
      <c r="A294" s="2"/>
      <c r="B294" s="2"/>
      <c r="C294" s="2"/>
      <c r="D294" s="2"/>
      <c r="E294" s="2"/>
      <c r="F294" s="2"/>
      <c r="G294" s="2"/>
      <c r="H294" s="2"/>
      <c r="I294" s="2"/>
      <c r="J294" s="2"/>
      <c r="K294" s="2"/>
      <c r="L294" s="2"/>
      <c r="M294" s="2"/>
      <c r="N294" s="2"/>
      <c r="O294" s="2"/>
      <c r="P294" s="2"/>
    </row>
    <row r="295" spans="1:16" ht="12.75">
      <c r="A295" s="2"/>
      <c r="B295" s="2"/>
      <c r="C295" s="2"/>
      <c r="D295" s="2"/>
      <c r="E295" s="2"/>
      <c r="F295" s="2"/>
      <c r="G295" s="2"/>
      <c r="H295" s="2"/>
      <c r="I295" s="2"/>
      <c r="J295" s="2"/>
      <c r="K295" s="2"/>
      <c r="L295" s="2"/>
      <c r="M295" s="2"/>
      <c r="N295" s="2"/>
      <c r="O295" s="2"/>
      <c r="P295" s="2"/>
    </row>
    <row r="296" spans="1:16" ht="12.75">
      <c r="A296" s="2"/>
      <c r="B296" s="2"/>
      <c r="C296" s="2"/>
      <c r="D296" s="2"/>
      <c r="E296" s="2"/>
      <c r="F296" s="2"/>
      <c r="G296" s="2"/>
      <c r="H296" s="2"/>
      <c r="I296" s="2"/>
      <c r="J296" s="2"/>
      <c r="K296" s="2"/>
      <c r="L296" s="2"/>
      <c r="M296" s="2"/>
      <c r="N296" s="2"/>
      <c r="O296" s="2"/>
      <c r="P296" s="2"/>
    </row>
    <row r="297" spans="1:16" ht="12.75">
      <c r="A297" s="2"/>
      <c r="B297" s="2"/>
      <c r="C297" s="2"/>
      <c r="D297" s="2"/>
      <c r="E297" s="2"/>
      <c r="F297" s="2"/>
      <c r="G297" s="2"/>
      <c r="H297" s="2"/>
      <c r="I297" s="2"/>
      <c r="J297" s="2"/>
      <c r="K297" s="2"/>
      <c r="L297" s="2"/>
      <c r="M297" s="2"/>
      <c r="N297" s="2"/>
      <c r="O297" s="2"/>
      <c r="P297" s="2"/>
    </row>
    <row r="298" spans="1:16" ht="12.75">
      <c r="A298" s="2"/>
      <c r="B298" s="2"/>
      <c r="C298" s="2"/>
      <c r="D298" s="2"/>
      <c r="E298" s="2"/>
      <c r="F298" s="2"/>
      <c r="G298" s="2"/>
      <c r="H298" s="2"/>
      <c r="I298" s="2"/>
      <c r="J298" s="2"/>
      <c r="K298" s="2"/>
      <c r="L298" s="2"/>
      <c r="M298" s="2"/>
      <c r="N298" s="2"/>
      <c r="O298" s="2"/>
      <c r="P298" s="2"/>
    </row>
    <row r="299" spans="1:16" ht="12.75">
      <c r="A299" s="2"/>
      <c r="B299" s="2"/>
      <c r="C299" s="2"/>
      <c r="D299" s="2"/>
      <c r="E299" s="2"/>
      <c r="F299" s="2"/>
      <c r="G299" s="2"/>
      <c r="H299" s="2"/>
      <c r="I299" s="2"/>
      <c r="J299" s="2"/>
      <c r="K299" s="2"/>
      <c r="L299" s="2"/>
      <c r="M299" s="2"/>
      <c r="N299" s="2"/>
      <c r="O299" s="2"/>
      <c r="P299" s="2"/>
    </row>
    <row r="300" spans="1:16" ht="12.75">
      <c r="A300" s="2"/>
      <c r="B300" s="2"/>
      <c r="C300" s="2"/>
      <c r="D300" s="2"/>
      <c r="E300" s="2"/>
      <c r="F300" s="2"/>
      <c r="G300" s="2"/>
      <c r="H300" s="2"/>
      <c r="I300" s="2"/>
      <c r="J300" s="2"/>
      <c r="K300" s="2"/>
      <c r="L300" s="2"/>
      <c r="M300" s="2"/>
      <c r="N300" s="2"/>
      <c r="O300" s="2"/>
      <c r="P300" s="2"/>
    </row>
    <row r="301" spans="1:16" ht="12.75">
      <c r="A301" s="2"/>
      <c r="B301" s="2"/>
      <c r="C301" s="2"/>
      <c r="D301" s="2"/>
      <c r="E301" s="2"/>
      <c r="F301" s="2"/>
      <c r="G301" s="2"/>
      <c r="H301" s="2"/>
      <c r="I301" s="2"/>
      <c r="J301" s="2"/>
      <c r="K301" s="2"/>
      <c r="L301" s="2"/>
      <c r="M301" s="2"/>
      <c r="N301" s="2"/>
      <c r="O301" s="2"/>
      <c r="P301" s="2"/>
    </row>
    <row r="302" spans="1:16" ht="12.75">
      <c r="A302" s="2"/>
      <c r="B302" s="2"/>
      <c r="C302" s="2"/>
      <c r="D302" s="2"/>
      <c r="E302" s="2"/>
      <c r="F302" s="2"/>
      <c r="G302" s="2"/>
      <c r="H302" s="2"/>
      <c r="I302" s="2"/>
      <c r="J302" s="2"/>
      <c r="K302" s="2"/>
      <c r="L302" s="2"/>
      <c r="M302" s="2"/>
      <c r="N302" s="2"/>
      <c r="O302" s="2"/>
      <c r="P302" s="2"/>
    </row>
    <row r="303" spans="1:16" ht="12.75">
      <c r="A303" s="2"/>
      <c r="B303" s="2"/>
      <c r="C303" s="2"/>
      <c r="D303" s="2"/>
      <c r="E303" s="2"/>
      <c r="F303" s="2"/>
      <c r="G303" s="2"/>
      <c r="H303" s="2"/>
      <c r="I303" s="2"/>
      <c r="J303" s="2"/>
      <c r="K303" s="2"/>
      <c r="L303" s="2"/>
      <c r="M303" s="2"/>
      <c r="N303" s="2"/>
      <c r="O303" s="2"/>
      <c r="P303" s="2"/>
    </row>
    <row r="304" spans="1:16" ht="12.75">
      <c r="A304" s="2"/>
      <c r="B304" s="2"/>
      <c r="C304" s="2"/>
      <c r="D304" s="2"/>
      <c r="E304" s="2"/>
      <c r="F304" s="2"/>
      <c r="G304" s="2"/>
      <c r="H304" s="2"/>
      <c r="I304" s="2"/>
      <c r="J304" s="2"/>
      <c r="K304" s="2"/>
      <c r="L304" s="2"/>
      <c r="M304" s="2"/>
      <c r="N304" s="2"/>
      <c r="O304" s="2"/>
      <c r="P304" s="2"/>
    </row>
    <row r="305" spans="1:16" ht="12.75">
      <c r="A305" s="2"/>
      <c r="B305" s="2"/>
      <c r="C305" s="2"/>
      <c r="D305" s="2"/>
      <c r="E305" s="2"/>
      <c r="F305" s="2"/>
      <c r="G305" s="2"/>
      <c r="H305" s="2"/>
      <c r="I305" s="2"/>
      <c r="J305" s="2"/>
      <c r="K305" s="2"/>
      <c r="L305" s="2"/>
      <c r="M305" s="2"/>
      <c r="N305" s="2"/>
      <c r="O305" s="2"/>
      <c r="P305" s="2"/>
    </row>
    <row r="306" spans="1:16" ht="12.75">
      <c r="A306" s="2"/>
      <c r="B306" s="2"/>
      <c r="C306" s="2"/>
      <c r="D306" s="2"/>
      <c r="E306" s="2"/>
      <c r="F306" s="2"/>
      <c r="G306" s="2"/>
      <c r="H306" s="2"/>
      <c r="I306" s="2"/>
      <c r="J306" s="2"/>
      <c r="K306" s="2"/>
      <c r="L306" s="2"/>
      <c r="M306" s="2"/>
      <c r="N306" s="2"/>
      <c r="O306" s="2"/>
      <c r="P306" s="2"/>
    </row>
    <row r="307" spans="1:16" ht="12.75">
      <c r="A307" s="2"/>
      <c r="B307" s="2"/>
      <c r="C307" s="2"/>
      <c r="D307" s="2"/>
      <c r="E307" s="2"/>
      <c r="F307" s="2"/>
      <c r="G307" s="2"/>
      <c r="H307" s="2"/>
      <c r="I307" s="2"/>
      <c r="J307" s="2"/>
      <c r="K307" s="2"/>
      <c r="L307" s="2"/>
      <c r="M307" s="2"/>
      <c r="N307" s="2"/>
      <c r="O307" s="2"/>
      <c r="P307" s="2"/>
    </row>
    <row r="308" spans="1:16" ht="12.75">
      <c r="A308" s="2"/>
      <c r="B308" s="2"/>
      <c r="C308" s="2"/>
      <c r="D308" s="2"/>
      <c r="E308" s="2"/>
      <c r="F308" s="2"/>
      <c r="G308" s="2"/>
      <c r="H308" s="2"/>
      <c r="I308" s="2"/>
      <c r="J308" s="2"/>
      <c r="K308" s="2"/>
      <c r="L308" s="2"/>
      <c r="M308" s="2"/>
      <c r="N308" s="2"/>
      <c r="O308" s="2"/>
      <c r="P308" s="2"/>
    </row>
    <row r="309" spans="1:16" ht="12.75">
      <c r="A309" s="2"/>
      <c r="B309" s="2"/>
      <c r="C309" s="2"/>
      <c r="D309" s="2"/>
      <c r="E309" s="2"/>
      <c r="F309" s="2"/>
      <c r="G309" s="2"/>
      <c r="H309" s="2"/>
      <c r="I309" s="2"/>
      <c r="J309" s="2"/>
      <c r="K309" s="2"/>
      <c r="L309" s="2"/>
      <c r="M309" s="2"/>
      <c r="N309" s="2"/>
      <c r="O309" s="2"/>
      <c r="P309" s="2"/>
    </row>
    <row r="310" spans="1:16" ht="12.75">
      <c r="A310" s="2"/>
      <c r="B310" s="2"/>
      <c r="C310" s="2"/>
      <c r="D310" s="2"/>
      <c r="E310" s="2"/>
      <c r="F310" s="2"/>
      <c r="G310" s="2"/>
      <c r="H310" s="2"/>
      <c r="I310" s="2"/>
      <c r="J310" s="2"/>
      <c r="K310" s="2"/>
      <c r="L310" s="2"/>
      <c r="M310" s="2"/>
      <c r="N310" s="2"/>
      <c r="O310" s="2"/>
      <c r="P310" s="2"/>
    </row>
    <row r="311" spans="1:16" ht="12.75">
      <c r="A311" s="2"/>
      <c r="B311" s="2"/>
      <c r="C311" s="2"/>
      <c r="D311" s="2"/>
      <c r="E311" s="2"/>
      <c r="F311" s="2"/>
      <c r="G311" s="2"/>
      <c r="H311" s="2"/>
      <c r="I311" s="2"/>
      <c r="J311" s="2"/>
      <c r="K311" s="2"/>
      <c r="L311" s="2"/>
      <c r="M311" s="2"/>
      <c r="N311" s="2"/>
      <c r="O311" s="2"/>
      <c r="P311" s="2"/>
    </row>
    <row r="312" spans="1:16" ht="12.75">
      <c r="A312" s="2"/>
      <c r="B312" s="2"/>
      <c r="C312" s="2"/>
      <c r="D312" s="2"/>
      <c r="E312" s="2"/>
      <c r="F312" s="2"/>
      <c r="G312" s="2"/>
      <c r="H312" s="2"/>
      <c r="I312" s="2"/>
      <c r="J312" s="2"/>
      <c r="K312" s="2"/>
      <c r="L312" s="2"/>
      <c r="M312" s="2"/>
      <c r="N312" s="2"/>
      <c r="O312" s="2"/>
      <c r="P312" s="2"/>
    </row>
    <row r="313" spans="1:16" ht="12.75">
      <c r="A313" s="2"/>
      <c r="B313" s="2"/>
      <c r="C313" s="2"/>
      <c r="D313" s="2"/>
      <c r="E313" s="2"/>
      <c r="F313" s="2"/>
      <c r="G313" s="2"/>
      <c r="H313" s="2"/>
      <c r="I313" s="2"/>
      <c r="J313" s="2"/>
      <c r="K313" s="2"/>
      <c r="L313" s="2"/>
      <c r="M313" s="2"/>
      <c r="N313" s="2"/>
      <c r="O313" s="2"/>
      <c r="P313" s="2"/>
    </row>
    <row r="314" spans="1:16" ht="12.75">
      <c r="A314" s="2"/>
      <c r="B314" s="2"/>
      <c r="C314" s="2"/>
      <c r="D314" s="2"/>
      <c r="E314" s="2"/>
      <c r="F314" s="2"/>
      <c r="G314" s="2"/>
      <c r="H314" s="2"/>
      <c r="I314" s="2"/>
      <c r="J314" s="2"/>
      <c r="K314" s="2"/>
      <c r="L314" s="2"/>
      <c r="M314" s="2"/>
      <c r="N314" s="2"/>
      <c r="O314" s="2"/>
      <c r="P314" s="2"/>
    </row>
    <row r="315" spans="1:16" ht="12.75">
      <c r="A315" s="2"/>
      <c r="B315" s="2"/>
      <c r="C315" s="2"/>
      <c r="D315" s="2"/>
      <c r="E315" s="2"/>
      <c r="F315" s="2"/>
      <c r="G315" s="2"/>
      <c r="H315" s="2"/>
      <c r="I315" s="2"/>
      <c r="J315" s="2"/>
      <c r="K315" s="2"/>
      <c r="L315" s="2"/>
      <c r="M315" s="2"/>
      <c r="N315" s="2"/>
      <c r="O315" s="2"/>
      <c r="P315" s="2"/>
    </row>
    <row r="316" spans="1:16" ht="12.75">
      <c r="A316" s="2"/>
      <c r="B316" s="2"/>
      <c r="C316" s="2"/>
      <c r="D316" s="2"/>
      <c r="E316" s="2"/>
      <c r="F316" s="2"/>
      <c r="G316" s="2"/>
      <c r="H316" s="2"/>
      <c r="I316" s="2"/>
      <c r="J316" s="2"/>
      <c r="K316" s="2"/>
      <c r="L316" s="2"/>
      <c r="M316" s="2"/>
      <c r="N316" s="2"/>
      <c r="O316" s="2"/>
      <c r="P316" s="2"/>
    </row>
    <row r="317" spans="1:16" ht="12.75">
      <c r="A317" s="2"/>
      <c r="B317" s="2"/>
      <c r="C317" s="2"/>
      <c r="D317" s="2"/>
      <c r="E317" s="2"/>
      <c r="F317" s="2"/>
      <c r="G317" s="2"/>
      <c r="H317" s="2"/>
      <c r="I317" s="2"/>
      <c r="J317" s="2"/>
      <c r="K317" s="2"/>
      <c r="L317" s="2"/>
      <c r="M317" s="2"/>
      <c r="N317" s="2"/>
      <c r="O317" s="2"/>
      <c r="P317" s="2"/>
    </row>
    <row r="318" spans="1:16" ht="12.75">
      <c r="A318" s="2"/>
      <c r="B318" s="2"/>
      <c r="C318" s="2"/>
      <c r="D318" s="2"/>
      <c r="E318" s="2"/>
      <c r="F318" s="2"/>
      <c r="G318" s="2"/>
      <c r="H318" s="2"/>
      <c r="I318" s="2"/>
      <c r="J318" s="2"/>
      <c r="K318" s="2"/>
      <c r="L318" s="2"/>
      <c r="M318" s="2"/>
      <c r="N318" s="2"/>
      <c r="O318" s="2"/>
      <c r="P318" s="2"/>
    </row>
    <row r="319" spans="1:16" ht="12.75">
      <c r="A319" s="2"/>
      <c r="B319" s="2"/>
      <c r="C319" s="2"/>
      <c r="D319" s="2"/>
      <c r="E319" s="2"/>
      <c r="F319" s="2"/>
      <c r="G319" s="2"/>
      <c r="H319" s="2"/>
      <c r="I319" s="2"/>
      <c r="J319" s="2"/>
      <c r="K319" s="2"/>
      <c r="L319" s="2"/>
      <c r="M319" s="2"/>
      <c r="N319" s="2"/>
      <c r="O319" s="2"/>
      <c r="P319" s="2"/>
    </row>
    <row r="320" spans="1:16" ht="12.75">
      <c r="A320" s="2"/>
      <c r="B320" s="2"/>
      <c r="C320" s="2"/>
      <c r="D320" s="2"/>
      <c r="E320" s="2"/>
      <c r="F320" s="2"/>
      <c r="G320" s="2"/>
      <c r="H320" s="2"/>
      <c r="I320" s="2"/>
      <c r="J320" s="2"/>
      <c r="K320" s="2"/>
      <c r="L320" s="2"/>
      <c r="M320" s="2"/>
      <c r="N320" s="2"/>
      <c r="O320" s="2"/>
      <c r="P320" s="2"/>
    </row>
    <row r="321" spans="1:16" ht="12.75">
      <c r="A321" s="2"/>
      <c r="B321" s="2"/>
      <c r="C321" s="2"/>
      <c r="D321" s="2"/>
      <c r="E321" s="2"/>
      <c r="F321" s="2"/>
      <c r="G321" s="2"/>
      <c r="H321" s="2"/>
      <c r="I321" s="2"/>
      <c r="J321" s="2"/>
      <c r="K321" s="2"/>
      <c r="L321" s="2"/>
      <c r="M321" s="2"/>
      <c r="N321" s="2"/>
      <c r="O321" s="2"/>
      <c r="P321" s="2"/>
    </row>
    <row r="322" spans="1:16" ht="12.75">
      <c r="A322" s="2"/>
      <c r="B322" s="2"/>
      <c r="C322" s="2"/>
      <c r="D322" s="2"/>
      <c r="E322" s="2"/>
      <c r="F322" s="2"/>
      <c r="G322" s="2"/>
      <c r="H322" s="2"/>
      <c r="I322" s="2"/>
      <c r="J322" s="2"/>
      <c r="K322" s="2"/>
      <c r="L322" s="2"/>
      <c r="M322" s="2"/>
      <c r="N322" s="2"/>
      <c r="O322" s="2"/>
      <c r="P322" s="2"/>
    </row>
    <row r="323" spans="1:16" ht="12.75">
      <c r="A323" s="2"/>
      <c r="B323" s="2"/>
      <c r="C323" s="2"/>
      <c r="D323" s="2"/>
      <c r="E323" s="2"/>
      <c r="F323" s="2"/>
      <c r="G323" s="2"/>
      <c r="H323" s="2"/>
      <c r="I323" s="2"/>
      <c r="J323" s="2"/>
      <c r="K323" s="2"/>
      <c r="L323" s="2"/>
      <c r="M323" s="2"/>
      <c r="N323" s="2"/>
      <c r="O323" s="2"/>
      <c r="P323" s="2"/>
    </row>
    <row r="324" spans="1:16" ht="12.75">
      <c r="A324" s="2"/>
      <c r="B324" s="2"/>
      <c r="C324" s="2"/>
      <c r="D324" s="2"/>
      <c r="E324" s="2"/>
      <c r="F324" s="2"/>
      <c r="G324" s="2"/>
      <c r="H324" s="2"/>
      <c r="I324" s="2"/>
      <c r="J324" s="2"/>
      <c r="K324" s="2"/>
      <c r="L324" s="2"/>
      <c r="M324" s="2"/>
      <c r="N324" s="2"/>
      <c r="O324" s="2"/>
      <c r="P324" s="2"/>
    </row>
    <row r="325" spans="1:16" ht="12.75">
      <c r="A325" s="2"/>
      <c r="B325" s="2"/>
      <c r="C325" s="2"/>
      <c r="D325" s="2"/>
      <c r="E325" s="2"/>
      <c r="F325" s="2"/>
      <c r="G325" s="2"/>
      <c r="H325" s="2"/>
      <c r="I325" s="2"/>
      <c r="J325" s="2"/>
      <c r="K325" s="2"/>
      <c r="L325" s="2"/>
      <c r="M325" s="2"/>
      <c r="N325" s="2"/>
      <c r="O325" s="2"/>
      <c r="P325" s="2"/>
    </row>
    <row r="326" spans="1:16" ht="12.75">
      <c r="A326" s="2"/>
      <c r="B326" s="2"/>
      <c r="C326" s="2"/>
      <c r="D326" s="2"/>
      <c r="E326" s="2"/>
      <c r="F326" s="2"/>
      <c r="G326" s="2"/>
      <c r="H326" s="2"/>
      <c r="I326" s="2"/>
      <c r="J326" s="2"/>
      <c r="K326" s="2"/>
      <c r="L326" s="2"/>
      <c r="M326" s="2"/>
      <c r="N326" s="2"/>
      <c r="O326" s="2"/>
      <c r="P326" s="2"/>
    </row>
    <row r="327" spans="1:16" ht="12.75">
      <c r="A327" s="2"/>
      <c r="B327" s="2"/>
      <c r="C327" s="2"/>
      <c r="D327" s="2"/>
      <c r="E327" s="2"/>
      <c r="F327" s="2"/>
      <c r="G327" s="2"/>
      <c r="H327" s="2"/>
      <c r="I327" s="2"/>
      <c r="J327" s="2"/>
      <c r="K327" s="2"/>
      <c r="L327" s="2"/>
      <c r="M327" s="2"/>
      <c r="N327" s="2"/>
      <c r="O327" s="2"/>
      <c r="P327" s="2"/>
    </row>
    <row r="328" spans="1:16" ht="12.75">
      <c r="A328" s="2"/>
      <c r="B328" s="2"/>
      <c r="C328" s="2"/>
      <c r="D328" s="2"/>
      <c r="E328" s="2"/>
      <c r="F328" s="2"/>
      <c r="G328" s="2"/>
      <c r="H328" s="2"/>
      <c r="I328" s="2"/>
      <c r="J328" s="2"/>
      <c r="K328" s="2"/>
      <c r="L328" s="2"/>
      <c r="M328" s="2"/>
      <c r="N328" s="2"/>
      <c r="O328" s="2"/>
      <c r="P328" s="2"/>
    </row>
    <row r="329" spans="1:16" ht="12.75">
      <c r="A329" s="2"/>
      <c r="B329" s="2"/>
      <c r="C329" s="2"/>
      <c r="D329" s="2"/>
      <c r="E329" s="2"/>
      <c r="F329" s="2"/>
      <c r="G329" s="2"/>
      <c r="H329" s="2"/>
      <c r="I329" s="2"/>
      <c r="J329" s="2"/>
      <c r="K329" s="2"/>
      <c r="L329" s="2"/>
      <c r="M329" s="2"/>
      <c r="N329" s="2"/>
      <c r="O329" s="2"/>
      <c r="P329" s="2"/>
    </row>
    <row r="330" spans="1:16" ht="12.75">
      <c r="A330" s="2"/>
      <c r="B330" s="2"/>
      <c r="C330" s="2"/>
      <c r="D330" s="2"/>
      <c r="E330" s="2"/>
      <c r="F330" s="2"/>
      <c r="G330" s="2"/>
      <c r="H330" s="2"/>
      <c r="I330" s="2"/>
      <c r="J330" s="2"/>
      <c r="K330" s="2"/>
      <c r="L330" s="2"/>
      <c r="M330" s="2"/>
      <c r="N330" s="2"/>
      <c r="O330" s="2"/>
      <c r="P330" s="2"/>
    </row>
    <row r="331" spans="1:16" ht="12.75">
      <c r="A331" s="2"/>
      <c r="B331" s="2"/>
      <c r="C331" s="2"/>
      <c r="D331" s="2"/>
      <c r="E331" s="2"/>
      <c r="F331" s="2"/>
      <c r="G331" s="2"/>
      <c r="H331" s="2"/>
      <c r="I331" s="2"/>
      <c r="J331" s="2"/>
      <c r="K331" s="2"/>
      <c r="L331" s="2"/>
      <c r="M331" s="2"/>
      <c r="N331" s="2"/>
      <c r="O331" s="2"/>
      <c r="P331" s="2"/>
    </row>
    <row r="332" spans="1:16" ht="12.75">
      <c r="A332" s="2"/>
      <c r="B332" s="2"/>
      <c r="C332" s="2"/>
      <c r="D332" s="2"/>
      <c r="E332" s="2"/>
      <c r="F332" s="2"/>
      <c r="G332" s="2"/>
      <c r="H332" s="2"/>
      <c r="I332" s="2"/>
      <c r="J332" s="2"/>
      <c r="K332" s="2"/>
      <c r="L332" s="2"/>
      <c r="M332" s="2"/>
      <c r="N332" s="2"/>
      <c r="O332" s="2"/>
      <c r="P332" s="2"/>
    </row>
    <row r="333" spans="1:16" ht="12.75">
      <c r="A333" s="2"/>
      <c r="B333" s="2"/>
      <c r="C333" s="2"/>
      <c r="D333" s="2"/>
      <c r="E333" s="2"/>
      <c r="F333" s="2"/>
      <c r="G333" s="2"/>
      <c r="H333" s="2"/>
      <c r="I333" s="2"/>
      <c r="J333" s="2"/>
      <c r="K333" s="2"/>
      <c r="L333" s="2"/>
      <c r="M333" s="2"/>
      <c r="N333" s="2"/>
      <c r="O333" s="2"/>
      <c r="P333" s="2"/>
    </row>
    <row r="334" spans="1:16" ht="12.75">
      <c r="A334" s="2"/>
      <c r="B334" s="2"/>
      <c r="C334" s="2"/>
      <c r="D334" s="2"/>
      <c r="E334" s="2"/>
      <c r="F334" s="2"/>
      <c r="G334" s="2"/>
      <c r="H334" s="2"/>
      <c r="I334" s="2"/>
      <c r="J334" s="2"/>
      <c r="K334" s="2"/>
      <c r="L334" s="2"/>
      <c r="M334" s="2"/>
      <c r="N334" s="2"/>
      <c r="O334" s="2"/>
      <c r="P334" s="2"/>
    </row>
    <row r="335" spans="1:16" ht="12.75">
      <c r="A335" s="2"/>
      <c r="B335" s="2"/>
      <c r="C335" s="2"/>
      <c r="D335" s="2"/>
      <c r="E335" s="2"/>
      <c r="F335" s="2"/>
      <c r="G335" s="2"/>
      <c r="H335" s="2"/>
      <c r="I335" s="2"/>
      <c r="J335" s="2"/>
      <c r="K335" s="2"/>
      <c r="L335" s="2"/>
      <c r="M335" s="2"/>
      <c r="N335" s="2"/>
      <c r="O335" s="2"/>
      <c r="P335" s="2"/>
    </row>
    <row r="336" spans="1:16" ht="12.75">
      <c r="A336" s="2"/>
      <c r="B336" s="2"/>
      <c r="C336" s="2"/>
      <c r="D336" s="2"/>
      <c r="E336" s="2"/>
      <c r="F336" s="2"/>
      <c r="G336" s="2"/>
      <c r="H336" s="2"/>
      <c r="I336" s="2"/>
      <c r="J336" s="2"/>
      <c r="K336" s="2"/>
      <c r="L336" s="2"/>
      <c r="M336" s="2"/>
      <c r="N336" s="2"/>
      <c r="O336" s="2"/>
      <c r="P336" s="2"/>
    </row>
    <row r="337" spans="1:16" ht="12.75">
      <c r="A337" s="2"/>
      <c r="B337" s="2"/>
      <c r="C337" s="2"/>
      <c r="D337" s="2"/>
      <c r="E337" s="2"/>
      <c r="F337" s="2"/>
      <c r="G337" s="2"/>
      <c r="H337" s="2"/>
      <c r="I337" s="2"/>
      <c r="J337" s="2"/>
      <c r="K337" s="2"/>
      <c r="L337" s="2"/>
      <c r="M337" s="2"/>
      <c r="N337" s="2"/>
      <c r="O337" s="2"/>
      <c r="P337" s="2"/>
    </row>
    <row r="338" spans="1:16" ht="12.75">
      <c r="A338" s="2"/>
      <c r="B338" s="2"/>
      <c r="C338" s="2"/>
      <c r="D338" s="2"/>
      <c r="E338" s="2"/>
      <c r="F338" s="2"/>
      <c r="G338" s="2"/>
      <c r="H338" s="2"/>
      <c r="I338" s="2"/>
      <c r="J338" s="2"/>
      <c r="K338" s="2"/>
      <c r="L338" s="2"/>
      <c r="M338" s="2"/>
      <c r="N338" s="2"/>
      <c r="O338" s="2"/>
      <c r="P338" s="2"/>
    </row>
    <row r="339" spans="1:16" ht="12.75">
      <c r="A339" s="2"/>
      <c r="B339" s="2"/>
      <c r="C339" s="2"/>
      <c r="D339" s="2"/>
      <c r="E339" s="2"/>
      <c r="F339" s="2"/>
      <c r="G339" s="2"/>
      <c r="H339" s="2"/>
      <c r="I339" s="2"/>
      <c r="J339" s="2"/>
      <c r="K339" s="2"/>
      <c r="L339" s="2"/>
      <c r="M339" s="2"/>
      <c r="N339" s="2"/>
      <c r="O339" s="2"/>
      <c r="P339" s="2"/>
    </row>
    <row r="340" spans="1:16" ht="12.75">
      <c r="A340" s="2"/>
      <c r="B340" s="2"/>
      <c r="C340" s="2"/>
      <c r="D340" s="2"/>
      <c r="E340" s="2"/>
      <c r="F340" s="2"/>
      <c r="G340" s="2"/>
      <c r="H340" s="2"/>
      <c r="I340" s="2"/>
      <c r="J340" s="2"/>
      <c r="K340" s="2"/>
      <c r="L340" s="2"/>
      <c r="M340" s="2"/>
      <c r="N340" s="2"/>
      <c r="O340" s="2"/>
      <c r="P340" s="2"/>
    </row>
    <row r="341" spans="1:16" ht="12.75">
      <c r="A341" s="2"/>
      <c r="B341" s="2"/>
      <c r="C341" s="2"/>
      <c r="D341" s="2"/>
      <c r="E341" s="2"/>
      <c r="F341" s="2"/>
      <c r="G341" s="2"/>
      <c r="H341" s="2"/>
      <c r="I341" s="2"/>
      <c r="J341" s="2"/>
      <c r="K341" s="2"/>
      <c r="L341" s="2"/>
      <c r="M341" s="2"/>
      <c r="N341" s="2"/>
      <c r="O341" s="2"/>
      <c r="P341" s="2"/>
    </row>
    <row r="342" spans="1:16" ht="12.75">
      <c r="A342" s="2"/>
      <c r="B342" s="2"/>
      <c r="C342" s="2"/>
      <c r="D342" s="2"/>
      <c r="E342" s="2"/>
      <c r="F342" s="2"/>
      <c r="G342" s="2"/>
      <c r="H342" s="2"/>
      <c r="I342" s="2"/>
      <c r="J342" s="2"/>
      <c r="K342" s="2"/>
      <c r="L342" s="2"/>
      <c r="M342" s="2"/>
      <c r="N342" s="2"/>
      <c r="O342" s="2"/>
      <c r="P342" s="2"/>
    </row>
    <row r="343" spans="1:16" ht="12.75">
      <c r="A343" s="2"/>
      <c r="B343" s="2"/>
      <c r="C343" s="2"/>
      <c r="D343" s="2"/>
      <c r="E343" s="2"/>
      <c r="F343" s="2"/>
      <c r="G343" s="2"/>
      <c r="H343" s="2"/>
      <c r="I343" s="2"/>
      <c r="J343" s="2"/>
      <c r="K343" s="2"/>
      <c r="L343" s="2"/>
      <c r="M343" s="2"/>
      <c r="N343" s="2"/>
      <c r="O343" s="2"/>
      <c r="P343" s="2"/>
    </row>
    <row r="344" spans="1:16" ht="12.75">
      <c r="A344" s="2"/>
      <c r="B344" s="2"/>
      <c r="C344" s="2"/>
      <c r="D344" s="2"/>
      <c r="E344" s="2"/>
      <c r="F344" s="2"/>
      <c r="G344" s="2"/>
      <c r="H344" s="2"/>
      <c r="I344" s="2"/>
      <c r="J344" s="2"/>
      <c r="K344" s="2"/>
      <c r="L344" s="2"/>
      <c r="M344" s="2"/>
      <c r="N344" s="2"/>
      <c r="O344" s="2"/>
      <c r="P344" s="2"/>
    </row>
    <row r="345" spans="1:16" ht="12.75">
      <c r="A345" s="2"/>
      <c r="B345" s="2"/>
      <c r="C345" s="2"/>
      <c r="D345" s="2"/>
      <c r="E345" s="2"/>
      <c r="F345" s="2"/>
      <c r="G345" s="2"/>
      <c r="H345" s="2"/>
      <c r="I345" s="2"/>
      <c r="J345" s="2"/>
      <c r="K345" s="2"/>
      <c r="L345" s="2"/>
      <c r="M345" s="2"/>
      <c r="N345" s="2"/>
      <c r="O345" s="2"/>
      <c r="P345" s="2"/>
    </row>
    <row r="346" spans="1:16" ht="12.75">
      <c r="A346" s="2"/>
      <c r="B346" s="2"/>
      <c r="C346" s="2"/>
      <c r="D346" s="2"/>
      <c r="E346" s="2"/>
      <c r="F346" s="2"/>
      <c r="G346" s="2"/>
      <c r="H346" s="2"/>
      <c r="I346" s="2"/>
      <c r="J346" s="2"/>
      <c r="K346" s="2"/>
      <c r="L346" s="2"/>
      <c r="M346" s="2"/>
      <c r="N346" s="2"/>
      <c r="O346" s="2"/>
      <c r="P346" s="2"/>
    </row>
    <row r="347" spans="1:16" ht="12.75">
      <c r="A347" s="2"/>
      <c r="B347" s="2"/>
      <c r="C347" s="2"/>
      <c r="D347" s="2"/>
      <c r="E347" s="2"/>
      <c r="F347" s="2"/>
      <c r="G347" s="2"/>
      <c r="H347" s="2"/>
      <c r="I347" s="2"/>
      <c r="J347" s="2"/>
      <c r="K347" s="2"/>
      <c r="L347" s="2"/>
      <c r="M347" s="2"/>
      <c r="N347" s="2"/>
      <c r="O347" s="2"/>
      <c r="P347" s="2"/>
    </row>
    <row r="348" spans="1:16" ht="12.75">
      <c r="A348" s="2"/>
      <c r="B348" s="2"/>
      <c r="C348" s="2"/>
      <c r="D348" s="2"/>
      <c r="E348" s="2"/>
      <c r="F348" s="2"/>
      <c r="G348" s="2"/>
      <c r="H348" s="2"/>
      <c r="I348" s="2"/>
      <c r="J348" s="2"/>
      <c r="K348" s="2"/>
      <c r="L348" s="2"/>
      <c r="M348" s="2"/>
      <c r="N348" s="2"/>
      <c r="O348" s="2"/>
      <c r="P348" s="2"/>
    </row>
    <row r="349" spans="1:16" ht="12.75">
      <c r="A349" s="2"/>
      <c r="B349" s="2"/>
      <c r="C349" s="2"/>
      <c r="D349" s="2"/>
      <c r="E349" s="2"/>
      <c r="F349" s="2"/>
      <c r="G349" s="2"/>
      <c r="H349" s="2"/>
      <c r="I349" s="2"/>
      <c r="J349" s="2"/>
      <c r="K349" s="2"/>
      <c r="L349" s="2"/>
      <c r="M349" s="2"/>
      <c r="N349" s="2"/>
      <c r="O349" s="2"/>
      <c r="P349" s="2"/>
    </row>
    <row r="350" spans="1:16" ht="12.75">
      <c r="A350" s="2"/>
      <c r="B350" s="2"/>
      <c r="C350" s="2"/>
      <c r="D350" s="2"/>
      <c r="E350" s="2"/>
      <c r="F350" s="2"/>
      <c r="G350" s="2"/>
      <c r="H350" s="2"/>
      <c r="I350" s="2"/>
      <c r="J350" s="2"/>
      <c r="K350" s="2"/>
      <c r="L350" s="2"/>
      <c r="M350" s="2"/>
      <c r="N350" s="2"/>
      <c r="O350" s="2"/>
      <c r="P350" s="2"/>
    </row>
    <row r="351" spans="1:16" ht="12.75">
      <c r="A351" s="2"/>
      <c r="B351" s="2"/>
      <c r="C351" s="2"/>
      <c r="D351" s="2"/>
      <c r="E351" s="2"/>
      <c r="F351" s="2"/>
      <c r="G351" s="2"/>
      <c r="H351" s="2"/>
      <c r="I351" s="2"/>
      <c r="J351" s="2"/>
      <c r="K351" s="2"/>
      <c r="L351" s="2"/>
      <c r="M351" s="2"/>
      <c r="N351" s="2"/>
      <c r="O351" s="2"/>
      <c r="P351" s="2"/>
    </row>
    <row r="352" spans="1:16" ht="12.75">
      <c r="A352" s="2"/>
      <c r="B352" s="2"/>
      <c r="C352" s="2"/>
      <c r="D352" s="2"/>
      <c r="E352" s="2"/>
      <c r="F352" s="2"/>
      <c r="G352" s="2"/>
      <c r="H352" s="2"/>
      <c r="I352" s="2"/>
      <c r="J352" s="2"/>
      <c r="K352" s="2"/>
      <c r="L352" s="2"/>
      <c r="M352" s="2"/>
      <c r="N352" s="2"/>
      <c r="O352" s="2"/>
      <c r="P352" s="2"/>
    </row>
    <row r="353" spans="1:16" ht="12.75">
      <c r="A353" s="2"/>
      <c r="B353" s="2"/>
      <c r="C353" s="2"/>
      <c r="D353" s="2"/>
      <c r="E353" s="2"/>
      <c r="F353" s="2"/>
      <c r="G353" s="2"/>
      <c r="H353" s="2"/>
      <c r="I353" s="2"/>
      <c r="J353" s="2"/>
      <c r="K353" s="2"/>
      <c r="L353" s="2"/>
      <c r="M353" s="2"/>
      <c r="N353" s="2"/>
      <c r="O353" s="2"/>
      <c r="P353" s="2"/>
    </row>
    <row r="354" spans="1:16" ht="12.75">
      <c r="A354" s="2"/>
      <c r="B354" s="2"/>
      <c r="C354" s="2"/>
      <c r="D354" s="2"/>
      <c r="E354" s="2"/>
      <c r="F354" s="2"/>
      <c r="G354" s="2"/>
      <c r="H354" s="2"/>
      <c r="I354" s="2"/>
      <c r="J354" s="2"/>
      <c r="K354" s="2"/>
      <c r="L354" s="2"/>
      <c r="M354" s="2"/>
      <c r="N354" s="2"/>
      <c r="O354" s="2"/>
      <c r="P354" s="2"/>
    </row>
    <row r="355" spans="1:16" ht="12.75">
      <c r="A355" s="2"/>
      <c r="B355" s="2"/>
      <c r="C355" s="2"/>
      <c r="D355" s="2"/>
      <c r="E355" s="2"/>
      <c r="F355" s="2"/>
      <c r="G355" s="2"/>
      <c r="H355" s="2"/>
      <c r="I355" s="2"/>
      <c r="J355" s="2"/>
      <c r="K355" s="2"/>
      <c r="L355" s="2"/>
      <c r="M355" s="2"/>
      <c r="N355" s="2"/>
      <c r="O355" s="2"/>
      <c r="P355" s="2"/>
    </row>
    <row r="356" spans="1:16" ht="12.75">
      <c r="A356" s="2"/>
      <c r="B356" s="2"/>
      <c r="C356" s="2"/>
      <c r="D356" s="2"/>
      <c r="E356" s="2"/>
      <c r="F356" s="2"/>
      <c r="G356" s="2"/>
      <c r="H356" s="2"/>
      <c r="I356" s="2"/>
      <c r="J356" s="2"/>
      <c r="K356" s="2"/>
      <c r="L356" s="2"/>
      <c r="M356" s="2"/>
      <c r="N356" s="2"/>
      <c r="O356" s="2"/>
      <c r="P356" s="2"/>
    </row>
    <row r="357" spans="1:16" ht="12.75">
      <c r="A357" s="2"/>
      <c r="B357" s="2"/>
      <c r="C357" s="2"/>
      <c r="D357" s="2"/>
      <c r="E357" s="2"/>
      <c r="F357" s="2"/>
      <c r="G357" s="2"/>
      <c r="H357" s="2"/>
      <c r="I357" s="2"/>
      <c r="J357" s="2"/>
      <c r="K357" s="2"/>
      <c r="L357" s="2"/>
      <c r="M357" s="2"/>
      <c r="N357" s="2"/>
      <c r="O357" s="2"/>
      <c r="P357" s="2"/>
    </row>
    <row r="358" spans="1:16" ht="12.75">
      <c r="A358" s="2"/>
      <c r="B358" s="2"/>
      <c r="C358" s="2"/>
      <c r="D358" s="2"/>
      <c r="E358" s="2"/>
      <c r="F358" s="2"/>
      <c r="G358" s="2"/>
      <c r="H358" s="2"/>
      <c r="I358" s="2"/>
      <c r="J358" s="2"/>
      <c r="K358" s="2"/>
      <c r="L358" s="2"/>
      <c r="M358" s="2"/>
      <c r="N358" s="2"/>
      <c r="O358" s="2"/>
      <c r="P358" s="2"/>
    </row>
    <row r="359" spans="1:16" ht="12.75">
      <c r="A359" s="2"/>
      <c r="B359" s="2"/>
      <c r="C359" s="2"/>
      <c r="D359" s="2"/>
      <c r="E359" s="2"/>
      <c r="F359" s="2"/>
      <c r="G359" s="2"/>
      <c r="H359" s="2"/>
      <c r="I359" s="2"/>
      <c r="J359" s="2"/>
      <c r="K359" s="2"/>
      <c r="L359" s="2"/>
      <c r="M359" s="2"/>
      <c r="N359" s="2"/>
      <c r="O359" s="2"/>
      <c r="P359" s="2"/>
    </row>
    <row r="360" spans="1:16" ht="12.75">
      <c r="A360" s="2"/>
      <c r="B360" s="2"/>
      <c r="C360" s="2"/>
      <c r="D360" s="2"/>
      <c r="E360" s="2"/>
      <c r="F360" s="2"/>
      <c r="G360" s="2"/>
      <c r="H360" s="2"/>
      <c r="I360" s="2"/>
      <c r="J360" s="2"/>
      <c r="K360" s="2"/>
      <c r="L360" s="2"/>
      <c r="M360" s="2"/>
      <c r="N360" s="2"/>
      <c r="O360" s="2"/>
      <c r="P360" s="2"/>
    </row>
    <row r="361" spans="1:16" ht="12.75">
      <c r="A361" s="2"/>
      <c r="B361" s="2"/>
      <c r="C361" s="2"/>
      <c r="D361" s="2"/>
      <c r="E361" s="2"/>
      <c r="F361" s="2"/>
      <c r="G361" s="2"/>
      <c r="H361" s="2"/>
      <c r="I361" s="2"/>
      <c r="J361" s="2"/>
      <c r="K361" s="2"/>
      <c r="L361" s="2"/>
      <c r="M361" s="2"/>
      <c r="N361" s="2"/>
      <c r="O361" s="2"/>
      <c r="P361" s="2"/>
    </row>
    <row r="362" spans="1:16" ht="12.75">
      <c r="A362" s="2"/>
      <c r="B362" s="2"/>
      <c r="C362" s="2"/>
      <c r="D362" s="2"/>
      <c r="E362" s="2"/>
      <c r="F362" s="2"/>
      <c r="G362" s="2"/>
      <c r="H362" s="2"/>
      <c r="I362" s="2"/>
      <c r="J362" s="2"/>
      <c r="K362" s="2"/>
      <c r="L362" s="2"/>
      <c r="M362" s="2"/>
      <c r="N362" s="2"/>
      <c r="O362" s="2"/>
      <c r="P362" s="2"/>
    </row>
    <row r="363" spans="1:16" ht="12.75">
      <c r="A363" s="2"/>
      <c r="B363" s="2"/>
      <c r="C363" s="2"/>
      <c r="D363" s="2"/>
      <c r="E363" s="2"/>
      <c r="F363" s="2"/>
      <c r="G363" s="2"/>
      <c r="H363" s="2"/>
      <c r="I363" s="2"/>
      <c r="J363" s="2"/>
      <c r="K363" s="2"/>
      <c r="L363" s="2"/>
      <c r="M363" s="2"/>
      <c r="N363" s="2"/>
      <c r="O363" s="2"/>
      <c r="P363" s="2"/>
    </row>
    <row r="364" spans="1:16" ht="12.75">
      <c r="A364" s="2"/>
      <c r="B364" s="2"/>
      <c r="C364" s="2"/>
      <c r="D364" s="2"/>
      <c r="E364" s="2"/>
      <c r="F364" s="2"/>
      <c r="G364" s="2"/>
      <c r="H364" s="2"/>
      <c r="I364" s="2"/>
      <c r="J364" s="2"/>
      <c r="K364" s="2"/>
      <c r="L364" s="2"/>
      <c r="M364" s="2"/>
      <c r="N364" s="2"/>
      <c r="O364" s="2"/>
      <c r="P364" s="2"/>
    </row>
    <row r="365" spans="1:16" ht="12.75">
      <c r="A365" s="2"/>
      <c r="B365" s="2"/>
      <c r="C365" s="2"/>
      <c r="D365" s="2"/>
      <c r="E365" s="2"/>
      <c r="F365" s="2"/>
      <c r="G365" s="2"/>
      <c r="H365" s="2"/>
      <c r="I365" s="2"/>
      <c r="J365" s="2"/>
      <c r="K365" s="2"/>
      <c r="L365" s="2"/>
      <c r="M365" s="2"/>
      <c r="N365" s="2"/>
      <c r="O365" s="2"/>
      <c r="P365" s="2"/>
    </row>
    <row r="366" spans="1:16" ht="12.75">
      <c r="A366" s="2"/>
      <c r="B366" s="2"/>
      <c r="C366" s="2"/>
      <c r="D366" s="2"/>
      <c r="E366" s="2"/>
      <c r="F366" s="2"/>
      <c r="G366" s="2"/>
      <c r="H366" s="2"/>
      <c r="I366" s="2"/>
      <c r="J366" s="2"/>
      <c r="K366" s="2"/>
      <c r="L366" s="2"/>
      <c r="M366" s="2"/>
      <c r="N366" s="2"/>
      <c r="O366" s="2"/>
      <c r="P366" s="2"/>
    </row>
    <row r="367" spans="1:16" ht="12.75">
      <c r="A367" s="2"/>
      <c r="B367" s="2"/>
      <c r="C367" s="2"/>
      <c r="D367" s="2"/>
      <c r="E367" s="2"/>
      <c r="F367" s="2"/>
      <c r="G367" s="2"/>
      <c r="H367" s="2"/>
      <c r="I367" s="2"/>
      <c r="J367" s="2"/>
      <c r="K367" s="2"/>
      <c r="L367" s="2"/>
      <c r="M367" s="2"/>
      <c r="N367" s="2"/>
      <c r="O367" s="2"/>
      <c r="P367" s="2"/>
    </row>
    <row r="368" spans="1:16" ht="12.75">
      <c r="A368" s="2"/>
      <c r="B368" s="2"/>
      <c r="C368" s="2"/>
      <c r="D368" s="2"/>
      <c r="E368" s="2"/>
      <c r="F368" s="2"/>
      <c r="G368" s="2"/>
      <c r="H368" s="2"/>
      <c r="I368" s="2"/>
      <c r="J368" s="2"/>
      <c r="K368" s="2"/>
      <c r="L368" s="2"/>
      <c r="M368" s="2"/>
      <c r="N368" s="2"/>
      <c r="O368" s="2"/>
      <c r="P368" s="2"/>
    </row>
    <row r="369" spans="1:16" ht="12.75">
      <c r="A369" s="2"/>
      <c r="B369" s="2"/>
      <c r="C369" s="2"/>
      <c r="D369" s="2"/>
      <c r="E369" s="2"/>
      <c r="F369" s="2"/>
      <c r="G369" s="2"/>
      <c r="H369" s="2"/>
      <c r="I369" s="2"/>
      <c r="J369" s="2"/>
      <c r="K369" s="2"/>
      <c r="L369" s="2"/>
      <c r="M369" s="2"/>
      <c r="N369" s="2"/>
      <c r="O369" s="2"/>
      <c r="P369" s="2"/>
    </row>
    <row r="370" spans="1:16" ht="12.75">
      <c r="A370" s="2"/>
      <c r="B370" s="2"/>
      <c r="C370" s="2"/>
      <c r="D370" s="2"/>
      <c r="E370" s="2"/>
      <c r="F370" s="2"/>
      <c r="G370" s="2"/>
      <c r="H370" s="2"/>
      <c r="I370" s="2"/>
      <c r="J370" s="2"/>
      <c r="K370" s="2"/>
      <c r="L370" s="2"/>
      <c r="M370" s="2"/>
      <c r="N370" s="2"/>
      <c r="O370" s="2"/>
      <c r="P370" s="2"/>
    </row>
    <row r="371" spans="1:16" ht="12.75">
      <c r="A371" s="2"/>
      <c r="B371" s="2"/>
      <c r="C371" s="2"/>
      <c r="D371" s="2"/>
      <c r="E371" s="2"/>
      <c r="F371" s="2"/>
      <c r="G371" s="2"/>
      <c r="H371" s="2"/>
      <c r="I371" s="2"/>
      <c r="J371" s="2"/>
      <c r="K371" s="2"/>
      <c r="L371" s="2"/>
      <c r="M371" s="2"/>
      <c r="N371" s="2"/>
      <c r="O371" s="2"/>
      <c r="P371" s="2"/>
    </row>
    <row r="372" spans="1:16" ht="12.75">
      <c r="A372" s="2"/>
      <c r="B372" s="2"/>
      <c r="C372" s="2"/>
      <c r="D372" s="2"/>
      <c r="E372" s="2"/>
      <c r="F372" s="2"/>
      <c r="G372" s="2"/>
      <c r="H372" s="2"/>
      <c r="I372" s="2"/>
      <c r="J372" s="2"/>
      <c r="K372" s="2"/>
      <c r="L372" s="2"/>
      <c r="M372" s="2"/>
      <c r="N372" s="2"/>
      <c r="O372" s="2"/>
      <c r="P372" s="2"/>
    </row>
    <row r="373" spans="1:16" ht="12.75">
      <c r="A373" s="2"/>
      <c r="B373" s="2"/>
      <c r="C373" s="2"/>
      <c r="D373" s="2"/>
      <c r="E373" s="2"/>
      <c r="F373" s="2"/>
      <c r="G373" s="2"/>
      <c r="H373" s="2"/>
      <c r="I373" s="2"/>
      <c r="J373" s="2"/>
      <c r="K373" s="2"/>
      <c r="L373" s="2"/>
      <c r="M373" s="2"/>
      <c r="N373" s="2"/>
      <c r="O373" s="2"/>
      <c r="P373" s="2"/>
    </row>
    <row r="374" spans="1:16" ht="12.75">
      <c r="A374" s="2"/>
      <c r="B374" s="2"/>
      <c r="C374" s="2"/>
      <c r="D374" s="2"/>
      <c r="E374" s="2"/>
      <c r="F374" s="2"/>
      <c r="G374" s="2"/>
      <c r="H374" s="2"/>
      <c r="I374" s="2"/>
      <c r="J374" s="2"/>
      <c r="K374" s="2"/>
      <c r="L374" s="2"/>
      <c r="M374" s="2"/>
      <c r="N374" s="2"/>
      <c r="O374" s="2"/>
      <c r="P374" s="2"/>
    </row>
    <row r="375" spans="1:16" ht="12.75">
      <c r="A375" s="2"/>
      <c r="B375" s="2"/>
      <c r="C375" s="2"/>
      <c r="D375" s="2"/>
      <c r="E375" s="2"/>
      <c r="F375" s="2"/>
      <c r="G375" s="2"/>
      <c r="H375" s="2"/>
      <c r="I375" s="2"/>
      <c r="J375" s="2"/>
      <c r="K375" s="2"/>
      <c r="L375" s="2"/>
      <c r="M375" s="2"/>
      <c r="N375" s="2"/>
      <c r="O375" s="2"/>
      <c r="P375" s="2"/>
    </row>
    <row r="376" spans="1:16" ht="12.75">
      <c r="A376" s="2"/>
      <c r="B376" s="2"/>
      <c r="C376" s="2"/>
      <c r="D376" s="2"/>
      <c r="E376" s="2"/>
      <c r="F376" s="2"/>
      <c r="G376" s="2"/>
      <c r="H376" s="2"/>
      <c r="I376" s="2"/>
      <c r="J376" s="2"/>
      <c r="K376" s="2"/>
      <c r="L376" s="2"/>
      <c r="M376" s="2"/>
      <c r="N376" s="2"/>
      <c r="O376" s="2"/>
      <c r="P376" s="2"/>
    </row>
    <row r="377" spans="1:16" ht="12.75">
      <c r="A377" s="2"/>
      <c r="B377" s="2"/>
      <c r="C377" s="2"/>
      <c r="D377" s="2"/>
      <c r="E377" s="2"/>
      <c r="F377" s="2"/>
      <c r="G377" s="2"/>
      <c r="H377" s="2"/>
      <c r="I377" s="2"/>
      <c r="J377" s="2"/>
      <c r="K377" s="2"/>
      <c r="L377" s="2"/>
      <c r="M377" s="2"/>
      <c r="N377" s="2"/>
      <c r="O377" s="2"/>
      <c r="P377" s="2"/>
    </row>
    <row r="378" spans="1:16" ht="12.75">
      <c r="A378" s="2"/>
      <c r="B378" s="2"/>
      <c r="C378" s="2"/>
      <c r="D378" s="2"/>
      <c r="E378" s="2"/>
      <c r="F378" s="2"/>
      <c r="G378" s="2"/>
      <c r="H378" s="2"/>
      <c r="I378" s="2"/>
      <c r="J378" s="2"/>
      <c r="K378" s="2"/>
      <c r="L378" s="2"/>
      <c r="M378" s="2"/>
      <c r="N378" s="2"/>
      <c r="O378" s="2"/>
      <c r="P378" s="2"/>
    </row>
    <row r="379" spans="1:16" ht="12.75">
      <c r="A379" s="2"/>
      <c r="B379" s="2"/>
      <c r="C379" s="2"/>
      <c r="D379" s="2"/>
      <c r="E379" s="2"/>
      <c r="F379" s="2"/>
      <c r="G379" s="2"/>
      <c r="H379" s="2"/>
      <c r="I379" s="2"/>
      <c r="J379" s="2"/>
      <c r="K379" s="2"/>
      <c r="L379" s="2"/>
      <c r="M379" s="2"/>
      <c r="N379" s="2"/>
      <c r="O379" s="2"/>
      <c r="P379" s="2"/>
    </row>
    <row r="380" spans="1:16" ht="12.75">
      <c r="A380" s="2"/>
      <c r="B380" s="2"/>
      <c r="C380" s="2"/>
      <c r="D380" s="2"/>
      <c r="E380" s="2"/>
      <c r="F380" s="2"/>
      <c r="G380" s="2"/>
      <c r="H380" s="2"/>
      <c r="I380" s="2"/>
      <c r="J380" s="2"/>
      <c r="K380" s="2"/>
      <c r="L380" s="2"/>
      <c r="M380" s="2"/>
      <c r="N380" s="2"/>
      <c r="O380" s="2"/>
      <c r="P380" s="2"/>
    </row>
    <row r="381" spans="1:16" ht="12.75">
      <c r="A381" s="2"/>
      <c r="B381" s="2"/>
      <c r="C381" s="2"/>
      <c r="D381" s="2"/>
      <c r="E381" s="2"/>
      <c r="F381" s="2"/>
      <c r="G381" s="2"/>
      <c r="H381" s="2"/>
      <c r="I381" s="2"/>
      <c r="J381" s="2"/>
      <c r="K381" s="2"/>
      <c r="L381" s="2"/>
      <c r="M381" s="2"/>
      <c r="N381" s="2"/>
      <c r="O381" s="2"/>
      <c r="P381" s="2"/>
    </row>
    <row r="382" spans="1:16" ht="12.75">
      <c r="A382" s="2"/>
      <c r="B382" s="2"/>
      <c r="C382" s="2"/>
      <c r="D382" s="2"/>
      <c r="E382" s="2"/>
      <c r="F382" s="2"/>
      <c r="G382" s="2"/>
      <c r="H382" s="2"/>
      <c r="I382" s="2"/>
      <c r="J382" s="2"/>
      <c r="K382" s="2"/>
      <c r="L382" s="2"/>
      <c r="M382" s="2"/>
      <c r="N382" s="2"/>
      <c r="O382" s="2"/>
      <c r="P382" s="2"/>
    </row>
    <row r="383" spans="1:16" ht="12.75">
      <c r="A383" s="2"/>
      <c r="B383" s="2"/>
      <c r="C383" s="2"/>
      <c r="D383" s="2"/>
      <c r="E383" s="2"/>
      <c r="F383" s="2"/>
      <c r="G383" s="2"/>
      <c r="H383" s="2"/>
      <c r="I383" s="2"/>
      <c r="J383" s="2"/>
      <c r="K383" s="2"/>
      <c r="L383" s="2"/>
      <c r="M383" s="2"/>
      <c r="N383" s="2"/>
      <c r="O383" s="2"/>
      <c r="P383" s="2"/>
    </row>
    <row r="384" spans="1:16" ht="12.75">
      <c r="A384" s="2"/>
      <c r="B384" s="2"/>
      <c r="C384" s="2"/>
      <c r="D384" s="2"/>
      <c r="E384" s="2"/>
      <c r="F384" s="2"/>
      <c r="G384" s="2"/>
      <c r="H384" s="2"/>
      <c r="I384" s="2"/>
      <c r="J384" s="2"/>
      <c r="K384" s="2"/>
      <c r="L384" s="2"/>
      <c r="M384" s="2"/>
      <c r="N384" s="2"/>
      <c r="O384" s="2"/>
      <c r="P384" s="2"/>
    </row>
    <row r="385" spans="1:16" ht="12.75">
      <c r="A385" s="2"/>
      <c r="B385" s="2"/>
      <c r="C385" s="2"/>
      <c r="D385" s="2"/>
      <c r="E385" s="2"/>
      <c r="F385" s="2"/>
      <c r="G385" s="2"/>
      <c r="H385" s="2"/>
      <c r="I385" s="2"/>
      <c r="J385" s="2"/>
      <c r="K385" s="2"/>
      <c r="L385" s="2"/>
      <c r="M385" s="2"/>
      <c r="N385" s="2"/>
      <c r="O385" s="2"/>
      <c r="P385" s="2"/>
    </row>
    <row r="386" spans="1:16" ht="12.75">
      <c r="A386" s="2"/>
      <c r="B386" s="2"/>
      <c r="C386" s="2"/>
      <c r="D386" s="2"/>
      <c r="E386" s="2"/>
      <c r="F386" s="2"/>
      <c r="G386" s="2"/>
      <c r="H386" s="2"/>
      <c r="I386" s="2"/>
      <c r="J386" s="2"/>
      <c r="K386" s="2"/>
      <c r="L386" s="2"/>
      <c r="M386" s="2"/>
      <c r="N386" s="2"/>
      <c r="O386" s="2"/>
      <c r="P386" s="2"/>
    </row>
    <row r="387" spans="1:16" ht="12.75">
      <c r="A387" s="2"/>
      <c r="B387" s="2"/>
      <c r="C387" s="2"/>
      <c r="D387" s="2"/>
      <c r="E387" s="2"/>
      <c r="F387" s="2"/>
      <c r="G387" s="2"/>
      <c r="H387" s="2"/>
      <c r="I387" s="2"/>
      <c r="J387" s="2"/>
      <c r="K387" s="2"/>
      <c r="L387" s="2"/>
      <c r="M387" s="2"/>
      <c r="N387" s="2"/>
      <c r="O387" s="2"/>
      <c r="P387" s="2"/>
    </row>
    <row r="388" spans="1:16" ht="12.75">
      <c r="A388" s="2"/>
      <c r="B388" s="2"/>
      <c r="C388" s="2"/>
      <c r="D388" s="2"/>
      <c r="E388" s="2"/>
      <c r="F388" s="2"/>
      <c r="G388" s="2"/>
      <c r="H388" s="2"/>
      <c r="I388" s="2"/>
      <c r="J388" s="2"/>
      <c r="K388" s="2"/>
      <c r="L388" s="2"/>
      <c r="M388" s="2"/>
      <c r="N388" s="2"/>
      <c r="O388" s="2"/>
      <c r="P388" s="2"/>
    </row>
    <row r="389" spans="1:16" ht="12.75">
      <c r="A389" s="2"/>
      <c r="B389" s="2"/>
      <c r="C389" s="2"/>
      <c r="D389" s="2"/>
      <c r="E389" s="2"/>
      <c r="F389" s="2"/>
      <c r="G389" s="2"/>
      <c r="H389" s="2"/>
      <c r="I389" s="2"/>
      <c r="J389" s="2"/>
      <c r="K389" s="2"/>
      <c r="L389" s="2"/>
      <c r="M389" s="2"/>
      <c r="N389" s="2"/>
      <c r="O389" s="2"/>
      <c r="P389" s="2"/>
    </row>
    <row r="390" spans="1:16" ht="12.75">
      <c r="A390" s="2"/>
      <c r="B390" s="2"/>
      <c r="C390" s="2"/>
      <c r="D390" s="2"/>
      <c r="E390" s="2"/>
      <c r="F390" s="2"/>
      <c r="G390" s="2"/>
      <c r="H390" s="2"/>
      <c r="I390" s="2"/>
      <c r="J390" s="2"/>
      <c r="K390" s="2"/>
      <c r="L390" s="2"/>
      <c r="M390" s="2"/>
      <c r="N390" s="2"/>
      <c r="O390" s="2"/>
      <c r="P390" s="2"/>
    </row>
    <row r="391" spans="1:16" ht="12.75">
      <c r="A391" s="2"/>
      <c r="B391" s="2"/>
      <c r="C391" s="2"/>
      <c r="D391" s="2"/>
      <c r="E391" s="2"/>
      <c r="F391" s="2"/>
      <c r="G391" s="2"/>
      <c r="H391" s="2"/>
      <c r="I391" s="2"/>
      <c r="J391" s="2"/>
      <c r="K391" s="2"/>
      <c r="L391" s="2"/>
      <c r="M391" s="2"/>
      <c r="N391" s="2"/>
      <c r="O391" s="2"/>
      <c r="P391" s="2"/>
    </row>
    <row r="392" spans="1:16" ht="12.75">
      <c r="A392" s="2"/>
      <c r="B392" s="2"/>
      <c r="C392" s="2"/>
      <c r="D392" s="2"/>
      <c r="E392" s="2"/>
      <c r="F392" s="2"/>
      <c r="G392" s="2"/>
      <c r="H392" s="2"/>
      <c r="I392" s="2"/>
      <c r="J392" s="2"/>
      <c r="K392" s="2"/>
      <c r="L392" s="2"/>
      <c r="M392" s="2"/>
      <c r="N392" s="2"/>
      <c r="O392" s="2"/>
      <c r="P392" s="2"/>
    </row>
    <row r="393" spans="1:16" ht="12.75">
      <c r="A393" s="2"/>
      <c r="B393" s="2"/>
      <c r="C393" s="2"/>
      <c r="D393" s="2"/>
      <c r="E393" s="2"/>
      <c r="F393" s="2"/>
      <c r="G393" s="2"/>
      <c r="H393" s="2"/>
      <c r="I393" s="2"/>
      <c r="J393" s="2"/>
      <c r="K393" s="2"/>
      <c r="L393" s="2"/>
      <c r="M393" s="2"/>
      <c r="N393" s="2"/>
      <c r="O393" s="2"/>
      <c r="P393" s="2"/>
    </row>
    <row r="394" spans="1:16" ht="12.75">
      <c r="A394" s="2"/>
      <c r="B394" s="2"/>
      <c r="C394" s="2"/>
      <c r="D394" s="2"/>
      <c r="E394" s="2"/>
      <c r="F394" s="2"/>
      <c r="G394" s="2"/>
      <c r="H394" s="2"/>
      <c r="I394" s="2"/>
      <c r="J394" s="2"/>
      <c r="K394" s="2"/>
      <c r="L394" s="2"/>
      <c r="M394" s="2"/>
      <c r="N394" s="2"/>
      <c r="O394" s="2"/>
      <c r="P394" s="2"/>
    </row>
    <row r="395" spans="1:16" ht="12.75">
      <c r="A395" s="2"/>
      <c r="B395" s="2"/>
      <c r="C395" s="2"/>
      <c r="D395" s="2"/>
      <c r="E395" s="2"/>
      <c r="F395" s="2"/>
      <c r="G395" s="2"/>
      <c r="H395" s="2"/>
      <c r="I395" s="2"/>
      <c r="J395" s="2"/>
      <c r="K395" s="2"/>
      <c r="L395" s="2"/>
      <c r="M395" s="2"/>
      <c r="N395" s="2"/>
      <c r="O395" s="2"/>
      <c r="P395" s="2"/>
    </row>
    <row r="396" spans="1:16" ht="12.75">
      <c r="A396" s="2"/>
      <c r="B396" s="2"/>
      <c r="C396" s="2"/>
      <c r="D396" s="2"/>
      <c r="E396" s="2"/>
      <c r="F396" s="2"/>
      <c r="G396" s="2"/>
      <c r="H396" s="2"/>
      <c r="I396" s="2"/>
      <c r="J396" s="2"/>
      <c r="K396" s="2"/>
      <c r="L396" s="2"/>
      <c r="M396" s="2"/>
      <c r="N396" s="2"/>
      <c r="O396" s="2"/>
      <c r="P396" s="2"/>
    </row>
    <row r="397" spans="1:16" ht="12.75">
      <c r="A397" s="2"/>
      <c r="B397" s="2"/>
      <c r="C397" s="2"/>
      <c r="D397" s="2"/>
      <c r="E397" s="2"/>
      <c r="F397" s="2"/>
      <c r="G397" s="2"/>
      <c r="H397" s="2"/>
      <c r="I397" s="2"/>
      <c r="J397" s="2"/>
      <c r="K397" s="2"/>
      <c r="L397" s="2"/>
      <c r="M397" s="2"/>
      <c r="N397" s="2"/>
      <c r="O397" s="2"/>
      <c r="P397" s="2"/>
    </row>
    <row r="398" spans="1:16" ht="12.75">
      <c r="A398" s="2"/>
      <c r="B398" s="2"/>
      <c r="C398" s="2"/>
      <c r="D398" s="2"/>
      <c r="E398" s="2"/>
      <c r="F398" s="2"/>
      <c r="G398" s="2"/>
      <c r="H398" s="2"/>
      <c r="I398" s="2"/>
      <c r="J398" s="2"/>
      <c r="K398" s="2"/>
      <c r="L398" s="2"/>
      <c r="M398" s="2"/>
      <c r="N398" s="2"/>
      <c r="O398" s="2"/>
      <c r="P398" s="2"/>
    </row>
    <row r="399" spans="1:16" ht="12.75">
      <c r="A399" s="2"/>
      <c r="B399" s="2"/>
      <c r="C399" s="2"/>
      <c r="D399" s="2"/>
      <c r="E399" s="2"/>
      <c r="F399" s="2"/>
      <c r="G399" s="2"/>
      <c r="H399" s="2"/>
      <c r="I399" s="2"/>
      <c r="J399" s="2"/>
      <c r="K399" s="2"/>
      <c r="L399" s="2"/>
      <c r="M399" s="2"/>
      <c r="N399" s="2"/>
      <c r="O399" s="2"/>
      <c r="P399" s="2"/>
    </row>
    <row r="400" spans="1:16" ht="12.75">
      <c r="A400" s="2"/>
      <c r="B400" s="2"/>
      <c r="C400" s="2"/>
      <c r="D400" s="2"/>
      <c r="E400" s="2"/>
      <c r="F400" s="2"/>
      <c r="G400" s="2"/>
      <c r="H400" s="2"/>
      <c r="I400" s="2"/>
      <c r="J400" s="2"/>
      <c r="K400" s="2"/>
      <c r="L400" s="2"/>
      <c r="M400" s="2"/>
      <c r="N400" s="2"/>
      <c r="O400" s="2"/>
      <c r="P400" s="2"/>
    </row>
    <row r="401" spans="1:16" ht="12.75">
      <c r="A401" s="2"/>
      <c r="B401" s="2"/>
      <c r="C401" s="2"/>
      <c r="D401" s="2"/>
      <c r="E401" s="2"/>
      <c r="F401" s="2"/>
      <c r="G401" s="2"/>
      <c r="H401" s="2"/>
      <c r="I401" s="2"/>
      <c r="J401" s="2"/>
      <c r="K401" s="2"/>
      <c r="L401" s="2"/>
      <c r="M401" s="2"/>
      <c r="N401" s="2"/>
      <c r="O401" s="2"/>
      <c r="P401" s="2"/>
    </row>
    <row r="402" spans="1:16" ht="12.75">
      <c r="A402" s="2"/>
      <c r="B402" s="2"/>
      <c r="C402" s="2"/>
      <c r="D402" s="2"/>
      <c r="E402" s="2"/>
      <c r="F402" s="2"/>
      <c r="G402" s="2"/>
      <c r="H402" s="2"/>
      <c r="I402" s="2"/>
      <c r="J402" s="2"/>
      <c r="K402" s="2"/>
      <c r="L402" s="2"/>
      <c r="M402" s="2"/>
      <c r="N402" s="2"/>
      <c r="O402" s="2"/>
      <c r="P402" s="2"/>
    </row>
    <row r="403" spans="1:16" ht="12.75">
      <c r="A403" s="2"/>
      <c r="B403" s="2"/>
      <c r="C403" s="2"/>
      <c r="D403" s="2"/>
      <c r="E403" s="2"/>
      <c r="F403" s="2"/>
      <c r="G403" s="2"/>
      <c r="H403" s="2"/>
      <c r="I403" s="2"/>
      <c r="J403" s="2"/>
      <c r="K403" s="2"/>
      <c r="L403" s="2"/>
      <c r="M403" s="2"/>
      <c r="N403" s="2"/>
      <c r="O403" s="2"/>
      <c r="P403" s="2"/>
    </row>
    <row r="404" spans="1:16" ht="12.75">
      <c r="A404" s="2"/>
      <c r="B404" s="2"/>
      <c r="C404" s="2"/>
      <c r="D404" s="2"/>
      <c r="E404" s="2"/>
      <c r="F404" s="2"/>
      <c r="G404" s="2"/>
      <c r="H404" s="2"/>
      <c r="I404" s="2"/>
      <c r="J404" s="2"/>
      <c r="K404" s="2"/>
      <c r="L404" s="2"/>
      <c r="M404" s="2"/>
      <c r="N404" s="2"/>
      <c r="O404" s="2"/>
      <c r="P404" s="2"/>
    </row>
    <row r="405" spans="1:16" ht="12.75">
      <c r="A405" s="2"/>
      <c r="B405" s="2"/>
      <c r="C405" s="2"/>
      <c r="D405" s="2"/>
      <c r="E405" s="2"/>
      <c r="F405" s="2"/>
      <c r="G405" s="2"/>
      <c r="H405" s="2"/>
      <c r="I405" s="2"/>
      <c r="J405" s="2"/>
      <c r="K405" s="2"/>
      <c r="L405" s="2"/>
      <c r="M405" s="2"/>
      <c r="N405" s="2"/>
      <c r="O405" s="2"/>
      <c r="P405" s="2"/>
    </row>
    <row r="406" spans="1:16" ht="12.75">
      <c r="A406" s="2"/>
      <c r="B406" s="2"/>
      <c r="C406" s="2"/>
      <c r="D406" s="2"/>
      <c r="E406" s="2"/>
      <c r="F406" s="2"/>
      <c r="G406" s="2"/>
      <c r="H406" s="2"/>
      <c r="I406" s="2"/>
      <c r="J406" s="2"/>
      <c r="K406" s="2"/>
      <c r="L406" s="2"/>
      <c r="M406" s="2"/>
      <c r="N406" s="2"/>
      <c r="O406" s="2"/>
      <c r="P406" s="2"/>
    </row>
    <row r="407" spans="1:16" ht="12.75">
      <c r="A407" s="2"/>
      <c r="B407" s="2"/>
      <c r="C407" s="2"/>
      <c r="D407" s="2"/>
      <c r="E407" s="2"/>
      <c r="F407" s="2"/>
      <c r="G407" s="2"/>
      <c r="H407" s="2"/>
      <c r="I407" s="2"/>
      <c r="J407" s="2"/>
      <c r="K407" s="2"/>
      <c r="L407" s="2"/>
      <c r="M407" s="2"/>
      <c r="N407" s="2"/>
      <c r="O407" s="2"/>
      <c r="P407" s="2"/>
    </row>
    <row r="408" spans="1:16" ht="12.75">
      <c r="A408" s="2"/>
      <c r="B408" s="2"/>
      <c r="C408" s="2"/>
      <c r="D408" s="2"/>
      <c r="E408" s="2"/>
      <c r="F408" s="2"/>
      <c r="G408" s="2"/>
      <c r="H408" s="2"/>
      <c r="I408" s="2"/>
      <c r="J408" s="2"/>
      <c r="K408" s="2"/>
      <c r="L408" s="2"/>
      <c r="M408" s="2"/>
      <c r="N408" s="2"/>
      <c r="O408" s="2"/>
      <c r="P408" s="2"/>
    </row>
    <row r="409" spans="1:16" ht="12.75">
      <c r="A409" s="2"/>
      <c r="B409" s="2"/>
      <c r="C409" s="2"/>
      <c r="D409" s="2"/>
      <c r="E409" s="2"/>
      <c r="F409" s="2"/>
      <c r="G409" s="2"/>
      <c r="H409" s="2"/>
      <c r="I409" s="2"/>
      <c r="J409" s="2"/>
      <c r="K409" s="2"/>
      <c r="L409" s="2"/>
      <c r="M409" s="2"/>
      <c r="N409" s="2"/>
      <c r="O409" s="2"/>
      <c r="P409" s="2"/>
    </row>
    <row r="410" spans="1:16" ht="12.75">
      <c r="A410" s="2"/>
      <c r="B410" s="2"/>
      <c r="C410" s="2"/>
      <c r="D410" s="2"/>
      <c r="E410" s="2"/>
      <c r="F410" s="2"/>
      <c r="G410" s="2"/>
      <c r="H410" s="2"/>
      <c r="I410" s="2"/>
      <c r="J410" s="2"/>
      <c r="K410" s="2"/>
      <c r="L410" s="2"/>
      <c r="M410" s="2"/>
      <c r="N410" s="2"/>
      <c r="O410" s="2"/>
      <c r="P410" s="2"/>
    </row>
    <row r="411" spans="1:16" ht="12.75">
      <c r="A411" s="2"/>
      <c r="B411" s="2"/>
      <c r="C411" s="2"/>
      <c r="D411" s="2"/>
      <c r="E411" s="2"/>
      <c r="F411" s="2"/>
      <c r="G411" s="2"/>
      <c r="H411" s="2"/>
      <c r="I411" s="2"/>
      <c r="J411" s="2"/>
      <c r="K411" s="2"/>
      <c r="L411" s="2"/>
      <c r="M411" s="2"/>
      <c r="N411" s="2"/>
      <c r="O411" s="2"/>
      <c r="P411" s="2"/>
    </row>
    <row r="412" spans="1:16" ht="12.75">
      <c r="A412" s="2"/>
      <c r="B412" s="2"/>
      <c r="C412" s="2"/>
      <c r="D412" s="2"/>
      <c r="E412" s="2"/>
      <c r="F412" s="2"/>
      <c r="G412" s="2"/>
      <c r="H412" s="2"/>
      <c r="I412" s="2"/>
      <c r="J412" s="2"/>
      <c r="K412" s="2"/>
      <c r="L412" s="2"/>
      <c r="M412" s="2"/>
      <c r="N412" s="2"/>
      <c r="O412" s="2"/>
      <c r="P412" s="2"/>
    </row>
    <row r="413" spans="1:16" ht="12.75">
      <c r="A413" s="2"/>
      <c r="B413" s="2"/>
      <c r="C413" s="2"/>
      <c r="D413" s="2"/>
      <c r="E413" s="2"/>
      <c r="F413" s="2"/>
      <c r="G413" s="2"/>
      <c r="H413" s="2"/>
      <c r="I413" s="2"/>
      <c r="J413" s="2"/>
      <c r="K413" s="2"/>
      <c r="L413" s="2"/>
      <c r="M413" s="2"/>
      <c r="N413" s="2"/>
      <c r="O413" s="2"/>
      <c r="P413" s="2"/>
    </row>
    <row r="414" spans="1:16" ht="12.75">
      <c r="A414" s="2"/>
      <c r="B414" s="2"/>
      <c r="C414" s="2"/>
      <c r="D414" s="2"/>
      <c r="E414" s="2"/>
      <c r="F414" s="2"/>
      <c r="G414" s="2"/>
      <c r="H414" s="2"/>
      <c r="I414" s="2"/>
      <c r="J414" s="2"/>
      <c r="K414" s="2"/>
      <c r="L414" s="2"/>
      <c r="M414" s="2"/>
      <c r="N414" s="2"/>
      <c r="O414" s="2"/>
      <c r="P414" s="2"/>
    </row>
    <row r="415" spans="1:16" ht="12.75">
      <c r="A415" s="2"/>
      <c r="B415" s="2"/>
      <c r="C415" s="2"/>
      <c r="D415" s="2"/>
      <c r="E415" s="2"/>
      <c r="F415" s="2"/>
      <c r="G415" s="2"/>
      <c r="H415" s="2"/>
      <c r="I415" s="2"/>
      <c r="J415" s="2"/>
      <c r="K415" s="2"/>
      <c r="L415" s="2"/>
      <c r="M415" s="2"/>
      <c r="N415" s="2"/>
      <c r="O415" s="2"/>
      <c r="P415" s="2"/>
    </row>
    <row r="416" spans="1:16" ht="12.75">
      <c r="A416" s="2"/>
      <c r="B416" s="2"/>
      <c r="C416" s="2"/>
      <c r="D416" s="2"/>
      <c r="E416" s="2"/>
      <c r="F416" s="2"/>
      <c r="G416" s="2"/>
      <c r="H416" s="2"/>
      <c r="I416" s="2"/>
      <c r="J416" s="2"/>
      <c r="K416" s="2"/>
      <c r="L416" s="2"/>
      <c r="M416" s="2"/>
      <c r="N416" s="2"/>
      <c r="O416" s="2"/>
      <c r="P416" s="2"/>
    </row>
    <row r="417" spans="1:16" ht="12.75">
      <c r="A417" s="2"/>
      <c r="B417" s="2"/>
      <c r="C417" s="2"/>
      <c r="D417" s="2"/>
      <c r="E417" s="2"/>
      <c r="F417" s="2"/>
      <c r="G417" s="2"/>
      <c r="H417" s="2"/>
      <c r="I417" s="2"/>
      <c r="J417" s="2"/>
      <c r="K417" s="2"/>
      <c r="L417" s="2"/>
      <c r="M417" s="2"/>
      <c r="N417" s="2"/>
      <c r="O417" s="2"/>
      <c r="P417" s="2"/>
    </row>
    <row r="418" spans="1:16" ht="12.75">
      <c r="A418" s="2"/>
      <c r="B418" s="2"/>
      <c r="C418" s="2"/>
      <c r="D418" s="2"/>
      <c r="E418" s="2"/>
      <c r="F418" s="2"/>
      <c r="G418" s="2"/>
      <c r="H418" s="2"/>
      <c r="I418" s="2"/>
      <c r="J418" s="2"/>
      <c r="K418" s="2"/>
      <c r="L418" s="2"/>
      <c r="M418" s="2"/>
      <c r="N418" s="2"/>
      <c r="O418" s="2"/>
      <c r="P418" s="2"/>
    </row>
    <row r="419" spans="1:16" ht="12.75">
      <c r="A419" s="2"/>
      <c r="B419" s="2"/>
      <c r="C419" s="2"/>
      <c r="D419" s="2"/>
      <c r="E419" s="2"/>
      <c r="F419" s="2"/>
      <c r="G419" s="2"/>
      <c r="H419" s="2"/>
      <c r="I419" s="2"/>
      <c r="J419" s="2"/>
      <c r="K419" s="2"/>
      <c r="L419" s="2"/>
      <c r="M419" s="2"/>
      <c r="N419" s="2"/>
      <c r="O419" s="2"/>
      <c r="P419" s="2"/>
    </row>
    <row r="420" spans="1:16" ht="12.75">
      <c r="A420" s="2"/>
      <c r="B420" s="2"/>
      <c r="C420" s="2"/>
      <c r="D420" s="2"/>
      <c r="E420" s="2"/>
      <c r="F420" s="2"/>
      <c r="G420" s="2"/>
      <c r="H420" s="2"/>
      <c r="I420" s="2"/>
      <c r="J420" s="2"/>
      <c r="K420" s="2"/>
      <c r="L420" s="2"/>
      <c r="M420" s="2"/>
      <c r="N420" s="2"/>
      <c r="O420" s="2"/>
      <c r="P420" s="2"/>
    </row>
    <row r="421" spans="1:16" ht="12.75">
      <c r="A421" s="2"/>
      <c r="B421" s="2"/>
      <c r="C421" s="2"/>
      <c r="D421" s="2"/>
      <c r="E421" s="2"/>
      <c r="F421" s="2"/>
      <c r="G421" s="2"/>
      <c r="H421" s="2"/>
      <c r="I421" s="2"/>
      <c r="J421" s="2"/>
      <c r="K421" s="2"/>
      <c r="L421" s="2"/>
      <c r="M421" s="2"/>
      <c r="N421" s="2"/>
      <c r="O421" s="2"/>
      <c r="P421" s="2"/>
    </row>
    <row r="422" spans="1:16" ht="12.75">
      <c r="A422" s="2"/>
      <c r="B422" s="2"/>
      <c r="C422" s="2"/>
      <c r="D422" s="2"/>
      <c r="E422" s="2"/>
      <c r="F422" s="2"/>
      <c r="G422" s="2"/>
      <c r="H422" s="2"/>
      <c r="I422" s="2"/>
      <c r="J422" s="2"/>
      <c r="K422" s="2"/>
      <c r="L422" s="2"/>
      <c r="M422" s="2"/>
      <c r="N422" s="2"/>
      <c r="O422" s="2"/>
      <c r="P422" s="2"/>
    </row>
    <row r="423" spans="1:16" ht="12.75">
      <c r="A423" s="2"/>
      <c r="B423" s="2"/>
      <c r="C423" s="2"/>
      <c r="D423" s="2"/>
      <c r="E423" s="2"/>
      <c r="F423" s="2"/>
      <c r="G423" s="2"/>
      <c r="H423" s="2"/>
      <c r="I423" s="2"/>
      <c r="J423" s="2"/>
      <c r="K423" s="2"/>
      <c r="L423" s="2"/>
      <c r="M423" s="2"/>
      <c r="N423" s="2"/>
      <c r="O423" s="2"/>
      <c r="P423" s="2"/>
    </row>
    <row r="424" spans="1:16" ht="12.75">
      <c r="A424" s="2"/>
      <c r="B424" s="2"/>
      <c r="C424" s="2"/>
      <c r="D424" s="2"/>
      <c r="E424" s="2"/>
      <c r="F424" s="2"/>
      <c r="G424" s="2"/>
      <c r="H424" s="2"/>
      <c r="I424" s="2"/>
      <c r="J424" s="2"/>
      <c r="K424" s="2"/>
      <c r="L424" s="2"/>
      <c r="M424" s="2"/>
      <c r="N424" s="2"/>
      <c r="O424" s="2"/>
      <c r="P424" s="2"/>
    </row>
    <row r="425" spans="1:16" ht="12.75">
      <c r="A425" s="2"/>
      <c r="B425" s="2"/>
      <c r="C425" s="2"/>
      <c r="D425" s="2"/>
      <c r="E425" s="2"/>
      <c r="F425" s="2"/>
      <c r="G425" s="2"/>
      <c r="H425" s="2"/>
      <c r="I425" s="2"/>
      <c r="J425" s="2"/>
      <c r="K425" s="2"/>
      <c r="L425" s="2"/>
      <c r="M425" s="2"/>
      <c r="N425" s="2"/>
      <c r="O425" s="2"/>
      <c r="P425" s="2"/>
    </row>
    <row r="426" spans="1:16" ht="12.75">
      <c r="A426" s="2"/>
      <c r="B426" s="2"/>
      <c r="C426" s="2"/>
      <c r="D426" s="2"/>
      <c r="E426" s="2"/>
      <c r="F426" s="2"/>
      <c r="G426" s="2"/>
      <c r="H426" s="2"/>
      <c r="I426" s="2"/>
      <c r="J426" s="2"/>
      <c r="K426" s="2"/>
      <c r="L426" s="2"/>
      <c r="M426" s="2"/>
      <c r="N426" s="2"/>
      <c r="O426" s="2"/>
      <c r="P426" s="2"/>
    </row>
    <row r="427" spans="1:16" ht="12.75">
      <c r="A427" s="2"/>
      <c r="B427" s="2"/>
      <c r="C427" s="2"/>
      <c r="D427" s="2"/>
      <c r="E427" s="2"/>
      <c r="F427" s="2"/>
      <c r="G427" s="2"/>
      <c r="H427" s="2"/>
      <c r="I427" s="2"/>
      <c r="J427" s="2"/>
      <c r="K427" s="2"/>
      <c r="L427" s="2"/>
      <c r="M427" s="2"/>
      <c r="N427" s="2"/>
      <c r="O427" s="2"/>
      <c r="P427" s="2"/>
    </row>
    <row r="428" spans="1:16" ht="12.75">
      <c r="A428" s="2"/>
      <c r="B428" s="2"/>
      <c r="C428" s="2"/>
      <c r="D428" s="2"/>
      <c r="E428" s="2"/>
      <c r="F428" s="2"/>
      <c r="G428" s="2"/>
      <c r="H428" s="2"/>
      <c r="I428" s="2"/>
      <c r="J428" s="2"/>
      <c r="K428" s="2"/>
      <c r="L428" s="2"/>
      <c r="M428" s="2"/>
      <c r="N428" s="2"/>
      <c r="O428" s="2"/>
      <c r="P428" s="2"/>
    </row>
    <row r="429" spans="1:16" ht="12.75">
      <c r="A429" s="2"/>
      <c r="B429" s="2"/>
      <c r="C429" s="2"/>
      <c r="D429" s="2"/>
      <c r="E429" s="2"/>
      <c r="F429" s="2"/>
      <c r="G429" s="2"/>
      <c r="H429" s="2"/>
      <c r="I429" s="2"/>
      <c r="J429" s="2"/>
      <c r="K429" s="2"/>
      <c r="L429" s="2"/>
      <c r="M429" s="2"/>
      <c r="N429" s="2"/>
      <c r="O429" s="2"/>
      <c r="P429" s="2"/>
    </row>
    <row r="430" spans="1:16" ht="12.75">
      <c r="A430" s="2"/>
      <c r="B430" s="2"/>
      <c r="C430" s="2"/>
      <c r="D430" s="2"/>
      <c r="E430" s="2"/>
      <c r="F430" s="2"/>
      <c r="G430" s="2"/>
      <c r="H430" s="2"/>
      <c r="I430" s="2"/>
      <c r="J430" s="2"/>
      <c r="K430" s="2"/>
      <c r="L430" s="2"/>
      <c r="M430" s="2"/>
      <c r="N430" s="2"/>
      <c r="O430" s="2"/>
      <c r="P430" s="2"/>
    </row>
    <row r="431" spans="1:16" ht="12.75">
      <c r="A431" s="2"/>
      <c r="B431" s="2"/>
      <c r="C431" s="2"/>
      <c r="D431" s="2"/>
      <c r="E431" s="2"/>
      <c r="F431" s="2"/>
      <c r="G431" s="2"/>
      <c r="H431" s="2"/>
      <c r="I431" s="2"/>
      <c r="J431" s="2"/>
      <c r="K431" s="2"/>
      <c r="L431" s="2"/>
      <c r="M431" s="2"/>
      <c r="N431" s="2"/>
      <c r="O431" s="2"/>
      <c r="P431" s="2"/>
    </row>
    <row r="432" spans="1:16" ht="12.75">
      <c r="A432" s="2"/>
      <c r="B432" s="2"/>
      <c r="C432" s="2"/>
      <c r="D432" s="2"/>
      <c r="E432" s="2"/>
      <c r="F432" s="2"/>
      <c r="G432" s="2"/>
      <c r="H432" s="2"/>
      <c r="I432" s="2"/>
      <c r="J432" s="2"/>
      <c r="K432" s="2"/>
      <c r="L432" s="2"/>
      <c r="M432" s="2"/>
      <c r="N432" s="2"/>
      <c r="O432" s="2"/>
      <c r="P432" s="2"/>
    </row>
    <row r="433" spans="1:16" ht="12.75">
      <c r="A433" s="2"/>
      <c r="B433" s="2"/>
      <c r="C433" s="2"/>
      <c r="D433" s="2"/>
      <c r="E433" s="2"/>
      <c r="F433" s="2"/>
      <c r="G433" s="2"/>
      <c r="H433" s="2"/>
      <c r="I433" s="2"/>
      <c r="J433" s="2"/>
      <c r="K433" s="2"/>
      <c r="L433" s="2"/>
      <c r="M433" s="2"/>
      <c r="N433" s="2"/>
      <c r="O433" s="2"/>
      <c r="P433" s="2"/>
    </row>
    <row r="434" spans="1:16" ht="12.75">
      <c r="A434" s="2"/>
      <c r="B434" s="2"/>
      <c r="C434" s="2"/>
      <c r="D434" s="2"/>
      <c r="E434" s="2"/>
      <c r="F434" s="2"/>
      <c r="G434" s="2"/>
      <c r="H434" s="2"/>
      <c r="I434" s="2"/>
      <c r="J434" s="2"/>
      <c r="K434" s="2"/>
      <c r="L434" s="2"/>
      <c r="M434" s="2"/>
      <c r="N434" s="2"/>
      <c r="O434" s="2"/>
      <c r="P434" s="2"/>
    </row>
    <row r="435" spans="1:16" ht="12.75">
      <c r="A435" s="2"/>
      <c r="B435" s="2"/>
      <c r="C435" s="2"/>
      <c r="D435" s="2"/>
      <c r="E435" s="2"/>
      <c r="F435" s="2"/>
      <c r="G435" s="2"/>
      <c r="H435" s="2"/>
      <c r="I435" s="2"/>
      <c r="J435" s="2"/>
      <c r="K435" s="2"/>
      <c r="L435" s="2"/>
      <c r="M435" s="2"/>
      <c r="N435" s="2"/>
      <c r="O435" s="2"/>
      <c r="P435" s="2"/>
    </row>
    <row r="436" spans="1:16" ht="12.75">
      <c r="A436" s="2"/>
      <c r="B436" s="2"/>
      <c r="C436" s="2"/>
      <c r="D436" s="2"/>
      <c r="E436" s="2"/>
      <c r="F436" s="2"/>
      <c r="G436" s="2"/>
      <c r="H436" s="2"/>
      <c r="I436" s="2"/>
      <c r="J436" s="2"/>
      <c r="K436" s="2"/>
      <c r="L436" s="2"/>
      <c r="M436" s="2"/>
      <c r="N436" s="2"/>
      <c r="O436" s="2"/>
      <c r="P436" s="2"/>
    </row>
    <row r="437" spans="1:16" ht="12.75">
      <c r="A437" s="2"/>
      <c r="B437" s="2"/>
      <c r="C437" s="2"/>
      <c r="D437" s="2"/>
      <c r="E437" s="2"/>
      <c r="F437" s="2"/>
      <c r="G437" s="2"/>
      <c r="H437" s="2"/>
      <c r="I437" s="2"/>
      <c r="J437" s="2"/>
      <c r="K437" s="2"/>
      <c r="L437" s="2"/>
      <c r="M437" s="2"/>
      <c r="N437" s="2"/>
      <c r="O437" s="2"/>
      <c r="P437" s="2"/>
    </row>
    <row r="438" spans="1:16" ht="12.75">
      <c r="A438" s="2"/>
      <c r="B438" s="2"/>
      <c r="C438" s="2"/>
      <c r="D438" s="2"/>
      <c r="E438" s="2"/>
      <c r="F438" s="2"/>
      <c r="G438" s="2"/>
      <c r="H438" s="2"/>
      <c r="I438" s="2"/>
      <c r="J438" s="2"/>
      <c r="K438" s="2"/>
      <c r="L438" s="2"/>
      <c r="M438" s="2"/>
      <c r="N438" s="2"/>
      <c r="O438" s="2"/>
      <c r="P438" s="2"/>
    </row>
    <row r="439" spans="1:16" ht="12.75">
      <c r="A439" s="2"/>
      <c r="B439" s="2"/>
      <c r="C439" s="2"/>
      <c r="D439" s="2"/>
      <c r="E439" s="2"/>
      <c r="F439" s="2"/>
      <c r="G439" s="2"/>
      <c r="H439" s="2"/>
      <c r="I439" s="2"/>
      <c r="J439" s="2"/>
      <c r="K439" s="2"/>
      <c r="L439" s="2"/>
      <c r="M439" s="2"/>
      <c r="N439" s="2"/>
      <c r="O439" s="2"/>
      <c r="P439" s="2"/>
    </row>
    <row r="440" spans="1:16" ht="12.75">
      <c r="A440" s="2"/>
      <c r="B440" s="2"/>
      <c r="C440" s="2"/>
      <c r="D440" s="2"/>
      <c r="E440" s="2"/>
      <c r="F440" s="2"/>
      <c r="G440" s="2"/>
      <c r="H440" s="2"/>
      <c r="I440" s="2"/>
      <c r="J440" s="2"/>
      <c r="K440" s="2"/>
      <c r="L440" s="2"/>
      <c r="M440" s="2"/>
      <c r="N440" s="2"/>
      <c r="O440" s="2"/>
      <c r="P440" s="2"/>
    </row>
    <row r="441" spans="1:16" ht="12.75">
      <c r="A441" s="2"/>
      <c r="B441" s="2"/>
      <c r="C441" s="2"/>
      <c r="D441" s="2"/>
      <c r="E441" s="2"/>
      <c r="F441" s="2"/>
      <c r="G441" s="2"/>
      <c r="H441" s="2"/>
      <c r="I441" s="2"/>
      <c r="J441" s="2"/>
      <c r="K441" s="2"/>
      <c r="L441" s="2"/>
      <c r="M441" s="2"/>
      <c r="N441" s="2"/>
      <c r="O441" s="2"/>
      <c r="P441" s="2"/>
    </row>
    <row r="442" spans="1:16" ht="12.75">
      <c r="A442" s="2"/>
      <c r="B442" s="2"/>
      <c r="C442" s="2"/>
      <c r="D442" s="2"/>
      <c r="E442" s="2"/>
      <c r="F442" s="2"/>
      <c r="G442" s="2"/>
      <c r="H442" s="2"/>
      <c r="I442" s="2"/>
      <c r="J442" s="2"/>
      <c r="K442" s="2"/>
      <c r="L442" s="2"/>
      <c r="M442" s="2"/>
      <c r="N442" s="2"/>
      <c r="O442" s="2"/>
      <c r="P442" s="2"/>
    </row>
    <row r="443" spans="1:16" ht="12.75">
      <c r="A443" s="2"/>
      <c r="B443" s="2"/>
      <c r="C443" s="2"/>
      <c r="D443" s="2"/>
      <c r="E443" s="2"/>
      <c r="F443" s="2"/>
      <c r="G443" s="2"/>
      <c r="H443" s="2"/>
      <c r="I443" s="2"/>
      <c r="J443" s="2"/>
      <c r="K443" s="2"/>
      <c r="L443" s="2"/>
      <c r="M443" s="2"/>
      <c r="N443" s="2"/>
      <c r="O443" s="2"/>
      <c r="P443" s="2"/>
    </row>
    <row r="444" spans="1:16" ht="12.75">
      <c r="A444" s="2"/>
      <c r="B444" s="2"/>
      <c r="C444" s="2"/>
      <c r="D444" s="2"/>
      <c r="E444" s="2"/>
      <c r="F444" s="2"/>
      <c r="G444" s="2"/>
      <c r="H444" s="2"/>
      <c r="I444" s="2"/>
      <c r="J444" s="2"/>
      <c r="K444" s="2"/>
      <c r="L444" s="2"/>
      <c r="M444" s="2"/>
      <c r="N444" s="2"/>
      <c r="O444" s="2"/>
      <c r="P444" s="2"/>
    </row>
    <row r="445" spans="1:16" ht="12.75">
      <c r="A445" s="2"/>
      <c r="B445" s="2"/>
      <c r="C445" s="2"/>
      <c r="D445" s="2"/>
      <c r="E445" s="2"/>
      <c r="F445" s="2"/>
      <c r="G445" s="2"/>
      <c r="H445" s="2"/>
      <c r="I445" s="2"/>
      <c r="J445" s="2"/>
      <c r="K445" s="2"/>
      <c r="L445" s="2"/>
      <c r="M445" s="2"/>
      <c r="N445" s="2"/>
      <c r="O445" s="2"/>
      <c r="P445" s="2"/>
    </row>
    <row r="446" spans="1:16" ht="12.75">
      <c r="A446" s="2"/>
      <c r="B446" s="2"/>
      <c r="C446" s="2"/>
      <c r="D446" s="2"/>
      <c r="E446" s="2"/>
      <c r="F446" s="2"/>
      <c r="G446" s="2"/>
      <c r="H446" s="2"/>
      <c r="I446" s="2"/>
      <c r="J446" s="2"/>
      <c r="K446" s="2"/>
      <c r="L446" s="2"/>
      <c r="M446" s="2"/>
      <c r="N446" s="2"/>
      <c r="O446" s="2"/>
      <c r="P446" s="2"/>
    </row>
    <row r="447" spans="1:16" ht="12.75">
      <c r="A447" s="2"/>
      <c r="B447" s="2"/>
      <c r="C447" s="2"/>
      <c r="D447" s="2"/>
      <c r="E447" s="2"/>
      <c r="F447" s="2"/>
      <c r="G447" s="2"/>
      <c r="H447" s="2"/>
      <c r="I447" s="2"/>
      <c r="J447" s="2"/>
      <c r="K447" s="2"/>
      <c r="L447" s="2"/>
      <c r="M447" s="2"/>
      <c r="N447" s="2"/>
      <c r="O447" s="2"/>
      <c r="P447" s="2"/>
    </row>
    <row r="448" spans="1:16" ht="12.75">
      <c r="A448" s="2"/>
      <c r="B448" s="2"/>
      <c r="C448" s="2"/>
      <c r="D448" s="2"/>
      <c r="E448" s="2"/>
      <c r="F448" s="2"/>
      <c r="G448" s="2"/>
      <c r="H448" s="2"/>
      <c r="I448" s="2"/>
      <c r="J448" s="2"/>
      <c r="K448" s="2"/>
      <c r="L448" s="2"/>
      <c r="M448" s="2"/>
      <c r="N448" s="2"/>
      <c r="O448" s="2"/>
      <c r="P448" s="2"/>
    </row>
    <row r="449" spans="1:16" ht="12.75">
      <c r="A449" s="2"/>
      <c r="B449" s="2"/>
      <c r="C449" s="2"/>
      <c r="D449" s="2"/>
      <c r="E449" s="2"/>
      <c r="F449" s="2"/>
      <c r="G449" s="2"/>
      <c r="H449" s="2"/>
      <c r="I449" s="2"/>
      <c r="J449" s="2"/>
      <c r="K449" s="2"/>
      <c r="L449" s="2"/>
      <c r="M449" s="2"/>
      <c r="N449" s="2"/>
      <c r="O449" s="2"/>
      <c r="P449" s="2"/>
    </row>
    <row r="450" spans="1:16" ht="12.75">
      <c r="A450" s="2"/>
      <c r="B450" s="2"/>
      <c r="C450" s="2"/>
      <c r="D450" s="2"/>
      <c r="E450" s="2"/>
      <c r="F450" s="2"/>
      <c r="G450" s="2"/>
      <c r="H450" s="2"/>
      <c r="I450" s="2"/>
      <c r="J450" s="2"/>
      <c r="K450" s="2"/>
      <c r="L450" s="2"/>
      <c r="M450" s="2"/>
      <c r="N450" s="2"/>
      <c r="O450" s="2"/>
      <c r="P450" s="2"/>
    </row>
    <row r="451" spans="1:16" ht="12.75">
      <c r="A451" s="2"/>
      <c r="B451" s="2"/>
      <c r="C451" s="2"/>
      <c r="D451" s="2"/>
      <c r="E451" s="2"/>
      <c r="F451" s="2"/>
      <c r="G451" s="2"/>
      <c r="H451" s="2"/>
      <c r="I451" s="2"/>
      <c r="J451" s="2"/>
      <c r="K451" s="2"/>
      <c r="L451" s="2"/>
      <c r="M451" s="2"/>
      <c r="N451" s="2"/>
      <c r="O451" s="2"/>
      <c r="P451" s="2"/>
    </row>
    <row r="452" spans="1:16" ht="12.75">
      <c r="A452" s="2"/>
      <c r="B452" s="2"/>
      <c r="C452" s="2"/>
      <c r="D452" s="2"/>
      <c r="E452" s="2"/>
      <c r="F452" s="2"/>
      <c r="G452" s="2"/>
      <c r="H452" s="2"/>
      <c r="I452" s="2"/>
      <c r="J452" s="2"/>
      <c r="K452" s="2"/>
      <c r="L452" s="2"/>
      <c r="M452" s="2"/>
      <c r="N452" s="2"/>
      <c r="O452" s="2"/>
      <c r="P452" s="2"/>
    </row>
    <row r="453" spans="1:16" ht="12.75">
      <c r="A453" s="2"/>
      <c r="B453" s="2"/>
      <c r="C453" s="2"/>
      <c r="D453" s="2"/>
      <c r="E453" s="2"/>
      <c r="F453" s="2"/>
      <c r="G453" s="2"/>
      <c r="H453" s="2"/>
      <c r="I453" s="2"/>
      <c r="J453" s="2"/>
      <c r="K453" s="2"/>
      <c r="L453" s="2"/>
      <c r="M453" s="2"/>
      <c r="N453" s="2"/>
      <c r="O453" s="2"/>
      <c r="P453" s="2"/>
    </row>
    <row r="454" spans="1:16" ht="12.75">
      <c r="A454" s="2"/>
      <c r="B454" s="2"/>
      <c r="C454" s="2"/>
      <c r="D454" s="2"/>
      <c r="E454" s="2"/>
      <c r="F454" s="2"/>
      <c r="G454" s="2"/>
      <c r="H454" s="2"/>
      <c r="I454" s="2"/>
      <c r="J454" s="2"/>
      <c r="K454" s="2"/>
      <c r="L454" s="2"/>
      <c r="M454" s="2"/>
      <c r="N454" s="2"/>
      <c r="O454" s="2"/>
      <c r="P454" s="2"/>
    </row>
    <row r="455" spans="1:16" ht="12.75">
      <c r="A455" s="2"/>
      <c r="B455" s="2"/>
      <c r="C455" s="2"/>
      <c r="D455" s="2"/>
      <c r="E455" s="2"/>
      <c r="F455" s="2"/>
      <c r="G455" s="2"/>
      <c r="H455" s="2"/>
      <c r="I455" s="2"/>
      <c r="J455" s="2"/>
      <c r="K455" s="2"/>
      <c r="L455" s="2"/>
      <c r="M455" s="2"/>
      <c r="N455" s="2"/>
      <c r="O455" s="2"/>
      <c r="P455" s="2"/>
    </row>
    <row r="456" spans="1:16" ht="12.75">
      <c r="A456" s="2"/>
      <c r="B456" s="2"/>
      <c r="C456" s="2"/>
      <c r="D456" s="2"/>
      <c r="E456" s="2"/>
      <c r="F456" s="2"/>
      <c r="G456" s="2"/>
      <c r="H456" s="2"/>
      <c r="I456" s="2"/>
      <c r="J456" s="2"/>
      <c r="K456" s="2"/>
      <c r="L456" s="2"/>
      <c r="M456" s="2"/>
      <c r="N456" s="2"/>
      <c r="O456" s="2"/>
      <c r="P456" s="2"/>
    </row>
    <row r="457" spans="1:16" ht="12.75">
      <c r="A457" s="2"/>
      <c r="B457" s="2"/>
      <c r="C457" s="2"/>
      <c r="D457" s="2"/>
      <c r="E457" s="2"/>
      <c r="F457" s="2"/>
      <c r="G457" s="2"/>
      <c r="H457" s="2"/>
      <c r="I457" s="2"/>
      <c r="J457" s="2"/>
      <c r="K457" s="2"/>
      <c r="L457" s="2"/>
      <c r="M457" s="2"/>
      <c r="N457" s="2"/>
      <c r="O457" s="2"/>
      <c r="P457" s="2"/>
    </row>
    <row r="458" spans="1:16" ht="12.75">
      <c r="A458" s="2"/>
      <c r="B458" s="2"/>
      <c r="C458" s="2"/>
      <c r="D458" s="2"/>
      <c r="E458" s="2"/>
      <c r="F458" s="2"/>
      <c r="G458" s="2"/>
      <c r="H458" s="2"/>
      <c r="I458" s="2"/>
      <c r="J458" s="2"/>
      <c r="K458" s="2"/>
      <c r="L458" s="2"/>
      <c r="M458" s="2"/>
      <c r="N458" s="2"/>
      <c r="O458" s="2"/>
      <c r="P458" s="2"/>
    </row>
    <row r="459" spans="1:16" ht="12.75">
      <c r="A459" s="2"/>
      <c r="B459" s="2"/>
      <c r="C459" s="2"/>
      <c r="D459" s="2"/>
      <c r="E459" s="2"/>
      <c r="F459" s="2"/>
      <c r="G459" s="2"/>
      <c r="H459" s="2"/>
      <c r="I459" s="2"/>
      <c r="J459" s="2"/>
      <c r="K459" s="2"/>
      <c r="L459" s="2"/>
      <c r="M459" s="2"/>
      <c r="N459" s="2"/>
      <c r="O459" s="2"/>
      <c r="P459" s="2"/>
    </row>
    <row r="460" spans="1:16" ht="12.75">
      <c r="A460" s="2"/>
      <c r="B460" s="2"/>
      <c r="C460" s="2"/>
      <c r="D460" s="2"/>
      <c r="E460" s="2"/>
      <c r="F460" s="2"/>
      <c r="G460" s="2"/>
      <c r="H460" s="2"/>
      <c r="I460" s="2"/>
      <c r="J460" s="2"/>
      <c r="K460" s="2"/>
      <c r="L460" s="2"/>
      <c r="M460" s="2"/>
      <c r="N460" s="2"/>
      <c r="O460" s="2"/>
      <c r="P460" s="2"/>
    </row>
    <row r="461" spans="1:16" ht="12.75">
      <c r="A461" s="2"/>
      <c r="B461" s="2"/>
      <c r="C461" s="2"/>
      <c r="D461" s="2"/>
      <c r="E461" s="2"/>
      <c r="F461" s="2"/>
      <c r="G461" s="2"/>
      <c r="H461" s="2"/>
      <c r="I461" s="2"/>
      <c r="J461" s="2"/>
      <c r="K461" s="2"/>
      <c r="L461" s="2"/>
      <c r="M461" s="2"/>
      <c r="N461" s="2"/>
      <c r="O461" s="2"/>
      <c r="P461" s="2"/>
    </row>
    <row r="462" spans="1:16" ht="12.75">
      <c r="A462" s="2"/>
      <c r="B462" s="2"/>
      <c r="C462" s="2"/>
      <c r="D462" s="2"/>
      <c r="E462" s="2"/>
      <c r="F462" s="2"/>
      <c r="G462" s="2"/>
      <c r="H462" s="2"/>
      <c r="I462" s="2"/>
      <c r="J462" s="2"/>
      <c r="K462" s="2"/>
      <c r="L462" s="2"/>
      <c r="M462" s="2"/>
      <c r="N462" s="2"/>
      <c r="O462" s="2"/>
      <c r="P462" s="2"/>
    </row>
    <row r="463" spans="1:16" ht="12.75">
      <c r="A463" s="2"/>
      <c r="B463" s="2"/>
      <c r="C463" s="2"/>
      <c r="D463" s="2"/>
      <c r="E463" s="2"/>
      <c r="F463" s="2"/>
      <c r="G463" s="2"/>
      <c r="H463" s="2"/>
      <c r="I463" s="2"/>
      <c r="J463" s="2"/>
      <c r="K463" s="2"/>
      <c r="L463" s="2"/>
      <c r="M463" s="2"/>
      <c r="N463" s="2"/>
      <c r="O463" s="2"/>
      <c r="P463" s="2"/>
    </row>
    <row r="464" spans="1:16" ht="12.75">
      <c r="A464" s="2"/>
      <c r="B464" s="2"/>
      <c r="C464" s="2"/>
      <c r="D464" s="2"/>
      <c r="E464" s="2"/>
      <c r="F464" s="2"/>
      <c r="G464" s="2"/>
      <c r="H464" s="2"/>
      <c r="I464" s="2"/>
      <c r="J464" s="2"/>
      <c r="K464" s="2"/>
      <c r="L464" s="2"/>
      <c r="M464" s="2"/>
      <c r="N464" s="2"/>
      <c r="O464" s="2"/>
      <c r="P464" s="2"/>
    </row>
    <row r="465" spans="1:18" ht="12.75">
      <c r="A465" s="2"/>
      <c r="B465" s="2"/>
      <c r="C465" s="2"/>
      <c r="D465" s="2"/>
      <c r="E465" s="2"/>
      <c r="F465" s="2"/>
      <c r="G465" s="2"/>
      <c r="H465" s="2"/>
      <c r="I465" s="2"/>
      <c r="J465" s="2"/>
      <c r="K465" s="2"/>
      <c r="L465" s="2"/>
      <c r="M465" s="2"/>
      <c r="N465" s="2"/>
      <c r="O465" s="2"/>
      <c r="P465" s="2"/>
    </row>
    <row r="466" spans="1:18" ht="12.75">
      <c r="A466" s="2"/>
      <c r="B466" s="2"/>
      <c r="C466" s="2"/>
      <c r="D466" s="2"/>
      <c r="E466" s="2"/>
      <c r="F466" s="2"/>
      <c r="G466" s="2"/>
      <c r="H466" s="2"/>
      <c r="I466" s="2"/>
      <c r="J466" s="2"/>
      <c r="K466" s="2"/>
      <c r="L466" s="2"/>
      <c r="M466" s="2"/>
      <c r="N466" s="2"/>
      <c r="O466" s="2"/>
      <c r="P466" s="2"/>
    </row>
    <row r="467" spans="1:18" ht="12.75">
      <c r="A467" s="2"/>
      <c r="B467" s="2"/>
      <c r="C467" s="2"/>
      <c r="D467" s="2"/>
      <c r="E467" s="2"/>
      <c r="F467" s="2"/>
      <c r="G467" s="2"/>
      <c r="H467" s="2"/>
      <c r="I467" s="2"/>
      <c r="J467" s="2"/>
      <c r="K467" s="2"/>
      <c r="L467" s="2"/>
      <c r="M467" s="2"/>
      <c r="N467" s="2"/>
      <c r="O467" s="2"/>
      <c r="P467" s="2"/>
    </row>
    <row r="468" spans="1:18" ht="12.75">
      <c r="A468" s="2"/>
      <c r="B468" s="2"/>
      <c r="C468" s="2"/>
      <c r="D468" s="2"/>
      <c r="E468" s="2"/>
      <c r="F468" s="2"/>
      <c r="G468" s="2"/>
      <c r="H468" s="2"/>
      <c r="I468" s="2"/>
      <c r="J468" s="2"/>
      <c r="K468" s="2"/>
      <c r="L468" s="2"/>
      <c r="M468" s="2"/>
      <c r="N468" s="2"/>
      <c r="O468" s="2"/>
      <c r="P468" s="2"/>
    </row>
    <row r="469" spans="1:18">
      <c r="A469" s="2"/>
      <c r="B469" s="2"/>
    </row>
    <row r="470" spans="1:18">
      <c r="A470" s="2"/>
      <c r="B470" s="2"/>
    </row>
    <row r="471" spans="1:18">
      <c r="A471" s="2"/>
      <c r="B471" s="2"/>
    </row>
    <row r="472" spans="1:18">
      <c r="A472" s="2"/>
      <c r="B472" s="2"/>
    </row>
    <row r="473" spans="1:18">
      <c r="A473" s="2"/>
      <c r="B473" s="2"/>
    </row>
    <row r="474" spans="1:18">
      <c r="A474" s="2"/>
      <c r="B474" s="2"/>
    </row>
    <row r="475" spans="1:18">
      <c r="A475" s="2"/>
      <c r="B475" s="2"/>
    </row>
    <row r="476" spans="1:18" s="3" customFormat="1">
      <c r="A476" s="2"/>
      <c r="B476" s="2"/>
      <c r="Q476" s="2"/>
      <c r="R476" s="2"/>
    </row>
    <row r="477" spans="1:18" s="3" customFormat="1">
      <c r="A477" s="2"/>
      <c r="B477" s="2"/>
      <c r="Q477" s="2"/>
      <c r="R477" s="2"/>
    </row>
    <row r="478" spans="1:18" s="3" customFormat="1">
      <c r="A478" s="2"/>
      <c r="B478" s="2"/>
      <c r="Q478" s="2"/>
      <c r="R478" s="2"/>
    </row>
    <row r="479" spans="1:18" s="3" customFormat="1">
      <c r="A479" s="2"/>
      <c r="B479" s="2"/>
      <c r="Q479" s="2"/>
      <c r="R479" s="2"/>
    </row>
    <row r="480" spans="1:18" s="3" customFormat="1">
      <c r="A480" s="2"/>
      <c r="B480" s="2"/>
      <c r="Q480" s="2"/>
      <c r="R480" s="2"/>
    </row>
    <row r="481" spans="1:18" s="3" customFormat="1">
      <c r="A481" s="2"/>
      <c r="B481" s="2"/>
      <c r="Q481" s="2"/>
      <c r="R481" s="2"/>
    </row>
    <row r="482" spans="1:18" s="3" customFormat="1">
      <c r="A482" s="2"/>
      <c r="B482" s="2"/>
      <c r="Q482" s="2"/>
      <c r="R482" s="2"/>
    </row>
    <row r="483" spans="1:18" s="3" customFormat="1">
      <c r="A483" s="2"/>
      <c r="B483" s="2"/>
      <c r="Q483" s="2"/>
      <c r="R483" s="2"/>
    </row>
    <row r="484" spans="1:18" s="3" customFormat="1">
      <c r="A484" s="2"/>
      <c r="B484" s="2"/>
      <c r="Q484" s="2"/>
      <c r="R484" s="2"/>
    </row>
    <row r="485" spans="1:18" s="3" customFormat="1">
      <c r="A485" s="2"/>
      <c r="B485" s="2"/>
      <c r="Q485" s="2"/>
      <c r="R485" s="2"/>
    </row>
    <row r="486" spans="1:18" s="3" customFormat="1">
      <c r="A486" s="2"/>
      <c r="B486" s="2"/>
      <c r="Q486" s="2"/>
      <c r="R486" s="2"/>
    </row>
    <row r="487" spans="1:18" s="3" customFormat="1">
      <c r="A487" s="2"/>
      <c r="B487" s="2"/>
      <c r="Q487" s="2"/>
      <c r="R487" s="2"/>
    </row>
    <row r="488" spans="1:18" s="3" customFormat="1">
      <c r="A488" s="2"/>
      <c r="B488" s="2"/>
      <c r="Q488" s="2"/>
      <c r="R488" s="2"/>
    </row>
    <row r="489" spans="1:18" s="3" customFormat="1">
      <c r="A489" s="2"/>
      <c r="B489" s="2"/>
      <c r="Q489" s="2"/>
      <c r="R489" s="2"/>
    </row>
    <row r="490" spans="1:18" s="3" customFormat="1">
      <c r="A490" s="2"/>
      <c r="B490" s="2"/>
      <c r="Q490" s="2"/>
      <c r="R490" s="2"/>
    </row>
    <row r="491" spans="1:18" s="3" customFormat="1">
      <c r="A491" s="2"/>
      <c r="B491" s="2"/>
      <c r="Q491" s="2"/>
      <c r="R491" s="2"/>
    </row>
    <row r="492" spans="1:18" s="3" customFormat="1">
      <c r="A492" s="2"/>
      <c r="B492" s="2"/>
      <c r="Q492" s="2"/>
      <c r="R492" s="2"/>
    </row>
  </sheetData>
  <mergeCells count="12">
    <mergeCell ref="A8:P8"/>
    <mergeCell ref="H33:K33"/>
    <mergeCell ref="H34:K34"/>
    <mergeCell ref="H35:K35"/>
    <mergeCell ref="A1:B4"/>
    <mergeCell ref="C2:P2"/>
    <mergeCell ref="C3:P3"/>
    <mergeCell ref="A5:A6"/>
    <mergeCell ref="B5:B6"/>
    <mergeCell ref="C5:G5"/>
    <mergeCell ref="H5:K5"/>
    <mergeCell ref="L5:P5"/>
  </mergeCells>
  <printOptions horizontalCentered="1" gridLines="1"/>
  <pageMargins left="0.25" right="0" top="0.18" bottom="0.25" header="0.2" footer="0.25"/>
  <pageSetup paperSize="9" scale="50" orientation="landscape" r:id="rId1"/>
  <headerFooter alignWithMargins="0">
    <oddFooter>&amp;R&amp;F, &amp;A, &amp;P из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33"/>
  <sheetViews>
    <sheetView workbookViewId="0">
      <selection activeCell="G25" sqref="F25:G25"/>
    </sheetView>
  </sheetViews>
  <sheetFormatPr defaultColWidth="8.85546875" defaultRowHeight="12.75"/>
  <cols>
    <col min="1" max="1" width="8.28515625" style="1259" customWidth="1"/>
    <col min="2" max="2" width="43.28515625" style="2043" customWidth="1"/>
    <col min="3" max="3" width="20.85546875" style="2044" customWidth="1"/>
    <col min="4" max="4" width="12.42578125" style="1845" customWidth="1"/>
    <col min="5" max="16384" width="8.85546875" style="1845"/>
  </cols>
  <sheetData>
    <row r="1" spans="1:69">
      <c r="D1" s="513"/>
    </row>
    <row r="2" spans="1:69">
      <c r="A2" s="2045" t="s">
        <v>1999</v>
      </c>
      <c r="B2" s="2045"/>
      <c r="C2" s="2045"/>
      <c r="D2" s="2045"/>
    </row>
    <row r="3" spans="1:69" ht="13.5" thickBot="1">
      <c r="A3" s="2046"/>
    </row>
    <row r="4" spans="1:69" ht="15">
      <c r="A4" s="2047" t="s">
        <v>3</v>
      </c>
      <c r="B4" s="2048" t="s">
        <v>1441</v>
      </c>
      <c r="C4" s="2049" t="s">
        <v>210</v>
      </c>
      <c r="D4" s="2050" t="s">
        <v>2000</v>
      </c>
    </row>
    <row r="5" spans="1:69">
      <c r="A5" s="2051"/>
      <c r="B5" s="2052"/>
      <c r="C5" s="2053"/>
      <c r="D5" s="1258" t="s">
        <v>2001</v>
      </c>
      <c r="E5" s="1106"/>
      <c r="F5" s="1106"/>
      <c r="G5" s="1106"/>
      <c r="H5" s="1106"/>
      <c r="I5" s="1106"/>
      <c r="J5" s="1106"/>
      <c r="K5" s="1106"/>
      <c r="L5" s="1106"/>
      <c r="M5" s="1106"/>
      <c r="N5" s="1106"/>
      <c r="O5" s="1106"/>
      <c r="P5" s="1106"/>
      <c r="Q5" s="1106"/>
      <c r="R5" s="1106"/>
      <c r="S5" s="1106"/>
      <c r="T5" s="1106"/>
      <c r="U5" s="1106"/>
      <c r="V5" s="1106"/>
      <c r="W5" s="1106"/>
      <c r="X5" s="1106"/>
      <c r="Y5" s="1106"/>
      <c r="Z5" s="1106"/>
      <c r="AA5" s="1106"/>
      <c r="AB5" s="1106"/>
      <c r="AC5" s="1106"/>
      <c r="AD5" s="1106"/>
      <c r="AE5" s="1106"/>
      <c r="AF5" s="1106"/>
      <c r="AG5" s="1106"/>
      <c r="AH5" s="1106"/>
      <c r="AI5" s="1106"/>
      <c r="AJ5" s="1106"/>
      <c r="AK5" s="1106"/>
      <c r="AL5" s="1106"/>
      <c r="AM5" s="1106"/>
      <c r="AN5" s="1106"/>
      <c r="AO5" s="1106"/>
      <c r="AP5" s="1106"/>
      <c r="AQ5" s="1106"/>
      <c r="AR5" s="1106"/>
      <c r="AS5" s="1106"/>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c r="BP5" s="1106"/>
      <c r="BQ5" s="1106"/>
    </row>
    <row r="6" spans="1:69" s="2058" customFormat="1" ht="14.45" customHeight="1">
      <c r="A6" s="2054">
        <v>1</v>
      </c>
      <c r="B6" s="2055" t="s">
        <v>1282</v>
      </c>
      <c r="C6" s="2056"/>
      <c r="D6" s="2056"/>
      <c r="E6" s="2057"/>
      <c r="F6" s="2057"/>
      <c r="G6" s="2057"/>
      <c r="H6" s="2057"/>
      <c r="I6" s="2057"/>
      <c r="J6" s="2057"/>
      <c r="K6" s="2057"/>
      <c r="L6" s="2057"/>
      <c r="M6" s="2057"/>
      <c r="N6" s="2057"/>
      <c r="O6" s="2057"/>
      <c r="P6" s="2057"/>
      <c r="Q6" s="2057"/>
      <c r="R6" s="2057"/>
      <c r="S6" s="2057"/>
      <c r="T6" s="2057"/>
      <c r="U6" s="2057"/>
      <c r="V6" s="2057"/>
      <c r="W6" s="2057"/>
      <c r="X6" s="2057"/>
      <c r="Y6" s="2057"/>
      <c r="Z6" s="2057"/>
      <c r="AA6" s="2057"/>
      <c r="AB6" s="2057"/>
      <c r="AC6" s="2057"/>
      <c r="AD6" s="2057"/>
      <c r="AE6" s="2057"/>
      <c r="AF6" s="2057"/>
      <c r="AG6" s="2057"/>
      <c r="AH6" s="2057"/>
      <c r="AI6" s="2057"/>
      <c r="AJ6" s="2057"/>
      <c r="AK6" s="2057"/>
      <c r="AL6" s="2057"/>
      <c r="AM6" s="2057"/>
      <c r="AN6" s="2057"/>
      <c r="AO6" s="2057"/>
      <c r="AP6" s="2057"/>
      <c r="AQ6" s="2057"/>
      <c r="AR6" s="2057"/>
      <c r="AS6" s="2057"/>
      <c r="AT6" s="2057"/>
      <c r="AU6" s="2057"/>
      <c r="AV6" s="2057"/>
      <c r="AW6" s="2057"/>
      <c r="AX6" s="2057"/>
      <c r="AY6" s="2057"/>
      <c r="AZ6" s="2057"/>
      <c r="BA6" s="2057"/>
      <c r="BB6" s="2057"/>
      <c r="BC6" s="2057"/>
      <c r="BD6" s="2057"/>
      <c r="BE6" s="2057"/>
      <c r="BF6" s="2057"/>
      <c r="BG6" s="2057"/>
      <c r="BH6" s="2057"/>
      <c r="BI6" s="2057"/>
      <c r="BJ6" s="2057"/>
      <c r="BK6" s="2057"/>
      <c r="BL6" s="2057"/>
      <c r="BM6" s="2057"/>
      <c r="BN6" s="2057"/>
      <c r="BO6" s="2057"/>
      <c r="BP6" s="2057"/>
      <c r="BQ6" s="2057"/>
    </row>
    <row r="7" spans="1:69" s="2062" customFormat="1">
      <c r="A7" s="2059" t="s">
        <v>339</v>
      </c>
      <c r="B7" s="2060" t="s">
        <v>2002</v>
      </c>
      <c r="C7" s="2061" t="s">
        <v>2003</v>
      </c>
      <c r="D7" s="2061">
        <f>D9/D8</f>
        <v>2.299796466777388</v>
      </c>
      <c r="E7" s="1106"/>
      <c r="F7" s="1106"/>
      <c r="G7" s="1106"/>
      <c r="H7" s="1106"/>
      <c r="I7" s="1106"/>
      <c r="J7" s="1106"/>
      <c r="K7" s="1106"/>
      <c r="L7" s="1106"/>
      <c r="M7" s="1106"/>
      <c r="N7" s="1106"/>
      <c r="O7" s="1106"/>
      <c r="P7" s="1106"/>
      <c r="Q7" s="1106"/>
      <c r="R7" s="1106"/>
      <c r="S7" s="1106"/>
      <c r="T7" s="1106"/>
      <c r="U7" s="1106"/>
      <c r="V7" s="1106"/>
      <c r="W7" s="1106"/>
      <c r="X7" s="1106"/>
      <c r="Y7" s="1106"/>
      <c r="Z7" s="1106"/>
      <c r="AA7" s="1106"/>
      <c r="AB7" s="1106"/>
      <c r="AC7" s="1106"/>
      <c r="AD7" s="1106"/>
      <c r="AE7" s="1106"/>
      <c r="AF7" s="1106"/>
      <c r="AG7" s="1106"/>
      <c r="AH7" s="1106"/>
      <c r="AI7" s="1106"/>
      <c r="AJ7" s="1106"/>
      <c r="AK7" s="1106"/>
      <c r="AL7" s="1106"/>
      <c r="AM7" s="1106"/>
      <c r="AN7" s="1106"/>
      <c r="AO7" s="1106"/>
      <c r="AP7" s="1106"/>
      <c r="AQ7" s="1106"/>
      <c r="AR7" s="1106"/>
      <c r="AS7" s="1106"/>
      <c r="AT7" s="1106"/>
      <c r="AU7" s="1106"/>
      <c r="AV7" s="1106"/>
      <c r="AW7" s="1106"/>
      <c r="AX7" s="1106"/>
      <c r="AY7" s="1106"/>
      <c r="AZ7" s="1106"/>
      <c r="BA7" s="1106"/>
      <c r="BB7" s="1106"/>
      <c r="BC7" s="1106"/>
      <c r="BD7" s="1106"/>
      <c r="BE7" s="1106"/>
      <c r="BF7" s="1106"/>
      <c r="BG7" s="1106"/>
      <c r="BH7" s="1106"/>
      <c r="BI7" s="1106"/>
      <c r="BJ7" s="1106"/>
      <c r="BK7" s="1106"/>
      <c r="BL7" s="1106"/>
      <c r="BM7" s="1106"/>
      <c r="BN7" s="1106"/>
      <c r="BO7" s="1106"/>
      <c r="BP7" s="1106"/>
      <c r="BQ7" s="1106"/>
    </row>
    <row r="8" spans="1:69" s="2062" customFormat="1">
      <c r="A8" s="2059" t="s">
        <v>390</v>
      </c>
      <c r="B8" s="2060" t="s">
        <v>2004</v>
      </c>
      <c r="C8" s="2061" t="s">
        <v>2005</v>
      </c>
      <c r="D8" s="2063">
        <f>'Отчёт в РСТ о НВВ'!D7</f>
        <v>24745.756000000001</v>
      </c>
      <c r="E8" s="1106"/>
      <c r="F8" s="1106"/>
      <c r="G8" s="1106"/>
      <c r="H8" s="1106"/>
      <c r="I8" s="1106"/>
      <c r="J8" s="1106"/>
      <c r="K8" s="1106"/>
      <c r="L8" s="1106"/>
      <c r="M8" s="1106"/>
      <c r="N8" s="1106"/>
      <c r="O8" s="1106"/>
      <c r="P8" s="1106"/>
      <c r="Q8" s="1106"/>
      <c r="R8" s="1106"/>
      <c r="S8" s="1106"/>
      <c r="T8" s="1106"/>
      <c r="U8" s="1106"/>
      <c r="V8" s="1106"/>
      <c r="W8" s="1106"/>
      <c r="X8" s="1106"/>
      <c r="Y8" s="1106"/>
      <c r="Z8" s="1106"/>
      <c r="AA8" s="1106"/>
      <c r="AB8" s="1106"/>
      <c r="AC8" s="1106"/>
      <c r="AD8" s="1106"/>
      <c r="AE8" s="1106"/>
      <c r="AF8" s="1106"/>
      <c r="AG8" s="1106"/>
      <c r="AH8" s="1106"/>
      <c r="AI8" s="1106"/>
      <c r="AJ8" s="1106"/>
      <c r="AK8" s="1106"/>
      <c r="AL8" s="1106"/>
      <c r="AM8" s="1106"/>
      <c r="AN8" s="1106"/>
      <c r="AO8" s="1106"/>
      <c r="AP8" s="1106"/>
      <c r="AQ8" s="1106"/>
      <c r="AR8" s="1106"/>
      <c r="AS8" s="1106"/>
      <c r="AT8" s="1106"/>
      <c r="AU8" s="1106"/>
      <c r="AV8" s="1106"/>
      <c r="AW8" s="1106"/>
      <c r="AX8" s="1106"/>
      <c r="AY8" s="1106"/>
      <c r="AZ8" s="1106"/>
      <c r="BA8" s="1106"/>
      <c r="BB8" s="1106"/>
      <c r="BC8" s="1106"/>
      <c r="BD8" s="1106"/>
      <c r="BE8" s="1106"/>
      <c r="BF8" s="1106"/>
      <c r="BG8" s="1106"/>
      <c r="BH8" s="1106"/>
      <c r="BI8" s="1106"/>
      <c r="BJ8" s="1106"/>
      <c r="BK8" s="1106"/>
      <c r="BL8" s="1106"/>
      <c r="BM8" s="1106"/>
      <c r="BN8" s="1106"/>
      <c r="BO8" s="1106"/>
      <c r="BP8" s="1106"/>
      <c r="BQ8" s="1106"/>
    </row>
    <row r="9" spans="1:69" s="2062" customFormat="1">
      <c r="A9" s="2059" t="s">
        <v>391</v>
      </c>
      <c r="B9" s="2060" t="s">
        <v>1390</v>
      </c>
      <c r="C9" s="2061" t="s">
        <v>1391</v>
      </c>
      <c r="D9" s="2063">
        <f>'Отчёт в РСТ о НВВ'!D8</f>
        <v>56910.202216535348</v>
      </c>
      <c r="E9" s="1106"/>
      <c r="F9" s="1106"/>
      <c r="G9" s="1106"/>
      <c r="H9" s="1106"/>
      <c r="I9" s="1106"/>
      <c r="J9" s="1106"/>
      <c r="K9" s="1106"/>
      <c r="L9" s="1106"/>
      <c r="M9" s="1106"/>
      <c r="N9" s="1106"/>
      <c r="O9" s="1106"/>
      <c r="P9" s="1106"/>
      <c r="Q9" s="1106"/>
      <c r="R9" s="1106"/>
      <c r="S9" s="1106"/>
      <c r="T9" s="1106"/>
      <c r="U9" s="1106"/>
      <c r="V9" s="1106"/>
      <c r="W9" s="1106"/>
      <c r="X9" s="1106"/>
      <c r="Y9" s="1106"/>
      <c r="Z9" s="1106"/>
      <c r="AA9" s="1106"/>
      <c r="AB9" s="1106"/>
      <c r="AC9" s="1106"/>
      <c r="AD9" s="1106"/>
      <c r="AE9" s="1106"/>
      <c r="AF9" s="1106"/>
      <c r="AG9" s="1106"/>
      <c r="AH9" s="1106"/>
      <c r="AI9" s="1106"/>
      <c r="AJ9" s="1106"/>
      <c r="AK9" s="1106"/>
      <c r="AL9" s="1106"/>
      <c r="AM9" s="1106"/>
      <c r="AN9" s="1106"/>
      <c r="AO9" s="1106"/>
      <c r="AP9" s="1106"/>
      <c r="AQ9" s="1106"/>
      <c r="AR9" s="1106"/>
      <c r="AS9" s="1106"/>
      <c r="AT9" s="1106"/>
      <c r="AU9" s="1106"/>
      <c r="AV9" s="1106"/>
      <c r="AW9" s="1106"/>
      <c r="AX9" s="1106"/>
      <c r="AY9" s="1106"/>
      <c r="AZ9" s="1106"/>
      <c r="BA9" s="1106"/>
      <c r="BB9" s="1106"/>
      <c r="BC9" s="1106"/>
      <c r="BD9" s="1106"/>
      <c r="BE9" s="1106"/>
      <c r="BF9" s="1106"/>
      <c r="BG9" s="1106"/>
      <c r="BH9" s="1106"/>
      <c r="BI9" s="1106"/>
      <c r="BJ9" s="1106"/>
      <c r="BK9" s="1106"/>
      <c r="BL9" s="1106"/>
      <c r="BM9" s="1106"/>
      <c r="BN9" s="1106"/>
      <c r="BO9" s="1106"/>
      <c r="BP9" s="1106"/>
      <c r="BQ9" s="1106"/>
    </row>
    <row r="10" spans="1:69" s="2058" customFormat="1" ht="14.45" customHeight="1">
      <c r="A10" s="2064">
        <v>2</v>
      </c>
      <c r="B10" s="2065" t="s">
        <v>2006</v>
      </c>
      <c r="C10" s="2066"/>
      <c r="D10" s="2066"/>
      <c r="E10" s="2057"/>
      <c r="F10" s="2057"/>
      <c r="G10" s="2057"/>
      <c r="H10" s="2057"/>
      <c r="I10" s="2057"/>
      <c r="J10" s="2057"/>
      <c r="K10" s="2057"/>
      <c r="L10" s="2057"/>
      <c r="M10" s="2057"/>
      <c r="N10" s="2057"/>
      <c r="O10" s="2057"/>
      <c r="P10" s="2057"/>
      <c r="Q10" s="2057"/>
      <c r="R10" s="2057"/>
      <c r="S10" s="2057"/>
      <c r="T10" s="2057"/>
      <c r="U10" s="2057"/>
      <c r="V10" s="2057"/>
      <c r="W10" s="2057"/>
      <c r="X10" s="2057"/>
      <c r="Y10" s="2057"/>
      <c r="Z10" s="2057"/>
      <c r="AA10" s="2057"/>
      <c r="AB10" s="2057"/>
      <c r="AC10" s="2057"/>
      <c r="AD10" s="2057"/>
      <c r="AE10" s="2057"/>
      <c r="AF10" s="2057"/>
      <c r="AG10" s="2057"/>
      <c r="AH10" s="2057"/>
      <c r="AI10" s="2057"/>
      <c r="AJ10" s="2057"/>
      <c r="AK10" s="2057"/>
      <c r="AL10" s="2057"/>
      <c r="AM10" s="2057"/>
      <c r="AN10" s="2057"/>
      <c r="AO10" s="2057"/>
      <c r="AP10" s="2057"/>
      <c r="AQ10" s="2057"/>
      <c r="AR10" s="2057"/>
      <c r="AS10" s="2057"/>
      <c r="AT10" s="2057"/>
      <c r="AU10" s="2057"/>
      <c r="AV10" s="2057"/>
      <c r="AW10" s="2057"/>
      <c r="AX10" s="2057"/>
      <c r="AY10" s="2057"/>
      <c r="AZ10" s="2057"/>
      <c r="BA10" s="2057"/>
      <c r="BB10" s="2057"/>
      <c r="BC10" s="2057"/>
      <c r="BD10" s="2057"/>
      <c r="BE10" s="2057"/>
      <c r="BF10" s="2057"/>
      <c r="BG10" s="2057"/>
      <c r="BH10" s="2057"/>
      <c r="BI10" s="2057"/>
      <c r="BJ10" s="2057"/>
      <c r="BK10" s="2057"/>
      <c r="BL10" s="2057"/>
      <c r="BM10" s="2057"/>
      <c r="BN10" s="2057"/>
      <c r="BO10" s="2057"/>
      <c r="BP10" s="2057"/>
      <c r="BQ10" s="2057"/>
    </row>
    <row r="11" spans="1:69" s="2062" customFormat="1">
      <c r="A11" s="2059" t="s">
        <v>427</v>
      </c>
      <c r="B11" s="2060" t="s">
        <v>2002</v>
      </c>
      <c r="C11" s="2061" t="s">
        <v>2007</v>
      </c>
      <c r="D11" s="2061">
        <f t="shared" ref="D11" si="0">D13/D12</f>
        <v>3.9499699999999995</v>
      </c>
      <c r="E11" s="1106"/>
      <c r="F11" s="1106"/>
      <c r="G11" s="1106"/>
      <c r="H11" s="1106"/>
      <c r="I11" s="1106"/>
      <c r="J11" s="1106"/>
      <c r="K11" s="1106"/>
      <c r="L11" s="1106"/>
      <c r="M11" s="1106"/>
      <c r="N11" s="1106"/>
      <c r="O11" s="1106"/>
      <c r="P11" s="1106"/>
      <c r="Q11" s="1106"/>
      <c r="R11" s="1106"/>
      <c r="S11" s="1106"/>
      <c r="T11" s="1106"/>
      <c r="U11" s="1106"/>
      <c r="V11" s="1106"/>
      <c r="W11" s="1106"/>
      <c r="X11" s="1106"/>
      <c r="Y11" s="1106"/>
      <c r="Z11" s="1106"/>
      <c r="AA11" s="1106"/>
      <c r="AB11" s="1106"/>
      <c r="AC11" s="1106"/>
      <c r="AD11" s="1106"/>
      <c r="AE11" s="1106"/>
      <c r="AF11" s="1106"/>
      <c r="AG11" s="1106"/>
      <c r="AH11" s="1106"/>
      <c r="AI11" s="1106"/>
      <c r="AJ11" s="1106"/>
      <c r="AK11" s="1106"/>
      <c r="AL11" s="1106"/>
      <c r="AM11" s="1106"/>
      <c r="AN11" s="1106"/>
      <c r="AO11" s="1106"/>
      <c r="AP11" s="1106"/>
      <c r="AQ11" s="1106"/>
      <c r="AR11" s="1106"/>
      <c r="AS11" s="1106"/>
      <c r="AT11" s="1106"/>
      <c r="AU11" s="1106"/>
      <c r="AV11" s="1106"/>
      <c r="AW11" s="1106"/>
      <c r="AX11" s="1106"/>
      <c r="AY11" s="1106"/>
      <c r="AZ11" s="1106"/>
      <c r="BA11" s="1106"/>
      <c r="BB11" s="1106"/>
      <c r="BC11" s="1106"/>
      <c r="BD11" s="1106"/>
      <c r="BE11" s="1106"/>
      <c r="BF11" s="1106"/>
      <c r="BG11" s="1106"/>
      <c r="BH11" s="1106"/>
      <c r="BI11" s="1106"/>
      <c r="BJ11" s="1106"/>
      <c r="BK11" s="1106"/>
      <c r="BL11" s="1106"/>
      <c r="BM11" s="1106"/>
      <c r="BN11" s="1106"/>
      <c r="BO11" s="1106"/>
      <c r="BP11" s="1106"/>
      <c r="BQ11" s="1106"/>
    </row>
    <row r="12" spans="1:69" s="2062" customFormat="1">
      <c r="A12" s="2059" t="s">
        <v>428</v>
      </c>
      <c r="B12" s="2060" t="s">
        <v>2004</v>
      </c>
      <c r="C12" s="2061" t="s">
        <v>2005</v>
      </c>
      <c r="D12" s="2063">
        <f>'Отчёт в РСТ о НВВ'!D11</f>
        <v>1788.3280000000002</v>
      </c>
      <c r="E12" s="1106"/>
      <c r="F12" s="1106"/>
      <c r="G12" s="1106"/>
      <c r="H12" s="1106"/>
      <c r="I12" s="1106"/>
      <c r="J12" s="1106"/>
      <c r="K12" s="1106"/>
      <c r="L12" s="1106"/>
      <c r="M12" s="1106"/>
      <c r="N12" s="1106"/>
      <c r="O12" s="1106"/>
      <c r="P12" s="1106"/>
      <c r="Q12" s="1106"/>
      <c r="R12" s="1106"/>
      <c r="S12" s="1106"/>
      <c r="T12" s="1106"/>
      <c r="U12" s="1106"/>
      <c r="V12" s="1106"/>
      <c r="W12" s="1106"/>
      <c r="X12" s="1106"/>
      <c r="Y12" s="1106"/>
      <c r="Z12" s="1106"/>
      <c r="AA12" s="1106"/>
      <c r="AB12" s="1106"/>
      <c r="AC12" s="1106"/>
      <c r="AD12" s="1106"/>
      <c r="AE12" s="1106"/>
      <c r="AF12" s="1106"/>
      <c r="AG12" s="1106"/>
      <c r="AH12" s="1106"/>
      <c r="AI12" s="1106"/>
      <c r="AJ12" s="1106"/>
      <c r="AK12" s="1106"/>
      <c r="AL12" s="1106"/>
      <c r="AM12" s="1106"/>
      <c r="AN12" s="1106"/>
      <c r="AO12" s="1106"/>
      <c r="AP12" s="1106"/>
      <c r="AQ12" s="1106"/>
      <c r="AR12" s="1106"/>
      <c r="AS12" s="1106"/>
      <c r="AT12" s="1106"/>
      <c r="AU12" s="1106"/>
      <c r="AV12" s="1106"/>
      <c r="AW12" s="1106"/>
      <c r="AX12" s="1106"/>
      <c r="AY12" s="1106"/>
      <c r="AZ12" s="1106"/>
      <c r="BA12" s="1106"/>
      <c r="BB12" s="1106"/>
      <c r="BC12" s="1106"/>
      <c r="BD12" s="1106"/>
      <c r="BE12" s="1106"/>
      <c r="BF12" s="1106"/>
      <c r="BG12" s="1106"/>
      <c r="BH12" s="1106"/>
      <c r="BI12" s="1106"/>
      <c r="BJ12" s="1106"/>
      <c r="BK12" s="1106"/>
      <c r="BL12" s="1106"/>
      <c r="BM12" s="1106"/>
      <c r="BN12" s="1106"/>
      <c r="BO12" s="1106"/>
      <c r="BP12" s="1106"/>
      <c r="BQ12" s="1106"/>
    </row>
    <row r="13" spans="1:69" s="2062" customFormat="1">
      <c r="A13" s="2059" t="s">
        <v>429</v>
      </c>
      <c r="B13" s="2060" t="s">
        <v>1390</v>
      </c>
      <c r="C13" s="2061" t="s">
        <v>1396</v>
      </c>
      <c r="D13" s="2063">
        <f>'Отчёт в РСТ о НВВ'!D12</f>
        <v>7063.8419501600001</v>
      </c>
      <c r="E13" s="1106"/>
      <c r="F13" s="1106"/>
      <c r="G13" s="1106"/>
      <c r="H13" s="1106"/>
      <c r="I13" s="1106"/>
      <c r="J13" s="1106"/>
      <c r="K13" s="1106"/>
      <c r="L13" s="1106"/>
      <c r="M13" s="1106"/>
      <c r="N13" s="1106"/>
      <c r="O13" s="1106"/>
      <c r="P13" s="1106"/>
      <c r="Q13" s="1106"/>
      <c r="R13" s="1106"/>
      <c r="S13" s="1106"/>
      <c r="T13" s="1106"/>
      <c r="U13" s="1106"/>
      <c r="V13" s="1106"/>
      <c r="W13" s="1106"/>
      <c r="X13" s="1106"/>
      <c r="Y13" s="1106"/>
      <c r="Z13" s="1106"/>
      <c r="AA13" s="1106"/>
      <c r="AB13" s="1106"/>
      <c r="AC13" s="1106"/>
      <c r="AD13" s="1106"/>
      <c r="AE13" s="1106"/>
      <c r="AF13" s="1106"/>
      <c r="AG13" s="1106"/>
      <c r="AH13" s="1106"/>
      <c r="AI13" s="1106"/>
      <c r="AJ13" s="1106"/>
      <c r="AK13" s="1106"/>
      <c r="AL13" s="1106"/>
      <c r="AM13" s="1106"/>
      <c r="AN13" s="1106"/>
      <c r="AO13" s="1106"/>
      <c r="AP13" s="1106"/>
      <c r="AQ13" s="1106"/>
      <c r="AR13" s="1106"/>
      <c r="AS13" s="1106"/>
      <c r="AT13" s="1106"/>
      <c r="AU13" s="1106"/>
      <c r="AV13" s="1106"/>
      <c r="AW13" s="1106"/>
      <c r="AX13" s="1106"/>
      <c r="AY13" s="1106"/>
      <c r="AZ13" s="1106"/>
      <c r="BA13" s="1106"/>
      <c r="BB13" s="1106"/>
      <c r="BC13" s="1106"/>
      <c r="BD13" s="1106"/>
      <c r="BE13" s="1106"/>
      <c r="BF13" s="1106"/>
      <c r="BG13" s="1106"/>
      <c r="BH13" s="1106"/>
      <c r="BI13" s="1106"/>
      <c r="BJ13" s="1106"/>
      <c r="BK13" s="1106"/>
      <c r="BL13" s="1106"/>
      <c r="BM13" s="1106"/>
      <c r="BN13" s="1106"/>
      <c r="BO13" s="1106"/>
      <c r="BP13" s="1106"/>
      <c r="BQ13" s="1106"/>
    </row>
    <row r="14" spans="1:69" s="2058" customFormat="1" ht="15">
      <c r="A14" s="2064">
        <v>3</v>
      </c>
      <c r="B14" s="2065" t="s">
        <v>42</v>
      </c>
      <c r="C14" s="2066"/>
      <c r="D14" s="2066"/>
      <c r="E14" s="2057"/>
      <c r="F14" s="2057"/>
      <c r="G14" s="2057"/>
      <c r="H14" s="2057"/>
      <c r="I14" s="2057"/>
      <c r="J14" s="2057"/>
      <c r="K14" s="2057"/>
      <c r="L14" s="2057"/>
      <c r="M14" s="2057"/>
      <c r="N14" s="2057"/>
      <c r="O14" s="2057"/>
      <c r="P14" s="2057"/>
      <c r="Q14" s="2057"/>
      <c r="R14" s="2057"/>
      <c r="S14" s="2057"/>
      <c r="T14" s="2057"/>
      <c r="U14" s="2057"/>
      <c r="V14" s="2057"/>
      <c r="W14" s="2057"/>
      <c r="X14" s="2057"/>
      <c r="Y14" s="2057"/>
      <c r="Z14" s="2057"/>
      <c r="AA14" s="2057"/>
      <c r="AB14" s="2057"/>
      <c r="AC14" s="2057"/>
      <c r="AD14" s="2057"/>
      <c r="AE14" s="2057"/>
      <c r="AF14" s="2057"/>
      <c r="AG14" s="2057"/>
      <c r="AH14" s="2057"/>
      <c r="AI14" s="2057"/>
      <c r="AJ14" s="2057"/>
      <c r="AK14" s="2057"/>
      <c r="AL14" s="2057"/>
      <c r="AM14" s="2057"/>
      <c r="AN14" s="2057"/>
      <c r="AO14" s="2057"/>
      <c r="AP14" s="2057"/>
      <c r="AQ14" s="2057"/>
      <c r="AR14" s="2057"/>
      <c r="AS14" s="2057"/>
      <c r="AT14" s="2057"/>
      <c r="AU14" s="2057"/>
      <c r="AV14" s="2057"/>
      <c r="AW14" s="2057"/>
      <c r="AX14" s="2057"/>
      <c r="AY14" s="2057"/>
      <c r="AZ14" s="2057"/>
      <c r="BA14" s="2057"/>
      <c r="BB14" s="2057"/>
      <c r="BC14" s="2057"/>
      <c r="BD14" s="2057"/>
      <c r="BE14" s="2057"/>
      <c r="BF14" s="2057"/>
      <c r="BG14" s="2057"/>
      <c r="BH14" s="2057"/>
      <c r="BI14" s="2057"/>
      <c r="BJ14" s="2057"/>
      <c r="BK14" s="2057"/>
      <c r="BL14" s="2057"/>
      <c r="BM14" s="2057"/>
      <c r="BN14" s="2057"/>
      <c r="BO14" s="2057"/>
      <c r="BP14" s="2057"/>
      <c r="BQ14" s="2057"/>
    </row>
    <row r="15" spans="1:69" s="2073" customFormat="1" ht="38.25">
      <c r="A15" s="2067" t="s">
        <v>2008</v>
      </c>
      <c r="B15" s="2068" t="s">
        <v>2009</v>
      </c>
      <c r="C15" s="2069" t="s">
        <v>2007</v>
      </c>
      <c r="D15" s="2070">
        <f>D23/D19</f>
        <v>8.6721335774285446</v>
      </c>
      <c r="E15" s="2071"/>
      <c r="F15" s="2072"/>
      <c r="G15" s="2072"/>
      <c r="H15" s="2071"/>
      <c r="I15" s="2071"/>
      <c r="J15" s="2071"/>
      <c r="K15" s="2071"/>
      <c r="L15" s="2071"/>
      <c r="M15" s="2071"/>
      <c r="N15" s="2071"/>
      <c r="O15" s="2071"/>
      <c r="P15" s="2071"/>
      <c r="Q15" s="2071"/>
      <c r="R15" s="2071"/>
      <c r="S15" s="2071"/>
      <c r="T15" s="2071"/>
      <c r="U15" s="2071"/>
      <c r="V15" s="2071"/>
      <c r="W15" s="2071"/>
      <c r="X15" s="2071"/>
      <c r="Y15" s="2071"/>
      <c r="Z15" s="2071"/>
      <c r="AA15" s="2071"/>
      <c r="AB15" s="2071"/>
      <c r="AC15" s="2071"/>
      <c r="AD15" s="2071"/>
      <c r="AE15" s="2071"/>
      <c r="AF15" s="2071"/>
      <c r="AG15" s="2071"/>
      <c r="AH15" s="2071"/>
      <c r="AI15" s="2071"/>
      <c r="AJ15" s="2071"/>
      <c r="AK15" s="2071"/>
      <c r="AL15" s="2071"/>
      <c r="AM15" s="2071"/>
      <c r="AN15" s="2071"/>
      <c r="AO15" s="2071"/>
      <c r="AP15" s="2071"/>
      <c r="AQ15" s="2071"/>
      <c r="AR15" s="2071"/>
      <c r="AS15" s="2071"/>
      <c r="AT15" s="2071"/>
      <c r="AU15" s="2071"/>
      <c r="AV15" s="2071"/>
      <c r="AW15" s="2071"/>
      <c r="AX15" s="2071"/>
      <c r="AY15" s="2071"/>
      <c r="AZ15" s="2071"/>
      <c r="BA15" s="2071"/>
      <c r="BB15" s="2071"/>
      <c r="BC15" s="2071"/>
      <c r="BD15" s="2071"/>
      <c r="BE15" s="2071"/>
      <c r="BF15" s="2071"/>
      <c r="BG15" s="2071"/>
      <c r="BH15" s="2071"/>
      <c r="BI15" s="2071"/>
      <c r="BJ15" s="2071"/>
      <c r="BK15" s="2071"/>
      <c r="BL15" s="2071"/>
      <c r="BM15" s="2071"/>
      <c r="BN15" s="2071"/>
      <c r="BO15" s="2071"/>
      <c r="BP15" s="2071"/>
      <c r="BQ15" s="2071"/>
    </row>
    <row r="16" spans="1:69">
      <c r="A16" s="2059" t="s">
        <v>2010</v>
      </c>
      <c r="B16" s="2060" t="s">
        <v>1934</v>
      </c>
      <c r="C16" s="2061" t="s">
        <v>2007</v>
      </c>
      <c r="D16" s="2070">
        <f>D24/D20</f>
        <v>8.6337274999182814</v>
      </c>
      <c r="E16" s="1106"/>
      <c r="F16" s="1106"/>
      <c r="G16" s="1106"/>
      <c r="H16" s="1106"/>
      <c r="I16" s="1106"/>
      <c r="J16" s="1106"/>
      <c r="K16" s="1106"/>
      <c r="L16" s="1106"/>
      <c r="M16" s="1106"/>
      <c r="N16" s="1106"/>
      <c r="O16" s="1106"/>
      <c r="P16" s="1106"/>
      <c r="Q16" s="1106"/>
      <c r="R16" s="1106"/>
      <c r="S16" s="1106"/>
      <c r="T16" s="1106"/>
      <c r="U16" s="1106"/>
      <c r="V16" s="1106"/>
      <c r="W16" s="1106"/>
      <c r="X16" s="1106"/>
      <c r="Y16" s="1106"/>
      <c r="Z16" s="1106"/>
      <c r="AA16" s="1106"/>
      <c r="AB16" s="1106"/>
      <c r="AC16" s="1106"/>
      <c r="AD16" s="1106"/>
      <c r="AE16" s="1106"/>
      <c r="AF16" s="1106"/>
      <c r="AG16" s="1106"/>
      <c r="AH16" s="1106"/>
      <c r="AI16" s="1106"/>
      <c r="AJ16" s="1106"/>
      <c r="AK16" s="1106"/>
      <c r="AL16" s="1106"/>
      <c r="AM16" s="1106"/>
      <c r="AN16" s="1106"/>
      <c r="AO16" s="1106"/>
      <c r="AP16" s="1106"/>
      <c r="AQ16" s="1106"/>
      <c r="AR16" s="1106"/>
      <c r="AS16" s="1106"/>
      <c r="AT16" s="1106"/>
      <c r="AU16" s="1106"/>
      <c r="AV16" s="1106"/>
      <c r="AW16" s="1106"/>
      <c r="AX16" s="1106"/>
      <c r="AY16" s="1106"/>
      <c r="AZ16" s="1106"/>
      <c r="BA16" s="1106"/>
      <c r="BB16" s="1106"/>
      <c r="BC16" s="1106"/>
      <c r="BD16" s="1106"/>
      <c r="BE16" s="1106"/>
      <c r="BF16" s="1106"/>
      <c r="BG16" s="1106"/>
      <c r="BH16" s="1106"/>
      <c r="BI16" s="1106"/>
      <c r="BJ16" s="1106"/>
      <c r="BK16" s="1106"/>
      <c r="BL16" s="1106"/>
      <c r="BM16" s="1106"/>
      <c r="BN16" s="1106"/>
      <c r="BO16" s="1106"/>
      <c r="BP16" s="1106"/>
      <c r="BQ16" s="1106"/>
    </row>
    <row r="17" spans="1:69">
      <c r="A17" s="2059" t="s">
        <v>2011</v>
      </c>
      <c r="B17" s="2060" t="s">
        <v>158</v>
      </c>
      <c r="C17" s="2061" t="s">
        <v>2007</v>
      </c>
      <c r="D17" s="2070">
        <f t="shared" ref="D17:D18" si="1">D25/D21</f>
        <v>8.808286888489695</v>
      </c>
      <c r="E17" s="1106"/>
      <c r="F17" s="1106"/>
      <c r="G17" s="1106"/>
      <c r="H17" s="1106"/>
      <c r="I17" s="1106"/>
      <c r="J17" s="1106"/>
      <c r="K17" s="1106"/>
      <c r="L17" s="1106"/>
      <c r="M17" s="1106"/>
      <c r="N17" s="1106"/>
      <c r="O17" s="1106"/>
      <c r="P17" s="1106"/>
      <c r="Q17" s="1106"/>
      <c r="R17" s="1106"/>
      <c r="S17" s="1106"/>
      <c r="T17" s="1106"/>
      <c r="U17" s="1106"/>
      <c r="V17" s="1106"/>
      <c r="W17" s="1106"/>
      <c r="X17" s="1106"/>
      <c r="Y17" s="1106"/>
      <c r="Z17" s="1106"/>
      <c r="AA17" s="1106"/>
      <c r="AB17" s="1106"/>
      <c r="AC17" s="1106"/>
      <c r="AD17" s="1106"/>
      <c r="AE17" s="1106"/>
      <c r="AF17" s="1106"/>
      <c r="AG17" s="1106"/>
      <c r="AH17" s="1106"/>
      <c r="AI17" s="1106"/>
      <c r="AJ17" s="1106"/>
      <c r="AK17" s="1106"/>
      <c r="AL17" s="1106"/>
      <c r="AM17" s="1106"/>
      <c r="AN17" s="1106"/>
      <c r="AO17" s="1106"/>
      <c r="AP17" s="1106"/>
      <c r="AQ17" s="1106"/>
      <c r="AR17" s="1106"/>
      <c r="AS17" s="1106"/>
      <c r="AT17" s="1106"/>
      <c r="AU17" s="1106"/>
      <c r="AV17" s="1106"/>
      <c r="AW17" s="1106"/>
      <c r="AX17" s="1106"/>
      <c r="AY17" s="1106"/>
      <c r="AZ17" s="1106"/>
      <c r="BA17" s="1106"/>
      <c r="BB17" s="1106"/>
      <c r="BC17" s="1106"/>
      <c r="BD17" s="1106"/>
      <c r="BE17" s="1106"/>
      <c r="BF17" s="1106"/>
      <c r="BG17" s="1106"/>
      <c r="BH17" s="1106"/>
      <c r="BI17" s="1106"/>
      <c r="BJ17" s="1106"/>
      <c r="BK17" s="1106"/>
      <c r="BL17" s="1106"/>
      <c r="BM17" s="1106"/>
      <c r="BN17" s="1106"/>
      <c r="BO17" s="1106"/>
      <c r="BP17" s="1106"/>
      <c r="BQ17" s="1106"/>
    </row>
    <row r="18" spans="1:69">
      <c r="A18" s="2059" t="s">
        <v>2012</v>
      </c>
      <c r="B18" s="2060" t="s">
        <v>1404</v>
      </c>
      <c r="C18" s="2061" t="s">
        <v>2007</v>
      </c>
      <c r="D18" s="2070" t="e">
        <f t="shared" si="1"/>
        <v>#DIV/0!</v>
      </c>
      <c r="E18" s="1106"/>
      <c r="F18" s="1106"/>
      <c r="G18" s="1106"/>
      <c r="H18" s="1106"/>
      <c r="I18" s="1106"/>
      <c r="J18" s="1106"/>
      <c r="K18" s="1106"/>
      <c r="L18" s="1106"/>
      <c r="M18" s="1106"/>
      <c r="N18" s="1106"/>
      <c r="O18" s="1106"/>
      <c r="P18" s="1106"/>
      <c r="Q18" s="1106"/>
      <c r="R18" s="1106"/>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106"/>
      <c r="AS18" s="1106"/>
      <c r="AT18" s="1106"/>
      <c r="AU18" s="1106"/>
      <c r="AV18" s="1106"/>
      <c r="AW18" s="1106"/>
      <c r="AX18" s="1106"/>
      <c r="AY18" s="1106"/>
      <c r="AZ18" s="1106"/>
      <c r="BA18" s="1106"/>
      <c r="BB18" s="1106"/>
      <c r="BC18" s="1106"/>
      <c r="BD18" s="1106"/>
      <c r="BE18" s="1106"/>
      <c r="BF18" s="1106"/>
      <c r="BG18" s="1106"/>
      <c r="BH18" s="1106"/>
      <c r="BI18" s="1106"/>
      <c r="BJ18" s="1106"/>
      <c r="BK18" s="1106"/>
      <c r="BL18" s="1106"/>
      <c r="BM18" s="1106"/>
      <c r="BN18" s="1106"/>
      <c r="BO18" s="1106"/>
      <c r="BP18" s="1106"/>
      <c r="BQ18" s="1106"/>
    </row>
    <row r="19" spans="1:69" s="2073" customFormat="1" ht="38.25">
      <c r="A19" s="2067" t="s">
        <v>2013</v>
      </c>
      <c r="B19" s="2068" t="s">
        <v>2014</v>
      </c>
      <c r="C19" s="2069" t="s">
        <v>2005</v>
      </c>
      <c r="D19" s="2074">
        <f>SUM(D20:D22)</f>
        <v>30561.553</v>
      </c>
      <c r="E19" s="2071"/>
      <c r="F19" s="2071"/>
      <c r="G19" s="2071"/>
      <c r="H19" s="2071"/>
      <c r="I19" s="2071"/>
      <c r="J19" s="2071"/>
      <c r="K19" s="2071"/>
      <c r="L19" s="2071"/>
      <c r="M19" s="2071"/>
      <c r="N19" s="2071"/>
      <c r="O19" s="2071"/>
      <c r="P19" s="2071"/>
      <c r="Q19" s="2071"/>
      <c r="R19" s="2071"/>
      <c r="S19" s="2071"/>
      <c r="T19" s="2071"/>
      <c r="U19" s="2071"/>
      <c r="V19" s="2071"/>
      <c r="W19" s="2071"/>
      <c r="X19" s="2071"/>
      <c r="Y19" s="2071"/>
      <c r="Z19" s="2071"/>
      <c r="AA19" s="2071"/>
      <c r="AB19" s="2071"/>
      <c r="AC19" s="2071"/>
      <c r="AD19" s="2071"/>
      <c r="AE19" s="2071"/>
      <c r="AF19" s="2071"/>
      <c r="AG19" s="2071"/>
      <c r="AH19" s="2071"/>
      <c r="AI19" s="2071"/>
      <c r="AJ19" s="2071"/>
      <c r="AK19" s="2071"/>
      <c r="AL19" s="2071"/>
      <c r="AM19" s="2071"/>
      <c r="AN19" s="2071"/>
      <c r="AO19" s="2071"/>
      <c r="AP19" s="2071"/>
      <c r="AQ19" s="2071"/>
      <c r="AR19" s="2071"/>
      <c r="AS19" s="2071"/>
      <c r="AT19" s="2071"/>
      <c r="AU19" s="2071"/>
      <c r="AV19" s="2071"/>
      <c r="AW19" s="2071"/>
      <c r="AX19" s="2071"/>
      <c r="AY19" s="2071"/>
      <c r="AZ19" s="2071"/>
      <c r="BA19" s="2071"/>
      <c r="BB19" s="2071"/>
      <c r="BC19" s="2071"/>
      <c r="BD19" s="2071"/>
      <c r="BE19" s="2071"/>
      <c r="BF19" s="2071"/>
      <c r="BG19" s="2071"/>
      <c r="BH19" s="2071"/>
      <c r="BI19" s="2071"/>
      <c r="BJ19" s="2071"/>
      <c r="BK19" s="2071"/>
      <c r="BL19" s="2071"/>
      <c r="BM19" s="2071"/>
      <c r="BN19" s="2071"/>
      <c r="BO19" s="2071"/>
      <c r="BP19" s="2071"/>
      <c r="BQ19" s="2071"/>
    </row>
    <row r="20" spans="1:69" ht="15">
      <c r="A20" s="2059" t="s">
        <v>2015</v>
      </c>
      <c r="B20" s="2060" t="s">
        <v>1934</v>
      </c>
      <c r="C20" s="2061" t="s">
        <v>2005</v>
      </c>
      <c r="D20" s="2075">
        <f>'Отчёт в РСТ о НВВ'!D20</f>
        <v>23837.484</v>
      </c>
      <c r="E20" s="1106"/>
      <c r="F20" s="1106"/>
      <c r="G20" s="1106"/>
      <c r="H20" s="1106"/>
      <c r="I20" s="1106"/>
      <c r="J20" s="1106"/>
      <c r="K20" s="1106"/>
      <c r="L20" s="1106"/>
      <c r="M20" s="1106"/>
      <c r="N20" s="1106"/>
      <c r="O20" s="1106"/>
      <c r="P20" s="1106"/>
      <c r="Q20" s="1106"/>
      <c r="R20" s="1106"/>
      <c r="S20" s="1106"/>
      <c r="T20" s="1106"/>
      <c r="U20" s="1106"/>
      <c r="V20" s="1106"/>
      <c r="W20" s="1106"/>
      <c r="X20" s="1106"/>
      <c r="Y20" s="1106"/>
      <c r="Z20" s="1106"/>
      <c r="AA20" s="1106"/>
      <c r="AB20" s="1106"/>
      <c r="AC20" s="1106"/>
      <c r="AD20" s="1106"/>
      <c r="AE20" s="1106"/>
      <c r="AF20" s="1106"/>
      <c r="AG20" s="1106"/>
      <c r="AH20" s="1106"/>
      <c r="AI20" s="1106"/>
      <c r="AJ20" s="1106"/>
      <c r="AK20" s="1106"/>
      <c r="AL20" s="1106"/>
      <c r="AM20" s="1106"/>
      <c r="AN20" s="1106"/>
      <c r="AO20" s="1106"/>
      <c r="AP20" s="1106"/>
      <c r="AQ20" s="1106"/>
      <c r="AR20" s="1106"/>
      <c r="AS20" s="1106"/>
      <c r="AT20" s="1106"/>
      <c r="AU20" s="1106"/>
      <c r="AV20" s="1106"/>
      <c r="AW20" s="1106"/>
      <c r="AX20" s="1106"/>
      <c r="AY20" s="1106"/>
      <c r="AZ20" s="1106"/>
      <c r="BA20" s="1106"/>
      <c r="BB20" s="1106"/>
      <c r="BC20" s="1106"/>
      <c r="BD20" s="1106"/>
      <c r="BE20" s="1106"/>
      <c r="BF20" s="1106"/>
      <c r="BG20" s="1106"/>
      <c r="BH20" s="1106"/>
      <c r="BI20" s="1106"/>
      <c r="BJ20" s="1106"/>
      <c r="BK20" s="1106"/>
      <c r="BL20" s="1106"/>
      <c r="BM20" s="1106"/>
      <c r="BN20" s="1106"/>
      <c r="BO20" s="1106"/>
      <c r="BP20" s="1106"/>
      <c r="BQ20" s="1106"/>
    </row>
    <row r="21" spans="1:69" ht="15">
      <c r="A21" s="2059" t="s">
        <v>2016</v>
      </c>
      <c r="B21" s="2060" t="s">
        <v>158</v>
      </c>
      <c r="C21" s="2061" t="s">
        <v>2005</v>
      </c>
      <c r="D21" s="2075">
        <f>'Отчёт в РСТ о НВВ'!D22</f>
        <v>6724.0690000000004</v>
      </c>
      <c r="E21" s="1106"/>
      <c r="F21" s="1106"/>
      <c r="G21" s="1106"/>
      <c r="H21" s="1106"/>
      <c r="I21" s="1106"/>
      <c r="J21" s="1106"/>
      <c r="K21" s="1106"/>
      <c r="L21" s="1106"/>
      <c r="M21" s="1106"/>
      <c r="N21" s="1106"/>
      <c r="O21" s="1106"/>
      <c r="P21" s="1106"/>
      <c r="Q21" s="1106"/>
      <c r="R21" s="1106"/>
      <c r="S21" s="1106"/>
      <c r="T21" s="1106"/>
      <c r="U21" s="1106"/>
      <c r="V21" s="1106"/>
      <c r="W21" s="1106"/>
      <c r="X21" s="1106"/>
      <c r="Y21" s="1106"/>
      <c r="Z21" s="1106"/>
      <c r="AA21" s="1106"/>
      <c r="AB21" s="1106"/>
      <c r="AC21" s="1106"/>
      <c r="AD21" s="1106"/>
      <c r="AE21" s="1106"/>
      <c r="AF21" s="1106"/>
      <c r="AG21" s="1106"/>
      <c r="AH21" s="1106"/>
      <c r="AI21" s="1106"/>
      <c r="AJ21" s="1106"/>
      <c r="AK21" s="1106"/>
      <c r="AL21" s="1106"/>
      <c r="AM21" s="1106"/>
      <c r="AN21" s="1106"/>
      <c r="AO21" s="1106"/>
      <c r="AP21" s="1106"/>
      <c r="AQ21" s="1106"/>
      <c r="AR21" s="1106"/>
      <c r="AS21" s="1106"/>
      <c r="AT21" s="1106"/>
      <c r="AU21" s="1106"/>
      <c r="AV21" s="1106"/>
      <c r="AW21" s="1106"/>
      <c r="AX21" s="1106"/>
      <c r="AY21" s="1106"/>
      <c r="AZ21" s="1106"/>
      <c r="BA21" s="1106"/>
      <c r="BB21" s="1106"/>
      <c r="BC21" s="1106"/>
      <c r="BD21" s="1106"/>
      <c r="BE21" s="1106"/>
      <c r="BF21" s="1106"/>
      <c r="BG21" s="1106"/>
      <c r="BH21" s="1106"/>
      <c r="BI21" s="1106"/>
      <c r="BJ21" s="1106"/>
      <c r="BK21" s="1106"/>
      <c r="BL21" s="1106"/>
      <c r="BM21" s="1106"/>
      <c r="BN21" s="1106"/>
      <c r="BO21" s="1106"/>
      <c r="BP21" s="1106"/>
      <c r="BQ21" s="1106"/>
    </row>
    <row r="22" spans="1:69" ht="15">
      <c r="A22" s="2059" t="s">
        <v>2017</v>
      </c>
      <c r="B22" s="2060" t="s">
        <v>1404</v>
      </c>
      <c r="C22" s="2061" t="s">
        <v>2005</v>
      </c>
      <c r="D22" s="2075">
        <v>0</v>
      </c>
      <c r="E22" s="1106"/>
      <c r="F22" s="1106"/>
      <c r="G22" s="1106"/>
      <c r="H22" s="1106"/>
      <c r="I22" s="1106"/>
      <c r="J22" s="1106"/>
      <c r="K22" s="1106"/>
      <c r="L22" s="1106"/>
      <c r="M22" s="1106"/>
      <c r="N22" s="1106"/>
      <c r="O22" s="1106"/>
      <c r="P22" s="1106"/>
      <c r="Q22" s="1106"/>
      <c r="R22" s="1106"/>
      <c r="S22" s="1106"/>
      <c r="T22" s="1106"/>
      <c r="U22" s="1106"/>
      <c r="V22" s="1106"/>
      <c r="W22" s="1106"/>
      <c r="X22" s="1106"/>
      <c r="Y22" s="1106"/>
      <c r="Z22" s="1106"/>
      <c r="AA22" s="1106"/>
      <c r="AB22" s="1106"/>
      <c r="AC22" s="1106"/>
      <c r="AD22" s="1106"/>
      <c r="AE22" s="1106"/>
      <c r="AF22" s="1106"/>
      <c r="AG22" s="1106"/>
      <c r="AH22" s="1106"/>
      <c r="AI22" s="1106"/>
      <c r="AJ22" s="1106"/>
      <c r="AK22" s="1106"/>
      <c r="AL22" s="1106"/>
      <c r="AM22" s="1106"/>
      <c r="AN22" s="1106"/>
      <c r="AO22" s="1106"/>
      <c r="AP22" s="1106"/>
      <c r="AQ22" s="1106"/>
      <c r="AR22" s="1106"/>
      <c r="AS22" s="1106"/>
      <c r="AT22" s="1106"/>
      <c r="AU22" s="1106"/>
      <c r="AV22" s="1106"/>
      <c r="AW22" s="1106"/>
      <c r="AX22" s="1106"/>
      <c r="AY22" s="1106"/>
      <c r="AZ22" s="1106"/>
      <c r="BA22" s="1106"/>
      <c r="BB22" s="1106"/>
      <c r="BC22" s="1106"/>
      <c r="BD22" s="1106"/>
      <c r="BE22" s="1106"/>
      <c r="BF22" s="1106"/>
      <c r="BG22" s="1106"/>
      <c r="BH22" s="1106"/>
      <c r="BI22" s="1106"/>
      <c r="BJ22" s="1106"/>
      <c r="BK22" s="1106"/>
      <c r="BL22" s="1106"/>
      <c r="BM22" s="1106"/>
      <c r="BN22" s="1106"/>
      <c r="BO22" s="1106"/>
      <c r="BP22" s="1106"/>
      <c r="BQ22" s="1106"/>
    </row>
    <row r="23" spans="1:69" s="2073" customFormat="1" ht="38.25">
      <c r="A23" s="2067" t="s">
        <v>2018</v>
      </c>
      <c r="B23" s="2068" t="s">
        <v>2019</v>
      </c>
      <c r="C23" s="2069" t="s">
        <v>1396</v>
      </c>
      <c r="D23" s="2074">
        <f>SUM(D24:D26)</f>
        <v>265033.86994966207</v>
      </c>
      <c r="E23" s="2071"/>
      <c r="F23" s="2071"/>
      <c r="G23" s="2071"/>
      <c r="H23" s="2071"/>
      <c r="I23" s="2071"/>
      <c r="J23" s="2071"/>
      <c r="K23" s="2071"/>
      <c r="L23" s="2071"/>
      <c r="M23" s="2071"/>
      <c r="N23" s="2071"/>
      <c r="O23" s="2071"/>
      <c r="P23" s="2071"/>
      <c r="Q23" s="2071"/>
      <c r="R23" s="2071"/>
      <c r="S23" s="2071"/>
      <c r="T23" s="2071"/>
      <c r="U23" s="2071"/>
      <c r="V23" s="2071"/>
      <c r="W23" s="2071"/>
      <c r="X23" s="2071"/>
      <c r="Y23" s="2071"/>
      <c r="Z23" s="2071"/>
      <c r="AA23" s="2071"/>
      <c r="AB23" s="2071"/>
      <c r="AC23" s="2071"/>
      <c r="AD23" s="2071"/>
      <c r="AE23" s="2071"/>
      <c r="AF23" s="2071"/>
      <c r="AG23" s="2071"/>
      <c r="AH23" s="2071"/>
      <c r="AI23" s="2071"/>
      <c r="AJ23" s="2071"/>
      <c r="AK23" s="2071"/>
      <c r="AL23" s="2071"/>
      <c r="AM23" s="2071"/>
      <c r="AN23" s="2071"/>
      <c r="AO23" s="2071"/>
      <c r="AP23" s="2071"/>
      <c r="AQ23" s="2071"/>
      <c r="AR23" s="2071"/>
      <c r="AS23" s="2071"/>
      <c r="AT23" s="2071"/>
      <c r="AU23" s="2071"/>
      <c r="AV23" s="2071"/>
      <c r="AW23" s="2071"/>
      <c r="AX23" s="2071"/>
      <c r="AY23" s="2071"/>
      <c r="AZ23" s="2071"/>
      <c r="BA23" s="2071"/>
      <c r="BB23" s="2071"/>
      <c r="BC23" s="2071"/>
      <c r="BD23" s="2071"/>
      <c r="BE23" s="2071"/>
      <c r="BF23" s="2071"/>
      <c r="BG23" s="2071"/>
      <c r="BH23" s="2071"/>
      <c r="BI23" s="2071"/>
      <c r="BJ23" s="2071"/>
      <c r="BK23" s="2071"/>
      <c r="BL23" s="2071"/>
      <c r="BM23" s="2071"/>
      <c r="BN23" s="2071"/>
      <c r="BO23" s="2071"/>
      <c r="BP23" s="2071"/>
      <c r="BQ23" s="2071"/>
    </row>
    <row r="24" spans="1:69" ht="15">
      <c r="A24" s="2059" t="s">
        <v>2020</v>
      </c>
      <c r="B24" s="2060" t="s">
        <v>1934</v>
      </c>
      <c r="C24" s="2061" t="s">
        <v>1396</v>
      </c>
      <c r="D24" s="2075">
        <f>'Отчёт в РСТ о НВВ'!D25</f>
        <v>205806.34113966205</v>
      </c>
      <c r="E24" s="1106"/>
      <c r="F24" s="1106"/>
      <c r="G24" s="1106"/>
      <c r="H24" s="1106"/>
      <c r="I24" s="1106"/>
      <c r="J24" s="1106"/>
      <c r="K24" s="1106"/>
      <c r="L24" s="1106"/>
      <c r="M24" s="1106"/>
      <c r="N24" s="1106"/>
      <c r="O24" s="1106"/>
      <c r="P24" s="1106"/>
      <c r="Q24" s="1106"/>
      <c r="R24" s="1106"/>
      <c r="S24" s="1106"/>
      <c r="T24" s="1106"/>
      <c r="U24" s="1106"/>
      <c r="V24" s="1106"/>
      <c r="W24" s="1106"/>
      <c r="X24" s="1106"/>
      <c r="Y24" s="1106"/>
      <c r="Z24" s="1106"/>
      <c r="AA24" s="1106"/>
      <c r="AB24" s="1106"/>
      <c r="AC24" s="1106"/>
      <c r="AD24" s="1106"/>
      <c r="AE24" s="1106"/>
      <c r="AF24" s="1106"/>
      <c r="AG24" s="1106"/>
      <c r="AH24" s="1106"/>
      <c r="AI24" s="1106"/>
      <c r="AJ24" s="1106"/>
      <c r="AK24" s="1106"/>
      <c r="AL24" s="1106"/>
      <c r="AM24" s="1106"/>
      <c r="AN24" s="1106"/>
      <c r="AO24" s="1106"/>
      <c r="AP24" s="1106"/>
      <c r="AQ24" s="1106"/>
      <c r="AR24" s="1106"/>
      <c r="AS24" s="1106"/>
      <c r="AT24" s="1106"/>
      <c r="AU24" s="1106"/>
      <c r="AV24" s="1106"/>
      <c r="AW24" s="1106"/>
      <c r="AX24" s="1106"/>
      <c r="AY24" s="1106"/>
      <c r="AZ24" s="1106"/>
      <c r="BA24" s="1106"/>
      <c r="BB24" s="1106"/>
      <c r="BC24" s="1106"/>
      <c r="BD24" s="1106"/>
      <c r="BE24" s="1106"/>
      <c r="BF24" s="1106"/>
      <c r="BG24" s="1106"/>
      <c r="BH24" s="1106"/>
      <c r="BI24" s="1106"/>
      <c r="BJ24" s="1106"/>
      <c r="BK24" s="1106"/>
      <c r="BL24" s="1106"/>
      <c r="BM24" s="1106"/>
      <c r="BN24" s="1106"/>
      <c r="BO24" s="1106"/>
      <c r="BP24" s="1106"/>
      <c r="BQ24" s="1106"/>
    </row>
    <row r="25" spans="1:69" ht="15">
      <c r="A25" s="2059" t="s">
        <v>2021</v>
      </c>
      <c r="B25" s="2060" t="s">
        <v>158</v>
      </c>
      <c r="C25" s="2061" t="s">
        <v>1396</v>
      </c>
      <c r="D25" s="2075">
        <f>'Отчёт в РСТ о НВВ'!D27</f>
        <v>59227.528810000018</v>
      </c>
      <c r="E25" s="1106"/>
      <c r="F25" s="1106"/>
      <c r="G25" s="1106"/>
      <c r="H25" s="1106"/>
      <c r="I25" s="1106"/>
      <c r="J25" s="1106"/>
      <c r="K25" s="1106"/>
      <c r="L25" s="1106"/>
      <c r="M25" s="1106"/>
      <c r="N25" s="1106"/>
      <c r="O25" s="1106"/>
      <c r="P25" s="1106"/>
      <c r="Q25" s="1106"/>
      <c r="R25" s="1106"/>
      <c r="S25" s="1106"/>
      <c r="T25" s="1106"/>
      <c r="U25" s="1106"/>
      <c r="V25" s="1106"/>
      <c r="W25" s="1106"/>
      <c r="X25" s="1106"/>
      <c r="Y25" s="1106"/>
      <c r="Z25" s="1106"/>
      <c r="AA25" s="1106"/>
      <c r="AB25" s="1106"/>
      <c r="AC25" s="1106"/>
      <c r="AD25" s="1106"/>
      <c r="AE25" s="1106"/>
      <c r="AF25" s="1106"/>
      <c r="AG25" s="1106"/>
      <c r="AH25" s="1106"/>
      <c r="AI25" s="1106"/>
      <c r="AJ25" s="1106"/>
      <c r="AK25" s="1106"/>
      <c r="AL25" s="1106"/>
      <c r="AM25" s="1106"/>
      <c r="AN25" s="1106"/>
      <c r="AO25" s="1106"/>
      <c r="AP25" s="1106"/>
      <c r="AQ25" s="1106"/>
      <c r="AR25" s="1106"/>
      <c r="AS25" s="1106"/>
      <c r="AT25" s="1106"/>
      <c r="AU25" s="1106"/>
      <c r="AV25" s="1106"/>
      <c r="AW25" s="1106"/>
      <c r="AX25" s="1106"/>
      <c r="AY25" s="1106"/>
      <c r="AZ25" s="1106"/>
      <c r="BA25" s="1106"/>
      <c r="BB25" s="1106"/>
      <c r="BC25" s="1106"/>
      <c r="BD25" s="1106"/>
      <c r="BE25" s="1106"/>
      <c r="BF25" s="1106"/>
      <c r="BG25" s="1106"/>
      <c r="BH25" s="1106"/>
      <c r="BI25" s="1106"/>
      <c r="BJ25" s="1106"/>
      <c r="BK25" s="1106"/>
      <c r="BL25" s="1106"/>
      <c r="BM25" s="1106"/>
      <c r="BN25" s="1106"/>
      <c r="BO25" s="1106"/>
      <c r="BP25" s="1106"/>
      <c r="BQ25" s="1106"/>
    </row>
    <row r="26" spans="1:69" ht="15.75" thickBot="1">
      <c r="A26" s="2076" t="s">
        <v>2022</v>
      </c>
      <c r="B26" s="2077" t="s">
        <v>1404</v>
      </c>
      <c r="C26" s="2078" t="s">
        <v>1396</v>
      </c>
      <c r="D26" s="2079">
        <v>0</v>
      </c>
      <c r="E26" s="1106"/>
      <c r="F26" s="1106"/>
      <c r="G26" s="1106"/>
      <c r="H26" s="1106"/>
      <c r="I26" s="1106"/>
      <c r="J26" s="1106"/>
      <c r="K26" s="1106"/>
      <c r="L26" s="1106"/>
      <c r="M26" s="1106"/>
      <c r="N26" s="1106"/>
      <c r="O26" s="1106"/>
      <c r="P26" s="1106"/>
      <c r="Q26" s="1106"/>
      <c r="R26" s="1106"/>
      <c r="S26" s="1106"/>
      <c r="T26" s="1106"/>
      <c r="U26" s="1106"/>
      <c r="V26" s="1106"/>
      <c r="W26" s="1106"/>
      <c r="X26" s="1106"/>
      <c r="Y26" s="1106"/>
      <c r="Z26" s="1106"/>
      <c r="AA26" s="1106"/>
      <c r="AB26" s="1106"/>
      <c r="AC26" s="1106"/>
      <c r="AD26" s="1106"/>
      <c r="AE26" s="1106"/>
      <c r="AF26" s="1106"/>
      <c r="AG26" s="1106"/>
      <c r="AH26" s="1106"/>
      <c r="AI26" s="1106"/>
      <c r="AJ26" s="1106"/>
      <c r="AK26" s="1106"/>
      <c r="AL26" s="1106"/>
      <c r="AM26" s="1106"/>
      <c r="AN26" s="1106"/>
      <c r="AO26" s="1106"/>
      <c r="AP26" s="1106"/>
      <c r="AQ26" s="1106"/>
      <c r="AR26" s="1106"/>
      <c r="AS26" s="1106"/>
      <c r="AT26" s="1106"/>
      <c r="AU26" s="1106"/>
      <c r="AV26" s="1106"/>
      <c r="AW26" s="1106"/>
      <c r="AX26" s="1106"/>
      <c r="AY26" s="1106"/>
      <c r="AZ26" s="1106"/>
      <c r="BA26" s="1106"/>
      <c r="BB26" s="1106"/>
      <c r="BC26" s="1106"/>
      <c r="BD26" s="1106"/>
      <c r="BE26" s="1106"/>
      <c r="BF26" s="1106"/>
      <c r="BG26" s="1106"/>
      <c r="BH26" s="1106"/>
      <c r="BI26" s="1106"/>
      <c r="BJ26" s="1106"/>
      <c r="BK26" s="1106"/>
      <c r="BL26" s="1106"/>
      <c r="BM26" s="1106"/>
      <c r="BN26" s="1106"/>
      <c r="BO26" s="1106"/>
      <c r="BP26" s="1106"/>
      <c r="BQ26" s="1106"/>
    </row>
    <row r="27" spans="1:69">
      <c r="A27" s="2046"/>
      <c r="E27" s="1106"/>
      <c r="F27" s="1106"/>
      <c r="G27" s="1106"/>
      <c r="H27" s="1106"/>
      <c r="I27" s="1106"/>
      <c r="J27" s="1106"/>
      <c r="K27" s="1106"/>
      <c r="L27" s="1106"/>
      <c r="M27" s="1106"/>
      <c r="N27" s="1106"/>
      <c r="O27" s="1106"/>
      <c r="P27" s="1106"/>
      <c r="Q27" s="1106"/>
      <c r="R27" s="1106"/>
      <c r="S27" s="1106"/>
      <c r="T27" s="1106"/>
      <c r="U27" s="1106"/>
      <c r="V27" s="1106"/>
      <c r="W27" s="1106"/>
      <c r="X27" s="1106"/>
      <c r="Y27" s="1106"/>
      <c r="Z27" s="1106"/>
      <c r="AA27" s="1106"/>
      <c r="AB27" s="1106"/>
      <c r="AC27" s="1106"/>
      <c r="AD27" s="1106"/>
      <c r="AE27" s="1106"/>
      <c r="AF27" s="1106"/>
      <c r="AG27" s="1106"/>
      <c r="AH27" s="1106"/>
      <c r="AI27" s="1106"/>
      <c r="AJ27" s="1106"/>
      <c r="AK27" s="1106"/>
      <c r="AL27" s="1106"/>
      <c r="AM27" s="1106"/>
      <c r="AN27" s="1106"/>
      <c r="AO27" s="1106"/>
      <c r="AP27" s="1106"/>
      <c r="AQ27" s="1106"/>
      <c r="AR27" s="1106"/>
      <c r="AS27" s="1106"/>
      <c r="AT27" s="1106"/>
      <c r="AU27" s="1106"/>
      <c r="AV27" s="1106"/>
      <c r="AW27" s="1106"/>
      <c r="AX27" s="1106"/>
      <c r="AY27" s="1106"/>
      <c r="AZ27" s="1106"/>
      <c r="BA27" s="1106"/>
      <c r="BB27" s="1106"/>
      <c r="BC27" s="1106"/>
      <c r="BD27" s="1106"/>
      <c r="BE27" s="1106"/>
      <c r="BF27" s="1106"/>
      <c r="BG27" s="1106"/>
      <c r="BH27" s="1106"/>
      <c r="BI27" s="1106"/>
      <c r="BJ27" s="1106"/>
      <c r="BK27" s="1106"/>
      <c r="BL27" s="1106"/>
      <c r="BM27" s="1106"/>
      <c r="BN27" s="1106"/>
      <c r="BO27" s="1106"/>
      <c r="BP27" s="1106"/>
      <c r="BQ27" s="1106"/>
    </row>
    <row r="28" spans="1:69">
      <c r="E28" s="1106"/>
      <c r="F28" s="1106"/>
      <c r="G28" s="1106"/>
      <c r="H28" s="1106"/>
      <c r="I28" s="1106"/>
      <c r="J28" s="1106"/>
      <c r="K28" s="1106"/>
      <c r="L28" s="1106"/>
      <c r="M28" s="1106"/>
      <c r="N28" s="1106"/>
      <c r="O28" s="1106"/>
      <c r="P28" s="1106"/>
      <c r="Q28" s="1106"/>
      <c r="R28" s="1106"/>
      <c r="S28" s="1106"/>
      <c r="T28" s="1106"/>
      <c r="U28" s="1106"/>
      <c r="V28" s="1106"/>
      <c r="W28" s="1106"/>
      <c r="X28" s="1106"/>
      <c r="Y28" s="1106"/>
      <c r="Z28" s="1106"/>
      <c r="AA28" s="1106"/>
      <c r="AB28" s="1106"/>
      <c r="AC28" s="1106"/>
      <c r="AD28" s="1106"/>
      <c r="AE28" s="1106"/>
      <c r="AF28" s="1106"/>
      <c r="AG28" s="1106"/>
      <c r="AH28" s="1106"/>
      <c r="AI28" s="1106"/>
      <c r="AJ28" s="1106"/>
      <c r="AK28" s="1106"/>
      <c r="AL28" s="1106"/>
      <c r="AM28" s="1106"/>
      <c r="AN28" s="1106"/>
      <c r="AO28" s="1106"/>
      <c r="AP28" s="1106"/>
      <c r="AQ28" s="1106"/>
      <c r="AR28" s="1106"/>
      <c r="AS28" s="1106"/>
      <c r="AT28" s="1106"/>
      <c r="AU28" s="1106"/>
      <c r="AV28" s="1106"/>
      <c r="AW28" s="1106"/>
      <c r="AX28" s="1106"/>
      <c r="AY28" s="1106"/>
      <c r="AZ28" s="1106"/>
      <c r="BA28" s="1106"/>
      <c r="BB28" s="1106"/>
      <c r="BC28" s="1106"/>
      <c r="BD28" s="1106"/>
      <c r="BE28" s="1106"/>
      <c r="BF28" s="1106"/>
      <c r="BG28" s="1106"/>
      <c r="BH28" s="1106"/>
      <c r="BI28" s="1106"/>
      <c r="BJ28" s="1106"/>
      <c r="BK28" s="1106"/>
      <c r="BL28" s="1106"/>
      <c r="BM28" s="1106"/>
      <c r="BN28" s="1106"/>
      <c r="BO28" s="1106"/>
      <c r="BP28" s="1106"/>
      <c r="BQ28" s="1106"/>
    </row>
    <row r="29" spans="1:69">
      <c r="D29" s="2080"/>
    </row>
    <row r="30" spans="1:69">
      <c r="A30" s="2046" t="s">
        <v>2023</v>
      </c>
    </row>
    <row r="31" spans="1:69">
      <c r="A31" s="2046"/>
      <c r="C31" s="1845"/>
      <c r="D31" s="513"/>
    </row>
    <row r="32" spans="1:69">
      <c r="A32" s="2046"/>
      <c r="C32" s="1845"/>
      <c r="D32" s="513"/>
    </row>
    <row r="33" spans="1:3">
      <c r="A33" s="2046" t="s">
        <v>2024</v>
      </c>
      <c r="B33" s="1845"/>
      <c r="C33" s="1845"/>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28"/>
  <sheetViews>
    <sheetView topLeftCell="A10" zoomScale="70" zoomScaleNormal="70" workbookViewId="0">
      <selection activeCell="G25" sqref="F25:G25"/>
    </sheetView>
  </sheetViews>
  <sheetFormatPr defaultColWidth="8.7109375" defaultRowHeight="12.75"/>
  <cols>
    <col min="1" max="1" width="8.7109375" style="842"/>
    <col min="2" max="2" width="34.28515625" style="842" customWidth="1"/>
    <col min="3" max="3" width="19" style="842" customWidth="1"/>
    <col min="4" max="4" width="10.7109375" style="842" customWidth="1"/>
    <col min="5" max="16384" width="8.7109375" style="842"/>
  </cols>
  <sheetData>
    <row r="2" spans="1:4" ht="15.75">
      <c r="A2" s="4392" t="s">
        <v>2</v>
      </c>
      <c r="B2" s="4392"/>
      <c r="C2" s="4392"/>
      <c r="D2" s="4392"/>
    </row>
    <row r="3" spans="1:4" ht="15" customHeight="1">
      <c r="A3" s="4393" t="s">
        <v>1382</v>
      </c>
      <c r="B3" s="4393" t="s">
        <v>1383</v>
      </c>
      <c r="C3" s="4394" t="s">
        <v>1384</v>
      </c>
      <c r="D3" s="1255"/>
    </row>
    <row r="4" spans="1:4" ht="26.25" customHeight="1">
      <c r="A4" s="4393"/>
      <c r="B4" s="4393"/>
      <c r="C4" s="4394"/>
      <c r="D4" s="1246">
        <f>'Шаблон 46 ГП'!A8:P8</f>
        <v>0</v>
      </c>
    </row>
    <row r="5" spans="1:4" ht="26.25" customHeight="1">
      <c r="A5" s="1246">
        <v>1</v>
      </c>
      <c r="B5" s="1247" t="s">
        <v>1385</v>
      </c>
      <c r="C5" s="1248"/>
      <c r="D5" s="1248"/>
    </row>
    <row r="6" spans="1:4" ht="25.5" customHeight="1">
      <c r="A6" s="1249" t="s">
        <v>753</v>
      </c>
      <c r="B6" s="1250" t="s">
        <v>1386</v>
      </c>
      <c r="C6" s="1251" t="s">
        <v>1387</v>
      </c>
      <c r="D6" s="1252">
        <f>D8/D7</f>
        <v>2.299796466777388</v>
      </c>
    </row>
    <row r="7" spans="1:4" ht="21" customHeight="1">
      <c r="A7" s="1249" t="s">
        <v>755</v>
      </c>
      <c r="B7" s="1250" t="s">
        <v>1388</v>
      </c>
      <c r="C7" s="1251" t="s">
        <v>1389</v>
      </c>
      <c r="D7" s="1253">
        <f>ККП!D188*1000</f>
        <v>24745.756000000001</v>
      </c>
    </row>
    <row r="8" spans="1:4" ht="18.75" customHeight="1">
      <c r="A8" s="1249" t="s">
        <v>757</v>
      </c>
      <c r="B8" s="1250" t="s">
        <v>1390</v>
      </c>
      <c r="C8" s="1251" t="s">
        <v>1391</v>
      </c>
      <c r="D8" s="1253">
        <f>ККП!D54*1000</f>
        <v>56910.202216535348</v>
      </c>
    </row>
    <row r="9" spans="1:4" ht="51.75" customHeight="1">
      <c r="A9" s="1249" t="s">
        <v>688</v>
      </c>
      <c r="B9" s="1247" t="s">
        <v>1392</v>
      </c>
      <c r="C9" s="4391"/>
      <c r="D9" s="4391"/>
    </row>
    <row r="10" spans="1:4" ht="25.5" customHeight="1">
      <c r="A10" s="1249" t="s">
        <v>702</v>
      </c>
      <c r="B10" s="1250" t="s">
        <v>1393</v>
      </c>
      <c r="C10" s="1251" t="s">
        <v>1394</v>
      </c>
      <c r="D10" s="1252">
        <f>D12/D11</f>
        <v>3.9499699999999995</v>
      </c>
    </row>
    <row r="11" spans="1:4" ht="21" customHeight="1">
      <c r="A11" s="1249" t="s">
        <v>706</v>
      </c>
      <c r="B11" s="1250" t="s">
        <v>1388</v>
      </c>
      <c r="C11" s="1251" t="s">
        <v>1389</v>
      </c>
      <c r="D11" s="1253">
        <f>ККП!D272*1000</f>
        <v>1788.3280000000002</v>
      </c>
    </row>
    <row r="12" spans="1:4" ht="18" customHeight="1">
      <c r="A12" s="1249" t="s">
        <v>1395</v>
      </c>
      <c r="B12" s="1250" t="s">
        <v>1390</v>
      </c>
      <c r="C12" s="1251" t="s">
        <v>1396</v>
      </c>
      <c r="D12" s="1253">
        <f>ККП!D138*1000</f>
        <v>7063.8419501600001</v>
      </c>
    </row>
    <row r="13" spans="1:4" ht="18" customHeight="1">
      <c r="A13" s="1249" t="s">
        <v>708</v>
      </c>
      <c r="B13" s="1247" t="s">
        <v>42</v>
      </c>
      <c r="C13" s="4391"/>
      <c r="D13" s="4391"/>
    </row>
    <row r="14" spans="1:4" ht="74.25" customHeight="1">
      <c r="A14" s="1249" t="s">
        <v>710</v>
      </c>
      <c r="B14" s="1250" t="s">
        <v>1397</v>
      </c>
      <c r="C14" s="1251" t="s">
        <v>1394</v>
      </c>
      <c r="D14" s="1254"/>
    </row>
    <row r="15" spans="1:4" ht="16.5" customHeight="1">
      <c r="A15" s="1249" t="s">
        <v>1398</v>
      </c>
      <c r="B15" s="1250" t="s">
        <v>156</v>
      </c>
      <c r="C15" s="1251" t="s">
        <v>1394</v>
      </c>
      <c r="D15" s="1252">
        <f>D25/D20</f>
        <v>8.6337274999182814</v>
      </c>
    </row>
    <row r="16" spans="1:4" ht="18.75" customHeight="1">
      <c r="A16" s="1249" t="s">
        <v>1399</v>
      </c>
      <c r="B16" s="1250" t="s">
        <v>1400</v>
      </c>
      <c r="C16" s="1251" t="s">
        <v>1394</v>
      </c>
      <c r="D16" s="1252" t="e">
        <f>D26/D21</f>
        <v>#DIV/0!</v>
      </c>
    </row>
    <row r="17" spans="1:4" ht="17.25" customHeight="1">
      <c r="A17" s="1249" t="s">
        <v>1401</v>
      </c>
      <c r="B17" s="1250" t="s">
        <v>1402</v>
      </c>
      <c r="C17" s="1251" t="s">
        <v>1394</v>
      </c>
      <c r="D17" s="1252">
        <f>D27/D22</f>
        <v>8.808286888489695</v>
      </c>
    </row>
    <row r="18" spans="1:4" ht="13.5" customHeight="1">
      <c r="A18" s="1249" t="s">
        <v>1403</v>
      </c>
      <c r="B18" s="1250" t="s">
        <v>1404</v>
      </c>
      <c r="C18" s="1251" t="s">
        <v>1394</v>
      </c>
      <c r="D18" s="1254"/>
    </row>
    <row r="19" spans="1:4" ht="66" customHeight="1">
      <c r="A19" s="1249" t="s">
        <v>711</v>
      </c>
      <c r="B19" s="1250" t="s">
        <v>1405</v>
      </c>
      <c r="C19" s="1251" t="s">
        <v>1389</v>
      </c>
      <c r="D19" s="1254"/>
    </row>
    <row r="20" spans="1:4" ht="18" customHeight="1">
      <c r="A20" s="1249" t="s">
        <v>713</v>
      </c>
      <c r="B20" s="1250" t="s">
        <v>156</v>
      </c>
      <c r="C20" s="1251" t="s">
        <v>1389</v>
      </c>
      <c r="D20" s="1253">
        <f>ККП!D157*1000+ККП!D166*1000+ККП!D183*1000</f>
        <v>23837.484</v>
      </c>
    </row>
    <row r="21" spans="1:4" ht="18" customHeight="1">
      <c r="A21" s="1249" t="s">
        <v>715</v>
      </c>
      <c r="B21" s="1250" t="s">
        <v>1400</v>
      </c>
      <c r="C21" s="1251" t="s">
        <v>1389</v>
      </c>
      <c r="D21" s="1253">
        <f>ККП!D161*1000</f>
        <v>0</v>
      </c>
    </row>
    <row r="22" spans="1:4" ht="18" customHeight="1">
      <c r="A22" s="1249" t="s">
        <v>717</v>
      </c>
      <c r="B22" s="1250" t="s">
        <v>1402</v>
      </c>
      <c r="C22" s="1251" t="s">
        <v>1389</v>
      </c>
      <c r="D22" s="1253">
        <f>ККП!D178*1000</f>
        <v>6724.0690000000004</v>
      </c>
    </row>
    <row r="23" spans="1:4" ht="12.75" customHeight="1">
      <c r="A23" s="1249" t="s">
        <v>719</v>
      </c>
      <c r="B23" s="1250" t="s">
        <v>1404</v>
      </c>
      <c r="C23" s="1251" t="s">
        <v>1389</v>
      </c>
      <c r="D23" s="1254"/>
    </row>
    <row r="24" spans="1:4" ht="54.75" customHeight="1">
      <c r="A24" s="1249" t="s">
        <v>721</v>
      </c>
      <c r="B24" s="1250" t="s">
        <v>1406</v>
      </c>
      <c r="C24" s="1251" t="s">
        <v>1396</v>
      </c>
      <c r="D24" s="1254"/>
    </row>
    <row r="25" spans="1:4">
      <c r="A25" s="1249" t="s">
        <v>1407</v>
      </c>
      <c r="B25" s="1250" t="s">
        <v>156</v>
      </c>
      <c r="C25" s="1251" t="s">
        <v>1396</v>
      </c>
      <c r="D25" s="1253">
        <f>ККП!D23*1000+ККП!D32*1000+ККП!D49*1000</f>
        <v>205806.34113966205</v>
      </c>
    </row>
    <row r="26" spans="1:4">
      <c r="A26" s="1249" t="s">
        <v>1408</v>
      </c>
      <c r="B26" s="1250" t="s">
        <v>1400</v>
      </c>
      <c r="C26" s="1251" t="s">
        <v>1396</v>
      </c>
      <c r="D26" s="1253">
        <f>ККП!D27*1000</f>
        <v>0</v>
      </c>
    </row>
    <row r="27" spans="1:4">
      <c r="A27" s="1249" t="s">
        <v>1409</v>
      </c>
      <c r="B27" s="1250" t="s">
        <v>1402</v>
      </c>
      <c r="C27" s="1251" t="s">
        <v>1396</v>
      </c>
      <c r="D27" s="1253">
        <f>ККП!D44*1000</f>
        <v>59227.528810000018</v>
      </c>
    </row>
    <row r="28" spans="1:4">
      <c r="A28" s="1249" t="s">
        <v>1410</v>
      </c>
      <c r="B28" s="1250" t="s">
        <v>1404</v>
      </c>
      <c r="C28" s="1251" t="s">
        <v>1396</v>
      </c>
      <c r="D28" s="1254"/>
    </row>
  </sheetData>
  <mergeCells count="6">
    <mergeCell ref="C9:D9"/>
    <mergeCell ref="C13:D13"/>
    <mergeCell ref="A2:D2"/>
    <mergeCell ref="A3:A4"/>
    <mergeCell ref="B3:B4"/>
    <mergeCell ref="C3:C4"/>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H26"/>
  <sheetViews>
    <sheetView workbookViewId="0">
      <selection activeCell="G24" sqref="G24"/>
    </sheetView>
  </sheetViews>
  <sheetFormatPr defaultColWidth="8.7109375" defaultRowHeight="12.75"/>
  <cols>
    <col min="1" max="2" width="8.7109375" style="1260"/>
    <col min="3" max="3" width="26.7109375" style="1260" customWidth="1"/>
    <col min="4" max="4" width="8.7109375" style="1260"/>
    <col min="5" max="5" width="10.28515625" style="1260" customWidth="1"/>
    <col min="6" max="6" width="10.42578125" style="1260" customWidth="1"/>
    <col min="7" max="16384" width="8.7109375" style="1260"/>
  </cols>
  <sheetData>
    <row r="5" spans="2:8">
      <c r="B5" s="1256"/>
      <c r="C5" s="1257"/>
      <c r="D5" s="1258"/>
      <c r="E5" s="1258" t="s">
        <v>1411</v>
      </c>
      <c r="F5" s="1258"/>
      <c r="G5" s="1259"/>
      <c r="H5" s="1259"/>
    </row>
    <row r="6" spans="2:8">
      <c r="B6" s="1261">
        <v>1</v>
      </c>
      <c r="C6" s="1262" t="s">
        <v>1412</v>
      </c>
      <c r="D6" s="1258" t="s">
        <v>1413</v>
      </c>
      <c r="E6" s="1263">
        <f>'Шаблон 46 ГП'!C274/1000</f>
        <v>57180.12</v>
      </c>
      <c r="F6" s="1264"/>
    </row>
    <row r="7" spans="2:8">
      <c r="B7" s="1265">
        <v>2</v>
      </c>
      <c r="C7" s="1266" t="s">
        <v>238</v>
      </c>
      <c r="D7" s="1267" t="s">
        <v>1413</v>
      </c>
      <c r="E7" s="1268">
        <f>'Шаблон 46 ГП'!C268/1000</f>
        <v>1788.328</v>
      </c>
      <c r="F7" s="1268"/>
    </row>
    <row r="8" spans="2:8">
      <c r="B8" s="1269"/>
      <c r="C8" s="1270"/>
      <c r="D8" s="1271" t="s">
        <v>248</v>
      </c>
      <c r="E8" s="1272">
        <f>E7/E6</f>
        <v>3.1275345347299026E-2</v>
      </c>
      <c r="F8" s="1273"/>
    </row>
    <row r="9" spans="2:8">
      <c r="B9" s="1265">
        <v>3</v>
      </c>
      <c r="C9" s="1266" t="s">
        <v>1414</v>
      </c>
      <c r="D9" s="1267" t="s">
        <v>1413</v>
      </c>
      <c r="E9" s="1268">
        <f>E6-E7</f>
        <v>55391.792000000001</v>
      </c>
      <c r="F9" s="1268"/>
    </row>
    <row r="10" spans="2:8">
      <c r="B10" s="1274"/>
      <c r="C10" s="1275" t="s">
        <v>28</v>
      </c>
      <c r="D10" s="1276" t="s">
        <v>1413</v>
      </c>
      <c r="E10" s="1277">
        <f>'Шаблон 46 ГП'!C27/1000</f>
        <v>24830.239000000001</v>
      </c>
      <c r="F10" s="1278"/>
    </row>
    <row r="11" spans="2:8">
      <c r="B11" s="1274"/>
      <c r="C11" s="1275" t="s">
        <v>1415</v>
      </c>
      <c r="D11" s="1276"/>
      <c r="E11" s="1277"/>
      <c r="F11" s="1278"/>
    </row>
    <row r="12" spans="2:8">
      <c r="B12" s="1274"/>
      <c r="C12" s="1279" t="s">
        <v>1416</v>
      </c>
      <c r="D12" s="1276" t="s">
        <v>1413</v>
      </c>
      <c r="E12" s="1277">
        <f>'Шаблон 46 ГП'!C40/1000+'Шаблон 46 ГП'!C55/1000</f>
        <v>185.57299999999998</v>
      </c>
      <c r="F12" s="1278"/>
    </row>
    <row r="13" spans="2:8">
      <c r="B13" s="1274"/>
      <c r="C13" s="1279" t="s">
        <v>1417</v>
      </c>
      <c r="D13" s="1276" t="s">
        <v>1413</v>
      </c>
      <c r="E13" s="1277">
        <f>'Шаблон 46 ГП'!C43/1000+'Шаблон 46 ГП'!C49/1000+'Шаблон 46 ГП'!C58/1000+'Шаблон 46 ГП'!C64/1000</f>
        <v>2336.4719999999998</v>
      </c>
      <c r="F13" s="1278"/>
    </row>
    <row r="14" spans="2:8">
      <c r="B14" s="1274"/>
      <c r="C14" s="1279" t="s">
        <v>1418</v>
      </c>
      <c r="D14" s="1276" t="s">
        <v>1413</v>
      </c>
      <c r="E14" s="1277">
        <f>'Шаблон 46 ГП'!C46/1000+'Шаблон 46 ГП'!C52/1000+'Шаблон 46 ГП'!C61/1000+'Шаблон 46 ГП'!C65/1000</f>
        <v>1088.425</v>
      </c>
      <c r="F14" s="1278"/>
    </row>
    <row r="15" spans="2:8">
      <c r="B15" s="1274"/>
      <c r="C15" s="1275" t="s">
        <v>1419</v>
      </c>
      <c r="D15" s="1276"/>
      <c r="E15" s="1277"/>
      <c r="F15" s="1278"/>
    </row>
    <row r="16" spans="2:8">
      <c r="B16" s="1274"/>
      <c r="C16" s="1279" t="s">
        <v>1416</v>
      </c>
      <c r="D16" s="1276" t="s">
        <v>1413</v>
      </c>
      <c r="E16" s="1277">
        <f>'Шаблон 46 ГП'!C28/1000+'Шаблон 46 ГП'!C37/1000</f>
        <v>7393.2179999999998</v>
      </c>
      <c r="F16" s="1278"/>
    </row>
    <row r="17" spans="2:6">
      <c r="B17" s="1274"/>
      <c r="C17" s="1279" t="s">
        <v>1417</v>
      </c>
      <c r="D17" s="1276" t="s">
        <v>1413</v>
      </c>
      <c r="E17" s="1277">
        <f>'Шаблон 46 ГП'!C31/1000+'Шаблон 46 ГП'!C38/1000</f>
        <v>10256.021000000001</v>
      </c>
      <c r="F17" s="1278"/>
    </row>
    <row r="18" spans="2:6">
      <c r="B18" s="1274"/>
      <c r="C18" s="1279" t="s">
        <v>1418</v>
      </c>
      <c r="D18" s="1276" t="s">
        <v>1413</v>
      </c>
      <c r="E18" s="1277">
        <f>'Шаблон 46 ГП'!C34/1000+'Шаблон 46 ГП'!C39/1000</f>
        <v>3530.241</v>
      </c>
      <c r="F18" s="1278"/>
    </row>
    <row r="19" spans="2:6">
      <c r="B19" s="1274"/>
      <c r="C19" s="1275" t="s">
        <v>1322</v>
      </c>
      <c r="D19" s="1276" t="s">
        <v>1413</v>
      </c>
      <c r="E19" s="1277">
        <f>E9-E10</f>
        <v>30561.553</v>
      </c>
      <c r="F19" s="1277"/>
    </row>
    <row r="20" spans="2:6">
      <c r="B20" s="1261">
        <v>4</v>
      </c>
      <c r="C20" s="1280" t="s">
        <v>1420</v>
      </c>
      <c r="D20" s="1258" t="s">
        <v>1421</v>
      </c>
      <c r="E20" s="1263">
        <f>'Шаблон 46 ГП'!L274/1000</f>
        <v>329134.93165999994</v>
      </c>
      <c r="F20" s="1264"/>
    </row>
    <row r="21" spans="2:6">
      <c r="B21" s="1261">
        <v>5</v>
      </c>
      <c r="C21" s="1280" t="s">
        <v>1422</v>
      </c>
      <c r="D21" s="1258" t="s">
        <v>1421</v>
      </c>
      <c r="E21" s="1263">
        <f>'Шаблон 46 ГП'!H357/1000</f>
        <v>133329.50729000001</v>
      </c>
      <c r="F21" s="1264"/>
    </row>
    <row r="22" spans="2:6">
      <c r="B22" s="1274">
        <v>6</v>
      </c>
      <c r="C22" s="1275" t="s">
        <v>1423</v>
      </c>
      <c r="D22" s="1276" t="s">
        <v>1421</v>
      </c>
      <c r="E22" s="1277">
        <v>0</v>
      </c>
      <c r="F22" s="1278"/>
    </row>
    <row r="23" spans="2:6">
      <c r="B23" s="1261">
        <v>7</v>
      </c>
      <c r="C23" s="1280" t="s">
        <v>1424</v>
      </c>
      <c r="D23" s="1258" t="s">
        <v>1421</v>
      </c>
      <c r="E23" s="1263">
        <v>0</v>
      </c>
      <c r="F23" s="1264"/>
    </row>
    <row r="24" spans="2:6">
      <c r="B24" s="1269">
        <v>8</v>
      </c>
      <c r="C24" s="1281" t="s">
        <v>1425</v>
      </c>
      <c r="D24" s="1271" t="s">
        <v>1421</v>
      </c>
      <c r="E24" s="1282"/>
      <c r="F24" s="1283"/>
    </row>
    <row r="25" spans="2:6">
      <c r="B25" s="1274">
        <v>9</v>
      </c>
      <c r="C25" s="1275" t="s">
        <v>1426</v>
      </c>
      <c r="D25" s="4395" t="s">
        <v>1427</v>
      </c>
      <c r="E25" s="4396"/>
      <c r="F25" s="4397"/>
    </row>
    <row r="26" spans="2:6">
      <c r="B26" s="1284"/>
      <c r="C26" s="1270"/>
      <c r="D26" s="4398" t="s">
        <v>1428</v>
      </c>
      <c r="E26" s="4399"/>
      <c r="F26" s="4400"/>
    </row>
  </sheetData>
  <mergeCells count="2">
    <mergeCell ref="D25:F25"/>
    <mergeCell ref="D26:F26"/>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tabSelected="1" workbookViewId="0">
      <selection activeCell="H27" sqref="H27"/>
    </sheetView>
  </sheetViews>
  <sheetFormatPr defaultColWidth="9.28515625" defaultRowHeight="12.75"/>
  <cols>
    <col min="1" max="1" width="9.28515625" style="1287"/>
    <col min="2" max="2" width="9.28515625" style="1287" customWidth="1"/>
    <col min="3" max="6" width="9.28515625" style="1287"/>
    <col min="7" max="7" width="25.28515625" style="1287" customWidth="1"/>
    <col min="8" max="8" width="18.7109375" style="1287" customWidth="1"/>
    <col min="9" max="13" width="9.28515625" style="1287"/>
    <col min="14" max="14" width="18.7109375" style="1287" customWidth="1"/>
    <col min="15" max="16384" width="9.28515625" style="1287"/>
  </cols>
  <sheetData>
    <row r="1" spans="1:12" s="1285" customFormat="1"/>
    <row r="2" spans="1:12" s="1285" customFormat="1" ht="94.5" customHeight="1">
      <c r="A2" s="4405" t="s">
        <v>1429</v>
      </c>
      <c r="B2" s="4405"/>
      <c r="C2" s="4405"/>
      <c r="D2" s="4405"/>
      <c r="E2" s="4405"/>
      <c r="F2" s="4405"/>
      <c r="G2" s="4405"/>
      <c r="H2" s="4405"/>
      <c r="I2" s="1286"/>
      <c r="J2" s="1286"/>
      <c r="K2" s="1286"/>
      <c r="L2" s="1286"/>
    </row>
    <row r="3" spans="1:12">
      <c r="A3" s="1285"/>
      <c r="B3" s="1285"/>
      <c r="C3" s="1285"/>
      <c r="D3" s="1285"/>
      <c r="E3" s="1285"/>
      <c r="F3" s="1285"/>
      <c r="G3" s="1285"/>
      <c r="H3" s="1285"/>
      <c r="I3" s="1285"/>
      <c r="J3" s="1285"/>
      <c r="K3" s="1285"/>
      <c r="L3" s="1285"/>
    </row>
    <row r="4" spans="1:12" s="1288" customFormat="1" ht="15.75">
      <c r="A4" s="1288" t="s">
        <v>1430</v>
      </c>
    </row>
    <row r="5" spans="1:12" s="1288" customFormat="1" ht="15.75">
      <c r="A5" s="1288" t="s">
        <v>1431</v>
      </c>
    </row>
    <row r="6" spans="1:12" s="1288" customFormat="1" ht="15.75">
      <c r="A6" s="4404" t="str">
        <f>'П.45. г и 45. д.'!A2:H2</f>
        <v>Май 2026 год</v>
      </c>
      <c r="B6" s="4404"/>
      <c r="C6" s="4404"/>
      <c r="D6" s="4404"/>
      <c r="E6" s="4404"/>
      <c r="F6" s="4404"/>
      <c r="G6" s="4404"/>
      <c r="H6" s="4404"/>
    </row>
    <row r="7" spans="1:12" s="1285" customFormat="1">
      <c r="A7" s="4406"/>
      <c r="B7" s="4406"/>
      <c r="C7" s="4406"/>
      <c r="D7" s="4406"/>
      <c r="E7" s="4406"/>
      <c r="F7" s="4406"/>
      <c r="G7" s="4406"/>
      <c r="H7" s="4406"/>
      <c r="I7" s="1289"/>
      <c r="J7" s="1289"/>
      <c r="K7" s="1289"/>
    </row>
    <row r="8" spans="1:12" s="1285" customFormat="1" ht="53.25" customHeight="1">
      <c r="A8" s="4407" t="s">
        <v>3660</v>
      </c>
      <c r="B8" s="4408"/>
      <c r="C8" s="4408"/>
      <c r="D8" s="4408"/>
      <c r="E8" s="4408"/>
      <c r="F8" s="4408"/>
      <c r="G8" s="4408"/>
      <c r="H8" s="4409"/>
      <c r="I8" s="1286"/>
      <c r="J8" s="1286"/>
      <c r="K8" s="1286"/>
    </row>
    <row r="9" spans="1:12" ht="63">
      <c r="A9" s="4401" t="s">
        <v>1437</v>
      </c>
      <c r="B9" s="4402"/>
      <c r="C9" s="4403"/>
      <c r="D9" s="4401" t="s">
        <v>1746</v>
      </c>
      <c r="E9" s="4402"/>
      <c r="F9" s="4403"/>
      <c r="G9" s="1290" t="s">
        <v>693</v>
      </c>
      <c r="H9" s="1291" t="s">
        <v>1747</v>
      </c>
    </row>
    <row r="10" spans="1:12" ht="15.75">
      <c r="A10" s="4401" t="s">
        <v>1414</v>
      </c>
      <c r="B10" s="4402"/>
      <c r="C10" s="4403"/>
      <c r="D10" s="4401" t="s">
        <v>1748</v>
      </c>
      <c r="E10" s="4402"/>
      <c r="F10" s="4403"/>
      <c r="G10" s="1769">
        <f>'Шаблон 46 ГП'!C277/1000000</f>
        <v>55.391792000000002</v>
      </c>
      <c r="H10" s="1769">
        <f>'Шаблон 46 ГП'!C278/1000000</f>
        <v>24.830238999999999</v>
      </c>
    </row>
    <row r="11" spans="1:12">
      <c r="A11" s="1285"/>
      <c r="B11" s="1285"/>
      <c r="C11" s="1285"/>
      <c r="D11" s="1285"/>
      <c r="E11" s="1285"/>
      <c r="F11" s="1285"/>
      <c r="G11" s="1285"/>
      <c r="H11" s="1285"/>
      <c r="I11" s="1285"/>
      <c r="J11" s="1285"/>
      <c r="K11" s="1285"/>
      <c r="L11" s="1285"/>
    </row>
    <row r="12" spans="1:12">
      <c r="E12" s="1285"/>
      <c r="F12" s="1285"/>
      <c r="G12" s="1285"/>
      <c r="H12" s="1285"/>
      <c r="I12" s="1285"/>
      <c r="J12" s="1285"/>
      <c r="K12" s="1285"/>
      <c r="L12" s="1285"/>
    </row>
    <row r="13" spans="1:12">
      <c r="C13" s="1285"/>
      <c r="D13" s="1285"/>
      <c r="E13" s="1285"/>
      <c r="F13" s="1285"/>
      <c r="G13" s="1285"/>
      <c r="H13" s="1285"/>
      <c r="I13" s="1285"/>
      <c r="J13" s="1285"/>
      <c r="K13" s="1285"/>
      <c r="L13" s="1285"/>
    </row>
    <row r="14" spans="1:12">
      <c r="A14" s="1285"/>
      <c r="B14" s="1285"/>
      <c r="C14" s="1285"/>
      <c r="D14" s="1285"/>
      <c r="E14" s="1285"/>
      <c r="F14" s="1285"/>
      <c r="G14" s="1285"/>
      <c r="H14" s="1285"/>
      <c r="I14" s="1285"/>
      <c r="J14" s="1285"/>
      <c r="K14" s="1285"/>
      <c r="L14" s="1285"/>
    </row>
  </sheetData>
  <mergeCells count="8">
    <mergeCell ref="A10:C10"/>
    <mergeCell ref="D10:F10"/>
    <mergeCell ref="A6:H6"/>
    <mergeCell ref="A2:H2"/>
    <mergeCell ref="A7:H7"/>
    <mergeCell ref="A8:H8"/>
    <mergeCell ref="A9:C9"/>
    <mergeCell ref="D9:F9"/>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
  <sheetViews>
    <sheetView workbookViewId="0">
      <selection activeCell="C16" sqref="C16"/>
    </sheetView>
  </sheetViews>
  <sheetFormatPr defaultColWidth="9.28515625" defaultRowHeight="12.75"/>
  <cols>
    <col min="1" max="1" width="39.28515625" style="1287" customWidth="1"/>
    <col min="2" max="2" width="44.28515625" style="1287" customWidth="1"/>
    <col min="3" max="3" width="27.7109375" style="1287" customWidth="1"/>
    <col min="4" max="4" width="21.7109375" style="1287" customWidth="1"/>
    <col min="5" max="9" width="9.28515625" style="1287"/>
    <col min="10" max="10" width="18.7109375" style="1287" customWidth="1"/>
    <col min="11" max="16384" width="9.28515625" style="1287"/>
  </cols>
  <sheetData>
    <row r="1" spans="1:8" s="1285" customFormat="1"/>
    <row r="2" spans="1:8" s="1285" customFormat="1" ht="51" customHeight="1">
      <c r="A2" s="4405" t="s">
        <v>1429</v>
      </c>
      <c r="B2" s="4405"/>
      <c r="C2" s="4405"/>
      <c r="D2" s="4405"/>
      <c r="E2" s="1286"/>
      <c r="F2" s="1286"/>
      <c r="G2" s="1286"/>
      <c r="H2" s="1286"/>
    </row>
    <row r="3" spans="1:8" ht="15.75">
      <c r="A3" s="4404" t="str">
        <f>'Шаблон 46 ГП'!A8:P8</f>
        <v>Май 2026 год</v>
      </c>
      <c r="B3" s="4404"/>
      <c r="C3" s="4404"/>
      <c r="D3" s="4404"/>
      <c r="E3" s="1285"/>
      <c r="F3" s="1285"/>
      <c r="G3" s="1285"/>
      <c r="H3" s="1285"/>
    </row>
    <row r="4" spans="1:8" s="1288" customFormat="1" ht="15.75">
      <c r="A4" s="1288" t="s">
        <v>1430</v>
      </c>
    </row>
    <row r="5" spans="1:8" s="1288" customFormat="1" ht="15.75">
      <c r="A5" s="1288" t="s">
        <v>1431</v>
      </c>
    </row>
    <row r="6" spans="1:8" s="1288" customFormat="1" ht="15.75"/>
    <row r="7" spans="1:8" s="1285" customFormat="1" ht="12" customHeight="1">
      <c r="A7" s="4406"/>
      <c r="B7" s="4410"/>
      <c r="C7" s="4410"/>
      <c r="D7" s="4410"/>
      <c r="E7" s="1289"/>
      <c r="F7" s="1289"/>
      <c r="G7" s="1289"/>
    </row>
    <row r="8" spans="1:8" s="1285" customFormat="1" ht="31.15" customHeight="1">
      <c r="A8" s="4407" t="s">
        <v>3661</v>
      </c>
      <c r="B8" s="4408"/>
      <c r="C8" s="4408"/>
      <c r="D8" s="4409"/>
      <c r="E8" s="1286"/>
      <c r="F8" s="1286"/>
      <c r="G8" s="1286"/>
    </row>
    <row r="9" spans="1:8" ht="57.75" customHeight="1">
      <c r="A9" s="1290" t="s">
        <v>1432</v>
      </c>
      <c r="B9" s="1290" t="s">
        <v>746</v>
      </c>
      <c r="C9" s="1290" t="s">
        <v>1433</v>
      </c>
      <c r="D9" s="1291" t="s">
        <v>1434</v>
      </c>
    </row>
    <row r="10" spans="1:8" ht="31.5">
      <c r="A10" s="1292" t="s">
        <v>1435</v>
      </c>
      <c r="B10" s="1292" t="s">
        <v>1436</v>
      </c>
      <c r="C10" s="1293">
        <f>'Шаблон 46 ЭСК'!C9</f>
        <v>0</v>
      </c>
      <c r="D10" s="1294" t="e">
        <f>'Шаблон 46 ЭСК'!L9/'Шаблон 46 ЭСК'!C9*1.2</f>
        <v>#DIV/0!</v>
      </c>
    </row>
    <row r="11" spans="1:8" ht="15.75">
      <c r="A11" s="1292" t="s">
        <v>1826</v>
      </c>
      <c r="B11" s="1292" t="s">
        <v>1436</v>
      </c>
      <c r="C11" s="1293">
        <f>'Шаблон 46 ЭСК'!F13+'Шаблон 46 ЭСК'!F35+'Шаблон 46 ЭСК'!F36</f>
        <v>0</v>
      </c>
      <c r="D11" s="1294" t="e">
        <f>(('Шаблон 46 ЭСК'!O13+'Шаблон 46 ЭСК'!O36)/'П.52 п.п. а'!C11)*1.18</f>
        <v>#DIV/0!</v>
      </c>
      <c r="E11" s="1285"/>
      <c r="F11" s="1285"/>
      <c r="G11" s="1285"/>
      <c r="H11" s="1285"/>
    </row>
    <row r="12" spans="1:8" s="1866" customFormat="1">
      <c r="E12" s="1867"/>
      <c r="F12" s="1867"/>
      <c r="G12" s="1867"/>
      <c r="H12" s="1867"/>
    </row>
    <row r="13" spans="1:8" s="1866" customFormat="1">
      <c r="C13" s="1867"/>
      <c r="D13" s="1867"/>
      <c r="E13" s="1867"/>
      <c r="F13" s="1867"/>
      <c r="G13" s="1867"/>
      <c r="H13" s="1867"/>
    </row>
    <row r="14" spans="1:8">
      <c r="A14" s="1285"/>
      <c r="B14" s="1285"/>
      <c r="C14" s="1285"/>
      <c r="D14" s="1285"/>
      <c r="E14" s="1285"/>
      <c r="F14" s="1285"/>
      <c r="G14" s="1285"/>
      <c r="H14" s="1285"/>
    </row>
  </sheetData>
  <mergeCells count="4">
    <mergeCell ref="A2:D2"/>
    <mergeCell ref="A7:D7"/>
    <mergeCell ref="A8:D8"/>
    <mergeCell ref="A3:D3"/>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79" sqref="D79"/>
    </sheetView>
  </sheetViews>
  <sheetFormatPr defaultColWidth="8.7109375" defaultRowHeight="12.75"/>
  <cols>
    <col min="1" max="1" width="6.7109375" style="842" customWidth="1"/>
    <col min="2" max="2" width="56.28515625" style="842" customWidth="1"/>
    <col min="3" max="3" width="14.7109375" style="842" customWidth="1"/>
    <col min="4" max="8" width="20.5703125" style="842" customWidth="1"/>
    <col min="9" max="16384" width="8.7109375" style="842"/>
  </cols>
  <sheetData>
    <row r="1" spans="1:8" s="1285" customFormat="1" ht="51" customHeight="1">
      <c r="A1" s="4405" t="s">
        <v>1429</v>
      </c>
      <c r="B1" s="4405"/>
      <c r="C1" s="4405"/>
      <c r="D1" s="4405"/>
      <c r="E1" s="4405"/>
      <c r="F1" s="4405"/>
      <c r="G1" s="4405"/>
      <c r="H1" s="4405"/>
    </row>
    <row r="2" spans="1:8" s="1287" customFormat="1" ht="15.75">
      <c r="A2" s="4404" t="str">
        <f>'Шаблон 46 ГП'!A8:P8</f>
        <v>Май 2026 год</v>
      </c>
      <c r="B2" s="4404"/>
      <c r="C2" s="4404"/>
      <c r="D2" s="4404"/>
      <c r="E2" s="4404"/>
      <c r="F2" s="4404"/>
      <c r="G2" s="4404"/>
      <c r="H2" s="4404"/>
    </row>
    <row r="3" spans="1:8" s="1288" customFormat="1" ht="15.75">
      <c r="A3" s="1288" t="s">
        <v>1430</v>
      </c>
    </row>
    <row r="4" spans="1:8" s="1288" customFormat="1" ht="15.75">
      <c r="A4" s="1288" t="s">
        <v>1431</v>
      </c>
      <c r="E4" s="1295"/>
      <c r="F4" s="1295"/>
      <c r="G4" s="1295"/>
    </row>
    <row r="5" spans="1:8" s="1288" customFormat="1" ht="15.75">
      <c r="E5" s="1295"/>
      <c r="F5" s="1295"/>
      <c r="G5" s="1295"/>
    </row>
    <row r="6" spans="1:8" s="1285" customFormat="1" ht="12" customHeight="1">
      <c r="A6" s="4411"/>
      <c r="B6" s="4412"/>
      <c r="C6" s="4412"/>
      <c r="D6" s="4412"/>
      <c r="E6" s="1289"/>
      <c r="F6" s="1289"/>
      <c r="G6" s="1289"/>
    </row>
    <row r="7" spans="1:8" s="1285" customFormat="1" ht="43.5" customHeight="1">
      <c r="A7" s="4413" t="s">
        <v>3662</v>
      </c>
      <c r="B7" s="4414"/>
      <c r="C7" s="4414"/>
      <c r="D7" s="4414"/>
      <c r="E7" s="4414"/>
      <c r="F7" s="4414"/>
      <c r="G7" s="4414"/>
      <c r="H7" s="4415"/>
    </row>
    <row r="8" spans="1:8" s="1296" customFormat="1" ht="31.15" customHeight="1">
      <c r="A8" s="4416"/>
      <c r="B8" s="4417"/>
      <c r="C8" s="4417"/>
      <c r="D8" s="4417"/>
      <c r="E8" s="4417"/>
      <c r="F8" s="4417"/>
      <c r="G8" s="4417"/>
      <c r="H8" s="4418"/>
    </row>
    <row r="9" spans="1:8" ht="16.5">
      <c r="A9" s="1297" t="s">
        <v>400</v>
      </c>
      <c r="B9" s="1298" t="s">
        <v>746</v>
      </c>
      <c r="C9" s="1299" t="s">
        <v>1437</v>
      </c>
      <c r="D9" s="1300" t="s">
        <v>9</v>
      </c>
      <c r="E9" s="1300" t="s">
        <v>409</v>
      </c>
      <c r="F9" s="1300" t="s">
        <v>411</v>
      </c>
      <c r="G9" s="1300" t="s">
        <v>12</v>
      </c>
      <c r="H9" s="1300" t="s">
        <v>1438</v>
      </c>
    </row>
    <row r="10" spans="1:8">
      <c r="A10" s="1297">
        <v>1</v>
      </c>
      <c r="B10" s="1301">
        <v>2</v>
      </c>
      <c r="C10" s="1302">
        <v>3</v>
      </c>
      <c r="D10" s="1301">
        <v>4</v>
      </c>
      <c r="E10" s="1301">
        <v>5</v>
      </c>
      <c r="F10" s="1301">
        <v>6</v>
      </c>
      <c r="G10" s="1301">
        <v>7</v>
      </c>
      <c r="H10" s="1301">
        <v>8</v>
      </c>
    </row>
    <row r="11" spans="1:8" ht="20.25">
      <c r="A11" s="4419" t="s">
        <v>1439</v>
      </c>
      <c r="B11" s="4420"/>
      <c r="C11" s="1303"/>
      <c r="D11" s="1304"/>
      <c r="E11" s="1304"/>
      <c r="F11" s="1304"/>
      <c r="G11" s="1304"/>
      <c r="H11" s="1305"/>
    </row>
    <row r="12" spans="1:8" ht="20.25">
      <c r="A12" s="4421" t="s">
        <v>1440</v>
      </c>
      <c r="B12" s="4422"/>
      <c r="C12" s="1303"/>
      <c r="D12" s="1304"/>
      <c r="E12" s="1304"/>
      <c r="F12" s="1304"/>
      <c r="G12" s="1304"/>
      <c r="H12" s="1305"/>
    </row>
    <row r="13" spans="1:8" ht="16.5">
      <c r="A13" s="4423" t="s">
        <v>1441</v>
      </c>
      <c r="B13" s="1306" t="s">
        <v>1442</v>
      </c>
      <c r="C13" s="4426" t="s">
        <v>1443</v>
      </c>
      <c r="D13" s="1307"/>
      <c r="E13" s="1308">
        <f>SUM(E14:E18)</f>
        <v>2.6853120000000001</v>
      </c>
      <c r="F13" s="1308">
        <f>SUM(F14:F18)</f>
        <v>20.759640000000001</v>
      </c>
      <c r="G13" s="1308">
        <f>SUM(G14:G18)</f>
        <v>31.946840000000002</v>
      </c>
      <c r="H13" s="1308">
        <f t="shared" ref="H13:H18" si="0">SUM(E13:G13)</f>
        <v>55.391792000000002</v>
      </c>
    </row>
    <row r="14" spans="1:8" ht="16.5" customHeight="1">
      <c r="A14" s="4424"/>
      <c r="B14" s="1309" t="s">
        <v>42</v>
      </c>
      <c r="C14" s="4427"/>
      <c r="D14" s="1307"/>
      <c r="E14" s="1307">
        <f>E19-E15-E16-E17</f>
        <v>2.6853120000000001</v>
      </c>
      <c r="F14" s="1307">
        <f>F19-F15-F16-F17-F26-F38</f>
        <v>15.871428000000002</v>
      </c>
      <c r="G14" s="1307">
        <f>G19-G15-G16-G17</f>
        <v>7.7196520000000008</v>
      </c>
      <c r="H14" s="1308">
        <f t="shared" si="0"/>
        <v>26.276392000000001</v>
      </c>
    </row>
    <row r="15" spans="1:8" ht="16.5">
      <c r="A15" s="4424"/>
      <c r="B15" s="1310" t="s">
        <v>1444</v>
      </c>
      <c r="C15" s="4427"/>
      <c r="D15" s="1311"/>
      <c r="E15" s="1311"/>
      <c r="F15" s="1312"/>
      <c r="G15" s="1311"/>
      <c r="H15" s="1311">
        <f t="shared" si="0"/>
        <v>0</v>
      </c>
    </row>
    <row r="16" spans="1:8" ht="16.5">
      <c r="A16" s="4424"/>
      <c r="B16" s="1310" t="s">
        <v>521</v>
      </c>
      <c r="C16" s="4427"/>
      <c r="D16" s="1311"/>
      <c r="E16" s="1311"/>
      <c r="F16" s="1312">
        <f>'Отчёт СТС'!D19/1000000</f>
        <v>1.166971</v>
      </c>
      <c r="G16" s="1312">
        <f>'Отчёт СТС'!E19/1000000</f>
        <v>2.9953370000000001</v>
      </c>
      <c r="H16" s="1311">
        <f t="shared" si="0"/>
        <v>4.1623080000000003</v>
      </c>
    </row>
    <row r="17" spans="1:8" ht="33">
      <c r="A17" s="4424"/>
      <c r="B17" s="1310" t="s">
        <v>1445</v>
      </c>
      <c r="C17" s="4427"/>
      <c r="D17" s="1313"/>
      <c r="E17" s="1313"/>
      <c r="F17" s="1314">
        <f>'Отчёт СТС'!D34/1000000</f>
        <v>0.10299800000000001</v>
      </c>
      <c r="G17" s="1314">
        <f>'Отчёт СТС'!E34/1000000</f>
        <v>1.9855000000000001E-2</v>
      </c>
      <c r="H17" s="1313">
        <f t="shared" si="0"/>
        <v>0.122853</v>
      </c>
    </row>
    <row r="18" spans="1:8" ht="16.5">
      <c r="A18" s="4425"/>
      <c r="B18" s="1315" t="s">
        <v>28</v>
      </c>
      <c r="C18" s="4428"/>
      <c r="D18" s="1316"/>
      <c r="E18" s="1316"/>
      <c r="F18" s="1317">
        <f>'Шаблон 46 ГП'!F27/1000000-F30</f>
        <v>3.6182430000000001</v>
      </c>
      <c r="G18" s="1317">
        <f>'Шаблон 46 ГП'!G27/1000000</f>
        <v>21.211995999999999</v>
      </c>
      <c r="H18" s="1316">
        <f t="shared" si="0"/>
        <v>24.830238999999999</v>
      </c>
    </row>
    <row r="19" spans="1:8" ht="16.5">
      <c r="A19" s="1318"/>
      <c r="B19" s="1319"/>
      <c r="C19" s="1320"/>
      <c r="D19" s="1321"/>
      <c r="E19" s="1694">
        <f>'Шаблон 46 ГП'!E279/1000000</f>
        <v>2.6853120000000001</v>
      </c>
      <c r="F19" s="1694">
        <f>'Шаблон 46 ГП'!F279/1000000</f>
        <v>17.141397000000001</v>
      </c>
      <c r="G19" s="1694">
        <f>'Шаблон 46 ГП'!G279/1000000</f>
        <v>10.734844000000001</v>
      </c>
      <c r="H19" s="1323"/>
    </row>
    <row r="20" spans="1:8" ht="16.5">
      <c r="A20" s="1318"/>
      <c r="B20" s="1319"/>
      <c r="C20" s="1320"/>
      <c r="D20" s="1321"/>
      <c r="E20" s="1322"/>
      <c r="F20" s="1322"/>
      <c r="G20" s="1322"/>
      <c r="H20" s="1323"/>
    </row>
    <row r="21" spans="1:8" ht="16.5" hidden="1">
      <c r="A21" s="1297" t="s">
        <v>400</v>
      </c>
      <c r="B21" s="1298" t="s">
        <v>746</v>
      </c>
      <c r="C21" s="1299" t="s">
        <v>1437</v>
      </c>
      <c r="D21" s="1300" t="s">
        <v>9</v>
      </c>
      <c r="E21" s="1300" t="s">
        <v>409</v>
      </c>
      <c r="F21" s="1300" t="s">
        <v>411</v>
      </c>
      <c r="G21" s="1300" t="s">
        <v>12</v>
      </c>
      <c r="H21" s="1300" t="s">
        <v>1438</v>
      </c>
    </row>
    <row r="22" spans="1:8" hidden="1">
      <c r="A22" s="1297">
        <v>1</v>
      </c>
      <c r="B22" s="1301">
        <v>2</v>
      </c>
      <c r="C22" s="1302">
        <v>3</v>
      </c>
      <c r="D22" s="1301">
        <v>4</v>
      </c>
      <c r="E22" s="1301">
        <v>5</v>
      </c>
      <c r="F22" s="1301">
        <v>6</v>
      </c>
      <c r="G22" s="1301">
        <v>7</v>
      </c>
      <c r="H22" s="1301">
        <v>8</v>
      </c>
    </row>
    <row r="23" spans="1:8" ht="20.25" hidden="1">
      <c r="A23" s="4419" t="s">
        <v>1439</v>
      </c>
      <c r="B23" s="4420"/>
      <c r="C23" s="1303"/>
      <c r="D23" s="1304"/>
      <c r="E23" s="1304"/>
      <c r="F23" s="1304"/>
      <c r="G23" s="1304"/>
      <c r="H23" s="1305"/>
    </row>
    <row r="24" spans="1:8" ht="20.25" hidden="1">
      <c r="A24" s="4421" t="s">
        <v>909</v>
      </c>
      <c r="B24" s="4422"/>
      <c r="C24" s="1303"/>
      <c r="D24" s="1304"/>
      <c r="E24" s="1304"/>
      <c r="F24" s="1304"/>
      <c r="G24" s="1304"/>
      <c r="H24" s="1305"/>
    </row>
    <row r="25" spans="1:8" ht="16.5" hidden="1">
      <c r="A25" s="4423" t="s">
        <v>1441</v>
      </c>
      <c r="B25" s="1306" t="s">
        <v>1442</v>
      </c>
      <c r="C25" s="4426" t="s">
        <v>1443</v>
      </c>
      <c r="D25" s="1307"/>
      <c r="E25" s="1308"/>
      <c r="F25" s="1308">
        <f>SUM(F26:F30)</f>
        <v>0</v>
      </c>
      <c r="G25" s="1308"/>
      <c r="H25" s="1308">
        <f>SUM(H26:H30)</f>
        <v>0</v>
      </c>
    </row>
    <row r="26" spans="1:8" ht="16.5" hidden="1" customHeight="1">
      <c r="A26" s="4424"/>
      <c r="B26" s="1309" t="s">
        <v>42</v>
      </c>
      <c r="C26" s="4427"/>
      <c r="D26" s="1312"/>
      <c r="E26" s="1312"/>
      <c r="F26" s="1312">
        <f>'Шаблон 46 ГП'!F306/1000000</f>
        <v>0</v>
      </c>
      <c r="G26" s="1312"/>
      <c r="H26" s="1311">
        <f>D26+E26+F26+G26</f>
        <v>0</v>
      </c>
    </row>
    <row r="27" spans="1:8" ht="16.5" hidden="1">
      <c r="A27" s="4424"/>
      <c r="B27" s="1310" t="s">
        <v>1444</v>
      </c>
      <c r="C27" s="4427"/>
      <c r="D27" s="1312"/>
      <c r="E27" s="1312"/>
      <c r="F27" s="1312"/>
      <c r="G27" s="1312"/>
      <c r="H27" s="1311"/>
    </row>
    <row r="28" spans="1:8" ht="16.5" hidden="1">
      <c r="A28" s="4424"/>
      <c r="B28" s="1310" t="s">
        <v>521</v>
      </c>
      <c r="C28" s="4427"/>
      <c r="D28" s="1312"/>
      <c r="E28" s="1312"/>
      <c r="F28" s="1312"/>
      <c r="G28" s="1312"/>
      <c r="H28" s="1311"/>
    </row>
    <row r="29" spans="1:8" ht="33" hidden="1">
      <c r="A29" s="4424"/>
      <c r="B29" s="1310" t="s">
        <v>1445</v>
      </c>
      <c r="C29" s="4427"/>
      <c r="D29" s="1314"/>
      <c r="E29" s="1314"/>
      <c r="F29" s="1314"/>
      <c r="G29" s="1314"/>
      <c r="H29" s="1313"/>
    </row>
    <row r="30" spans="1:8" ht="16.5" hidden="1">
      <c r="A30" s="4429"/>
      <c r="B30" s="1315" t="s">
        <v>28</v>
      </c>
      <c r="C30" s="4430"/>
      <c r="D30" s="1312"/>
      <c r="E30" s="1312"/>
      <c r="F30" s="1312">
        <f>'Шаблон 46 ГП'!F307/1000000</f>
        <v>0</v>
      </c>
      <c r="G30" s="1312"/>
      <c r="H30" s="1311">
        <f>D30+E30+F30+G30</f>
        <v>0</v>
      </c>
    </row>
    <row r="31" spans="1:8" hidden="1"/>
    <row r="32" spans="1:8" hidden="1"/>
    <row r="33" spans="1:8" s="1845" customFormat="1" ht="16.5" hidden="1">
      <c r="A33" s="1846" t="s">
        <v>400</v>
      </c>
      <c r="B33" s="1847" t="s">
        <v>746</v>
      </c>
      <c r="C33" s="1848" t="s">
        <v>1437</v>
      </c>
      <c r="D33" s="1849" t="s">
        <v>9</v>
      </c>
      <c r="E33" s="1849" t="s">
        <v>409</v>
      </c>
      <c r="F33" s="1849" t="s">
        <v>411</v>
      </c>
      <c r="G33" s="1849" t="s">
        <v>12</v>
      </c>
      <c r="H33" s="1849" t="s">
        <v>1438</v>
      </c>
    </row>
    <row r="34" spans="1:8" s="1845" customFormat="1" hidden="1">
      <c r="A34" s="1846">
        <v>1</v>
      </c>
      <c r="B34" s="1850">
        <v>2</v>
      </c>
      <c r="C34" s="1851">
        <v>3</v>
      </c>
      <c r="D34" s="1850">
        <v>4</v>
      </c>
      <c r="E34" s="1850">
        <v>5</v>
      </c>
      <c r="F34" s="1850">
        <v>6</v>
      </c>
      <c r="G34" s="1850">
        <v>7</v>
      </c>
      <c r="H34" s="1850">
        <v>8</v>
      </c>
    </row>
    <row r="35" spans="1:8" s="1845" customFormat="1" ht="20.25" hidden="1">
      <c r="A35" s="4419" t="s">
        <v>1439</v>
      </c>
      <c r="B35" s="4420"/>
      <c r="C35" s="1852"/>
      <c r="D35" s="1853"/>
      <c r="E35" s="1853"/>
      <c r="F35" s="1853"/>
      <c r="G35" s="1853"/>
      <c r="H35" s="1854"/>
    </row>
    <row r="36" spans="1:8" s="1845" customFormat="1" ht="20.25" hidden="1">
      <c r="A36" s="4421" t="s">
        <v>1821</v>
      </c>
      <c r="B36" s="4422"/>
      <c r="C36" s="1852"/>
      <c r="D36" s="1853"/>
      <c r="E36" s="1853"/>
      <c r="F36" s="1853"/>
      <c r="G36" s="1853"/>
      <c r="H36" s="1854"/>
    </row>
    <row r="37" spans="1:8" s="1845" customFormat="1" ht="16.5" hidden="1">
      <c r="A37" s="4423" t="s">
        <v>1441</v>
      </c>
      <c r="B37" s="1855" t="s">
        <v>1442</v>
      </c>
      <c r="C37" s="4426" t="s">
        <v>1443</v>
      </c>
      <c r="D37" s="1856"/>
      <c r="E37" s="1857"/>
      <c r="F37" s="1857">
        <f>SUM(F38:F42)</f>
        <v>0</v>
      </c>
      <c r="G37" s="1857"/>
      <c r="H37" s="1857">
        <f>SUM(H38:H42)</f>
        <v>0</v>
      </c>
    </row>
    <row r="38" spans="1:8" s="1845" customFormat="1" ht="16.5" hidden="1" customHeight="1">
      <c r="A38" s="4424"/>
      <c r="B38" s="1858" t="s">
        <v>42</v>
      </c>
      <c r="C38" s="4427"/>
      <c r="D38" s="1861"/>
      <c r="E38" s="1861"/>
      <c r="F38" s="1861">
        <f>'Шаблон 46 ГП'!F310/1000000</f>
        <v>0</v>
      </c>
      <c r="G38" s="1861"/>
      <c r="H38" s="1860">
        <f>D38+E38+F38+G38</f>
        <v>0</v>
      </c>
    </row>
    <row r="39" spans="1:8" s="1845" customFormat="1" ht="16.5" hidden="1">
      <c r="A39" s="4424"/>
      <c r="B39" s="1859" t="s">
        <v>1444</v>
      </c>
      <c r="C39" s="4427"/>
      <c r="D39" s="1861"/>
      <c r="E39" s="1861"/>
      <c r="F39" s="1861"/>
      <c r="G39" s="1861"/>
      <c r="H39" s="1860"/>
    </row>
    <row r="40" spans="1:8" s="1845" customFormat="1" ht="16.5" hidden="1">
      <c r="A40" s="4424"/>
      <c r="B40" s="1859" t="s">
        <v>521</v>
      </c>
      <c r="C40" s="4427"/>
      <c r="D40" s="1861"/>
      <c r="E40" s="1861"/>
      <c r="F40" s="1861"/>
      <c r="G40" s="1861"/>
      <c r="H40" s="1860"/>
    </row>
    <row r="41" spans="1:8" s="1845" customFormat="1" ht="33" hidden="1">
      <c r="A41" s="4424"/>
      <c r="B41" s="1859" t="s">
        <v>1445</v>
      </c>
      <c r="C41" s="4427"/>
      <c r="D41" s="1863"/>
      <c r="E41" s="1863"/>
      <c r="F41" s="1863"/>
      <c r="G41" s="1863"/>
      <c r="H41" s="1862"/>
    </row>
    <row r="42" spans="1:8" s="1845" customFormat="1" ht="16.5" hidden="1">
      <c r="A42" s="4429"/>
      <c r="B42" s="1864" t="s">
        <v>28</v>
      </c>
      <c r="C42" s="4430"/>
      <c r="D42" s="1861"/>
      <c r="E42" s="1861"/>
      <c r="F42" s="1861"/>
      <c r="G42" s="1861"/>
      <c r="H42" s="1860">
        <f>D42+E42+F42+G42</f>
        <v>0</v>
      </c>
    </row>
    <row r="45" spans="1:8" s="1697" customFormat="1" ht="16.5" hidden="1" thickBot="1">
      <c r="E45" s="1695">
        <v>2.6509999999999998</v>
      </c>
      <c r="F45" s="1696">
        <v>19.190000000000001</v>
      </c>
      <c r="G45" s="1696">
        <v>21.879000000000001</v>
      </c>
      <c r="H45" s="1696">
        <v>43.72</v>
      </c>
    </row>
    <row r="46" spans="1:8" s="1697" customFormat="1" ht="16.5" hidden="1" thickBot="1">
      <c r="E46" s="1698">
        <v>2.6509999999999998</v>
      </c>
      <c r="F46" s="1699">
        <v>16.777000000000001</v>
      </c>
      <c r="G46" s="1699">
        <v>2.9630000000000001</v>
      </c>
      <c r="H46" s="1699">
        <v>22.390999999999998</v>
      </c>
    </row>
    <row r="47" spans="1:8" s="1697" customFormat="1" ht="16.5" hidden="1" thickBot="1">
      <c r="E47" s="1698"/>
      <c r="F47" s="1699"/>
      <c r="G47" s="1699"/>
      <c r="H47" s="1699"/>
    </row>
    <row r="48" spans="1:8" s="1697" customFormat="1" ht="16.5" hidden="1" thickBot="1">
      <c r="E48" s="1698"/>
      <c r="F48" s="1699">
        <v>1.1819999999999999</v>
      </c>
      <c r="G48" s="1699">
        <v>1.722</v>
      </c>
      <c r="H48" s="1699">
        <v>2.9039999999999999</v>
      </c>
    </row>
    <row r="49" spans="5:8" s="1697" customFormat="1" ht="16.5" hidden="1" thickBot="1">
      <c r="E49" s="1698"/>
      <c r="F49" s="1699">
        <v>8.6999999999999994E-2</v>
      </c>
      <c r="G49" s="1699">
        <v>2E-3</v>
      </c>
      <c r="H49" s="1699">
        <v>8.8999999999999996E-2</v>
      </c>
    </row>
    <row r="50" spans="5:8" s="1697" customFormat="1" ht="16.5" hidden="1" thickBot="1">
      <c r="E50" s="1698"/>
      <c r="F50" s="1699">
        <v>1.145</v>
      </c>
      <c r="G50" s="1699">
        <v>17.192</v>
      </c>
      <c r="H50" s="1699">
        <v>18.337</v>
      </c>
    </row>
    <row r="51" spans="5:8" s="1697" customFormat="1" hidden="1"/>
    <row r="52" spans="5:8" s="1697" customFormat="1" ht="13.5" hidden="1" thickBot="1"/>
    <row r="53" spans="5:8" s="1697" customFormat="1" ht="16.5" hidden="1" thickBot="1">
      <c r="E53" s="1695">
        <v>13.106999999999999</v>
      </c>
      <c r="F53" s="1696">
        <v>20.914000000000001</v>
      </c>
      <c r="G53" s="1696">
        <v>62.74</v>
      </c>
      <c r="H53" s="1696">
        <v>96.762</v>
      </c>
    </row>
    <row r="54" spans="5:8" s="1697" customFormat="1" ht="16.5" hidden="1" thickBot="1">
      <c r="E54" s="1698">
        <v>13.106999999999999</v>
      </c>
      <c r="F54" s="1699">
        <v>14.321</v>
      </c>
      <c r="G54" s="1699">
        <v>8.44</v>
      </c>
      <c r="H54" s="1699">
        <v>35.868000000000002</v>
      </c>
    </row>
    <row r="55" spans="5:8" s="1697" customFormat="1" ht="16.5" hidden="1" thickBot="1">
      <c r="E55" s="1698"/>
      <c r="F55" s="1699"/>
      <c r="G55" s="1699"/>
      <c r="H55" s="1699" t="s">
        <v>1446</v>
      </c>
    </row>
    <row r="56" spans="5:8" s="1697" customFormat="1" ht="16.5" hidden="1" thickBot="1">
      <c r="E56" s="1698"/>
      <c r="F56" s="1699">
        <v>2.5950000000000002</v>
      </c>
      <c r="G56" s="1699">
        <v>2.4169999999999998</v>
      </c>
      <c r="H56" s="1699">
        <v>5.0119999999999996</v>
      </c>
    </row>
    <row r="57" spans="5:8" s="1697" customFormat="1" ht="16.5" hidden="1" thickBot="1">
      <c r="E57" s="1698"/>
      <c r="F57" s="1699">
        <v>0.309</v>
      </c>
      <c r="G57" s="1699"/>
      <c r="H57" s="1699">
        <v>0.309</v>
      </c>
    </row>
    <row r="58" spans="5:8" s="1697" customFormat="1" ht="16.5" hidden="1" thickBot="1">
      <c r="E58" s="1698"/>
      <c r="F58" s="1699">
        <v>3.6890000000000001</v>
      </c>
      <c r="G58" s="1699">
        <v>51.884</v>
      </c>
      <c r="H58" s="1699">
        <v>55.573</v>
      </c>
    </row>
    <row r="59" spans="5:8" s="1697" customFormat="1" hidden="1"/>
    <row r="60" spans="5:8" s="1697" customFormat="1" ht="13.5" hidden="1" thickBot="1"/>
    <row r="61" spans="5:8" s="1697" customFormat="1" ht="16.5" hidden="1" thickBot="1">
      <c r="E61" s="1700">
        <f>SUM(E62:E66)</f>
        <v>13.276644430026407</v>
      </c>
      <c r="F61" s="1700">
        <f>SUM(F62:F66)</f>
        <v>28.133199375144919</v>
      </c>
      <c r="G61" s="1700">
        <f>SUM(G62:G66)</f>
        <v>90.209417734651382</v>
      </c>
      <c r="H61" s="1700">
        <f>SUM(H62:H66)</f>
        <v>131.6192615398227</v>
      </c>
    </row>
    <row r="62" spans="5:8" s="1697" customFormat="1" ht="16.5" hidden="1" thickBot="1">
      <c r="E62" s="1700">
        <f>E54/E46*E14</f>
        <v>13.276644430026407</v>
      </c>
      <c r="F62" s="1700">
        <f>F54/F46*F14</f>
        <v>13.547995493115575</v>
      </c>
      <c r="G62" s="1700">
        <f>G54/G46*G14</f>
        <v>21.989153857576781</v>
      </c>
      <c r="H62" s="1700">
        <f>SUM(E62:G62)</f>
        <v>48.813793780718761</v>
      </c>
    </row>
    <row r="63" spans="5:8" s="1697" customFormat="1" ht="16.5" hidden="1" thickBot="1">
      <c r="E63" s="1700"/>
      <c r="F63" s="1700"/>
      <c r="G63" s="1700"/>
      <c r="H63" s="1700">
        <f>SUM(E63:G63)</f>
        <v>0</v>
      </c>
    </row>
    <row r="64" spans="5:8" s="1697" customFormat="1" ht="16.5" hidden="1" thickBot="1">
      <c r="E64" s="1700"/>
      <c r="F64" s="1700">
        <f>F56/F48*F16</f>
        <v>2.5620048604060917</v>
      </c>
      <c r="G64" s="1700">
        <f>G56/G48*G16</f>
        <v>4.2042564047619049</v>
      </c>
      <c r="H64" s="1700">
        <f>SUM(E64:G64)</f>
        <v>6.7662612651679961</v>
      </c>
    </row>
    <row r="65" spans="5:8" s="1697" customFormat="1" ht="16.5" hidden="1" thickBot="1">
      <c r="E65" s="1700"/>
      <c r="F65" s="1700">
        <f>F57/F49*F17</f>
        <v>0.36582048275862072</v>
      </c>
      <c r="G65" s="1700"/>
      <c r="H65" s="1700">
        <f>SUM(E65:G65)</f>
        <v>0.36582048275862072</v>
      </c>
    </row>
    <row r="66" spans="5:8" s="1697" customFormat="1" ht="16.5" hidden="1" thickBot="1">
      <c r="E66" s="1700"/>
      <c r="F66" s="1700">
        <f>F58/F50*F18</f>
        <v>11.657378538864629</v>
      </c>
      <c r="G66" s="1700">
        <f>G58/G50*G18</f>
        <v>64.016007472312694</v>
      </c>
      <c r="H66" s="1700">
        <f>SUM(E66:G66)</f>
        <v>75.673386011177328</v>
      </c>
    </row>
    <row r="67" spans="5:8" s="1697" customFormat="1"/>
  </sheetData>
  <mergeCells count="17">
    <mergeCell ref="A35:B35"/>
    <mergeCell ref="A36:B36"/>
    <mergeCell ref="A37:A42"/>
    <mergeCell ref="C37:C42"/>
    <mergeCell ref="A24:B24"/>
    <mergeCell ref="A25:A30"/>
    <mergeCell ref="C25:C30"/>
    <mergeCell ref="A12:B12"/>
    <mergeCell ref="A2:H2"/>
    <mergeCell ref="A13:A18"/>
    <mergeCell ref="C13:C18"/>
    <mergeCell ref="A23:B23"/>
    <mergeCell ref="A1:H1"/>
    <mergeCell ref="A6:D6"/>
    <mergeCell ref="A7:H7"/>
    <mergeCell ref="A8:H8"/>
    <mergeCell ref="A11:B11"/>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48"/>
  <sheetViews>
    <sheetView zoomScale="55" zoomScaleNormal="55" workbookViewId="0">
      <selection activeCell="J31" sqref="J31"/>
    </sheetView>
  </sheetViews>
  <sheetFormatPr defaultColWidth="8.7109375" defaultRowHeight="12.75" outlineLevelRow="1"/>
  <cols>
    <col min="1" max="1" width="43" style="1361" customWidth="1"/>
    <col min="2" max="9" width="16.7109375" style="842" customWidth="1"/>
    <col min="10" max="16384" width="8.7109375" style="842"/>
  </cols>
  <sheetData>
    <row r="1" spans="1:9" ht="18.75" outlineLevel="1">
      <c r="A1" s="4433" t="s">
        <v>2</v>
      </c>
      <c r="B1" s="4433"/>
    </row>
    <row r="2" spans="1:9" ht="15.75" outlineLevel="1">
      <c r="A2" s="1331" t="s">
        <v>1464</v>
      </c>
      <c r="B2" s="1332"/>
      <c r="C2" s="1333"/>
    </row>
    <row r="3" spans="1:9" ht="15.75" outlineLevel="1">
      <c r="A3" s="4434" t="s">
        <v>1465</v>
      </c>
      <c r="B3" s="4434"/>
    </row>
    <row r="4" spans="1:9" ht="9" customHeight="1" outlineLevel="1">
      <c r="A4" s="4435"/>
      <c r="B4" s="4435"/>
    </row>
    <row r="5" spans="1:9" ht="15.75" outlineLevel="1">
      <c r="A5" s="4436" t="s">
        <v>1466</v>
      </c>
      <c r="B5" s="4436"/>
      <c r="C5" s="1333"/>
    </row>
    <row r="6" spans="1:9" ht="16.5" thickBot="1">
      <c r="A6" s="1374" t="s">
        <v>698</v>
      </c>
      <c r="B6" s="1334"/>
      <c r="C6" s="1333"/>
    </row>
    <row r="7" spans="1:9" s="1335" customFormat="1" ht="42" customHeight="1" outlineLevel="1">
      <c r="A7" s="4437"/>
      <c r="B7" s="1375"/>
    </row>
    <row r="8" spans="1:9" s="1337" customFormat="1" ht="109.5" customHeight="1" outlineLevel="1" thickBot="1">
      <c r="A8" s="4438"/>
      <c r="B8" s="1336" t="s">
        <v>1467</v>
      </c>
    </row>
    <row r="9" spans="1:9" s="1340" customFormat="1" ht="16.5" thickBot="1">
      <c r="A9" s="1338">
        <v>1</v>
      </c>
      <c r="B9" s="1339">
        <f>B13+B18+B19+B34+B35</f>
        <v>35670387</v>
      </c>
    </row>
    <row r="10" spans="1:9" s="1343" customFormat="1" ht="24.75" customHeight="1" thickBot="1">
      <c r="A10" s="1341" t="s">
        <v>1468</v>
      </c>
      <c r="B10" s="1342">
        <f>B13+B18+B19+B34+B35</f>
        <v>35670387</v>
      </c>
      <c r="D10" s="1344"/>
      <c r="E10" s="1344"/>
      <c r="F10" s="1344"/>
    </row>
    <row r="11" spans="1:9" s="1343" customFormat="1" ht="23.25" customHeight="1" thickBot="1">
      <c r="A11" s="4431" t="s">
        <v>1469</v>
      </c>
      <c r="B11" s="4432"/>
    </row>
    <row r="12" spans="1:9" s="1343" customFormat="1" ht="18.75" customHeight="1" thickBot="1">
      <c r="A12" s="1324" t="s">
        <v>1447</v>
      </c>
      <c r="B12" s="1345"/>
      <c r="D12" s="1344"/>
      <c r="E12" s="1344"/>
      <c r="F12" s="1344"/>
    </row>
    <row r="13" spans="1:9" s="1347" customFormat="1" ht="15.75">
      <c r="A13" s="1325" t="s">
        <v>1448</v>
      </c>
      <c r="B13" s="1346">
        <f>B15+B16</f>
        <v>6554987</v>
      </c>
    </row>
    <row r="14" spans="1:9" s="1337" customFormat="1" ht="15.75">
      <c r="A14" s="1326" t="s">
        <v>1449</v>
      </c>
      <c r="B14" s="1348"/>
    </row>
    <row r="15" spans="1:9" s="1337" customFormat="1" ht="15.75">
      <c r="A15" s="1327" t="s">
        <v>1450</v>
      </c>
      <c r="B15" s="1349">
        <v>6494208</v>
      </c>
      <c r="C15" s="1337">
        <v>2407493</v>
      </c>
      <c r="D15" s="1337">
        <v>3280183</v>
      </c>
      <c r="E15" s="1337">
        <v>806532</v>
      </c>
      <c r="F15" s="1337">
        <v>58456964</v>
      </c>
      <c r="G15" s="1337">
        <v>20237492</v>
      </c>
      <c r="H15" s="1337">
        <v>29373580</v>
      </c>
      <c r="I15" s="1337">
        <v>8845892</v>
      </c>
    </row>
    <row r="16" spans="1:9" s="1337" customFormat="1" ht="15.75">
      <c r="A16" s="1327" t="s">
        <v>1451</v>
      </c>
      <c r="B16" s="1349">
        <v>60779</v>
      </c>
      <c r="D16" s="1337">
        <v>2043</v>
      </c>
      <c r="E16" s="1337">
        <v>58736</v>
      </c>
      <c r="F16" s="1337">
        <v>666015</v>
      </c>
      <c r="H16" s="1337">
        <v>21810</v>
      </c>
      <c r="I16" s="1337">
        <v>644205</v>
      </c>
    </row>
    <row r="17" spans="1:9" s="1337" customFormat="1" ht="19.5" customHeight="1">
      <c r="A17" s="1327"/>
      <c r="B17" s="1349"/>
    </row>
    <row r="18" spans="1:9" s="1347" customFormat="1" ht="31.5">
      <c r="A18" s="1328" t="s">
        <v>1452</v>
      </c>
      <c r="B18" s="1350"/>
    </row>
    <row r="19" spans="1:9" s="1347" customFormat="1" ht="15.75">
      <c r="A19" s="1328" t="s">
        <v>1453</v>
      </c>
      <c r="B19" s="1351">
        <f t="shared" ref="B19:I19" si="0">B21+B24+B27+B30</f>
        <v>4162308</v>
      </c>
      <c r="C19" s="1376">
        <f t="shared" si="0"/>
        <v>0</v>
      </c>
      <c r="D19" s="1376">
        <f t="shared" si="0"/>
        <v>1166971</v>
      </c>
      <c r="E19" s="1376">
        <f t="shared" si="0"/>
        <v>2995337</v>
      </c>
      <c r="F19" s="1376">
        <f t="shared" si="0"/>
        <v>39815278</v>
      </c>
      <c r="G19" s="1376">
        <f t="shared" si="0"/>
        <v>0</v>
      </c>
      <c r="H19" s="1376">
        <f t="shared" si="0"/>
        <v>11647897</v>
      </c>
      <c r="I19" s="1376">
        <f t="shared" si="0"/>
        <v>28167384</v>
      </c>
    </row>
    <row r="20" spans="1:9" s="1337" customFormat="1" ht="15.75">
      <c r="A20" s="1329" t="s">
        <v>1454</v>
      </c>
      <c r="B20" s="1352"/>
      <c r="D20" s="1353"/>
    </row>
    <row r="21" spans="1:9" s="1347" customFormat="1" ht="15.75">
      <c r="A21" s="1328" t="s">
        <v>1455</v>
      </c>
      <c r="B21" s="1350">
        <v>448010</v>
      </c>
      <c r="C21" s="1377"/>
      <c r="D21" s="1377">
        <v>263404</v>
      </c>
      <c r="E21" s="1377">
        <v>184606</v>
      </c>
      <c r="F21" s="1347">
        <v>4221949</v>
      </c>
      <c r="H21" s="1347">
        <v>2356608</v>
      </c>
      <c r="I21" s="1347">
        <v>1865341</v>
      </c>
    </row>
    <row r="22" spans="1:9" s="1337" customFormat="1" ht="15.75">
      <c r="A22" s="1326" t="s">
        <v>1456</v>
      </c>
      <c r="B22" s="1348">
        <v>121251</v>
      </c>
      <c r="C22" s="1378"/>
      <c r="D22" s="1378">
        <v>61002</v>
      </c>
      <c r="E22" s="1378">
        <v>60249</v>
      </c>
      <c r="F22" s="1337">
        <v>1152638</v>
      </c>
      <c r="H22" s="1337">
        <v>651221</v>
      </c>
      <c r="I22" s="1337">
        <v>501417</v>
      </c>
    </row>
    <row r="23" spans="1:9" s="1337" customFormat="1" ht="15.75">
      <c r="A23" s="1326" t="s">
        <v>1457</v>
      </c>
      <c r="B23" s="1348">
        <v>15093</v>
      </c>
      <c r="C23" s="1378"/>
      <c r="D23" s="1378"/>
      <c r="E23" s="1378">
        <v>15093</v>
      </c>
      <c r="F23" s="1337">
        <v>165537</v>
      </c>
      <c r="I23" s="1337">
        <v>165537</v>
      </c>
    </row>
    <row r="24" spans="1:9" s="1347" customFormat="1" ht="15.75">
      <c r="A24" s="1328" t="s">
        <v>1458</v>
      </c>
      <c r="B24" s="1350">
        <v>1734023</v>
      </c>
      <c r="C24" s="1377"/>
      <c r="D24" s="1377">
        <v>510715</v>
      </c>
      <c r="E24" s="1377">
        <v>1223308</v>
      </c>
      <c r="F24" s="1347">
        <v>13923598</v>
      </c>
      <c r="H24" s="1347">
        <v>5032115</v>
      </c>
      <c r="I24" s="1347">
        <v>8891485</v>
      </c>
    </row>
    <row r="25" spans="1:9" s="1337" customFormat="1" ht="15.75">
      <c r="A25" s="1326" t="s">
        <v>1456</v>
      </c>
      <c r="B25" s="1348">
        <v>155845</v>
      </c>
      <c r="C25" s="1378"/>
      <c r="D25" s="1378">
        <v>58643</v>
      </c>
      <c r="E25" s="1378">
        <v>97202</v>
      </c>
      <c r="F25" s="1337">
        <v>1554705</v>
      </c>
      <c r="H25" s="1337">
        <v>549805</v>
      </c>
      <c r="I25" s="1337">
        <v>1004901</v>
      </c>
    </row>
    <row r="26" spans="1:9" s="1337" customFormat="1" ht="15.75">
      <c r="A26" s="1326" t="s">
        <v>1457</v>
      </c>
      <c r="B26" s="1348">
        <v>1443007</v>
      </c>
      <c r="C26" s="1378"/>
      <c r="D26" s="1378">
        <v>366213</v>
      </c>
      <c r="E26" s="1378">
        <v>1076794</v>
      </c>
      <c r="F26" s="1337">
        <v>10961246</v>
      </c>
      <c r="H26" s="1337">
        <v>3615508</v>
      </c>
      <c r="I26" s="1337">
        <v>7345739</v>
      </c>
    </row>
    <row r="27" spans="1:9" s="1347" customFormat="1" ht="15.75">
      <c r="A27" s="1328" t="s">
        <v>1478</v>
      </c>
      <c r="B27" s="1350">
        <v>1980275</v>
      </c>
      <c r="C27" s="1377"/>
      <c r="D27" s="1377">
        <v>392852</v>
      </c>
      <c r="E27" s="1377">
        <v>1587423</v>
      </c>
      <c r="F27" s="1347">
        <v>21669731</v>
      </c>
      <c r="H27" s="1347">
        <v>4259174</v>
      </c>
      <c r="I27" s="1347">
        <v>17410558</v>
      </c>
    </row>
    <row r="28" spans="1:9" s="1337" customFormat="1" ht="15.75">
      <c r="A28" s="1326" t="s">
        <v>1477</v>
      </c>
      <c r="B28" s="1348">
        <v>1570967</v>
      </c>
      <c r="C28" s="1378"/>
      <c r="D28" s="1378">
        <v>167417</v>
      </c>
      <c r="E28" s="1378">
        <v>1403550</v>
      </c>
      <c r="F28" s="1337">
        <v>17181117</v>
      </c>
      <c r="H28" s="1337">
        <v>1787244</v>
      </c>
      <c r="I28" s="1337">
        <v>15393873</v>
      </c>
    </row>
    <row r="29" spans="1:9" s="1337" customFormat="1" ht="15.75">
      <c r="A29" s="1326" t="s">
        <v>1457</v>
      </c>
      <c r="B29" s="1348"/>
      <c r="C29" s="1378"/>
      <c r="D29" s="1378"/>
      <c r="E29" s="1378"/>
    </row>
    <row r="30" spans="1:9" s="1347" customFormat="1" ht="15.75">
      <c r="A30" s="1328" t="s">
        <v>1459</v>
      </c>
      <c r="B30" s="1350"/>
      <c r="C30" s="1377"/>
      <c r="D30" s="1377"/>
      <c r="E30" s="1377"/>
    </row>
    <row r="31" spans="1:9" s="1337" customFormat="1" ht="15.75">
      <c r="A31" s="1326" t="s">
        <v>1456</v>
      </c>
      <c r="B31" s="1348"/>
      <c r="C31" s="1378"/>
      <c r="D31" s="1378"/>
      <c r="E31" s="1378"/>
    </row>
    <row r="32" spans="1:9" s="1337" customFormat="1" ht="15.75">
      <c r="A32" s="1326" t="s">
        <v>1457</v>
      </c>
      <c r="B32" s="1348"/>
      <c r="C32" s="1378"/>
      <c r="D32" s="1378"/>
      <c r="E32" s="1378"/>
    </row>
    <row r="33" spans="1:51" s="1347" customFormat="1" ht="15.75">
      <c r="A33" s="1328" t="s">
        <v>1460</v>
      </c>
      <c r="B33" s="1350">
        <f>ККП!D426*1000000-ККП!D272*1000000-'Отчёт СТС'!B10</f>
        <v>19721405</v>
      </c>
      <c r="C33" s="1377"/>
      <c r="D33" s="1377"/>
      <c r="E33" s="1377"/>
    </row>
    <row r="34" spans="1:51" s="1347" customFormat="1" ht="31.5">
      <c r="A34" s="1328" t="s">
        <v>1461</v>
      </c>
      <c r="B34" s="1350">
        <v>122853</v>
      </c>
      <c r="C34" s="1350"/>
      <c r="D34" s="1350">
        <v>102998</v>
      </c>
      <c r="E34" s="1350">
        <v>19855</v>
      </c>
      <c r="F34" s="1347">
        <v>1268729</v>
      </c>
      <c r="H34" s="1347">
        <v>1099545</v>
      </c>
      <c r="I34" s="1347">
        <v>169184</v>
      </c>
    </row>
    <row r="35" spans="1:51" s="1347" customFormat="1" ht="16.5" thickBot="1">
      <c r="A35" s="1330" t="s">
        <v>1462</v>
      </c>
      <c r="B35" s="1354">
        <f>'Шаблон 46 ГП'!C27</f>
        <v>24830239</v>
      </c>
    </row>
    <row r="36" spans="1:51" s="1356" customFormat="1" ht="16.5" customHeight="1" thickBot="1">
      <c r="A36" s="1324" t="s">
        <v>1463</v>
      </c>
      <c r="B36" s="1355"/>
      <c r="C36" s="1335"/>
    </row>
    <row r="37" spans="1:51" s="1356" customFormat="1" ht="16.5" thickBot="1">
      <c r="A37" s="1357"/>
      <c r="B37" s="1358"/>
      <c r="C37" s="1335"/>
    </row>
    <row r="38" spans="1:51" s="1360" customFormat="1" ht="41.65" customHeight="1" thickBot="1">
      <c r="A38" s="1341" t="s">
        <v>1525</v>
      </c>
      <c r="B38" s="1359">
        <v>1451159</v>
      </c>
      <c r="C38" s="1359"/>
      <c r="D38" s="1359">
        <v>1252833</v>
      </c>
      <c r="E38" s="1359">
        <v>198326</v>
      </c>
      <c r="F38" s="1359">
        <v>13715713</v>
      </c>
      <c r="G38" s="1359"/>
      <c r="H38" s="1359">
        <v>12515981</v>
      </c>
      <c r="I38" s="1359">
        <v>1199731</v>
      </c>
    </row>
    <row r="39" spans="1:51">
      <c r="B39" s="1362"/>
    </row>
    <row r="40" spans="1:51" hidden="1">
      <c r="B40" s="1364" t="e">
        <f>B38-#REF!-B10</f>
        <v>#REF!</v>
      </c>
    </row>
    <row r="41" spans="1:51" s="1366" customFormat="1" ht="15">
      <c r="A41" s="1365"/>
      <c r="B41" s="1367" t="e">
        <f>B38-#REF!-B10</f>
        <v>#REF!</v>
      </c>
    </row>
    <row r="42" spans="1:51" ht="15">
      <c r="B42" s="1368"/>
      <c r="D42" s="1364"/>
      <c r="E42" s="1106"/>
      <c r="F42" s="1106"/>
      <c r="I42" s="1364"/>
      <c r="J42" s="1106"/>
      <c r="K42" s="1106"/>
      <c r="N42" s="1364"/>
      <c r="O42" s="1106"/>
      <c r="P42" s="1106"/>
      <c r="S42" s="1364"/>
      <c r="T42" s="1106"/>
      <c r="U42" s="1106"/>
      <c r="W42" s="1369"/>
      <c r="X42" s="1364"/>
      <c r="Y42" s="1106"/>
      <c r="Z42" s="1106"/>
      <c r="AC42" s="1364"/>
      <c r="AD42" s="1106"/>
      <c r="AE42" s="1106"/>
      <c r="AG42" s="1369"/>
      <c r="AH42" s="1369"/>
      <c r="AI42" s="1106"/>
      <c r="AJ42" s="1106"/>
      <c r="AM42" s="1370"/>
      <c r="AN42" s="1106"/>
      <c r="AO42" s="1106"/>
      <c r="AR42" s="1370"/>
      <c r="AS42" s="1106"/>
      <c r="AT42" s="1106"/>
      <c r="AW42" s="1370"/>
      <c r="AX42" s="1363"/>
      <c r="AY42" s="1363"/>
    </row>
    <row r="43" spans="1:51" ht="15">
      <c r="A43" s="1371"/>
      <c r="B43" s="1368"/>
      <c r="E43" s="1106"/>
      <c r="F43" s="1106"/>
      <c r="J43" s="1106"/>
      <c r="K43" s="1106"/>
      <c r="O43" s="1106"/>
      <c r="P43" s="1106"/>
      <c r="S43" s="1362"/>
      <c r="T43" s="1106"/>
      <c r="U43" s="1106"/>
      <c r="X43" s="1362"/>
      <c r="Y43" s="1106"/>
      <c r="Z43" s="1106"/>
      <c r="AC43" s="1362"/>
      <c r="AD43" s="1106"/>
      <c r="AE43" s="1106"/>
      <c r="AH43" s="1362"/>
      <c r="AI43" s="1106"/>
      <c r="AJ43" s="1106"/>
      <c r="AM43" s="1362"/>
      <c r="AN43" s="1106"/>
      <c r="AO43" s="1106"/>
      <c r="AR43" s="1362"/>
      <c r="AS43" s="1106"/>
      <c r="AT43" s="1106"/>
      <c r="AX43" s="1363"/>
      <c r="AY43" s="1363"/>
    </row>
    <row r="44" spans="1:51">
      <c r="B44" s="1372"/>
      <c r="C44" s="1362"/>
      <c r="D44" s="1362"/>
      <c r="E44" s="1362"/>
      <c r="F44" s="1362"/>
      <c r="G44" s="1362"/>
      <c r="H44" s="1362"/>
      <c r="I44" s="1362"/>
      <c r="J44" s="1362"/>
      <c r="K44" s="1362"/>
      <c r="L44" s="1362"/>
      <c r="M44" s="1362"/>
      <c r="N44" s="1362"/>
      <c r="O44" s="1362"/>
      <c r="P44" s="1362"/>
      <c r="Q44" s="1362"/>
      <c r="R44" s="1362"/>
      <c r="S44" s="1362"/>
      <c r="T44" s="1362"/>
      <c r="U44" s="1362"/>
      <c r="V44" s="1362"/>
      <c r="W44" s="1362"/>
      <c r="X44" s="1362"/>
      <c r="Y44" s="1362"/>
      <c r="Z44" s="1362"/>
      <c r="AA44" s="1362"/>
      <c r="AB44" s="1362"/>
      <c r="AC44" s="1362"/>
      <c r="AD44" s="1362"/>
      <c r="AE44" s="1362"/>
      <c r="AF44" s="1362"/>
      <c r="AG44" s="1362"/>
      <c r="AH44" s="1362"/>
      <c r="AI44" s="1362"/>
      <c r="AJ44" s="1362"/>
      <c r="AK44" s="1362"/>
      <c r="AL44" s="1362"/>
      <c r="AM44" s="1362"/>
      <c r="AN44" s="1362"/>
      <c r="AO44" s="1362"/>
      <c r="AP44" s="1362"/>
      <c r="AQ44" s="1362"/>
      <c r="AR44" s="1362"/>
      <c r="AS44" s="1362"/>
      <c r="AT44" s="1362"/>
      <c r="AU44" s="1362"/>
      <c r="AV44" s="1362"/>
      <c r="AW44" s="1362"/>
      <c r="AX44" s="1362"/>
      <c r="AY44" s="1362"/>
    </row>
    <row r="45" spans="1:51">
      <c r="B45" s="1362"/>
      <c r="C45" s="1362"/>
      <c r="D45" s="1362"/>
      <c r="E45" s="1362"/>
      <c r="F45" s="1362"/>
      <c r="G45" s="1362"/>
      <c r="H45" s="1362"/>
      <c r="I45" s="1362"/>
      <c r="J45" s="1362"/>
      <c r="K45" s="1362"/>
      <c r="L45" s="1362"/>
      <c r="M45" s="1362"/>
      <c r="N45" s="1362"/>
      <c r="O45" s="1362"/>
      <c r="P45" s="1362"/>
      <c r="Q45" s="1362"/>
      <c r="R45" s="1362"/>
      <c r="S45" s="1362"/>
      <c r="T45" s="1362"/>
      <c r="U45" s="1362"/>
      <c r="V45" s="1362"/>
      <c r="W45" s="1362"/>
      <c r="X45" s="1362"/>
      <c r="Y45" s="1362"/>
      <c r="Z45" s="1362"/>
      <c r="AA45" s="1362"/>
      <c r="AB45" s="1362"/>
      <c r="AC45" s="1362"/>
      <c r="AD45" s="1362"/>
      <c r="AE45" s="1362"/>
      <c r="AF45" s="1362"/>
      <c r="AG45" s="1362"/>
      <c r="AH45" s="1362"/>
      <c r="AI45" s="1362"/>
      <c r="AJ45" s="1362"/>
      <c r="AK45" s="1362"/>
      <c r="AL45" s="1362"/>
      <c r="AM45" s="1362"/>
      <c r="AN45" s="1362"/>
      <c r="AO45" s="1362"/>
      <c r="AP45" s="1362"/>
      <c r="AQ45" s="1362"/>
      <c r="AR45" s="1362"/>
      <c r="AS45" s="1362"/>
      <c r="AT45" s="1362"/>
      <c r="AU45" s="1362"/>
      <c r="AV45" s="1362"/>
      <c r="AW45" s="1362"/>
      <c r="AX45" s="1362"/>
      <c r="AY45" s="1362"/>
    </row>
    <row r="46" spans="1:51" ht="15">
      <c r="C46" s="1362"/>
      <c r="D46" s="1373"/>
      <c r="E46" s="1106"/>
      <c r="F46" s="1106"/>
      <c r="H46" s="1362"/>
      <c r="I46" s="1373"/>
      <c r="J46" s="1106"/>
      <c r="K46" s="1106"/>
      <c r="M46" s="1362"/>
      <c r="N46" s="1373"/>
      <c r="O46" s="1106"/>
      <c r="P46" s="1106"/>
      <c r="R46" s="1362"/>
      <c r="S46" s="1373"/>
      <c r="T46" s="1106"/>
      <c r="U46" s="1106"/>
      <c r="W46" s="1362"/>
      <c r="X46" s="1373"/>
      <c r="Y46" s="1106"/>
      <c r="Z46" s="1106"/>
      <c r="AB46" s="1362"/>
      <c r="AC46" s="1373"/>
      <c r="AD46" s="1106"/>
      <c r="AE46" s="1106"/>
      <c r="AG46" s="1362"/>
      <c r="AH46" s="1373"/>
      <c r="AI46" s="1106"/>
      <c r="AJ46" s="1106"/>
      <c r="AL46" s="1362"/>
      <c r="AM46" s="1373"/>
      <c r="AN46" s="1106"/>
      <c r="AO46" s="1106"/>
      <c r="AQ46" s="1362"/>
      <c r="AR46" s="1373"/>
      <c r="AS46" s="1106"/>
      <c r="AT46" s="1106"/>
      <c r="AX46" s="1363"/>
      <c r="AY46" s="1363"/>
    </row>
    <row r="47" spans="1:51" ht="15">
      <c r="D47" s="1373"/>
      <c r="E47" s="1106"/>
      <c r="F47" s="1106"/>
      <c r="I47" s="1373"/>
      <c r="J47" s="1106"/>
      <c r="K47" s="1106"/>
      <c r="N47" s="1373"/>
      <c r="O47" s="1106"/>
      <c r="P47" s="1106"/>
      <c r="S47" s="1373"/>
      <c r="T47" s="1106"/>
      <c r="U47" s="1106"/>
      <c r="X47" s="1373"/>
      <c r="Y47" s="1106"/>
      <c r="Z47" s="1106"/>
      <c r="AC47" s="1373"/>
      <c r="AD47" s="1106"/>
      <c r="AE47" s="1106"/>
      <c r="AH47" s="1373"/>
      <c r="AI47" s="1106"/>
      <c r="AJ47" s="1106"/>
      <c r="AM47" s="1373"/>
      <c r="AN47" s="1106"/>
      <c r="AO47" s="1106"/>
      <c r="AR47" s="1373"/>
      <c r="AS47" s="1106"/>
      <c r="AT47" s="1106"/>
      <c r="AX47" s="1363"/>
      <c r="AY47" s="1363"/>
    </row>
    <row r="48" spans="1:51" ht="15">
      <c r="D48" s="1373"/>
      <c r="E48" s="1106"/>
      <c r="F48" s="1106"/>
      <c r="I48" s="1373"/>
      <c r="J48" s="1106"/>
      <c r="K48" s="1106"/>
      <c r="N48" s="1373"/>
      <c r="O48" s="1106"/>
      <c r="P48" s="1106"/>
      <c r="S48" s="1373"/>
      <c r="T48" s="1106"/>
      <c r="U48" s="1106"/>
      <c r="X48" s="1373"/>
      <c r="Y48" s="1106"/>
      <c r="Z48" s="1106"/>
      <c r="AC48" s="1373"/>
      <c r="AD48" s="1106"/>
      <c r="AE48" s="1106"/>
      <c r="AH48" s="1373"/>
      <c r="AI48" s="1106"/>
      <c r="AJ48" s="1106"/>
      <c r="AM48" s="1373"/>
      <c r="AN48" s="1106"/>
      <c r="AO48" s="1106"/>
      <c r="AR48" s="1373"/>
      <c r="AS48" s="1106"/>
      <c r="AT48" s="1106"/>
      <c r="AX48" s="1363"/>
      <c r="AY48" s="1363"/>
    </row>
  </sheetData>
  <mergeCells count="6">
    <mergeCell ref="A11:B11"/>
    <mergeCell ref="A1:B1"/>
    <mergeCell ref="A3:B3"/>
    <mergeCell ref="A4:B4"/>
    <mergeCell ref="A5:B5"/>
    <mergeCell ref="A7:A8"/>
  </mergeCells>
  <pageMargins left="0.21" right="0.17" top="0.17" bottom="0.17" header="0.3" footer="0.17"/>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Q75"/>
  <sheetViews>
    <sheetView topLeftCell="A26" zoomScale="80" zoomScaleNormal="80" workbookViewId="0">
      <selection activeCell="BX32" sqref="BX32"/>
    </sheetView>
  </sheetViews>
  <sheetFormatPr defaultColWidth="8.7109375" defaultRowHeight="15" outlineLevelRow="1"/>
  <cols>
    <col min="1" max="1" width="43" style="1556" customWidth="1"/>
    <col min="2" max="2" width="15.28515625" style="1379" customWidth="1"/>
    <col min="3" max="3" width="17.7109375" style="1379" hidden="1" customWidth="1"/>
    <col min="4" max="4" width="15.28515625" style="1379" hidden="1" customWidth="1"/>
    <col min="5" max="5" width="15.5703125" style="1379" hidden="1" customWidth="1"/>
    <col min="6" max="6" width="12" style="1557" hidden="1" customWidth="1"/>
    <col min="7" max="7" width="11.5703125" style="1557" hidden="1" customWidth="1"/>
    <col min="8" max="9" width="14.5703125" style="1379" hidden="1" customWidth="1"/>
    <col min="10" max="10" width="16.7109375" style="1379" hidden="1" customWidth="1"/>
    <col min="11" max="12" width="12.42578125" style="1557" hidden="1" customWidth="1"/>
    <col min="13" max="14" width="14.5703125" style="1379" hidden="1" customWidth="1"/>
    <col min="15" max="15" width="16.7109375" style="1379" hidden="1" customWidth="1"/>
    <col min="16" max="17" width="12.42578125" style="1557" hidden="1" customWidth="1"/>
    <col min="18" max="19" width="14.5703125" style="1379" hidden="1" customWidth="1"/>
    <col min="20" max="20" width="16.7109375" style="1379" hidden="1" customWidth="1"/>
    <col min="21" max="22" width="12.42578125" style="1557" hidden="1" customWidth="1"/>
    <col min="23" max="24" width="14.5703125" style="1379" hidden="1" customWidth="1"/>
    <col min="25" max="25" width="16.7109375" style="1379" hidden="1" customWidth="1"/>
    <col min="26" max="27" width="12.42578125" style="1557" hidden="1" customWidth="1"/>
    <col min="28" max="29" width="14.5703125" style="1379" hidden="1" customWidth="1"/>
    <col min="30" max="30" width="16.7109375" style="1379" hidden="1" customWidth="1"/>
    <col min="31" max="32" width="12.42578125" style="1557" hidden="1" customWidth="1"/>
    <col min="33" max="34" width="14.5703125" style="1379" hidden="1" customWidth="1"/>
    <col min="35" max="35" width="16.7109375" style="1379" hidden="1" customWidth="1"/>
    <col min="36" max="37" width="12.42578125" style="1557" hidden="1" customWidth="1"/>
    <col min="38" max="39" width="14.5703125" style="1379" hidden="1" customWidth="1"/>
    <col min="40" max="40" width="16.7109375" style="1379" hidden="1" customWidth="1"/>
    <col min="41" max="42" width="12.42578125" style="1557" hidden="1" customWidth="1"/>
    <col min="43" max="44" width="14.5703125" style="1379" hidden="1" customWidth="1"/>
    <col min="45" max="45" width="16.7109375" style="1379" customWidth="1"/>
    <col min="46" max="47" width="12.42578125" style="1557" hidden="1" customWidth="1"/>
    <col min="48" max="49" width="14.5703125" style="1379" hidden="1" customWidth="1"/>
    <col min="50" max="50" width="15.28515625" style="1379" hidden="1" customWidth="1"/>
    <col min="51" max="52" width="12.42578125" style="1557" hidden="1" customWidth="1"/>
    <col min="53" max="54" width="14.5703125" style="1379" hidden="1" customWidth="1"/>
    <col min="55" max="55" width="15.5703125" style="1379" hidden="1" customWidth="1"/>
    <col min="56" max="57" width="12.42578125" style="1557" hidden="1" customWidth="1"/>
    <col min="58" max="59" width="14.5703125" style="1379" hidden="1" customWidth="1"/>
    <col min="60" max="60" width="15.5703125" style="1379" hidden="1" customWidth="1"/>
    <col min="61" max="62" width="12.42578125" style="1557" hidden="1" customWidth="1"/>
    <col min="63" max="64" width="14.5703125" style="1379" hidden="1" customWidth="1"/>
    <col min="65" max="65" width="15.5703125" style="1379" hidden="1" customWidth="1"/>
    <col min="66" max="67" width="12.42578125" style="1557" hidden="1" customWidth="1"/>
    <col min="68" max="68" width="15.42578125" style="1379" hidden="1" customWidth="1"/>
    <col min="69" max="69" width="14.28515625" style="1379" hidden="1" customWidth="1"/>
    <col min="70" max="70" width="15.5703125" style="1379" hidden="1" customWidth="1"/>
    <col min="71" max="72" width="13" style="1559" hidden="1" customWidth="1"/>
    <col min="73" max="73" width="8.7109375" style="1379"/>
    <col min="74" max="74" width="13.28515625" style="1379" customWidth="1"/>
    <col min="75" max="76" width="11.42578125" style="1379" bestFit="1" customWidth="1"/>
    <col min="77" max="16384" width="8.7109375" style="1379"/>
  </cols>
  <sheetData>
    <row r="1" spans="1:76" ht="18.75" outlineLevel="1">
      <c r="A1" s="4442" t="s">
        <v>2</v>
      </c>
      <c r="B1" s="4442"/>
      <c r="C1" s="4442"/>
      <c r="D1" s="4442"/>
      <c r="E1" s="4442"/>
      <c r="F1" s="4442"/>
      <c r="G1" s="4442"/>
      <c r="H1" s="4442"/>
      <c r="I1" s="4442"/>
      <c r="J1" s="4442"/>
      <c r="K1" s="4442"/>
      <c r="L1" s="4442"/>
      <c r="M1" s="4442"/>
      <c r="N1" s="4442"/>
      <c r="O1" s="4442"/>
      <c r="P1" s="4442"/>
      <c r="Q1" s="4442"/>
      <c r="R1" s="4442"/>
      <c r="S1" s="4442"/>
      <c r="T1" s="4442"/>
      <c r="U1" s="4442"/>
      <c r="V1" s="4442"/>
      <c r="W1" s="4442"/>
      <c r="X1" s="4442"/>
      <c r="Y1" s="4442"/>
      <c r="Z1" s="4442"/>
      <c r="AA1" s="4442"/>
      <c r="AB1" s="4442"/>
      <c r="AC1" s="4442"/>
      <c r="AD1" s="4442"/>
      <c r="AE1" s="4442"/>
      <c r="AF1" s="4442"/>
      <c r="AG1" s="4442"/>
      <c r="AH1" s="4442"/>
      <c r="AI1" s="4442"/>
      <c r="AJ1" s="4442"/>
      <c r="AK1" s="4442"/>
      <c r="AL1" s="4442"/>
      <c r="AM1" s="4442"/>
      <c r="AN1" s="4442"/>
      <c r="AO1" s="4442"/>
      <c r="AP1" s="4442"/>
      <c r="AQ1" s="4442"/>
      <c r="AR1" s="4442"/>
      <c r="AS1" s="4442"/>
      <c r="AT1" s="4442"/>
      <c r="AU1" s="4442"/>
      <c r="AV1" s="4442"/>
      <c r="AW1" s="4442"/>
      <c r="AX1" s="4442"/>
      <c r="AY1" s="4442"/>
      <c r="AZ1" s="4442"/>
      <c r="BA1" s="4442"/>
      <c r="BB1" s="4442"/>
      <c r="BC1" s="4442"/>
      <c r="BD1" s="4442"/>
      <c r="BE1" s="4442"/>
      <c r="BF1" s="4442"/>
      <c r="BG1" s="4442"/>
      <c r="BH1" s="4442"/>
      <c r="BI1" s="4442"/>
      <c r="BJ1" s="4442"/>
      <c r="BK1" s="4442"/>
      <c r="BL1" s="4442"/>
      <c r="BM1" s="4442"/>
      <c r="BN1" s="4442"/>
      <c r="BO1" s="4442"/>
      <c r="BP1" s="4442"/>
      <c r="BQ1" s="4442"/>
      <c r="BR1" s="4442"/>
      <c r="BS1" s="4442"/>
      <c r="BT1" s="4442"/>
    </row>
    <row r="2" spans="1:76" ht="15.75" outlineLevel="1">
      <c r="A2" s="1648" t="str">
        <f>'Шаблон 46 ГП'!A8:P8</f>
        <v>Май 2026 год</v>
      </c>
      <c r="B2" s="1380"/>
      <c r="C2" s="1381">
        <f>C38-C39-C10</f>
        <v>0</v>
      </c>
      <c r="D2" s="1381">
        <f>D38-D39-D10</f>
        <v>0</v>
      </c>
      <c r="E2" s="1381">
        <f>E38-E39-E10</f>
        <v>0</v>
      </c>
      <c r="F2" s="1381"/>
      <c r="G2" s="1381"/>
      <c r="H2" s="1381"/>
      <c r="I2" s="1381"/>
      <c r="J2" s="1381"/>
      <c r="K2" s="1381"/>
      <c r="L2" s="1381"/>
      <c r="M2" s="1381"/>
      <c r="N2" s="1381"/>
      <c r="O2" s="1381"/>
      <c r="P2" s="1381"/>
      <c r="Q2" s="1381"/>
      <c r="R2" s="1381"/>
      <c r="S2" s="1381"/>
      <c r="T2" s="1381"/>
      <c r="U2" s="1381"/>
      <c r="V2" s="1381"/>
      <c r="W2" s="1381"/>
      <c r="X2" s="1381"/>
      <c r="Y2" s="1381"/>
      <c r="Z2" s="1381"/>
      <c r="AA2" s="1381"/>
      <c r="AB2" s="1381"/>
      <c r="AC2" s="1381"/>
      <c r="AD2" s="1381"/>
      <c r="AE2" s="1381"/>
      <c r="AF2" s="1381"/>
      <c r="AG2" s="1381"/>
      <c r="AH2" s="1381"/>
      <c r="AI2" s="1381"/>
      <c r="AJ2" s="1381"/>
      <c r="AK2" s="1381"/>
      <c r="AL2" s="1381"/>
      <c r="AM2" s="1381"/>
      <c r="AN2" s="1381"/>
      <c r="AO2" s="1381"/>
      <c r="AP2" s="1381"/>
      <c r="AQ2" s="1381"/>
      <c r="AR2" s="1381"/>
      <c r="AS2" s="1381"/>
      <c r="AT2" s="1381"/>
      <c r="AU2" s="1381"/>
      <c r="AV2" s="1381"/>
      <c r="AW2" s="1381"/>
      <c r="AX2" s="1381"/>
      <c r="AY2" s="1381"/>
      <c r="AZ2" s="1381"/>
      <c r="BA2" s="1381">
        <f>BA38-BA39-BA10</f>
        <v>0</v>
      </c>
      <c r="BB2" s="1381">
        <f>BB38-BB39-BB10</f>
        <v>0</v>
      </c>
      <c r="BC2" s="1381">
        <f>BC38-BC39-BC10</f>
        <v>0</v>
      </c>
      <c r="BD2" s="1381"/>
      <c r="BE2" s="1381"/>
      <c r="BF2" s="1381"/>
      <c r="BG2" s="1381"/>
      <c r="BH2" s="1381"/>
      <c r="BI2" s="1381"/>
      <c r="BJ2" s="1381"/>
      <c r="BK2" s="1381"/>
      <c r="BL2" s="1381"/>
      <c r="BM2" s="1381"/>
      <c r="BN2" s="1381"/>
      <c r="BO2" s="1381"/>
      <c r="BP2" s="1381">
        <f>BP38-BP39-BP10</f>
        <v>0</v>
      </c>
      <c r="BQ2" s="1381">
        <f>BQ38-BQ39-BQ10</f>
        <v>0</v>
      </c>
      <c r="BR2" s="1381">
        <f>BR38-BR39-BR10</f>
        <v>0</v>
      </c>
      <c r="BS2" s="1381"/>
      <c r="BT2" s="1381"/>
      <c r="BU2" s="1382"/>
    </row>
    <row r="3" spans="1:76" ht="15.75" outlineLevel="1">
      <c r="A3" s="4443" t="s">
        <v>1465</v>
      </c>
      <c r="B3" s="4443"/>
      <c r="C3" s="4443"/>
      <c r="D3" s="4443"/>
      <c r="E3" s="4443"/>
      <c r="F3" s="4443"/>
      <c r="G3" s="4443"/>
      <c r="H3" s="4443"/>
      <c r="I3" s="4443"/>
      <c r="J3" s="4443"/>
      <c r="K3" s="4443"/>
      <c r="L3" s="4443"/>
      <c r="M3" s="4443"/>
      <c r="N3" s="4443"/>
      <c r="O3" s="4443"/>
      <c r="P3" s="4443"/>
      <c r="Q3" s="4443"/>
      <c r="R3" s="4443"/>
      <c r="S3" s="4443"/>
      <c r="T3" s="4443"/>
      <c r="U3" s="4443"/>
      <c r="V3" s="4443"/>
      <c r="W3" s="4443"/>
      <c r="X3" s="4443"/>
      <c r="Y3" s="4443"/>
      <c r="Z3" s="4443"/>
      <c r="AA3" s="4443"/>
      <c r="AB3" s="4443"/>
      <c r="AC3" s="4443"/>
      <c r="AD3" s="4443"/>
      <c r="AE3" s="4443"/>
      <c r="AF3" s="4443"/>
      <c r="AG3" s="4443"/>
      <c r="AH3" s="4443"/>
      <c r="AI3" s="4443"/>
      <c r="AJ3" s="4443"/>
      <c r="AK3" s="4443"/>
      <c r="AL3" s="4443"/>
      <c r="AM3" s="4443"/>
      <c r="AN3" s="4443"/>
      <c r="AO3" s="4443"/>
      <c r="AP3" s="4443"/>
      <c r="AQ3" s="4443"/>
      <c r="AR3" s="4443"/>
      <c r="AS3" s="4443"/>
      <c r="AT3" s="4443"/>
      <c r="AU3" s="4443"/>
      <c r="AV3" s="4443"/>
      <c r="AW3" s="4443"/>
      <c r="AX3" s="4443"/>
      <c r="AY3" s="4443"/>
      <c r="AZ3" s="4443"/>
      <c r="BA3" s="4443"/>
      <c r="BB3" s="4443"/>
      <c r="BC3" s="4443"/>
      <c r="BD3" s="4443"/>
      <c r="BE3" s="4443"/>
      <c r="BF3" s="4443"/>
      <c r="BG3" s="4443"/>
      <c r="BH3" s="4443"/>
      <c r="BI3" s="4443"/>
      <c r="BJ3" s="4443"/>
      <c r="BK3" s="4443"/>
      <c r="BL3" s="4443"/>
      <c r="BM3" s="4443"/>
      <c r="BN3" s="4443"/>
      <c r="BO3" s="4443"/>
      <c r="BP3" s="4443"/>
      <c r="BQ3" s="4443"/>
      <c r="BR3" s="4443"/>
      <c r="BS3" s="4443"/>
      <c r="BT3" s="4443"/>
    </row>
    <row r="4" spans="1:76" ht="9" customHeight="1" outlineLevel="1">
      <c r="A4" s="4444"/>
      <c r="B4" s="4444"/>
      <c r="C4" s="4444"/>
      <c r="D4" s="4444"/>
      <c r="E4" s="4444"/>
      <c r="F4" s="4444"/>
      <c r="G4" s="4444"/>
      <c r="H4" s="4444"/>
      <c r="I4" s="4444"/>
      <c r="J4" s="4444"/>
      <c r="K4" s="4444"/>
      <c r="L4" s="4444"/>
      <c r="M4" s="4444"/>
      <c r="N4" s="4444"/>
      <c r="O4" s="4444"/>
      <c r="P4" s="4444"/>
      <c r="Q4" s="4444"/>
      <c r="R4" s="4444"/>
      <c r="S4" s="4444"/>
      <c r="T4" s="4444"/>
      <c r="U4" s="4444"/>
      <c r="V4" s="4444"/>
      <c r="W4" s="4444"/>
      <c r="X4" s="4444"/>
      <c r="Y4" s="4444"/>
      <c r="Z4" s="4444"/>
      <c r="AA4" s="4444"/>
      <c r="AB4" s="4444"/>
      <c r="AC4" s="4444"/>
      <c r="AD4" s="4444"/>
      <c r="AE4" s="4444"/>
      <c r="AF4" s="4444"/>
      <c r="AG4" s="4444"/>
      <c r="AH4" s="4444"/>
      <c r="AI4" s="4444"/>
      <c r="AJ4" s="4444"/>
      <c r="AK4" s="4444"/>
      <c r="AL4" s="4444"/>
      <c r="AM4" s="4444"/>
      <c r="AN4" s="4444"/>
      <c r="AO4" s="4444"/>
      <c r="AP4" s="4444"/>
      <c r="AQ4" s="4444"/>
      <c r="AR4" s="4444"/>
      <c r="AS4" s="4444"/>
      <c r="AT4" s="4444"/>
      <c r="AU4" s="4444"/>
      <c r="AV4" s="4444"/>
      <c r="AW4" s="4444"/>
      <c r="AX4" s="4444"/>
      <c r="AY4" s="4444"/>
      <c r="AZ4" s="4444"/>
      <c r="BA4" s="4444"/>
      <c r="BB4" s="4444"/>
      <c r="BC4" s="4444"/>
      <c r="BD4" s="4444"/>
      <c r="BE4" s="4444"/>
      <c r="BF4" s="4444"/>
      <c r="BG4" s="4444"/>
      <c r="BH4" s="4444"/>
      <c r="BI4" s="4444"/>
      <c r="BJ4" s="4444"/>
      <c r="BK4" s="4444"/>
      <c r="BL4" s="4444"/>
      <c r="BM4" s="4444"/>
      <c r="BN4" s="4444"/>
      <c r="BO4" s="4444"/>
      <c r="BP4" s="4444"/>
      <c r="BQ4" s="4444"/>
      <c r="BR4" s="4444"/>
      <c r="BS4" s="4444"/>
      <c r="BT4" s="4444"/>
    </row>
    <row r="5" spans="1:76" ht="15.75" outlineLevel="1">
      <c r="A5" s="4445" t="s">
        <v>1466</v>
      </c>
      <c r="B5" s="4445"/>
      <c r="C5" s="4445"/>
      <c r="D5" s="4445"/>
      <c r="E5" s="4445"/>
      <c r="F5" s="4445"/>
      <c r="G5" s="4445"/>
      <c r="H5" s="4445"/>
      <c r="I5" s="4445"/>
      <c r="J5" s="4445"/>
      <c r="K5" s="4445"/>
      <c r="L5" s="4445"/>
      <c r="M5" s="4445"/>
      <c r="N5" s="4445"/>
      <c r="O5" s="4445"/>
      <c r="P5" s="4445"/>
      <c r="Q5" s="4445"/>
      <c r="R5" s="4445"/>
      <c r="S5" s="4445"/>
      <c r="T5" s="4445"/>
      <c r="U5" s="4445"/>
      <c r="V5" s="4445"/>
      <c r="W5" s="4445"/>
      <c r="X5" s="4445"/>
      <c r="Y5" s="4445"/>
      <c r="Z5" s="4445"/>
      <c r="AA5" s="4445"/>
      <c r="AB5" s="4445"/>
      <c r="AC5" s="4445"/>
      <c r="AD5" s="4445"/>
      <c r="AE5" s="4445"/>
      <c r="AF5" s="4445"/>
      <c r="AG5" s="4445"/>
      <c r="AH5" s="4445"/>
      <c r="AI5" s="4445"/>
      <c r="AJ5" s="4445"/>
      <c r="AK5" s="4445"/>
      <c r="AL5" s="4445"/>
      <c r="AM5" s="4445"/>
      <c r="AN5" s="4445"/>
      <c r="AO5" s="4445"/>
      <c r="AP5" s="4445"/>
      <c r="AQ5" s="4445"/>
      <c r="AR5" s="4445"/>
      <c r="AS5" s="4445"/>
      <c r="AT5" s="4445"/>
      <c r="AU5" s="4445"/>
      <c r="AV5" s="4445"/>
      <c r="AW5" s="4445"/>
      <c r="AX5" s="4445"/>
      <c r="AY5" s="4445"/>
      <c r="AZ5" s="4445"/>
      <c r="BA5" s="4445"/>
      <c r="BB5" s="4445"/>
      <c r="BC5" s="4445"/>
      <c r="BD5" s="4445"/>
      <c r="BE5" s="4445"/>
      <c r="BF5" s="4445"/>
      <c r="BG5" s="4445"/>
      <c r="BH5" s="4445"/>
      <c r="BI5" s="4445"/>
      <c r="BJ5" s="4445"/>
      <c r="BK5" s="4445"/>
      <c r="BL5" s="4445"/>
      <c r="BM5" s="4445"/>
      <c r="BN5" s="4445"/>
      <c r="BO5" s="4445"/>
      <c r="BP5" s="4445"/>
      <c r="BQ5" s="4445"/>
      <c r="BR5" s="4445"/>
      <c r="BS5" s="4445"/>
      <c r="BT5" s="4445"/>
      <c r="BU5" s="1382"/>
    </row>
    <row r="6" spans="1:76" ht="16.5" thickBot="1">
      <c r="A6" s="4446" t="s">
        <v>698</v>
      </c>
      <c r="B6" s="4446"/>
      <c r="C6" s="4446"/>
      <c r="D6" s="4446"/>
      <c r="E6" s="4446"/>
      <c r="F6" s="4446"/>
      <c r="G6" s="4446"/>
      <c r="H6" s="4446"/>
      <c r="I6" s="4446"/>
      <c r="J6" s="4446"/>
      <c r="K6" s="4446"/>
      <c r="L6" s="1383"/>
      <c r="M6" s="1383"/>
      <c r="N6" s="1383"/>
      <c r="O6" s="1383"/>
      <c r="P6" s="1383"/>
      <c r="Q6" s="1383"/>
      <c r="R6" s="1383"/>
      <c r="S6" s="1383"/>
      <c r="T6" s="1383"/>
      <c r="U6" s="1383"/>
      <c r="V6" s="1383"/>
      <c r="W6" s="1383"/>
      <c r="X6" s="1383"/>
      <c r="Y6" s="1383"/>
      <c r="Z6" s="1383"/>
      <c r="AA6" s="1383"/>
      <c r="AB6" s="1383"/>
      <c r="AC6" s="1383"/>
      <c r="AD6" s="1383"/>
      <c r="AE6" s="1383"/>
      <c r="AF6" s="1383"/>
      <c r="AG6" s="1383"/>
      <c r="AH6" s="1383"/>
      <c r="AI6" s="1383"/>
      <c r="AJ6" s="1383"/>
      <c r="AK6" s="1383"/>
      <c r="AL6" s="1383"/>
      <c r="AM6" s="1383"/>
      <c r="AN6" s="1383"/>
      <c r="AO6" s="1383"/>
      <c r="AP6" s="1383"/>
      <c r="AQ6" s="1383"/>
      <c r="AR6" s="1383"/>
      <c r="AS6" s="1383"/>
      <c r="AT6" s="1383"/>
      <c r="AU6" s="1383"/>
      <c r="AV6" s="1383"/>
      <c r="AW6" s="1383"/>
      <c r="AX6" s="1383"/>
      <c r="AY6" s="1383"/>
      <c r="AZ6" s="1383"/>
      <c r="BA6" s="1383"/>
      <c r="BB6" s="1383"/>
      <c r="BC6" s="1383"/>
      <c r="BD6" s="1383"/>
      <c r="BE6" s="1383"/>
      <c r="BF6" s="1383"/>
      <c r="BG6" s="1383"/>
      <c r="BH6" s="1383"/>
      <c r="BI6" s="1383"/>
      <c r="BJ6" s="1383"/>
      <c r="BK6" s="1383"/>
      <c r="BL6" s="1383"/>
      <c r="BM6" s="1384">
        <f>BM38-BM39-BM10</f>
        <v>0</v>
      </c>
      <c r="BN6" s="1383"/>
      <c r="BO6" s="1383"/>
      <c r="BP6" s="1380"/>
      <c r="BQ6" s="1380"/>
      <c r="BR6" s="1380"/>
      <c r="BS6" s="1385"/>
      <c r="BT6" s="1385" t="s">
        <v>1479</v>
      </c>
      <c r="BU6" s="1382"/>
    </row>
    <row r="7" spans="1:76" s="1386" customFormat="1" ht="42" customHeight="1" outlineLevel="1">
      <c r="A7" s="4452"/>
      <c r="B7" s="4450" t="s">
        <v>1480</v>
      </c>
      <c r="C7" s="4439" t="s">
        <v>1481</v>
      </c>
      <c r="D7" s="4440"/>
      <c r="E7" s="4440"/>
      <c r="F7" s="4440"/>
      <c r="G7" s="4441"/>
      <c r="H7" s="4439" t="s">
        <v>1482</v>
      </c>
      <c r="I7" s="4440"/>
      <c r="J7" s="4440"/>
      <c r="K7" s="4440"/>
      <c r="L7" s="4441"/>
      <c r="M7" s="4439" t="s">
        <v>1483</v>
      </c>
      <c r="N7" s="4440"/>
      <c r="O7" s="4440"/>
      <c r="P7" s="4440"/>
      <c r="Q7" s="4441"/>
      <c r="R7" s="4439" t="s">
        <v>1484</v>
      </c>
      <c r="S7" s="4440"/>
      <c r="T7" s="4440"/>
      <c r="U7" s="4440"/>
      <c r="V7" s="4441"/>
      <c r="W7" s="4439" t="s">
        <v>1485</v>
      </c>
      <c r="X7" s="4440"/>
      <c r="Y7" s="4440"/>
      <c r="Z7" s="4440"/>
      <c r="AA7" s="4441"/>
      <c r="AB7" s="4439" t="s">
        <v>1486</v>
      </c>
      <c r="AC7" s="4440"/>
      <c r="AD7" s="4440"/>
      <c r="AE7" s="4440"/>
      <c r="AF7" s="4441"/>
      <c r="AG7" s="4439" t="s">
        <v>1487</v>
      </c>
      <c r="AH7" s="4440"/>
      <c r="AI7" s="4440"/>
      <c r="AJ7" s="4440"/>
      <c r="AK7" s="4441"/>
      <c r="AL7" s="4439" t="s">
        <v>1488</v>
      </c>
      <c r="AM7" s="4440"/>
      <c r="AN7" s="4440"/>
      <c r="AO7" s="4440"/>
      <c r="AP7" s="4441"/>
      <c r="AQ7" s="4439"/>
      <c r="AR7" s="4440"/>
      <c r="AS7" s="4440"/>
      <c r="AT7" s="4440"/>
      <c r="AU7" s="4441"/>
      <c r="AV7" s="4439" t="s">
        <v>1489</v>
      </c>
      <c r="AW7" s="4440"/>
      <c r="AX7" s="4440"/>
      <c r="AY7" s="4440"/>
      <c r="AZ7" s="4441"/>
      <c r="BA7" s="4439" t="s">
        <v>1490</v>
      </c>
      <c r="BB7" s="4440"/>
      <c r="BC7" s="4440"/>
      <c r="BD7" s="4440"/>
      <c r="BE7" s="4441"/>
      <c r="BF7" s="4439" t="s">
        <v>1491</v>
      </c>
      <c r="BG7" s="4440"/>
      <c r="BH7" s="4440"/>
      <c r="BI7" s="4440"/>
      <c r="BJ7" s="4441"/>
      <c r="BK7" s="4439" t="s">
        <v>1492</v>
      </c>
      <c r="BL7" s="4440"/>
      <c r="BM7" s="4440"/>
      <c r="BN7" s="4440"/>
      <c r="BO7" s="4441"/>
      <c r="BP7" s="4439" t="s">
        <v>1493</v>
      </c>
      <c r="BQ7" s="4440"/>
      <c r="BR7" s="4440"/>
      <c r="BS7" s="4440"/>
      <c r="BT7" s="4441"/>
    </row>
    <row r="8" spans="1:76" s="1391" customFormat="1" ht="109.5" customHeight="1" outlineLevel="1" thickBot="1">
      <c r="A8" s="4453"/>
      <c r="B8" s="4451"/>
      <c r="C8" s="1387" t="s">
        <v>1494</v>
      </c>
      <c r="D8" s="1387" t="s">
        <v>1495</v>
      </c>
      <c r="E8" s="1387" t="s">
        <v>1496</v>
      </c>
      <c r="F8" s="1388" t="s">
        <v>1497</v>
      </c>
      <c r="G8" s="1389" t="s">
        <v>1498</v>
      </c>
      <c r="H8" s="1390" t="s">
        <v>1499</v>
      </c>
      <c r="I8" s="1388" t="s">
        <v>1500</v>
      </c>
      <c r="J8" s="1388" t="s">
        <v>1467</v>
      </c>
      <c r="K8" s="1388" t="s">
        <v>1497</v>
      </c>
      <c r="L8" s="1389" t="s">
        <v>1498</v>
      </c>
      <c r="M8" s="1390" t="s">
        <v>1499</v>
      </c>
      <c r="N8" s="1388" t="s">
        <v>1500</v>
      </c>
      <c r="O8" s="1388" t="s">
        <v>1467</v>
      </c>
      <c r="P8" s="1388" t="s">
        <v>1497</v>
      </c>
      <c r="Q8" s="1389" t="s">
        <v>1498</v>
      </c>
      <c r="R8" s="1390" t="s">
        <v>1499</v>
      </c>
      <c r="S8" s="1388" t="s">
        <v>1500</v>
      </c>
      <c r="T8" s="1388" t="s">
        <v>1467</v>
      </c>
      <c r="U8" s="1388" t="s">
        <v>1497</v>
      </c>
      <c r="V8" s="1389" t="s">
        <v>1498</v>
      </c>
      <c r="W8" s="1390" t="s">
        <v>1499</v>
      </c>
      <c r="X8" s="1388" t="s">
        <v>1500</v>
      </c>
      <c r="Y8" s="1388" t="s">
        <v>1467</v>
      </c>
      <c r="Z8" s="1388" t="s">
        <v>1497</v>
      </c>
      <c r="AA8" s="1389" t="s">
        <v>1498</v>
      </c>
      <c r="AB8" s="1390" t="s">
        <v>1499</v>
      </c>
      <c r="AC8" s="1388" t="s">
        <v>1500</v>
      </c>
      <c r="AD8" s="1388" t="s">
        <v>1467</v>
      </c>
      <c r="AE8" s="1388" t="s">
        <v>1497</v>
      </c>
      <c r="AF8" s="1389" t="s">
        <v>1498</v>
      </c>
      <c r="AG8" s="1390" t="s">
        <v>1499</v>
      </c>
      <c r="AH8" s="1388" t="s">
        <v>1500</v>
      </c>
      <c r="AI8" s="1388" t="s">
        <v>1467</v>
      </c>
      <c r="AJ8" s="1388" t="s">
        <v>1497</v>
      </c>
      <c r="AK8" s="1389" t="s">
        <v>1498</v>
      </c>
      <c r="AL8" s="1390" t="s">
        <v>1499</v>
      </c>
      <c r="AM8" s="1388" t="s">
        <v>1500</v>
      </c>
      <c r="AN8" s="1388" t="s">
        <v>1467</v>
      </c>
      <c r="AO8" s="1388" t="s">
        <v>1497</v>
      </c>
      <c r="AP8" s="1389" t="s">
        <v>1498</v>
      </c>
      <c r="AQ8" s="1390" t="s">
        <v>1499</v>
      </c>
      <c r="AR8" s="1388" t="s">
        <v>1500</v>
      </c>
      <c r="AS8" s="1388" t="s">
        <v>1467</v>
      </c>
      <c r="AT8" s="1388" t="s">
        <v>1497</v>
      </c>
      <c r="AU8" s="1389" t="s">
        <v>1498</v>
      </c>
      <c r="AV8" s="1390" t="s">
        <v>1499</v>
      </c>
      <c r="AW8" s="1388" t="s">
        <v>1500</v>
      </c>
      <c r="AX8" s="1388" t="s">
        <v>1467</v>
      </c>
      <c r="AY8" s="1388" t="s">
        <v>1497</v>
      </c>
      <c r="AZ8" s="1389" t="s">
        <v>1498</v>
      </c>
      <c r="BA8" s="1390" t="s">
        <v>1499</v>
      </c>
      <c r="BB8" s="1388" t="s">
        <v>1500</v>
      </c>
      <c r="BC8" s="1388" t="s">
        <v>1467</v>
      </c>
      <c r="BD8" s="1388" t="s">
        <v>1497</v>
      </c>
      <c r="BE8" s="1389" t="s">
        <v>1498</v>
      </c>
      <c r="BF8" s="1390" t="s">
        <v>1499</v>
      </c>
      <c r="BG8" s="1388" t="s">
        <v>1500</v>
      </c>
      <c r="BH8" s="1388" t="s">
        <v>1467</v>
      </c>
      <c r="BI8" s="1388" t="s">
        <v>1497</v>
      </c>
      <c r="BJ8" s="1389" t="s">
        <v>1498</v>
      </c>
      <c r="BK8" s="1390" t="s">
        <v>1499</v>
      </c>
      <c r="BL8" s="1388" t="s">
        <v>1500</v>
      </c>
      <c r="BM8" s="1388" t="s">
        <v>1467</v>
      </c>
      <c r="BN8" s="1388" t="s">
        <v>1497</v>
      </c>
      <c r="BO8" s="1389" t="s">
        <v>1498</v>
      </c>
      <c r="BP8" s="1387" t="s">
        <v>1494</v>
      </c>
      <c r="BQ8" s="1387" t="s">
        <v>1501</v>
      </c>
      <c r="BR8" s="1387" t="s">
        <v>1502</v>
      </c>
      <c r="BS8" s="1388" t="s">
        <v>1497</v>
      </c>
      <c r="BT8" s="1389" t="s">
        <v>1498</v>
      </c>
    </row>
    <row r="9" spans="1:76" s="1399" customFormat="1" ht="16.5" thickBot="1">
      <c r="A9" s="1392">
        <v>1</v>
      </c>
      <c r="B9" s="1393">
        <f t="shared" ref="B9:BM9" si="0">A9+1</f>
        <v>2</v>
      </c>
      <c r="C9" s="1394">
        <f t="shared" si="0"/>
        <v>3</v>
      </c>
      <c r="D9" s="1395">
        <f t="shared" si="0"/>
        <v>4</v>
      </c>
      <c r="E9" s="1395">
        <f t="shared" si="0"/>
        <v>5</v>
      </c>
      <c r="F9" s="1395">
        <f t="shared" si="0"/>
        <v>6</v>
      </c>
      <c r="G9" s="1396">
        <f t="shared" si="0"/>
        <v>7</v>
      </c>
      <c r="H9" s="1394">
        <f t="shared" si="0"/>
        <v>8</v>
      </c>
      <c r="I9" s="1395">
        <f t="shared" si="0"/>
        <v>9</v>
      </c>
      <c r="J9" s="1395">
        <f t="shared" si="0"/>
        <v>10</v>
      </c>
      <c r="K9" s="1395">
        <f t="shared" si="0"/>
        <v>11</v>
      </c>
      <c r="L9" s="1396">
        <f t="shared" si="0"/>
        <v>12</v>
      </c>
      <c r="M9" s="1394">
        <f t="shared" si="0"/>
        <v>13</v>
      </c>
      <c r="N9" s="1395">
        <f t="shared" si="0"/>
        <v>14</v>
      </c>
      <c r="O9" s="1395">
        <f t="shared" si="0"/>
        <v>15</v>
      </c>
      <c r="P9" s="1395">
        <f t="shared" si="0"/>
        <v>16</v>
      </c>
      <c r="Q9" s="1396">
        <f t="shared" si="0"/>
        <v>17</v>
      </c>
      <c r="R9" s="1394">
        <f t="shared" si="0"/>
        <v>18</v>
      </c>
      <c r="S9" s="1395">
        <f t="shared" si="0"/>
        <v>19</v>
      </c>
      <c r="T9" s="1395">
        <f t="shared" si="0"/>
        <v>20</v>
      </c>
      <c r="U9" s="1395">
        <f t="shared" si="0"/>
        <v>21</v>
      </c>
      <c r="V9" s="1396">
        <f t="shared" si="0"/>
        <v>22</v>
      </c>
      <c r="W9" s="1394">
        <f t="shared" si="0"/>
        <v>23</v>
      </c>
      <c r="X9" s="1395">
        <f t="shared" si="0"/>
        <v>24</v>
      </c>
      <c r="Y9" s="1395">
        <f t="shared" si="0"/>
        <v>25</v>
      </c>
      <c r="Z9" s="1395">
        <f t="shared" si="0"/>
        <v>26</v>
      </c>
      <c r="AA9" s="1396">
        <f t="shared" si="0"/>
        <v>27</v>
      </c>
      <c r="AB9" s="1394">
        <f t="shared" si="0"/>
        <v>28</v>
      </c>
      <c r="AC9" s="1395">
        <f t="shared" si="0"/>
        <v>29</v>
      </c>
      <c r="AD9" s="1395">
        <f t="shared" si="0"/>
        <v>30</v>
      </c>
      <c r="AE9" s="1395">
        <f t="shared" si="0"/>
        <v>31</v>
      </c>
      <c r="AF9" s="1396">
        <f t="shared" si="0"/>
        <v>32</v>
      </c>
      <c r="AG9" s="1394">
        <f t="shared" si="0"/>
        <v>33</v>
      </c>
      <c r="AH9" s="1395">
        <f t="shared" si="0"/>
        <v>34</v>
      </c>
      <c r="AI9" s="1395">
        <f t="shared" si="0"/>
        <v>35</v>
      </c>
      <c r="AJ9" s="1395">
        <f t="shared" si="0"/>
        <v>36</v>
      </c>
      <c r="AK9" s="1396">
        <f t="shared" si="0"/>
        <v>37</v>
      </c>
      <c r="AL9" s="1394">
        <f t="shared" si="0"/>
        <v>38</v>
      </c>
      <c r="AM9" s="1395">
        <f t="shared" si="0"/>
        <v>39</v>
      </c>
      <c r="AN9" s="1395">
        <f t="shared" si="0"/>
        <v>40</v>
      </c>
      <c r="AO9" s="1395">
        <f t="shared" si="0"/>
        <v>41</v>
      </c>
      <c r="AP9" s="1396">
        <f t="shared" si="0"/>
        <v>42</v>
      </c>
      <c r="AQ9" s="1394">
        <f t="shared" si="0"/>
        <v>43</v>
      </c>
      <c r="AR9" s="1395">
        <f t="shared" si="0"/>
        <v>44</v>
      </c>
      <c r="AS9" s="1395">
        <f t="shared" si="0"/>
        <v>45</v>
      </c>
      <c r="AT9" s="1395">
        <f t="shared" si="0"/>
        <v>46</v>
      </c>
      <c r="AU9" s="1396">
        <f t="shared" si="0"/>
        <v>47</v>
      </c>
      <c r="AV9" s="1394">
        <f t="shared" si="0"/>
        <v>48</v>
      </c>
      <c r="AW9" s="1395">
        <f t="shared" si="0"/>
        <v>49</v>
      </c>
      <c r="AX9" s="1395">
        <f t="shared" si="0"/>
        <v>50</v>
      </c>
      <c r="AY9" s="1395">
        <f t="shared" si="0"/>
        <v>51</v>
      </c>
      <c r="AZ9" s="1396">
        <f t="shared" si="0"/>
        <v>52</v>
      </c>
      <c r="BA9" s="1394">
        <f t="shared" si="0"/>
        <v>53</v>
      </c>
      <c r="BB9" s="1395">
        <f t="shared" si="0"/>
        <v>54</v>
      </c>
      <c r="BC9" s="1395">
        <f t="shared" si="0"/>
        <v>55</v>
      </c>
      <c r="BD9" s="1395">
        <f t="shared" si="0"/>
        <v>56</v>
      </c>
      <c r="BE9" s="1396">
        <f t="shared" si="0"/>
        <v>57</v>
      </c>
      <c r="BF9" s="1394">
        <f t="shared" si="0"/>
        <v>58</v>
      </c>
      <c r="BG9" s="1395">
        <f t="shared" si="0"/>
        <v>59</v>
      </c>
      <c r="BH9" s="1395">
        <f t="shared" si="0"/>
        <v>60</v>
      </c>
      <c r="BI9" s="1395">
        <f t="shared" si="0"/>
        <v>61</v>
      </c>
      <c r="BJ9" s="1396">
        <f t="shared" si="0"/>
        <v>62</v>
      </c>
      <c r="BK9" s="1394">
        <f t="shared" si="0"/>
        <v>63</v>
      </c>
      <c r="BL9" s="1395">
        <f t="shared" si="0"/>
        <v>64</v>
      </c>
      <c r="BM9" s="1395">
        <f t="shared" si="0"/>
        <v>65</v>
      </c>
      <c r="BN9" s="1395">
        <f>BM9+1</f>
        <v>66</v>
      </c>
      <c r="BO9" s="1396">
        <f>BN9+1</f>
        <v>67</v>
      </c>
      <c r="BP9" s="1394">
        <f>L9+1</f>
        <v>13</v>
      </c>
      <c r="BQ9" s="1395">
        <f>BP9+1</f>
        <v>14</v>
      </c>
      <c r="BR9" s="1395">
        <f>BQ9+1</f>
        <v>15</v>
      </c>
      <c r="BS9" s="1397">
        <f>BR9+1</f>
        <v>16</v>
      </c>
      <c r="BT9" s="1398">
        <f>BS9+1</f>
        <v>17</v>
      </c>
    </row>
    <row r="10" spans="1:76" s="1406" customFormat="1" ht="24.75" customHeight="1" thickBot="1">
      <c r="A10" s="1400" t="s">
        <v>1468</v>
      </c>
      <c r="B10" s="1401">
        <f>B12+B36</f>
        <v>759364.571</v>
      </c>
      <c r="C10" s="1342">
        <f>C12+C36</f>
        <v>425344.12699999998</v>
      </c>
      <c r="D10" s="1342">
        <f>D12+D36</f>
        <v>426682.92000000004</v>
      </c>
      <c r="E10" s="1342">
        <f>E12+E36</f>
        <v>431552.23700000002</v>
      </c>
      <c r="F10" s="1402">
        <f>IF(ISERR(E10/D10-1),0,E10/D10-1)</f>
        <v>1.1412026991846735E-2</v>
      </c>
      <c r="G10" s="1403">
        <f>IF(ISERR(E10/C10-1),0,E10/C10-1)</f>
        <v>1.4595499516559807E-2</v>
      </c>
      <c r="H10" s="1342">
        <f>H12+H36</f>
        <v>82575.114999999991</v>
      </c>
      <c r="I10" s="1342">
        <f>I12+I36</f>
        <v>79430.59</v>
      </c>
      <c r="J10" s="1342">
        <f>J12+J36</f>
        <v>82518.834000000003</v>
      </c>
      <c r="K10" s="1404">
        <f>IF(ISERR(J10/I10-1),0,J10/I10-1)</f>
        <v>3.8879781706267158E-2</v>
      </c>
      <c r="L10" s="1403">
        <f>IF(ISERR(J10/H10-1),0,J10/H10-1)</f>
        <v>-6.8157337716079347E-4</v>
      </c>
      <c r="M10" s="1342">
        <f>M12+M36</f>
        <v>70643.601999999984</v>
      </c>
      <c r="N10" s="1342">
        <f>N12+N36</f>
        <v>68010.342999999993</v>
      </c>
      <c r="O10" s="1342">
        <f>O12+O36</f>
        <v>73609.479000000021</v>
      </c>
      <c r="P10" s="1404">
        <f>IF(ISERR(O10/N10-1),0,O10/N10-1)</f>
        <v>8.2327713006829395E-2</v>
      </c>
      <c r="Q10" s="1403">
        <f>IF(ISERR(O10/M10-1),0,O10/M10-1)</f>
        <v>4.1983660459443017E-2</v>
      </c>
      <c r="R10" s="1342">
        <f>R12+R36</f>
        <v>71825.260999999999</v>
      </c>
      <c r="S10" s="1342">
        <f>S12+S36</f>
        <v>70112.954000000012</v>
      </c>
      <c r="T10" s="1342">
        <f>T12+T36</f>
        <v>70896.357000000004</v>
      </c>
      <c r="U10" s="1404">
        <f>IF(ISERR(T10/S10-1),0,T10/S10-1)</f>
        <v>1.1173441643893556E-2</v>
      </c>
      <c r="V10" s="1403">
        <f>IF(ISERR(T10/R10-1),0,T10/R10-1)</f>
        <v>-1.2932831528450595E-2</v>
      </c>
      <c r="W10" s="1342">
        <f>W12+W36</f>
        <v>60550.468999999997</v>
      </c>
      <c r="X10" s="1342">
        <f>X12+X36</f>
        <v>62079.416000000012</v>
      </c>
      <c r="Y10" s="1342">
        <f>Y12+Y36</f>
        <v>59730.630999999987</v>
      </c>
      <c r="Z10" s="1404">
        <f>IF(ISERR(Y10/X10-1),0,Y10/X10-1)</f>
        <v>-3.7835165846276997E-2</v>
      </c>
      <c r="AA10" s="1403">
        <f>IF(ISERR(Y10/W10-1),0,Y10/W10-1)</f>
        <v>-1.3539746488173576E-2</v>
      </c>
      <c r="AB10" s="1342">
        <f>AB12+AB36</f>
        <v>52388.252</v>
      </c>
      <c r="AC10" s="1342">
        <f>AC12+AC36</f>
        <v>56432.170999999988</v>
      </c>
      <c r="AD10" s="1342">
        <f>AD12+AD36</f>
        <v>55202.348999999987</v>
      </c>
      <c r="AE10" s="1404">
        <f>IF(ISERR(AD10/AC10-1),0,AD10/AC10-1)</f>
        <v>-2.1792923756202787E-2</v>
      </c>
      <c r="AF10" s="1403">
        <f>IF(ISERR(AD10/AB10-1),0,AD10/AB10-1)</f>
        <v>5.3716184307886161E-2</v>
      </c>
      <c r="AG10" s="1342">
        <f>AG12+AG36</f>
        <v>43272.33</v>
      </c>
      <c r="AH10" s="1342">
        <f>AH12+AH36</f>
        <v>47269.795000000006</v>
      </c>
      <c r="AI10" s="1342">
        <f>AI12+AI36</f>
        <v>45630.625000000007</v>
      </c>
      <c r="AJ10" s="1404">
        <f>IF(ISERR(AI10/AH10-1),0,AI10/AH10-1)</f>
        <v>-3.4676900968155233E-2</v>
      </c>
      <c r="AK10" s="1403">
        <f>IF(ISERR(AI10/AG10-1),0,AI10/AG10-1)</f>
        <v>5.4498914202216753E-2</v>
      </c>
      <c r="AL10" s="1342">
        <f>AL12+AL36</f>
        <v>44089.097999999998</v>
      </c>
      <c r="AM10" s="1342">
        <f>AM12+AM36</f>
        <v>43347.651000000013</v>
      </c>
      <c r="AN10" s="1342">
        <f>AN12+AN36</f>
        <v>43963.961999999985</v>
      </c>
      <c r="AO10" s="1404">
        <f>IF(ISERR(AN10/AM10-1),0,AN10/AM10-1)</f>
        <v>1.4217863846877732E-2</v>
      </c>
      <c r="AP10" s="1403">
        <f>IF(ISERR(AN10/AL10-1),0,AN10/AL10-1)</f>
        <v>-2.8382526673603747E-3</v>
      </c>
      <c r="AQ10" s="1342">
        <f>AQ12+AQ36</f>
        <v>50004.967999999993</v>
      </c>
      <c r="AR10" s="1342">
        <f>AR12+AR36</f>
        <v>46144.786999999997</v>
      </c>
      <c r="AS10" s="1342">
        <f>AS12+AS36</f>
        <v>55391.792000000001</v>
      </c>
      <c r="AT10" s="1404">
        <f>IF(ISERR(AS10/AR10-1),0,AS10/AR10-1)</f>
        <v>0.20039110810068328</v>
      </c>
      <c r="AU10" s="1403">
        <f>IF(ISERR(AS10/AQ10-1),0,AS10/AQ10-1)</f>
        <v>0.10772577636686043</v>
      </c>
      <c r="AV10" s="1342">
        <f>AV12+AV36</f>
        <v>57671.801000000007</v>
      </c>
      <c r="AW10" s="1342">
        <f>AW12+AW36</f>
        <v>59016.411000000007</v>
      </c>
      <c r="AX10" s="1342">
        <f>AX12+AX36</f>
        <v>0</v>
      </c>
      <c r="AY10" s="1404">
        <f>IF(ISERR(AX10/AW10-1),0,AX10/AW10-1)</f>
        <v>-1</v>
      </c>
      <c r="AZ10" s="1403">
        <f>IF(ISERR(AX10/AV10-1),0,AX10/AV10-1)</f>
        <v>-1</v>
      </c>
      <c r="BA10" s="1342">
        <f>BA12+BA36</f>
        <v>69172.728000000003</v>
      </c>
      <c r="BB10" s="1342">
        <f>BB12+BB36</f>
        <v>70344.683000000005</v>
      </c>
      <c r="BC10" s="1342">
        <f>BC12+BC36</f>
        <v>0</v>
      </c>
      <c r="BD10" s="1404">
        <f>IF(ISERR(BC10/BB10-1),0,BC10/BB10-1)</f>
        <v>-1</v>
      </c>
      <c r="BE10" s="1403">
        <f>IF(ISERR(BC10/BA10-1),0,BC10/BA10-1)</f>
        <v>-1</v>
      </c>
      <c r="BF10" s="1342">
        <f>BF12+BF36</f>
        <v>76440.350999999995</v>
      </c>
      <c r="BG10" s="1342">
        <f>BG12+BG36</f>
        <v>76676.856</v>
      </c>
      <c r="BH10" s="1342">
        <f>BH12+BH36</f>
        <v>0</v>
      </c>
      <c r="BI10" s="1404">
        <f>IF(ISERR(BH10/BG10-1),0,BH10/BG10-1)</f>
        <v>-1</v>
      </c>
      <c r="BJ10" s="1403">
        <f>IF(ISERR(BH10/BF10-1),0,BH10/BF10-1)</f>
        <v>-1</v>
      </c>
      <c r="BK10" s="1342">
        <f>BK12+BK36</f>
        <v>81575.069000000003</v>
      </c>
      <c r="BL10" s="1342">
        <f>BL12+BL36</f>
        <v>80498.914000000019</v>
      </c>
      <c r="BM10" s="1342">
        <f>BM12+BM36</f>
        <v>0</v>
      </c>
      <c r="BN10" s="1404">
        <f>IF(ISERR(BM10/BL10-1),0,BM10/BL10-1)</f>
        <v>-1</v>
      </c>
      <c r="BO10" s="1403">
        <f>IF(ISERR(BM10/BK10-1),0,BM10/BK10-1)</f>
        <v>-1</v>
      </c>
      <c r="BP10" s="1342">
        <f>BP12+BP36</f>
        <v>475349.09499999997</v>
      </c>
      <c r="BQ10" s="1342">
        <f>BQ12+BQ36</f>
        <v>472827.70699999999</v>
      </c>
      <c r="BR10" s="1342">
        <f>BR12+BR36</f>
        <v>486944.02900000004</v>
      </c>
      <c r="BS10" s="1404">
        <f>IF(ISERR(BR10/BQ10-1),0,BR10/BQ10-1)</f>
        <v>2.9855107454606067E-2</v>
      </c>
      <c r="BT10" s="1405">
        <f>IF(ISERR(BR10/BP10-1),0,BR10/BP10-1)</f>
        <v>2.4392460450566533E-2</v>
      </c>
      <c r="BV10" s="1407"/>
      <c r="BW10" s="1407"/>
      <c r="BX10" s="1407"/>
    </row>
    <row r="11" spans="1:76" s="1406" customFormat="1" ht="23.25" customHeight="1" thickBot="1">
      <c r="A11" s="4447" t="s">
        <v>1469</v>
      </c>
      <c r="B11" s="4448"/>
      <c r="C11" s="4448"/>
      <c r="D11" s="4448"/>
      <c r="E11" s="4448"/>
      <c r="F11" s="4448"/>
      <c r="G11" s="4448"/>
      <c r="H11" s="4448"/>
      <c r="I11" s="4448"/>
      <c r="J11" s="4448"/>
      <c r="K11" s="4448"/>
      <c r="L11" s="4448"/>
      <c r="M11" s="4448"/>
      <c r="N11" s="4448"/>
      <c r="O11" s="4448"/>
      <c r="P11" s="4448"/>
      <c r="Q11" s="4448"/>
      <c r="R11" s="4448"/>
      <c r="S11" s="4448"/>
      <c r="T11" s="4448"/>
      <c r="U11" s="4448"/>
      <c r="V11" s="4448"/>
      <c r="W11" s="4448"/>
      <c r="X11" s="4448"/>
      <c r="Y11" s="4448"/>
      <c r="Z11" s="4448"/>
      <c r="AA11" s="4448"/>
      <c r="AB11" s="4448"/>
      <c r="AC11" s="4448"/>
      <c r="AD11" s="4448"/>
      <c r="AE11" s="4448"/>
      <c r="AF11" s="4448"/>
      <c r="AG11" s="4448"/>
      <c r="AH11" s="4448"/>
      <c r="AI11" s="4448"/>
      <c r="AJ11" s="4448"/>
      <c r="AK11" s="4448"/>
      <c r="AL11" s="4448"/>
      <c r="AM11" s="4448"/>
      <c r="AN11" s="4448"/>
      <c r="AO11" s="4448"/>
      <c r="AP11" s="4448"/>
      <c r="AQ11" s="4448"/>
      <c r="AR11" s="4448"/>
      <c r="AS11" s="4448"/>
      <c r="AT11" s="4448"/>
      <c r="AU11" s="4448"/>
      <c r="AV11" s="4448"/>
      <c r="AW11" s="4448"/>
      <c r="AX11" s="4448"/>
      <c r="AY11" s="4448"/>
      <c r="AZ11" s="4448"/>
      <c r="BA11" s="4448"/>
      <c r="BB11" s="4448"/>
      <c r="BC11" s="4448"/>
      <c r="BD11" s="4448"/>
      <c r="BE11" s="4448"/>
      <c r="BF11" s="4448"/>
      <c r="BG11" s="4448"/>
      <c r="BH11" s="4448"/>
      <c r="BI11" s="4448"/>
      <c r="BJ11" s="4448"/>
      <c r="BK11" s="4448"/>
      <c r="BL11" s="4448"/>
      <c r="BM11" s="4448"/>
      <c r="BN11" s="4448"/>
      <c r="BO11" s="4448"/>
      <c r="BP11" s="4448"/>
      <c r="BQ11" s="4448"/>
      <c r="BR11" s="4448"/>
      <c r="BS11" s="4448"/>
      <c r="BT11" s="4449"/>
    </row>
    <row r="12" spans="1:76" s="1406" customFormat="1" ht="18.75" customHeight="1" thickBot="1">
      <c r="A12" s="1408" t="s">
        <v>1447</v>
      </c>
      <c r="B12" s="1409">
        <f>B13+B18+B19+B33+B34+B35</f>
        <v>759364.571</v>
      </c>
      <c r="C12" s="1410">
        <f>C13+C18+C19+C33+C34+C35</f>
        <v>425344.12699999998</v>
      </c>
      <c r="D12" s="1410">
        <f>D13+D18+D19+D33+D34+D35</f>
        <v>426682.92000000004</v>
      </c>
      <c r="E12" s="1410">
        <f>E13+E18+E19+E33+E34+E35</f>
        <v>431552.23700000002</v>
      </c>
      <c r="F12" s="1411">
        <f t="shared" ref="F12:F19" si="1">IF(ISERR(E12/D12-1),0,E12/D12-1)</f>
        <v>1.1412026991846735E-2</v>
      </c>
      <c r="G12" s="1412">
        <f t="shared" ref="G12:G19" si="2">IF(ISERR(E12/C12-1),0,E12/C12-1)</f>
        <v>1.4595499516559807E-2</v>
      </c>
      <c r="H12" s="1345">
        <f>H13+H18+H19+H33+H34+H35</f>
        <v>82575.114999999991</v>
      </c>
      <c r="I12" s="1413">
        <f>I13+I18+I19+I33+I34+I35</f>
        <v>79430.59</v>
      </c>
      <c r="J12" s="1345">
        <f>J13+J18+J19+J33+J34+J35</f>
        <v>82518.834000000003</v>
      </c>
      <c r="K12" s="1414">
        <f>IF(ISERR(J12/I12-1),0,J12/I12-1)</f>
        <v>3.8879781706267158E-2</v>
      </c>
      <c r="L12" s="1412">
        <f>IF(ISERR(J12/H12-1),0,J12/H12-1)</f>
        <v>-6.8157337716079347E-4</v>
      </c>
      <c r="M12" s="1345">
        <f>M13+M18+M19+M33+M34+M35</f>
        <v>70643.601999999984</v>
      </c>
      <c r="N12" s="1413">
        <f>N13+N18+N19+N33+N34+N35</f>
        <v>68010.342999999993</v>
      </c>
      <c r="O12" s="1345">
        <f>O13+O18+O19+O33+O34+O35</f>
        <v>73609.479000000021</v>
      </c>
      <c r="P12" s="1414">
        <f>IF(ISERR(O12/N12-1),0,O12/N12-1)</f>
        <v>8.2327713006829395E-2</v>
      </c>
      <c r="Q12" s="1412">
        <f>IF(ISERR(O12/M12-1),0,O12/M12-1)</f>
        <v>4.1983660459443017E-2</v>
      </c>
      <c r="R12" s="1345">
        <f>R13+R18+R19+R33+R34+R35</f>
        <v>71825.260999999999</v>
      </c>
      <c r="S12" s="1413">
        <f>S13+S18+S19+S33+S34+S35</f>
        <v>70112.954000000012</v>
      </c>
      <c r="T12" s="1345">
        <f>T13+T18+T19+T33+T34+T35</f>
        <v>70896.357000000004</v>
      </c>
      <c r="U12" s="1414">
        <f>IF(ISERR(T12/S12-1),0,T12/S12-1)</f>
        <v>1.1173441643893556E-2</v>
      </c>
      <c r="V12" s="1412">
        <f>IF(ISERR(T12/R12-1),0,T12/R12-1)</f>
        <v>-1.2932831528450595E-2</v>
      </c>
      <c r="W12" s="1345">
        <f>W13+W18+W19+W33+W34+W35</f>
        <v>60550.468999999997</v>
      </c>
      <c r="X12" s="1413">
        <f>X13+X18+X19+X33+X34+X35</f>
        <v>62079.416000000012</v>
      </c>
      <c r="Y12" s="1345">
        <f>Y13+Y18+Y19+Y33+Y34+Y35</f>
        <v>59730.630999999987</v>
      </c>
      <c r="Z12" s="1414">
        <f>IF(ISERR(Y12/X12-1),0,Y12/X12-1)</f>
        <v>-3.7835165846276997E-2</v>
      </c>
      <c r="AA12" s="1412">
        <f>IF(ISERR(Y12/W12-1),0,Y12/W12-1)</f>
        <v>-1.3539746488173576E-2</v>
      </c>
      <c r="AB12" s="1345">
        <f>AB13+AB18+AB19+AB33+AB34+AB35</f>
        <v>52388.252</v>
      </c>
      <c r="AC12" s="1413">
        <f>AC13+AC18+AC19+AC33+AC34+AC35</f>
        <v>56432.170999999988</v>
      </c>
      <c r="AD12" s="1345">
        <f>AD13+AD18+AD19+AD33+AD34+AD35</f>
        <v>55202.348999999987</v>
      </c>
      <c r="AE12" s="1414">
        <f>IF(ISERR(AD12/AC12-1),0,AD12/AC12-1)</f>
        <v>-2.1792923756202787E-2</v>
      </c>
      <c r="AF12" s="1412">
        <f>IF(ISERR(AD12/AB12-1),0,AD12/AB12-1)</f>
        <v>5.3716184307886161E-2</v>
      </c>
      <c r="AG12" s="1345">
        <f>AG13+AG18+AG19+AG33+AG34+AG35</f>
        <v>43272.33</v>
      </c>
      <c r="AH12" s="1413">
        <f>AH13+AH18+AH19+AH33+AH34+AH35</f>
        <v>47269.795000000006</v>
      </c>
      <c r="AI12" s="1345">
        <f>AI13+AI18+AI19+AI33+AI34+AI35</f>
        <v>45630.625000000007</v>
      </c>
      <c r="AJ12" s="1414">
        <f>IF(ISERR(AI12/AH12-1),0,AI12/AH12-1)</f>
        <v>-3.4676900968155233E-2</v>
      </c>
      <c r="AK12" s="1412">
        <f>IF(ISERR(AI12/AG12-1),0,AI12/AG12-1)</f>
        <v>5.4498914202216753E-2</v>
      </c>
      <c r="AL12" s="1345">
        <f>AL13+AL18+AL19+AL33+AL34+AL35</f>
        <v>44089.097999999998</v>
      </c>
      <c r="AM12" s="1413">
        <f>AM13+AM18+AM19+AM33+AM34+AM35</f>
        <v>43347.651000000013</v>
      </c>
      <c r="AN12" s="1345">
        <f>AN13+AN18+AN19+AN33+AN34+AN35</f>
        <v>43963.961999999985</v>
      </c>
      <c r="AO12" s="1414">
        <f>IF(ISERR(AN12/AM12-1),0,AN12/AM12-1)</f>
        <v>1.4217863846877732E-2</v>
      </c>
      <c r="AP12" s="1412">
        <f>IF(ISERR(AN12/AL12-1),0,AN12/AL12-1)</f>
        <v>-2.8382526673603747E-3</v>
      </c>
      <c r="AQ12" s="1345">
        <f>AQ13+AQ18+AQ19+AQ33+AQ34+AQ35</f>
        <v>50004.967999999993</v>
      </c>
      <c r="AR12" s="1413">
        <f>AR13+AR18+AR19+AR33+AR34+AR35</f>
        <v>46144.786999999997</v>
      </c>
      <c r="AS12" s="1345">
        <f>AS13+AS18+AS19+AS33+AS34+AS35</f>
        <v>55391.792000000001</v>
      </c>
      <c r="AT12" s="1414">
        <f>IF(ISERR(AS12/AR12-1),0,AS12/AR12-1)</f>
        <v>0.20039110810068328</v>
      </c>
      <c r="AU12" s="1412">
        <f>IF(ISERR(AS12/AQ12-1),0,AS12/AQ12-1)</f>
        <v>0.10772577636686043</v>
      </c>
      <c r="AV12" s="1345">
        <f>AV13+AV18+AV19+AV33+AV34+AV35</f>
        <v>57671.801000000007</v>
      </c>
      <c r="AW12" s="1413">
        <f>AW13+AW18+AW19+AW33+AW34+AW35</f>
        <v>59016.411000000007</v>
      </c>
      <c r="AX12" s="1345">
        <f>AX13+AX18+AX19+AX33+AX34+AX35</f>
        <v>0</v>
      </c>
      <c r="AY12" s="1414">
        <f>IF(ISERR(AX12/AW12-1),0,AX12/AW12-1)</f>
        <v>-1</v>
      </c>
      <c r="AZ12" s="1412">
        <f>IF(ISERR(AX12/AV12-1),0,AX12/AV12-1)</f>
        <v>-1</v>
      </c>
      <c r="BA12" s="1345">
        <f>BA13+BA18+BA19+BA33+BA34+BA35</f>
        <v>69172.728000000003</v>
      </c>
      <c r="BB12" s="1413">
        <f>BB13+BB18+BB19+BB33+BB34+BB35</f>
        <v>70344.683000000005</v>
      </c>
      <c r="BC12" s="1345">
        <f>BC13+BC18+BC19+BC33+BC34+BC35</f>
        <v>0</v>
      </c>
      <c r="BD12" s="1414">
        <f>IF(ISERR(BC12/BB12-1),0,BC12/BB12-1)</f>
        <v>-1</v>
      </c>
      <c r="BE12" s="1412">
        <f>IF(ISERR(BC12/BA12-1),0,BC12/BA12-1)</f>
        <v>-1</v>
      </c>
      <c r="BF12" s="1345">
        <f>BF13+BF18+BF19+BF33+BF34+BF35</f>
        <v>76440.350999999995</v>
      </c>
      <c r="BG12" s="1413">
        <f>BG13+BG18+BG19+BG33+BG34+BG35</f>
        <v>76676.856</v>
      </c>
      <c r="BH12" s="1345">
        <f>BH13+BH18+BH19+BH33+BH34+BH35</f>
        <v>0</v>
      </c>
      <c r="BI12" s="1414">
        <f>IF(ISERR(BH12/BG12-1),0,BH12/BG12-1)</f>
        <v>-1</v>
      </c>
      <c r="BJ12" s="1412">
        <f>IF(ISERR(BH12/BF12-1),0,BH12/BF12-1)</f>
        <v>-1</v>
      </c>
      <c r="BK12" s="1345">
        <f>BK13+BK18+BK19+BK33+BK34+BK35</f>
        <v>81575.069000000003</v>
      </c>
      <c r="BL12" s="1413">
        <f>BL13+BL18+BL19+BL33+BL34+BL35</f>
        <v>80498.914000000019</v>
      </c>
      <c r="BM12" s="1345">
        <f>BM13+BM18+BM19+BM33+BM34+BM35</f>
        <v>0</v>
      </c>
      <c r="BN12" s="1414">
        <f>IF(ISERR(BM12/BL12-1),0,BM12/BL12-1)</f>
        <v>-1</v>
      </c>
      <c r="BO12" s="1412">
        <f>IF(ISERR(BM12/BK12-1),0,BM12/BK12-1)</f>
        <v>-1</v>
      </c>
      <c r="BP12" s="1415">
        <f>BP13+BP18+BP19+BP33+BP34+BP35</f>
        <v>475349.09499999997</v>
      </c>
      <c r="BQ12" s="1413">
        <f>BQ13+BQ18+BQ19+BQ33+BQ34+BQ35</f>
        <v>472827.70699999999</v>
      </c>
      <c r="BR12" s="1345">
        <f>BR13+BR18+BR19+BR33+BR34+BR35</f>
        <v>486944.02900000004</v>
      </c>
      <c r="BS12" s="1414">
        <f t="shared" ref="BS12:BS19" si="3">IF(ISERR(BR12/BQ12-1),0,BR12/BQ12-1)</f>
        <v>2.9855107454606067E-2</v>
      </c>
      <c r="BT12" s="1416">
        <f t="shared" ref="BT12:BT19" si="4">IF(ISERR(BR12/BP12-1),0,BR12/BP12-1)</f>
        <v>2.4392460450566533E-2</v>
      </c>
      <c r="BV12" s="1407"/>
      <c r="BW12" s="1407"/>
      <c r="BX12" s="1407"/>
    </row>
    <row r="13" spans="1:76" s="1428" customFormat="1" ht="15.75">
      <c r="A13" s="1417" t="s">
        <v>1448</v>
      </c>
      <c r="B13" s="1418">
        <f>SUM(B15:B16)</f>
        <v>97377.318493999992</v>
      </c>
      <c r="C13" s="1419">
        <f>SUM(C15:C16)</f>
        <v>56095.54</v>
      </c>
      <c r="D13" s="1420">
        <f>SUM(D15:D16)</f>
        <v>56095.54</v>
      </c>
      <c r="E13" s="1421">
        <f>SUM(E15:E16)</f>
        <v>58806.086000000003</v>
      </c>
      <c r="F13" s="1422">
        <f t="shared" si="1"/>
        <v>4.8320169482279685E-2</v>
      </c>
      <c r="G13" s="1423">
        <f t="shared" si="2"/>
        <v>4.8320169482279685E-2</v>
      </c>
      <c r="H13" s="1346">
        <f>SUM(H15:H16)</f>
        <v>11668.166000000001</v>
      </c>
      <c r="I13" s="1424">
        <f>SUM(I15:I16)</f>
        <v>11668.166000000001</v>
      </c>
      <c r="J13" s="1346">
        <f>SUM(J15:J16)</f>
        <v>11765.064</v>
      </c>
      <c r="K13" s="1422">
        <f t="shared" ref="K13:K19" si="5">IF(ISERR(J13/I13-1),0,J13/I13-1)</f>
        <v>8.3044756133912045E-3</v>
      </c>
      <c r="L13" s="1423">
        <f t="shared" ref="L13:L19" si="6">IF(ISERR(J13/H13-1),0,J13/H13-1)</f>
        <v>8.3044756133912045E-3</v>
      </c>
      <c r="M13" s="1346">
        <f>SUM(M15:M16)</f>
        <v>10483.39</v>
      </c>
      <c r="N13" s="1424">
        <f>SUM(N15:N16)</f>
        <v>10483.39</v>
      </c>
      <c r="O13" s="1346">
        <f>SUM(O15:O16)</f>
        <v>10734.796</v>
      </c>
      <c r="P13" s="1422">
        <f t="shared" ref="P13:P19" si="7">IF(ISERR(O13/N13-1),0,O13/N13-1)</f>
        <v>2.398136480661317E-2</v>
      </c>
      <c r="Q13" s="1423">
        <f t="shared" ref="Q13:Q19" si="8">IF(ISERR(O13/M13-1),0,O13/M13-1)</f>
        <v>2.398136480661317E-2</v>
      </c>
      <c r="R13" s="1346">
        <f>SUM(R15:R16)</f>
        <v>10716.592999999999</v>
      </c>
      <c r="S13" s="1424">
        <f>SUM(S15:S16)</f>
        <v>10716.592999999999</v>
      </c>
      <c r="T13" s="1346">
        <f>SUM(T15:T16)</f>
        <v>11151.932000000001</v>
      </c>
      <c r="U13" s="1422">
        <f t="shared" ref="U13:U19" si="9">IF(ISERR(T13/S13-1),0,T13/S13-1)</f>
        <v>4.0622891995618637E-2</v>
      </c>
      <c r="V13" s="1423">
        <f t="shared" ref="V13:V19" si="10">IF(ISERR(T13/R13-1),0,T13/R13-1)</f>
        <v>4.0622891995618637E-2</v>
      </c>
      <c r="W13" s="1346">
        <f>SUM(W15:W16)</f>
        <v>9961.9840000000004</v>
      </c>
      <c r="X13" s="1424">
        <f>SUM(X15:X16)</f>
        <v>9961.9840000000004</v>
      </c>
      <c r="Y13" s="1346">
        <f>SUM(Y15:Y16)</f>
        <v>9880.1890000000003</v>
      </c>
      <c r="Z13" s="1422">
        <f t="shared" ref="Z13:Z19" si="11">IF(ISERR(Y13/X13-1),0,Y13/X13-1)</f>
        <v>-8.210713849771345E-3</v>
      </c>
      <c r="AA13" s="1423">
        <f t="shared" ref="AA13:AA19" si="12">IF(ISERR(Y13/W13-1),0,Y13/W13-1)</f>
        <v>-8.210713849771345E-3</v>
      </c>
      <c r="AB13" s="1346">
        <f>SUM(AB15:AB16)</f>
        <v>6238.1959999999999</v>
      </c>
      <c r="AC13" s="1424">
        <f>SUM(AC15:AC16)</f>
        <v>6238.1959999999999</v>
      </c>
      <c r="AD13" s="1346">
        <f>SUM(AD15:AD16)</f>
        <v>7805.29</v>
      </c>
      <c r="AE13" s="1422">
        <f t="shared" ref="AE13:AE19" si="13">IF(ISERR(AD13/AC13-1),0,AD13/AC13-1)</f>
        <v>0.25120948428039136</v>
      </c>
      <c r="AF13" s="1423">
        <f t="shared" ref="AF13:AF19" si="14">IF(ISERR(AD13/AB13-1),0,AD13/AB13-1)</f>
        <v>0.25120948428039136</v>
      </c>
      <c r="AG13" s="1346">
        <f>SUM(AG15:AG16)</f>
        <v>3539.4430000000002</v>
      </c>
      <c r="AH13" s="1424">
        <f>SUM(AH15:AH16)</f>
        <v>3539.4430000000002</v>
      </c>
      <c r="AI13" s="1346">
        <f>SUM(AI15:AI16)</f>
        <v>3919.0659999999998</v>
      </c>
      <c r="AJ13" s="1422">
        <f t="shared" ref="AJ13:AJ19" si="15">IF(ISERR(AI13/AH13-1),0,AI13/AH13-1)</f>
        <v>0.10725501159363193</v>
      </c>
      <c r="AK13" s="1423">
        <f t="shared" ref="AK13:AK19" si="16">IF(ISERR(AI13/AG13-1),0,AI13/AG13-1)</f>
        <v>0.10725501159363193</v>
      </c>
      <c r="AL13" s="1346">
        <f>SUM(AL15:AL16)</f>
        <v>3487.768</v>
      </c>
      <c r="AM13" s="1424">
        <f>SUM(AM15:AM16)</f>
        <v>3487.768</v>
      </c>
      <c r="AN13" s="1346">
        <f>SUM(AN15:AN16)</f>
        <v>3549.7489999999998</v>
      </c>
      <c r="AO13" s="1422">
        <f t="shared" ref="AO13:AO19" si="17">IF(ISERR(AN13/AM13-1),0,AN13/AM13-1)</f>
        <v>1.7770964123760447E-2</v>
      </c>
      <c r="AP13" s="1423">
        <f t="shared" ref="AP13:AP19" si="18">IF(ISERR(AN13/AL13-1),0,AN13/AL13-1)</f>
        <v>1.7770964123760447E-2</v>
      </c>
      <c r="AQ13" s="1346">
        <f>SUM(AQ15:AQ16)</f>
        <v>3568.4560000000001</v>
      </c>
      <c r="AR13" s="1424">
        <f>SUM(AR15:AR16)</f>
        <v>3568.4560000000001</v>
      </c>
      <c r="AS13" s="1346">
        <f>SUM(AS15:AS16)</f>
        <v>6554.9870000000001</v>
      </c>
      <c r="AT13" s="1422">
        <f t="shared" ref="AT13:AT19" si="19">IF(ISERR(AS13/AR13-1),0,AS13/AR13-1)</f>
        <v>0.83692526964042702</v>
      </c>
      <c r="AU13" s="1423">
        <f t="shared" ref="AU13:AU19" si="20">IF(ISERR(AS13/AQ13-1),0,AS13/AQ13-1)</f>
        <v>0.83692526964042702</v>
      </c>
      <c r="AV13" s="1346">
        <f>SUM(AV15:AV16)</f>
        <v>7027.5069999999996</v>
      </c>
      <c r="AW13" s="1424">
        <f>SUM(AW15:AW16)</f>
        <v>7027.5069999999996</v>
      </c>
      <c r="AX13" s="1346">
        <f>SUM(AX15:AX16)</f>
        <v>0</v>
      </c>
      <c r="AY13" s="1422">
        <f t="shared" ref="AY13:AY19" si="21">IF(ISERR(AX13/AW13-1),0,AX13/AW13-1)</f>
        <v>-1</v>
      </c>
      <c r="AZ13" s="1423">
        <f t="shared" ref="AZ13:AZ19" si="22">IF(ISERR(AX13/AV13-1),0,AX13/AV13-1)</f>
        <v>-1</v>
      </c>
      <c r="BA13" s="1346">
        <f>SUM(BA15:BA16)</f>
        <v>9983.5730000000003</v>
      </c>
      <c r="BB13" s="1424">
        <f>SUM(BB15:BB16)</f>
        <v>9983.5730000000003</v>
      </c>
      <c r="BC13" s="1346">
        <f>SUM(BC15:BC16)</f>
        <v>0</v>
      </c>
      <c r="BD13" s="1422">
        <f t="shared" ref="BD13:BD19" si="23">IF(ISERR(BC13/BB13-1),0,BC13/BB13-1)</f>
        <v>-1</v>
      </c>
      <c r="BE13" s="1423">
        <f t="shared" ref="BE13:BE19" si="24">IF(ISERR(BC13/BA13-1),0,BC13/BA13-1)</f>
        <v>-1</v>
      </c>
      <c r="BF13" s="1346">
        <f>SUM(BF15:BF16)</f>
        <v>11071.458999999999</v>
      </c>
      <c r="BG13" s="1424">
        <f>SUM(BG15:BG16)</f>
        <v>11071.458999999999</v>
      </c>
      <c r="BH13" s="1346">
        <f>SUM(BH15:BH16)</f>
        <v>0</v>
      </c>
      <c r="BI13" s="1422">
        <f t="shared" ref="BI13:BI19" si="25">IF(ISERR(BH13/BG13-1),0,BH13/BG13-1)</f>
        <v>-1</v>
      </c>
      <c r="BJ13" s="1423">
        <f t="shared" ref="BJ13:BJ19" si="26">IF(ISERR(BH13/BF13-1),0,BH13/BF13-1)</f>
        <v>-1</v>
      </c>
      <c r="BK13" s="1346">
        <f>SUM(BK15:BK16)</f>
        <v>9630.7834939999993</v>
      </c>
      <c r="BL13" s="1424">
        <f>SUM(BL15:BL16)</f>
        <v>9630.7834939999993</v>
      </c>
      <c r="BM13" s="1346">
        <f>SUM(BM15:BM16)</f>
        <v>0</v>
      </c>
      <c r="BN13" s="1422">
        <f t="shared" ref="BN13:BN19" si="27">IF(ISERR(BM13/BL13-1),0,BM13/BL13-1)</f>
        <v>-1</v>
      </c>
      <c r="BO13" s="1423">
        <f t="shared" ref="BO13:BO19" si="28">IF(ISERR(BM13/BK13-1),0,BM13/BK13-1)</f>
        <v>-1</v>
      </c>
      <c r="BP13" s="1419">
        <f>SUM(BP15:BP16)</f>
        <v>59663.995999999999</v>
      </c>
      <c r="BQ13" s="1425">
        <f>SUM(BQ15:BQ16)</f>
        <v>59663.995999999999</v>
      </c>
      <c r="BR13" s="1421">
        <f>SUM(BR15:BR16)</f>
        <v>65361.073000000004</v>
      </c>
      <c r="BS13" s="1426">
        <f t="shared" si="3"/>
        <v>9.548601136269852E-2</v>
      </c>
      <c r="BT13" s="1427">
        <f t="shared" si="4"/>
        <v>9.548601136269852E-2</v>
      </c>
    </row>
    <row r="14" spans="1:76" s="1391" customFormat="1" ht="15.75">
      <c r="A14" s="1429" t="s">
        <v>1449</v>
      </c>
      <c r="B14" s="1430">
        <f>B15+B16+B17</f>
        <v>97377.318493999992</v>
      </c>
      <c r="C14" s="1431">
        <f>C15+C16+C17</f>
        <v>56095.54</v>
      </c>
      <c r="D14" s="1432">
        <f>D15+D16+D17</f>
        <v>56095.54</v>
      </c>
      <c r="E14" s="1348">
        <f>E15+E16+E17</f>
        <v>58806.086000000003</v>
      </c>
      <c r="F14" s="1433">
        <f t="shared" si="1"/>
        <v>4.8320169482279685E-2</v>
      </c>
      <c r="G14" s="1434">
        <f t="shared" si="2"/>
        <v>4.8320169482279685E-2</v>
      </c>
      <c r="H14" s="1348">
        <f>H15+H16+H17</f>
        <v>11668.166000000001</v>
      </c>
      <c r="I14" s="1432">
        <f>I15+I16+I17</f>
        <v>11668.166000000001</v>
      </c>
      <c r="J14" s="1348">
        <f>J15+J16+J17</f>
        <v>11765.064</v>
      </c>
      <c r="K14" s="1435">
        <f t="shared" si="5"/>
        <v>8.3044756133912045E-3</v>
      </c>
      <c r="L14" s="1436">
        <f t="shared" si="6"/>
        <v>8.3044756133912045E-3</v>
      </c>
      <c r="M14" s="1348">
        <f>M15+M16+M17</f>
        <v>10483.39</v>
      </c>
      <c r="N14" s="1432">
        <f>N15+N16+N17</f>
        <v>10483.39</v>
      </c>
      <c r="O14" s="1348">
        <f>O15+O16+O17</f>
        <v>10734.796</v>
      </c>
      <c r="P14" s="1435">
        <f t="shared" si="7"/>
        <v>2.398136480661317E-2</v>
      </c>
      <c r="Q14" s="1436">
        <f t="shared" si="8"/>
        <v>2.398136480661317E-2</v>
      </c>
      <c r="R14" s="1348">
        <f>R15+R16+R17</f>
        <v>10716.592999999999</v>
      </c>
      <c r="S14" s="1432">
        <f>S15+S16+S17</f>
        <v>10716.592999999999</v>
      </c>
      <c r="T14" s="1348">
        <f>T15+T16+T17</f>
        <v>11151.932000000001</v>
      </c>
      <c r="U14" s="1435">
        <f t="shared" si="9"/>
        <v>4.0622891995618637E-2</v>
      </c>
      <c r="V14" s="1436">
        <f t="shared" si="10"/>
        <v>4.0622891995618637E-2</v>
      </c>
      <c r="W14" s="1348">
        <f>W15+W16+W17</f>
        <v>9961.9840000000004</v>
      </c>
      <c r="X14" s="1432">
        <f>X15+X16+X17</f>
        <v>9961.9840000000004</v>
      </c>
      <c r="Y14" s="1348">
        <f>Y15+Y16+Y17</f>
        <v>9880.1890000000003</v>
      </c>
      <c r="Z14" s="1435">
        <f t="shared" si="11"/>
        <v>-8.210713849771345E-3</v>
      </c>
      <c r="AA14" s="1436">
        <f t="shared" si="12"/>
        <v>-8.210713849771345E-3</v>
      </c>
      <c r="AB14" s="1348">
        <f>AB15+AB16+AB17</f>
        <v>6238.1959999999999</v>
      </c>
      <c r="AC14" s="1432">
        <f>AC15+AC16+AC17</f>
        <v>6238.1959999999999</v>
      </c>
      <c r="AD14" s="1348">
        <f>AD15+AD16+AD17</f>
        <v>7805.29</v>
      </c>
      <c r="AE14" s="1435">
        <f t="shared" si="13"/>
        <v>0.25120948428039136</v>
      </c>
      <c r="AF14" s="1436">
        <f t="shared" si="14"/>
        <v>0.25120948428039136</v>
      </c>
      <c r="AG14" s="1348">
        <f>AG15+AG16+AG17</f>
        <v>3539.4430000000002</v>
      </c>
      <c r="AH14" s="1432">
        <f>AH15+AH16+AH17</f>
        <v>3539.4430000000002</v>
      </c>
      <c r="AI14" s="1348">
        <f>AI15+AI16+AI17</f>
        <v>3919.0659999999998</v>
      </c>
      <c r="AJ14" s="1435">
        <f t="shared" si="15"/>
        <v>0.10725501159363193</v>
      </c>
      <c r="AK14" s="1436">
        <f t="shared" si="16"/>
        <v>0.10725501159363193</v>
      </c>
      <c r="AL14" s="1348">
        <f>AL15+AL16+AL17</f>
        <v>3487.768</v>
      </c>
      <c r="AM14" s="1432">
        <f>AM15+AM16+AM17</f>
        <v>3487.768</v>
      </c>
      <c r="AN14" s="1348">
        <f>AN15+AN16+AN17</f>
        <v>3549.7489999999998</v>
      </c>
      <c r="AO14" s="1435">
        <f t="shared" si="17"/>
        <v>1.7770964123760447E-2</v>
      </c>
      <c r="AP14" s="1436">
        <f t="shared" si="18"/>
        <v>1.7770964123760447E-2</v>
      </c>
      <c r="AQ14" s="1348">
        <f>AQ15+AQ16+AQ17</f>
        <v>3568.4560000000001</v>
      </c>
      <c r="AR14" s="1432">
        <f>AR15+AR16+AR17</f>
        <v>3568.4560000000001</v>
      </c>
      <c r="AS14" s="1348">
        <f>AS15+AS16+AS17</f>
        <v>6554.9870000000001</v>
      </c>
      <c r="AT14" s="1435">
        <f t="shared" si="19"/>
        <v>0.83692526964042702</v>
      </c>
      <c r="AU14" s="1436">
        <f t="shared" si="20"/>
        <v>0.83692526964042702</v>
      </c>
      <c r="AV14" s="1348">
        <f>AV15+AV16+AV17</f>
        <v>7027.5069999999996</v>
      </c>
      <c r="AW14" s="1432">
        <f>AW15+AW16+AW17</f>
        <v>7027.5069999999996</v>
      </c>
      <c r="AX14" s="1348">
        <f>AX15+AX16+AX17</f>
        <v>0</v>
      </c>
      <c r="AY14" s="1435">
        <f t="shared" si="21"/>
        <v>-1</v>
      </c>
      <c r="AZ14" s="1436">
        <f t="shared" si="22"/>
        <v>-1</v>
      </c>
      <c r="BA14" s="1348">
        <f>BA15+BA16+BA17</f>
        <v>9983.5730000000003</v>
      </c>
      <c r="BB14" s="1432">
        <f>BB15+BB16+BB17</f>
        <v>9983.5730000000003</v>
      </c>
      <c r="BC14" s="1348">
        <f>BC15+BC16+BC17</f>
        <v>0</v>
      </c>
      <c r="BD14" s="1435">
        <f t="shared" si="23"/>
        <v>-1</v>
      </c>
      <c r="BE14" s="1436">
        <f t="shared" si="24"/>
        <v>-1</v>
      </c>
      <c r="BF14" s="1348">
        <f>BF15+BF16+BF17</f>
        <v>11071.458999999999</v>
      </c>
      <c r="BG14" s="1432">
        <f>BG15+BG16+BG17</f>
        <v>11071.458999999999</v>
      </c>
      <c r="BH14" s="1348">
        <f>BH15+BH16+BH17</f>
        <v>0</v>
      </c>
      <c r="BI14" s="1435">
        <f t="shared" si="25"/>
        <v>-1</v>
      </c>
      <c r="BJ14" s="1436">
        <f t="shared" si="26"/>
        <v>-1</v>
      </c>
      <c r="BK14" s="1348">
        <f>BK15+BK16+BK17</f>
        <v>9630.7834939999993</v>
      </c>
      <c r="BL14" s="1432">
        <f>BL15+BL16+BL17</f>
        <v>9630.7834939999993</v>
      </c>
      <c r="BM14" s="1348">
        <f>BM15+BM16+BM17</f>
        <v>0</v>
      </c>
      <c r="BN14" s="1435">
        <f t="shared" si="27"/>
        <v>-1</v>
      </c>
      <c r="BO14" s="1436">
        <f t="shared" si="28"/>
        <v>-1</v>
      </c>
      <c r="BP14" s="1431">
        <f>BP15+BP16+BP17</f>
        <v>59663.995999999999</v>
      </c>
      <c r="BQ14" s="1432">
        <f>BQ15+BQ16+BQ17</f>
        <v>59663.995999999999</v>
      </c>
      <c r="BR14" s="1348">
        <f>BR15+BR16+BR17</f>
        <v>65361.073000000004</v>
      </c>
      <c r="BS14" s="1435">
        <f t="shared" si="3"/>
        <v>9.548601136269852E-2</v>
      </c>
      <c r="BT14" s="1436">
        <f t="shared" si="4"/>
        <v>9.548601136269852E-2</v>
      </c>
    </row>
    <row r="15" spans="1:76" s="1391" customFormat="1" ht="15.75">
      <c r="A15" s="1437" t="s">
        <v>1450</v>
      </c>
      <c r="B15" s="1438">
        <f>I15+N15+S15+X15+AC15+AH15+AM15+AR15+AW15+BB15+BG15+BL15</f>
        <v>80693.108999999997</v>
      </c>
      <c r="C15" s="1349">
        <v>45571.811000000002</v>
      </c>
      <c r="D15" s="1349">
        <v>45571.811000000002</v>
      </c>
      <c r="E15" s="1349">
        <v>47502.611000000004</v>
      </c>
      <c r="F15" s="1433">
        <f t="shared" si="1"/>
        <v>4.2368296489248669E-2</v>
      </c>
      <c r="G15" s="1434">
        <f t="shared" si="2"/>
        <v>4.2368296489248669E-2</v>
      </c>
      <c r="H15" s="1349">
        <v>10051.091</v>
      </c>
      <c r="I15" s="1439">
        <f>H15</f>
        <v>10051.091</v>
      </c>
      <c r="J15" s="1349">
        <v>9875.7659999999996</v>
      </c>
      <c r="K15" s="1435">
        <f t="shared" si="5"/>
        <v>-1.744338002710355E-2</v>
      </c>
      <c r="L15" s="1434">
        <f t="shared" si="6"/>
        <v>-1.744338002710355E-2</v>
      </c>
      <c r="M15" s="1349">
        <v>8886.1090000000004</v>
      </c>
      <c r="N15" s="1439">
        <f>M15</f>
        <v>8886.1090000000004</v>
      </c>
      <c r="O15" s="1349">
        <v>9052.5110000000004</v>
      </c>
      <c r="P15" s="1435">
        <f t="shared" si="7"/>
        <v>1.8726081347865575E-2</v>
      </c>
      <c r="Q15" s="1434">
        <f t="shared" si="8"/>
        <v>1.8726081347865575E-2</v>
      </c>
      <c r="R15" s="1349">
        <v>9171.9509999999991</v>
      </c>
      <c r="S15" s="1439">
        <f>R15</f>
        <v>9171.9509999999991</v>
      </c>
      <c r="T15" s="1349">
        <v>9380.7340000000004</v>
      </c>
      <c r="U15" s="1435">
        <f t="shared" si="9"/>
        <v>2.2763204905913881E-2</v>
      </c>
      <c r="V15" s="1434">
        <f t="shared" si="10"/>
        <v>2.2763204905913881E-2</v>
      </c>
      <c r="W15" s="1349">
        <v>8488.3330000000005</v>
      </c>
      <c r="X15" s="1439">
        <f>W15</f>
        <v>8488.3330000000005</v>
      </c>
      <c r="Y15" s="1349">
        <v>8181.7160000000003</v>
      </c>
      <c r="Z15" s="1435">
        <f t="shared" si="11"/>
        <v>-3.6122169099633616E-2</v>
      </c>
      <c r="AA15" s="1434">
        <f t="shared" si="12"/>
        <v>-3.6122169099633616E-2</v>
      </c>
      <c r="AB15" s="1349">
        <v>4709.6459999999997</v>
      </c>
      <c r="AC15" s="1439">
        <f>AB15</f>
        <v>4709.6459999999997</v>
      </c>
      <c r="AD15" s="1349">
        <v>6183.6859999999997</v>
      </c>
      <c r="AE15" s="1435">
        <f t="shared" si="13"/>
        <v>0.31298318387411705</v>
      </c>
      <c r="AF15" s="1434">
        <f t="shared" si="14"/>
        <v>0.31298318387411705</v>
      </c>
      <c r="AG15" s="1349">
        <v>2159.4340000000002</v>
      </c>
      <c r="AH15" s="1439">
        <f>AG15</f>
        <v>2159.4340000000002</v>
      </c>
      <c r="AI15" s="1349">
        <v>2605.3240000000001</v>
      </c>
      <c r="AJ15" s="1435">
        <f t="shared" si="15"/>
        <v>0.20648466218462791</v>
      </c>
      <c r="AK15" s="1434">
        <f t="shared" si="16"/>
        <v>0.20648466218462791</v>
      </c>
      <c r="AL15" s="1349">
        <v>2105.2469999999998</v>
      </c>
      <c r="AM15" s="1439">
        <f>AL15</f>
        <v>2105.2469999999998</v>
      </c>
      <c r="AN15" s="1349">
        <v>2222.8739999999998</v>
      </c>
      <c r="AO15" s="1435">
        <f t="shared" si="17"/>
        <v>5.5873253827223079E-2</v>
      </c>
      <c r="AP15" s="1434">
        <f t="shared" si="18"/>
        <v>5.5873253827223079E-2</v>
      </c>
      <c r="AQ15" s="1349">
        <v>2139.9920000000002</v>
      </c>
      <c r="AR15" s="1439">
        <f>AQ15</f>
        <v>2139.9920000000002</v>
      </c>
      <c r="AS15" s="1349">
        <f>'Отчёт СТС'!B15/1000</f>
        <v>6494.2079999999996</v>
      </c>
      <c r="AT15" s="1435">
        <f t="shared" si="19"/>
        <v>2.0346879801419813</v>
      </c>
      <c r="AU15" s="1434">
        <f t="shared" si="20"/>
        <v>2.0346879801419813</v>
      </c>
      <c r="AV15" s="1349">
        <v>5547.0039999999999</v>
      </c>
      <c r="AW15" s="1439">
        <f>AV15</f>
        <v>5547.0039999999999</v>
      </c>
      <c r="AX15" s="1349"/>
      <c r="AY15" s="1435">
        <f t="shared" si="21"/>
        <v>-1</v>
      </c>
      <c r="AZ15" s="1434">
        <f t="shared" si="22"/>
        <v>-1</v>
      </c>
      <c r="BA15" s="1349">
        <v>8404.2160000000003</v>
      </c>
      <c r="BB15" s="1439">
        <f>BA15</f>
        <v>8404.2160000000003</v>
      </c>
      <c r="BC15" s="1349"/>
      <c r="BD15" s="1435">
        <f t="shared" si="23"/>
        <v>-1</v>
      </c>
      <c r="BE15" s="1434">
        <f t="shared" si="24"/>
        <v>-1</v>
      </c>
      <c r="BF15" s="1349">
        <v>9401.1209999999992</v>
      </c>
      <c r="BG15" s="1439">
        <f>BF15</f>
        <v>9401.1209999999992</v>
      </c>
      <c r="BH15" s="1349"/>
      <c r="BI15" s="1435">
        <f t="shared" si="25"/>
        <v>-1</v>
      </c>
      <c r="BJ15" s="1434">
        <f t="shared" si="26"/>
        <v>-1</v>
      </c>
      <c r="BK15" s="1349">
        <v>9628.9650000000001</v>
      </c>
      <c r="BL15" s="1439">
        <f>BK15</f>
        <v>9628.9650000000001</v>
      </c>
      <c r="BM15" s="1349"/>
      <c r="BN15" s="1435">
        <f t="shared" si="27"/>
        <v>-1</v>
      </c>
      <c r="BO15" s="1434">
        <f t="shared" si="28"/>
        <v>-1</v>
      </c>
      <c r="BP15" s="1440">
        <f t="shared" ref="BP15:BR16" si="29">C15+AQ15</f>
        <v>47711.803</v>
      </c>
      <c r="BQ15" s="1439">
        <f t="shared" si="29"/>
        <v>47711.803</v>
      </c>
      <c r="BR15" s="1349">
        <f t="shared" si="29"/>
        <v>53996.819000000003</v>
      </c>
      <c r="BS15" s="1435">
        <f t="shared" si="3"/>
        <v>0.13172874644875621</v>
      </c>
      <c r="BT15" s="1436">
        <f t="shared" si="4"/>
        <v>0.13172874644875621</v>
      </c>
    </row>
    <row r="16" spans="1:76" s="1391" customFormat="1" ht="15.75">
      <c r="A16" s="1437" t="s">
        <v>1451</v>
      </c>
      <c r="B16" s="1438">
        <f>I16+N16+S16+X16+AC16+AH16+AM16+AR16+AW16+BB16+BG16+BL16</f>
        <v>16684.209493999999</v>
      </c>
      <c r="C16" s="1349">
        <v>10523.728999999999</v>
      </c>
      <c r="D16" s="1349">
        <v>10523.728999999999</v>
      </c>
      <c r="E16" s="1349">
        <v>11303.475</v>
      </c>
      <c r="F16" s="1433">
        <f t="shared" si="1"/>
        <v>7.4094078249259399E-2</v>
      </c>
      <c r="G16" s="1434">
        <f t="shared" si="2"/>
        <v>7.4094078249259399E-2</v>
      </c>
      <c r="H16" s="1349">
        <v>1617.075</v>
      </c>
      <c r="I16" s="1439">
        <f>H16</f>
        <v>1617.075</v>
      </c>
      <c r="J16" s="1349">
        <v>1889.298</v>
      </c>
      <c r="K16" s="1435">
        <f t="shared" si="5"/>
        <v>0.16834284124112986</v>
      </c>
      <c r="L16" s="1434">
        <f t="shared" si="6"/>
        <v>0.16834284124112986</v>
      </c>
      <c r="M16" s="1349">
        <v>1597.2809999999999</v>
      </c>
      <c r="N16" s="1439">
        <f>M16</f>
        <v>1597.2809999999999</v>
      </c>
      <c r="O16" s="1349">
        <v>1682.2850000000001</v>
      </c>
      <c r="P16" s="1435">
        <f t="shared" si="7"/>
        <v>5.321793723208379E-2</v>
      </c>
      <c r="Q16" s="1434">
        <f t="shared" si="8"/>
        <v>5.321793723208379E-2</v>
      </c>
      <c r="R16" s="1349">
        <v>1544.6420000000001</v>
      </c>
      <c r="S16" s="1439">
        <f>R16</f>
        <v>1544.6420000000001</v>
      </c>
      <c r="T16" s="1349">
        <v>1771.1980000000001</v>
      </c>
      <c r="U16" s="1435">
        <f t="shared" si="9"/>
        <v>0.14667217387588849</v>
      </c>
      <c r="V16" s="1434">
        <f t="shared" si="10"/>
        <v>0.14667217387588849</v>
      </c>
      <c r="W16" s="1349">
        <v>1473.6510000000001</v>
      </c>
      <c r="X16" s="1439">
        <f>W16</f>
        <v>1473.6510000000001</v>
      </c>
      <c r="Y16" s="1349">
        <v>1698.473</v>
      </c>
      <c r="Z16" s="1435">
        <f t="shared" si="11"/>
        <v>0.15256122379043613</v>
      </c>
      <c r="AA16" s="1434">
        <f t="shared" si="12"/>
        <v>0.15256122379043613</v>
      </c>
      <c r="AB16" s="1349">
        <v>1528.55</v>
      </c>
      <c r="AC16" s="1439">
        <f>AB16</f>
        <v>1528.55</v>
      </c>
      <c r="AD16" s="1349">
        <v>1621.604</v>
      </c>
      <c r="AE16" s="1435">
        <f t="shared" si="13"/>
        <v>6.0877302018252699E-2</v>
      </c>
      <c r="AF16" s="1434">
        <f t="shared" si="14"/>
        <v>6.0877302018252699E-2</v>
      </c>
      <c r="AG16" s="1349">
        <v>1380.009</v>
      </c>
      <c r="AH16" s="1439">
        <f>AG16</f>
        <v>1380.009</v>
      </c>
      <c r="AI16" s="1349">
        <v>1313.742</v>
      </c>
      <c r="AJ16" s="1435">
        <f t="shared" si="15"/>
        <v>-4.801925204835622E-2</v>
      </c>
      <c r="AK16" s="1434">
        <f t="shared" si="16"/>
        <v>-4.801925204835622E-2</v>
      </c>
      <c r="AL16" s="1349">
        <v>1382.521</v>
      </c>
      <c r="AM16" s="1439">
        <f>AL16</f>
        <v>1382.521</v>
      </c>
      <c r="AN16" s="1349">
        <v>1326.875</v>
      </c>
      <c r="AO16" s="1435">
        <f t="shared" si="17"/>
        <v>-4.0249659860501219E-2</v>
      </c>
      <c r="AP16" s="1434">
        <f t="shared" si="18"/>
        <v>-4.0249659860501219E-2</v>
      </c>
      <c r="AQ16" s="1349">
        <v>1428.4639999999999</v>
      </c>
      <c r="AR16" s="1439">
        <f>AQ16</f>
        <v>1428.4639999999999</v>
      </c>
      <c r="AS16" s="1349">
        <f>'Отчёт СТС'!B16/1000</f>
        <v>60.779000000000003</v>
      </c>
      <c r="AT16" s="1435">
        <f t="shared" si="19"/>
        <v>-0.95745150035282656</v>
      </c>
      <c r="AU16" s="1434">
        <f t="shared" si="20"/>
        <v>-0.95745150035282656</v>
      </c>
      <c r="AV16" s="1349">
        <v>1480.5029999999999</v>
      </c>
      <c r="AW16" s="1439">
        <f>AV16</f>
        <v>1480.5029999999999</v>
      </c>
      <c r="AX16" s="1349"/>
      <c r="AY16" s="1435">
        <f t="shared" si="21"/>
        <v>-1</v>
      </c>
      <c r="AZ16" s="1434">
        <f t="shared" si="22"/>
        <v>-1</v>
      </c>
      <c r="BA16" s="1349">
        <v>1579.357</v>
      </c>
      <c r="BB16" s="1439">
        <f>BA16</f>
        <v>1579.357</v>
      </c>
      <c r="BC16" s="1349"/>
      <c r="BD16" s="1435">
        <f t="shared" si="23"/>
        <v>-1</v>
      </c>
      <c r="BE16" s="1434">
        <f t="shared" si="24"/>
        <v>-1</v>
      </c>
      <c r="BF16" s="1349">
        <v>1670.338</v>
      </c>
      <c r="BG16" s="1439">
        <f>BF16</f>
        <v>1670.338</v>
      </c>
      <c r="BH16" s="1349"/>
      <c r="BI16" s="1435">
        <f t="shared" si="25"/>
        <v>-1</v>
      </c>
      <c r="BJ16" s="1434">
        <f t="shared" si="26"/>
        <v>-1</v>
      </c>
      <c r="BK16" s="1349">
        <v>1.8184940000000001</v>
      </c>
      <c r="BL16" s="1439">
        <f>BK16</f>
        <v>1.8184940000000001</v>
      </c>
      <c r="BM16" s="1349"/>
      <c r="BN16" s="1435">
        <f t="shared" si="27"/>
        <v>-1</v>
      </c>
      <c r="BO16" s="1434">
        <f t="shared" si="28"/>
        <v>-1</v>
      </c>
      <c r="BP16" s="1440">
        <f t="shared" si="29"/>
        <v>11952.192999999999</v>
      </c>
      <c r="BQ16" s="1439">
        <f t="shared" si="29"/>
        <v>11952.192999999999</v>
      </c>
      <c r="BR16" s="1349">
        <f t="shared" si="29"/>
        <v>11364.254000000001</v>
      </c>
      <c r="BS16" s="1435">
        <f t="shared" si="3"/>
        <v>-4.9190889069478549E-2</v>
      </c>
      <c r="BT16" s="1436">
        <f t="shared" si="4"/>
        <v>-4.9190889069478549E-2</v>
      </c>
    </row>
    <row r="17" spans="1:74" s="1391" customFormat="1" ht="19.5" customHeight="1">
      <c r="A17" s="1437"/>
      <c r="B17" s="1438"/>
      <c r="C17" s="1440"/>
      <c r="D17" s="1439"/>
      <c r="E17" s="1349"/>
      <c r="F17" s="1433">
        <f t="shared" si="1"/>
        <v>0</v>
      </c>
      <c r="G17" s="1434">
        <f t="shared" si="2"/>
        <v>0</v>
      </c>
      <c r="H17" s="1349"/>
      <c r="I17" s="1439"/>
      <c r="J17" s="1349"/>
      <c r="K17" s="1435">
        <f t="shared" si="5"/>
        <v>0</v>
      </c>
      <c r="L17" s="1436">
        <f t="shared" si="6"/>
        <v>0</v>
      </c>
      <c r="M17" s="1349"/>
      <c r="N17" s="1439"/>
      <c r="O17" s="1349"/>
      <c r="P17" s="1435">
        <f t="shared" si="7"/>
        <v>0</v>
      </c>
      <c r="Q17" s="1436">
        <f t="shared" si="8"/>
        <v>0</v>
      </c>
      <c r="R17" s="1349"/>
      <c r="S17" s="1439"/>
      <c r="T17" s="1349"/>
      <c r="U17" s="1435">
        <f t="shared" si="9"/>
        <v>0</v>
      </c>
      <c r="V17" s="1436">
        <f t="shared" si="10"/>
        <v>0</v>
      </c>
      <c r="W17" s="1349"/>
      <c r="X17" s="1439"/>
      <c r="Y17" s="1349"/>
      <c r="Z17" s="1435">
        <f t="shared" si="11"/>
        <v>0</v>
      </c>
      <c r="AA17" s="1436">
        <f t="shared" si="12"/>
        <v>0</v>
      </c>
      <c r="AB17" s="1349"/>
      <c r="AC17" s="1439"/>
      <c r="AD17" s="1349"/>
      <c r="AE17" s="1435">
        <f t="shared" si="13"/>
        <v>0</v>
      </c>
      <c r="AF17" s="1436">
        <f t="shared" si="14"/>
        <v>0</v>
      </c>
      <c r="AG17" s="1349"/>
      <c r="AH17" s="1439"/>
      <c r="AI17" s="1349"/>
      <c r="AJ17" s="1435">
        <f t="shared" si="15"/>
        <v>0</v>
      </c>
      <c r="AK17" s="1436">
        <f t="shared" si="16"/>
        <v>0</v>
      </c>
      <c r="AL17" s="1349"/>
      <c r="AM17" s="1439"/>
      <c r="AN17" s="1349"/>
      <c r="AO17" s="1435">
        <f t="shared" si="17"/>
        <v>0</v>
      </c>
      <c r="AP17" s="1436">
        <f t="shared" si="18"/>
        <v>0</v>
      </c>
      <c r="AQ17" s="1349"/>
      <c r="AR17" s="1439"/>
      <c r="AS17" s="1349"/>
      <c r="AT17" s="1435">
        <f t="shared" si="19"/>
        <v>0</v>
      </c>
      <c r="AU17" s="1436">
        <f t="shared" si="20"/>
        <v>0</v>
      </c>
      <c r="AV17" s="1349"/>
      <c r="AW17" s="1439"/>
      <c r="AX17" s="1349"/>
      <c r="AY17" s="1435">
        <f t="shared" si="21"/>
        <v>0</v>
      </c>
      <c r="AZ17" s="1436">
        <f t="shared" si="22"/>
        <v>0</v>
      </c>
      <c r="BA17" s="1349"/>
      <c r="BB17" s="1439"/>
      <c r="BC17" s="1349"/>
      <c r="BD17" s="1435">
        <f t="shared" si="23"/>
        <v>0</v>
      </c>
      <c r="BE17" s="1436">
        <f t="shared" si="24"/>
        <v>0</v>
      </c>
      <c r="BF17" s="1349"/>
      <c r="BG17" s="1439"/>
      <c r="BH17" s="1349"/>
      <c r="BI17" s="1435">
        <f t="shared" si="25"/>
        <v>0</v>
      </c>
      <c r="BJ17" s="1436">
        <f t="shared" si="26"/>
        <v>0</v>
      </c>
      <c r="BK17" s="1349"/>
      <c r="BL17" s="1439"/>
      <c r="BM17" s="1349"/>
      <c r="BN17" s="1435">
        <f t="shared" si="27"/>
        <v>0</v>
      </c>
      <c r="BO17" s="1436">
        <f t="shared" si="28"/>
        <v>0</v>
      </c>
      <c r="BP17" s="1440">
        <f t="shared" ref="BP17:BR18" si="30">C17+H17</f>
        <v>0</v>
      </c>
      <c r="BQ17" s="1439">
        <f t="shared" si="30"/>
        <v>0</v>
      </c>
      <c r="BR17" s="1349">
        <f t="shared" si="30"/>
        <v>0</v>
      </c>
      <c r="BS17" s="1435">
        <f t="shared" si="3"/>
        <v>0</v>
      </c>
      <c r="BT17" s="1436">
        <f t="shared" si="4"/>
        <v>0</v>
      </c>
    </row>
    <row r="18" spans="1:74" s="1428" customFormat="1" ht="31.5">
      <c r="A18" s="1441" t="s">
        <v>1452</v>
      </c>
      <c r="B18" s="1442"/>
      <c r="C18" s="1443"/>
      <c r="D18" s="1444"/>
      <c r="E18" s="1350"/>
      <c r="F18" s="1445">
        <f t="shared" si="1"/>
        <v>0</v>
      </c>
      <c r="G18" s="1446">
        <f t="shared" si="2"/>
        <v>0</v>
      </c>
      <c r="H18" s="1350"/>
      <c r="I18" s="1444"/>
      <c r="J18" s="1350"/>
      <c r="K18" s="1447">
        <f t="shared" si="5"/>
        <v>0</v>
      </c>
      <c r="L18" s="1448">
        <f t="shared" si="6"/>
        <v>0</v>
      </c>
      <c r="M18" s="1350"/>
      <c r="N18" s="1444"/>
      <c r="O18" s="1350"/>
      <c r="P18" s="1447">
        <f t="shared" si="7"/>
        <v>0</v>
      </c>
      <c r="Q18" s="1448">
        <f t="shared" si="8"/>
        <v>0</v>
      </c>
      <c r="R18" s="1350"/>
      <c r="S18" s="1444"/>
      <c r="T18" s="1350"/>
      <c r="U18" s="1447">
        <f t="shared" si="9"/>
        <v>0</v>
      </c>
      <c r="V18" s="1448">
        <f t="shared" si="10"/>
        <v>0</v>
      </c>
      <c r="W18" s="1350"/>
      <c r="X18" s="1444"/>
      <c r="Y18" s="1350"/>
      <c r="Z18" s="1447">
        <f t="shared" si="11"/>
        <v>0</v>
      </c>
      <c r="AA18" s="1448">
        <f t="shared" si="12"/>
        <v>0</v>
      </c>
      <c r="AB18" s="1350"/>
      <c r="AC18" s="1444"/>
      <c r="AD18" s="1350"/>
      <c r="AE18" s="1447">
        <f t="shared" si="13"/>
        <v>0</v>
      </c>
      <c r="AF18" s="1448">
        <f t="shared" si="14"/>
        <v>0</v>
      </c>
      <c r="AG18" s="1350"/>
      <c r="AH18" s="1444"/>
      <c r="AI18" s="1350"/>
      <c r="AJ18" s="1447">
        <f t="shared" si="15"/>
        <v>0</v>
      </c>
      <c r="AK18" s="1448">
        <f t="shared" si="16"/>
        <v>0</v>
      </c>
      <c r="AL18" s="1350"/>
      <c r="AM18" s="1444"/>
      <c r="AN18" s="1350"/>
      <c r="AO18" s="1447">
        <f t="shared" si="17"/>
        <v>0</v>
      </c>
      <c r="AP18" s="1448">
        <f t="shared" si="18"/>
        <v>0</v>
      </c>
      <c r="AQ18" s="1350"/>
      <c r="AR18" s="1444"/>
      <c r="AS18" s="1350"/>
      <c r="AT18" s="1447">
        <f t="shared" si="19"/>
        <v>0</v>
      </c>
      <c r="AU18" s="1448">
        <f t="shared" si="20"/>
        <v>0</v>
      </c>
      <c r="AV18" s="1350"/>
      <c r="AW18" s="1444"/>
      <c r="AX18" s="1350"/>
      <c r="AY18" s="1447">
        <f t="shared" si="21"/>
        <v>0</v>
      </c>
      <c r="AZ18" s="1448">
        <f t="shared" si="22"/>
        <v>0</v>
      </c>
      <c r="BA18" s="1350"/>
      <c r="BB18" s="1444"/>
      <c r="BC18" s="1350"/>
      <c r="BD18" s="1447">
        <f t="shared" si="23"/>
        <v>0</v>
      </c>
      <c r="BE18" s="1448">
        <f t="shared" si="24"/>
        <v>0</v>
      </c>
      <c r="BF18" s="1350"/>
      <c r="BG18" s="1444"/>
      <c r="BH18" s="1350"/>
      <c r="BI18" s="1447">
        <f t="shared" si="25"/>
        <v>0</v>
      </c>
      <c r="BJ18" s="1448">
        <f t="shared" si="26"/>
        <v>0</v>
      </c>
      <c r="BK18" s="1350"/>
      <c r="BL18" s="1444"/>
      <c r="BM18" s="1350"/>
      <c r="BN18" s="1447">
        <f t="shared" si="27"/>
        <v>0</v>
      </c>
      <c r="BO18" s="1448">
        <f t="shared" si="28"/>
        <v>0</v>
      </c>
      <c r="BP18" s="1443">
        <f t="shared" si="30"/>
        <v>0</v>
      </c>
      <c r="BQ18" s="1444">
        <f t="shared" si="30"/>
        <v>0</v>
      </c>
      <c r="BR18" s="1350">
        <f t="shared" si="30"/>
        <v>0</v>
      </c>
      <c r="BS18" s="1447">
        <f t="shared" si="3"/>
        <v>0</v>
      </c>
      <c r="BT18" s="1448">
        <f t="shared" si="4"/>
        <v>0</v>
      </c>
    </row>
    <row r="19" spans="1:74" s="1428" customFormat="1" ht="15.75">
      <c r="A19" s="1441" t="s">
        <v>1453</v>
      </c>
      <c r="B19" s="1449">
        <f>B21+B24+B27+B30</f>
        <v>52844.543999999994</v>
      </c>
      <c r="C19" s="1449">
        <f>C21+C24+C27+C30</f>
        <v>29443.047999999995</v>
      </c>
      <c r="D19" s="1450">
        <f>D21+D24+D27+D30</f>
        <v>29443.047999999995</v>
      </c>
      <c r="E19" s="1451">
        <f>E21+E24+E27+E30</f>
        <v>29323.067000000003</v>
      </c>
      <c r="F19" s="1445">
        <f t="shared" si="1"/>
        <v>-4.0750196786688564E-3</v>
      </c>
      <c r="G19" s="1446">
        <f t="shared" si="2"/>
        <v>-4.0750196786688564E-3</v>
      </c>
      <c r="H19" s="1351">
        <f>H21+H24+H27+H30</f>
        <v>4988.9480000000003</v>
      </c>
      <c r="I19" s="1450">
        <f>I21+I24+I27+I30</f>
        <v>4988.9480000000003</v>
      </c>
      <c r="J19" s="1351">
        <f>J21+J24+J27+J30</f>
        <v>4922.18</v>
      </c>
      <c r="K19" s="1447">
        <f t="shared" si="5"/>
        <v>-1.338318218590373E-2</v>
      </c>
      <c r="L19" s="1448">
        <f t="shared" si="6"/>
        <v>-1.338318218590373E-2</v>
      </c>
      <c r="M19" s="1351">
        <f>M21+M24+M27+M30</f>
        <v>5102.2780000000002</v>
      </c>
      <c r="N19" s="1450">
        <f>N21+N24+N27+N30</f>
        <v>5102.2780000000002</v>
      </c>
      <c r="O19" s="1351">
        <f>O21+O24+O27+O30</f>
        <v>5017.9480000000003</v>
      </c>
      <c r="P19" s="1447">
        <f t="shared" si="7"/>
        <v>-1.6527911650443206E-2</v>
      </c>
      <c r="Q19" s="1448">
        <f t="shared" si="8"/>
        <v>-1.6527911650443206E-2</v>
      </c>
      <c r="R19" s="1351">
        <f>R21+R24+R27+R30</f>
        <v>4271.5889999999999</v>
      </c>
      <c r="S19" s="1450">
        <f>S21+S24+S27+S30</f>
        <v>4271.5889999999999</v>
      </c>
      <c r="T19" s="1351">
        <f>T21+T24+T27+T30</f>
        <v>4430.3440000000001</v>
      </c>
      <c r="U19" s="1447">
        <f t="shared" si="9"/>
        <v>3.71653265330536E-2</v>
      </c>
      <c r="V19" s="1448">
        <f t="shared" si="10"/>
        <v>3.71653265330536E-2</v>
      </c>
      <c r="W19" s="1351">
        <f>W21+W24+W27+W30</f>
        <v>4512.9459999999999</v>
      </c>
      <c r="X19" s="1450">
        <f>X21+X24+X27+X30</f>
        <v>4512.9459999999999</v>
      </c>
      <c r="Y19" s="1351">
        <f>Y21+Y24+Y27+Y30</f>
        <v>4515.3340000000007</v>
      </c>
      <c r="Z19" s="1447">
        <f t="shared" si="11"/>
        <v>5.2914437708784234E-4</v>
      </c>
      <c r="AA19" s="1448">
        <f t="shared" si="12"/>
        <v>5.2914437708784234E-4</v>
      </c>
      <c r="AB19" s="1351">
        <f>AB21+AB24+AB27+AB30</f>
        <v>3874.0150000000003</v>
      </c>
      <c r="AC19" s="1450">
        <f>AC21+AC24+AC27+AC30</f>
        <v>3874.0150000000003</v>
      </c>
      <c r="AD19" s="1351">
        <f>AD21+AD24+AD27+AD30</f>
        <v>3975.2379999999998</v>
      </c>
      <c r="AE19" s="1447">
        <f t="shared" si="13"/>
        <v>2.6128706264689106E-2</v>
      </c>
      <c r="AF19" s="1448">
        <f t="shared" si="14"/>
        <v>2.6128706264689106E-2</v>
      </c>
      <c r="AG19" s="1351">
        <f>AG21+AG24+AG27+AG30</f>
        <v>3704.3360000000002</v>
      </c>
      <c r="AH19" s="1450">
        <f>AH21+AH24+AH27+AH30</f>
        <v>3704.3360000000002</v>
      </c>
      <c r="AI19" s="1351">
        <f>AI21+AI24+AI27+AI30</f>
        <v>3558.3830000000003</v>
      </c>
      <c r="AJ19" s="1447">
        <f t="shared" si="15"/>
        <v>-3.9400583532379296E-2</v>
      </c>
      <c r="AK19" s="1448">
        <f t="shared" si="16"/>
        <v>-3.9400583532379296E-2</v>
      </c>
      <c r="AL19" s="1351">
        <f>AL21+AL24+AL27+AL30</f>
        <v>2988.9359999999997</v>
      </c>
      <c r="AM19" s="1450">
        <f>AM21+AM24+AM27+AM30</f>
        <v>2988.9359999999997</v>
      </c>
      <c r="AN19" s="1351">
        <f>AN21+AN24+AN27+AN30</f>
        <v>2903.64</v>
      </c>
      <c r="AO19" s="1447">
        <f t="shared" si="17"/>
        <v>-2.8537245360890862E-2</v>
      </c>
      <c r="AP19" s="1448">
        <f t="shared" si="18"/>
        <v>-2.8537245360890862E-2</v>
      </c>
      <c r="AQ19" s="1351">
        <f>AQ21+AQ24+AQ27+AQ30</f>
        <v>3833.3149999999996</v>
      </c>
      <c r="AR19" s="1450">
        <f>AR21+AR24+AR27+AR30</f>
        <v>3833.3149999999996</v>
      </c>
      <c r="AS19" s="1351">
        <f>AS21+AS24+AS27+AS30</f>
        <v>4162.308</v>
      </c>
      <c r="AT19" s="1447">
        <f t="shared" si="19"/>
        <v>8.5824671335384739E-2</v>
      </c>
      <c r="AU19" s="1448">
        <f t="shared" si="20"/>
        <v>8.5824671335384739E-2</v>
      </c>
      <c r="AV19" s="1351">
        <f>AV21+AV24+AV27+AV30</f>
        <v>4322.085</v>
      </c>
      <c r="AW19" s="1450">
        <f>AW21+AW24+AW27+AW30</f>
        <v>4322.085</v>
      </c>
      <c r="AX19" s="1351">
        <f>AX21+AX24+AX27+AX30</f>
        <v>0</v>
      </c>
      <c r="AY19" s="1447">
        <f t="shared" si="21"/>
        <v>-1</v>
      </c>
      <c r="AZ19" s="1448">
        <f t="shared" si="22"/>
        <v>-1</v>
      </c>
      <c r="BA19" s="1351">
        <f>BA21+BA24+BA27+BA30</f>
        <v>4824.308</v>
      </c>
      <c r="BB19" s="1450">
        <f>BB21+BB24+BB27+BB30</f>
        <v>4824.308</v>
      </c>
      <c r="BC19" s="1351">
        <f>BC21+BC24+BC27+BC30</f>
        <v>0</v>
      </c>
      <c r="BD19" s="1447">
        <f t="shared" si="23"/>
        <v>-1</v>
      </c>
      <c r="BE19" s="1448">
        <f t="shared" si="24"/>
        <v>-1</v>
      </c>
      <c r="BF19" s="1351">
        <f>BF21+BF24+BF27+BF30</f>
        <v>5228.6480000000001</v>
      </c>
      <c r="BG19" s="1450">
        <f>BG21+BG24+BG27+BG30</f>
        <v>5228.6480000000001</v>
      </c>
      <c r="BH19" s="1351">
        <f>BH21+BH24+BH27+BH30</f>
        <v>0</v>
      </c>
      <c r="BI19" s="1447">
        <f t="shared" si="25"/>
        <v>-1</v>
      </c>
      <c r="BJ19" s="1448">
        <f t="shared" si="26"/>
        <v>-1</v>
      </c>
      <c r="BK19" s="1351">
        <f>BK21+BK24+BK27+BK30</f>
        <v>5193.1400000000003</v>
      </c>
      <c r="BL19" s="1450">
        <f>BL21+BL24+BL27+BL30</f>
        <v>5193.1400000000003</v>
      </c>
      <c r="BM19" s="1351">
        <f>BM21+BM24+BM27+BM30</f>
        <v>0</v>
      </c>
      <c r="BN19" s="1447">
        <f t="shared" si="27"/>
        <v>-1</v>
      </c>
      <c r="BO19" s="1448">
        <f t="shared" si="28"/>
        <v>-1</v>
      </c>
      <c r="BP19" s="1452">
        <f>BP21+BP24+BP27+BP30</f>
        <v>33276.362999999998</v>
      </c>
      <c r="BQ19" s="1450">
        <f>BQ21+BQ24+BQ27+BQ30</f>
        <v>33276.362999999998</v>
      </c>
      <c r="BR19" s="1351">
        <f>BR21+BR24+BR27+BR30</f>
        <v>33485.375</v>
      </c>
      <c r="BS19" s="1447">
        <f t="shared" si="3"/>
        <v>6.2810950824163658E-3</v>
      </c>
      <c r="BT19" s="1448">
        <f t="shared" si="4"/>
        <v>6.2810950824163658E-3</v>
      </c>
      <c r="BV19" s="1453"/>
    </row>
    <row r="20" spans="1:74" s="1391" customFormat="1" ht="15.75">
      <c r="A20" s="1454" t="s">
        <v>1454</v>
      </c>
      <c r="B20" s="1455"/>
      <c r="C20" s="1455"/>
      <c r="D20" s="1455"/>
      <c r="E20" s="1455"/>
      <c r="F20" s="1455"/>
      <c r="G20" s="1455"/>
      <c r="H20" s="1455"/>
      <c r="I20" s="1455"/>
      <c r="J20" s="1455"/>
      <c r="K20" s="1455"/>
      <c r="L20" s="1455"/>
      <c r="M20" s="1455"/>
      <c r="N20" s="1455"/>
      <c r="O20" s="1455"/>
      <c r="P20" s="1455"/>
      <c r="Q20" s="1455"/>
      <c r="R20" s="1455"/>
      <c r="S20" s="1455"/>
      <c r="T20" s="1455"/>
      <c r="U20" s="1455"/>
      <c r="V20" s="1455"/>
      <c r="W20" s="1455"/>
      <c r="X20" s="1455"/>
      <c r="Y20" s="1455"/>
      <c r="Z20" s="1455"/>
      <c r="AA20" s="1455"/>
      <c r="AB20" s="1455"/>
      <c r="AC20" s="1455"/>
      <c r="AD20" s="1455"/>
      <c r="AE20" s="1455"/>
      <c r="AF20" s="1455"/>
      <c r="AG20" s="1455"/>
      <c r="AH20" s="1455"/>
      <c r="AI20" s="1455"/>
      <c r="AJ20" s="1455"/>
      <c r="AK20" s="1455"/>
      <c r="AL20" s="1455"/>
      <c r="AM20" s="1455"/>
      <c r="AN20" s="1455"/>
      <c r="AO20" s="1455"/>
      <c r="AP20" s="1455"/>
      <c r="AQ20" s="1455"/>
      <c r="AR20" s="1455"/>
      <c r="AS20" s="1455"/>
      <c r="AT20" s="1455"/>
      <c r="AU20" s="1455"/>
      <c r="AV20" s="1455"/>
      <c r="AW20" s="1455"/>
      <c r="AX20" s="1455"/>
      <c r="AY20" s="1455"/>
      <c r="AZ20" s="1455"/>
      <c r="BA20" s="1455"/>
      <c r="BB20" s="1455"/>
      <c r="BC20" s="1455"/>
      <c r="BD20" s="1455"/>
      <c r="BE20" s="1455"/>
      <c r="BF20" s="1455"/>
      <c r="BG20" s="1455"/>
      <c r="BH20" s="1455"/>
      <c r="BI20" s="1455"/>
      <c r="BJ20" s="1455"/>
      <c r="BK20" s="1455"/>
      <c r="BL20" s="1455"/>
      <c r="BM20" s="1455"/>
      <c r="BN20" s="1455"/>
      <c r="BO20" s="1455"/>
      <c r="BP20" s="1455"/>
      <c r="BQ20" s="1455"/>
      <c r="BR20" s="1455"/>
      <c r="BS20" s="1455"/>
      <c r="BT20" s="1456"/>
      <c r="BV20" s="1457"/>
    </row>
    <row r="21" spans="1:74" s="1428" customFormat="1" ht="15.75">
      <c r="A21" s="1441" t="s">
        <v>1455</v>
      </c>
      <c r="B21" s="1442">
        <f t="shared" ref="B21:B34" si="31">I21+N21+S21+X21+AC21+AH21+AM21+AR21+AW21+BB21+BG21+BL21</f>
        <v>7770.76</v>
      </c>
      <c r="C21" s="1443">
        <v>4293.1189999999997</v>
      </c>
      <c r="D21" s="1444">
        <v>4293.1189999999997</v>
      </c>
      <c r="E21" s="1350">
        <v>4731.4160000000002</v>
      </c>
      <c r="F21" s="1445">
        <f t="shared" ref="F21:F36" si="32">IF(ISERR(E21/D21-1),0,E21/D21-1)</f>
        <v>0.10209290727790221</v>
      </c>
      <c r="G21" s="1446">
        <f t="shared" ref="G21:G36" si="33">IF(ISERR(E21/C21-1),0,E21/C21-1)</f>
        <v>0.10209290727790221</v>
      </c>
      <c r="H21" s="1350">
        <v>692.63800000000003</v>
      </c>
      <c r="I21" s="1458">
        <f>H21</f>
        <v>692.63800000000003</v>
      </c>
      <c r="J21" s="1350">
        <v>841.38800000000003</v>
      </c>
      <c r="K21" s="1447">
        <f t="shared" ref="K21:K36" si="34">IF(ISERR(J21/I21-1),0,J21/I21-1)</f>
        <v>0.21475864737424155</v>
      </c>
      <c r="L21" s="1448">
        <f t="shared" ref="L21:L36" si="35">IF(ISERR(J21/H21-1),0,J21/H21-1)</f>
        <v>0.21475864737424155</v>
      </c>
      <c r="M21" s="1350">
        <v>687.68299999999999</v>
      </c>
      <c r="N21" s="1458">
        <f>M21</f>
        <v>687.68299999999999</v>
      </c>
      <c r="O21" s="1350">
        <v>841.89099999999996</v>
      </c>
      <c r="P21" s="1447">
        <f t="shared" ref="P21:P36" si="36">IF(ISERR(O21/N21-1),0,O21/N21-1)</f>
        <v>0.22424285608339889</v>
      </c>
      <c r="Q21" s="1448">
        <f t="shared" ref="Q21:Q36" si="37">IF(ISERR(O21/M21-1),0,O21/M21-1)</f>
        <v>0.22424285608339889</v>
      </c>
      <c r="R21" s="1350">
        <v>635.99</v>
      </c>
      <c r="S21" s="1458">
        <f>R21</f>
        <v>635.99</v>
      </c>
      <c r="T21" s="1350">
        <v>727.79200000000003</v>
      </c>
      <c r="U21" s="1447">
        <f t="shared" ref="U21:U36" si="38">IF(ISERR(T21/S21-1),0,T21/S21-1)</f>
        <v>0.14434503687164901</v>
      </c>
      <c r="V21" s="1448">
        <f t="shared" ref="V21:V36" si="39">IF(ISERR(T21/R21-1),0,T21/R21-1)</f>
        <v>0.14434503687164901</v>
      </c>
      <c r="W21" s="1350">
        <v>680.59199999999998</v>
      </c>
      <c r="X21" s="1458">
        <f>W21</f>
        <v>680.59199999999998</v>
      </c>
      <c r="Y21" s="1350">
        <v>674.851</v>
      </c>
      <c r="Z21" s="1447">
        <f t="shared" ref="Z21:Z36" si="40">IF(ISERR(Y21/X21-1),0,Y21/X21-1)</f>
        <v>-8.4353033829371871E-3</v>
      </c>
      <c r="AA21" s="1448">
        <f t="shared" ref="AA21:AA36" si="41">IF(ISERR(Y21/W21-1),0,Y21/W21-1)</f>
        <v>-8.4353033829371871E-3</v>
      </c>
      <c r="AB21" s="1350">
        <v>620.27599999999995</v>
      </c>
      <c r="AC21" s="1458">
        <f>AB21</f>
        <v>620.27599999999995</v>
      </c>
      <c r="AD21" s="1350">
        <v>614.04700000000003</v>
      </c>
      <c r="AE21" s="1447">
        <f t="shared" ref="AE21:AE36" si="42">IF(ISERR(AD21/AC21-1),0,AD21/AC21-1)</f>
        <v>-1.0042303748653669E-2</v>
      </c>
      <c r="AF21" s="1448">
        <f t="shared" ref="AF21:AF36" si="43">IF(ISERR(AD21/AB21-1),0,AD21/AB21-1)</f>
        <v>-1.0042303748653669E-2</v>
      </c>
      <c r="AG21" s="1350">
        <v>477.93900000000002</v>
      </c>
      <c r="AH21" s="1458">
        <f>AG21</f>
        <v>477.93900000000002</v>
      </c>
      <c r="AI21" s="1350">
        <v>550.18299999999999</v>
      </c>
      <c r="AJ21" s="1447">
        <f t="shared" ref="AJ21:AJ36" si="44">IF(ISERR(AI21/AH21-1),0,AI21/AH21-1)</f>
        <v>0.15115736527046342</v>
      </c>
      <c r="AK21" s="1448">
        <f t="shared" ref="AK21:AK36" si="45">IF(ISERR(AI21/AG21-1),0,AI21/AG21-1)</f>
        <v>0.15115736527046342</v>
      </c>
      <c r="AL21" s="1350">
        <v>498.00099999999998</v>
      </c>
      <c r="AM21" s="1458">
        <f>AL21</f>
        <v>498.00099999999998</v>
      </c>
      <c r="AN21" s="1350">
        <v>481.26400000000001</v>
      </c>
      <c r="AO21" s="1447">
        <f t="shared" ref="AO21:AO36" si="46">IF(ISERR(AN21/AM21-1),0,AN21/AM21-1)</f>
        <v>-3.3608366248260468E-2</v>
      </c>
      <c r="AP21" s="1448">
        <f t="shared" ref="AP21:AP36" si="47">IF(ISERR(AN21/AL21-1),0,AN21/AL21-1)</f>
        <v>-3.3608366248260468E-2</v>
      </c>
      <c r="AQ21" s="1350">
        <v>548.05899999999997</v>
      </c>
      <c r="AR21" s="1458">
        <f>AQ21</f>
        <v>548.05899999999997</v>
      </c>
      <c r="AS21" s="1350">
        <f>'Отчёт СТС'!B21/1000</f>
        <v>448.01</v>
      </c>
      <c r="AT21" s="1447">
        <f t="shared" ref="AT21:AT36" si="48">IF(ISERR(AS21/AR21-1),0,AS21/AR21-1)</f>
        <v>-0.18255151361441013</v>
      </c>
      <c r="AU21" s="1448">
        <f t="shared" ref="AU21:AU36" si="49">IF(ISERR(AS21/AQ21-1),0,AS21/AQ21-1)</f>
        <v>-0.18255151361441013</v>
      </c>
      <c r="AV21" s="1350">
        <v>658.41</v>
      </c>
      <c r="AW21" s="1458">
        <f>AV21</f>
        <v>658.41</v>
      </c>
      <c r="AX21" s="1350"/>
      <c r="AY21" s="1447">
        <f t="shared" ref="AY21:AY36" si="50">IF(ISERR(AX21/AW21-1),0,AX21/AW21-1)</f>
        <v>-1</v>
      </c>
      <c r="AZ21" s="1448">
        <f t="shared" ref="AZ21:AZ36" si="51">IF(ISERR(AX21/AV21-1),0,AX21/AV21-1)</f>
        <v>-1</v>
      </c>
      <c r="BA21" s="1350">
        <v>772.93200000000002</v>
      </c>
      <c r="BB21" s="1458">
        <f>BA21</f>
        <v>772.93200000000002</v>
      </c>
      <c r="BC21" s="1350"/>
      <c r="BD21" s="1447">
        <f t="shared" ref="BD21:BD36" si="52">IF(ISERR(BC21/BB21-1),0,BC21/BB21-1)</f>
        <v>-1</v>
      </c>
      <c r="BE21" s="1448">
        <f t="shared" ref="BE21:BE36" si="53">IF(ISERR(BC21/BA21-1),0,BC21/BA21-1)</f>
        <v>-1</v>
      </c>
      <c r="BF21" s="1350">
        <v>751.53700000000003</v>
      </c>
      <c r="BG21" s="1458">
        <f>BF21</f>
        <v>751.53700000000003</v>
      </c>
      <c r="BH21" s="1350"/>
      <c r="BI21" s="1447">
        <f t="shared" ref="BI21:BI36" si="54">IF(ISERR(BH21/BG21-1),0,BH21/BG21-1)</f>
        <v>-1</v>
      </c>
      <c r="BJ21" s="1448">
        <f t="shared" ref="BJ21:BJ36" si="55">IF(ISERR(BH21/BF21-1),0,BH21/BF21-1)</f>
        <v>-1</v>
      </c>
      <c r="BK21" s="1350">
        <v>746.70299999999997</v>
      </c>
      <c r="BL21" s="1458">
        <f>BK21</f>
        <v>746.70299999999997</v>
      </c>
      <c r="BM21" s="1350"/>
      <c r="BN21" s="1447">
        <f t="shared" ref="BN21:BN36" si="56">IF(ISERR(BM21/BL21-1),0,BM21/BL21-1)</f>
        <v>-1</v>
      </c>
      <c r="BO21" s="1448">
        <f t="shared" ref="BO21:BO36" si="57">IF(ISERR(BM21/BK21-1),0,BM21/BK21-1)</f>
        <v>-1</v>
      </c>
      <c r="BP21" s="1443">
        <f t="shared" ref="BP21:BR29" si="58">C21+AQ21</f>
        <v>4841.1779999999999</v>
      </c>
      <c r="BQ21" s="1444">
        <f t="shared" si="58"/>
        <v>4841.1779999999999</v>
      </c>
      <c r="BR21" s="1350">
        <f t="shared" si="58"/>
        <v>5179.4260000000004</v>
      </c>
      <c r="BS21" s="1447">
        <f t="shared" ref="BS21:BS36" si="59">IF(ISERR(BR21/BQ21-1),0,BR21/BQ21-1)</f>
        <v>6.9868945120381998E-2</v>
      </c>
      <c r="BT21" s="1448">
        <f t="shared" ref="BT21:BT36" si="60">IF(ISERR(BR21/BP21-1),0,BR21/BP21-1)</f>
        <v>6.9868945120381998E-2</v>
      </c>
    </row>
    <row r="22" spans="1:74" s="1391" customFormat="1" ht="15.75">
      <c r="A22" s="1429" t="s">
        <v>1456</v>
      </c>
      <c r="B22" s="1430">
        <f t="shared" si="31"/>
        <v>313.2516</v>
      </c>
      <c r="C22" s="1431">
        <v>169.95160000000001</v>
      </c>
      <c r="D22" s="1432">
        <v>169.95160000000001</v>
      </c>
      <c r="E22" s="1348">
        <v>313.44169597852209</v>
      </c>
      <c r="F22" s="1433">
        <f t="shared" si="32"/>
        <v>0.84429976521858019</v>
      </c>
      <c r="G22" s="1434">
        <f t="shared" si="33"/>
        <v>0.84429976521858019</v>
      </c>
      <c r="H22" s="1348">
        <v>29.446000000000002</v>
      </c>
      <c r="I22" s="1459">
        <f t="shared" ref="I22:I29" si="61">H22</f>
        <v>29.446000000000002</v>
      </c>
      <c r="J22" s="1348">
        <v>45.444000000000003</v>
      </c>
      <c r="K22" s="1435">
        <f t="shared" si="34"/>
        <v>0.54329959926645377</v>
      </c>
      <c r="L22" s="1436">
        <f t="shared" si="35"/>
        <v>0.54329959926645377</v>
      </c>
      <c r="M22" s="1348">
        <v>33.756</v>
      </c>
      <c r="N22" s="1459">
        <f t="shared" ref="N22:N29" si="62">M22</f>
        <v>33.756</v>
      </c>
      <c r="O22" s="1348">
        <v>53.073</v>
      </c>
      <c r="P22" s="1435">
        <f t="shared" si="36"/>
        <v>0.57225382154283677</v>
      </c>
      <c r="Q22" s="1436">
        <f t="shared" si="37"/>
        <v>0.57225382154283677</v>
      </c>
      <c r="R22" s="1348">
        <v>25.631</v>
      </c>
      <c r="S22" s="1459">
        <f t="shared" ref="S22:S29" si="63">R22</f>
        <v>25.631</v>
      </c>
      <c r="T22" s="1348">
        <v>58.451000000000001</v>
      </c>
      <c r="U22" s="1435">
        <f t="shared" si="38"/>
        <v>1.2804806679411649</v>
      </c>
      <c r="V22" s="1436">
        <f t="shared" si="39"/>
        <v>1.2804806679411649</v>
      </c>
      <c r="W22" s="1348">
        <v>28.9056</v>
      </c>
      <c r="X22" s="1459">
        <f t="shared" ref="X22:X29" si="64">W22</f>
        <v>28.9056</v>
      </c>
      <c r="Y22" s="1348">
        <v>57.473999999999997</v>
      </c>
      <c r="Z22" s="1435">
        <f t="shared" si="40"/>
        <v>0.98833444038525387</v>
      </c>
      <c r="AA22" s="1436">
        <f t="shared" si="41"/>
        <v>0.98833444038525387</v>
      </c>
      <c r="AB22" s="1348">
        <v>20.859000000000002</v>
      </c>
      <c r="AC22" s="1459">
        <f t="shared" ref="AC22:AC29" si="65">AB22</f>
        <v>20.859000000000002</v>
      </c>
      <c r="AD22" s="1348">
        <v>46.48</v>
      </c>
      <c r="AE22" s="1435">
        <f t="shared" si="42"/>
        <v>1.2282947408792366</v>
      </c>
      <c r="AF22" s="1436">
        <f t="shared" si="43"/>
        <v>1.2282947408792366</v>
      </c>
      <c r="AG22" s="1348">
        <v>20.068000000000001</v>
      </c>
      <c r="AH22" s="1459">
        <f t="shared" ref="AH22:AH29" si="66">AG22</f>
        <v>20.068000000000001</v>
      </c>
      <c r="AI22" s="1348">
        <v>41.613</v>
      </c>
      <c r="AJ22" s="1435">
        <f t="shared" si="44"/>
        <v>1.0735997608132348</v>
      </c>
      <c r="AK22" s="1436">
        <f t="shared" si="45"/>
        <v>1.0735997608132348</v>
      </c>
      <c r="AL22" s="1348">
        <v>11.286</v>
      </c>
      <c r="AM22" s="1459">
        <f t="shared" ref="AM22:AM29" si="67">AL22</f>
        <v>11.286</v>
      </c>
      <c r="AN22" s="1348">
        <v>10.906695978522132</v>
      </c>
      <c r="AO22" s="1435">
        <f t="shared" si="46"/>
        <v>-3.3608366248260468E-2</v>
      </c>
      <c r="AP22" s="1436">
        <f t="shared" si="47"/>
        <v>-3.3608366248260468E-2</v>
      </c>
      <c r="AQ22" s="1348">
        <v>11.356</v>
      </c>
      <c r="AR22" s="1459">
        <f t="shared" ref="AR22:AR29" si="68">AQ22</f>
        <v>11.356</v>
      </c>
      <c r="AS22" s="1348">
        <f>'Отчёт СТС'!B22/1000</f>
        <v>121.251</v>
      </c>
      <c r="AT22" s="1435">
        <f t="shared" si="48"/>
        <v>9.6772631208171891</v>
      </c>
      <c r="AU22" s="1436">
        <f t="shared" si="49"/>
        <v>9.6772631208171891</v>
      </c>
      <c r="AV22" s="1348">
        <v>25.574000000000002</v>
      </c>
      <c r="AW22" s="1459">
        <f t="shared" ref="AW22:AW29" si="69">AV22</f>
        <v>25.574000000000002</v>
      </c>
      <c r="AX22" s="1348"/>
      <c r="AY22" s="1435">
        <f t="shared" si="50"/>
        <v>-1</v>
      </c>
      <c r="AZ22" s="1436">
        <f t="shared" si="51"/>
        <v>-1</v>
      </c>
      <c r="BA22" s="1348">
        <v>31.858000000000001</v>
      </c>
      <c r="BB22" s="1459">
        <f t="shared" ref="BB22:BB29" si="70">BA22</f>
        <v>31.858000000000001</v>
      </c>
      <c r="BC22" s="1348"/>
      <c r="BD22" s="1435">
        <f t="shared" si="52"/>
        <v>-1</v>
      </c>
      <c r="BE22" s="1436">
        <f t="shared" si="53"/>
        <v>-1</v>
      </c>
      <c r="BF22" s="1348">
        <v>35.889000000000003</v>
      </c>
      <c r="BG22" s="1459">
        <f t="shared" ref="BG22:BG29" si="71">BF22</f>
        <v>35.889000000000003</v>
      </c>
      <c r="BH22" s="1348"/>
      <c r="BI22" s="1435">
        <f t="shared" si="54"/>
        <v>-1</v>
      </c>
      <c r="BJ22" s="1436">
        <f t="shared" si="55"/>
        <v>-1</v>
      </c>
      <c r="BK22" s="1348">
        <v>38.622999999999998</v>
      </c>
      <c r="BL22" s="1459">
        <f t="shared" ref="BL22:BL29" si="72">BK22</f>
        <v>38.622999999999998</v>
      </c>
      <c r="BM22" s="1348"/>
      <c r="BN22" s="1435">
        <f t="shared" si="56"/>
        <v>-1</v>
      </c>
      <c r="BO22" s="1436">
        <f t="shared" si="57"/>
        <v>-1</v>
      </c>
      <c r="BP22" s="1431">
        <f t="shared" si="58"/>
        <v>181.30760000000001</v>
      </c>
      <c r="BQ22" s="1432">
        <f t="shared" si="58"/>
        <v>181.30760000000001</v>
      </c>
      <c r="BR22" s="1348">
        <f t="shared" si="58"/>
        <v>434.69269597852212</v>
      </c>
      <c r="BS22" s="1435">
        <f t="shared" si="59"/>
        <v>1.3975426070309358</v>
      </c>
      <c r="BT22" s="1436">
        <f t="shared" si="60"/>
        <v>1.3975426070309358</v>
      </c>
    </row>
    <row r="23" spans="1:74" s="1391" customFormat="1" ht="15.75">
      <c r="A23" s="1429" t="s">
        <v>1457</v>
      </c>
      <c r="B23" s="1430">
        <f t="shared" si="31"/>
        <v>265.541</v>
      </c>
      <c r="C23" s="1431">
        <v>150.74599999999998</v>
      </c>
      <c r="D23" s="1432">
        <v>150.74599999999998</v>
      </c>
      <c r="E23" s="1348">
        <v>137.82792503830314</v>
      </c>
      <c r="F23" s="1433">
        <f t="shared" si="32"/>
        <v>-8.5694313359537588E-2</v>
      </c>
      <c r="G23" s="1434">
        <f t="shared" si="33"/>
        <v>-8.5694313359537588E-2</v>
      </c>
      <c r="H23" s="1348">
        <v>27.672999999999998</v>
      </c>
      <c r="I23" s="1459">
        <f t="shared" si="61"/>
        <v>27.672999999999998</v>
      </c>
      <c r="J23" s="1348">
        <v>22.523</v>
      </c>
      <c r="K23" s="1435">
        <f t="shared" si="34"/>
        <v>-0.18610197665594619</v>
      </c>
      <c r="L23" s="1436">
        <f t="shared" si="35"/>
        <v>-0.18610197665594619</v>
      </c>
      <c r="M23" s="1348">
        <v>21.452999999999999</v>
      </c>
      <c r="N23" s="1459">
        <f t="shared" si="62"/>
        <v>21.452999999999999</v>
      </c>
      <c r="O23" s="1348">
        <v>22.585999999999999</v>
      </c>
      <c r="P23" s="1435">
        <f t="shared" si="36"/>
        <v>5.2813126369272378E-2</v>
      </c>
      <c r="Q23" s="1436">
        <f t="shared" si="37"/>
        <v>5.2813126369272378E-2</v>
      </c>
      <c r="R23" s="1348">
        <v>23.004000000000001</v>
      </c>
      <c r="S23" s="1459">
        <f t="shared" si="63"/>
        <v>23.004000000000001</v>
      </c>
      <c r="T23" s="1348">
        <v>18.957000000000001</v>
      </c>
      <c r="U23" s="1435">
        <f t="shared" si="38"/>
        <v>-0.17592592592592593</v>
      </c>
      <c r="V23" s="1436">
        <f t="shared" si="39"/>
        <v>-0.17592592592592593</v>
      </c>
      <c r="W23" s="1348">
        <v>25.542999999999999</v>
      </c>
      <c r="X23" s="1459">
        <f t="shared" si="64"/>
        <v>25.542999999999999</v>
      </c>
      <c r="Y23" s="1348">
        <v>19.224</v>
      </c>
      <c r="Z23" s="1435">
        <f t="shared" si="40"/>
        <v>-0.2473867595818815</v>
      </c>
      <c r="AA23" s="1436">
        <f t="shared" si="41"/>
        <v>-0.2473867595818815</v>
      </c>
      <c r="AB23" s="1348">
        <v>14.188000000000001</v>
      </c>
      <c r="AC23" s="1459">
        <f t="shared" si="65"/>
        <v>14.188000000000001</v>
      </c>
      <c r="AD23" s="1348">
        <v>23.523</v>
      </c>
      <c r="AE23" s="1435">
        <f t="shared" si="42"/>
        <v>0.65795038060332667</v>
      </c>
      <c r="AF23" s="1436">
        <f t="shared" si="43"/>
        <v>0.65795038060332667</v>
      </c>
      <c r="AG23" s="1348">
        <v>20.553999999999998</v>
      </c>
      <c r="AH23" s="1459">
        <f t="shared" si="66"/>
        <v>20.553999999999998</v>
      </c>
      <c r="AI23" s="1348">
        <v>13.3</v>
      </c>
      <c r="AJ23" s="1435">
        <f t="shared" si="44"/>
        <v>-0.35292400505984234</v>
      </c>
      <c r="AK23" s="1436">
        <f t="shared" si="45"/>
        <v>-0.35292400505984234</v>
      </c>
      <c r="AL23" s="1348">
        <v>18.331</v>
      </c>
      <c r="AM23" s="1459">
        <f t="shared" si="67"/>
        <v>18.331</v>
      </c>
      <c r="AN23" s="1348">
        <v>17.714925038303136</v>
      </c>
      <c r="AO23" s="1435">
        <f t="shared" si="46"/>
        <v>-3.3608366248260579E-2</v>
      </c>
      <c r="AP23" s="1436">
        <f t="shared" si="47"/>
        <v>-3.3608366248260579E-2</v>
      </c>
      <c r="AQ23" s="1348">
        <v>18.001000000000001</v>
      </c>
      <c r="AR23" s="1459">
        <f t="shared" si="68"/>
        <v>18.001000000000001</v>
      </c>
      <c r="AS23" s="1348">
        <f>'Отчёт СТС'!B23/1000</f>
        <v>15.093</v>
      </c>
      <c r="AT23" s="1435">
        <f t="shared" si="48"/>
        <v>-0.1615465807455142</v>
      </c>
      <c r="AU23" s="1436">
        <f t="shared" si="49"/>
        <v>-0.1615465807455142</v>
      </c>
      <c r="AV23" s="1348">
        <v>25.948</v>
      </c>
      <c r="AW23" s="1459">
        <f t="shared" si="69"/>
        <v>25.948</v>
      </c>
      <c r="AX23" s="1348"/>
      <c r="AY23" s="1435">
        <f t="shared" si="50"/>
        <v>-1</v>
      </c>
      <c r="AZ23" s="1436">
        <f t="shared" si="51"/>
        <v>-1</v>
      </c>
      <c r="BA23" s="1348">
        <v>22.151</v>
      </c>
      <c r="BB23" s="1459">
        <f t="shared" si="70"/>
        <v>22.151</v>
      </c>
      <c r="BC23" s="1348"/>
      <c r="BD23" s="1435">
        <f t="shared" si="52"/>
        <v>-1</v>
      </c>
      <c r="BE23" s="1436">
        <f t="shared" si="53"/>
        <v>-1</v>
      </c>
      <c r="BF23" s="1348">
        <v>23.917999999999999</v>
      </c>
      <c r="BG23" s="1459">
        <f t="shared" si="71"/>
        <v>23.917999999999999</v>
      </c>
      <c r="BH23" s="1348"/>
      <c r="BI23" s="1435">
        <f t="shared" si="54"/>
        <v>-1</v>
      </c>
      <c r="BJ23" s="1436">
        <f t="shared" si="55"/>
        <v>-1</v>
      </c>
      <c r="BK23" s="1348">
        <v>24.777000000000001</v>
      </c>
      <c r="BL23" s="1459">
        <f t="shared" si="72"/>
        <v>24.777000000000001</v>
      </c>
      <c r="BM23" s="1348"/>
      <c r="BN23" s="1435">
        <f t="shared" si="56"/>
        <v>-1</v>
      </c>
      <c r="BO23" s="1436">
        <f t="shared" si="57"/>
        <v>-1</v>
      </c>
      <c r="BP23" s="1431">
        <f t="shared" si="58"/>
        <v>168.74699999999999</v>
      </c>
      <c r="BQ23" s="1432">
        <f t="shared" si="58"/>
        <v>168.74699999999999</v>
      </c>
      <c r="BR23" s="1348">
        <f t="shared" si="58"/>
        <v>152.92092503830312</v>
      </c>
      <c r="BS23" s="1435">
        <f t="shared" si="59"/>
        <v>-9.3785815224548319E-2</v>
      </c>
      <c r="BT23" s="1436">
        <f t="shared" si="60"/>
        <v>-9.3785815224548319E-2</v>
      </c>
    </row>
    <row r="24" spans="1:74" s="1428" customFormat="1" ht="15.75">
      <c r="A24" s="1441" t="s">
        <v>1458</v>
      </c>
      <c r="B24" s="1442">
        <f t="shared" si="31"/>
        <v>12006.111000000001</v>
      </c>
      <c r="C24" s="1443">
        <v>6948.6669999999995</v>
      </c>
      <c r="D24" s="1444">
        <v>6948.6669999999995</v>
      </c>
      <c r="E24" s="1350">
        <v>6723.0319999999992</v>
      </c>
      <c r="F24" s="1445">
        <f t="shared" si="32"/>
        <v>-3.2471695650403198E-2</v>
      </c>
      <c r="G24" s="1446">
        <f t="shared" si="33"/>
        <v>-3.2471695650403198E-2</v>
      </c>
      <c r="H24" s="1350">
        <v>1225.7860000000001</v>
      </c>
      <c r="I24" s="1458">
        <f t="shared" si="61"/>
        <v>1225.7860000000001</v>
      </c>
      <c r="J24" s="1350">
        <v>1067.6859999999999</v>
      </c>
      <c r="K24" s="1447">
        <f t="shared" si="34"/>
        <v>-0.12897846769338217</v>
      </c>
      <c r="L24" s="1448">
        <f t="shared" si="35"/>
        <v>-0.12897846769338217</v>
      </c>
      <c r="M24" s="1350">
        <v>1226.297</v>
      </c>
      <c r="N24" s="1458">
        <f t="shared" si="62"/>
        <v>1226.297</v>
      </c>
      <c r="O24" s="1350">
        <v>1135.6110000000001</v>
      </c>
      <c r="P24" s="1447">
        <f t="shared" si="36"/>
        <v>-7.395109015189627E-2</v>
      </c>
      <c r="Q24" s="1448">
        <f t="shared" si="37"/>
        <v>-7.395109015189627E-2</v>
      </c>
      <c r="R24" s="1350">
        <v>976.78700000000003</v>
      </c>
      <c r="S24" s="1458">
        <f t="shared" si="63"/>
        <v>976.78700000000003</v>
      </c>
      <c r="T24" s="1350">
        <v>967.92399999999998</v>
      </c>
      <c r="U24" s="1447">
        <f t="shared" si="38"/>
        <v>-9.0736260822472659E-3</v>
      </c>
      <c r="V24" s="1448">
        <f t="shared" si="39"/>
        <v>-9.0736260822472659E-3</v>
      </c>
      <c r="W24" s="1350">
        <v>983.32899999999995</v>
      </c>
      <c r="X24" s="1458">
        <f t="shared" si="64"/>
        <v>983.32899999999995</v>
      </c>
      <c r="Y24" s="1350">
        <v>980.221</v>
      </c>
      <c r="Z24" s="1447">
        <f t="shared" si="40"/>
        <v>-3.1606918945743523E-3</v>
      </c>
      <c r="AA24" s="1448">
        <f t="shared" si="41"/>
        <v>-3.1606918945743523E-3</v>
      </c>
      <c r="AB24" s="1350">
        <v>878.61800000000005</v>
      </c>
      <c r="AC24" s="1458">
        <f t="shared" si="65"/>
        <v>878.61800000000005</v>
      </c>
      <c r="AD24" s="1350">
        <v>912.46799999999996</v>
      </c>
      <c r="AE24" s="1447">
        <f t="shared" si="42"/>
        <v>3.8526413071437116E-2</v>
      </c>
      <c r="AF24" s="1448">
        <f t="shared" si="43"/>
        <v>3.8526413071437116E-2</v>
      </c>
      <c r="AG24" s="1350">
        <v>873.22699999999998</v>
      </c>
      <c r="AH24" s="1458">
        <f t="shared" si="66"/>
        <v>873.22699999999998</v>
      </c>
      <c r="AI24" s="1350">
        <v>870.99800000000005</v>
      </c>
      <c r="AJ24" s="1447">
        <f t="shared" si="44"/>
        <v>-2.5526008701058922E-3</v>
      </c>
      <c r="AK24" s="1448">
        <f t="shared" si="45"/>
        <v>-2.5526008701058922E-3</v>
      </c>
      <c r="AL24" s="1350">
        <v>784.62300000000005</v>
      </c>
      <c r="AM24" s="1458">
        <f t="shared" si="67"/>
        <v>784.62300000000005</v>
      </c>
      <c r="AN24" s="1350">
        <v>788.12400000000002</v>
      </c>
      <c r="AO24" s="1447">
        <f t="shared" si="46"/>
        <v>4.4620155157317765E-3</v>
      </c>
      <c r="AP24" s="1448">
        <f t="shared" si="47"/>
        <v>4.4620155157317765E-3</v>
      </c>
      <c r="AQ24" s="1350">
        <v>769.64499999999998</v>
      </c>
      <c r="AR24" s="1458">
        <f t="shared" si="68"/>
        <v>769.64499999999998</v>
      </c>
      <c r="AS24" s="1350">
        <f>'Отчёт СТС'!B24/1000</f>
        <v>1734.0229999999999</v>
      </c>
      <c r="AT24" s="1447">
        <f t="shared" si="48"/>
        <v>1.2530166505336875</v>
      </c>
      <c r="AU24" s="1448">
        <f t="shared" si="49"/>
        <v>1.2530166505336875</v>
      </c>
      <c r="AV24" s="1350">
        <v>969.26499999999999</v>
      </c>
      <c r="AW24" s="1458">
        <f t="shared" si="69"/>
        <v>969.26499999999999</v>
      </c>
      <c r="AX24" s="1350"/>
      <c r="AY24" s="1447">
        <f t="shared" si="50"/>
        <v>-1</v>
      </c>
      <c r="AZ24" s="1448">
        <f t="shared" si="51"/>
        <v>-1</v>
      </c>
      <c r="BA24" s="1350">
        <v>1032.2929999999999</v>
      </c>
      <c r="BB24" s="1458">
        <f t="shared" si="70"/>
        <v>1032.2929999999999</v>
      </c>
      <c r="BC24" s="1350"/>
      <c r="BD24" s="1447">
        <f t="shared" si="52"/>
        <v>-1</v>
      </c>
      <c r="BE24" s="1448">
        <f t="shared" si="53"/>
        <v>-1</v>
      </c>
      <c r="BF24" s="1350">
        <v>1163.8800000000001</v>
      </c>
      <c r="BG24" s="1458">
        <f t="shared" si="71"/>
        <v>1163.8800000000001</v>
      </c>
      <c r="BH24" s="1350"/>
      <c r="BI24" s="1447">
        <f t="shared" si="54"/>
        <v>-1</v>
      </c>
      <c r="BJ24" s="1448">
        <f t="shared" si="55"/>
        <v>-1</v>
      </c>
      <c r="BK24" s="1350">
        <v>1122.3610000000001</v>
      </c>
      <c r="BL24" s="1458">
        <f t="shared" si="72"/>
        <v>1122.3610000000001</v>
      </c>
      <c r="BM24" s="1350"/>
      <c r="BN24" s="1447">
        <f t="shared" si="56"/>
        <v>-1</v>
      </c>
      <c r="BO24" s="1448">
        <f t="shared" si="57"/>
        <v>-1</v>
      </c>
      <c r="BP24" s="1443">
        <f t="shared" si="58"/>
        <v>7718.3119999999999</v>
      </c>
      <c r="BQ24" s="1444">
        <f t="shared" si="58"/>
        <v>7718.3119999999999</v>
      </c>
      <c r="BR24" s="1350">
        <f t="shared" si="58"/>
        <v>8457.0549999999985</v>
      </c>
      <c r="BS24" s="1447">
        <f t="shared" si="59"/>
        <v>9.5713026371569088E-2</v>
      </c>
      <c r="BT24" s="1448">
        <f t="shared" si="60"/>
        <v>9.5713026371569088E-2</v>
      </c>
    </row>
    <row r="25" spans="1:74" s="1391" customFormat="1" ht="15.75">
      <c r="A25" s="1429" t="s">
        <v>1456</v>
      </c>
      <c r="B25" s="1430">
        <f t="shared" si="31"/>
        <v>3455.6939999999995</v>
      </c>
      <c r="C25" s="1431">
        <v>1923.2869999999998</v>
      </c>
      <c r="D25" s="1432">
        <v>1923.2869999999998</v>
      </c>
      <c r="E25" s="1348">
        <v>1984.8447668702038</v>
      </c>
      <c r="F25" s="1433">
        <f t="shared" si="32"/>
        <v>3.2006542377816638E-2</v>
      </c>
      <c r="G25" s="1434">
        <f t="shared" si="33"/>
        <v>3.2006542377816638E-2</v>
      </c>
      <c r="H25" s="1348">
        <v>336.47199999999998</v>
      </c>
      <c r="I25" s="1459">
        <f t="shared" si="61"/>
        <v>336.47199999999998</v>
      </c>
      <c r="J25" s="1348">
        <v>354.82900000000001</v>
      </c>
      <c r="K25" s="1435">
        <f t="shared" si="34"/>
        <v>5.4557288570817208E-2</v>
      </c>
      <c r="L25" s="1436">
        <f t="shared" si="35"/>
        <v>5.4557288570817208E-2</v>
      </c>
      <c r="M25" s="1348">
        <v>337.17700000000002</v>
      </c>
      <c r="N25" s="1459">
        <f t="shared" si="62"/>
        <v>337.17700000000002</v>
      </c>
      <c r="O25" s="1348">
        <v>370.78100000000001</v>
      </c>
      <c r="P25" s="1435">
        <f t="shared" si="36"/>
        <v>9.9662788387108181E-2</v>
      </c>
      <c r="Q25" s="1436">
        <f t="shared" si="37"/>
        <v>9.9662788387108181E-2</v>
      </c>
      <c r="R25" s="1348">
        <v>293.27800000000002</v>
      </c>
      <c r="S25" s="1459">
        <f t="shared" si="63"/>
        <v>293.27800000000002</v>
      </c>
      <c r="T25" s="1348">
        <v>271.60599999999999</v>
      </c>
      <c r="U25" s="1435">
        <f t="shared" si="38"/>
        <v>-7.3895757608821722E-2</v>
      </c>
      <c r="V25" s="1436">
        <f t="shared" si="39"/>
        <v>-7.3895757608821722E-2</v>
      </c>
      <c r="W25" s="1348">
        <v>307.93099999999998</v>
      </c>
      <c r="X25" s="1459">
        <f t="shared" si="64"/>
        <v>307.93099999999998</v>
      </c>
      <c r="Y25" s="1348">
        <v>315.02999999999997</v>
      </c>
      <c r="Z25" s="1435">
        <f t="shared" si="40"/>
        <v>2.3053865963478692E-2</v>
      </c>
      <c r="AA25" s="1436">
        <f t="shared" si="41"/>
        <v>2.3053865963478692E-2</v>
      </c>
      <c r="AB25" s="1348">
        <v>256.38</v>
      </c>
      <c r="AC25" s="1459">
        <f t="shared" si="65"/>
        <v>256.38</v>
      </c>
      <c r="AD25" s="1348">
        <v>255.428</v>
      </c>
      <c r="AE25" s="1435">
        <f t="shared" si="42"/>
        <v>-3.7132381621031163E-3</v>
      </c>
      <c r="AF25" s="1436">
        <f t="shared" si="43"/>
        <v>-3.7132381621031163E-3</v>
      </c>
      <c r="AG25" s="1348">
        <v>224.464</v>
      </c>
      <c r="AH25" s="1459">
        <f t="shared" si="66"/>
        <v>224.464</v>
      </c>
      <c r="AI25" s="1348">
        <v>248.83799999999999</v>
      </c>
      <c r="AJ25" s="1435">
        <f t="shared" si="44"/>
        <v>0.10858756860788366</v>
      </c>
      <c r="AK25" s="1436">
        <f t="shared" si="45"/>
        <v>0.10858756860788366</v>
      </c>
      <c r="AL25" s="1348">
        <v>167.58500000000001</v>
      </c>
      <c r="AM25" s="1459">
        <f t="shared" si="67"/>
        <v>167.58500000000001</v>
      </c>
      <c r="AN25" s="1348">
        <v>168.3327668702039</v>
      </c>
      <c r="AO25" s="1435">
        <f t="shared" si="46"/>
        <v>4.4620155157315544E-3</v>
      </c>
      <c r="AP25" s="1436">
        <f t="shared" si="47"/>
        <v>4.4620155157315544E-3</v>
      </c>
      <c r="AQ25" s="1348">
        <v>149.34200000000001</v>
      </c>
      <c r="AR25" s="1459">
        <f t="shared" si="68"/>
        <v>149.34200000000001</v>
      </c>
      <c r="AS25" s="1348">
        <f>'Отчёт СТС'!B25/1000</f>
        <v>155.845</v>
      </c>
      <c r="AT25" s="1435">
        <f t="shared" si="48"/>
        <v>4.3544347872668032E-2</v>
      </c>
      <c r="AU25" s="1436">
        <f t="shared" si="49"/>
        <v>4.3544347872668032E-2</v>
      </c>
      <c r="AV25" s="1348">
        <v>297.68700000000001</v>
      </c>
      <c r="AW25" s="1459">
        <f t="shared" si="69"/>
        <v>297.68700000000001</v>
      </c>
      <c r="AX25" s="1348"/>
      <c r="AY25" s="1435">
        <f t="shared" si="50"/>
        <v>-1</v>
      </c>
      <c r="AZ25" s="1436">
        <f t="shared" si="51"/>
        <v>-1</v>
      </c>
      <c r="BA25" s="1348">
        <v>337.24099999999999</v>
      </c>
      <c r="BB25" s="1459">
        <f t="shared" si="70"/>
        <v>337.24099999999999</v>
      </c>
      <c r="BC25" s="1348"/>
      <c r="BD25" s="1435">
        <f t="shared" si="52"/>
        <v>-1</v>
      </c>
      <c r="BE25" s="1436">
        <f t="shared" si="53"/>
        <v>-1</v>
      </c>
      <c r="BF25" s="1348">
        <v>374.173</v>
      </c>
      <c r="BG25" s="1459">
        <f t="shared" si="71"/>
        <v>374.173</v>
      </c>
      <c r="BH25" s="1348"/>
      <c r="BI25" s="1435">
        <f t="shared" si="54"/>
        <v>-1</v>
      </c>
      <c r="BJ25" s="1436">
        <f t="shared" si="55"/>
        <v>-1</v>
      </c>
      <c r="BK25" s="1348">
        <v>373.964</v>
      </c>
      <c r="BL25" s="1459">
        <f t="shared" si="72"/>
        <v>373.964</v>
      </c>
      <c r="BM25" s="1348"/>
      <c r="BN25" s="1435">
        <f t="shared" si="56"/>
        <v>-1</v>
      </c>
      <c r="BO25" s="1436">
        <f t="shared" si="57"/>
        <v>-1</v>
      </c>
      <c r="BP25" s="1431">
        <f t="shared" si="58"/>
        <v>2072.6289999999999</v>
      </c>
      <c r="BQ25" s="1432">
        <f t="shared" si="58"/>
        <v>2072.6289999999999</v>
      </c>
      <c r="BR25" s="1348">
        <f t="shared" si="58"/>
        <v>2140.6897668702036</v>
      </c>
      <c r="BS25" s="1435">
        <f t="shared" si="59"/>
        <v>3.2837891812863562E-2</v>
      </c>
      <c r="BT25" s="1436">
        <f t="shared" si="60"/>
        <v>3.2837891812863562E-2</v>
      </c>
    </row>
    <row r="26" spans="1:74" s="1391" customFormat="1" ht="15.75">
      <c r="A26" s="1429" t="s">
        <v>1457</v>
      </c>
      <c r="B26" s="1430">
        <f t="shared" si="31"/>
        <v>6195.0829999999996</v>
      </c>
      <c r="C26" s="1431">
        <v>3575.953</v>
      </c>
      <c r="D26" s="1432">
        <v>3575.953</v>
      </c>
      <c r="E26" s="1348">
        <v>3453.1490820177332</v>
      </c>
      <c r="F26" s="1433">
        <f t="shared" si="32"/>
        <v>-3.4341591732963694E-2</v>
      </c>
      <c r="G26" s="1434">
        <f t="shared" si="33"/>
        <v>-3.4341591732963694E-2</v>
      </c>
      <c r="H26" s="1348">
        <v>572.09799999999996</v>
      </c>
      <c r="I26" s="1459">
        <f t="shared" si="61"/>
        <v>572.09799999999996</v>
      </c>
      <c r="J26" s="1348">
        <v>498.99200000000002</v>
      </c>
      <c r="K26" s="1435">
        <f t="shared" si="34"/>
        <v>-0.12778579893654574</v>
      </c>
      <c r="L26" s="1436">
        <f t="shared" si="35"/>
        <v>-0.12778579893654574</v>
      </c>
      <c r="M26" s="1348">
        <v>573.13499999999999</v>
      </c>
      <c r="N26" s="1459">
        <f t="shared" si="62"/>
        <v>573.13499999999999</v>
      </c>
      <c r="O26" s="1348">
        <v>546.39599999999996</v>
      </c>
      <c r="P26" s="1435">
        <f t="shared" si="36"/>
        <v>-4.6653929702426211E-2</v>
      </c>
      <c r="Q26" s="1436">
        <f t="shared" si="37"/>
        <v>-4.6653929702426211E-2</v>
      </c>
      <c r="R26" s="1348">
        <v>534.755</v>
      </c>
      <c r="S26" s="1459">
        <f t="shared" si="63"/>
        <v>534.755</v>
      </c>
      <c r="T26" s="1348">
        <v>518.15099999999995</v>
      </c>
      <c r="U26" s="1435">
        <f t="shared" si="38"/>
        <v>-3.1049733055324436E-2</v>
      </c>
      <c r="V26" s="1436">
        <f t="shared" si="39"/>
        <v>-3.1049733055324436E-2</v>
      </c>
      <c r="W26" s="1348">
        <v>502.815</v>
      </c>
      <c r="X26" s="1459">
        <f t="shared" si="64"/>
        <v>502.815</v>
      </c>
      <c r="Y26" s="1348">
        <v>480.35500000000002</v>
      </c>
      <c r="Z26" s="1435">
        <f t="shared" si="40"/>
        <v>-4.4668516253492774E-2</v>
      </c>
      <c r="AA26" s="1436">
        <f t="shared" si="41"/>
        <v>-4.4668516253492774E-2</v>
      </c>
      <c r="AB26" s="1348">
        <v>472.36700000000002</v>
      </c>
      <c r="AC26" s="1459">
        <f t="shared" si="65"/>
        <v>472.36700000000002</v>
      </c>
      <c r="AD26" s="1348">
        <v>511.81400000000002</v>
      </c>
      <c r="AE26" s="1435">
        <f t="shared" si="42"/>
        <v>8.3509220584841781E-2</v>
      </c>
      <c r="AF26" s="1436">
        <f t="shared" si="43"/>
        <v>8.3509220584841781E-2</v>
      </c>
      <c r="AG26" s="1348">
        <v>471.19200000000001</v>
      </c>
      <c r="AH26" s="1459">
        <f t="shared" si="66"/>
        <v>471.19200000000001</v>
      </c>
      <c r="AI26" s="1348">
        <v>445.84399999999999</v>
      </c>
      <c r="AJ26" s="1435">
        <f t="shared" si="44"/>
        <v>-5.3795480398648565E-2</v>
      </c>
      <c r="AK26" s="1436">
        <f t="shared" si="45"/>
        <v>-5.3795480398648565E-2</v>
      </c>
      <c r="AL26" s="1348">
        <v>449.59100000000001</v>
      </c>
      <c r="AM26" s="1459">
        <f t="shared" si="67"/>
        <v>449.59100000000001</v>
      </c>
      <c r="AN26" s="1348">
        <v>451.59708201773333</v>
      </c>
      <c r="AO26" s="1435">
        <f t="shared" si="46"/>
        <v>4.4620155157317765E-3</v>
      </c>
      <c r="AP26" s="1436">
        <f t="shared" si="47"/>
        <v>4.4620155157317765E-3</v>
      </c>
      <c r="AQ26" s="1348">
        <v>461.78199999999998</v>
      </c>
      <c r="AR26" s="1459">
        <f t="shared" si="68"/>
        <v>461.78199999999998</v>
      </c>
      <c r="AS26" s="1348">
        <f>'Отчёт СТС'!B26/1000</f>
        <v>1443.0070000000001</v>
      </c>
      <c r="AT26" s="1435">
        <f t="shared" si="48"/>
        <v>2.1248662788935042</v>
      </c>
      <c r="AU26" s="1436">
        <f t="shared" si="49"/>
        <v>2.1248662788935042</v>
      </c>
      <c r="AV26" s="1348">
        <v>480.42099999999999</v>
      </c>
      <c r="AW26" s="1459">
        <f t="shared" si="69"/>
        <v>480.42099999999999</v>
      </c>
      <c r="AX26" s="1348"/>
      <c r="AY26" s="1435">
        <f t="shared" si="50"/>
        <v>-1</v>
      </c>
      <c r="AZ26" s="1436">
        <f t="shared" si="51"/>
        <v>-1</v>
      </c>
      <c r="BA26" s="1348">
        <v>510.73700000000002</v>
      </c>
      <c r="BB26" s="1459">
        <f t="shared" si="70"/>
        <v>510.73700000000002</v>
      </c>
      <c r="BC26" s="1348"/>
      <c r="BD26" s="1435">
        <f t="shared" si="52"/>
        <v>-1</v>
      </c>
      <c r="BE26" s="1436">
        <f t="shared" si="53"/>
        <v>-1</v>
      </c>
      <c r="BF26" s="1348">
        <v>605.94100000000003</v>
      </c>
      <c r="BG26" s="1459">
        <f t="shared" si="71"/>
        <v>605.94100000000003</v>
      </c>
      <c r="BH26" s="1348"/>
      <c r="BI26" s="1435">
        <f t="shared" si="54"/>
        <v>-1</v>
      </c>
      <c r="BJ26" s="1436">
        <f t="shared" si="55"/>
        <v>-1</v>
      </c>
      <c r="BK26" s="1348">
        <v>560.24900000000002</v>
      </c>
      <c r="BL26" s="1459">
        <f t="shared" si="72"/>
        <v>560.24900000000002</v>
      </c>
      <c r="BM26" s="1348"/>
      <c r="BN26" s="1435">
        <f t="shared" si="56"/>
        <v>-1</v>
      </c>
      <c r="BO26" s="1436">
        <f t="shared" si="57"/>
        <v>-1</v>
      </c>
      <c r="BP26" s="1431">
        <f t="shared" si="58"/>
        <v>4037.7350000000001</v>
      </c>
      <c r="BQ26" s="1432">
        <f t="shared" si="58"/>
        <v>4037.7350000000001</v>
      </c>
      <c r="BR26" s="1348">
        <f t="shared" si="58"/>
        <v>4896.1560820177328</v>
      </c>
      <c r="BS26" s="1435">
        <f t="shared" si="59"/>
        <v>0.21259965847628259</v>
      </c>
      <c r="BT26" s="1436">
        <f t="shared" si="60"/>
        <v>0.21259965847628259</v>
      </c>
    </row>
    <row r="27" spans="1:74" s="1428" customFormat="1" ht="15.75">
      <c r="A27" s="1441" t="s">
        <v>1503</v>
      </c>
      <c r="B27" s="1442">
        <f t="shared" si="31"/>
        <v>33067.672999999995</v>
      </c>
      <c r="C27" s="1443">
        <v>18201.261999999995</v>
      </c>
      <c r="D27" s="1444">
        <v>18201.261999999995</v>
      </c>
      <c r="E27" s="1350">
        <v>17868.619000000002</v>
      </c>
      <c r="F27" s="1445">
        <f t="shared" si="32"/>
        <v>-1.827582065463329E-2</v>
      </c>
      <c r="G27" s="1446">
        <f t="shared" si="33"/>
        <v>-1.827582065463329E-2</v>
      </c>
      <c r="H27" s="1350">
        <v>3070.5239999999999</v>
      </c>
      <c r="I27" s="1458">
        <f t="shared" si="61"/>
        <v>3070.5239999999999</v>
      </c>
      <c r="J27" s="1350">
        <v>3013.1060000000002</v>
      </c>
      <c r="K27" s="1447">
        <f t="shared" si="34"/>
        <v>-1.8699739848963781E-2</v>
      </c>
      <c r="L27" s="1448">
        <f t="shared" si="35"/>
        <v>-1.8699739848963781E-2</v>
      </c>
      <c r="M27" s="1350">
        <v>3188.2979999999998</v>
      </c>
      <c r="N27" s="1458">
        <f t="shared" si="62"/>
        <v>3188.2979999999998</v>
      </c>
      <c r="O27" s="1350">
        <v>3040.4459999999999</v>
      </c>
      <c r="P27" s="1447">
        <f t="shared" si="36"/>
        <v>-4.6373331476543211E-2</v>
      </c>
      <c r="Q27" s="1448">
        <f t="shared" si="37"/>
        <v>-4.6373331476543211E-2</v>
      </c>
      <c r="R27" s="1350">
        <v>2658.8119999999999</v>
      </c>
      <c r="S27" s="1458">
        <f t="shared" si="63"/>
        <v>2658.8119999999999</v>
      </c>
      <c r="T27" s="1350">
        <v>2734.6280000000002</v>
      </c>
      <c r="U27" s="1447">
        <f t="shared" si="38"/>
        <v>2.8514990905712967E-2</v>
      </c>
      <c r="V27" s="1448">
        <f t="shared" si="39"/>
        <v>2.8514990905712967E-2</v>
      </c>
      <c r="W27" s="1350">
        <v>2849.0250000000001</v>
      </c>
      <c r="X27" s="1458">
        <f t="shared" si="64"/>
        <v>2849.0250000000001</v>
      </c>
      <c r="Y27" s="1350">
        <v>2860.2620000000002</v>
      </c>
      <c r="Z27" s="1447">
        <f t="shared" si="40"/>
        <v>3.9441563341844343E-3</v>
      </c>
      <c r="AA27" s="1448">
        <f t="shared" si="41"/>
        <v>3.9441563341844343E-3</v>
      </c>
      <c r="AB27" s="1350">
        <v>2375.1210000000001</v>
      </c>
      <c r="AC27" s="1458">
        <f t="shared" si="65"/>
        <v>2375.1210000000001</v>
      </c>
      <c r="AD27" s="1350">
        <v>2448.723</v>
      </c>
      <c r="AE27" s="1447">
        <f t="shared" si="42"/>
        <v>3.0988736994873145E-2</v>
      </c>
      <c r="AF27" s="1448">
        <f t="shared" si="43"/>
        <v>3.0988736994873145E-2</v>
      </c>
      <c r="AG27" s="1350">
        <v>2353.17</v>
      </c>
      <c r="AH27" s="1458">
        <f t="shared" si="66"/>
        <v>2353.17</v>
      </c>
      <c r="AI27" s="1350">
        <v>2137.2020000000002</v>
      </c>
      <c r="AJ27" s="1447">
        <f t="shared" si="44"/>
        <v>-9.1777474640591161E-2</v>
      </c>
      <c r="AK27" s="1448">
        <f t="shared" si="45"/>
        <v>-9.1777474640591161E-2</v>
      </c>
      <c r="AL27" s="1350">
        <v>1706.3119999999999</v>
      </c>
      <c r="AM27" s="1458">
        <f t="shared" si="67"/>
        <v>1706.3119999999999</v>
      </c>
      <c r="AN27" s="1350">
        <v>1634.252</v>
      </c>
      <c r="AO27" s="1447">
        <f t="shared" si="46"/>
        <v>-4.2231432469560071E-2</v>
      </c>
      <c r="AP27" s="1448">
        <f t="shared" si="47"/>
        <v>-4.2231432469560071E-2</v>
      </c>
      <c r="AQ27" s="1350">
        <f>1774.339+741.272</f>
        <v>2515.6109999999999</v>
      </c>
      <c r="AR27" s="1458">
        <f t="shared" si="68"/>
        <v>2515.6109999999999</v>
      </c>
      <c r="AS27" s="1350">
        <f>'Отчёт СТС'!B27/1000</f>
        <v>1980.2750000000001</v>
      </c>
      <c r="AT27" s="1447">
        <f t="shared" si="48"/>
        <v>-0.21280555697999404</v>
      </c>
      <c r="AU27" s="1448">
        <f t="shared" si="49"/>
        <v>-0.21280555697999404</v>
      </c>
      <c r="AV27" s="1350">
        <v>2694.41</v>
      </c>
      <c r="AW27" s="1458">
        <f t="shared" si="69"/>
        <v>2694.41</v>
      </c>
      <c r="AX27" s="1350"/>
      <c r="AY27" s="1447">
        <f t="shared" si="50"/>
        <v>-1</v>
      </c>
      <c r="AZ27" s="1448">
        <f t="shared" si="51"/>
        <v>-1</v>
      </c>
      <c r="BA27" s="1350">
        <v>3019.0830000000001</v>
      </c>
      <c r="BB27" s="1458">
        <f t="shared" si="70"/>
        <v>3019.0830000000001</v>
      </c>
      <c r="BC27" s="1350"/>
      <c r="BD27" s="1447">
        <f t="shared" si="52"/>
        <v>-1</v>
      </c>
      <c r="BE27" s="1448">
        <f t="shared" si="53"/>
        <v>-1</v>
      </c>
      <c r="BF27" s="1350">
        <v>3313.2310000000002</v>
      </c>
      <c r="BG27" s="1458">
        <f t="shared" si="71"/>
        <v>3313.2310000000002</v>
      </c>
      <c r="BH27" s="1350"/>
      <c r="BI27" s="1447">
        <f t="shared" si="54"/>
        <v>-1</v>
      </c>
      <c r="BJ27" s="1448">
        <f t="shared" si="55"/>
        <v>-1</v>
      </c>
      <c r="BK27" s="1350">
        <v>3324.076</v>
      </c>
      <c r="BL27" s="1458">
        <f t="shared" si="72"/>
        <v>3324.076</v>
      </c>
      <c r="BM27" s="1350"/>
      <c r="BN27" s="1447">
        <f t="shared" si="56"/>
        <v>-1</v>
      </c>
      <c r="BO27" s="1448">
        <f t="shared" si="57"/>
        <v>-1</v>
      </c>
      <c r="BP27" s="1443">
        <f t="shared" si="58"/>
        <v>20716.872999999996</v>
      </c>
      <c r="BQ27" s="1444">
        <f t="shared" si="58"/>
        <v>20716.872999999996</v>
      </c>
      <c r="BR27" s="1350">
        <f t="shared" si="58"/>
        <v>19848.894000000004</v>
      </c>
      <c r="BS27" s="1447">
        <f t="shared" si="59"/>
        <v>-4.1897201377833038E-2</v>
      </c>
      <c r="BT27" s="1448">
        <f t="shared" si="60"/>
        <v>-4.1897201377833038E-2</v>
      </c>
    </row>
    <row r="28" spans="1:74" s="1391" customFormat="1" ht="15.75">
      <c r="A28" s="1429" t="s">
        <v>1456</v>
      </c>
      <c r="B28" s="1430">
        <f t="shared" si="31"/>
        <v>20731.449999999997</v>
      </c>
      <c r="C28" s="1431">
        <v>11566.727000000001</v>
      </c>
      <c r="D28" s="1432">
        <v>11566.727000000001</v>
      </c>
      <c r="E28" s="1348">
        <v>9702.5286885915357</v>
      </c>
      <c r="F28" s="1433">
        <f t="shared" si="32"/>
        <v>-0.16116904215068484</v>
      </c>
      <c r="G28" s="1434">
        <f t="shared" si="33"/>
        <v>-0.16116904215068484</v>
      </c>
      <c r="H28" s="1348">
        <f>318.876+1634.663</f>
        <v>1953.539</v>
      </c>
      <c r="I28" s="1459">
        <f t="shared" si="61"/>
        <v>1953.539</v>
      </c>
      <c r="J28" s="1348">
        <v>1880.971</v>
      </c>
      <c r="K28" s="1435">
        <f t="shared" si="34"/>
        <v>-3.7146942036990316E-2</v>
      </c>
      <c r="L28" s="1436">
        <f t="shared" si="35"/>
        <v>-3.7146942036990316E-2</v>
      </c>
      <c r="M28" s="1348">
        <v>2054.5819999999999</v>
      </c>
      <c r="N28" s="1459">
        <f t="shared" si="62"/>
        <v>2054.5819999999999</v>
      </c>
      <c r="O28" s="1348">
        <f>320.948+1585.305</f>
        <v>1906.2530000000002</v>
      </c>
      <c r="P28" s="1435">
        <f t="shared" si="36"/>
        <v>-7.2194246810299956E-2</v>
      </c>
      <c r="Q28" s="1436">
        <f t="shared" si="37"/>
        <v>-7.2194246810299956E-2</v>
      </c>
      <c r="R28" s="1348">
        <f>262.425+1464.61</f>
        <v>1727.0349999999999</v>
      </c>
      <c r="S28" s="1459">
        <f t="shared" si="63"/>
        <v>1727.0349999999999</v>
      </c>
      <c r="T28" s="1348">
        <f>281.448+1520.339</f>
        <v>1801.7869999999998</v>
      </c>
      <c r="U28" s="1435">
        <f t="shared" si="38"/>
        <v>4.3283430851140725E-2</v>
      </c>
      <c r="V28" s="1436">
        <f t="shared" si="39"/>
        <v>4.3283430851140725E-2</v>
      </c>
      <c r="W28" s="1348">
        <f>305.731+1544.463</f>
        <v>1850.194</v>
      </c>
      <c r="X28" s="1459">
        <f t="shared" si="64"/>
        <v>1850.194</v>
      </c>
      <c r="Y28" s="1348">
        <v>308.79399999999998</v>
      </c>
      <c r="Z28" s="1435">
        <f t="shared" si="40"/>
        <v>-0.83310182607877881</v>
      </c>
      <c r="AA28" s="1436">
        <f t="shared" si="41"/>
        <v>-0.83310182607877881</v>
      </c>
      <c r="AB28" s="1348">
        <v>1602.5230000000001</v>
      </c>
      <c r="AC28" s="1459">
        <f t="shared" si="65"/>
        <v>1602.5230000000001</v>
      </c>
      <c r="AD28" s="1348">
        <f>264.814+1384.871</f>
        <v>1649.6850000000002</v>
      </c>
      <c r="AE28" s="1435">
        <f t="shared" si="42"/>
        <v>2.9429842816608653E-2</v>
      </c>
      <c r="AF28" s="1436">
        <f t="shared" si="43"/>
        <v>2.9429842816608653E-2</v>
      </c>
      <c r="AG28" s="1348">
        <f>256.996+1244.542</f>
        <v>1501.538</v>
      </c>
      <c r="AH28" s="1459">
        <f t="shared" si="66"/>
        <v>1501.538</v>
      </c>
      <c r="AI28" s="1348">
        <f>141.322+1173.451</f>
        <v>1314.7730000000001</v>
      </c>
      <c r="AJ28" s="1435">
        <f t="shared" si="44"/>
        <v>-0.12438246651100393</v>
      </c>
      <c r="AK28" s="1436">
        <f t="shared" si="45"/>
        <v>-0.12438246651100393</v>
      </c>
      <c r="AL28" s="1348">
        <f>74.583+802.733</f>
        <v>877.31599999999992</v>
      </c>
      <c r="AM28" s="1459">
        <f t="shared" si="67"/>
        <v>877.31599999999992</v>
      </c>
      <c r="AN28" s="1348">
        <v>840.26568859153531</v>
      </c>
      <c r="AO28" s="1435">
        <f t="shared" si="46"/>
        <v>-4.2231432469560182E-2</v>
      </c>
      <c r="AP28" s="1436">
        <f t="shared" si="47"/>
        <v>-4.2231432469560182E-2</v>
      </c>
      <c r="AQ28" s="1348">
        <f>167.082+781.272</f>
        <v>948.35400000000004</v>
      </c>
      <c r="AR28" s="1459">
        <f t="shared" si="68"/>
        <v>948.35400000000004</v>
      </c>
      <c r="AS28" s="1348">
        <f>'Отчёт СТС'!B28/1000</f>
        <v>1570.9670000000001</v>
      </c>
      <c r="AT28" s="1435">
        <f t="shared" si="48"/>
        <v>0.65651961187489061</v>
      </c>
      <c r="AU28" s="1436">
        <f t="shared" si="49"/>
        <v>0.65651961187489061</v>
      </c>
      <c r="AV28" s="1348">
        <f>274.658+1499.589</f>
        <v>1774.2469999999998</v>
      </c>
      <c r="AW28" s="1459">
        <f t="shared" si="69"/>
        <v>1774.2469999999998</v>
      </c>
      <c r="AX28" s="1348"/>
      <c r="AY28" s="1435">
        <f t="shared" si="50"/>
        <v>-1</v>
      </c>
      <c r="AZ28" s="1436">
        <f t="shared" si="51"/>
        <v>-1</v>
      </c>
      <c r="BA28" s="1348">
        <f>349.8+1713.164</f>
        <v>2062.9639999999999</v>
      </c>
      <c r="BB28" s="1459">
        <f t="shared" si="70"/>
        <v>2062.9639999999999</v>
      </c>
      <c r="BC28" s="1348"/>
      <c r="BD28" s="1435">
        <f t="shared" si="52"/>
        <v>-1</v>
      </c>
      <c r="BE28" s="1436">
        <f t="shared" si="53"/>
        <v>-1</v>
      </c>
      <c r="BF28" s="1348">
        <f>298.347+1898.635</f>
        <v>2196.982</v>
      </c>
      <c r="BG28" s="1459">
        <f t="shared" si="71"/>
        <v>2196.982</v>
      </c>
      <c r="BH28" s="1348"/>
      <c r="BI28" s="1435">
        <f t="shared" si="54"/>
        <v>-1</v>
      </c>
      <c r="BJ28" s="1436">
        <f t="shared" si="55"/>
        <v>-1</v>
      </c>
      <c r="BK28" s="1348">
        <f>327.196+1869.151</f>
        <v>2196.3470000000002</v>
      </c>
      <c r="BL28" s="1460">
        <f>313.025+1869.151</f>
        <v>2182.1759999999999</v>
      </c>
      <c r="BM28" s="1348"/>
      <c r="BN28" s="1435">
        <f t="shared" si="56"/>
        <v>-1</v>
      </c>
      <c r="BO28" s="1436">
        <f t="shared" si="57"/>
        <v>-1</v>
      </c>
      <c r="BP28" s="1431">
        <f t="shared" si="58"/>
        <v>12515.081</v>
      </c>
      <c r="BQ28" s="1432">
        <f t="shared" si="58"/>
        <v>12515.081</v>
      </c>
      <c r="BR28" s="1348">
        <f t="shared" si="58"/>
        <v>11273.495688591536</v>
      </c>
      <c r="BS28" s="1435">
        <f t="shared" si="59"/>
        <v>-9.9207133490263777E-2</v>
      </c>
      <c r="BT28" s="1436">
        <f t="shared" si="60"/>
        <v>-9.9207133490263777E-2</v>
      </c>
    </row>
    <row r="29" spans="1:74" s="1391" customFormat="1" ht="15.75">
      <c r="A29" s="1429" t="s">
        <v>1457</v>
      </c>
      <c r="B29" s="1430">
        <f t="shared" si="31"/>
        <v>7458.4189999999999</v>
      </c>
      <c r="C29" s="1431">
        <v>4252.2740000000003</v>
      </c>
      <c r="D29" s="1432">
        <v>4252.2740000000003</v>
      </c>
      <c r="E29" s="1348">
        <v>4162.5331332276864</v>
      </c>
      <c r="F29" s="1433">
        <f t="shared" si="32"/>
        <v>-2.1104206072401266E-2</v>
      </c>
      <c r="G29" s="1434">
        <f t="shared" si="33"/>
        <v>-2.1104206072401266E-2</v>
      </c>
      <c r="H29" s="1348">
        <v>719.995</v>
      </c>
      <c r="I29" s="1459">
        <f t="shared" si="61"/>
        <v>719.995</v>
      </c>
      <c r="J29" s="1348">
        <v>674.08500000000004</v>
      </c>
      <c r="K29" s="1435">
        <f t="shared" si="34"/>
        <v>-6.3764331696747889E-2</v>
      </c>
      <c r="L29" s="1436">
        <f t="shared" si="35"/>
        <v>-6.3764331696747889E-2</v>
      </c>
      <c r="M29" s="1348">
        <v>714.678</v>
      </c>
      <c r="N29" s="1459">
        <f t="shared" si="62"/>
        <v>714.678</v>
      </c>
      <c r="O29" s="1348">
        <v>732.98699999999997</v>
      </c>
      <c r="P29" s="1435">
        <f t="shared" si="36"/>
        <v>2.5618530303157527E-2</v>
      </c>
      <c r="Q29" s="1436">
        <f t="shared" si="37"/>
        <v>2.5618530303157527E-2</v>
      </c>
      <c r="R29" s="1348">
        <v>576.90099999999995</v>
      </c>
      <c r="S29" s="1459">
        <f t="shared" si="63"/>
        <v>576.90099999999995</v>
      </c>
      <c r="T29" s="1348">
        <v>593.81700000000001</v>
      </c>
      <c r="U29" s="1435">
        <f t="shared" si="38"/>
        <v>2.9322188729088872E-2</v>
      </c>
      <c r="V29" s="1436">
        <f t="shared" si="39"/>
        <v>2.9322188729088872E-2</v>
      </c>
      <c r="W29" s="1348">
        <v>587.91300000000001</v>
      </c>
      <c r="X29" s="1459">
        <f t="shared" si="64"/>
        <v>587.91300000000001</v>
      </c>
      <c r="Y29" s="1348">
        <v>576.51800000000003</v>
      </c>
      <c r="Z29" s="1435">
        <f t="shared" si="40"/>
        <v>-1.9382119463253855E-2</v>
      </c>
      <c r="AA29" s="1436">
        <f t="shared" si="41"/>
        <v>-1.9382119463253855E-2</v>
      </c>
      <c r="AB29" s="1348">
        <v>526.59400000000005</v>
      </c>
      <c r="AC29" s="1459">
        <f t="shared" si="65"/>
        <v>526.59400000000005</v>
      </c>
      <c r="AD29" s="1348">
        <v>515.59400000000005</v>
      </c>
      <c r="AE29" s="1435">
        <f t="shared" si="42"/>
        <v>-2.0888958096750065E-2</v>
      </c>
      <c r="AF29" s="1436">
        <f t="shared" si="43"/>
        <v>-2.0888958096750065E-2</v>
      </c>
      <c r="AG29" s="1348">
        <v>561.59299999999996</v>
      </c>
      <c r="AH29" s="1459">
        <f t="shared" si="66"/>
        <v>561.59299999999996</v>
      </c>
      <c r="AI29" s="1348">
        <v>528.77599999999995</v>
      </c>
      <c r="AJ29" s="1435">
        <f t="shared" si="44"/>
        <v>-5.8435557423258455E-2</v>
      </c>
      <c r="AK29" s="1436">
        <f t="shared" si="45"/>
        <v>-5.8435557423258455E-2</v>
      </c>
      <c r="AL29" s="1348">
        <v>564.6</v>
      </c>
      <c r="AM29" s="1459">
        <f t="shared" si="67"/>
        <v>564.6</v>
      </c>
      <c r="AN29" s="1348">
        <v>540.75613322768641</v>
      </c>
      <c r="AO29" s="1435">
        <f t="shared" si="46"/>
        <v>-4.2231432469560071E-2</v>
      </c>
      <c r="AP29" s="1436">
        <f t="shared" si="47"/>
        <v>-4.2231432469560071E-2</v>
      </c>
      <c r="AQ29" s="1348">
        <v>579.74</v>
      </c>
      <c r="AR29" s="1459">
        <f t="shared" si="68"/>
        <v>579.74</v>
      </c>
      <c r="AS29" s="1348">
        <f>'Отчёт СТС'!B29/1000</f>
        <v>0</v>
      </c>
      <c r="AT29" s="1435">
        <f t="shared" si="48"/>
        <v>-1</v>
      </c>
      <c r="AU29" s="1436">
        <f t="shared" si="49"/>
        <v>-1</v>
      </c>
      <c r="AV29" s="1348">
        <v>577.08299999999997</v>
      </c>
      <c r="AW29" s="1459">
        <f t="shared" si="69"/>
        <v>577.08299999999997</v>
      </c>
      <c r="AX29" s="1348"/>
      <c r="AY29" s="1435">
        <f t="shared" si="50"/>
        <v>-1</v>
      </c>
      <c r="AZ29" s="1436">
        <f t="shared" si="51"/>
        <v>-1</v>
      </c>
      <c r="BA29" s="1348">
        <v>606.15200000000004</v>
      </c>
      <c r="BB29" s="1459">
        <f t="shared" si="70"/>
        <v>606.15200000000004</v>
      </c>
      <c r="BC29" s="1348"/>
      <c r="BD29" s="1435">
        <f t="shared" si="52"/>
        <v>-1</v>
      </c>
      <c r="BE29" s="1436">
        <f t="shared" si="53"/>
        <v>-1</v>
      </c>
      <c r="BF29" s="1348">
        <v>695.524</v>
      </c>
      <c r="BG29" s="1459">
        <f t="shared" si="71"/>
        <v>695.524</v>
      </c>
      <c r="BH29" s="1348"/>
      <c r="BI29" s="1435">
        <f t="shared" si="54"/>
        <v>-1</v>
      </c>
      <c r="BJ29" s="1436">
        <f t="shared" si="55"/>
        <v>-1</v>
      </c>
      <c r="BK29" s="1348">
        <v>747.64599999999996</v>
      </c>
      <c r="BL29" s="1459">
        <f t="shared" si="72"/>
        <v>747.64599999999996</v>
      </c>
      <c r="BM29" s="1348"/>
      <c r="BN29" s="1435">
        <f t="shared" si="56"/>
        <v>-1</v>
      </c>
      <c r="BO29" s="1436">
        <f t="shared" si="57"/>
        <v>-1</v>
      </c>
      <c r="BP29" s="1431">
        <f t="shared" si="58"/>
        <v>4832.0140000000001</v>
      </c>
      <c r="BQ29" s="1432">
        <f t="shared" si="58"/>
        <v>4832.0140000000001</v>
      </c>
      <c r="BR29" s="1348">
        <f t="shared" si="58"/>
        <v>4162.5331332276864</v>
      </c>
      <c r="BS29" s="1435">
        <f t="shared" si="59"/>
        <v>-0.1385511024538244</v>
      </c>
      <c r="BT29" s="1436">
        <f t="shared" si="60"/>
        <v>-0.1385511024538244</v>
      </c>
    </row>
    <row r="30" spans="1:74" s="1428" customFormat="1" ht="15.75">
      <c r="A30" s="1441" t="s">
        <v>1459</v>
      </c>
      <c r="B30" s="1442">
        <f t="shared" si="31"/>
        <v>0</v>
      </c>
      <c r="C30" s="1443">
        <v>0</v>
      </c>
      <c r="D30" s="1444">
        <v>0</v>
      </c>
      <c r="E30" s="1350">
        <v>0</v>
      </c>
      <c r="F30" s="1445">
        <f t="shared" si="32"/>
        <v>0</v>
      </c>
      <c r="G30" s="1446">
        <f t="shared" si="33"/>
        <v>0</v>
      </c>
      <c r="H30" s="1350"/>
      <c r="I30" s="1444"/>
      <c r="J30" s="1350"/>
      <c r="K30" s="1447">
        <f t="shared" si="34"/>
        <v>0</v>
      </c>
      <c r="L30" s="1448">
        <f t="shared" si="35"/>
        <v>0</v>
      </c>
      <c r="M30" s="1350"/>
      <c r="N30" s="1444"/>
      <c r="O30" s="1350"/>
      <c r="P30" s="1447">
        <f t="shared" si="36"/>
        <v>0</v>
      </c>
      <c r="Q30" s="1448">
        <f t="shared" si="37"/>
        <v>0</v>
      </c>
      <c r="R30" s="1350"/>
      <c r="S30" s="1444"/>
      <c r="T30" s="1350"/>
      <c r="U30" s="1447">
        <f t="shared" si="38"/>
        <v>0</v>
      </c>
      <c r="V30" s="1448">
        <f t="shared" si="39"/>
        <v>0</v>
      </c>
      <c r="W30" s="1350"/>
      <c r="X30" s="1444"/>
      <c r="Y30" s="1350"/>
      <c r="Z30" s="1447">
        <f t="shared" si="40"/>
        <v>0</v>
      </c>
      <c r="AA30" s="1448">
        <f t="shared" si="41"/>
        <v>0</v>
      </c>
      <c r="AB30" s="1350"/>
      <c r="AC30" s="1444"/>
      <c r="AD30" s="1350"/>
      <c r="AE30" s="1447">
        <f t="shared" si="42"/>
        <v>0</v>
      </c>
      <c r="AF30" s="1448">
        <f t="shared" si="43"/>
        <v>0</v>
      </c>
      <c r="AG30" s="1350"/>
      <c r="AH30" s="1444"/>
      <c r="AI30" s="1350"/>
      <c r="AJ30" s="1447">
        <f t="shared" si="44"/>
        <v>0</v>
      </c>
      <c r="AK30" s="1448">
        <f t="shared" si="45"/>
        <v>0</v>
      </c>
      <c r="AL30" s="1350"/>
      <c r="AM30" s="1444"/>
      <c r="AN30" s="1350"/>
      <c r="AO30" s="1447">
        <f t="shared" si="46"/>
        <v>0</v>
      </c>
      <c r="AP30" s="1448">
        <f t="shared" si="47"/>
        <v>0</v>
      </c>
      <c r="AQ30" s="1350"/>
      <c r="AR30" s="1444"/>
      <c r="AS30" s="1350"/>
      <c r="AT30" s="1447">
        <f t="shared" si="48"/>
        <v>0</v>
      </c>
      <c r="AU30" s="1448">
        <f t="shared" si="49"/>
        <v>0</v>
      </c>
      <c r="AV30" s="1350"/>
      <c r="AW30" s="1444"/>
      <c r="AX30" s="1350"/>
      <c r="AY30" s="1447">
        <f t="shared" si="50"/>
        <v>0</v>
      </c>
      <c r="AZ30" s="1448">
        <f t="shared" si="51"/>
        <v>0</v>
      </c>
      <c r="BA30" s="1350"/>
      <c r="BB30" s="1444"/>
      <c r="BC30" s="1350"/>
      <c r="BD30" s="1447">
        <f t="shared" si="52"/>
        <v>0</v>
      </c>
      <c r="BE30" s="1448">
        <f t="shared" si="53"/>
        <v>0</v>
      </c>
      <c r="BF30" s="1350"/>
      <c r="BG30" s="1444"/>
      <c r="BH30" s="1350"/>
      <c r="BI30" s="1447">
        <f t="shared" si="54"/>
        <v>0</v>
      </c>
      <c r="BJ30" s="1448">
        <f t="shared" si="55"/>
        <v>0</v>
      </c>
      <c r="BK30" s="1350"/>
      <c r="BL30" s="1444"/>
      <c r="BM30" s="1350"/>
      <c r="BN30" s="1447">
        <f t="shared" si="56"/>
        <v>0</v>
      </c>
      <c r="BO30" s="1448">
        <f t="shared" si="57"/>
        <v>0</v>
      </c>
      <c r="BP30" s="1443">
        <f t="shared" ref="BP30:BR32" si="73">C30+AG30</f>
        <v>0</v>
      </c>
      <c r="BQ30" s="1444">
        <f t="shared" si="73"/>
        <v>0</v>
      </c>
      <c r="BR30" s="1350">
        <f t="shared" si="73"/>
        <v>0</v>
      </c>
      <c r="BS30" s="1447">
        <f t="shared" si="59"/>
        <v>0</v>
      </c>
      <c r="BT30" s="1448">
        <f t="shared" si="60"/>
        <v>0</v>
      </c>
    </row>
    <row r="31" spans="1:74" s="1391" customFormat="1" ht="15.75">
      <c r="A31" s="1429" t="s">
        <v>1456</v>
      </c>
      <c r="B31" s="1430">
        <f t="shared" si="31"/>
        <v>0</v>
      </c>
      <c r="C31" s="1431">
        <v>0</v>
      </c>
      <c r="D31" s="1432">
        <v>0</v>
      </c>
      <c r="E31" s="1348">
        <v>0</v>
      </c>
      <c r="F31" s="1433">
        <f t="shared" si="32"/>
        <v>0</v>
      </c>
      <c r="G31" s="1434">
        <f t="shared" si="33"/>
        <v>0</v>
      </c>
      <c r="H31" s="1348"/>
      <c r="I31" s="1432"/>
      <c r="J31" s="1348"/>
      <c r="K31" s="1435">
        <f t="shared" si="34"/>
        <v>0</v>
      </c>
      <c r="L31" s="1436">
        <f t="shared" si="35"/>
        <v>0</v>
      </c>
      <c r="M31" s="1348"/>
      <c r="N31" s="1432"/>
      <c r="O31" s="1348"/>
      <c r="P31" s="1435">
        <f t="shared" si="36"/>
        <v>0</v>
      </c>
      <c r="Q31" s="1436">
        <f t="shared" si="37"/>
        <v>0</v>
      </c>
      <c r="R31" s="1348"/>
      <c r="S31" s="1432"/>
      <c r="T31" s="1348"/>
      <c r="U31" s="1435">
        <f t="shared" si="38"/>
        <v>0</v>
      </c>
      <c r="V31" s="1436">
        <f t="shared" si="39"/>
        <v>0</v>
      </c>
      <c r="W31" s="1348"/>
      <c r="X31" s="1432"/>
      <c r="Y31" s="1348"/>
      <c r="Z31" s="1435">
        <f t="shared" si="40"/>
        <v>0</v>
      </c>
      <c r="AA31" s="1436">
        <f t="shared" si="41"/>
        <v>0</v>
      </c>
      <c r="AB31" s="1348"/>
      <c r="AC31" s="1432"/>
      <c r="AD31" s="1348"/>
      <c r="AE31" s="1435">
        <f t="shared" si="42"/>
        <v>0</v>
      </c>
      <c r="AF31" s="1436">
        <f t="shared" si="43"/>
        <v>0</v>
      </c>
      <c r="AG31" s="1348"/>
      <c r="AH31" s="1432"/>
      <c r="AI31" s="1348"/>
      <c r="AJ31" s="1435">
        <f t="shared" si="44"/>
        <v>0</v>
      </c>
      <c r="AK31" s="1436">
        <f t="shared" si="45"/>
        <v>0</v>
      </c>
      <c r="AL31" s="1348"/>
      <c r="AM31" s="1432"/>
      <c r="AN31" s="1348"/>
      <c r="AO31" s="1435">
        <f t="shared" si="46"/>
        <v>0</v>
      </c>
      <c r="AP31" s="1436">
        <f t="shared" si="47"/>
        <v>0</v>
      </c>
      <c r="AQ31" s="1348"/>
      <c r="AR31" s="1432"/>
      <c r="AS31" s="1348"/>
      <c r="AT31" s="1435">
        <f t="shared" si="48"/>
        <v>0</v>
      </c>
      <c r="AU31" s="1436">
        <f t="shared" si="49"/>
        <v>0</v>
      </c>
      <c r="AV31" s="1348"/>
      <c r="AW31" s="1432"/>
      <c r="AX31" s="1348"/>
      <c r="AY31" s="1435">
        <f t="shared" si="50"/>
        <v>0</v>
      </c>
      <c r="AZ31" s="1436">
        <f t="shared" si="51"/>
        <v>0</v>
      </c>
      <c r="BA31" s="1348"/>
      <c r="BB31" s="1432"/>
      <c r="BC31" s="1348"/>
      <c r="BD31" s="1435">
        <f t="shared" si="52"/>
        <v>0</v>
      </c>
      <c r="BE31" s="1436">
        <f t="shared" si="53"/>
        <v>0</v>
      </c>
      <c r="BF31" s="1348"/>
      <c r="BG31" s="1432"/>
      <c r="BH31" s="1348"/>
      <c r="BI31" s="1435">
        <f t="shared" si="54"/>
        <v>0</v>
      </c>
      <c r="BJ31" s="1436">
        <f t="shared" si="55"/>
        <v>0</v>
      </c>
      <c r="BK31" s="1348"/>
      <c r="BL31" s="1432"/>
      <c r="BM31" s="1348"/>
      <c r="BN31" s="1435">
        <f t="shared" si="56"/>
        <v>0</v>
      </c>
      <c r="BO31" s="1436">
        <f t="shared" si="57"/>
        <v>0</v>
      </c>
      <c r="BP31" s="1431">
        <f t="shared" si="73"/>
        <v>0</v>
      </c>
      <c r="BQ31" s="1432">
        <f t="shared" si="73"/>
        <v>0</v>
      </c>
      <c r="BR31" s="1348">
        <f t="shared" si="73"/>
        <v>0</v>
      </c>
      <c r="BS31" s="1435">
        <f t="shared" si="59"/>
        <v>0</v>
      </c>
      <c r="BT31" s="1436">
        <f t="shared" si="60"/>
        <v>0</v>
      </c>
    </row>
    <row r="32" spans="1:74" s="1391" customFormat="1" ht="15.75">
      <c r="A32" s="1429" t="s">
        <v>1457</v>
      </c>
      <c r="B32" s="1430">
        <f t="shared" si="31"/>
        <v>0</v>
      </c>
      <c r="C32" s="1431">
        <v>0</v>
      </c>
      <c r="D32" s="1432">
        <v>0</v>
      </c>
      <c r="E32" s="1348">
        <v>0</v>
      </c>
      <c r="F32" s="1433">
        <f t="shared" si="32"/>
        <v>0</v>
      </c>
      <c r="G32" s="1434">
        <f t="shared" si="33"/>
        <v>0</v>
      </c>
      <c r="H32" s="1348"/>
      <c r="I32" s="1432"/>
      <c r="J32" s="1348"/>
      <c r="K32" s="1435">
        <f t="shared" si="34"/>
        <v>0</v>
      </c>
      <c r="L32" s="1436">
        <f t="shared" si="35"/>
        <v>0</v>
      </c>
      <c r="M32" s="1348"/>
      <c r="N32" s="1432"/>
      <c r="O32" s="1348"/>
      <c r="P32" s="1435">
        <f t="shared" si="36"/>
        <v>0</v>
      </c>
      <c r="Q32" s="1436">
        <f t="shared" si="37"/>
        <v>0</v>
      </c>
      <c r="R32" s="1348"/>
      <c r="S32" s="1432"/>
      <c r="T32" s="1348"/>
      <c r="U32" s="1435">
        <f t="shared" si="38"/>
        <v>0</v>
      </c>
      <c r="V32" s="1436">
        <f t="shared" si="39"/>
        <v>0</v>
      </c>
      <c r="W32" s="1348"/>
      <c r="X32" s="1432"/>
      <c r="Y32" s="1348"/>
      <c r="Z32" s="1435">
        <f t="shared" si="40"/>
        <v>0</v>
      </c>
      <c r="AA32" s="1436">
        <f t="shared" si="41"/>
        <v>0</v>
      </c>
      <c r="AB32" s="1348"/>
      <c r="AC32" s="1432"/>
      <c r="AD32" s="1348"/>
      <c r="AE32" s="1435">
        <f t="shared" si="42"/>
        <v>0</v>
      </c>
      <c r="AF32" s="1436">
        <f t="shared" si="43"/>
        <v>0</v>
      </c>
      <c r="AG32" s="1348"/>
      <c r="AH32" s="1432"/>
      <c r="AI32" s="1348"/>
      <c r="AJ32" s="1435">
        <f t="shared" si="44"/>
        <v>0</v>
      </c>
      <c r="AK32" s="1436">
        <f t="shared" si="45"/>
        <v>0</v>
      </c>
      <c r="AL32" s="1348"/>
      <c r="AM32" s="1432"/>
      <c r="AN32" s="1348"/>
      <c r="AO32" s="1435">
        <f t="shared" si="46"/>
        <v>0</v>
      </c>
      <c r="AP32" s="1436">
        <f t="shared" si="47"/>
        <v>0</v>
      </c>
      <c r="AQ32" s="1348"/>
      <c r="AR32" s="1432"/>
      <c r="AS32" s="1348"/>
      <c r="AT32" s="1435">
        <f t="shared" si="48"/>
        <v>0</v>
      </c>
      <c r="AU32" s="1436">
        <f t="shared" si="49"/>
        <v>0</v>
      </c>
      <c r="AV32" s="1348"/>
      <c r="AW32" s="1432"/>
      <c r="AX32" s="1348"/>
      <c r="AY32" s="1435">
        <f t="shared" si="50"/>
        <v>0</v>
      </c>
      <c r="AZ32" s="1436">
        <f t="shared" si="51"/>
        <v>0</v>
      </c>
      <c r="BA32" s="1348"/>
      <c r="BB32" s="1432"/>
      <c r="BC32" s="1348"/>
      <c r="BD32" s="1435">
        <f t="shared" si="52"/>
        <v>0</v>
      </c>
      <c r="BE32" s="1436">
        <f t="shared" si="53"/>
        <v>0</v>
      </c>
      <c r="BF32" s="1348"/>
      <c r="BG32" s="1432"/>
      <c r="BH32" s="1348"/>
      <c r="BI32" s="1435">
        <f t="shared" si="54"/>
        <v>0</v>
      </c>
      <c r="BJ32" s="1436">
        <f t="shared" si="55"/>
        <v>0</v>
      </c>
      <c r="BK32" s="1348"/>
      <c r="BL32" s="1432"/>
      <c r="BM32" s="1348"/>
      <c r="BN32" s="1435">
        <f t="shared" si="56"/>
        <v>0</v>
      </c>
      <c r="BO32" s="1436">
        <f t="shared" si="57"/>
        <v>0</v>
      </c>
      <c r="BP32" s="1431">
        <f t="shared" si="73"/>
        <v>0</v>
      </c>
      <c r="BQ32" s="1432">
        <f t="shared" si="73"/>
        <v>0</v>
      </c>
      <c r="BR32" s="1348">
        <f t="shared" si="73"/>
        <v>0</v>
      </c>
      <c r="BS32" s="1435">
        <f t="shared" si="59"/>
        <v>0</v>
      </c>
      <c r="BT32" s="1436">
        <f t="shared" si="60"/>
        <v>0</v>
      </c>
    </row>
    <row r="33" spans="1:74" s="1428" customFormat="1" ht="15.75">
      <c r="A33" s="1441" t="s">
        <v>1460</v>
      </c>
      <c r="B33" s="1442">
        <f t="shared" si="31"/>
        <v>289099.21250600001</v>
      </c>
      <c r="C33" s="1443">
        <v>171322.23599999998</v>
      </c>
      <c r="D33" s="1444">
        <v>171106.26199999999</v>
      </c>
      <c r="E33" s="1350">
        <v>168799.15100000001</v>
      </c>
      <c r="F33" s="1445">
        <f t="shared" si="32"/>
        <v>-1.3483498342100275E-2</v>
      </c>
      <c r="G33" s="1446">
        <f t="shared" si="33"/>
        <v>-1.472713092537481E-2</v>
      </c>
      <c r="H33" s="1350">
        <v>32677.741999999998</v>
      </c>
      <c r="I33" s="1424">
        <v>28075.850999999995</v>
      </c>
      <c r="J33" s="1350">
        <v>31232.843000000001</v>
      </c>
      <c r="K33" s="1447">
        <f t="shared" si="34"/>
        <v>0.112445104513484</v>
      </c>
      <c r="L33" s="1448">
        <f t="shared" si="35"/>
        <v>-4.4216610804993728E-2</v>
      </c>
      <c r="M33" s="1350">
        <v>30958.629999999997</v>
      </c>
      <c r="N33" s="1424">
        <v>26996.563999999991</v>
      </c>
      <c r="O33" s="1350">
        <v>29521.465000000026</v>
      </c>
      <c r="P33" s="1447">
        <f t="shared" si="36"/>
        <v>9.3526753997287715E-2</v>
      </c>
      <c r="Q33" s="1448">
        <f t="shared" si="37"/>
        <v>-4.6422112347993871E-2</v>
      </c>
      <c r="R33" s="1350">
        <v>26033.409</v>
      </c>
      <c r="S33" s="1424">
        <v>24954.02900000001</v>
      </c>
      <c r="T33" s="1350">
        <v>25573.433000000005</v>
      </c>
      <c r="U33" s="1447">
        <f t="shared" si="38"/>
        <v>2.4821803324825531E-2</v>
      </c>
      <c r="V33" s="1448">
        <f t="shared" si="39"/>
        <v>-1.7668681039812895E-2</v>
      </c>
      <c r="W33" s="1350">
        <v>24118.285999999993</v>
      </c>
      <c r="X33" s="1424">
        <v>26067.888000000014</v>
      </c>
      <c r="Y33" s="1350">
        <v>22844.118999999984</v>
      </c>
      <c r="Z33" s="1447">
        <f t="shared" si="40"/>
        <v>-0.12366820818011903</v>
      </c>
      <c r="AA33" s="1448">
        <f t="shared" si="41"/>
        <v>-5.2829915027958863E-2</v>
      </c>
      <c r="AB33" s="1350">
        <v>19789.734</v>
      </c>
      <c r="AC33" s="1424">
        <v>24982.394999999993</v>
      </c>
      <c r="AD33" s="1350">
        <v>20722.435999999994</v>
      </c>
      <c r="AE33" s="1447">
        <f t="shared" si="42"/>
        <v>-0.17051843908480357</v>
      </c>
      <c r="AF33" s="1448">
        <f t="shared" si="43"/>
        <v>4.7130598117185007E-2</v>
      </c>
      <c r="AG33" s="1350">
        <v>18726.218000000001</v>
      </c>
      <c r="AH33" s="1424">
        <v>23329.351000000006</v>
      </c>
      <c r="AI33" s="1350">
        <v>19820.285000000007</v>
      </c>
      <c r="AJ33" s="1447">
        <f t="shared" si="44"/>
        <v>-0.15041421426596902</v>
      </c>
      <c r="AK33" s="1448">
        <f t="shared" si="45"/>
        <v>5.8424343879794893E-2</v>
      </c>
      <c r="AL33" s="1350">
        <v>19018.217000000001</v>
      </c>
      <c r="AM33" s="1424">
        <v>16700.184000000005</v>
      </c>
      <c r="AN33" s="1350">
        <v>19084.569999999992</v>
      </c>
      <c r="AO33" s="1447">
        <f t="shared" si="46"/>
        <v>0.14277603168923081</v>
      </c>
      <c r="AP33" s="1448">
        <f t="shared" si="47"/>
        <v>3.4889180200221581E-3</v>
      </c>
      <c r="AQ33" s="1350">
        <v>18606.753999999994</v>
      </c>
      <c r="AR33" s="1424">
        <v>17966.785</v>
      </c>
      <c r="AS33" s="1350">
        <f>'Отчёт СТС'!B33/1000</f>
        <v>19721.404999999999</v>
      </c>
      <c r="AT33" s="1447">
        <f t="shared" si="48"/>
        <v>9.765909705047382E-2</v>
      </c>
      <c r="AU33" s="1448">
        <f t="shared" si="49"/>
        <v>5.9905720256204109E-2</v>
      </c>
      <c r="AV33" s="1350">
        <v>22123.092000000004</v>
      </c>
      <c r="AW33" s="1424">
        <v>21821.754000000001</v>
      </c>
      <c r="AX33" s="1350"/>
      <c r="AY33" s="1447">
        <f t="shared" si="50"/>
        <v>-1</v>
      </c>
      <c r="AZ33" s="1448">
        <f t="shared" si="51"/>
        <v>-1</v>
      </c>
      <c r="BA33" s="1350">
        <v>24579.286999999997</v>
      </c>
      <c r="BB33" s="1424">
        <v>24358.893000000004</v>
      </c>
      <c r="BC33" s="1350"/>
      <c r="BD33" s="1447">
        <f t="shared" si="52"/>
        <v>-1</v>
      </c>
      <c r="BE33" s="1448">
        <f t="shared" si="53"/>
        <v>-1</v>
      </c>
      <c r="BF33" s="1350">
        <v>29711.55799999999</v>
      </c>
      <c r="BG33" s="1424">
        <v>27896.122000000003</v>
      </c>
      <c r="BH33" s="1350"/>
      <c r="BI33" s="1447">
        <f t="shared" si="54"/>
        <v>-1</v>
      </c>
      <c r="BJ33" s="1448">
        <f t="shared" si="55"/>
        <v>-1</v>
      </c>
      <c r="BK33" s="1350">
        <v>32568.875506000004</v>
      </c>
      <c r="BL33" s="1424">
        <v>25949.396506000019</v>
      </c>
      <c r="BM33" s="1350"/>
      <c r="BN33" s="1447">
        <f t="shared" si="56"/>
        <v>-1</v>
      </c>
      <c r="BO33" s="1448">
        <f t="shared" si="57"/>
        <v>-1</v>
      </c>
      <c r="BP33" s="1443">
        <f t="shared" ref="BP33:BR35" si="74">C33+AQ33</f>
        <v>189928.98999999996</v>
      </c>
      <c r="BQ33" s="1444">
        <f t="shared" si="74"/>
        <v>189073.04699999999</v>
      </c>
      <c r="BR33" s="1350">
        <f t="shared" si="74"/>
        <v>188520.55600000001</v>
      </c>
      <c r="BS33" s="1447">
        <f t="shared" si="59"/>
        <v>-2.9221034344465435E-3</v>
      </c>
      <c r="BT33" s="1448">
        <f t="shared" si="60"/>
        <v>-7.415582002515575E-3</v>
      </c>
      <c r="BV33" s="1453"/>
    </row>
    <row r="34" spans="1:74" s="1428" customFormat="1" ht="15.75">
      <c r="A34" s="1441" t="s">
        <v>1461</v>
      </c>
      <c r="B34" s="1442">
        <f t="shared" si="31"/>
        <v>1402.2300000000002</v>
      </c>
      <c r="C34" s="1443">
        <v>820.61300000000006</v>
      </c>
      <c r="D34" s="1444">
        <v>820.61300000000006</v>
      </c>
      <c r="E34" s="1350">
        <v>840.32000000000016</v>
      </c>
      <c r="F34" s="1445">
        <f t="shared" si="32"/>
        <v>2.401497417174725E-2</v>
      </c>
      <c r="G34" s="1446">
        <f t="shared" si="33"/>
        <v>2.401497417174725E-2</v>
      </c>
      <c r="H34" s="1350">
        <v>124.554</v>
      </c>
      <c r="I34" s="1458">
        <f>H34</f>
        <v>124.554</v>
      </c>
      <c r="J34" s="1350">
        <v>142.03399999999999</v>
      </c>
      <c r="K34" s="1447">
        <f t="shared" si="34"/>
        <v>0.1403407357451385</v>
      </c>
      <c r="L34" s="1448">
        <f t="shared" si="35"/>
        <v>0.1403407357451385</v>
      </c>
      <c r="M34" s="1350">
        <v>106.73399999999999</v>
      </c>
      <c r="N34" s="1458">
        <f>M34</f>
        <v>106.73399999999999</v>
      </c>
      <c r="O34" s="1350">
        <v>146.45500000000001</v>
      </c>
      <c r="P34" s="1447">
        <f t="shared" si="36"/>
        <v>0.37214945565611735</v>
      </c>
      <c r="Q34" s="1448">
        <f t="shared" si="37"/>
        <v>0.37214945565611735</v>
      </c>
      <c r="R34" s="1350">
        <v>96.01</v>
      </c>
      <c r="S34" s="1458">
        <f>R34</f>
        <v>96.01</v>
      </c>
      <c r="T34" s="1350">
        <v>119.941</v>
      </c>
      <c r="U34" s="1447">
        <f t="shared" si="38"/>
        <v>0.24925528590771795</v>
      </c>
      <c r="V34" s="1448">
        <f t="shared" si="39"/>
        <v>0.24925528590771795</v>
      </c>
      <c r="W34" s="1350">
        <v>129.87100000000001</v>
      </c>
      <c r="X34" s="1458">
        <f>W34</f>
        <v>129.87100000000001</v>
      </c>
      <c r="Y34" s="1350">
        <v>122.453</v>
      </c>
      <c r="Z34" s="1447">
        <f t="shared" si="40"/>
        <v>-5.7118217307944086E-2</v>
      </c>
      <c r="AA34" s="1448">
        <f t="shared" si="41"/>
        <v>-5.7118217307944086E-2</v>
      </c>
      <c r="AB34" s="1350">
        <v>121.30800000000001</v>
      </c>
      <c r="AC34" s="1458">
        <f>AB34</f>
        <v>121.30800000000001</v>
      </c>
      <c r="AD34" s="1350">
        <v>117.42100000000001</v>
      </c>
      <c r="AE34" s="1447">
        <f t="shared" si="42"/>
        <v>-3.2042404458073714E-2</v>
      </c>
      <c r="AF34" s="1448">
        <f t="shared" si="43"/>
        <v>-3.2042404458073714E-2</v>
      </c>
      <c r="AG34" s="1350">
        <v>107.041</v>
      </c>
      <c r="AH34" s="1458">
        <f>AG34</f>
        <v>107.041</v>
      </c>
      <c r="AI34" s="1350">
        <v>102.667</v>
      </c>
      <c r="AJ34" s="1447">
        <f t="shared" si="44"/>
        <v>-4.0862846946497111E-2</v>
      </c>
      <c r="AK34" s="1448">
        <f t="shared" si="45"/>
        <v>-4.0862846946497111E-2</v>
      </c>
      <c r="AL34" s="1350">
        <v>135.095</v>
      </c>
      <c r="AM34" s="1458">
        <f>AL34</f>
        <v>135.095</v>
      </c>
      <c r="AN34" s="1350">
        <v>89.349000000000004</v>
      </c>
      <c r="AO34" s="1447">
        <f t="shared" si="46"/>
        <v>-0.33862097042821715</v>
      </c>
      <c r="AP34" s="1448">
        <f t="shared" si="47"/>
        <v>-0.33862097042821715</v>
      </c>
      <c r="AQ34" s="1350">
        <v>67.293000000000006</v>
      </c>
      <c r="AR34" s="1458">
        <f>AQ34</f>
        <v>67.293000000000006</v>
      </c>
      <c r="AS34" s="1350">
        <f>'Отчёт СТС'!B34/1000</f>
        <v>122.85299999999999</v>
      </c>
      <c r="AT34" s="1447">
        <f t="shared" si="48"/>
        <v>0.82564308323302549</v>
      </c>
      <c r="AU34" s="1448">
        <f t="shared" si="49"/>
        <v>0.82564308323302549</v>
      </c>
      <c r="AV34" s="1350">
        <v>41.933</v>
      </c>
      <c r="AW34" s="1458">
        <f>AV34</f>
        <v>41.933</v>
      </c>
      <c r="AX34" s="1350"/>
      <c r="AY34" s="1447">
        <f t="shared" si="50"/>
        <v>-1</v>
      </c>
      <c r="AZ34" s="1448">
        <f t="shared" si="51"/>
        <v>-1</v>
      </c>
      <c r="BA34" s="1350">
        <v>114.52200000000001</v>
      </c>
      <c r="BB34" s="1458">
        <f>BA34</f>
        <v>114.52200000000001</v>
      </c>
      <c r="BC34" s="1350"/>
      <c r="BD34" s="1447">
        <f t="shared" si="52"/>
        <v>-1</v>
      </c>
      <c r="BE34" s="1448">
        <f t="shared" si="53"/>
        <v>-1</v>
      </c>
      <c r="BF34" s="1350">
        <v>239.94800000000001</v>
      </c>
      <c r="BG34" s="1458">
        <f>BF34</f>
        <v>239.94800000000001</v>
      </c>
      <c r="BH34" s="1350"/>
      <c r="BI34" s="1447">
        <f t="shared" si="54"/>
        <v>-1</v>
      </c>
      <c r="BJ34" s="1448">
        <f t="shared" si="55"/>
        <v>-1</v>
      </c>
      <c r="BK34" s="1350">
        <v>117.92100000000001</v>
      </c>
      <c r="BL34" s="1458">
        <f>BK34</f>
        <v>117.92100000000001</v>
      </c>
      <c r="BM34" s="1350"/>
      <c r="BN34" s="1447">
        <f t="shared" si="56"/>
        <v>-1</v>
      </c>
      <c r="BO34" s="1448">
        <f t="shared" si="57"/>
        <v>-1</v>
      </c>
      <c r="BP34" s="1443">
        <f t="shared" si="74"/>
        <v>887.90600000000006</v>
      </c>
      <c r="BQ34" s="1444">
        <f t="shared" si="74"/>
        <v>887.90600000000006</v>
      </c>
      <c r="BR34" s="1350">
        <f t="shared" si="74"/>
        <v>963.17300000000012</v>
      </c>
      <c r="BS34" s="1447">
        <f t="shared" si="59"/>
        <v>8.4769108441659524E-2</v>
      </c>
      <c r="BT34" s="1448">
        <f t="shared" si="60"/>
        <v>8.4769108441659524E-2</v>
      </c>
    </row>
    <row r="35" spans="1:74" s="1428" customFormat="1" ht="16.5" thickBot="1">
      <c r="A35" s="1461" t="s">
        <v>1462</v>
      </c>
      <c r="B35" s="1462">
        <f>I35+N35+S35+X35+AC35+AH35+AM35+AR35+AW35+BB35+BG35+BL35</f>
        <v>318641.266</v>
      </c>
      <c r="C35" s="1463">
        <v>167662.69</v>
      </c>
      <c r="D35" s="1464">
        <v>169217.45700000002</v>
      </c>
      <c r="E35" s="1354">
        <v>173783.61300000001</v>
      </c>
      <c r="F35" s="1465">
        <f t="shared" si="32"/>
        <v>2.6983953552735418E-2</v>
      </c>
      <c r="G35" s="1466">
        <f t="shared" si="33"/>
        <v>3.6507364876467108E-2</v>
      </c>
      <c r="H35" s="1354">
        <v>33115.705000000002</v>
      </c>
      <c r="I35" s="1467">
        <v>34573.070999999996</v>
      </c>
      <c r="J35" s="1354">
        <v>34456.713000000003</v>
      </c>
      <c r="K35" s="1468">
        <f t="shared" si="34"/>
        <v>-3.365567380461898E-3</v>
      </c>
      <c r="L35" s="1466">
        <f t="shared" si="35"/>
        <v>4.0494623321472467E-2</v>
      </c>
      <c r="M35" s="1354">
        <v>23992.57</v>
      </c>
      <c r="N35" s="1467">
        <v>25321.377</v>
      </c>
      <c r="O35" s="1354">
        <v>28188.814999999999</v>
      </c>
      <c r="P35" s="1468">
        <f t="shared" si="36"/>
        <v>0.11324178775901483</v>
      </c>
      <c r="Q35" s="1466">
        <f t="shared" si="37"/>
        <v>0.17489768707562381</v>
      </c>
      <c r="R35" s="1354">
        <v>30707.66</v>
      </c>
      <c r="S35" s="1467">
        <v>30074.733</v>
      </c>
      <c r="T35" s="1354">
        <v>29620.706999999999</v>
      </c>
      <c r="U35" s="1468">
        <f t="shared" si="38"/>
        <v>-1.5096592877482995E-2</v>
      </c>
      <c r="V35" s="1466">
        <f t="shared" si="39"/>
        <v>-3.5396803273189836E-2</v>
      </c>
      <c r="W35" s="1354">
        <v>21827.382000000001</v>
      </c>
      <c r="X35" s="1467">
        <v>21406.726999999999</v>
      </c>
      <c r="Y35" s="1354">
        <v>22368.536</v>
      </c>
      <c r="Z35" s="1468">
        <f t="shared" si="40"/>
        <v>4.4930222168013012E-2</v>
      </c>
      <c r="AA35" s="1466">
        <f t="shared" si="41"/>
        <v>2.4792437315661608E-2</v>
      </c>
      <c r="AB35" s="1354">
        <v>22364.999</v>
      </c>
      <c r="AC35" s="1467">
        <v>21216.257000000001</v>
      </c>
      <c r="AD35" s="1354">
        <v>22581.964</v>
      </c>
      <c r="AE35" s="1468">
        <f t="shared" si="42"/>
        <v>6.4370779445215076E-2</v>
      </c>
      <c r="AF35" s="1466">
        <f t="shared" si="43"/>
        <v>9.7010958954213411E-3</v>
      </c>
      <c r="AG35" s="1354">
        <v>17195.292000000001</v>
      </c>
      <c r="AH35" s="1467">
        <v>16589.624</v>
      </c>
      <c r="AI35" s="1354">
        <v>18230.223999999998</v>
      </c>
      <c r="AJ35" s="1468">
        <f t="shared" si="44"/>
        <v>9.8893139470791924E-2</v>
      </c>
      <c r="AK35" s="1466">
        <f t="shared" si="45"/>
        <v>6.0186939541357898E-2</v>
      </c>
      <c r="AL35" s="1354">
        <v>18459.081999999999</v>
      </c>
      <c r="AM35" s="1467">
        <v>20035.668000000001</v>
      </c>
      <c r="AN35" s="1354">
        <v>18336.653999999999</v>
      </c>
      <c r="AO35" s="1468">
        <f t="shared" si="46"/>
        <v>-8.4799468627649532E-2</v>
      </c>
      <c r="AP35" s="1466">
        <f t="shared" si="47"/>
        <v>-6.6323991626452417E-3</v>
      </c>
      <c r="AQ35" s="1354">
        <v>23929.15</v>
      </c>
      <c r="AR35" s="1467">
        <v>20708.937999999998</v>
      </c>
      <c r="AS35" s="1354">
        <f>'Шаблон 46 ГП'!C27/1000</f>
        <v>24830.239000000001</v>
      </c>
      <c r="AT35" s="1468">
        <f t="shared" si="48"/>
        <v>0.19901073633037103</v>
      </c>
      <c r="AU35" s="1466">
        <f t="shared" si="49"/>
        <v>3.765654024484788E-2</v>
      </c>
      <c r="AV35" s="1354">
        <v>24157.184000000001</v>
      </c>
      <c r="AW35" s="1467">
        <v>25803.132000000001</v>
      </c>
      <c r="AX35" s="1354"/>
      <c r="AY35" s="1468">
        <f t="shared" si="50"/>
        <v>-1</v>
      </c>
      <c r="AZ35" s="1466">
        <f t="shared" si="51"/>
        <v>-1</v>
      </c>
      <c r="BA35" s="1354">
        <v>29671.038</v>
      </c>
      <c r="BB35" s="1467">
        <v>31063.386999999999</v>
      </c>
      <c r="BC35" s="1354"/>
      <c r="BD35" s="1468">
        <f t="shared" si="52"/>
        <v>-1</v>
      </c>
      <c r="BE35" s="1466">
        <f t="shared" si="53"/>
        <v>-1</v>
      </c>
      <c r="BF35" s="1354">
        <v>30188.738000000001</v>
      </c>
      <c r="BG35" s="1467">
        <v>32240.679</v>
      </c>
      <c r="BH35" s="1354"/>
      <c r="BI35" s="1468">
        <f t="shared" si="54"/>
        <v>-1</v>
      </c>
      <c r="BJ35" s="1466">
        <f t="shared" si="55"/>
        <v>-1</v>
      </c>
      <c r="BK35" s="1354">
        <v>34064.349000000002</v>
      </c>
      <c r="BL35" s="1467">
        <v>39607.673000000003</v>
      </c>
      <c r="BM35" s="1354"/>
      <c r="BN35" s="1468">
        <f t="shared" si="56"/>
        <v>-1</v>
      </c>
      <c r="BO35" s="1466">
        <f t="shared" si="57"/>
        <v>-1</v>
      </c>
      <c r="BP35" s="1463">
        <f t="shared" si="74"/>
        <v>191591.84</v>
      </c>
      <c r="BQ35" s="1464">
        <f t="shared" si="74"/>
        <v>189926.39500000002</v>
      </c>
      <c r="BR35" s="1354">
        <f t="shared" si="74"/>
        <v>198613.85200000001</v>
      </c>
      <c r="BS35" s="1468">
        <f t="shared" si="59"/>
        <v>4.5741177786268183E-2</v>
      </c>
      <c r="BT35" s="1469">
        <f t="shared" si="60"/>
        <v>3.6650892856397332E-2</v>
      </c>
    </row>
    <row r="36" spans="1:74" s="1477" customFormat="1" ht="16.5" customHeight="1" thickBot="1">
      <c r="A36" s="1408" t="s">
        <v>1463</v>
      </c>
      <c r="B36" s="1470"/>
      <c r="C36" s="1471"/>
      <c r="D36" s="1472"/>
      <c r="E36" s="1473"/>
      <c r="F36" s="1474">
        <f t="shared" si="32"/>
        <v>0</v>
      </c>
      <c r="G36" s="1412">
        <f t="shared" si="33"/>
        <v>0</v>
      </c>
      <c r="H36" s="1473"/>
      <c r="I36" s="1475"/>
      <c r="J36" s="1473"/>
      <c r="K36" s="1414">
        <f t="shared" si="34"/>
        <v>0</v>
      </c>
      <c r="L36" s="1416">
        <f t="shared" si="35"/>
        <v>0</v>
      </c>
      <c r="M36" s="1473"/>
      <c r="N36" s="1475"/>
      <c r="O36" s="1473"/>
      <c r="P36" s="1414">
        <f t="shared" si="36"/>
        <v>0</v>
      </c>
      <c r="Q36" s="1416">
        <f t="shared" si="37"/>
        <v>0</v>
      </c>
      <c r="R36" s="1473"/>
      <c r="S36" s="1475"/>
      <c r="T36" s="1473"/>
      <c r="U36" s="1414">
        <f t="shared" si="38"/>
        <v>0</v>
      </c>
      <c r="V36" s="1416">
        <f t="shared" si="39"/>
        <v>0</v>
      </c>
      <c r="W36" s="1473"/>
      <c r="X36" s="1475"/>
      <c r="Y36" s="1473"/>
      <c r="Z36" s="1414">
        <f t="shared" si="40"/>
        <v>0</v>
      </c>
      <c r="AA36" s="1416">
        <f t="shared" si="41"/>
        <v>0</v>
      </c>
      <c r="AB36" s="1473"/>
      <c r="AC36" s="1475"/>
      <c r="AD36" s="1473"/>
      <c r="AE36" s="1414">
        <f t="shared" si="42"/>
        <v>0</v>
      </c>
      <c r="AF36" s="1416">
        <f t="shared" si="43"/>
        <v>0</v>
      </c>
      <c r="AG36" s="1473"/>
      <c r="AH36" s="1475"/>
      <c r="AI36" s="1473"/>
      <c r="AJ36" s="1414">
        <f t="shared" si="44"/>
        <v>0</v>
      </c>
      <c r="AK36" s="1416">
        <f t="shared" si="45"/>
        <v>0</v>
      </c>
      <c r="AL36" s="1473"/>
      <c r="AM36" s="1475"/>
      <c r="AN36" s="1473"/>
      <c r="AO36" s="1414">
        <f t="shared" si="46"/>
        <v>0</v>
      </c>
      <c r="AP36" s="1416">
        <f t="shared" si="47"/>
        <v>0</v>
      </c>
      <c r="AQ36" s="1473"/>
      <c r="AR36" s="1475"/>
      <c r="AS36" s="1473"/>
      <c r="AT36" s="1414">
        <f t="shared" si="48"/>
        <v>0</v>
      </c>
      <c r="AU36" s="1416">
        <f t="shared" si="49"/>
        <v>0</v>
      </c>
      <c r="AV36" s="1473"/>
      <c r="AW36" s="1475"/>
      <c r="AX36" s="1473"/>
      <c r="AY36" s="1414">
        <f t="shared" si="50"/>
        <v>0</v>
      </c>
      <c r="AZ36" s="1416">
        <f t="shared" si="51"/>
        <v>0</v>
      </c>
      <c r="BA36" s="1473"/>
      <c r="BB36" s="1475"/>
      <c r="BC36" s="1473"/>
      <c r="BD36" s="1414">
        <f t="shared" si="52"/>
        <v>0</v>
      </c>
      <c r="BE36" s="1416">
        <f t="shared" si="53"/>
        <v>0</v>
      </c>
      <c r="BF36" s="1473"/>
      <c r="BG36" s="1475"/>
      <c r="BH36" s="1473"/>
      <c r="BI36" s="1414">
        <f t="shared" si="54"/>
        <v>0</v>
      </c>
      <c r="BJ36" s="1416">
        <f t="shared" si="55"/>
        <v>0</v>
      </c>
      <c r="BK36" s="1473"/>
      <c r="BL36" s="1475"/>
      <c r="BM36" s="1473"/>
      <c r="BN36" s="1414">
        <f t="shared" si="56"/>
        <v>0</v>
      </c>
      <c r="BO36" s="1416">
        <f t="shared" si="57"/>
        <v>0</v>
      </c>
      <c r="BP36" s="1415"/>
      <c r="BQ36" s="1415"/>
      <c r="BR36" s="1476"/>
      <c r="BS36" s="1414">
        <f t="shared" si="59"/>
        <v>0</v>
      </c>
      <c r="BT36" s="1416">
        <f t="shared" si="60"/>
        <v>0</v>
      </c>
      <c r="BU36" s="1386"/>
    </row>
    <row r="37" spans="1:74" s="1477" customFormat="1" ht="16.5" thickBot="1">
      <c r="A37" s="1478"/>
      <c r="B37" s="1479"/>
      <c r="C37" s="1479"/>
      <c r="D37" s="1479"/>
      <c r="E37" s="1479"/>
      <c r="F37" s="1479"/>
      <c r="G37" s="1479"/>
      <c r="H37" s="1479"/>
      <c r="I37" s="1479"/>
      <c r="J37" s="1479"/>
      <c r="K37" s="1479"/>
      <c r="L37" s="1479"/>
      <c r="M37" s="1479"/>
      <c r="N37" s="1479"/>
      <c r="O37" s="1479"/>
      <c r="P37" s="1479"/>
      <c r="Q37" s="1479"/>
      <c r="R37" s="1479"/>
      <c r="S37" s="1479"/>
      <c r="T37" s="1479"/>
      <c r="U37" s="1479"/>
      <c r="V37" s="1479"/>
      <c r="W37" s="1479"/>
      <c r="X37" s="1479"/>
      <c r="Y37" s="1479"/>
      <c r="Z37" s="1479"/>
      <c r="AA37" s="1479"/>
      <c r="AB37" s="1479"/>
      <c r="AC37" s="1479"/>
      <c r="AD37" s="1479"/>
      <c r="AE37" s="1479"/>
      <c r="AF37" s="1479"/>
      <c r="AG37" s="1479"/>
      <c r="AH37" s="1479"/>
      <c r="AI37" s="1479"/>
      <c r="AJ37" s="1479"/>
      <c r="AK37" s="1479"/>
      <c r="AL37" s="1479"/>
      <c r="AM37" s="1479"/>
      <c r="AN37" s="1479"/>
      <c r="AO37" s="1479"/>
      <c r="AP37" s="1479"/>
      <c r="AQ37" s="1479"/>
      <c r="AR37" s="1479"/>
      <c r="AS37" s="1479"/>
      <c r="AT37" s="1479"/>
      <c r="AU37" s="1479"/>
      <c r="AV37" s="1479"/>
      <c r="AW37" s="1479"/>
      <c r="AX37" s="1479"/>
      <c r="AY37" s="1479"/>
      <c r="AZ37" s="1479"/>
      <c r="BA37" s="1479"/>
      <c r="BB37" s="1479"/>
      <c r="BC37" s="1479"/>
      <c r="BD37" s="1479"/>
      <c r="BE37" s="1479"/>
      <c r="BF37" s="1479"/>
      <c r="BG37" s="1479"/>
      <c r="BH37" s="1479"/>
      <c r="BI37" s="1479"/>
      <c r="BJ37" s="1479"/>
      <c r="BK37" s="1479"/>
      <c r="BL37" s="1479"/>
      <c r="BM37" s="1479"/>
      <c r="BN37" s="1479"/>
      <c r="BO37" s="1479"/>
      <c r="BP37" s="1479"/>
      <c r="BQ37" s="1479"/>
      <c r="BR37" s="1479"/>
      <c r="BS37" s="1479"/>
      <c r="BT37" s="1480"/>
      <c r="BU37" s="1386"/>
    </row>
    <row r="38" spans="1:74" s="1489" customFormat="1" ht="22.5" customHeight="1" thickBot="1">
      <c r="A38" s="1400" t="s">
        <v>1470</v>
      </c>
      <c r="B38" s="1481">
        <f>I38+N38+S38+X38+AC38+AH38+AM38+AR38+AW38+BB38+BG38+BL38</f>
        <v>836546.96900000004</v>
      </c>
      <c r="C38" s="1482">
        <v>469759.51899999997</v>
      </c>
      <c r="D38" s="1482">
        <v>469974.24100000004</v>
      </c>
      <c r="E38" s="1482">
        <v>471293.63799999998</v>
      </c>
      <c r="F38" s="1465">
        <f>IF(ISERR(E38/D38-1),0,E38/D38-1)</f>
        <v>2.8073815220011067E-3</v>
      </c>
      <c r="G38" s="1466">
        <f>IF(ISERR(E38/C38-1),0,E38/C38-1)</f>
        <v>3.2657539399429947E-3</v>
      </c>
      <c r="H38" s="1483">
        <v>91603.705000000002</v>
      </c>
      <c r="I38" s="1484">
        <v>87485.657999999996</v>
      </c>
      <c r="J38" s="1482">
        <f>90006.221+554.62</f>
        <v>90560.841</v>
      </c>
      <c r="K38" s="1468">
        <f>IF(ISERR(J38/I38-1),0,J38/I38-1)</f>
        <v>3.5150710074101532E-2</v>
      </c>
      <c r="L38" s="1469">
        <f>IF(ISERR(J38/H38-1),0,J38/H38-1)</f>
        <v>-1.1384517689541074E-2</v>
      </c>
      <c r="M38" s="1483">
        <v>78377.402000000002</v>
      </c>
      <c r="N38" s="1484">
        <v>74888.553</v>
      </c>
      <c r="O38" s="1483">
        <v>77468.069000000018</v>
      </c>
      <c r="P38" s="1468">
        <f>IF(ISERR(O38/N38-1),0,O38/N38-1)</f>
        <v>3.4444730157892289E-2</v>
      </c>
      <c r="Q38" s="1469">
        <f>IF(ISERR(O38/M38-1),0,O38/M38-1)</f>
        <v>-1.1601979356243297E-2</v>
      </c>
      <c r="R38" s="1483">
        <v>79089.580999999991</v>
      </c>
      <c r="S38" s="1484">
        <v>77226.547000000006</v>
      </c>
      <c r="T38" s="1483">
        <v>78001.305999999997</v>
      </c>
      <c r="U38" s="1468">
        <f>IF(ISERR(T38/S38-1),0,T38/S38-1)</f>
        <v>1.0032288508250886E-2</v>
      </c>
      <c r="V38" s="1469">
        <f>IF(ISERR(T38/R38-1),0,T38/R38-1)</f>
        <v>-1.3760029908364224E-2</v>
      </c>
      <c r="W38" s="1483">
        <v>66724.752999999997</v>
      </c>
      <c r="X38" s="1484">
        <v>68355.848000000013</v>
      </c>
      <c r="Y38" s="1483">
        <v>65792.655999999988</v>
      </c>
      <c r="Z38" s="1468">
        <f>IF(ISERR(Y38/X38-1),0,Y38/X38-1)</f>
        <v>-3.7497771953615811E-2</v>
      </c>
      <c r="AA38" s="1469">
        <f>IF(ISERR(Y38/W38-1),0,Y38/W38-1)</f>
        <v>-1.3969283633017082E-2</v>
      </c>
      <c r="AB38" s="1483">
        <v>57724.112000000001</v>
      </c>
      <c r="AC38" s="1484">
        <v>62154.543999999994</v>
      </c>
      <c r="AD38" s="1483">
        <v>60782.520999999993</v>
      </c>
      <c r="AE38" s="1468">
        <f>IF(ISERR(AD38/AC38-1),0,AD38/AC38-1)</f>
        <v>-2.2074379630232732E-2</v>
      </c>
      <c r="AF38" s="1469">
        <f>IF(ISERR(AD38/AB38-1),0,AD38/AB38-1)</f>
        <v>5.2983214362829711E-2</v>
      </c>
      <c r="AG38" s="1483">
        <v>47678.463000000003</v>
      </c>
      <c r="AH38" s="1484">
        <v>52069.944000000003</v>
      </c>
      <c r="AI38" s="1483">
        <v>50236.507000000005</v>
      </c>
      <c r="AJ38" s="1468">
        <f>IF(ISERR(AI38/AH38-1),0,AI38/AH38-1)</f>
        <v>-3.5211042285737792E-2</v>
      </c>
      <c r="AK38" s="1469">
        <f>IF(ISERR(AI38/AG38-1),0,AI38/AG38-1)</f>
        <v>5.3651981189074771E-2</v>
      </c>
      <c r="AL38" s="1483">
        <v>48561.502999999997</v>
      </c>
      <c r="AM38" s="1484">
        <v>47793.147000000004</v>
      </c>
      <c r="AN38" s="1483">
        <v>48451.73799999999</v>
      </c>
      <c r="AO38" s="1468">
        <f>IF(ISERR(AN38/AM38-1),0,AN38/AM38-1)</f>
        <v>1.3780030011415256E-2</v>
      </c>
      <c r="AP38" s="1469">
        <f>IF(ISERR(AN38/AL38-1),0,AN38/AL38-1)</f>
        <v>-2.2603295454015626E-3</v>
      </c>
      <c r="AQ38" s="1483">
        <v>54786.59</v>
      </c>
      <c r="AR38" s="1484">
        <v>50867.947999999997</v>
      </c>
      <c r="AS38" s="1483">
        <f>ККП!D426*1000</f>
        <v>57180.12</v>
      </c>
      <c r="AT38" s="1468">
        <f>IF(ISERR(AS38/AR38-1),0,AS38/AR38-1)</f>
        <v>0.12408937746024296</v>
      </c>
      <c r="AU38" s="1469">
        <f>IF(ISERR(AS38/AQ38-1),0,AS38/AQ38-1)</f>
        <v>4.3688245609007748E-2</v>
      </c>
      <c r="AV38" s="1483">
        <v>63503.497000000003</v>
      </c>
      <c r="AW38" s="1484">
        <v>65031.844000000005</v>
      </c>
      <c r="AX38" s="1483"/>
      <c r="AY38" s="1468">
        <f>IF(ISERR(AX38/AW38-1),0,AX38/AW38-1)</f>
        <v>-1</v>
      </c>
      <c r="AZ38" s="1469">
        <f>IF(ISERR(AX38/AV38-1),0,AX38/AV38-1)</f>
        <v>-1</v>
      </c>
      <c r="BA38" s="1483">
        <f>75559.376+465.681</f>
        <v>76025.057000000001</v>
      </c>
      <c r="BB38" s="1484">
        <v>77503.237000000008</v>
      </c>
      <c r="BC38" s="1483"/>
      <c r="BD38" s="1468">
        <f>IF(ISERR(BC38/BB38-1),0,BC38/BB38-1)</f>
        <v>-1</v>
      </c>
      <c r="BE38" s="1469">
        <f>IF(ISERR(BC38/BA38-1),0,BC38/BA38-1)</f>
        <v>-1</v>
      </c>
      <c r="BF38" s="1483">
        <v>84156.536999999997</v>
      </c>
      <c r="BG38" s="1484">
        <v>84463.547999999995</v>
      </c>
      <c r="BH38" s="1483"/>
      <c r="BI38" s="1468">
        <f>IF(ISERR(BH38/BG38-1),0,BH38/BG38-1)</f>
        <v>-1</v>
      </c>
      <c r="BJ38" s="1469">
        <f>IF(ISERR(BH38/BF38-1),0,BH38/BF38-1)</f>
        <v>-1</v>
      </c>
      <c r="BK38" s="1483">
        <v>89080.517000000007</v>
      </c>
      <c r="BL38" s="1484">
        <v>88706.151000000013</v>
      </c>
      <c r="BM38" s="1483"/>
      <c r="BN38" s="1468">
        <f>IF(ISERR(BM38/BL38-1),0,BM38/BL38-1)</f>
        <v>-1</v>
      </c>
      <c r="BO38" s="1469">
        <f>IF(ISERR(BM38/BK38-1),0,BM38/BK38-1)</f>
        <v>-1</v>
      </c>
      <c r="BP38" s="1485">
        <f>C38+AQ38</f>
        <v>524546.10899999994</v>
      </c>
      <c r="BQ38" s="1486">
        <f>D38+AR38</f>
        <v>520842.18900000001</v>
      </c>
      <c r="BR38" s="1487">
        <f>E38+AS38</f>
        <v>528473.75800000003</v>
      </c>
      <c r="BS38" s="1468">
        <f>IF(ISERR(BR38/BQ38-1),0,BR38/BQ38-1)</f>
        <v>1.465236334762432E-2</v>
      </c>
      <c r="BT38" s="1469">
        <f>IF(ISERR(BR38/BP38-1),0,BR38/BP38-1)</f>
        <v>7.4877097220067412E-3</v>
      </c>
      <c r="BU38" s="1488"/>
    </row>
    <row r="39" spans="1:74" s="1489" customFormat="1" ht="22.5" customHeight="1" thickBot="1">
      <c r="A39" s="1400" t="s">
        <v>1471</v>
      </c>
      <c r="B39" s="1481">
        <f>B41+B42</f>
        <v>77182.398000000001</v>
      </c>
      <c r="C39" s="1490">
        <f>C41+C42</f>
        <v>44415.392</v>
      </c>
      <c r="D39" s="1484">
        <f>D41+D42</f>
        <v>43291.321000000004</v>
      </c>
      <c r="E39" s="1483">
        <f>E41+E42</f>
        <v>39741.400999999998</v>
      </c>
      <c r="F39" s="1474">
        <f>IF(ISERR(E39/D39-1),0,E39/D39-1)</f>
        <v>-8.2000731740202726E-2</v>
      </c>
      <c r="G39" s="1412">
        <f>IF(ISERR(E39/C39-1),0,E39/C39-1)</f>
        <v>-0.10523358659088278</v>
      </c>
      <c r="H39" s="1483">
        <f>H41+H42</f>
        <v>9028.59</v>
      </c>
      <c r="I39" s="1484">
        <f>I41+I42</f>
        <v>8055.0680000000011</v>
      </c>
      <c r="J39" s="1483">
        <f>J41+J42</f>
        <v>8042.0069999999996</v>
      </c>
      <c r="K39" s="1414">
        <f>IF(ISERR(J39/I39-1),0,J39/I39-1)</f>
        <v>-1.6214636549314321E-3</v>
      </c>
      <c r="L39" s="1416">
        <f>IF(ISERR(J39/H39-1),0,J39/H39-1)</f>
        <v>-0.10927320877346303</v>
      </c>
      <c r="M39" s="1483">
        <f>M41+M42</f>
        <v>7733.7999999999993</v>
      </c>
      <c r="N39" s="1484">
        <f>N41+N42</f>
        <v>6878.2100000000009</v>
      </c>
      <c r="O39" s="1483">
        <f>O41+O42</f>
        <v>3858.59</v>
      </c>
      <c r="P39" s="1414">
        <f>IF(ISERR(O39/N39-1),0,O39/N39-1)</f>
        <v>-0.43901247562956069</v>
      </c>
      <c r="Q39" s="1416">
        <f>IF(ISERR(O39/M39-1),0,O39/M39-1)</f>
        <v>-0.50107450412475107</v>
      </c>
      <c r="R39" s="1483">
        <f>R41+R42</f>
        <v>7264.32</v>
      </c>
      <c r="S39" s="1484">
        <f>S41+S42</f>
        <v>7113.5929999999998</v>
      </c>
      <c r="T39" s="1483">
        <f>T41+T42</f>
        <v>7104.9489999999996</v>
      </c>
      <c r="U39" s="1414">
        <f>IF(ISERR(T39/S39-1),0,T39/S39-1)</f>
        <v>-1.2151383977127006E-3</v>
      </c>
      <c r="V39" s="1416">
        <f>IF(ISERR(T39/R39-1),0,T39/R39-1)</f>
        <v>-2.1938873838156958E-2</v>
      </c>
      <c r="W39" s="1483">
        <f>W41+W42</f>
        <v>6174.2839999999997</v>
      </c>
      <c r="X39" s="1484">
        <f>X41+X42</f>
        <v>6276.4320000000007</v>
      </c>
      <c r="Y39" s="1483">
        <f>Y41+Y42</f>
        <v>6062.0249999999996</v>
      </c>
      <c r="Z39" s="1414">
        <f>IF(ISERR(Y39/X39-1),0,Y39/X39-1)</f>
        <v>-3.4160650509716506E-2</v>
      </c>
      <c r="AA39" s="1416">
        <f>IF(ISERR(Y39/W39-1),0,Y39/W39-1)</f>
        <v>-1.8181703335965804E-2</v>
      </c>
      <c r="AB39" s="1483">
        <f>AB41+AB42</f>
        <v>5335.86</v>
      </c>
      <c r="AC39" s="1484">
        <f>AC41+AC42</f>
        <v>5722.3730000000005</v>
      </c>
      <c r="AD39" s="1483">
        <f>AD41+AD42</f>
        <v>5580.1719999999996</v>
      </c>
      <c r="AE39" s="1414">
        <f>IF(ISERR(AD39/AC39-1),0,AD39/AC39-1)</f>
        <v>-2.4850005408595499E-2</v>
      </c>
      <c r="AF39" s="1416">
        <f>IF(ISERR(AD39/AB39-1),0,AD39/AB39-1)</f>
        <v>4.5786808499473253E-2</v>
      </c>
      <c r="AG39" s="1483">
        <f>AG41+AG42</f>
        <v>4406.1329999999998</v>
      </c>
      <c r="AH39" s="1484">
        <f>AH41+AH42</f>
        <v>4800.1490000000003</v>
      </c>
      <c r="AI39" s="1483">
        <f>AI41+AI42</f>
        <v>4605.8819999999996</v>
      </c>
      <c r="AJ39" s="1414">
        <f>IF(ISERR(AI39/AH39-1),0,AI39/AH39-1)</f>
        <v>-4.0471035378276898E-2</v>
      </c>
      <c r="AK39" s="1416">
        <f>IF(ISERR(AI39/AG39-1),0,AI39/AG39-1)</f>
        <v>4.5334310153597235E-2</v>
      </c>
      <c r="AL39" s="1483">
        <f>AL41+AL42</f>
        <v>4472.4050000000007</v>
      </c>
      <c r="AM39" s="1484">
        <f>AM41+AM42</f>
        <v>4445.4960000000001</v>
      </c>
      <c r="AN39" s="1483">
        <f>AN41+AN42</f>
        <v>4487.7759999999998</v>
      </c>
      <c r="AO39" s="1414">
        <f>IF(ISERR(AN39/AM39-1),0,AN39/AM39-1)</f>
        <v>9.5107497566075949E-3</v>
      </c>
      <c r="AP39" s="1416">
        <f>IF(ISERR(AN39/AL39-1),0,AN39/AL39-1)</f>
        <v>3.4368533261186496E-3</v>
      </c>
      <c r="AQ39" s="1483">
        <f>AQ41+AQ42</f>
        <v>4781.6220000000003</v>
      </c>
      <c r="AR39" s="1484">
        <f>AR41+AR42</f>
        <v>4723.1610000000001</v>
      </c>
      <c r="AS39" s="1483">
        <f>AS41+AS42+AS43</f>
        <v>1788.3280000000002</v>
      </c>
      <c r="AT39" s="1414">
        <f>IF(ISERR(AS39/AR39-1),0,AS39/AR39-1)</f>
        <v>-0.62137051859972581</v>
      </c>
      <c r="AU39" s="1416">
        <f>IF(ISERR(AS39/AQ39-1),0,AS39/AQ39-1)</f>
        <v>-0.62599971306807611</v>
      </c>
      <c r="AV39" s="1483">
        <f>AV41+AV42</f>
        <v>5831.6959999999999</v>
      </c>
      <c r="AW39" s="1484">
        <f>AW41+AW42</f>
        <v>6015.4330000000009</v>
      </c>
      <c r="AX39" s="1483">
        <f>AX41+AX42</f>
        <v>0</v>
      </c>
      <c r="AY39" s="1414">
        <f>IF(ISERR(AX39/AW39-1),0,AX39/AW39-1)</f>
        <v>-1</v>
      </c>
      <c r="AZ39" s="1416">
        <f>IF(ISERR(AX39/AV39-1),0,AX39/AV39-1)</f>
        <v>-1</v>
      </c>
      <c r="BA39" s="1483">
        <f>BA41+BA42</f>
        <v>6852.3289999999997</v>
      </c>
      <c r="BB39" s="1484">
        <f>BB41+BB42</f>
        <v>7158.5540000000001</v>
      </c>
      <c r="BC39" s="1483">
        <f>BC41+BC42</f>
        <v>0</v>
      </c>
      <c r="BD39" s="1414">
        <f>IF(ISERR(BC39/BB39-1),0,BC39/BB39-1)</f>
        <v>-1</v>
      </c>
      <c r="BE39" s="1416">
        <f>IF(ISERR(BC39/BA39-1),0,BC39/BA39-1)</f>
        <v>-1</v>
      </c>
      <c r="BF39" s="1483">
        <f>BF41+BF42</f>
        <v>7716.1859999999997</v>
      </c>
      <c r="BG39" s="1484">
        <f>BG41+BG42</f>
        <v>7786.6919999999991</v>
      </c>
      <c r="BH39" s="1483">
        <f>BH41+BH42</f>
        <v>0</v>
      </c>
      <c r="BI39" s="1414">
        <f>IF(ISERR(BH39/BG39-1),0,BH39/BG39-1)</f>
        <v>-1</v>
      </c>
      <c r="BJ39" s="1416">
        <f>IF(ISERR(BH39/BF39-1),0,BH39/BF39-1)</f>
        <v>-1</v>
      </c>
      <c r="BK39" s="1484">
        <f>BK41+BK42</f>
        <v>7505.4479999999994</v>
      </c>
      <c r="BL39" s="1484">
        <f>BL41+BL42</f>
        <v>8207.237000000001</v>
      </c>
      <c r="BM39" s="1484">
        <f>BM41+BM42</f>
        <v>0</v>
      </c>
      <c r="BN39" s="1414">
        <f>IF(ISERR(BM39/BL39-1),0,BM39/BL39-1)</f>
        <v>-1</v>
      </c>
      <c r="BO39" s="1416">
        <f>IF(ISERR(BM39/BK39-1),0,BM39/BK39-1)</f>
        <v>-1</v>
      </c>
      <c r="BP39" s="1491">
        <f>BP41+BP42</f>
        <v>49197.014000000003</v>
      </c>
      <c r="BQ39" s="1492">
        <f>BQ41+BQ42</f>
        <v>48014.482000000011</v>
      </c>
      <c r="BR39" s="1493">
        <f>BR41+BR42</f>
        <v>41529.728999999999</v>
      </c>
      <c r="BS39" s="1414">
        <f>IF(ISERR(BR39/BQ39-1),0,BR39/BQ39-1)</f>
        <v>-0.13505827262699632</v>
      </c>
      <c r="BT39" s="1416">
        <f>IF(ISERR(BR39/BP39-1),0,BR39/BP39-1)</f>
        <v>-0.15584858463157958</v>
      </c>
      <c r="BU39" s="1488"/>
    </row>
    <row r="40" spans="1:74" s="1497" customFormat="1" ht="15.75">
      <c r="A40" s="1494" t="s">
        <v>1454</v>
      </c>
      <c r="B40" s="1495"/>
      <c r="C40" s="1495"/>
      <c r="D40" s="1495"/>
      <c r="E40" s="1495"/>
      <c r="F40" s="1495"/>
      <c r="G40" s="1495"/>
      <c r="H40" s="1495"/>
      <c r="I40" s="1495"/>
      <c r="J40" s="1495"/>
      <c r="K40" s="1495"/>
      <c r="L40" s="1495"/>
      <c r="M40" s="1495"/>
      <c r="N40" s="1495"/>
      <c r="O40" s="1495"/>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5"/>
      <c r="BM40" s="1495"/>
      <c r="BN40" s="1495"/>
      <c r="BO40" s="1495"/>
      <c r="BP40" s="1495"/>
      <c r="BQ40" s="1495"/>
      <c r="BR40" s="1495"/>
      <c r="BS40" s="1495"/>
      <c r="BT40" s="1496"/>
      <c r="BU40" s="1391"/>
    </row>
    <row r="41" spans="1:74" s="1497" customFormat="1" ht="15.75">
      <c r="A41" s="1498" t="s">
        <v>1472</v>
      </c>
      <c r="B41" s="1499">
        <f>I41+N41+S41+X41+AC41+AH41+AM41+AR41+AW41+BB41+BG41+BL41</f>
        <v>77045.942999999999</v>
      </c>
      <c r="C41" s="1500">
        <v>44352.031999999999</v>
      </c>
      <c r="D41" s="1501">
        <v>43224.009000000005</v>
      </c>
      <c r="E41" s="1502">
        <v>39700.563999999998</v>
      </c>
      <c r="F41" s="1445">
        <f>IF(ISERR(E41/D41-1),0,E41/D41-1)</f>
        <v>-8.1515923245342847E-2</v>
      </c>
      <c r="G41" s="1446">
        <f>IF(ISERR(E41/C41-1),0,E41/C41-1)</f>
        <v>-0.10487609677049292</v>
      </c>
      <c r="H41" s="1503">
        <v>8987.8490000000002</v>
      </c>
      <c r="I41" s="1504">
        <v>8039.4180000000015</v>
      </c>
      <c r="J41" s="1502">
        <v>8039.4</v>
      </c>
      <c r="K41" s="1447">
        <f>IF(ISERR(J41/I41-1),0,J41/I41-1)</f>
        <v>-2.2389680449652616E-6</v>
      </c>
      <c r="L41" s="1448">
        <f>IF(ISERR(J41/H41-1),0,J41/H41-1)</f>
        <v>-0.1055256936337049</v>
      </c>
      <c r="M41" s="1503">
        <v>7731.15</v>
      </c>
      <c r="N41" s="1504">
        <v>6865.7250000000013</v>
      </c>
      <c r="O41" s="1503">
        <v>3851.1390000000001</v>
      </c>
      <c r="P41" s="1447">
        <f>IF(ISERR(O41/N41-1),0,O41/N41-1)</f>
        <v>-0.43907759195132345</v>
      </c>
      <c r="Q41" s="1448">
        <f>IF(ISERR(O41/M41-1),0,O41/M41-1)</f>
        <v>-0.50186725131448751</v>
      </c>
      <c r="R41" s="1503">
        <v>7261</v>
      </c>
      <c r="S41" s="1504">
        <v>7103.1669999999995</v>
      </c>
      <c r="T41" s="1503">
        <v>7103</v>
      </c>
      <c r="U41" s="1447">
        <f>IF(ISERR(T41/S41-1),0,T41/S41-1)</f>
        <v>-2.3510639690638158E-5</v>
      </c>
      <c r="V41" s="1448">
        <f>IF(ISERR(T41/R41-1),0,T41/R41-1)</f>
        <v>-2.1760088142129153E-2</v>
      </c>
      <c r="W41" s="1503">
        <v>6172.32</v>
      </c>
      <c r="X41" s="1504">
        <v>6266.0640000000003</v>
      </c>
      <c r="Y41" s="1503">
        <v>6053.732</v>
      </c>
      <c r="Z41" s="1447">
        <f>IF(ISERR(Y41/X41-1),0,Y41/X41-1)</f>
        <v>-3.3886024783660096E-2</v>
      </c>
      <c r="AA41" s="1448">
        <f>IF(ISERR(Y41/W41-1),0,Y41/W41-1)</f>
        <v>-1.9212872955387872E-2</v>
      </c>
      <c r="AB41" s="1503">
        <v>5333.7079999999996</v>
      </c>
      <c r="AC41" s="1504">
        <v>5715.027000000001</v>
      </c>
      <c r="AD41" s="1503">
        <v>5571.5929999999998</v>
      </c>
      <c r="AE41" s="1447">
        <f>IF(ISERR(AD41/AC41-1),0,AD41/AC41-1)</f>
        <v>-2.5097694201619891E-2</v>
      </c>
      <c r="AF41" s="1448">
        <f>IF(ISERR(AD41/AB41-1),0,AD41/AB41-1)</f>
        <v>4.4600304328620943E-2</v>
      </c>
      <c r="AG41" s="1503">
        <v>4405.49</v>
      </c>
      <c r="AH41" s="1504">
        <v>4793.8010000000004</v>
      </c>
      <c r="AI41" s="1503">
        <v>4600</v>
      </c>
      <c r="AJ41" s="1447">
        <f>IF(ISERR(AI41/AH41-1),0,AI41/AH41-1)</f>
        <v>-4.0427418660057057E-2</v>
      </c>
      <c r="AK41" s="1448">
        <f>IF(ISERR(AI41/AG41-1),0,AI41/AG41-1)</f>
        <v>4.4151728865574613E-2</v>
      </c>
      <c r="AL41" s="1503">
        <v>4460.5150000000003</v>
      </c>
      <c r="AM41" s="1504">
        <v>4440.8069999999998</v>
      </c>
      <c r="AN41" s="1503">
        <v>4481.7</v>
      </c>
      <c r="AO41" s="1447">
        <f>IF(ISERR(AN41/AM41-1),0,AN41/AM41-1)</f>
        <v>9.2084614350500527E-3</v>
      </c>
      <c r="AP41" s="1448">
        <f>IF(ISERR(AN41/AL41-1),0,AN41/AL41-1)</f>
        <v>4.7494515767796397E-3</v>
      </c>
      <c r="AQ41" s="1503">
        <v>4765</v>
      </c>
      <c r="AR41" s="1504">
        <v>4717.8530000000001</v>
      </c>
      <c r="AS41" s="1503">
        <f>ККП!D276*1000</f>
        <v>1788.3280000000002</v>
      </c>
      <c r="AT41" s="1447">
        <f>IF(ISERR(AS41/AR41-1),0,AS41/AR41-1)</f>
        <v>-0.62094452709738945</v>
      </c>
      <c r="AU41" s="1448">
        <f>IF(ISERR(AS41/AQ41-1),0,AS41/AQ41-1)</f>
        <v>-0.62469506820566623</v>
      </c>
      <c r="AV41" s="1503">
        <v>5830</v>
      </c>
      <c r="AW41" s="1504">
        <v>6005.1470000000008</v>
      </c>
      <c r="AX41" s="1503"/>
      <c r="AY41" s="1447">
        <f>IF(ISERR(AX41/AW41-1),0,AX41/AW41-1)</f>
        <v>-1</v>
      </c>
      <c r="AZ41" s="1448">
        <f>IF(ISERR(AX41/AV41-1),0,AX41/AV41-1)</f>
        <v>-1</v>
      </c>
      <c r="BA41" s="1503">
        <v>6850</v>
      </c>
      <c r="BB41" s="1504">
        <v>7142.8739999999998</v>
      </c>
      <c r="BC41" s="1503"/>
      <c r="BD41" s="1447">
        <f>IF(ISERR(BC41/BB41-1),0,BC41/BB41-1)</f>
        <v>-1</v>
      </c>
      <c r="BE41" s="1448">
        <f>IF(ISERR(BC41/BA41-1),0,BC41/BA41-1)</f>
        <v>-1</v>
      </c>
      <c r="BF41" s="1503">
        <v>7701.9059999999999</v>
      </c>
      <c r="BG41" s="1504">
        <v>7768.1829999999991</v>
      </c>
      <c r="BH41" s="1503"/>
      <c r="BI41" s="1447">
        <f>IF(ISERR(BH41/BG41-1),0,BH41/BG41-1)</f>
        <v>-1</v>
      </c>
      <c r="BJ41" s="1448">
        <f>IF(ISERR(BH41/BF41-1),0,BH41/BF41-1)</f>
        <v>-1</v>
      </c>
      <c r="BK41" s="1503">
        <v>7503.5589999999993</v>
      </c>
      <c r="BL41" s="1504">
        <v>8187.8770000000004</v>
      </c>
      <c r="BM41" s="1503"/>
      <c r="BN41" s="1447">
        <f>IF(ISERR(BM41/BL41-1),0,BM41/BL41-1)</f>
        <v>-1</v>
      </c>
      <c r="BO41" s="1448">
        <f>IF(ISERR(BM41/BK41-1),0,BM41/BK41-1)</f>
        <v>-1</v>
      </c>
      <c r="BP41" s="1452">
        <f t="shared" ref="BP41:BR42" si="75">C41+AQ41</f>
        <v>49117.031999999999</v>
      </c>
      <c r="BQ41" s="1450">
        <f t="shared" si="75"/>
        <v>47941.862000000008</v>
      </c>
      <c r="BR41" s="1351">
        <f t="shared" si="75"/>
        <v>41488.892</v>
      </c>
      <c r="BS41" s="1447">
        <f>IF(ISERR(BR41/BQ41-1),0,BR41/BQ41-1)</f>
        <v>-0.13459990352481532</v>
      </c>
      <c r="BT41" s="1448">
        <f>IF(ISERR(BR41/BP41-1),0,BR41/BP41-1)</f>
        <v>-0.15530539386011755</v>
      </c>
      <c r="BU41" s="1391"/>
    </row>
    <row r="42" spans="1:74" s="1497" customFormat="1" ht="16.149999999999999" customHeight="1">
      <c r="A42" s="1498" t="s">
        <v>1473</v>
      </c>
      <c r="B42" s="1505">
        <f>I42+N42+S42+X42+AC42+AH42+AM42+AR42+AW42+BB42+BG42+BL42</f>
        <v>136.45500000000001</v>
      </c>
      <c r="C42" s="1500">
        <v>63.36</v>
      </c>
      <c r="D42" s="1501">
        <v>67.311999999999998</v>
      </c>
      <c r="E42" s="1502">
        <v>40.836999999999996</v>
      </c>
      <c r="F42" s="1445">
        <f>IF(ISERR(E42/D42-1),0,E42/D42-1)</f>
        <v>-0.39331768481102924</v>
      </c>
      <c r="G42" s="1446">
        <f>IF(ISERR(E42/C42-1),0,E42/C42-1)</f>
        <v>-0.35547664141414148</v>
      </c>
      <c r="H42" s="1503">
        <v>40.741</v>
      </c>
      <c r="I42" s="1504">
        <v>15.65</v>
      </c>
      <c r="J42" s="1502">
        <v>2.6070000000000002</v>
      </c>
      <c r="K42" s="1447">
        <f>IF(ISERR(J42/I42-1),0,J42/I42-1)</f>
        <v>-0.83341853035143765</v>
      </c>
      <c r="L42" s="1448">
        <f>IF(ISERR(J42/H42-1),0,J42/H42-1)</f>
        <v>-0.93601040720649964</v>
      </c>
      <c r="M42" s="1503">
        <v>2.65</v>
      </c>
      <c r="N42" s="1504">
        <v>12.484999999999999</v>
      </c>
      <c r="O42" s="1503">
        <v>7.4509999999999996</v>
      </c>
      <c r="P42" s="1447">
        <f>IF(ISERR(O42/N42-1),0,O42/N42-1)</f>
        <v>-0.4032038446135362</v>
      </c>
      <c r="Q42" s="1448">
        <f>IF(ISERR(O42/M42-1),0,O42/M42-1)</f>
        <v>1.8116981132075471</v>
      </c>
      <c r="R42" s="1503">
        <v>3.32</v>
      </c>
      <c r="S42" s="1504">
        <v>10.426</v>
      </c>
      <c r="T42" s="1503">
        <v>1.9490000000000001</v>
      </c>
      <c r="U42" s="1447">
        <f>IF(ISERR(T42/S42-1),0,T42/S42-1)</f>
        <v>-0.81306349510838283</v>
      </c>
      <c r="V42" s="1448">
        <f>IF(ISERR(T42/R42-1),0,T42/R42-1)</f>
        <v>-0.41295180722891567</v>
      </c>
      <c r="W42" s="1503">
        <v>1.964</v>
      </c>
      <c r="X42" s="1504">
        <v>10.368</v>
      </c>
      <c r="Y42" s="1503">
        <v>8.2929999999999993</v>
      </c>
      <c r="Z42" s="1447">
        <f>IF(ISERR(Y42/X42-1),0,Y42/X42-1)</f>
        <v>-0.20013503086419759</v>
      </c>
      <c r="AA42" s="1448">
        <f>IF(ISERR(Y42/W42-1),0,Y42/W42-1)</f>
        <v>3.222505091649694</v>
      </c>
      <c r="AB42" s="1503">
        <v>2.1520000000000001</v>
      </c>
      <c r="AC42" s="1504">
        <v>7.3460000000000001</v>
      </c>
      <c r="AD42" s="1503">
        <v>8.5790000000000006</v>
      </c>
      <c r="AE42" s="1447">
        <f>IF(ISERR(AD42/AC42-1),0,AD42/AC42-1)</f>
        <v>0.16784644704601148</v>
      </c>
      <c r="AF42" s="1448">
        <f>IF(ISERR(AD42/AB42-1),0,AD42/AB42-1)</f>
        <v>2.9865241635687734</v>
      </c>
      <c r="AG42" s="1503">
        <v>0.64300000000000002</v>
      </c>
      <c r="AH42" s="1504">
        <v>6.3480000000000008</v>
      </c>
      <c r="AI42" s="1503">
        <v>5.8819999999999997</v>
      </c>
      <c r="AJ42" s="1447">
        <f>IF(ISERR(AI42/AH42-1),0,AI42/AH42-1)</f>
        <v>-7.3408947700063121E-2</v>
      </c>
      <c r="AK42" s="1448">
        <f>IF(ISERR(AI42/AG42-1),0,AI42/AG42-1)</f>
        <v>8.1477449455676503</v>
      </c>
      <c r="AL42" s="1503">
        <v>11.89</v>
      </c>
      <c r="AM42" s="1504">
        <v>4.6889999999999992</v>
      </c>
      <c r="AN42" s="1503">
        <v>6.0759999999999996</v>
      </c>
      <c r="AO42" s="1447">
        <f>IF(ISERR(AN42/AM42-1),0,AN42/AM42-1)</f>
        <v>0.29579867775645141</v>
      </c>
      <c r="AP42" s="1448">
        <f>IF(ISERR(AN42/AL42-1),0,AN42/AL42-1)</f>
        <v>-0.48898233809924307</v>
      </c>
      <c r="AQ42" s="1503">
        <v>16.622</v>
      </c>
      <c r="AR42" s="1504">
        <v>5.3079999999999998</v>
      </c>
      <c r="AS42" s="1503">
        <f>ККП!D280*1000</f>
        <v>0</v>
      </c>
      <c r="AT42" s="1447">
        <f>IF(ISERR(AS42/AR42-1),0,AS42/AR42-1)</f>
        <v>-1</v>
      </c>
      <c r="AU42" s="1448">
        <f>IF(ISERR(AS42/AQ42-1),0,AS42/AQ42-1)</f>
        <v>-1</v>
      </c>
      <c r="AV42" s="1503">
        <v>1.696</v>
      </c>
      <c r="AW42" s="1504">
        <v>10.286</v>
      </c>
      <c r="AX42" s="1503"/>
      <c r="AY42" s="1447">
        <f>IF(ISERR(AX42/AW42-1),0,AX42/AW42-1)</f>
        <v>-1</v>
      </c>
      <c r="AZ42" s="1448">
        <f>IF(ISERR(AX42/AV42-1),0,AX42/AV42-1)</f>
        <v>-1</v>
      </c>
      <c r="BA42" s="1503">
        <v>2.3290000000000002</v>
      </c>
      <c r="BB42" s="1504">
        <v>15.68</v>
      </c>
      <c r="BC42" s="1503"/>
      <c r="BD42" s="1447">
        <f>IF(ISERR(BC42/BB42-1),0,BC42/BB42-1)</f>
        <v>-1</v>
      </c>
      <c r="BE42" s="1448">
        <f>IF(ISERR(BC42/BA42-1),0,BC42/BA42-1)</f>
        <v>-1</v>
      </c>
      <c r="BF42" s="1503">
        <v>14.28</v>
      </c>
      <c r="BG42" s="1504">
        <v>18.509</v>
      </c>
      <c r="BH42" s="1503"/>
      <c r="BI42" s="1447">
        <f>IF(ISERR(BH42/BG42-1),0,BH42/BG42-1)</f>
        <v>-1</v>
      </c>
      <c r="BJ42" s="1448">
        <f>IF(ISERR(BH42/BF42-1),0,BH42/BF42-1)</f>
        <v>-1</v>
      </c>
      <c r="BK42" s="1503">
        <v>1.889</v>
      </c>
      <c r="BL42" s="1504">
        <v>19.36</v>
      </c>
      <c r="BM42" s="1503"/>
      <c r="BN42" s="1447">
        <f>IF(ISERR(BM42/BL42-1),0,BM42/BL42-1)</f>
        <v>-1</v>
      </c>
      <c r="BO42" s="1448">
        <f>IF(ISERR(BM42/BK42-1),0,BM42/BK42-1)</f>
        <v>-1</v>
      </c>
      <c r="BP42" s="1452">
        <f t="shared" si="75"/>
        <v>79.981999999999999</v>
      </c>
      <c r="BQ42" s="1450">
        <f t="shared" si="75"/>
        <v>72.62</v>
      </c>
      <c r="BR42" s="1351">
        <f t="shared" si="75"/>
        <v>40.836999999999996</v>
      </c>
      <c r="BS42" s="1447">
        <f>IF(ISERR(BR42/BQ42-1),0,BR42/BQ42-1)</f>
        <v>-0.43766180115670628</v>
      </c>
      <c r="BT42" s="1448">
        <f>IF(ISERR(BR42/BP42-1),0,BR42/BP42-1)</f>
        <v>-0.4894226200895202</v>
      </c>
      <c r="BU42" s="1391"/>
    </row>
    <row r="43" spans="1:74" s="1497" customFormat="1" ht="16.5" thickBot="1">
      <c r="A43" s="1498" t="s">
        <v>1824</v>
      </c>
      <c r="B43" s="1505">
        <f>I43+N43+S43+X43+AC43+AH43+AM43+AR43+AW43+BB43+BG43+BL43</f>
        <v>0</v>
      </c>
      <c r="C43" s="1506"/>
      <c r="D43" s="1387"/>
      <c r="E43" s="1507"/>
      <c r="F43" s="1506"/>
      <c r="G43" s="1508"/>
      <c r="H43" s="1509"/>
      <c r="I43" s="1510"/>
      <c r="J43" s="1509"/>
      <c r="K43" s="1506"/>
      <c r="L43" s="1508"/>
      <c r="M43" s="1509"/>
      <c r="N43" s="1510"/>
      <c r="O43" s="1509"/>
      <c r="P43" s="1506"/>
      <c r="Q43" s="1508"/>
      <c r="R43" s="1509"/>
      <c r="S43" s="1510"/>
      <c r="T43" s="1509"/>
      <c r="U43" s="1506"/>
      <c r="V43" s="1508"/>
      <c r="W43" s="1509"/>
      <c r="X43" s="1510"/>
      <c r="Y43" s="1509"/>
      <c r="Z43" s="1506"/>
      <c r="AA43" s="1508"/>
      <c r="AB43" s="1509"/>
      <c r="AC43" s="1510"/>
      <c r="AD43" s="1509"/>
      <c r="AE43" s="1506"/>
      <c r="AF43" s="1508"/>
      <c r="AG43" s="1509"/>
      <c r="AH43" s="1510"/>
      <c r="AI43" s="1509"/>
      <c r="AJ43" s="1506"/>
      <c r="AK43" s="1508"/>
      <c r="AL43" s="1509"/>
      <c r="AM43" s="1510"/>
      <c r="AN43" s="1509"/>
      <c r="AO43" s="1506"/>
      <c r="AP43" s="1508"/>
      <c r="AQ43" s="1509"/>
      <c r="AR43" s="1510"/>
      <c r="AS43" s="1509">
        <f>ККП!D284*1000</f>
        <v>0</v>
      </c>
      <c r="AT43" s="1506"/>
      <c r="AU43" s="1508"/>
      <c r="AV43" s="1509"/>
      <c r="AW43" s="1510"/>
      <c r="AX43" s="1509"/>
      <c r="AY43" s="1506"/>
      <c r="AZ43" s="1508"/>
      <c r="BA43" s="1509"/>
      <c r="BB43" s="1510"/>
      <c r="BC43" s="1509"/>
      <c r="BD43" s="1506"/>
      <c r="BE43" s="1508"/>
      <c r="BF43" s="1509"/>
      <c r="BG43" s="1510"/>
      <c r="BH43" s="1509"/>
      <c r="BI43" s="1506"/>
      <c r="BJ43" s="1508"/>
      <c r="BK43" s="1509"/>
      <c r="BL43" s="1510"/>
      <c r="BM43" s="1509"/>
      <c r="BN43" s="1506"/>
      <c r="BO43" s="1508"/>
      <c r="BP43" s="1506"/>
      <c r="BQ43" s="1387"/>
      <c r="BR43" s="1507"/>
      <c r="BS43" s="1506"/>
      <c r="BT43" s="1508"/>
      <c r="BU43" s="1391"/>
    </row>
    <row r="44" spans="1:74" s="1497" customFormat="1" ht="15.75" thickBot="1">
      <c r="A44" s="1511"/>
      <c r="C44" s="1512"/>
      <c r="D44" s="1512"/>
      <c r="E44" s="1512"/>
      <c r="F44" s="1513"/>
      <c r="G44" s="1513"/>
      <c r="H44" s="1512"/>
      <c r="I44" s="1512"/>
      <c r="J44" s="1512"/>
      <c r="K44" s="1513"/>
      <c r="L44" s="1513"/>
      <c r="M44" s="1512"/>
      <c r="N44" s="1512"/>
      <c r="O44" s="1512"/>
      <c r="P44" s="1513"/>
      <c r="Q44" s="1513"/>
      <c r="R44" s="1512"/>
      <c r="S44" s="1512"/>
      <c r="T44" s="1512"/>
      <c r="U44" s="1513"/>
      <c r="V44" s="1513"/>
      <c r="W44" s="1512"/>
      <c r="X44" s="1512"/>
      <c r="Y44" s="1512"/>
      <c r="Z44" s="1513"/>
      <c r="AA44" s="1513"/>
      <c r="AB44" s="1512"/>
      <c r="AC44" s="1512"/>
      <c r="AD44" s="1512"/>
      <c r="AE44" s="1513"/>
      <c r="AF44" s="1513"/>
      <c r="AG44" s="1512"/>
      <c r="AH44" s="1512"/>
      <c r="AI44" s="1512"/>
      <c r="AJ44" s="1513"/>
      <c r="AK44" s="1513"/>
      <c r="AL44" s="1512"/>
      <c r="AM44" s="1512"/>
      <c r="AN44" s="1512"/>
      <c r="AO44" s="1513"/>
      <c r="AP44" s="1513"/>
      <c r="AQ44" s="1512"/>
      <c r="AR44" s="1512"/>
      <c r="AS44" s="1512"/>
      <c r="AT44" s="1513"/>
      <c r="AU44" s="1513"/>
      <c r="AV44" s="1512"/>
      <c r="AW44" s="1512"/>
      <c r="AX44" s="1512"/>
      <c r="AY44" s="1513"/>
      <c r="AZ44" s="1513"/>
      <c r="BA44" s="1512"/>
      <c r="BB44" s="1512"/>
      <c r="BC44" s="1512"/>
      <c r="BD44" s="1513"/>
      <c r="BE44" s="1513"/>
      <c r="BF44" s="1512"/>
      <c r="BG44" s="1512"/>
      <c r="BH44" s="1512"/>
      <c r="BI44" s="1513"/>
      <c r="BJ44" s="1513"/>
      <c r="BK44" s="1512"/>
      <c r="BL44" s="1512"/>
      <c r="BM44" s="1512"/>
      <c r="BN44" s="1513"/>
      <c r="BO44" s="1513"/>
      <c r="BP44" s="1512"/>
      <c r="BQ44" s="1512"/>
      <c r="BR44" s="1512"/>
      <c r="BS44" s="1513"/>
      <c r="BT44" s="1513"/>
      <c r="BU44" s="1391"/>
    </row>
    <row r="45" spans="1:74" s="1489" customFormat="1" ht="22.5" customHeight="1" thickBot="1">
      <c r="A45" s="1400" t="s">
        <v>1474</v>
      </c>
      <c r="B45" s="1481">
        <f>SUM(B47:B49)</f>
        <v>759364.00199999998</v>
      </c>
      <c r="C45" s="1490">
        <f>SUM(C47:C49)</f>
        <v>422736.01</v>
      </c>
      <c r="D45" s="1484">
        <f>SUM(D47:D49)</f>
        <v>426682.57899999991</v>
      </c>
      <c r="E45" s="1484">
        <f>SUM(E47:E49)</f>
        <v>428368.875</v>
      </c>
      <c r="F45" s="1474">
        <f>IF(ISERR(E45/D45-1),0,E45/D45-1)</f>
        <v>3.9521088579528296E-3</v>
      </c>
      <c r="G45" s="1412">
        <f>IF(ISERR(E45/C45-1),0,E45/C45-1)</f>
        <v>1.3324781581772527E-2</v>
      </c>
      <c r="H45" s="1483">
        <f>SUM(H47:H49)</f>
        <v>81809.781999999992</v>
      </c>
      <c r="I45" s="1484">
        <f>SUM(I47:I49)</f>
        <v>79430.531999999977</v>
      </c>
      <c r="J45" s="1483">
        <f>SUM(J47:J49)</f>
        <v>81816.024000000005</v>
      </c>
      <c r="K45" s="1414">
        <f>IF(ISERR(J45/I45-1),0,J45/I45-1)</f>
        <v>3.0032431357755796E-2</v>
      </c>
      <c r="L45" s="1416">
        <f>IF(ISERR(J45/H45-1),0,J45/H45-1)</f>
        <v>7.6298944299946214E-5</v>
      </c>
      <c r="M45" s="1483">
        <f>SUM(M47:M49)</f>
        <v>70023.709999999992</v>
      </c>
      <c r="N45" s="1484">
        <f>SUM(N47:N49)</f>
        <v>68010.289999999994</v>
      </c>
      <c r="O45" s="1483">
        <f>SUM(O47:O49)</f>
        <v>73061.934999999998</v>
      </c>
      <c r="P45" s="1414">
        <f>IF(ISERR(O45/N45-1),0,O45/N45-1)</f>
        <v>7.4277657101594619E-2</v>
      </c>
      <c r="Q45" s="1416">
        <f>IF(ISERR(O45/M45-1),0,O45/M45-1)</f>
        <v>4.3388517974840335E-2</v>
      </c>
      <c r="R45" s="1483">
        <f>SUM(R47:R49)</f>
        <v>71230.267999999996</v>
      </c>
      <c r="S45" s="1484">
        <f>SUM(S47:S49)</f>
        <v>70112.907000000007</v>
      </c>
      <c r="T45" s="1483">
        <f>SUM(T47:T49)</f>
        <v>70386.224999999991</v>
      </c>
      <c r="U45" s="1414">
        <f>IF(ISERR(T45/S45-1),0,T45/S45-1)</f>
        <v>3.8982551386721465E-3</v>
      </c>
      <c r="V45" s="1416">
        <f>IF(ISERR(T45/R45-1),0,T45/R45-1)</f>
        <v>-1.1849499148311571E-2</v>
      </c>
      <c r="W45" s="1483">
        <f>SUM(W47:W49)</f>
        <v>60444.614999999998</v>
      </c>
      <c r="X45" s="1484">
        <f>SUM(X47:X49)</f>
        <v>62079.367999999988</v>
      </c>
      <c r="Y45" s="1483">
        <f>SUM(Y47:Y49)</f>
        <v>59329.025999999998</v>
      </c>
      <c r="Z45" s="1414">
        <f>IF(ISERR(Y45/X45-1),0,Y45/X45-1)</f>
        <v>-4.4303640462318938E-2</v>
      </c>
      <c r="AA45" s="1416">
        <f>IF(ISERR(Y45/W45-1),0,Y45/W45-1)</f>
        <v>-1.8456383583549951E-2</v>
      </c>
      <c r="AB45" s="1483">
        <f>SUM(AB47:AB49)</f>
        <v>52315.779000000002</v>
      </c>
      <c r="AC45" s="1484">
        <f>SUM(AC47:AC49)</f>
        <v>56432.126999999979</v>
      </c>
      <c r="AD45" s="1483">
        <f>SUM(AD47:AD49)</f>
        <v>54828.227000000006</v>
      </c>
      <c r="AE45" s="1414">
        <f>IF(ISERR(AD45/AC45-1),0,AD45/AC45-1)</f>
        <v>-2.8421753445514675E-2</v>
      </c>
      <c r="AF45" s="1416">
        <f>IF(ISERR(AD45/AB45-1),0,AD45/AB45-1)</f>
        <v>4.8024669574355361E-2</v>
      </c>
      <c r="AG45" s="1483">
        <f>SUM(AG47:AG49)</f>
        <v>43188.339</v>
      </c>
      <c r="AH45" s="1484">
        <f>SUM(AH47:AH49)</f>
        <v>47269.751000000004</v>
      </c>
      <c r="AI45" s="1483">
        <f>SUM(AI47:AI49)</f>
        <v>45313.740999999995</v>
      </c>
      <c r="AJ45" s="1414">
        <f>IF(ISERR(AI45/AH45-1),0,AI45/AH45-1)</f>
        <v>-4.1379739867891563E-2</v>
      </c>
      <c r="AK45" s="1416">
        <f>IF(ISERR(AI45/AG45-1),0,AI45/AG45-1)</f>
        <v>4.9212404302003687E-2</v>
      </c>
      <c r="AL45" s="1483">
        <f>SUM(AL47:AL49)</f>
        <v>43723.517</v>
      </c>
      <c r="AM45" s="1484">
        <f>SUM(AM47:AM49)</f>
        <v>43347.604000000014</v>
      </c>
      <c r="AN45" s="1483">
        <f>SUM(AN47:AN49)</f>
        <v>43633.697</v>
      </c>
      <c r="AO45" s="1414">
        <f>IF(ISERR(AN45/AM45-1),0,AN45/AM45-1)</f>
        <v>6.5999726305514539E-3</v>
      </c>
      <c r="AP45" s="1416">
        <f>IF(ISERR(AN45/AL45-1),0,AN45/AL45-1)</f>
        <v>-2.0542720751397514E-3</v>
      </c>
      <c r="AQ45" s="1483">
        <f>SUM(AQ47:AQ49)</f>
        <v>49615.209000000003</v>
      </c>
      <c r="AR45" s="1484">
        <f>SUM(AR47:AR49)</f>
        <v>46144.739000000001</v>
      </c>
      <c r="AS45" s="1483">
        <f>SUM(AS47:AS49)</f>
        <v>55312.284999999996</v>
      </c>
      <c r="AT45" s="1414">
        <f>IF(ISERR(AS45/AR45-1),0,AS45/AR45-1)</f>
        <v>0.19866936510357114</v>
      </c>
      <c r="AU45" s="1416">
        <f>IF(ISERR(AS45/AQ45-1),0,AS45/AQ45-1)</f>
        <v>0.11482519402467894</v>
      </c>
      <c r="AV45" s="1483">
        <f>SUM(AV47:AV49)</f>
        <v>57177.085999999996</v>
      </c>
      <c r="AW45" s="1484">
        <f>SUM(AW47:AW49)</f>
        <v>59016.366999999998</v>
      </c>
      <c r="AX45" s="1483">
        <f>SUM(AX47:AX49)</f>
        <v>0</v>
      </c>
      <c r="AY45" s="1414">
        <f>IF(ISERR(AX45/AW45-1),0,AX45/AW45-1)</f>
        <v>-1</v>
      </c>
      <c r="AZ45" s="1416">
        <f>IF(ISERR(AX45/AV45-1),0,AX45/AV45-1)</f>
        <v>-1</v>
      </c>
      <c r="BA45" s="1483">
        <f>SUM(BA47:BA49)</f>
        <v>68607.351999999999</v>
      </c>
      <c r="BB45" s="1484">
        <f>SUM(BB47:BB49)</f>
        <v>70344.646000000008</v>
      </c>
      <c r="BC45" s="1483">
        <f>SUM(BC47:BC49)</f>
        <v>0</v>
      </c>
      <c r="BD45" s="1414">
        <f>IF(ISERR(BC45/BB45-1),0,BC45/BB45-1)</f>
        <v>-1</v>
      </c>
      <c r="BE45" s="1416">
        <f>IF(ISERR(BC45/BA45-1),0,BC45/BA45-1)</f>
        <v>-1</v>
      </c>
      <c r="BF45" s="1483">
        <f>SUM(BF47:BF49)</f>
        <v>75803.535999999993</v>
      </c>
      <c r="BG45" s="1484">
        <f>SUM(BG47:BG49)</f>
        <v>76676.807999999975</v>
      </c>
      <c r="BH45" s="1483">
        <f>SUM(BH47:BH49)</f>
        <v>0</v>
      </c>
      <c r="BI45" s="1414">
        <f>IF(ISERR(BH45/BG45-1),0,BH45/BG45-1)</f>
        <v>-1</v>
      </c>
      <c r="BJ45" s="1416">
        <f>IF(ISERR(BH45/BF45-1),0,BH45/BF45-1)</f>
        <v>-1</v>
      </c>
      <c r="BK45" s="1483">
        <f>SUM(BK47:BK49)</f>
        <v>80949.676999999996</v>
      </c>
      <c r="BL45" s="1484">
        <f>SUM(BL47:BL49)</f>
        <v>80498.862999999998</v>
      </c>
      <c r="BM45" s="1483">
        <f>SUM(BM47:BM49)</f>
        <v>0</v>
      </c>
      <c r="BN45" s="1414">
        <f>IF(ISERR(BM45/BL45-1),0,BM45/BL45-1)</f>
        <v>-1</v>
      </c>
      <c r="BO45" s="1416">
        <f>IF(ISERR(BM45/BK45-1),0,BM45/BK45-1)</f>
        <v>-1</v>
      </c>
      <c r="BP45" s="1491">
        <f>SUM(BP47:BP49)</f>
        <v>472351.21899999998</v>
      </c>
      <c r="BQ45" s="1492">
        <f>SUM(BQ47:BQ49)</f>
        <v>472827.31799999997</v>
      </c>
      <c r="BR45" s="1493">
        <f>SUM(BR47:BR49)</f>
        <v>483681.16</v>
      </c>
      <c r="BS45" s="1414">
        <f>IF(ISERR(BR45/BQ45-1),0,BR45/BQ45-1)</f>
        <v>2.2955192280154968E-2</v>
      </c>
      <c r="BT45" s="1416">
        <f>IF(ISERR(BR45/BP45-1),0,BR45/BP45-1)</f>
        <v>2.3986263916045969E-2</v>
      </c>
      <c r="BU45" s="1488"/>
    </row>
    <row r="46" spans="1:74" s="1497" customFormat="1" ht="15.75">
      <c r="A46" s="1494" t="s">
        <v>1454</v>
      </c>
      <c r="B46" s="1495"/>
      <c r="C46" s="1495"/>
      <c r="D46" s="1495"/>
      <c r="E46" s="1495"/>
      <c r="F46" s="1495"/>
      <c r="G46" s="1495"/>
      <c r="H46" s="1495"/>
      <c r="I46" s="1495"/>
      <c r="J46" s="1495"/>
      <c r="K46" s="1495"/>
      <c r="L46" s="1495"/>
      <c r="M46" s="1495"/>
      <c r="N46" s="1495"/>
      <c r="O46" s="1495"/>
      <c r="P46" s="1495"/>
      <c r="Q46" s="1495"/>
      <c r="R46" s="1495"/>
      <c r="S46" s="1495"/>
      <c r="T46" s="1495"/>
      <c r="U46" s="1495"/>
      <c r="V46" s="1495"/>
      <c r="W46" s="1495"/>
      <c r="X46" s="1495"/>
      <c r="Y46" s="1495"/>
      <c r="Z46" s="1495"/>
      <c r="AA46" s="1495"/>
      <c r="AB46" s="1495"/>
      <c r="AC46" s="1495"/>
      <c r="AD46" s="1495"/>
      <c r="AE46" s="1495"/>
      <c r="AF46" s="1495"/>
      <c r="AG46" s="1495"/>
      <c r="AH46" s="1495"/>
      <c r="AI46" s="1495"/>
      <c r="AJ46" s="1495"/>
      <c r="AK46" s="1495"/>
      <c r="AL46" s="1495"/>
      <c r="AM46" s="1495"/>
      <c r="AN46" s="1495"/>
      <c r="AO46" s="1495"/>
      <c r="AP46" s="1495"/>
      <c r="AQ46" s="1495"/>
      <c r="AR46" s="1495"/>
      <c r="AS46" s="1495"/>
      <c r="AT46" s="1495"/>
      <c r="AU46" s="1495"/>
      <c r="AV46" s="1495"/>
      <c r="AW46" s="1495"/>
      <c r="AX46" s="1495"/>
      <c r="AY46" s="1495"/>
      <c r="AZ46" s="1495"/>
      <c r="BA46" s="1495"/>
      <c r="BB46" s="1495"/>
      <c r="BC46" s="1495"/>
      <c r="BD46" s="1495"/>
      <c r="BE46" s="1495"/>
      <c r="BF46" s="1495"/>
      <c r="BG46" s="1495"/>
      <c r="BH46" s="1495"/>
      <c r="BI46" s="1495"/>
      <c r="BJ46" s="1495"/>
      <c r="BK46" s="1495"/>
      <c r="BL46" s="1495"/>
      <c r="BM46" s="1495"/>
      <c r="BN46" s="1495"/>
      <c r="BO46" s="1495"/>
      <c r="BP46" s="1495"/>
      <c r="BQ46" s="1495"/>
      <c r="BR46" s="1495"/>
      <c r="BS46" s="1495"/>
      <c r="BT46" s="1496"/>
      <c r="BU46" s="1391"/>
    </row>
    <row r="47" spans="1:74" ht="15.75">
      <c r="A47" s="1498" t="s">
        <v>1472</v>
      </c>
      <c r="B47" s="1514">
        <f>I47+N47+S47+X47+AC47+AH47+AM47+AR47+AW47+BB47+BG47+BL47</f>
        <v>751397.89332855993</v>
      </c>
      <c r="C47" s="1500">
        <v>420461.05499999999</v>
      </c>
      <c r="D47" s="1515">
        <v>422112.75159999996</v>
      </c>
      <c r="E47" s="1516">
        <v>425942.50699999998</v>
      </c>
      <c r="F47" s="1517">
        <f>IF(ISERR(E47/D47-1),0,E47/D47-1)</f>
        <v>9.0728256502166094E-3</v>
      </c>
      <c r="G47" s="1518">
        <f>IF(ISERR(E47/C47-1),0,E47/C47-1)</f>
        <v>1.3036765081607893E-2</v>
      </c>
      <c r="H47" s="1503">
        <v>81210.081999999995</v>
      </c>
      <c r="I47" s="1504">
        <v>78463.632999999987</v>
      </c>
      <c r="J47" s="1503">
        <v>81156.194000000003</v>
      </c>
      <c r="K47" s="1519">
        <f>IF(ISERR(J47/I47-1),0,J47/I47-1)</f>
        <v>3.431603785157411E-2</v>
      </c>
      <c r="L47" s="1520">
        <f>IF(ISERR(J47/H47-1),0,J47/H47-1)</f>
        <v>-6.6356293052372006E-4</v>
      </c>
      <c r="M47" s="1503">
        <v>69514.92</v>
      </c>
      <c r="N47" s="1504">
        <v>67151.77399999999</v>
      </c>
      <c r="O47" s="1503">
        <v>72536.777000000002</v>
      </c>
      <c r="P47" s="1519">
        <f>IF(ISERR(O47/N47-1),0,O47/N47-1)</f>
        <v>8.0191522564988515E-2</v>
      </c>
      <c r="Q47" s="1520">
        <f>IF(ISERR(O47/M47-1),0,O47/M47-1)</f>
        <v>4.3470624723440654E-2</v>
      </c>
      <c r="R47" s="1503">
        <v>70790.231</v>
      </c>
      <c r="S47" s="1504">
        <v>69425.901299999998</v>
      </c>
      <c r="T47" s="1503">
        <v>69954.320999999996</v>
      </c>
      <c r="U47" s="1519">
        <f>IF(ISERR(T47/S47-1),0,T47/S47-1)</f>
        <v>7.6112760526740875E-3</v>
      </c>
      <c r="V47" s="1520">
        <f>IF(ISERR(T47/R47-1),0,T47/R47-1)</f>
        <v>-1.1808267725528454E-2</v>
      </c>
      <c r="W47" s="1503">
        <v>60135.381999999998</v>
      </c>
      <c r="X47" s="1504">
        <v>61404.862299999993</v>
      </c>
      <c r="Y47" s="1503">
        <v>59047.186000000002</v>
      </c>
      <c r="Z47" s="1519">
        <f>IF(ISERR(Y47/X47-1),0,Y47/X47-1)</f>
        <v>-3.8395596239289898E-2</v>
      </c>
      <c r="AA47" s="1520">
        <f>IF(ISERR(Y47/W47-1),0,Y47/W47-1)</f>
        <v>-1.8095769309322662E-2</v>
      </c>
      <c r="AB47" s="1503">
        <v>52073.957999999999</v>
      </c>
      <c r="AC47" s="1504">
        <v>55909.069999999985</v>
      </c>
      <c r="AD47" s="1503">
        <v>54570.986000000004</v>
      </c>
      <c r="AE47" s="1519">
        <f>IF(ISERR(AD47/AC47-1),0,AD47/AC47-1)</f>
        <v>-2.3933218706731818E-2</v>
      </c>
      <c r="AF47" s="1520">
        <f>IF(ISERR(AD47/AB47-1),0,AD47/AB47-1)</f>
        <v>4.7951569189344179E-2</v>
      </c>
      <c r="AG47" s="1503">
        <v>43096.673999999999</v>
      </c>
      <c r="AH47" s="1504">
        <v>46784.127</v>
      </c>
      <c r="AI47" s="1503">
        <v>45152.866999999991</v>
      </c>
      <c r="AJ47" s="1519">
        <f>IF(ISERR(AI47/AH47-1),0,AI47/AH47-1)</f>
        <v>-3.486780890450325E-2</v>
      </c>
      <c r="AK47" s="1520">
        <f>IF(ISERR(AI47/AG47-1),0,AI47/AG47-1)</f>
        <v>4.7711176041102199E-2</v>
      </c>
      <c r="AL47" s="1503">
        <v>43639.807999999997</v>
      </c>
      <c r="AM47" s="1504">
        <v>42973.384000000013</v>
      </c>
      <c r="AN47" s="1503">
        <v>43524.175999999999</v>
      </c>
      <c r="AO47" s="1519">
        <f>IF(ISERR(AN47/AM47-1),0,AN47/AM47-1)</f>
        <v>1.2817049734784369E-2</v>
      </c>
      <c r="AP47" s="1520">
        <f>IF(ISERR(AN47/AL47-1),0,AN47/AL47-1)</f>
        <v>-2.6496908510688089E-3</v>
      </c>
      <c r="AQ47" s="1503">
        <v>49457.423000000003</v>
      </c>
      <c r="AR47" s="1504">
        <v>45745.362999999998</v>
      </c>
      <c r="AS47" s="1503">
        <f>ККП!D449*1000</f>
        <v>55312.284999999996</v>
      </c>
      <c r="AT47" s="1519">
        <f>IF(ISERR(AS47/AR47-1),0,AS47/AR47-1)</f>
        <v>0.20913424602183173</v>
      </c>
      <c r="AU47" s="1520">
        <f>IF(ISERR(AS47/AQ47-1),0,AS47/AQ47-1)</f>
        <v>0.11838186554928254</v>
      </c>
      <c r="AV47" s="1503">
        <v>56926.067999999999</v>
      </c>
      <c r="AW47" s="1504">
        <v>58459.21</v>
      </c>
      <c r="AX47" s="1503"/>
      <c r="AY47" s="1519">
        <f>IF(ISERR(AX47/AW47-1),0,AX47/AW47-1)</f>
        <v>-1</v>
      </c>
      <c r="AZ47" s="1520">
        <f>IF(ISERR(AX47/AV47-1),0,AX47/AV47-1)</f>
        <v>-1</v>
      </c>
      <c r="BA47" s="1503">
        <v>68201.623999999996</v>
      </c>
      <c r="BB47" s="1504">
        <v>69656.842728560005</v>
      </c>
      <c r="BC47" s="1503"/>
      <c r="BD47" s="1519">
        <f>IF(ISERR(BC47/BB47-1),0,BC47/BB47-1)</f>
        <v>-1</v>
      </c>
      <c r="BE47" s="1520">
        <f>IF(ISERR(BC47/BA47-1),0,BC47/BA47-1)</f>
        <v>-1</v>
      </c>
      <c r="BF47" s="1503">
        <v>75249.957999999999</v>
      </c>
      <c r="BG47" s="1504">
        <v>75828.52899999998</v>
      </c>
      <c r="BH47" s="1503"/>
      <c r="BI47" s="1519">
        <f>IF(ISERR(BH47/BG47-1),0,BH47/BG47-1)</f>
        <v>-1</v>
      </c>
      <c r="BJ47" s="1520">
        <f>IF(ISERR(BH47/BF47-1),0,BH47/BF47-1)</f>
        <v>-1</v>
      </c>
      <c r="BK47" s="1503">
        <v>80388.403999999995</v>
      </c>
      <c r="BL47" s="1504">
        <v>79595.197</v>
      </c>
      <c r="BM47" s="1503"/>
      <c r="BN47" s="1519">
        <f>IF(ISERR(BM47/BL47-1),0,BM47/BL47-1)</f>
        <v>-1</v>
      </c>
      <c r="BO47" s="1520">
        <f>IF(ISERR(BM47/BK47-1),0,BM47/BK47-1)</f>
        <v>-1</v>
      </c>
      <c r="BP47" s="1521">
        <f t="shared" ref="BP47:BR49" si="76">C47+AQ47</f>
        <v>469918.478</v>
      </c>
      <c r="BQ47" s="1522">
        <f t="shared" si="76"/>
        <v>467858.11459999997</v>
      </c>
      <c r="BR47" s="1523">
        <f t="shared" si="76"/>
        <v>481254.79199999996</v>
      </c>
      <c r="BS47" s="1447">
        <f>IF(ISERR(BR47/BQ47-1),0,BR47/BQ47-1)</f>
        <v>2.8634060160426245E-2</v>
      </c>
      <c r="BT47" s="1448">
        <f>IF(ISERR(BR47/BP47-1),0,BR47/BP47-1)</f>
        <v>2.4124001354975277E-2</v>
      </c>
      <c r="BU47" s="1382"/>
    </row>
    <row r="48" spans="1:74" ht="16.149999999999999" customHeight="1">
      <c r="A48" s="1498" t="s">
        <v>1473</v>
      </c>
      <c r="B48" s="1524">
        <f>I48+N48+S48+X48+AC48+AH48+AM48+AR48+AW48+BB48+BG48+BL48</f>
        <v>4686.8606714400003</v>
      </c>
      <c r="C48" s="1525">
        <v>2274.9549999999999</v>
      </c>
      <c r="D48" s="1526">
        <v>2633.9713999999999</v>
      </c>
      <c r="E48" s="1527">
        <v>2426.3679999999999</v>
      </c>
      <c r="F48" s="1517">
        <f>IF(ISERR(E48/D48-1),0,E48/D48-1)</f>
        <v>-7.8817636364616583E-2</v>
      </c>
      <c r="G48" s="1528">
        <f>IF(ISERR(E48/C48-1),0,E48/C48-1)</f>
        <v>6.6556481336993434E-2</v>
      </c>
      <c r="H48" s="1503">
        <f>11.092+588.608</f>
        <v>599.69999999999993</v>
      </c>
      <c r="I48" s="1504">
        <v>623.43099999999993</v>
      </c>
      <c r="J48" s="1529">
        <v>659.83</v>
      </c>
      <c r="K48" s="1530">
        <f>IF(ISERR(J48/I48-1),0,J48/I48-1)</f>
        <v>5.8384969627753636E-2</v>
      </c>
      <c r="L48" s="1520">
        <f>IF(ISERR(J48/H48-1),0,J48/H48-1)</f>
        <v>0.10026680006670019</v>
      </c>
      <c r="M48" s="1531">
        <f>6.637+502.153</f>
        <v>508.79</v>
      </c>
      <c r="N48" s="1532">
        <v>497.34000000000003</v>
      </c>
      <c r="O48" s="1531">
        <v>525.15800000000002</v>
      </c>
      <c r="P48" s="1530">
        <f>IF(ISERR(O48/N48-1),0,O48/N48-1)</f>
        <v>5.5933566574174476E-2</v>
      </c>
      <c r="Q48" s="1533">
        <f>IF(ISERR(O48/M48-1),0,O48/M48-1)</f>
        <v>3.2170443601485799E-2</v>
      </c>
      <c r="R48" s="1529">
        <f>6.182+433.855</f>
        <v>440.03700000000003</v>
      </c>
      <c r="S48" s="1532">
        <v>415.36770000000001</v>
      </c>
      <c r="T48" s="1529">
        <v>431.904</v>
      </c>
      <c r="U48" s="1519">
        <f>IF(ISERR(T48/S48-1),0,T48/S48-1)</f>
        <v>3.9811232312960243E-2</v>
      </c>
      <c r="V48" s="1533">
        <f>IF(ISERR(T48/R48-1),0,T48/R48-1)</f>
        <v>-1.8482536695777929E-2</v>
      </c>
      <c r="W48" s="1529">
        <v>309.233</v>
      </c>
      <c r="X48" s="1532">
        <v>413.02369999999996</v>
      </c>
      <c r="Y48" s="1529">
        <v>281.83999999999997</v>
      </c>
      <c r="Z48" s="1530">
        <f>IF(ISERR(Y48/X48-1),0,Y48/X48-1)</f>
        <v>-0.3176178509853067</v>
      </c>
      <c r="AA48" s="1520">
        <f>IF(ISERR(Y48/W48-1),0,Y48/W48-1)</f>
        <v>-8.8583689321644288E-2</v>
      </c>
      <c r="AB48" s="1531">
        <v>241.821</v>
      </c>
      <c r="AC48" s="1532">
        <v>292.67900000000003</v>
      </c>
      <c r="AD48" s="1531">
        <v>257.24099999999999</v>
      </c>
      <c r="AE48" s="1519">
        <f>IF(ISERR(AD48/AC48-1),0,AD48/AC48-1)</f>
        <v>-0.12108145784289281</v>
      </c>
      <c r="AF48" s="1533">
        <f>IF(ISERR(AD48/AB48-1),0,AD48/AB48-1)</f>
        <v>6.3766174153609523E-2</v>
      </c>
      <c r="AG48" s="1531">
        <v>91.665000000000006</v>
      </c>
      <c r="AH48" s="1504">
        <v>252.90799999999996</v>
      </c>
      <c r="AI48" s="1531">
        <v>160.874</v>
      </c>
      <c r="AJ48" s="1530">
        <f>IF(ISERR(AI48/AH48-1),0,AI48/AH48-1)</f>
        <v>-0.36390307938064426</v>
      </c>
      <c r="AK48" s="1533">
        <f>IF(ISERR(AI48/AG48-1),0,AI48/AG48-1)</f>
        <v>0.75502100038182496</v>
      </c>
      <c r="AL48" s="1529">
        <v>83.709000000000003</v>
      </c>
      <c r="AM48" s="1532">
        <v>139.22200000000001</v>
      </c>
      <c r="AN48" s="1529">
        <v>109.521</v>
      </c>
      <c r="AO48" s="1530">
        <f>IF(ISERR(AN48/AM48-1),0,AN48/AM48-1)</f>
        <v>-0.21333553605033695</v>
      </c>
      <c r="AP48" s="1533">
        <f>IF(ISERR(AN48/AL48-1),0,AN48/AL48-1)</f>
        <v>0.3083539404365121</v>
      </c>
      <c r="AQ48" s="1531">
        <v>157.786</v>
      </c>
      <c r="AR48" s="1504">
        <v>157.58800000000002</v>
      </c>
      <c r="AS48" s="1531">
        <f>ККП!D506*1000</f>
        <v>0</v>
      </c>
      <c r="AT48" s="1519">
        <f>IF(ISERR(AS48/AR48-1),0,AS48/AR48-1)</f>
        <v>-1</v>
      </c>
      <c r="AU48" s="1533">
        <f>IF(ISERR(AS48/AQ48-1),0,AS48/AQ48-1)</f>
        <v>-1</v>
      </c>
      <c r="AV48" s="1531">
        <v>251.01800000000003</v>
      </c>
      <c r="AW48" s="1504">
        <v>305.416</v>
      </c>
      <c r="AX48" s="1531"/>
      <c r="AY48" s="1530">
        <f>IF(ISERR(AX48/AW48-1),0,AX48/AW48-1)</f>
        <v>-1</v>
      </c>
      <c r="AZ48" s="1520">
        <f>IF(ISERR(AX48/AV48-1),0,AX48/AV48-1)</f>
        <v>-1</v>
      </c>
      <c r="BA48" s="1529">
        <v>405.72800000000001</v>
      </c>
      <c r="BB48" s="1532">
        <v>465.55727143999991</v>
      </c>
      <c r="BC48" s="1529"/>
      <c r="BD48" s="1519">
        <f>IF(ISERR(BC48/BB48-1),0,BC48/BB48-1)</f>
        <v>-1</v>
      </c>
      <c r="BE48" s="1533">
        <f>IF(ISERR(BC48/BA48-1),0,BC48/BA48-1)</f>
        <v>-1</v>
      </c>
      <c r="BF48" s="1531">
        <v>553.57799999999997</v>
      </c>
      <c r="BG48" s="1504">
        <v>549.51900000000001</v>
      </c>
      <c r="BH48" s="1531"/>
      <c r="BI48" s="1530">
        <f>IF(ISERR(BH48/BG48-1),0,BH48/BG48-1)</f>
        <v>-1</v>
      </c>
      <c r="BJ48" s="1533">
        <f>IF(ISERR(BH48/BF48-1),0,BH48/BF48-1)</f>
        <v>-1</v>
      </c>
      <c r="BK48" s="1531">
        <v>561.27300000000002</v>
      </c>
      <c r="BL48" s="1532">
        <v>574.80899999999986</v>
      </c>
      <c r="BM48" s="1531"/>
      <c r="BN48" s="1530">
        <f>IF(ISERR(BM48/BL48-1),0,BM48/BL48-1)</f>
        <v>-1</v>
      </c>
      <c r="BO48" s="1520">
        <f>IF(ISERR(BM48/BK48-1),0,BM48/BK48-1)</f>
        <v>-1</v>
      </c>
      <c r="BP48" s="1521">
        <f t="shared" si="76"/>
        <v>2432.741</v>
      </c>
      <c r="BQ48" s="1522">
        <f t="shared" si="76"/>
        <v>2791.5594000000001</v>
      </c>
      <c r="BR48" s="1534">
        <f t="shared" si="76"/>
        <v>2426.3679999999999</v>
      </c>
      <c r="BS48" s="1468">
        <f>IF(ISERR(BR48/BQ48-1),0,BR48/BQ48-1)</f>
        <v>-0.13081985645729055</v>
      </c>
      <c r="BT48" s="1469">
        <f>IF(ISERR(BR48/BP48-1),0,BR48/BP48-1)</f>
        <v>-2.6196787903027818E-3</v>
      </c>
      <c r="BU48" s="1382"/>
    </row>
    <row r="49" spans="1:73" ht="16.5" thickBot="1">
      <c r="A49" s="1498" t="s">
        <v>1824</v>
      </c>
      <c r="B49" s="1535">
        <f>I49+N49+S49+X49+AC49+AH49+AM49+AR49+AW49+BB49+BG49+BL49</f>
        <v>3279.2479999999996</v>
      </c>
      <c r="C49" s="1536">
        <v>0</v>
      </c>
      <c r="D49" s="1537">
        <v>1935.8559999999998</v>
      </c>
      <c r="E49" s="1538">
        <v>0</v>
      </c>
      <c r="F49" s="1539">
        <f>IF(ISERR(E49/D49-1),0,E49/D49-1)</f>
        <v>-1</v>
      </c>
      <c r="G49" s="1540">
        <f>IF(ISERR(E49/C49-1),0,E49/C49-1)</f>
        <v>0</v>
      </c>
      <c r="H49" s="1541">
        <v>0</v>
      </c>
      <c r="I49" s="1542">
        <v>343.46799999999996</v>
      </c>
      <c r="J49" s="1541">
        <v>0</v>
      </c>
      <c r="K49" s="1543">
        <f>IF(ISERR(J49/I49-1),0,J49/I49-1)</f>
        <v>-1</v>
      </c>
      <c r="L49" s="1544">
        <f>IF(ISERR(J49/H49-1),0,J49/H49-1)</f>
        <v>0</v>
      </c>
      <c r="M49" s="1545"/>
      <c r="N49" s="1542">
        <v>361.17599999999987</v>
      </c>
      <c r="O49" s="1545">
        <v>0</v>
      </c>
      <c r="P49" s="1543">
        <f>IF(ISERR(O49/N49-1),0,O49/N49-1)</f>
        <v>-1</v>
      </c>
      <c r="Q49" s="1546">
        <f>IF(ISERR(O49/M49-1),0,O49/M49-1)</f>
        <v>0</v>
      </c>
      <c r="R49" s="1541">
        <v>0</v>
      </c>
      <c r="S49" s="1542">
        <v>271.63800000000003</v>
      </c>
      <c r="T49" s="1541">
        <v>0</v>
      </c>
      <c r="U49" s="1547">
        <f>IF(ISERR(T49/S49-1),0,T49/S49-1)</f>
        <v>-1</v>
      </c>
      <c r="V49" s="1546">
        <f>IF(ISERR(T49/R49-1),0,T49/R49-1)</f>
        <v>0</v>
      </c>
      <c r="W49" s="1541"/>
      <c r="X49" s="1542">
        <v>261.48199999999997</v>
      </c>
      <c r="Y49" s="1541"/>
      <c r="Z49" s="1543">
        <f>IF(ISERR(Y49/X49-1),0,Y49/X49-1)</f>
        <v>-1</v>
      </c>
      <c r="AA49" s="1544">
        <f>IF(ISERR(Y49/W49-1),0,Y49/W49-1)</f>
        <v>0</v>
      </c>
      <c r="AB49" s="1548">
        <v>0</v>
      </c>
      <c r="AC49" s="1542">
        <v>230.37800000000001</v>
      </c>
      <c r="AD49" s="1548">
        <v>0</v>
      </c>
      <c r="AE49" s="1547">
        <f>IF(ISERR(AD49/AC49-1),0,AD49/AC49-1)</f>
        <v>-1</v>
      </c>
      <c r="AF49" s="1546">
        <f>IF(ISERR(AD49/AB49-1),0,AD49/AB49-1)</f>
        <v>0</v>
      </c>
      <c r="AG49" s="1548">
        <v>0</v>
      </c>
      <c r="AH49" s="1549">
        <v>232.71600000000004</v>
      </c>
      <c r="AI49" s="1548">
        <v>0</v>
      </c>
      <c r="AJ49" s="1543">
        <f>IF(ISERR(AI49/AH49-1),0,AI49/AH49-1)</f>
        <v>-1</v>
      </c>
      <c r="AK49" s="1546">
        <f>IF(ISERR(AI49/AG49-1),0,AI49/AG49-1)</f>
        <v>0</v>
      </c>
      <c r="AL49" s="1550">
        <v>0</v>
      </c>
      <c r="AM49" s="1542">
        <v>234.99800000000002</v>
      </c>
      <c r="AN49" s="1550"/>
      <c r="AO49" s="1543">
        <f>IF(ISERR(AN49/AM49-1),0,AN49/AM49-1)</f>
        <v>-1</v>
      </c>
      <c r="AP49" s="1546">
        <f>IF(ISERR(AN49/AL49-1),0,AN49/AL49-1)</f>
        <v>0</v>
      </c>
      <c r="AQ49" s="1548">
        <v>0</v>
      </c>
      <c r="AR49" s="1549">
        <v>241.78800000000004</v>
      </c>
      <c r="AS49" s="1548">
        <f>ККП!D535*1000</f>
        <v>0</v>
      </c>
      <c r="AT49" s="1547">
        <f>IF(ISERR(AS49/AR49-1),0,AS49/AR49-1)</f>
        <v>-1</v>
      </c>
      <c r="AU49" s="1546">
        <f>IF(ISERR(AS49/AQ49-1),0,AS49/AQ49-1)</f>
        <v>0</v>
      </c>
      <c r="AV49" s="1548">
        <v>0</v>
      </c>
      <c r="AW49" s="1549">
        <v>251.74099999999999</v>
      </c>
      <c r="AX49" s="1548"/>
      <c r="AY49" s="1543">
        <f>IF(ISERR(AX49/AW49-1),0,AX49/AW49-1)</f>
        <v>-1</v>
      </c>
      <c r="AZ49" s="1544">
        <f>IF(ISERR(AX49/AV49-1),0,AX49/AV49-1)</f>
        <v>0</v>
      </c>
      <c r="BA49" s="1550"/>
      <c r="BB49" s="1542">
        <v>222.24599999999998</v>
      </c>
      <c r="BC49" s="1550"/>
      <c r="BD49" s="1547">
        <f>IF(ISERR(BC49/BB49-1),0,BC49/BB49-1)</f>
        <v>-1</v>
      </c>
      <c r="BE49" s="1546">
        <f>IF(ISERR(BC49/BA49-1),0,BC49/BA49-1)</f>
        <v>0</v>
      </c>
      <c r="BF49" s="1548">
        <v>0</v>
      </c>
      <c r="BG49" s="1549">
        <v>298.76</v>
      </c>
      <c r="BH49" s="1548"/>
      <c r="BI49" s="1543">
        <f>IF(ISERR(BH49/BG49-1),0,BH49/BG49-1)</f>
        <v>-1</v>
      </c>
      <c r="BJ49" s="1546">
        <f>IF(ISERR(BH49/BF49-1),0,BH49/BF49-1)</f>
        <v>0</v>
      </c>
      <c r="BK49" s="1548">
        <v>0</v>
      </c>
      <c r="BL49" s="1542">
        <v>328.85699999999997</v>
      </c>
      <c r="BM49" s="1548"/>
      <c r="BN49" s="1543">
        <f>IF(ISERR(BM49/BL49-1),0,BM49/BL49-1)</f>
        <v>-1</v>
      </c>
      <c r="BO49" s="1544">
        <f>IF(ISERR(BM49/BK49-1),0,BM49/BK49-1)</f>
        <v>0</v>
      </c>
      <c r="BP49" s="1551">
        <f t="shared" si="76"/>
        <v>0</v>
      </c>
      <c r="BQ49" s="1552">
        <f t="shared" si="76"/>
        <v>2177.6439999999998</v>
      </c>
      <c r="BR49" s="1553">
        <f t="shared" si="76"/>
        <v>0</v>
      </c>
      <c r="BS49" s="1554">
        <f>IF(ISERR(BR49/BQ49-1),0,BR49/BQ49-1)</f>
        <v>-1</v>
      </c>
      <c r="BT49" s="1555">
        <f>IF(ISERR(BR49/BP49-1),0,BR49/BP49-1)</f>
        <v>0</v>
      </c>
      <c r="BU49" s="1382"/>
    </row>
    <row r="50" spans="1:73" ht="15.75" thickBot="1">
      <c r="BP50" s="1558"/>
      <c r="BQ50" s="1558"/>
      <c r="BR50" s="1558"/>
    </row>
    <row r="51" spans="1:73" s="1489" customFormat="1" ht="41.25" customHeight="1" thickBot="1">
      <c r="A51" s="1560" t="s">
        <v>1475</v>
      </c>
      <c r="B51" s="1561">
        <f>B53+B54</f>
        <v>103952.38682500001</v>
      </c>
      <c r="C51" s="1562">
        <f>C53+C54</f>
        <v>79274.138380000019</v>
      </c>
      <c r="D51" s="1563">
        <f>D53+D54</f>
        <v>49726.663625000008</v>
      </c>
      <c r="E51" s="1564">
        <f>E53+E54</f>
        <v>43813.026876180011</v>
      </c>
      <c r="F51" s="1474">
        <f>IF(ISERR(E51/D51-1),0,E51/D51-1)</f>
        <v>-0.11892285381171086</v>
      </c>
      <c r="G51" s="1412">
        <f>IF(ISERR(E51/C51-1),0,E51/C51-1)</f>
        <v>-0.44732257238593276</v>
      </c>
      <c r="H51" s="1564">
        <f>H53+H54</f>
        <v>16487.650720000001</v>
      </c>
      <c r="I51" s="1563">
        <f>I53+I54</f>
        <v>8836.4095960000013</v>
      </c>
      <c r="J51" s="1564">
        <f>J53+J54</f>
        <v>8122.0249700000004</v>
      </c>
      <c r="K51" s="1414">
        <f>IF(ISERR(J51/I51-1),0,J51/I51-1)</f>
        <v>-8.0845576276068365E-2</v>
      </c>
      <c r="L51" s="1416">
        <f>IF(ISERR(J51/H51-1),0,J51/H51-1)</f>
        <v>-0.50738737083096097</v>
      </c>
      <c r="M51" s="1564">
        <f>M53+M54</f>
        <v>15307.200989999999</v>
      </c>
      <c r="N51" s="1563">
        <f>N53+N54</f>
        <v>7545.3963700000013</v>
      </c>
      <c r="O51" s="1564">
        <f>O53+O54</f>
        <v>4215.2394699999995</v>
      </c>
      <c r="P51" s="1414">
        <f>IF(ISERR(O51/N51-1),0,O51/N51-1)</f>
        <v>-0.4413494979853525</v>
      </c>
      <c r="Q51" s="1416">
        <f>IF(ISERR(O51/M51-1),0,O51/M51-1)</f>
        <v>-0.72462375892537367</v>
      </c>
      <c r="R51" s="1564">
        <f>R53+R54</f>
        <v>13956.138940000001</v>
      </c>
      <c r="S51" s="1563">
        <f>S53+S54</f>
        <v>7803.6115209999989</v>
      </c>
      <c r="T51" s="1564">
        <f>T53+T54</f>
        <v>8019.0006899999989</v>
      </c>
      <c r="U51" s="1414">
        <f>IF(ISERR(T51/S51-1),0,T51/S51-1)</f>
        <v>2.7601216234351744E-2</v>
      </c>
      <c r="V51" s="1416">
        <f>IF(ISERR(T51/R51-1),0,T51/R51-1)</f>
        <v>-0.42541409737498659</v>
      </c>
      <c r="W51" s="1564">
        <f>W53+W54</f>
        <v>11742.068080000001</v>
      </c>
      <c r="X51" s="1563">
        <f>X53+X54</f>
        <v>6885.2459039999994</v>
      </c>
      <c r="Y51" s="1564">
        <f>Y53+Y54</f>
        <v>6465.1496599999991</v>
      </c>
      <c r="Z51" s="1414">
        <f>IF(ISERR(Y51/X51-1),0,Y51/X51-1)</f>
        <v>-6.1013978274319092E-2</v>
      </c>
      <c r="AA51" s="1416">
        <f>IF(ISERR(Y51/W51-1),0,Y51/W51-1)</f>
        <v>-0.44940281252397585</v>
      </c>
      <c r="AB51" s="1564">
        <f>AB53+AB54</f>
        <v>9138.5139900000013</v>
      </c>
      <c r="AC51" s="1563">
        <f>AC53+AC54</f>
        <v>6277.4431810000015</v>
      </c>
      <c r="AD51" s="1564">
        <f>AD53+AD54</f>
        <v>5778.2681060000014</v>
      </c>
      <c r="AE51" s="1414">
        <f>IF(ISERR(AD51/AC51-1),0,AD51/AC51-1)</f>
        <v>-7.9518851960437953E-2</v>
      </c>
      <c r="AF51" s="1416">
        <f>IF(ISERR(AD51/AB51-1),0,AD51/AB51-1)</f>
        <v>-0.36770156369810403</v>
      </c>
      <c r="AG51" s="1564">
        <f>AG53+AG54</f>
        <v>8039.2980900000011</v>
      </c>
      <c r="AH51" s="1563">
        <f>AH53+AH54</f>
        <v>5265.7634530000005</v>
      </c>
      <c r="AI51" s="1564">
        <f>AI53+AI54</f>
        <v>4281.1212601800007</v>
      </c>
      <c r="AJ51" s="1414">
        <f>IF(ISERR(AI51/AH51-1),0,AI51/AH51-1)</f>
        <v>-0.18698944637534587</v>
      </c>
      <c r="AK51" s="1416">
        <f>IF(ISERR(AI51/AG51-1),0,AI51/AG51-1)</f>
        <v>-0.46747574076084542</v>
      </c>
      <c r="AL51" s="1564">
        <f>AL53+AL54</f>
        <v>4603.26757</v>
      </c>
      <c r="AM51" s="1563">
        <f>AM53+AM54</f>
        <v>7112.7936</v>
      </c>
      <c r="AN51" s="1564">
        <f>AN53+AN54</f>
        <v>6932.2227199999998</v>
      </c>
      <c r="AO51" s="1414">
        <f>IF(ISERR(AN51/AM51-1),0,AN51/AM51-1)</f>
        <v>-2.5386773489392445E-2</v>
      </c>
      <c r="AP51" s="1416">
        <f>IF(ISERR(AN51/AL51-1),0,AN51/AL51-1)</f>
        <v>0.50593521114828444</v>
      </c>
      <c r="AQ51" s="1564">
        <f>AQ53+AQ54</f>
        <v>4668.632270000001</v>
      </c>
      <c r="AR51" s="1563">
        <f>AR53+AR54</f>
        <v>7557.0576000000001</v>
      </c>
      <c r="AS51" s="1564">
        <f>AS53+AS54+AS55</f>
        <v>7063.8419501600001</v>
      </c>
      <c r="AT51" s="1414">
        <f>IF(ISERR(AS51/AR51-1),0,AS51/AR51-1)</f>
        <v>-6.526556709584963E-2</v>
      </c>
      <c r="AU51" s="1416">
        <f>IF(ISERR(AS51/AQ51-1),0,AS51/AQ51-1)</f>
        <v>0.51304312304725563</v>
      </c>
      <c r="AV51" s="1564">
        <f>AV53+AV54</f>
        <v>6851.8928982400002</v>
      </c>
      <c r="AW51" s="1563">
        <f>AW53+AW54</f>
        <v>9624.6928000000007</v>
      </c>
      <c r="AX51" s="1564">
        <f>AX53+AX54</f>
        <v>0</v>
      </c>
      <c r="AY51" s="1414">
        <f>IF(ISERR(AX51/AW51-1),0,AX51/AW51-1)</f>
        <v>-1</v>
      </c>
      <c r="AZ51" s="1416">
        <f>IF(ISERR(AX51/AV51-1),0,AX51/AV51-1)</f>
        <v>-1</v>
      </c>
      <c r="BA51" s="1564">
        <f>BA53+BA54</f>
        <v>8278.5727599999991</v>
      </c>
      <c r="BB51" s="1563">
        <f>BB53+BB54</f>
        <v>11453.686400000001</v>
      </c>
      <c r="BC51" s="1564">
        <f>BC53+BC54</f>
        <v>0</v>
      </c>
      <c r="BD51" s="1414">
        <f>IF(ISERR(BC51/BB51-1),0,BC51/BB51-1)</f>
        <v>-1</v>
      </c>
      <c r="BE51" s="1416">
        <f>IF(ISERR(BC51/BA51-1),0,BC51/BA51-1)</f>
        <v>-1</v>
      </c>
      <c r="BF51" s="1564">
        <f>BF53+BF54</f>
        <v>9373.3140999999996</v>
      </c>
      <c r="BG51" s="1563">
        <f>BG53+BG54</f>
        <v>12458.707199999999</v>
      </c>
      <c r="BH51" s="1564">
        <f>BH53+BH54</f>
        <v>0</v>
      </c>
      <c r="BI51" s="1414">
        <f>IF(ISERR(BH51/BG51-1),0,BH51/BG51-1)</f>
        <v>-1</v>
      </c>
      <c r="BJ51" s="1416">
        <f>IF(ISERR(BH51/BF51-1),0,BH51/BF51-1)</f>
        <v>-1</v>
      </c>
      <c r="BK51" s="1564">
        <f>BK53+BK54</f>
        <v>7965.2317444800001</v>
      </c>
      <c r="BL51" s="1563">
        <f>BL53+BL54</f>
        <v>13131.579200000002</v>
      </c>
      <c r="BM51" s="1564">
        <f>BM53+BM54</f>
        <v>0</v>
      </c>
      <c r="BN51" s="1414">
        <f>IF(ISERR(BM51/BL51-1),0,BM51/BL51-1)</f>
        <v>-1</v>
      </c>
      <c r="BO51" s="1416">
        <f>IF(ISERR(BM51/BK51-1),0,BM51/BK51-1)</f>
        <v>-1</v>
      </c>
      <c r="BP51" s="1565">
        <f>BP53+BP54</f>
        <v>83942.77065000002</v>
      </c>
      <c r="BQ51" s="1566">
        <f>BQ53+BQ54</f>
        <v>57283.721225000008</v>
      </c>
      <c r="BR51" s="1567">
        <f>BR53+BR54</f>
        <v>50876.868826340011</v>
      </c>
      <c r="BS51" s="1414">
        <f>IF(ISERR(BR51/BQ51-1),0,BR51/BQ51-1)</f>
        <v>-0.11184420742317092</v>
      </c>
      <c r="BT51" s="1416">
        <f>IF(ISERR(BR51/BP51-1),0,BR51/BP51-1)</f>
        <v>-0.39391006000419648</v>
      </c>
      <c r="BU51" s="1488"/>
    </row>
    <row r="52" spans="1:73" s="1497" customFormat="1" ht="15.75">
      <c r="A52" s="1494" t="s">
        <v>1454</v>
      </c>
      <c r="B52" s="1495"/>
      <c r="C52" s="1495"/>
      <c r="D52" s="1495"/>
      <c r="E52" s="1495"/>
      <c r="F52" s="1495"/>
      <c r="G52" s="1495"/>
      <c r="H52" s="1495"/>
      <c r="I52" s="1495"/>
      <c r="J52" s="1495"/>
      <c r="K52" s="1495"/>
      <c r="L52" s="1495"/>
      <c r="M52" s="1495"/>
      <c r="N52" s="1495"/>
      <c r="O52" s="1495"/>
      <c r="P52" s="1495"/>
      <c r="Q52" s="1495"/>
      <c r="R52" s="1495"/>
      <c r="S52" s="1495"/>
      <c r="T52" s="1495"/>
      <c r="U52" s="1495"/>
      <c r="V52" s="1495"/>
      <c r="W52" s="1495"/>
      <c r="X52" s="1495"/>
      <c r="Y52" s="1495"/>
      <c r="Z52" s="1495"/>
      <c r="AA52" s="1495"/>
      <c r="AB52" s="1495"/>
      <c r="AC52" s="1495"/>
      <c r="AD52" s="1495"/>
      <c r="AE52" s="1495"/>
      <c r="AF52" s="1495"/>
      <c r="AG52" s="1495"/>
      <c r="AH52" s="1495"/>
      <c r="AI52" s="1495"/>
      <c r="AJ52" s="1495"/>
      <c r="AK52" s="1495"/>
      <c r="AL52" s="1495"/>
      <c r="AM52" s="1495"/>
      <c r="AN52" s="1495"/>
      <c r="AO52" s="1495"/>
      <c r="AP52" s="1495"/>
      <c r="AQ52" s="1495"/>
      <c r="AR52" s="1495"/>
      <c r="AS52" s="1495"/>
      <c r="AT52" s="1495"/>
      <c r="AU52" s="1495"/>
      <c r="AV52" s="1495"/>
      <c r="AW52" s="1495"/>
      <c r="AX52" s="1495"/>
      <c r="AY52" s="1495"/>
      <c r="AZ52" s="1495"/>
      <c r="BA52" s="1495"/>
      <c r="BB52" s="1495"/>
      <c r="BC52" s="1495"/>
      <c r="BD52" s="1495"/>
      <c r="BE52" s="1495"/>
      <c r="BF52" s="1495"/>
      <c r="BG52" s="1495"/>
      <c r="BH52" s="1495"/>
      <c r="BI52" s="1495"/>
      <c r="BJ52" s="1495"/>
      <c r="BK52" s="1495"/>
      <c r="BL52" s="1495"/>
      <c r="BM52" s="1495"/>
      <c r="BN52" s="1495"/>
      <c r="BO52" s="1495"/>
      <c r="BP52" s="1495"/>
      <c r="BQ52" s="1495"/>
      <c r="BR52" s="1495"/>
      <c r="BS52" s="1495"/>
      <c r="BT52" s="1496"/>
      <c r="BU52" s="1391"/>
    </row>
    <row r="53" spans="1:73" s="1497" customFormat="1" ht="15.75">
      <c r="A53" s="1498" t="s">
        <v>1472</v>
      </c>
      <c r="B53" s="1499">
        <f>I53+N53+S53+X53+AC53+AH53+AM53+AR53+AW53+BB53+BG53+BL53</f>
        <v>103765.55819400001</v>
      </c>
      <c r="C53" s="1500">
        <v>79167.283180000013</v>
      </c>
      <c r="D53" s="1501">
        <v>49650.46379400001</v>
      </c>
      <c r="E53" s="1502">
        <v>43767.473661500007</v>
      </c>
      <c r="F53" s="1445">
        <f>IF(ISERR(E53/D53-1),0,E53/D53-1)</f>
        <v>-0.11848812041129275</v>
      </c>
      <c r="G53" s="1446">
        <f>IF(ISERR(E53/C53-1),0,E53/C53-1)</f>
        <v>-0.44715200644201269</v>
      </c>
      <c r="H53" s="1503">
        <v>16413.25073</v>
      </c>
      <c r="I53" s="1504">
        <v>8819.2415460000011</v>
      </c>
      <c r="J53" s="1502">
        <v>8119.39203</v>
      </c>
      <c r="K53" s="1447">
        <f>IF(ISERR(J53/I53-1),0,J53/I53-1)</f>
        <v>-7.935484160964168E-2</v>
      </c>
      <c r="L53" s="1448">
        <f>IF(ISERR(J53/H53-1),0,J53/H53-1)</f>
        <v>-0.50531481157724323</v>
      </c>
      <c r="M53" s="1503">
        <v>15301.95595</v>
      </c>
      <c r="N53" s="1504">
        <v>7531.7003250000016</v>
      </c>
      <c r="O53" s="1503">
        <v>4207.0997699999998</v>
      </c>
      <c r="P53" s="1447">
        <f>IF(ISERR(O53/N53-1),0,O53/N53-1)</f>
        <v>-0.44141434357984777</v>
      </c>
      <c r="Q53" s="1448">
        <f>IF(ISERR(O53/M53-1),0,O53/M53-1)</f>
        <v>-0.72506130695010929</v>
      </c>
      <c r="R53" s="1503">
        <v>13949.76059</v>
      </c>
      <c r="S53" s="1504">
        <v>7792.1741989999991</v>
      </c>
      <c r="T53" s="1503">
        <v>8016.8009499999989</v>
      </c>
      <c r="U53" s="1447">
        <f>IF(ISERR(T53/S53-1),0,T53/S53-1)</f>
        <v>2.8827223989528861E-2</v>
      </c>
      <c r="V53" s="1448">
        <f>IF(ISERR(T53/R53-1),0,T53/R53-1)</f>
        <v>-0.42530906546547409</v>
      </c>
      <c r="W53" s="1503">
        <v>11738.333000000001</v>
      </c>
      <c r="X53" s="1504">
        <v>6873.8722079999998</v>
      </c>
      <c r="Y53" s="1503">
        <v>6456.3051799999994</v>
      </c>
      <c r="Z53" s="1447">
        <f>IF(ISERR(Y53/X53-1),0,Y53/X53-1)</f>
        <v>-6.0746987340559611E-2</v>
      </c>
      <c r="AA53" s="1448">
        <f>IF(ISERR(Y53/W53-1),0,Y53/W53-1)</f>
        <v>-0.4499810850484478</v>
      </c>
      <c r="AB53" s="1503">
        <v>9134.8283500000016</v>
      </c>
      <c r="AC53" s="1504">
        <v>6269.3846190000013</v>
      </c>
      <c r="AD53" s="1503">
        <v>5769.3845515000012</v>
      </c>
      <c r="AE53" s="1447">
        <f>IF(ISERR(AD53/AC53-1),0,AD53/AC53-1)</f>
        <v>-7.9752654827508818E-2</v>
      </c>
      <c r="AF53" s="1448">
        <f>IF(ISERR(AD53/AB53-1),0,AD53/AB53-1)</f>
        <v>-0.36841894226726213</v>
      </c>
      <c r="AG53" s="1503">
        <v>8038.124890000001</v>
      </c>
      <c r="AH53" s="1504">
        <v>5258.7996970000004</v>
      </c>
      <c r="AI53" s="1503">
        <v>4275.6540000000005</v>
      </c>
      <c r="AJ53" s="1447">
        <f>IF(ISERR(AI53/AH53-1),0,AI53/AH53-1)</f>
        <v>-0.18695248985445434</v>
      </c>
      <c r="AK53" s="1448">
        <f>IF(ISERR(AI53/AG53-1),0,AI53/AG53-1)</f>
        <v>-0.46807818259713552</v>
      </c>
      <c r="AL53" s="1503">
        <v>4591.0296699999999</v>
      </c>
      <c r="AM53" s="1504">
        <v>7105.2911999999997</v>
      </c>
      <c r="AN53" s="1503">
        <v>6922.8371799999995</v>
      </c>
      <c r="AO53" s="1447">
        <f>IF(ISERR(AN53/AM53-1),0,AN53/AM53-1)</f>
        <v>-2.5678612581001681E-2</v>
      </c>
      <c r="AP53" s="1448">
        <f>IF(ISERR(AN53/AL53-1),0,AN53/AL53-1)</f>
        <v>0.50790512752229722</v>
      </c>
      <c r="AQ53" s="1503">
        <v>4652.4030500000008</v>
      </c>
      <c r="AR53" s="1504">
        <v>7548.5648000000001</v>
      </c>
      <c r="AS53" s="1503">
        <f>ККП!D142*1000</f>
        <v>7063.8419501600001</v>
      </c>
      <c r="AT53" s="1447">
        <f>IF(ISERR(AS53/AR53-1),0,AS53/AR53-1)</f>
        <v>-6.4213908561797095E-2</v>
      </c>
      <c r="AU53" s="1448">
        <f>IF(ISERR(AS53/AQ53-1),0,AS53/AQ53-1)</f>
        <v>0.51832115021934722</v>
      </c>
      <c r="AV53" s="1503">
        <v>6849.9002</v>
      </c>
      <c r="AW53" s="1504">
        <v>9608.235200000001</v>
      </c>
      <c r="AX53" s="1503"/>
      <c r="AY53" s="1447">
        <f>IF(ISERR(AX53/AW53-1),0,AX53/AW53-1)</f>
        <v>-1</v>
      </c>
      <c r="AZ53" s="1448">
        <f>IF(ISERR(AX53/AV53-1),0,AX53/AV53-1)</f>
        <v>-1</v>
      </c>
      <c r="BA53" s="1503">
        <v>8275.759</v>
      </c>
      <c r="BB53" s="1504">
        <v>11428.598400000001</v>
      </c>
      <c r="BC53" s="1503"/>
      <c r="BD53" s="1447">
        <f>IF(ISERR(BC53/BB53-1),0,BC53/BB53-1)</f>
        <v>-1</v>
      </c>
      <c r="BE53" s="1448">
        <f>IF(ISERR(BC53/BA53-1),0,BC53/BA53-1)</f>
        <v>-1</v>
      </c>
      <c r="BF53" s="1503">
        <v>9355.9673299999995</v>
      </c>
      <c r="BG53" s="1504">
        <v>12429.092799999999</v>
      </c>
      <c r="BH53" s="1503"/>
      <c r="BI53" s="1447">
        <f>IF(ISERR(BH53/BG53-1),0,BH53/BG53-1)</f>
        <v>-1</v>
      </c>
      <c r="BJ53" s="1448">
        <f>IF(ISERR(BH53/BF53-1),0,BH53/BF53-1)</f>
        <v>-1</v>
      </c>
      <c r="BK53" s="1503">
        <v>7963.2270243399998</v>
      </c>
      <c r="BL53" s="1504">
        <v>13100.603200000001</v>
      </c>
      <c r="BM53" s="1503"/>
      <c r="BN53" s="1447">
        <f>IF(ISERR(BM53/BL53-1),0,BM53/BL53-1)</f>
        <v>-1</v>
      </c>
      <c r="BO53" s="1448">
        <f>IF(ISERR(BM53/BK53-1),0,BM53/BK53-1)</f>
        <v>-1</v>
      </c>
      <c r="BP53" s="1452">
        <f t="shared" ref="BP53:BR54" si="77">C53+AQ53</f>
        <v>83819.686230000021</v>
      </c>
      <c r="BQ53" s="1450">
        <f t="shared" si="77"/>
        <v>57199.02859400001</v>
      </c>
      <c r="BR53" s="1351">
        <f t="shared" si="77"/>
        <v>50831.315611660008</v>
      </c>
      <c r="BS53" s="1447">
        <f>IF(ISERR(BR53/BQ53-1),0,BR53/BQ53-1)</f>
        <v>-0.11132554413708973</v>
      </c>
      <c r="BT53" s="1448">
        <f>IF(ISERR(BR53/BP53-1),0,BR53/BP53-1)</f>
        <v>-0.39356351833411063</v>
      </c>
      <c r="BU53" s="1391"/>
    </row>
    <row r="54" spans="1:73" s="1497" customFormat="1" ht="16.149999999999999" customHeight="1">
      <c r="A54" s="1498" t="s">
        <v>1473</v>
      </c>
      <c r="B54" s="1499">
        <f>I54+N54+S54+X54+AC54+AH54+AM54+AR54+AW54+BB54+BG54+BL54</f>
        <v>186.82863100000003</v>
      </c>
      <c r="C54" s="1500">
        <v>106.8552</v>
      </c>
      <c r="D54" s="1501">
        <v>76.199831000000003</v>
      </c>
      <c r="E54" s="1502">
        <v>45.553214680000004</v>
      </c>
      <c r="F54" s="1445">
        <f>IF(ISERR(E54/D54-1),0,E54/D54-1)</f>
        <v>-0.40218745786982124</v>
      </c>
      <c r="G54" s="1446">
        <f>IF(ISERR(E54/C54-1),0,E54/C54-1)</f>
        <v>-0.57369211156780386</v>
      </c>
      <c r="H54" s="1503">
        <v>74.399990000000003</v>
      </c>
      <c r="I54" s="1504">
        <v>17.168050000000001</v>
      </c>
      <c r="J54" s="1502">
        <v>2.6329400000000001</v>
      </c>
      <c r="K54" s="1447">
        <f>IF(ISERR(J54/I54-1),0,J54/I54-1)</f>
        <v>-0.84663721272945969</v>
      </c>
      <c r="L54" s="1448">
        <f>IF(ISERR(J54/H54-1),0,J54/H54-1)</f>
        <v>-0.96461101674879257</v>
      </c>
      <c r="M54" s="1503">
        <v>5.2450400000000004</v>
      </c>
      <c r="N54" s="1504">
        <v>13.696045</v>
      </c>
      <c r="O54" s="1503">
        <v>8.1396999999999995</v>
      </c>
      <c r="P54" s="1447">
        <f>IF(ISERR(O54/N54-1),0,O54/N54-1)</f>
        <v>-0.40568974474017871</v>
      </c>
      <c r="Q54" s="1448">
        <f>IF(ISERR(O54/M54-1),0,O54/M54-1)</f>
        <v>0.5518852096456841</v>
      </c>
      <c r="R54" s="1503">
        <v>6.3783500000000002</v>
      </c>
      <c r="S54" s="1504">
        <v>11.437322</v>
      </c>
      <c r="T54" s="1503">
        <v>2.1997399999999998</v>
      </c>
      <c r="U54" s="1447">
        <f>IF(ISERR(T54/S54-1),0,T54/S54-1)</f>
        <v>-0.80767001226336022</v>
      </c>
      <c r="V54" s="1448">
        <f>IF(ISERR(T54/R54-1),0,T54/R54-1)</f>
        <v>-0.65512397406852874</v>
      </c>
      <c r="W54" s="1503">
        <v>3.73508</v>
      </c>
      <c r="X54" s="1504">
        <v>11.373696000000001</v>
      </c>
      <c r="Y54" s="1503">
        <v>8.844479999999999</v>
      </c>
      <c r="Z54" s="1447">
        <f>IF(ISERR(Y54/X54-1),0,Y54/X54-1)</f>
        <v>-0.2223741517269322</v>
      </c>
      <c r="AA54" s="1448">
        <f>IF(ISERR(Y54/W54-1),0,Y54/W54-1)</f>
        <v>1.3679492808721632</v>
      </c>
      <c r="AB54" s="1503">
        <v>3.6856399999999998</v>
      </c>
      <c r="AC54" s="1504">
        <v>8.0585620000000002</v>
      </c>
      <c r="AD54" s="1503">
        <v>8.8835545000000007</v>
      </c>
      <c r="AE54" s="1447">
        <f>IF(ISERR(AD54/AC54-1),0,AD54/AC54-1)</f>
        <v>0.10237465443586591</v>
      </c>
      <c r="AF54" s="1448">
        <f>IF(ISERR(AD54/AB54-1),0,AD54/AB54-1)</f>
        <v>1.4103153048045933</v>
      </c>
      <c r="AG54" s="1503">
        <v>1.1732</v>
      </c>
      <c r="AH54" s="1504">
        <v>6.9637560000000009</v>
      </c>
      <c r="AI54" s="1503">
        <v>5.4672601800000002</v>
      </c>
      <c r="AJ54" s="1447">
        <f>IF(ISERR(AI54/AH54-1),0,AI54/AH54-1)</f>
        <v>-0.21489779653393948</v>
      </c>
      <c r="AK54" s="1448">
        <f>IF(ISERR(AI54/AG54-1),0,AI54/AG54-1)</f>
        <v>3.6601263041254688</v>
      </c>
      <c r="AL54" s="1503">
        <v>12.2379</v>
      </c>
      <c r="AM54" s="1504">
        <v>7.5023999999999988</v>
      </c>
      <c r="AN54" s="1503">
        <v>9.3855400000000007</v>
      </c>
      <c r="AO54" s="1447">
        <f>IF(ISERR(AN54/AM54-1),0,AN54/AM54-1)</f>
        <v>0.25100501172958012</v>
      </c>
      <c r="AP54" s="1448">
        <f>IF(ISERR(AN54/AL54-1),0,AN54/AL54-1)</f>
        <v>-0.23307593623088918</v>
      </c>
      <c r="AQ54" s="1503">
        <v>16.229219999999998</v>
      </c>
      <c r="AR54" s="1504">
        <v>8.4928000000000008</v>
      </c>
      <c r="AS54" s="1503">
        <f>ККП!D146*1000</f>
        <v>0</v>
      </c>
      <c r="AT54" s="1447">
        <f>IF(ISERR(AS54/AR54-1),0,AS54/AR54-1)</f>
        <v>-1</v>
      </c>
      <c r="AU54" s="1448">
        <f>IF(ISERR(AS54/AQ54-1),0,AS54/AQ54-1)</f>
        <v>-1</v>
      </c>
      <c r="AV54" s="1503">
        <v>1.9926982400000002</v>
      </c>
      <c r="AW54" s="1504">
        <v>16.457599999999999</v>
      </c>
      <c r="AX54" s="1503"/>
      <c r="AY54" s="1447">
        <f>IF(ISERR(AX54/AW54-1),0,AX54/AW54-1)</f>
        <v>-1</v>
      </c>
      <c r="AZ54" s="1448">
        <f>IF(ISERR(AX54/AV54-1),0,AX54/AV54-1)</f>
        <v>-1</v>
      </c>
      <c r="BA54" s="1503">
        <v>2.8137600000000003</v>
      </c>
      <c r="BB54" s="1504">
        <v>25.088000000000001</v>
      </c>
      <c r="BC54" s="1503"/>
      <c r="BD54" s="1447">
        <f>IF(ISERR(BC54/BB54-1),0,BC54/BB54-1)</f>
        <v>-1</v>
      </c>
      <c r="BE54" s="1448">
        <f>IF(ISERR(BC54/BA54-1),0,BC54/BA54-1)</f>
        <v>-1</v>
      </c>
      <c r="BF54" s="1503">
        <v>17.346769999999999</v>
      </c>
      <c r="BG54" s="1504">
        <v>29.614400000000003</v>
      </c>
      <c r="BH54" s="1503"/>
      <c r="BI54" s="1447">
        <f>IF(ISERR(BH54/BG54-1),0,BH54/BG54-1)</f>
        <v>-1</v>
      </c>
      <c r="BJ54" s="1448">
        <f>IF(ISERR(BH54/BF54-1),0,BH54/BF54-1)</f>
        <v>-1</v>
      </c>
      <c r="BK54" s="1503">
        <v>2.0047201399999999</v>
      </c>
      <c r="BL54" s="1504">
        <v>30.975999999999999</v>
      </c>
      <c r="BM54" s="1503"/>
      <c r="BN54" s="1447">
        <f>IF(ISERR(BM54/BL54-1),0,BM54/BL54-1)</f>
        <v>-1</v>
      </c>
      <c r="BO54" s="1448">
        <f>IF(ISERR(BM54/BK54-1),0,BM54/BK54-1)</f>
        <v>-1</v>
      </c>
      <c r="BP54" s="1452">
        <f t="shared" si="77"/>
        <v>123.08441999999999</v>
      </c>
      <c r="BQ54" s="1450">
        <f t="shared" si="77"/>
        <v>84.692631000000006</v>
      </c>
      <c r="BR54" s="1351">
        <f t="shared" si="77"/>
        <v>45.553214680000004</v>
      </c>
      <c r="BS54" s="1447">
        <f>IF(ISERR(BR54/BQ54-1),0,BR54/BQ54-1)</f>
        <v>-0.46213484996114951</v>
      </c>
      <c r="BT54" s="1448">
        <f>IF(ISERR(BR54/BP54-1),0,BR54/BP54-1)</f>
        <v>-0.62990267427835289</v>
      </c>
      <c r="BU54" s="1391"/>
    </row>
    <row r="55" spans="1:73" s="1497" customFormat="1" ht="16.5" thickBot="1">
      <c r="A55" s="1498" t="s">
        <v>1824</v>
      </c>
      <c r="B55" s="1499">
        <f>I55+N55+S55+X55+AC55+AH55+AM55+AR55+AW55+BB55+BG55+BL55</f>
        <v>0</v>
      </c>
      <c r="C55" s="1506"/>
      <c r="D55" s="1387"/>
      <c r="E55" s="1507"/>
      <c r="F55" s="1506"/>
      <c r="G55" s="1508"/>
      <c r="H55" s="1509"/>
      <c r="I55" s="1510"/>
      <c r="J55" s="1509"/>
      <c r="K55" s="1506"/>
      <c r="L55" s="1508"/>
      <c r="M55" s="1509"/>
      <c r="N55" s="1510"/>
      <c r="O55" s="1509"/>
      <c r="P55" s="1506"/>
      <c r="Q55" s="1508"/>
      <c r="R55" s="1509"/>
      <c r="S55" s="1510"/>
      <c r="T55" s="1509"/>
      <c r="U55" s="1506"/>
      <c r="V55" s="1508"/>
      <c r="W55" s="1509"/>
      <c r="X55" s="1510"/>
      <c r="Y55" s="1509"/>
      <c r="Z55" s="1506"/>
      <c r="AA55" s="1508"/>
      <c r="AB55" s="1509"/>
      <c r="AC55" s="1510"/>
      <c r="AD55" s="1509"/>
      <c r="AE55" s="1506"/>
      <c r="AF55" s="1508"/>
      <c r="AG55" s="1509"/>
      <c r="AH55" s="1510"/>
      <c r="AI55" s="1509"/>
      <c r="AJ55" s="1506"/>
      <c r="AK55" s="1508"/>
      <c r="AL55" s="1509"/>
      <c r="AM55" s="1510"/>
      <c r="AN55" s="1509"/>
      <c r="AO55" s="1506"/>
      <c r="AP55" s="1508"/>
      <c r="AQ55" s="1509"/>
      <c r="AR55" s="1510"/>
      <c r="AS55" s="1509">
        <f>ККП!D150*1000</f>
        <v>0</v>
      </c>
      <c r="AT55" s="1506"/>
      <c r="AU55" s="1508"/>
      <c r="AV55" s="1509"/>
      <c r="AW55" s="1510"/>
      <c r="AX55" s="1509"/>
      <c r="AY55" s="1506"/>
      <c r="AZ55" s="1508"/>
      <c r="BA55" s="1509"/>
      <c r="BB55" s="1510"/>
      <c r="BC55" s="1509"/>
      <c r="BD55" s="1506"/>
      <c r="BE55" s="1508"/>
      <c r="BF55" s="1509"/>
      <c r="BG55" s="1510"/>
      <c r="BH55" s="1509"/>
      <c r="BI55" s="1506"/>
      <c r="BJ55" s="1508"/>
      <c r="BK55" s="1509"/>
      <c r="BL55" s="1510"/>
      <c r="BM55" s="1509"/>
      <c r="BN55" s="1506"/>
      <c r="BO55" s="1508"/>
      <c r="BP55" s="1506"/>
      <c r="BQ55" s="1387"/>
      <c r="BR55" s="1507"/>
      <c r="BS55" s="1506"/>
      <c r="BT55" s="1508"/>
      <c r="BU55" s="1391"/>
    </row>
    <row r="56" spans="1:73" s="1497" customFormat="1" ht="15.75" thickBot="1">
      <c r="A56" s="1511"/>
      <c r="C56" s="1512"/>
      <c r="D56" s="1512"/>
      <c r="E56" s="1512"/>
      <c r="F56" s="1513"/>
      <c r="G56" s="1513"/>
      <c r="H56" s="1512"/>
      <c r="I56" s="1512"/>
      <c r="J56" s="1512"/>
      <c r="K56" s="1513"/>
      <c r="L56" s="1513"/>
      <c r="M56" s="1512"/>
      <c r="N56" s="1512"/>
      <c r="O56" s="1512"/>
      <c r="P56" s="1513"/>
      <c r="Q56" s="1513"/>
      <c r="R56" s="1512"/>
      <c r="S56" s="1512"/>
      <c r="T56" s="1512"/>
      <c r="U56" s="1513"/>
      <c r="V56" s="1513"/>
      <c r="W56" s="1512"/>
      <c r="X56" s="1512"/>
      <c r="Y56" s="1512"/>
      <c r="Z56" s="1513"/>
      <c r="AA56" s="1513"/>
      <c r="AB56" s="1512"/>
      <c r="AC56" s="1512"/>
      <c r="AD56" s="1512"/>
      <c r="AE56" s="1513"/>
      <c r="AF56" s="1513"/>
      <c r="AG56" s="1512"/>
      <c r="AH56" s="1512"/>
      <c r="AI56" s="1512"/>
      <c r="AJ56" s="1513"/>
      <c r="AK56" s="1513"/>
      <c r="AL56" s="1512"/>
      <c r="AM56" s="1512"/>
      <c r="AN56" s="1512"/>
      <c r="AO56" s="1513"/>
      <c r="AP56" s="1513"/>
      <c r="AQ56" s="1512"/>
      <c r="AR56" s="1512"/>
      <c r="AS56" s="1512"/>
      <c r="AT56" s="1513"/>
      <c r="AU56" s="1513"/>
      <c r="AV56" s="1512"/>
      <c r="AW56" s="1512"/>
      <c r="AX56" s="1512"/>
      <c r="AY56" s="1513"/>
      <c r="AZ56" s="1513"/>
      <c r="BA56" s="1512"/>
      <c r="BB56" s="1512"/>
      <c r="BC56" s="1512"/>
      <c r="BD56" s="1513"/>
      <c r="BE56" s="1513"/>
      <c r="BF56" s="1512"/>
      <c r="BG56" s="1512"/>
      <c r="BH56" s="1512"/>
      <c r="BI56" s="1513"/>
      <c r="BJ56" s="1513"/>
      <c r="BK56" s="1512"/>
      <c r="BL56" s="1512"/>
      <c r="BM56" s="1512"/>
      <c r="BN56" s="1513"/>
      <c r="BO56" s="1513"/>
      <c r="BP56" s="1512"/>
      <c r="BQ56" s="1512"/>
      <c r="BR56" s="1512"/>
      <c r="BS56" s="1513"/>
      <c r="BT56" s="1513"/>
      <c r="BU56" s="1391"/>
    </row>
    <row r="57" spans="1:73" s="1489" customFormat="1" ht="44.25" customHeight="1" thickBot="1">
      <c r="A57" s="1560" t="s">
        <v>1476</v>
      </c>
      <c r="B57" s="1561">
        <f>SUM(B59:B61)</f>
        <v>971863.95190977678</v>
      </c>
      <c r="C57" s="1562">
        <f>SUM(C59:C61)</f>
        <v>478660.20986</v>
      </c>
      <c r="D57" s="1563">
        <f>SUM(D59:D61)</f>
        <v>558491.94722668512</v>
      </c>
      <c r="E57" s="1563">
        <f>SUM(E59:E61)</f>
        <v>545361.65461879002</v>
      </c>
      <c r="F57" s="1474">
        <f>IF(ISERR(E57/D57-1),0,E57/D57-1)</f>
        <v>-2.3510263080956606E-2</v>
      </c>
      <c r="G57" s="1412">
        <f>IF(ISERR(E57/C57-1),0,E57/C57-1)</f>
        <v>0.13935030191521269</v>
      </c>
      <c r="H57" s="1564">
        <f>SUM(H59:H61)</f>
        <v>89171.309590000004</v>
      </c>
      <c r="I57" s="1563">
        <f>SUM(I59:I61)</f>
        <v>97470.129649249982</v>
      </c>
      <c r="J57" s="1564">
        <f>SUM(J59:J61)</f>
        <v>101943.46056660998</v>
      </c>
      <c r="K57" s="1414">
        <f>IF(ISERR(J57/I57-1),0,J57/I57-1)</f>
        <v>4.5894377420625743E-2</v>
      </c>
      <c r="L57" s="1416">
        <f>IF(ISERR(J57/H57-1),0,J57/H57-1)</f>
        <v>0.1432316182787372</v>
      </c>
      <c r="M57" s="1564">
        <f>SUM(M59:M61)</f>
        <v>83234.579140000002</v>
      </c>
      <c r="N57" s="1563">
        <f>SUM(N59:N61)</f>
        <v>90701.420515167963</v>
      </c>
      <c r="O57" s="1564">
        <f>SUM(O59:O61)</f>
        <v>96674.737609999996</v>
      </c>
      <c r="P57" s="1414">
        <f>IF(ISERR(O57/N57-1),0,O57/N57-1)</f>
        <v>6.5856929923529872E-2</v>
      </c>
      <c r="Q57" s="1416">
        <f>IF(ISERR(O57/M57-1),0,O57/M57-1)</f>
        <v>0.16147325557318837</v>
      </c>
      <c r="R57" s="1564">
        <f>SUM(R59:R61)</f>
        <v>74451.826299999986</v>
      </c>
      <c r="S57" s="1563">
        <f>SUM(S59:S61)</f>
        <v>88771.688834810004</v>
      </c>
      <c r="T57" s="1564">
        <f>SUM(T59:T61)</f>
        <v>85249.624799999991</v>
      </c>
      <c r="U57" s="1414">
        <f>IF(ISERR(T57/S57-1),0,T57/S57-1)</f>
        <v>-3.967553260549106E-2</v>
      </c>
      <c r="V57" s="1416">
        <f>IF(ISERR(T57/R57-1),0,T57/R57-1)</f>
        <v>0.145030673344275</v>
      </c>
      <c r="W57" s="1564">
        <f>SUM(W59:W61)</f>
        <v>70154.402439999991</v>
      </c>
      <c r="X57" s="1563">
        <f>SUM(X59:X61)</f>
        <v>86556.75977783998</v>
      </c>
      <c r="Y57" s="1564">
        <f>SUM(Y59:Y61)</f>
        <v>81559.111170000004</v>
      </c>
      <c r="Z57" s="1414">
        <f>IF(ISERR(Y57/X57-1),0,Y57/X57-1)</f>
        <v>-5.7738397563253718E-2</v>
      </c>
      <c r="AA57" s="1416">
        <f>IF(ISERR(Y57/W57-1),0,Y57/W57-1)</f>
        <v>0.16256583098621591</v>
      </c>
      <c r="AB57" s="1564">
        <f>SUM(AB59:AB61)</f>
        <v>55223.175179999998</v>
      </c>
      <c r="AC57" s="1563">
        <f>SUM(AC59:AC61)</f>
        <v>75450.385730481968</v>
      </c>
      <c r="AD57" s="1564">
        <f>SUM(AD59:AD61)</f>
        <v>68025.613238309976</v>
      </c>
      <c r="AE57" s="1414">
        <f>IF(ISERR(AD57/AC57-1),0,AD57/AC57-1)</f>
        <v>-9.8406024307075013E-2</v>
      </c>
      <c r="AF57" s="1416">
        <f>IF(ISERR(AD57/AB57-1),0,AD57/AB57-1)</f>
        <v>0.2318308937611866</v>
      </c>
      <c r="AG57" s="1564">
        <f>SUM(AG59:AG61)</f>
        <v>47723.233920000006</v>
      </c>
      <c r="AH57" s="1563">
        <f>SUM(AH59:AH61)</f>
        <v>66648.104271069999</v>
      </c>
      <c r="AI57" s="1564">
        <f>SUM(AI59:AI61)</f>
        <v>57973.783736609999</v>
      </c>
      <c r="AJ57" s="1414">
        <f>IF(ISERR(AI57/AH57-1),0,AI57/AH57-1)</f>
        <v>-0.1301510467451551</v>
      </c>
      <c r="AK57" s="1416">
        <f>IF(ISERR(AI57/AG57-1),0,AI57/AG57-1)</f>
        <v>0.21479160095883953</v>
      </c>
      <c r="AL57" s="1564">
        <f>SUM(AL59:AL61)</f>
        <v>58701.683289999994</v>
      </c>
      <c r="AM57" s="1563">
        <f>SUM(AM59:AM61)</f>
        <v>52893.458448065219</v>
      </c>
      <c r="AN57" s="1564">
        <f>SUM(AN59:AN61)</f>
        <v>54507.446810000001</v>
      </c>
      <c r="AO57" s="1414">
        <f>IF(ISERR(AN57/AM57-1),0,AN57/AM57-1)</f>
        <v>3.0513950293485026E-2</v>
      </c>
      <c r="AP57" s="1416">
        <f>IF(ISERR(AN57/AL57-1),0,AN57/AL57-1)</f>
        <v>-7.1450020594460373E-2</v>
      </c>
      <c r="AQ57" s="1564">
        <f>SUM(AQ59:AQ61)</f>
        <v>65688.963310000006</v>
      </c>
      <c r="AR57" s="1563">
        <f>SUM(AR59:AR61)</f>
        <v>57595.167407530796</v>
      </c>
      <c r="AS57" s="1564">
        <f>SUM(AS59:AS61)</f>
        <v>127514.47548999998</v>
      </c>
      <c r="AT57" s="1414">
        <f>IF(ISERR(AS57/AR57-1),0,AS57/AR57-1)</f>
        <v>1.2139787282452965</v>
      </c>
      <c r="AU57" s="1416">
        <f>IF(ISERR(AS57/AQ57-1),0,AS57/AQ57-1)</f>
        <v>0.94118568880791131</v>
      </c>
      <c r="AV57" s="1564">
        <f>SUM(AV59:AV61)</f>
        <v>77038.933392859995</v>
      </c>
      <c r="AW57" s="1563">
        <f>SUM(AW59:AW61)</f>
        <v>74673.270446721595</v>
      </c>
      <c r="AX57" s="1564">
        <f>SUM(AX59:AX61)</f>
        <v>0</v>
      </c>
      <c r="AY57" s="1414">
        <f>IF(ISERR(AX57/AW57-1),0,AX57/AW57-1)</f>
        <v>-1</v>
      </c>
      <c r="AZ57" s="1416">
        <f>IF(ISERR(AX57/AV57-1),0,AX57/AV57-1)</f>
        <v>-1</v>
      </c>
      <c r="BA57" s="1564">
        <f>SUM(BA59:BA61)</f>
        <v>82365.900559999995</v>
      </c>
      <c r="BB57" s="1563">
        <f>SUM(BB59:BB61)</f>
        <v>88317.213943124414</v>
      </c>
      <c r="BC57" s="1564">
        <f>SUM(BC59:BC61)</f>
        <v>0</v>
      </c>
      <c r="BD57" s="1414">
        <f>IF(ISERR(BC57/BB57-1),0,BC57/BB57-1)</f>
        <v>-1</v>
      </c>
      <c r="BE57" s="1416">
        <f>IF(ISERR(BC57/BA57-1),0,BC57/BA57-1)</f>
        <v>-1</v>
      </c>
      <c r="BF57" s="1564">
        <f>SUM(BF59:BF61)</f>
        <v>105798.74323000001</v>
      </c>
      <c r="BG57" s="1563">
        <f>SUM(BG59:BG61)</f>
        <v>99201.787186920352</v>
      </c>
      <c r="BH57" s="1564">
        <f>SUM(BH59:BH61)</f>
        <v>0</v>
      </c>
      <c r="BI57" s="1414">
        <f>IF(ISERR(BH57/BG57-1),0,BH57/BG57-1)</f>
        <v>-1</v>
      </c>
      <c r="BJ57" s="1416">
        <f>IF(ISERR(BH57/BF57-1),0,BH57/BF57-1)</f>
        <v>-1</v>
      </c>
      <c r="BK57" s="1564">
        <f>SUM(BK59:BK61)</f>
        <v>105190.59262364999</v>
      </c>
      <c r="BL57" s="1563">
        <f>SUM(BL59:BL61)</f>
        <v>93584.565698794409</v>
      </c>
      <c r="BM57" s="1564">
        <f>SUM(BM59:BM61)</f>
        <v>0</v>
      </c>
      <c r="BN57" s="1414">
        <f>IF(ISERR(BM57/BL57-1),0,BM57/BL57-1)</f>
        <v>-1</v>
      </c>
      <c r="BO57" s="1416">
        <f>IF(ISERR(BM57/BK57-1),0,BM57/BK57-1)</f>
        <v>-1</v>
      </c>
      <c r="BP57" s="1565">
        <f>SUM(BP59:BP61)</f>
        <v>544349.17317000008</v>
      </c>
      <c r="BQ57" s="1566">
        <f>SUM(BQ59:BQ61)</f>
        <v>616087.11463421606</v>
      </c>
      <c r="BR57" s="1567">
        <f>SUM(BR59:BR61)</f>
        <v>672876.13010879001</v>
      </c>
      <c r="BS57" s="1414">
        <f>IF(ISERR(BR57/BQ57-1),0,BR57/BQ57-1)</f>
        <v>9.217692453816495E-2</v>
      </c>
      <c r="BT57" s="1416">
        <f>IF(ISERR(BR57/BP57-1),0,BR57/BP57-1)</f>
        <v>0.23611123755422891</v>
      </c>
      <c r="BU57" s="1488"/>
    </row>
    <row r="58" spans="1:73" s="1497" customFormat="1" ht="15.75">
      <c r="A58" s="1494" t="s">
        <v>1454</v>
      </c>
      <c r="B58" s="1495"/>
      <c r="C58" s="1495"/>
      <c r="D58" s="1495"/>
      <c r="E58" s="1495"/>
      <c r="F58" s="1495"/>
      <c r="G58" s="1495"/>
      <c r="H58" s="1495"/>
      <c r="I58" s="1495"/>
      <c r="J58" s="1495"/>
      <c r="K58" s="1495"/>
      <c r="L58" s="1495"/>
      <c r="M58" s="1495"/>
      <c r="N58" s="1495"/>
      <c r="O58" s="1495"/>
      <c r="P58" s="1495"/>
      <c r="Q58" s="1495"/>
      <c r="R58" s="1495"/>
      <c r="S58" s="1495"/>
      <c r="T58" s="1495"/>
      <c r="U58" s="1495"/>
      <c r="V58" s="1495"/>
      <c r="W58" s="1495"/>
      <c r="X58" s="1495"/>
      <c r="Y58" s="1495"/>
      <c r="Z58" s="1495"/>
      <c r="AA58" s="1495"/>
      <c r="AB58" s="1495"/>
      <c r="AC58" s="1495"/>
      <c r="AD58" s="1495"/>
      <c r="AE58" s="1495"/>
      <c r="AF58" s="1495"/>
      <c r="AG58" s="1495"/>
      <c r="AH58" s="1495"/>
      <c r="AI58" s="1495"/>
      <c r="AJ58" s="1495"/>
      <c r="AK58" s="1495"/>
      <c r="AL58" s="1495"/>
      <c r="AM58" s="1495"/>
      <c r="AN58" s="1495"/>
      <c r="AO58" s="1495"/>
      <c r="AP58" s="1495"/>
      <c r="AQ58" s="1495"/>
      <c r="AR58" s="1495"/>
      <c r="AS58" s="1495"/>
      <c r="AT58" s="1495"/>
      <c r="AU58" s="1495"/>
      <c r="AV58" s="1495"/>
      <c r="AW58" s="1495"/>
      <c r="AX58" s="1495"/>
      <c r="AY58" s="1495"/>
      <c r="AZ58" s="1495"/>
      <c r="BA58" s="1495"/>
      <c r="BB58" s="1495"/>
      <c r="BC58" s="1495"/>
      <c r="BD58" s="1495"/>
      <c r="BE58" s="1495"/>
      <c r="BF58" s="1495"/>
      <c r="BG58" s="1495"/>
      <c r="BH58" s="1495"/>
      <c r="BI58" s="1495"/>
      <c r="BJ58" s="1495"/>
      <c r="BK58" s="1495"/>
      <c r="BL58" s="1495"/>
      <c r="BM58" s="1495"/>
      <c r="BN58" s="1495"/>
      <c r="BO58" s="1495"/>
      <c r="BP58" s="1495"/>
      <c r="BQ58" s="1495"/>
      <c r="BR58" s="1495"/>
      <c r="BS58" s="1495"/>
      <c r="BT58" s="1496"/>
      <c r="BU58" s="1391"/>
    </row>
    <row r="59" spans="1:73" ht="15.75">
      <c r="A59" s="1498" t="s">
        <v>1472</v>
      </c>
      <c r="B59" s="1514">
        <f>I59+N59+S59+X59+AC59+AH59+AM59+AR59+AW59+BB59+BG59+BL59</f>
        <v>961641.15794835589</v>
      </c>
      <c r="C59" s="1500">
        <v>478144.58585999999</v>
      </c>
      <c r="D59" s="1501">
        <v>551555.52890659031</v>
      </c>
      <c r="E59" s="1502">
        <v>542354.26306805003</v>
      </c>
      <c r="F59" s="1517">
        <f>IF(ISERR(E59/D59-1),0,E59/D59-1)</f>
        <v>-1.6682392535853907E-2</v>
      </c>
      <c r="G59" s="1518">
        <f>IF(ISERR(E59/C59-1),0,E59/C59-1)</f>
        <v>0.13428924870614467</v>
      </c>
      <c r="H59" s="1503">
        <v>89056.600590000002</v>
      </c>
      <c r="I59" s="1504">
        <v>96024.088546967381</v>
      </c>
      <c r="J59" s="1503">
        <v>101127.11656761999</v>
      </c>
      <c r="K59" s="1519">
        <f>IF(ISERR(J59/I59-1),0,J59/I59-1)</f>
        <v>5.3143207062638309E-2</v>
      </c>
      <c r="L59" s="1520">
        <f>IF(ISERR(J59/H59-1),0,J59/H59-1)</f>
        <v>0.13553757832269375</v>
      </c>
      <c r="M59" s="1503">
        <v>83141.752139999997</v>
      </c>
      <c r="N59" s="1504">
        <v>89383.221210773962</v>
      </c>
      <c r="O59" s="1503">
        <v>96024.620609999998</v>
      </c>
      <c r="P59" s="1519">
        <f>IF(ISERR(O59/N59-1),0,O59/N59-1)</f>
        <v>7.4302529146549778E-2</v>
      </c>
      <c r="Q59" s="1520">
        <f>IF(ISERR(O59/M59-1),0,O59/M59-1)</f>
        <v>0.15495064920338586</v>
      </c>
      <c r="R59" s="1503">
        <v>74370.82729999999</v>
      </c>
      <c r="S59" s="1504">
        <v>87726.598203475573</v>
      </c>
      <c r="T59" s="1503">
        <v>84714.478799999997</v>
      </c>
      <c r="U59" s="1519">
        <f>IF(ISERR(T59/S59-1),0,T59/S59-1)</f>
        <v>-3.433530383213057E-2</v>
      </c>
      <c r="V59" s="1520">
        <f>IF(ISERR(T59/R59-1),0,T59/R59-1)</f>
        <v>0.13908210887953931</v>
      </c>
      <c r="W59" s="1503">
        <v>70093.743439999991</v>
      </c>
      <c r="X59" s="1504">
        <v>85532.915638697959</v>
      </c>
      <c r="Y59" s="1503">
        <v>81208.521170000007</v>
      </c>
      <c r="Z59" s="1519">
        <f>IF(ISERR(Y59/X59-1),0,Y59/X59-1)</f>
        <v>-5.0558249258855548E-2</v>
      </c>
      <c r="AA59" s="1520">
        <f>IF(ISERR(Y59/W59-1),0,Y59/W59-1)</f>
        <v>0.15857018307938175</v>
      </c>
      <c r="AB59" s="1503">
        <v>55178.383179999997</v>
      </c>
      <c r="AC59" s="1504">
        <v>74637.292614008576</v>
      </c>
      <c r="AD59" s="1503">
        <v>67704.797205879979</v>
      </c>
      <c r="AE59" s="1519">
        <f>IF(ISERR(AD59/AC59-1),0,AD59/AC59-1)</f>
        <v>-9.2882460836038461E-2</v>
      </c>
      <c r="AF59" s="1520">
        <f>IF(ISERR(AD59/AB59-1),0,AD59/AB59-1)</f>
        <v>0.22701669211685638</v>
      </c>
      <c r="AG59" s="1503">
        <v>47705.208920000005</v>
      </c>
      <c r="AH59" s="1504">
        <v>65881.062458903194</v>
      </c>
      <c r="AI59" s="1503">
        <v>57774.756261969997</v>
      </c>
      <c r="AJ59" s="1519">
        <f>IF(ISERR(AI59/AH59-1),0,AI59/AH59-1)</f>
        <v>-0.12304455778912093</v>
      </c>
      <c r="AK59" s="1520">
        <f>IF(ISERR(AI59/AG59-1),0,AI59/AG59-1)</f>
        <v>0.2110785712909522</v>
      </c>
      <c r="AL59" s="1503">
        <v>58598.070289999996</v>
      </c>
      <c r="AM59" s="1504">
        <v>52370.350233763616</v>
      </c>
      <c r="AN59" s="1503">
        <v>54477.133809999999</v>
      </c>
      <c r="AO59" s="1519">
        <f>IF(ISERR(AN59/AM59-1),0,AN59/AM59-1)</f>
        <v>4.0228556174102481E-2</v>
      </c>
      <c r="AP59" s="1520">
        <f>IF(ISERR(AN59/AL59-1),0,AN59/AL59-1)</f>
        <v>-7.0325463954795997E-2</v>
      </c>
      <c r="AQ59" s="1503">
        <v>65494.532310000002</v>
      </c>
      <c r="AR59" s="1504">
        <v>57054.413359994396</v>
      </c>
      <c r="AS59" s="1503">
        <f>ККП!D504*1000</f>
        <v>127514.47548999998</v>
      </c>
      <c r="AT59" s="1519">
        <f>IF(ISERR(AS59/AR59-1),0,AS59/AR59-1)</f>
        <v>1.2349625205227506</v>
      </c>
      <c r="AU59" s="1520">
        <f>IF(ISERR(AS59/AQ59-1),0,AS59/AQ59-1)</f>
        <v>0.94694840916560752</v>
      </c>
      <c r="AV59" s="1503">
        <v>76730.37639266999</v>
      </c>
      <c r="AW59" s="1504">
        <v>74077.769375326796</v>
      </c>
      <c r="AX59" s="1503"/>
      <c r="AY59" s="1519">
        <f>IF(ISERR(AX59/AW59-1),0,AX59/AW59-1)</f>
        <v>-1</v>
      </c>
      <c r="AZ59" s="1520">
        <f>IF(ISERR(AX59/AV59-1),0,AX59/AV59-1)</f>
        <v>-1</v>
      </c>
      <c r="BA59" s="1503">
        <v>81863.673559999996</v>
      </c>
      <c r="BB59" s="1504">
        <v>87742.071443367866</v>
      </c>
      <c r="BC59" s="1503"/>
      <c r="BD59" s="1519">
        <f>IF(ISERR(BC59/BB59-1),0,BC59/BB59-1)</f>
        <v>-1</v>
      </c>
      <c r="BE59" s="1520">
        <f>IF(ISERR(BC59/BA59-1),0,BC59/BA59-1)</f>
        <v>-1</v>
      </c>
      <c r="BF59" s="1503">
        <v>105114.18223000001</v>
      </c>
      <c r="BG59" s="1504">
        <v>98447.868641102163</v>
      </c>
      <c r="BH59" s="1503"/>
      <c r="BI59" s="1519">
        <f>IF(ISERR(BH59/BG59-1),0,BH59/BG59-1)</f>
        <v>-1</v>
      </c>
      <c r="BJ59" s="1520">
        <f>IF(ISERR(BH59/BF59-1),0,BH59/BF59-1)</f>
        <v>-1</v>
      </c>
      <c r="BK59" s="1503">
        <v>104495.48847488999</v>
      </c>
      <c r="BL59" s="1504">
        <v>92763.50622197421</v>
      </c>
      <c r="BM59" s="1503"/>
      <c r="BN59" s="1519">
        <f>IF(ISERR(BM59/BL59-1),0,BM59/BL59-1)</f>
        <v>-1</v>
      </c>
      <c r="BO59" s="1520">
        <f>IF(ISERR(BM59/BK59-1),0,BM59/BK59-1)</f>
        <v>-1</v>
      </c>
      <c r="BP59" s="1521">
        <f t="shared" ref="BP59:BR61" si="78">C59+AQ59</f>
        <v>543639.11817000003</v>
      </c>
      <c r="BQ59" s="1522">
        <f t="shared" si="78"/>
        <v>608609.94226658472</v>
      </c>
      <c r="BR59" s="1351">
        <f t="shared" si="78"/>
        <v>669868.73855805001</v>
      </c>
      <c r="BS59" s="1447">
        <f>IF(ISERR(BR59/BQ59-1),0,BR59/BQ59-1)</f>
        <v>0.10065362399984012</v>
      </c>
      <c r="BT59" s="1448">
        <f>IF(ISERR(BR59/BP59-1),0,BR59/BP59-1)</f>
        <v>0.23219377739586622</v>
      </c>
      <c r="BU59" s="1382"/>
    </row>
    <row r="60" spans="1:73" ht="16.149999999999999" customHeight="1">
      <c r="A60" s="1498" t="s">
        <v>1473</v>
      </c>
      <c r="B60" s="1524">
        <f>I60+N60+S60+X60+AC60+AH60+AM60+AR60+AW60+BB60+BG60+BL60</f>
        <v>3758.206673800988</v>
      </c>
      <c r="C60" s="1525">
        <v>515.62400000000002</v>
      </c>
      <c r="D60" s="1515">
        <v>3198.3061702648392</v>
      </c>
      <c r="E60" s="1527">
        <v>3007.3915507400002</v>
      </c>
      <c r="F60" s="1568">
        <f>IF(ISERR(E60/D60-1),0,E60/D60-1)</f>
        <v>-5.9692415097654661E-2</v>
      </c>
      <c r="G60" s="1518">
        <f>IF(ISERR(E60/C60-1),0,E60/C60-1)</f>
        <v>4.8325282584596527</v>
      </c>
      <c r="H60" s="1531">
        <v>114.709</v>
      </c>
      <c r="I60" s="1532">
        <v>789.75902427259985</v>
      </c>
      <c r="J60" s="1531">
        <v>816.34399898999982</v>
      </c>
      <c r="K60" s="1530">
        <f>IF(ISERR(J60/I60-1),0,J60/I60-1)</f>
        <v>3.3662134778245534E-2</v>
      </c>
      <c r="L60" s="1520">
        <f>IF(ISERR(J60/H60-1),0,J60/H60-1)</f>
        <v>6.1166516924565624</v>
      </c>
      <c r="M60" s="1531">
        <v>92.826999999999998</v>
      </c>
      <c r="N60" s="1532">
        <v>630.02762636399996</v>
      </c>
      <c r="O60" s="1531">
        <v>650.11699999999996</v>
      </c>
      <c r="P60" s="1519">
        <f>IF(ISERR(O60/N60-1),0,O60/N60-1)</f>
        <v>3.1886496393720654E-2</v>
      </c>
      <c r="Q60" s="1520">
        <f>IF(ISERR(O60/M60-1),0,O60/M60-1)</f>
        <v>6.0035334547060657</v>
      </c>
      <c r="R60" s="1529">
        <v>80.998999999999995</v>
      </c>
      <c r="S60" s="1532">
        <v>526.18555937441988</v>
      </c>
      <c r="T60" s="1529">
        <v>535.14599999999996</v>
      </c>
      <c r="U60" s="1530">
        <f>IF(ISERR(T60/S60-1),0,T60/S60-1)</f>
        <v>1.7029050809058921E-2</v>
      </c>
      <c r="V60" s="1533">
        <f>IF(ISERR(T60/R60-1),0,T60/R60-1)</f>
        <v>5.6068223064482279</v>
      </c>
      <c r="W60" s="1531">
        <v>60.658999999999999</v>
      </c>
      <c r="X60" s="1504">
        <v>523.21619283201983</v>
      </c>
      <c r="Y60" s="1531">
        <v>350.59</v>
      </c>
      <c r="Z60" s="1530">
        <f>IF(ISERR(Y60/X60-1),0,Y60/X60-1)</f>
        <v>-0.3299328178236296</v>
      </c>
      <c r="AA60" s="1533">
        <f>IF(ISERR(Y60/W60-1),0,Y60/W60-1)</f>
        <v>4.7796864438912605</v>
      </c>
      <c r="AB60" s="1529">
        <v>44.792000000000002</v>
      </c>
      <c r="AC60" s="1504">
        <v>370.76417673340001</v>
      </c>
      <c r="AD60" s="1529">
        <v>320.81603242999995</v>
      </c>
      <c r="AE60" s="1530">
        <f>IF(ISERR(AD60/AC60-1),0,AD60/AC60-1)</f>
        <v>-0.13471674837484515</v>
      </c>
      <c r="AF60" s="1520">
        <f>IF(ISERR(AD60/AB60-1),0,AD60/AB60-1)</f>
        <v>6.1623511437310219</v>
      </c>
      <c r="AG60" s="1531">
        <v>18.024999999999999</v>
      </c>
      <c r="AH60" s="1504">
        <v>320.3824886967999</v>
      </c>
      <c r="AI60" s="1531">
        <v>199.02747463999995</v>
      </c>
      <c r="AJ60" s="1530">
        <f>IF(ISERR(AI60/AH60-1),0,AI60/AH60-1)</f>
        <v>-0.37878166984228212</v>
      </c>
      <c r="AK60" s="1533">
        <f>IF(ISERR(AI60/AG60-1),0,AI60/AG60-1)</f>
        <v>10.041746165880719</v>
      </c>
      <c r="AL60" s="1531">
        <v>103.613</v>
      </c>
      <c r="AM60" s="1532">
        <v>37.971101991600001</v>
      </c>
      <c r="AN60" s="1531">
        <v>30.312999999999999</v>
      </c>
      <c r="AO60" s="1530">
        <f>IF(ISERR(AN60/AM60-1),0,AN60/AM60-1)</f>
        <v>-0.20168237396149669</v>
      </c>
      <c r="AP60" s="1533">
        <f>IF(ISERR(AN60/AL60-1),0,AN60/AL60-1)</f>
        <v>-0.70744018607703674</v>
      </c>
      <c r="AQ60" s="1529">
        <v>194.43100000000001</v>
      </c>
      <c r="AR60" s="1532">
        <v>42.980204426400007</v>
      </c>
      <c r="AS60" s="1529">
        <f>ККП!D533*1000</f>
        <v>0</v>
      </c>
      <c r="AT60" s="1530">
        <f>IF(ISERR(AS60/AR60-1),0,AS60/AR60-1)</f>
        <v>-1</v>
      </c>
      <c r="AU60" s="1520">
        <f>IF(ISERR(AS60/AQ60-1),0,AS60/AQ60-1)</f>
        <v>-1</v>
      </c>
      <c r="AV60" s="1529">
        <v>308.55700018999994</v>
      </c>
      <c r="AW60" s="1504">
        <v>83.2984879248</v>
      </c>
      <c r="AX60" s="1529"/>
      <c r="AY60" s="1519">
        <f>IF(ISERR(AX60/AW60-1),0,AX60/AW60-1)</f>
        <v>-1</v>
      </c>
      <c r="AZ60" s="1533">
        <f>IF(ISERR(AX60/AV60-1),0,AX60/AV60-1)</f>
        <v>-1</v>
      </c>
      <c r="BA60" s="1531">
        <v>502.22699999999998</v>
      </c>
      <c r="BB60" s="1504">
        <v>126.9750659865484</v>
      </c>
      <c r="BC60" s="1531"/>
      <c r="BD60" s="1519">
        <f>IF(ISERR(BC60/BB60-1),0,BC60/BB60-1)</f>
        <v>-1</v>
      </c>
      <c r="BE60" s="1533">
        <f>IF(ISERR(BC60/BA60-1),0,BC60/BA60-1)</f>
        <v>-1</v>
      </c>
      <c r="BF60" s="1531">
        <v>684.56100000000004</v>
      </c>
      <c r="BG60" s="1532">
        <v>149.87460311820001</v>
      </c>
      <c r="BH60" s="1531"/>
      <c r="BI60" s="1519">
        <f>IF(ISERR(BH60/BG60-1),0,BH60/BG60-1)</f>
        <v>-1</v>
      </c>
      <c r="BJ60" s="1520">
        <f>IF(ISERR(BH60/BF60-1),0,BH60/BF60-1)</f>
        <v>-1</v>
      </c>
      <c r="BK60" s="1529">
        <v>695.10414875999993</v>
      </c>
      <c r="BL60" s="1532">
        <v>156.77214208019996</v>
      </c>
      <c r="BM60" s="1529"/>
      <c r="BN60" s="1530">
        <f>IF(ISERR(BM60/BL60-1),0,BM60/BL60-1)</f>
        <v>-1</v>
      </c>
      <c r="BO60" s="1533">
        <f>IF(ISERR(BM60/BK60-1),0,BM60/BK60-1)</f>
        <v>-1</v>
      </c>
      <c r="BP60" s="1521">
        <f t="shared" si="78"/>
        <v>710.05500000000006</v>
      </c>
      <c r="BQ60" s="1569">
        <f t="shared" si="78"/>
        <v>3241.2863746912394</v>
      </c>
      <c r="BR60" s="1534">
        <f t="shared" si="78"/>
        <v>3007.3915507400002</v>
      </c>
      <c r="BS60" s="1468">
        <f>IF(ISERR(BR60/BQ60-1),0,BR60/BQ60-1)</f>
        <v>-7.2161110408986873E-2</v>
      </c>
      <c r="BT60" s="1448">
        <f>IF(ISERR(BR60/BP60-1),0,BR60/BP60-1)</f>
        <v>3.2354346504707383</v>
      </c>
      <c r="BU60" s="1382"/>
    </row>
    <row r="61" spans="1:73" ht="16.5" thickBot="1">
      <c r="A61" s="1498" t="s">
        <v>1824</v>
      </c>
      <c r="B61" s="1535">
        <f>I61+N61+S61+X61+AC61+AH61+AM61+AR61+AW61+BB61+BG61+BL61</f>
        <v>6464.5872876199992</v>
      </c>
      <c r="C61" s="1536">
        <v>0</v>
      </c>
      <c r="D61" s="1570">
        <v>3738.1121498299999</v>
      </c>
      <c r="E61" s="1538">
        <v>0</v>
      </c>
      <c r="F61" s="1571">
        <f>IF(ISERR(E61/D61-1),0,E61/D61-1)</f>
        <v>-1</v>
      </c>
      <c r="G61" s="1572">
        <f>IF(ISERR(E61/C61-1),0,E61/C61-1)</f>
        <v>0</v>
      </c>
      <c r="H61" s="1573">
        <v>0</v>
      </c>
      <c r="I61" s="1542">
        <v>656.28207801000008</v>
      </c>
      <c r="J61" s="1574"/>
      <c r="K61" s="1543">
        <f>IF(ISERR(J61/I61-1),0,J61/I61-1)</f>
        <v>-1</v>
      </c>
      <c r="L61" s="1544">
        <f>IF(ISERR(J61/H61-1),0,J61/H61-1)</f>
        <v>0</v>
      </c>
      <c r="M61" s="1574"/>
      <c r="N61" s="1542">
        <v>688.17167802999984</v>
      </c>
      <c r="O61" s="1574">
        <v>0</v>
      </c>
      <c r="P61" s="1547">
        <f>IF(ISERR(O61/N61-1),0,O61/N61-1)</f>
        <v>-1</v>
      </c>
      <c r="Q61" s="1544">
        <f>IF(ISERR(O61/M61-1),0,O61/M61-1)</f>
        <v>0</v>
      </c>
      <c r="R61" s="1575">
        <v>0</v>
      </c>
      <c r="S61" s="1542">
        <v>518.90507195999987</v>
      </c>
      <c r="T61" s="1575"/>
      <c r="U61" s="1543">
        <f>IF(ISERR(T61/S61-1),0,T61/S61-1)</f>
        <v>-1</v>
      </c>
      <c r="V61" s="1546">
        <f>IF(ISERR(T61/R61-1),0,T61/R61-1)</f>
        <v>0</v>
      </c>
      <c r="W61" s="1574"/>
      <c r="X61" s="1549">
        <v>500.62794631000008</v>
      </c>
      <c r="Y61" s="1574"/>
      <c r="Z61" s="1543">
        <f>IF(ISERR(Y61/X61-1),0,Y61/X61-1)</f>
        <v>-1</v>
      </c>
      <c r="AA61" s="1546">
        <f>IF(ISERR(Y61/W61-1),0,Y61/W61-1)</f>
        <v>0</v>
      </c>
      <c r="AB61" s="1550">
        <v>0</v>
      </c>
      <c r="AC61" s="1549">
        <v>442.32893974000001</v>
      </c>
      <c r="AD61" s="1550">
        <v>0</v>
      </c>
      <c r="AE61" s="1543">
        <f>IF(ISERR(AD61/AC61-1),0,AD61/AC61-1)</f>
        <v>-1</v>
      </c>
      <c r="AF61" s="1544">
        <f>IF(ISERR(AD61/AB61-1),0,AD61/AB61-1)</f>
        <v>0</v>
      </c>
      <c r="AG61" s="1548">
        <v>0</v>
      </c>
      <c r="AH61" s="1549">
        <v>446.65932347</v>
      </c>
      <c r="AI61" s="1548">
        <v>0</v>
      </c>
      <c r="AJ61" s="1543">
        <f>IF(ISERR(AI61/AH61-1),0,AI61/AH61-1)</f>
        <v>-1</v>
      </c>
      <c r="AK61" s="1546">
        <f>IF(ISERR(AI61/AG61-1),0,AI61/AG61-1)</f>
        <v>0</v>
      </c>
      <c r="AL61" s="1548">
        <v>0</v>
      </c>
      <c r="AM61" s="1542">
        <v>485.13711231000008</v>
      </c>
      <c r="AN61" s="1548"/>
      <c r="AO61" s="1543">
        <f>IF(ISERR(AN61/AM61-1),0,AN61/AM61-1)</f>
        <v>-1</v>
      </c>
      <c r="AP61" s="1546">
        <f>IF(ISERR(AN61/AL61-1),0,AN61/AL61-1)</f>
        <v>0</v>
      </c>
      <c r="AQ61" s="1550">
        <v>0</v>
      </c>
      <c r="AR61" s="1542">
        <v>497.77384311000003</v>
      </c>
      <c r="AS61" s="1550">
        <f>ККП!D562*1000</f>
        <v>0</v>
      </c>
      <c r="AT61" s="1543">
        <f>IF(ISERR(AS61/AR61-1),0,AS61/AR61-1)</f>
        <v>-1</v>
      </c>
      <c r="AU61" s="1544">
        <f>IF(ISERR(AS61/AQ61-1),0,AS61/AQ61-1)</f>
        <v>0</v>
      </c>
      <c r="AV61" s="1550">
        <v>0</v>
      </c>
      <c r="AW61" s="1549">
        <v>512.20258347000004</v>
      </c>
      <c r="AX61" s="1550"/>
      <c r="AY61" s="1547">
        <f>IF(ISERR(AX61/AW61-1),0,AX61/AW61-1)</f>
        <v>-1</v>
      </c>
      <c r="AZ61" s="1546">
        <f>IF(ISERR(AX61/AV61-1),0,AX61/AV61-1)</f>
        <v>0</v>
      </c>
      <c r="BA61" s="1548"/>
      <c r="BB61" s="1549">
        <v>448.16743376999995</v>
      </c>
      <c r="BC61" s="1548"/>
      <c r="BD61" s="1547">
        <f>IF(ISERR(BC61/BB61-1),0,BC61/BB61-1)</f>
        <v>-1</v>
      </c>
      <c r="BE61" s="1546">
        <f>IF(ISERR(BC61/BA61-1),0,BC61/BA61-1)</f>
        <v>0</v>
      </c>
      <c r="BF61" s="1548"/>
      <c r="BG61" s="1542">
        <v>604.0439427</v>
      </c>
      <c r="BH61" s="1548"/>
      <c r="BI61" s="1547">
        <f>IF(ISERR(BH61/BG61-1),0,BH61/BG61-1)</f>
        <v>-1</v>
      </c>
      <c r="BJ61" s="1544">
        <f>IF(ISERR(BH61/BF61-1),0,BH61/BF61-1)</f>
        <v>0</v>
      </c>
      <c r="BK61" s="1550">
        <v>0</v>
      </c>
      <c r="BL61" s="1542">
        <v>664.28733473999989</v>
      </c>
      <c r="BM61" s="1550"/>
      <c r="BN61" s="1543">
        <f>IF(ISERR(BM61/BL61-1),0,BM61/BL61-1)</f>
        <v>-1</v>
      </c>
      <c r="BO61" s="1546">
        <f>IF(ISERR(BM61/BK61-1),0,BM61/BK61-1)</f>
        <v>0</v>
      </c>
      <c r="BP61" s="1551">
        <f t="shared" si="78"/>
        <v>0</v>
      </c>
      <c r="BQ61" s="1576">
        <f t="shared" si="78"/>
        <v>4235.8859929399996</v>
      </c>
      <c r="BR61" s="1553">
        <f t="shared" si="78"/>
        <v>0</v>
      </c>
      <c r="BS61" s="1554">
        <f>IF(ISERR(BR61/BQ61-1),0,BR61/BQ61-1)</f>
        <v>-1</v>
      </c>
      <c r="BT61" s="1577">
        <f>IF(ISERR(BR61/BP61-1),0,BR61/BP61-1)</f>
        <v>0</v>
      </c>
      <c r="BU61" s="1382"/>
    </row>
    <row r="62" spans="1:73">
      <c r="J62" s="1558"/>
      <c r="O62" s="1558"/>
      <c r="T62" s="1558"/>
      <c r="Y62" s="1558"/>
      <c r="AD62" s="1558"/>
      <c r="AI62" s="1558"/>
      <c r="AN62" s="1558"/>
      <c r="AS62" s="1558"/>
      <c r="AX62" s="1558"/>
      <c r="BC62" s="1558"/>
      <c r="BH62" s="1558"/>
      <c r="BM62" s="1558"/>
    </row>
    <row r="63" spans="1:73" hidden="1">
      <c r="B63" s="1578">
        <f>B38-B39-B10</f>
        <v>0</v>
      </c>
      <c r="C63" s="1578">
        <f>C38-C39-C10</f>
        <v>0</v>
      </c>
      <c r="D63" s="1578">
        <f>D38-D39-D10</f>
        <v>0</v>
      </c>
      <c r="E63" s="1578">
        <f>E38-E39-E10</f>
        <v>0</v>
      </c>
      <c r="F63" s="1578"/>
      <c r="G63" s="1578"/>
      <c r="H63" s="1578">
        <f t="shared" ref="H63:BR63" si="79">H38-H39-H10</f>
        <v>0</v>
      </c>
      <c r="I63" s="1578">
        <f>I38-I39-I10</f>
        <v>0</v>
      </c>
      <c r="J63" s="1578">
        <f t="shared" si="79"/>
        <v>0</v>
      </c>
      <c r="K63" s="1578"/>
      <c r="L63" s="1578"/>
      <c r="M63" s="1578">
        <f t="shared" si="79"/>
        <v>0</v>
      </c>
      <c r="N63" s="1578">
        <f t="shared" si="79"/>
        <v>0</v>
      </c>
      <c r="O63" s="1578">
        <f t="shared" si="79"/>
        <v>0</v>
      </c>
      <c r="P63" s="1578">
        <f t="shared" si="79"/>
        <v>0.39112949278062359</v>
      </c>
      <c r="Q63" s="1578">
        <f t="shared" si="79"/>
        <v>0.44748886430906476</v>
      </c>
      <c r="R63" s="1578">
        <f t="shared" si="79"/>
        <v>0</v>
      </c>
      <c r="S63" s="1578">
        <f t="shared" si="79"/>
        <v>0</v>
      </c>
      <c r="T63" s="1578">
        <f t="shared" si="79"/>
        <v>0</v>
      </c>
      <c r="U63" s="1578">
        <f t="shared" si="79"/>
        <v>7.3985262070030977E-5</v>
      </c>
      <c r="V63" s="1578">
        <f t="shared" si="79"/>
        <v>2.1111675458243329E-2</v>
      </c>
      <c r="W63" s="1578">
        <f t="shared" si="79"/>
        <v>0</v>
      </c>
      <c r="X63" s="1578">
        <f t="shared" si="79"/>
        <v>0</v>
      </c>
      <c r="Y63" s="1578">
        <f t="shared" si="79"/>
        <v>0</v>
      </c>
      <c r="Z63" s="1578">
        <f t="shared" si="79"/>
        <v>3.4498044402377692E-2</v>
      </c>
      <c r="AA63" s="1578">
        <f t="shared" si="79"/>
        <v>1.7752166191122298E-2</v>
      </c>
      <c r="AB63" s="1578">
        <f t="shared" si="79"/>
        <v>0</v>
      </c>
      <c r="AC63" s="1578">
        <f t="shared" si="79"/>
        <v>0</v>
      </c>
      <c r="AD63" s="1578">
        <f t="shared" si="79"/>
        <v>0</v>
      </c>
      <c r="AE63" s="1578">
        <f t="shared" si="79"/>
        <v>2.4568549534565554E-2</v>
      </c>
      <c r="AF63" s="1578">
        <f t="shared" si="79"/>
        <v>-4.6519778444529702E-2</v>
      </c>
      <c r="AG63" s="1578">
        <f t="shared" si="79"/>
        <v>0</v>
      </c>
      <c r="AH63" s="1578">
        <f t="shared" si="79"/>
        <v>0</v>
      </c>
      <c r="AI63" s="1578">
        <f t="shared" si="79"/>
        <v>0</v>
      </c>
      <c r="AJ63" s="1578">
        <f t="shared" si="79"/>
        <v>3.9936894060694339E-2</v>
      </c>
      <c r="AK63" s="1578">
        <f t="shared" si="79"/>
        <v>-4.6181243166739216E-2</v>
      </c>
      <c r="AL63" s="1578">
        <f t="shared" si="79"/>
        <v>0</v>
      </c>
      <c r="AM63" s="1578">
        <f t="shared" si="79"/>
        <v>0</v>
      </c>
      <c r="AN63" s="1578">
        <f t="shared" si="79"/>
        <v>0</v>
      </c>
      <c r="AO63" s="1578">
        <f t="shared" si="79"/>
        <v>-9.9485835920700705E-3</v>
      </c>
      <c r="AP63" s="1578">
        <f t="shared" si="79"/>
        <v>-2.8589302041598375E-3</v>
      </c>
      <c r="AQ63" s="1578">
        <f t="shared" si="79"/>
        <v>0</v>
      </c>
      <c r="AR63" s="1578">
        <f t="shared" si="79"/>
        <v>0</v>
      </c>
      <c r="AS63" s="1578">
        <f t="shared" si="79"/>
        <v>0</v>
      </c>
      <c r="AT63" s="1578">
        <f t="shared" si="79"/>
        <v>0.54506878795928548</v>
      </c>
      <c r="AU63" s="1578">
        <f t="shared" si="79"/>
        <v>0.56196218231022343</v>
      </c>
      <c r="AV63" s="1578">
        <f t="shared" si="79"/>
        <v>0</v>
      </c>
      <c r="AW63" s="1578">
        <f t="shared" si="79"/>
        <v>0</v>
      </c>
      <c r="AX63" s="1578">
        <f t="shared" si="79"/>
        <v>0</v>
      </c>
      <c r="AY63" s="1578"/>
      <c r="AZ63" s="1578"/>
      <c r="BA63" s="1578">
        <f t="shared" si="79"/>
        <v>0</v>
      </c>
      <c r="BB63" s="1578">
        <f t="shared" si="79"/>
        <v>0</v>
      </c>
      <c r="BC63" s="1578">
        <f t="shared" si="79"/>
        <v>0</v>
      </c>
      <c r="BD63" s="1578">
        <f t="shared" si="79"/>
        <v>1</v>
      </c>
      <c r="BE63" s="1578">
        <f t="shared" si="79"/>
        <v>1</v>
      </c>
      <c r="BF63" s="1578">
        <f t="shared" si="79"/>
        <v>0</v>
      </c>
      <c r="BG63" s="1578">
        <f t="shared" si="79"/>
        <v>0</v>
      </c>
      <c r="BH63" s="1578">
        <f t="shared" si="79"/>
        <v>0</v>
      </c>
      <c r="BI63" s="1578">
        <f t="shared" si="79"/>
        <v>1</v>
      </c>
      <c r="BJ63" s="1578">
        <f t="shared" si="79"/>
        <v>1</v>
      </c>
      <c r="BK63" s="1578">
        <f t="shared" si="79"/>
        <v>0</v>
      </c>
      <c r="BL63" s="1578">
        <f t="shared" si="79"/>
        <v>0</v>
      </c>
      <c r="BM63" s="1578">
        <f t="shared" si="79"/>
        <v>0</v>
      </c>
      <c r="BN63" s="1578">
        <f t="shared" si="79"/>
        <v>1</v>
      </c>
      <c r="BO63" s="1578">
        <f t="shared" si="79"/>
        <v>1</v>
      </c>
      <c r="BP63" s="1578">
        <f t="shared" si="79"/>
        <v>0</v>
      </c>
      <c r="BQ63" s="1578">
        <f t="shared" si="79"/>
        <v>0</v>
      </c>
      <c r="BR63" s="1578">
        <f t="shared" si="79"/>
        <v>0</v>
      </c>
    </row>
    <row r="64" spans="1:73" s="1580" customFormat="1">
      <c r="A64" s="1579"/>
      <c r="E64" s="1581">
        <f>E38-E39-E10</f>
        <v>0</v>
      </c>
      <c r="F64" s="1581">
        <f t="shared" ref="F64:BG64" si="80">F38-F39-F10</f>
        <v>7.3396086270357097E-2</v>
      </c>
      <c r="G64" s="1581">
        <f t="shared" si="80"/>
        <v>9.3903841014265965E-2</v>
      </c>
      <c r="H64" s="1581">
        <f t="shared" si="80"/>
        <v>0</v>
      </c>
      <c r="I64" s="1581">
        <f t="shared" si="80"/>
        <v>0</v>
      </c>
      <c r="J64" s="1581">
        <f t="shared" si="80"/>
        <v>0</v>
      </c>
      <c r="K64" s="1581">
        <f t="shared" si="80"/>
        <v>-2.1076079772341938E-3</v>
      </c>
      <c r="L64" s="1581">
        <f t="shared" si="80"/>
        <v>9.8570264461082746E-2</v>
      </c>
      <c r="M64" s="1581">
        <f t="shared" si="80"/>
        <v>0</v>
      </c>
      <c r="N64" s="1581">
        <f t="shared" si="80"/>
        <v>0</v>
      </c>
      <c r="O64" s="1581">
        <f t="shared" si="80"/>
        <v>0</v>
      </c>
      <c r="P64" s="1581">
        <f t="shared" si="80"/>
        <v>0.39112949278062359</v>
      </c>
      <c r="Q64" s="1581">
        <f t="shared" si="80"/>
        <v>0.44748886430906476</v>
      </c>
      <c r="R64" s="1581">
        <f t="shared" si="80"/>
        <v>0</v>
      </c>
      <c r="S64" s="1581">
        <f t="shared" si="80"/>
        <v>0</v>
      </c>
      <c r="T64" s="1581">
        <f t="shared" si="80"/>
        <v>0</v>
      </c>
      <c r="U64" s="1581">
        <f t="shared" si="80"/>
        <v>7.3985262070030977E-5</v>
      </c>
      <c r="V64" s="1581">
        <f t="shared" si="80"/>
        <v>2.1111675458243329E-2</v>
      </c>
      <c r="W64" s="1581">
        <f t="shared" si="80"/>
        <v>0</v>
      </c>
      <c r="X64" s="1581">
        <f t="shared" si="80"/>
        <v>0</v>
      </c>
      <c r="Y64" s="1581">
        <f t="shared" si="80"/>
        <v>0</v>
      </c>
      <c r="Z64" s="1581">
        <f t="shared" si="80"/>
        <v>3.4498044402377692E-2</v>
      </c>
      <c r="AA64" s="1581">
        <f t="shared" si="80"/>
        <v>1.7752166191122298E-2</v>
      </c>
      <c r="AB64" s="1581">
        <f t="shared" si="80"/>
        <v>0</v>
      </c>
      <c r="AC64" s="1581">
        <f t="shared" si="80"/>
        <v>0</v>
      </c>
      <c r="AD64" s="1581">
        <f t="shared" si="80"/>
        <v>0</v>
      </c>
      <c r="AE64" s="1581">
        <f t="shared" si="80"/>
        <v>2.4568549534565554E-2</v>
      </c>
      <c r="AF64" s="1581">
        <f t="shared" si="80"/>
        <v>-4.6519778444529702E-2</v>
      </c>
      <c r="AG64" s="1581">
        <f t="shared" si="80"/>
        <v>0</v>
      </c>
      <c r="AH64" s="1581">
        <f t="shared" si="80"/>
        <v>0</v>
      </c>
      <c r="AI64" s="1581">
        <f t="shared" si="80"/>
        <v>0</v>
      </c>
      <c r="AJ64" s="1581">
        <f t="shared" si="80"/>
        <v>3.9936894060694339E-2</v>
      </c>
      <c r="AK64" s="1581">
        <f t="shared" si="80"/>
        <v>-4.6181243166739216E-2</v>
      </c>
      <c r="AL64" s="1581">
        <f t="shared" si="80"/>
        <v>0</v>
      </c>
      <c r="AM64" s="1581">
        <f t="shared" si="80"/>
        <v>0</v>
      </c>
      <c r="AN64" s="1581">
        <f t="shared" si="80"/>
        <v>0</v>
      </c>
      <c r="AO64" s="1581">
        <f t="shared" si="80"/>
        <v>-9.9485835920700705E-3</v>
      </c>
      <c r="AP64" s="1581">
        <f t="shared" si="80"/>
        <v>-2.8589302041598375E-3</v>
      </c>
      <c r="AQ64" s="1581">
        <f t="shared" si="80"/>
        <v>0</v>
      </c>
      <c r="AR64" s="1581">
        <f t="shared" si="80"/>
        <v>0</v>
      </c>
      <c r="AS64" s="1581">
        <f t="shared" si="80"/>
        <v>0</v>
      </c>
      <c r="AT64" s="1581">
        <f t="shared" si="80"/>
        <v>0.54506878795928548</v>
      </c>
      <c r="AU64" s="1581">
        <f t="shared" si="80"/>
        <v>0.56196218231022343</v>
      </c>
      <c r="AV64" s="1581">
        <f t="shared" si="80"/>
        <v>0</v>
      </c>
      <c r="AW64" s="1581">
        <f t="shared" si="80"/>
        <v>0</v>
      </c>
      <c r="AX64" s="1581">
        <f t="shared" si="80"/>
        <v>0</v>
      </c>
      <c r="AY64" s="1581">
        <f t="shared" si="80"/>
        <v>1</v>
      </c>
      <c r="AZ64" s="1581">
        <f t="shared" si="80"/>
        <v>1</v>
      </c>
      <c r="BA64" s="1581">
        <f t="shared" si="80"/>
        <v>0</v>
      </c>
      <c r="BB64" s="1581">
        <f t="shared" si="80"/>
        <v>0</v>
      </c>
      <c r="BC64" s="1581">
        <f t="shared" si="80"/>
        <v>0</v>
      </c>
      <c r="BD64" s="1581">
        <f t="shared" si="80"/>
        <v>1</v>
      </c>
      <c r="BE64" s="1581">
        <f t="shared" si="80"/>
        <v>1</v>
      </c>
      <c r="BF64" s="1581">
        <f t="shared" si="80"/>
        <v>0</v>
      </c>
      <c r="BG64" s="1581">
        <f t="shared" si="80"/>
        <v>0</v>
      </c>
      <c r="BH64" s="1581">
        <f>BH38-BH39-BH10</f>
        <v>0</v>
      </c>
      <c r="BI64" s="1581">
        <f t="shared" ref="BI64:BQ64" si="81">BI38-BI39-BI10</f>
        <v>1</v>
      </c>
      <c r="BJ64" s="1581">
        <f t="shared" si="81"/>
        <v>1</v>
      </c>
      <c r="BK64" s="1581">
        <f t="shared" si="81"/>
        <v>0</v>
      </c>
      <c r="BL64" s="1581">
        <f t="shared" si="81"/>
        <v>0</v>
      </c>
      <c r="BM64" s="1581">
        <f t="shared" si="81"/>
        <v>0</v>
      </c>
      <c r="BN64" s="1581">
        <f t="shared" si="81"/>
        <v>1</v>
      </c>
      <c r="BO64" s="1581">
        <f t="shared" si="81"/>
        <v>1</v>
      </c>
      <c r="BP64" s="1581">
        <f t="shared" si="81"/>
        <v>0</v>
      </c>
      <c r="BQ64" s="1581">
        <f t="shared" si="81"/>
        <v>0</v>
      </c>
      <c r="BR64" s="1581">
        <f>BR38-BR39-BR10</f>
        <v>0</v>
      </c>
      <c r="BS64" s="1581"/>
      <c r="BT64" s="1581"/>
    </row>
    <row r="65" spans="1:121">
      <c r="F65" s="1379"/>
      <c r="G65" s="1379"/>
      <c r="I65" s="1582"/>
      <c r="J65" s="1582"/>
      <c r="K65" s="1582"/>
      <c r="L65" s="1582"/>
      <c r="M65" s="1582"/>
      <c r="N65" s="1583"/>
      <c r="O65" s="1583"/>
      <c r="P65" s="1583"/>
      <c r="Q65" s="1583"/>
      <c r="R65" s="1583"/>
      <c r="S65" s="1584"/>
      <c r="T65" s="1584"/>
      <c r="U65" s="1584"/>
      <c r="V65" s="1584"/>
      <c r="W65" s="1584"/>
      <c r="X65" s="1584"/>
      <c r="Y65" s="1584"/>
      <c r="Z65" s="1584"/>
      <c r="AA65" s="1584"/>
      <c r="AB65" s="1584"/>
      <c r="AC65" s="1582"/>
      <c r="AD65" s="1582"/>
      <c r="AE65" s="1582"/>
      <c r="AF65" s="1582"/>
      <c r="AG65" s="1582"/>
      <c r="AH65" s="1582"/>
      <c r="AI65" s="1582"/>
      <c r="AJ65" s="1582"/>
      <c r="AK65" s="1582"/>
      <c r="AL65" s="1582"/>
      <c r="AM65" s="1583"/>
      <c r="AN65" s="1583"/>
      <c r="AO65" s="1583"/>
      <c r="AP65" s="1583"/>
      <c r="AQ65" s="1583"/>
      <c r="AR65" s="1584"/>
      <c r="AS65" s="1584"/>
      <c r="AT65" s="1584"/>
      <c r="AU65" s="1584"/>
      <c r="AV65" s="1584"/>
      <c r="AW65" s="1584"/>
      <c r="AX65" s="1584"/>
      <c r="AY65" s="1584"/>
      <c r="AZ65" s="1584"/>
      <c r="BA65" s="1584"/>
      <c r="BB65" s="1582"/>
      <c r="BC65" s="1582"/>
      <c r="BD65" s="1582"/>
      <c r="BE65" s="1582"/>
      <c r="BF65" s="1582"/>
      <c r="BG65" s="1582"/>
      <c r="BH65" s="1582"/>
      <c r="BI65" s="1582"/>
      <c r="BJ65" s="1582"/>
      <c r="BK65" s="1582"/>
      <c r="BL65" s="1583"/>
      <c r="BM65" s="1557"/>
      <c r="BO65" s="1379"/>
      <c r="BQ65" s="1578"/>
      <c r="BR65" s="1557"/>
      <c r="BS65" s="1557"/>
      <c r="BT65" s="1379"/>
      <c r="BV65" s="1578"/>
      <c r="BW65" s="1557"/>
      <c r="BX65" s="1557"/>
      <c r="CA65" s="1578"/>
      <c r="CB65" s="1557"/>
      <c r="CC65" s="1557"/>
      <c r="CF65" s="1578"/>
      <c r="CG65" s="1557"/>
      <c r="CH65" s="1557"/>
      <c r="CK65" s="1578"/>
      <c r="CL65" s="1557"/>
      <c r="CM65" s="1557"/>
      <c r="CO65" s="1585"/>
      <c r="CP65" s="1578"/>
      <c r="CQ65" s="1557"/>
      <c r="CR65" s="1557"/>
      <c r="CU65" s="1578"/>
      <c r="CV65" s="1557"/>
      <c r="CW65" s="1557"/>
      <c r="CY65" s="1585"/>
      <c r="CZ65" s="1585"/>
      <c r="DA65" s="1557"/>
      <c r="DB65" s="1557"/>
      <c r="DE65" s="1586"/>
      <c r="DF65" s="1557"/>
      <c r="DG65" s="1557"/>
      <c r="DJ65" s="1586"/>
      <c r="DK65" s="1557"/>
      <c r="DL65" s="1557"/>
      <c r="DO65" s="1586"/>
      <c r="DP65" s="1559"/>
      <c r="DQ65" s="1559"/>
    </row>
    <row r="66" spans="1:121">
      <c r="A66" s="1587"/>
      <c r="F66" s="1379"/>
      <c r="G66" s="1379"/>
      <c r="I66" s="1582"/>
      <c r="J66" s="1582"/>
      <c r="K66" s="1582"/>
      <c r="L66" s="1582"/>
      <c r="M66" s="1582"/>
      <c r="N66" s="1582"/>
      <c r="O66" s="1582"/>
      <c r="P66" s="1582"/>
      <c r="Q66" s="1582"/>
      <c r="R66" s="1582"/>
      <c r="S66" s="1584"/>
      <c r="T66" s="1584"/>
      <c r="U66" s="1584"/>
      <c r="V66" s="1584"/>
      <c r="W66" s="1584"/>
      <c r="X66" s="1584"/>
      <c r="Y66" s="1584"/>
      <c r="Z66" s="1584"/>
      <c r="AA66" s="1584"/>
      <c r="AB66" s="1584"/>
      <c r="AC66" s="1582"/>
      <c r="AD66" s="1582"/>
      <c r="AE66" s="1582"/>
      <c r="AF66" s="1582"/>
      <c r="AG66" s="1582"/>
      <c r="AH66" s="1588"/>
      <c r="AI66" s="1588"/>
      <c r="AJ66" s="1588"/>
      <c r="AK66" s="1588"/>
      <c r="AL66" s="1588"/>
      <c r="AM66" s="1583"/>
      <c r="AN66" s="1583"/>
      <c r="AO66" s="1583"/>
      <c r="AP66" s="1583"/>
      <c r="AQ66" s="1583"/>
      <c r="AR66" s="1584"/>
      <c r="AS66" s="1584"/>
      <c r="AT66" s="1584"/>
      <c r="AU66" s="1584"/>
      <c r="AV66" s="1584"/>
      <c r="AW66" s="1584"/>
      <c r="AX66" s="1584"/>
      <c r="AY66" s="1584"/>
      <c r="AZ66" s="1584"/>
      <c r="BA66" s="1584"/>
      <c r="BB66" s="1582"/>
      <c r="BC66" s="1582"/>
      <c r="BD66" s="1582"/>
      <c r="BE66" s="1582"/>
      <c r="BF66" s="1582"/>
      <c r="BG66" s="1582"/>
      <c r="BH66" s="1582"/>
      <c r="BI66" s="1582"/>
      <c r="BJ66" s="1582"/>
      <c r="BK66" s="1582"/>
      <c r="BL66" s="1582"/>
      <c r="BM66" s="1557"/>
      <c r="BO66" s="1379"/>
      <c r="BR66" s="1557"/>
      <c r="BS66" s="1557"/>
      <c r="BT66" s="1379"/>
      <c r="BW66" s="1557"/>
      <c r="BX66" s="1557"/>
      <c r="CB66" s="1557"/>
      <c r="CC66" s="1557"/>
      <c r="CG66" s="1557"/>
      <c r="CH66" s="1557"/>
      <c r="CK66" s="1558"/>
      <c r="CL66" s="1557"/>
      <c r="CM66" s="1557"/>
      <c r="CP66" s="1558"/>
      <c r="CQ66" s="1557"/>
      <c r="CR66" s="1557"/>
      <c r="CU66" s="1558"/>
      <c r="CV66" s="1557"/>
      <c r="CW66" s="1557"/>
      <c r="CZ66" s="1558"/>
      <c r="DA66" s="1557"/>
      <c r="DB66" s="1557"/>
      <c r="DE66" s="1558"/>
      <c r="DF66" s="1557"/>
      <c r="DG66" s="1557"/>
      <c r="DJ66" s="1558"/>
      <c r="DK66" s="1557"/>
      <c r="DL66" s="1557"/>
      <c r="DP66" s="1559"/>
      <c r="DQ66" s="1559"/>
    </row>
    <row r="67" spans="1:121">
      <c r="F67" s="1379"/>
      <c r="G67" s="1379"/>
      <c r="I67" s="1582"/>
      <c r="J67" s="1582"/>
      <c r="K67" s="1582"/>
      <c r="L67" s="1582"/>
      <c r="M67" s="1582"/>
      <c r="N67" s="1582"/>
      <c r="O67" s="1582"/>
      <c r="P67" s="1582"/>
      <c r="Q67" s="1582"/>
      <c r="R67" s="1582"/>
      <c r="S67" s="1584"/>
      <c r="T67" s="1584"/>
      <c r="U67" s="1584"/>
      <c r="V67" s="1584"/>
      <c r="W67" s="1584"/>
      <c r="X67" s="1584"/>
      <c r="Y67" s="1584"/>
      <c r="Z67" s="1584"/>
      <c r="AA67" s="1584"/>
      <c r="AB67" s="1584"/>
      <c r="AC67" s="1582"/>
      <c r="AD67" s="1582"/>
      <c r="AE67" s="1582"/>
      <c r="AF67" s="1582"/>
      <c r="AG67" s="1582"/>
      <c r="AH67" s="1588"/>
      <c r="AI67" s="1588"/>
      <c r="AJ67" s="1588"/>
      <c r="AK67" s="1588"/>
      <c r="AL67" s="1588"/>
      <c r="AM67" s="1588"/>
      <c r="AN67" s="1588"/>
      <c r="AO67" s="1588"/>
      <c r="AP67" s="1588"/>
      <c r="AQ67" s="1588"/>
      <c r="AR67" s="1588"/>
      <c r="AS67" s="1588"/>
      <c r="AT67" s="1588"/>
      <c r="AU67" s="1588"/>
      <c r="AV67" s="1588"/>
      <c r="AW67" s="1588"/>
      <c r="AX67" s="1588"/>
      <c r="AY67" s="1588"/>
      <c r="AZ67" s="1588"/>
      <c r="BA67" s="1588"/>
      <c r="BB67" s="1588"/>
      <c r="BC67" s="1588"/>
      <c r="BD67" s="1588"/>
      <c r="BE67" s="1588"/>
      <c r="BF67" s="1588"/>
      <c r="BG67" s="1588"/>
      <c r="BH67" s="1588"/>
      <c r="BI67" s="1588"/>
      <c r="BJ67" s="1588"/>
      <c r="BK67" s="1588"/>
      <c r="BL67" s="1588"/>
      <c r="BM67" s="1558"/>
      <c r="BN67" s="1558"/>
      <c r="BO67" s="1558"/>
      <c r="BP67" s="1558"/>
      <c r="BQ67" s="1558"/>
      <c r="BR67" s="1558"/>
      <c r="BS67" s="1558"/>
      <c r="BT67" s="1558"/>
      <c r="BU67" s="1558"/>
      <c r="BV67" s="1558"/>
      <c r="BW67" s="1558"/>
      <c r="BX67" s="1558"/>
      <c r="BY67" s="1558"/>
      <c r="BZ67" s="1558"/>
      <c r="CA67" s="1558"/>
      <c r="CB67" s="1558"/>
      <c r="CC67" s="1558"/>
      <c r="CD67" s="1558"/>
      <c r="CE67" s="1558"/>
      <c r="CF67" s="1558"/>
      <c r="CG67" s="1558"/>
      <c r="CH67" s="1558"/>
      <c r="CI67" s="1558"/>
      <c r="CJ67" s="1558"/>
      <c r="CK67" s="1558"/>
      <c r="CL67" s="1558"/>
      <c r="CM67" s="1558"/>
      <c r="CN67" s="1558"/>
      <c r="CO67" s="1558"/>
      <c r="CP67" s="1558"/>
      <c r="CQ67" s="1558"/>
      <c r="CR67" s="1558"/>
      <c r="CS67" s="1558"/>
      <c r="CT67" s="1558"/>
      <c r="CU67" s="1558"/>
      <c r="CV67" s="1558"/>
      <c r="CW67" s="1558"/>
      <c r="CX67" s="1558"/>
      <c r="CY67" s="1558"/>
      <c r="CZ67" s="1558"/>
      <c r="DA67" s="1558"/>
      <c r="DB67" s="1558"/>
      <c r="DC67" s="1558"/>
      <c r="DD67" s="1558"/>
      <c r="DE67" s="1558"/>
      <c r="DF67" s="1558"/>
      <c r="DG67" s="1558"/>
      <c r="DH67" s="1558"/>
      <c r="DI67" s="1558"/>
      <c r="DJ67" s="1558"/>
      <c r="DK67" s="1558"/>
      <c r="DL67" s="1558"/>
      <c r="DM67" s="1558"/>
      <c r="DN67" s="1558"/>
      <c r="DO67" s="1558"/>
      <c r="DP67" s="1558"/>
      <c r="DQ67" s="1558"/>
    </row>
    <row r="68" spans="1:121">
      <c r="F68" s="1379"/>
      <c r="G68" s="1379"/>
      <c r="K68" s="1379"/>
      <c r="L68" s="1379"/>
      <c r="P68" s="1379"/>
      <c r="Q68" s="1379"/>
      <c r="S68" s="1557"/>
      <c r="T68" s="1557"/>
      <c r="W68" s="1557"/>
      <c r="X68" s="1557"/>
      <c r="Y68" s="1557"/>
      <c r="AB68" s="1557"/>
      <c r="AE68" s="1379"/>
      <c r="AF68" s="1379"/>
      <c r="AH68" s="1558"/>
      <c r="AI68" s="1558"/>
      <c r="AJ68" s="1558"/>
      <c r="AK68" s="1558"/>
      <c r="AL68" s="1558"/>
      <c r="AM68" s="1558"/>
      <c r="AN68" s="1558"/>
      <c r="AO68" s="1558"/>
      <c r="AP68" s="1558"/>
      <c r="AQ68" s="1558"/>
      <c r="AR68" s="1558"/>
      <c r="AS68" s="1558"/>
      <c r="AT68" s="1558"/>
      <c r="AU68" s="1558"/>
      <c r="AV68" s="1558"/>
      <c r="AW68" s="1558"/>
      <c r="AX68" s="1558"/>
      <c r="AY68" s="1558"/>
      <c r="AZ68" s="1558"/>
      <c r="BA68" s="1558"/>
      <c r="BB68" s="1558"/>
      <c r="BC68" s="1558"/>
      <c r="BD68" s="1558"/>
      <c r="BE68" s="1558"/>
      <c r="BF68" s="1558"/>
      <c r="BG68" s="1558"/>
      <c r="BH68" s="1558"/>
      <c r="BI68" s="1558"/>
      <c r="BJ68" s="1558"/>
      <c r="BK68" s="1558"/>
      <c r="BL68" s="1558"/>
      <c r="BM68" s="1558"/>
      <c r="BN68" s="1558"/>
      <c r="BO68" s="1558"/>
      <c r="BP68" s="1558"/>
      <c r="BQ68" s="1558"/>
      <c r="BR68" s="1558"/>
      <c r="BS68" s="1558"/>
      <c r="BT68" s="1558"/>
      <c r="BU68" s="1558"/>
      <c r="BV68" s="1558"/>
      <c r="BW68" s="1558"/>
      <c r="BX68" s="1558"/>
      <c r="BY68" s="1558"/>
      <c r="BZ68" s="1558"/>
      <c r="CA68" s="1558"/>
      <c r="CB68" s="1558"/>
      <c r="CC68" s="1558"/>
      <c r="CD68" s="1558"/>
      <c r="CE68" s="1558"/>
      <c r="CF68" s="1558"/>
      <c r="CG68" s="1558"/>
      <c r="CH68" s="1558"/>
      <c r="CI68" s="1558"/>
      <c r="CJ68" s="1558"/>
      <c r="CK68" s="1558"/>
      <c r="CL68" s="1558"/>
      <c r="CM68" s="1558"/>
      <c r="CN68" s="1558"/>
      <c r="CO68" s="1558"/>
      <c r="CP68" s="1558"/>
      <c r="CQ68" s="1558"/>
      <c r="CR68" s="1558"/>
      <c r="CS68" s="1558"/>
      <c r="CT68" s="1558"/>
      <c r="CU68" s="1558"/>
      <c r="CV68" s="1558"/>
      <c r="CW68" s="1558"/>
      <c r="CX68" s="1558"/>
      <c r="CY68" s="1558"/>
      <c r="CZ68" s="1558"/>
      <c r="DA68" s="1558"/>
      <c r="DB68" s="1558"/>
      <c r="DC68" s="1558"/>
      <c r="DD68" s="1558"/>
      <c r="DE68" s="1558"/>
      <c r="DF68" s="1558"/>
      <c r="DG68" s="1558"/>
      <c r="DH68" s="1558"/>
      <c r="DI68" s="1558"/>
      <c r="DJ68" s="1558"/>
      <c r="DK68" s="1558"/>
      <c r="DL68" s="1558"/>
      <c r="DM68" s="1558"/>
      <c r="DN68" s="1558"/>
      <c r="DO68" s="1558"/>
      <c r="DP68" s="1558"/>
      <c r="DQ68" s="1558"/>
    </row>
    <row r="69" spans="1:121">
      <c r="B69" s="1589"/>
      <c r="F69" s="1379"/>
      <c r="G69" s="1379"/>
      <c r="K69" s="1379"/>
      <c r="L69" s="1379"/>
      <c r="P69" s="1379"/>
      <c r="Q69" s="1379"/>
      <c r="U69" s="1379"/>
      <c r="V69" s="1379"/>
      <c r="Z69" s="1379"/>
      <c r="AA69" s="1379"/>
      <c r="AE69" s="1379"/>
      <c r="AF69" s="1379"/>
      <c r="AJ69" s="1379"/>
      <c r="AK69" s="1379"/>
      <c r="AO69" s="1379"/>
      <c r="AP69" s="1379"/>
      <c r="AT69" s="1379"/>
      <c r="AU69" s="1379"/>
      <c r="AY69" s="1379"/>
      <c r="AZ69" s="1379"/>
      <c r="BD69" s="1379"/>
      <c r="BE69" s="1379"/>
      <c r="BI69" s="1379"/>
      <c r="BJ69" s="1379"/>
      <c r="BM69" s="1557"/>
      <c r="BO69" s="1379"/>
      <c r="BP69" s="1558"/>
      <c r="BQ69" s="1589"/>
      <c r="BR69" s="1557"/>
      <c r="BS69" s="1557"/>
      <c r="BT69" s="1379"/>
      <c r="BU69" s="1558"/>
      <c r="BV69" s="1589"/>
      <c r="BW69" s="1557"/>
      <c r="BX69" s="1557"/>
      <c r="BZ69" s="1558"/>
      <c r="CA69" s="1589"/>
      <c r="CB69" s="1557"/>
      <c r="CC69" s="1557"/>
      <c r="CE69" s="1558"/>
      <c r="CF69" s="1589"/>
      <c r="CG69" s="1557"/>
      <c r="CH69" s="1557"/>
      <c r="CJ69" s="1558"/>
      <c r="CK69" s="1589"/>
      <c r="CL69" s="1557"/>
      <c r="CM69" s="1557"/>
      <c r="CO69" s="1558"/>
      <c r="CP69" s="1589"/>
      <c r="CQ69" s="1557"/>
      <c r="CR69" s="1557"/>
      <c r="CT69" s="1558"/>
      <c r="CU69" s="1589"/>
      <c r="CV69" s="1557"/>
      <c r="CW69" s="1557"/>
      <c r="CY69" s="1558"/>
      <c r="CZ69" s="1589"/>
      <c r="DA69" s="1557"/>
      <c r="DB69" s="1557"/>
      <c r="DD69" s="1558"/>
      <c r="DE69" s="1589"/>
      <c r="DF69" s="1557"/>
      <c r="DG69" s="1557"/>
      <c r="DI69" s="1558"/>
      <c r="DJ69" s="1589"/>
      <c r="DK69" s="1557"/>
      <c r="DL69" s="1557"/>
      <c r="DP69" s="1559"/>
      <c r="DQ69" s="1559"/>
    </row>
    <row r="70" spans="1:121">
      <c r="B70" s="1589"/>
      <c r="F70" s="1379"/>
      <c r="G70" s="1379"/>
      <c r="K70" s="1379"/>
      <c r="L70" s="1379"/>
      <c r="P70" s="1379"/>
      <c r="Q70" s="1379"/>
      <c r="U70" s="1379"/>
      <c r="V70" s="1379"/>
      <c r="Z70" s="1379"/>
      <c r="AA70" s="1379"/>
      <c r="AE70" s="1379"/>
      <c r="AF70" s="1379"/>
      <c r="AJ70" s="1379"/>
      <c r="AK70" s="1379"/>
      <c r="AO70" s="1379"/>
      <c r="AP70" s="1379"/>
      <c r="AT70" s="1379"/>
      <c r="AU70" s="1379"/>
      <c r="AY70" s="1379"/>
      <c r="AZ70" s="1379"/>
      <c r="BD70" s="1379"/>
      <c r="BE70" s="1379"/>
      <c r="BI70" s="1379"/>
      <c r="BJ70" s="1379"/>
      <c r="BM70" s="1557"/>
      <c r="BO70" s="1379"/>
      <c r="BQ70" s="1589"/>
      <c r="BR70" s="1557"/>
      <c r="BS70" s="1557"/>
      <c r="BT70" s="1379"/>
      <c r="BV70" s="1589"/>
      <c r="BW70" s="1557"/>
      <c r="BX70" s="1557"/>
      <c r="CA70" s="1589"/>
      <c r="CB70" s="1557"/>
      <c r="CC70" s="1557"/>
      <c r="CF70" s="1589"/>
      <c r="CG70" s="1557"/>
      <c r="CH70" s="1557"/>
      <c r="CK70" s="1589"/>
      <c r="CL70" s="1557"/>
      <c r="CM70" s="1557"/>
      <c r="CP70" s="1589"/>
      <c r="CQ70" s="1557"/>
      <c r="CR70" s="1557"/>
      <c r="CU70" s="1589"/>
      <c r="CV70" s="1557"/>
      <c r="CW70" s="1557"/>
      <c r="CZ70" s="1589"/>
      <c r="DA70" s="1557"/>
      <c r="DB70" s="1557"/>
      <c r="DE70" s="1589"/>
      <c r="DF70" s="1557"/>
      <c r="DG70" s="1557"/>
      <c r="DJ70" s="1589"/>
      <c r="DK70" s="1557"/>
      <c r="DL70" s="1557"/>
      <c r="DP70" s="1559"/>
      <c r="DQ70" s="1559"/>
    </row>
    <row r="71" spans="1:121">
      <c r="B71" s="1589"/>
      <c r="F71" s="1379"/>
      <c r="G71" s="1379"/>
      <c r="K71" s="1379"/>
      <c r="L71" s="1379"/>
      <c r="P71" s="1379"/>
      <c r="Q71" s="1379"/>
      <c r="U71" s="1379"/>
      <c r="V71" s="1379"/>
      <c r="Z71" s="1379"/>
      <c r="AA71" s="1379"/>
      <c r="AE71" s="1379"/>
      <c r="AF71" s="1379"/>
      <c r="AJ71" s="1379"/>
      <c r="AK71" s="1379"/>
      <c r="AO71" s="1379"/>
      <c r="AP71" s="1379"/>
      <c r="AT71" s="1379"/>
      <c r="AU71" s="1379"/>
      <c r="AY71" s="1379"/>
      <c r="AZ71" s="1379"/>
      <c r="BD71" s="1379"/>
      <c r="BE71" s="1379"/>
      <c r="BI71" s="1379"/>
      <c r="BJ71" s="1379"/>
      <c r="BM71" s="1557"/>
      <c r="BO71" s="1379"/>
      <c r="BQ71" s="1589"/>
      <c r="BR71" s="1557"/>
      <c r="BS71" s="1557"/>
      <c r="BT71" s="1379"/>
      <c r="BV71" s="1589"/>
      <c r="BW71" s="1557"/>
      <c r="BX71" s="1557"/>
      <c r="CA71" s="1589"/>
      <c r="CB71" s="1557"/>
      <c r="CC71" s="1557"/>
      <c r="CF71" s="1589"/>
      <c r="CG71" s="1557"/>
      <c r="CH71" s="1557"/>
      <c r="CK71" s="1589"/>
      <c r="CL71" s="1557"/>
      <c r="CM71" s="1557"/>
      <c r="CP71" s="1589"/>
      <c r="CQ71" s="1557"/>
      <c r="CR71" s="1557"/>
      <c r="CU71" s="1589"/>
      <c r="CV71" s="1557"/>
      <c r="CW71" s="1557"/>
      <c r="CZ71" s="1589"/>
      <c r="DA71" s="1557"/>
      <c r="DB71" s="1557"/>
      <c r="DE71" s="1589"/>
      <c r="DF71" s="1557"/>
      <c r="DG71" s="1557"/>
      <c r="DJ71" s="1589"/>
      <c r="DK71" s="1557"/>
      <c r="DL71" s="1557"/>
      <c r="DP71" s="1559"/>
      <c r="DQ71" s="1559"/>
    </row>
    <row r="73" spans="1:121">
      <c r="F73" s="1379"/>
      <c r="G73" s="1379"/>
      <c r="K73" s="1379"/>
      <c r="L73" s="1379"/>
    </row>
    <row r="74" spans="1:121">
      <c r="F74" s="1379"/>
      <c r="G74" s="1379"/>
      <c r="K74" s="1379"/>
      <c r="L74" s="1379"/>
    </row>
    <row r="75" spans="1:121">
      <c r="F75" s="1379"/>
      <c r="G75" s="1379"/>
      <c r="K75" s="1379"/>
      <c r="L75" s="1379"/>
    </row>
  </sheetData>
  <mergeCells count="22">
    <mergeCell ref="A11:BT11"/>
    <mergeCell ref="R7:V7"/>
    <mergeCell ref="W7:AA7"/>
    <mergeCell ref="AB7:AF7"/>
    <mergeCell ref="AG7:AK7"/>
    <mergeCell ref="B7:B8"/>
    <mergeCell ref="C7:G7"/>
    <mergeCell ref="AV7:AZ7"/>
    <mergeCell ref="BA7:BE7"/>
    <mergeCell ref="A7:A8"/>
    <mergeCell ref="BP7:BT7"/>
    <mergeCell ref="BF7:BJ7"/>
    <mergeCell ref="BK7:BO7"/>
    <mergeCell ref="H7:L7"/>
    <mergeCell ref="M7:Q7"/>
    <mergeCell ref="AL7:AP7"/>
    <mergeCell ref="AQ7:AU7"/>
    <mergeCell ref="A1:BT1"/>
    <mergeCell ref="A3:BT3"/>
    <mergeCell ref="A4:BT4"/>
    <mergeCell ref="A5:BT5"/>
    <mergeCell ref="A6:K6"/>
  </mergeCells>
  <pageMargins left="0.31496062992125984" right="0.15748031496062992" top="0.15748031496062992" bottom="0.15748031496062992" header="0.15748031496062992" footer="0.15748031496062992"/>
  <pageSetup paperSize="9" scale="47"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51"/>
  <sheetViews>
    <sheetView view="pageBreakPreview" zoomScale="70" zoomScaleNormal="75" zoomScaleSheetLayoutView="70" workbookViewId="0">
      <selection activeCell="G11" sqref="G11"/>
    </sheetView>
  </sheetViews>
  <sheetFormatPr defaultRowHeight="12.75"/>
  <cols>
    <col min="1" max="1" width="29.42578125" customWidth="1"/>
    <col min="2" max="2" width="18.42578125" customWidth="1"/>
    <col min="3" max="3" width="19.28515625" customWidth="1"/>
    <col min="4" max="4" width="16.28515625" customWidth="1"/>
    <col min="5" max="5" width="18.28515625" customWidth="1"/>
    <col min="6" max="6" width="13.42578125" customWidth="1"/>
    <col min="7" max="7" width="18.7109375" customWidth="1"/>
    <col min="8" max="8" width="13.42578125" customWidth="1"/>
    <col min="9" max="9" width="11.42578125" customWidth="1"/>
    <col min="10" max="10" width="16.28515625" customWidth="1"/>
    <col min="11" max="11" width="15" customWidth="1"/>
    <col min="12" max="12" width="9.28515625" customWidth="1"/>
    <col min="13" max="13" width="17.7109375" customWidth="1"/>
    <col min="14" max="17" width="9.28515625" customWidth="1"/>
    <col min="18" max="22" width="9.28515625" hidden="1" customWidth="1"/>
    <col min="23" max="30" width="9.28515625" customWidth="1"/>
  </cols>
  <sheetData>
    <row r="1" spans="1:34" s="1591" customFormat="1" ht="15.75" customHeight="1">
      <c r="A1" s="4460" t="str">
        <f>'Форма 1'!A1:BT1</f>
        <v>ООО "Нижневартовская энергосбытовая компания"</v>
      </c>
      <c r="B1" s="4460"/>
      <c r="C1" s="4460"/>
      <c r="D1" s="4460"/>
      <c r="E1" s="4460"/>
      <c r="F1" s="4460"/>
      <c r="G1" s="4460"/>
      <c r="H1" s="4460"/>
      <c r="I1" s="4460"/>
      <c r="J1" s="4460"/>
      <c r="K1" s="4460"/>
      <c r="L1" s="1590"/>
      <c r="M1" s="1590"/>
      <c r="N1" s="1590"/>
      <c r="O1" s="1590"/>
      <c r="P1" s="1590"/>
      <c r="Q1" s="1590"/>
      <c r="R1" s="1590"/>
      <c r="S1" s="1590"/>
      <c r="T1" s="1590"/>
      <c r="U1" s="1590"/>
      <c r="V1" s="1590"/>
      <c r="W1" s="1590"/>
      <c r="X1" s="1590"/>
      <c r="Y1" s="1590"/>
      <c r="Z1" s="1590"/>
      <c r="AA1" s="1590"/>
      <c r="AB1" s="1590"/>
      <c r="AC1" s="1590"/>
      <c r="AD1" s="1590"/>
      <c r="AE1" s="1590"/>
      <c r="AF1" s="1590"/>
      <c r="AG1" s="1590"/>
      <c r="AH1" s="1590"/>
    </row>
    <row r="2" spans="1:34" s="1591" customFormat="1" ht="15.75">
      <c r="A2" s="1592" t="str">
        <f>'Форма 1'!A2</f>
        <v>Май 2026 год</v>
      </c>
      <c r="J2" s="1590"/>
      <c r="K2" s="1593"/>
      <c r="L2" s="1590"/>
      <c r="M2" s="1590"/>
      <c r="N2" s="1590"/>
      <c r="O2" s="1590"/>
      <c r="P2" s="1590"/>
      <c r="Q2" s="1590"/>
      <c r="R2" s="1590"/>
      <c r="S2" s="1590"/>
      <c r="T2" s="1590"/>
      <c r="U2" s="1590"/>
      <c r="V2" s="1590"/>
      <c r="W2" s="1590"/>
      <c r="X2" s="1590"/>
      <c r="Y2" s="1590"/>
      <c r="Z2" s="1590"/>
      <c r="AA2" s="1590"/>
      <c r="AB2" s="1590"/>
      <c r="AC2" s="1590"/>
      <c r="AD2" s="1590"/>
      <c r="AE2" s="1590"/>
      <c r="AF2" s="1590"/>
      <c r="AG2" s="1590"/>
      <c r="AH2" s="1590"/>
    </row>
    <row r="3" spans="1:34" s="1591" customFormat="1" ht="15">
      <c r="H3" s="4461" t="s">
        <v>1504</v>
      </c>
      <c r="I3" s="4461"/>
      <c r="J3" s="4461"/>
      <c r="K3" s="4461"/>
    </row>
    <row r="4" spans="1:34" ht="15.75">
      <c r="A4" s="4445" t="s">
        <v>1505</v>
      </c>
      <c r="B4" s="4445"/>
      <c r="C4" s="4445"/>
      <c r="D4" s="4445"/>
      <c r="E4" s="4445"/>
      <c r="F4" s="4445"/>
      <c r="G4" s="4445"/>
      <c r="H4" s="4445"/>
      <c r="I4" s="4445"/>
      <c r="J4" s="4445"/>
      <c r="K4" s="4445"/>
      <c r="L4" s="1379"/>
      <c r="M4" s="1379"/>
      <c r="N4" s="1379"/>
      <c r="O4" s="1379"/>
      <c r="P4" s="1379"/>
      <c r="Q4" s="1379"/>
      <c r="R4" s="1379"/>
      <c r="S4" s="1379"/>
      <c r="T4" s="1379"/>
      <c r="U4" s="1379"/>
      <c r="V4" s="1379"/>
      <c r="W4" s="1379"/>
      <c r="X4" s="1379"/>
      <c r="Y4" s="1379"/>
      <c r="Z4" s="1379"/>
      <c r="AA4" s="1379"/>
      <c r="AB4" s="1379"/>
      <c r="AC4" s="1379"/>
      <c r="AD4" s="1379"/>
      <c r="AE4" s="1379"/>
      <c r="AF4" s="1379"/>
      <c r="AG4" s="1379"/>
      <c r="AH4" s="1379"/>
    </row>
    <row r="5" spans="1:34" ht="16.5" thickBot="1">
      <c r="A5" s="4462" t="s">
        <v>1506</v>
      </c>
      <c r="B5" s="4462"/>
      <c r="C5" s="4462"/>
      <c r="D5" s="4462"/>
      <c r="E5" s="4462"/>
      <c r="F5" s="4462"/>
      <c r="G5" s="4462"/>
      <c r="H5" s="4462"/>
      <c r="I5" s="4462"/>
      <c r="J5" s="4462"/>
      <c r="K5" s="1594" t="s">
        <v>1507</v>
      </c>
      <c r="L5" s="1595"/>
      <c r="M5" s="1596"/>
      <c r="N5" s="1379"/>
      <c r="O5" s="1379"/>
      <c r="P5" s="1379"/>
      <c r="Q5" s="1379"/>
      <c r="R5" s="1379"/>
      <c r="S5" s="1379"/>
      <c r="T5" s="1379"/>
      <c r="U5" s="1379"/>
      <c r="V5" s="1379"/>
      <c r="W5" s="1379"/>
      <c r="X5" s="1379"/>
      <c r="Y5" s="1379"/>
      <c r="Z5" s="1379"/>
      <c r="AA5" s="1379"/>
      <c r="AB5" s="1379"/>
      <c r="AC5" s="1379"/>
      <c r="AD5" s="1379"/>
      <c r="AE5" s="1379"/>
      <c r="AF5" s="1379"/>
      <c r="AG5" s="1379"/>
      <c r="AH5" s="1379"/>
    </row>
    <row r="6" spans="1:34" s="1591" customFormat="1" ht="40.5" customHeight="1">
      <c r="A6" s="4463" t="s">
        <v>1508</v>
      </c>
      <c r="B6" s="4454" t="s">
        <v>1509</v>
      </c>
      <c r="C6" s="4454" t="s">
        <v>1510</v>
      </c>
      <c r="D6" s="4468" t="s">
        <v>1511</v>
      </c>
      <c r="E6" s="4468"/>
      <c r="F6" s="4454" t="s">
        <v>1512</v>
      </c>
      <c r="G6" s="4454" t="s">
        <v>1513</v>
      </c>
      <c r="H6" s="4458" t="s">
        <v>1514</v>
      </c>
      <c r="I6" s="4458" t="s">
        <v>1515</v>
      </c>
      <c r="J6" s="4454" t="s">
        <v>1509</v>
      </c>
      <c r="K6" s="4456" t="s">
        <v>1510</v>
      </c>
    </row>
    <row r="7" spans="1:34" ht="27.75" customHeight="1" thickBot="1">
      <c r="A7" s="4464"/>
      <c r="B7" s="4455"/>
      <c r="C7" s="4455"/>
      <c r="D7" s="1600" t="s">
        <v>1516</v>
      </c>
      <c r="E7" s="1600" t="s">
        <v>1517</v>
      </c>
      <c r="F7" s="4455"/>
      <c r="G7" s="4455"/>
      <c r="H7" s="4459"/>
      <c r="I7" s="4459"/>
      <c r="J7" s="4455"/>
      <c r="K7" s="4457"/>
      <c r="L7" s="1379"/>
      <c r="M7" s="1379"/>
      <c r="N7" s="1379"/>
      <c r="O7" s="1379"/>
      <c r="P7" s="1379"/>
      <c r="Q7" s="1379"/>
      <c r="R7" s="1379"/>
      <c r="S7" s="1379"/>
      <c r="T7" s="1379"/>
      <c r="U7" s="1379"/>
      <c r="V7" s="1379"/>
      <c r="W7" s="1379"/>
      <c r="X7" s="1379"/>
      <c r="Y7" s="1379"/>
      <c r="Z7" s="1379"/>
      <c r="AA7" s="1379"/>
      <c r="AB7" s="1379"/>
      <c r="AC7" s="1379"/>
      <c r="AD7" s="1379"/>
      <c r="AE7" s="1379"/>
      <c r="AF7" s="1379"/>
      <c r="AG7" s="1379"/>
      <c r="AH7" s="1379"/>
    </row>
    <row r="8" spans="1:34" ht="16.5" thickBot="1">
      <c r="A8" s="1597">
        <v>1</v>
      </c>
      <c r="B8" s="1598">
        <v>2</v>
      </c>
      <c r="C8" s="1598">
        <v>3</v>
      </c>
      <c r="D8" s="1598">
        <v>4</v>
      </c>
      <c r="E8" s="1598">
        <v>5</v>
      </c>
      <c r="F8" s="1598">
        <v>6</v>
      </c>
      <c r="G8" s="1598">
        <v>7</v>
      </c>
      <c r="H8" s="1598">
        <v>8</v>
      </c>
      <c r="I8" s="1598">
        <v>8</v>
      </c>
      <c r="J8" s="1598">
        <v>9</v>
      </c>
      <c r="K8" s="1599">
        <v>10</v>
      </c>
      <c r="L8" s="1379"/>
      <c r="M8" s="1379"/>
      <c r="N8" s="1379"/>
      <c r="O8" s="1379"/>
      <c r="P8" s="1379"/>
      <c r="Q8" s="1379"/>
      <c r="R8" s="1379"/>
      <c r="S8" s="1379"/>
      <c r="T8" s="1379"/>
      <c r="U8" s="1379"/>
      <c r="V8" s="1379"/>
      <c r="W8" s="1379"/>
      <c r="X8" s="1379"/>
      <c r="Y8" s="1379"/>
      <c r="Z8" s="1379"/>
      <c r="AA8" s="1379"/>
      <c r="AB8" s="1379"/>
      <c r="AC8" s="1379"/>
      <c r="AD8" s="1379"/>
      <c r="AE8" s="1379"/>
      <c r="AF8" s="1379"/>
      <c r="AG8" s="1379"/>
      <c r="AH8" s="1379"/>
    </row>
    <row r="9" spans="1:34" ht="21.75" customHeight="1">
      <c r="A9" s="1601">
        <v>42370</v>
      </c>
      <c r="B9" s="1602"/>
      <c r="C9" s="1602"/>
      <c r="D9" s="1603"/>
      <c r="E9" s="1603"/>
      <c r="F9" s="1604">
        <f>IF(ISERR(E9/D9-1),0,E9/D9-1)</f>
        <v>0</v>
      </c>
      <c r="G9" s="1605"/>
      <c r="H9" s="1604">
        <f>IF(ISERR(G9/E9),0,G9/E9)</f>
        <v>0</v>
      </c>
      <c r="I9" s="1604"/>
      <c r="J9" s="1606"/>
      <c r="K9" s="1607"/>
      <c r="L9" s="1379"/>
      <c r="M9" s="1558"/>
      <c r="N9" s="1379"/>
      <c r="O9" s="1379"/>
      <c r="P9" s="1379"/>
      <c r="Q9" s="1379"/>
      <c r="R9" s="1379"/>
      <c r="S9" s="1379"/>
      <c r="T9" s="1379"/>
      <c r="U9" s="1379"/>
      <c r="V9" s="1379"/>
      <c r="W9" s="1379"/>
      <c r="X9" s="1379"/>
      <c r="Y9" s="1379"/>
      <c r="Z9" s="1379"/>
      <c r="AA9" s="1379"/>
      <c r="AB9" s="1379"/>
      <c r="AC9" s="1379"/>
      <c r="AD9" s="1379"/>
      <c r="AE9" s="1379"/>
      <c r="AF9" s="1379"/>
      <c r="AG9" s="1379"/>
      <c r="AH9" s="1379"/>
    </row>
    <row r="10" spans="1:34" ht="21.75" customHeight="1">
      <c r="A10" s="1608"/>
      <c r="B10" s="1609"/>
      <c r="C10" s="1609"/>
      <c r="D10" s="1610"/>
      <c r="E10" s="1610"/>
      <c r="F10" s="1611"/>
      <c r="G10" s="1612"/>
      <c r="H10" s="1613"/>
      <c r="I10" s="1613"/>
      <c r="J10" s="1614"/>
      <c r="K10" s="1615"/>
      <c r="L10" s="1379"/>
      <c r="M10" s="1558"/>
      <c r="N10" s="1379"/>
      <c r="O10" s="1379"/>
      <c r="P10" s="1379"/>
      <c r="Q10" s="1379"/>
      <c r="R10" s="1379"/>
      <c r="S10" s="1379"/>
      <c r="T10" s="1379"/>
      <c r="U10" s="1379"/>
      <c r="V10" s="1379"/>
      <c r="W10" s="1379"/>
      <c r="X10" s="1379"/>
      <c r="Y10" s="1379"/>
      <c r="Z10" s="1379"/>
      <c r="AA10" s="1379"/>
      <c r="AB10" s="1379"/>
      <c r="AC10" s="1379"/>
      <c r="AD10" s="1379"/>
      <c r="AE10" s="1379"/>
      <c r="AF10" s="1379"/>
      <c r="AG10" s="1379"/>
      <c r="AH10" s="1379"/>
    </row>
    <row r="11" spans="1:34" ht="21.75" customHeight="1">
      <c r="A11" s="1608"/>
      <c r="B11" s="1609"/>
      <c r="C11" s="1609"/>
      <c r="D11" s="1610"/>
      <c r="E11" s="1610"/>
      <c r="F11" s="1611"/>
      <c r="G11" s="1616"/>
      <c r="H11" s="1613"/>
      <c r="I11" s="1613"/>
      <c r="J11" s="1614"/>
      <c r="K11" s="1615"/>
      <c r="L11" s="1379"/>
      <c r="M11" s="1558"/>
      <c r="N11" s="1379"/>
      <c r="O11" s="1379"/>
      <c r="P11" s="1379"/>
      <c r="Q11" s="1379"/>
      <c r="R11" s="1379"/>
      <c r="S11" s="1379"/>
      <c r="T11" s="1379"/>
      <c r="U11" s="1379"/>
      <c r="V11" s="1379"/>
      <c r="W11" s="1379"/>
      <c r="X11" s="1379"/>
      <c r="Y11" s="1379"/>
      <c r="Z11" s="1379"/>
      <c r="AA11" s="1379"/>
      <c r="AB11" s="1379"/>
      <c r="AC11" s="1379"/>
      <c r="AD11" s="1379"/>
      <c r="AE11" s="1379"/>
      <c r="AF11" s="1379"/>
      <c r="AG11" s="1379"/>
      <c r="AH11" s="1379"/>
    </row>
    <row r="12" spans="1:34" ht="18.75" customHeight="1">
      <c r="A12" s="1608"/>
      <c r="B12" s="1609"/>
      <c r="C12" s="1609"/>
      <c r="D12" s="1610"/>
      <c r="E12" s="1617"/>
      <c r="F12" s="1611"/>
      <c r="G12" s="1616"/>
      <c r="H12" s="1613"/>
      <c r="I12" s="1613"/>
      <c r="J12" s="1609"/>
      <c r="K12" s="1615"/>
      <c r="L12" s="1379"/>
      <c r="M12" s="1558"/>
      <c r="N12" s="1379"/>
      <c r="O12" s="1379"/>
      <c r="P12" s="1379"/>
      <c r="Q12" s="1379"/>
      <c r="R12" s="1379"/>
      <c r="S12" s="1379"/>
      <c r="T12" s="1379"/>
      <c r="U12" s="1379"/>
      <c r="V12" s="1379"/>
      <c r="W12" s="1379"/>
      <c r="X12" s="1379"/>
      <c r="Y12" s="1379"/>
      <c r="Z12" s="1379"/>
      <c r="AA12" s="1379"/>
      <c r="AB12" s="1379"/>
      <c r="AC12" s="1379"/>
      <c r="AD12" s="1379"/>
      <c r="AE12" s="1379"/>
      <c r="AF12" s="1379"/>
      <c r="AG12" s="1379"/>
      <c r="AH12" s="1379"/>
    </row>
    <row r="13" spans="1:34" ht="18.75" customHeight="1">
      <c r="A13" s="1608"/>
      <c r="B13" s="1609"/>
      <c r="C13" s="1609"/>
      <c r="D13" s="1610"/>
      <c r="E13" s="1617"/>
      <c r="F13" s="1611"/>
      <c r="G13" s="1616"/>
      <c r="H13" s="1613"/>
      <c r="I13" s="1613"/>
      <c r="J13" s="1609"/>
      <c r="K13" s="1615"/>
      <c r="L13" s="1379"/>
      <c r="M13" s="1558"/>
      <c r="N13" s="1379"/>
      <c r="O13" s="1379"/>
      <c r="P13" s="1379"/>
      <c r="Q13" s="1379"/>
      <c r="R13" s="1379"/>
      <c r="S13" s="1379"/>
      <c r="T13" s="1379"/>
      <c r="U13" s="1379"/>
      <c r="V13" s="1379"/>
      <c r="W13" s="1379"/>
      <c r="X13" s="1379"/>
      <c r="Y13" s="1379"/>
      <c r="Z13" s="1379"/>
      <c r="AA13" s="1379"/>
      <c r="AB13" s="1379"/>
      <c r="AC13" s="1379"/>
      <c r="AD13" s="1379"/>
      <c r="AE13" s="1379"/>
      <c r="AF13" s="1379"/>
      <c r="AG13" s="1379"/>
      <c r="AH13" s="1379"/>
    </row>
    <row r="14" spans="1:34" ht="21.75" customHeight="1">
      <c r="A14" s="1608"/>
      <c r="B14" s="1609"/>
      <c r="C14" s="1609"/>
      <c r="D14" s="1610"/>
      <c r="E14" s="1610"/>
      <c r="F14" s="1611"/>
      <c r="G14" s="1616"/>
      <c r="H14" s="1613"/>
      <c r="I14" s="1613"/>
      <c r="J14" s="1609"/>
      <c r="K14" s="1618"/>
      <c r="L14" s="1379"/>
      <c r="M14" s="1558"/>
      <c r="N14" s="1379"/>
      <c r="O14" s="1379"/>
      <c r="P14" s="1379"/>
      <c r="Q14" s="1379"/>
      <c r="R14" s="1379"/>
      <c r="S14" s="1379"/>
      <c r="T14" s="1379"/>
      <c r="U14" s="1379"/>
      <c r="V14" s="1379"/>
      <c r="W14" s="1379"/>
      <c r="X14" s="1379"/>
      <c r="Y14" s="1379"/>
      <c r="Z14" s="1379"/>
      <c r="AA14" s="1379"/>
      <c r="AB14" s="1379"/>
      <c r="AC14" s="1379"/>
      <c r="AD14" s="1379"/>
      <c r="AE14" s="1379"/>
      <c r="AF14" s="1379"/>
      <c r="AG14" s="1379"/>
      <c r="AH14" s="1379"/>
    </row>
    <row r="15" spans="1:34" ht="21.75" customHeight="1">
      <c r="A15" s="1608"/>
      <c r="B15" s="1609"/>
      <c r="C15" s="1609"/>
      <c r="D15" s="1610"/>
      <c r="E15" s="1610"/>
      <c r="F15" s="1611"/>
      <c r="G15" s="1610"/>
      <c r="H15" s="1613"/>
      <c r="I15" s="1613"/>
      <c r="J15" s="1614"/>
      <c r="K15" s="1619"/>
      <c r="L15" s="1379"/>
      <c r="M15" s="1558"/>
      <c r="N15" s="1379"/>
      <c r="O15" s="1379"/>
      <c r="P15" s="1379"/>
      <c r="Q15" s="1379"/>
      <c r="R15" s="1379"/>
      <c r="S15" s="1379"/>
      <c r="T15" s="1379"/>
      <c r="U15" s="1379"/>
      <c r="V15" s="1379"/>
      <c r="W15" s="1379"/>
      <c r="X15" s="1379"/>
      <c r="Y15" s="1379">
        <v>8488.3330000000005</v>
      </c>
      <c r="Z15" s="1379"/>
      <c r="AA15" s="1379"/>
      <c r="AB15" s="1379"/>
      <c r="AC15" s="1379"/>
      <c r="AD15" s="1379"/>
      <c r="AE15" s="1379"/>
      <c r="AF15" s="1379"/>
      <c r="AG15" s="1379"/>
      <c r="AH15" s="1379"/>
    </row>
    <row r="16" spans="1:34" ht="22.5" customHeight="1">
      <c r="A16" s="1608"/>
      <c r="B16" s="1609"/>
      <c r="C16" s="1609"/>
      <c r="D16" s="1610"/>
      <c r="E16" s="1617"/>
      <c r="F16" s="1611"/>
      <c r="G16" s="1617"/>
      <c r="H16" s="1613"/>
      <c r="I16" s="1613"/>
      <c r="J16" s="1609"/>
      <c r="K16" s="1619"/>
      <c r="L16" s="1379"/>
      <c r="M16" s="1558"/>
      <c r="N16" s="1379"/>
      <c r="O16" s="1379"/>
      <c r="P16" s="1379"/>
      <c r="Q16" s="1379"/>
      <c r="R16" s="1379"/>
      <c r="S16" s="1379"/>
      <c r="T16" s="1379"/>
      <c r="U16" s="1379"/>
      <c r="V16" s="1379"/>
      <c r="W16" s="1379"/>
      <c r="X16" s="1379"/>
      <c r="Y16" s="1379">
        <v>1473.6510000000001</v>
      </c>
      <c r="Z16" s="1379"/>
      <c r="AA16" s="1379"/>
      <c r="AB16" s="1379"/>
      <c r="AC16" s="1379"/>
      <c r="AD16" s="1379"/>
      <c r="AE16" s="1379"/>
      <c r="AF16" s="1379"/>
      <c r="AG16" s="1379"/>
      <c r="AH16" s="1379"/>
    </row>
    <row r="17" spans="1:25" ht="15.75">
      <c r="A17" s="1608"/>
      <c r="B17" s="1609"/>
      <c r="C17" s="1609"/>
      <c r="D17" s="1610"/>
      <c r="E17" s="1610"/>
      <c r="F17" s="1611"/>
      <c r="G17" s="1617"/>
      <c r="H17" s="1613"/>
      <c r="I17" s="1613"/>
      <c r="J17" s="1609"/>
      <c r="K17" s="1619"/>
      <c r="L17" s="1379"/>
      <c r="M17" s="1558"/>
      <c r="N17" s="1379"/>
      <c r="O17" s="1379"/>
      <c r="P17" s="1379"/>
      <c r="Q17" s="1379"/>
      <c r="R17" s="1379"/>
      <c r="S17" s="1379"/>
      <c r="T17" s="1379"/>
      <c r="U17" s="1379"/>
      <c r="V17" s="1379"/>
      <c r="W17" s="1379"/>
      <c r="X17" s="1379"/>
      <c r="Y17" s="1379"/>
    </row>
    <row r="18" spans="1:25" ht="15.75">
      <c r="A18" s="1608"/>
      <c r="B18" s="1609"/>
      <c r="C18" s="1609"/>
      <c r="D18" s="1610"/>
      <c r="E18" s="1610"/>
      <c r="F18" s="1611"/>
      <c r="G18" s="1617"/>
      <c r="H18" s="1613"/>
      <c r="I18" s="1613"/>
      <c r="J18" s="1609"/>
      <c r="K18" s="1618"/>
      <c r="L18" s="1379"/>
      <c r="M18" s="1558"/>
      <c r="N18" s="1379"/>
      <c r="O18" s="1379"/>
      <c r="P18" s="1379"/>
      <c r="Q18" s="1379"/>
      <c r="R18" s="1379"/>
      <c r="S18" s="1379"/>
      <c r="T18" s="1379"/>
      <c r="U18" s="1379"/>
      <c r="V18" s="1379"/>
      <c r="W18" s="1379"/>
      <c r="X18" s="1379"/>
      <c r="Y18" s="1379"/>
    </row>
    <row r="19" spans="1:25" ht="15.75">
      <c r="A19" s="1608"/>
      <c r="B19" s="1609"/>
      <c r="C19" s="1609"/>
      <c r="D19" s="1610"/>
      <c r="E19" s="1610"/>
      <c r="F19" s="1611"/>
      <c r="G19" s="1617"/>
      <c r="H19" s="1611"/>
      <c r="I19" s="1611"/>
      <c r="J19" s="1614"/>
      <c r="K19" s="1619"/>
      <c r="L19" s="1379"/>
      <c r="M19" s="1379"/>
      <c r="N19" s="1379"/>
      <c r="O19" s="1379"/>
      <c r="P19" s="1379"/>
      <c r="Q19" s="1379"/>
      <c r="R19" s="1379"/>
      <c r="S19" s="1379"/>
      <c r="T19" s="1379"/>
      <c r="U19" s="1379"/>
      <c r="V19" s="1379"/>
      <c r="W19" s="1379"/>
      <c r="X19" s="1379"/>
      <c r="Y19" s="1379"/>
    </row>
    <row r="20" spans="1:25" ht="16.5" thickBot="1">
      <c r="A20" s="1608"/>
      <c r="B20" s="1620"/>
      <c r="C20" s="1621"/>
      <c r="D20" s="1622"/>
      <c r="E20" s="1622"/>
      <c r="F20" s="1623"/>
      <c r="G20" s="1624"/>
      <c r="H20" s="1623"/>
      <c r="I20" s="1623"/>
      <c r="J20" s="1625"/>
      <c r="K20" s="1618"/>
      <c r="L20" s="1379"/>
      <c r="M20" s="1379"/>
      <c r="N20" s="1379"/>
      <c r="O20" s="1379"/>
      <c r="P20" s="1379"/>
      <c r="Q20" s="1379"/>
      <c r="R20" s="1379"/>
      <c r="S20" s="1379"/>
      <c r="T20" s="1379"/>
      <c r="U20" s="1379"/>
      <c r="V20" s="1379"/>
      <c r="W20" s="1379"/>
      <c r="X20" s="1379"/>
      <c r="Y20" s="1379"/>
    </row>
    <row r="21" spans="1:25" ht="22.5" customHeight="1" thickBot="1">
      <c r="A21" s="1626" t="s">
        <v>1518</v>
      </c>
      <c r="B21" s="1627"/>
      <c r="C21" s="1627"/>
      <c r="D21" s="1628">
        <f>SUM(D9:D20)</f>
        <v>0</v>
      </c>
      <c r="E21" s="1628">
        <f>SUM(E9:E20)</f>
        <v>0</v>
      </c>
      <c r="F21" s="1629">
        <f>IF(ISERR(E21/D21-1),0,E21/D21-1)</f>
        <v>0</v>
      </c>
      <c r="G21" s="1628">
        <f>SUM(G9:G20)</f>
        <v>0</v>
      </c>
      <c r="H21" s="1629">
        <f>IF(ISERR(G21/E21),0,G21/E21)</f>
        <v>0</v>
      </c>
      <c r="I21" s="1629"/>
      <c r="J21" s="1630"/>
      <c r="K21" s="1631"/>
      <c r="L21" s="1379"/>
      <c r="M21" s="1379"/>
      <c r="N21" s="1379"/>
      <c r="O21" s="1379"/>
      <c r="P21" s="1379"/>
      <c r="Q21" s="1379"/>
      <c r="R21" s="1379"/>
      <c r="S21" s="1379"/>
      <c r="T21" s="1379"/>
      <c r="U21" s="1379"/>
      <c r="V21" s="1379"/>
      <c r="W21" s="1379"/>
      <c r="X21" s="1379"/>
      <c r="Y21" s="1379">
        <v>680.59199999999998</v>
      </c>
    </row>
    <row r="22" spans="1:25" ht="45.75" customHeight="1">
      <c r="A22" s="1379" t="s">
        <v>1519</v>
      </c>
      <c r="B22" s="1632"/>
      <c r="C22" s="1379"/>
      <c r="D22" s="1558"/>
      <c r="E22" s="1633"/>
      <c r="F22" s="1558"/>
      <c r="G22" s="1558"/>
      <c r="H22" s="1634"/>
      <c r="I22" s="1379"/>
      <c r="J22" s="1379"/>
      <c r="K22" s="1379"/>
      <c r="L22" s="1379"/>
      <c r="M22" s="1379"/>
      <c r="N22" s="1379"/>
      <c r="O22" s="1379"/>
      <c r="P22" s="1379"/>
      <c r="Q22" s="1379"/>
      <c r="R22" s="1379"/>
      <c r="S22" s="1379"/>
      <c r="T22" s="1379"/>
      <c r="U22" s="1379"/>
      <c r="V22" s="1379"/>
      <c r="W22" s="1379"/>
      <c r="X22" s="1379"/>
      <c r="Y22" s="1379">
        <v>28.9056</v>
      </c>
    </row>
    <row r="23" spans="1:25" ht="14.65" customHeight="1">
      <c r="A23" s="1379"/>
      <c r="B23" s="4465" t="s">
        <v>1520</v>
      </c>
      <c r="C23" s="4465"/>
      <c r="D23" s="4465"/>
      <c r="E23" s="4465"/>
      <c r="F23" s="4465"/>
      <c r="G23" s="4465"/>
      <c r="H23" s="4465"/>
      <c r="I23" s="4465"/>
      <c r="J23" s="4465"/>
      <c r="K23" s="1379"/>
      <c r="L23" s="1379"/>
      <c r="M23" s="1379"/>
      <c r="N23" s="1379"/>
      <c r="O23" s="1379"/>
      <c r="P23" s="1379"/>
      <c r="Q23" s="1379"/>
      <c r="R23" s="1379"/>
      <c r="S23" s="1379"/>
      <c r="T23" s="1379"/>
      <c r="U23" s="1379"/>
      <c r="V23" s="1379"/>
      <c r="W23" s="1379"/>
      <c r="X23" s="1379"/>
      <c r="Y23" s="1379">
        <v>25.542999999999999</v>
      </c>
    </row>
    <row r="24" spans="1:25" ht="16.149999999999999" customHeight="1">
      <c r="A24" s="1379"/>
      <c r="B24" s="4466"/>
      <c r="C24" s="4466"/>
      <c r="D24" s="4466"/>
      <c r="E24" s="4466"/>
      <c r="F24" s="4466"/>
      <c r="G24" s="1635"/>
      <c r="H24" s="1379"/>
      <c r="I24" s="1636"/>
      <c r="J24" s="1637"/>
      <c r="K24" s="1379"/>
      <c r="L24" s="1379"/>
      <c r="M24" s="1379"/>
      <c r="N24" s="1379"/>
      <c r="O24" s="1379"/>
      <c r="P24" s="1379"/>
      <c r="Q24" s="1379"/>
      <c r="R24" s="1379"/>
      <c r="S24" s="1379"/>
      <c r="T24" s="1379"/>
      <c r="U24" s="1379"/>
      <c r="V24" s="1379"/>
      <c r="W24" s="1379"/>
      <c r="X24" s="1379"/>
      <c r="Y24" s="1379">
        <v>983.32899999999995</v>
      </c>
    </row>
    <row r="25" spans="1:25" ht="32.25" customHeight="1">
      <c r="A25" s="4467" t="s">
        <v>1521</v>
      </c>
      <c r="B25" s="4467"/>
      <c r="C25" s="4467"/>
      <c r="D25" s="4467"/>
      <c r="E25" s="4467"/>
      <c r="F25" s="4467"/>
      <c r="G25" s="4467"/>
      <c r="H25" s="4467"/>
      <c r="I25" s="4467"/>
      <c r="J25" s="4467"/>
      <c r="K25" s="4467"/>
      <c r="L25" s="1595"/>
      <c r="M25" s="1596"/>
      <c r="N25" s="1379"/>
      <c r="O25" s="1379"/>
      <c r="P25" s="1379"/>
      <c r="Q25" s="1379"/>
      <c r="R25" s="1379"/>
      <c r="S25" s="1379"/>
      <c r="T25" s="1379"/>
      <c r="U25" s="1379"/>
      <c r="V25" s="1379"/>
      <c r="W25" s="1379"/>
      <c r="X25" s="1379"/>
      <c r="Y25" s="1379">
        <v>307.93099999999998</v>
      </c>
    </row>
    <row r="26" spans="1:25" ht="30" customHeight="1">
      <c r="A26" s="1379"/>
      <c r="B26" s="1379"/>
      <c r="C26" s="1379"/>
      <c r="D26" s="1379"/>
      <c r="E26" s="1379"/>
      <c r="F26" s="1379"/>
      <c r="G26" s="1379"/>
      <c r="H26" s="1379"/>
      <c r="I26" s="1379"/>
      <c r="J26" s="1379"/>
      <c r="K26" s="1379"/>
      <c r="L26" s="1379"/>
      <c r="M26" s="1379"/>
      <c r="N26" s="1379"/>
      <c r="O26" s="1379"/>
      <c r="P26" s="1379"/>
      <c r="Q26" s="1379"/>
      <c r="R26" s="1379"/>
      <c r="S26" s="1379"/>
      <c r="T26" s="1379"/>
      <c r="U26" s="1379"/>
      <c r="V26" s="1379"/>
      <c r="W26" s="1379"/>
      <c r="X26" s="1379"/>
      <c r="Y26" s="1379">
        <v>502.815</v>
      </c>
    </row>
    <row r="27" spans="1:25" ht="15">
      <c r="A27" s="1379"/>
      <c r="B27" s="1379"/>
      <c r="C27" s="1379"/>
      <c r="D27" s="1379"/>
      <c r="E27" s="1379"/>
      <c r="F27" s="1379"/>
      <c r="G27" s="1379"/>
      <c r="H27" s="1379"/>
      <c r="I27" s="1379"/>
      <c r="J27" s="1379"/>
      <c r="K27" s="1379"/>
      <c r="L27" s="1379"/>
      <c r="M27" s="1379"/>
      <c r="N27" s="1379"/>
      <c r="O27" s="1379"/>
      <c r="P27" s="1379"/>
      <c r="Q27" s="1379"/>
      <c r="R27" s="1379"/>
      <c r="S27" s="1379"/>
      <c r="T27" s="1379"/>
      <c r="U27" s="1379"/>
      <c r="V27" s="1379"/>
      <c r="W27" s="1379"/>
      <c r="X27" s="1379"/>
      <c r="Y27" s="1379">
        <v>2849.0250000000001</v>
      </c>
    </row>
    <row r="28" spans="1:25" ht="15">
      <c r="A28" s="1379"/>
      <c r="B28" s="1379"/>
      <c r="C28" s="1379"/>
      <c r="D28" s="1379"/>
      <c r="E28" s="1379"/>
      <c r="F28" s="1379"/>
      <c r="G28" s="1379"/>
      <c r="H28" s="1379"/>
      <c r="I28" s="1379"/>
      <c r="J28" s="1379"/>
      <c r="K28" s="1379"/>
      <c r="L28" s="1379"/>
      <c r="M28" s="1379"/>
      <c r="N28" s="1379"/>
      <c r="O28" s="1379"/>
      <c r="P28" s="1379"/>
      <c r="Q28" s="1379"/>
      <c r="R28" s="1379"/>
      <c r="S28" s="1379"/>
      <c r="T28" s="1379"/>
      <c r="U28" s="1379"/>
      <c r="V28" s="1379"/>
      <c r="W28" s="1379"/>
      <c r="X28" s="1379"/>
      <c r="Y28" s="1379">
        <f>305.731+1544.463</f>
        <v>1850.194</v>
      </c>
    </row>
    <row r="29" spans="1:25" ht="15">
      <c r="A29" s="1379"/>
      <c r="B29" s="1379"/>
      <c r="C29" s="1379"/>
      <c r="D29" s="1379"/>
      <c r="E29" s="1379"/>
      <c r="F29" s="1379"/>
      <c r="G29" s="1379"/>
      <c r="H29" s="1379"/>
      <c r="I29" s="1379"/>
      <c r="J29" s="1379"/>
      <c r="K29" s="1379"/>
      <c r="L29" s="1379"/>
      <c r="M29" s="1379"/>
      <c r="N29" s="1379"/>
      <c r="O29" s="1379"/>
      <c r="P29" s="1379"/>
      <c r="Q29" s="1379"/>
      <c r="R29" s="1379"/>
      <c r="S29" s="1379"/>
      <c r="T29" s="1379"/>
      <c r="U29" s="1379"/>
      <c r="V29" s="1379"/>
      <c r="W29" s="1379"/>
      <c r="X29" s="1379"/>
      <c r="Y29" s="1379">
        <v>587.91300000000001</v>
      </c>
    </row>
    <row r="32" spans="1:25" ht="36.75" hidden="1" customHeight="1">
      <c r="A32" s="1379" t="s">
        <v>1522</v>
      </c>
      <c r="B32" s="1379"/>
      <c r="C32" s="1379"/>
      <c r="D32" s="1379"/>
      <c r="E32" s="1379"/>
      <c r="F32" s="1379"/>
      <c r="G32" s="1379"/>
      <c r="H32" s="1379"/>
      <c r="I32" s="1379"/>
      <c r="J32" s="1379"/>
      <c r="K32" s="1379"/>
      <c r="L32" s="1379"/>
      <c r="M32" s="1379"/>
      <c r="N32" s="1379"/>
      <c r="O32" s="1379"/>
      <c r="P32" s="1379"/>
      <c r="Q32" s="1379"/>
      <c r="R32" s="1379"/>
      <c r="S32" s="1379"/>
      <c r="T32" s="1379"/>
      <c r="U32" s="1379"/>
      <c r="V32" s="1379"/>
      <c r="W32" s="1379"/>
      <c r="X32" s="1379"/>
      <c r="Y32" s="1379"/>
    </row>
    <row r="33" spans="1:11" ht="15" hidden="1">
      <c r="A33" s="1379" t="s">
        <v>1523</v>
      </c>
      <c r="B33" s="1379"/>
      <c r="C33" s="1379"/>
      <c r="D33" s="1379"/>
      <c r="E33" s="1379"/>
      <c r="F33" s="1379"/>
      <c r="G33" s="1379"/>
      <c r="H33" s="1379"/>
      <c r="I33" s="1379"/>
      <c r="J33" s="1379"/>
      <c r="K33" s="1379"/>
    </row>
    <row r="34" spans="1:11" ht="16.5" hidden="1" customHeight="1" thickBot="1">
      <c r="A34" s="1379" t="s">
        <v>1524</v>
      </c>
      <c r="B34" s="1379"/>
      <c r="C34" s="1379"/>
      <c r="D34" s="1379"/>
      <c r="E34" s="1379"/>
      <c r="F34" s="1379"/>
      <c r="G34" s="1379"/>
      <c r="H34" s="1379"/>
      <c r="I34" s="1379"/>
      <c r="J34" s="1379"/>
      <c r="K34" s="1379"/>
    </row>
    <row r="35" spans="1:11" s="1591" customFormat="1" ht="27.75" hidden="1" customHeight="1">
      <c r="A35" s="4463" t="s">
        <v>1508</v>
      </c>
      <c r="B35" s="4454" t="s">
        <v>1509</v>
      </c>
      <c r="C35" s="4454" t="s">
        <v>1510</v>
      </c>
      <c r="D35" s="4468" t="s">
        <v>1511</v>
      </c>
      <c r="E35" s="4468"/>
      <c r="F35" s="4454" t="s">
        <v>1512</v>
      </c>
      <c r="G35" s="4454" t="s">
        <v>1513</v>
      </c>
      <c r="H35" s="4458" t="s">
        <v>1514</v>
      </c>
      <c r="I35" s="4458" t="s">
        <v>1514</v>
      </c>
      <c r="J35" s="4454" t="s">
        <v>1509</v>
      </c>
      <c r="K35" s="4456" t="s">
        <v>1510</v>
      </c>
    </row>
    <row r="36" spans="1:11" ht="27.75" hidden="1" customHeight="1" thickBot="1">
      <c r="A36" s="4464"/>
      <c r="B36" s="4455"/>
      <c r="C36" s="4455"/>
      <c r="D36" s="1600" t="s">
        <v>1516</v>
      </c>
      <c r="E36" s="1600" t="s">
        <v>1517</v>
      </c>
      <c r="F36" s="4455"/>
      <c r="G36" s="4455"/>
      <c r="H36" s="4459"/>
      <c r="I36" s="4459"/>
      <c r="J36" s="4455"/>
      <c r="K36" s="4457"/>
    </row>
    <row r="37" spans="1:11" ht="15.75" hidden="1">
      <c r="A37" s="1597">
        <v>1</v>
      </c>
      <c r="B37" s="1598">
        <v>2</v>
      </c>
      <c r="C37" s="1598">
        <v>3</v>
      </c>
      <c r="D37" s="1598">
        <v>4</v>
      </c>
      <c r="E37" s="1598">
        <v>5</v>
      </c>
      <c r="F37" s="1598">
        <v>6</v>
      </c>
      <c r="G37" s="1598">
        <v>7</v>
      </c>
      <c r="H37" s="1598">
        <v>8</v>
      </c>
      <c r="I37" s="1598">
        <v>8</v>
      </c>
      <c r="J37" s="1598">
        <v>9</v>
      </c>
      <c r="K37" s="1599">
        <v>10</v>
      </c>
    </row>
    <row r="38" spans="1:11" ht="22.5" hidden="1" customHeight="1">
      <c r="A38" s="1601">
        <v>41640</v>
      </c>
      <c r="B38" s="1638">
        <f>261667.92313-5715.8749</f>
        <v>255952.04823000001</v>
      </c>
      <c r="C38" s="1638">
        <f>7226.91395-10.37831</f>
        <v>7216.5356400000001</v>
      </c>
      <c r="D38" s="1603">
        <f>355505.51-107.41</f>
        <v>355398.10000000003</v>
      </c>
      <c r="E38" s="1603">
        <f>349810.97241-689.87962</f>
        <v>349121.09278999997</v>
      </c>
      <c r="F38" s="1604">
        <f>IF(ISERR(E38/D38-1),0,E38/D38-1)</f>
        <v>-1.7661904242031845E-2</v>
      </c>
      <c r="G38" s="1605">
        <v>228771.60802000001</v>
      </c>
      <c r="H38" s="1604">
        <f>IF(ISERR(G38/E38),0,G38/E38)</f>
        <v>0.65527867764096559</v>
      </c>
      <c r="I38" s="1604">
        <f>IF(ISERR(H38/F38),0,H38/F38)</f>
        <v>-37.101247332183569</v>
      </c>
      <c r="J38" s="1606">
        <f t="shared" ref="J38:J50" si="0">B38-C38+E38-G38+K38</f>
        <v>374098.95536999992</v>
      </c>
      <c r="K38" s="1639">
        <v>5013.9580100000003</v>
      </c>
    </row>
    <row r="39" spans="1:11" ht="15.75" hidden="1">
      <c r="A39" s="1640">
        <v>41671</v>
      </c>
      <c r="B39" s="1614">
        <f>J38</f>
        <v>374098.95536999992</v>
      </c>
      <c r="C39" s="1614">
        <f>K38</f>
        <v>5013.9580100000003</v>
      </c>
      <c r="D39" s="1610"/>
      <c r="E39" s="1610"/>
      <c r="F39" s="1611">
        <f>IF(ISERR(E39/D39-1),0,E39/D39-1)</f>
        <v>0</v>
      </c>
      <c r="G39" s="1612"/>
      <c r="H39" s="1613">
        <f>IF(ISERR(G39/E39),0,G39/E39)</f>
        <v>0</v>
      </c>
      <c r="I39" s="1613">
        <f>IF(ISERR(H39/F39),0,H39/F39)</f>
        <v>0</v>
      </c>
      <c r="J39" s="1614">
        <f t="shared" si="0"/>
        <v>369084.99735999992</v>
      </c>
      <c r="K39" s="1615"/>
    </row>
    <row r="40" spans="1:11" ht="15.75" hidden="1">
      <c r="A40" s="1640">
        <v>41699</v>
      </c>
      <c r="B40" s="1614">
        <f>J39</f>
        <v>369084.99735999992</v>
      </c>
      <c r="C40" s="1614">
        <f>K39</f>
        <v>0</v>
      </c>
      <c r="D40" s="1610"/>
      <c r="E40" s="1610"/>
      <c r="F40" s="1611">
        <f>IF(ISERR(E41/D41-1),0,E41/D41-1)</f>
        <v>0</v>
      </c>
      <c r="G40" s="1616"/>
      <c r="H40" s="1613">
        <f>IF(ISERR(G41/E41),0,G41/E41)</f>
        <v>0</v>
      </c>
      <c r="I40" s="1613">
        <f>IF(ISERR(H41/F41),0,H41/F41)</f>
        <v>0</v>
      </c>
      <c r="J40" s="1614">
        <f t="shared" si="0"/>
        <v>369084.99735999992</v>
      </c>
      <c r="K40" s="1615"/>
    </row>
    <row r="41" spans="1:11" ht="15.75" hidden="1">
      <c r="A41" s="1640">
        <v>41730</v>
      </c>
      <c r="B41" s="1614">
        <f>J40-16.40059</f>
        <v>369068.59676999995</v>
      </c>
      <c r="C41" s="1614">
        <f t="shared" ref="C41:C49" si="1">K40</f>
        <v>0</v>
      </c>
      <c r="D41" s="1610"/>
      <c r="E41" s="1617"/>
      <c r="F41" s="1611">
        <f t="shared" ref="F41:F46" si="2">IF(ISERR(E41/D41-1),0,E41/D41-1)</f>
        <v>0</v>
      </c>
      <c r="G41" s="1616"/>
      <c r="H41" s="1613">
        <f t="shared" ref="H41:I50" si="3">IF(ISERR(G41/E41),0,G41/E41)</f>
        <v>0</v>
      </c>
      <c r="I41" s="1613">
        <f t="shared" si="3"/>
        <v>0</v>
      </c>
      <c r="J41" s="1614">
        <f t="shared" si="0"/>
        <v>369068.59676999995</v>
      </c>
      <c r="K41" s="1615"/>
    </row>
    <row r="42" spans="1:11" ht="15.75" hidden="1">
      <c r="A42" s="1640">
        <v>41760</v>
      </c>
      <c r="B42" s="1609">
        <f>J41-74.38762</f>
        <v>368994.20914999995</v>
      </c>
      <c r="C42" s="1609">
        <f t="shared" si="1"/>
        <v>0</v>
      </c>
      <c r="D42" s="1610"/>
      <c r="E42" s="1610"/>
      <c r="F42" s="1611">
        <f t="shared" si="2"/>
        <v>0</v>
      </c>
      <c r="G42" s="1616"/>
      <c r="H42" s="1613">
        <f t="shared" si="3"/>
        <v>0</v>
      </c>
      <c r="I42" s="1613">
        <f t="shared" si="3"/>
        <v>0</v>
      </c>
      <c r="J42" s="1609">
        <f t="shared" si="0"/>
        <v>368994.20914999995</v>
      </c>
      <c r="K42" s="1618"/>
    </row>
    <row r="43" spans="1:11" ht="15.75" hidden="1">
      <c r="A43" s="1640">
        <v>41791</v>
      </c>
      <c r="B43" s="1614">
        <f>J42</f>
        <v>368994.20914999995</v>
      </c>
      <c r="C43" s="1614">
        <f t="shared" si="1"/>
        <v>0</v>
      </c>
      <c r="D43" s="1610"/>
      <c r="E43" s="1610"/>
      <c r="F43" s="1611">
        <f t="shared" si="2"/>
        <v>0</v>
      </c>
      <c r="G43" s="1617"/>
      <c r="H43" s="1613">
        <f t="shared" si="3"/>
        <v>0</v>
      </c>
      <c r="I43" s="1613">
        <f t="shared" si="3"/>
        <v>0</v>
      </c>
      <c r="J43" s="1614">
        <f t="shared" si="0"/>
        <v>368994.20914999995</v>
      </c>
      <c r="K43" s="1619"/>
    </row>
    <row r="44" spans="1:11" ht="15.75" hidden="1">
      <c r="A44" s="1640">
        <v>41821</v>
      </c>
      <c r="B44" s="1609">
        <f>J43-95.89348</f>
        <v>368898.31566999992</v>
      </c>
      <c r="C44" s="1609">
        <f t="shared" si="1"/>
        <v>0</v>
      </c>
      <c r="D44" s="1610"/>
      <c r="E44" s="1610"/>
      <c r="F44" s="1611">
        <f t="shared" si="2"/>
        <v>0</v>
      </c>
      <c r="G44" s="1617"/>
      <c r="H44" s="1613">
        <f t="shared" si="3"/>
        <v>0</v>
      </c>
      <c r="I44" s="1613">
        <f t="shared" si="3"/>
        <v>0</v>
      </c>
      <c r="J44" s="1614">
        <f t="shared" si="0"/>
        <v>368898.31566999992</v>
      </c>
      <c r="K44" s="1619"/>
    </row>
    <row r="45" spans="1:11" ht="15.75" hidden="1">
      <c r="A45" s="1640">
        <v>41852</v>
      </c>
      <c r="B45" s="1609">
        <f>J44</f>
        <v>368898.31566999992</v>
      </c>
      <c r="C45" s="1609">
        <f t="shared" si="1"/>
        <v>0</v>
      </c>
      <c r="D45" s="1610"/>
      <c r="E45" s="1610"/>
      <c r="F45" s="1611">
        <f t="shared" si="2"/>
        <v>0</v>
      </c>
      <c r="G45" s="1617"/>
      <c r="H45" s="1613">
        <f t="shared" si="3"/>
        <v>0</v>
      </c>
      <c r="I45" s="1613">
        <f t="shared" si="3"/>
        <v>0</v>
      </c>
      <c r="J45" s="1614">
        <f t="shared" si="0"/>
        <v>368898.31566999992</v>
      </c>
      <c r="K45" s="1619"/>
    </row>
    <row r="46" spans="1:11" ht="15.75" hidden="1">
      <c r="A46" s="1640">
        <v>41883</v>
      </c>
      <c r="B46" s="1614">
        <f>J45</f>
        <v>368898.31566999992</v>
      </c>
      <c r="C46" s="1614">
        <f t="shared" si="1"/>
        <v>0</v>
      </c>
      <c r="D46" s="1610"/>
      <c r="E46" s="1610"/>
      <c r="F46" s="1611">
        <f t="shared" si="2"/>
        <v>0</v>
      </c>
      <c r="G46" s="1617"/>
      <c r="H46" s="1613">
        <f t="shared" si="3"/>
        <v>0</v>
      </c>
      <c r="I46" s="1613">
        <f t="shared" si="3"/>
        <v>0</v>
      </c>
      <c r="J46" s="1614">
        <f t="shared" si="0"/>
        <v>368898.31566999992</v>
      </c>
      <c r="K46" s="1619"/>
    </row>
    <row r="47" spans="1:11" ht="15.75" hidden="1">
      <c r="A47" s="1640">
        <v>41913</v>
      </c>
      <c r="B47" s="1614">
        <f>J46-3.34957</f>
        <v>368894.9660999999</v>
      </c>
      <c r="C47" s="1614">
        <f t="shared" si="1"/>
        <v>0</v>
      </c>
      <c r="D47" s="1610"/>
      <c r="E47" s="1610"/>
      <c r="F47" s="1611">
        <f>IF(ISERR(E47/D47-1),0,E47/D47-1)</f>
        <v>0</v>
      </c>
      <c r="G47" s="1617"/>
      <c r="H47" s="1613">
        <f t="shared" si="3"/>
        <v>0</v>
      </c>
      <c r="I47" s="1613">
        <f t="shared" si="3"/>
        <v>0</v>
      </c>
      <c r="J47" s="1614">
        <f t="shared" si="0"/>
        <v>368894.9660999999</v>
      </c>
      <c r="K47" s="1619"/>
    </row>
    <row r="48" spans="1:11" ht="15.75" hidden="1">
      <c r="A48" s="1640">
        <v>41944</v>
      </c>
      <c r="B48" s="1614">
        <f>J47</f>
        <v>368894.9660999999</v>
      </c>
      <c r="C48" s="1614">
        <f t="shared" si="1"/>
        <v>0</v>
      </c>
      <c r="D48" s="1610"/>
      <c r="E48" s="1610"/>
      <c r="F48" s="1611">
        <f>IF(ISERR(E48/D48-1),0,E48/D48-1)</f>
        <v>0</v>
      </c>
      <c r="G48" s="1617"/>
      <c r="H48" s="1611">
        <f t="shared" si="3"/>
        <v>0</v>
      </c>
      <c r="I48" s="1611">
        <f t="shared" si="3"/>
        <v>0</v>
      </c>
      <c r="J48" s="1614">
        <f t="shared" si="0"/>
        <v>368894.9660999999</v>
      </c>
      <c r="K48" s="1619"/>
    </row>
    <row r="49" spans="1:11" ht="15.75" hidden="1">
      <c r="A49" s="1640">
        <v>41974</v>
      </c>
      <c r="B49" s="1614">
        <f>J48-303.17666</f>
        <v>368591.78943999991</v>
      </c>
      <c r="C49" s="1614">
        <f t="shared" si="1"/>
        <v>0</v>
      </c>
      <c r="D49" s="1610"/>
      <c r="E49" s="1610"/>
      <c r="F49" s="1611">
        <f>IF(ISERR(E49/D49-1),0,E49/D49-1)</f>
        <v>0</v>
      </c>
      <c r="G49" s="1617"/>
      <c r="H49" s="1611">
        <f t="shared" si="3"/>
        <v>0</v>
      </c>
      <c r="I49" s="1611">
        <f t="shared" si="3"/>
        <v>0</v>
      </c>
      <c r="J49" s="1641">
        <f t="shared" si="0"/>
        <v>368591.78943999991</v>
      </c>
      <c r="K49" s="1618"/>
    </row>
    <row r="50" spans="1:11" ht="22.5" hidden="1" customHeight="1" thickBot="1">
      <c r="A50" s="1642" t="s">
        <v>1518</v>
      </c>
      <c r="B50" s="1643">
        <f>B38</f>
        <v>255952.04823000001</v>
      </c>
      <c r="C50" s="1643">
        <f>C38</f>
        <v>7216.5356400000001</v>
      </c>
      <c r="D50" s="1644">
        <f>D38+D39+D41+D42+D43+D44+D45+D46+D47+D48+D49+D40</f>
        <v>355398.10000000003</v>
      </c>
      <c r="E50" s="1644">
        <f>E38+E39+E41+E42+E43+E44+E45+E46+E47+E48+E49+E40</f>
        <v>349121.09278999997</v>
      </c>
      <c r="F50" s="1645">
        <f>IF(ISERR(E50/D50-1),0,E50/D50-1)</f>
        <v>-1.7661904242031845E-2</v>
      </c>
      <c r="G50" s="1644">
        <f>G38+G39+G41+G42+G43+G44+G45+G46+G47+G48+G49+G40</f>
        <v>228771.60802000001</v>
      </c>
      <c r="H50" s="1645">
        <f t="shared" si="3"/>
        <v>0.65527867764096559</v>
      </c>
      <c r="I50" s="1645">
        <f t="shared" si="3"/>
        <v>-37.101247332183569</v>
      </c>
      <c r="J50" s="1646">
        <f t="shared" si="0"/>
        <v>374098.95536999992</v>
      </c>
      <c r="K50" s="1647">
        <f>K38</f>
        <v>5013.9580100000003</v>
      </c>
    </row>
    <row r="51" spans="1:11" ht="15">
      <c r="A51" s="1379"/>
      <c r="B51" s="1379"/>
      <c r="C51" s="1379"/>
      <c r="D51" s="1379"/>
      <c r="E51" s="1379"/>
      <c r="F51" s="1379"/>
      <c r="G51" s="1379"/>
      <c r="H51" s="1379"/>
      <c r="I51" s="1379"/>
      <c r="J51" s="1379"/>
      <c r="K51" s="1379"/>
    </row>
  </sheetData>
  <mergeCells count="27">
    <mergeCell ref="B35:B36"/>
    <mergeCell ref="C35:C36"/>
    <mergeCell ref="D35:E35"/>
    <mergeCell ref="F35:F36"/>
    <mergeCell ref="G35:G36"/>
    <mergeCell ref="H35:H36"/>
    <mergeCell ref="J35:J36"/>
    <mergeCell ref="A1:K1"/>
    <mergeCell ref="H3:K3"/>
    <mergeCell ref="A4:K4"/>
    <mergeCell ref="A5:J5"/>
    <mergeCell ref="A6:A7"/>
    <mergeCell ref="B6:B7"/>
    <mergeCell ref="C6:C7"/>
    <mergeCell ref="B23:J23"/>
    <mergeCell ref="B24:F24"/>
    <mergeCell ref="K35:K36"/>
    <mergeCell ref="A25:K25"/>
    <mergeCell ref="A35:A36"/>
    <mergeCell ref="I35:I36"/>
    <mergeCell ref="D6:E6"/>
    <mergeCell ref="F6:F7"/>
    <mergeCell ref="G6:G7"/>
    <mergeCell ref="K6:K7"/>
    <mergeCell ref="H6:H7"/>
    <mergeCell ref="I6:I7"/>
    <mergeCell ref="J6:J7"/>
  </mergeCells>
  <pageMargins left="0.2" right="0.17" top="0.74803149606299213" bottom="0.74803149606299213" header="0.31496062992125984" footer="0.31496062992125984"/>
  <pageSetup paperSize="9" scale="52"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V49"/>
  <sheetViews>
    <sheetView zoomScaleNormal="100" workbookViewId="0">
      <selection activeCell="L37" sqref="L37"/>
    </sheetView>
  </sheetViews>
  <sheetFormatPr defaultColWidth="9.140625" defaultRowHeight="15"/>
  <cols>
    <col min="1" max="1" width="5.7109375" style="3234" customWidth="1"/>
    <col min="2" max="2" width="47.28515625" style="3234" customWidth="1"/>
    <col min="3" max="8" width="14" style="3234" hidden="1" customWidth="1"/>
    <col min="9" max="9" width="17.7109375" style="3234" customWidth="1"/>
    <col min="10" max="11" width="14" style="3234" hidden="1" customWidth="1"/>
    <col min="12" max="12" width="14" style="3234" customWidth="1"/>
    <col min="13" max="19" width="14" style="3234" hidden="1" customWidth="1"/>
    <col min="20" max="20" width="11.42578125" style="3234" bestFit="1" customWidth="1"/>
    <col min="21" max="21" width="11.5703125" style="3234" customWidth="1"/>
    <col min="22" max="22" width="12.28515625" style="3234" customWidth="1"/>
    <col min="23" max="23" width="11.7109375" style="3234" customWidth="1"/>
    <col min="24" max="30" width="0" style="3234" hidden="1" customWidth="1"/>
    <col min="31" max="31" width="11.140625" style="3234" customWidth="1"/>
    <col min="32" max="16384" width="9.140625" style="3234"/>
  </cols>
  <sheetData>
    <row r="2" spans="2:21" ht="15.75">
      <c r="B2" s="4469" t="s">
        <v>3677</v>
      </c>
      <c r="C2" s="4469" t="s">
        <v>3677</v>
      </c>
      <c r="D2" s="4469" t="s">
        <v>3677</v>
      </c>
      <c r="E2" s="4469" t="s">
        <v>3677</v>
      </c>
      <c r="F2" s="4469" t="s">
        <v>3677</v>
      </c>
      <c r="G2" s="4469" t="s">
        <v>3677</v>
      </c>
      <c r="H2" s="4469" t="s">
        <v>3677</v>
      </c>
      <c r="I2" s="4469"/>
      <c r="J2" s="4469" t="s">
        <v>3677</v>
      </c>
    </row>
    <row r="4" spans="2:21" ht="15.75">
      <c r="B4" s="4469" t="s">
        <v>698</v>
      </c>
      <c r="C4" s="4469" t="s">
        <v>3678</v>
      </c>
      <c r="D4" s="4469" t="s">
        <v>3678</v>
      </c>
      <c r="E4" s="4469" t="s">
        <v>3678</v>
      </c>
      <c r="F4" s="4469" t="s">
        <v>3678</v>
      </c>
      <c r="G4" s="4469" t="s">
        <v>3678</v>
      </c>
      <c r="H4" s="4469" t="s">
        <v>3678</v>
      </c>
      <c r="I4" s="4469"/>
      <c r="J4" s="4469" t="s">
        <v>3678</v>
      </c>
    </row>
    <row r="6" spans="2:21" ht="15.75">
      <c r="B6" s="4469" t="s">
        <v>3750</v>
      </c>
      <c r="C6" s="4469" t="s">
        <v>3679</v>
      </c>
      <c r="D6" s="4469" t="s">
        <v>3679</v>
      </c>
      <c r="E6" s="4469" t="s">
        <v>3679</v>
      </c>
      <c r="F6" s="4469" t="s">
        <v>3679</v>
      </c>
      <c r="G6" s="4469" t="s">
        <v>3679</v>
      </c>
      <c r="H6" s="4469" t="s">
        <v>3679</v>
      </c>
      <c r="I6" s="4469"/>
      <c r="J6" s="4469" t="s">
        <v>3679</v>
      </c>
    </row>
    <row r="8" spans="2:21" ht="18.75">
      <c r="B8" s="4470" t="s">
        <v>1541</v>
      </c>
      <c r="C8" s="4470" t="s">
        <v>1541</v>
      </c>
      <c r="D8" s="4470" t="s">
        <v>1541</v>
      </c>
      <c r="E8" s="4470" t="s">
        <v>1541</v>
      </c>
      <c r="F8" s="4470" t="s">
        <v>1541</v>
      </c>
      <c r="G8" s="4470" t="s">
        <v>1541</v>
      </c>
      <c r="H8" s="4470" t="s">
        <v>1541</v>
      </c>
      <c r="I8" s="4470"/>
      <c r="J8" s="4470" t="s">
        <v>1541</v>
      </c>
      <c r="K8" s="4470" t="s">
        <v>1541</v>
      </c>
      <c r="L8" s="4470" t="s">
        <v>1541</v>
      </c>
      <c r="M8" s="4470" t="s">
        <v>1541</v>
      </c>
      <c r="N8" s="4470" t="s">
        <v>1541</v>
      </c>
      <c r="O8" s="4470" t="s">
        <v>1541</v>
      </c>
      <c r="P8" s="4470" t="s">
        <v>1541</v>
      </c>
      <c r="Q8" s="4470" t="s">
        <v>1541</v>
      </c>
      <c r="R8" s="4470" t="s">
        <v>1541</v>
      </c>
      <c r="S8" s="4470" t="s">
        <v>1541</v>
      </c>
    </row>
    <row r="9" spans="2:21">
      <c r="B9" s="4471"/>
      <c r="C9" s="4471" t="s">
        <v>3680</v>
      </c>
      <c r="D9" s="4471" t="s">
        <v>3681</v>
      </c>
      <c r="E9" s="4471"/>
      <c r="F9" s="4471"/>
      <c r="G9" s="4471"/>
      <c r="H9" s="4471"/>
      <c r="I9" s="3235"/>
      <c r="J9" s="4473">
        <f>'Шаблон 46 ГП'!A8:P8</f>
        <v>0</v>
      </c>
      <c r="K9" s="4474"/>
      <c r="L9" s="4474"/>
      <c r="M9" s="4474"/>
      <c r="N9" s="4474"/>
      <c r="O9" s="4471" t="s">
        <v>3681</v>
      </c>
      <c r="P9" s="4471"/>
      <c r="Q9" s="4471"/>
      <c r="R9" s="4472"/>
      <c r="S9" s="4472"/>
    </row>
    <row r="10" spans="2:21" ht="105">
      <c r="B10" s="4472"/>
      <c r="C10" s="4472"/>
      <c r="D10" s="3236" t="s">
        <v>3682</v>
      </c>
      <c r="E10" s="3236" t="s">
        <v>3683</v>
      </c>
      <c r="F10" s="3236" t="s">
        <v>3684</v>
      </c>
      <c r="G10" s="3236" t="s">
        <v>3685</v>
      </c>
      <c r="H10" s="3236" t="s">
        <v>1498</v>
      </c>
      <c r="I10" s="3236"/>
      <c r="J10" s="3236" t="s">
        <v>1499</v>
      </c>
      <c r="K10" s="3236" t="s">
        <v>3758</v>
      </c>
      <c r="L10" s="3236" t="s">
        <v>3686</v>
      </c>
      <c r="M10" s="3236" t="s">
        <v>3685</v>
      </c>
      <c r="N10" s="3236" t="s">
        <v>1498</v>
      </c>
      <c r="O10" s="3236" t="s">
        <v>3682</v>
      </c>
      <c r="P10" s="3236" t="s">
        <v>3683</v>
      </c>
      <c r="Q10" s="3236" t="s">
        <v>3684</v>
      </c>
      <c r="R10" s="3236" t="s">
        <v>3685</v>
      </c>
      <c r="S10" s="3236" t="s">
        <v>1498</v>
      </c>
    </row>
    <row r="11" spans="2:21">
      <c r="B11" s="3237" t="s">
        <v>1468</v>
      </c>
      <c r="C11" s="3238">
        <v>748148</v>
      </c>
      <c r="D11" s="3238">
        <v>0</v>
      </c>
      <c r="E11" s="3238">
        <v>0</v>
      </c>
      <c r="F11" s="3238">
        <v>0</v>
      </c>
      <c r="G11" s="3238">
        <v>0</v>
      </c>
      <c r="H11" s="3238">
        <v>0</v>
      </c>
      <c r="I11" s="3238"/>
      <c r="J11" s="3239">
        <v>75065.068999999989</v>
      </c>
      <c r="K11" s="3239">
        <f>K12</f>
        <v>74174.438999999984</v>
      </c>
      <c r="L11" s="3239">
        <f>L12</f>
        <v>55391.792000000001</v>
      </c>
      <c r="M11" s="3238">
        <v>-3.47</v>
      </c>
      <c r="N11" s="3238">
        <v>-2.68</v>
      </c>
      <c r="O11" s="3240">
        <v>78902</v>
      </c>
      <c r="P11" s="3240">
        <v>79551</v>
      </c>
      <c r="Q11" s="3240">
        <v>76787</v>
      </c>
      <c r="R11" s="3240">
        <v>-3.47</v>
      </c>
      <c r="S11" s="3241">
        <v>-2.68</v>
      </c>
      <c r="U11" s="3242"/>
    </row>
    <row r="12" spans="2:21">
      <c r="B12" s="3243" t="s">
        <v>3687</v>
      </c>
      <c r="C12" s="3238">
        <v>748148</v>
      </c>
      <c r="D12" s="3238">
        <v>0</v>
      </c>
      <c r="E12" s="3238">
        <v>0</v>
      </c>
      <c r="F12" s="3238">
        <v>0</v>
      </c>
      <c r="G12" s="3238">
        <v>0</v>
      </c>
      <c r="H12" s="3238">
        <v>0</v>
      </c>
      <c r="I12" s="3238"/>
      <c r="J12" s="3239">
        <v>75065.068999999989</v>
      </c>
      <c r="K12" s="3239">
        <f>K13+K16+K26+K27+K28</f>
        <v>74174.438999999984</v>
      </c>
      <c r="L12" s="3239">
        <f>L13+L16+L26+L27+L28</f>
        <v>55391.792000000001</v>
      </c>
      <c r="M12" s="3238">
        <v>-3.47</v>
      </c>
      <c r="N12" s="3238">
        <v>-2.68</v>
      </c>
      <c r="O12" s="3240">
        <v>78902</v>
      </c>
      <c r="P12" s="3240">
        <v>79551</v>
      </c>
      <c r="Q12" s="3240">
        <v>76787</v>
      </c>
      <c r="R12" s="3240">
        <v>-3.47</v>
      </c>
      <c r="S12" s="3241">
        <v>-2.68</v>
      </c>
      <c r="U12" s="3242"/>
    </row>
    <row r="13" spans="2:21">
      <c r="B13" s="3244" t="s">
        <v>3688</v>
      </c>
      <c r="C13" s="3240">
        <v>99592</v>
      </c>
      <c r="D13" s="3240">
        <v>0</v>
      </c>
      <c r="E13" s="3240">
        <v>0</v>
      </c>
      <c r="F13" s="3240">
        <v>0</v>
      </c>
      <c r="G13" s="3240">
        <v>0</v>
      </c>
      <c r="H13" s="3240">
        <v>0</v>
      </c>
      <c r="I13" s="3240"/>
      <c r="J13" s="3245">
        <v>10558.326000000001</v>
      </c>
      <c r="K13" s="3245">
        <f t="shared" ref="K13:K27" si="0">J13</f>
        <v>10558.326000000001</v>
      </c>
      <c r="L13" s="3245">
        <f>L14+L15</f>
        <v>6554.9870000000001</v>
      </c>
      <c r="M13" s="3240">
        <v>5.1100000000000003</v>
      </c>
      <c r="N13" s="3240">
        <v>26.67</v>
      </c>
      <c r="O13" s="3240">
        <v>9135</v>
      </c>
      <c r="P13" s="3240">
        <v>11008</v>
      </c>
      <c r="Q13" s="3240">
        <v>11571</v>
      </c>
      <c r="R13" s="3240">
        <v>5.1100000000000003</v>
      </c>
      <c r="S13" s="3241">
        <v>26.67</v>
      </c>
    </row>
    <row r="14" spans="2:21">
      <c r="B14" s="3246" t="s">
        <v>3777</v>
      </c>
      <c r="C14" s="3247">
        <v>78444</v>
      </c>
      <c r="D14" s="3247">
        <v>0</v>
      </c>
      <c r="E14" s="3247">
        <v>0</v>
      </c>
      <c r="F14" s="3247">
        <v>0</v>
      </c>
      <c r="G14" s="3247">
        <v>0</v>
      </c>
      <c r="H14" s="3247">
        <v>0</v>
      </c>
      <c r="I14" s="3247"/>
      <c r="J14" s="3248">
        <v>8713.1910000000007</v>
      </c>
      <c r="K14" s="3248">
        <f t="shared" si="0"/>
        <v>8713.1910000000007</v>
      </c>
      <c r="L14" s="3248">
        <f>'Форма 1'!AS15</f>
        <v>6494.2079999999996</v>
      </c>
      <c r="M14" s="3247">
        <v>2.58</v>
      </c>
      <c r="N14" s="3247">
        <v>2.56</v>
      </c>
      <c r="O14" s="3247">
        <v>9135</v>
      </c>
      <c r="P14" s="3247">
        <v>9133</v>
      </c>
      <c r="Q14" s="3247">
        <v>9369</v>
      </c>
      <c r="R14" s="3247">
        <v>2.58</v>
      </c>
      <c r="S14" s="3249">
        <v>2.56</v>
      </c>
    </row>
    <row r="15" spans="2:21">
      <c r="B15" s="3246" t="s">
        <v>3778</v>
      </c>
      <c r="C15" s="3247">
        <v>21148</v>
      </c>
      <c r="D15" s="3247">
        <v>0</v>
      </c>
      <c r="E15" s="3247">
        <v>0</v>
      </c>
      <c r="F15" s="3247">
        <v>0</v>
      </c>
      <c r="G15" s="3247">
        <v>0</v>
      </c>
      <c r="H15" s="3247">
        <v>0</v>
      </c>
      <c r="I15" s="3247"/>
      <c r="J15" s="3248">
        <v>1845.135</v>
      </c>
      <c r="K15" s="3248">
        <f t="shared" si="0"/>
        <v>1845.135</v>
      </c>
      <c r="L15" s="3248">
        <f>'Форма 1'!AS16</f>
        <v>60.779000000000003</v>
      </c>
      <c r="M15" s="3247">
        <v>17.440000000000001</v>
      </c>
      <c r="N15" s="3247">
        <v>0</v>
      </c>
      <c r="O15" s="3247">
        <v>0</v>
      </c>
      <c r="P15" s="3247">
        <v>1875</v>
      </c>
      <c r="Q15" s="3247">
        <v>2202</v>
      </c>
      <c r="R15" s="3247">
        <v>17.440000000000001</v>
      </c>
      <c r="S15" s="3249">
        <v>0</v>
      </c>
    </row>
    <row r="16" spans="2:21">
      <c r="B16" s="3243" t="s">
        <v>3689</v>
      </c>
      <c r="C16" s="3238">
        <v>55338</v>
      </c>
      <c r="D16" s="3238">
        <v>0</v>
      </c>
      <c r="E16" s="3238">
        <v>0</v>
      </c>
      <c r="F16" s="3238">
        <v>0</v>
      </c>
      <c r="G16" s="3238">
        <v>0</v>
      </c>
      <c r="H16" s="3238">
        <v>0</v>
      </c>
      <c r="I16" s="3238"/>
      <c r="J16" s="3239">
        <v>5769.3809999999994</v>
      </c>
      <c r="K16" s="3239">
        <f>K17+K20+K23</f>
        <v>5769.3809999999994</v>
      </c>
      <c r="L16" s="3239">
        <f>L17+L20+L23</f>
        <v>4162.308</v>
      </c>
      <c r="M16" s="3238">
        <v>-4.51</v>
      </c>
      <c r="N16" s="3238">
        <v>4.22</v>
      </c>
      <c r="O16" s="3240">
        <v>5734</v>
      </c>
      <c r="P16" s="3240">
        <v>6258</v>
      </c>
      <c r="Q16" s="3240">
        <v>5976</v>
      </c>
      <c r="R16" s="3240">
        <v>-4.51</v>
      </c>
      <c r="S16" s="3241">
        <v>4.22</v>
      </c>
      <c r="U16" s="3250"/>
    </row>
    <row r="17" spans="2:21">
      <c r="B17" s="3251" t="s">
        <v>3690</v>
      </c>
      <c r="C17" s="3252">
        <v>7405</v>
      </c>
      <c r="D17" s="3252">
        <v>0</v>
      </c>
      <c r="E17" s="3252">
        <v>0</v>
      </c>
      <c r="F17" s="3252">
        <v>0</v>
      </c>
      <c r="G17" s="3252">
        <v>0</v>
      </c>
      <c r="H17" s="3252">
        <v>0</v>
      </c>
      <c r="I17" s="3252"/>
      <c r="J17" s="3253">
        <v>625.25699999999995</v>
      </c>
      <c r="K17" s="3253">
        <f t="shared" si="0"/>
        <v>625.25699999999995</v>
      </c>
      <c r="L17" s="3253">
        <f>'Форма 1'!AS21</f>
        <v>448.01</v>
      </c>
      <c r="M17" s="3247">
        <v>-1.23</v>
      </c>
      <c r="N17" s="3247">
        <v>7.77</v>
      </c>
      <c r="O17" s="3247">
        <v>669</v>
      </c>
      <c r="P17" s="3247">
        <v>730</v>
      </c>
      <c r="Q17" s="3247">
        <v>721</v>
      </c>
      <c r="R17" s="3247">
        <v>-1.23</v>
      </c>
      <c r="S17" s="3249">
        <v>7.77</v>
      </c>
    </row>
    <row r="18" spans="2:21">
      <c r="B18" s="3246" t="s">
        <v>3691</v>
      </c>
      <c r="C18" s="3247">
        <v>613</v>
      </c>
      <c r="D18" s="3247">
        <v>0</v>
      </c>
      <c r="E18" s="3247">
        <v>0</v>
      </c>
      <c r="F18" s="3247">
        <v>0</v>
      </c>
      <c r="G18" s="3247">
        <v>0</v>
      </c>
      <c r="H18" s="3247">
        <v>0</v>
      </c>
      <c r="I18" s="3247"/>
      <c r="J18" s="3248">
        <v>41.859000000000002</v>
      </c>
      <c r="K18" s="3248">
        <f t="shared" si="0"/>
        <v>41.859000000000002</v>
      </c>
      <c r="L18" s="3248">
        <f>'Форма 1'!AS22</f>
        <v>121.251</v>
      </c>
      <c r="M18" s="3247">
        <v>12.5</v>
      </c>
      <c r="N18" s="3247">
        <v>12.5</v>
      </c>
      <c r="O18" s="3247">
        <v>56</v>
      </c>
      <c r="P18" s="3247">
        <v>56</v>
      </c>
      <c r="Q18" s="3247">
        <v>63</v>
      </c>
      <c r="R18" s="3247">
        <v>12.5</v>
      </c>
      <c r="S18" s="3249">
        <v>12.5</v>
      </c>
    </row>
    <row r="19" spans="2:21">
      <c r="B19" s="3246" t="s">
        <v>3692</v>
      </c>
      <c r="C19" s="3247">
        <v>250</v>
      </c>
      <c r="D19" s="3247">
        <v>0</v>
      </c>
      <c r="E19" s="3247">
        <v>0</v>
      </c>
      <c r="F19" s="3247">
        <v>0</v>
      </c>
      <c r="G19" s="3247">
        <v>0</v>
      </c>
      <c r="H19" s="3247">
        <v>0</v>
      </c>
      <c r="I19" s="3247"/>
      <c r="J19" s="3248">
        <v>17.774000000000001</v>
      </c>
      <c r="K19" s="3248">
        <f t="shared" si="0"/>
        <v>17.774000000000001</v>
      </c>
      <c r="L19" s="3248">
        <f>'Форма 1'!AS23</f>
        <v>15.093</v>
      </c>
      <c r="M19" s="3247">
        <v>3.85</v>
      </c>
      <c r="N19" s="3247">
        <v>3.85</v>
      </c>
      <c r="O19" s="3247">
        <v>26</v>
      </c>
      <c r="P19" s="3247">
        <v>26</v>
      </c>
      <c r="Q19" s="3247">
        <v>27</v>
      </c>
      <c r="R19" s="3247">
        <v>3.85</v>
      </c>
      <c r="S19" s="3249">
        <v>3.85</v>
      </c>
    </row>
    <row r="20" spans="2:21">
      <c r="B20" s="3251" t="s">
        <v>3693</v>
      </c>
      <c r="C20" s="3252">
        <v>12027</v>
      </c>
      <c r="D20" s="3252">
        <v>0</v>
      </c>
      <c r="E20" s="3252">
        <v>0</v>
      </c>
      <c r="F20" s="3252">
        <v>0</v>
      </c>
      <c r="G20" s="3252">
        <v>0</v>
      </c>
      <c r="H20" s="3252">
        <v>0</v>
      </c>
      <c r="I20" s="3252"/>
      <c r="J20" s="3253">
        <v>1227.605</v>
      </c>
      <c r="K20" s="3253">
        <f t="shared" si="0"/>
        <v>1227.605</v>
      </c>
      <c r="L20" s="3253">
        <f>'Форма 1'!AS24</f>
        <v>1734.0229999999999</v>
      </c>
      <c r="M20" s="3247">
        <v>-1.84</v>
      </c>
      <c r="N20" s="3247">
        <v>7.14</v>
      </c>
      <c r="O20" s="3247">
        <v>1148</v>
      </c>
      <c r="P20" s="3247">
        <v>1253</v>
      </c>
      <c r="Q20" s="3247">
        <v>1230</v>
      </c>
      <c r="R20" s="3247">
        <v>-1.84</v>
      </c>
      <c r="S20" s="3249">
        <v>7.14</v>
      </c>
    </row>
    <row r="21" spans="2:21">
      <c r="B21" s="3246" t="s">
        <v>3691</v>
      </c>
      <c r="C21" s="3247">
        <v>3101</v>
      </c>
      <c r="D21" s="3247">
        <v>0</v>
      </c>
      <c r="E21" s="3247">
        <v>0</v>
      </c>
      <c r="F21" s="3247">
        <v>0</v>
      </c>
      <c r="G21" s="3247">
        <v>0</v>
      </c>
      <c r="H21" s="3247">
        <v>0</v>
      </c>
      <c r="I21" s="3247"/>
      <c r="J21" s="3248">
        <v>360.94499999999999</v>
      </c>
      <c r="K21" s="3248">
        <f t="shared" si="0"/>
        <v>360.94499999999999</v>
      </c>
      <c r="L21" s="3248">
        <f>'Форма 1'!AS25</f>
        <v>155.845</v>
      </c>
      <c r="M21" s="3247">
        <v>21</v>
      </c>
      <c r="N21" s="3247">
        <v>21</v>
      </c>
      <c r="O21" s="3247">
        <v>281</v>
      </c>
      <c r="P21" s="3247">
        <v>281</v>
      </c>
      <c r="Q21" s="3247">
        <v>340</v>
      </c>
      <c r="R21" s="3247">
        <v>21</v>
      </c>
      <c r="S21" s="3249">
        <v>21</v>
      </c>
    </row>
    <row r="22" spans="2:21">
      <c r="B22" s="3246" t="s">
        <v>3692</v>
      </c>
      <c r="C22" s="3247">
        <v>6975</v>
      </c>
      <c r="D22" s="3247">
        <v>0</v>
      </c>
      <c r="E22" s="3247">
        <v>0</v>
      </c>
      <c r="F22" s="3247">
        <v>0</v>
      </c>
      <c r="G22" s="3247">
        <v>0</v>
      </c>
      <c r="H22" s="3247">
        <v>0</v>
      </c>
      <c r="I22" s="3247"/>
      <c r="J22" s="3248">
        <v>674.83900000000006</v>
      </c>
      <c r="K22" s="3248">
        <f t="shared" si="0"/>
        <v>674.83900000000006</v>
      </c>
      <c r="L22" s="3248">
        <f>'Форма 1'!AS26</f>
        <v>1443.0070000000001</v>
      </c>
      <c r="M22" s="3247">
        <v>-0.15</v>
      </c>
      <c r="N22" s="3247">
        <v>-0.15</v>
      </c>
      <c r="O22" s="3247">
        <v>686</v>
      </c>
      <c r="P22" s="3247">
        <v>686</v>
      </c>
      <c r="Q22" s="3247">
        <v>685</v>
      </c>
      <c r="R22" s="3247">
        <v>-0.15</v>
      </c>
      <c r="S22" s="3249">
        <v>-0.15</v>
      </c>
    </row>
    <row r="23" spans="2:21">
      <c r="B23" s="3251" t="s">
        <v>3694</v>
      </c>
      <c r="C23" s="3252">
        <v>35906</v>
      </c>
      <c r="D23" s="3252">
        <v>0</v>
      </c>
      <c r="E23" s="3252">
        <v>0</v>
      </c>
      <c r="F23" s="3252">
        <v>0</v>
      </c>
      <c r="G23" s="3252">
        <v>0</v>
      </c>
      <c r="H23" s="3252">
        <v>0</v>
      </c>
      <c r="I23" s="3252"/>
      <c r="J23" s="3253">
        <v>3916.5189999999998</v>
      </c>
      <c r="K23" s="3253">
        <f t="shared" si="0"/>
        <v>3916.5189999999998</v>
      </c>
      <c r="L23" s="3253">
        <f>'Форма 1'!AS27</f>
        <v>1980.2750000000001</v>
      </c>
      <c r="M23" s="3247">
        <v>-5.85</v>
      </c>
      <c r="N23" s="3247">
        <v>2.76</v>
      </c>
      <c r="O23" s="3247">
        <v>3917</v>
      </c>
      <c r="P23" s="3247">
        <v>4275</v>
      </c>
      <c r="Q23" s="3247">
        <v>4025</v>
      </c>
      <c r="R23" s="3247">
        <v>-5.85</v>
      </c>
      <c r="S23" s="3249">
        <v>2.76</v>
      </c>
    </row>
    <row r="24" spans="2:21">
      <c r="B24" s="3246" t="s">
        <v>3691</v>
      </c>
      <c r="C24" s="3247">
        <v>20996</v>
      </c>
      <c r="D24" s="3247">
        <v>0</v>
      </c>
      <c r="E24" s="3247">
        <v>0</v>
      </c>
      <c r="F24" s="3247">
        <v>0</v>
      </c>
      <c r="G24" s="3247">
        <v>0</v>
      </c>
      <c r="H24" s="3247">
        <v>0</v>
      </c>
      <c r="I24" s="3247"/>
      <c r="J24" s="3248">
        <v>1972.2159999999999</v>
      </c>
      <c r="K24" s="3248">
        <f t="shared" si="0"/>
        <v>1972.2159999999999</v>
      </c>
      <c r="L24" s="3248">
        <f>'Форма 1'!AS28</f>
        <v>1570.9670000000001</v>
      </c>
      <c r="M24" s="3247">
        <v>-2.09</v>
      </c>
      <c r="N24" s="3247">
        <v>-2.09</v>
      </c>
      <c r="O24" s="3247">
        <v>2054</v>
      </c>
      <c r="P24" s="3247">
        <v>2054</v>
      </c>
      <c r="Q24" s="3247">
        <v>2011</v>
      </c>
      <c r="R24" s="3247">
        <v>-2.09</v>
      </c>
      <c r="S24" s="3249">
        <v>-2.09</v>
      </c>
    </row>
    <row r="25" spans="2:21">
      <c r="B25" s="3246" t="s">
        <v>3692</v>
      </c>
      <c r="C25" s="3247">
        <v>5264</v>
      </c>
      <c r="D25" s="3247">
        <v>0</v>
      </c>
      <c r="E25" s="3247">
        <v>0</v>
      </c>
      <c r="F25" s="3247">
        <v>0</v>
      </c>
      <c r="G25" s="3247">
        <v>0</v>
      </c>
      <c r="H25" s="3247">
        <v>0</v>
      </c>
      <c r="I25" s="3247"/>
      <c r="J25" s="3248">
        <v>498.15300000000002</v>
      </c>
      <c r="K25" s="3248">
        <f t="shared" si="0"/>
        <v>498.15300000000002</v>
      </c>
      <c r="L25" s="3248">
        <f>'Форма 1'!AS29</f>
        <v>0</v>
      </c>
      <c r="M25" s="3247">
        <v>12.13</v>
      </c>
      <c r="N25" s="3247">
        <v>12.13</v>
      </c>
      <c r="O25" s="3247">
        <v>544</v>
      </c>
      <c r="P25" s="3247">
        <v>544</v>
      </c>
      <c r="Q25" s="3247">
        <v>610</v>
      </c>
      <c r="R25" s="3247">
        <v>12.13</v>
      </c>
      <c r="S25" s="3249">
        <v>12.13</v>
      </c>
    </row>
    <row r="26" spans="2:21">
      <c r="B26" s="3251" t="s">
        <v>3695</v>
      </c>
      <c r="C26" s="3252">
        <v>277634</v>
      </c>
      <c r="D26" s="3252">
        <v>0</v>
      </c>
      <c r="E26" s="3252">
        <v>0</v>
      </c>
      <c r="F26" s="3252">
        <v>0</v>
      </c>
      <c r="G26" s="3252">
        <v>0</v>
      </c>
      <c r="H26" s="3252">
        <v>0</v>
      </c>
      <c r="I26" s="3252"/>
      <c r="J26" s="3253">
        <v>26220.595049999982</v>
      </c>
      <c r="K26" s="3253">
        <v>24730.63499999998</v>
      </c>
      <c r="L26" s="3253">
        <f>'Форма 1'!AS33</f>
        <v>19721.404999999999</v>
      </c>
      <c r="M26" s="3252">
        <v>-2.0699999999999998</v>
      </c>
      <c r="N26" s="3252">
        <v>-8.8800000000000008</v>
      </c>
      <c r="O26" s="3247">
        <v>29771</v>
      </c>
      <c r="P26" s="3247">
        <v>27699</v>
      </c>
      <c r="Q26" s="3247">
        <v>27126</v>
      </c>
      <c r="R26" s="3247">
        <v>-2.0699999999999998</v>
      </c>
      <c r="S26" s="3249">
        <v>-8.8800000000000008</v>
      </c>
      <c r="U26" s="3242"/>
    </row>
    <row r="27" spans="2:21">
      <c r="B27" s="3251" t="s">
        <v>3696</v>
      </c>
      <c r="C27" s="3252">
        <v>1748</v>
      </c>
      <c r="D27" s="3252">
        <v>0</v>
      </c>
      <c r="E27" s="3252">
        <v>0</v>
      </c>
      <c r="F27" s="3252">
        <v>0</v>
      </c>
      <c r="G27" s="3252">
        <v>0</v>
      </c>
      <c r="H27" s="3252">
        <v>0</v>
      </c>
      <c r="I27" s="3252"/>
      <c r="J27" s="3253">
        <v>208.99700000000001</v>
      </c>
      <c r="K27" s="3253">
        <f t="shared" si="0"/>
        <v>208.99700000000001</v>
      </c>
      <c r="L27" s="3253">
        <f>'Форма 1'!AS34</f>
        <v>122.85299999999999</v>
      </c>
      <c r="M27" s="3252">
        <v>33.08</v>
      </c>
      <c r="N27" s="3252">
        <v>33.08</v>
      </c>
      <c r="O27" s="3247">
        <v>130</v>
      </c>
      <c r="P27" s="3247">
        <v>130</v>
      </c>
      <c r="Q27" s="3247">
        <v>173</v>
      </c>
      <c r="R27" s="3247">
        <v>33.08</v>
      </c>
      <c r="S27" s="3249">
        <v>33.08</v>
      </c>
      <c r="U27" s="3242"/>
    </row>
    <row r="28" spans="2:21">
      <c r="B28" s="3251" t="s">
        <v>3697</v>
      </c>
      <c r="C28" s="3252">
        <v>313836</v>
      </c>
      <c r="D28" s="3252">
        <v>0</v>
      </c>
      <c r="E28" s="3252">
        <v>0</v>
      </c>
      <c r="F28" s="3252">
        <v>0</v>
      </c>
      <c r="G28" s="3252">
        <v>0</v>
      </c>
      <c r="H28" s="3252">
        <v>0</v>
      </c>
      <c r="I28" s="3252"/>
      <c r="J28" s="3253">
        <v>32307.769949999998</v>
      </c>
      <c r="K28" s="3253">
        <v>32907.1</v>
      </c>
      <c r="L28" s="3253">
        <f>'Форма 1'!AS35</f>
        <v>24830.239000000001</v>
      </c>
      <c r="M28" s="3252">
        <v>-7.3</v>
      </c>
      <c r="N28" s="3252">
        <v>-6.42</v>
      </c>
      <c r="O28" s="3247">
        <v>34132</v>
      </c>
      <c r="P28" s="3247">
        <v>34456</v>
      </c>
      <c r="Q28" s="3247">
        <v>31941</v>
      </c>
      <c r="R28" s="3247">
        <v>-7.3</v>
      </c>
      <c r="S28" s="3249">
        <v>-6.42</v>
      </c>
    </row>
    <row r="29" spans="2:21">
      <c r="B29" s="3254" t="s">
        <v>1470</v>
      </c>
      <c r="C29" s="3255">
        <v>814011</v>
      </c>
      <c r="D29" s="3255">
        <v>0</v>
      </c>
      <c r="E29" s="3255">
        <v>0</v>
      </c>
      <c r="F29" s="3255">
        <v>0</v>
      </c>
      <c r="G29" s="3255">
        <v>0</v>
      </c>
      <c r="H29" s="3255">
        <v>0</v>
      </c>
      <c r="I29" s="3255"/>
      <c r="J29" s="3256">
        <v>80640.909999999989</v>
      </c>
      <c r="K29" s="3256">
        <v>79284.108474698092</v>
      </c>
      <c r="L29" s="3256">
        <f>'Форма 1'!AS38</f>
        <v>57180.12</v>
      </c>
      <c r="M29" s="3255">
        <v>-2.4</v>
      </c>
      <c r="N29" s="3255">
        <v>-2.21</v>
      </c>
      <c r="O29" s="3247">
        <v>86504</v>
      </c>
      <c r="P29" s="3247">
        <v>86673</v>
      </c>
      <c r="Q29" s="3247">
        <v>84591</v>
      </c>
      <c r="R29" s="3247">
        <v>-2.4</v>
      </c>
      <c r="S29" s="3249">
        <v>-2.21</v>
      </c>
    </row>
    <row r="30" spans="2:21">
      <c r="B30" s="3237" t="s">
        <v>1471</v>
      </c>
      <c r="C30" s="3238">
        <v>65863</v>
      </c>
      <c r="D30" s="3238">
        <v>0</v>
      </c>
      <c r="E30" s="3238">
        <v>0</v>
      </c>
      <c r="F30" s="3238">
        <v>0</v>
      </c>
      <c r="G30" s="3238">
        <v>0</v>
      </c>
      <c r="H30" s="3238">
        <v>0</v>
      </c>
      <c r="I30" s="3238"/>
      <c r="J30" s="3239">
        <v>5575.8410000000003</v>
      </c>
      <c r="K30" s="3239">
        <f>K31</f>
        <v>5109.669474698112</v>
      </c>
      <c r="L30" s="3239">
        <f>L31</f>
        <v>1788.3280000000002</v>
      </c>
      <c r="M30" s="3238">
        <v>9.58</v>
      </c>
      <c r="N30" s="3238">
        <v>2.66</v>
      </c>
      <c r="O30" s="3240">
        <v>7602</v>
      </c>
      <c r="P30" s="3240">
        <v>7122</v>
      </c>
      <c r="Q30" s="3240">
        <v>7804</v>
      </c>
      <c r="R30" s="3240">
        <v>9.58</v>
      </c>
      <c r="S30" s="3241">
        <v>2.66</v>
      </c>
    </row>
    <row r="31" spans="2:21">
      <c r="B31" s="3246" t="s">
        <v>3698</v>
      </c>
      <c r="C31" s="3247">
        <v>65863</v>
      </c>
      <c r="D31" s="3247">
        <v>0</v>
      </c>
      <c r="E31" s="3247">
        <v>0</v>
      </c>
      <c r="F31" s="3247">
        <v>0</v>
      </c>
      <c r="G31" s="3247">
        <v>0</v>
      </c>
      <c r="H31" s="3247">
        <v>0</v>
      </c>
      <c r="I31" s="3247"/>
      <c r="J31" s="3248">
        <v>5575.8410000000003</v>
      </c>
      <c r="K31" s="3248">
        <v>5109.669474698112</v>
      </c>
      <c r="L31" s="3248">
        <f>'Форма 1'!AS41</f>
        <v>1788.3280000000002</v>
      </c>
      <c r="M31" s="3247">
        <v>9.58</v>
      </c>
      <c r="N31" s="3247">
        <v>2.66</v>
      </c>
      <c r="O31" s="3247">
        <v>7602</v>
      </c>
      <c r="P31" s="3247">
        <v>7122</v>
      </c>
      <c r="Q31" s="3247">
        <v>7804</v>
      </c>
      <c r="R31" s="3247">
        <v>9.58</v>
      </c>
      <c r="S31" s="3249">
        <v>2.66</v>
      </c>
    </row>
    <row r="32" spans="2:21">
      <c r="B32" s="3237" t="s">
        <v>1474</v>
      </c>
      <c r="C32" s="3238">
        <v>745283</v>
      </c>
      <c r="D32" s="3238">
        <v>0</v>
      </c>
      <c r="E32" s="3238">
        <v>0</v>
      </c>
      <c r="F32" s="3238">
        <v>0</v>
      </c>
      <c r="G32" s="3238">
        <v>0</v>
      </c>
      <c r="H32" s="3238">
        <v>0</v>
      </c>
      <c r="I32" s="3238"/>
      <c r="J32" s="3239">
        <v>74262.315950000004</v>
      </c>
      <c r="K32" s="3239">
        <f>K33</f>
        <v>73614.182000000001</v>
      </c>
      <c r="L32" s="3239">
        <f>L33</f>
        <v>55312.284999999996</v>
      </c>
      <c r="M32" s="3238">
        <v>-3.81</v>
      </c>
      <c r="N32" s="3238">
        <v>-2.92</v>
      </c>
      <c r="O32" s="3240">
        <v>78290</v>
      </c>
      <c r="P32" s="3240">
        <v>79013</v>
      </c>
      <c r="Q32" s="3240">
        <v>76001</v>
      </c>
      <c r="R32" s="3240">
        <v>-3.81</v>
      </c>
      <c r="S32" s="3241">
        <v>-2.92</v>
      </c>
    </row>
    <row r="33" spans="2:22">
      <c r="B33" s="3246" t="s">
        <v>3698</v>
      </c>
      <c r="C33" s="3247">
        <v>745283</v>
      </c>
      <c r="D33" s="3247">
        <v>0</v>
      </c>
      <c r="E33" s="3247">
        <v>0</v>
      </c>
      <c r="F33" s="3247">
        <v>0</v>
      </c>
      <c r="G33" s="3247">
        <v>0</v>
      </c>
      <c r="H33" s="3247">
        <v>0</v>
      </c>
      <c r="I33" s="3247"/>
      <c r="J33" s="3248">
        <v>74262.315950000004</v>
      </c>
      <c r="K33" s="3248">
        <v>73614.182000000001</v>
      </c>
      <c r="L33" s="3248">
        <f>'Форма 1'!AS47</f>
        <v>55312.284999999996</v>
      </c>
      <c r="M33" s="3247">
        <v>-3.81</v>
      </c>
      <c r="N33" s="3247">
        <v>-2.92</v>
      </c>
      <c r="O33" s="3247">
        <v>78290</v>
      </c>
      <c r="P33" s="3247">
        <v>79013</v>
      </c>
      <c r="Q33" s="3247">
        <v>76001</v>
      </c>
      <c r="R33" s="3247">
        <v>-3.81</v>
      </c>
      <c r="S33" s="3249">
        <v>-2.92</v>
      </c>
    </row>
    <row r="34" spans="2:22">
      <c r="B34" s="3237" t="s">
        <v>3699</v>
      </c>
      <c r="C34" s="3238">
        <v>132610</v>
      </c>
      <c r="D34" s="3238">
        <v>0</v>
      </c>
      <c r="E34" s="3238">
        <v>0</v>
      </c>
      <c r="F34" s="3238">
        <v>0</v>
      </c>
      <c r="G34" s="3238">
        <v>0</v>
      </c>
      <c r="H34" s="3238">
        <v>0</v>
      </c>
      <c r="I34" s="3238"/>
      <c r="J34" s="3239">
        <v>11576.282292150001</v>
      </c>
      <c r="K34" s="3239">
        <f>K35</f>
        <v>13137.55753217741</v>
      </c>
      <c r="L34" s="3239">
        <f>L35</f>
        <v>7063.8419501600001</v>
      </c>
      <c r="M34" s="3238">
        <v>11.71</v>
      </c>
      <c r="N34" s="3238">
        <v>7.6</v>
      </c>
      <c r="O34" s="3240">
        <v>14593</v>
      </c>
      <c r="P34" s="3240">
        <v>14056</v>
      </c>
      <c r="Q34" s="3240">
        <v>15702</v>
      </c>
      <c r="R34" s="3240">
        <v>11.71</v>
      </c>
      <c r="S34" s="3241">
        <v>7.6</v>
      </c>
    </row>
    <row r="35" spans="2:22">
      <c r="B35" s="3246" t="s">
        <v>3698</v>
      </c>
      <c r="C35" s="3247">
        <v>132610</v>
      </c>
      <c r="D35" s="3247">
        <v>0</v>
      </c>
      <c r="E35" s="3247">
        <v>0</v>
      </c>
      <c r="F35" s="3247">
        <v>0</v>
      </c>
      <c r="G35" s="3247">
        <v>0</v>
      </c>
      <c r="H35" s="3247">
        <v>0</v>
      </c>
      <c r="I35" s="3247"/>
      <c r="J35" s="3248">
        <v>11576.282292150001</v>
      </c>
      <c r="K35" s="3248">
        <v>13137.55753217741</v>
      </c>
      <c r="L35" s="3248">
        <f>'Форма 1'!AS53</f>
        <v>7063.8419501600001</v>
      </c>
      <c r="M35" s="3247">
        <v>11.71</v>
      </c>
      <c r="N35" s="3247">
        <v>7.6</v>
      </c>
      <c r="O35" s="3247">
        <v>14593</v>
      </c>
      <c r="P35" s="3247">
        <v>14056</v>
      </c>
      <c r="Q35" s="3247">
        <v>15702</v>
      </c>
      <c r="R35" s="3247">
        <v>11.71</v>
      </c>
      <c r="S35" s="3249">
        <v>7.6</v>
      </c>
    </row>
    <row r="36" spans="2:22">
      <c r="B36" s="3237" t="s">
        <v>3700</v>
      </c>
      <c r="C36" s="3238">
        <v>1093114</v>
      </c>
      <c r="D36" s="3238">
        <v>0</v>
      </c>
      <c r="E36" s="3238">
        <v>0</v>
      </c>
      <c r="F36" s="3238">
        <v>0</v>
      </c>
      <c r="G36" s="3238">
        <v>0</v>
      </c>
      <c r="H36" s="3238">
        <v>0</v>
      </c>
      <c r="I36" s="3238"/>
      <c r="J36" s="3239">
        <v>108654.89515509749</v>
      </c>
      <c r="K36" s="3239">
        <f>K37</f>
        <v>110705.82348200999</v>
      </c>
      <c r="L36" s="3239">
        <f>L37</f>
        <v>127514.47548999998</v>
      </c>
      <c r="M36" s="3238">
        <v>-2.2599999999999998</v>
      </c>
      <c r="N36" s="3238">
        <v>-3.02</v>
      </c>
      <c r="O36" s="3240">
        <v>110797</v>
      </c>
      <c r="P36" s="3240">
        <v>109939</v>
      </c>
      <c r="Q36" s="3240">
        <v>107449</v>
      </c>
      <c r="R36" s="3240">
        <v>-2.2599999999999998</v>
      </c>
      <c r="S36" s="3241">
        <v>-3.02</v>
      </c>
    </row>
    <row r="37" spans="2:22">
      <c r="B37" s="3246" t="s">
        <v>3698</v>
      </c>
      <c r="C37" s="3247">
        <v>1093114</v>
      </c>
      <c r="D37" s="3247">
        <v>0</v>
      </c>
      <c r="E37" s="3247">
        <v>0</v>
      </c>
      <c r="F37" s="3247">
        <v>0</v>
      </c>
      <c r="G37" s="3247">
        <v>0</v>
      </c>
      <c r="H37" s="3247">
        <v>0</v>
      </c>
      <c r="I37" s="3247"/>
      <c r="J37" s="3248">
        <v>108654.89515509749</v>
      </c>
      <c r="K37" s="3248">
        <v>110705.82348200999</v>
      </c>
      <c r="L37" s="3248">
        <f>'Форма 1'!AS59</f>
        <v>127514.47548999998</v>
      </c>
      <c r="M37" s="3247">
        <v>-2.2599999999999998</v>
      </c>
      <c r="N37" s="3247">
        <v>-3.02</v>
      </c>
      <c r="O37" s="3247">
        <v>110797</v>
      </c>
      <c r="P37" s="3247">
        <v>109939</v>
      </c>
      <c r="Q37" s="3247">
        <v>107449</v>
      </c>
      <c r="R37" s="3247">
        <v>-2.2599999999999998</v>
      </c>
      <c r="S37" s="3249">
        <v>-3.02</v>
      </c>
    </row>
    <row r="38" spans="2:22" ht="15.75" thickBot="1"/>
    <row r="39" spans="2:22" ht="16.5" thickBot="1">
      <c r="B39" s="3257" t="s">
        <v>211</v>
      </c>
      <c r="C39" s="3258"/>
      <c r="D39" s="3258"/>
      <c r="E39" s="3258"/>
      <c r="F39" s="3258"/>
      <c r="G39" s="3258"/>
      <c r="H39" s="3258"/>
      <c r="I39" s="3259" t="s">
        <v>3701</v>
      </c>
      <c r="J39" s="3260">
        <v>333893.28200000001</v>
      </c>
      <c r="K39" s="3261">
        <f>SUM(K40:K43)</f>
        <v>355538.49625572446</v>
      </c>
      <c r="L39" s="3262">
        <f>SUM(L40:L43)</f>
        <v>0</v>
      </c>
      <c r="T39" s="3242"/>
      <c r="U39" s="3242"/>
      <c r="V39" s="3242"/>
    </row>
    <row r="40" spans="2:22" ht="15.75">
      <c r="B40" s="3263" t="s">
        <v>280</v>
      </c>
      <c r="C40" s="3264"/>
      <c r="D40" s="3264"/>
      <c r="E40" s="3264"/>
      <c r="F40" s="3264"/>
      <c r="G40" s="3264"/>
      <c r="H40" s="3264"/>
      <c r="I40" s="3265" t="s">
        <v>3701</v>
      </c>
      <c r="J40" s="3266">
        <v>216195.861</v>
      </c>
      <c r="K40" s="3059">
        <v>238003.35243158968</v>
      </c>
      <c r="L40" s="3064">
        <f>Сбор!C9/1000+Сбор!C13/1000</f>
        <v>0</v>
      </c>
      <c r="T40" s="3242"/>
    </row>
    <row r="41" spans="2:22" ht="15.75">
      <c r="B41" s="3267" t="s">
        <v>705</v>
      </c>
      <c r="C41" s="3264"/>
      <c r="D41" s="3264"/>
      <c r="E41" s="3264"/>
      <c r="F41" s="3264"/>
      <c r="G41" s="3264"/>
      <c r="H41" s="3264"/>
      <c r="I41" s="3268" t="s">
        <v>3701</v>
      </c>
      <c r="J41" s="3063">
        <v>65448.057000000001</v>
      </c>
      <c r="K41" s="3064">
        <v>66646.054645697601</v>
      </c>
      <c r="L41" s="3064">
        <f>Сбор!C8/1000</f>
        <v>0</v>
      </c>
    </row>
    <row r="42" spans="2:22" ht="15.75">
      <c r="B42" s="3267" t="s">
        <v>1758</v>
      </c>
      <c r="C42" s="3264"/>
      <c r="D42" s="3264"/>
      <c r="E42" s="3264"/>
      <c r="F42" s="3264"/>
      <c r="G42" s="3264"/>
      <c r="H42" s="3264"/>
      <c r="I42" s="3268" t="s">
        <v>3701</v>
      </c>
      <c r="J42" s="3063">
        <v>38357.826000000001</v>
      </c>
      <c r="K42" s="3064">
        <v>37751.531646259748</v>
      </c>
      <c r="L42" s="3064">
        <f>Сбор!C11/1000</f>
        <v>0</v>
      </c>
    </row>
    <row r="43" spans="2:22" ht="16.5" thickBot="1">
      <c r="B43" s="3269" t="s">
        <v>238</v>
      </c>
      <c r="C43" s="3264"/>
      <c r="D43" s="3264"/>
      <c r="E43" s="3264"/>
      <c r="F43" s="3264"/>
      <c r="G43" s="3264"/>
      <c r="H43" s="3264"/>
      <c r="I43" s="3270" t="s">
        <v>3701</v>
      </c>
      <c r="J43" s="3271">
        <v>13891.538</v>
      </c>
      <c r="K43" s="3272">
        <f>K35</f>
        <v>13137.55753217741</v>
      </c>
      <c r="L43" s="3272">
        <f>Сбор!C12/1000</f>
        <v>0</v>
      </c>
    </row>
    <row r="44" spans="2:22" ht="16.5" thickBot="1">
      <c r="B44" s="3257" t="s">
        <v>1751</v>
      </c>
      <c r="C44" s="3258"/>
      <c r="D44" s="3258"/>
      <c r="E44" s="3258"/>
      <c r="F44" s="3258"/>
      <c r="G44" s="3258"/>
      <c r="H44" s="3258"/>
      <c r="I44" s="3273" t="s">
        <v>3701</v>
      </c>
      <c r="J44" s="3261">
        <v>231827.88552000001</v>
      </c>
      <c r="K44" s="3261">
        <f>SUM(K45:K48)</f>
        <v>0</v>
      </c>
      <c r="L44" s="3262"/>
      <c r="T44" s="3242"/>
      <c r="U44" s="3242"/>
      <c r="V44" s="3242"/>
    </row>
    <row r="45" spans="2:22" ht="15.75">
      <c r="B45" s="3274" t="s">
        <v>280</v>
      </c>
      <c r="C45" s="3275"/>
      <c r="D45" s="3275"/>
      <c r="E45" s="3275"/>
      <c r="F45" s="3275"/>
      <c r="G45" s="3275"/>
      <c r="H45" s="3275"/>
      <c r="I45" s="3276" t="s">
        <v>3701</v>
      </c>
      <c r="J45" s="3277">
        <v>151412.37114</v>
      </c>
      <c r="K45" s="3278">
        <f>L40</f>
        <v>0</v>
      </c>
      <c r="L45" s="3279"/>
    </row>
    <row r="46" spans="2:22" ht="15.75">
      <c r="B46" s="3267" t="s">
        <v>705</v>
      </c>
      <c r="C46" s="3264"/>
      <c r="D46" s="3264"/>
      <c r="E46" s="3264"/>
      <c r="F46" s="3264"/>
      <c r="G46" s="3264"/>
      <c r="H46" s="3264"/>
      <c r="I46" s="3268" t="s">
        <v>3701</v>
      </c>
      <c r="J46" s="3280">
        <v>57619.674429999999</v>
      </c>
      <c r="K46" s="3281">
        <f>L41</f>
        <v>0</v>
      </c>
      <c r="L46" s="3282"/>
    </row>
    <row r="47" spans="2:22" ht="15.75">
      <c r="B47" s="3267" t="s">
        <v>1758</v>
      </c>
      <c r="C47" s="3264"/>
      <c r="D47" s="3264"/>
      <c r="E47" s="3264"/>
      <c r="F47" s="3264"/>
      <c r="G47" s="3264"/>
      <c r="H47" s="3264"/>
      <c r="I47" s="3268" t="s">
        <v>3701</v>
      </c>
      <c r="J47" s="3280">
        <v>22790.514019999999</v>
      </c>
      <c r="K47" s="3281">
        <f>L42</f>
        <v>0</v>
      </c>
      <c r="L47" s="3282"/>
    </row>
    <row r="48" spans="2:22" ht="16.5" thickBot="1">
      <c r="B48" s="3283" t="s">
        <v>238</v>
      </c>
      <c r="C48" s="3284"/>
      <c r="D48" s="3284"/>
      <c r="E48" s="3284"/>
      <c r="F48" s="3284"/>
      <c r="G48" s="3284"/>
      <c r="H48" s="3284"/>
      <c r="I48" s="3285" t="s">
        <v>3701</v>
      </c>
      <c r="J48" s="3286">
        <v>5.3259300000000005</v>
      </c>
      <c r="K48" s="3287">
        <f>L43</f>
        <v>0</v>
      </c>
      <c r="L48" s="3288"/>
    </row>
    <row r="49" spans="2:12" ht="15.75">
      <c r="B49" s="3289"/>
      <c r="C49" s="3264"/>
      <c r="D49" s="3264"/>
      <c r="E49" s="3264"/>
      <c r="F49" s="3264"/>
      <c r="G49" s="3264"/>
      <c r="H49" s="3264"/>
      <c r="I49" s="3290"/>
      <c r="J49" s="3084"/>
      <c r="K49" s="3085"/>
      <c r="L49" s="3085"/>
    </row>
  </sheetData>
  <mergeCells count="9">
    <mergeCell ref="B2:J2"/>
    <mergeCell ref="B4:J4"/>
    <mergeCell ref="B6:J6"/>
    <mergeCell ref="B8:S8"/>
    <mergeCell ref="B9:B10"/>
    <mergeCell ref="C9:C10"/>
    <mergeCell ref="D9:H9"/>
    <mergeCell ref="J9:N9"/>
    <mergeCell ref="O9:S9"/>
  </mergeCells>
  <pageMargins left="0.25" right="0.25" top="0.75" bottom="0.75" header="0.3" footer="0.3"/>
  <pageSetup paperSize="9" scale="85" fitToHeight="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139"/>
  <sheetViews>
    <sheetView topLeftCell="A70" zoomScale="60" zoomScaleNormal="60" workbookViewId="0">
      <selection activeCell="AX28" sqref="AX28"/>
    </sheetView>
  </sheetViews>
  <sheetFormatPr defaultRowHeight="12.75" outlineLevelRow="2"/>
  <cols>
    <col min="1" max="1" width="4.7109375" customWidth="1"/>
    <col min="2" max="2" width="65.42578125" customWidth="1"/>
    <col min="3" max="3" width="15.28515625" customWidth="1"/>
    <col min="4" max="4" width="13.28515625" customWidth="1"/>
    <col min="5" max="5" width="14.7109375" hidden="1" customWidth="1"/>
    <col min="6" max="10" width="9.28515625" hidden="1" customWidth="1"/>
    <col min="11" max="11" width="10.7109375" style="414" hidden="1" customWidth="1"/>
    <col min="12" max="12" width="10.5703125" hidden="1" customWidth="1"/>
    <col min="13" max="13" width="9.42578125" hidden="1" customWidth="1"/>
    <col min="14" max="14" width="9.7109375" hidden="1" customWidth="1"/>
    <col min="15" max="43" width="9.28515625" hidden="1" customWidth="1"/>
  </cols>
  <sheetData>
    <row r="1" spans="1:29" ht="15" customHeight="1">
      <c r="A1" s="227"/>
      <c r="B1" s="226" t="s">
        <v>54</v>
      </c>
      <c r="C1" s="227"/>
      <c r="D1" s="228"/>
      <c r="E1" s="227"/>
    </row>
    <row r="2" spans="1:29" ht="15" customHeight="1">
      <c r="A2" s="227"/>
      <c r="B2" s="226" t="s">
        <v>207</v>
      </c>
      <c r="C2" s="227"/>
      <c r="D2" s="228"/>
      <c r="E2" s="227"/>
    </row>
    <row r="3" spans="1:29" ht="15" customHeight="1">
      <c r="A3" s="227"/>
      <c r="B3" s="226"/>
      <c r="C3" s="227"/>
      <c r="D3" s="228"/>
      <c r="E3" s="227"/>
    </row>
    <row r="4" spans="1:29" ht="15" customHeight="1">
      <c r="A4" s="227"/>
      <c r="B4" s="226"/>
      <c r="C4" s="227"/>
      <c r="D4" s="229"/>
      <c r="E4" s="227"/>
    </row>
    <row r="5" spans="1:29" ht="15" customHeight="1">
      <c r="A5" s="227"/>
      <c r="B5" s="226" t="s">
        <v>208</v>
      </c>
      <c r="C5" s="227"/>
      <c r="D5" s="229"/>
      <c r="E5" s="227"/>
    </row>
    <row r="6" spans="1:29" ht="15" customHeight="1">
      <c r="A6" s="227"/>
      <c r="B6" s="226"/>
      <c r="C6" s="227"/>
      <c r="D6" s="229"/>
      <c r="E6" s="227"/>
    </row>
    <row r="7" spans="1:29" ht="15" customHeight="1">
      <c r="A7" s="227"/>
      <c r="B7" s="230"/>
      <c r="C7" s="227"/>
      <c r="D7" s="229"/>
      <c r="E7" s="229">
        <v>0</v>
      </c>
      <c r="F7" s="229">
        <v>0</v>
      </c>
      <c r="G7" s="229">
        <v>0</v>
      </c>
      <c r="H7" s="229">
        <v>0</v>
      </c>
      <c r="I7" s="229">
        <v>0</v>
      </c>
      <c r="J7" s="229">
        <v>0</v>
      </c>
      <c r="K7" s="229">
        <v>0</v>
      </c>
      <c r="L7" s="229">
        <v>0</v>
      </c>
      <c r="M7" s="229">
        <v>0</v>
      </c>
      <c r="N7" s="229">
        <v>0</v>
      </c>
      <c r="O7" s="229">
        <v>0</v>
      </c>
      <c r="P7" s="229">
        <v>0</v>
      </c>
      <c r="Q7" s="229">
        <v>0</v>
      </c>
      <c r="R7" s="229">
        <v>0</v>
      </c>
      <c r="S7" s="229">
        <v>0</v>
      </c>
      <c r="T7" s="229">
        <v>0</v>
      </c>
      <c r="U7" s="229">
        <v>0</v>
      </c>
      <c r="V7" s="229">
        <v>0</v>
      </c>
      <c r="W7" s="229">
        <v>0</v>
      </c>
      <c r="X7" s="229">
        <v>0</v>
      </c>
      <c r="Y7" s="229">
        <v>0</v>
      </c>
      <c r="Z7" s="229">
        <v>0</v>
      </c>
      <c r="AA7" s="229">
        <v>0</v>
      </c>
      <c r="AB7" s="229">
        <v>0</v>
      </c>
      <c r="AC7" s="229">
        <v>0</v>
      </c>
    </row>
    <row r="8" spans="1:29" s="418" customFormat="1" ht="22.5" customHeight="1">
      <c r="A8" s="370" t="s">
        <v>3752</v>
      </c>
      <c r="B8" s="231"/>
      <c r="C8" s="231"/>
      <c r="D8" s="417"/>
      <c r="E8" s="231"/>
      <c r="K8" s="419"/>
    </row>
    <row r="9" spans="1:29" ht="15" customHeight="1" thickBot="1">
      <c r="A9" s="227"/>
      <c r="B9" s="371"/>
      <c r="C9" s="227"/>
      <c r="D9" s="415"/>
      <c r="E9" s="227"/>
    </row>
    <row r="10" spans="1:29" ht="15" customHeight="1">
      <c r="A10" s="4157" t="s">
        <v>3</v>
      </c>
      <c r="B10" s="4157" t="s">
        <v>209</v>
      </c>
      <c r="C10" s="4159" t="s">
        <v>210</v>
      </c>
      <c r="D10" s="4155" t="s">
        <v>3751</v>
      </c>
      <c r="E10" s="227"/>
      <c r="F10" s="227"/>
      <c r="G10" s="227"/>
      <c r="H10" s="227"/>
    </row>
    <row r="11" spans="1:29" ht="31.5" customHeight="1" thickBot="1">
      <c r="A11" s="4158"/>
      <c r="B11" s="4158"/>
      <c r="C11" s="4160"/>
      <c r="D11" s="4156"/>
      <c r="E11" s="227"/>
      <c r="F11" s="227"/>
      <c r="G11" s="227"/>
      <c r="L11" s="414" t="s">
        <v>376</v>
      </c>
      <c r="M11" s="414" t="s">
        <v>377</v>
      </c>
      <c r="N11" s="414" t="s">
        <v>378</v>
      </c>
      <c r="O11" s="414" t="s">
        <v>379</v>
      </c>
      <c r="P11" s="414" t="s">
        <v>380</v>
      </c>
      <c r="Q11" s="414" t="s">
        <v>381</v>
      </c>
      <c r="R11" s="414" t="s">
        <v>382</v>
      </c>
      <c r="S11" s="414" t="s">
        <v>383</v>
      </c>
      <c r="T11" s="414" t="s">
        <v>384</v>
      </c>
      <c r="U11" s="414" t="s">
        <v>385</v>
      </c>
      <c r="V11" s="414" t="s">
        <v>386</v>
      </c>
      <c r="W11" s="414" t="s">
        <v>387</v>
      </c>
    </row>
    <row r="12" spans="1:29" s="422" customFormat="1" ht="15" customHeight="1">
      <c r="A12" s="372" t="s">
        <v>25</v>
      </c>
      <c r="B12" s="232" t="s">
        <v>211</v>
      </c>
      <c r="C12" s="233" t="s">
        <v>212</v>
      </c>
      <c r="D12" s="420">
        <f>D13+D17+D18+D19+D20</f>
        <v>329.16601448635743</v>
      </c>
      <c r="E12" s="421"/>
      <c r="K12" s="423"/>
      <c r="L12"/>
      <c r="M12"/>
      <c r="N12"/>
      <c r="T12"/>
    </row>
    <row r="13" spans="1:29" s="425" customFormat="1" ht="15" customHeight="1" outlineLevel="1">
      <c r="A13" s="373"/>
      <c r="B13" s="234" t="s">
        <v>213</v>
      </c>
      <c r="C13" s="235" t="s">
        <v>212</v>
      </c>
      <c r="D13" s="236">
        <f>D21+D54</f>
        <v>321.94407216619743</v>
      </c>
      <c r="E13" s="424"/>
      <c r="K13" s="426"/>
      <c r="L13"/>
      <c r="M13"/>
      <c r="N13"/>
      <c r="T13"/>
    </row>
    <row r="14" spans="1:29" s="425" customFormat="1" ht="15" customHeight="1" outlineLevel="1">
      <c r="A14" s="373"/>
      <c r="B14" s="237" t="s">
        <v>214</v>
      </c>
      <c r="C14" s="238" t="s">
        <v>212</v>
      </c>
      <c r="D14" s="239">
        <f>'Отчёт СТС'!F19/1000000</f>
        <v>39.815277999999999</v>
      </c>
      <c r="E14" s="424"/>
      <c r="K14" s="426"/>
      <c r="L14"/>
      <c r="M14"/>
      <c r="N14"/>
      <c r="T14"/>
    </row>
    <row r="15" spans="1:29" s="425" customFormat="1" ht="15" customHeight="1" outlineLevel="1">
      <c r="A15" s="373"/>
      <c r="B15" s="237" t="s">
        <v>215</v>
      </c>
      <c r="C15" s="238" t="s">
        <v>212</v>
      </c>
      <c r="D15" s="240">
        <f>D54</f>
        <v>56.910202216535346</v>
      </c>
      <c r="E15" s="424"/>
      <c r="K15" s="426"/>
      <c r="L15"/>
      <c r="M15"/>
      <c r="N15"/>
      <c r="T15"/>
    </row>
    <row r="16" spans="1:29" s="425" customFormat="1" ht="15" customHeight="1" outlineLevel="1">
      <c r="A16" s="373"/>
      <c r="B16" s="237" t="s">
        <v>216</v>
      </c>
      <c r="C16" s="238" t="s">
        <v>212</v>
      </c>
      <c r="D16" s="240">
        <f>D13-D14-D15</f>
        <v>225.21859194966211</v>
      </c>
      <c r="E16" s="427"/>
      <c r="K16" s="426"/>
      <c r="L16"/>
      <c r="M16"/>
      <c r="N16"/>
      <c r="T16"/>
    </row>
    <row r="17" spans="1:24" s="425" customFormat="1" ht="15" customHeight="1" outlineLevel="1">
      <c r="A17" s="373"/>
      <c r="B17" s="234" t="s">
        <v>217</v>
      </c>
      <c r="C17" s="235" t="s">
        <v>212</v>
      </c>
      <c r="D17" s="236">
        <f>D138</f>
        <v>7.0638419501600005</v>
      </c>
      <c r="E17" s="424"/>
      <c r="K17" s="426"/>
      <c r="L17"/>
      <c r="M17"/>
      <c r="N17"/>
      <c r="T17"/>
    </row>
    <row r="18" spans="1:24" s="425" customFormat="1" ht="15" customHeight="1" outlineLevel="1">
      <c r="A18" s="373"/>
      <c r="B18" s="234" t="s">
        <v>218</v>
      </c>
      <c r="C18" s="235" t="s">
        <v>212</v>
      </c>
      <c r="D18" s="236">
        <f>'Шаблон 46 ГП'!L21/1000000</f>
        <v>0.15810036999999999</v>
      </c>
      <c r="E18" s="424"/>
      <c r="K18" s="426"/>
      <c r="L18"/>
      <c r="M18"/>
      <c r="N18"/>
      <c r="T18"/>
    </row>
    <row r="19" spans="1:24" s="425" customFormat="1" ht="32.25" customHeight="1" outlineLevel="1">
      <c r="A19" s="373"/>
      <c r="B19" s="241" t="s">
        <v>338</v>
      </c>
      <c r="C19" s="235" t="s">
        <v>212</v>
      </c>
      <c r="D19" s="236">
        <f>ROUND('Шаблон 46 ЭСК'!L45/1000000,6)</f>
        <v>0</v>
      </c>
      <c r="E19" s="424"/>
      <c r="K19" s="426"/>
      <c r="L19"/>
      <c r="M19"/>
      <c r="N19"/>
      <c r="T19"/>
    </row>
    <row r="20" spans="1:24" s="425" customFormat="1" ht="15" customHeight="1" outlineLevel="1">
      <c r="A20" s="373"/>
      <c r="B20" s="234" t="s">
        <v>219</v>
      </c>
      <c r="C20" s="235" t="s">
        <v>212</v>
      </c>
      <c r="D20" s="236"/>
      <c r="E20" s="424"/>
      <c r="K20" s="426"/>
      <c r="L20"/>
      <c r="M20"/>
      <c r="N20"/>
      <c r="T20"/>
    </row>
    <row r="21" spans="1:24" s="425" customFormat="1" ht="15" customHeight="1" outlineLevel="1">
      <c r="A21" s="374" t="s">
        <v>339</v>
      </c>
      <c r="B21" s="242" t="s">
        <v>220</v>
      </c>
      <c r="C21" s="243" t="s">
        <v>212</v>
      </c>
      <c r="D21" s="244">
        <f>D22+D31+D44+D49</f>
        <v>265.03386994966206</v>
      </c>
      <c r="E21" s="424"/>
      <c r="K21" s="426"/>
      <c r="L21"/>
      <c r="M21"/>
      <c r="N21"/>
      <c r="T21"/>
    </row>
    <row r="22" spans="1:24" s="422" customFormat="1" ht="15" customHeight="1">
      <c r="A22" s="375"/>
      <c r="B22" s="245" t="s">
        <v>221</v>
      </c>
      <c r="C22" s="243" t="s">
        <v>212</v>
      </c>
      <c r="D22" s="244">
        <f>D23+D27</f>
        <v>175.03605777965024</v>
      </c>
      <c r="E22" s="421"/>
      <c r="K22" s="423"/>
      <c r="L22"/>
      <c r="M22"/>
      <c r="N22"/>
      <c r="T22"/>
    </row>
    <row r="23" spans="1:24" s="429" customFormat="1" ht="15" customHeight="1" outlineLevel="1">
      <c r="A23" s="376"/>
      <c r="B23" s="246" t="s">
        <v>156</v>
      </c>
      <c r="C23" s="247"/>
      <c r="D23" s="248">
        <f>D24+D25+D26</f>
        <v>175.03605777965024</v>
      </c>
      <c r="E23" s="428"/>
      <c r="K23" s="430"/>
      <c r="L23"/>
      <c r="M23"/>
      <c r="N23"/>
      <c r="T23"/>
    </row>
    <row r="24" spans="1:24" s="429" customFormat="1" ht="15" customHeight="1" outlineLevel="1">
      <c r="A24" s="376"/>
      <c r="B24" s="249" t="s">
        <v>222</v>
      </c>
      <c r="C24" s="250" t="s">
        <v>212</v>
      </c>
      <c r="D24" s="251">
        <f t="shared" ref="D24:X26" si="0">D158*D304</f>
        <v>1.6117967600045429</v>
      </c>
      <c r="E24" s="251">
        <f t="shared" si="0"/>
        <v>0</v>
      </c>
      <c r="F24" s="251">
        <f t="shared" si="0"/>
        <v>3.1</v>
      </c>
      <c r="G24" s="251" t="e">
        <f t="shared" si="0"/>
        <v>#VALUE!</v>
      </c>
      <c r="H24" s="251">
        <f t="shared" si="0"/>
        <v>0</v>
      </c>
      <c r="I24" s="251">
        <f t="shared" si="0"/>
        <v>0</v>
      </c>
      <c r="J24" s="251">
        <f t="shared" si="0"/>
        <v>0</v>
      </c>
      <c r="K24" s="251">
        <f t="shared" si="0"/>
        <v>0</v>
      </c>
      <c r="L24" s="251">
        <f t="shared" si="0"/>
        <v>0</v>
      </c>
      <c r="M24" s="251">
        <f t="shared" si="0"/>
        <v>0</v>
      </c>
      <c r="N24" s="251">
        <f t="shared" si="0"/>
        <v>0</v>
      </c>
      <c r="O24" s="251">
        <f t="shared" si="0"/>
        <v>0</v>
      </c>
      <c r="P24" s="251">
        <f t="shared" si="0"/>
        <v>0</v>
      </c>
      <c r="Q24" s="251">
        <f t="shared" si="0"/>
        <v>0</v>
      </c>
      <c r="R24" s="251">
        <f t="shared" si="0"/>
        <v>0</v>
      </c>
      <c r="S24" s="251">
        <f t="shared" si="0"/>
        <v>0</v>
      </c>
      <c r="T24" s="251">
        <f t="shared" si="0"/>
        <v>0</v>
      </c>
      <c r="U24" s="251">
        <f t="shared" si="0"/>
        <v>0</v>
      </c>
      <c r="V24" s="251">
        <f t="shared" si="0"/>
        <v>0</v>
      </c>
      <c r="W24" s="251">
        <f t="shared" si="0"/>
        <v>0</v>
      </c>
      <c r="X24" s="251">
        <f t="shared" si="0"/>
        <v>0</v>
      </c>
    </row>
    <row r="25" spans="1:24" s="429" customFormat="1" ht="15" customHeight="1" outlineLevel="1">
      <c r="A25" s="376"/>
      <c r="B25" s="249" t="s">
        <v>223</v>
      </c>
      <c r="C25" s="250" t="s">
        <v>212</v>
      </c>
      <c r="D25" s="251">
        <f t="shared" si="0"/>
        <v>109.37309768992644</v>
      </c>
      <c r="E25" s="251">
        <f t="shared" si="0"/>
        <v>0</v>
      </c>
      <c r="F25" s="251">
        <f t="shared" si="0"/>
        <v>0</v>
      </c>
      <c r="G25" s="251" t="e">
        <f t="shared" si="0"/>
        <v>#VALUE!</v>
      </c>
      <c r="H25" s="251">
        <f t="shared" si="0"/>
        <v>0</v>
      </c>
      <c r="I25" s="251">
        <f t="shared" si="0"/>
        <v>0</v>
      </c>
      <c r="J25" s="251">
        <f t="shared" si="0"/>
        <v>0</v>
      </c>
      <c r="K25" s="251">
        <f t="shared" si="0"/>
        <v>0</v>
      </c>
      <c r="L25" s="251">
        <f t="shared" si="0"/>
        <v>0</v>
      </c>
      <c r="M25" s="251">
        <f t="shared" si="0"/>
        <v>0</v>
      </c>
      <c r="N25" s="251">
        <f t="shared" si="0"/>
        <v>0</v>
      </c>
      <c r="O25" s="251">
        <f t="shared" si="0"/>
        <v>0</v>
      </c>
      <c r="P25" s="251">
        <f t="shared" si="0"/>
        <v>0</v>
      </c>
      <c r="Q25" s="251">
        <f t="shared" si="0"/>
        <v>0</v>
      </c>
      <c r="R25" s="251">
        <f t="shared" si="0"/>
        <v>0</v>
      </c>
      <c r="S25" s="251">
        <f t="shared" si="0"/>
        <v>0</v>
      </c>
      <c r="T25" s="251">
        <f t="shared" si="0"/>
        <v>0</v>
      </c>
      <c r="U25" s="251">
        <f t="shared" si="0"/>
        <v>0</v>
      </c>
      <c r="V25" s="251">
        <f t="shared" si="0"/>
        <v>0</v>
      </c>
      <c r="W25" s="251">
        <f t="shared" si="0"/>
        <v>0</v>
      </c>
      <c r="X25" s="251">
        <f t="shared" si="0"/>
        <v>0</v>
      </c>
    </row>
    <row r="26" spans="1:24" s="429" customFormat="1" ht="15" customHeight="1" outlineLevel="1">
      <c r="A26" s="376"/>
      <c r="B26" s="249" t="s">
        <v>224</v>
      </c>
      <c r="C26" s="250" t="s">
        <v>212</v>
      </c>
      <c r="D26" s="251">
        <f t="shared" si="0"/>
        <v>64.051163329719259</v>
      </c>
      <c r="E26" s="251">
        <f t="shared" si="0"/>
        <v>0</v>
      </c>
      <c r="F26" s="251">
        <f t="shared" si="0"/>
        <v>0</v>
      </c>
      <c r="G26" s="251" t="e">
        <f t="shared" si="0"/>
        <v>#VALUE!</v>
      </c>
      <c r="H26" s="251">
        <f t="shared" si="0"/>
        <v>0</v>
      </c>
      <c r="I26" s="251">
        <f t="shared" si="0"/>
        <v>0</v>
      </c>
      <c r="J26" s="251">
        <f t="shared" si="0"/>
        <v>0</v>
      </c>
      <c r="K26" s="251">
        <f t="shared" si="0"/>
        <v>0</v>
      </c>
      <c r="L26" s="251">
        <f t="shared" si="0"/>
        <v>0</v>
      </c>
      <c r="M26" s="251">
        <f t="shared" si="0"/>
        <v>0</v>
      </c>
      <c r="N26" s="251">
        <f t="shared" si="0"/>
        <v>0</v>
      </c>
      <c r="O26" s="251">
        <f t="shared" si="0"/>
        <v>0</v>
      </c>
      <c r="P26" s="251">
        <f t="shared" si="0"/>
        <v>0</v>
      </c>
      <c r="Q26" s="251">
        <f t="shared" si="0"/>
        <v>0</v>
      </c>
      <c r="R26" s="251">
        <f t="shared" si="0"/>
        <v>0</v>
      </c>
      <c r="S26" s="251">
        <f t="shared" si="0"/>
        <v>0</v>
      </c>
      <c r="T26" s="251">
        <f t="shared" si="0"/>
        <v>0</v>
      </c>
      <c r="U26" s="251">
        <f t="shared" si="0"/>
        <v>0</v>
      </c>
      <c r="V26" s="251">
        <f t="shared" si="0"/>
        <v>0</v>
      </c>
      <c r="W26" s="251">
        <f t="shared" si="0"/>
        <v>0</v>
      </c>
      <c r="X26" s="251">
        <f t="shared" si="0"/>
        <v>0</v>
      </c>
    </row>
    <row r="27" spans="1:24" s="429" customFormat="1" ht="15" customHeight="1" outlineLevel="1">
      <c r="A27" s="376"/>
      <c r="B27" s="246" t="s">
        <v>225</v>
      </c>
      <c r="C27" s="247"/>
      <c r="D27" s="248">
        <f>D28+D29+D30</f>
        <v>0</v>
      </c>
      <c r="E27" s="431"/>
      <c r="K27" s="430"/>
      <c r="L27"/>
      <c r="M27"/>
      <c r="N27"/>
      <c r="T27"/>
    </row>
    <row r="28" spans="1:24" s="429" customFormat="1" ht="15" customHeight="1" outlineLevel="1">
      <c r="A28" s="376"/>
      <c r="B28" s="249" t="s">
        <v>222</v>
      </c>
      <c r="C28" s="250" t="s">
        <v>212</v>
      </c>
      <c r="D28" s="251">
        <f>D162*D308</f>
        <v>0</v>
      </c>
      <c r="E28" s="431"/>
      <c r="K28" s="430"/>
      <c r="L28"/>
      <c r="M28"/>
      <c r="N28"/>
      <c r="T28"/>
    </row>
    <row r="29" spans="1:24" s="429" customFormat="1" ht="15" customHeight="1" outlineLevel="1">
      <c r="A29" s="376"/>
      <c r="B29" s="249" t="s">
        <v>223</v>
      </c>
      <c r="C29" s="250" t="s">
        <v>212</v>
      </c>
      <c r="D29" s="251">
        <f>D163*D309</f>
        <v>0</v>
      </c>
      <c r="E29" s="431"/>
      <c r="K29" s="430"/>
      <c r="L29"/>
      <c r="M29"/>
      <c r="N29"/>
      <c r="T29"/>
    </row>
    <row r="30" spans="1:24" s="429" customFormat="1" ht="15" customHeight="1" outlineLevel="1">
      <c r="A30" s="376"/>
      <c r="B30" s="249" t="s">
        <v>224</v>
      </c>
      <c r="C30" s="250" t="s">
        <v>212</v>
      </c>
      <c r="D30" s="251">
        <f>D164*D310</f>
        <v>0</v>
      </c>
      <c r="E30" s="431"/>
      <c r="K30" s="430"/>
      <c r="L30"/>
      <c r="M30"/>
      <c r="N30"/>
      <c r="T30"/>
    </row>
    <row r="31" spans="1:24" s="422" customFormat="1" ht="15" customHeight="1">
      <c r="A31" s="375"/>
      <c r="B31" s="245" t="s">
        <v>227</v>
      </c>
      <c r="C31" s="243" t="s">
        <v>212</v>
      </c>
      <c r="D31" s="244">
        <f>D32+D36+D40</f>
        <v>2.7834780800118049</v>
      </c>
      <c r="E31" s="421"/>
      <c r="K31" s="423"/>
      <c r="L31"/>
      <c r="M31"/>
      <c r="N31"/>
      <c r="T31"/>
    </row>
    <row r="32" spans="1:24" s="429" customFormat="1" ht="14.25" customHeight="1" outlineLevel="1">
      <c r="A32" s="376"/>
      <c r="B32" s="246" t="s">
        <v>156</v>
      </c>
      <c r="C32" s="247"/>
      <c r="D32" s="248">
        <f>D33+D34+D35</f>
        <v>2.7834780800118049</v>
      </c>
      <c r="E32" s="431"/>
      <c r="K32" s="430"/>
      <c r="L32"/>
      <c r="M32"/>
      <c r="N32"/>
      <c r="T32"/>
    </row>
    <row r="33" spans="1:20" s="429" customFormat="1" ht="15" customHeight="1" outlineLevel="1">
      <c r="A33" s="376"/>
      <c r="B33" s="249" t="s">
        <v>222</v>
      </c>
      <c r="C33" s="250" t="s">
        <v>212</v>
      </c>
      <c r="D33" s="251"/>
      <c r="E33" s="431"/>
      <c r="K33" s="430"/>
      <c r="L33"/>
      <c r="M33"/>
      <c r="N33"/>
      <c r="T33"/>
    </row>
    <row r="34" spans="1:20" s="429" customFormat="1" ht="15" customHeight="1" outlineLevel="1">
      <c r="A34" s="376"/>
      <c r="B34" s="249" t="s">
        <v>223</v>
      </c>
      <c r="C34" s="250" t="s">
        <v>212</v>
      </c>
      <c r="D34" s="251">
        <f>D168*D314</f>
        <v>2.7542478200117162</v>
      </c>
      <c r="E34" s="431"/>
      <c r="K34" s="430"/>
      <c r="L34"/>
      <c r="M34"/>
      <c r="N34"/>
      <c r="T34"/>
    </row>
    <row r="35" spans="1:20" s="429" customFormat="1" ht="15" customHeight="1" outlineLevel="1">
      <c r="A35" s="376"/>
      <c r="B35" s="249" t="s">
        <v>224</v>
      </c>
      <c r="C35" s="250" t="s">
        <v>212</v>
      </c>
      <c r="D35" s="251">
        <f>D169*D315</f>
        <v>2.92302600000885E-2</v>
      </c>
      <c r="E35" s="431"/>
      <c r="K35" s="430"/>
      <c r="L35"/>
      <c r="M35"/>
      <c r="N35"/>
      <c r="T35"/>
    </row>
    <row r="36" spans="1:20" s="429" customFormat="1" ht="15" customHeight="1" outlineLevel="1">
      <c r="A36" s="376"/>
      <c r="B36" s="246" t="s">
        <v>225</v>
      </c>
      <c r="C36" s="247"/>
      <c r="D36" s="248">
        <f>D37+D38+D39</f>
        <v>0</v>
      </c>
      <c r="E36" s="431"/>
      <c r="K36" s="430"/>
      <c r="L36"/>
      <c r="M36"/>
      <c r="N36"/>
      <c r="T36"/>
    </row>
    <row r="37" spans="1:20" s="429" customFormat="1" ht="15" customHeight="1" outlineLevel="1">
      <c r="A37" s="376"/>
      <c r="B37" s="249" t="s">
        <v>222</v>
      </c>
      <c r="C37" s="250" t="s">
        <v>212</v>
      </c>
      <c r="D37" s="251"/>
      <c r="E37" s="431"/>
      <c r="K37" s="430"/>
      <c r="L37"/>
      <c r="M37"/>
      <c r="N37"/>
      <c r="T37"/>
    </row>
    <row r="38" spans="1:20" s="429" customFormat="1" ht="15" customHeight="1" outlineLevel="1">
      <c r="A38" s="376"/>
      <c r="B38" s="249" t="s">
        <v>223</v>
      </c>
      <c r="C38" s="250" t="s">
        <v>212</v>
      </c>
      <c r="D38" s="251"/>
      <c r="E38" s="431"/>
      <c r="K38" s="430"/>
      <c r="L38"/>
      <c r="M38"/>
      <c r="N38"/>
      <c r="T38"/>
    </row>
    <row r="39" spans="1:20" s="429" customFormat="1" ht="15" customHeight="1" outlineLevel="1">
      <c r="A39" s="376"/>
      <c r="B39" s="249" t="s">
        <v>224</v>
      </c>
      <c r="C39" s="250" t="s">
        <v>212</v>
      </c>
      <c r="D39" s="251"/>
      <c r="E39" s="431"/>
      <c r="K39" s="430"/>
      <c r="L39"/>
      <c r="M39"/>
      <c r="N39"/>
      <c r="T39"/>
    </row>
    <row r="40" spans="1:20" s="429" customFormat="1" ht="15" customHeight="1" outlineLevel="1">
      <c r="A40" s="376"/>
      <c r="B40" s="252" t="s">
        <v>226</v>
      </c>
      <c r="C40" s="253"/>
      <c r="D40" s="248">
        <f>D41+D42+D43</f>
        <v>0</v>
      </c>
      <c r="E40" s="431"/>
      <c r="K40" s="430"/>
      <c r="L40"/>
      <c r="M40"/>
      <c r="N40"/>
      <c r="T40"/>
    </row>
    <row r="41" spans="1:20" s="429" customFormat="1" ht="15" customHeight="1" outlineLevel="1">
      <c r="A41" s="376"/>
      <c r="B41" s="249" t="s">
        <v>222</v>
      </c>
      <c r="C41" s="250" t="s">
        <v>212</v>
      </c>
      <c r="D41" s="251"/>
      <c r="E41" s="431"/>
      <c r="K41" s="430"/>
      <c r="L41"/>
      <c r="M41"/>
      <c r="N41"/>
      <c r="T41"/>
    </row>
    <row r="42" spans="1:20" s="429" customFormat="1" ht="15" customHeight="1" outlineLevel="1">
      <c r="A42" s="376"/>
      <c r="B42" s="249" t="s">
        <v>223</v>
      </c>
      <c r="C42" s="250" t="s">
        <v>212</v>
      </c>
      <c r="D42" s="251"/>
      <c r="E42" s="431"/>
      <c r="K42" s="430"/>
      <c r="L42"/>
      <c r="M42"/>
      <c r="N42"/>
      <c r="T42"/>
    </row>
    <row r="43" spans="1:20" s="429" customFormat="1" ht="15" customHeight="1" outlineLevel="1">
      <c r="A43" s="376"/>
      <c r="B43" s="249" t="s">
        <v>224</v>
      </c>
      <c r="C43" s="250" t="s">
        <v>212</v>
      </c>
      <c r="D43" s="251"/>
      <c r="E43" s="431"/>
      <c r="K43" s="430"/>
      <c r="L43"/>
      <c r="M43"/>
      <c r="N43"/>
      <c r="T43"/>
    </row>
    <row r="44" spans="1:20" s="422" customFormat="1" ht="15" customHeight="1">
      <c r="A44" s="375"/>
      <c r="B44" s="245" t="s">
        <v>340</v>
      </c>
      <c r="C44" s="243" t="s">
        <v>212</v>
      </c>
      <c r="D44" s="244">
        <f>D45</f>
        <v>59.227528810000017</v>
      </c>
      <c r="E44" s="421"/>
      <c r="K44" s="423"/>
      <c r="L44"/>
      <c r="M44"/>
      <c r="N44"/>
      <c r="T44"/>
    </row>
    <row r="45" spans="1:20" s="429" customFormat="1" ht="15" customHeight="1" outlineLevel="1">
      <c r="A45" s="376"/>
      <c r="B45" s="246" t="s">
        <v>226</v>
      </c>
      <c r="C45" s="247"/>
      <c r="D45" s="248">
        <f>D46+D47+D48</f>
        <v>59.227528810000017</v>
      </c>
      <c r="E45" s="431"/>
      <c r="K45" s="430"/>
      <c r="L45"/>
      <c r="M45"/>
      <c r="N45"/>
      <c r="T45"/>
    </row>
    <row r="46" spans="1:20" s="429" customFormat="1" ht="15" customHeight="1" outlineLevel="1">
      <c r="A46" s="376"/>
      <c r="B46" s="249" t="s">
        <v>222</v>
      </c>
      <c r="C46" s="250" t="s">
        <v>212</v>
      </c>
      <c r="D46" s="251">
        <f>D180*D326+'Шаблон 46 ГП'!N99/1000000</f>
        <v>21.1532874</v>
      </c>
      <c r="E46" s="431"/>
      <c r="K46" s="430"/>
      <c r="L46"/>
      <c r="M46"/>
      <c r="N46"/>
      <c r="T46"/>
    </row>
    <row r="47" spans="1:20" s="429" customFormat="1" ht="15" customHeight="1" outlineLevel="1">
      <c r="A47" s="376"/>
      <c r="B47" s="249" t="s">
        <v>223</v>
      </c>
      <c r="C47" s="250" t="s">
        <v>212</v>
      </c>
      <c r="D47" s="251">
        <f>D181*D327+'Шаблон 46 ГП'!O99/1000000</f>
        <v>37.922105470000012</v>
      </c>
      <c r="E47" s="431"/>
      <c r="K47" s="430"/>
      <c r="L47"/>
      <c r="M47"/>
      <c r="N47"/>
      <c r="T47"/>
    </row>
    <row r="48" spans="1:20" s="429" customFormat="1" ht="15" customHeight="1" outlineLevel="1">
      <c r="A48" s="376"/>
      <c r="B48" s="249" t="s">
        <v>224</v>
      </c>
      <c r="C48" s="250" t="s">
        <v>212</v>
      </c>
      <c r="D48" s="251">
        <f>D182*D328+'Шаблон 46 ГП'!P99/1000000</f>
        <v>0.15213594</v>
      </c>
      <c r="E48" s="431"/>
      <c r="K48" s="430"/>
      <c r="L48"/>
      <c r="M48"/>
      <c r="N48"/>
      <c r="T48"/>
    </row>
    <row r="49" spans="1:20" s="422" customFormat="1" ht="15" customHeight="1">
      <c r="A49" s="375"/>
      <c r="B49" s="245" t="s">
        <v>152</v>
      </c>
      <c r="C49" s="243" t="s">
        <v>212</v>
      </c>
      <c r="D49" s="244">
        <f>D50</f>
        <v>27.986805280000002</v>
      </c>
      <c r="E49" s="421"/>
      <c r="K49" s="423"/>
      <c r="L49"/>
      <c r="M49"/>
      <c r="N49"/>
      <c r="T49"/>
    </row>
    <row r="50" spans="1:20" s="429" customFormat="1" ht="15" customHeight="1" outlineLevel="1">
      <c r="A50" s="376"/>
      <c r="B50" s="246" t="s">
        <v>156</v>
      </c>
      <c r="C50" s="247"/>
      <c r="D50" s="248">
        <f>D51+D52+D53</f>
        <v>27.986805280000002</v>
      </c>
      <c r="E50" s="431"/>
      <c r="K50" s="430"/>
      <c r="L50"/>
      <c r="M50"/>
      <c r="N50"/>
      <c r="T50"/>
    </row>
    <row r="51" spans="1:20" s="429" customFormat="1" ht="15" customHeight="1" outlineLevel="1">
      <c r="A51" s="376"/>
      <c r="B51" s="249" t="s">
        <v>222</v>
      </c>
      <c r="C51" s="250" t="s">
        <v>212</v>
      </c>
      <c r="D51" s="251">
        <f>D185*D331+'Шаблон 46 ГП'!N144/1000000</f>
        <v>0</v>
      </c>
      <c r="E51" s="431"/>
      <c r="K51" s="430"/>
      <c r="L51"/>
      <c r="M51"/>
      <c r="N51"/>
      <c r="T51"/>
    </row>
    <row r="52" spans="1:20" s="429" customFormat="1" ht="15" customHeight="1" outlineLevel="1">
      <c r="A52" s="376"/>
      <c r="B52" s="249" t="s">
        <v>223</v>
      </c>
      <c r="C52" s="250" t="s">
        <v>212</v>
      </c>
      <c r="D52" s="251">
        <f>D186*D332+'Шаблон 46 ГП'!O144/1000000</f>
        <v>0.97433848999999995</v>
      </c>
      <c r="E52" s="431"/>
      <c r="K52" s="430"/>
      <c r="L52"/>
      <c r="M52"/>
      <c r="N52"/>
      <c r="T52"/>
    </row>
    <row r="53" spans="1:20" s="429" customFormat="1" ht="15" customHeight="1" outlineLevel="1">
      <c r="A53" s="376"/>
      <c r="B53" s="249" t="s">
        <v>224</v>
      </c>
      <c r="C53" s="250" t="s">
        <v>212</v>
      </c>
      <c r="D53" s="251">
        <f>D187*D333+'Шаблон 46 ГП'!P144/1000000</f>
        <v>27.012466790000001</v>
      </c>
      <c r="E53" s="431"/>
      <c r="K53" s="430"/>
      <c r="L53"/>
      <c r="M53"/>
      <c r="N53"/>
      <c r="T53"/>
    </row>
    <row r="54" spans="1:20" s="422" customFormat="1" ht="15" customHeight="1">
      <c r="A54" s="375"/>
      <c r="B54" s="245" t="s">
        <v>28</v>
      </c>
      <c r="C54" s="243" t="s">
        <v>212</v>
      </c>
      <c r="D54" s="244">
        <f>D57+D84+D99</f>
        <v>56.910202216535346</v>
      </c>
      <c r="E54" s="421"/>
      <c r="K54" s="423"/>
      <c r="L54"/>
      <c r="M54"/>
      <c r="N54"/>
      <c r="T54"/>
    </row>
    <row r="55" spans="1:20" s="422" customFormat="1" ht="15" customHeight="1">
      <c r="A55" s="375"/>
      <c r="B55" s="377" t="s">
        <v>341</v>
      </c>
      <c r="C55" s="243" t="s">
        <v>212</v>
      </c>
      <c r="D55" s="244">
        <f>D58+D85+D100</f>
        <v>56.910202216535346</v>
      </c>
      <c r="E55" s="421"/>
      <c r="K55" s="423"/>
      <c r="L55"/>
      <c r="M55"/>
      <c r="N55"/>
      <c r="T55"/>
    </row>
    <row r="56" spans="1:20" s="422" customFormat="1" ht="15" customHeight="1">
      <c r="A56" s="375"/>
      <c r="B56" s="377" t="s">
        <v>342</v>
      </c>
      <c r="C56" s="243" t="s">
        <v>212</v>
      </c>
      <c r="D56" s="244">
        <f>D59+D86+D101</f>
        <v>0</v>
      </c>
      <c r="E56" s="421"/>
      <c r="K56" s="423"/>
      <c r="L56"/>
      <c r="M56"/>
      <c r="N56"/>
      <c r="T56"/>
    </row>
    <row r="57" spans="1:20" s="422" customFormat="1" ht="15" customHeight="1" outlineLevel="2">
      <c r="A57" s="376"/>
      <c r="B57" s="254" t="s">
        <v>228</v>
      </c>
      <c r="C57" s="255" t="s">
        <v>212</v>
      </c>
      <c r="D57" s="248">
        <f>D60+D63+D72+D75</f>
        <v>4.4150613749999996</v>
      </c>
      <c r="E57" s="421"/>
      <c r="K57" s="423"/>
      <c r="L57"/>
      <c r="M57"/>
      <c r="N57"/>
      <c r="T57"/>
    </row>
    <row r="58" spans="1:20" s="434" customFormat="1" ht="15" customHeight="1" outlineLevel="2">
      <c r="A58" s="378"/>
      <c r="B58" s="379" t="s">
        <v>341</v>
      </c>
      <c r="C58" s="380" t="s">
        <v>212</v>
      </c>
      <c r="D58" s="432">
        <f>D61+D64+D73+D76</f>
        <v>4.4150613749999996</v>
      </c>
      <c r="E58" s="433"/>
      <c r="K58" s="435"/>
      <c r="L58" s="436"/>
      <c r="M58" s="436"/>
      <c r="N58" s="436"/>
      <c r="T58" s="436"/>
    </row>
    <row r="59" spans="1:20" s="439" customFormat="1" ht="15" customHeight="1" outlineLevel="2">
      <c r="A59" s="381"/>
      <c r="B59" s="382" t="s">
        <v>342</v>
      </c>
      <c r="C59" s="383" t="s">
        <v>212</v>
      </c>
      <c r="D59" s="437"/>
      <c r="E59" s="438"/>
      <c r="K59" s="440"/>
      <c r="L59" s="441"/>
      <c r="M59" s="441"/>
      <c r="N59" s="441"/>
      <c r="T59" s="441"/>
    </row>
    <row r="60" spans="1:20" s="422" customFormat="1" ht="15" customHeight="1" outlineLevel="2">
      <c r="A60" s="376"/>
      <c r="B60" s="256" t="s">
        <v>281</v>
      </c>
      <c r="C60" s="255" t="s">
        <v>212</v>
      </c>
      <c r="D60" s="251">
        <f>D61+D62</f>
        <v>0</v>
      </c>
      <c r="E60" s="442"/>
      <c r="K60" s="423"/>
      <c r="L60"/>
      <c r="M60"/>
      <c r="N60"/>
      <c r="T60"/>
    </row>
    <row r="61" spans="1:20" s="434" customFormat="1" ht="15" customHeight="1" outlineLevel="2">
      <c r="A61" s="378"/>
      <c r="B61" s="379" t="s">
        <v>341</v>
      </c>
      <c r="C61" s="380" t="s">
        <v>212</v>
      </c>
      <c r="D61" s="432">
        <f>D195*D341/1.2</f>
        <v>0</v>
      </c>
      <c r="E61" s="433"/>
      <c r="K61" s="435"/>
      <c r="L61" s="436"/>
      <c r="M61" s="436"/>
      <c r="N61" s="436"/>
      <c r="T61" s="436"/>
    </row>
    <row r="62" spans="1:20" s="439" customFormat="1" ht="15" customHeight="1" outlineLevel="2">
      <c r="A62" s="381"/>
      <c r="B62" s="382" t="s">
        <v>342</v>
      </c>
      <c r="C62" s="383" t="s">
        <v>212</v>
      </c>
      <c r="D62" s="437"/>
      <c r="E62" s="438"/>
      <c r="K62" s="440"/>
      <c r="L62" s="441"/>
      <c r="M62" s="441"/>
      <c r="N62" s="441"/>
      <c r="T62" s="441"/>
    </row>
    <row r="63" spans="1:20" s="422" customFormat="1" ht="15" customHeight="1" outlineLevel="2">
      <c r="A63" s="376"/>
      <c r="B63" s="257" t="s">
        <v>343</v>
      </c>
      <c r="C63" s="255" t="s">
        <v>212</v>
      </c>
      <c r="D63" s="258">
        <f>D66+D69</f>
        <v>0</v>
      </c>
      <c r="E63" s="442"/>
      <c r="K63" s="423"/>
      <c r="L63"/>
      <c r="M63"/>
      <c r="N63"/>
      <c r="T63"/>
    </row>
    <row r="64" spans="1:20" s="434" customFormat="1" ht="15" customHeight="1" outlineLevel="2">
      <c r="A64" s="378"/>
      <c r="B64" s="379" t="s">
        <v>341</v>
      </c>
      <c r="C64" s="380" t="s">
        <v>212</v>
      </c>
      <c r="D64" s="432">
        <f>D6+D70</f>
        <v>0</v>
      </c>
      <c r="E64" s="433"/>
      <c r="K64" s="435"/>
      <c r="L64" s="436"/>
      <c r="M64" s="436"/>
      <c r="N64" s="436"/>
      <c r="T64" s="436"/>
    </row>
    <row r="65" spans="1:20" s="439" customFormat="1" ht="15" customHeight="1" outlineLevel="2">
      <c r="A65" s="381"/>
      <c r="B65" s="382" t="s">
        <v>342</v>
      </c>
      <c r="C65" s="383" t="s">
        <v>212</v>
      </c>
      <c r="D65" s="437"/>
      <c r="E65" s="438"/>
      <c r="K65" s="440"/>
      <c r="L65" s="441"/>
      <c r="M65" s="441"/>
      <c r="N65" s="441"/>
      <c r="T65" s="441"/>
    </row>
    <row r="66" spans="1:20" s="422" customFormat="1" ht="15" customHeight="1" outlineLevel="2">
      <c r="A66" s="376"/>
      <c r="B66" s="249" t="s">
        <v>230</v>
      </c>
      <c r="C66" s="250" t="s">
        <v>212</v>
      </c>
      <c r="D66" s="251">
        <f>D67+D68</f>
        <v>0</v>
      </c>
      <c r="E66" s="442"/>
      <c r="K66" s="423"/>
      <c r="L66"/>
      <c r="M66"/>
      <c r="N66"/>
      <c r="T66"/>
    </row>
    <row r="67" spans="1:20" s="434" customFormat="1" ht="15" customHeight="1" outlineLevel="2">
      <c r="A67" s="378"/>
      <c r="B67" s="379" t="s">
        <v>341</v>
      </c>
      <c r="C67" s="380" t="s">
        <v>212</v>
      </c>
      <c r="D67" s="432">
        <f>D201*D347/1.2</f>
        <v>0</v>
      </c>
      <c r="E67" s="433"/>
      <c r="K67" s="435"/>
      <c r="L67" s="436"/>
      <c r="M67" s="436"/>
      <c r="N67" s="436"/>
      <c r="T67" s="436"/>
    </row>
    <row r="68" spans="1:20" s="439" customFormat="1" ht="15" customHeight="1" outlineLevel="2">
      <c r="A68" s="381"/>
      <c r="B68" s="382" t="s">
        <v>342</v>
      </c>
      <c r="C68" s="383" t="s">
        <v>212</v>
      </c>
      <c r="D68" s="437"/>
      <c r="E68" s="438"/>
      <c r="K68" s="440"/>
      <c r="L68" s="441"/>
      <c r="M68" s="441"/>
      <c r="N68" s="441"/>
      <c r="T68" s="441"/>
    </row>
    <row r="69" spans="1:20" s="422" customFormat="1" ht="15" customHeight="1" outlineLevel="2">
      <c r="A69" s="376"/>
      <c r="B69" s="249" t="s">
        <v>231</v>
      </c>
      <c r="C69" s="250" t="s">
        <v>212</v>
      </c>
      <c r="D69" s="251">
        <f>D70+D71</f>
        <v>0</v>
      </c>
      <c r="E69" s="442"/>
      <c r="K69" s="423"/>
      <c r="L69"/>
      <c r="M69"/>
      <c r="N69"/>
      <c r="T69"/>
    </row>
    <row r="70" spans="1:20" s="434" customFormat="1" ht="15" customHeight="1" outlineLevel="2">
      <c r="A70" s="378"/>
      <c r="B70" s="379" t="s">
        <v>341</v>
      </c>
      <c r="C70" s="380" t="s">
        <v>212</v>
      </c>
      <c r="D70" s="432">
        <f>D204*D350/1.2</f>
        <v>0</v>
      </c>
      <c r="E70" s="433"/>
      <c r="K70" s="435"/>
      <c r="L70" s="436"/>
      <c r="M70" s="436"/>
      <c r="N70" s="436"/>
      <c r="T70" s="436"/>
    </row>
    <row r="71" spans="1:20" s="439" customFormat="1" ht="15" customHeight="1" outlineLevel="2">
      <c r="A71" s="381"/>
      <c r="B71" s="382" t="s">
        <v>342</v>
      </c>
      <c r="C71" s="383" t="s">
        <v>212</v>
      </c>
      <c r="D71" s="437"/>
      <c r="E71" s="438"/>
      <c r="K71" s="440"/>
      <c r="L71" s="441"/>
      <c r="M71" s="441"/>
      <c r="N71" s="441"/>
      <c r="T71" s="441"/>
    </row>
    <row r="72" spans="1:20" s="422" customFormat="1" ht="15" customHeight="1" outlineLevel="2">
      <c r="A72" s="376"/>
      <c r="B72" s="256" t="s">
        <v>236</v>
      </c>
      <c r="C72" s="255" t="s">
        <v>212</v>
      </c>
      <c r="D72" s="251">
        <f>D73+D74</f>
        <v>0.36460352499999998</v>
      </c>
      <c r="E72" s="442"/>
      <c r="K72" s="423"/>
      <c r="L72"/>
      <c r="M72"/>
      <c r="N72"/>
      <c r="T72"/>
    </row>
    <row r="73" spans="1:20" s="434" customFormat="1" ht="15" customHeight="1" outlineLevel="2">
      <c r="A73" s="378"/>
      <c r="B73" s="379" t="s">
        <v>341</v>
      </c>
      <c r="C73" s="380" t="s">
        <v>212</v>
      </c>
      <c r="D73" s="432">
        <f>D207*D353/1.2</f>
        <v>0.36460352499999998</v>
      </c>
      <c r="E73" s="433"/>
      <c r="K73" s="435"/>
      <c r="L73" s="436"/>
      <c r="M73" s="436"/>
      <c r="N73" s="436"/>
      <c r="T73" s="436"/>
    </row>
    <row r="74" spans="1:20" s="439" customFormat="1" ht="15" customHeight="1" outlineLevel="2">
      <c r="A74" s="381"/>
      <c r="B74" s="382" t="s">
        <v>342</v>
      </c>
      <c r="C74" s="383" t="s">
        <v>212</v>
      </c>
      <c r="D74" s="437"/>
      <c r="E74" s="438"/>
      <c r="K74" s="440"/>
      <c r="L74" s="441"/>
      <c r="M74" s="441"/>
      <c r="N74" s="441"/>
      <c r="T74" s="441"/>
    </row>
    <row r="75" spans="1:20" s="422" customFormat="1" ht="15" customHeight="1" outlineLevel="2">
      <c r="A75" s="376"/>
      <c r="B75" s="257" t="s">
        <v>344</v>
      </c>
      <c r="C75" s="255" t="s">
        <v>212</v>
      </c>
      <c r="D75" s="258">
        <f>D78+D81</f>
        <v>4.0504578499999999</v>
      </c>
      <c r="E75" s="442"/>
      <c r="K75" s="423"/>
      <c r="L75"/>
      <c r="M75"/>
      <c r="N75"/>
      <c r="T75"/>
    </row>
    <row r="76" spans="1:20" s="434" customFormat="1" ht="15" customHeight="1" outlineLevel="2">
      <c r="A76" s="378"/>
      <c r="B76" s="379" t="s">
        <v>341</v>
      </c>
      <c r="C76" s="380" t="s">
        <v>212</v>
      </c>
      <c r="D76" s="432">
        <f>D79+D82</f>
        <v>4.0504578499999999</v>
      </c>
      <c r="E76" s="433"/>
      <c r="K76" s="435"/>
      <c r="L76" s="436"/>
      <c r="M76" s="436"/>
      <c r="N76" s="436"/>
      <c r="T76" s="436"/>
    </row>
    <row r="77" spans="1:20" s="439" customFormat="1" ht="15" customHeight="1" outlineLevel="2">
      <c r="A77" s="381"/>
      <c r="B77" s="382" t="s">
        <v>342</v>
      </c>
      <c r="C77" s="383" t="s">
        <v>212</v>
      </c>
      <c r="D77" s="437"/>
      <c r="E77" s="438"/>
      <c r="K77" s="440"/>
      <c r="L77" s="441"/>
      <c r="M77" s="441"/>
      <c r="N77" s="441"/>
      <c r="T77" s="441"/>
    </row>
    <row r="78" spans="1:20" s="422" customFormat="1" ht="15" customHeight="1" outlineLevel="2">
      <c r="A78" s="376"/>
      <c r="B78" s="249" t="s">
        <v>230</v>
      </c>
      <c r="C78" s="250" t="s">
        <v>212</v>
      </c>
      <c r="D78" s="251">
        <f>D79+D80</f>
        <v>3.0521199333333331</v>
      </c>
      <c r="E78" s="442"/>
      <c r="K78" s="423"/>
      <c r="L78"/>
      <c r="M78"/>
      <c r="N78"/>
      <c r="T78"/>
    </row>
    <row r="79" spans="1:20" s="434" customFormat="1" ht="15" customHeight="1" outlineLevel="2">
      <c r="A79" s="378"/>
      <c r="B79" s="379" t="s">
        <v>341</v>
      </c>
      <c r="C79" s="380" t="s">
        <v>212</v>
      </c>
      <c r="D79" s="432">
        <f>D213*D359/1.2</f>
        <v>3.0521199333333331</v>
      </c>
      <c r="E79" s="433"/>
      <c r="K79" s="435"/>
      <c r="L79" s="436"/>
      <c r="M79" s="436"/>
      <c r="N79" s="436"/>
      <c r="T79" s="436"/>
    </row>
    <row r="80" spans="1:20" s="439" customFormat="1" ht="15" customHeight="1" outlineLevel="2">
      <c r="A80" s="381"/>
      <c r="B80" s="382" t="s">
        <v>342</v>
      </c>
      <c r="C80" s="383" t="s">
        <v>212</v>
      </c>
      <c r="D80" s="437"/>
      <c r="E80" s="438"/>
      <c r="K80" s="440"/>
      <c r="L80" s="441"/>
      <c r="M80" s="441"/>
      <c r="N80" s="441"/>
      <c r="T80" s="441"/>
    </row>
    <row r="81" spans="1:20" s="422" customFormat="1" ht="15" customHeight="1" outlineLevel="2">
      <c r="A81" s="376"/>
      <c r="B81" s="249" t="s">
        <v>231</v>
      </c>
      <c r="C81" s="250" t="s">
        <v>212</v>
      </c>
      <c r="D81" s="251">
        <f>D82+D83</f>
        <v>0.99833791666666671</v>
      </c>
      <c r="E81" s="442"/>
      <c r="K81" s="423"/>
      <c r="L81"/>
      <c r="M81"/>
      <c r="N81"/>
      <c r="T81"/>
    </row>
    <row r="82" spans="1:20" s="434" customFormat="1" ht="15" customHeight="1" outlineLevel="2">
      <c r="A82" s="378"/>
      <c r="B82" s="379" t="s">
        <v>341</v>
      </c>
      <c r="C82" s="380" t="s">
        <v>212</v>
      </c>
      <c r="D82" s="432">
        <f>D216*D362/1.2</f>
        <v>0.99833791666666671</v>
      </c>
      <c r="E82" s="433"/>
      <c r="K82" s="435"/>
      <c r="L82" s="436"/>
      <c r="M82" s="436"/>
      <c r="N82" s="436"/>
      <c r="T82" s="436"/>
    </row>
    <row r="83" spans="1:20" s="439" customFormat="1" ht="15" customHeight="1" outlineLevel="2">
      <c r="A83" s="381"/>
      <c r="B83" s="382" t="s">
        <v>342</v>
      </c>
      <c r="C83" s="383" t="s">
        <v>212</v>
      </c>
      <c r="D83" s="437"/>
      <c r="E83" s="438"/>
      <c r="K83" s="440"/>
      <c r="L83" s="441"/>
      <c r="M83" s="441"/>
      <c r="N83" s="441"/>
      <c r="T83" s="441"/>
    </row>
    <row r="84" spans="1:20" s="422" customFormat="1" ht="15" customHeight="1" outlineLevel="2">
      <c r="A84" s="376"/>
      <c r="B84" s="254" t="s">
        <v>232</v>
      </c>
      <c r="C84" s="255" t="s">
        <v>212</v>
      </c>
      <c r="D84" s="248">
        <f>D87+D90</f>
        <v>46.302730599868681</v>
      </c>
      <c r="E84" s="442"/>
      <c r="K84" s="423"/>
      <c r="L84"/>
      <c r="M84"/>
      <c r="N84"/>
      <c r="T84"/>
    </row>
    <row r="85" spans="1:20" s="434" customFormat="1" ht="15" customHeight="1" outlineLevel="2">
      <c r="A85" s="378"/>
      <c r="B85" s="379" t="s">
        <v>341</v>
      </c>
      <c r="C85" s="380" t="s">
        <v>212</v>
      </c>
      <c r="D85" s="432">
        <f>D88+D91</f>
        <v>46.302730599868681</v>
      </c>
      <c r="E85" s="433"/>
      <c r="K85" s="435"/>
      <c r="L85" s="436"/>
      <c r="M85" s="436"/>
      <c r="N85" s="436"/>
      <c r="T85" s="436"/>
    </row>
    <row r="86" spans="1:20" s="439" customFormat="1" ht="15" customHeight="1" outlineLevel="2">
      <c r="A86" s="381"/>
      <c r="B86" s="382" t="s">
        <v>342</v>
      </c>
      <c r="C86" s="383" t="s">
        <v>212</v>
      </c>
      <c r="D86" s="437"/>
      <c r="E86" s="438"/>
      <c r="K86" s="440"/>
      <c r="L86" s="441"/>
      <c r="M86" s="441"/>
      <c r="N86" s="441"/>
      <c r="T86" s="441"/>
    </row>
    <row r="87" spans="1:20" s="422" customFormat="1" ht="15" customHeight="1" outlineLevel="2">
      <c r="A87" s="376"/>
      <c r="B87" s="256" t="s">
        <v>229</v>
      </c>
      <c r="C87" s="255" t="s">
        <v>212</v>
      </c>
      <c r="D87" s="251">
        <f>D88+D89</f>
        <v>17.959177399999998</v>
      </c>
      <c r="E87" s="442"/>
      <c r="K87" s="423"/>
      <c r="L87"/>
      <c r="M87"/>
      <c r="N87"/>
      <c r="T87"/>
    </row>
    <row r="88" spans="1:20" s="434" customFormat="1" ht="15" customHeight="1" outlineLevel="2">
      <c r="A88" s="378"/>
      <c r="B88" s="379" t="s">
        <v>341</v>
      </c>
      <c r="C88" s="380" t="s">
        <v>212</v>
      </c>
      <c r="D88" s="432">
        <f>D222*D368/1.2</f>
        <v>17.959177399999998</v>
      </c>
      <c r="E88" s="433"/>
      <c r="K88" s="435"/>
      <c r="L88" s="436"/>
      <c r="M88" s="436"/>
      <c r="N88" s="436"/>
      <c r="T88" s="436"/>
    </row>
    <row r="89" spans="1:20" s="439" customFormat="1" ht="15" customHeight="1" outlineLevel="2">
      <c r="A89" s="381"/>
      <c r="B89" s="382" t="s">
        <v>342</v>
      </c>
      <c r="C89" s="383" t="s">
        <v>212</v>
      </c>
      <c r="D89" s="437"/>
      <c r="E89" s="438"/>
      <c r="K89" s="440"/>
      <c r="L89" s="441"/>
      <c r="M89" s="441"/>
      <c r="N89" s="441"/>
      <c r="T89" s="441"/>
    </row>
    <row r="90" spans="1:20" s="422" customFormat="1" ht="15" customHeight="1" outlineLevel="2">
      <c r="A90" s="376"/>
      <c r="B90" s="257" t="s">
        <v>345</v>
      </c>
      <c r="C90" s="255" t="s">
        <v>212</v>
      </c>
      <c r="D90" s="258">
        <f>D93+D96</f>
        <v>28.34355319986868</v>
      </c>
      <c r="E90" s="442"/>
      <c r="K90" s="423"/>
      <c r="L90"/>
      <c r="M90"/>
      <c r="N90"/>
      <c r="T90"/>
    </row>
    <row r="91" spans="1:20" s="434" customFormat="1" ht="15" customHeight="1" outlineLevel="2">
      <c r="A91" s="378"/>
      <c r="B91" s="379" t="s">
        <v>341</v>
      </c>
      <c r="C91" s="380" t="s">
        <v>212</v>
      </c>
      <c r="D91" s="432">
        <f>D94+D97</f>
        <v>28.34355319986868</v>
      </c>
      <c r="E91" s="433"/>
      <c r="K91" s="435"/>
      <c r="L91" s="436"/>
      <c r="M91" s="436"/>
      <c r="N91" s="436"/>
      <c r="T91" s="436"/>
    </row>
    <row r="92" spans="1:20" s="439" customFormat="1" ht="15" customHeight="1" outlineLevel="2">
      <c r="A92" s="381"/>
      <c r="B92" s="382" t="s">
        <v>342</v>
      </c>
      <c r="C92" s="383" t="s">
        <v>212</v>
      </c>
      <c r="D92" s="437"/>
      <c r="E92" s="438"/>
      <c r="K92" s="440"/>
      <c r="L92" s="441"/>
      <c r="M92" s="441"/>
      <c r="N92" s="441"/>
      <c r="T92" s="441"/>
    </row>
    <row r="93" spans="1:20" s="422" customFormat="1" ht="15" customHeight="1" outlineLevel="2">
      <c r="A93" s="376"/>
      <c r="B93" s="249" t="s">
        <v>230</v>
      </c>
      <c r="C93" s="250" t="s">
        <v>212</v>
      </c>
      <c r="D93" s="251">
        <f>D94+D95</f>
        <v>23.198905834895836</v>
      </c>
      <c r="E93" s="442"/>
      <c r="K93" s="423"/>
      <c r="L93"/>
      <c r="M93"/>
      <c r="N93"/>
      <c r="T93"/>
    </row>
    <row r="94" spans="1:20" s="434" customFormat="1" ht="15" customHeight="1" outlineLevel="2">
      <c r="A94" s="378"/>
      <c r="B94" s="379" t="s">
        <v>341</v>
      </c>
      <c r="C94" s="380" t="s">
        <v>212</v>
      </c>
      <c r="D94" s="432">
        <f>D228*D374/1.2</f>
        <v>23.198905834895836</v>
      </c>
      <c r="E94" s="433"/>
      <c r="K94" s="435"/>
      <c r="L94" s="436"/>
      <c r="M94" s="436"/>
      <c r="N94" s="436"/>
      <c r="T94" s="436"/>
    </row>
    <row r="95" spans="1:20" s="439" customFormat="1" ht="15" customHeight="1" outlineLevel="2">
      <c r="A95" s="381"/>
      <c r="B95" s="382" t="s">
        <v>342</v>
      </c>
      <c r="C95" s="383" t="s">
        <v>212</v>
      </c>
      <c r="D95" s="437"/>
      <c r="E95" s="438"/>
      <c r="K95" s="440"/>
      <c r="L95" s="441"/>
      <c r="M95" s="441"/>
      <c r="N95" s="441"/>
      <c r="T95" s="441"/>
    </row>
    <row r="96" spans="1:20" s="422" customFormat="1" ht="15" customHeight="1" outlineLevel="2">
      <c r="A96" s="376"/>
      <c r="B96" s="249" t="s">
        <v>231</v>
      </c>
      <c r="C96" s="250" t="s">
        <v>212</v>
      </c>
      <c r="D96" s="251">
        <f>D97+D98</f>
        <v>5.1446473649728439</v>
      </c>
      <c r="E96" s="442"/>
      <c r="K96" s="423"/>
      <c r="L96"/>
      <c r="M96"/>
      <c r="N96"/>
      <c r="T96"/>
    </row>
    <row r="97" spans="1:20" s="434" customFormat="1" ht="15" customHeight="1" outlineLevel="2">
      <c r="A97" s="378"/>
      <c r="B97" s="379" t="s">
        <v>341</v>
      </c>
      <c r="C97" s="380" t="s">
        <v>212</v>
      </c>
      <c r="D97" s="432">
        <f>D231*D377/1.2</f>
        <v>5.1446473649728439</v>
      </c>
      <c r="E97" s="433"/>
      <c r="K97" s="435"/>
      <c r="L97" s="436"/>
      <c r="M97" s="436"/>
      <c r="N97" s="436"/>
      <c r="T97" s="436"/>
    </row>
    <row r="98" spans="1:20" s="439" customFormat="1" ht="15" customHeight="1" outlineLevel="2">
      <c r="A98" s="381"/>
      <c r="B98" s="382" t="s">
        <v>342</v>
      </c>
      <c r="C98" s="383" t="s">
        <v>212</v>
      </c>
      <c r="D98" s="437"/>
      <c r="E98" s="438"/>
      <c r="K98" s="440"/>
      <c r="L98" s="441"/>
      <c r="M98" s="441"/>
      <c r="N98" s="441"/>
      <c r="T98" s="441"/>
    </row>
    <row r="99" spans="1:20" s="422" customFormat="1" ht="15" customHeight="1" outlineLevel="2">
      <c r="A99" s="376"/>
      <c r="B99" s="259" t="s">
        <v>40</v>
      </c>
      <c r="C99" s="255" t="s">
        <v>212</v>
      </c>
      <c r="D99" s="248">
        <f>D102+D105+D114+D117+D126+D129</f>
        <v>6.192410241666666</v>
      </c>
      <c r="E99" s="442"/>
      <c r="K99" s="423"/>
      <c r="L99"/>
      <c r="M99"/>
      <c r="N99"/>
      <c r="T99"/>
    </row>
    <row r="100" spans="1:20" s="434" customFormat="1" ht="15" customHeight="1" outlineLevel="2">
      <c r="A100" s="378"/>
      <c r="B100" s="379" t="s">
        <v>341</v>
      </c>
      <c r="C100" s="380" t="s">
        <v>212</v>
      </c>
      <c r="D100" s="432">
        <f>D103+D106+D115+D118+D127+D130</f>
        <v>6.192410241666666</v>
      </c>
      <c r="E100" s="433"/>
      <c r="K100" s="435"/>
      <c r="L100" s="436"/>
      <c r="M100" s="436"/>
      <c r="N100" s="436"/>
      <c r="T100" s="436"/>
    </row>
    <row r="101" spans="1:20" s="439" customFormat="1" ht="15" customHeight="1" outlineLevel="2">
      <c r="A101" s="381"/>
      <c r="B101" s="382" t="s">
        <v>342</v>
      </c>
      <c r="C101" s="383" t="s">
        <v>212</v>
      </c>
      <c r="D101" s="437"/>
      <c r="E101" s="438"/>
      <c r="K101" s="440"/>
      <c r="L101" s="441"/>
      <c r="M101" s="441"/>
      <c r="N101" s="441"/>
      <c r="T101" s="441"/>
    </row>
    <row r="102" spans="1:20" s="422" customFormat="1" ht="15" customHeight="1" outlineLevel="2">
      <c r="A102" s="376"/>
      <c r="B102" s="256" t="s">
        <v>281</v>
      </c>
      <c r="C102" s="255" t="s">
        <v>212</v>
      </c>
      <c r="D102" s="251">
        <f>D103+D104</f>
        <v>0</v>
      </c>
      <c r="E102" s="442"/>
      <c r="K102" s="423"/>
      <c r="L102"/>
      <c r="M102"/>
      <c r="N102"/>
      <c r="T102"/>
    </row>
    <row r="103" spans="1:20" s="434" customFormat="1" ht="15" customHeight="1" outlineLevel="2">
      <c r="A103" s="378"/>
      <c r="B103" s="379" t="s">
        <v>341</v>
      </c>
      <c r="C103" s="380" t="s">
        <v>212</v>
      </c>
      <c r="D103" s="432">
        <f>D237*D383/1.2</f>
        <v>0</v>
      </c>
      <c r="E103" s="433"/>
      <c r="K103" s="435"/>
      <c r="L103" s="436"/>
      <c r="M103" s="436"/>
      <c r="N103" s="436"/>
      <c r="T103" s="436"/>
    </row>
    <row r="104" spans="1:20" s="439" customFormat="1" ht="15" customHeight="1" outlineLevel="2">
      <c r="A104" s="381"/>
      <c r="B104" s="382" t="s">
        <v>342</v>
      </c>
      <c r="C104" s="383" t="s">
        <v>212</v>
      </c>
      <c r="D104" s="437"/>
      <c r="E104" s="438"/>
      <c r="K104" s="440"/>
      <c r="L104" s="441"/>
      <c r="M104" s="441"/>
      <c r="N104" s="441"/>
      <c r="T104" s="441"/>
    </row>
    <row r="105" spans="1:20" s="422" customFormat="1" ht="15" customHeight="1" outlineLevel="2">
      <c r="A105" s="376"/>
      <c r="B105" s="257" t="s">
        <v>343</v>
      </c>
      <c r="C105" s="255" t="s">
        <v>212</v>
      </c>
      <c r="D105" s="258">
        <f>D108+D111</f>
        <v>0</v>
      </c>
      <c r="E105" s="442"/>
      <c r="K105" s="423"/>
      <c r="L105"/>
      <c r="M105"/>
      <c r="N105"/>
      <c r="T105"/>
    </row>
    <row r="106" spans="1:20" s="434" customFormat="1" ht="15" customHeight="1" outlineLevel="2">
      <c r="A106" s="378"/>
      <c r="B106" s="379" t="s">
        <v>341</v>
      </c>
      <c r="C106" s="380" t="s">
        <v>212</v>
      </c>
      <c r="D106" s="432">
        <f>D240*D386/1.2</f>
        <v>0</v>
      </c>
      <c r="E106" s="433"/>
      <c r="K106" s="435"/>
      <c r="L106" s="436"/>
      <c r="M106" s="436"/>
      <c r="N106" s="436"/>
      <c r="T106" s="436"/>
    </row>
    <row r="107" spans="1:20" s="439" customFormat="1" ht="15" customHeight="1" outlineLevel="2">
      <c r="A107" s="381"/>
      <c r="B107" s="382" t="s">
        <v>342</v>
      </c>
      <c r="C107" s="383" t="s">
        <v>212</v>
      </c>
      <c r="D107" s="437"/>
      <c r="E107" s="438"/>
      <c r="K107" s="440"/>
      <c r="L107" s="441"/>
      <c r="M107" s="441"/>
      <c r="N107" s="441"/>
      <c r="T107" s="441"/>
    </row>
    <row r="108" spans="1:20" s="429" customFormat="1" ht="15" customHeight="1" outlineLevel="2">
      <c r="A108" s="376"/>
      <c r="B108" s="249" t="s">
        <v>230</v>
      </c>
      <c r="C108" s="250" t="s">
        <v>212</v>
      </c>
      <c r="D108" s="251">
        <f>D109+D110</f>
        <v>0</v>
      </c>
      <c r="E108" s="443"/>
      <c r="K108" s="430"/>
      <c r="L108"/>
      <c r="M108"/>
      <c r="N108"/>
      <c r="T108"/>
    </row>
    <row r="109" spans="1:20" s="434" customFormat="1" ht="15" customHeight="1" outlineLevel="2">
      <c r="A109" s="378"/>
      <c r="B109" s="379" t="s">
        <v>341</v>
      </c>
      <c r="C109" s="380" t="s">
        <v>212</v>
      </c>
      <c r="D109" s="432">
        <f>D243*D389/1.2</f>
        <v>0</v>
      </c>
      <c r="E109" s="433"/>
      <c r="K109" s="435"/>
      <c r="L109" s="436"/>
      <c r="M109" s="436"/>
      <c r="N109" s="436"/>
      <c r="T109" s="436"/>
    </row>
    <row r="110" spans="1:20" s="439" customFormat="1" ht="15" customHeight="1" outlineLevel="2">
      <c r="A110" s="381"/>
      <c r="B110" s="382" t="s">
        <v>342</v>
      </c>
      <c r="C110" s="383" t="s">
        <v>212</v>
      </c>
      <c r="D110" s="437"/>
      <c r="E110" s="438"/>
      <c r="K110" s="440"/>
      <c r="L110" s="441"/>
      <c r="M110" s="441"/>
      <c r="N110" s="441"/>
      <c r="T110" s="441"/>
    </row>
    <row r="111" spans="1:20" s="429" customFormat="1" ht="15" customHeight="1" outlineLevel="2">
      <c r="A111" s="376"/>
      <c r="B111" s="249" t="s">
        <v>231</v>
      </c>
      <c r="C111" s="250" t="s">
        <v>212</v>
      </c>
      <c r="D111" s="251">
        <f>D112+D113</f>
        <v>0</v>
      </c>
      <c r="E111" s="443"/>
      <c r="K111" s="430"/>
      <c r="L111"/>
      <c r="M111"/>
      <c r="N111"/>
      <c r="T111"/>
    </row>
    <row r="112" spans="1:20" s="434" customFormat="1" ht="15" customHeight="1" outlineLevel="2">
      <c r="A112" s="378"/>
      <c r="B112" s="379" t="s">
        <v>341</v>
      </c>
      <c r="C112" s="380" t="s">
        <v>212</v>
      </c>
      <c r="D112" s="432">
        <f>D246*D392/1.2</f>
        <v>0</v>
      </c>
      <c r="E112" s="433"/>
      <c r="K112" s="435"/>
      <c r="L112" s="436"/>
      <c r="M112" s="436"/>
      <c r="N112" s="436"/>
      <c r="T112" s="436"/>
    </row>
    <row r="113" spans="1:20" s="439" customFormat="1" ht="15" customHeight="1" outlineLevel="2">
      <c r="A113" s="381"/>
      <c r="B113" s="382" t="s">
        <v>342</v>
      </c>
      <c r="C113" s="383" t="s">
        <v>212</v>
      </c>
      <c r="D113" s="437"/>
      <c r="E113" s="438"/>
      <c r="K113" s="440"/>
      <c r="L113" s="441"/>
      <c r="M113" s="441"/>
      <c r="N113" s="441"/>
      <c r="T113" s="441"/>
    </row>
    <row r="114" spans="1:20" s="422" customFormat="1" ht="15" customHeight="1" outlineLevel="2">
      <c r="A114" s="376"/>
      <c r="B114" s="256" t="s">
        <v>234</v>
      </c>
      <c r="C114" s="255" t="s">
        <v>212</v>
      </c>
      <c r="D114" s="251">
        <f>D115+D116</f>
        <v>0.18557110000000002</v>
      </c>
      <c r="E114" s="442"/>
      <c r="K114" s="423"/>
      <c r="L114"/>
      <c r="M114"/>
      <c r="N114"/>
      <c r="T114"/>
    </row>
    <row r="115" spans="1:20" s="434" customFormat="1" ht="15" customHeight="1" outlineLevel="2">
      <c r="A115" s="378"/>
      <c r="B115" s="379" t="s">
        <v>341</v>
      </c>
      <c r="C115" s="380" t="s">
        <v>212</v>
      </c>
      <c r="D115" s="432">
        <f>D249*D395/1.2</f>
        <v>0.18557110000000002</v>
      </c>
      <c r="E115" s="433"/>
      <c r="K115" s="435"/>
      <c r="L115" s="436"/>
      <c r="M115" s="436"/>
      <c r="N115" s="436"/>
      <c r="T115" s="436"/>
    </row>
    <row r="116" spans="1:20" s="439" customFormat="1" ht="15" customHeight="1" outlineLevel="2">
      <c r="A116" s="381"/>
      <c r="B116" s="382" t="s">
        <v>342</v>
      </c>
      <c r="C116" s="383" t="s">
        <v>212</v>
      </c>
      <c r="D116" s="437"/>
      <c r="E116" s="438"/>
      <c r="K116" s="440"/>
      <c r="L116" s="441"/>
      <c r="M116" s="441"/>
      <c r="N116" s="441"/>
      <c r="T116" s="441"/>
    </row>
    <row r="117" spans="1:20" s="422" customFormat="1" ht="15" customHeight="1" outlineLevel="2">
      <c r="A117" s="376"/>
      <c r="B117" s="257" t="s">
        <v>346</v>
      </c>
      <c r="C117" s="255" t="s">
        <v>212</v>
      </c>
      <c r="D117" s="258">
        <f>D120+D123</f>
        <v>5.4899691833333328</v>
      </c>
      <c r="E117" s="442"/>
      <c r="K117" s="423"/>
      <c r="L117"/>
      <c r="M117"/>
      <c r="N117"/>
      <c r="T117"/>
    </row>
    <row r="118" spans="1:20" s="434" customFormat="1" ht="15" customHeight="1" outlineLevel="2">
      <c r="A118" s="378"/>
      <c r="B118" s="379" t="s">
        <v>341</v>
      </c>
      <c r="C118" s="380" t="s">
        <v>212</v>
      </c>
      <c r="D118" s="432">
        <f>D121+D124</f>
        <v>5.4899691833333328</v>
      </c>
      <c r="E118" s="433"/>
      <c r="K118" s="435"/>
      <c r="L118" s="436"/>
      <c r="M118" s="436"/>
      <c r="N118" s="436"/>
      <c r="T118" s="436"/>
    </row>
    <row r="119" spans="1:20" s="439" customFormat="1" ht="15" customHeight="1" outlineLevel="2">
      <c r="A119" s="381"/>
      <c r="B119" s="382" t="s">
        <v>342</v>
      </c>
      <c r="C119" s="383" t="s">
        <v>212</v>
      </c>
      <c r="D119" s="437"/>
      <c r="E119" s="438"/>
      <c r="K119" s="440"/>
      <c r="L119" s="441"/>
      <c r="M119" s="441"/>
      <c r="N119" s="441"/>
      <c r="T119" s="441"/>
    </row>
    <row r="120" spans="1:20" s="429" customFormat="1" ht="15" customHeight="1" outlineLevel="2">
      <c r="A120" s="376"/>
      <c r="B120" s="249" t="s">
        <v>230</v>
      </c>
      <c r="C120" s="250" t="s">
        <v>212</v>
      </c>
      <c r="D120" s="251">
        <f>D121+D122</f>
        <v>4.2548228999999997</v>
      </c>
      <c r="E120" s="443"/>
      <c r="K120" s="430"/>
      <c r="L120"/>
      <c r="M120"/>
      <c r="N120"/>
      <c r="T120"/>
    </row>
    <row r="121" spans="1:20" s="434" customFormat="1" ht="15" customHeight="1" outlineLevel="2">
      <c r="A121" s="378"/>
      <c r="B121" s="379" t="s">
        <v>341</v>
      </c>
      <c r="C121" s="380" t="s">
        <v>212</v>
      </c>
      <c r="D121" s="432">
        <f>D255*D401/1.2</f>
        <v>4.2548228999999997</v>
      </c>
      <c r="E121" s="433"/>
      <c r="K121" s="435"/>
      <c r="L121" s="436"/>
      <c r="M121" s="436"/>
      <c r="N121" s="436"/>
      <c r="T121" s="436"/>
    </row>
    <row r="122" spans="1:20" s="439" customFormat="1" ht="15" customHeight="1" outlineLevel="2">
      <c r="A122" s="381"/>
      <c r="B122" s="382" t="s">
        <v>342</v>
      </c>
      <c r="C122" s="383" t="s">
        <v>212</v>
      </c>
      <c r="D122" s="437"/>
      <c r="E122" s="438"/>
      <c r="K122" s="440"/>
      <c r="L122" s="441"/>
      <c r="M122" s="441"/>
      <c r="N122" s="441"/>
      <c r="T122" s="441"/>
    </row>
    <row r="123" spans="1:20" s="429" customFormat="1" ht="15" customHeight="1" outlineLevel="2">
      <c r="A123" s="376"/>
      <c r="B123" s="249" t="s">
        <v>231</v>
      </c>
      <c r="C123" s="250" t="s">
        <v>212</v>
      </c>
      <c r="D123" s="251">
        <f>D124+D125</f>
        <v>1.2351462833333333</v>
      </c>
      <c r="E123" s="443"/>
      <c r="K123" s="430"/>
      <c r="L123"/>
      <c r="M123"/>
      <c r="N123"/>
      <c r="T123"/>
    </row>
    <row r="124" spans="1:20" s="434" customFormat="1" ht="15" customHeight="1" outlineLevel="2">
      <c r="A124" s="378"/>
      <c r="B124" s="379" t="s">
        <v>341</v>
      </c>
      <c r="C124" s="380" t="s">
        <v>212</v>
      </c>
      <c r="D124" s="432">
        <f>D258*D404/1.2</f>
        <v>1.2351462833333333</v>
      </c>
      <c r="E124" s="433"/>
      <c r="K124" s="435"/>
      <c r="L124" s="436"/>
      <c r="M124" s="436"/>
      <c r="N124" s="436"/>
      <c r="T124" s="436"/>
    </row>
    <row r="125" spans="1:20" s="439" customFormat="1" ht="15" customHeight="1" outlineLevel="2">
      <c r="A125" s="381"/>
      <c r="B125" s="382" t="s">
        <v>342</v>
      </c>
      <c r="C125" s="383" t="s">
        <v>212</v>
      </c>
      <c r="D125" s="437"/>
      <c r="E125" s="438"/>
      <c r="K125" s="440"/>
      <c r="L125" s="441"/>
      <c r="M125" s="441"/>
      <c r="N125" s="441"/>
      <c r="T125" s="441"/>
    </row>
    <row r="126" spans="1:20" s="422" customFormat="1" ht="15" customHeight="1" outlineLevel="2">
      <c r="A126" s="376"/>
      <c r="B126" s="256" t="s">
        <v>236</v>
      </c>
      <c r="C126" s="255" t="s">
        <v>212</v>
      </c>
      <c r="D126" s="251">
        <f>D127+D128</f>
        <v>0.11324885</v>
      </c>
      <c r="E126" s="442"/>
      <c r="K126" s="423"/>
      <c r="L126"/>
      <c r="M126"/>
      <c r="N126"/>
      <c r="T126"/>
    </row>
    <row r="127" spans="1:20" s="434" customFormat="1" ht="15" customHeight="1" outlineLevel="2">
      <c r="A127" s="378"/>
      <c r="B127" s="379" t="s">
        <v>341</v>
      </c>
      <c r="C127" s="380" t="s">
        <v>212</v>
      </c>
      <c r="D127" s="432">
        <f>D261*D407/1.2</f>
        <v>0.11324885</v>
      </c>
      <c r="E127" s="433"/>
      <c r="K127" s="435"/>
      <c r="L127" s="436"/>
      <c r="M127" s="436"/>
      <c r="N127" s="436"/>
      <c r="T127" s="436"/>
    </row>
    <row r="128" spans="1:20" s="439" customFormat="1" ht="15" customHeight="1" outlineLevel="2">
      <c r="A128" s="381"/>
      <c r="B128" s="382" t="s">
        <v>342</v>
      </c>
      <c r="C128" s="383" t="s">
        <v>212</v>
      </c>
      <c r="D128" s="437"/>
      <c r="E128" s="438"/>
      <c r="K128" s="440"/>
      <c r="L128" s="441"/>
      <c r="M128" s="441"/>
      <c r="N128" s="441"/>
      <c r="T128" s="441"/>
    </row>
    <row r="129" spans="1:20" s="422" customFormat="1" ht="15" customHeight="1" outlineLevel="2">
      <c r="A129" s="376"/>
      <c r="B129" s="257" t="s">
        <v>344</v>
      </c>
      <c r="C129" s="255" t="s">
        <v>212</v>
      </c>
      <c r="D129" s="258">
        <f>D132+D135</f>
        <v>0.40362110833333331</v>
      </c>
      <c r="E129" s="442"/>
      <c r="K129" s="423"/>
      <c r="L129"/>
      <c r="M129"/>
      <c r="N129"/>
      <c r="T129"/>
    </row>
    <row r="130" spans="1:20" s="434" customFormat="1" ht="15" customHeight="1" outlineLevel="2">
      <c r="A130" s="378"/>
      <c r="B130" s="379" t="s">
        <v>341</v>
      </c>
      <c r="C130" s="380" t="s">
        <v>212</v>
      </c>
      <c r="D130" s="432">
        <f>D133+D136</f>
        <v>0.40362110833333331</v>
      </c>
      <c r="E130" s="433"/>
      <c r="K130" s="435"/>
      <c r="L130" s="436"/>
      <c r="M130" s="436"/>
      <c r="N130" s="436"/>
      <c r="T130" s="436"/>
    </row>
    <row r="131" spans="1:20" s="439" customFormat="1" ht="15" customHeight="1" outlineLevel="2">
      <c r="A131" s="381"/>
      <c r="B131" s="382" t="s">
        <v>342</v>
      </c>
      <c r="C131" s="383" t="s">
        <v>212</v>
      </c>
      <c r="D131" s="437"/>
      <c r="E131" s="438"/>
      <c r="K131" s="440"/>
      <c r="L131" s="441"/>
      <c r="M131" s="441"/>
      <c r="N131" s="441"/>
      <c r="T131" s="441"/>
    </row>
    <row r="132" spans="1:20" s="429" customFormat="1" ht="15" customHeight="1" outlineLevel="2">
      <c r="A132" s="376"/>
      <c r="B132" s="249" t="s">
        <v>230</v>
      </c>
      <c r="C132" s="250" t="s">
        <v>212</v>
      </c>
      <c r="D132" s="251">
        <f>D133+D134</f>
        <v>0.30606176666666668</v>
      </c>
      <c r="E132" s="443"/>
      <c r="K132" s="430"/>
      <c r="L132"/>
      <c r="M132"/>
      <c r="N132"/>
      <c r="T132"/>
    </row>
    <row r="133" spans="1:20" s="434" customFormat="1" ht="15" customHeight="1" outlineLevel="2">
      <c r="A133" s="378"/>
      <c r="B133" s="379" t="s">
        <v>341</v>
      </c>
      <c r="C133" s="380" t="s">
        <v>212</v>
      </c>
      <c r="D133" s="432">
        <f>D267*D413/1.2</f>
        <v>0.30606176666666668</v>
      </c>
      <c r="E133" s="433"/>
      <c r="K133" s="435"/>
      <c r="L133" s="436"/>
      <c r="M133" s="436"/>
      <c r="N133" s="436"/>
      <c r="T133" s="436"/>
    </row>
    <row r="134" spans="1:20" s="439" customFormat="1" ht="15" customHeight="1" outlineLevel="2">
      <c r="A134" s="381"/>
      <c r="B134" s="382" t="s">
        <v>342</v>
      </c>
      <c r="C134" s="383" t="s">
        <v>212</v>
      </c>
      <c r="D134" s="437"/>
      <c r="E134" s="438"/>
      <c r="K134" s="440"/>
      <c r="L134" s="441"/>
      <c r="M134" s="441"/>
      <c r="N134" s="441"/>
      <c r="T134" s="441"/>
    </row>
    <row r="135" spans="1:20" s="429" customFormat="1" ht="15" customHeight="1" outlineLevel="2">
      <c r="A135" s="376"/>
      <c r="B135" s="249" t="s">
        <v>231</v>
      </c>
      <c r="C135" s="250" t="s">
        <v>212</v>
      </c>
      <c r="D135" s="251">
        <f>D136+D137</f>
        <v>9.755934166666666E-2</v>
      </c>
      <c r="E135" s="443"/>
      <c r="K135" s="430"/>
      <c r="L135"/>
      <c r="M135"/>
      <c r="N135"/>
      <c r="T135"/>
    </row>
    <row r="136" spans="1:20" s="434" customFormat="1" ht="15" customHeight="1" outlineLevel="2">
      <c r="A136" s="378"/>
      <c r="B136" s="379" t="s">
        <v>341</v>
      </c>
      <c r="C136" s="380" t="s">
        <v>212</v>
      </c>
      <c r="D136" s="432">
        <f>D270*D416/1.2</f>
        <v>9.755934166666666E-2</v>
      </c>
      <c r="E136" s="433"/>
      <c r="K136" s="435"/>
      <c r="L136" s="436"/>
      <c r="M136" s="436"/>
      <c r="N136" s="436"/>
      <c r="T136" s="436"/>
    </row>
    <row r="137" spans="1:20" s="439" customFormat="1" ht="15" customHeight="1" outlineLevel="2">
      <c r="A137" s="381"/>
      <c r="B137" s="382" t="s">
        <v>342</v>
      </c>
      <c r="C137" s="383" t="s">
        <v>212</v>
      </c>
      <c r="D137" s="437"/>
      <c r="E137" s="438"/>
      <c r="K137" s="440"/>
      <c r="L137" s="441"/>
      <c r="M137" s="441"/>
      <c r="N137" s="441"/>
      <c r="T137" s="441"/>
    </row>
    <row r="138" spans="1:20" s="422" customFormat="1" ht="15" customHeight="1" outlineLevel="1">
      <c r="A138" s="375"/>
      <c r="B138" s="245" t="s">
        <v>347</v>
      </c>
      <c r="C138" s="243" t="s">
        <v>212</v>
      </c>
      <c r="D138" s="244">
        <f>D139+D140+D141</f>
        <v>7.0638419501600005</v>
      </c>
      <c r="E138" s="421"/>
      <c r="K138" s="423"/>
      <c r="L138"/>
      <c r="M138"/>
      <c r="N138"/>
      <c r="T138"/>
    </row>
    <row r="139" spans="1:20" s="422" customFormat="1" ht="15" customHeight="1" outlineLevel="2">
      <c r="A139" s="384"/>
      <c r="B139" s="249" t="s">
        <v>222</v>
      </c>
      <c r="C139" s="250" t="s">
        <v>212</v>
      </c>
      <c r="D139" s="251">
        <f>D143+D147+D151</f>
        <v>0.63574577551440004</v>
      </c>
      <c r="E139" s="421"/>
      <c r="K139" s="423"/>
      <c r="L139"/>
      <c r="M139"/>
      <c r="N139"/>
      <c r="T139"/>
    </row>
    <row r="140" spans="1:20" s="422" customFormat="1" ht="15" customHeight="1" outlineLevel="2">
      <c r="A140" s="384"/>
      <c r="B140" s="249" t="s">
        <v>223</v>
      </c>
      <c r="C140" s="250" t="s">
        <v>212</v>
      </c>
      <c r="D140" s="251">
        <f>D144+D148+D152</f>
        <v>2.4017062630544004</v>
      </c>
      <c r="E140" s="421"/>
      <c r="F140" s="444">
        <v>0.06</v>
      </c>
      <c r="G140" s="422">
        <v>8.3699999999999992</v>
      </c>
      <c r="H140" s="422">
        <v>4.92</v>
      </c>
      <c r="K140" s="423"/>
      <c r="L140"/>
      <c r="M140"/>
      <c r="N140"/>
      <c r="T140"/>
    </row>
    <row r="141" spans="1:20" s="422" customFormat="1" ht="15" customHeight="1" outlineLevel="2">
      <c r="A141" s="384"/>
      <c r="B141" s="249" t="s">
        <v>224</v>
      </c>
      <c r="C141" s="250" t="s">
        <v>212</v>
      </c>
      <c r="D141" s="251">
        <f>D145+D149+D153</f>
        <v>4.0263899115911999</v>
      </c>
      <c r="E141" s="421"/>
      <c r="F141" s="422">
        <v>1.1000000000000001</v>
      </c>
      <c r="G141" s="422">
        <v>13.86</v>
      </c>
      <c r="H141" s="422">
        <v>1.79</v>
      </c>
      <c r="K141" s="423"/>
      <c r="L141"/>
      <c r="M141"/>
      <c r="N141"/>
      <c r="T141"/>
    </row>
    <row r="142" spans="1:20" s="422" customFormat="1" ht="15" customHeight="1" outlineLevel="1">
      <c r="A142" s="375"/>
      <c r="B142" s="377" t="s">
        <v>348</v>
      </c>
      <c r="C142" s="243" t="s">
        <v>212</v>
      </c>
      <c r="D142" s="244">
        <f>D143+D144+D145</f>
        <v>7.0638419501600005</v>
      </c>
      <c r="E142" s="421"/>
      <c r="K142" s="423"/>
      <c r="L142"/>
      <c r="M142"/>
      <c r="N142"/>
      <c r="T142"/>
    </row>
    <row r="143" spans="1:20" s="422" customFormat="1" ht="15" customHeight="1" outlineLevel="2">
      <c r="A143" s="384"/>
      <c r="B143" s="249" t="s">
        <v>222</v>
      </c>
      <c r="C143" s="250" t="s">
        <v>212</v>
      </c>
      <c r="D143" s="251">
        <f>D277*D419</f>
        <v>0.63574577551440004</v>
      </c>
      <c r="E143" s="421"/>
      <c r="K143" s="423"/>
      <c r="L143"/>
      <c r="M143"/>
      <c r="N143"/>
      <c r="T143"/>
    </row>
    <row r="144" spans="1:20" s="422" customFormat="1" ht="15" customHeight="1" outlineLevel="2">
      <c r="A144" s="384"/>
      <c r="B144" s="249" t="s">
        <v>223</v>
      </c>
      <c r="C144" s="250" t="s">
        <v>212</v>
      </c>
      <c r="D144" s="251">
        <f>D278*D420</f>
        <v>2.4017062630544004</v>
      </c>
      <c r="E144" s="421"/>
      <c r="F144" s="444">
        <v>0.06</v>
      </c>
      <c r="G144" s="422">
        <v>8.3699999999999992</v>
      </c>
      <c r="H144" s="422">
        <v>4.92</v>
      </c>
      <c r="K144" s="423"/>
      <c r="L144"/>
      <c r="M144"/>
      <c r="N144"/>
      <c r="T144"/>
    </row>
    <row r="145" spans="1:25" s="422" customFormat="1" ht="15" customHeight="1" outlineLevel="2">
      <c r="A145" s="384"/>
      <c r="B145" s="249" t="s">
        <v>224</v>
      </c>
      <c r="C145" s="250" t="s">
        <v>212</v>
      </c>
      <c r="D145" s="251">
        <f>D279*D421</f>
        <v>4.0263899115911999</v>
      </c>
      <c r="E145" s="421"/>
      <c r="F145" s="422">
        <v>1.1000000000000001</v>
      </c>
      <c r="G145" s="422">
        <v>13.86</v>
      </c>
      <c r="H145" s="422">
        <v>1.79</v>
      </c>
      <c r="K145" s="423"/>
      <c r="L145"/>
      <c r="M145"/>
      <c r="N145"/>
      <c r="T145"/>
    </row>
    <row r="146" spans="1:25" s="422" customFormat="1" ht="15" customHeight="1" outlineLevel="1">
      <c r="A146" s="375"/>
      <c r="B146" s="377" t="s">
        <v>349</v>
      </c>
      <c r="C146" s="243" t="s">
        <v>212</v>
      </c>
      <c r="D146" s="244">
        <f>D147+D148+D149</f>
        <v>0</v>
      </c>
      <c r="E146" s="421"/>
      <c r="K146" s="423"/>
      <c r="L146"/>
      <c r="M146"/>
      <c r="N146"/>
      <c r="T146"/>
    </row>
    <row r="147" spans="1:25" s="422" customFormat="1" ht="15" customHeight="1" outlineLevel="2">
      <c r="A147" s="384"/>
      <c r="B147" s="249" t="s">
        <v>222</v>
      </c>
      <c r="C147" s="250" t="s">
        <v>212</v>
      </c>
      <c r="D147" s="251">
        <f>D281*D419</f>
        <v>0</v>
      </c>
      <c r="E147" s="421"/>
      <c r="K147" s="423"/>
      <c r="L147"/>
      <c r="M147"/>
      <c r="N147"/>
      <c r="T147"/>
    </row>
    <row r="148" spans="1:25" s="422" customFormat="1" ht="15" customHeight="1" outlineLevel="2">
      <c r="A148" s="384"/>
      <c r="B148" s="249" t="s">
        <v>223</v>
      </c>
      <c r="C148" s="250" t="s">
        <v>212</v>
      </c>
      <c r="D148" s="251">
        <f>D282*D420</f>
        <v>0</v>
      </c>
      <c r="E148" s="421"/>
      <c r="F148" s="444">
        <v>0.06</v>
      </c>
      <c r="G148" s="422">
        <v>8.3699999999999992</v>
      </c>
      <c r="H148" s="422">
        <v>4.92</v>
      </c>
      <c r="K148" s="423"/>
      <c r="L148"/>
      <c r="M148"/>
      <c r="N148"/>
      <c r="T148"/>
    </row>
    <row r="149" spans="1:25" s="422" customFormat="1" ht="15" customHeight="1" outlineLevel="2">
      <c r="A149" s="384"/>
      <c r="B149" s="249" t="s">
        <v>224</v>
      </c>
      <c r="C149" s="250" t="s">
        <v>212</v>
      </c>
      <c r="D149" s="251">
        <f>D283*D421</f>
        <v>0</v>
      </c>
      <c r="E149" s="421"/>
      <c r="F149" s="422">
        <v>1.1000000000000001</v>
      </c>
      <c r="G149" s="422">
        <v>13.86</v>
      </c>
      <c r="H149" s="422">
        <v>1.79</v>
      </c>
      <c r="K149" s="423"/>
      <c r="L149"/>
      <c r="M149"/>
      <c r="N149"/>
      <c r="T149"/>
    </row>
    <row r="150" spans="1:25" s="422" customFormat="1" ht="15" customHeight="1" outlineLevel="1">
      <c r="A150" s="375"/>
      <c r="B150" s="377" t="s">
        <v>1822</v>
      </c>
      <c r="C150" s="243" t="s">
        <v>212</v>
      </c>
      <c r="D150" s="244">
        <f>D151+D152+D153</f>
        <v>0</v>
      </c>
      <c r="E150" s="421"/>
      <c r="K150" s="423"/>
      <c r="L150"/>
      <c r="M150"/>
      <c r="N150"/>
      <c r="T150"/>
    </row>
    <row r="151" spans="1:25" s="422" customFormat="1" ht="15" customHeight="1" outlineLevel="2">
      <c r="A151" s="384"/>
      <c r="B151" s="249" t="s">
        <v>222</v>
      </c>
      <c r="C151" s="250" t="s">
        <v>212</v>
      </c>
      <c r="D151" s="251">
        <f>D285*D419</f>
        <v>0</v>
      </c>
      <c r="E151" s="421"/>
      <c r="K151" s="423"/>
      <c r="L151"/>
      <c r="M151"/>
      <c r="N151"/>
      <c r="T151"/>
    </row>
    <row r="152" spans="1:25" s="422" customFormat="1" ht="15" customHeight="1" outlineLevel="2">
      <c r="A152" s="384"/>
      <c r="B152" s="249" t="s">
        <v>223</v>
      </c>
      <c r="C152" s="250" t="s">
        <v>212</v>
      </c>
      <c r="D152" s="251">
        <f>D286*D420</f>
        <v>0</v>
      </c>
      <c r="E152" s="421"/>
      <c r="F152" s="444">
        <v>0.06</v>
      </c>
      <c r="G152" s="422">
        <v>8.3699999999999992</v>
      </c>
      <c r="H152" s="422">
        <v>4.92</v>
      </c>
      <c r="K152" s="423"/>
      <c r="L152"/>
      <c r="M152"/>
      <c r="N152"/>
      <c r="T152"/>
    </row>
    <row r="153" spans="1:25" s="422" customFormat="1" ht="15" customHeight="1" outlineLevel="2">
      <c r="A153" s="384"/>
      <c r="B153" s="249" t="s">
        <v>224</v>
      </c>
      <c r="C153" s="250" t="s">
        <v>212</v>
      </c>
      <c r="D153" s="251">
        <f>D287*D421</f>
        <v>0</v>
      </c>
      <c r="E153" s="421"/>
      <c r="F153" s="422">
        <v>1.1000000000000001</v>
      </c>
      <c r="G153" s="422">
        <v>13.86</v>
      </c>
      <c r="H153" s="422">
        <v>1.79</v>
      </c>
      <c r="K153" s="423"/>
      <c r="L153"/>
      <c r="M153"/>
      <c r="N153"/>
      <c r="T153"/>
    </row>
    <row r="154" spans="1:25" s="422" customFormat="1" ht="15" customHeight="1">
      <c r="A154" s="372" t="s">
        <v>27</v>
      </c>
      <c r="B154" s="260" t="s">
        <v>239</v>
      </c>
      <c r="C154" s="233" t="s">
        <v>240</v>
      </c>
      <c r="D154" s="261">
        <f>D289+D290+D294</f>
        <v>57.095637000000004</v>
      </c>
      <c r="E154" s="445"/>
      <c r="F154" s="446"/>
      <c r="G154" s="446"/>
      <c r="K154" s="423"/>
      <c r="L154"/>
      <c r="M154"/>
      <c r="N154"/>
      <c r="T154"/>
    </row>
    <row r="155" spans="1:25" s="422" customFormat="1" ht="15" customHeight="1">
      <c r="A155" s="375"/>
      <c r="B155" s="245" t="s">
        <v>220</v>
      </c>
      <c r="C155" s="243" t="s">
        <v>240</v>
      </c>
      <c r="D155" s="244">
        <f>D156+D165+D178+D183</f>
        <v>30.561553</v>
      </c>
      <c r="E155" s="445"/>
      <c r="F155" s="446">
        <v>0.48</v>
      </c>
      <c r="G155" s="446">
        <v>0</v>
      </c>
      <c r="K155" s="423"/>
      <c r="L155"/>
      <c r="M155"/>
      <c r="N155"/>
      <c r="T155"/>
    </row>
    <row r="156" spans="1:25" s="422" customFormat="1" ht="15" customHeight="1">
      <c r="A156" s="375"/>
      <c r="B156" s="245" t="s">
        <v>221</v>
      </c>
      <c r="C156" s="243" t="s">
        <v>240</v>
      </c>
      <c r="D156" s="244">
        <f>D157+D161</f>
        <v>19.850285</v>
      </c>
      <c r="E156" s="447"/>
      <c r="F156" s="447"/>
      <c r="G156" s="447"/>
      <c r="H156" s="447"/>
      <c r="I156" s="447"/>
      <c r="J156" s="447"/>
      <c r="K156" s="448"/>
      <c r="L156"/>
      <c r="M156"/>
      <c r="N156"/>
      <c r="O156" s="447"/>
      <c r="P156" s="447"/>
      <c r="Q156" s="447"/>
      <c r="R156" s="447"/>
      <c r="S156" s="447"/>
      <c r="T156"/>
      <c r="U156" s="447"/>
      <c r="V156" s="447"/>
      <c r="W156" s="447"/>
      <c r="X156" s="447"/>
      <c r="Y156" s="447"/>
    </row>
    <row r="157" spans="1:25" s="429" customFormat="1" ht="15" customHeight="1" outlineLevel="1">
      <c r="A157" s="376"/>
      <c r="B157" s="246" t="s">
        <v>156</v>
      </c>
      <c r="C157" s="247"/>
      <c r="D157" s="248">
        <f>D158+D159+D160</f>
        <v>19.850285</v>
      </c>
      <c r="E157" s="416"/>
      <c r="F157" s="416"/>
      <c r="G157" s="416" t="s">
        <v>155</v>
      </c>
      <c r="H157" s="416"/>
      <c r="I157" s="416"/>
      <c r="J157" s="416"/>
      <c r="K157" s="449"/>
      <c r="L157" s="319"/>
      <c r="M157" s="319"/>
      <c r="N157" s="319"/>
      <c r="O157" s="450"/>
      <c r="P157" s="450"/>
      <c r="Q157" s="450"/>
      <c r="R157" s="450"/>
      <c r="S157" s="450"/>
      <c r="T157" s="319"/>
      <c r="U157" s="450"/>
      <c r="V157" s="450"/>
      <c r="W157" s="450"/>
      <c r="X157" s="416"/>
      <c r="Y157" s="416"/>
    </row>
    <row r="158" spans="1:25" s="429" customFormat="1" ht="15" customHeight="1" outlineLevel="1">
      <c r="A158" s="376"/>
      <c r="B158" s="249" t="s">
        <v>222</v>
      </c>
      <c r="C158" s="250" t="s">
        <v>240</v>
      </c>
      <c r="D158" s="251">
        <f>'Шаблон 46 ГП'!E68/1000000+'Шаблон 46 ГП'!E69/1000000</f>
        <v>0.19053300000000001</v>
      </c>
      <c r="E158" s="416"/>
      <c r="F158" s="416">
        <v>3.1</v>
      </c>
      <c r="G158" s="416" t="s">
        <v>156</v>
      </c>
      <c r="H158" s="416"/>
      <c r="I158" s="416"/>
      <c r="J158" s="416"/>
      <c r="K158" s="449"/>
      <c r="L158" s="319"/>
      <c r="M158" s="319"/>
      <c r="N158" s="319"/>
      <c r="O158" s="450"/>
      <c r="P158" s="450"/>
      <c r="Q158" s="450"/>
      <c r="R158" s="450"/>
      <c r="S158" s="450"/>
      <c r="T158" s="319"/>
      <c r="U158" s="450"/>
      <c r="V158" s="450"/>
      <c r="W158" s="450"/>
      <c r="X158" s="416"/>
      <c r="Y158" s="416"/>
    </row>
    <row r="159" spans="1:25" s="429" customFormat="1" ht="15" customHeight="1" outlineLevel="1">
      <c r="A159" s="376"/>
      <c r="B159" s="249" t="s">
        <v>223</v>
      </c>
      <c r="C159" s="250" t="s">
        <v>240</v>
      </c>
      <c r="D159" s="251">
        <f>'Шаблон 46 ГП'!F68/1000000+'Шаблон 46 ГП'!F69/1000000</f>
        <v>12.530697999999999</v>
      </c>
      <c r="E159" s="416"/>
      <c r="F159" s="416">
        <v>3.2</v>
      </c>
      <c r="G159" s="416" t="s">
        <v>157</v>
      </c>
      <c r="H159" s="416"/>
      <c r="I159" s="416"/>
      <c r="J159" s="416"/>
      <c r="K159" s="449"/>
      <c r="L159" s="319"/>
      <c r="M159" s="319"/>
      <c r="N159" s="319"/>
      <c r="O159" s="450"/>
      <c r="P159" s="450"/>
      <c r="Q159" s="450"/>
      <c r="R159" s="450"/>
      <c r="S159" s="450"/>
      <c r="T159" s="319"/>
      <c r="U159" s="450"/>
      <c r="V159" s="450"/>
      <c r="W159" s="450"/>
      <c r="X159" s="416"/>
      <c r="Y159" s="416"/>
    </row>
    <row r="160" spans="1:25" s="429" customFormat="1" ht="15" customHeight="1" outlineLevel="1">
      <c r="A160" s="376"/>
      <c r="B160" s="249" t="s">
        <v>224</v>
      </c>
      <c r="C160" s="250" t="s">
        <v>240</v>
      </c>
      <c r="D160" s="251">
        <f>'Шаблон 46 ГП'!G68/1000000+'Шаблон 46 ГП'!G69/1000000</f>
        <v>7.129054</v>
      </c>
      <c r="E160" s="416"/>
      <c r="F160" s="416"/>
      <c r="G160" s="416" t="s">
        <v>388</v>
      </c>
      <c r="H160" s="416"/>
      <c r="I160" s="416"/>
      <c r="J160" s="416"/>
      <c r="K160" s="449"/>
      <c r="L160" s="319"/>
      <c r="M160" s="319"/>
      <c r="N160" s="319"/>
      <c r="O160" s="450"/>
      <c r="P160" s="450"/>
      <c r="Q160" s="450"/>
      <c r="R160" s="450"/>
      <c r="S160" s="450"/>
      <c r="T160" s="319"/>
      <c r="U160" s="450"/>
      <c r="V160" s="450"/>
      <c r="W160" s="450"/>
      <c r="X160" s="416"/>
      <c r="Y160" s="416"/>
    </row>
    <row r="161" spans="1:25" s="429" customFormat="1" ht="15" customHeight="1" outlineLevel="1">
      <c r="A161" s="376"/>
      <c r="B161" s="246" t="s">
        <v>225</v>
      </c>
      <c r="C161" s="247"/>
      <c r="D161" s="248">
        <f>D162+D163+D164</f>
        <v>0</v>
      </c>
      <c r="E161" s="416"/>
      <c r="F161" s="416">
        <v>3.3</v>
      </c>
      <c r="G161" s="416" t="s">
        <v>158</v>
      </c>
      <c r="H161" s="416"/>
      <c r="I161" s="416"/>
      <c r="J161" s="416"/>
      <c r="K161" s="449"/>
      <c r="L161" s="319"/>
      <c r="M161" s="319"/>
      <c r="N161" s="319"/>
      <c r="O161" s="450"/>
      <c r="P161" s="450"/>
      <c r="Q161" s="450"/>
      <c r="R161" s="450"/>
      <c r="S161" s="450"/>
      <c r="T161" s="319"/>
      <c r="U161" s="450"/>
      <c r="V161" s="450"/>
      <c r="W161" s="450"/>
      <c r="X161" s="416"/>
      <c r="Y161" s="416"/>
    </row>
    <row r="162" spans="1:25" s="429" customFormat="1" ht="15" customHeight="1" outlineLevel="1">
      <c r="A162" s="376"/>
      <c r="B162" s="249" t="s">
        <v>222</v>
      </c>
      <c r="C162" s="250" t="s">
        <v>240</v>
      </c>
      <c r="D162" s="251">
        <f>'Шаблон 46 ГП'!E70/1000000</f>
        <v>0</v>
      </c>
      <c r="E162" s="416"/>
      <c r="F162" s="416">
        <v>3.4</v>
      </c>
      <c r="G162" s="416" t="s">
        <v>389</v>
      </c>
      <c r="H162" s="416"/>
      <c r="I162" s="416"/>
      <c r="J162" s="416"/>
      <c r="K162" s="449"/>
      <c r="L162" s="319"/>
      <c r="M162" s="319"/>
      <c r="N162" s="319"/>
      <c r="O162" s="450"/>
      <c r="P162" s="450"/>
      <c r="Q162" s="450"/>
      <c r="R162" s="450"/>
      <c r="S162" s="450"/>
      <c r="T162" s="319"/>
      <c r="U162" s="450"/>
      <c r="V162" s="450"/>
      <c r="W162" s="450"/>
      <c r="X162" s="416"/>
      <c r="Y162" s="416"/>
    </row>
    <row r="163" spans="1:25" s="429" customFormat="1" ht="15" customHeight="1" outlineLevel="1">
      <c r="A163" s="376"/>
      <c r="B163" s="249" t="s">
        <v>223</v>
      </c>
      <c r="C163" s="250" t="s">
        <v>240</v>
      </c>
      <c r="D163" s="251">
        <f>'Шаблон 46 ГП'!F70/1000000</f>
        <v>0</v>
      </c>
      <c r="E163" s="416"/>
      <c r="F163" s="416"/>
      <c r="G163" s="416" t="s">
        <v>159</v>
      </c>
      <c r="H163" s="416"/>
      <c r="I163" s="416"/>
      <c r="J163" s="416"/>
      <c r="K163" s="449"/>
      <c r="L163" s="319"/>
      <c r="M163" s="319"/>
      <c r="N163" s="319"/>
      <c r="O163" s="450"/>
      <c r="P163" s="450"/>
      <c r="Q163" s="450"/>
      <c r="R163" s="450"/>
      <c r="S163" s="450"/>
      <c r="T163" s="319"/>
      <c r="U163" s="450"/>
      <c r="V163" s="450"/>
      <c r="W163" s="450"/>
      <c r="X163" s="416"/>
      <c r="Y163" s="416"/>
    </row>
    <row r="164" spans="1:25" s="429" customFormat="1" ht="15" customHeight="1" outlineLevel="1">
      <c r="A164" s="376"/>
      <c r="B164" s="249" t="s">
        <v>224</v>
      </c>
      <c r="C164" s="250" t="s">
        <v>240</v>
      </c>
      <c r="D164" s="251">
        <f>'Шаблон 46 ГП'!G70/1000000</f>
        <v>0</v>
      </c>
      <c r="E164" s="416"/>
      <c r="F164" s="416">
        <v>3.8</v>
      </c>
      <c r="G164" s="416" t="s">
        <v>160</v>
      </c>
      <c r="H164" s="416"/>
      <c r="I164" s="416"/>
      <c r="J164" s="416"/>
      <c r="K164" s="449"/>
      <c r="L164" s="319"/>
      <c r="M164" s="319"/>
      <c r="N164" s="319"/>
      <c r="O164" s="450"/>
      <c r="P164" s="450"/>
      <c r="Q164" s="450"/>
      <c r="R164" s="450"/>
      <c r="S164" s="450"/>
      <c r="T164" s="319"/>
      <c r="U164" s="450"/>
      <c r="V164" s="450"/>
      <c r="W164" s="450"/>
      <c r="X164" s="416"/>
      <c r="Y164" s="416"/>
    </row>
    <row r="165" spans="1:25" s="422" customFormat="1" ht="15" customHeight="1">
      <c r="A165" s="375"/>
      <c r="B165" s="245" t="s">
        <v>227</v>
      </c>
      <c r="C165" s="243" t="s">
        <v>240</v>
      </c>
      <c r="D165" s="244">
        <f>D166+D170+D174</f>
        <v>0.295927</v>
      </c>
      <c r="E165" s="421"/>
      <c r="K165" s="423"/>
      <c r="L165"/>
      <c r="M165"/>
      <c r="N165"/>
      <c r="T165"/>
    </row>
    <row r="166" spans="1:25" s="429" customFormat="1" ht="15" customHeight="1" outlineLevel="1">
      <c r="A166" s="376"/>
      <c r="B166" s="246" t="s">
        <v>156</v>
      </c>
      <c r="C166" s="247"/>
      <c r="D166" s="248">
        <f>D167+D168+D169</f>
        <v>0.295927</v>
      </c>
      <c r="E166" s="431"/>
      <c r="K166" s="430"/>
      <c r="L166"/>
      <c r="M166"/>
      <c r="N166"/>
      <c r="T166"/>
    </row>
    <row r="167" spans="1:25" s="429" customFormat="1" ht="15" customHeight="1" outlineLevel="1">
      <c r="A167" s="376"/>
      <c r="B167" s="249" t="s">
        <v>222</v>
      </c>
      <c r="C167" s="250" t="s">
        <v>240</v>
      </c>
      <c r="D167" s="251"/>
      <c r="E167" s="431"/>
      <c r="K167" s="430"/>
      <c r="L167"/>
      <c r="M167"/>
      <c r="N167"/>
    </row>
    <row r="168" spans="1:25" s="429" customFormat="1" ht="15" customHeight="1" outlineLevel="1">
      <c r="A168" s="376"/>
      <c r="B168" s="249" t="s">
        <v>223</v>
      </c>
      <c r="C168" s="250" t="s">
        <v>240</v>
      </c>
      <c r="D168" s="251">
        <f>'Шаблон 46 ГП'!F71/1000000</f>
        <v>0.29286600000000002</v>
      </c>
      <c r="E168" s="431"/>
      <c r="K168" s="430"/>
      <c r="L168"/>
      <c r="M168"/>
      <c r="N168"/>
    </row>
    <row r="169" spans="1:25" s="429" customFormat="1" ht="15" customHeight="1" outlineLevel="1">
      <c r="A169" s="376"/>
      <c r="B169" s="249" t="s">
        <v>224</v>
      </c>
      <c r="C169" s="250" t="s">
        <v>240</v>
      </c>
      <c r="D169" s="251">
        <f>'Шаблон 46 ГП'!G71/1000000</f>
        <v>3.0609999999999999E-3</v>
      </c>
      <c r="E169" s="431"/>
      <c r="K169" s="430"/>
      <c r="L169"/>
      <c r="M169"/>
      <c r="N169"/>
    </row>
    <row r="170" spans="1:25" s="429" customFormat="1" ht="15" customHeight="1" outlineLevel="1">
      <c r="A170" s="376"/>
      <c r="B170" s="246" t="s">
        <v>225</v>
      </c>
      <c r="C170" s="247"/>
      <c r="D170" s="248">
        <f>D171+D172+D173</f>
        <v>0</v>
      </c>
      <c r="E170" s="431"/>
      <c r="K170" s="430"/>
    </row>
    <row r="171" spans="1:25" s="429" customFormat="1" ht="15" customHeight="1" outlineLevel="1">
      <c r="A171" s="376"/>
      <c r="B171" s="249" t="s">
        <v>222</v>
      </c>
      <c r="C171" s="250" t="s">
        <v>240</v>
      </c>
      <c r="D171" s="251"/>
      <c r="E171" s="431"/>
      <c r="K171" s="430"/>
    </row>
    <row r="172" spans="1:25" s="429" customFormat="1" ht="15" customHeight="1" outlineLevel="1">
      <c r="A172" s="376"/>
      <c r="B172" s="249" t="s">
        <v>223</v>
      </c>
      <c r="C172" s="250" t="s">
        <v>240</v>
      </c>
      <c r="D172" s="251"/>
      <c r="E172" s="431"/>
      <c r="K172" s="430"/>
    </row>
    <row r="173" spans="1:25" s="429" customFormat="1" ht="15" customHeight="1" outlineLevel="1">
      <c r="A173" s="376"/>
      <c r="B173" s="249" t="s">
        <v>224</v>
      </c>
      <c r="C173" s="250" t="s">
        <v>240</v>
      </c>
      <c r="D173" s="251"/>
      <c r="E173" s="431"/>
      <c r="K173" s="430"/>
    </row>
    <row r="174" spans="1:25" s="429" customFormat="1" ht="15" customHeight="1" outlineLevel="1">
      <c r="A174" s="376"/>
      <c r="B174" s="252" t="s">
        <v>226</v>
      </c>
      <c r="C174" s="253"/>
      <c r="D174" s="248">
        <f>D175+D176+D177</f>
        <v>0</v>
      </c>
      <c r="E174" s="431"/>
      <c r="K174" s="430"/>
    </row>
    <row r="175" spans="1:25" s="429" customFormat="1" ht="15" customHeight="1" outlineLevel="1">
      <c r="A175" s="376"/>
      <c r="B175" s="249" t="s">
        <v>222</v>
      </c>
      <c r="C175" s="250" t="s">
        <v>240</v>
      </c>
      <c r="D175" s="251"/>
      <c r="E175" s="431"/>
      <c r="K175" s="430"/>
    </row>
    <row r="176" spans="1:25" s="429" customFormat="1" ht="15" customHeight="1" outlineLevel="1">
      <c r="A176" s="376"/>
      <c r="B176" s="249" t="s">
        <v>223</v>
      </c>
      <c r="C176" s="250" t="s">
        <v>240</v>
      </c>
      <c r="D176" s="251"/>
      <c r="E176" s="431"/>
      <c r="K176" s="430"/>
    </row>
    <row r="177" spans="1:29" s="429" customFormat="1" ht="15" customHeight="1" outlineLevel="1">
      <c r="A177" s="376"/>
      <c r="B177" s="249" t="s">
        <v>224</v>
      </c>
      <c r="C177" s="250" t="s">
        <v>240</v>
      </c>
      <c r="D177" s="251"/>
      <c r="E177" s="431"/>
      <c r="K177" s="430"/>
    </row>
    <row r="178" spans="1:29" s="422" customFormat="1" ht="15" customHeight="1">
      <c r="A178" s="375"/>
      <c r="B178" s="245" t="s">
        <v>340</v>
      </c>
      <c r="C178" s="243" t="s">
        <v>240</v>
      </c>
      <c r="D178" s="244">
        <f>D179</f>
        <v>6.7240690000000001</v>
      </c>
      <c r="E178" s="421"/>
      <c r="K178" s="423"/>
      <c r="L178"/>
      <c r="M178"/>
      <c r="N178"/>
      <c r="T178"/>
    </row>
    <row r="179" spans="1:29" s="429" customFormat="1" ht="15" customHeight="1" outlineLevel="1">
      <c r="A179" s="376"/>
      <c r="B179" s="246" t="s">
        <v>226</v>
      </c>
      <c r="C179" s="247"/>
      <c r="D179" s="248">
        <f>D180+D181+D182</f>
        <v>6.7240690000000001</v>
      </c>
      <c r="E179" s="416"/>
      <c r="F179" s="416">
        <v>3.9</v>
      </c>
      <c r="G179" s="416" t="s">
        <v>161</v>
      </c>
      <c r="H179" s="416"/>
      <c r="I179" s="416"/>
      <c r="J179" s="416"/>
      <c r="K179" s="449"/>
      <c r="L179" s="319"/>
      <c r="M179" s="319"/>
      <c r="N179" s="319"/>
      <c r="O179" s="450"/>
      <c r="P179" s="450"/>
      <c r="Q179" s="450"/>
      <c r="R179" s="450"/>
      <c r="S179" s="450"/>
      <c r="T179" s="319"/>
      <c r="U179" s="450"/>
      <c r="V179" s="450"/>
      <c r="W179" s="450"/>
      <c r="X179" s="416"/>
      <c r="Y179" s="416"/>
    </row>
    <row r="180" spans="1:29" s="429" customFormat="1" ht="15" customHeight="1" outlineLevel="1">
      <c r="A180" s="376"/>
      <c r="B180" s="249" t="s">
        <v>222</v>
      </c>
      <c r="C180" s="250" t="s">
        <v>240</v>
      </c>
      <c r="D180" s="251">
        <f>'Шаблон 46 ГП'!E74/1000000</f>
        <v>2.4947789999999999</v>
      </c>
      <c r="E180" s="416"/>
      <c r="F180" s="416"/>
      <c r="G180" s="416" t="s">
        <v>167</v>
      </c>
      <c r="H180" s="416"/>
      <c r="I180" s="416"/>
      <c r="J180" s="416"/>
      <c r="K180" s="449"/>
      <c r="L180" s="319"/>
      <c r="M180" s="319"/>
      <c r="N180" s="319"/>
      <c r="O180" s="450"/>
      <c r="P180" s="450"/>
      <c r="Q180" s="450"/>
      <c r="R180" s="450"/>
      <c r="S180" s="450"/>
      <c r="T180" s="319"/>
      <c r="U180" s="450"/>
      <c r="V180" s="450"/>
      <c r="W180" s="450"/>
      <c r="X180" s="416"/>
      <c r="Y180" s="416"/>
    </row>
    <row r="181" spans="1:29" s="429" customFormat="1" ht="15" customHeight="1" outlineLevel="1">
      <c r="A181" s="376"/>
      <c r="B181" s="249" t="s">
        <v>223</v>
      </c>
      <c r="C181" s="250" t="s">
        <v>240</v>
      </c>
      <c r="D181" s="251">
        <f>'Шаблон 46 ГП'!F74/1000000</f>
        <v>4.2154100000000003</v>
      </c>
      <c r="E181" s="416"/>
      <c r="F181" s="416">
        <v>3.3</v>
      </c>
      <c r="G181" s="416" t="s">
        <v>201</v>
      </c>
      <c r="H181" s="416"/>
      <c r="I181" s="416"/>
      <c r="J181" s="416"/>
      <c r="K181" s="449"/>
      <c r="L181" s="319"/>
      <c r="M181" s="319"/>
      <c r="N181" s="319"/>
      <c r="O181" s="450"/>
      <c r="P181" s="450"/>
      <c r="Q181" s="450"/>
      <c r="R181" s="450"/>
      <c r="S181" s="450"/>
      <c r="T181" s="319"/>
      <c r="U181" s="450"/>
      <c r="V181" s="450"/>
      <c r="W181" s="450"/>
      <c r="X181" s="416"/>
      <c r="Y181" s="416"/>
    </row>
    <row r="182" spans="1:29" s="429" customFormat="1" ht="15" customHeight="1" outlineLevel="1">
      <c r="A182" s="376"/>
      <c r="B182" s="249" t="s">
        <v>224</v>
      </c>
      <c r="C182" s="250" t="s">
        <v>240</v>
      </c>
      <c r="D182" s="251">
        <f>'Шаблон 46 ГП'!G74/1000000</f>
        <v>1.388E-2</v>
      </c>
      <c r="E182" s="416"/>
      <c r="F182" s="416"/>
      <c r="G182" s="416" t="s">
        <v>192</v>
      </c>
      <c r="H182" s="416"/>
      <c r="I182" s="416"/>
      <c r="J182" s="416"/>
      <c r="K182" s="449"/>
      <c r="L182" s="319"/>
      <c r="M182" s="319"/>
      <c r="N182" s="319"/>
      <c r="O182" s="450"/>
      <c r="P182" s="450"/>
      <c r="Q182" s="450"/>
      <c r="R182" s="450"/>
      <c r="S182" s="450"/>
      <c r="T182" s="319"/>
      <c r="U182" s="450"/>
      <c r="V182" s="450"/>
      <c r="W182" s="450"/>
      <c r="X182" s="416"/>
      <c r="Y182" s="416"/>
    </row>
    <row r="183" spans="1:29" s="422" customFormat="1" ht="15" customHeight="1">
      <c r="A183" s="375"/>
      <c r="B183" s="245" t="s">
        <v>152</v>
      </c>
      <c r="C183" s="243" t="s">
        <v>240</v>
      </c>
      <c r="D183" s="244">
        <f>D184</f>
        <v>3.6912720000000001</v>
      </c>
      <c r="E183" s="421"/>
      <c r="K183" s="423"/>
      <c r="L183"/>
      <c r="M183"/>
      <c r="N183"/>
      <c r="T183"/>
    </row>
    <row r="184" spans="1:29" s="429" customFormat="1" ht="15" customHeight="1" outlineLevel="1">
      <c r="A184" s="376"/>
      <c r="B184" s="246" t="s">
        <v>156</v>
      </c>
      <c r="C184" s="247"/>
      <c r="D184" s="248">
        <f>D185+D186+D187</f>
        <v>3.6912720000000001</v>
      </c>
      <c r="E184" s="416"/>
      <c r="F184" s="416">
        <v>3.9</v>
      </c>
      <c r="G184" s="416" t="s">
        <v>161</v>
      </c>
      <c r="H184" s="416"/>
      <c r="I184" s="416"/>
      <c r="J184" s="416"/>
      <c r="K184" s="449"/>
      <c r="L184" s="319"/>
      <c r="M184" s="319"/>
      <c r="N184" s="319"/>
      <c r="O184" s="450"/>
      <c r="P184" s="450"/>
      <c r="Q184" s="450"/>
      <c r="R184" s="450"/>
      <c r="S184" s="450"/>
      <c r="T184" s="319"/>
      <c r="U184" s="450"/>
      <c r="V184" s="450"/>
      <c r="W184" s="450"/>
      <c r="X184" s="416"/>
      <c r="Y184" s="416"/>
    </row>
    <row r="185" spans="1:29" s="429" customFormat="1" ht="15" customHeight="1" outlineLevel="1">
      <c r="A185" s="376"/>
      <c r="B185" s="249" t="s">
        <v>222</v>
      </c>
      <c r="C185" s="250" t="s">
        <v>240</v>
      </c>
      <c r="D185" s="251">
        <f>'Шаблон 46 ГП'!E101/1000000</f>
        <v>0</v>
      </c>
      <c r="E185" s="416"/>
      <c r="F185" s="416"/>
      <c r="G185" s="416" t="s">
        <v>167</v>
      </c>
      <c r="H185" s="416"/>
      <c r="I185" s="416"/>
      <c r="J185" s="416"/>
      <c r="K185" s="449"/>
      <c r="L185" s="319"/>
      <c r="M185" s="319"/>
      <c r="N185" s="319"/>
      <c r="O185" s="450"/>
      <c r="P185" s="450"/>
      <c r="Q185" s="450"/>
      <c r="R185" s="450"/>
      <c r="S185" s="450"/>
      <c r="T185" s="319"/>
      <c r="U185" s="450"/>
      <c r="V185" s="450"/>
      <c r="W185" s="450"/>
      <c r="X185" s="416"/>
      <c r="Y185" s="416"/>
    </row>
    <row r="186" spans="1:29" s="429" customFormat="1" ht="15" customHeight="1" outlineLevel="1">
      <c r="A186" s="376"/>
      <c r="B186" s="249" t="s">
        <v>223</v>
      </c>
      <c r="C186" s="250" t="s">
        <v>240</v>
      </c>
      <c r="D186" s="251">
        <f>'Шаблон 46 ГП'!F101/1000000</f>
        <v>0.102423</v>
      </c>
      <c r="E186" s="416"/>
      <c r="F186" s="416">
        <v>3.3</v>
      </c>
      <c r="G186" s="416" t="s">
        <v>201</v>
      </c>
      <c r="H186" s="416"/>
      <c r="I186" s="416"/>
      <c r="J186" s="416"/>
      <c r="K186" s="449"/>
      <c r="L186" s="319"/>
      <c r="M186" s="319"/>
      <c r="N186" s="319"/>
      <c r="O186" s="450"/>
      <c r="P186" s="450"/>
      <c r="Q186" s="450"/>
      <c r="R186" s="450"/>
      <c r="S186" s="450"/>
      <c r="T186" s="319"/>
      <c r="U186" s="450"/>
      <c r="V186" s="450"/>
      <c r="W186" s="450"/>
      <c r="X186" s="416"/>
      <c r="Y186" s="416"/>
    </row>
    <row r="187" spans="1:29" s="429" customFormat="1" ht="15" customHeight="1" outlineLevel="1">
      <c r="A187" s="376"/>
      <c r="B187" s="249" t="s">
        <v>224</v>
      </c>
      <c r="C187" s="250" t="s">
        <v>240</v>
      </c>
      <c r="D187" s="251">
        <f>'Шаблон 46 ГП'!G101/1000000</f>
        <v>3.5888490000000002</v>
      </c>
      <c r="E187" s="416"/>
      <c r="F187" s="416"/>
      <c r="G187" s="416" t="s">
        <v>192</v>
      </c>
      <c r="H187" s="416"/>
      <c r="I187" s="416"/>
      <c r="J187" s="416"/>
      <c r="K187" s="449"/>
      <c r="L187" s="319"/>
      <c r="M187" s="319"/>
      <c r="N187" s="319"/>
      <c r="O187" s="450"/>
      <c r="P187" s="450"/>
      <c r="Q187" s="450"/>
      <c r="R187" s="450"/>
      <c r="S187" s="450"/>
      <c r="T187" s="319"/>
      <c r="U187" s="450"/>
      <c r="V187" s="450"/>
      <c r="W187" s="450"/>
      <c r="X187" s="416"/>
      <c r="Y187" s="416"/>
    </row>
    <row r="188" spans="1:29" s="422" customFormat="1" ht="15" customHeight="1">
      <c r="A188" s="375"/>
      <c r="B188" s="245" t="s">
        <v>28</v>
      </c>
      <c r="C188" s="243" t="s">
        <v>240</v>
      </c>
      <c r="D188" s="244">
        <f>D191+D218+D233</f>
        <v>24.745756</v>
      </c>
      <c r="E188" s="421"/>
      <c r="K188" s="423"/>
    </row>
    <row r="189" spans="1:29" s="452" customFormat="1" ht="15" customHeight="1">
      <c r="A189" s="385"/>
      <c r="B189" s="386" t="s">
        <v>341</v>
      </c>
      <c r="C189" s="387" t="s">
        <v>240</v>
      </c>
      <c r="D189" s="244">
        <f>D192+D219+D234</f>
        <v>24.745756</v>
      </c>
      <c r="E189" s="451"/>
      <c r="K189" s="453"/>
    </row>
    <row r="190" spans="1:29" s="452" customFormat="1" ht="15" customHeight="1">
      <c r="A190" s="385"/>
      <c r="B190" s="386" t="s">
        <v>350</v>
      </c>
      <c r="C190" s="387" t="s">
        <v>240</v>
      </c>
      <c r="D190" s="244">
        <f>D193+D220+D235</f>
        <v>0</v>
      </c>
      <c r="E190" s="451"/>
      <c r="K190" s="453"/>
    </row>
    <row r="191" spans="1:29" s="422" customFormat="1" ht="15" customHeight="1" outlineLevel="1">
      <c r="A191" s="376"/>
      <c r="B191" s="254" t="s">
        <v>228</v>
      </c>
      <c r="C191" s="255" t="s">
        <v>240</v>
      </c>
      <c r="D191" s="248">
        <f>D194+D197+D206+D209</f>
        <v>1.5048490000000001</v>
      </c>
      <c r="E191" s="421"/>
      <c r="F191" s="454" t="s">
        <v>29</v>
      </c>
      <c r="G191" s="455"/>
      <c r="H191" s="455"/>
      <c r="I191" s="455"/>
      <c r="J191" s="455"/>
      <c r="K191" s="456"/>
      <c r="L191" s="54">
        <v>983325</v>
      </c>
      <c r="M191" s="457"/>
      <c r="N191" s="457"/>
      <c r="O191" s="457"/>
      <c r="P191" s="457"/>
      <c r="Q191" s="457"/>
      <c r="R191" s="457"/>
      <c r="S191" s="457"/>
      <c r="T191" s="457"/>
      <c r="U191" s="457"/>
      <c r="V191" s="457"/>
      <c r="W191" s="457"/>
    </row>
    <row r="192" spans="1:29" s="434" customFormat="1" ht="15" customHeight="1" outlineLevel="2">
      <c r="A192" s="378"/>
      <c r="B192" s="379" t="s">
        <v>341</v>
      </c>
      <c r="C192" s="380" t="s">
        <v>240</v>
      </c>
      <c r="D192" s="432">
        <f>D191</f>
        <v>1.5048490000000001</v>
      </c>
      <c r="E192" s="432">
        <f t="shared" ref="E192:AC192" si="1">ROUND(E191*85%,6)</f>
        <v>0</v>
      </c>
      <c r="F192" s="432" t="e">
        <f t="shared" si="1"/>
        <v>#VALUE!</v>
      </c>
      <c r="G192" s="432">
        <f t="shared" si="1"/>
        <v>0</v>
      </c>
      <c r="H192" s="432">
        <f t="shared" si="1"/>
        <v>0</v>
      </c>
      <c r="I192" s="432">
        <f t="shared" si="1"/>
        <v>0</v>
      </c>
      <c r="J192" s="432">
        <f t="shared" si="1"/>
        <v>0</v>
      </c>
      <c r="K192" s="432">
        <f t="shared" si="1"/>
        <v>0</v>
      </c>
      <c r="L192" s="432">
        <f t="shared" si="1"/>
        <v>835826.25</v>
      </c>
      <c r="M192" s="432">
        <f t="shared" si="1"/>
        <v>0</v>
      </c>
      <c r="N192" s="432">
        <f t="shared" si="1"/>
        <v>0</v>
      </c>
      <c r="O192" s="432">
        <f t="shared" si="1"/>
        <v>0</v>
      </c>
      <c r="P192" s="432">
        <f t="shared" si="1"/>
        <v>0</v>
      </c>
      <c r="Q192" s="432">
        <f t="shared" si="1"/>
        <v>0</v>
      </c>
      <c r="R192" s="432">
        <f t="shared" si="1"/>
        <v>0</v>
      </c>
      <c r="S192" s="432">
        <f t="shared" si="1"/>
        <v>0</v>
      </c>
      <c r="T192" s="432">
        <f t="shared" si="1"/>
        <v>0</v>
      </c>
      <c r="U192" s="432">
        <f t="shared" si="1"/>
        <v>0</v>
      </c>
      <c r="V192" s="432">
        <f t="shared" si="1"/>
        <v>0</v>
      </c>
      <c r="W192" s="432">
        <f t="shared" si="1"/>
        <v>0</v>
      </c>
      <c r="X192" s="432">
        <f t="shared" si="1"/>
        <v>0</v>
      </c>
      <c r="Y192" s="432">
        <f t="shared" si="1"/>
        <v>0</v>
      </c>
      <c r="Z192" s="432">
        <f t="shared" si="1"/>
        <v>0</v>
      </c>
      <c r="AA192" s="432">
        <f t="shared" si="1"/>
        <v>0</v>
      </c>
      <c r="AB192" s="432">
        <f t="shared" si="1"/>
        <v>0</v>
      </c>
      <c r="AC192" s="432">
        <f t="shared" si="1"/>
        <v>0</v>
      </c>
    </row>
    <row r="193" spans="1:29" s="439" customFormat="1" ht="15" customHeight="1" outlineLevel="2">
      <c r="A193" s="381"/>
      <c r="B193" s="382" t="s">
        <v>342</v>
      </c>
      <c r="C193" s="383" t="s">
        <v>240</v>
      </c>
      <c r="D193" s="437"/>
      <c r="E193" s="437">
        <f t="shared" ref="E193:AC193" si="2">E191-E192</f>
        <v>0</v>
      </c>
      <c r="F193" s="437" t="e">
        <f t="shared" si="2"/>
        <v>#VALUE!</v>
      </c>
      <c r="G193" s="437">
        <f t="shared" si="2"/>
        <v>0</v>
      </c>
      <c r="H193" s="437">
        <f t="shared" si="2"/>
        <v>0</v>
      </c>
      <c r="I193" s="437">
        <f t="shared" si="2"/>
        <v>0</v>
      </c>
      <c r="J193" s="437">
        <f t="shared" si="2"/>
        <v>0</v>
      </c>
      <c r="K193" s="437">
        <f t="shared" si="2"/>
        <v>0</v>
      </c>
      <c r="L193" s="437">
        <f t="shared" si="2"/>
        <v>147498.75</v>
      </c>
      <c r="M193" s="437">
        <f t="shared" si="2"/>
        <v>0</v>
      </c>
      <c r="N193" s="437">
        <f t="shared" si="2"/>
        <v>0</v>
      </c>
      <c r="O193" s="437">
        <f t="shared" si="2"/>
        <v>0</v>
      </c>
      <c r="P193" s="437">
        <f t="shared" si="2"/>
        <v>0</v>
      </c>
      <c r="Q193" s="437">
        <f t="shared" si="2"/>
        <v>0</v>
      </c>
      <c r="R193" s="437">
        <f t="shared" si="2"/>
        <v>0</v>
      </c>
      <c r="S193" s="437">
        <f t="shared" si="2"/>
        <v>0</v>
      </c>
      <c r="T193" s="437">
        <f t="shared" si="2"/>
        <v>0</v>
      </c>
      <c r="U193" s="437">
        <f t="shared" si="2"/>
        <v>0</v>
      </c>
      <c r="V193" s="437">
        <f t="shared" si="2"/>
        <v>0</v>
      </c>
      <c r="W193" s="437">
        <f t="shared" si="2"/>
        <v>0</v>
      </c>
      <c r="X193" s="437">
        <f t="shared" si="2"/>
        <v>0</v>
      </c>
      <c r="Y193" s="437">
        <f t="shared" si="2"/>
        <v>0</v>
      </c>
      <c r="Z193" s="437">
        <f t="shared" si="2"/>
        <v>0</v>
      </c>
      <c r="AA193" s="437">
        <f t="shared" si="2"/>
        <v>0</v>
      </c>
      <c r="AB193" s="437">
        <f t="shared" si="2"/>
        <v>0</v>
      </c>
      <c r="AC193" s="437">
        <f t="shared" si="2"/>
        <v>0</v>
      </c>
    </row>
    <row r="194" spans="1:29" s="422" customFormat="1" ht="15" customHeight="1" outlineLevel="1">
      <c r="A194" s="376"/>
      <c r="B194" s="256" t="s">
        <v>234</v>
      </c>
      <c r="C194" s="255" t="s">
        <v>240</v>
      </c>
      <c r="D194" s="258">
        <f>'Шаблон 46 ГП'!F40/1000000</f>
        <v>0</v>
      </c>
      <c r="E194" s="421"/>
      <c r="F194" s="454" t="s">
        <v>30</v>
      </c>
      <c r="G194" s="455"/>
      <c r="H194" s="455"/>
      <c r="I194" s="455"/>
      <c r="J194" s="455"/>
      <c r="K194" s="456"/>
      <c r="L194" s="54">
        <v>7869166</v>
      </c>
      <c r="M194" s="457"/>
      <c r="N194" s="457"/>
      <c r="O194" s="457"/>
      <c r="P194" s="457"/>
      <c r="Q194" s="457"/>
      <c r="R194" s="457"/>
      <c r="S194" s="457"/>
      <c r="T194" s="457"/>
      <c r="U194" s="457"/>
      <c r="V194" s="457"/>
      <c r="W194" s="457"/>
    </row>
    <row r="195" spans="1:29" s="434" customFormat="1" ht="15" customHeight="1" outlineLevel="2">
      <c r="A195" s="378"/>
      <c r="B195" s="379" t="s">
        <v>341</v>
      </c>
      <c r="C195" s="380" t="s">
        <v>240</v>
      </c>
      <c r="D195" s="432">
        <f>ROUND(D194,6)</f>
        <v>0</v>
      </c>
      <c r="E195" s="433"/>
      <c r="K195" s="435"/>
      <c r="L195" s="436"/>
      <c r="M195" s="436"/>
      <c r="N195" s="436"/>
      <c r="T195" s="436"/>
    </row>
    <row r="196" spans="1:29" s="439" customFormat="1" ht="15" customHeight="1" outlineLevel="2">
      <c r="A196" s="381"/>
      <c r="B196" s="382" t="s">
        <v>342</v>
      </c>
      <c r="C196" s="383" t="s">
        <v>240</v>
      </c>
      <c r="D196" s="437"/>
      <c r="E196" s="438"/>
      <c r="K196" s="440"/>
      <c r="L196" s="441"/>
      <c r="M196" s="441"/>
      <c r="N196" s="441"/>
      <c r="T196" s="441"/>
    </row>
    <row r="197" spans="1:29" s="422" customFormat="1" ht="15" customHeight="1" outlineLevel="1">
      <c r="A197" s="376"/>
      <c r="B197" s="257" t="s">
        <v>399</v>
      </c>
      <c r="C197" s="255" t="s">
        <v>240</v>
      </c>
      <c r="D197" s="258">
        <f>D200+D203</f>
        <v>0</v>
      </c>
      <c r="E197" s="421"/>
      <c r="F197" s="454" t="s">
        <v>31</v>
      </c>
      <c r="G197" s="455"/>
      <c r="H197" s="455"/>
      <c r="I197" s="455"/>
      <c r="J197" s="455"/>
      <c r="K197" s="456"/>
      <c r="L197" s="54">
        <v>2436693</v>
      </c>
      <c r="M197" s="457"/>
      <c r="N197" s="457"/>
      <c r="O197" s="457"/>
      <c r="P197" s="457"/>
      <c r="Q197" s="457"/>
      <c r="R197" s="457"/>
      <c r="S197" s="457"/>
      <c r="T197" s="457"/>
      <c r="U197" s="457"/>
      <c r="V197" s="457"/>
      <c r="W197" s="457"/>
    </row>
    <row r="198" spans="1:29" s="434" customFormat="1" ht="15" customHeight="1" outlineLevel="2">
      <c r="A198" s="378"/>
      <c r="B198" s="379" t="s">
        <v>341</v>
      </c>
      <c r="C198" s="380" t="s">
        <v>240</v>
      </c>
      <c r="D198" s="432">
        <f>D201+D204</f>
        <v>0</v>
      </c>
      <c r="E198" s="433"/>
      <c r="K198" s="435"/>
      <c r="L198" s="436"/>
      <c r="M198" s="436"/>
      <c r="N198" s="436"/>
      <c r="T198" s="436"/>
    </row>
    <row r="199" spans="1:29" s="439" customFormat="1" ht="15" customHeight="1" outlineLevel="2">
      <c r="A199" s="381"/>
      <c r="B199" s="382" t="s">
        <v>342</v>
      </c>
      <c r="C199" s="383" t="s">
        <v>240</v>
      </c>
      <c r="D199" s="437"/>
      <c r="E199" s="438"/>
      <c r="K199" s="440"/>
      <c r="L199" s="441"/>
      <c r="M199" s="441"/>
      <c r="N199" s="441"/>
      <c r="T199" s="441"/>
    </row>
    <row r="200" spans="1:29" s="422" customFormat="1" ht="15" customHeight="1" outlineLevel="1">
      <c r="A200" s="376"/>
      <c r="B200" s="249" t="s">
        <v>230</v>
      </c>
      <c r="C200" s="250" t="s">
        <v>240</v>
      </c>
      <c r="D200" s="251">
        <f>'Шаблон 46 ГП'!F43/1000000+'Шаблон 46 ГП'!F64/1000000</f>
        <v>0</v>
      </c>
      <c r="E200" s="421"/>
      <c r="F200" s="454" t="s">
        <v>32</v>
      </c>
      <c r="G200" s="455"/>
      <c r="H200" s="455"/>
      <c r="I200" s="455"/>
      <c r="J200" s="455"/>
      <c r="K200" s="456"/>
      <c r="L200" s="54">
        <v>834884</v>
      </c>
      <c r="M200" s="457"/>
      <c r="N200" s="457"/>
      <c r="O200" s="457"/>
      <c r="P200" s="457"/>
      <c r="Q200" s="457"/>
      <c r="R200" s="457"/>
      <c r="S200" s="457"/>
      <c r="T200" s="457"/>
      <c r="U200" s="457"/>
      <c r="V200" s="457"/>
      <c r="W200" s="457"/>
    </row>
    <row r="201" spans="1:29" s="434" customFormat="1" ht="15" customHeight="1" outlineLevel="2">
      <c r="A201" s="378"/>
      <c r="B201" s="379" t="s">
        <v>341</v>
      </c>
      <c r="C201" s="380" t="s">
        <v>240</v>
      </c>
      <c r="D201" s="432">
        <f>ROUND(D200,6)</f>
        <v>0</v>
      </c>
      <c r="E201" s="433"/>
      <c r="K201" s="435"/>
      <c r="L201" s="436"/>
      <c r="M201" s="436"/>
      <c r="N201" s="436"/>
      <c r="T201" s="436"/>
    </row>
    <row r="202" spans="1:29" s="439" customFormat="1" ht="15" customHeight="1" outlineLevel="2">
      <c r="A202" s="381"/>
      <c r="B202" s="382" t="s">
        <v>342</v>
      </c>
      <c r="C202" s="383" t="s">
        <v>240</v>
      </c>
      <c r="D202" s="437"/>
      <c r="E202" s="438"/>
      <c r="K202" s="440"/>
      <c r="L202" s="441"/>
      <c r="M202" s="441"/>
      <c r="N202" s="441"/>
      <c r="T202" s="441"/>
    </row>
    <row r="203" spans="1:29" s="422" customFormat="1" ht="15" customHeight="1" outlineLevel="1">
      <c r="A203" s="376"/>
      <c r="B203" s="249" t="s">
        <v>231</v>
      </c>
      <c r="C203" s="250" t="s">
        <v>240</v>
      </c>
      <c r="D203" s="251">
        <f>'Шаблон 46 ГП'!F46/1000000+'Шаблон 46 ГП'!F65/1000000</f>
        <v>0</v>
      </c>
      <c r="E203" s="421"/>
      <c r="F203" s="454" t="s">
        <v>33</v>
      </c>
      <c r="G203" s="455"/>
      <c r="H203" s="455"/>
      <c r="I203" s="455"/>
      <c r="J203" s="455"/>
      <c r="K203" s="456"/>
      <c r="L203" s="54">
        <v>1352014</v>
      </c>
      <c r="M203" s="457"/>
      <c r="N203" s="457"/>
      <c r="O203" s="457"/>
      <c r="P203" s="457"/>
      <c r="Q203" s="457"/>
      <c r="R203" s="457"/>
      <c r="S203" s="457"/>
      <c r="T203" s="457"/>
      <c r="U203" s="457"/>
      <c r="V203" s="457"/>
      <c r="W203" s="457"/>
    </row>
    <row r="204" spans="1:29" s="434" customFormat="1" ht="15" customHeight="1" outlineLevel="2">
      <c r="A204" s="378"/>
      <c r="B204" s="379" t="s">
        <v>341</v>
      </c>
      <c r="C204" s="380" t="s">
        <v>240</v>
      </c>
      <c r="D204" s="432">
        <f>ROUND(D203,6)</f>
        <v>0</v>
      </c>
      <c r="E204" s="433"/>
      <c r="K204" s="435"/>
      <c r="L204" s="436"/>
      <c r="M204" s="436"/>
      <c r="N204" s="436"/>
      <c r="T204" s="436"/>
    </row>
    <row r="205" spans="1:29" s="439" customFormat="1" ht="15" customHeight="1" outlineLevel="2">
      <c r="A205" s="381"/>
      <c r="B205" s="382" t="s">
        <v>342</v>
      </c>
      <c r="C205" s="383" t="s">
        <v>240</v>
      </c>
      <c r="D205" s="437"/>
      <c r="E205" s="438"/>
      <c r="K205" s="440"/>
      <c r="L205" s="441"/>
      <c r="M205" s="441"/>
      <c r="N205" s="441"/>
      <c r="T205" s="441"/>
    </row>
    <row r="206" spans="1:29" s="439" customFormat="1" ht="15" customHeight="1" outlineLevel="1">
      <c r="A206" s="381"/>
      <c r="B206" s="256" t="s">
        <v>236</v>
      </c>
      <c r="C206" s="383" t="s">
        <v>240</v>
      </c>
      <c r="D206" s="258">
        <f>'Шаблон 46 ГП'!G40/1000000</f>
        <v>0.10198699999999999</v>
      </c>
      <c r="E206" s="438"/>
      <c r="F206" s="458" t="s">
        <v>30</v>
      </c>
      <c r="G206" s="459"/>
      <c r="H206" s="459"/>
      <c r="I206" s="459"/>
      <c r="J206" s="459"/>
      <c r="K206" s="460"/>
      <c r="L206" s="461">
        <v>7869166</v>
      </c>
      <c r="M206" s="462"/>
      <c r="N206" s="462"/>
      <c r="O206" s="462"/>
      <c r="P206" s="462"/>
      <c r="Q206" s="462"/>
      <c r="R206" s="462"/>
      <c r="S206" s="462"/>
      <c r="T206" s="462"/>
      <c r="U206" s="462"/>
      <c r="V206" s="462"/>
      <c r="W206" s="462"/>
    </row>
    <row r="207" spans="1:29" s="434" customFormat="1" ht="15" customHeight="1" outlineLevel="2">
      <c r="A207" s="378"/>
      <c r="B207" s="379" t="s">
        <v>341</v>
      </c>
      <c r="C207" s="380" t="s">
        <v>240</v>
      </c>
      <c r="D207" s="432">
        <f>D206</f>
        <v>0.10198699999999999</v>
      </c>
      <c r="E207" s="433"/>
      <c r="K207" s="435"/>
      <c r="L207" s="436"/>
      <c r="M207" s="436"/>
      <c r="N207" s="436"/>
      <c r="T207" s="436"/>
    </row>
    <row r="208" spans="1:29" s="439" customFormat="1" ht="15" customHeight="1" outlineLevel="2">
      <c r="A208" s="381"/>
      <c r="B208" s="382" t="s">
        <v>342</v>
      </c>
      <c r="C208" s="383" t="s">
        <v>240</v>
      </c>
      <c r="D208" s="437"/>
      <c r="E208" s="438"/>
      <c r="K208" s="440"/>
      <c r="L208" s="441"/>
      <c r="M208" s="441"/>
      <c r="N208" s="441"/>
      <c r="T208" s="441"/>
    </row>
    <row r="209" spans="1:23" s="422" customFormat="1" ht="15" customHeight="1" outlineLevel="1">
      <c r="A209" s="376"/>
      <c r="B209" s="257" t="s">
        <v>344</v>
      </c>
      <c r="C209" s="255" t="s">
        <v>240</v>
      </c>
      <c r="D209" s="258">
        <f>D212+D215</f>
        <v>1.4028620000000001</v>
      </c>
      <c r="E209" s="421"/>
      <c r="F209" s="454" t="s">
        <v>31</v>
      </c>
      <c r="G209" s="455"/>
      <c r="H209" s="455"/>
      <c r="I209" s="455"/>
      <c r="J209" s="455"/>
      <c r="K209" s="456"/>
      <c r="L209" s="54">
        <v>2436693</v>
      </c>
      <c r="M209" s="457"/>
      <c r="N209" s="457"/>
      <c r="O209" s="457"/>
      <c r="P209" s="457"/>
      <c r="Q209" s="457"/>
      <c r="R209" s="457"/>
      <c r="S209" s="457"/>
      <c r="T209" s="457"/>
      <c r="U209" s="457"/>
      <c r="V209" s="457"/>
      <c r="W209" s="457"/>
    </row>
    <row r="210" spans="1:23" s="434" customFormat="1" ht="15" customHeight="1" outlineLevel="2">
      <c r="A210" s="378"/>
      <c r="B210" s="379" t="s">
        <v>341</v>
      </c>
      <c r="C210" s="380" t="s">
        <v>240</v>
      </c>
      <c r="D210" s="432">
        <f>D213+D216</f>
        <v>1.4028620000000001</v>
      </c>
      <c r="E210" s="433"/>
      <c r="K210" s="435"/>
      <c r="L210" s="436"/>
      <c r="M210" s="436"/>
      <c r="N210" s="436"/>
      <c r="T210" s="436"/>
    </row>
    <row r="211" spans="1:23" s="439" customFormat="1" ht="15" customHeight="1" outlineLevel="2">
      <c r="A211" s="381"/>
      <c r="B211" s="382" t="s">
        <v>342</v>
      </c>
      <c r="C211" s="383" t="s">
        <v>240</v>
      </c>
      <c r="D211" s="437"/>
      <c r="E211" s="438"/>
      <c r="K211" s="440"/>
      <c r="L211" s="441"/>
      <c r="M211" s="441"/>
      <c r="N211" s="441"/>
      <c r="T211" s="441"/>
    </row>
    <row r="212" spans="1:23" s="422" customFormat="1" ht="15" customHeight="1" outlineLevel="1">
      <c r="A212" s="376"/>
      <c r="B212" s="249" t="s">
        <v>230</v>
      </c>
      <c r="C212" s="250" t="s">
        <v>240</v>
      </c>
      <c r="D212" s="251">
        <f>'Шаблон 46 ГП'!G43/1000000</f>
        <v>0.93671199999999999</v>
      </c>
      <c r="E212" s="421"/>
      <c r="F212" s="454" t="s">
        <v>32</v>
      </c>
      <c r="G212" s="455"/>
      <c r="H212" s="455"/>
      <c r="I212" s="455"/>
      <c r="J212" s="455"/>
      <c r="K212" s="456"/>
      <c r="L212" s="54">
        <v>834884</v>
      </c>
      <c r="M212" s="457"/>
      <c r="N212" s="457"/>
      <c r="O212" s="457"/>
      <c r="P212" s="457"/>
      <c r="Q212" s="457"/>
      <c r="R212" s="457"/>
      <c r="S212" s="457"/>
      <c r="T212" s="457"/>
      <c r="U212" s="457"/>
      <c r="V212" s="457"/>
      <c r="W212" s="457"/>
    </row>
    <row r="213" spans="1:23" s="434" customFormat="1" ht="15" customHeight="1" outlineLevel="2">
      <c r="A213" s="378"/>
      <c r="B213" s="379" t="s">
        <v>341</v>
      </c>
      <c r="C213" s="380" t="s">
        <v>240</v>
      </c>
      <c r="D213" s="432">
        <f>D212</f>
        <v>0.93671199999999999</v>
      </c>
      <c r="E213" s="433"/>
      <c r="K213" s="435"/>
      <c r="L213" s="436"/>
      <c r="M213" s="436"/>
      <c r="N213" s="436"/>
      <c r="T213" s="436"/>
    </row>
    <row r="214" spans="1:23" s="439" customFormat="1" ht="15" customHeight="1" outlineLevel="2">
      <c r="A214" s="381"/>
      <c r="B214" s="382" t="s">
        <v>342</v>
      </c>
      <c r="C214" s="383" t="s">
        <v>240</v>
      </c>
      <c r="D214" s="437"/>
      <c r="E214" s="438"/>
      <c r="K214" s="440"/>
      <c r="L214" s="441"/>
      <c r="M214" s="441"/>
      <c r="N214" s="441"/>
      <c r="T214" s="441"/>
    </row>
    <row r="215" spans="1:23" s="422" customFormat="1" ht="15" customHeight="1" outlineLevel="1">
      <c r="A215" s="376"/>
      <c r="B215" s="249" t="s">
        <v>231</v>
      </c>
      <c r="C215" s="250" t="s">
        <v>240</v>
      </c>
      <c r="D215" s="251">
        <f>'Шаблон 46 ГП'!G46/1000000</f>
        <v>0.46615000000000001</v>
      </c>
      <c r="E215" s="421"/>
      <c r="F215" s="454" t="s">
        <v>33</v>
      </c>
      <c r="G215" s="455"/>
      <c r="H215" s="455"/>
      <c r="I215" s="455"/>
      <c r="J215" s="455"/>
      <c r="K215" s="456"/>
      <c r="L215" s="54">
        <v>1352014</v>
      </c>
      <c r="M215" s="457"/>
      <c r="N215" s="457"/>
      <c r="O215" s="457"/>
      <c r="P215" s="457"/>
      <c r="Q215" s="457"/>
      <c r="R215" s="457"/>
      <c r="S215" s="457"/>
      <c r="T215" s="457"/>
      <c r="U215" s="457"/>
      <c r="V215" s="457"/>
      <c r="W215" s="457"/>
    </row>
    <row r="216" spans="1:23" s="434" customFormat="1" ht="15" customHeight="1" outlineLevel="2">
      <c r="A216" s="378"/>
      <c r="B216" s="379" t="s">
        <v>341</v>
      </c>
      <c r="C216" s="380" t="s">
        <v>240</v>
      </c>
      <c r="D216" s="432">
        <f>D215</f>
        <v>0.46615000000000001</v>
      </c>
      <c r="E216" s="433"/>
      <c r="K216" s="435"/>
      <c r="L216" s="436"/>
      <c r="M216" s="436"/>
      <c r="N216" s="436"/>
      <c r="T216" s="436"/>
    </row>
    <row r="217" spans="1:23" s="439" customFormat="1" ht="15" customHeight="1" outlineLevel="2">
      <c r="A217" s="381"/>
      <c r="B217" s="382" t="s">
        <v>342</v>
      </c>
      <c r="C217" s="383" t="s">
        <v>240</v>
      </c>
      <c r="D217" s="437"/>
      <c r="E217" s="438"/>
      <c r="K217" s="440"/>
      <c r="L217" s="441"/>
      <c r="M217" s="441"/>
      <c r="N217" s="441"/>
      <c r="T217" s="441"/>
    </row>
    <row r="218" spans="1:23" s="422" customFormat="1" ht="15" customHeight="1" outlineLevel="1">
      <c r="A218" s="376"/>
      <c r="B218" s="254" t="s">
        <v>232</v>
      </c>
      <c r="C218" s="255" t="s">
        <v>240</v>
      </c>
      <c r="D218" s="248">
        <f>D221+D224</f>
        <v>21.135286000000001</v>
      </c>
      <c r="E218" s="421"/>
      <c r="F218" s="454" t="s">
        <v>34</v>
      </c>
      <c r="G218" s="455"/>
      <c r="H218" s="455"/>
      <c r="I218" s="455"/>
      <c r="J218" s="455"/>
      <c r="K218" s="456"/>
      <c r="L218" s="54">
        <v>740052</v>
      </c>
      <c r="M218" s="457"/>
      <c r="N218" s="457"/>
      <c r="O218" s="457"/>
      <c r="P218" s="457"/>
      <c r="Q218" s="457"/>
      <c r="R218" s="457"/>
      <c r="S218" s="457"/>
      <c r="T218" s="457"/>
      <c r="U218" s="457"/>
      <c r="V218" s="457"/>
      <c r="W218" s="457"/>
    </row>
    <row r="219" spans="1:23" s="434" customFormat="1" ht="15" customHeight="1" outlineLevel="2">
      <c r="A219" s="378"/>
      <c r="B219" s="379" t="s">
        <v>341</v>
      </c>
      <c r="C219" s="380" t="s">
        <v>240</v>
      </c>
      <c r="D219" s="432">
        <f>D222+D225</f>
        <v>21.135286000000001</v>
      </c>
      <c r="E219" s="433"/>
      <c r="K219" s="435"/>
      <c r="L219" s="436"/>
      <c r="M219" s="436"/>
      <c r="N219" s="436"/>
      <c r="T219" s="436"/>
    </row>
    <row r="220" spans="1:23" s="439" customFormat="1" ht="15" customHeight="1" outlineLevel="2">
      <c r="A220" s="381"/>
      <c r="B220" s="382" t="s">
        <v>342</v>
      </c>
      <c r="C220" s="383" t="s">
        <v>240</v>
      </c>
      <c r="D220" s="437"/>
      <c r="E220" s="438"/>
      <c r="K220" s="440"/>
      <c r="L220" s="441"/>
      <c r="M220" s="441"/>
      <c r="N220" s="441"/>
      <c r="T220" s="441"/>
    </row>
    <row r="221" spans="1:23" s="422" customFormat="1" ht="15" customHeight="1" outlineLevel="1">
      <c r="A221" s="376"/>
      <c r="B221" s="256" t="s">
        <v>229</v>
      </c>
      <c r="C221" s="255" t="s">
        <v>240</v>
      </c>
      <c r="D221" s="258">
        <f>'Шаблон 46 ГП'!G28/1000000+'Шаблон 46 ГП'!G37/1000000</f>
        <v>7.349024</v>
      </c>
      <c r="E221" s="421"/>
      <c r="F221" s="454" t="s">
        <v>35</v>
      </c>
      <c r="G221" s="455"/>
      <c r="H221" s="455"/>
      <c r="I221" s="455"/>
      <c r="J221" s="455"/>
      <c r="K221" s="456"/>
      <c r="L221" s="54">
        <v>17073648</v>
      </c>
      <c r="M221" s="457"/>
      <c r="N221" s="457"/>
      <c r="O221" s="457"/>
      <c r="P221" s="457"/>
      <c r="Q221" s="457"/>
      <c r="R221" s="457"/>
      <c r="S221" s="457"/>
      <c r="T221" s="457"/>
      <c r="U221" s="457"/>
      <c r="V221" s="457"/>
      <c r="W221" s="457"/>
    </row>
    <row r="222" spans="1:23" s="434" customFormat="1" ht="15" customHeight="1" outlineLevel="2">
      <c r="A222" s="378"/>
      <c r="B222" s="379" t="s">
        <v>341</v>
      </c>
      <c r="C222" s="380" t="s">
        <v>240</v>
      </c>
      <c r="D222" s="432">
        <f>D221</f>
        <v>7.349024</v>
      </c>
      <c r="E222" s="433"/>
      <c r="K222" s="435"/>
      <c r="L222" s="436"/>
      <c r="M222" s="436"/>
      <c r="N222" s="436"/>
      <c r="T222" s="436"/>
    </row>
    <row r="223" spans="1:23" s="439" customFormat="1" ht="15" customHeight="1" outlineLevel="2">
      <c r="A223" s="381"/>
      <c r="B223" s="382" t="s">
        <v>342</v>
      </c>
      <c r="C223" s="383" t="s">
        <v>240</v>
      </c>
      <c r="D223" s="437"/>
      <c r="E223" s="438"/>
      <c r="K223" s="440"/>
      <c r="L223" s="441"/>
      <c r="M223" s="441"/>
      <c r="N223" s="441"/>
      <c r="T223" s="441"/>
    </row>
    <row r="224" spans="1:23" s="422" customFormat="1" ht="15" customHeight="1" outlineLevel="1">
      <c r="A224" s="376"/>
      <c r="B224" s="257" t="s">
        <v>345</v>
      </c>
      <c r="C224" s="255" t="s">
        <v>240</v>
      </c>
      <c r="D224" s="258">
        <f>D227+D230</f>
        <v>13.786262000000001</v>
      </c>
      <c r="E224" s="421"/>
      <c r="F224" s="454" t="s">
        <v>36</v>
      </c>
      <c r="G224" s="455"/>
      <c r="H224" s="455"/>
      <c r="I224" s="455"/>
      <c r="J224" s="455"/>
      <c r="K224" s="456"/>
      <c r="L224" s="54">
        <v>203576</v>
      </c>
      <c r="M224" s="457"/>
      <c r="N224" s="457"/>
      <c r="O224" s="457"/>
      <c r="P224" s="457"/>
      <c r="Q224" s="457"/>
      <c r="R224" s="457"/>
      <c r="S224" s="457"/>
      <c r="T224" s="457"/>
      <c r="U224" s="457"/>
      <c r="V224" s="457"/>
      <c r="W224" s="457"/>
    </row>
    <row r="225" spans="1:23" s="434" customFormat="1" ht="15" customHeight="1" outlineLevel="2">
      <c r="A225" s="378"/>
      <c r="B225" s="379" t="s">
        <v>341</v>
      </c>
      <c r="C225" s="380" t="s">
        <v>240</v>
      </c>
      <c r="D225" s="432">
        <f>D228+D231</f>
        <v>13.786262000000001</v>
      </c>
      <c r="E225" s="433"/>
      <c r="K225" s="435"/>
      <c r="L225" s="436"/>
      <c r="M225" s="436"/>
      <c r="N225" s="436"/>
      <c r="T225" s="436"/>
    </row>
    <row r="226" spans="1:23" s="439" customFormat="1" ht="15" customHeight="1" outlineLevel="2">
      <c r="A226" s="381"/>
      <c r="B226" s="382" t="s">
        <v>342</v>
      </c>
      <c r="C226" s="383" t="s">
        <v>240</v>
      </c>
      <c r="D226" s="437"/>
      <c r="E226" s="438"/>
      <c r="K226" s="440"/>
      <c r="L226" s="441"/>
      <c r="M226" s="441"/>
      <c r="N226" s="441"/>
      <c r="T226" s="441"/>
    </row>
    <row r="227" spans="1:23" s="422" customFormat="1" ht="15" customHeight="1" outlineLevel="1">
      <c r="A227" s="376"/>
      <c r="B227" s="249" t="s">
        <v>230</v>
      </c>
      <c r="C227" s="250" t="s">
        <v>240</v>
      </c>
      <c r="D227" s="251">
        <f>'Шаблон 46 ГП'!G31/1000000+'Шаблон 46 ГП'!G38/1000000+'Шаблон 46 ГП'!F31/1000000</f>
        <v>10.256021</v>
      </c>
      <c r="E227" s="421"/>
      <c r="F227" s="454" t="s">
        <v>37</v>
      </c>
      <c r="G227" s="455"/>
      <c r="H227" s="455"/>
      <c r="I227" s="455"/>
      <c r="J227" s="455"/>
      <c r="K227" s="456"/>
      <c r="L227" s="103">
        <v>94384</v>
      </c>
      <c r="M227" s="457"/>
      <c r="N227" s="457"/>
      <c r="O227" s="457"/>
      <c r="P227" s="457"/>
      <c r="Q227" s="457"/>
      <c r="R227" s="457"/>
      <c r="S227" s="457"/>
      <c r="T227" s="457"/>
      <c r="U227" s="457"/>
      <c r="V227" s="457"/>
      <c r="W227" s="457"/>
    </row>
    <row r="228" spans="1:23" s="434" customFormat="1" ht="15" customHeight="1" outlineLevel="2">
      <c r="A228" s="378"/>
      <c r="B228" s="379" t="s">
        <v>341</v>
      </c>
      <c r="C228" s="380" t="s">
        <v>240</v>
      </c>
      <c r="D228" s="432">
        <f>D227</f>
        <v>10.256021</v>
      </c>
      <c r="E228" s="433"/>
      <c r="K228" s="435"/>
      <c r="L228" s="436"/>
      <c r="M228" s="436"/>
      <c r="N228" s="436"/>
      <c r="T228" s="436"/>
    </row>
    <row r="229" spans="1:23" s="439" customFormat="1" ht="15" customHeight="1" outlineLevel="2">
      <c r="A229" s="381"/>
      <c r="B229" s="382" t="s">
        <v>342</v>
      </c>
      <c r="C229" s="383" t="s">
        <v>240</v>
      </c>
      <c r="D229" s="437"/>
      <c r="E229" s="438"/>
      <c r="K229" s="440"/>
      <c r="L229" s="441"/>
      <c r="M229" s="441"/>
      <c r="N229" s="441"/>
      <c r="T229" s="441"/>
    </row>
    <row r="230" spans="1:23" s="439" customFormat="1" ht="15" customHeight="1" outlineLevel="1">
      <c r="A230" s="381"/>
      <c r="B230" s="249" t="s">
        <v>231</v>
      </c>
      <c r="C230" s="388" t="s">
        <v>240</v>
      </c>
      <c r="D230" s="251">
        <f>'Шаблон 46 ГП'!G34/1000000+'Шаблон 46 ГП'!G39/1000000+'Шаблон 46 ГП'!F34/1000000</f>
        <v>3.5302410000000002</v>
      </c>
      <c r="E230" s="438"/>
      <c r="F230" s="458" t="s">
        <v>38</v>
      </c>
      <c r="G230" s="459"/>
      <c r="H230" s="459"/>
      <c r="I230" s="459"/>
      <c r="J230" s="459"/>
      <c r="K230" s="460"/>
      <c r="L230" s="461">
        <v>60542</v>
      </c>
      <c r="M230" s="462"/>
      <c r="N230" s="462"/>
      <c r="O230" s="462"/>
      <c r="P230" s="462"/>
      <c r="Q230" s="462"/>
      <c r="R230" s="462"/>
      <c r="S230" s="462"/>
      <c r="T230" s="462"/>
      <c r="U230" s="462"/>
      <c r="V230" s="462"/>
      <c r="W230" s="462"/>
    </row>
    <row r="231" spans="1:23" s="434" customFormat="1" ht="15" customHeight="1" outlineLevel="2">
      <c r="A231" s="378"/>
      <c r="B231" s="379" t="s">
        <v>341</v>
      </c>
      <c r="C231" s="380" t="s">
        <v>240</v>
      </c>
      <c r="D231" s="432">
        <f>D230</f>
        <v>3.5302410000000002</v>
      </c>
      <c r="E231" s="433"/>
      <c r="K231" s="435"/>
      <c r="L231" s="436"/>
      <c r="M231" s="436"/>
      <c r="N231" s="436"/>
      <c r="T231" s="436"/>
    </row>
    <row r="232" spans="1:23" s="439" customFormat="1" ht="15" customHeight="1" outlineLevel="2">
      <c r="A232" s="381"/>
      <c r="B232" s="382" t="s">
        <v>342</v>
      </c>
      <c r="C232" s="383" t="s">
        <v>240</v>
      </c>
      <c r="D232" s="437"/>
      <c r="E232" s="438"/>
      <c r="K232" s="440"/>
      <c r="L232" s="441"/>
      <c r="M232" s="441"/>
      <c r="N232" s="441"/>
      <c r="T232" s="441"/>
    </row>
    <row r="233" spans="1:23" s="422" customFormat="1" ht="15" customHeight="1" outlineLevel="1">
      <c r="A233" s="376"/>
      <c r="B233" s="259" t="s">
        <v>40</v>
      </c>
      <c r="C233" s="255" t="s">
        <v>240</v>
      </c>
      <c r="D233" s="248">
        <f>D248+D251+D260+D263+D236+D239</f>
        <v>2.1056210000000002</v>
      </c>
      <c r="E233" s="421"/>
      <c r="F233" s="454" t="s">
        <v>39</v>
      </c>
      <c r="G233" s="455"/>
      <c r="H233" s="455"/>
      <c r="I233" s="455"/>
      <c r="J233" s="455"/>
      <c r="K233" s="456"/>
      <c r="L233" s="108">
        <v>46463</v>
      </c>
      <c r="M233" s="457"/>
      <c r="N233" s="457"/>
      <c r="O233" s="457"/>
      <c r="P233" s="457"/>
      <c r="Q233" s="457"/>
      <c r="R233" s="457"/>
      <c r="S233" s="457"/>
      <c r="T233" s="457"/>
      <c r="U233" s="457"/>
      <c r="V233" s="457"/>
      <c r="W233" s="457"/>
    </row>
    <row r="234" spans="1:23" s="434" customFormat="1" ht="15" customHeight="1" outlineLevel="2">
      <c r="A234" s="378"/>
      <c r="B234" s="379" t="s">
        <v>341</v>
      </c>
      <c r="C234" s="380" t="s">
        <v>240</v>
      </c>
      <c r="D234" s="432">
        <f>D249+D252+D261+D264+D237+D240</f>
        <v>2.1056210000000002</v>
      </c>
      <c r="E234" s="433"/>
      <c r="K234" s="435"/>
      <c r="L234" s="436"/>
      <c r="M234" s="436"/>
      <c r="N234" s="436"/>
      <c r="T234" s="436"/>
    </row>
    <row r="235" spans="1:23" s="439" customFormat="1" ht="15" customHeight="1" outlineLevel="2">
      <c r="A235" s="381"/>
      <c r="B235" s="382" t="s">
        <v>342</v>
      </c>
      <c r="C235" s="383" t="s">
        <v>240</v>
      </c>
      <c r="D235" s="437"/>
      <c r="E235" s="438"/>
      <c r="K235" s="440"/>
      <c r="L235" s="441"/>
      <c r="M235" s="441"/>
      <c r="N235" s="441"/>
      <c r="T235" s="441"/>
    </row>
    <row r="236" spans="1:23" s="422" customFormat="1" ht="15" customHeight="1" outlineLevel="1" thickBot="1">
      <c r="A236" s="376"/>
      <c r="B236" s="256" t="s">
        <v>234</v>
      </c>
      <c r="C236" s="255" t="s">
        <v>240</v>
      </c>
      <c r="D236" s="258">
        <v>0</v>
      </c>
      <c r="E236" s="421"/>
      <c r="F236" s="454" t="s">
        <v>40</v>
      </c>
      <c r="G236" s="455"/>
      <c r="H236" s="455"/>
      <c r="I236" s="455"/>
      <c r="J236" s="455"/>
      <c r="K236" s="456"/>
      <c r="L236" s="463">
        <v>102970</v>
      </c>
      <c r="M236" s="457"/>
      <c r="N236" s="457"/>
      <c r="O236" s="457"/>
      <c r="P236" s="457"/>
      <c r="Q236" s="457"/>
      <c r="R236" s="457"/>
      <c r="S236" s="457"/>
      <c r="T236" s="457"/>
      <c r="U236" s="457"/>
      <c r="V236" s="457"/>
      <c r="W236" s="457"/>
    </row>
    <row r="237" spans="1:23" s="434" customFormat="1" ht="15" customHeight="1" outlineLevel="2">
      <c r="A237" s="378"/>
      <c r="B237" s="379" t="s">
        <v>341</v>
      </c>
      <c r="C237" s="380" t="s">
        <v>240</v>
      </c>
      <c r="D237" s="432">
        <f>ROUND(D236,6)</f>
        <v>0</v>
      </c>
      <c r="E237" s="433"/>
      <c r="K237" s="435"/>
      <c r="L237" s="436"/>
      <c r="M237" s="436"/>
      <c r="N237" s="436"/>
      <c r="T237" s="436"/>
    </row>
    <row r="238" spans="1:23" s="439" customFormat="1" ht="15" customHeight="1" outlineLevel="2">
      <c r="A238" s="381"/>
      <c r="B238" s="382" t="s">
        <v>342</v>
      </c>
      <c r="C238" s="383" t="s">
        <v>240</v>
      </c>
      <c r="D238" s="437"/>
      <c r="E238" s="438"/>
      <c r="K238" s="440"/>
      <c r="L238" s="441"/>
      <c r="M238" s="441"/>
      <c r="N238" s="441"/>
      <c r="T238" s="441"/>
    </row>
    <row r="239" spans="1:23" s="422" customFormat="1" ht="15" customHeight="1" outlineLevel="1">
      <c r="A239" s="376"/>
      <c r="B239" s="257" t="s">
        <v>346</v>
      </c>
      <c r="C239" s="255" t="s">
        <v>240</v>
      </c>
      <c r="D239" s="258">
        <f>D242+D245</f>
        <v>0</v>
      </c>
      <c r="E239" s="421"/>
      <c r="F239" s="454" t="s">
        <v>38</v>
      </c>
      <c r="G239" s="455"/>
      <c r="H239" s="455"/>
      <c r="I239" s="455"/>
      <c r="J239" s="455"/>
      <c r="K239" s="464" t="s">
        <v>279</v>
      </c>
      <c r="L239" s="54">
        <v>2044774</v>
      </c>
      <c r="M239" s="457"/>
      <c r="N239" s="457"/>
      <c r="O239" s="457"/>
      <c r="P239" s="457"/>
      <c r="Q239" s="457"/>
      <c r="R239" s="457"/>
      <c r="S239" s="457"/>
      <c r="T239" s="457"/>
      <c r="U239" s="457"/>
      <c r="V239" s="457"/>
      <c r="W239" s="457"/>
    </row>
    <row r="240" spans="1:23" s="434" customFormat="1" ht="15" customHeight="1" outlineLevel="2">
      <c r="A240" s="378"/>
      <c r="B240" s="379" t="s">
        <v>341</v>
      </c>
      <c r="C240" s="380" t="s">
        <v>240</v>
      </c>
      <c r="D240" s="432">
        <f>D243+D246</f>
        <v>0</v>
      </c>
      <c r="E240" s="433"/>
      <c r="K240" s="435"/>
      <c r="L240" s="436"/>
      <c r="M240" s="436"/>
      <c r="N240" s="436"/>
      <c r="T240" s="436"/>
    </row>
    <row r="241" spans="1:23" s="439" customFormat="1" ht="15" customHeight="1" outlineLevel="2">
      <c r="A241" s="381"/>
      <c r="B241" s="382" t="s">
        <v>342</v>
      </c>
      <c r="C241" s="383" t="s">
        <v>240</v>
      </c>
      <c r="D241" s="437"/>
      <c r="E241" s="438"/>
      <c r="K241" s="440"/>
      <c r="L241" s="441"/>
      <c r="M241" s="441"/>
      <c r="N241" s="441"/>
      <c r="T241" s="441"/>
    </row>
    <row r="242" spans="1:23" s="429" customFormat="1" ht="15" customHeight="1" outlineLevel="1">
      <c r="A242" s="376"/>
      <c r="B242" s="249" t="s">
        <v>230</v>
      </c>
      <c r="C242" s="250" t="s">
        <v>240</v>
      </c>
      <c r="D242" s="251">
        <v>0</v>
      </c>
      <c r="E242" s="431"/>
      <c r="F242" s="454" t="s">
        <v>39</v>
      </c>
      <c r="G242" s="455"/>
      <c r="H242" s="455"/>
      <c r="I242" s="455"/>
      <c r="J242" s="455"/>
      <c r="K242" s="464" t="s">
        <v>279</v>
      </c>
      <c r="L242" s="108">
        <v>977064</v>
      </c>
      <c r="M242" s="457"/>
      <c r="N242" s="457"/>
      <c r="O242" s="457"/>
      <c r="P242" s="457"/>
      <c r="Q242" s="457"/>
      <c r="R242" s="457"/>
      <c r="S242" s="457"/>
      <c r="T242" s="457"/>
      <c r="U242" s="457"/>
      <c r="V242" s="457"/>
      <c r="W242" s="457"/>
    </row>
    <row r="243" spans="1:23" s="434" customFormat="1" ht="15" customHeight="1" outlineLevel="2">
      <c r="A243" s="378"/>
      <c r="B243" s="379" t="s">
        <v>341</v>
      </c>
      <c r="C243" s="380" t="s">
        <v>240</v>
      </c>
      <c r="D243" s="432">
        <f>ROUND(D242,6)</f>
        <v>0</v>
      </c>
      <c r="E243" s="433"/>
      <c r="K243" s="435"/>
      <c r="L243" s="436"/>
      <c r="M243" s="436"/>
      <c r="N243" s="436"/>
      <c r="T243" s="436"/>
    </row>
    <row r="244" spans="1:23" s="439" customFormat="1" ht="15" customHeight="1" outlineLevel="2">
      <c r="A244" s="381"/>
      <c r="B244" s="382" t="s">
        <v>342</v>
      </c>
      <c r="C244" s="383" t="s">
        <v>240</v>
      </c>
      <c r="D244" s="437"/>
      <c r="E244" s="438"/>
      <c r="K244" s="440"/>
      <c r="L244" s="441"/>
      <c r="M244" s="441"/>
      <c r="N244" s="441"/>
      <c r="T244" s="441"/>
    </row>
    <row r="245" spans="1:23" s="429" customFormat="1" ht="15" customHeight="1" outlineLevel="1" thickBot="1">
      <c r="A245" s="376"/>
      <c r="B245" s="249" t="s">
        <v>231</v>
      </c>
      <c r="C245" s="250" t="s">
        <v>240</v>
      </c>
      <c r="D245" s="251">
        <v>0</v>
      </c>
      <c r="E245" s="431"/>
      <c r="F245" s="454" t="s">
        <v>40</v>
      </c>
      <c r="G245" s="455"/>
      <c r="H245" s="455"/>
      <c r="I245" s="455"/>
      <c r="J245" s="455"/>
      <c r="K245" s="464" t="s">
        <v>279</v>
      </c>
      <c r="L245" s="463">
        <v>425382</v>
      </c>
      <c r="M245" s="457"/>
      <c r="N245" s="457"/>
      <c r="O245" s="457"/>
      <c r="P245" s="457"/>
      <c r="Q245" s="457"/>
      <c r="R245" s="457"/>
      <c r="S245" s="457"/>
      <c r="T245" s="457"/>
      <c r="U245" s="457"/>
      <c r="V245" s="457"/>
      <c r="W245" s="457"/>
    </row>
    <row r="246" spans="1:23" s="434" customFormat="1" ht="15" customHeight="1" outlineLevel="2">
      <c r="A246" s="378"/>
      <c r="B246" s="379" t="s">
        <v>341</v>
      </c>
      <c r="C246" s="380" t="s">
        <v>240</v>
      </c>
      <c r="D246" s="432">
        <f>ROUND(D245,6)</f>
        <v>0</v>
      </c>
      <c r="E246" s="433"/>
      <c r="K246" s="435"/>
      <c r="L246" s="436"/>
      <c r="M246" s="436"/>
      <c r="N246" s="436"/>
      <c r="T246" s="436"/>
    </row>
    <row r="247" spans="1:23" s="439" customFormat="1" ht="15" customHeight="1" outlineLevel="2">
      <c r="A247" s="381"/>
      <c r="B247" s="382" t="s">
        <v>342</v>
      </c>
      <c r="C247" s="383" t="s">
        <v>240</v>
      </c>
      <c r="D247" s="437"/>
      <c r="E247" s="438"/>
      <c r="K247" s="440"/>
      <c r="L247" s="441"/>
      <c r="M247" s="441"/>
      <c r="N247" s="441"/>
      <c r="T247" s="441"/>
    </row>
    <row r="248" spans="1:23" s="422" customFormat="1" ht="15" customHeight="1" outlineLevel="1" thickBot="1">
      <c r="A248" s="376"/>
      <c r="B248" s="256" t="s">
        <v>234</v>
      </c>
      <c r="C248" s="255" t="s">
        <v>240</v>
      </c>
      <c r="D248" s="258">
        <f>'Шаблон 46 ГП'!F55/1000000</f>
        <v>5.1908000000000003E-2</v>
      </c>
      <c r="E248" s="421"/>
      <c r="F248" s="454" t="s">
        <v>40</v>
      </c>
      <c r="G248" s="455"/>
      <c r="H248" s="455"/>
      <c r="I248" s="455"/>
      <c r="J248" s="455"/>
      <c r="K248" s="456"/>
      <c r="L248" s="463">
        <v>102970</v>
      </c>
      <c r="M248" s="457"/>
      <c r="N248" s="457"/>
      <c r="O248" s="457"/>
      <c r="P248" s="457"/>
      <c r="Q248" s="457"/>
      <c r="R248" s="457"/>
      <c r="S248" s="457"/>
      <c r="T248" s="457"/>
      <c r="U248" s="457"/>
      <c r="V248" s="457"/>
      <c r="W248" s="457"/>
    </row>
    <row r="249" spans="1:23" s="434" customFormat="1" ht="15" customHeight="1" outlineLevel="2">
      <c r="A249" s="378"/>
      <c r="B249" s="379" t="s">
        <v>341</v>
      </c>
      <c r="C249" s="380" t="s">
        <v>240</v>
      </c>
      <c r="D249" s="432">
        <f>D248</f>
        <v>5.1908000000000003E-2</v>
      </c>
      <c r="E249" s="433"/>
      <c r="K249" s="435"/>
      <c r="L249" s="436"/>
      <c r="M249" s="436"/>
      <c r="N249" s="436"/>
      <c r="T249" s="436"/>
    </row>
    <row r="250" spans="1:23" s="439" customFormat="1" ht="15" customHeight="1" outlineLevel="2">
      <c r="A250" s="381"/>
      <c r="B250" s="382" t="s">
        <v>342</v>
      </c>
      <c r="C250" s="383" t="s">
        <v>240</v>
      </c>
      <c r="D250" s="437"/>
      <c r="E250" s="438"/>
      <c r="K250" s="440"/>
      <c r="L250" s="441"/>
      <c r="M250" s="441"/>
      <c r="N250" s="441"/>
      <c r="T250" s="441"/>
    </row>
    <row r="251" spans="1:23" s="422" customFormat="1" ht="15" customHeight="1" outlineLevel="1">
      <c r="A251" s="376"/>
      <c r="B251" s="257" t="s">
        <v>346</v>
      </c>
      <c r="C251" s="255" t="s">
        <v>240</v>
      </c>
      <c r="D251" s="258">
        <f>D254+D257</f>
        <v>1.8825499999999999</v>
      </c>
      <c r="E251" s="421"/>
      <c r="F251" s="454" t="s">
        <v>38</v>
      </c>
      <c r="G251" s="455"/>
      <c r="H251" s="455"/>
      <c r="I251" s="455"/>
      <c r="J251" s="455"/>
      <c r="K251" s="464" t="s">
        <v>279</v>
      </c>
      <c r="L251" s="54">
        <v>2044774</v>
      </c>
      <c r="M251" s="457"/>
      <c r="N251" s="457"/>
      <c r="O251" s="457"/>
      <c r="P251" s="457"/>
      <c r="Q251" s="457"/>
      <c r="R251" s="457"/>
      <c r="S251" s="457"/>
      <c r="T251" s="457"/>
      <c r="U251" s="457"/>
      <c r="V251" s="457"/>
      <c r="W251" s="457"/>
    </row>
    <row r="252" spans="1:23" s="434" customFormat="1" ht="15" customHeight="1" outlineLevel="2">
      <c r="A252" s="378"/>
      <c r="B252" s="379" t="s">
        <v>341</v>
      </c>
      <c r="C252" s="380" t="s">
        <v>240</v>
      </c>
      <c r="D252" s="432">
        <f>D255+D258</f>
        <v>1.8825499999999999</v>
      </c>
      <c r="E252" s="433"/>
      <c r="K252" s="435"/>
      <c r="L252" s="436"/>
      <c r="M252" s="436"/>
      <c r="N252" s="436"/>
      <c r="T252" s="436"/>
    </row>
    <row r="253" spans="1:23" s="439" customFormat="1" ht="15" customHeight="1" outlineLevel="2">
      <c r="A253" s="381"/>
      <c r="B253" s="382" t="s">
        <v>342</v>
      </c>
      <c r="C253" s="383" t="s">
        <v>240</v>
      </c>
      <c r="D253" s="437"/>
      <c r="E253" s="438"/>
      <c r="K253" s="440"/>
      <c r="L253" s="441"/>
      <c r="M253" s="441"/>
      <c r="N253" s="441"/>
      <c r="T253" s="441"/>
    </row>
    <row r="254" spans="1:23" s="429" customFormat="1" ht="15" customHeight="1" outlineLevel="1">
      <c r="A254" s="376"/>
      <c r="B254" s="249" t="s">
        <v>230</v>
      </c>
      <c r="C254" s="250" t="s">
        <v>240</v>
      </c>
      <c r="D254" s="251">
        <f>'Шаблон 46 ГП'!F49/1000000+'Шаблон 46 ГП'!F58/1000000</f>
        <v>1.305828</v>
      </c>
      <c r="E254" s="431"/>
      <c r="F254" s="454" t="s">
        <v>39</v>
      </c>
      <c r="G254" s="455"/>
      <c r="H254" s="455"/>
      <c r="I254" s="455"/>
      <c r="J254" s="455"/>
      <c r="K254" s="464" t="s">
        <v>279</v>
      </c>
      <c r="L254" s="108">
        <v>977064</v>
      </c>
      <c r="M254" s="457"/>
      <c r="N254" s="457"/>
      <c r="O254" s="457"/>
      <c r="P254" s="457"/>
      <c r="Q254" s="457"/>
      <c r="R254" s="457"/>
      <c r="S254" s="457"/>
      <c r="T254" s="457"/>
      <c r="U254" s="457"/>
      <c r="V254" s="457"/>
      <c r="W254" s="457"/>
    </row>
    <row r="255" spans="1:23" s="434" customFormat="1" ht="15" customHeight="1" outlineLevel="2">
      <c r="A255" s="378"/>
      <c r="B255" s="379" t="s">
        <v>341</v>
      </c>
      <c r="C255" s="380" t="s">
        <v>240</v>
      </c>
      <c r="D255" s="432">
        <f>D254</f>
        <v>1.305828</v>
      </c>
      <c r="E255" s="433"/>
      <c r="K255" s="435"/>
      <c r="L255" s="436"/>
      <c r="M255" s="436"/>
      <c r="N255" s="436"/>
      <c r="T255" s="436"/>
    </row>
    <row r="256" spans="1:23" s="439" customFormat="1" ht="15" customHeight="1" outlineLevel="2">
      <c r="A256" s="381"/>
      <c r="B256" s="382" t="s">
        <v>342</v>
      </c>
      <c r="C256" s="383" t="s">
        <v>240</v>
      </c>
      <c r="D256" s="437"/>
      <c r="E256" s="438"/>
      <c r="K256" s="440"/>
      <c r="L256" s="441"/>
      <c r="M256" s="441"/>
      <c r="N256" s="441"/>
      <c r="T256" s="441"/>
    </row>
    <row r="257" spans="1:23" s="429" customFormat="1" ht="15" customHeight="1" outlineLevel="1" thickBot="1">
      <c r="A257" s="376"/>
      <c r="B257" s="249" t="s">
        <v>231</v>
      </c>
      <c r="C257" s="250" t="s">
        <v>240</v>
      </c>
      <c r="D257" s="251">
        <f>'Шаблон 46 ГП'!F52/1000000+'Шаблон 46 ГП'!F61/1000000</f>
        <v>0.57672199999999996</v>
      </c>
      <c r="E257" s="431"/>
      <c r="F257" s="454" t="s">
        <v>40</v>
      </c>
      <c r="G257" s="455"/>
      <c r="H257" s="455"/>
      <c r="I257" s="455"/>
      <c r="J257" s="455"/>
      <c r="K257" s="464" t="s">
        <v>279</v>
      </c>
      <c r="L257" s="463">
        <v>425382</v>
      </c>
      <c r="M257" s="457"/>
      <c r="N257" s="457"/>
      <c r="O257" s="457"/>
      <c r="P257" s="457"/>
      <c r="Q257" s="457"/>
      <c r="R257" s="457"/>
      <c r="S257" s="457"/>
      <c r="T257" s="457"/>
      <c r="U257" s="457"/>
      <c r="V257" s="457"/>
      <c r="W257" s="457"/>
    </row>
    <row r="258" spans="1:23" s="434" customFormat="1" ht="15" customHeight="1" outlineLevel="2">
      <c r="A258" s="378"/>
      <c r="B258" s="379" t="s">
        <v>341</v>
      </c>
      <c r="C258" s="380" t="s">
        <v>240</v>
      </c>
      <c r="D258" s="432">
        <f>D257</f>
        <v>0.57672199999999996</v>
      </c>
      <c r="E258" s="433"/>
      <c r="K258" s="435"/>
      <c r="L258" s="436"/>
      <c r="M258" s="436"/>
      <c r="N258" s="436"/>
      <c r="T258" s="436"/>
    </row>
    <row r="259" spans="1:23" s="439" customFormat="1" ht="15" customHeight="1" outlineLevel="2">
      <c r="A259" s="381"/>
      <c r="B259" s="382" t="s">
        <v>342</v>
      </c>
      <c r="C259" s="383" t="s">
        <v>240</v>
      </c>
      <c r="D259" s="437"/>
      <c r="E259" s="438"/>
      <c r="K259" s="440"/>
      <c r="L259" s="441"/>
      <c r="M259" s="441"/>
      <c r="N259" s="441"/>
      <c r="T259" s="441"/>
    </row>
    <row r="260" spans="1:23" s="422" customFormat="1" ht="15" customHeight="1" outlineLevel="1">
      <c r="A260" s="376"/>
      <c r="B260" s="256" t="s">
        <v>236</v>
      </c>
      <c r="C260" s="255" t="s">
        <v>240</v>
      </c>
      <c r="D260" s="258">
        <f>'Шаблон 46 ГП'!G55/1000000</f>
        <v>3.1677999999999998E-2</v>
      </c>
      <c r="E260" s="421"/>
      <c r="K260" s="423"/>
    </row>
    <row r="261" spans="1:23" s="434" customFormat="1" ht="15" customHeight="1" outlineLevel="2">
      <c r="A261" s="378"/>
      <c r="B261" s="379" t="s">
        <v>341</v>
      </c>
      <c r="C261" s="380" t="s">
        <v>240</v>
      </c>
      <c r="D261" s="432">
        <f>D260</f>
        <v>3.1677999999999998E-2</v>
      </c>
      <c r="E261" s="433"/>
      <c r="K261" s="435"/>
      <c r="L261" s="436"/>
      <c r="M261" s="436"/>
      <c r="N261" s="436"/>
      <c r="T261" s="436"/>
    </row>
    <row r="262" spans="1:23" s="439" customFormat="1" ht="15" customHeight="1" outlineLevel="2">
      <c r="A262" s="381"/>
      <c r="B262" s="382" t="s">
        <v>342</v>
      </c>
      <c r="C262" s="383" t="s">
        <v>240</v>
      </c>
      <c r="D262" s="437"/>
      <c r="E262" s="438"/>
      <c r="K262" s="440"/>
      <c r="L262" s="441"/>
      <c r="M262" s="441"/>
      <c r="N262" s="441"/>
      <c r="T262" s="441"/>
    </row>
    <row r="263" spans="1:23" s="422" customFormat="1" ht="15" customHeight="1" outlineLevel="1">
      <c r="A263" s="376"/>
      <c r="B263" s="257" t="s">
        <v>344</v>
      </c>
      <c r="C263" s="255" t="s">
        <v>240</v>
      </c>
      <c r="D263" s="258">
        <f>D266+D269</f>
        <v>0.139485</v>
      </c>
      <c r="E263" s="421"/>
      <c r="K263" s="423"/>
    </row>
    <row r="264" spans="1:23" s="434" customFormat="1" ht="15" customHeight="1" outlineLevel="2">
      <c r="A264" s="378"/>
      <c r="B264" s="379" t="s">
        <v>341</v>
      </c>
      <c r="C264" s="380" t="s">
        <v>240</v>
      </c>
      <c r="D264" s="432">
        <f>D267+D270</f>
        <v>0.139485</v>
      </c>
      <c r="E264" s="433"/>
      <c r="K264" s="435"/>
      <c r="L264" s="436"/>
      <c r="M264" s="436"/>
      <c r="N264" s="436"/>
      <c r="T264" s="436"/>
    </row>
    <row r="265" spans="1:23" s="439" customFormat="1" ht="15" customHeight="1" outlineLevel="2">
      <c r="A265" s="381"/>
      <c r="B265" s="382" t="s">
        <v>342</v>
      </c>
      <c r="C265" s="383" t="s">
        <v>240</v>
      </c>
      <c r="D265" s="437"/>
      <c r="E265" s="438"/>
      <c r="K265" s="440"/>
      <c r="L265" s="441"/>
      <c r="M265" s="441"/>
      <c r="N265" s="441"/>
      <c r="T265" s="441"/>
    </row>
    <row r="266" spans="1:23" s="429" customFormat="1" ht="15" customHeight="1" outlineLevel="1">
      <c r="A266" s="376"/>
      <c r="B266" s="249" t="s">
        <v>230</v>
      </c>
      <c r="C266" s="250" t="s">
        <v>240</v>
      </c>
      <c r="D266" s="251">
        <f>'Шаблон 46 ГП'!G49/1000000</f>
        <v>9.3932000000000002E-2</v>
      </c>
      <c r="E266" s="431"/>
      <c r="K266" s="430"/>
    </row>
    <row r="267" spans="1:23" s="434" customFormat="1" ht="15" customHeight="1" outlineLevel="2">
      <c r="A267" s="378"/>
      <c r="B267" s="379" t="s">
        <v>341</v>
      </c>
      <c r="C267" s="380" t="s">
        <v>240</v>
      </c>
      <c r="D267" s="432">
        <f>D266</f>
        <v>9.3932000000000002E-2</v>
      </c>
      <c r="E267" s="433"/>
      <c r="K267" s="435"/>
      <c r="L267" s="436"/>
      <c r="M267" s="436"/>
      <c r="N267" s="436"/>
      <c r="T267" s="436"/>
    </row>
    <row r="268" spans="1:23" s="439" customFormat="1" ht="15" customHeight="1" outlineLevel="2">
      <c r="A268" s="381"/>
      <c r="B268" s="382" t="s">
        <v>342</v>
      </c>
      <c r="C268" s="383" t="s">
        <v>240</v>
      </c>
      <c r="D268" s="437"/>
      <c r="E268" s="438"/>
      <c r="K268" s="440"/>
      <c r="L268" s="441"/>
      <c r="M268" s="441"/>
      <c r="N268" s="441"/>
      <c r="T268" s="441"/>
    </row>
    <row r="269" spans="1:23" s="429" customFormat="1" ht="15" customHeight="1" outlineLevel="1">
      <c r="A269" s="376"/>
      <c r="B269" s="249" t="s">
        <v>231</v>
      </c>
      <c r="C269" s="250" t="s">
        <v>240</v>
      </c>
      <c r="D269" s="251">
        <f>'Шаблон 46 ГП'!G52/1000000</f>
        <v>4.5553000000000003E-2</v>
      </c>
      <c r="E269" s="431"/>
      <c r="K269" s="430"/>
    </row>
    <row r="270" spans="1:23" s="434" customFormat="1" ht="15" customHeight="1" outlineLevel="2">
      <c r="A270" s="378"/>
      <c r="B270" s="379" t="s">
        <v>341</v>
      </c>
      <c r="C270" s="380" t="s">
        <v>240</v>
      </c>
      <c r="D270" s="432">
        <f>D269</f>
        <v>4.5553000000000003E-2</v>
      </c>
      <c r="E270" s="433"/>
      <c r="K270" s="435"/>
      <c r="L270" s="436"/>
      <c r="M270" s="436"/>
      <c r="N270" s="436"/>
      <c r="T270" s="436"/>
    </row>
    <row r="271" spans="1:23" s="439" customFormat="1" ht="15" customHeight="1" outlineLevel="2">
      <c r="A271" s="381"/>
      <c r="B271" s="382" t="s">
        <v>342</v>
      </c>
      <c r="C271" s="383" t="s">
        <v>240</v>
      </c>
      <c r="D271" s="437"/>
      <c r="E271" s="438"/>
      <c r="K271" s="440"/>
      <c r="L271" s="441"/>
      <c r="M271" s="441"/>
      <c r="N271" s="441"/>
      <c r="T271" s="441"/>
    </row>
    <row r="272" spans="1:23" s="422" customFormat="1" ht="15" customHeight="1">
      <c r="A272" s="375"/>
      <c r="B272" s="245" t="s">
        <v>347</v>
      </c>
      <c r="C272" s="243" t="s">
        <v>240</v>
      </c>
      <c r="D272" s="244">
        <f>D273+D274+D275</f>
        <v>1.7883280000000001</v>
      </c>
      <c r="E272" s="421"/>
      <c r="K272" s="423"/>
    </row>
    <row r="273" spans="1:11" s="422" customFormat="1" ht="15" customHeight="1" outlineLevel="1">
      <c r="A273" s="384"/>
      <c r="B273" s="249" t="s">
        <v>222</v>
      </c>
      <c r="C273" s="250" t="s">
        <v>240</v>
      </c>
      <c r="D273" s="251">
        <f>D277+D281+D285</f>
        <v>0.16094952000000001</v>
      </c>
      <c r="E273" s="421"/>
      <c r="K273" s="423"/>
    </row>
    <row r="274" spans="1:11" s="422" customFormat="1" ht="15" customHeight="1" outlineLevel="1">
      <c r="A274" s="384"/>
      <c r="B274" s="249" t="s">
        <v>223</v>
      </c>
      <c r="C274" s="250" t="s">
        <v>240</v>
      </c>
      <c r="D274" s="251">
        <f>D278+D282+D286</f>
        <v>0.60803152000000005</v>
      </c>
      <c r="E274" s="421"/>
      <c r="K274" s="423"/>
    </row>
    <row r="275" spans="1:11" s="422" customFormat="1" ht="15" customHeight="1" outlineLevel="1">
      <c r="A275" s="384"/>
      <c r="B275" s="249" t="s">
        <v>224</v>
      </c>
      <c r="C275" s="250" t="s">
        <v>240</v>
      </c>
      <c r="D275" s="251">
        <f>D279+D283+D287</f>
        <v>1.01934696</v>
      </c>
      <c r="E275" s="421"/>
      <c r="K275" s="423"/>
    </row>
    <row r="276" spans="1:11" s="422" customFormat="1" ht="15" customHeight="1">
      <c r="A276" s="375"/>
      <c r="B276" s="377" t="s">
        <v>348</v>
      </c>
      <c r="C276" s="243" t="s">
        <v>240</v>
      </c>
      <c r="D276" s="244">
        <f>D277+D278+D279</f>
        <v>1.7883280000000001</v>
      </c>
      <c r="E276" s="421"/>
      <c r="K276" s="423"/>
    </row>
    <row r="277" spans="1:11" s="422" customFormat="1" ht="15" customHeight="1" outlineLevel="1">
      <c r="A277" s="384"/>
      <c r="B277" s="249" t="s">
        <v>222</v>
      </c>
      <c r="C277" s="250" t="s">
        <v>240</v>
      </c>
      <c r="D277" s="251">
        <f>'Шаблон 46 ГП'!E269/1000000</f>
        <v>0.16094952000000001</v>
      </c>
      <c r="E277" s="421"/>
      <c r="K277" s="423"/>
    </row>
    <row r="278" spans="1:11" s="422" customFormat="1" ht="15" customHeight="1" outlineLevel="1">
      <c r="A278" s="384"/>
      <c r="B278" s="249" t="s">
        <v>223</v>
      </c>
      <c r="C278" s="250" t="s">
        <v>240</v>
      </c>
      <c r="D278" s="251">
        <f>'Шаблон 46 ГП'!F269/1000000</f>
        <v>0.60803152000000005</v>
      </c>
      <c r="E278" s="421"/>
      <c r="K278" s="423"/>
    </row>
    <row r="279" spans="1:11" s="422" customFormat="1" ht="15" customHeight="1" outlineLevel="1">
      <c r="A279" s="384"/>
      <c r="B279" s="249" t="s">
        <v>224</v>
      </c>
      <c r="C279" s="250" t="s">
        <v>240</v>
      </c>
      <c r="D279" s="251">
        <f>'Шаблон 46 ГП'!G269/1000000</f>
        <v>1.01934696</v>
      </c>
      <c r="E279" s="421"/>
      <c r="K279" s="423"/>
    </row>
    <row r="280" spans="1:11" s="422" customFormat="1" ht="15" customHeight="1">
      <c r="A280" s="375"/>
      <c r="B280" s="377" t="s">
        <v>349</v>
      </c>
      <c r="C280" s="243" t="s">
        <v>240</v>
      </c>
      <c r="D280" s="244">
        <f>D281+D282+D283</f>
        <v>0</v>
      </c>
      <c r="E280" s="421"/>
      <c r="K280" s="423"/>
    </row>
    <row r="281" spans="1:11" s="422" customFormat="1" ht="15" customHeight="1" outlineLevel="1">
      <c r="A281" s="384"/>
      <c r="B281" s="249" t="s">
        <v>222</v>
      </c>
      <c r="C281" s="250" t="s">
        <v>240</v>
      </c>
      <c r="D281" s="251"/>
      <c r="E281" s="421"/>
      <c r="K281" s="423"/>
    </row>
    <row r="282" spans="1:11" s="422" customFormat="1" ht="15" customHeight="1" outlineLevel="1">
      <c r="A282" s="384"/>
      <c r="B282" s="249" t="s">
        <v>223</v>
      </c>
      <c r="C282" s="250" t="s">
        <v>240</v>
      </c>
      <c r="D282" s="251">
        <f>'Шаблон 46 ГП'!F272/1000000</f>
        <v>0</v>
      </c>
      <c r="E282" s="421"/>
      <c r="K282" s="423"/>
    </row>
    <row r="283" spans="1:11" s="422" customFormat="1" ht="15" customHeight="1" outlineLevel="1">
      <c r="A283" s="384"/>
      <c r="B283" s="249" t="s">
        <v>224</v>
      </c>
      <c r="C283" s="250" t="s">
        <v>240</v>
      </c>
      <c r="D283" s="251"/>
      <c r="E283" s="421"/>
      <c r="K283" s="423"/>
    </row>
    <row r="284" spans="1:11" s="422" customFormat="1" ht="15" customHeight="1">
      <c r="A284" s="375"/>
      <c r="B284" s="377" t="s">
        <v>1822</v>
      </c>
      <c r="C284" s="243" t="s">
        <v>240</v>
      </c>
      <c r="D284" s="244">
        <f>D285+D286+D287</f>
        <v>0</v>
      </c>
      <c r="E284" s="421"/>
      <c r="K284" s="423"/>
    </row>
    <row r="285" spans="1:11" s="422" customFormat="1" ht="15" customHeight="1" outlineLevel="1">
      <c r="A285" s="384"/>
      <c r="B285" s="249" t="s">
        <v>222</v>
      </c>
      <c r="C285" s="250" t="s">
        <v>240</v>
      </c>
      <c r="D285" s="251"/>
      <c r="E285" s="421"/>
      <c r="K285" s="423"/>
    </row>
    <row r="286" spans="1:11" s="422" customFormat="1" ht="15" customHeight="1" outlineLevel="1">
      <c r="A286" s="384"/>
      <c r="B286" s="249" t="s">
        <v>223</v>
      </c>
      <c r="C286" s="250" t="s">
        <v>240</v>
      </c>
      <c r="D286" s="251">
        <f>'Шаблон 46 ГП'!F271/1000000</f>
        <v>0</v>
      </c>
      <c r="E286" s="421"/>
      <c r="K286" s="423"/>
    </row>
    <row r="287" spans="1:11" s="422" customFormat="1" ht="15" customHeight="1" outlineLevel="1">
      <c r="A287" s="384"/>
      <c r="B287" s="249" t="s">
        <v>224</v>
      </c>
      <c r="C287" s="250" t="s">
        <v>240</v>
      </c>
      <c r="D287" s="251"/>
      <c r="E287" s="421"/>
      <c r="K287" s="423"/>
    </row>
    <row r="288" spans="1:11" s="422" customFormat="1" ht="15" customHeight="1">
      <c r="A288" s="385"/>
      <c r="B288" s="262" t="s">
        <v>241</v>
      </c>
      <c r="C288" s="263"/>
      <c r="D288" s="264"/>
      <c r="E288" s="421"/>
      <c r="K288" s="423"/>
    </row>
    <row r="289" spans="1:29" s="422" customFormat="1" ht="15" customHeight="1" outlineLevel="1">
      <c r="A289" s="376"/>
      <c r="B289" s="234" t="s">
        <v>242</v>
      </c>
      <c r="C289" s="235" t="s">
        <v>240</v>
      </c>
      <c r="D289" s="265">
        <f>D433</f>
        <v>0</v>
      </c>
      <c r="E289" s="421"/>
      <c r="K289" s="423"/>
    </row>
    <row r="290" spans="1:29" s="422" customFormat="1" ht="15" customHeight="1" outlineLevel="1">
      <c r="A290" s="384"/>
      <c r="B290" s="234" t="s">
        <v>243</v>
      </c>
      <c r="C290" s="235" t="s">
        <v>240</v>
      </c>
      <c r="D290" s="236">
        <f>D155+D188</f>
        <v>55.307309000000004</v>
      </c>
      <c r="E290" s="421"/>
      <c r="F290" s="465"/>
      <c r="K290" s="423"/>
    </row>
    <row r="291" spans="1:29" s="422" customFormat="1" ht="15" customHeight="1" outlineLevel="1">
      <c r="A291" s="384"/>
      <c r="B291" s="237" t="s">
        <v>214</v>
      </c>
      <c r="C291" s="238" t="s">
        <v>240</v>
      </c>
      <c r="D291" s="240">
        <f>'Форма 1'!AS19/1000</f>
        <v>4.1623080000000003</v>
      </c>
      <c r="E291" s="421"/>
      <c r="F291" s="465"/>
      <c r="K291" s="423"/>
    </row>
    <row r="292" spans="1:29" s="422" customFormat="1" ht="15" customHeight="1" outlineLevel="1">
      <c r="A292" s="384"/>
      <c r="B292" s="237" t="s">
        <v>215</v>
      </c>
      <c r="C292" s="238" t="s">
        <v>240</v>
      </c>
      <c r="D292" s="240">
        <f>D188</f>
        <v>24.745756</v>
      </c>
      <c r="E292" s="421"/>
      <c r="K292" s="423"/>
    </row>
    <row r="293" spans="1:29" s="422" customFormat="1" ht="15" customHeight="1" outlineLevel="1">
      <c r="A293" s="384"/>
      <c r="B293" s="237" t="s">
        <v>216</v>
      </c>
      <c r="C293" s="238" t="s">
        <v>240</v>
      </c>
      <c r="D293" s="240">
        <f>D290-D291-D292</f>
        <v>26.399245000000001</v>
      </c>
      <c r="E293" s="421"/>
      <c r="K293" s="423"/>
    </row>
    <row r="294" spans="1:29" s="422" customFormat="1" ht="15" customHeight="1" outlineLevel="1">
      <c r="A294" s="384"/>
      <c r="B294" s="234" t="s">
        <v>244</v>
      </c>
      <c r="C294" s="235" t="s">
        <v>240</v>
      </c>
      <c r="D294" s="236">
        <f>D272</f>
        <v>1.7883280000000001</v>
      </c>
      <c r="E294" s="421"/>
      <c r="K294" s="423"/>
    </row>
    <row r="295" spans="1:29" s="422" customFormat="1" ht="15" customHeight="1">
      <c r="A295" s="372" t="s">
        <v>41</v>
      </c>
      <c r="B295" s="266" t="s">
        <v>245</v>
      </c>
      <c r="C295" s="267" t="s">
        <v>246</v>
      </c>
      <c r="D295" s="268">
        <f>D12/D154</f>
        <v>5.7651693155881141</v>
      </c>
      <c r="E295" s="421"/>
      <c r="K295" s="423"/>
    </row>
    <row r="296" spans="1:29" s="429" customFormat="1" ht="15" hidden="1" customHeight="1" outlineLevel="1">
      <c r="A296" s="389"/>
      <c r="B296" s="269" t="s">
        <v>243</v>
      </c>
      <c r="C296" s="270" t="s">
        <v>246</v>
      </c>
      <c r="D296" s="271">
        <f>(D13-D15)/(D290+D289-D292)</f>
        <v>8.6721335774285428</v>
      </c>
      <c r="E296" s="431"/>
      <c r="K296" s="430"/>
    </row>
    <row r="297" spans="1:29" s="429" customFormat="1" ht="15" hidden="1" customHeight="1" outlineLevel="1">
      <c r="A297" s="389"/>
      <c r="B297" s="269" t="s">
        <v>214</v>
      </c>
      <c r="C297" s="270" t="s">
        <v>246</v>
      </c>
      <c r="D297" s="271">
        <v>2.7447708067980008</v>
      </c>
      <c r="E297" s="431"/>
      <c r="K297" s="430"/>
    </row>
    <row r="298" spans="1:29" s="429" customFormat="1" ht="15" hidden="1" customHeight="1" outlineLevel="1">
      <c r="A298" s="389"/>
      <c r="B298" s="269" t="s">
        <v>215</v>
      </c>
      <c r="C298" s="270" t="s">
        <v>246</v>
      </c>
      <c r="D298" s="271">
        <v>1.3</v>
      </c>
      <c r="E298" s="431"/>
      <c r="K298" s="430"/>
    </row>
    <row r="299" spans="1:29" s="429" customFormat="1" ht="15" hidden="1" customHeight="1" outlineLevel="1">
      <c r="A299" s="389"/>
      <c r="B299" s="269" t="s">
        <v>216</v>
      </c>
      <c r="C299" s="270" t="s">
        <v>246</v>
      </c>
      <c r="D299" s="271">
        <v>2.7447708067980008</v>
      </c>
      <c r="E299" s="431"/>
      <c r="K299" s="430"/>
    </row>
    <row r="300" spans="1:29" s="429" customFormat="1" ht="15" hidden="1" customHeight="1" outlineLevel="1">
      <c r="A300" s="389"/>
      <c r="B300" s="269" t="s">
        <v>244</v>
      </c>
      <c r="C300" s="270" t="s">
        <v>246</v>
      </c>
      <c r="D300" s="271">
        <f>D17/D272</f>
        <v>3.94997</v>
      </c>
      <c r="E300" s="431"/>
      <c r="K300" s="430"/>
    </row>
    <row r="301" spans="1:29" s="429" customFormat="1" ht="15" customHeight="1" collapsed="1">
      <c r="A301" s="390"/>
      <c r="B301" s="242" t="s">
        <v>220</v>
      </c>
      <c r="C301" s="272" t="s">
        <v>246</v>
      </c>
      <c r="D301" s="466">
        <f t="shared" ref="D301:D307" si="3">D21/D155</f>
        <v>8.6721335774285446</v>
      </c>
      <c r="E301" s="431"/>
      <c r="K301" s="430"/>
      <c r="AA301" s="466"/>
    </row>
    <row r="302" spans="1:29" s="429" customFormat="1" ht="15" customHeight="1">
      <c r="A302" s="390"/>
      <c r="B302" s="274" t="s">
        <v>221</v>
      </c>
      <c r="C302" s="272" t="s">
        <v>246</v>
      </c>
      <c r="D302" s="466">
        <f t="shared" si="3"/>
        <v>8.8178108163006339</v>
      </c>
      <c r="E302" s="431"/>
      <c r="K302" s="430"/>
      <c r="AA302" s="466"/>
    </row>
    <row r="303" spans="1:29" s="429" customFormat="1" ht="15" customHeight="1" outlineLevel="1">
      <c r="A303" s="391"/>
      <c r="B303" s="275" t="s">
        <v>156</v>
      </c>
      <c r="C303" s="276"/>
      <c r="D303" s="467">
        <f t="shared" si="3"/>
        <v>8.8178108163006339</v>
      </c>
      <c r="E303" s="431"/>
      <c r="K303" s="430"/>
      <c r="AA303" s="467"/>
    </row>
    <row r="304" spans="1:29" s="429" customFormat="1" ht="15" customHeight="1" outlineLevel="1">
      <c r="A304" s="391"/>
      <c r="B304" s="278" t="s">
        <v>222</v>
      </c>
      <c r="C304" s="279" t="s">
        <v>246</v>
      </c>
      <c r="D304" s="280">
        <f>ROUND(('Шаблон 46 ГП'!N68/'Шаблон 46 ГП'!E68),10)</f>
        <v>8.4594099709999995</v>
      </c>
      <c r="E304" s="468">
        <v>1</v>
      </c>
      <c r="F304" s="468">
        <v>1</v>
      </c>
      <c r="G304" s="468">
        <v>1</v>
      </c>
      <c r="H304" s="468">
        <v>1</v>
      </c>
      <c r="I304" s="468">
        <v>1</v>
      </c>
      <c r="J304" s="468">
        <v>1</v>
      </c>
      <c r="K304" s="469"/>
      <c r="L304" s="468"/>
      <c r="M304" s="468"/>
      <c r="N304" s="468"/>
      <c r="Y304" s="470">
        <v>7.0000000000000007E-2</v>
      </c>
      <c r="AA304" s="280">
        <v>3.8118225404244188</v>
      </c>
      <c r="AB304" s="470">
        <v>0.02</v>
      </c>
      <c r="AC304" s="470">
        <v>0.02</v>
      </c>
    </row>
    <row r="305" spans="1:29" s="429" customFormat="1" ht="15" customHeight="1" outlineLevel="1">
      <c r="A305" s="391"/>
      <c r="B305" s="278" t="s">
        <v>223</v>
      </c>
      <c r="C305" s="279" t="s">
        <v>246</v>
      </c>
      <c r="D305" s="280">
        <f>ROUND(('Шаблон 46 ГП'!O68+'Шаблон 46 ГП'!O69)/('Шаблон 46 ГП'!F68+'Шаблон 46 ГП'!F69),10)</f>
        <v>8.7284122313000001</v>
      </c>
      <c r="E305" s="468"/>
      <c r="F305" s="468"/>
      <c r="G305" s="468"/>
      <c r="H305" s="468"/>
      <c r="I305" s="468"/>
      <c r="J305" s="468"/>
      <c r="K305" s="469"/>
      <c r="L305" s="468"/>
      <c r="M305" s="468"/>
      <c r="N305" s="468"/>
      <c r="Y305" s="470">
        <v>7.0000000000000007E-2</v>
      </c>
      <c r="AA305" s="280">
        <v>3.9393715215863891</v>
      </c>
      <c r="AB305" s="470">
        <f>AB304</f>
        <v>0.02</v>
      </c>
      <c r="AC305" s="470">
        <f>AC304</f>
        <v>0.02</v>
      </c>
    </row>
    <row r="306" spans="1:29" s="429" customFormat="1" ht="15" customHeight="1" outlineLevel="1">
      <c r="A306" s="391"/>
      <c r="B306" s="278" t="s">
        <v>224</v>
      </c>
      <c r="C306" s="279" t="s">
        <v>246</v>
      </c>
      <c r="D306" s="280">
        <f>ROUND((('Шаблон 46 ГП'!P68+'Шаблон 46 ГП'!P69)/('Шаблон 46 ГП'!G68+'Шаблон 46 ГП'!G69)),10)</f>
        <v>8.9845249215000003</v>
      </c>
      <c r="E306" s="468"/>
      <c r="F306" s="468"/>
      <c r="G306" s="468"/>
      <c r="H306" s="468"/>
      <c r="I306" s="468"/>
      <c r="J306" s="468"/>
      <c r="K306" s="469"/>
      <c r="L306" s="468"/>
      <c r="M306" s="468"/>
      <c r="N306" s="468"/>
      <c r="Y306" s="470">
        <v>7.0000000000000007E-2</v>
      </c>
      <c r="AA306" s="280">
        <v>4.0192225132812647</v>
      </c>
      <c r="AB306" s="470">
        <f>AB305</f>
        <v>0.02</v>
      </c>
      <c r="AC306" s="470">
        <f>AC305</f>
        <v>0.02</v>
      </c>
    </row>
    <row r="307" spans="1:29" s="429" customFormat="1" ht="15" customHeight="1" outlineLevel="1">
      <c r="A307" s="391"/>
      <c r="B307" s="275" t="s">
        <v>225</v>
      </c>
      <c r="C307" s="276"/>
      <c r="D307" s="467" t="e">
        <f t="shared" si="3"/>
        <v>#DIV/0!</v>
      </c>
      <c r="E307" s="431"/>
      <c r="K307" s="430"/>
      <c r="Y307" s="470">
        <v>7.0000000000000007E-2</v>
      </c>
      <c r="AA307" s="467"/>
      <c r="AB307" s="470"/>
      <c r="AC307" s="470"/>
    </row>
    <row r="308" spans="1:29" s="429" customFormat="1" ht="15" customHeight="1" outlineLevel="1">
      <c r="A308" s="391"/>
      <c r="B308" s="278" t="s">
        <v>222</v>
      </c>
      <c r="C308" s="279" t="s">
        <v>246</v>
      </c>
      <c r="D308" s="280"/>
      <c r="E308" s="468"/>
      <c r="F308" s="468"/>
      <c r="G308" s="468"/>
      <c r="H308" s="468"/>
      <c r="I308" s="468"/>
      <c r="J308" s="468"/>
      <c r="K308" s="430"/>
      <c r="Y308" s="470">
        <v>7.0000000000000007E-2</v>
      </c>
      <c r="AA308" s="280">
        <v>3.7746200067452076</v>
      </c>
      <c r="AB308" s="470">
        <f>AB306</f>
        <v>0.02</v>
      </c>
      <c r="AC308" s="470">
        <f>AC306</f>
        <v>0.02</v>
      </c>
    </row>
    <row r="309" spans="1:29" s="429" customFormat="1" ht="15" customHeight="1" outlineLevel="1">
      <c r="A309" s="391"/>
      <c r="B309" s="278" t="s">
        <v>223</v>
      </c>
      <c r="C309" s="279" t="s">
        <v>246</v>
      </c>
      <c r="D309" s="280"/>
      <c r="E309" s="468"/>
      <c r="F309" s="468"/>
      <c r="G309" s="468"/>
      <c r="H309" s="468"/>
      <c r="I309" s="468"/>
      <c r="J309" s="468"/>
      <c r="K309" s="430"/>
      <c r="Y309" s="470">
        <v>7.0000000000000007E-2</v>
      </c>
      <c r="AA309" s="280">
        <v>3.9271899982341991</v>
      </c>
      <c r="AB309" s="470">
        <f>AB308</f>
        <v>0.02</v>
      </c>
      <c r="AC309" s="470">
        <f>AC308</f>
        <v>0.02</v>
      </c>
    </row>
    <row r="310" spans="1:29" s="429" customFormat="1" ht="15" customHeight="1" outlineLevel="1">
      <c r="A310" s="391"/>
      <c r="B310" s="278" t="s">
        <v>224</v>
      </c>
      <c r="C310" s="279" t="s">
        <v>246</v>
      </c>
      <c r="D310" s="280"/>
      <c r="E310" s="468"/>
      <c r="F310" s="468"/>
      <c r="G310" s="468"/>
      <c r="H310" s="468"/>
      <c r="I310" s="468"/>
      <c r="J310" s="468"/>
      <c r="K310" s="430"/>
      <c r="Y310" s="470">
        <v>7.0000000000000007E-2</v>
      </c>
      <c r="AA310" s="280">
        <v>3.9820199955021396</v>
      </c>
      <c r="AB310" s="470">
        <f>AB309</f>
        <v>0.02</v>
      </c>
      <c r="AC310" s="470">
        <f>AC309</f>
        <v>0.02</v>
      </c>
    </row>
    <row r="311" spans="1:29" s="429" customFormat="1" ht="15" customHeight="1">
      <c r="A311" s="390"/>
      <c r="B311" s="274" t="s">
        <v>227</v>
      </c>
      <c r="C311" s="272" t="s">
        <v>246</v>
      </c>
      <c r="D311" s="466">
        <f>D31/D165</f>
        <v>9.405961875772757</v>
      </c>
      <c r="E311" s="431"/>
      <c r="K311" s="430"/>
      <c r="Y311" s="470">
        <v>7.0000000000000007E-2</v>
      </c>
      <c r="AA311" s="466"/>
      <c r="AB311" s="470"/>
      <c r="AC311" s="470"/>
    </row>
    <row r="312" spans="1:29" s="429" customFormat="1" ht="14.25" customHeight="1" outlineLevel="1">
      <c r="A312" s="391"/>
      <c r="B312" s="275" t="s">
        <v>156</v>
      </c>
      <c r="C312" s="276"/>
      <c r="D312" s="467">
        <f>D32/D166</f>
        <v>9.405961875772757</v>
      </c>
      <c r="E312" s="431"/>
      <c r="K312" s="430"/>
      <c r="Y312" s="470">
        <v>7.0000000000000007E-2</v>
      </c>
      <c r="AA312" s="467"/>
      <c r="AB312" s="470"/>
      <c r="AC312" s="470"/>
    </row>
    <row r="313" spans="1:29" s="429" customFormat="1" ht="15" customHeight="1" outlineLevel="1">
      <c r="A313" s="391"/>
      <c r="B313" s="278" t="s">
        <v>222</v>
      </c>
      <c r="C313" s="279" t="s">
        <v>240</v>
      </c>
      <c r="D313" s="280"/>
      <c r="E313" s="431"/>
      <c r="K313" s="430"/>
      <c r="Y313" s="470">
        <v>7.0000000000000007E-2</v>
      </c>
      <c r="AA313" s="280"/>
      <c r="AB313" s="470">
        <f>AB310</f>
        <v>0.02</v>
      </c>
      <c r="AC313" s="470">
        <f>AC310</f>
        <v>0.02</v>
      </c>
    </row>
    <row r="314" spans="1:29" s="429" customFormat="1" ht="15" customHeight="1" outlineLevel="1">
      <c r="A314" s="391"/>
      <c r="B314" s="278" t="s">
        <v>223</v>
      </c>
      <c r="C314" s="279" t="s">
        <v>246</v>
      </c>
      <c r="D314" s="280">
        <f>ROUND('Шаблон 46 ГП'!O71/'Шаблон 46 ГП'!F71,10)</f>
        <v>9.404464226</v>
      </c>
      <c r="E314" s="431"/>
      <c r="K314" s="430"/>
      <c r="Y314" s="470">
        <v>7.0000000000000007E-2</v>
      </c>
      <c r="AA314" s="280">
        <v>3.6894790675100433</v>
      </c>
      <c r="AB314" s="470">
        <f>AB313</f>
        <v>0.02</v>
      </c>
      <c r="AC314" s="470">
        <f>AC313</f>
        <v>0.02</v>
      </c>
    </row>
    <row r="315" spans="1:29" s="429" customFormat="1" ht="15" customHeight="1" outlineLevel="1">
      <c r="A315" s="391"/>
      <c r="B315" s="278" t="s">
        <v>224</v>
      </c>
      <c r="C315" s="279" t="s">
        <v>246</v>
      </c>
      <c r="D315" s="280">
        <f>ROUND('Шаблон 46 ГП'!P71/'Шаблон 46 ГП'!G71,10)</f>
        <v>9.5492518784999998</v>
      </c>
      <c r="E315" s="431"/>
      <c r="K315" s="430"/>
      <c r="Y315" s="470">
        <v>7.0000000000000007E-2</v>
      </c>
      <c r="AA315" s="280">
        <v>3.5281650500670674</v>
      </c>
      <c r="AB315" s="470">
        <f>AB314</f>
        <v>0.02</v>
      </c>
      <c r="AC315" s="470">
        <f>AC314</f>
        <v>0.02</v>
      </c>
    </row>
    <row r="316" spans="1:29" s="429" customFormat="1" ht="15" customHeight="1" outlineLevel="1">
      <c r="A316" s="391"/>
      <c r="B316" s="275" t="s">
        <v>225</v>
      </c>
      <c r="C316" s="276"/>
      <c r="D316" s="277">
        <v>0</v>
      </c>
      <c r="E316" s="431"/>
      <c r="K316" s="430"/>
      <c r="Y316" s="470">
        <v>7.0000000000000007E-2</v>
      </c>
      <c r="AA316" s="277"/>
      <c r="AB316" s="470"/>
    </row>
    <row r="317" spans="1:29" s="429" customFormat="1" ht="15" customHeight="1" outlineLevel="1">
      <c r="A317" s="391"/>
      <c r="B317" s="278" t="s">
        <v>222</v>
      </c>
      <c r="C317" s="279" t="s">
        <v>240</v>
      </c>
      <c r="D317" s="280"/>
      <c r="E317" s="431"/>
      <c r="K317" s="430"/>
      <c r="Y317" s="470">
        <v>7.0000000000000007E-2</v>
      </c>
      <c r="AA317" s="280"/>
      <c r="AB317" s="470"/>
    </row>
    <row r="318" spans="1:29" s="429" customFormat="1" ht="15" customHeight="1" outlineLevel="1">
      <c r="A318" s="391"/>
      <c r="B318" s="278" t="s">
        <v>223</v>
      </c>
      <c r="C318" s="279" t="s">
        <v>240</v>
      </c>
      <c r="D318" s="280"/>
      <c r="E318" s="431"/>
      <c r="K318" s="430"/>
      <c r="Y318" s="470">
        <v>7.0000000000000007E-2</v>
      </c>
      <c r="AA318" s="280"/>
      <c r="AB318" s="470"/>
    </row>
    <row r="319" spans="1:29" s="429" customFormat="1" ht="15" customHeight="1" outlineLevel="1">
      <c r="A319" s="391"/>
      <c r="B319" s="278" t="s">
        <v>224</v>
      </c>
      <c r="C319" s="279" t="s">
        <v>240</v>
      </c>
      <c r="D319" s="280"/>
      <c r="E319" s="431"/>
      <c r="K319" s="430"/>
      <c r="Y319" s="470">
        <v>7.0000000000000007E-2</v>
      </c>
      <c r="AA319" s="280"/>
      <c r="AB319" s="470"/>
    </row>
    <row r="320" spans="1:29" s="429" customFormat="1" ht="15" customHeight="1" outlineLevel="1">
      <c r="A320" s="391"/>
      <c r="B320" s="281" t="s">
        <v>226</v>
      </c>
      <c r="C320" s="282"/>
      <c r="D320" s="277">
        <v>0</v>
      </c>
      <c r="E320" s="431"/>
      <c r="K320" s="430"/>
      <c r="Y320" s="470">
        <v>7.0000000000000007E-2</v>
      </c>
      <c r="AA320" s="277"/>
      <c r="AB320" s="470"/>
    </row>
    <row r="321" spans="1:28" s="429" customFormat="1" ht="15" customHeight="1" outlineLevel="1">
      <c r="A321" s="391"/>
      <c r="B321" s="278" t="s">
        <v>222</v>
      </c>
      <c r="C321" s="279" t="s">
        <v>240</v>
      </c>
      <c r="D321" s="280"/>
      <c r="E321" s="431"/>
      <c r="K321" s="430"/>
      <c r="Y321" s="470">
        <v>7.0000000000000007E-2</v>
      </c>
      <c r="AA321" s="280"/>
      <c r="AB321" s="470"/>
    </row>
    <row r="322" spans="1:28" s="429" customFormat="1" ht="15" customHeight="1" outlineLevel="1">
      <c r="A322" s="391"/>
      <c r="B322" s="278" t="s">
        <v>223</v>
      </c>
      <c r="C322" s="279" t="s">
        <v>240</v>
      </c>
      <c r="D322" s="280"/>
      <c r="E322" s="431"/>
      <c r="K322" s="430"/>
      <c r="Y322" s="470">
        <v>7.0000000000000007E-2</v>
      </c>
      <c r="AA322" s="280"/>
      <c r="AB322" s="470"/>
    </row>
    <row r="323" spans="1:28" s="429" customFormat="1" ht="15" customHeight="1" outlineLevel="1">
      <c r="A323" s="391"/>
      <c r="B323" s="278" t="s">
        <v>224</v>
      </c>
      <c r="C323" s="279" t="s">
        <v>240</v>
      </c>
      <c r="D323" s="280"/>
      <c r="E323" s="431"/>
      <c r="K323" s="430"/>
      <c r="Y323" s="470">
        <v>7.0000000000000007E-2</v>
      </c>
      <c r="AA323" s="280"/>
      <c r="AB323" s="470"/>
    </row>
    <row r="324" spans="1:28" s="429" customFormat="1" ht="15" customHeight="1">
      <c r="A324" s="390"/>
      <c r="B324" s="274" t="s">
        <v>340</v>
      </c>
      <c r="C324" s="272" t="s">
        <v>246</v>
      </c>
      <c r="D324" s="466">
        <f t="shared" ref="D324:D334" si="4">D44/D178</f>
        <v>8.808286888489695</v>
      </c>
      <c r="E324" s="431"/>
      <c r="K324" s="430"/>
      <c r="Y324" s="470">
        <v>7.0000000000000007E-2</v>
      </c>
      <c r="AA324" s="466"/>
      <c r="AB324" s="470"/>
    </row>
    <row r="325" spans="1:28" s="429" customFormat="1" ht="15" customHeight="1" outlineLevel="1">
      <c r="A325" s="391"/>
      <c r="B325" s="275" t="s">
        <v>226</v>
      </c>
      <c r="C325" s="276"/>
      <c r="D325" s="467">
        <f t="shared" si="4"/>
        <v>8.808286888489695</v>
      </c>
      <c r="E325" s="431"/>
      <c r="K325" s="430"/>
      <c r="Y325" s="470">
        <v>7.0000000000000007E-2</v>
      </c>
      <c r="AA325" s="467"/>
      <c r="AB325" s="470"/>
    </row>
    <row r="326" spans="1:28" s="429" customFormat="1" ht="15" customHeight="1" outlineLevel="1">
      <c r="A326" s="391"/>
      <c r="B326" s="278" t="s">
        <v>222</v>
      </c>
      <c r="C326" s="279" t="s">
        <v>246</v>
      </c>
      <c r="D326" s="280">
        <f>'Шаблон 46 ГП'!N75/'Шаблон 46 ГП'!E75</f>
        <v>6.8916838204907132</v>
      </c>
      <c r="E326" s="468"/>
      <c r="F326" s="468"/>
      <c r="G326" s="468"/>
      <c r="H326" s="468"/>
      <c r="I326" s="468"/>
      <c r="J326" s="468"/>
      <c r="K326" s="430"/>
      <c r="Y326" s="470">
        <v>7.0000000000000007E-2</v>
      </c>
      <c r="AA326" s="280">
        <v>3.3052335630123451</v>
      </c>
      <c r="AB326" s="470">
        <f>AB315</f>
        <v>0.02</v>
      </c>
    </row>
    <row r="327" spans="1:28" s="429" customFormat="1" ht="15" customHeight="1" outlineLevel="1">
      <c r="A327" s="391"/>
      <c r="B327" s="278" t="s">
        <v>223</v>
      </c>
      <c r="C327" s="279" t="s">
        <v>246</v>
      </c>
      <c r="D327" s="280">
        <f>'Шаблон 46 ГП'!O75/'Шаблон 46 ГП'!F75</f>
        <v>7.210300004032824</v>
      </c>
      <c r="E327" s="468"/>
      <c r="F327" s="468"/>
      <c r="G327" s="468"/>
      <c r="H327" s="468"/>
      <c r="I327" s="468"/>
      <c r="J327" s="468"/>
      <c r="K327" s="430"/>
      <c r="Y327" s="470">
        <v>7.0000000000000007E-2</v>
      </c>
      <c r="AA327" s="280">
        <v>3.7747458348448908</v>
      </c>
      <c r="AB327" s="470">
        <f>AB326</f>
        <v>0.02</v>
      </c>
    </row>
    <row r="328" spans="1:28" s="429" customFormat="1" ht="15" customHeight="1" outlineLevel="1">
      <c r="A328" s="391"/>
      <c r="B328" s="278" t="s">
        <v>224</v>
      </c>
      <c r="C328" s="279" t="s">
        <v>246</v>
      </c>
      <c r="D328" s="280">
        <f>'Шаблон 46 ГП'!P75/'Шаблон 46 ГП'!G75</f>
        <v>7.4814502881844378</v>
      </c>
      <c r="E328" s="468"/>
      <c r="F328" s="468"/>
      <c r="G328" s="468"/>
      <c r="H328" s="468"/>
      <c r="I328" s="468"/>
      <c r="J328" s="468"/>
      <c r="K328" s="430"/>
      <c r="Y328" s="470">
        <v>7.0000000000000007E-2</v>
      </c>
      <c r="AA328" s="280">
        <v>3.5782697848267806</v>
      </c>
      <c r="AB328" s="470">
        <f>AB327</f>
        <v>0.02</v>
      </c>
    </row>
    <row r="329" spans="1:28" s="429" customFormat="1" ht="15" customHeight="1">
      <c r="A329" s="390"/>
      <c r="B329" s="274" t="s">
        <v>152</v>
      </c>
      <c r="C329" s="272" t="s">
        <v>246</v>
      </c>
      <c r="D329" s="466">
        <f t="shared" si="4"/>
        <v>7.5818864824916723</v>
      </c>
      <c r="E329" s="431"/>
      <c r="K329" s="430"/>
      <c r="Y329" s="470">
        <v>7.0000000000000007E-2</v>
      </c>
      <c r="AA329" s="466"/>
      <c r="AB329" s="470"/>
    </row>
    <row r="330" spans="1:28" s="429" customFormat="1" ht="15" customHeight="1" outlineLevel="1">
      <c r="A330" s="391"/>
      <c r="B330" s="275" t="s">
        <v>226</v>
      </c>
      <c r="C330" s="276"/>
      <c r="D330" s="467">
        <f t="shared" si="4"/>
        <v>7.5818864824916723</v>
      </c>
      <c r="E330" s="431"/>
      <c r="K330" s="430"/>
      <c r="Y330" s="470">
        <v>7.0000000000000007E-2</v>
      </c>
      <c r="AA330" s="467"/>
      <c r="AB330" s="470"/>
    </row>
    <row r="331" spans="1:28" s="429" customFormat="1" ht="15" customHeight="1" outlineLevel="1">
      <c r="A331" s="391"/>
      <c r="B331" s="278" t="s">
        <v>222</v>
      </c>
      <c r="C331" s="279" t="s">
        <v>246</v>
      </c>
      <c r="D331" s="280">
        <v>0</v>
      </c>
      <c r="E331" s="468"/>
      <c r="F331" s="468"/>
      <c r="G331" s="468"/>
      <c r="H331" s="468"/>
      <c r="I331" s="468"/>
      <c r="J331" s="468"/>
      <c r="K331" s="430"/>
      <c r="Y331" s="470">
        <v>7.0000000000000007E-2</v>
      </c>
      <c r="AA331" s="280">
        <v>3.3052335630123451</v>
      </c>
      <c r="AB331" s="470">
        <f>AB320</f>
        <v>0</v>
      </c>
    </row>
    <row r="332" spans="1:28" s="429" customFormat="1" ht="15" customHeight="1" outlineLevel="1">
      <c r="A332" s="391"/>
      <c r="B332" s="278" t="s">
        <v>223</v>
      </c>
      <c r="C332" s="279" t="s">
        <v>246</v>
      </c>
      <c r="D332" s="280">
        <f>'Шаблон 46 ГП'!O102/'Шаблон 46 ГП'!F102</f>
        <v>3.5129755035490073</v>
      </c>
      <c r="E332" s="468"/>
      <c r="F332" s="468"/>
      <c r="G332" s="468"/>
      <c r="H332" s="468"/>
      <c r="I332" s="468"/>
      <c r="J332" s="468"/>
      <c r="K332" s="430"/>
      <c r="Y332" s="470">
        <v>7.0000000000000007E-2</v>
      </c>
      <c r="AA332" s="280">
        <v>3.7747458348448908</v>
      </c>
      <c r="AB332" s="470">
        <f>AB331</f>
        <v>0</v>
      </c>
    </row>
    <row r="333" spans="1:28" s="429" customFormat="1" ht="15" customHeight="1" outlineLevel="1">
      <c r="A333" s="391"/>
      <c r="B333" s="278" t="s">
        <v>224</v>
      </c>
      <c r="C333" s="279" t="s">
        <v>246</v>
      </c>
      <c r="D333" s="280">
        <f>'Шаблон 46 ГП'!P102/'Шаблон 46 ГП'!G102</f>
        <v>3.7087483675128152</v>
      </c>
      <c r="E333" s="468"/>
      <c r="F333" s="468"/>
      <c r="G333" s="468"/>
      <c r="H333" s="468"/>
      <c r="I333" s="468"/>
      <c r="J333" s="468"/>
      <c r="K333" s="430"/>
      <c r="Y333" s="470">
        <v>7.0000000000000007E-2</v>
      </c>
      <c r="AA333" s="280">
        <v>3.5782697848267806</v>
      </c>
      <c r="AB333" s="470">
        <f>AB332</f>
        <v>0</v>
      </c>
    </row>
    <row r="334" spans="1:28" s="429" customFormat="1" ht="15" customHeight="1">
      <c r="A334" s="390"/>
      <c r="B334" s="274" t="s">
        <v>28</v>
      </c>
      <c r="C334" s="272" t="s">
        <v>246</v>
      </c>
      <c r="D334" s="466">
        <f t="shared" si="4"/>
        <v>2.299796466777388</v>
      </c>
      <c r="E334" s="431"/>
      <c r="K334" s="430"/>
      <c r="Y334" s="472">
        <v>6.4000000000000001E-2</v>
      </c>
    </row>
    <row r="335" spans="1:28" s="429" customFormat="1" ht="15" customHeight="1">
      <c r="A335" s="385"/>
      <c r="B335" s="386" t="s">
        <v>341</v>
      </c>
      <c r="C335" s="387" t="s">
        <v>240</v>
      </c>
      <c r="D335" s="466"/>
      <c r="E335" s="431"/>
      <c r="K335" s="430"/>
      <c r="Y335" s="472"/>
    </row>
    <row r="336" spans="1:28" s="429" customFormat="1" ht="15" customHeight="1">
      <c r="A336" s="385"/>
      <c r="B336" s="386" t="s">
        <v>350</v>
      </c>
      <c r="C336" s="387" t="s">
        <v>240</v>
      </c>
      <c r="D336" s="466"/>
      <c r="E336" s="431"/>
      <c r="K336" s="430"/>
      <c r="Y336" s="472"/>
    </row>
    <row r="337" spans="1:29" s="429" customFormat="1" ht="15" customHeight="1" outlineLevel="1">
      <c r="A337" s="391"/>
      <c r="B337" s="283" t="s">
        <v>228</v>
      </c>
      <c r="C337" s="284" t="s">
        <v>246</v>
      </c>
      <c r="D337" s="467">
        <f>D57/D191</f>
        <v>2.9338899617170888</v>
      </c>
      <c r="E337" s="431"/>
      <c r="K337" s="430"/>
      <c r="Y337" s="472">
        <v>6.4000000000000001E-2</v>
      </c>
    </row>
    <row r="338" spans="1:29" s="434" customFormat="1" ht="15" customHeight="1" outlineLevel="2">
      <c r="A338" s="378"/>
      <c r="B338" s="379" t="s">
        <v>341</v>
      </c>
      <c r="C338" s="380" t="s">
        <v>246</v>
      </c>
      <c r="D338" s="432"/>
      <c r="E338" s="433"/>
      <c r="K338" s="435"/>
      <c r="L338" s="436"/>
      <c r="M338" s="436"/>
      <c r="N338" s="436"/>
      <c r="T338" s="436"/>
    </row>
    <row r="339" spans="1:29" s="439" customFormat="1" ht="15" customHeight="1" outlineLevel="2">
      <c r="A339" s="381"/>
      <c r="B339" s="382" t="s">
        <v>342</v>
      </c>
      <c r="C339" s="383" t="s">
        <v>246</v>
      </c>
      <c r="D339" s="437"/>
      <c r="E339" s="438"/>
      <c r="K339" s="440"/>
      <c r="L339" s="441"/>
      <c r="M339" s="441"/>
      <c r="N339" s="441"/>
      <c r="T339" s="441"/>
    </row>
    <row r="340" spans="1:29" s="429" customFormat="1" ht="15" customHeight="1" outlineLevel="1">
      <c r="A340" s="391"/>
      <c r="B340" s="256" t="s">
        <v>281</v>
      </c>
      <c r="C340" s="284" t="s">
        <v>246</v>
      </c>
      <c r="D340" s="471">
        <f>'Шаблон 46 ГП'!K40</f>
        <v>4.29</v>
      </c>
      <c r="E340" s="431"/>
      <c r="K340" s="430"/>
      <c r="Y340" s="472">
        <v>6.4000000000000001E-2</v>
      </c>
    </row>
    <row r="341" spans="1:29" s="434" customFormat="1" ht="15" customHeight="1" outlineLevel="2">
      <c r="A341" s="378"/>
      <c r="B341" s="379" t="s">
        <v>341</v>
      </c>
      <c r="C341" s="380" t="s">
        <v>246</v>
      </c>
      <c r="D341" s="432">
        <f>D340</f>
        <v>4.29</v>
      </c>
      <c r="E341" s="432">
        <f t="shared" ref="E341:AC341" si="5">E340</f>
        <v>0</v>
      </c>
      <c r="F341" s="432">
        <f t="shared" si="5"/>
        <v>0</v>
      </c>
      <c r="G341" s="432">
        <f t="shared" si="5"/>
        <v>0</v>
      </c>
      <c r="H341" s="432">
        <f t="shared" si="5"/>
        <v>0</v>
      </c>
      <c r="I341" s="432">
        <f t="shared" si="5"/>
        <v>0</v>
      </c>
      <c r="J341" s="432">
        <f t="shared" si="5"/>
        <v>0</v>
      </c>
      <c r="K341" s="432">
        <f t="shared" si="5"/>
        <v>0</v>
      </c>
      <c r="L341" s="432">
        <f t="shared" si="5"/>
        <v>0</v>
      </c>
      <c r="M341" s="432">
        <f t="shared" si="5"/>
        <v>0</v>
      </c>
      <c r="N341" s="432">
        <f t="shared" si="5"/>
        <v>0</v>
      </c>
      <c r="O341" s="432">
        <f t="shared" si="5"/>
        <v>0</v>
      </c>
      <c r="P341" s="432">
        <f t="shared" si="5"/>
        <v>0</v>
      </c>
      <c r="Q341" s="432">
        <f t="shared" si="5"/>
        <v>0</v>
      </c>
      <c r="R341" s="432">
        <f t="shared" si="5"/>
        <v>0</v>
      </c>
      <c r="S341" s="432">
        <f t="shared" si="5"/>
        <v>0</v>
      </c>
      <c r="T341" s="432">
        <f t="shared" si="5"/>
        <v>0</v>
      </c>
      <c r="U341" s="432">
        <f t="shared" si="5"/>
        <v>0</v>
      </c>
      <c r="V341" s="432">
        <f t="shared" si="5"/>
        <v>0</v>
      </c>
      <c r="W341" s="432">
        <f t="shared" si="5"/>
        <v>0</v>
      </c>
      <c r="X341" s="432">
        <f t="shared" si="5"/>
        <v>0</v>
      </c>
      <c r="Y341" s="432">
        <f t="shared" si="5"/>
        <v>6.4000000000000001E-2</v>
      </c>
      <c r="Z341" s="432">
        <f t="shared" si="5"/>
        <v>0</v>
      </c>
      <c r="AA341" s="432">
        <f t="shared" si="5"/>
        <v>0</v>
      </c>
      <c r="AB341" s="432">
        <f t="shared" si="5"/>
        <v>0</v>
      </c>
      <c r="AC341" s="432">
        <f t="shared" si="5"/>
        <v>0</v>
      </c>
    </row>
    <row r="342" spans="1:29" s="439" customFormat="1" ht="15" customHeight="1" outlineLevel="2">
      <c r="A342" s="381"/>
      <c r="B342" s="382" t="s">
        <v>342</v>
      </c>
      <c r="C342" s="383" t="s">
        <v>246</v>
      </c>
      <c r="D342" s="437"/>
      <c r="E342" s="438"/>
      <c r="K342" s="440"/>
      <c r="L342" s="441"/>
      <c r="M342" s="441"/>
      <c r="N342" s="441"/>
      <c r="T342" s="441"/>
    </row>
    <row r="343" spans="1:29" s="429" customFormat="1" ht="15" customHeight="1" outlineLevel="1">
      <c r="A343" s="391"/>
      <c r="B343" s="257" t="s">
        <v>282</v>
      </c>
      <c r="C343" s="284" t="s">
        <v>246</v>
      </c>
      <c r="D343" s="287"/>
      <c r="E343" s="431"/>
      <c r="K343" s="430"/>
      <c r="Y343" s="472">
        <v>6.4000000000000001E-2</v>
      </c>
    </row>
    <row r="344" spans="1:29" s="434" customFormat="1" ht="15" customHeight="1" outlineLevel="2">
      <c r="A344" s="378"/>
      <c r="B344" s="379" t="s">
        <v>341</v>
      </c>
      <c r="C344" s="380" t="s">
        <v>246</v>
      </c>
      <c r="D344" s="432"/>
      <c r="E344" s="433"/>
      <c r="K344" s="435"/>
      <c r="L344" s="436"/>
      <c r="M344" s="436"/>
      <c r="N344" s="436"/>
      <c r="T344" s="436"/>
    </row>
    <row r="345" spans="1:29" s="439" customFormat="1" ht="15" customHeight="1" outlineLevel="2">
      <c r="A345" s="381"/>
      <c r="B345" s="382" t="s">
        <v>342</v>
      </c>
      <c r="C345" s="383" t="s">
        <v>246</v>
      </c>
      <c r="D345" s="437"/>
      <c r="E345" s="438"/>
      <c r="K345" s="440"/>
      <c r="L345" s="441"/>
      <c r="M345" s="441"/>
      <c r="N345" s="441"/>
      <c r="T345" s="441"/>
    </row>
    <row r="346" spans="1:29" s="429" customFormat="1" ht="15" customHeight="1" outlineLevel="1">
      <c r="A346" s="391"/>
      <c r="B346" s="249" t="s">
        <v>230</v>
      </c>
      <c r="C346" s="279" t="s">
        <v>246</v>
      </c>
      <c r="D346" s="471">
        <f>'Шаблон 46 ГП'!K43</f>
        <v>3.9099999999999997</v>
      </c>
      <c r="E346" s="431"/>
      <c r="K346" s="430"/>
      <c r="Y346" s="472">
        <v>6.4000000000000001E-2</v>
      </c>
    </row>
    <row r="347" spans="1:29" s="434" customFormat="1" ht="15" customHeight="1" outlineLevel="2">
      <c r="A347" s="378"/>
      <c r="B347" s="379" t="s">
        <v>341</v>
      </c>
      <c r="C347" s="380" t="s">
        <v>246</v>
      </c>
      <c r="D347" s="432">
        <f>D346</f>
        <v>3.9099999999999997</v>
      </c>
      <c r="E347" s="432">
        <f t="shared" ref="E347:AC347" si="6">E346</f>
        <v>0</v>
      </c>
      <c r="F347" s="432">
        <f t="shared" si="6"/>
        <v>0</v>
      </c>
      <c r="G347" s="432">
        <f t="shared" si="6"/>
        <v>0</v>
      </c>
      <c r="H347" s="432">
        <f t="shared" si="6"/>
        <v>0</v>
      </c>
      <c r="I347" s="432">
        <f t="shared" si="6"/>
        <v>0</v>
      </c>
      <c r="J347" s="432">
        <f t="shared" si="6"/>
        <v>0</v>
      </c>
      <c r="K347" s="432">
        <f t="shared" si="6"/>
        <v>0</v>
      </c>
      <c r="L347" s="432">
        <f t="shared" si="6"/>
        <v>0</v>
      </c>
      <c r="M347" s="432">
        <f t="shared" si="6"/>
        <v>0</v>
      </c>
      <c r="N347" s="432">
        <f t="shared" si="6"/>
        <v>0</v>
      </c>
      <c r="O347" s="432">
        <f t="shared" si="6"/>
        <v>0</v>
      </c>
      <c r="P347" s="432">
        <f t="shared" si="6"/>
        <v>0</v>
      </c>
      <c r="Q347" s="432">
        <f t="shared" si="6"/>
        <v>0</v>
      </c>
      <c r="R347" s="432">
        <f t="shared" si="6"/>
        <v>0</v>
      </c>
      <c r="S347" s="432">
        <f t="shared" si="6"/>
        <v>0</v>
      </c>
      <c r="T347" s="432">
        <f t="shared" si="6"/>
        <v>0</v>
      </c>
      <c r="U347" s="432">
        <f t="shared" si="6"/>
        <v>0</v>
      </c>
      <c r="V347" s="432">
        <f t="shared" si="6"/>
        <v>0</v>
      </c>
      <c r="W347" s="432">
        <f t="shared" si="6"/>
        <v>0</v>
      </c>
      <c r="X347" s="432">
        <f t="shared" si="6"/>
        <v>0</v>
      </c>
      <c r="Y347" s="432">
        <f t="shared" si="6"/>
        <v>6.4000000000000001E-2</v>
      </c>
      <c r="Z347" s="432">
        <f t="shared" si="6"/>
        <v>0</v>
      </c>
      <c r="AA347" s="432">
        <f t="shared" si="6"/>
        <v>0</v>
      </c>
      <c r="AB347" s="432">
        <f t="shared" si="6"/>
        <v>0</v>
      </c>
      <c r="AC347" s="432">
        <f t="shared" si="6"/>
        <v>0</v>
      </c>
    </row>
    <row r="348" spans="1:29" s="439" customFormat="1" ht="15" customHeight="1" outlineLevel="2">
      <c r="A348" s="381"/>
      <c r="B348" s="382" t="s">
        <v>342</v>
      </c>
      <c r="C348" s="383" t="s">
        <v>246</v>
      </c>
      <c r="D348" s="437"/>
      <c r="E348" s="438"/>
      <c r="K348" s="440"/>
      <c r="L348" s="441"/>
      <c r="M348" s="441"/>
      <c r="N348" s="441"/>
      <c r="T348" s="441"/>
    </row>
    <row r="349" spans="1:29" s="429" customFormat="1" ht="15" customHeight="1" outlineLevel="1">
      <c r="A349" s="391"/>
      <c r="B349" s="249" t="s">
        <v>231</v>
      </c>
      <c r="C349" s="279" t="s">
        <v>246</v>
      </c>
      <c r="D349" s="471">
        <f>'Шаблон 46 ГП'!K46</f>
        <v>2.57</v>
      </c>
      <c r="E349" s="431"/>
      <c r="K349" s="430"/>
      <c r="Y349" s="472">
        <v>6.4000000000000001E-2</v>
      </c>
    </row>
    <row r="350" spans="1:29" s="434" customFormat="1" ht="15" customHeight="1" outlineLevel="2">
      <c r="A350" s="378"/>
      <c r="B350" s="379" t="s">
        <v>341</v>
      </c>
      <c r="C350" s="380" t="s">
        <v>246</v>
      </c>
      <c r="D350" s="432">
        <f>D349</f>
        <v>2.57</v>
      </c>
      <c r="E350" s="433"/>
      <c r="K350" s="435"/>
      <c r="L350" s="436"/>
      <c r="M350" s="436"/>
      <c r="N350" s="436"/>
      <c r="T350" s="436"/>
    </row>
    <row r="351" spans="1:29" s="439" customFormat="1" ht="15" customHeight="1" outlineLevel="2">
      <c r="A351" s="381"/>
      <c r="B351" s="382" t="s">
        <v>342</v>
      </c>
      <c r="C351" s="383" t="s">
        <v>246</v>
      </c>
      <c r="D351" s="437"/>
      <c r="E351" s="438"/>
      <c r="K351" s="440"/>
      <c r="L351" s="441"/>
      <c r="M351" s="441"/>
      <c r="N351" s="441"/>
      <c r="T351" s="441"/>
    </row>
    <row r="352" spans="1:29" s="429" customFormat="1" ht="15" customHeight="1" outlineLevel="1">
      <c r="A352" s="391"/>
      <c r="B352" s="256" t="s">
        <v>236</v>
      </c>
      <c r="C352" s="284" t="s">
        <v>246</v>
      </c>
      <c r="D352" s="280">
        <f>D340</f>
        <v>4.29</v>
      </c>
      <c r="E352" s="431"/>
      <c r="K352" s="430"/>
      <c r="Y352" s="472">
        <v>6.4000000000000001E-2</v>
      </c>
    </row>
    <row r="353" spans="1:25" s="434" customFormat="1" ht="15" customHeight="1" outlineLevel="2">
      <c r="A353" s="378"/>
      <c r="B353" s="379" t="s">
        <v>341</v>
      </c>
      <c r="C353" s="380" t="s">
        <v>246</v>
      </c>
      <c r="D353" s="432">
        <f>D341</f>
        <v>4.29</v>
      </c>
      <c r="E353" s="433"/>
      <c r="K353" s="435"/>
      <c r="L353" s="436"/>
      <c r="M353" s="436"/>
      <c r="N353" s="436"/>
      <c r="T353" s="436"/>
    </row>
    <row r="354" spans="1:25" s="439" customFormat="1" ht="15" customHeight="1" outlineLevel="2">
      <c r="A354" s="381"/>
      <c r="B354" s="382" t="s">
        <v>342</v>
      </c>
      <c r="C354" s="383" t="s">
        <v>246</v>
      </c>
      <c r="D354" s="437"/>
      <c r="E354" s="438"/>
      <c r="K354" s="440"/>
      <c r="L354" s="441"/>
      <c r="M354" s="441"/>
      <c r="N354" s="441"/>
      <c r="T354" s="441"/>
    </row>
    <row r="355" spans="1:25" s="429" customFormat="1" ht="15" customHeight="1" outlineLevel="1">
      <c r="A355" s="391"/>
      <c r="B355" s="257" t="s">
        <v>237</v>
      </c>
      <c r="C355" s="284" t="s">
        <v>246</v>
      </c>
      <c r="D355" s="473"/>
      <c r="E355" s="431"/>
      <c r="K355" s="430"/>
      <c r="Y355" s="472">
        <v>6.4000000000000001E-2</v>
      </c>
    </row>
    <row r="356" spans="1:25" s="434" customFormat="1" ht="15" customHeight="1" outlineLevel="2">
      <c r="A356" s="378"/>
      <c r="B356" s="379" t="s">
        <v>341</v>
      </c>
      <c r="C356" s="380" t="s">
        <v>246</v>
      </c>
      <c r="D356" s="432"/>
      <c r="E356" s="433"/>
      <c r="K356" s="435"/>
      <c r="L356" s="436"/>
      <c r="M356" s="436"/>
      <c r="N356" s="436"/>
      <c r="T356" s="436"/>
    </row>
    <row r="357" spans="1:25" s="439" customFormat="1" ht="15" customHeight="1" outlineLevel="2">
      <c r="A357" s="381"/>
      <c r="B357" s="382" t="s">
        <v>342</v>
      </c>
      <c r="C357" s="383" t="s">
        <v>246</v>
      </c>
      <c r="D357" s="437"/>
      <c r="E357" s="438"/>
      <c r="K357" s="440"/>
      <c r="L357" s="441"/>
      <c r="M357" s="441"/>
      <c r="N357" s="441"/>
      <c r="T357" s="441"/>
    </row>
    <row r="358" spans="1:25" s="429" customFormat="1" ht="15" customHeight="1" outlineLevel="1">
      <c r="A358" s="391"/>
      <c r="B358" s="249" t="s">
        <v>230</v>
      </c>
      <c r="C358" s="279" t="s">
        <v>246</v>
      </c>
      <c r="D358" s="280">
        <f>D346</f>
        <v>3.9099999999999997</v>
      </c>
      <c r="E358" s="431"/>
      <c r="K358" s="430"/>
      <c r="Y358" s="472">
        <v>6.4000000000000001E-2</v>
      </c>
    </row>
    <row r="359" spans="1:25" s="434" customFormat="1" ht="15" customHeight="1" outlineLevel="2">
      <c r="A359" s="378"/>
      <c r="B359" s="379" t="s">
        <v>341</v>
      </c>
      <c r="C359" s="380" t="s">
        <v>246</v>
      </c>
      <c r="D359" s="432">
        <f>D347</f>
        <v>3.9099999999999997</v>
      </c>
      <c r="E359" s="433"/>
      <c r="K359" s="435"/>
      <c r="L359" s="436"/>
      <c r="M359" s="436"/>
      <c r="N359" s="436"/>
      <c r="T359" s="436"/>
    </row>
    <row r="360" spans="1:25" s="439" customFormat="1" ht="15" customHeight="1" outlineLevel="2">
      <c r="A360" s="381"/>
      <c r="B360" s="382" t="s">
        <v>342</v>
      </c>
      <c r="C360" s="383" t="s">
        <v>246</v>
      </c>
      <c r="D360" s="437"/>
      <c r="E360" s="438"/>
      <c r="K360" s="440"/>
      <c r="L360" s="441"/>
      <c r="M360" s="441"/>
      <c r="N360" s="441"/>
      <c r="T360" s="441"/>
    </row>
    <row r="361" spans="1:25" s="429" customFormat="1" ht="15" customHeight="1" outlineLevel="1">
      <c r="A361" s="391"/>
      <c r="B361" s="249" t="s">
        <v>231</v>
      </c>
      <c r="C361" s="279" t="s">
        <v>246</v>
      </c>
      <c r="D361" s="280">
        <f>D349</f>
        <v>2.57</v>
      </c>
      <c r="E361" s="431"/>
      <c r="K361" s="430"/>
      <c r="Y361" s="472">
        <v>6.4000000000000001E-2</v>
      </c>
    </row>
    <row r="362" spans="1:25" s="434" customFormat="1" ht="15" customHeight="1" outlineLevel="2">
      <c r="A362" s="378"/>
      <c r="B362" s="379" t="s">
        <v>341</v>
      </c>
      <c r="C362" s="380" t="s">
        <v>246</v>
      </c>
      <c r="D362" s="432">
        <f>D350</f>
        <v>2.57</v>
      </c>
      <c r="E362" s="433"/>
      <c r="K362" s="435"/>
      <c r="L362" s="436"/>
      <c r="M362" s="436"/>
      <c r="N362" s="436"/>
      <c r="T362" s="436"/>
    </row>
    <row r="363" spans="1:25" s="439" customFormat="1" ht="15" customHeight="1" outlineLevel="2">
      <c r="A363" s="381"/>
      <c r="B363" s="382" t="s">
        <v>342</v>
      </c>
      <c r="C363" s="383" t="s">
        <v>246</v>
      </c>
      <c r="D363" s="437"/>
      <c r="E363" s="438"/>
      <c r="K363" s="440"/>
      <c r="L363" s="441"/>
      <c r="M363" s="441"/>
      <c r="N363" s="441"/>
      <c r="T363" s="441"/>
    </row>
    <row r="364" spans="1:25" s="429" customFormat="1" ht="15" customHeight="1" outlineLevel="1">
      <c r="A364" s="391"/>
      <c r="B364" s="283" t="s">
        <v>232</v>
      </c>
      <c r="C364" s="284" t="s">
        <v>246</v>
      </c>
      <c r="D364" s="277"/>
      <c r="E364" s="431"/>
      <c r="K364" s="430"/>
      <c r="Y364" s="472">
        <v>6.4000000000000001E-2</v>
      </c>
    </row>
    <row r="365" spans="1:25" s="434" customFormat="1" ht="15" customHeight="1" outlineLevel="2">
      <c r="A365" s="378"/>
      <c r="B365" s="379" t="s">
        <v>341</v>
      </c>
      <c r="C365" s="380" t="s">
        <v>246</v>
      </c>
      <c r="D365" s="432"/>
      <c r="E365" s="433"/>
      <c r="K365" s="435"/>
      <c r="L365" s="436"/>
      <c r="M365" s="436"/>
      <c r="N365" s="436"/>
      <c r="T365" s="436"/>
    </row>
    <row r="366" spans="1:25" s="439" customFormat="1" ht="15" customHeight="1" outlineLevel="2">
      <c r="A366" s="381"/>
      <c r="B366" s="382" t="s">
        <v>342</v>
      </c>
      <c r="C366" s="383" t="s">
        <v>246</v>
      </c>
      <c r="D366" s="437"/>
      <c r="E366" s="438"/>
      <c r="K366" s="440"/>
      <c r="L366" s="441"/>
      <c r="M366" s="441"/>
      <c r="N366" s="441"/>
      <c r="T366" s="441"/>
    </row>
    <row r="367" spans="1:25" s="429" customFormat="1" ht="15" customHeight="1" outlineLevel="1">
      <c r="A367" s="391"/>
      <c r="B367" s="285" t="s">
        <v>229</v>
      </c>
      <c r="C367" s="284" t="s">
        <v>246</v>
      </c>
      <c r="D367" s="471">
        <f>'Шаблон 46 ГП'!K28</f>
        <v>2.9324999999999997</v>
      </c>
      <c r="E367" s="431"/>
      <c r="K367" s="430"/>
      <c r="Y367" s="472">
        <v>6.4000000000000001E-2</v>
      </c>
    </row>
    <row r="368" spans="1:25" s="434" customFormat="1" ht="15" customHeight="1" outlineLevel="2">
      <c r="A368" s="378"/>
      <c r="B368" s="379" t="s">
        <v>341</v>
      </c>
      <c r="C368" s="380" t="s">
        <v>246</v>
      </c>
      <c r="D368" s="432">
        <f>D367</f>
        <v>2.9324999999999997</v>
      </c>
      <c r="E368" s="433"/>
      <c r="K368" s="435"/>
      <c r="L368" s="436"/>
      <c r="M368" s="436"/>
      <c r="N368" s="436"/>
      <c r="T368" s="436"/>
    </row>
    <row r="369" spans="1:29" s="439" customFormat="1" ht="15" customHeight="1" outlineLevel="2">
      <c r="A369" s="381"/>
      <c r="B369" s="382" t="s">
        <v>342</v>
      </c>
      <c r="C369" s="383" t="s">
        <v>246</v>
      </c>
      <c r="D369" s="437"/>
      <c r="E369" s="437">
        <v>1.85</v>
      </c>
      <c r="F369" s="437">
        <v>1.85</v>
      </c>
      <c r="G369" s="437">
        <v>1.85</v>
      </c>
      <c r="H369" s="437">
        <v>1.85</v>
      </c>
      <c r="I369" s="437">
        <v>1.85</v>
      </c>
      <c r="J369" s="437">
        <v>1.85</v>
      </c>
      <c r="K369" s="437">
        <v>1.85</v>
      </c>
      <c r="L369" s="437">
        <v>1.85</v>
      </c>
      <c r="M369" s="437">
        <v>1.85</v>
      </c>
      <c r="N369" s="437">
        <v>1.85</v>
      </c>
      <c r="O369" s="437">
        <v>1.85</v>
      </c>
      <c r="P369" s="437">
        <v>1.85</v>
      </c>
      <c r="Q369" s="437">
        <v>1.85</v>
      </c>
      <c r="R369" s="437">
        <v>1.85</v>
      </c>
      <c r="S369" s="437">
        <v>1.85</v>
      </c>
      <c r="T369" s="437">
        <v>1.85</v>
      </c>
      <c r="U369" s="437">
        <v>1.85</v>
      </c>
      <c r="V369" s="437">
        <v>1.85</v>
      </c>
      <c r="W369" s="437">
        <v>1.85</v>
      </c>
      <c r="X369" s="437">
        <v>1.85</v>
      </c>
      <c r="Y369" s="437">
        <v>1.85</v>
      </c>
      <c r="Z369" s="437">
        <v>1.85</v>
      </c>
      <c r="AA369" s="437">
        <v>1.85</v>
      </c>
      <c r="AB369" s="437">
        <v>1.85</v>
      </c>
      <c r="AC369" s="437">
        <v>1.85</v>
      </c>
    </row>
    <row r="370" spans="1:29" s="429" customFormat="1" ht="15" customHeight="1" outlineLevel="1">
      <c r="A370" s="391"/>
      <c r="B370" s="286" t="s">
        <v>233</v>
      </c>
      <c r="C370" s="284" t="s">
        <v>246</v>
      </c>
      <c r="D370" s="287"/>
      <c r="E370" s="431"/>
      <c r="K370" s="430"/>
      <c r="Y370" s="472">
        <v>6.4000000000000001E-2</v>
      </c>
    </row>
    <row r="371" spans="1:29" s="434" customFormat="1" ht="15" customHeight="1" outlineLevel="2">
      <c r="A371" s="378"/>
      <c r="B371" s="379" t="s">
        <v>341</v>
      </c>
      <c r="C371" s="380" t="s">
        <v>246</v>
      </c>
      <c r="D371" s="432"/>
      <c r="E371" s="433"/>
      <c r="K371" s="435"/>
      <c r="L371" s="436"/>
      <c r="M371" s="436"/>
      <c r="N371" s="436"/>
      <c r="T371" s="436"/>
    </row>
    <row r="372" spans="1:29" s="439" customFormat="1" ht="15" customHeight="1" outlineLevel="2">
      <c r="A372" s="381"/>
      <c r="B372" s="382" t="s">
        <v>342</v>
      </c>
      <c r="C372" s="383" t="s">
        <v>246</v>
      </c>
      <c r="D372" s="437"/>
      <c r="E372" s="438"/>
      <c r="K372" s="440"/>
      <c r="L372" s="441"/>
      <c r="M372" s="441"/>
      <c r="N372" s="441"/>
      <c r="T372" s="441"/>
    </row>
    <row r="373" spans="1:29" s="429" customFormat="1" ht="15" customHeight="1" outlineLevel="1">
      <c r="A373" s="391"/>
      <c r="B373" s="278" t="s">
        <v>230</v>
      </c>
      <c r="C373" s="279" t="s">
        <v>246</v>
      </c>
      <c r="D373" s="471">
        <f>'Шаблон 46 ГП'!K31</f>
        <v>2.714375</v>
      </c>
      <c r="E373" s="431"/>
      <c r="K373" s="430"/>
      <c r="Y373" s="472">
        <v>6.4000000000000001E-2</v>
      </c>
    </row>
    <row r="374" spans="1:29" s="434" customFormat="1" ht="15" customHeight="1" outlineLevel="2">
      <c r="A374" s="378"/>
      <c r="B374" s="379" t="s">
        <v>341</v>
      </c>
      <c r="C374" s="380" t="s">
        <v>246</v>
      </c>
      <c r="D374" s="432">
        <f>D373</f>
        <v>2.714375</v>
      </c>
      <c r="E374" s="432">
        <f t="shared" ref="E374:AC374" si="7">E373</f>
        <v>0</v>
      </c>
      <c r="F374" s="432">
        <f t="shared" si="7"/>
        <v>0</v>
      </c>
      <c r="G374" s="432">
        <f t="shared" si="7"/>
        <v>0</v>
      </c>
      <c r="H374" s="432">
        <f t="shared" si="7"/>
        <v>0</v>
      </c>
      <c r="I374" s="432">
        <f t="shared" si="7"/>
        <v>0</v>
      </c>
      <c r="J374" s="432">
        <f t="shared" si="7"/>
        <v>0</v>
      </c>
      <c r="K374" s="432">
        <f t="shared" si="7"/>
        <v>0</v>
      </c>
      <c r="L374" s="432">
        <f t="shared" si="7"/>
        <v>0</v>
      </c>
      <c r="M374" s="432">
        <f t="shared" si="7"/>
        <v>0</v>
      </c>
      <c r="N374" s="432">
        <f t="shared" si="7"/>
        <v>0</v>
      </c>
      <c r="O374" s="432">
        <f t="shared" si="7"/>
        <v>0</v>
      </c>
      <c r="P374" s="432">
        <f t="shared" si="7"/>
        <v>0</v>
      </c>
      <c r="Q374" s="432">
        <f t="shared" si="7"/>
        <v>0</v>
      </c>
      <c r="R374" s="432">
        <f t="shared" si="7"/>
        <v>0</v>
      </c>
      <c r="S374" s="432">
        <f t="shared" si="7"/>
        <v>0</v>
      </c>
      <c r="T374" s="432">
        <f t="shared" si="7"/>
        <v>0</v>
      </c>
      <c r="U374" s="432">
        <f t="shared" si="7"/>
        <v>0</v>
      </c>
      <c r="V374" s="432">
        <f t="shared" si="7"/>
        <v>0</v>
      </c>
      <c r="W374" s="432">
        <f t="shared" si="7"/>
        <v>0</v>
      </c>
      <c r="X374" s="432">
        <f t="shared" si="7"/>
        <v>0</v>
      </c>
      <c r="Y374" s="432">
        <f t="shared" si="7"/>
        <v>6.4000000000000001E-2</v>
      </c>
      <c r="Z374" s="432">
        <f t="shared" si="7"/>
        <v>0</v>
      </c>
      <c r="AA374" s="432">
        <f t="shared" si="7"/>
        <v>0</v>
      </c>
      <c r="AB374" s="432">
        <f t="shared" si="7"/>
        <v>0</v>
      </c>
      <c r="AC374" s="432">
        <f t="shared" si="7"/>
        <v>0</v>
      </c>
    </row>
    <row r="375" spans="1:29" s="439" customFormat="1" ht="15" customHeight="1" outlineLevel="2">
      <c r="A375" s="381"/>
      <c r="B375" s="382" t="s">
        <v>342</v>
      </c>
      <c r="C375" s="383" t="s">
        <v>246</v>
      </c>
      <c r="D375" s="437"/>
      <c r="E375" s="438"/>
      <c r="K375" s="440"/>
      <c r="L375" s="441"/>
      <c r="M375" s="441"/>
      <c r="N375" s="441"/>
      <c r="T375" s="441"/>
    </row>
    <row r="376" spans="1:29" s="429" customFormat="1" ht="15" customHeight="1" outlineLevel="1">
      <c r="A376" s="391"/>
      <c r="B376" s="278" t="s">
        <v>231</v>
      </c>
      <c r="C376" s="279" t="s">
        <v>246</v>
      </c>
      <c r="D376" s="471">
        <f>'Шаблон 46 ГП'!K34</f>
        <v>1.7487692307599998</v>
      </c>
      <c r="E376" s="431"/>
      <c r="K376" s="430"/>
      <c r="Y376" s="472">
        <v>6.4000000000000001E-2</v>
      </c>
    </row>
    <row r="377" spans="1:29" s="434" customFormat="1" ht="15" customHeight="1" outlineLevel="2">
      <c r="A377" s="378"/>
      <c r="B377" s="379" t="s">
        <v>341</v>
      </c>
      <c r="C377" s="380" t="s">
        <v>246</v>
      </c>
      <c r="D377" s="432">
        <f>D376</f>
        <v>1.7487692307599998</v>
      </c>
      <c r="E377" s="432">
        <f t="shared" ref="E377:AC377" si="8">E376</f>
        <v>0</v>
      </c>
      <c r="F377" s="432">
        <f t="shared" si="8"/>
        <v>0</v>
      </c>
      <c r="G377" s="432">
        <f t="shared" si="8"/>
        <v>0</v>
      </c>
      <c r="H377" s="432">
        <f t="shared" si="8"/>
        <v>0</v>
      </c>
      <c r="I377" s="432">
        <f t="shared" si="8"/>
        <v>0</v>
      </c>
      <c r="J377" s="432">
        <f t="shared" si="8"/>
        <v>0</v>
      </c>
      <c r="K377" s="432">
        <f t="shared" si="8"/>
        <v>0</v>
      </c>
      <c r="L377" s="432">
        <f t="shared" si="8"/>
        <v>0</v>
      </c>
      <c r="M377" s="432">
        <f t="shared" si="8"/>
        <v>0</v>
      </c>
      <c r="N377" s="432">
        <f t="shared" si="8"/>
        <v>0</v>
      </c>
      <c r="O377" s="432">
        <f t="shared" si="8"/>
        <v>0</v>
      </c>
      <c r="P377" s="432">
        <f t="shared" si="8"/>
        <v>0</v>
      </c>
      <c r="Q377" s="432">
        <f t="shared" si="8"/>
        <v>0</v>
      </c>
      <c r="R377" s="432">
        <f t="shared" si="8"/>
        <v>0</v>
      </c>
      <c r="S377" s="432">
        <f t="shared" si="8"/>
        <v>0</v>
      </c>
      <c r="T377" s="432">
        <f t="shared" si="8"/>
        <v>0</v>
      </c>
      <c r="U377" s="432">
        <f t="shared" si="8"/>
        <v>0</v>
      </c>
      <c r="V377" s="432">
        <f t="shared" si="8"/>
        <v>0</v>
      </c>
      <c r="W377" s="432">
        <f t="shared" si="8"/>
        <v>0</v>
      </c>
      <c r="X377" s="432">
        <f t="shared" si="8"/>
        <v>0</v>
      </c>
      <c r="Y377" s="432">
        <f t="shared" si="8"/>
        <v>6.4000000000000001E-2</v>
      </c>
      <c r="Z377" s="432">
        <f t="shared" si="8"/>
        <v>0</v>
      </c>
      <c r="AA377" s="432">
        <f t="shared" si="8"/>
        <v>0</v>
      </c>
      <c r="AB377" s="432">
        <f t="shared" si="8"/>
        <v>0</v>
      </c>
      <c r="AC377" s="432">
        <f t="shared" si="8"/>
        <v>0</v>
      </c>
    </row>
    <row r="378" spans="1:29" s="439" customFormat="1" ht="15" customHeight="1" outlineLevel="2">
      <c r="A378" s="381"/>
      <c r="B378" s="382" t="s">
        <v>342</v>
      </c>
      <c r="C378" s="383" t="s">
        <v>246</v>
      </c>
      <c r="D378" s="437"/>
      <c r="E378" s="438"/>
      <c r="K378" s="440"/>
      <c r="L378" s="441"/>
      <c r="M378" s="441"/>
      <c r="N378" s="441"/>
      <c r="T378" s="441"/>
    </row>
    <row r="379" spans="1:29" s="429" customFormat="1" ht="15" customHeight="1" outlineLevel="1">
      <c r="A379" s="391"/>
      <c r="B379" s="288" t="s">
        <v>40</v>
      </c>
      <c r="C379" s="284" t="s">
        <v>246</v>
      </c>
      <c r="D379" s="277"/>
      <c r="E379" s="431"/>
      <c r="K379" s="430"/>
      <c r="Y379" s="472">
        <v>6.4000000000000001E-2</v>
      </c>
    </row>
    <row r="380" spans="1:29" s="434" customFormat="1" ht="15" customHeight="1" outlineLevel="2">
      <c r="A380" s="378"/>
      <c r="B380" s="379" t="s">
        <v>341</v>
      </c>
      <c r="C380" s="380" t="s">
        <v>246</v>
      </c>
      <c r="D380" s="432"/>
      <c r="E380" s="433"/>
      <c r="K380" s="435"/>
      <c r="L380" s="436"/>
      <c r="M380" s="436"/>
      <c r="N380" s="436"/>
      <c r="T380" s="436"/>
    </row>
    <row r="381" spans="1:29" s="439" customFormat="1" ht="15" customHeight="1" outlineLevel="2">
      <c r="A381" s="381"/>
      <c r="B381" s="382" t="s">
        <v>342</v>
      </c>
      <c r="C381" s="383" t="s">
        <v>246</v>
      </c>
      <c r="D381" s="437"/>
      <c r="E381" s="438"/>
      <c r="K381" s="440"/>
      <c r="L381" s="441"/>
      <c r="M381" s="441"/>
      <c r="N381" s="441"/>
      <c r="T381" s="441"/>
    </row>
    <row r="382" spans="1:29" s="429" customFormat="1" ht="15" customHeight="1" outlineLevel="1">
      <c r="A382" s="391"/>
      <c r="B382" s="285" t="s">
        <v>281</v>
      </c>
      <c r="C382" s="284" t="s">
        <v>246</v>
      </c>
      <c r="D382" s="280">
        <f>D340</f>
        <v>4.29</v>
      </c>
      <c r="E382" s="431"/>
      <c r="K382" s="430"/>
      <c r="Y382" s="472">
        <v>6.4000000000000001E-2</v>
      </c>
    </row>
    <row r="383" spans="1:29" s="434" customFormat="1" ht="15" customHeight="1" outlineLevel="2">
      <c r="A383" s="378"/>
      <c r="B383" s="379" t="s">
        <v>341</v>
      </c>
      <c r="C383" s="380" t="s">
        <v>246</v>
      </c>
      <c r="D383" s="432">
        <f>D341</f>
        <v>4.29</v>
      </c>
      <c r="E383" s="433"/>
      <c r="K383" s="435"/>
      <c r="L383" s="436"/>
      <c r="M383" s="436"/>
      <c r="N383" s="436"/>
      <c r="T383" s="436"/>
    </row>
    <row r="384" spans="1:29" s="439" customFormat="1" ht="15" customHeight="1" outlineLevel="2">
      <c r="A384" s="381"/>
      <c r="B384" s="382" t="s">
        <v>342</v>
      </c>
      <c r="C384" s="383" t="s">
        <v>246</v>
      </c>
      <c r="D384" s="437"/>
      <c r="E384" s="438"/>
      <c r="K384" s="440"/>
      <c r="L384" s="441"/>
      <c r="M384" s="441"/>
      <c r="N384" s="441"/>
      <c r="T384" s="441"/>
    </row>
    <row r="385" spans="1:29" s="429" customFormat="1" ht="15" customHeight="1" outlineLevel="1">
      <c r="A385" s="391"/>
      <c r="B385" s="286" t="s">
        <v>282</v>
      </c>
      <c r="C385" s="284" t="s">
        <v>246</v>
      </c>
      <c r="D385" s="474"/>
      <c r="E385" s="431"/>
      <c r="K385" s="430"/>
      <c r="Y385" s="472">
        <v>6.4000000000000001E-2</v>
      </c>
    </row>
    <row r="386" spans="1:29" s="434" customFormat="1" ht="15" customHeight="1" outlineLevel="2">
      <c r="A386" s="378"/>
      <c r="B386" s="379" t="s">
        <v>341</v>
      </c>
      <c r="C386" s="380" t="s">
        <v>246</v>
      </c>
      <c r="D386" s="432"/>
      <c r="E386" s="433"/>
      <c r="K386" s="435"/>
      <c r="L386" s="436"/>
      <c r="M386" s="436"/>
      <c r="N386" s="436"/>
      <c r="T386" s="436"/>
    </row>
    <row r="387" spans="1:29" s="439" customFormat="1" ht="15" customHeight="1" outlineLevel="2">
      <c r="A387" s="381"/>
      <c r="B387" s="382" t="s">
        <v>342</v>
      </c>
      <c r="C387" s="383" t="s">
        <v>246</v>
      </c>
      <c r="D387" s="437"/>
      <c r="E387" s="438"/>
      <c r="K387" s="440"/>
      <c r="L387" s="441"/>
      <c r="M387" s="441"/>
      <c r="N387" s="441"/>
      <c r="T387" s="441"/>
    </row>
    <row r="388" spans="1:29" s="429" customFormat="1" ht="15" customHeight="1" outlineLevel="1">
      <c r="A388" s="391"/>
      <c r="B388" s="278" t="s">
        <v>230</v>
      </c>
      <c r="C388" s="279" t="s">
        <v>246</v>
      </c>
      <c r="D388" s="280">
        <f>D346</f>
        <v>3.9099999999999997</v>
      </c>
      <c r="E388" s="431"/>
      <c r="K388" s="430"/>
      <c r="Y388" s="472">
        <v>6.4000000000000001E-2</v>
      </c>
    </row>
    <row r="389" spans="1:29" s="434" customFormat="1" ht="15" customHeight="1" outlineLevel="2">
      <c r="A389" s="378"/>
      <c r="B389" s="379" t="s">
        <v>341</v>
      </c>
      <c r="C389" s="380" t="s">
        <v>246</v>
      </c>
      <c r="D389" s="432">
        <f>D347</f>
        <v>3.9099999999999997</v>
      </c>
      <c r="E389" s="433"/>
      <c r="K389" s="435"/>
      <c r="L389" s="436"/>
      <c r="M389" s="436"/>
      <c r="N389" s="436"/>
      <c r="T389" s="436"/>
    </row>
    <row r="390" spans="1:29" s="439" customFormat="1" ht="15" customHeight="1" outlineLevel="2">
      <c r="A390" s="381"/>
      <c r="B390" s="382" t="s">
        <v>342</v>
      </c>
      <c r="C390" s="383" t="s">
        <v>246</v>
      </c>
      <c r="D390" s="437"/>
      <c r="E390" s="438"/>
      <c r="K390" s="440"/>
      <c r="L390" s="441"/>
      <c r="M390" s="441"/>
      <c r="N390" s="441"/>
      <c r="T390" s="441"/>
    </row>
    <row r="391" spans="1:29" s="429" customFormat="1" ht="15" customHeight="1" outlineLevel="1">
      <c r="A391" s="391"/>
      <c r="B391" s="278" t="s">
        <v>231</v>
      </c>
      <c r="C391" s="279" t="s">
        <v>246</v>
      </c>
      <c r="D391" s="280">
        <f>D349</f>
        <v>2.57</v>
      </c>
      <c r="E391" s="431"/>
      <c r="K391" s="430"/>
      <c r="Y391" s="472">
        <v>6.4000000000000001E-2</v>
      </c>
    </row>
    <row r="392" spans="1:29" s="434" customFormat="1" ht="15" customHeight="1" outlineLevel="2">
      <c r="A392" s="378"/>
      <c r="B392" s="379" t="s">
        <v>341</v>
      </c>
      <c r="C392" s="380" t="s">
        <v>246</v>
      </c>
      <c r="D392" s="432">
        <f>D350</f>
        <v>2.57</v>
      </c>
      <c r="E392" s="433"/>
      <c r="K392" s="435"/>
      <c r="L392" s="436"/>
      <c r="M392" s="436"/>
      <c r="N392" s="436"/>
      <c r="T392" s="436"/>
    </row>
    <row r="393" spans="1:29" s="439" customFormat="1" ht="15" customHeight="1" outlineLevel="2">
      <c r="A393" s="381"/>
      <c r="B393" s="382" t="s">
        <v>342</v>
      </c>
      <c r="C393" s="383" t="s">
        <v>246</v>
      </c>
      <c r="D393" s="437"/>
      <c r="E393" s="438"/>
      <c r="K393" s="440"/>
      <c r="L393" s="441"/>
      <c r="M393" s="441"/>
      <c r="N393" s="441"/>
      <c r="T393" s="441"/>
    </row>
    <row r="394" spans="1:29" s="429" customFormat="1" ht="15" customHeight="1" outlineLevel="1">
      <c r="A394" s="391"/>
      <c r="B394" s="285" t="s">
        <v>234</v>
      </c>
      <c r="C394" s="284" t="s">
        <v>246</v>
      </c>
      <c r="D394" s="280">
        <f>D340</f>
        <v>4.29</v>
      </c>
      <c r="E394" s="280">
        <f t="shared" ref="E394:AC396" si="9">E340</f>
        <v>0</v>
      </c>
      <c r="F394" s="280">
        <f t="shared" si="9"/>
        <v>0</v>
      </c>
      <c r="G394" s="280">
        <f t="shared" si="9"/>
        <v>0</v>
      </c>
      <c r="H394" s="280">
        <f t="shared" si="9"/>
        <v>0</v>
      </c>
      <c r="I394" s="280">
        <f t="shared" si="9"/>
        <v>0</v>
      </c>
      <c r="J394" s="280">
        <f t="shared" si="9"/>
        <v>0</v>
      </c>
      <c r="K394" s="280">
        <f t="shared" si="9"/>
        <v>0</v>
      </c>
      <c r="L394" s="280">
        <f t="shared" si="9"/>
        <v>0</v>
      </c>
      <c r="M394" s="280">
        <f t="shared" si="9"/>
        <v>0</v>
      </c>
      <c r="N394" s="280">
        <f t="shared" si="9"/>
        <v>0</v>
      </c>
      <c r="O394" s="280">
        <f t="shared" si="9"/>
        <v>0</v>
      </c>
      <c r="P394" s="280">
        <f t="shared" si="9"/>
        <v>0</v>
      </c>
      <c r="Q394" s="280">
        <f t="shared" si="9"/>
        <v>0</v>
      </c>
      <c r="R394" s="280">
        <f t="shared" si="9"/>
        <v>0</v>
      </c>
      <c r="S394" s="280">
        <f t="shared" si="9"/>
        <v>0</v>
      </c>
      <c r="T394" s="280">
        <f t="shared" si="9"/>
        <v>0</v>
      </c>
      <c r="U394" s="280">
        <f t="shared" si="9"/>
        <v>0</v>
      </c>
      <c r="V394" s="280">
        <f t="shared" si="9"/>
        <v>0</v>
      </c>
      <c r="W394" s="280">
        <f t="shared" si="9"/>
        <v>0</v>
      </c>
      <c r="X394" s="280">
        <f t="shared" si="9"/>
        <v>0</v>
      </c>
      <c r="Y394" s="280">
        <f t="shared" si="9"/>
        <v>6.4000000000000001E-2</v>
      </c>
      <c r="Z394" s="280">
        <f t="shared" si="9"/>
        <v>0</v>
      </c>
      <c r="AA394" s="280">
        <f t="shared" si="9"/>
        <v>0</v>
      </c>
      <c r="AB394" s="280">
        <f t="shared" si="9"/>
        <v>0</v>
      </c>
      <c r="AC394" s="280">
        <f t="shared" si="9"/>
        <v>0</v>
      </c>
    </row>
    <row r="395" spans="1:29" s="434" customFormat="1" ht="15" customHeight="1" outlineLevel="2">
      <c r="A395" s="378"/>
      <c r="B395" s="379" t="s">
        <v>341</v>
      </c>
      <c r="C395" s="380" t="s">
        <v>246</v>
      </c>
      <c r="D395" s="432">
        <f>D341</f>
        <v>4.29</v>
      </c>
      <c r="E395" s="433">
        <f t="shared" si="9"/>
        <v>0</v>
      </c>
      <c r="F395" s="434">
        <f t="shared" si="9"/>
        <v>0</v>
      </c>
      <c r="G395" s="434">
        <f t="shared" si="9"/>
        <v>0</v>
      </c>
      <c r="H395" s="434">
        <f t="shared" si="9"/>
        <v>0</v>
      </c>
      <c r="I395" s="434">
        <f t="shared" si="9"/>
        <v>0</v>
      </c>
      <c r="J395" s="434">
        <f t="shared" si="9"/>
        <v>0</v>
      </c>
      <c r="K395" s="435">
        <f t="shared" si="9"/>
        <v>0</v>
      </c>
      <c r="L395" s="436">
        <f t="shared" si="9"/>
        <v>0</v>
      </c>
      <c r="M395" s="436">
        <f t="shared" si="9"/>
        <v>0</v>
      </c>
      <c r="N395" s="436">
        <f t="shared" si="9"/>
        <v>0</v>
      </c>
      <c r="O395" s="434">
        <f t="shared" si="9"/>
        <v>0</v>
      </c>
      <c r="P395" s="434">
        <f t="shared" si="9"/>
        <v>0</v>
      </c>
      <c r="Q395" s="434">
        <f t="shared" si="9"/>
        <v>0</v>
      </c>
      <c r="R395" s="434">
        <f t="shared" si="9"/>
        <v>0</v>
      </c>
      <c r="S395" s="434">
        <f t="shared" si="9"/>
        <v>0</v>
      </c>
      <c r="T395" s="436">
        <f t="shared" si="9"/>
        <v>0</v>
      </c>
      <c r="U395" s="434">
        <f t="shared" si="9"/>
        <v>0</v>
      </c>
      <c r="V395" s="434">
        <f t="shared" si="9"/>
        <v>0</v>
      </c>
      <c r="W395" s="434">
        <f t="shared" si="9"/>
        <v>0</v>
      </c>
      <c r="X395" s="434">
        <f t="shared" si="9"/>
        <v>0</v>
      </c>
      <c r="Y395" s="434">
        <f t="shared" si="9"/>
        <v>6.4000000000000001E-2</v>
      </c>
      <c r="Z395" s="434">
        <f t="shared" si="9"/>
        <v>0</v>
      </c>
      <c r="AA395" s="434">
        <f t="shared" si="9"/>
        <v>0</v>
      </c>
      <c r="AB395" s="434">
        <f t="shared" si="9"/>
        <v>0</v>
      </c>
      <c r="AC395" s="434">
        <f t="shared" si="9"/>
        <v>0</v>
      </c>
    </row>
    <row r="396" spans="1:29" s="439" customFormat="1" ht="15" customHeight="1" outlineLevel="2">
      <c r="A396" s="381"/>
      <c r="B396" s="382" t="s">
        <v>342</v>
      </c>
      <c r="C396" s="383" t="s">
        <v>246</v>
      </c>
      <c r="D396" s="437"/>
      <c r="E396" s="438">
        <f t="shared" si="9"/>
        <v>0</v>
      </c>
      <c r="F396" s="439">
        <f t="shared" si="9"/>
        <v>0</v>
      </c>
      <c r="G396" s="439">
        <f t="shared" si="9"/>
        <v>0</v>
      </c>
      <c r="H396" s="439">
        <f t="shared" si="9"/>
        <v>0</v>
      </c>
      <c r="I396" s="439">
        <f t="shared" si="9"/>
        <v>0</v>
      </c>
      <c r="J396" s="439">
        <f t="shared" si="9"/>
        <v>0</v>
      </c>
      <c r="K396" s="440">
        <f t="shared" si="9"/>
        <v>0</v>
      </c>
      <c r="L396" s="441">
        <f t="shared" si="9"/>
        <v>0</v>
      </c>
      <c r="M396" s="441">
        <f t="shared" si="9"/>
        <v>0</v>
      </c>
      <c r="N396" s="441">
        <f t="shared" si="9"/>
        <v>0</v>
      </c>
      <c r="O396" s="439">
        <f t="shared" si="9"/>
        <v>0</v>
      </c>
      <c r="P396" s="439">
        <f t="shared" si="9"/>
        <v>0</v>
      </c>
      <c r="Q396" s="439">
        <f t="shared" si="9"/>
        <v>0</v>
      </c>
      <c r="R396" s="439">
        <f t="shared" si="9"/>
        <v>0</v>
      </c>
      <c r="S396" s="439">
        <f t="shared" si="9"/>
        <v>0</v>
      </c>
      <c r="T396" s="441">
        <f t="shared" si="9"/>
        <v>0</v>
      </c>
      <c r="U396" s="439">
        <f t="shared" si="9"/>
        <v>0</v>
      </c>
      <c r="V396" s="439">
        <f t="shared" si="9"/>
        <v>0</v>
      </c>
      <c r="W396" s="439">
        <f t="shared" si="9"/>
        <v>0</v>
      </c>
      <c r="X396" s="439">
        <f t="shared" si="9"/>
        <v>0</v>
      </c>
      <c r="Y396" s="439">
        <f t="shared" si="9"/>
        <v>0</v>
      </c>
      <c r="Z396" s="439">
        <f t="shared" si="9"/>
        <v>0</v>
      </c>
      <c r="AA396" s="439">
        <f t="shared" si="9"/>
        <v>0</v>
      </c>
      <c r="AB396" s="439">
        <f t="shared" si="9"/>
        <v>0</v>
      </c>
      <c r="AC396" s="439">
        <f t="shared" si="9"/>
        <v>0</v>
      </c>
    </row>
    <row r="397" spans="1:29" s="429" customFormat="1" ht="15" customHeight="1" outlineLevel="1">
      <c r="A397" s="391"/>
      <c r="B397" s="286" t="s">
        <v>235</v>
      </c>
      <c r="C397" s="284" t="s">
        <v>246</v>
      </c>
      <c r="D397" s="474"/>
      <c r="E397" s="431"/>
      <c r="K397" s="430"/>
      <c r="Y397" s="472">
        <v>6.4000000000000001E-2</v>
      </c>
    </row>
    <row r="398" spans="1:29" s="434" customFormat="1" ht="15" customHeight="1" outlineLevel="2">
      <c r="A398" s="378"/>
      <c r="B398" s="379" t="s">
        <v>341</v>
      </c>
      <c r="C398" s="380" t="s">
        <v>246</v>
      </c>
      <c r="D398" s="432"/>
      <c r="E398" s="433"/>
      <c r="K398" s="435"/>
      <c r="L398" s="436"/>
      <c r="M398" s="436"/>
      <c r="N398" s="436"/>
      <c r="T398" s="436"/>
    </row>
    <row r="399" spans="1:29" s="439" customFormat="1" ht="15" customHeight="1" outlineLevel="2">
      <c r="A399" s="381"/>
      <c r="B399" s="382" t="s">
        <v>342</v>
      </c>
      <c r="C399" s="383" t="s">
        <v>246</v>
      </c>
      <c r="D399" s="437"/>
      <c r="E399" s="438"/>
      <c r="K399" s="440"/>
      <c r="L399" s="441"/>
      <c r="M399" s="441"/>
      <c r="N399" s="441"/>
      <c r="T399" s="441"/>
    </row>
    <row r="400" spans="1:29" s="429" customFormat="1" ht="15" customHeight="1" outlineLevel="1">
      <c r="A400" s="391"/>
      <c r="B400" s="278" t="s">
        <v>230</v>
      </c>
      <c r="C400" s="279" t="s">
        <v>246</v>
      </c>
      <c r="D400" s="280">
        <f>D346</f>
        <v>3.9099999999999997</v>
      </c>
      <c r="E400" s="280">
        <f t="shared" ref="E400:AC402" si="10">E346</f>
        <v>0</v>
      </c>
      <c r="F400" s="280">
        <f t="shared" si="10"/>
        <v>0</v>
      </c>
      <c r="G400" s="280">
        <f t="shared" si="10"/>
        <v>0</v>
      </c>
      <c r="H400" s="280">
        <f t="shared" si="10"/>
        <v>0</v>
      </c>
      <c r="I400" s="280">
        <f t="shared" si="10"/>
        <v>0</v>
      </c>
      <c r="J400" s="280">
        <f t="shared" si="10"/>
        <v>0</v>
      </c>
      <c r="K400" s="280">
        <f t="shared" si="10"/>
        <v>0</v>
      </c>
      <c r="L400" s="280">
        <f t="shared" si="10"/>
        <v>0</v>
      </c>
      <c r="M400" s="280">
        <f t="shared" si="10"/>
        <v>0</v>
      </c>
      <c r="N400" s="280">
        <f t="shared" si="10"/>
        <v>0</v>
      </c>
      <c r="O400" s="280">
        <f t="shared" si="10"/>
        <v>0</v>
      </c>
      <c r="P400" s="280">
        <f t="shared" si="10"/>
        <v>0</v>
      </c>
      <c r="Q400" s="280">
        <f t="shared" si="10"/>
        <v>0</v>
      </c>
      <c r="R400" s="280">
        <f t="shared" si="10"/>
        <v>0</v>
      </c>
      <c r="S400" s="280">
        <f t="shared" si="10"/>
        <v>0</v>
      </c>
      <c r="T400" s="280">
        <f t="shared" si="10"/>
        <v>0</v>
      </c>
      <c r="U400" s="280">
        <f t="shared" si="10"/>
        <v>0</v>
      </c>
      <c r="V400" s="280">
        <f t="shared" si="10"/>
        <v>0</v>
      </c>
      <c r="W400" s="280">
        <f t="shared" si="10"/>
        <v>0</v>
      </c>
      <c r="X400" s="280">
        <f t="shared" si="10"/>
        <v>0</v>
      </c>
      <c r="Y400" s="280">
        <f t="shared" si="10"/>
        <v>6.4000000000000001E-2</v>
      </c>
      <c r="Z400" s="280">
        <f t="shared" si="10"/>
        <v>0</v>
      </c>
      <c r="AA400" s="280">
        <f t="shared" si="10"/>
        <v>0</v>
      </c>
      <c r="AB400" s="280">
        <f t="shared" si="10"/>
        <v>0</v>
      </c>
      <c r="AC400" s="280">
        <f t="shared" si="10"/>
        <v>0</v>
      </c>
    </row>
    <row r="401" spans="1:29" s="434" customFormat="1" ht="15" customHeight="1" outlineLevel="2">
      <c r="A401" s="378"/>
      <c r="B401" s="379" t="s">
        <v>341</v>
      </c>
      <c r="C401" s="380" t="s">
        <v>246</v>
      </c>
      <c r="D401" s="432">
        <f>D347</f>
        <v>3.9099999999999997</v>
      </c>
      <c r="E401" s="433">
        <f t="shared" si="10"/>
        <v>0</v>
      </c>
      <c r="F401" s="434">
        <f t="shared" si="10"/>
        <v>0</v>
      </c>
      <c r="G401" s="434">
        <f t="shared" si="10"/>
        <v>0</v>
      </c>
      <c r="H401" s="434">
        <f t="shared" si="10"/>
        <v>0</v>
      </c>
      <c r="I401" s="434">
        <f t="shared" si="10"/>
        <v>0</v>
      </c>
      <c r="J401" s="434">
        <f t="shared" si="10"/>
        <v>0</v>
      </c>
      <c r="K401" s="435">
        <f t="shared" si="10"/>
        <v>0</v>
      </c>
      <c r="L401" s="436">
        <f t="shared" si="10"/>
        <v>0</v>
      </c>
      <c r="M401" s="436">
        <f t="shared" si="10"/>
        <v>0</v>
      </c>
      <c r="N401" s="436">
        <f t="shared" si="10"/>
        <v>0</v>
      </c>
      <c r="O401" s="434">
        <f t="shared" si="10"/>
        <v>0</v>
      </c>
      <c r="P401" s="434">
        <f t="shared" si="10"/>
        <v>0</v>
      </c>
      <c r="Q401" s="434">
        <f t="shared" si="10"/>
        <v>0</v>
      </c>
      <c r="R401" s="434">
        <f t="shared" si="10"/>
        <v>0</v>
      </c>
      <c r="S401" s="434">
        <f t="shared" si="10"/>
        <v>0</v>
      </c>
      <c r="T401" s="436">
        <f t="shared" si="10"/>
        <v>0</v>
      </c>
      <c r="U401" s="434">
        <f t="shared" si="10"/>
        <v>0</v>
      </c>
      <c r="V401" s="434">
        <f t="shared" si="10"/>
        <v>0</v>
      </c>
      <c r="W401" s="434">
        <f t="shared" si="10"/>
        <v>0</v>
      </c>
      <c r="X401" s="434">
        <f t="shared" si="10"/>
        <v>0</v>
      </c>
      <c r="Y401" s="434">
        <f t="shared" si="10"/>
        <v>6.4000000000000001E-2</v>
      </c>
      <c r="Z401" s="434">
        <f t="shared" si="10"/>
        <v>0</v>
      </c>
      <c r="AA401" s="434">
        <f t="shared" si="10"/>
        <v>0</v>
      </c>
      <c r="AB401" s="434">
        <f t="shared" si="10"/>
        <v>0</v>
      </c>
      <c r="AC401" s="434">
        <f t="shared" si="10"/>
        <v>0</v>
      </c>
    </row>
    <row r="402" spans="1:29" s="439" customFormat="1" ht="15" customHeight="1" outlineLevel="2">
      <c r="A402" s="381"/>
      <c r="B402" s="382" t="s">
        <v>342</v>
      </c>
      <c r="C402" s="383" t="s">
        <v>246</v>
      </c>
      <c r="D402" s="437"/>
      <c r="E402" s="438">
        <f t="shared" si="10"/>
        <v>0</v>
      </c>
      <c r="F402" s="439">
        <f t="shared" si="10"/>
        <v>0</v>
      </c>
      <c r="G402" s="439">
        <f t="shared" si="10"/>
        <v>0</v>
      </c>
      <c r="H402" s="439">
        <f t="shared" si="10"/>
        <v>0</v>
      </c>
      <c r="I402" s="439">
        <f t="shared" si="10"/>
        <v>0</v>
      </c>
      <c r="J402" s="439">
        <f t="shared" si="10"/>
        <v>0</v>
      </c>
      <c r="K402" s="440">
        <f t="shared" si="10"/>
        <v>0</v>
      </c>
      <c r="L402" s="441">
        <f t="shared" si="10"/>
        <v>0</v>
      </c>
      <c r="M402" s="441">
        <f t="shared" si="10"/>
        <v>0</v>
      </c>
      <c r="N402" s="441">
        <f t="shared" si="10"/>
        <v>0</v>
      </c>
      <c r="O402" s="439">
        <f t="shared" si="10"/>
        <v>0</v>
      </c>
      <c r="P402" s="439">
        <f t="shared" si="10"/>
        <v>0</v>
      </c>
      <c r="Q402" s="439">
        <f t="shared" si="10"/>
        <v>0</v>
      </c>
      <c r="R402" s="439">
        <f t="shared" si="10"/>
        <v>0</v>
      </c>
      <c r="S402" s="439">
        <f t="shared" si="10"/>
        <v>0</v>
      </c>
      <c r="T402" s="441">
        <f t="shared" si="10"/>
        <v>0</v>
      </c>
      <c r="U402" s="439">
        <f t="shared" si="10"/>
        <v>0</v>
      </c>
      <c r="V402" s="439">
        <f t="shared" si="10"/>
        <v>0</v>
      </c>
      <c r="W402" s="439">
        <f t="shared" si="10"/>
        <v>0</v>
      </c>
      <c r="X402" s="439">
        <f t="shared" si="10"/>
        <v>0</v>
      </c>
      <c r="Y402" s="439">
        <f t="shared" si="10"/>
        <v>0</v>
      </c>
      <c r="Z402" s="439">
        <f t="shared" si="10"/>
        <v>0</v>
      </c>
      <c r="AA402" s="439">
        <f t="shared" si="10"/>
        <v>0</v>
      </c>
      <c r="AB402" s="439">
        <f t="shared" si="10"/>
        <v>0</v>
      </c>
      <c r="AC402" s="439">
        <f t="shared" si="10"/>
        <v>0</v>
      </c>
    </row>
    <row r="403" spans="1:29" s="429" customFormat="1" ht="15" customHeight="1" outlineLevel="1">
      <c r="A403" s="391"/>
      <c r="B403" s="278" t="s">
        <v>231</v>
      </c>
      <c r="C403" s="279" t="s">
        <v>246</v>
      </c>
      <c r="D403" s="280">
        <f>D349</f>
        <v>2.57</v>
      </c>
      <c r="E403" s="431"/>
      <c r="K403" s="430"/>
      <c r="Y403" s="472">
        <v>6.4000000000000001E-2</v>
      </c>
    </row>
    <row r="404" spans="1:29" s="434" customFormat="1" ht="15" customHeight="1" outlineLevel="2">
      <c r="A404" s="378"/>
      <c r="B404" s="379" t="s">
        <v>341</v>
      </c>
      <c r="C404" s="380" t="s">
        <v>246</v>
      </c>
      <c r="D404" s="432">
        <f>D350</f>
        <v>2.57</v>
      </c>
      <c r="E404" s="433"/>
      <c r="K404" s="435"/>
      <c r="L404" s="436"/>
      <c r="M404" s="436"/>
      <c r="N404" s="436"/>
      <c r="T404" s="436"/>
    </row>
    <row r="405" spans="1:29" s="439" customFormat="1" ht="15" customHeight="1" outlineLevel="2">
      <c r="A405" s="381"/>
      <c r="B405" s="382" t="s">
        <v>342</v>
      </c>
      <c r="C405" s="383" t="s">
        <v>246</v>
      </c>
      <c r="D405" s="437"/>
      <c r="E405" s="438"/>
      <c r="K405" s="440"/>
      <c r="L405" s="441"/>
      <c r="M405" s="441"/>
      <c r="N405" s="441"/>
      <c r="T405" s="441"/>
    </row>
    <row r="406" spans="1:29" s="429" customFormat="1" ht="15" customHeight="1" outlineLevel="1">
      <c r="A406" s="391"/>
      <c r="B406" s="285" t="s">
        <v>236</v>
      </c>
      <c r="C406" s="284" t="s">
        <v>246</v>
      </c>
      <c r="D406" s="280">
        <f>D340</f>
        <v>4.29</v>
      </c>
      <c r="E406" s="431"/>
      <c r="K406" s="430"/>
      <c r="Y406" s="472">
        <v>6.4000000000000001E-2</v>
      </c>
    </row>
    <row r="407" spans="1:29" s="434" customFormat="1" ht="15" customHeight="1" outlineLevel="2">
      <c r="A407" s="378"/>
      <c r="B407" s="379" t="s">
        <v>341</v>
      </c>
      <c r="C407" s="380" t="s">
        <v>246</v>
      </c>
      <c r="D407" s="432">
        <f>D341</f>
        <v>4.29</v>
      </c>
      <c r="E407" s="433"/>
      <c r="K407" s="435"/>
      <c r="L407" s="436"/>
      <c r="M407" s="436"/>
      <c r="N407" s="436"/>
      <c r="T407" s="436"/>
    </row>
    <row r="408" spans="1:29" s="439" customFormat="1" ht="15" customHeight="1" outlineLevel="2">
      <c r="A408" s="381"/>
      <c r="B408" s="382" t="s">
        <v>342</v>
      </c>
      <c r="C408" s="383" t="s">
        <v>246</v>
      </c>
      <c r="D408" s="437"/>
      <c r="E408" s="438"/>
      <c r="K408" s="440"/>
      <c r="L408" s="441"/>
      <c r="M408" s="441"/>
      <c r="N408" s="441"/>
      <c r="T408" s="441"/>
    </row>
    <row r="409" spans="1:29" s="429" customFormat="1" ht="15" customHeight="1" outlineLevel="1">
      <c r="A409" s="391"/>
      <c r="B409" s="286" t="s">
        <v>237</v>
      </c>
      <c r="C409" s="284" t="s">
        <v>246</v>
      </c>
      <c r="D409" s="474"/>
      <c r="E409" s="431"/>
      <c r="K409" s="430"/>
      <c r="Y409" s="472">
        <v>6.4000000000000001E-2</v>
      </c>
    </row>
    <row r="410" spans="1:29" s="434" customFormat="1" ht="15" customHeight="1" outlineLevel="2">
      <c r="A410" s="378"/>
      <c r="B410" s="379" t="s">
        <v>341</v>
      </c>
      <c r="C410" s="380" t="s">
        <v>246</v>
      </c>
      <c r="D410" s="432"/>
      <c r="E410" s="433"/>
      <c r="K410" s="435"/>
      <c r="L410" s="436"/>
      <c r="M410" s="436"/>
      <c r="N410" s="436"/>
      <c r="T410" s="436"/>
    </row>
    <row r="411" spans="1:29" s="439" customFormat="1" ht="15" customHeight="1" outlineLevel="2">
      <c r="A411" s="381"/>
      <c r="B411" s="382" t="s">
        <v>342</v>
      </c>
      <c r="C411" s="383" t="s">
        <v>246</v>
      </c>
      <c r="D411" s="437"/>
      <c r="E411" s="438"/>
      <c r="K411" s="440"/>
      <c r="L411" s="441"/>
      <c r="M411" s="441"/>
      <c r="N411" s="441"/>
      <c r="T411" s="441"/>
    </row>
    <row r="412" spans="1:29" s="429" customFormat="1" ht="15" customHeight="1" outlineLevel="1">
      <c r="A412" s="391"/>
      <c r="B412" s="278" t="s">
        <v>230</v>
      </c>
      <c r="C412" s="279" t="s">
        <v>246</v>
      </c>
      <c r="D412" s="280">
        <f>D346</f>
        <v>3.9099999999999997</v>
      </c>
      <c r="E412" s="431"/>
      <c r="K412" s="430"/>
      <c r="Y412" s="472">
        <v>6.4000000000000001E-2</v>
      </c>
    </row>
    <row r="413" spans="1:29" s="434" customFormat="1" ht="15" customHeight="1" outlineLevel="2">
      <c r="A413" s="378"/>
      <c r="B413" s="379" t="s">
        <v>341</v>
      </c>
      <c r="C413" s="380" t="s">
        <v>246</v>
      </c>
      <c r="D413" s="432">
        <f>D347</f>
        <v>3.9099999999999997</v>
      </c>
      <c r="E413" s="433"/>
      <c r="K413" s="435"/>
      <c r="L413" s="436"/>
      <c r="M413" s="436"/>
      <c r="N413" s="436"/>
      <c r="T413" s="436"/>
    </row>
    <row r="414" spans="1:29" s="439" customFormat="1" ht="15" customHeight="1" outlineLevel="2">
      <c r="A414" s="381"/>
      <c r="B414" s="382" t="s">
        <v>342</v>
      </c>
      <c r="C414" s="383" t="s">
        <v>246</v>
      </c>
      <c r="D414" s="437"/>
      <c r="E414" s="438"/>
      <c r="K414" s="440"/>
      <c r="L414" s="441"/>
      <c r="M414" s="441"/>
      <c r="N414" s="441"/>
      <c r="T414" s="441"/>
    </row>
    <row r="415" spans="1:29" s="429" customFormat="1" ht="15" customHeight="1" outlineLevel="1">
      <c r="A415" s="391"/>
      <c r="B415" s="278" t="s">
        <v>231</v>
      </c>
      <c r="C415" s="279" t="s">
        <v>246</v>
      </c>
      <c r="D415" s="280">
        <f>D349</f>
        <v>2.57</v>
      </c>
      <c r="E415" s="431"/>
      <c r="K415" s="430"/>
      <c r="Y415" s="472">
        <v>6.4000000000000001E-2</v>
      </c>
    </row>
    <row r="416" spans="1:29" s="434" customFormat="1" ht="15" customHeight="1" outlineLevel="2">
      <c r="A416" s="378"/>
      <c r="B416" s="379" t="s">
        <v>341</v>
      </c>
      <c r="C416" s="380" t="s">
        <v>246</v>
      </c>
      <c r="D416" s="432">
        <f>D350</f>
        <v>2.57</v>
      </c>
      <c r="E416" s="433"/>
      <c r="K416" s="435"/>
      <c r="L416" s="436"/>
      <c r="M416" s="436"/>
      <c r="N416" s="436"/>
      <c r="T416" s="436"/>
    </row>
    <row r="417" spans="1:29" s="439" customFormat="1" ht="15" customHeight="1" outlineLevel="2">
      <c r="A417" s="381"/>
      <c r="B417" s="382" t="s">
        <v>342</v>
      </c>
      <c r="C417" s="383" t="s">
        <v>246</v>
      </c>
      <c r="D417" s="437"/>
      <c r="E417" s="438"/>
      <c r="K417" s="440"/>
      <c r="L417" s="441"/>
      <c r="M417" s="441"/>
      <c r="N417" s="441"/>
      <c r="T417" s="441"/>
    </row>
    <row r="418" spans="1:29" s="429" customFormat="1" ht="15" customHeight="1">
      <c r="A418" s="390"/>
      <c r="B418" s="274" t="s">
        <v>238</v>
      </c>
      <c r="C418" s="272" t="s">
        <v>246</v>
      </c>
      <c r="D418" s="273">
        <f>D419</f>
        <v>3.94997</v>
      </c>
      <c r="E418" s="431"/>
      <c r="K418" s="430"/>
    </row>
    <row r="419" spans="1:29" s="429" customFormat="1" ht="15" customHeight="1" outlineLevel="1">
      <c r="A419" s="389"/>
      <c r="B419" s="278" t="s">
        <v>222</v>
      </c>
      <c r="C419" s="279" t="s">
        <v>246</v>
      </c>
      <c r="D419" s="280">
        <f>'Шаблон 46 ГП'!I269</f>
        <v>3.94997</v>
      </c>
      <c r="E419" s="431"/>
      <c r="K419" s="430"/>
      <c r="Y419" s="470">
        <f>Y328</f>
        <v>7.0000000000000007E-2</v>
      </c>
    </row>
    <row r="420" spans="1:29" s="429" customFormat="1" ht="15" customHeight="1" outlineLevel="1">
      <c r="A420" s="389"/>
      <c r="B420" s="278" t="s">
        <v>223</v>
      </c>
      <c r="C420" s="279" t="s">
        <v>246</v>
      </c>
      <c r="D420" s="280">
        <f>D419</f>
        <v>3.94997</v>
      </c>
      <c r="E420" s="431"/>
      <c r="K420" s="430"/>
      <c r="Y420" s="470">
        <f>Y419</f>
        <v>7.0000000000000007E-2</v>
      </c>
    </row>
    <row r="421" spans="1:29" s="429" customFormat="1" ht="15" customHeight="1" outlineLevel="1">
      <c r="A421" s="389"/>
      <c r="B421" s="278" t="s">
        <v>224</v>
      </c>
      <c r="C421" s="279" t="s">
        <v>246</v>
      </c>
      <c r="D421" s="280">
        <f>D420</f>
        <v>3.94997</v>
      </c>
      <c r="E421" s="431"/>
      <c r="K421" s="430"/>
      <c r="Y421" s="470">
        <f>Y420</f>
        <v>7.0000000000000007E-2</v>
      </c>
    </row>
    <row r="422" spans="1:29" s="422" customFormat="1" ht="19.5" customHeight="1" outlineLevel="1">
      <c r="A422" s="392"/>
      <c r="B422" s="393" t="s">
        <v>351</v>
      </c>
      <c r="C422" s="394"/>
      <c r="D422" s="475"/>
      <c r="E422" s="421"/>
      <c r="K422" s="423"/>
    </row>
    <row r="423" spans="1:29" s="429" customFormat="1" ht="26.65" customHeight="1" outlineLevel="1">
      <c r="A423" s="389"/>
      <c r="B423" s="278" t="s">
        <v>352</v>
      </c>
      <c r="C423" s="279" t="s">
        <v>246</v>
      </c>
      <c r="D423" s="280">
        <v>1.5717399999999999</v>
      </c>
      <c r="E423" s="280">
        <v>1.5065200000000001</v>
      </c>
      <c r="F423" s="280">
        <v>1.5065200000000001</v>
      </c>
      <c r="G423" s="280">
        <v>1.5065200000000001</v>
      </c>
      <c r="H423" s="280">
        <v>1.5065200000000001</v>
      </c>
      <c r="I423" s="280">
        <v>1.5065200000000001</v>
      </c>
      <c r="J423" s="280">
        <v>1.5065200000000001</v>
      </c>
      <c r="K423" s="280">
        <v>1.5065200000000001</v>
      </c>
      <c r="L423" s="280">
        <v>1.5065200000000001</v>
      </c>
      <c r="M423" s="280">
        <v>1.5065200000000001</v>
      </c>
      <c r="N423" s="280">
        <v>1.5065200000000001</v>
      </c>
      <c r="O423" s="280">
        <v>1.5065200000000001</v>
      </c>
      <c r="P423" s="280">
        <v>1.5065200000000001</v>
      </c>
      <c r="Q423" s="280">
        <v>1.5065200000000001</v>
      </c>
      <c r="R423" s="280">
        <v>1.5065200000000001</v>
      </c>
      <c r="S423" s="280">
        <v>1.5065200000000001</v>
      </c>
      <c r="T423" s="280">
        <v>1.5065200000000001</v>
      </c>
      <c r="U423" s="280">
        <v>1.5065200000000001</v>
      </c>
      <c r="V423" s="280">
        <v>1.5065200000000001</v>
      </c>
      <c r="W423" s="280">
        <v>1.5065200000000001</v>
      </c>
      <c r="X423" s="280">
        <v>1.5065200000000001</v>
      </c>
      <c r="Y423" s="280">
        <v>1.5065200000000001</v>
      </c>
      <c r="Z423" s="280">
        <v>1.5065200000000001</v>
      </c>
      <c r="AA423" s="280">
        <v>1.5065200000000001</v>
      </c>
      <c r="AB423" s="280">
        <v>1.5065200000000001</v>
      </c>
      <c r="AC423" s="280">
        <v>1.5065200000000001</v>
      </c>
    </row>
    <row r="424" spans="1:29" s="429" customFormat="1" ht="26.65" customHeight="1" outlineLevel="1">
      <c r="A424" s="389"/>
      <c r="B424" s="278"/>
      <c r="C424" s="279"/>
      <c r="D424" s="280"/>
      <c r="E424" s="431"/>
      <c r="K424" s="430"/>
      <c r="Y424" s="470"/>
    </row>
    <row r="425" spans="1:29" s="422" customFormat="1" ht="15" customHeight="1">
      <c r="A425" s="372" t="s">
        <v>44</v>
      </c>
      <c r="B425" s="266" t="s">
        <v>247</v>
      </c>
      <c r="C425" s="267" t="s">
        <v>248</v>
      </c>
      <c r="D425" s="289">
        <f>D294/(D154-D289)</f>
        <v>3.1321622701223212E-2</v>
      </c>
      <c r="E425" s="421"/>
      <c r="K425" s="423"/>
    </row>
    <row r="426" spans="1:29" s="422" customFormat="1" ht="15" customHeight="1">
      <c r="A426" s="372" t="s">
        <v>45</v>
      </c>
      <c r="B426" s="260" t="s">
        <v>249</v>
      </c>
      <c r="C426" s="267" t="s">
        <v>240</v>
      </c>
      <c r="D426" s="268">
        <f>D428+D429+D430+D433</f>
        <v>57.180120000000002</v>
      </c>
      <c r="E426" s="421"/>
      <c r="K426" s="423"/>
    </row>
    <row r="427" spans="1:29" s="422" customFormat="1" ht="15" customHeight="1">
      <c r="A427" s="395"/>
      <c r="B427" s="260" t="s">
        <v>250</v>
      </c>
      <c r="C427" s="267" t="s">
        <v>240</v>
      </c>
      <c r="D427" s="268">
        <f>D428+D429+D430</f>
        <v>57.180120000000002</v>
      </c>
      <c r="E427" s="421"/>
      <c r="K427" s="423"/>
    </row>
    <row r="428" spans="1:29" s="422" customFormat="1" ht="15.75" customHeight="1">
      <c r="A428" s="384"/>
      <c r="B428" s="234" t="s">
        <v>251</v>
      </c>
      <c r="C428" s="235" t="s">
        <v>240</v>
      </c>
      <c r="D428" s="236">
        <f>'Шаблон 46 ГП'!C9/1000000</f>
        <v>57.180120000000002</v>
      </c>
      <c r="E428" s="445"/>
      <c r="F428" s="445"/>
      <c r="G428" s="445"/>
      <c r="K428" s="423"/>
    </row>
    <row r="429" spans="1:29" s="422" customFormat="1" ht="15" customHeight="1">
      <c r="A429" s="384"/>
      <c r="B429" s="234" t="s">
        <v>252</v>
      </c>
      <c r="C429" s="235" t="s">
        <v>240</v>
      </c>
      <c r="D429" s="236">
        <v>0</v>
      </c>
      <c r="E429" s="421"/>
      <c r="K429" s="423"/>
    </row>
    <row r="430" spans="1:29" s="422" customFormat="1" ht="15" customHeight="1">
      <c r="A430" s="384"/>
      <c r="B430" s="234" t="s">
        <v>253</v>
      </c>
      <c r="C430" s="235" t="s">
        <v>240</v>
      </c>
      <c r="D430" s="236">
        <f>D431+D432</f>
        <v>0</v>
      </c>
      <c r="E430" s="421"/>
      <c r="K430" s="423"/>
    </row>
    <row r="431" spans="1:29" s="477" customFormat="1" ht="15" customHeight="1">
      <c r="A431" s="396"/>
      <c r="B431" s="290" t="s">
        <v>222</v>
      </c>
      <c r="C431" s="291" t="s">
        <v>240</v>
      </c>
      <c r="D431" s="292">
        <v>0</v>
      </c>
      <c r="E431" s="476"/>
      <c r="K431" s="478"/>
    </row>
    <row r="432" spans="1:29" s="477" customFormat="1" ht="15" customHeight="1">
      <c r="A432" s="396"/>
      <c r="B432" s="290" t="s">
        <v>223</v>
      </c>
      <c r="C432" s="291" t="s">
        <v>240</v>
      </c>
      <c r="D432" s="292">
        <v>0</v>
      </c>
      <c r="E432" s="476"/>
      <c r="K432" s="478"/>
    </row>
    <row r="433" spans="1:24" s="422" customFormat="1" ht="15" customHeight="1">
      <c r="A433" s="384"/>
      <c r="B433" s="234" t="s">
        <v>254</v>
      </c>
      <c r="C433" s="235" t="s">
        <v>240</v>
      </c>
      <c r="D433" s="236">
        <f>'Шаблон 46 ЭСК'!C9/1000000</f>
        <v>0</v>
      </c>
      <c r="E433" s="421"/>
      <c r="F433" s="421"/>
      <c r="G433" s="421"/>
      <c r="H433" s="421"/>
      <c r="K433" s="423"/>
    </row>
    <row r="434" spans="1:24" s="422" customFormat="1" ht="15" customHeight="1">
      <c r="A434" s="397"/>
      <c r="B434" s="266" t="s">
        <v>255</v>
      </c>
      <c r="C434" s="267" t="s">
        <v>246</v>
      </c>
      <c r="D434" s="268">
        <f>D441/D426</f>
        <v>0.94120663842608232</v>
      </c>
      <c r="E434" s="421"/>
      <c r="K434" s="423"/>
    </row>
    <row r="435" spans="1:24" s="422" customFormat="1" ht="15" customHeight="1" outlineLevel="1">
      <c r="A435" s="384"/>
      <c r="B435" s="234" t="s">
        <v>256</v>
      </c>
      <c r="C435" s="235" t="s">
        <v>246</v>
      </c>
      <c r="D435" s="236"/>
      <c r="E435" s="421"/>
      <c r="K435" s="423"/>
    </row>
    <row r="436" spans="1:24" s="422" customFormat="1" ht="15" customHeight="1" outlineLevel="1">
      <c r="A436" s="384"/>
      <c r="B436" s="234" t="s">
        <v>257</v>
      </c>
      <c r="C436" s="235" t="s">
        <v>246</v>
      </c>
      <c r="D436" s="236"/>
      <c r="E436" s="421"/>
      <c r="K436" s="423"/>
    </row>
    <row r="437" spans="1:24" s="422" customFormat="1" ht="15" customHeight="1" outlineLevel="1">
      <c r="A437" s="384"/>
      <c r="B437" s="234" t="s">
        <v>258</v>
      </c>
      <c r="C437" s="235" t="s">
        <v>246</v>
      </c>
      <c r="D437" s="236">
        <v>1.366263</v>
      </c>
      <c r="E437" s="421"/>
      <c r="K437" s="423"/>
    </row>
    <row r="438" spans="1:24" s="422" customFormat="1" ht="15" customHeight="1" outlineLevel="1">
      <c r="A438" s="384"/>
      <c r="B438" s="234" t="s">
        <v>252</v>
      </c>
      <c r="C438" s="235" t="s">
        <v>246</v>
      </c>
      <c r="D438" s="236"/>
      <c r="E438" s="421"/>
      <c r="K438" s="423"/>
    </row>
    <row r="439" spans="1:24" s="422" customFormat="1" ht="15" customHeight="1" outlineLevel="1">
      <c r="A439" s="384"/>
      <c r="B439" s="234" t="s">
        <v>253</v>
      </c>
      <c r="C439" s="235" t="s">
        <v>246</v>
      </c>
      <c r="D439" s="236"/>
      <c r="E439" s="421"/>
      <c r="K439" s="423"/>
    </row>
    <row r="440" spans="1:24" s="422" customFormat="1" ht="15" customHeight="1" outlineLevel="1">
      <c r="A440" s="384"/>
      <c r="B440" s="234" t="s">
        <v>254</v>
      </c>
      <c r="C440" s="235" t="s">
        <v>246</v>
      </c>
      <c r="D440" s="236"/>
      <c r="E440" s="421"/>
      <c r="K440" s="423"/>
    </row>
    <row r="441" spans="1:24" s="422" customFormat="1" ht="15" customHeight="1">
      <c r="A441" s="397"/>
      <c r="B441" s="266" t="s">
        <v>259</v>
      </c>
      <c r="C441" s="267" t="s">
        <v>212</v>
      </c>
      <c r="D441" s="268">
        <f>D443+D444+D445+D446</f>
        <v>53.818308530000003</v>
      </c>
      <c r="E441" s="421"/>
      <c r="K441" s="423"/>
    </row>
    <row r="442" spans="1:24" s="422" customFormat="1" ht="14.25" customHeight="1">
      <c r="A442" s="398"/>
      <c r="B442" s="266" t="s">
        <v>260</v>
      </c>
      <c r="C442" s="267" t="s">
        <v>212</v>
      </c>
      <c r="D442" s="268">
        <f>D443+D444+D445</f>
        <v>53.818308530000003</v>
      </c>
      <c r="E442" s="421"/>
      <c r="K442" s="423"/>
    </row>
    <row r="443" spans="1:24" s="422" customFormat="1" ht="15" customHeight="1" outlineLevel="1">
      <c r="A443" s="384"/>
      <c r="B443" s="234" t="s">
        <v>251</v>
      </c>
      <c r="C443" s="235" t="s">
        <v>212</v>
      </c>
      <c r="D443" s="236">
        <f>'Шаблон 46 ГП'!L9/1000000</f>
        <v>53.818308530000003</v>
      </c>
      <c r="E443" s="421">
        <v>0</v>
      </c>
      <c r="F443" s="422">
        <v>0</v>
      </c>
      <c r="G443" s="422">
        <v>0</v>
      </c>
      <c r="H443" s="422">
        <v>0</v>
      </c>
      <c r="I443" s="422">
        <v>0</v>
      </c>
      <c r="J443" s="422">
        <v>0</v>
      </c>
      <c r="K443" s="423">
        <v>0</v>
      </c>
      <c r="L443" s="422">
        <v>0</v>
      </c>
      <c r="M443" s="422">
        <v>0</v>
      </c>
      <c r="N443" s="422">
        <v>0</v>
      </c>
      <c r="O443" s="422">
        <v>0</v>
      </c>
      <c r="P443" s="422">
        <v>0</v>
      </c>
      <c r="Q443" s="422">
        <v>0</v>
      </c>
      <c r="R443" s="422">
        <v>0</v>
      </c>
      <c r="S443" s="422">
        <v>0</v>
      </c>
      <c r="T443" s="422">
        <v>0</v>
      </c>
      <c r="U443" s="422">
        <v>0</v>
      </c>
      <c r="V443" s="422">
        <v>0</v>
      </c>
      <c r="W443" s="422">
        <v>0</v>
      </c>
      <c r="X443" s="422">
        <v>0</v>
      </c>
    </row>
    <row r="444" spans="1:24" s="422" customFormat="1" ht="15" customHeight="1" outlineLevel="1">
      <c r="A444" s="384"/>
      <c r="B444" s="234" t="s">
        <v>252</v>
      </c>
      <c r="C444" s="235" t="s">
        <v>212</v>
      </c>
      <c r="D444" s="236"/>
      <c r="E444" s="421"/>
      <c r="K444" s="423"/>
    </row>
    <row r="445" spans="1:24" s="422" customFormat="1" ht="15" customHeight="1" outlineLevel="1">
      <c r="A445" s="384"/>
      <c r="B445" s="234" t="s">
        <v>253</v>
      </c>
      <c r="C445" s="235" t="s">
        <v>212</v>
      </c>
      <c r="D445" s="236"/>
      <c r="E445" s="421"/>
      <c r="K445" s="423"/>
    </row>
    <row r="446" spans="1:24" s="422" customFormat="1" ht="15" customHeight="1" outlineLevel="1">
      <c r="A446" s="384"/>
      <c r="B446" s="234" t="s">
        <v>254</v>
      </c>
      <c r="C446" s="235" t="s">
        <v>212</v>
      </c>
      <c r="D446" s="236">
        <f>'Шаблон 46 ЭСК'!L9/1000000</f>
        <v>0</v>
      </c>
      <c r="E446" s="421"/>
      <c r="K446" s="423"/>
    </row>
    <row r="447" spans="1:24" s="422" customFormat="1" ht="15" customHeight="1" outlineLevel="1">
      <c r="A447" s="384"/>
      <c r="B447" s="234"/>
      <c r="C447" s="235"/>
      <c r="D447" s="236"/>
      <c r="E447" s="421"/>
      <c r="K447" s="423"/>
    </row>
    <row r="448" spans="1:24" s="422" customFormat="1" ht="19.5" customHeight="1" outlineLevel="1">
      <c r="A448" s="392"/>
      <c r="B448" s="393" t="s">
        <v>353</v>
      </c>
      <c r="C448" s="394"/>
      <c r="D448" s="475"/>
      <c r="E448" s="421"/>
      <c r="K448" s="423"/>
    </row>
    <row r="449" spans="1:25" s="481" customFormat="1" ht="26.65" customHeight="1" outlineLevel="1">
      <c r="A449" s="372" t="s">
        <v>52</v>
      </c>
      <c r="B449" s="399" t="s">
        <v>354</v>
      </c>
      <c r="C449" s="400" t="s">
        <v>240</v>
      </c>
      <c r="D449" s="479">
        <f>D450+D464+D470+D478</f>
        <v>55.312284999999996</v>
      </c>
      <c r="E449" s="480" t="e">
        <f>#REF!+#REF!</f>
        <v>#REF!</v>
      </c>
      <c r="K449" s="482"/>
    </row>
    <row r="450" spans="1:25" s="422" customFormat="1" ht="15" customHeight="1" outlineLevel="1">
      <c r="A450" s="397"/>
      <c r="B450" s="266" t="s">
        <v>261</v>
      </c>
      <c r="C450" s="267" t="s">
        <v>240</v>
      </c>
      <c r="D450" s="268">
        <f>D451+D452+D453</f>
        <v>26.798797999999998</v>
      </c>
      <c r="E450" s="445" t="e">
        <f>#REF!+#REF!</f>
        <v>#REF!</v>
      </c>
      <c r="K450" s="423"/>
    </row>
    <row r="451" spans="1:25" s="422" customFormat="1" ht="15" customHeight="1" outlineLevel="2">
      <c r="A451" s="384"/>
      <c r="B451" s="234" t="s">
        <v>222</v>
      </c>
      <c r="C451" s="235" t="s">
        <v>240</v>
      </c>
      <c r="D451" s="236">
        <f>'Шаблон 46 ГП'!F317/1000</f>
        <v>2.6853119999999997</v>
      </c>
      <c r="E451" s="421"/>
      <c r="K451" s="423"/>
    </row>
    <row r="452" spans="1:25" s="422" customFormat="1" ht="15" customHeight="1" outlineLevel="2">
      <c r="A452" s="384"/>
      <c r="B452" s="234" t="s">
        <v>223</v>
      </c>
      <c r="C452" s="235" t="s">
        <v>240</v>
      </c>
      <c r="D452" s="236">
        <f>'Шаблон 46 ГП'!F318/1000+'Шаблон 46 ЭСК'!F67/1000</f>
        <v>16.975991</v>
      </c>
      <c r="E452" s="421"/>
      <c r="K452" s="423"/>
    </row>
    <row r="453" spans="1:25" s="422" customFormat="1" ht="15" customHeight="1" outlineLevel="2">
      <c r="A453" s="384"/>
      <c r="B453" s="234" t="s">
        <v>224</v>
      </c>
      <c r="C453" s="235" t="s">
        <v>240</v>
      </c>
      <c r="D453" s="236">
        <f>'Шаблон 46 ГП'!F319/1000</f>
        <v>7.1374949999999995</v>
      </c>
      <c r="E453" s="421"/>
      <c r="K453" s="423"/>
    </row>
    <row r="454" spans="1:25" s="422" customFormat="1" ht="15" customHeight="1" outlineLevel="1">
      <c r="A454" s="397"/>
      <c r="B454" s="266" t="s">
        <v>262</v>
      </c>
      <c r="C454" s="267"/>
      <c r="D454" s="268">
        <f>D458/D450</f>
        <v>4.3953045345287505</v>
      </c>
      <c r="E454" s="421"/>
      <c r="K454" s="423"/>
    </row>
    <row r="455" spans="1:25" s="422" customFormat="1" ht="15" customHeight="1" outlineLevel="2">
      <c r="A455" s="384"/>
      <c r="B455" s="234" t="s">
        <v>222</v>
      </c>
      <c r="C455" s="235"/>
      <c r="D455" s="236">
        <f>'Шаблон 46 ГП'!G317/1000</f>
        <v>4.0697000000000001</v>
      </c>
      <c r="E455" s="421"/>
      <c r="F455" s="465"/>
      <c r="H455" s="465"/>
      <c r="K455" s="423"/>
      <c r="Y455" s="483">
        <v>7.4999999999999997E-2</v>
      </c>
    </row>
    <row r="456" spans="1:25" s="422" customFormat="1" ht="15" customHeight="1" outlineLevel="2">
      <c r="A456" s="384"/>
      <c r="B456" s="234" t="s">
        <v>223</v>
      </c>
      <c r="C456" s="235"/>
      <c r="D456" s="236">
        <f>'Шаблон 46 ГП'!G318/1000</f>
        <v>4.3606199999999999</v>
      </c>
      <c r="E456" s="421"/>
      <c r="K456" s="423"/>
      <c r="Y456" s="483">
        <f>Y455</f>
        <v>7.4999999999999997E-2</v>
      </c>
    </row>
    <row r="457" spans="1:25" s="422" customFormat="1" ht="15" customHeight="1" outlineLevel="2">
      <c r="A457" s="384"/>
      <c r="B457" s="234" t="s">
        <v>224</v>
      </c>
      <c r="C457" s="235"/>
      <c r="D457" s="236">
        <f>'Шаблон 46 ГП'!G319/1000</f>
        <v>4.6002999999999998</v>
      </c>
      <c r="E457" s="421"/>
      <c r="K457" s="423"/>
      <c r="Y457" s="483">
        <f>Y456</f>
        <v>7.4999999999999997E-2</v>
      </c>
    </row>
    <row r="458" spans="1:25" s="422" customFormat="1" ht="15" customHeight="1" outlineLevel="1">
      <c r="A458" s="397"/>
      <c r="B458" s="266" t="s">
        <v>263</v>
      </c>
      <c r="C458" s="267" t="s">
        <v>212</v>
      </c>
      <c r="D458" s="268">
        <f>D459+D460+D461-D462</f>
        <v>117.78887836931999</v>
      </c>
      <c r="E458" s="445" t="e">
        <f>#REF!+#REF!+#REF!-#REF!</f>
        <v>#REF!</v>
      </c>
      <c r="F458" s="445" t="e">
        <f>#REF!+#REF!+#REF!-#REF!</f>
        <v>#REF!</v>
      </c>
      <c r="G458" s="445" t="e">
        <f>#REF!+#REF!+#REF!-#REF!</f>
        <v>#REF!</v>
      </c>
      <c r="K458" s="423"/>
      <c r="Y458" s="483"/>
    </row>
    <row r="459" spans="1:25" s="422" customFormat="1" ht="15" customHeight="1" outlineLevel="2">
      <c r="A459" s="384"/>
      <c r="B459" s="234" t="s">
        <v>222</v>
      </c>
      <c r="C459" s="235" t="s">
        <v>212</v>
      </c>
      <c r="D459" s="236">
        <f>D451*D455</f>
        <v>10.928414246399999</v>
      </c>
      <c r="E459" s="421"/>
      <c r="K459" s="423"/>
      <c r="Y459" s="483"/>
    </row>
    <row r="460" spans="1:25" s="422" customFormat="1" ht="15" customHeight="1" outlineLevel="2">
      <c r="A460" s="384"/>
      <c r="B460" s="234" t="s">
        <v>223</v>
      </c>
      <c r="C460" s="235" t="s">
        <v>212</v>
      </c>
      <c r="D460" s="236">
        <f>D452*D456</f>
        <v>74.02584587442</v>
      </c>
      <c r="E460" s="421"/>
      <c r="K460" s="423"/>
      <c r="Y460" s="483"/>
    </row>
    <row r="461" spans="1:25" s="422" customFormat="1" ht="15" customHeight="1" outlineLevel="2">
      <c r="A461" s="384"/>
      <c r="B461" s="234" t="s">
        <v>224</v>
      </c>
      <c r="C461" s="235" t="s">
        <v>212</v>
      </c>
      <c r="D461" s="236">
        <f>D453*D457</f>
        <v>32.834618248499993</v>
      </c>
      <c r="E461" s="421"/>
      <c r="K461" s="423"/>
      <c r="Y461" s="483"/>
    </row>
    <row r="462" spans="1:25" s="422" customFormat="1" ht="15" customHeight="1" outlineLevel="1">
      <c r="A462" s="384"/>
      <c r="B462" s="293" t="s">
        <v>24</v>
      </c>
      <c r="C462" s="294" t="s">
        <v>212</v>
      </c>
      <c r="D462" s="295">
        <f>'Шаблон 46 ГП'!H355/1000000</f>
        <v>0</v>
      </c>
      <c r="E462" s="421"/>
      <c r="K462" s="423"/>
      <c r="Y462" s="483"/>
    </row>
    <row r="463" spans="1:25" s="485" customFormat="1" ht="15" customHeight="1" outlineLevel="1">
      <c r="A463" s="372"/>
      <c r="B463" s="260" t="s">
        <v>355</v>
      </c>
      <c r="C463" s="233" t="s">
        <v>240</v>
      </c>
      <c r="D463" s="261">
        <f>D464+D470</f>
        <v>24.830238999999999</v>
      </c>
      <c r="E463" s="484"/>
      <c r="K463" s="486"/>
      <c r="Y463" s="487"/>
    </row>
    <row r="464" spans="1:25" s="422" customFormat="1" ht="15" customHeight="1" outlineLevel="1">
      <c r="A464" s="397"/>
      <c r="B464" s="266" t="s">
        <v>356</v>
      </c>
      <c r="C464" s="267" t="s">
        <v>240</v>
      </c>
      <c r="D464" s="268">
        <f>'Шаблон 46 ГП'!F320/1000+'Шаблон 46 ГП'!F324/1000+'Шаблон 46 ЭСК'!F69/1000</f>
        <v>3.6161329999999996</v>
      </c>
      <c r="E464" s="421"/>
      <c r="K464" s="423"/>
      <c r="Y464" s="483"/>
    </row>
    <row r="465" spans="1:29" s="452" customFormat="1" ht="31.15" customHeight="1" outlineLevel="1">
      <c r="A465" s="401"/>
      <c r="B465" s="402" t="s">
        <v>357</v>
      </c>
      <c r="C465" s="403" t="s">
        <v>240</v>
      </c>
      <c r="D465" s="488">
        <f>D464</f>
        <v>3.6161329999999996</v>
      </c>
      <c r="E465" s="451"/>
      <c r="K465" s="453"/>
      <c r="Y465" s="489"/>
    </row>
    <row r="466" spans="1:29" s="452" customFormat="1" ht="31.15" customHeight="1" outlineLevel="1">
      <c r="A466" s="401"/>
      <c r="B466" s="402" t="s">
        <v>358</v>
      </c>
      <c r="C466" s="403" t="s">
        <v>240</v>
      </c>
      <c r="D466" s="488">
        <v>0</v>
      </c>
      <c r="E466" s="451"/>
      <c r="K466" s="453"/>
      <c r="Y466" s="489"/>
    </row>
    <row r="467" spans="1:29" s="452" customFormat="1" ht="15" customHeight="1" outlineLevel="1">
      <c r="A467" s="404"/>
      <c r="B467" s="405" t="s">
        <v>359</v>
      </c>
      <c r="C467" s="406"/>
      <c r="D467" s="490">
        <f>'Шаблон 46 ГП'!G320/1000</f>
        <v>0</v>
      </c>
      <c r="E467" s="451"/>
      <c r="K467" s="453"/>
      <c r="Y467" s="489">
        <v>7.0000000000000007E-2</v>
      </c>
    </row>
    <row r="468" spans="1:29" s="452" customFormat="1" ht="15" customHeight="1" outlineLevel="1">
      <c r="A468" s="404"/>
      <c r="B468" s="405" t="s">
        <v>360</v>
      </c>
      <c r="C468" s="406"/>
      <c r="D468" s="490"/>
      <c r="E468" s="451"/>
      <c r="K468" s="453"/>
      <c r="Y468" s="489">
        <v>7.0000000000000007E-2</v>
      </c>
    </row>
    <row r="469" spans="1:29" s="485" customFormat="1" ht="15" customHeight="1" outlineLevel="1">
      <c r="A469" s="407"/>
      <c r="B469" s="260" t="s">
        <v>361</v>
      </c>
      <c r="C469" s="233" t="s">
        <v>212</v>
      </c>
      <c r="D469" s="261">
        <f>D465*D467+D466*D468</f>
        <v>0</v>
      </c>
      <c r="E469" s="484"/>
      <c r="K469" s="486"/>
      <c r="Y469" s="487"/>
    </row>
    <row r="470" spans="1:29" s="485" customFormat="1" ht="15" customHeight="1" outlineLevel="1">
      <c r="A470" s="407"/>
      <c r="B470" s="260" t="s">
        <v>362</v>
      </c>
      <c r="C470" s="233" t="s">
        <v>240</v>
      </c>
      <c r="D470" s="261">
        <f>'Шаблон 46 ГП'!F332/1000+'Шаблон 46 ГП'!F328/1000</f>
        <v>21.214106000000001</v>
      </c>
      <c r="E470" s="484"/>
      <c r="K470" s="486"/>
      <c r="Y470" s="487"/>
    </row>
    <row r="471" spans="1:29" s="452" customFormat="1" ht="29.65" customHeight="1" outlineLevel="1">
      <c r="A471" s="401"/>
      <c r="B471" s="402" t="s">
        <v>363</v>
      </c>
      <c r="C471" s="403" t="s">
        <v>240</v>
      </c>
      <c r="D471" s="488">
        <f>D470</f>
        <v>21.214106000000001</v>
      </c>
      <c r="E471" s="451"/>
      <c r="K471" s="453"/>
      <c r="Y471" s="489"/>
    </row>
    <row r="472" spans="1:29" s="452" customFormat="1" ht="33" customHeight="1" outlineLevel="1">
      <c r="A472" s="401"/>
      <c r="B472" s="402" t="s">
        <v>364</v>
      </c>
      <c r="C472" s="403" t="s">
        <v>240</v>
      </c>
      <c r="D472" s="488"/>
      <c r="E472" s="451"/>
      <c r="K472" s="453"/>
      <c r="Y472" s="489"/>
    </row>
    <row r="473" spans="1:29" s="452" customFormat="1" ht="15" customHeight="1" outlineLevel="1">
      <c r="A473" s="404"/>
      <c r="B473" s="405" t="s">
        <v>359</v>
      </c>
      <c r="C473" s="406"/>
      <c r="D473" s="490">
        <f>'Шаблон 46 ГП'!G332/1000</f>
        <v>0</v>
      </c>
      <c r="E473" s="451"/>
      <c r="K473" s="453"/>
      <c r="Y473" s="489">
        <f>Y467</f>
        <v>7.0000000000000007E-2</v>
      </c>
    </row>
    <row r="474" spans="1:29" s="452" customFormat="1" ht="15" customHeight="1" outlineLevel="1">
      <c r="A474" s="404"/>
      <c r="B474" s="405" t="s">
        <v>360</v>
      </c>
      <c r="C474" s="406"/>
      <c r="D474" s="490"/>
      <c r="E474" s="451"/>
      <c r="K474" s="453"/>
      <c r="Y474" s="489"/>
    </row>
    <row r="475" spans="1:29" s="422" customFormat="1" ht="15" customHeight="1" outlineLevel="1">
      <c r="A475" s="397"/>
      <c r="B475" s="266" t="s">
        <v>365</v>
      </c>
      <c r="C475" s="267" t="s">
        <v>212</v>
      </c>
      <c r="D475" s="268">
        <f>D471*D473+D472*D474</f>
        <v>0</v>
      </c>
      <c r="E475" s="268">
        <f t="shared" ref="E475:AC475" si="11">E471*E473+E472*E474</f>
        <v>0</v>
      </c>
      <c r="F475" s="268">
        <f t="shared" si="11"/>
        <v>0</v>
      </c>
      <c r="G475" s="268">
        <f t="shared" si="11"/>
        <v>0</v>
      </c>
      <c r="H475" s="268">
        <f t="shared" si="11"/>
        <v>0</v>
      </c>
      <c r="I475" s="268">
        <f t="shared" si="11"/>
        <v>0</v>
      </c>
      <c r="J475" s="268">
        <f t="shared" si="11"/>
        <v>0</v>
      </c>
      <c r="K475" s="268">
        <f t="shared" si="11"/>
        <v>0</v>
      </c>
      <c r="L475" s="268">
        <f t="shared" si="11"/>
        <v>0</v>
      </c>
      <c r="M475" s="268">
        <f t="shared" si="11"/>
        <v>0</v>
      </c>
      <c r="N475" s="268">
        <f t="shared" si="11"/>
        <v>0</v>
      </c>
      <c r="O475" s="268">
        <f t="shared" si="11"/>
        <v>0</v>
      </c>
      <c r="P475" s="268">
        <f t="shared" si="11"/>
        <v>0</v>
      </c>
      <c r="Q475" s="268">
        <f t="shared" si="11"/>
        <v>0</v>
      </c>
      <c r="R475" s="268">
        <f t="shared" si="11"/>
        <v>0</v>
      </c>
      <c r="S475" s="268">
        <f t="shared" si="11"/>
        <v>0</v>
      </c>
      <c r="T475" s="268">
        <f t="shared" si="11"/>
        <v>0</v>
      </c>
      <c r="U475" s="268">
        <f t="shared" si="11"/>
        <v>0</v>
      </c>
      <c r="V475" s="268">
        <f t="shared" si="11"/>
        <v>0</v>
      </c>
      <c r="W475" s="268">
        <f t="shared" si="11"/>
        <v>0</v>
      </c>
      <c r="X475" s="268">
        <f t="shared" si="11"/>
        <v>0</v>
      </c>
      <c r="Y475" s="268">
        <f t="shared" si="11"/>
        <v>0</v>
      </c>
      <c r="Z475" s="268">
        <f t="shared" si="11"/>
        <v>0</v>
      </c>
      <c r="AA475" s="268">
        <f t="shared" si="11"/>
        <v>0</v>
      </c>
      <c r="AB475" s="268">
        <f t="shared" si="11"/>
        <v>0</v>
      </c>
      <c r="AC475" s="268">
        <f t="shared" si="11"/>
        <v>0</v>
      </c>
    </row>
    <row r="476" spans="1:29" s="485" customFormat="1" ht="19.5" customHeight="1" outlineLevel="1">
      <c r="A476" s="407"/>
      <c r="B476" s="260" t="s">
        <v>366</v>
      </c>
      <c r="C476" s="233" t="s">
        <v>212</v>
      </c>
      <c r="D476" s="261">
        <f>D469+D475</f>
        <v>0</v>
      </c>
      <c r="E476" s="484"/>
      <c r="K476" s="486"/>
    </row>
    <row r="477" spans="1:29" s="481" customFormat="1" ht="22.15" customHeight="1" outlineLevel="1">
      <c r="A477" s="408"/>
      <c r="B477" s="409"/>
      <c r="C477" s="596"/>
      <c r="D477" s="600"/>
      <c r="E477" s="491"/>
      <c r="K477" s="482"/>
    </row>
    <row r="478" spans="1:29" s="429" customFormat="1" ht="43.5" customHeight="1" outlineLevel="1">
      <c r="A478" s="397"/>
      <c r="B478" s="597" t="s">
        <v>436</v>
      </c>
      <c r="C478" s="267" t="s">
        <v>240</v>
      </c>
      <c r="D478" s="268">
        <f>D479+D480+D481</f>
        <v>3.6832480000000003</v>
      </c>
      <c r="E478" s="431"/>
      <c r="K478" s="430"/>
    </row>
    <row r="479" spans="1:29" s="481" customFormat="1" ht="18.600000000000001" customHeight="1" outlineLevel="1">
      <c r="A479" s="384"/>
      <c r="B479" s="234" t="s">
        <v>222</v>
      </c>
      <c r="C479" s="235" t="s">
        <v>240</v>
      </c>
      <c r="D479" s="236">
        <v>0</v>
      </c>
      <c r="E479" s="480" t="e">
        <f>#REF!+#REF!</f>
        <v>#REF!</v>
      </c>
      <c r="K479" s="482"/>
    </row>
    <row r="480" spans="1:29" s="422" customFormat="1" ht="15" customHeight="1" outlineLevel="1">
      <c r="A480" s="384"/>
      <c r="B480" s="234" t="s">
        <v>223</v>
      </c>
      <c r="C480" s="235" t="s">
        <v>240</v>
      </c>
      <c r="D480" s="236">
        <f>'Шаблон 46 ГП'!F340/1000</f>
        <v>0.102423</v>
      </c>
      <c r="E480" s="445" t="e">
        <f>#REF!+#REF!</f>
        <v>#REF!</v>
      </c>
      <c r="K480" s="423"/>
    </row>
    <row r="481" spans="1:25" s="422" customFormat="1" ht="15" customHeight="1" outlineLevel="2">
      <c r="A481" s="384"/>
      <c r="B481" s="234" t="s">
        <v>224</v>
      </c>
      <c r="C481" s="235" t="s">
        <v>240</v>
      </c>
      <c r="D481" s="236">
        <f>'Шаблон 46 ГП'!F341/1000</f>
        <v>3.5808250000000004</v>
      </c>
      <c r="E481" s="421"/>
      <c r="K481" s="423"/>
    </row>
    <row r="482" spans="1:25" s="422" customFormat="1" ht="15" customHeight="1" outlineLevel="2">
      <c r="A482" s="397"/>
      <c r="B482" s="598" t="s">
        <v>437</v>
      </c>
      <c r="C482" s="267"/>
      <c r="D482" s="268"/>
      <c r="E482" s="421"/>
      <c r="K482" s="423"/>
    </row>
    <row r="483" spans="1:25" s="422" customFormat="1" ht="15" customHeight="1" outlineLevel="2">
      <c r="A483" s="384"/>
      <c r="B483" s="234" t="s">
        <v>222</v>
      </c>
      <c r="C483" s="235"/>
      <c r="D483" s="601"/>
      <c r="E483" s="421"/>
      <c r="K483" s="423"/>
    </row>
    <row r="484" spans="1:25" s="422" customFormat="1" ht="15" customHeight="1" outlineLevel="1">
      <c r="A484" s="384"/>
      <c r="B484" s="234" t="s">
        <v>223</v>
      </c>
      <c r="C484" s="235"/>
      <c r="D484" s="601">
        <f>'Шаблон 46 ГП'!G340/1000</f>
        <v>0.33305000000000001</v>
      </c>
      <c r="E484" s="421"/>
      <c r="K484" s="423"/>
    </row>
    <row r="485" spans="1:25" s="422" customFormat="1" ht="15" customHeight="1" outlineLevel="2">
      <c r="A485" s="384"/>
      <c r="B485" s="234" t="s">
        <v>224</v>
      </c>
      <c r="C485" s="235"/>
      <c r="D485" s="601">
        <f>'Шаблон 46 ГП'!G341/1000</f>
        <v>0.70567000000000002</v>
      </c>
      <c r="E485" s="421"/>
      <c r="K485" s="423"/>
      <c r="Y485" s="492"/>
    </row>
    <row r="486" spans="1:25" s="422" customFormat="1" ht="15" customHeight="1" outlineLevel="2">
      <c r="A486" s="397"/>
      <c r="B486" s="266" t="s">
        <v>438</v>
      </c>
      <c r="C486" s="267" t="s">
        <v>212</v>
      </c>
      <c r="D486" s="268">
        <f>D487+D488+D489</f>
        <v>2.5609927579000002</v>
      </c>
      <c r="E486" s="421"/>
      <c r="K486" s="423"/>
      <c r="Y486" s="492"/>
    </row>
    <row r="487" spans="1:25" s="422" customFormat="1" ht="15" customHeight="1" outlineLevel="2">
      <c r="A487" s="384"/>
      <c r="B487" s="234" t="s">
        <v>222</v>
      </c>
      <c r="C487" s="235" t="s">
        <v>212</v>
      </c>
      <c r="D487" s="236">
        <f>D479*D483</f>
        <v>0</v>
      </c>
      <c r="E487" s="421"/>
      <c r="K487" s="423"/>
      <c r="Y487" s="492"/>
    </row>
    <row r="488" spans="1:25" s="422" customFormat="1" ht="15" customHeight="1" outlineLevel="1">
      <c r="A488" s="384"/>
      <c r="B488" s="234" t="s">
        <v>223</v>
      </c>
      <c r="C488" s="235" t="s">
        <v>212</v>
      </c>
      <c r="D488" s="236">
        <f>D480*D484</f>
        <v>3.4111980149999999E-2</v>
      </c>
      <c r="E488" s="445" t="e">
        <f>#REF!+#REF!+#REF!-#REF!</f>
        <v>#REF!</v>
      </c>
      <c r="F488" s="445" t="e">
        <f>#REF!+#REF!+#REF!-#REF!</f>
        <v>#REF!</v>
      </c>
      <c r="G488" s="445" t="e">
        <f>#REF!+#REF!+#REF!-#REF!</f>
        <v>#REF!</v>
      </c>
      <c r="K488" s="423"/>
    </row>
    <row r="489" spans="1:25" s="422" customFormat="1" ht="15" customHeight="1" outlineLevel="2">
      <c r="A489" s="384"/>
      <c r="B489" s="234" t="s">
        <v>224</v>
      </c>
      <c r="C489" s="235" t="s">
        <v>212</v>
      </c>
      <c r="D489" s="236">
        <f>D481*D485</f>
        <v>2.5268807777500002</v>
      </c>
      <c r="E489" s="421"/>
      <c r="K489" s="423"/>
    </row>
    <row r="490" spans="1:25" s="422" customFormat="1" ht="15" customHeight="1" outlineLevel="2">
      <c r="A490" s="384"/>
      <c r="B490" s="234"/>
      <c r="C490" s="235"/>
      <c r="D490" s="236"/>
      <c r="E490" s="421"/>
      <c r="K490" s="423"/>
    </row>
    <row r="491" spans="1:25" s="422" customFormat="1" ht="15" customHeight="1" outlineLevel="2">
      <c r="A491" s="397"/>
      <c r="B491" s="597" t="s">
        <v>418</v>
      </c>
      <c r="C491" s="267" t="s">
        <v>420</v>
      </c>
      <c r="D491" s="268">
        <f>D492+D493+D494</f>
        <v>6.7130000000000002E-3</v>
      </c>
      <c r="E491" s="421"/>
      <c r="K491" s="423"/>
    </row>
    <row r="492" spans="1:25" s="422" customFormat="1" ht="15" customHeight="1" outlineLevel="1">
      <c r="A492" s="384"/>
      <c r="B492" s="234" t="s">
        <v>222</v>
      </c>
      <c r="C492" s="235" t="s">
        <v>420</v>
      </c>
      <c r="D492" s="236">
        <v>0</v>
      </c>
      <c r="E492" s="421"/>
      <c r="K492" s="423"/>
    </row>
    <row r="493" spans="1:25" s="422" customFormat="1" ht="15" customHeight="1" outlineLevel="1">
      <c r="A493" s="384"/>
      <c r="B493" s="234" t="s">
        <v>223</v>
      </c>
      <c r="C493" s="235" t="s">
        <v>420</v>
      </c>
      <c r="D493" s="236">
        <f>'Шаблон 46 ГП'!F337/1000</f>
        <v>1.5699999999999999E-4</v>
      </c>
      <c r="E493" s="421"/>
      <c r="K493" s="423"/>
    </row>
    <row r="494" spans="1:25" s="452" customFormat="1" ht="14.25" outlineLevel="1">
      <c r="A494" s="384"/>
      <c r="B494" s="234" t="s">
        <v>224</v>
      </c>
      <c r="C494" s="235" t="s">
        <v>420</v>
      </c>
      <c r="D494" s="236">
        <f>'Шаблон 46 ГП'!F338/1000</f>
        <v>6.5560000000000002E-3</v>
      </c>
      <c r="E494" s="451"/>
      <c r="K494" s="453"/>
    </row>
    <row r="495" spans="1:25" s="452" customFormat="1" ht="27.6" customHeight="1" outlineLevel="1">
      <c r="A495" s="397"/>
      <c r="B495" s="598" t="s">
        <v>437</v>
      </c>
      <c r="C495" s="267"/>
      <c r="D495" s="268"/>
      <c r="E495" s="451"/>
      <c r="K495" s="453"/>
    </row>
    <row r="496" spans="1:25" s="452" customFormat="1" ht="15" customHeight="1" outlineLevel="1">
      <c r="A496" s="384"/>
      <c r="B496" s="234" t="s">
        <v>222</v>
      </c>
      <c r="C496" s="235"/>
      <c r="D496" s="236"/>
      <c r="E496" s="451"/>
      <c r="K496" s="453"/>
      <c r="Y496" s="493"/>
    </row>
    <row r="497" spans="1:29" s="452" customFormat="1" ht="15" customHeight="1" outlineLevel="1">
      <c r="A497" s="384"/>
      <c r="B497" s="234" t="s">
        <v>223</v>
      </c>
      <c r="C497" s="235"/>
      <c r="D497" s="236">
        <f>'Шаблон 46 ГП'!G337/1000</f>
        <v>2799.14266</v>
      </c>
      <c r="E497" s="451"/>
      <c r="K497" s="453"/>
      <c r="Y497" s="493"/>
    </row>
    <row r="498" spans="1:29" s="485" customFormat="1" ht="15" customHeight="1" outlineLevel="1">
      <c r="A498" s="384"/>
      <c r="B498" s="234" t="s">
        <v>224</v>
      </c>
      <c r="C498" s="235"/>
      <c r="D498" s="236">
        <f>'Шаблон 46 ГП'!G338/1000</f>
        <v>1025.7991099999999</v>
      </c>
      <c r="E498" s="484"/>
      <c r="K498" s="486"/>
    </row>
    <row r="499" spans="1:29" s="422" customFormat="1" ht="15" customHeight="1" outlineLevel="1">
      <c r="A499" s="397"/>
      <c r="B499" s="266" t="s">
        <v>438</v>
      </c>
      <c r="C499" s="267" t="s">
        <v>212</v>
      </c>
      <c r="D499" s="268">
        <f>D500+D501+D502</f>
        <v>7.1646043627799996</v>
      </c>
      <c r="E499" s="421"/>
      <c r="K499" s="423"/>
    </row>
    <row r="500" spans="1:29" s="452" customFormat="1" ht="14.25" outlineLevel="1">
      <c r="A500" s="384"/>
      <c r="B500" s="234" t="s">
        <v>222</v>
      </c>
      <c r="C500" s="235" t="s">
        <v>212</v>
      </c>
      <c r="D500" s="236">
        <f>D492*D496</f>
        <v>0</v>
      </c>
      <c r="E500" s="451"/>
      <c r="K500" s="453"/>
      <c r="Y500" s="489"/>
    </row>
    <row r="501" spans="1:29" s="452" customFormat="1" ht="14.25" outlineLevel="1">
      <c r="A501" s="384"/>
      <c r="B501" s="234" t="s">
        <v>223</v>
      </c>
      <c r="C501" s="235" t="s">
        <v>212</v>
      </c>
      <c r="D501" s="236">
        <f>D493*D497</f>
        <v>0.43946539761999998</v>
      </c>
      <c r="E501" s="451"/>
      <c r="K501" s="453"/>
      <c r="Y501" s="489"/>
    </row>
    <row r="502" spans="1:29" s="452" customFormat="1" ht="15" customHeight="1" outlineLevel="1">
      <c r="A502" s="384"/>
      <c r="B502" s="234" t="s">
        <v>224</v>
      </c>
      <c r="C502" s="235" t="s">
        <v>212</v>
      </c>
      <c r="D502" s="236">
        <f>D494*D498</f>
        <v>6.7251389651599993</v>
      </c>
      <c r="E502" s="451"/>
      <c r="K502" s="453"/>
      <c r="Y502" s="489">
        <f>Y496</f>
        <v>0</v>
      </c>
    </row>
    <row r="503" spans="1:29" s="452" customFormat="1" ht="15" customHeight="1" outlineLevel="1">
      <c r="A503" s="408"/>
      <c r="B503" s="599"/>
      <c r="C503" s="596"/>
      <c r="D503" s="600"/>
      <c r="E503" s="451"/>
      <c r="K503" s="453"/>
      <c r="Y503" s="489"/>
    </row>
    <row r="504" spans="1:29" s="422" customFormat="1" ht="15" customHeight="1" outlineLevel="1">
      <c r="A504" s="372"/>
      <c r="B504" s="399" t="s">
        <v>264</v>
      </c>
      <c r="C504" s="400" t="s">
        <v>212</v>
      </c>
      <c r="D504" s="479">
        <f>D458+D476+D486+D499</f>
        <v>127.51447548999998</v>
      </c>
      <c r="E504" s="268">
        <f t="shared" ref="E504:AC504" si="12">E500*E502+E501*E503</f>
        <v>0</v>
      </c>
      <c r="F504" s="268">
        <f t="shared" si="12"/>
        <v>0</v>
      </c>
      <c r="G504" s="268">
        <f t="shared" si="12"/>
        <v>0</v>
      </c>
      <c r="H504" s="268">
        <f t="shared" si="12"/>
        <v>0</v>
      </c>
      <c r="I504" s="268">
        <f t="shared" si="12"/>
        <v>0</v>
      </c>
      <c r="J504" s="268">
        <f t="shared" si="12"/>
        <v>0</v>
      </c>
      <c r="K504" s="268">
        <f t="shared" si="12"/>
        <v>0</v>
      </c>
      <c r="L504" s="268">
        <f t="shared" si="12"/>
        <v>0</v>
      </c>
      <c r="M504" s="268">
        <f t="shared" si="12"/>
        <v>0</v>
      </c>
      <c r="N504" s="268">
        <f t="shared" si="12"/>
        <v>0</v>
      </c>
      <c r="O504" s="268">
        <f t="shared" si="12"/>
        <v>0</v>
      </c>
      <c r="P504" s="268">
        <f t="shared" si="12"/>
        <v>0</v>
      </c>
      <c r="Q504" s="268">
        <f t="shared" si="12"/>
        <v>0</v>
      </c>
      <c r="R504" s="268">
        <f t="shared" si="12"/>
        <v>0</v>
      </c>
      <c r="S504" s="268">
        <f t="shared" si="12"/>
        <v>0</v>
      </c>
      <c r="T504" s="268">
        <f t="shared" si="12"/>
        <v>0</v>
      </c>
      <c r="U504" s="268">
        <f t="shared" si="12"/>
        <v>0</v>
      </c>
      <c r="V504" s="268">
        <f t="shared" si="12"/>
        <v>0</v>
      </c>
      <c r="W504" s="268">
        <f t="shared" si="12"/>
        <v>0</v>
      </c>
      <c r="X504" s="268">
        <f t="shared" si="12"/>
        <v>0</v>
      </c>
      <c r="Y504" s="268">
        <f t="shared" si="12"/>
        <v>0</v>
      </c>
      <c r="Z504" s="268">
        <f t="shared" si="12"/>
        <v>0</v>
      </c>
      <c r="AA504" s="268">
        <f t="shared" si="12"/>
        <v>0</v>
      </c>
      <c r="AB504" s="268">
        <f t="shared" si="12"/>
        <v>0</v>
      </c>
      <c r="AC504" s="268">
        <f t="shared" si="12"/>
        <v>0</v>
      </c>
    </row>
    <row r="505" spans="1:29" s="422" customFormat="1" ht="15" customHeight="1" outlineLevel="1">
      <c r="A505" s="376"/>
      <c r="B505" s="296"/>
      <c r="C505" s="247"/>
      <c r="D505" s="297"/>
      <c r="E505" s="421"/>
      <c r="K505" s="423"/>
    </row>
    <row r="506" spans="1:29" s="481" customFormat="1" ht="20.25" customHeight="1" outlineLevel="1">
      <c r="A506" s="372"/>
      <c r="B506" s="399" t="s">
        <v>367</v>
      </c>
      <c r="C506" s="400" t="s">
        <v>240</v>
      </c>
      <c r="D506" s="479">
        <f>D507+D520+D526</f>
        <v>0</v>
      </c>
      <c r="E506" s="491"/>
      <c r="K506" s="482"/>
    </row>
    <row r="507" spans="1:29" s="429" customFormat="1" ht="20.25" customHeight="1" outlineLevel="1">
      <c r="A507" s="397"/>
      <c r="B507" s="266" t="s">
        <v>261</v>
      </c>
      <c r="C507" s="267" t="s">
        <v>240</v>
      </c>
      <c r="D507" s="268">
        <f>D508+D509+D510</f>
        <v>0</v>
      </c>
      <c r="E507" s="431"/>
      <c r="K507" s="430"/>
    </row>
    <row r="508" spans="1:29" s="481" customFormat="1" ht="18" outlineLevel="1">
      <c r="A508" s="384"/>
      <c r="B508" s="234" t="s">
        <v>222</v>
      </c>
      <c r="C508" s="235" t="s">
        <v>240</v>
      </c>
      <c r="D508" s="236"/>
      <c r="E508" s="480" t="e">
        <f>#REF!+#REF!</f>
        <v>#REF!</v>
      </c>
      <c r="K508" s="482"/>
    </row>
    <row r="509" spans="1:29" s="422" customFormat="1" ht="15" customHeight="1" outlineLevel="1">
      <c r="A509" s="384"/>
      <c r="B509" s="234" t="s">
        <v>223</v>
      </c>
      <c r="C509" s="235" t="s">
        <v>240</v>
      </c>
      <c r="D509" s="236">
        <f>'Шаблон 46 ГП'!F306/1000000</f>
        <v>0</v>
      </c>
      <c r="E509" s="445" t="e">
        <f>#REF!+#REF!</f>
        <v>#REF!</v>
      </c>
      <c r="K509" s="423"/>
    </row>
    <row r="510" spans="1:29" s="422" customFormat="1" ht="15" customHeight="1" outlineLevel="2">
      <c r="A510" s="384"/>
      <c r="B510" s="234" t="s">
        <v>224</v>
      </c>
      <c r="C510" s="235" t="s">
        <v>240</v>
      </c>
      <c r="D510" s="236"/>
      <c r="E510" s="421"/>
      <c r="K510" s="423"/>
    </row>
    <row r="511" spans="1:29" s="422" customFormat="1" ht="15" customHeight="1" outlineLevel="2">
      <c r="A511" s="397"/>
      <c r="B511" s="266" t="s">
        <v>262</v>
      </c>
      <c r="C511" s="267"/>
      <c r="D511" s="268" t="e">
        <f>D515/D507</f>
        <v>#DIV/0!</v>
      </c>
      <c r="E511" s="421"/>
      <c r="K511" s="423"/>
    </row>
    <row r="512" spans="1:29" s="422" customFormat="1" ht="15" customHeight="1" outlineLevel="2">
      <c r="A512" s="384"/>
      <c r="B512" s="234" t="s">
        <v>222</v>
      </c>
      <c r="C512" s="235"/>
      <c r="D512" s="236">
        <f>D455</f>
        <v>4.0697000000000001</v>
      </c>
      <c r="E512" s="421"/>
      <c r="K512" s="423"/>
    </row>
    <row r="513" spans="1:25" s="422" customFormat="1" ht="15" customHeight="1" outlineLevel="1">
      <c r="A513" s="384"/>
      <c r="B513" s="234" t="s">
        <v>223</v>
      </c>
      <c r="C513" s="235"/>
      <c r="D513" s="236">
        <f>D456</f>
        <v>4.3606199999999999</v>
      </c>
      <c r="E513" s="421"/>
      <c r="K513" s="423"/>
    </row>
    <row r="514" spans="1:25" s="422" customFormat="1" ht="15" customHeight="1" outlineLevel="2">
      <c r="A514" s="384"/>
      <c r="B514" s="234" t="s">
        <v>224</v>
      </c>
      <c r="C514" s="235"/>
      <c r="D514" s="236">
        <f>D457</f>
        <v>4.6002999999999998</v>
      </c>
      <c r="E514" s="421"/>
      <c r="K514" s="423"/>
      <c r="Y514" s="492"/>
    </row>
    <row r="515" spans="1:25" s="422" customFormat="1" ht="15" customHeight="1" outlineLevel="2">
      <c r="A515" s="397"/>
      <c r="B515" s="266" t="s">
        <v>263</v>
      </c>
      <c r="C515" s="267" t="s">
        <v>212</v>
      </c>
      <c r="D515" s="268">
        <f>D516+D517+D518</f>
        <v>0</v>
      </c>
      <c r="E515" s="421"/>
      <c r="K515" s="423"/>
      <c r="Y515" s="492"/>
    </row>
    <row r="516" spans="1:25" s="422" customFormat="1" ht="15" customHeight="1" outlineLevel="2">
      <c r="A516" s="384"/>
      <c r="B516" s="234" t="s">
        <v>222</v>
      </c>
      <c r="C516" s="235" t="s">
        <v>212</v>
      </c>
      <c r="D516" s="236">
        <f>D508*D512</f>
        <v>0</v>
      </c>
      <c r="E516" s="421"/>
      <c r="K516" s="423"/>
      <c r="Y516" s="492"/>
    </row>
    <row r="517" spans="1:25" s="422" customFormat="1" ht="15" customHeight="1" outlineLevel="1">
      <c r="A517" s="384"/>
      <c r="B517" s="234" t="s">
        <v>223</v>
      </c>
      <c r="C517" s="235" t="s">
        <v>212</v>
      </c>
      <c r="D517" s="236">
        <f>D509*D513</f>
        <v>0</v>
      </c>
      <c r="E517" s="445" t="e">
        <f>#REF!+#REF!+#REF!-#REF!</f>
        <v>#REF!</v>
      </c>
      <c r="F517" s="445" t="e">
        <f>#REF!+#REF!+#REF!-#REF!</f>
        <v>#REF!</v>
      </c>
      <c r="G517" s="445" t="e">
        <f>#REF!+#REF!+#REF!-#REF!</f>
        <v>#REF!</v>
      </c>
      <c r="K517" s="423"/>
    </row>
    <row r="518" spans="1:25" s="422" customFormat="1" ht="15" customHeight="1" outlineLevel="2">
      <c r="A518" s="384"/>
      <c r="B518" s="234" t="s">
        <v>224</v>
      </c>
      <c r="C518" s="235" t="s">
        <v>212</v>
      </c>
      <c r="D518" s="236">
        <f>D510*D514</f>
        <v>0</v>
      </c>
      <c r="E518" s="421"/>
      <c r="K518" s="423"/>
    </row>
    <row r="519" spans="1:25" s="422" customFormat="1" ht="15" customHeight="1" outlineLevel="2">
      <c r="A519" s="397"/>
      <c r="B519" s="266" t="s">
        <v>355</v>
      </c>
      <c r="C519" s="267" t="s">
        <v>240</v>
      </c>
      <c r="D519" s="268">
        <f>D520</f>
        <v>0</v>
      </c>
      <c r="E519" s="421"/>
      <c r="K519" s="423"/>
    </row>
    <row r="520" spans="1:25" s="422" customFormat="1" ht="15" customHeight="1" outlineLevel="2">
      <c r="A520" s="397"/>
      <c r="B520" s="266" t="str">
        <f>B464</f>
        <v>Объём услуг по передаче э/э "НАСЕЛЕНИЕ" коэфф. "1"</v>
      </c>
      <c r="C520" s="267" t="s">
        <v>240</v>
      </c>
      <c r="D520" s="268">
        <f>'Шаблон 46 ГП'!F307/1000000</f>
        <v>0</v>
      </c>
      <c r="E520" s="421"/>
      <c r="K520" s="423"/>
    </row>
    <row r="521" spans="1:25" s="422" customFormat="1" ht="15" customHeight="1" outlineLevel="1">
      <c r="A521" s="401"/>
      <c r="B521" s="402" t="str">
        <f>B465</f>
        <v>Объём услуг по передаче э/э "НАСЕЛЕНИЕ" коэфф. "1" в пределах соц нормы</v>
      </c>
      <c r="C521" s="403" t="s">
        <v>240</v>
      </c>
      <c r="D521" s="488">
        <f>D520</f>
        <v>0</v>
      </c>
      <c r="E521" s="421"/>
      <c r="K521" s="423"/>
    </row>
    <row r="522" spans="1:25" s="422" customFormat="1" ht="15" customHeight="1" outlineLevel="1">
      <c r="A522" s="401"/>
      <c r="B522" s="402" t="str">
        <f>B466</f>
        <v>Объём услуг по передаче э/э "НАСЕЛЕНИЕ" коэфф. "1" сверх соц нормы</v>
      </c>
      <c r="C522" s="403" t="s">
        <v>240</v>
      </c>
      <c r="D522" s="488"/>
      <c r="E522" s="421"/>
      <c r="K522" s="423"/>
    </row>
    <row r="523" spans="1:25" s="452" customFormat="1" ht="14.25" outlineLevel="1">
      <c r="A523" s="404"/>
      <c r="B523" s="405" t="s">
        <v>359</v>
      </c>
      <c r="C523" s="406"/>
      <c r="D523" s="490">
        <f>'Шаблон 46 ГП'!G320/1000</f>
        <v>0</v>
      </c>
      <c r="E523" s="451"/>
      <c r="K523" s="453"/>
    </row>
    <row r="524" spans="1:25" s="452" customFormat="1" ht="14.25" outlineLevel="1">
      <c r="A524" s="404"/>
      <c r="B524" s="405" t="s">
        <v>360</v>
      </c>
      <c r="C524" s="406"/>
      <c r="D524" s="490"/>
      <c r="E524" s="451"/>
      <c r="K524" s="453"/>
    </row>
    <row r="525" spans="1:25" s="452" customFormat="1" ht="15" customHeight="1" outlineLevel="1">
      <c r="A525" s="407"/>
      <c r="B525" s="260" t="str">
        <f>B469</f>
        <v>Стоимость услуг по передаче коэфф. "1"</v>
      </c>
      <c r="C525" s="233" t="s">
        <v>212</v>
      </c>
      <c r="D525" s="261">
        <f>D520*D523</f>
        <v>0</v>
      </c>
      <c r="E525" s="451"/>
      <c r="K525" s="453"/>
      <c r="Y525" s="493"/>
    </row>
    <row r="526" spans="1:25" s="452" customFormat="1" ht="15" customHeight="1" outlineLevel="1">
      <c r="A526" s="397"/>
      <c r="B526" s="266" t="str">
        <f>B470</f>
        <v>Объём услуг по передаче э/э "НАСЕЛЕНИЕ" коэфф. "0,7"</v>
      </c>
      <c r="C526" s="267" t="s">
        <v>240</v>
      </c>
      <c r="D526" s="268">
        <v>0</v>
      </c>
      <c r="E526" s="451"/>
      <c r="K526" s="453"/>
      <c r="Y526" s="493"/>
    </row>
    <row r="527" spans="1:25" s="485" customFormat="1" ht="15" customHeight="1" outlineLevel="1">
      <c r="A527" s="401"/>
      <c r="B527" s="402" t="s">
        <v>363</v>
      </c>
      <c r="C527" s="403" t="s">
        <v>240</v>
      </c>
      <c r="D527" s="488">
        <f>D526</f>
        <v>0</v>
      </c>
      <c r="E527" s="484"/>
      <c r="K527" s="486"/>
    </row>
    <row r="528" spans="1:25" s="422" customFormat="1" ht="15" customHeight="1" outlineLevel="1">
      <c r="A528" s="401"/>
      <c r="B528" s="402" t="s">
        <v>364</v>
      </c>
      <c r="C528" s="403" t="s">
        <v>240</v>
      </c>
      <c r="D528" s="488"/>
      <c r="E528" s="421"/>
      <c r="K528" s="423"/>
    </row>
    <row r="529" spans="1:29" s="452" customFormat="1" ht="14.25" outlineLevel="1">
      <c r="A529" s="404"/>
      <c r="B529" s="405" t="s">
        <v>359</v>
      </c>
      <c r="C529" s="406"/>
      <c r="D529" s="490">
        <f>'Шаблон 46 ГП'!G332/1000</f>
        <v>0</v>
      </c>
      <c r="E529" s="451"/>
      <c r="K529" s="453"/>
      <c r="Y529" s="489"/>
    </row>
    <row r="530" spans="1:29" s="452" customFormat="1" ht="14.25" outlineLevel="1">
      <c r="A530" s="404"/>
      <c r="B530" s="405" t="s">
        <v>360</v>
      </c>
      <c r="C530" s="406"/>
      <c r="D530" s="490"/>
      <c r="E530" s="451"/>
      <c r="K530" s="453"/>
      <c r="Y530" s="489"/>
    </row>
    <row r="531" spans="1:29" s="452" customFormat="1" ht="15" customHeight="1" outlineLevel="1">
      <c r="A531" s="397"/>
      <c r="B531" s="266" t="s">
        <v>365</v>
      </c>
      <c r="C531" s="267" t="s">
        <v>212</v>
      </c>
      <c r="D531" s="268">
        <f>D527*D529+D528*D530</f>
        <v>0</v>
      </c>
      <c r="E531" s="451"/>
      <c r="K531" s="453"/>
      <c r="Y531" s="489">
        <f>Y525</f>
        <v>0</v>
      </c>
    </row>
    <row r="532" spans="1:29" s="452" customFormat="1" ht="15" customHeight="1" outlineLevel="1">
      <c r="A532" s="397"/>
      <c r="B532" s="260" t="s">
        <v>366</v>
      </c>
      <c r="C532" s="267" t="s">
        <v>212</v>
      </c>
      <c r="D532" s="268">
        <f>D525+D531</f>
        <v>0</v>
      </c>
      <c r="E532" s="451"/>
      <c r="K532" s="453"/>
      <c r="Y532" s="489"/>
    </row>
    <row r="533" spans="1:29" s="422" customFormat="1" ht="15" customHeight="1" outlineLevel="1">
      <c r="A533" s="372"/>
      <c r="B533" s="399" t="s">
        <v>368</v>
      </c>
      <c r="C533" s="400" t="s">
        <v>212</v>
      </c>
      <c r="D533" s="479">
        <f>D515+D532</f>
        <v>0</v>
      </c>
      <c r="E533" s="268">
        <f t="shared" ref="E533:AC533" si="13">E529*E531+E530*E532</f>
        <v>0</v>
      </c>
      <c r="F533" s="268">
        <f t="shared" si="13"/>
        <v>0</v>
      </c>
      <c r="G533" s="268">
        <f t="shared" si="13"/>
        <v>0</v>
      </c>
      <c r="H533" s="268">
        <f t="shared" si="13"/>
        <v>0</v>
      </c>
      <c r="I533" s="268">
        <f t="shared" si="13"/>
        <v>0</v>
      </c>
      <c r="J533" s="268">
        <f t="shared" si="13"/>
        <v>0</v>
      </c>
      <c r="K533" s="268">
        <f t="shared" si="13"/>
        <v>0</v>
      </c>
      <c r="L533" s="268">
        <f t="shared" si="13"/>
        <v>0</v>
      </c>
      <c r="M533" s="268">
        <f t="shared" si="13"/>
        <v>0</v>
      </c>
      <c r="N533" s="268">
        <f t="shared" si="13"/>
        <v>0</v>
      </c>
      <c r="O533" s="268">
        <f t="shared" si="13"/>
        <v>0</v>
      </c>
      <c r="P533" s="268">
        <f t="shared" si="13"/>
        <v>0</v>
      </c>
      <c r="Q533" s="268">
        <f t="shared" si="13"/>
        <v>0</v>
      </c>
      <c r="R533" s="268">
        <f t="shared" si="13"/>
        <v>0</v>
      </c>
      <c r="S533" s="268">
        <f t="shared" si="13"/>
        <v>0</v>
      </c>
      <c r="T533" s="268">
        <f t="shared" si="13"/>
        <v>0</v>
      </c>
      <c r="U533" s="268">
        <f t="shared" si="13"/>
        <v>0</v>
      </c>
      <c r="V533" s="268">
        <f t="shared" si="13"/>
        <v>0</v>
      </c>
      <c r="W533" s="268">
        <f t="shared" si="13"/>
        <v>0</v>
      </c>
      <c r="X533" s="268">
        <f t="shared" si="13"/>
        <v>0</v>
      </c>
      <c r="Y533" s="268">
        <f t="shared" si="13"/>
        <v>0</v>
      </c>
      <c r="Z533" s="268">
        <f t="shared" si="13"/>
        <v>0</v>
      </c>
      <c r="AA533" s="268">
        <f t="shared" si="13"/>
        <v>0</v>
      </c>
      <c r="AB533" s="268">
        <f t="shared" si="13"/>
        <v>0</v>
      </c>
      <c r="AC533" s="268">
        <f t="shared" si="13"/>
        <v>0</v>
      </c>
    </row>
    <row r="534" spans="1:29" s="485" customFormat="1" ht="15" customHeight="1" outlineLevel="1">
      <c r="A534" s="408"/>
      <c r="B534" s="409"/>
      <c r="C534" s="247"/>
      <c r="D534" s="297"/>
      <c r="E534" s="484"/>
      <c r="K534" s="486"/>
    </row>
    <row r="535" spans="1:29" s="481" customFormat="1" ht="40.15" customHeight="1" outlineLevel="1">
      <c r="A535" s="372"/>
      <c r="B535" s="410" t="s">
        <v>1823</v>
      </c>
      <c r="C535" s="400" t="s">
        <v>240</v>
      </c>
      <c r="D535" s="479">
        <f>D536+D549</f>
        <v>0</v>
      </c>
      <c r="E535" s="491"/>
      <c r="K535" s="482"/>
    </row>
    <row r="536" spans="1:29" s="429" customFormat="1" ht="20.25" customHeight="1" outlineLevel="1">
      <c r="A536" s="397"/>
      <c r="B536" s="266" t="s">
        <v>261</v>
      </c>
      <c r="C536" s="267" t="s">
        <v>240</v>
      </c>
      <c r="D536" s="268">
        <f>D537+D538+D539</f>
        <v>0</v>
      </c>
      <c r="E536" s="431"/>
      <c r="K536" s="430"/>
    </row>
    <row r="537" spans="1:29" s="481" customFormat="1" ht="18" outlineLevel="1">
      <c r="A537" s="384"/>
      <c r="B537" s="234" t="s">
        <v>222</v>
      </c>
      <c r="C537" s="235" t="s">
        <v>240</v>
      </c>
      <c r="D537" s="236"/>
      <c r="E537" s="480" t="e">
        <f>#REF!+#REF!</f>
        <v>#REF!</v>
      </c>
      <c r="K537" s="482"/>
    </row>
    <row r="538" spans="1:29" s="481" customFormat="1" ht="18" outlineLevel="1">
      <c r="A538" s="384"/>
      <c r="B538" s="234" t="s">
        <v>223</v>
      </c>
      <c r="C538" s="235" t="s">
        <v>240</v>
      </c>
      <c r="D538" s="236">
        <f>'Шаблон 46 ГП'!F310/1000000</f>
        <v>0</v>
      </c>
      <c r="E538" s="491"/>
      <c r="K538" s="482"/>
    </row>
    <row r="539" spans="1:29" s="429" customFormat="1" ht="14.25" outlineLevel="1">
      <c r="A539" s="384"/>
      <c r="B539" s="234" t="s">
        <v>224</v>
      </c>
      <c r="C539" s="235" t="s">
        <v>240</v>
      </c>
      <c r="D539" s="236"/>
      <c r="E539" s="431"/>
      <c r="K539" s="430"/>
    </row>
    <row r="540" spans="1:29" s="422" customFormat="1" ht="17.25" customHeight="1">
      <c r="A540" s="397"/>
      <c r="B540" s="266" t="s">
        <v>262</v>
      </c>
      <c r="C540" s="267"/>
      <c r="D540" s="268" t="e">
        <f>D544/D536</f>
        <v>#DIV/0!</v>
      </c>
      <c r="E540" s="421"/>
      <c r="K540" s="423"/>
    </row>
    <row r="541" spans="1:29" s="422" customFormat="1" ht="14.25">
      <c r="A541" s="384"/>
      <c r="B541" s="234" t="s">
        <v>222</v>
      </c>
      <c r="C541" s="235"/>
      <c r="D541" s="236">
        <f>D512</f>
        <v>4.0697000000000001</v>
      </c>
      <c r="E541" s="421"/>
      <c r="K541" s="423"/>
    </row>
    <row r="542" spans="1:29" s="422" customFormat="1" ht="14.25">
      <c r="A542" s="384"/>
      <c r="B542" s="234" t="s">
        <v>223</v>
      </c>
      <c r="C542" s="235"/>
      <c r="D542" s="236">
        <f>D513</f>
        <v>4.3606199999999999</v>
      </c>
      <c r="E542" s="421"/>
      <c r="K542" s="423"/>
    </row>
    <row r="543" spans="1:29" s="425" customFormat="1" ht="14.25" outlineLevel="1">
      <c r="A543" s="384"/>
      <c r="B543" s="234" t="s">
        <v>224</v>
      </c>
      <c r="C543" s="235"/>
      <c r="D543" s="236">
        <f>D514</f>
        <v>4.6002999999999998</v>
      </c>
      <c r="E543" s="306">
        <f t="shared" ref="E543:AC543" si="14">E428*1.11/1000</f>
        <v>0</v>
      </c>
      <c r="F543" s="306">
        <f t="shared" si="14"/>
        <v>0</v>
      </c>
      <c r="G543" s="306">
        <f t="shared" si="14"/>
        <v>0</v>
      </c>
      <c r="H543" s="306">
        <f t="shared" si="14"/>
        <v>0</v>
      </c>
      <c r="I543" s="306">
        <f t="shared" si="14"/>
        <v>0</v>
      </c>
      <c r="J543" s="306">
        <f t="shared" si="14"/>
        <v>0</v>
      </c>
      <c r="K543" s="306">
        <f t="shared" si="14"/>
        <v>0</v>
      </c>
      <c r="L543" s="306">
        <f t="shared" si="14"/>
        <v>0</v>
      </c>
      <c r="M543" s="306">
        <f t="shared" si="14"/>
        <v>0</v>
      </c>
      <c r="N543" s="306">
        <f t="shared" si="14"/>
        <v>0</v>
      </c>
      <c r="O543" s="306">
        <f t="shared" si="14"/>
        <v>0</v>
      </c>
      <c r="P543" s="306">
        <f t="shared" si="14"/>
        <v>0</v>
      </c>
      <c r="Q543" s="306">
        <f t="shared" si="14"/>
        <v>0</v>
      </c>
      <c r="R543" s="306">
        <f t="shared" si="14"/>
        <v>0</v>
      </c>
      <c r="S543" s="306">
        <f t="shared" si="14"/>
        <v>0</v>
      </c>
      <c r="T543" s="306">
        <f t="shared" si="14"/>
        <v>0</v>
      </c>
      <c r="U543" s="306">
        <f t="shared" si="14"/>
        <v>0</v>
      </c>
      <c r="V543" s="306">
        <f t="shared" si="14"/>
        <v>0</v>
      </c>
      <c r="W543" s="306">
        <f t="shared" si="14"/>
        <v>0</v>
      </c>
      <c r="X543" s="306">
        <f t="shared" si="14"/>
        <v>0</v>
      </c>
      <c r="Y543" s="306">
        <f t="shared" si="14"/>
        <v>0</v>
      </c>
      <c r="Z543" s="306">
        <f t="shared" si="14"/>
        <v>0</v>
      </c>
      <c r="AA543" s="306">
        <f t="shared" si="14"/>
        <v>0</v>
      </c>
      <c r="AB543" s="306">
        <f t="shared" si="14"/>
        <v>0</v>
      </c>
      <c r="AC543" s="306">
        <f t="shared" si="14"/>
        <v>0</v>
      </c>
    </row>
    <row r="544" spans="1:29" s="425" customFormat="1" ht="15" customHeight="1" outlineLevel="1">
      <c r="A544" s="397"/>
      <c r="B544" s="266" t="s">
        <v>263</v>
      </c>
      <c r="C544" s="267" t="s">
        <v>212</v>
      </c>
      <c r="D544" s="268">
        <f>D545+D546+D547</f>
        <v>0</v>
      </c>
      <c r="E544" s="424">
        <v>0.29199999999999998</v>
      </c>
      <c r="F544" s="425">
        <v>0.31</v>
      </c>
      <c r="G544" s="494"/>
      <c r="K544" s="426"/>
    </row>
    <row r="545" spans="1:11" s="425" customFormat="1" ht="15" customHeight="1" outlineLevel="1">
      <c r="A545" s="384"/>
      <c r="B545" s="234" t="s">
        <v>222</v>
      </c>
      <c r="C545" s="235" t="s">
        <v>212</v>
      </c>
      <c r="D545" s="236">
        <f>D537*D541</f>
        <v>0</v>
      </c>
      <c r="E545" s="424"/>
      <c r="G545" s="494"/>
      <c r="K545" s="426"/>
    </row>
    <row r="546" spans="1:11" s="425" customFormat="1" ht="15" customHeight="1" outlineLevel="1">
      <c r="A546" s="384"/>
      <c r="B546" s="234" t="s">
        <v>223</v>
      </c>
      <c r="C546" s="235" t="s">
        <v>212</v>
      </c>
      <c r="D546" s="236">
        <f>D538*D542</f>
        <v>0</v>
      </c>
      <c r="E546" s="424"/>
      <c r="G546" s="494"/>
      <c r="K546" s="426"/>
    </row>
    <row r="547" spans="1:11" s="425" customFormat="1" ht="15" customHeight="1" outlineLevel="1">
      <c r="A547" s="384"/>
      <c r="B547" s="234" t="s">
        <v>224</v>
      </c>
      <c r="C547" s="235" t="s">
        <v>212</v>
      </c>
      <c r="D547" s="236">
        <f>D539*D543</f>
        <v>0</v>
      </c>
      <c r="E547" s="424">
        <v>1.6</v>
      </c>
      <c r="F547" s="424">
        <v>1.6</v>
      </c>
      <c r="G547" s="494"/>
      <c r="K547" s="426"/>
    </row>
    <row r="548" spans="1:11" s="425" customFormat="1" ht="15" customHeight="1" outlineLevel="1">
      <c r="A548" s="397"/>
      <c r="B548" s="266" t="s">
        <v>355</v>
      </c>
      <c r="C548" s="267" t="s">
        <v>240</v>
      </c>
      <c r="D548" s="268">
        <f>D535-D536</f>
        <v>0</v>
      </c>
      <c r="E548" s="424"/>
      <c r="K548" s="426"/>
    </row>
    <row r="549" spans="1:11" s="422" customFormat="1" ht="15" customHeight="1">
      <c r="A549" s="397"/>
      <c r="B549" s="266" t="s">
        <v>356</v>
      </c>
      <c r="C549" s="267" t="s">
        <v>240</v>
      </c>
      <c r="D549" s="268">
        <v>0</v>
      </c>
      <c r="E549" s="421"/>
      <c r="K549" s="423"/>
    </row>
    <row r="550" spans="1:11" s="422" customFormat="1" ht="15" customHeight="1" outlineLevel="1">
      <c r="A550" s="401"/>
      <c r="B550" s="402" t="str">
        <f>B521</f>
        <v>Объём услуг по передаче э/э "НАСЕЛЕНИЕ" коэфф. "1" в пределах соц нормы</v>
      </c>
      <c r="C550" s="403" t="s">
        <v>240</v>
      </c>
      <c r="D550" s="488">
        <f>D549</f>
        <v>0</v>
      </c>
      <c r="E550" s="421"/>
      <c r="K550" s="423"/>
    </row>
    <row r="551" spans="1:11" s="422" customFormat="1" ht="15" customHeight="1" outlineLevel="1">
      <c r="A551" s="401"/>
      <c r="B551" s="402" t="str">
        <f>B522</f>
        <v>Объём услуг по передаче э/э "НАСЕЛЕНИЕ" коэфф. "1" сверх соц нормы</v>
      </c>
      <c r="C551" s="403" t="s">
        <v>240</v>
      </c>
      <c r="D551" s="488"/>
      <c r="E551" s="421"/>
      <c r="K551" s="423"/>
    </row>
    <row r="552" spans="1:11" s="2" customFormat="1" ht="15" customHeight="1">
      <c r="A552" s="404"/>
      <c r="B552" s="405" t="s">
        <v>359</v>
      </c>
      <c r="C552" s="406"/>
      <c r="D552" s="490">
        <f>D523</f>
        <v>0</v>
      </c>
      <c r="E552" s="314"/>
      <c r="K552" s="495"/>
    </row>
    <row r="553" spans="1:11" s="422" customFormat="1" ht="15" hidden="1" customHeight="1">
      <c r="A553" s="404"/>
      <c r="B553" s="405" t="s">
        <v>360</v>
      </c>
      <c r="C553" s="406"/>
      <c r="D553" s="490"/>
      <c r="E553" s="421"/>
      <c r="K553" s="423"/>
    </row>
    <row r="554" spans="1:11" s="497" customFormat="1" ht="15" hidden="1" customHeight="1">
      <c r="A554" s="407"/>
      <c r="B554" s="260" t="str">
        <f>B525</f>
        <v>Стоимость услуг по передаче коэфф. "1"</v>
      </c>
      <c r="C554" s="233" t="s">
        <v>212</v>
      </c>
      <c r="D554" s="261">
        <f>D549*D552</f>
        <v>0</v>
      </c>
      <c r="E554" s="496"/>
      <c r="K554" s="498"/>
    </row>
    <row r="555" spans="1:11" s="422" customFormat="1" ht="15" hidden="1" customHeight="1">
      <c r="A555" s="397"/>
      <c r="B555" s="266" t="s">
        <v>362</v>
      </c>
      <c r="C555" s="267" t="s">
        <v>240</v>
      </c>
      <c r="D555" s="268">
        <v>0</v>
      </c>
      <c r="E555" s="421"/>
      <c r="K555" s="423"/>
    </row>
    <row r="556" spans="1:11" s="422" customFormat="1" ht="15" hidden="1" customHeight="1">
      <c r="A556" s="401"/>
      <c r="B556" s="402" t="s">
        <v>363</v>
      </c>
      <c r="C556" s="403" t="s">
        <v>240</v>
      </c>
      <c r="D556" s="488">
        <f>D555</f>
        <v>0</v>
      </c>
      <c r="E556" s="421"/>
      <c r="K556" s="423"/>
    </row>
    <row r="557" spans="1:11" ht="33" customHeight="1">
      <c r="A557" s="401"/>
      <c r="B557" s="402" t="s">
        <v>364</v>
      </c>
      <c r="C557" s="403" t="s">
        <v>240</v>
      </c>
      <c r="D557" s="488"/>
      <c r="E557" s="227"/>
    </row>
    <row r="558" spans="1:11" ht="15" customHeight="1">
      <c r="A558" s="404"/>
      <c r="B558" s="405" t="s">
        <v>359</v>
      </c>
      <c r="C558" s="406"/>
      <c r="D558" s="490">
        <f>D529</f>
        <v>0</v>
      </c>
      <c r="E558" s="227"/>
    </row>
    <row r="559" spans="1:11" ht="15" customHeight="1">
      <c r="A559" s="404"/>
      <c r="B559" s="405" t="s">
        <v>360</v>
      </c>
      <c r="C559" s="406"/>
      <c r="D559" s="490"/>
      <c r="E559" s="227"/>
    </row>
    <row r="560" spans="1:11" ht="15" customHeight="1">
      <c r="A560" s="397"/>
      <c r="B560" s="266" t="s">
        <v>365</v>
      </c>
      <c r="C560" s="267" t="s">
        <v>212</v>
      </c>
      <c r="D560" s="268">
        <f>D556*D558+D557*D559</f>
        <v>0</v>
      </c>
      <c r="E560" s="227"/>
    </row>
    <row r="561" spans="1:24" ht="15" customHeight="1">
      <c r="A561" s="407"/>
      <c r="B561" s="260" t="s">
        <v>366</v>
      </c>
      <c r="C561" s="233" t="s">
        <v>212</v>
      </c>
      <c r="D561" s="261">
        <f>D554+D560</f>
        <v>0</v>
      </c>
      <c r="E561" s="227"/>
    </row>
    <row r="562" spans="1:24" ht="15" customHeight="1">
      <c r="A562" s="372"/>
      <c r="B562" s="410" t="s">
        <v>369</v>
      </c>
      <c r="C562" s="400" t="s">
        <v>212</v>
      </c>
      <c r="D562" s="479">
        <f>D544+D561</f>
        <v>0</v>
      </c>
      <c r="E562" s="315">
        <f t="shared" ref="E562:X562" si="15">E443+E560</f>
        <v>0</v>
      </c>
      <c r="F562" s="315">
        <f t="shared" si="15"/>
        <v>0</v>
      </c>
      <c r="G562" s="315">
        <f t="shared" si="15"/>
        <v>0</v>
      </c>
      <c r="H562" s="315">
        <f t="shared" si="15"/>
        <v>0</v>
      </c>
      <c r="I562" s="315">
        <f t="shared" si="15"/>
        <v>0</v>
      </c>
      <c r="J562" s="315">
        <f t="shared" si="15"/>
        <v>0</v>
      </c>
      <c r="K562" s="315">
        <f t="shared" si="15"/>
        <v>0</v>
      </c>
      <c r="L562" s="315">
        <f t="shared" si="15"/>
        <v>0</v>
      </c>
      <c r="M562" s="315">
        <f t="shared" si="15"/>
        <v>0</v>
      </c>
      <c r="N562" s="315">
        <f t="shared" si="15"/>
        <v>0</v>
      </c>
      <c r="O562" s="315">
        <f t="shared" si="15"/>
        <v>0</v>
      </c>
      <c r="P562" s="315">
        <f t="shared" si="15"/>
        <v>0</v>
      </c>
      <c r="Q562" s="315">
        <f t="shared" si="15"/>
        <v>0</v>
      </c>
      <c r="R562" s="315">
        <f t="shared" si="15"/>
        <v>0</v>
      </c>
      <c r="S562" s="315">
        <f t="shared" si="15"/>
        <v>0</v>
      </c>
      <c r="T562" s="315">
        <f t="shared" si="15"/>
        <v>0</v>
      </c>
      <c r="U562" s="315">
        <f t="shared" si="15"/>
        <v>0</v>
      </c>
      <c r="V562" s="315">
        <f t="shared" si="15"/>
        <v>0</v>
      </c>
      <c r="W562" s="315">
        <f t="shared" si="15"/>
        <v>0</v>
      </c>
      <c r="X562" s="315">
        <f t="shared" si="15"/>
        <v>0</v>
      </c>
    </row>
    <row r="563" spans="1:24" ht="15" customHeight="1">
      <c r="A563" s="408"/>
      <c r="B563" s="409"/>
      <c r="C563" s="247"/>
      <c r="D563" s="297"/>
      <c r="E563" s="227"/>
    </row>
    <row r="564" spans="1:24" ht="15" customHeight="1">
      <c r="A564" s="372"/>
      <c r="B564" s="399" t="s">
        <v>370</v>
      </c>
      <c r="C564" s="400" t="s">
        <v>240</v>
      </c>
      <c r="D564" s="479">
        <f>D449+D506+D535</f>
        <v>55.312284999999996</v>
      </c>
    </row>
    <row r="565" spans="1:24" s="500" customFormat="1" ht="15" customHeight="1" outlineLevel="1">
      <c r="A565" s="372"/>
      <c r="B565" s="399" t="s">
        <v>371</v>
      </c>
      <c r="C565" s="400" t="s">
        <v>212</v>
      </c>
      <c r="D565" s="479">
        <f>D504+D533+D562</f>
        <v>127.51447548999998</v>
      </c>
      <c r="E565" s="499"/>
      <c r="K565" s="464"/>
    </row>
    <row r="566" spans="1:24" s="500" customFormat="1" ht="15" customHeight="1" outlineLevel="1">
      <c r="A566" s="408"/>
      <c r="B566" s="409"/>
      <c r="C566" s="247"/>
      <c r="D566" s="297"/>
      <c r="E566" s="499"/>
      <c r="K566" s="464"/>
    </row>
    <row r="567" spans="1:24" s="502" customFormat="1" ht="15" customHeight="1" outlineLevel="1">
      <c r="A567" s="372" t="s">
        <v>372</v>
      </c>
      <c r="B567" s="260" t="s">
        <v>265</v>
      </c>
      <c r="C567" s="267" t="s">
        <v>212</v>
      </c>
      <c r="D567" s="268">
        <v>11</v>
      </c>
      <c r="E567" s="501"/>
      <c r="K567" s="503"/>
    </row>
    <row r="568" spans="1:24" s="502" customFormat="1" ht="15" customHeight="1" outlineLevel="1">
      <c r="A568" s="411"/>
      <c r="B568" s="298" t="s">
        <v>266</v>
      </c>
      <c r="C568" s="299"/>
      <c r="D568" s="300">
        <v>0</v>
      </c>
      <c r="E568" s="501"/>
      <c r="K568" s="503"/>
    </row>
    <row r="569" spans="1:24" s="502" customFormat="1" ht="15" customHeight="1" outlineLevel="1" thickBot="1">
      <c r="A569" s="372" t="s">
        <v>373</v>
      </c>
      <c r="B569" s="301" t="s">
        <v>267</v>
      </c>
      <c r="C569" s="302" t="s">
        <v>212</v>
      </c>
      <c r="D569" s="303">
        <f>D570+D571+D572+D573+D574+D575</f>
        <v>0.23392599690399996</v>
      </c>
      <c r="E569" s="501"/>
      <c r="K569" s="503"/>
    </row>
    <row r="570" spans="1:24" s="506" customFormat="1" ht="14.25" outlineLevel="1">
      <c r="A570" s="412"/>
      <c r="B570" s="304" t="s">
        <v>268</v>
      </c>
      <c r="C570" s="305" t="s">
        <v>212</v>
      </c>
      <c r="D570" s="306">
        <f>D428*1.103/1000</f>
        <v>6.3069672359999995E-2</v>
      </c>
      <c r="E570" s="504"/>
      <c r="F570" s="505"/>
      <c r="K570" s="507"/>
    </row>
    <row r="571" spans="1:24" s="506" customFormat="1" ht="14.25" outlineLevel="1">
      <c r="A571" s="373"/>
      <c r="B571" s="307" t="s">
        <v>269</v>
      </c>
      <c r="C571" s="235" t="s">
        <v>212</v>
      </c>
      <c r="D571" s="236">
        <f>0.31*D428/1000</f>
        <v>1.77258372E-2</v>
      </c>
      <c r="E571" s="504"/>
      <c r="F571" s="505"/>
      <c r="K571" s="507"/>
    </row>
    <row r="572" spans="1:24" s="506" customFormat="1" ht="14.25" outlineLevel="1">
      <c r="A572" s="373"/>
      <c r="B572" s="307" t="s">
        <v>270</v>
      </c>
      <c r="C572" s="235" t="s">
        <v>212</v>
      </c>
      <c r="D572" s="236"/>
      <c r="E572" s="504"/>
      <c r="F572" s="505"/>
      <c r="K572" s="507"/>
    </row>
    <row r="573" spans="1:24" s="506" customFormat="1" ht="14.25" outlineLevel="1">
      <c r="A573" s="373"/>
      <c r="B573" s="307" t="s">
        <v>271</v>
      </c>
      <c r="C573" s="235" t="s">
        <v>212</v>
      </c>
      <c r="D573" s="236">
        <v>0</v>
      </c>
      <c r="E573" s="504"/>
      <c r="F573" s="505"/>
      <c r="K573" s="507"/>
    </row>
    <row r="574" spans="1:24" s="506" customFormat="1" ht="14.25" outlineLevel="1">
      <c r="A574" s="373"/>
      <c r="B574" s="307" t="s">
        <v>272</v>
      </c>
      <c r="C574" s="235" t="s">
        <v>212</v>
      </c>
      <c r="D574" s="236">
        <v>0.13533388734399998</v>
      </c>
      <c r="E574" s="504"/>
      <c r="F574" s="505"/>
      <c r="K574" s="507"/>
    </row>
    <row r="575" spans="1:24" s="510" customFormat="1" ht="14.25" outlineLevel="1">
      <c r="A575" s="373"/>
      <c r="B575" s="307" t="s">
        <v>273</v>
      </c>
      <c r="C575" s="235" t="s">
        <v>212</v>
      </c>
      <c r="D575" s="236">
        <v>1.7796600000000003E-2</v>
      </c>
      <c r="E575" s="508"/>
      <c r="F575" s="509"/>
      <c r="K575" s="511"/>
    </row>
    <row r="576" spans="1:24" s="510" customFormat="1" ht="15.75" customHeight="1" outlineLevel="1">
      <c r="A576" s="372" t="s">
        <v>374</v>
      </c>
      <c r="B576" s="266" t="s">
        <v>274</v>
      </c>
      <c r="C576" s="267"/>
      <c r="D576" s="268"/>
      <c r="E576" s="508"/>
      <c r="F576" s="509"/>
      <c r="K576" s="511"/>
    </row>
    <row r="577" spans="1:11" s="510" customFormat="1" ht="15" customHeight="1" outlineLevel="1">
      <c r="A577" s="384"/>
      <c r="B577" s="307" t="s">
        <v>275</v>
      </c>
      <c r="C577" s="235" t="s">
        <v>276</v>
      </c>
      <c r="D577" s="308"/>
      <c r="E577" s="508"/>
      <c r="F577" s="509"/>
      <c r="K577" s="511"/>
    </row>
    <row r="578" spans="1:11" s="510" customFormat="1" ht="15" customHeight="1" outlineLevel="1" thickBot="1">
      <c r="A578" s="413"/>
      <c r="B578" s="309" t="s">
        <v>277</v>
      </c>
      <c r="C578" s="310" t="s">
        <v>276</v>
      </c>
      <c r="D578" s="311"/>
      <c r="E578" s="508"/>
      <c r="F578" s="509"/>
      <c r="K578" s="511"/>
    </row>
    <row r="579" spans="1:11" s="510" customFormat="1" ht="15" customHeight="1" outlineLevel="1" thickBot="1">
      <c r="A579" s="372" t="s">
        <v>375</v>
      </c>
      <c r="B579" s="312" t="s">
        <v>278</v>
      </c>
      <c r="C579" s="313" t="s">
        <v>212</v>
      </c>
      <c r="D579" s="303">
        <f>D12-D441-D565-D567-D569</f>
        <v>136.59930446945341</v>
      </c>
      <c r="E579" s="508"/>
      <c r="F579" s="509"/>
      <c r="K579" s="511"/>
    </row>
    <row r="580" spans="1:11" ht="15" customHeight="1"/>
    <row r="581" spans="1:11" ht="15" customHeight="1"/>
    <row r="582" spans="1:11" ht="15" customHeight="1"/>
    <row r="583" spans="1:11" ht="15" customHeight="1"/>
    <row r="584" spans="1:11" ht="15" customHeight="1"/>
    <row r="585" spans="1:11" ht="15" customHeight="1"/>
    <row r="586" spans="1:11" ht="15" customHeight="1"/>
    <row r="587" spans="1:11" ht="15" customHeight="1"/>
    <row r="588" spans="1:11" ht="15" customHeight="1"/>
    <row r="589" spans="1:11" ht="15" customHeight="1"/>
    <row r="590" spans="1:11" ht="15" customHeight="1"/>
    <row r="591" spans="1:11" ht="15" customHeight="1"/>
    <row r="592" spans="1:11" ht="15" customHeight="1"/>
    <row r="593" spans="4:4" ht="15" customHeight="1"/>
    <row r="594" spans="4:4" ht="15" customHeight="1">
      <c r="D594" s="512"/>
    </row>
    <row r="595" spans="4:4" ht="15" customHeight="1"/>
    <row r="596" spans="4:4" ht="15" customHeight="1"/>
    <row r="597" spans="4:4" ht="15" customHeight="1"/>
    <row r="598" spans="4:4" ht="15" customHeight="1"/>
    <row r="599" spans="4:4" ht="15" customHeight="1"/>
    <row r="600" spans="4:4" ht="15" customHeight="1"/>
    <row r="601" spans="4:4" ht="15" customHeight="1"/>
    <row r="602" spans="4:4" ht="15" customHeight="1"/>
    <row r="603" spans="4:4" ht="15" customHeight="1"/>
    <row r="604" spans="4:4" ht="15" customHeight="1"/>
    <row r="605" spans="4:4" ht="15" customHeight="1"/>
    <row r="606" spans="4:4" ht="15" customHeight="1"/>
    <row r="607" spans="4:4" ht="15" customHeight="1"/>
    <row r="608" spans="4:4" ht="15" customHeight="1"/>
    <row r="609" spans="4:4" ht="15" customHeight="1"/>
    <row r="610" spans="4:4" ht="15" customHeight="1"/>
    <row r="611" spans="4:4" ht="15" customHeight="1"/>
    <row r="612" spans="4:4" ht="15" customHeight="1"/>
    <row r="613" spans="4:4" ht="15" customHeight="1"/>
    <row r="614" spans="4:4" ht="15" customHeight="1"/>
    <row r="615" spans="4:4" ht="15" customHeight="1"/>
    <row r="616" spans="4:4" ht="15" customHeight="1"/>
    <row r="617" spans="4:4" ht="15" customHeight="1"/>
    <row r="618" spans="4:4" ht="15" customHeight="1"/>
    <row r="619" spans="4:4" ht="15" customHeight="1"/>
    <row r="620" spans="4:4" ht="15" customHeight="1"/>
    <row r="621" spans="4:4" ht="15" customHeight="1"/>
    <row r="622" spans="4:4" ht="15" customHeight="1"/>
    <row r="623" spans="4:4" ht="15" customHeight="1"/>
    <row r="624" spans="4:4" ht="15" customHeight="1">
      <c r="D624" s="512"/>
    </row>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spans="4:4" ht="15" customHeight="1"/>
    <row r="674" spans="4:4" ht="15" customHeight="1"/>
    <row r="675" spans="4:4" ht="15" customHeight="1"/>
    <row r="676" spans="4:4" ht="15" customHeight="1"/>
    <row r="677" spans="4:4" ht="15" customHeight="1"/>
    <row r="678" spans="4:4" ht="15" customHeight="1">
      <c r="D678" s="512" t="e">
        <f>D441+D538+D540+D542</f>
        <v>#DIV/0!</v>
      </c>
    </row>
    <row r="679" spans="4:4" ht="15" customHeight="1">
      <c r="D679">
        <v>5</v>
      </c>
    </row>
    <row r="680" spans="4:4" ht="15" customHeight="1">
      <c r="D680" s="512" t="e">
        <f>D678+D679</f>
        <v>#DIV/0!</v>
      </c>
    </row>
    <row r="681" spans="4:4" ht="15" customHeight="1"/>
    <row r="682" spans="4:4" ht="15" customHeight="1">
      <c r="D682" s="512" t="e">
        <f>D680-D54-D138</f>
        <v>#DIV/0!</v>
      </c>
    </row>
    <row r="683" spans="4:4" ht="15" customHeight="1">
      <c r="D683" s="513">
        <v>184.12868767309337</v>
      </c>
    </row>
    <row r="684" spans="4:4" ht="15" customHeight="1">
      <c r="D684" s="513">
        <v>184.12868767309337</v>
      </c>
    </row>
    <row r="685" spans="4:4" ht="15" customHeight="1">
      <c r="D685" s="512"/>
    </row>
    <row r="686" spans="4:4" ht="15" customHeight="1">
      <c r="D686" s="512">
        <v>180.50091200000003</v>
      </c>
    </row>
    <row r="687" spans="4:4" ht="15" customHeight="1">
      <c r="D687" s="512">
        <v>180.50091200000003</v>
      </c>
    </row>
    <row r="688" spans="4:4" ht="15" customHeight="1">
      <c r="D688" s="512">
        <v>180.50091200000003</v>
      </c>
    </row>
    <row r="689" spans="1:20" ht="15" customHeight="1">
      <c r="D689" s="512"/>
    </row>
    <row r="690" spans="1:20" ht="15" customHeight="1">
      <c r="D690" s="512"/>
    </row>
    <row r="691" spans="1:20" ht="15" customHeight="1">
      <c r="D691" s="512"/>
    </row>
    <row r="692" spans="1:20" ht="15" customHeight="1"/>
    <row r="693" spans="1:20" s="422" customFormat="1" ht="15" customHeight="1">
      <c r="A693" s="375"/>
      <c r="B693" s="245" t="s">
        <v>221</v>
      </c>
      <c r="C693" s="243" t="s">
        <v>212</v>
      </c>
      <c r="D693" s="244" t="e">
        <f>D694+D698</f>
        <v>#DIV/0!</v>
      </c>
      <c r="E693" s="421"/>
      <c r="K693" s="423"/>
      <c r="L693"/>
      <c r="M693"/>
      <c r="N693"/>
      <c r="T693"/>
    </row>
    <row r="694" spans="1:20" s="429" customFormat="1" ht="15" customHeight="1" outlineLevel="1">
      <c r="A694" s="376"/>
      <c r="B694" s="246" t="s">
        <v>156</v>
      </c>
      <c r="C694" s="247"/>
      <c r="D694" s="248" t="e">
        <f>D695+D696+D697</f>
        <v>#DIV/0!</v>
      </c>
      <c r="E694" s="428"/>
      <c r="K694" s="430"/>
      <c r="L694"/>
      <c r="M694"/>
      <c r="N694"/>
      <c r="T694"/>
    </row>
    <row r="695" spans="1:20" s="429" customFormat="1" ht="15" customHeight="1" outlineLevel="1">
      <c r="A695" s="376"/>
      <c r="B695" s="249" t="s">
        <v>222</v>
      </c>
      <c r="C695" s="250" t="s">
        <v>212</v>
      </c>
      <c r="D695" s="251" t="e">
        <f>ROUND(D24/D686*D682,6)</f>
        <v>#DIV/0!</v>
      </c>
      <c r="E695" s="428"/>
      <c r="K695" s="430"/>
      <c r="L695"/>
      <c r="M695"/>
      <c r="N695"/>
      <c r="T695"/>
    </row>
    <row r="696" spans="1:20" s="429" customFormat="1" ht="15" customHeight="1" outlineLevel="1">
      <c r="A696" s="376"/>
      <c r="B696" s="249" t="s">
        <v>223</v>
      </c>
      <c r="C696" s="250" t="s">
        <v>212</v>
      </c>
      <c r="D696" s="251">
        <f>ROUND(D25/D687*D683,6)</f>
        <v>111.57132</v>
      </c>
      <c r="E696" s="428"/>
      <c r="K696" s="430"/>
      <c r="L696"/>
      <c r="M696"/>
      <c r="N696"/>
      <c r="T696"/>
    </row>
    <row r="697" spans="1:20" s="429" customFormat="1" ht="15" customHeight="1" outlineLevel="1">
      <c r="A697" s="376"/>
      <c r="B697" s="249" t="s">
        <v>224</v>
      </c>
      <c r="C697" s="250" t="s">
        <v>212</v>
      </c>
      <c r="D697" s="251">
        <f>ROUND(D26/D688*D684,6)</f>
        <v>65.338487999999998</v>
      </c>
      <c r="E697" s="431"/>
      <c r="K697" s="430"/>
      <c r="L697"/>
      <c r="M697"/>
      <c r="N697"/>
      <c r="T697"/>
    </row>
    <row r="698" spans="1:20" s="429" customFormat="1" ht="15" customHeight="1" outlineLevel="1">
      <c r="A698" s="376"/>
      <c r="B698" s="246" t="s">
        <v>225</v>
      </c>
      <c r="C698" s="247"/>
      <c r="D698" s="248" t="e">
        <f>D699+D700+D701</f>
        <v>#DIV/0!</v>
      </c>
      <c r="E698" s="431"/>
      <c r="K698" s="430"/>
      <c r="L698"/>
      <c r="M698"/>
      <c r="N698"/>
      <c r="T698"/>
    </row>
    <row r="699" spans="1:20" s="429" customFormat="1" ht="15" customHeight="1" outlineLevel="1">
      <c r="A699" s="376"/>
      <c r="B699" s="249" t="s">
        <v>222</v>
      </c>
      <c r="C699" s="250" t="s">
        <v>212</v>
      </c>
      <c r="D699" s="251" t="e">
        <f>ROUND(D28/D686*D682,6)</f>
        <v>#DIV/0!</v>
      </c>
      <c r="E699" s="431"/>
      <c r="K699" s="430"/>
      <c r="L699"/>
      <c r="M699"/>
      <c r="N699"/>
      <c r="T699"/>
    </row>
    <row r="700" spans="1:20" s="429" customFormat="1" ht="15" customHeight="1" outlineLevel="1">
      <c r="A700" s="376"/>
      <c r="B700" s="249" t="s">
        <v>223</v>
      </c>
      <c r="C700" s="250" t="s">
        <v>212</v>
      </c>
      <c r="D700" s="251">
        <f>ROUND(D29/D687*D683,6)</f>
        <v>0</v>
      </c>
      <c r="E700" s="431"/>
      <c r="K700" s="430"/>
      <c r="L700"/>
      <c r="M700"/>
      <c r="N700"/>
      <c r="T700"/>
    </row>
    <row r="701" spans="1:20" s="429" customFormat="1" ht="15" customHeight="1" outlineLevel="1">
      <c r="A701" s="376"/>
      <c r="B701" s="249" t="s">
        <v>224</v>
      </c>
      <c r="C701" s="250" t="s">
        <v>212</v>
      </c>
      <c r="D701" s="251">
        <f>ROUND(D30/D688*D684,6)</f>
        <v>0</v>
      </c>
      <c r="E701" s="431"/>
      <c r="K701" s="430"/>
      <c r="L701"/>
      <c r="M701"/>
      <c r="N701"/>
      <c r="T701"/>
    </row>
    <row r="702" spans="1:20" s="422" customFormat="1" ht="15" customHeight="1">
      <c r="A702" s="375"/>
      <c r="B702" s="245" t="s">
        <v>227</v>
      </c>
      <c r="C702" s="243" t="s">
        <v>212</v>
      </c>
      <c r="D702" s="244" t="e">
        <f>D703+D707+D711</f>
        <v>#DIV/0!</v>
      </c>
      <c r="E702" s="421"/>
      <c r="K702" s="423"/>
      <c r="L702"/>
      <c r="M702"/>
      <c r="N702"/>
      <c r="T702"/>
    </row>
    <row r="703" spans="1:20" s="429" customFormat="1" ht="14.25" customHeight="1" outlineLevel="1">
      <c r="A703" s="376"/>
      <c r="B703" s="246" t="s">
        <v>156</v>
      </c>
      <c r="C703" s="247"/>
      <c r="D703" s="248" t="e">
        <f>D704+D705+D706</f>
        <v>#DIV/0!</v>
      </c>
      <c r="E703" s="431"/>
      <c r="K703" s="430"/>
      <c r="L703"/>
      <c r="M703"/>
      <c r="N703"/>
      <c r="T703"/>
    </row>
    <row r="704" spans="1:20" s="429" customFormat="1" ht="15" customHeight="1" outlineLevel="1">
      <c r="A704" s="376"/>
      <c r="B704" s="249" t="s">
        <v>222</v>
      </c>
      <c r="C704" s="250" t="s">
        <v>212</v>
      </c>
      <c r="D704" s="251"/>
      <c r="E704" s="431"/>
      <c r="K704" s="430"/>
      <c r="L704"/>
      <c r="M704"/>
      <c r="N704"/>
      <c r="T704"/>
    </row>
    <row r="705" spans="1:20" s="429" customFormat="1" ht="15" customHeight="1" outlineLevel="1">
      <c r="A705" s="376"/>
      <c r="B705" s="249" t="s">
        <v>223</v>
      </c>
      <c r="C705" s="250" t="s">
        <v>212</v>
      </c>
      <c r="D705" s="251" t="e">
        <f>ROUND(D34/D686*D682,6)</f>
        <v>#DIV/0!</v>
      </c>
      <c r="E705" s="431"/>
      <c r="K705" s="430"/>
      <c r="L705"/>
      <c r="M705"/>
      <c r="N705"/>
      <c r="T705"/>
    </row>
    <row r="706" spans="1:20" s="429" customFormat="1" ht="15" customHeight="1" outlineLevel="1">
      <c r="A706" s="376"/>
      <c r="B706" s="249" t="s">
        <v>224</v>
      </c>
      <c r="C706" s="250" t="s">
        <v>212</v>
      </c>
      <c r="D706" s="251">
        <f>ROUND(D35/D687*D683,6)</f>
        <v>2.9818000000000001E-2</v>
      </c>
      <c r="E706" s="431"/>
      <c r="K706" s="430"/>
      <c r="L706"/>
      <c r="M706"/>
      <c r="N706"/>
      <c r="T706"/>
    </row>
    <row r="707" spans="1:20" s="429" customFormat="1" ht="15" customHeight="1" outlineLevel="1">
      <c r="A707" s="376"/>
      <c r="B707" s="246" t="s">
        <v>225</v>
      </c>
      <c r="C707" s="247"/>
      <c r="D707" s="248">
        <f>D708+D709+D710</f>
        <v>0</v>
      </c>
      <c r="E707" s="431"/>
      <c r="K707" s="430"/>
      <c r="L707"/>
      <c r="M707"/>
      <c r="N707"/>
      <c r="T707"/>
    </row>
    <row r="708" spans="1:20" s="429" customFormat="1" ht="15" customHeight="1" outlineLevel="1">
      <c r="A708" s="376"/>
      <c r="B708" s="249" t="s">
        <v>222</v>
      </c>
      <c r="C708" s="250" t="s">
        <v>212</v>
      </c>
      <c r="D708" s="251"/>
      <c r="E708" s="431"/>
      <c r="K708" s="430"/>
      <c r="L708"/>
      <c r="M708"/>
      <c r="N708"/>
      <c r="T708"/>
    </row>
    <row r="709" spans="1:20" s="429" customFormat="1" ht="15" customHeight="1" outlineLevel="1">
      <c r="A709" s="376"/>
      <c r="B709" s="249" t="s">
        <v>223</v>
      </c>
      <c r="C709" s="250" t="s">
        <v>212</v>
      </c>
      <c r="D709" s="251"/>
      <c r="E709" s="431"/>
      <c r="K709" s="430"/>
      <c r="L709"/>
      <c r="M709"/>
      <c r="N709"/>
      <c r="T709"/>
    </row>
    <row r="710" spans="1:20" s="429" customFormat="1" ht="15" customHeight="1" outlineLevel="1">
      <c r="A710" s="376"/>
      <c r="B710" s="249" t="s">
        <v>224</v>
      </c>
      <c r="C710" s="250" t="s">
        <v>212</v>
      </c>
      <c r="D710" s="251"/>
      <c r="E710" s="431"/>
      <c r="K710" s="430"/>
      <c r="L710"/>
      <c r="M710"/>
      <c r="N710"/>
      <c r="T710"/>
    </row>
    <row r="711" spans="1:20" s="429" customFormat="1" ht="15" customHeight="1" outlineLevel="1">
      <c r="A711" s="376"/>
      <c r="B711" s="252" t="s">
        <v>226</v>
      </c>
      <c r="C711" s="253"/>
      <c r="D711" s="248">
        <f>D712+D713+D714</f>
        <v>0</v>
      </c>
      <c r="E711" s="431"/>
      <c r="K711" s="430"/>
      <c r="L711"/>
      <c r="M711"/>
      <c r="N711"/>
      <c r="T711"/>
    </row>
    <row r="712" spans="1:20" s="429" customFormat="1" ht="15" customHeight="1" outlineLevel="1">
      <c r="A712" s="376"/>
      <c r="B712" s="249" t="s">
        <v>222</v>
      </c>
      <c r="C712" s="250" t="s">
        <v>212</v>
      </c>
      <c r="D712" s="251"/>
      <c r="E712" s="431"/>
      <c r="K712" s="430"/>
      <c r="L712"/>
      <c r="M712"/>
      <c r="N712"/>
      <c r="T712"/>
    </row>
    <row r="713" spans="1:20" s="429" customFormat="1" ht="15" customHeight="1" outlineLevel="1">
      <c r="A713" s="376"/>
      <c r="B713" s="249" t="s">
        <v>223</v>
      </c>
      <c r="C713" s="250" t="s">
        <v>212</v>
      </c>
      <c r="D713" s="251"/>
      <c r="E713" s="431"/>
      <c r="K713" s="430"/>
      <c r="L713"/>
      <c r="M713"/>
      <c r="N713"/>
      <c r="T713"/>
    </row>
    <row r="714" spans="1:20" s="429" customFormat="1" ht="15" customHeight="1" outlineLevel="1">
      <c r="A714" s="376"/>
      <c r="B714" s="249" t="s">
        <v>224</v>
      </c>
      <c r="C714" s="250" t="s">
        <v>212</v>
      </c>
      <c r="D714" s="251"/>
      <c r="E714" s="431"/>
      <c r="K714" s="430"/>
      <c r="L714"/>
      <c r="M714"/>
      <c r="N714"/>
      <c r="T714"/>
    </row>
    <row r="715" spans="1:20" s="422" customFormat="1" ht="15" customHeight="1">
      <c r="A715" s="375"/>
      <c r="B715" s="245" t="s">
        <v>340</v>
      </c>
      <c r="C715" s="243" t="s">
        <v>212</v>
      </c>
      <c r="D715" s="244" t="e">
        <f>D716</f>
        <v>#DIV/0!</v>
      </c>
      <c r="E715" s="421"/>
      <c r="K715" s="423"/>
      <c r="L715"/>
      <c r="M715"/>
      <c r="N715"/>
      <c r="T715"/>
    </row>
    <row r="716" spans="1:20" s="429" customFormat="1" ht="15" customHeight="1" outlineLevel="1">
      <c r="A716" s="376"/>
      <c r="B716" s="246" t="s">
        <v>226</v>
      </c>
      <c r="C716" s="247"/>
      <c r="D716" s="248" t="e">
        <f>D717+D718+D719</f>
        <v>#DIV/0!</v>
      </c>
      <c r="E716" s="431"/>
      <c r="K716" s="430"/>
      <c r="L716"/>
      <c r="M716"/>
      <c r="N716"/>
      <c r="T716"/>
    </row>
    <row r="717" spans="1:20" s="429" customFormat="1" ht="15" customHeight="1" outlineLevel="1">
      <c r="A717" s="376"/>
      <c r="B717" s="249" t="s">
        <v>222</v>
      </c>
      <c r="C717" s="250" t="s">
        <v>212</v>
      </c>
      <c r="D717" s="251" t="e">
        <f>ROUND(D46/D686*D682,6)</f>
        <v>#DIV/0!</v>
      </c>
      <c r="E717" s="431"/>
      <c r="K717" s="430"/>
      <c r="L717"/>
      <c r="M717"/>
      <c r="N717"/>
      <c r="T717"/>
    </row>
    <row r="718" spans="1:20" s="429" customFormat="1" ht="15" customHeight="1" outlineLevel="1">
      <c r="A718" s="376"/>
      <c r="B718" s="249" t="s">
        <v>223</v>
      </c>
      <c r="C718" s="250" t="s">
        <v>212</v>
      </c>
      <c r="D718" s="251">
        <f>ROUND(D47/D687*D683,6)</f>
        <v>38.684277999999999</v>
      </c>
      <c r="E718" s="431"/>
      <c r="K718" s="430"/>
      <c r="L718"/>
      <c r="M718"/>
      <c r="N718"/>
      <c r="T718"/>
    </row>
    <row r="719" spans="1:20" s="429" customFormat="1" ht="15" customHeight="1" outlineLevel="1">
      <c r="A719" s="376"/>
      <c r="B719" s="249" t="s">
        <v>224</v>
      </c>
      <c r="C719" s="250" t="s">
        <v>212</v>
      </c>
      <c r="D719" s="251">
        <f>ROUND(D48/D688*D684,6)</f>
        <v>0.155194</v>
      </c>
      <c r="E719" s="431"/>
      <c r="K719" s="430"/>
      <c r="L719"/>
      <c r="M719"/>
      <c r="N719"/>
      <c r="T719"/>
    </row>
    <row r="720" spans="1:20" ht="15" customHeight="1"/>
    <row r="721" spans="4:4" ht="15" customHeight="1"/>
    <row r="722" spans="4:4" ht="15" customHeight="1">
      <c r="D722" s="512"/>
    </row>
    <row r="723" spans="4:4" ht="15" customHeight="1">
      <c r="D723" s="512" t="e">
        <f>D693+D702+D715</f>
        <v>#DIV/0!</v>
      </c>
    </row>
    <row r="724" spans="4:4" ht="15" customHeight="1"/>
    <row r="725" spans="4:4" ht="15" customHeight="1"/>
    <row r="726" spans="4:4" ht="15" customHeight="1"/>
    <row r="727" spans="4:4" ht="15" customHeight="1"/>
    <row r="728" spans="4:4" ht="15" customHeight="1"/>
    <row r="729" spans="4:4" ht="15" customHeight="1"/>
    <row r="730" spans="4:4" ht="15" customHeight="1"/>
    <row r="731" spans="4:4" ht="15" customHeight="1"/>
    <row r="732" spans="4:4" ht="15" customHeight="1"/>
    <row r="733" spans="4:4" ht="15" customHeight="1"/>
    <row r="734" spans="4:4" ht="15" customHeight="1"/>
    <row r="735" spans="4:4" ht="15" customHeight="1"/>
    <row r="736" spans="4:4"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spans="2:4" ht="15" customHeight="1"/>
    <row r="754" spans="2:4" ht="15" customHeight="1"/>
    <row r="755" spans="2:4" ht="15" customHeight="1"/>
    <row r="756" spans="2:4" ht="15" customHeight="1">
      <c r="B756" s="514" t="s">
        <v>392</v>
      </c>
      <c r="D756" s="513">
        <f>(19.09%*1*D564)*1000</f>
        <v>10559.115206499997</v>
      </c>
    </row>
    <row r="757" spans="2:4" ht="15" customHeight="1">
      <c r="B757" s="514"/>
      <c r="D757" s="513">
        <f>D756</f>
        <v>10559.115206499997</v>
      </c>
    </row>
    <row r="758" spans="2:4" ht="15" customHeight="1">
      <c r="B758" s="514"/>
      <c r="D758" s="513">
        <f>D757</f>
        <v>10559.115206499997</v>
      </c>
    </row>
    <row r="759" spans="2:4" ht="15" customHeight="1">
      <c r="B759" s="514" t="s">
        <v>393</v>
      </c>
      <c r="D759" s="513">
        <f>(17.61%*1*D564)*1000</f>
        <v>9740.4933884999991</v>
      </c>
    </row>
    <row r="760" spans="2:4" ht="15" customHeight="1">
      <c r="B760" s="514"/>
      <c r="D760" s="513">
        <f>D759</f>
        <v>9740.4933884999991</v>
      </c>
    </row>
    <row r="761" spans="2:4" ht="15" customHeight="1">
      <c r="B761" s="514"/>
      <c r="D761" s="513">
        <f>D760</f>
        <v>9740.4933884999991</v>
      </c>
    </row>
    <row r="762" spans="2:4" ht="15" customHeight="1">
      <c r="B762" s="514" t="s">
        <v>394</v>
      </c>
      <c r="D762" s="513">
        <f>(11.99%*1*D564)*1000</f>
        <v>6631.9429714999997</v>
      </c>
    </row>
    <row r="763" spans="2:4" ht="15" customHeight="1">
      <c r="B763" s="514"/>
      <c r="D763" s="513">
        <f>D762</f>
        <v>6631.9429714999997</v>
      </c>
    </row>
    <row r="764" spans="2:4" ht="15" customHeight="1">
      <c r="B764" s="514"/>
      <c r="D764" s="513">
        <f>D763</f>
        <v>6631.9429714999997</v>
      </c>
    </row>
    <row r="765" spans="2:4" ht="15" customHeight="1"/>
    <row r="766" spans="2:4" ht="15" customHeight="1">
      <c r="B766" s="514" t="s">
        <v>395</v>
      </c>
      <c r="D766">
        <v>0.47963</v>
      </c>
    </row>
    <row r="767" spans="2:4" ht="15" customHeight="1"/>
    <row r="768" spans="2:4" ht="15" customHeight="1">
      <c r="B768" s="514" t="s">
        <v>396</v>
      </c>
      <c r="D768" s="515">
        <v>2.62</v>
      </c>
    </row>
    <row r="769" spans="2:4" ht="15" customHeight="1">
      <c r="B769" s="514"/>
      <c r="D769" s="515">
        <v>2.62</v>
      </c>
    </row>
    <row r="770" spans="2:4" ht="15" customHeight="1">
      <c r="B770" s="514"/>
      <c r="D770" s="515">
        <v>2.62</v>
      </c>
    </row>
    <row r="771" spans="2:4" ht="15" customHeight="1">
      <c r="B771" s="514"/>
      <c r="D771" s="515"/>
    </row>
    <row r="772" spans="2:4" ht="15" customHeight="1"/>
    <row r="773" spans="2:4" ht="15" customHeight="1">
      <c r="B773" s="514" t="s">
        <v>397</v>
      </c>
      <c r="D773" s="512">
        <f>D564</f>
        <v>55.312284999999996</v>
      </c>
    </row>
    <row r="774" spans="2:4" ht="15" customHeight="1">
      <c r="B774" s="514"/>
      <c r="D774" s="512">
        <f>D773</f>
        <v>55.312284999999996</v>
      </c>
    </row>
    <row r="775" spans="2:4" ht="15" customHeight="1">
      <c r="B775" s="514"/>
      <c r="D775" s="512">
        <f>D774</f>
        <v>55.312284999999996</v>
      </c>
    </row>
    <row r="776" spans="2:4" ht="15" customHeight="1">
      <c r="B776" s="514"/>
      <c r="D776" s="512"/>
    </row>
    <row r="777" spans="2:4" ht="15" customHeight="1"/>
    <row r="778" spans="2:4" ht="15" customHeight="1">
      <c r="B778" s="514" t="s">
        <v>398</v>
      </c>
      <c r="D778" s="516">
        <f>SUM(D766,D768/1000,D773)</f>
        <v>55.794534999999996</v>
      </c>
    </row>
    <row r="779" spans="2:4" ht="15" customHeight="1"/>
    <row r="780" spans="2:4" ht="15" customHeight="1"/>
    <row r="781" spans="2:4" ht="15" customHeight="1">
      <c r="B781" s="517" t="s">
        <v>262</v>
      </c>
      <c r="C781" s="234" t="s">
        <v>222</v>
      </c>
      <c r="D781" s="236">
        <v>1.64076</v>
      </c>
    </row>
    <row r="782" spans="2:4" ht="15" customHeight="1">
      <c r="B782" s="517" t="s">
        <v>262</v>
      </c>
      <c r="C782" s="234" t="s">
        <v>223</v>
      </c>
      <c r="D782" s="236">
        <v>1.7809999999999999</v>
      </c>
    </row>
    <row r="783" spans="2:4" ht="15" customHeight="1">
      <c r="B783" s="517" t="s">
        <v>262</v>
      </c>
      <c r="C783" s="234" t="s">
        <v>224</v>
      </c>
      <c r="D783" s="236">
        <v>1.83188</v>
      </c>
    </row>
    <row r="784" spans="2:4" ht="15" customHeight="1"/>
    <row r="785" spans="1:14" ht="15" customHeight="1"/>
    <row r="786" spans="1:14" s="429" customFormat="1" ht="15" customHeight="1">
      <c r="A786" s="390"/>
      <c r="B786" s="274" t="s">
        <v>221</v>
      </c>
      <c r="C786" s="272" t="s">
        <v>246</v>
      </c>
      <c r="D786" s="466" t="e">
        <f t="shared" ref="D786:D791" si="16">D616/D689</f>
        <v>#DIV/0!</v>
      </c>
      <c r="E786" s="431"/>
      <c r="K786" s="430"/>
    </row>
    <row r="787" spans="1:14" s="429" customFormat="1" ht="15" customHeight="1" outlineLevel="1">
      <c r="A787" s="391"/>
      <c r="B787" s="275" t="s">
        <v>156</v>
      </c>
      <c r="C787" s="276"/>
      <c r="D787" s="467" t="e">
        <f t="shared" si="16"/>
        <v>#DIV/0!</v>
      </c>
      <c r="E787" s="431"/>
      <c r="K787" s="430"/>
    </row>
    <row r="788" spans="1:14" s="429" customFormat="1" ht="15" customHeight="1" outlineLevel="1">
      <c r="A788" s="391"/>
      <c r="B788" s="278" t="s">
        <v>222</v>
      </c>
      <c r="C788" s="279" t="s">
        <v>246</v>
      </c>
      <c r="D788" s="280">
        <f>SUM(D756/1000,D768/1000,D773,D781)</f>
        <v>67.514780206499992</v>
      </c>
      <c r="E788" s="468"/>
      <c r="F788" s="468"/>
      <c r="G788" s="468"/>
      <c r="H788" s="468"/>
      <c r="I788" s="468"/>
      <c r="J788" s="468"/>
      <c r="K788" s="469"/>
      <c r="L788" s="468"/>
      <c r="M788" s="468"/>
      <c r="N788" s="468"/>
    </row>
    <row r="789" spans="1:14" s="429" customFormat="1" ht="15" customHeight="1" outlineLevel="1">
      <c r="A789" s="391"/>
      <c r="B789" s="278" t="s">
        <v>223</v>
      </c>
      <c r="C789" s="279" t="s">
        <v>246</v>
      </c>
      <c r="D789" s="280">
        <f>SUM(D757/1000,D769/1000,D774,D782)</f>
        <v>67.655020206499998</v>
      </c>
      <c r="E789" s="468"/>
      <c r="F789" s="468"/>
      <c r="G789" s="468"/>
      <c r="H789" s="468"/>
      <c r="I789" s="468"/>
      <c r="J789" s="468"/>
      <c r="K789" s="469"/>
      <c r="L789" s="468"/>
      <c r="M789" s="468"/>
      <c r="N789" s="468"/>
    </row>
    <row r="790" spans="1:14" s="429" customFormat="1" ht="15" customHeight="1" outlineLevel="1">
      <c r="A790" s="391"/>
      <c r="B790" s="278" t="s">
        <v>224</v>
      </c>
      <c r="C790" s="279" t="s">
        <v>246</v>
      </c>
      <c r="D790" s="280">
        <f>SUM(D758/1000,D770/1000,D775,D783)</f>
        <v>67.70590020649999</v>
      </c>
      <c r="E790" s="468"/>
      <c r="F790" s="468"/>
      <c r="G790" s="468"/>
      <c r="H790" s="468"/>
      <c r="I790" s="468"/>
      <c r="J790" s="468"/>
      <c r="K790" s="469"/>
      <c r="L790" s="468"/>
      <c r="M790" s="468"/>
      <c r="N790" s="468"/>
    </row>
    <row r="791" spans="1:14" s="429" customFormat="1" ht="15" customHeight="1" outlineLevel="1">
      <c r="A791" s="391"/>
      <c r="B791" s="275" t="s">
        <v>225</v>
      </c>
      <c r="C791" s="276"/>
      <c r="D791" s="467" t="e">
        <f t="shared" si="16"/>
        <v>#DIV/0!</v>
      </c>
      <c r="E791" s="431"/>
      <c r="K791" s="430"/>
    </row>
    <row r="792" spans="1:14" s="429" customFormat="1" ht="15" customHeight="1" outlineLevel="1">
      <c r="A792" s="391"/>
      <c r="B792" s="278" t="s">
        <v>222</v>
      </c>
      <c r="C792" s="279" t="s">
        <v>246</v>
      </c>
      <c r="D792" s="280">
        <f>SUM(D759/1000,D768/1000,D773,D781)</f>
        <v>66.696158388499995</v>
      </c>
      <c r="E792" s="468"/>
      <c r="F792" s="468"/>
      <c r="G792" s="468"/>
      <c r="H792" s="468"/>
      <c r="I792" s="468"/>
      <c r="J792" s="468"/>
      <c r="K792" s="430"/>
    </row>
    <row r="793" spans="1:14" s="429" customFormat="1" ht="15" customHeight="1" outlineLevel="1">
      <c r="A793" s="391"/>
      <c r="B793" s="278" t="s">
        <v>223</v>
      </c>
      <c r="C793" s="279" t="s">
        <v>246</v>
      </c>
      <c r="D793" s="280">
        <f>SUM(D760/1000,D769/1000,D774,D782)</f>
        <v>66.836398388500001</v>
      </c>
      <c r="E793" s="468"/>
      <c r="F793" s="468"/>
      <c r="G793" s="468"/>
      <c r="H793" s="468"/>
      <c r="I793" s="468"/>
      <c r="J793" s="468"/>
      <c r="K793" s="430"/>
    </row>
    <row r="794" spans="1:14" s="429" customFormat="1" ht="15" customHeight="1" outlineLevel="1">
      <c r="A794" s="391"/>
      <c r="B794" s="278" t="s">
        <v>224</v>
      </c>
      <c r="C794" s="279" t="s">
        <v>246</v>
      </c>
      <c r="D794" s="280">
        <f>SUM(D761/1000,D770/1000,D775,D783)</f>
        <v>66.887278388499993</v>
      </c>
      <c r="E794" s="468"/>
      <c r="F794" s="468"/>
      <c r="G794" s="468"/>
      <c r="H794" s="468"/>
      <c r="I794" s="468"/>
      <c r="J794" s="468"/>
      <c r="K794" s="430"/>
    </row>
    <row r="795" spans="1:14" s="429" customFormat="1" ht="15" customHeight="1">
      <c r="A795" s="390"/>
      <c r="B795" s="274" t="s">
        <v>227</v>
      </c>
      <c r="C795" s="272" t="s">
        <v>246</v>
      </c>
      <c r="D795" s="466" t="e">
        <f>D625/D698</f>
        <v>#DIV/0!</v>
      </c>
      <c r="E795" s="431"/>
      <c r="K795" s="430"/>
    </row>
    <row r="796" spans="1:14" s="429" customFormat="1" ht="14.25" customHeight="1" outlineLevel="1">
      <c r="A796" s="391"/>
      <c r="B796" s="275" t="s">
        <v>156</v>
      </c>
      <c r="C796" s="276"/>
      <c r="D796" s="467" t="e">
        <f>D626/D699</f>
        <v>#DIV/0!</v>
      </c>
      <c r="E796" s="431"/>
      <c r="K796" s="430"/>
    </row>
    <row r="797" spans="1:14" s="429" customFormat="1" ht="15" customHeight="1" outlineLevel="1">
      <c r="A797" s="391"/>
      <c r="B797" s="278" t="s">
        <v>222</v>
      </c>
      <c r="C797" s="279" t="s">
        <v>240</v>
      </c>
      <c r="D797" s="280"/>
      <c r="E797" s="431"/>
      <c r="K797" s="430"/>
    </row>
    <row r="798" spans="1:14" s="429" customFormat="1" ht="15" customHeight="1" outlineLevel="1">
      <c r="A798" s="391"/>
      <c r="B798" s="278" t="s">
        <v>223</v>
      </c>
      <c r="C798" s="279" t="s">
        <v>246</v>
      </c>
      <c r="D798" s="280" t="e">
        <f>D628/D701</f>
        <v>#DIV/0!</v>
      </c>
      <c r="E798" s="431"/>
      <c r="K798" s="430"/>
    </row>
    <row r="799" spans="1:14" s="429" customFormat="1" ht="15" customHeight="1" outlineLevel="1">
      <c r="A799" s="391"/>
      <c r="B799" s="278" t="s">
        <v>224</v>
      </c>
      <c r="C799" s="279" t="s">
        <v>246</v>
      </c>
      <c r="D799" s="280" t="e">
        <f>D629/D702</f>
        <v>#DIV/0!</v>
      </c>
      <c r="E799" s="431"/>
      <c r="K799" s="430"/>
    </row>
    <row r="800" spans="1:14" s="429" customFormat="1" ht="15" customHeight="1" outlineLevel="1">
      <c r="A800" s="391"/>
      <c r="B800" s="275" t="s">
        <v>225</v>
      </c>
      <c r="C800" s="276"/>
      <c r="D800" s="277">
        <v>0</v>
      </c>
      <c r="E800" s="431"/>
      <c r="K800" s="430"/>
    </row>
    <row r="801" spans="1:11" s="429" customFormat="1" ht="15" customHeight="1" outlineLevel="1">
      <c r="A801" s="391"/>
      <c r="B801" s="278" t="s">
        <v>222</v>
      </c>
      <c r="C801" s="279" t="s">
        <v>240</v>
      </c>
      <c r="D801" s="280"/>
      <c r="E801" s="431"/>
      <c r="K801" s="430"/>
    </row>
    <row r="802" spans="1:11" s="429" customFormat="1" ht="15" customHeight="1" outlineLevel="1">
      <c r="A802" s="391"/>
      <c r="B802" s="278" t="s">
        <v>223</v>
      </c>
      <c r="C802" s="279" t="s">
        <v>240</v>
      </c>
      <c r="D802" s="280"/>
      <c r="E802" s="431"/>
      <c r="K802" s="430"/>
    </row>
    <row r="803" spans="1:11" s="429" customFormat="1" ht="15" customHeight="1" outlineLevel="1">
      <c r="A803" s="391"/>
      <c r="B803" s="278" t="s">
        <v>224</v>
      </c>
      <c r="C803" s="279" t="s">
        <v>240</v>
      </c>
      <c r="D803" s="280"/>
      <c r="E803" s="431"/>
      <c r="K803" s="430"/>
    </row>
    <row r="804" spans="1:11" s="429" customFormat="1" ht="15" customHeight="1" outlineLevel="1">
      <c r="A804" s="391"/>
      <c r="B804" s="281" t="s">
        <v>226</v>
      </c>
      <c r="C804" s="282"/>
      <c r="D804" s="277">
        <v>0</v>
      </c>
      <c r="E804" s="431"/>
      <c r="K804" s="430"/>
    </row>
    <row r="805" spans="1:11" s="429" customFormat="1" ht="15" customHeight="1" outlineLevel="1">
      <c r="A805" s="391"/>
      <c r="B805" s="278" t="s">
        <v>222</v>
      </c>
      <c r="C805" s="279" t="s">
        <v>240</v>
      </c>
      <c r="D805" s="280"/>
      <c r="E805" s="431"/>
      <c r="K805" s="430"/>
    </row>
    <row r="806" spans="1:11" s="429" customFormat="1" ht="15" customHeight="1" outlineLevel="1">
      <c r="A806" s="391"/>
      <c r="B806" s="278" t="s">
        <v>223</v>
      </c>
      <c r="C806" s="279" t="s">
        <v>240</v>
      </c>
      <c r="D806" s="280"/>
      <c r="E806" s="431"/>
      <c r="K806" s="430"/>
    </row>
    <row r="807" spans="1:11" s="429" customFormat="1" ht="15" customHeight="1" outlineLevel="1">
      <c r="A807" s="391"/>
      <c r="B807" s="278" t="s">
        <v>224</v>
      </c>
      <c r="C807" s="279" t="s">
        <v>240</v>
      </c>
      <c r="D807" s="280"/>
      <c r="E807" s="431"/>
      <c r="K807" s="430"/>
    </row>
    <row r="808" spans="1:11" s="429" customFormat="1" ht="15" customHeight="1">
      <c r="A808" s="390"/>
      <c r="B808" s="274" t="s">
        <v>340</v>
      </c>
      <c r="C808" s="272" t="s">
        <v>246</v>
      </c>
      <c r="D808" s="466" t="e">
        <f>D638/D711</f>
        <v>#DIV/0!</v>
      </c>
      <c r="E808" s="431"/>
      <c r="K808" s="430"/>
    </row>
    <row r="809" spans="1:11" s="429" customFormat="1" ht="15" customHeight="1" outlineLevel="1">
      <c r="A809" s="391"/>
      <c r="B809" s="275" t="s">
        <v>226</v>
      </c>
      <c r="C809" s="276"/>
      <c r="D809" s="467" t="e">
        <f>D639/D712</f>
        <v>#DIV/0!</v>
      </c>
      <c r="E809" s="431"/>
      <c r="K809" s="430"/>
    </row>
    <row r="810" spans="1:11" s="429" customFormat="1" ht="15" customHeight="1" outlineLevel="1">
      <c r="A810" s="391"/>
      <c r="B810" s="278" t="s">
        <v>222</v>
      </c>
      <c r="C810" s="279" t="s">
        <v>246</v>
      </c>
      <c r="D810" s="280">
        <f>SUM(D762/1000,D768/1000,D773,D781)</f>
        <v>63.587607971499999</v>
      </c>
      <c r="E810" s="468"/>
      <c r="F810" s="468"/>
      <c r="G810" s="468"/>
      <c r="H810" s="468"/>
      <c r="I810" s="468"/>
      <c r="J810" s="468"/>
      <c r="K810" s="430"/>
    </row>
    <row r="811" spans="1:11" s="429" customFormat="1" ht="15" customHeight="1" outlineLevel="1">
      <c r="A811" s="391"/>
      <c r="B811" s="278" t="s">
        <v>223</v>
      </c>
      <c r="C811" s="279" t="s">
        <v>246</v>
      </c>
      <c r="D811" s="280">
        <f>SUM(D763/1000,D769/1000,D774,D782)</f>
        <v>63.727847971499997</v>
      </c>
      <c r="E811" s="468"/>
      <c r="F811" s="468"/>
      <c r="G811" s="468"/>
      <c r="H811" s="468"/>
      <c r="I811" s="468"/>
      <c r="J811" s="468"/>
      <c r="K811" s="430"/>
    </row>
    <row r="812" spans="1:11" s="429" customFormat="1" ht="15" customHeight="1" outlineLevel="1">
      <c r="A812" s="391"/>
      <c r="B812" s="278" t="s">
        <v>224</v>
      </c>
      <c r="C812" s="279" t="s">
        <v>246</v>
      </c>
      <c r="D812" s="280">
        <f>SUM(D764/1000,D770/1000,D775,D783)</f>
        <v>63.778727971499997</v>
      </c>
      <c r="E812" s="468"/>
      <c r="F812" s="468"/>
      <c r="G812" s="468"/>
      <c r="H812" s="468"/>
      <c r="I812" s="468"/>
      <c r="J812" s="468"/>
      <c r="K812" s="430"/>
    </row>
    <row r="813" spans="1:11" ht="15" customHeight="1"/>
    <row r="814" spans="1:11" ht="15" customHeight="1"/>
    <row r="815" spans="1:11" ht="15" customHeight="1"/>
    <row r="816" spans="1:11"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sheetData>
  <mergeCells count="4">
    <mergeCell ref="D10:D11"/>
    <mergeCell ref="A10:A11"/>
    <mergeCell ref="B10:B11"/>
    <mergeCell ref="C10:C11"/>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workbookViewId="0">
      <selection activeCell="L17" sqref="L17"/>
    </sheetView>
  </sheetViews>
  <sheetFormatPr defaultRowHeight="12.75"/>
  <cols>
    <col min="1" max="1" width="4" customWidth="1"/>
    <col min="2" max="2" width="33.7109375" customWidth="1"/>
    <col min="3" max="3" width="12.5703125" customWidth="1"/>
  </cols>
  <sheetData>
    <row r="1" spans="1:8" ht="46.5" customHeight="1">
      <c r="A1" s="4475" t="s">
        <v>1650</v>
      </c>
      <c r="B1" s="4475"/>
      <c r="C1" s="4475"/>
      <c r="D1" s="4475"/>
      <c r="E1" s="4475"/>
      <c r="F1" s="4475"/>
      <c r="G1" s="4475"/>
      <c r="H1" s="4475"/>
    </row>
    <row r="2" spans="1:8">
      <c r="A2" s="1683" t="s">
        <v>1651</v>
      </c>
    </row>
    <row r="3" spans="1:8">
      <c r="A3" s="1682" t="s">
        <v>1655</v>
      </c>
    </row>
    <row r="5" spans="1:8" ht="95.25" customHeight="1">
      <c r="A5" s="4476" t="s">
        <v>2041</v>
      </c>
      <c r="B5" s="4476"/>
      <c r="C5" s="4476"/>
      <c r="D5" s="4476"/>
      <c r="E5" s="4476"/>
      <c r="F5" s="4476"/>
      <c r="G5" s="4476"/>
      <c r="H5" s="4476"/>
    </row>
    <row r="7" spans="1:8">
      <c r="A7" s="4477" t="s">
        <v>1657</v>
      </c>
      <c r="B7" s="4477"/>
      <c r="C7" s="4477"/>
      <c r="D7" s="4477"/>
      <c r="E7" s="4477"/>
      <c r="F7" s="4477"/>
      <c r="G7" s="4477"/>
      <c r="H7" s="4477"/>
    </row>
    <row r="8" spans="1:8">
      <c r="A8" s="4478" t="str">
        <f>'Шаблон 46 ГП'!A8:P8</f>
        <v>Май 2026 год</v>
      </c>
      <c r="B8" s="4477"/>
      <c r="C8" s="4477"/>
      <c r="D8" s="4477"/>
      <c r="E8" s="4477"/>
      <c r="F8" s="4477"/>
      <c r="G8" s="4477"/>
      <c r="H8" s="4477"/>
    </row>
    <row r="9" spans="1:8" ht="13.5" thickBot="1">
      <c r="A9" s="1684"/>
    </row>
    <row r="10" spans="1:8" ht="32.25" thickBot="1">
      <c r="A10" s="1685" t="s">
        <v>400</v>
      </c>
      <c r="B10" s="1686" t="s">
        <v>746</v>
      </c>
      <c r="C10" s="1686" t="s">
        <v>1437</v>
      </c>
      <c r="D10" s="1686" t="s">
        <v>9</v>
      </c>
      <c r="E10" s="1686" t="s">
        <v>409</v>
      </c>
      <c r="F10" s="1686" t="s">
        <v>411</v>
      </c>
      <c r="G10" s="1686" t="s">
        <v>12</v>
      </c>
      <c r="H10" s="1686" t="s">
        <v>1438</v>
      </c>
    </row>
    <row r="11" spans="1:8" ht="21">
      <c r="A11" s="4481"/>
      <c r="B11" s="1687" t="s">
        <v>1656</v>
      </c>
      <c r="C11" s="4481"/>
      <c r="D11" s="4479"/>
      <c r="E11" s="4479"/>
      <c r="F11" s="4479"/>
      <c r="G11" s="4479"/>
      <c r="H11" s="4479"/>
    </row>
    <row r="12" spans="1:8" ht="13.5" thickBot="1">
      <c r="A12" s="4482"/>
      <c r="B12" s="2955"/>
      <c r="C12" s="4482"/>
      <c r="D12" s="4480"/>
      <c r="E12" s="4480"/>
      <c r="F12" s="4480"/>
      <c r="G12" s="4480"/>
      <c r="H12" s="4480"/>
    </row>
    <row r="13" spans="1:8" ht="16.5" thickBot="1">
      <c r="A13" s="1688"/>
      <c r="B13" s="1689" t="s">
        <v>1438</v>
      </c>
      <c r="C13" s="1689"/>
      <c r="D13" s="1690"/>
      <c r="E13" s="1693">
        <f>SUM(E14:E18)</f>
        <v>2.6853120000000001</v>
      </c>
      <c r="F13" s="1693">
        <f>SUM(F14:F18)</f>
        <v>20.759640000000001</v>
      </c>
      <c r="G13" s="1693">
        <f>SUM(G14:G18)</f>
        <v>31.946840000000002</v>
      </c>
      <c r="H13" s="1693">
        <f>SUM(E13:G13)</f>
        <v>55.391792000000002</v>
      </c>
    </row>
    <row r="14" spans="1:8" ht="26.1" customHeight="1" thickBot="1">
      <c r="A14" s="1688">
        <v>1</v>
      </c>
      <c r="B14" s="1692" t="s">
        <v>42</v>
      </c>
      <c r="C14" s="1689" t="s">
        <v>1652</v>
      </c>
      <c r="D14" s="1690"/>
      <c r="E14" s="1693">
        <f>'П.45. г и 45. д.'!E14</f>
        <v>2.6853120000000001</v>
      </c>
      <c r="F14" s="1693">
        <f>'П.45. г и 45. д.'!F14+'П.45. г и 45. д.'!F26+'П.45. г и 45. д.'!F38</f>
        <v>15.871428000000002</v>
      </c>
      <c r="G14" s="1693">
        <f>'П.45. г и 45. д.'!G14</f>
        <v>7.7196520000000008</v>
      </c>
      <c r="H14" s="1693">
        <f>SUM(E14:G14)</f>
        <v>26.276392000000001</v>
      </c>
    </row>
    <row r="15" spans="1:8" ht="16.5" thickBot="1">
      <c r="A15" s="1688">
        <v>2</v>
      </c>
      <c r="B15" s="1692" t="s">
        <v>1444</v>
      </c>
      <c r="C15" s="1689" t="s">
        <v>1652</v>
      </c>
      <c r="D15" s="1690"/>
      <c r="E15" s="1693"/>
      <c r="F15" s="1693"/>
      <c r="G15" s="1693"/>
      <c r="H15" s="1693"/>
    </row>
    <row r="16" spans="1:8" ht="16.5" thickBot="1">
      <c r="A16" s="1688">
        <v>3</v>
      </c>
      <c r="B16" s="1692" t="s">
        <v>521</v>
      </c>
      <c r="C16" s="1689" t="s">
        <v>1652</v>
      </c>
      <c r="D16" s="1690"/>
      <c r="E16" s="1693"/>
      <c r="F16" s="1693">
        <f>'П.45. г и 45. д.'!F16</f>
        <v>1.166971</v>
      </c>
      <c r="G16" s="1693">
        <f>'П.45. г и 45. д.'!G16</f>
        <v>2.9953370000000001</v>
      </c>
      <c r="H16" s="1693">
        <f>SUM(E16:G16)</f>
        <v>4.1623080000000003</v>
      </c>
    </row>
    <row r="17" spans="1:8" ht="32.25" thickBot="1">
      <c r="A17" s="1688">
        <v>4</v>
      </c>
      <c r="B17" s="1692" t="s">
        <v>1653</v>
      </c>
      <c r="C17" s="1689" t="s">
        <v>1652</v>
      </c>
      <c r="D17" s="1690"/>
      <c r="E17" s="1693"/>
      <c r="F17" s="1693">
        <f>'П.45. г и 45. д.'!F17</f>
        <v>0.10299800000000001</v>
      </c>
      <c r="G17" s="1693">
        <f>'П.45. г и 45. д.'!G17</f>
        <v>1.9855000000000001E-2</v>
      </c>
      <c r="H17" s="1693">
        <f>SUM(E17:G17)</f>
        <v>0.122853</v>
      </c>
    </row>
    <row r="18" spans="1:8" ht="16.5" thickBot="1">
      <c r="A18" s="1688">
        <v>5</v>
      </c>
      <c r="B18" s="1692" t="s">
        <v>28</v>
      </c>
      <c r="C18" s="1689" t="s">
        <v>1652</v>
      </c>
      <c r="D18" s="1690"/>
      <c r="E18" s="1693"/>
      <c r="F18" s="1693">
        <f>'П.45. г и 45. д.'!F18+'П.45. г и 45. д.'!F30+'П.45. г и 45. д.'!F42</f>
        <v>3.6182430000000001</v>
      </c>
      <c r="G18" s="1693">
        <f>'П.45. г и 45. д.'!G18</f>
        <v>21.211995999999999</v>
      </c>
      <c r="H18" s="1693">
        <f>SUM(E18:G18)</f>
        <v>24.830238999999999</v>
      </c>
    </row>
    <row r="19" spans="1:8">
      <c r="A19" s="1684"/>
    </row>
    <row r="20" spans="1:8">
      <c r="A20" s="1684"/>
    </row>
    <row r="21" spans="1:8">
      <c r="A21" s="4477" t="s">
        <v>1658</v>
      </c>
      <c r="B21" s="4477"/>
      <c r="C21" s="4477"/>
      <c r="D21" s="4477"/>
      <c r="E21" s="4477"/>
      <c r="F21" s="4477"/>
      <c r="G21" s="4477"/>
      <c r="H21" s="4477"/>
    </row>
    <row r="22" spans="1:8">
      <c r="A22" s="4478" t="str">
        <f>A8</f>
        <v>Май 2026 год</v>
      </c>
      <c r="B22" s="4477"/>
      <c r="C22" s="4477"/>
      <c r="D22" s="4477"/>
      <c r="E22" s="4477"/>
      <c r="F22" s="4477"/>
      <c r="G22" s="4477"/>
      <c r="H22" s="4477"/>
    </row>
    <row r="23" spans="1:8" ht="13.5" thickBot="1">
      <c r="A23" s="1684"/>
    </row>
    <row r="24" spans="1:8" ht="32.25" thickBot="1">
      <c r="A24" s="1685" t="s">
        <v>400</v>
      </c>
      <c r="B24" s="1686" t="s">
        <v>746</v>
      </c>
      <c r="C24" s="1686" t="s">
        <v>1437</v>
      </c>
      <c r="D24" s="1686" t="s">
        <v>9</v>
      </c>
      <c r="E24" s="1686" t="s">
        <v>409</v>
      </c>
      <c r="F24" s="1686" t="s">
        <v>411</v>
      </c>
      <c r="G24" s="1686" t="s">
        <v>12</v>
      </c>
      <c r="H24" s="1686" t="s">
        <v>1438</v>
      </c>
    </row>
    <row r="25" spans="1:8" ht="21">
      <c r="A25" s="4481"/>
      <c r="B25" s="1687" t="s">
        <v>1656</v>
      </c>
      <c r="C25" s="4481"/>
      <c r="D25" s="4481"/>
      <c r="E25" s="4481"/>
      <c r="F25" s="4481"/>
      <c r="G25" s="4481"/>
      <c r="H25" s="4481"/>
    </row>
    <row r="26" spans="1:8" ht="13.5" thickBot="1">
      <c r="A26" s="4482"/>
      <c r="B26" s="2955"/>
      <c r="C26" s="4482"/>
      <c r="D26" s="4482"/>
      <c r="E26" s="4482"/>
      <c r="F26" s="4482"/>
      <c r="G26" s="4482"/>
      <c r="H26" s="4482"/>
    </row>
    <row r="27" spans="1:8" ht="16.5" thickBot="1">
      <c r="A27" s="1688"/>
      <c r="B27" s="1689" t="s">
        <v>1438</v>
      </c>
      <c r="C27" s="1689"/>
      <c r="D27" s="1691"/>
      <c r="E27" s="1693">
        <f>'П.45. г и 45. д.'!E61</f>
        <v>13.276644430026407</v>
      </c>
      <c r="F27" s="1693">
        <f>'П.45. г и 45. д.'!F61</f>
        <v>28.133199375144919</v>
      </c>
      <c r="G27" s="1693">
        <f>'П.45. г и 45. д.'!G61</f>
        <v>90.209417734651382</v>
      </c>
      <c r="H27" s="1693">
        <f>'П.45. г и 45. д.'!H61</f>
        <v>131.6192615398227</v>
      </c>
    </row>
    <row r="28" spans="1:8" ht="16.5" thickBot="1">
      <c r="A28" s="1688">
        <v>1</v>
      </c>
      <c r="B28" s="1692" t="s">
        <v>42</v>
      </c>
      <c r="C28" s="1689" t="s">
        <v>1654</v>
      </c>
      <c r="D28" s="1691"/>
      <c r="E28" s="1693">
        <f>'П.45. г и 45. д.'!E62</f>
        <v>13.276644430026407</v>
      </c>
      <c r="F28" s="1693">
        <f>'П.45. г и 45. д.'!F62</f>
        <v>13.547995493115575</v>
      </c>
      <c r="G28" s="1693">
        <f>'П.45. г и 45. д.'!G62</f>
        <v>21.989153857576781</v>
      </c>
      <c r="H28" s="1693">
        <f>'П.45. г и 45. д.'!H62</f>
        <v>48.813793780718761</v>
      </c>
    </row>
    <row r="29" spans="1:8" ht="16.5" thickBot="1">
      <c r="A29" s="1688">
        <v>2</v>
      </c>
      <c r="B29" s="1692" t="s">
        <v>1444</v>
      </c>
      <c r="C29" s="1689" t="s">
        <v>1654</v>
      </c>
      <c r="D29" s="1691"/>
      <c r="E29" s="1693"/>
      <c r="F29" s="1693"/>
      <c r="G29" s="1693"/>
      <c r="H29" s="1693"/>
    </row>
    <row r="30" spans="1:8" ht="16.5" thickBot="1">
      <c r="A30" s="1688">
        <v>3</v>
      </c>
      <c r="B30" s="1692" t="s">
        <v>521</v>
      </c>
      <c r="C30" s="1689" t="s">
        <v>1654</v>
      </c>
      <c r="D30" s="1691"/>
      <c r="E30" s="1693"/>
      <c r="F30" s="1693">
        <f>'П.45. г и 45. д.'!F64</f>
        <v>2.5620048604060917</v>
      </c>
      <c r="G30" s="1693">
        <f>'П.45. г и 45. д.'!G64</f>
        <v>4.2042564047619049</v>
      </c>
      <c r="H30" s="1693">
        <f>'П.45. г и 45. д.'!H64</f>
        <v>6.7662612651679961</v>
      </c>
    </row>
    <row r="31" spans="1:8" ht="32.25" thickBot="1">
      <c r="A31" s="1688">
        <v>4</v>
      </c>
      <c r="B31" s="1692" t="s">
        <v>1653</v>
      </c>
      <c r="C31" s="1689" t="s">
        <v>1654</v>
      </c>
      <c r="D31" s="1691"/>
      <c r="E31" s="1693"/>
      <c r="F31" s="1693">
        <f>'П.45. г и 45. д.'!F65</f>
        <v>0.36582048275862072</v>
      </c>
      <c r="G31" s="1693">
        <f>'П.45. г и 45. д.'!G65</f>
        <v>0</v>
      </c>
      <c r="H31" s="1693">
        <f>'П.45. г и 45. д.'!H65</f>
        <v>0.36582048275862072</v>
      </c>
    </row>
    <row r="32" spans="1:8" ht="16.5" thickBot="1">
      <c r="A32" s="1688">
        <v>5</v>
      </c>
      <c r="B32" s="1692" t="s">
        <v>28</v>
      </c>
      <c r="C32" s="1689" t="s">
        <v>1654</v>
      </c>
      <c r="D32" s="1691"/>
      <c r="E32" s="1693"/>
      <c r="F32" s="1693">
        <f>'П.45. г и 45. д.'!F66</f>
        <v>11.657378538864629</v>
      </c>
      <c r="G32" s="1693">
        <f>'П.45. г и 45. д.'!G66</f>
        <v>64.016007472312694</v>
      </c>
      <c r="H32" s="1693">
        <f>'П.45. г и 45. д.'!H66</f>
        <v>75.673386011177328</v>
      </c>
    </row>
  </sheetData>
  <mergeCells count="20">
    <mergeCell ref="G25:G26"/>
    <mergeCell ref="H25:H26"/>
    <mergeCell ref="A11:A12"/>
    <mergeCell ref="A25:A26"/>
    <mergeCell ref="C25:C26"/>
    <mergeCell ref="D25:D26"/>
    <mergeCell ref="E25:E26"/>
    <mergeCell ref="F25:F26"/>
    <mergeCell ref="A1:H1"/>
    <mergeCell ref="A5:H5"/>
    <mergeCell ref="A7:H7"/>
    <mergeCell ref="A22:H22"/>
    <mergeCell ref="H11:H12"/>
    <mergeCell ref="A21:H21"/>
    <mergeCell ref="A8:H8"/>
    <mergeCell ref="C11:C12"/>
    <mergeCell ref="D11:D12"/>
    <mergeCell ref="E11:E12"/>
    <mergeCell ref="F11:F12"/>
    <mergeCell ref="G11:G12"/>
  </mergeCells>
  <hyperlinks>
    <hyperlink ref="A2" r:id="rId1" display="http://www.prime-tass.ru/news/pressreleases/?sndr=%D0%AD%D0%9A%20%22%D0%92%D0%BE%D1%81%D1%82%D0%BE%D0%BA&amp;d1=25.03.2011&amp;d2=24.05.201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6"/>
  <sheetViews>
    <sheetView topLeftCell="A3" zoomScale="60" zoomScaleNormal="60" workbookViewId="0">
      <selection activeCell="B42" sqref="B42:B44"/>
    </sheetView>
  </sheetViews>
  <sheetFormatPr defaultColWidth="8.7109375" defaultRowHeight="12.75"/>
  <cols>
    <col min="1" max="1" width="6.7109375" style="1702" customWidth="1"/>
    <col min="2" max="2" width="78.5703125" style="1702" customWidth="1"/>
    <col min="3" max="3" width="5" style="1702" customWidth="1"/>
    <col min="4" max="4" width="10.7109375" style="1702" customWidth="1"/>
    <col min="5" max="5" width="13.28515625" style="1702" customWidth="1"/>
    <col min="6" max="6" width="12.7109375" style="1702" customWidth="1"/>
    <col min="7" max="8" width="10.5703125" style="1702" customWidth="1"/>
    <col min="9" max="9" width="9.5703125" style="1702" customWidth="1"/>
    <col min="10" max="10" width="7.28515625" style="1702" customWidth="1"/>
    <col min="11" max="11" width="8.7109375" style="1702" customWidth="1"/>
    <col min="12" max="12" width="8.28515625" style="1702" customWidth="1"/>
    <col min="13" max="13" width="8.42578125" style="1702" customWidth="1"/>
    <col min="14" max="14" width="11.28515625" style="1702" customWidth="1"/>
    <col min="15" max="15" width="15.42578125" style="1703" customWidth="1"/>
    <col min="16" max="17" width="8.7109375" style="1702"/>
    <col min="18" max="18" width="10.28515625" style="1702" bestFit="1" customWidth="1"/>
    <col min="19" max="16384" width="8.7109375" style="1702"/>
  </cols>
  <sheetData>
    <row r="1" spans="1:18">
      <c r="A1" s="1701" t="s">
        <v>1659</v>
      </c>
    </row>
    <row r="2" spans="1:18">
      <c r="A2" s="1701" t="s">
        <v>1660</v>
      </c>
    </row>
    <row r="3" spans="1:18">
      <c r="A3" s="1701" t="s">
        <v>1661</v>
      </c>
    </row>
    <row r="5" spans="1:18" ht="15.75">
      <c r="A5" s="4500" t="s">
        <v>1662</v>
      </c>
      <c r="B5" s="4500"/>
      <c r="C5" s="4500"/>
      <c r="D5" s="4500"/>
      <c r="E5" s="4500"/>
      <c r="F5" s="4500"/>
      <c r="G5" s="4500"/>
      <c r="H5" s="4500"/>
      <c r="I5" s="4500"/>
      <c r="J5" s="4500"/>
      <c r="K5" s="4500"/>
      <c r="L5" s="4500"/>
      <c r="M5" s="4500"/>
      <c r="N5" s="4500"/>
      <c r="O5" s="4500"/>
    </row>
    <row r="7" spans="1:18" ht="15.75">
      <c r="A7" s="4500" t="s">
        <v>1663</v>
      </c>
      <c r="B7" s="4500"/>
      <c r="C7" s="4500"/>
      <c r="D7" s="4500"/>
      <c r="E7" s="4500"/>
      <c r="F7" s="4500"/>
      <c r="G7" s="4500"/>
      <c r="H7" s="4500"/>
      <c r="I7" s="4500"/>
      <c r="J7" s="4500"/>
      <c r="K7" s="4500"/>
      <c r="L7" s="4500"/>
      <c r="M7" s="4500"/>
      <c r="N7" s="4500"/>
      <c r="O7" s="4500"/>
    </row>
    <row r="9" spans="1:18">
      <c r="A9" s="4501" t="str">
        <f>'Шаблон 46 ГП'!A8:P8</f>
        <v>Май 2026 год</v>
      </c>
      <c r="B9" s="4502"/>
      <c r="C9" s="4502"/>
      <c r="D9" s="4502"/>
      <c r="E9" s="4502"/>
      <c r="F9" s="4502"/>
      <c r="G9" s="4502"/>
      <c r="H9" s="4502"/>
      <c r="I9" s="4502"/>
      <c r="J9" s="4502"/>
      <c r="K9" s="4502"/>
      <c r="L9" s="4502"/>
      <c r="M9" s="4502"/>
      <c r="N9" s="4502"/>
      <c r="O9" s="4502"/>
    </row>
    <row r="11" spans="1:18" ht="33.75">
      <c r="A11" s="1704" t="s">
        <v>1664</v>
      </c>
      <c r="B11" s="1704" t="s">
        <v>1665</v>
      </c>
      <c r="C11" s="4503" t="s">
        <v>1666</v>
      </c>
      <c r="D11" s="4504"/>
      <c r="E11" s="1705" t="s">
        <v>1667</v>
      </c>
      <c r="F11" s="1706" t="s">
        <v>1668</v>
      </c>
      <c r="G11" s="1705" t="s">
        <v>1669</v>
      </c>
      <c r="H11" s="1707" t="s">
        <v>1670</v>
      </c>
      <c r="I11" s="1708" t="s">
        <v>1671</v>
      </c>
      <c r="J11" s="1705" t="s">
        <v>1672</v>
      </c>
      <c r="K11" s="1705" t="s">
        <v>1673</v>
      </c>
      <c r="L11" s="1705" t="s">
        <v>1674</v>
      </c>
      <c r="M11" s="1705" t="s">
        <v>1675</v>
      </c>
      <c r="N11" s="1705" t="s">
        <v>1676</v>
      </c>
      <c r="O11" s="1709" t="s">
        <v>1677</v>
      </c>
    </row>
    <row r="12" spans="1:18">
      <c r="A12" s="1710" t="s">
        <v>699</v>
      </c>
      <c r="B12" s="4499" t="s">
        <v>1678</v>
      </c>
      <c r="C12" s="4499"/>
      <c r="D12" s="4499"/>
      <c r="E12" s="4491"/>
      <c r="F12" s="4491"/>
      <c r="G12" s="4491"/>
      <c r="H12" s="4491"/>
      <c r="I12" s="4491"/>
      <c r="J12" s="4491"/>
      <c r="K12" s="4491"/>
      <c r="L12" s="4491"/>
      <c r="M12" s="4491"/>
      <c r="N12" s="4491"/>
      <c r="O12" s="4505"/>
    </row>
    <row r="13" spans="1:18">
      <c r="A13" s="4492"/>
      <c r="B13" s="4495"/>
      <c r="C13" s="1708" t="s">
        <v>1679</v>
      </c>
      <c r="D13" s="1711" t="s">
        <v>411</v>
      </c>
      <c r="E13" s="1712"/>
      <c r="F13" s="1713"/>
      <c r="G13" s="1712"/>
      <c r="H13" s="1712"/>
      <c r="I13" s="1714"/>
      <c r="J13" s="1712"/>
      <c r="K13" s="1712"/>
      <c r="L13" s="1712"/>
      <c r="M13" s="1712"/>
      <c r="N13" s="1713"/>
      <c r="O13" s="1715"/>
    </row>
    <row r="14" spans="1:18">
      <c r="A14" s="4493"/>
      <c r="B14" s="4496"/>
      <c r="C14" s="1708" t="s">
        <v>1680</v>
      </c>
      <c r="D14" s="1711" t="s">
        <v>411</v>
      </c>
      <c r="E14" s="1711" t="s">
        <v>1681</v>
      </c>
      <c r="F14" s="1713"/>
      <c r="G14" s="1716">
        <v>85561.96918443669</v>
      </c>
      <c r="H14" s="1716">
        <f>G14*R14</f>
        <v>88984.44795181416</v>
      </c>
      <c r="I14" s="1714"/>
      <c r="J14" s="1717" t="s">
        <v>1682</v>
      </c>
      <c r="K14" s="1717">
        <v>9.9000000000000005E-2</v>
      </c>
      <c r="L14" s="1718">
        <f>(H14-G14)*J14*K14</f>
        <v>20329.523878222171</v>
      </c>
      <c r="M14" s="1712"/>
      <c r="N14" s="1713"/>
      <c r="O14" s="1719">
        <f>(H14-G14)*J14+L14</f>
        <v>225678.24992087035</v>
      </c>
      <c r="R14" s="1720">
        <v>1.04</v>
      </c>
    </row>
    <row r="15" spans="1:18">
      <c r="A15" s="4493"/>
      <c r="B15" s="4496"/>
      <c r="C15" s="1712"/>
      <c r="D15" s="1711" t="s">
        <v>411</v>
      </c>
      <c r="E15" s="1711" t="s">
        <v>1683</v>
      </c>
      <c r="F15" s="1713"/>
      <c r="G15" s="1716">
        <v>16613.077841451221</v>
      </c>
      <c r="H15" s="1716">
        <f>G15*R15</f>
        <v>17277.600955109268</v>
      </c>
      <c r="I15" s="1714"/>
      <c r="J15" s="1717" t="s">
        <v>877</v>
      </c>
      <c r="K15" s="1717">
        <v>9.9000000000000005E-2</v>
      </c>
      <c r="L15" s="1718">
        <f t="shared" ref="L15:L22" si="0">(H15-G15)*J15*K15</f>
        <v>1315.7557650429346</v>
      </c>
      <c r="M15" s="1712"/>
      <c r="N15" s="1713"/>
      <c r="O15" s="1719">
        <f t="shared" ref="O15:O22" si="1">(H15-G15)*J15+L15</f>
        <v>14606.218038203891</v>
      </c>
      <c r="R15" s="1720">
        <f>R14</f>
        <v>1.04</v>
      </c>
    </row>
    <row r="16" spans="1:18">
      <c r="A16" s="4493"/>
      <c r="B16" s="4496"/>
      <c r="C16" s="1712"/>
      <c r="D16" s="1711" t="s">
        <v>411</v>
      </c>
      <c r="E16" s="1711" t="s">
        <v>1684</v>
      </c>
      <c r="F16" s="1713"/>
      <c r="G16" s="1716">
        <v>139176.83558079196</v>
      </c>
      <c r="H16" s="1716">
        <f>G16*R16</f>
        <v>144743.90900402365</v>
      </c>
      <c r="I16" s="1714"/>
      <c r="J16" s="1717" t="s">
        <v>1685</v>
      </c>
      <c r="K16" s="1717">
        <v>9.9000000000000005E-2</v>
      </c>
      <c r="L16" s="1718">
        <f t="shared" si="0"/>
        <v>44091.221511994983</v>
      </c>
      <c r="M16" s="1712"/>
      <c r="N16" s="1713"/>
      <c r="O16" s="1719">
        <f t="shared" si="1"/>
        <v>489457.09537053015</v>
      </c>
      <c r="R16" s="1720">
        <f t="shared" ref="R16:R62" si="2">R15</f>
        <v>1.04</v>
      </c>
    </row>
    <row r="17" spans="1:18">
      <c r="A17" s="4493"/>
      <c r="B17" s="4496"/>
      <c r="C17" s="1712"/>
      <c r="D17" s="1711" t="s">
        <v>411</v>
      </c>
      <c r="E17" s="1711" t="s">
        <v>1686</v>
      </c>
      <c r="F17" s="1713"/>
      <c r="G17" s="1716">
        <v>63063.761345056002</v>
      </c>
      <c r="H17" s="1716">
        <f>G17*R17</f>
        <v>65586.311798858238</v>
      </c>
      <c r="I17" s="1714"/>
      <c r="J17" s="1717" t="s">
        <v>744</v>
      </c>
      <c r="K17" s="1717">
        <v>9.9000000000000005E-2</v>
      </c>
      <c r="L17" s="1718">
        <f t="shared" si="0"/>
        <v>2497.324949264214</v>
      </c>
      <c r="M17" s="1712"/>
      <c r="N17" s="1713"/>
      <c r="O17" s="1719">
        <f t="shared" si="1"/>
        <v>27722.829487286574</v>
      </c>
      <c r="R17" s="1720">
        <f t="shared" si="2"/>
        <v>1.04</v>
      </c>
    </row>
    <row r="18" spans="1:18">
      <c r="A18" s="4493"/>
      <c r="B18" s="4496"/>
      <c r="C18" s="1708" t="s">
        <v>1679</v>
      </c>
      <c r="D18" s="1711" t="s">
        <v>411</v>
      </c>
      <c r="E18" s="1712"/>
      <c r="F18" s="1713"/>
      <c r="G18" s="1712"/>
      <c r="H18" s="1712"/>
      <c r="I18" s="1714"/>
      <c r="J18" s="1712"/>
      <c r="K18" s="1717">
        <v>9.9000000000000005E-2</v>
      </c>
      <c r="L18" s="1718">
        <f t="shared" si="0"/>
        <v>0</v>
      </c>
      <c r="M18" s="1712"/>
      <c r="N18" s="1713"/>
      <c r="O18" s="1719">
        <f t="shared" si="1"/>
        <v>0</v>
      </c>
      <c r="R18" s="1720">
        <f t="shared" si="2"/>
        <v>1.04</v>
      </c>
    </row>
    <row r="19" spans="1:18">
      <c r="A19" s="4493"/>
      <c r="B19" s="4496"/>
      <c r="C19" s="1708" t="s">
        <v>1679</v>
      </c>
      <c r="D19" s="1711" t="s">
        <v>411</v>
      </c>
      <c r="E19" s="1712"/>
      <c r="F19" s="1713"/>
      <c r="G19" s="1712"/>
      <c r="H19" s="1712"/>
      <c r="I19" s="1714"/>
      <c r="J19" s="1712"/>
      <c r="K19" s="1717">
        <v>9.9000000000000005E-2</v>
      </c>
      <c r="L19" s="1718">
        <f t="shared" si="0"/>
        <v>0</v>
      </c>
      <c r="M19" s="1712"/>
      <c r="N19" s="1713"/>
      <c r="O19" s="1719">
        <f t="shared" si="1"/>
        <v>0</v>
      </c>
      <c r="R19" s="1720">
        <f t="shared" si="2"/>
        <v>1.04</v>
      </c>
    </row>
    <row r="20" spans="1:18">
      <c r="A20" s="4493"/>
      <c r="B20" s="4496"/>
      <c r="C20" s="1708" t="s">
        <v>1680</v>
      </c>
      <c r="D20" s="1711" t="s">
        <v>411</v>
      </c>
      <c r="E20" s="1711" t="s">
        <v>1687</v>
      </c>
      <c r="F20" s="1713"/>
      <c r="G20" s="1716">
        <v>355509.49595926545</v>
      </c>
      <c r="H20" s="1716">
        <f>G20*R20</f>
        <v>369729.87579763605</v>
      </c>
      <c r="I20" s="1714"/>
      <c r="J20" s="1717" t="s">
        <v>1688</v>
      </c>
      <c r="K20" s="1717">
        <v>9.9000000000000005E-2</v>
      </c>
      <c r="L20" s="1718">
        <f t="shared" si="0"/>
        <v>168938.11247984276</v>
      </c>
      <c r="M20" s="1712"/>
      <c r="N20" s="1713"/>
      <c r="O20" s="1719">
        <f t="shared" si="1"/>
        <v>1875383.6930843149</v>
      </c>
      <c r="R20" s="1720">
        <f t="shared" si="2"/>
        <v>1.04</v>
      </c>
    </row>
    <row r="21" spans="1:18">
      <c r="A21" s="4493"/>
      <c r="B21" s="4496"/>
      <c r="C21" s="1712"/>
      <c r="D21" s="1711" t="s">
        <v>411</v>
      </c>
      <c r="E21" s="1711" t="s">
        <v>1689</v>
      </c>
      <c r="F21" s="1713"/>
      <c r="G21" s="1716">
        <v>3231078.8331882134</v>
      </c>
      <c r="H21" s="1716">
        <f>G21*R21</f>
        <v>3360321.9865157423</v>
      </c>
      <c r="I21" s="1714"/>
      <c r="J21" s="1717" t="s">
        <v>1688</v>
      </c>
      <c r="K21" s="1717">
        <v>9.9000000000000005E-2</v>
      </c>
      <c r="L21" s="1718">
        <f t="shared" si="0"/>
        <v>1535408.6615310428</v>
      </c>
      <c r="M21" s="1712"/>
      <c r="N21" s="1713"/>
      <c r="O21" s="1719">
        <f t="shared" si="1"/>
        <v>17044587.060834505</v>
      </c>
      <c r="R21" s="1720">
        <f t="shared" si="2"/>
        <v>1.04</v>
      </c>
    </row>
    <row r="22" spans="1:18">
      <c r="A22" s="4493"/>
      <c r="B22" s="4496"/>
      <c r="C22" s="1712"/>
      <c r="D22" s="1711" t="s">
        <v>411</v>
      </c>
      <c r="E22" s="1708" t="s">
        <v>1690</v>
      </c>
      <c r="F22" s="1713"/>
      <c r="G22" s="1716">
        <v>218441.39247219919</v>
      </c>
      <c r="H22" s="1716">
        <f>G22*R22</f>
        <v>227179.04817108717</v>
      </c>
      <c r="I22" s="1714"/>
      <c r="J22" s="1717" t="s">
        <v>1685</v>
      </c>
      <c r="K22" s="1717">
        <v>9.9000000000000005E-2</v>
      </c>
      <c r="L22" s="1718">
        <f t="shared" si="0"/>
        <v>69202.233135192757</v>
      </c>
      <c r="M22" s="1712"/>
      <c r="N22" s="1713"/>
      <c r="O22" s="1719">
        <f t="shared" si="1"/>
        <v>768214.68904623075</v>
      </c>
      <c r="R22" s="1720">
        <f t="shared" si="2"/>
        <v>1.04</v>
      </c>
    </row>
    <row r="23" spans="1:18">
      <c r="A23" s="4494"/>
      <c r="B23" s="4497"/>
      <c r="C23" s="4490"/>
      <c r="D23" s="4491"/>
      <c r="E23" s="1721"/>
      <c r="F23" s="1721"/>
      <c r="G23" s="1722"/>
      <c r="H23" s="1722"/>
      <c r="I23" s="1721"/>
      <c r="J23" s="1721"/>
      <c r="K23" s="1723"/>
      <c r="L23" s="1723"/>
      <c r="M23" s="1723"/>
      <c r="N23" s="1723"/>
      <c r="O23" s="1724">
        <f>O14+O15+O16+O17+O21+O22</f>
        <v>18570266.142697625</v>
      </c>
      <c r="R23" s="1720">
        <f t="shared" si="2"/>
        <v>1.04</v>
      </c>
    </row>
    <row r="24" spans="1:18">
      <c r="A24" s="1725" t="s">
        <v>1691</v>
      </c>
      <c r="B24" s="4498" t="s">
        <v>1692</v>
      </c>
      <c r="C24" s="4499"/>
      <c r="D24" s="4499"/>
      <c r="E24" s="1721"/>
      <c r="F24" s="1721"/>
      <c r="G24" s="1722"/>
      <c r="H24" s="1722"/>
      <c r="I24" s="1721"/>
      <c r="J24" s="1721"/>
      <c r="K24" s="1721"/>
      <c r="L24" s="1721"/>
      <c r="M24" s="1721"/>
      <c r="N24" s="1721"/>
      <c r="O24" s="1726"/>
      <c r="R24" s="1720">
        <f t="shared" si="2"/>
        <v>1.04</v>
      </c>
    </row>
    <row r="25" spans="1:18">
      <c r="A25" s="4483"/>
      <c r="B25" s="4483"/>
      <c r="C25" s="1712"/>
      <c r="D25" s="1711" t="s">
        <v>411</v>
      </c>
      <c r="E25" s="1708" t="s">
        <v>1693</v>
      </c>
      <c r="F25" s="1713"/>
      <c r="G25" s="1716">
        <v>168183.32259950487</v>
      </c>
      <c r="H25" s="1716">
        <f>G25*R25</f>
        <v>174910.65550348506</v>
      </c>
      <c r="I25" s="1714"/>
      <c r="J25" s="1717" t="s">
        <v>1688</v>
      </c>
      <c r="K25" s="1717">
        <v>9.9000000000000005E-2</v>
      </c>
      <c r="L25" s="1718"/>
      <c r="M25" s="1712"/>
      <c r="N25" s="1713"/>
      <c r="O25" s="1719">
        <f>(H25-G25)*J25*K25</f>
        <v>79920.714899284663</v>
      </c>
      <c r="R25" s="1720">
        <f t="shared" si="2"/>
        <v>1.04</v>
      </c>
    </row>
    <row r="26" spans="1:18">
      <c r="A26" s="4484"/>
      <c r="B26" s="4484"/>
      <c r="C26" s="1712"/>
      <c r="D26" s="1711" t="s">
        <v>411</v>
      </c>
      <c r="E26" s="1708" t="s">
        <v>1694</v>
      </c>
      <c r="F26" s="1713"/>
      <c r="G26" s="1716">
        <v>224627.4772712361</v>
      </c>
      <c r="H26" s="1716">
        <f>G26*R26</f>
        <v>233612.57636208556</v>
      </c>
      <c r="I26" s="1714"/>
      <c r="J26" s="1717" t="s">
        <v>1688</v>
      </c>
      <c r="K26" s="1717">
        <v>9.9000000000000005E-2</v>
      </c>
      <c r="L26" s="1718"/>
      <c r="M26" s="1712"/>
      <c r="N26" s="1713"/>
      <c r="O26" s="1719">
        <f>(H26-G26)*J26*K26</f>
        <v>106742.97719929155</v>
      </c>
      <c r="R26" s="1720">
        <f t="shared" si="2"/>
        <v>1.04</v>
      </c>
    </row>
    <row r="27" spans="1:18">
      <c r="A27" s="4484"/>
      <c r="B27" s="4484"/>
      <c r="C27" s="1708" t="s">
        <v>1679</v>
      </c>
      <c r="D27" s="1711" t="s">
        <v>411</v>
      </c>
      <c r="E27" s="1712"/>
      <c r="F27" s="1713"/>
      <c r="G27" s="1712"/>
      <c r="H27" s="1712"/>
      <c r="I27" s="1714"/>
      <c r="J27" s="1712"/>
      <c r="K27" s="1712"/>
      <c r="L27" s="1718"/>
      <c r="M27" s="1712"/>
      <c r="N27" s="1713"/>
      <c r="O27" s="1727"/>
      <c r="R27" s="1720">
        <f t="shared" si="2"/>
        <v>1.04</v>
      </c>
    </row>
    <row r="28" spans="1:18">
      <c r="A28" s="4485"/>
      <c r="B28" s="4485"/>
      <c r="C28" s="4490"/>
      <c r="D28" s="4491"/>
      <c r="E28" s="1721"/>
      <c r="F28" s="1721"/>
      <c r="G28" s="1722"/>
      <c r="H28" s="1722"/>
      <c r="I28" s="1721"/>
      <c r="J28" s="1721"/>
      <c r="K28" s="1723"/>
      <c r="L28" s="1723"/>
      <c r="M28" s="1723"/>
      <c r="N28" s="1723"/>
      <c r="O28" s="1724">
        <f>O25+O26</f>
        <v>186663.69209857623</v>
      </c>
      <c r="R28" s="1720">
        <f t="shared" si="2"/>
        <v>1.04</v>
      </c>
    </row>
    <row r="29" spans="1:18">
      <c r="A29" s="1725" t="s">
        <v>866</v>
      </c>
      <c r="B29" s="4498" t="s">
        <v>1695</v>
      </c>
      <c r="C29" s="4499"/>
      <c r="D29" s="4499"/>
      <c r="E29" s="1721"/>
      <c r="F29" s="1721"/>
      <c r="G29" s="1722"/>
      <c r="H29" s="1722"/>
      <c r="I29" s="1721"/>
      <c r="J29" s="1721"/>
      <c r="K29" s="1721"/>
      <c r="L29" s="1721"/>
      <c r="M29" s="1721"/>
      <c r="N29" s="1721"/>
      <c r="O29" s="1726"/>
      <c r="R29" s="1720">
        <f t="shared" si="2"/>
        <v>1.04</v>
      </c>
    </row>
    <row r="30" spans="1:18">
      <c r="A30" s="4483"/>
      <c r="B30" s="4483"/>
      <c r="C30" s="1712"/>
      <c r="D30" s="1711" t="s">
        <v>411</v>
      </c>
      <c r="E30" s="1711" t="s">
        <v>1696</v>
      </c>
      <c r="F30" s="1713"/>
      <c r="G30" s="1716">
        <v>62734.231891883537</v>
      </c>
      <c r="H30" s="1716">
        <f>G30*R30</f>
        <v>65243.601167558882</v>
      </c>
      <c r="I30" s="1714"/>
      <c r="J30" s="1717" t="s">
        <v>1682</v>
      </c>
      <c r="K30" s="1717">
        <v>9.4E-2</v>
      </c>
      <c r="L30" s="1718"/>
      <c r="M30" s="1712"/>
      <c r="N30" s="1713"/>
      <c r="O30" s="1719">
        <f>(H30-G30)*J30*K30</f>
        <v>14152.842714808943</v>
      </c>
      <c r="R30" s="1720">
        <f t="shared" si="2"/>
        <v>1.04</v>
      </c>
    </row>
    <row r="31" spans="1:18">
      <c r="A31" s="4484"/>
      <c r="B31" s="4484"/>
      <c r="C31" s="1708" t="s">
        <v>1679</v>
      </c>
      <c r="D31" s="1711" t="s">
        <v>411</v>
      </c>
      <c r="E31" s="1712"/>
      <c r="F31" s="1713"/>
      <c r="G31" s="1712"/>
      <c r="H31" s="1712"/>
      <c r="I31" s="1714"/>
      <c r="J31" s="1712"/>
      <c r="K31" s="1712"/>
      <c r="L31" s="1718"/>
      <c r="M31" s="1712"/>
      <c r="N31" s="1713"/>
      <c r="O31" s="1727"/>
      <c r="R31" s="1720">
        <f t="shared" si="2"/>
        <v>1.04</v>
      </c>
    </row>
    <row r="32" spans="1:18">
      <c r="A32" s="4485"/>
      <c r="B32" s="4485"/>
      <c r="C32" s="4490"/>
      <c r="D32" s="4491"/>
      <c r="E32" s="1721"/>
      <c r="F32" s="1721"/>
      <c r="G32" s="1722"/>
      <c r="H32" s="1722"/>
      <c r="I32" s="1721"/>
      <c r="J32" s="1721"/>
      <c r="K32" s="1723"/>
      <c r="L32" s="1723"/>
      <c r="M32" s="1723"/>
      <c r="N32" s="1723"/>
      <c r="O32" s="1724">
        <f>O30+O31</f>
        <v>14152.842714808943</v>
      </c>
      <c r="R32" s="1720">
        <f t="shared" si="2"/>
        <v>1.04</v>
      </c>
    </row>
    <row r="33" spans="1:18">
      <c r="A33" s="1725" t="s">
        <v>867</v>
      </c>
      <c r="B33" s="4498" t="s">
        <v>1697</v>
      </c>
      <c r="C33" s="4499"/>
      <c r="D33" s="4499"/>
      <c r="E33" s="1721"/>
      <c r="F33" s="1721"/>
      <c r="G33" s="1722"/>
      <c r="H33" s="1722"/>
      <c r="I33" s="1721"/>
      <c r="J33" s="1721"/>
      <c r="K33" s="1721"/>
      <c r="L33" s="1721"/>
      <c r="M33" s="1721"/>
      <c r="N33" s="1721"/>
      <c r="O33" s="1726"/>
      <c r="R33" s="1720">
        <f t="shared" si="2"/>
        <v>1.04</v>
      </c>
    </row>
    <row r="34" spans="1:18">
      <c r="A34" s="4483"/>
      <c r="B34" s="4483"/>
      <c r="C34" s="1712"/>
      <c r="D34" s="1711" t="s">
        <v>411</v>
      </c>
      <c r="E34" s="1708" t="s">
        <v>1698</v>
      </c>
      <c r="F34" s="1713"/>
      <c r="G34" s="1718">
        <v>183979.49256508984</v>
      </c>
      <c r="H34" s="1716">
        <f>G34*R34</f>
        <v>191338.67226769344</v>
      </c>
      <c r="I34" s="1714"/>
      <c r="J34" s="1717" t="s">
        <v>877</v>
      </c>
      <c r="K34" s="1717">
        <v>9.4E-2</v>
      </c>
      <c r="L34" s="1718"/>
      <c r="M34" s="1712"/>
      <c r="N34" s="1713"/>
      <c r="O34" s="1719">
        <f t="shared" ref="O34:O39" si="3">(H34-G34)*J34*K34</f>
        <v>13835.257840894781</v>
      </c>
      <c r="R34" s="1720">
        <f t="shared" si="2"/>
        <v>1.04</v>
      </c>
    </row>
    <row r="35" spans="1:18">
      <c r="A35" s="4484"/>
      <c r="B35" s="4484"/>
      <c r="C35" s="1708" t="s">
        <v>1679</v>
      </c>
      <c r="D35" s="1711" t="s">
        <v>411</v>
      </c>
      <c r="E35" s="1712"/>
      <c r="F35" s="1713"/>
      <c r="G35" s="1715"/>
      <c r="H35" s="1715"/>
      <c r="I35" s="1714"/>
      <c r="J35" s="1712"/>
      <c r="K35" s="1712"/>
      <c r="L35" s="1718"/>
      <c r="M35" s="1712"/>
      <c r="N35" s="1713"/>
      <c r="O35" s="1719">
        <f t="shared" si="3"/>
        <v>0</v>
      </c>
      <c r="R35" s="1720">
        <f t="shared" si="2"/>
        <v>1.04</v>
      </c>
    </row>
    <row r="36" spans="1:18">
      <c r="A36" s="4484"/>
      <c r="B36" s="4484"/>
      <c r="C36" s="1712"/>
      <c r="D36" s="1711" t="s">
        <v>411</v>
      </c>
      <c r="E36" s="1711" t="s">
        <v>1699</v>
      </c>
      <c r="F36" s="1713"/>
      <c r="G36" s="1718">
        <v>167205.39341153722</v>
      </c>
      <c r="H36" s="1716">
        <f>G36*R36</f>
        <v>173893.60914799871</v>
      </c>
      <c r="I36" s="1714"/>
      <c r="J36" s="1717" t="s">
        <v>699</v>
      </c>
      <c r="K36" s="1717">
        <v>9.4E-2</v>
      </c>
      <c r="L36" s="1718"/>
      <c r="M36" s="1712"/>
      <c r="N36" s="1713"/>
      <c r="O36" s="1719">
        <f t="shared" si="3"/>
        <v>628.69227922737946</v>
      </c>
      <c r="R36" s="1720">
        <f t="shared" si="2"/>
        <v>1.04</v>
      </c>
    </row>
    <row r="37" spans="1:18">
      <c r="A37" s="4484"/>
      <c r="B37" s="4484"/>
      <c r="C37" s="1712"/>
      <c r="D37" s="1711" t="s">
        <v>411</v>
      </c>
      <c r="E37" s="1708" t="s">
        <v>1700</v>
      </c>
      <c r="F37" s="1713"/>
      <c r="G37" s="1718">
        <v>102135.37643384059</v>
      </c>
      <c r="H37" s="1716">
        <f>G37*R37</f>
        <v>106220.79149119422</v>
      </c>
      <c r="I37" s="1714"/>
      <c r="J37" s="1717" t="s">
        <v>877</v>
      </c>
      <c r="K37" s="1717">
        <v>9.4E-2</v>
      </c>
      <c r="L37" s="1718"/>
      <c r="M37" s="1712"/>
      <c r="N37" s="1713"/>
      <c r="O37" s="1719">
        <f t="shared" si="3"/>
        <v>7680.5803078248273</v>
      </c>
      <c r="R37" s="1720">
        <f t="shared" si="2"/>
        <v>1.04</v>
      </c>
    </row>
    <row r="38" spans="1:18">
      <c r="A38" s="4484"/>
      <c r="B38" s="4484"/>
      <c r="C38" s="1712"/>
      <c r="D38" s="1711" t="s">
        <v>411</v>
      </c>
      <c r="E38" s="1708" t="s">
        <v>1701</v>
      </c>
      <c r="F38" s="1713"/>
      <c r="G38" s="1718">
        <v>121676.39849330646</v>
      </c>
      <c r="H38" s="1716">
        <f>G38*R38</f>
        <v>126543.45443303873</v>
      </c>
      <c r="I38" s="1714"/>
      <c r="J38" s="1717" t="s">
        <v>1702</v>
      </c>
      <c r="K38" s="1717">
        <v>9.4E-2</v>
      </c>
      <c r="L38" s="1718"/>
      <c r="M38" s="1712"/>
      <c r="N38" s="1713"/>
      <c r="O38" s="1719">
        <f t="shared" si="3"/>
        <v>13725.097750044988</v>
      </c>
      <c r="R38" s="1720">
        <f t="shared" si="2"/>
        <v>1.04</v>
      </c>
    </row>
    <row r="39" spans="1:18">
      <c r="A39" s="4484"/>
      <c r="B39" s="4484"/>
      <c r="C39" s="1712"/>
      <c r="D39" s="1711" t="s">
        <v>411</v>
      </c>
      <c r="E39" s="1708" t="s">
        <v>1703</v>
      </c>
      <c r="F39" s="1713"/>
      <c r="G39" s="1718">
        <v>125863.89156820613</v>
      </c>
      <c r="H39" s="1716">
        <f>G39*R39</f>
        <v>130898.44723093438</v>
      </c>
      <c r="I39" s="1714"/>
      <c r="J39" s="1717" t="s">
        <v>1702</v>
      </c>
      <c r="K39" s="1717">
        <v>9.4E-2</v>
      </c>
      <c r="L39" s="1718"/>
      <c r="M39" s="1712"/>
      <c r="N39" s="1713"/>
      <c r="O39" s="1719">
        <f t="shared" si="3"/>
        <v>14197.446968893664</v>
      </c>
      <c r="R39" s="1720">
        <f t="shared" si="2"/>
        <v>1.04</v>
      </c>
    </row>
    <row r="40" spans="1:18">
      <c r="A40" s="4485"/>
      <c r="B40" s="4485"/>
      <c r="C40" s="4490"/>
      <c r="D40" s="4491"/>
      <c r="E40" s="1721"/>
      <c r="F40" s="1721"/>
      <c r="G40" s="1722"/>
      <c r="H40" s="1722"/>
      <c r="I40" s="1721"/>
      <c r="J40" s="1721"/>
      <c r="K40" s="1723"/>
      <c r="L40" s="1723"/>
      <c r="M40" s="1723"/>
      <c r="N40" s="1723"/>
      <c r="O40" s="1728">
        <f>O34+O35+O36+O37+O38+O39</f>
        <v>50067.075146885647</v>
      </c>
      <c r="R40" s="1720">
        <f t="shared" si="2"/>
        <v>1.04</v>
      </c>
    </row>
    <row r="41" spans="1:18">
      <c r="A41" s="1725" t="s">
        <v>868</v>
      </c>
      <c r="B41" s="4498" t="s">
        <v>1704</v>
      </c>
      <c r="C41" s="4499"/>
      <c r="D41" s="4499"/>
      <c r="E41" s="1721"/>
      <c r="F41" s="1721"/>
      <c r="G41" s="1722"/>
      <c r="H41" s="1722"/>
      <c r="I41" s="1721"/>
      <c r="J41" s="1721"/>
      <c r="K41" s="1721"/>
      <c r="L41" s="1721"/>
      <c r="M41" s="1721"/>
      <c r="N41" s="1721"/>
      <c r="O41" s="1726"/>
      <c r="R41" s="1720">
        <f t="shared" si="2"/>
        <v>1.04</v>
      </c>
    </row>
    <row r="42" spans="1:18">
      <c r="A42" s="4483"/>
      <c r="B42" s="4483"/>
      <c r="C42" s="4486" t="s">
        <v>1705</v>
      </c>
      <c r="D42" s="4487"/>
      <c r="E42" s="1721"/>
      <c r="F42" s="1721"/>
      <c r="G42" s="1722"/>
      <c r="H42" s="1722"/>
      <c r="I42" s="1721"/>
      <c r="J42" s="1721"/>
      <c r="K42" s="1721"/>
      <c r="L42" s="1721"/>
      <c r="M42" s="1721"/>
      <c r="N42" s="1721"/>
      <c r="O42" s="1726"/>
      <c r="R42" s="1720">
        <f t="shared" si="2"/>
        <v>1.04</v>
      </c>
    </row>
    <row r="43" spans="1:18">
      <c r="A43" s="4484"/>
      <c r="B43" s="4484"/>
      <c r="C43" s="4488" t="s">
        <v>411</v>
      </c>
      <c r="D43" s="4489"/>
      <c r="E43" s="1729">
        <v>282098</v>
      </c>
      <c r="F43" s="1730"/>
      <c r="G43" s="1718">
        <v>126395.37397330799</v>
      </c>
      <c r="H43" s="1716">
        <f>G43*R43</f>
        <v>131451.1889322403</v>
      </c>
      <c r="I43" s="1730"/>
      <c r="J43" s="1730">
        <v>40</v>
      </c>
      <c r="K43" s="1717">
        <v>9.4E-2</v>
      </c>
      <c r="L43" s="1730"/>
      <c r="M43" s="1730"/>
      <c r="N43" s="1730"/>
      <c r="O43" s="1719">
        <f>(H43-G43)*J43*K43</f>
        <v>19009.864245585504</v>
      </c>
      <c r="R43" s="1720">
        <f t="shared" si="2"/>
        <v>1.04</v>
      </c>
    </row>
    <row r="44" spans="1:18">
      <c r="A44" s="4485"/>
      <c r="B44" s="4485"/>
      <c r="C44" s="4490"/>
      <c r="D44" s="4491"/>
      <c r="E44" s="1721"/>
      <c r="F44" s="1721"/>
      <c r="G44" s="1722"/>
      <c r="H44" s="1722"/>
      <c r="I44" s="1721"/>
      <c r="J44" s="1721"/>
      <c r="K44" s="1723"/>
      <c r="L44" s="1723"/>
      <c r="M44" s="1723"/>
      <c r="N44" s="1723"/>
      <c r="O44" s="1724">
        <f>O43</f>
        <v>19009.864245585504</v>
      </c>
      <c r="R44" s="1720">
        <f t="shared" si="2"/>
        <v>1.04</v>
      </c>
    </row>
    <row r="45" spans="1:18">
      <c r="A45" s="1725" t="s">
        <v>869</v>
      </c>
      <c r="B45" s="4498" t="s">
        <v>1706</v>
      </c>
      <c r="C45" s="4499"/>
      <c r="D45" s="4499"/>
      <c r="E45" s="1721"/>
      <c r="F45" s="1721"/>
      <c r="G45" s="1722"/>
      <c r="H45" s="1722"/>
      <c r="I45" s="1721"/>
      <c r="J45" s="1721"/>
      <c r="K45" s="1721"/>
      <c r="L45" s="1721"/>
      <c r="M45" s="1721"/>
      <c r="N45" s="1721"/>
      <c r="O45" s="1726"/>
      <c r="R45" s="1720">
        <f t="shared" si="2"/>
        <v>1.04</v>
      </c>
    </row>
    <row r="46" spans="1:18">
      <c r="A46" s="4483"/>
      <c r="B46" s="4483"/>
      <c r="C46" s="4486" t="s">
        <v>1705</v>
      </c>
      <c r="D46" s="4487"/>
      <c r="E46" s="1721"/>
      <c r="F46" s="1721"/>
      <c r="G46" s="1722"/>
      <c r="H46" s="1722"/>
      <c r="I46" s="1721"/>
      <c r="J46" s="1721"/>
      <c r="K46" s="1721"/>
      <c r="L46" s="1721"/>
      <c r="M46" s="1721"/>
      <c r="N46" s="1721"/>
      <c r="O46" s="1726"/>
      <c r="R46" s="1720">
        <f t="shared" si="2"/>
        <v>1.04</v>
      </c>
    </row>
    <row r="47" spans="1:18">
      <c r="A47" s="4484"/>
      <c r="B47" s="4484"/>
      <c r="C47" s="4488" t="s">
        <v>411</v>
      </c>
      <c r="D47" s="4489"/>
      <c r="E47" s="1730"/>
      <c r="F47" s="1730"/>
      <c r="G47" s="1731"/>
      <c r="H47" s="1731"/>
      <c r="I47" s="1730"/>
      <c r="J47" s="1732"/>
      <c r="K47" s="1717"/>
      <c r="L47" s="1730"/>
      <c r="M47" s="1730"/>
      <c r="N47" s="1730"/>
      <c r="O47" s="1719"/>
      <c r="R47" s="1720">
        <f t="shared" si="2"/>
        <v>1.04</v>
      </c>
    </row>
    <row r="48" spans="1:18">
      <c r="A48" s="4485"/>
      <c r="B48" s="4485"/>
      <c r="C48" s="4490"/>
      <c r="D48" s="4491"/>
      <c r="E48" s="1721"/>
      <c r="F48" s="1721"/>
      <c r="G48" s="1722"/>
      <c r="H48" s="1722"/>
      <c r="I48" s="1721"/>
      <c r="J48" s="1721"/>
      <c r="K48" s="1723"/>
      <c r="L48" s="1723"/>
      <c r="M48" s="1723"/>
      <c r="N48" s="1723"/>
      <c r="O48" s="1724"/>
      <c r="R48" s="1720">
        <f t="shared" si="2"/>
        <v>1.04</v>
      </c>
    </row>
    <row r="49" spans="1:18">
      <c r="A49" s="1725" t="s">
        <v>873</v>
      </c>
      <c r="B49" s="4498" t="s">
        <v>1707</v>
      </c>
      <c r="C49" s="4499"/>
      <c r="D49" s="4499"/>
      <c r="E49" s="1721"/>
      <c r="F49" s="1721"/>
      <c r="G49" s="1722"/>
      <c r="H49" s="1722"/>
      <c r="I49" s="1721"/>
      <c r="J49" s="1721"/>
      <c r="K49" s="1721"/>
      <c r="L49" s="1721"/>
      <c r="M49" s="1721"/>
      <c r="N49" s="1721"/>
      <c r="O49" s="1726"/>
      <c r="R49" s="1720">
        <f t="shared" si="2"/>
        <v>1.04</v>
      </c>
    </row>
    <row r="50" spans="1:18">
      <c r="A50" s="4492"/>
      <c r="B50" s="4495"/>
      <c r="C50" s="1712"/>
      <c r="D50" s="1711" t="s">
        <v>411</v>
      </c>
      <c r="E50" s="1711" t="s">
        <v>1708</v>
      </c>
      <c r="F50" s="1713"/>
      <c r="G50" s="1718">
        <v>34922.812531681993</v>
      </c>
      <c r="H50" s="1716">
        <f>G50*R50</f>
        <v>36319.725032949274</v>
      </c>
      <c r="I50" s="1714"/>
      <c r="J50" s="1717" t="s">
        <v>699</v>
      </c>
      <c r="K50" s="1717">
        <v>9.9000000000000005E-2</v>
      </c>
      <c r="L50" s="1712"/>
      <c r="M50" s="1712"/>
      <c r="N50" s="1713"/>
      <c r="O50" s="1719">
        <f t="shared" ref="O50:O57" si="4">(H50-G50)*J50*K50</f>
        <v>138.29433762546086</v>
      </c>
      <c r="R50" s="1720">
        <f t="shared" si="2"/>
        <v>1.04</v>
      </c>
    </row>
    <row r="51" spans="1:18">
      <c r="A51" s="4493"/>
      <c r="B51" s="4496"/>
      <c r="C51" s="1708" t="s">
        <v>1679</v>
      </c>
      <c r="D51" s="1711" t="s">
        <v>411</v>
      </c>
      <c r="E51" s="1712"/>
      <c r="F51" s="1713"/>
      <c r="G51" s="1715"/>
      <c r="H51" s="1715"/>
      <c r="I51" s="1714"/>
      <c r="J51" s="1712"/>
      <c r="K51" s="1712"/>
      <c r="L51" s="1712"/>
      <c r="M51" s="1712"/>
      <c r="N51" s="1713"/>
      <c r="O51" s="1719">
        <f t="shared" si="4"/>
        <v>0</v>
      </c>
      <c r="R51" s="1720">
        <f t="shared" si="2"/>
        <v>1.04</v>
      </c>
    </row>
    <row r="52" spans="1:18">
      <c r="A52" s="4493"/>
      <c r="B52" s="4496"/>
      <c r="C52" s="1712"/>
      <c r="D52" s="1711" t="s">
        <v>411</v>
      </c>
      <c r="E52" s="1711" t="s">
        <v>1709</v>
      </c>
      <c r="F52" s="1713"/>
      <c r="G52" s="1718">
        <v>227121.17686268801</v>
      </c>
      <c r="H52" s="1716">
        <f>G52*R52</f>
        <v>236206.02393719554</v>
      </c>
      <c r="I52" s="1714"/>
      <c r="J52" s="1717" t="s">
        <v>699</v>
      </c>
      <c r="K52" s="1717">
        <v>9.9000000000000005E-2</v>
      </c>
      <c r="L52" s="1712"/>
      <c r="M52" s="1712"/>
      <c r="N52" s="1713"/>
      <c r="O52" s="1719">
        <f t="shared" si="4"/>
        <v>899.39986037624567</v>
      </c>
      <c r="R52" s="1720">
        <f t="shared" si="2"/>
        <v>1.04</v>
      </c>
    </row>
    <row r="53" spans="1:18">
      <c r="A53" s="4493"/>
      <c r="B53" s="4496"/>
      <c r="C53" s="1712"/>
      <c r="D53" s="1711" t="s">
        <v>411</v>
      </c>
      <c r="E53" s="1708" t="s">
        <v>1710</v>
      </c>
      <c r="F53" s="1713"/>
      <c r="G53" s="1718">
        <v>970650.48456478037</v>
      </c>
      <c r="H53" s="1716">
        <f>G53*R53</f>
        <v>1009476.5039473716</v>
      </c>
      <c r="I53" s="1714"/>
      <c r="J53" s="1717" t="s">
        <v>1711</v>
      </c>
      <c r="K53" s="1717">
        <v>9.9000000000000005E-2</v>
      </c>
      <c r="L53" s="1712"/>
      <c r="M53" s="1712"/>
      <c r="N53" s="1713"/>
      <c r="O53" s="1719">
        <f t="shared" si="4"/>
        <v>153751.03675506133</v>
      </c>
      <c r="R53" s="1720">
        <f t="shared" si="2"/>
        <v>1.04</v>
      </c>
    </row>
    <row r="54" spans="1:18">
      <c r="A54" s="4493"/>
      <c r="B54" s="4496"/>
      <c r="C54" s="1712"/>
      <c r="D54" s="1711" t="s">
        <v>411</v>
      </c>
      <c r="E54" s="1711" t="s">
        <v>1712</v>
      </c>
      <c r="F54" s="1713"/>
      <c r="G54" s="1718">
        <v>30259.928279648797</v>
      </c>
      <c r="H54" s="1716">
        <f>G54*R54</f>
        <v>31470.32541083475</v>
      </c>
      <c r="I54" s="1714"/>
      <c r="J54" s="1717" t="s">
        <v>877</v>
      </c>
      <c r="K54" s="1717">
        <v>9.9000000000000005E-2</v>
      </c>
      <c r="L54" s="1712"/>
      <c r="M54" s="1712"/>
      <c r="N54" s="1713"/>
      <c r="O54" s="1719">
        <f t="shared" si="4"/>
        <v>2396.5863197481876</v>
      </c>
      <c r="R54" s="1720">
        <f t="shared" si="2"/>
        <v>1.04</v>
      </c>
    </row>
    <row r="55" spans="1:18">
      <c r="A55" s="4493"/>
      <c r="B55" s="4496"/>
      <c r="C55" s="1712"/>
      <c r="D55" s="1711" t="s">
        <v>411</v>
      </c>
      <c r="E55" s="1708" t="s">
        <v>1713</v>
      </c>
      <c r="F55" s="1713"/>
      <c r="G55" s="1718">
        <v>4069001.7880408019</v>
      </c>
      <c r="H55" s="1716">
        <f>G55*R55</f>
        <v>4231761.8595624343</v>
      </c>
      <c r="I55" s="1714"/>
      <c r="J55" s="1717" t="s">
        <v>1711</v>
      </c>
      <c r="K55" s="1717">
        <v>9.9000000000000005E-2</v>
      </c>
      <c r="L55" s="1712"/>
      <c r="M55" s="1712"/>
      <c r="N55" s="1713"/>
      <c r="O55" s="1719">
        <f t="shared" si="4"/>
        <v>644529.88322566426</v>
      </c>
      <c r="R55" s="1720">
        <f t="shared" si="2"/>
        <v>1.04</v>
      </c>
    </row>
    <row r="56" spans="1:18">
      <c r="A56" s="4493"/>
      <c r="B56" s="4496"/>
      <c r="C56" s="1708" t="s">
        <v>1680</v>
      </c>
      <c r="D56" s="1711" t="s">
        <v>411</v>
      </c>
      <c r="E56" s="1711" t="s">
        <v>1714</v>
      </c>
      <c r="F56" s="1713"/>
      <c r="G56" s="1718">
        <v>284505.48725559481</v>
      </c>
      <c r="H56" s="1716">
        <f>G56*R56</f>
        <v>295885.70674581861</v>
      </c>
      <c r="I56" s="1714"/>
      <c r="J56" s="1717" t="s">
        <v>1715</v>
      </c>
      <c r="K56" s="1717">
        <v>9.9000000000000005E-2</v>
      </c>
      <c r="L56" s="1712"/>
      <c r="M56" s="1712"/>
      <c r="N56" s="1713"/>
      <c r="O56" s="1719">
        <f t="shared" si="4"/>
        <v>56332.086476607801</v>
      </c>
      <c r="R56" s="1720">
        <f t="shared" si="2"/>
        <v>1.04</v>
      </c>
    </row>
    <row r="57" spans="1:18">
      <c r="A57" s="4493"/>
      <c r="B57" s="4496"/>
      <c r="C57" s="1708" t="s">
        <v>1679</v>
      </c>
      <c r="D57" s="1711" t="s">
        <v>411</v>
      </c>
      <c r="E57" s="1712"/>
      <c r="F57" s="1733"/>
      <c r="G57" s="1712"/>
      <c r="H57" s="1712"/>
      <c r="I57" s="1714"/>
      <c r="J57" s="1712"/>
      <c r="K57" s="1712"/>
      <c r="L57" s="1712"/>
      <c r="M57" s="1712"/>
      <c r="N57" s="1713"/>
      <c r="O57" s="1719">
        <f t="shared" si="4"/>
        <v>0</v>
      </c>
      <c r="R57" s="1720">
        <f t="shared" si="2"/>
        <v>1.04</v>
      </c>
    </row>
    <row r="58" spans="1:18">
      <c r="A58" s="4494"/>
      <c r="B58" s="4497"/>
      <c r="C58" s="4490"/>
      <c r="D58" s="4491"/>
      <c r="E58" s="1721"/>
      <c r="F58" s="1721"/>
      <c r="G58" s="1722"/>
      <c r="H58" s="1722"/>
      <c r="I58" s="1721"/>
      <c r="J58" s="1721"/>
      <c r="K58" s="1723"/>
      <c r="L58" s="1723"/>
      <c r="M58" s="1723"/>
      <c r="N58" s="1723"/>
      <c r="O58" s="1724">
        <f>O50+O51+O52+O53+O54+O55+O56+O57</f>
        <v>858047.28697508329</v>
      </c>
      <c r="R58" s="1720">
        <f t="shared" si="2"/>
        <v>1.04</v>
      </c>
    </row>
    <row r="59" spans="1:18">
      <c r="A59" s="1710" t="s">
        <v>1716</v>
      </c>
      <c r="B59" s="4499" t="s">
        <v>1717</v>
      </c>
      <c r="C59" s="4499"/>
      <c r="D59" s="4499"/>
      <c r="E59" s="1734" t="s">
        <v>1718</v>
      </c>
      <c r="F59" s="1734"/>
      <c r="G59" s="1735"/>
      <c r="H59" s="1735"/>
      <c r="I59" s="1734"/>
      <c r="J59" s="1734"/>
      <c r="K59" s="1721"/>
      <c r="L59" s="1721"/>
      <c r="M59" s="1721"/>
      <c r="N59" s="1721"/>
      <c r="O59" s="1726"/>
      <c r="R59" s="1720">
        <f t="shared" si="2"/>
        <v>1.04</v>
      </c>
    </row>
    <row r="60" spans="1:18">
      <c r="A60" s="4492"/>
      <c r="B60" s="4495"/>
      <c r="C60" s="1708" t="s">
        <v>1679</v>
      </c>
      <c r="D60" s="1711" t="s">
        <v>411</v>
      </c>
      <c r="E60" s="1712"/>
      <c r="F60" s="1713"/>
      <c r="G60" s="1712"/>
      <c r="H60" s="1712"/>
      <c r="I60" s="1714"/>
      <c r="J60" s="1712"/>
      <c r="K60" s="1712"/>
      <c r="L60" s="1712"/>
      <c r="M60" s="1712"/>
      <c r="N60" s="1713"/>
      <c r="O60" s="1727"/>
      <c r="R60" s="1720">
        <f t="shared" si="2"/>
        <v>1.04</v>
      </c>
    </row>
    <row r="61" spans="1:18">
      <c r="A61" s="4493"/>
      <c r="B61" s="4496"/>
      <c r="C61" s="1712"/>
      <c r="D61" s="1711" t="s">
        <v>411</v>
      </c>
      <c r="E61" s="1711" t="s">
        <v>1719</v>
      </c>
      <c r="F61" s="1713"/>
      <c r="G61" s="1718">
        <v>211818.34045535931</v>
      </c>
      <c r="H61" s="1716">
        <f>G61*R61</f>
        <v>220291.07407357369</v>
      </c>
      <c r="I61" s="1714"/>
      <c r="J61" s="1717" t="s">
        <v>1688</v>
      </c>
      <c r="K61" s="1717">
        <v>9.9000000000000005E-2</v>
      </c>
      <c r="L61" s="1712"/>
      <c r="M61" s="1712"/>
      <c r="N61" s="1713"/>
      <c r="O61" s="1719">
        <f>(H61-G61)*J61*K61</f>
        <v>100656.0753843868</v>
      </c>
      <c r="R61" s="1720">
        <f t="shared" si="2"/>
        <v>1.04</v>
      </c>
    </row>
    <row r="62" spans="1:18">
      <c r="A62" s="4494"/>
      <c r="B62" s="4497"/>
      <c r="C62" s="1708" t="s">
        <v>1680</v>
      </c>
      <c r="D62" s="1711" t="s">
        <v>411</v>
      </c>
      <c r="E62" s="1711" t="s">
        <v>1720</v>
      </c>
      <c r="F62" s="1713"/>
      <c r="G62" s="1718">
        <v>110202.89425125488</v>
      </c>
      <c r="H62" s="1716">
        <f>G62*R62</f>
        <v>114611.01002130508</v>
      </c>
      <c r="I62" s="1714"/>
      <c r="J62" s="1717" t="s">
        <v>1688</v>
      </c>
      <c r="K62" s="1717">
        <v>9.9000000000000005E-2</v>
      </c>
      <c r="L62" s="1712"/>
      <c r="M62" s="1712"/>
      <c r="N62" s="1713"/>
      <c r="O62" s="1719">
        <f>(H62-G62)*J62*K62</f>
        <v>52368.4153481963</v>
      </c>
      <c r="R62" s="1720">
        <f t="shared" si="2"/>
        <v>1.04</v>
      </c>
    </row>
    <row r="64" spans="1:18">
      <c r="A64" s="1736"/>
    </row>
    <row r="66" spans="1:1">
      <c r="A66" s="1737"/>
    </row>
  </sheetData>
  <mergeCells count="41">
    <mergeCell ref="A5:O5"/>
    <mergeCell ref="A7:O7"/>
    <mergeCell ref="A9:O9"/>
    <mergeCell ref="C11:D11"/>
    <mergeCell ref="B12:D12"/>
    <mergeCell ref="E12:J12"/>
    <mergeCell ref="K12:O12"/>
    <mergeCell ref="B41:D41"/>
    <mergeCell ref="A34:A40"/>
    <mergeCell ref="B34:B40"/>
    <mergeCell ref="C40:D40"/>
    <mergeCell ref="A13:A23"/>
    <mergeCell ref="B13:B23"/>
    <mergeCell ref="C23:D23"/>
    <mergeCell ref="B24:D24"/>
    <mergeCell ref="A25:A28"/>
    <mergeCell ref="B25:B28"/>
    <mergeCell ref="C28:D28"/>
    <mergeCell ref="B29:D29"/>
    <mergeCell ref="A30:A32"/>
    <mergeCell ref="B30:B32"/>
    <mergeCell ref="C32:D32"/>
    <mergeCell ref="B33:D33"/>
    <mergeCell ref="A60:A62"/>
    <mergeCell ref="B60:B62"/>
    <mergeCell ref="B45:D45"/>
    <mergeCell ref="A46:A48"/>
    <mergeCell ref="B46:B48"/>
    <mergeCell ref="A50:A58"/>
    <mergeCell ref="B50:B58"/>
    <mergeCell ref="C58:D58"/>
    <mergeCell ref="B59:D59"/>
    <mergeCell ref="C46:D46"/>
    <mergeCell ref="C47:D47"/>
    <mergeCell ref="C48:D48"/>
    <mergeCell ref="B49:D49"/>
    <mergeCell ref="A42:A44"/>
    <mergeCell ref="B42:B44"/>
    <mergeCell ref="C42:D42"/>
    <mergeCell ref="C43:D43"/>
    <mergeCell ref="C44:D44"/>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7"/>
  <sheetViews>
    <sheetView topLeftCell="A28" zoomScale="60" zoomScaleNormal="60" workbookViewId="0">
      <selection activeCell="L54" sqref="L54:N54"/>
    </sheetView>
  </sheetViews>
  <sheetFormatPr defaultColWidth="9.28515625" defaultRowHeight="12.75"/>
  <cols>
    <col min="1" max="1" width="6.7109375" style="1702" customWidth="1"/>
    <col min="2" max="2" width="78.5703125" style="1702" customWidth="1"/>
    <col min="3" max="3" width="5" style="1702" customWidth="1"/>
    <col min="4" max="4" width="10.7109375" style="1702" customWidth="1"/>
    <col min="5" max="5" width="13.28515625" style="1702" customWidth="1"/>
    <col min="6" max="6" width="12.7109375" style="1702" customWidth="1"/>
    <col min="7" max="7" width="10.7109375" style="1702" customWidth="1"/>
    <col min="8" max="8" width="10.5703125" style="1702" customWidth="1"/>
    <col min="9" max="9" width="9.42578125" style="1702" customWidth="1"/>
    <col min="10" max="10" width="7.28515625" style="1702" customWidth="1"/>
    <col min="11" max="11" width="8.7109375" style="1702" customWidth="1"/>
    <col min="12" max="12" width="8.28515625" style="1702" customWidth="1"/>
    <col min="13" max="13" width="8.42578125" style="1702" customWidth="1"/>
    <col min="14" max="14" width="11.28515625" style="1702" customWidth="1"/>
    <col min="15" max="15" width="15.42578125" style="1702" customWidth="1"/>
    <col min="16" max="16" width="9.28515625" style="1702"/>
    <col min="17" max="17" width="11.7109375" style="1702" customWidth="1"/>
    <col min="18" max="18" width="10.42578125" style="1702" customWidth="1"/>
    <col min="19" max="19" width="11.7109375" style="1702" customWidth="1"/>
    <col min="20" max="20" width="14.7109375" style="1702" customWidth="1"/>
    <col min="21" max="16384" width="9.28515625" style="1702"/>
  </cols>
  <sheetData>
    <row r="1" spans="1:17" ht="33.75">
      <c r="A1" s="1704" t="s">
        <v>1664</v>
      </c>
      <c r="B1" s="1704" t="s">
        <v>1665</v>
      </c>
      <c r="C1" s="4503" t="s">
        <v>1666</v>
      </c>
      <c r="D1" s="4504"/>
      <c r="E1" s="1705" t="s">
        <v>1667</v>
      </c>
      <c r="F1" s="1738" t="s">
        <v>1668</v>
      </c>
      <c r="G1" s="1738" t="s">
        <v>1669</v>
      </c>
      <c r="H1" s="1738" t="s">
        <v>1670</v>
      </c>
      <c r="I1" s="1708" t="s">
        <v>1671</v>
      </c>
      <c r="J1" s="1705" t="s">
        <v>1672</v>
      </c>
      <c r="K1" s="1705" t="s">
        <v>1673</v>
      </c>
      <c r="L1" s="1705" t="s">
        <v>1674</v>
      </c>
      <c r="M1" s="1705" t="s">
        <v>1675</v>
      </c>
      <c r="N1" s="1705" t="s">
        <v>1676</v>
      </c>
      <c r="O1" s="1708" t="s">
        <v>1677</v>
      </c>
    </row>
    <row r="2" spans="1:17">
      <c r="A2" s="4492"/>
      <c r="B2" s="4514"/>
      <c r="C2" s="1739" t="s">
        <v>1679</v>
      </c>
      <c r="D2" s="1740" t="s">
        <v>411</v>
      </c>
      <c r="E2" s="1712"/>
      <c r="F2" s="1712"/>
      <c r="G2" s="1712"/>
      <c r="H2" s="1712"/>
      <c r="I2" s="1712"/>
      <c r="J2" s="1712"/>
      <c r="K2" s="1712"/>
      <c r="L2" s="1712"/>
      <c r="M2" s="1712"/>
      <c r="N2" s="1712"/>
      <c r="O2" s="1712"/>
    </row>
    <row r="3" spans="1:17">
      <c r="A3" s="4494"/>
      <c r="B3" s="4515"/>
      <c r="C3" s="1714"/>
      <c r="D3" s="1712"/>
      <c r="E3" s="1712"/>
      <c r="F3" s="1712"/>
      <c r="G3" s="1712"/>
      <c r="H3" s="1712"/>
      <c r="I3" s="1712"/>
      <c r="J3" s="1712"/>
      <c r="K3" s="1712"/>
      <c r="L3" s="1712"/>
      <c r="M3" s="1712"/>
      <c r="N3" s="1712"/>
      <c r="O3" s="1741"/>
    </row>
    <row r="4" spans="1:17">
      <c r="A4" s="4510" t="s">
        <v>1721</v>
      </c>
      <c r="B4" s="4511"/>
      <c r="C4" s="4512"/>
      <c r="D4" s="1712"/>
      <c r="E4" s="1712"/>
      <c r="F4" s="1712"/>
      <c r="G4" s="1712"/>
      <c r="H4" s="1712"/>
      <c r="I4" s="1712"/>
      <c r="J4" s="1712"/>
      <c r="K4" s="1712"/>
      <c r="L4" s="1712"/>
      <c r="M4" s="1712"/>
      <c r="N4" s="1712"/>
      <c r="O4" s="1712"/>
    </row>
    <row r="5" spans="1:17">
      <c r="A5" s="4492"/>
      <c r="B5" s="4495"/>
      <c r="C5" s="1712"/>
      <c r="D5" s="1740" t="s">
        <v>411</v>
      </c>
      <c r="E5" s="1708" t="s">
        <v>1722</v>
      </c>
      <c r="F5" s="1712"/>
      <c r="G5" s="1742">
        <v>2794997.1745606526</v>
      </c>
      <c r="H5" s="1718">
        <f>G5*Q5</f>
        <v>2906797.0615430786</v>
      </c>
      <c r="I5" s="1712"/>
      <c r="J5" s="1717" t="s">
        <v>699</v>
      </c>
      <c r="K5" s="1711">
        <v>9.4E-2</v>
      </c>
      <c r="L5" s="1712"/>
      <c r="M5" s="1712"/>
      <c r="N5" s="1712"/>
      <c r="O5" s="1719">
        <f>(H5-G5)*J5+L5</f>
        <v>111799.88698242605</v>
      </c>
      <c r="Q5" s="1720">
        <v>1.04</v>
      </c>
    </row>
    <row r="6" spans="1:17">
      <c r="A6" s="4494"/>
      <c r="B6" s="4497"/>
      <c r="C6" s="1712"/>
      <c r="D6" s="1712"/>
      <c r="E6" s="1712"/>
      <c r="F6" s="1712"/>
      <c r="G6" s="1743"/>
      <c r="H6" s="1715"/>
      <c r="I6" s="1712"/>
      <c r="J6" s="1712"/>
      <c r="K6" s="1712"/>
      <c r="L6" s="1712"/>
      <c r="M6" s="1712"/>
      <c r="N6" s="1712"/>
      <c r="O6" s="1724">
        <f>O5</f>
        <v>111799.88698242605</v>
      </c>
      <c r="Q6" s="1720">
        <f>Q5</f>
        <v>1.04</v>
      </c>
    </row>
    <row r="7" spans="1:17">
      <c r="A7" s="4510" t="s">
        <v>1723</v>
      </c>
      <c r="B7" s="4511"/>
      <c r="C7" s="4512"/>
      <c r="D7" s="1712"/>
      <c r="E7" s="1712"/>
      <c r="F7" s="1712"/>
      <c r="G7" s="1743"/>
      <c r="H7" s="1715"/>
      <c r="I7" s="1712"/>
      <c r="J7" s="1712"/>
      <c r="K7" s="1712"/>
      <c r="L7" s="1712"/>
      <c r="M7" s="1712"/>
      <c r="N7" s="1712"/>
      <c r="O7" s="1727"/>
      <c r="Q7" s="1720">
        <f t="shared" ref="Q7:Q40" si="0">Q6</f>
        <v>1.04</v>
      </c>
    </row>
    <row r="8" spans="1:17">
      <c r="A8" s="4492"/>
      <c r="B8" s="4495"/>
      <c r="C8" s="1717" t="s">
        <v>1680</v>
      </c>
      <c r="D8" s="1740" t="s">
        <v>411</v>
      </c>
      <c r="E8" s="1708" t="s">
        <v>1724</v>
      </c>
      <c r="F8" s="1712"/>
      <c r="G8" s="1742">
        <v>230571.73624535007</v>
      </c>
      <c r="H8" s="1718">
        <f>G8*Q8</f>
        <v>239794.60569516409</v>
      </c>
      <c r="I8" s="1712"/>
      <c r="J8" s="1717" t="s">
        <v>1711</v>
      </c>
      <c r="K8" s="1711">
        <v>9.4E-2</v>
      </c>
      <c r="L8" s="1712"/>
      <c r="M8" s="1712"/>
      <c r="N8" s="1712"/>
      <c r="O8" s="1719">
        <f>(H8-G8)*J8+L8</f>
        <v>368914.77799256099</v>
      </c>
      <c r="Q8" s="1720">
        <f t="shared" si="0"/>
        <v>1.04</v>
      </c>
    </row>
    <row r="9" spans="1:17">
      <c r="A9" s="4493"/>
      <c r="B9" s="4496"/>
      <c r="C9" s="1717" t="s">
        <v>1679</v>
      </c>
      <c r="D9" s="1740" t="s">
        <v>411</v>
      </c>
      <c r="E9" s="1712"/>
      <c r="F9" s="1740"/>
      <c r="G9" s="1743"/>
      <c r="H9" s="1715"/>
      <c r="I9" s="1712"/>
      <c r="J9" s="1712"/>
      <c r="K9" s="1712"/>
      <c r="L9" s="1712"/>
      <c r="M9" s="1712"/>
      <c r="N9" s="1712"/>
      <c r="O9" s="1744"/>
      <c r="Q9" s="1720">
        <f t="shared" si="0"/>
        <v>1.04</v>
      </c>
    </row>
    <row r="10" spans="1:17">
      <c r="A10" s="4494"/>
      <c r="B10" s="4497"/>
      <c r="C10" s="1712"/>
      <c r="D10" s="1712"/>
      <c r="E10" s="1712"/>
      <c r="F10" s="1712"/>
      <c r="G10" s="1743"/>
      <c r="H10" s="1715"/>
      <c r="I10" s="1712"/>
      <c r="J10" s="1712"/>
      <c r="K10" s="1712"/>
      <c r="L10" s="1712"/>
      <c r="M10" s="1712"/>
      <c r="N10" s="1712"/>
      <c r="O10" s="1745">
        <f>O8+O9</f>
        <v>368914.77799256099</v>
      </c>
      <c r="Q10" s="1720">
        <f t="shared" si="0"/>
        <v>1.04</v>
      </c>
    </row>
    <row r="11" spans="1:17">
      <c r="A11" s="4510" t="s">
        <v>1725</v>
      </c>
      <c r="B11" s="4511"/>
      <c r="C11" s="4512"/>
      <c r="D11" s="1712"/>
      <c r="E11" s="1712"/>
      <c r="F11" s="1712"/>
      <c r="G11" s="1743"/>
      <c r="H11" s="1715"/>
      <c r="I11" s="1712"/>
      <c r="J11" s="1712"/>
      <c r="K11" s="1712"/>
      <c r="L11" s="1712"/>
      <c r="M11" s="1712"/>
      <c r="N11" s="1712"/>
      <c r="O11" s="1719">
        <f>(H11-G11)*J11+L11</f>
        <v>0</v>
      </c>
      <c r="Q11" s="1720">
        <f t="shared" si="0"/>
        <v>1.04</v>
      </c>
    </row>
    <row r="12" spans="1:17">
      <c r="A12" s="4492"/>
      <c r="B12" s="4495"/>
      <c r="C12" s="1712"/>
      <c r="D12" s="1740" t="s">
        <v>411</v>
      </c>
      <c r="E12" s="1711" t="s">
        <v>1726</v>
      </c>
      <c r="F12" s="1712"/>
      <c r="G12" s="1742">
        <v>14639892.682169355</v>
      </c>
      <c r="H12" s="1718">
        <f>G12*Q12</f>
        <v>15225488.389456131</v>
      </c>
      <c r="I12" s="1712"/>
      <c r="J12" s="1717" t="s">
        <v>1685</v>
      </c>
      <c r="K12" s="1711">
        <v>9.4E-2</v>
      </c>
      <c r="L12" s="1712"/>
      <c r="M12" s="1712"/>
      <c r="N12" s="1712"/>
      <c r="O12" s="1719">
        <f>(H12-G12)*J12+L12</f>
        <v>46847656.582942009</v>
      </c>
      <c r="Q12" s="1720">
        <f t="shared" si="0"/>
        <v>1.04</v>
      </c>
    </row>
    <row r="13" spans="1:17">
      <c r="A13" s="4493"/>
      <c r="B13" s="4496"/>
      <c r="C13" s="1717" t="s">
        <v>1679</v>
      </c>
      <c r="D13" s="1740" t="s">
        <v>411</v>
      </c>
      <c r="E13" s="1712"/>
      <c r="F13" s="1712"/>
      <c r="G13" s="1743"/>
      <c r="H13" s="1715"/>
      <c r="I13" s="1712"/>
      <c r="J13" s="1712"/>
      <c r="K13" s="1712"/>
      <c r="L13" s="1712"/>
      <c r="M13" s="1712"/>
      <c r="N13" s="1712"/>
      <c r="O13" s="1727"/>
      <c r="Q13" s="1720">
        <f t="shared" si="0"/>
        <v>1.04</v>
      </c>
    </row>
    <row r="14" spans="1:17">
      <c r="A14" s="4494"/>
      <c r="B14" s="4497"/>
      <c r="C14" s="1712"/>
      <c r="D14" s="1712"/>
      <c r="E14" s="1712"/>
      <c r="F14" s="1712"/>
      <c r="G14" s="1743"/>
      <c r="H14" s="1715"/>
      <c r="I14" s="1712"/>
      <c r="J14" s="1712"/>
      <c r="K14" s="1712"/>
      <c r="L14" s="1712"/>
      <c r="M14" s="1712"/>
      <c r="N14" s="1712"/>
      <c r="O14" s="1745">
        <f>O11+O12</f>
        <v>46847656.582942009</v>
      </c>
      <c r="Q14" s="1720">
        <f t="shared" si="0"/>
        <v>1.04</v>
      </c>
    </row>
    <row r="15" spans="1:17">
      <c r="A15" s="4510" t="s">
        <v>1727</v>
      </c>
      <c r="B15" s="4512"/>
      <c r="C15" s="1712"/>
      <c r="D15" s="1712"/>
      <c r="E15" s="1712"/>
      <c r="F15" s="1712"/>
      <c r="G15" s="1743"/>
      <c r="H15" s="1715"/>
      <c r="I15" s="1712"/>
      <c r="J15" s="1712"/>
      <c r="K15" s="1712"/>
      <c r="L15" s="1712"/>
      <c r="M15" s="1712"/>
      <c r="N15" s="1712"/>
      <c r="O15" s="1727"/>
      <c r="Q15" s="1720">
        <f t="shared" si="0"/>
        <v>1.04</v>
      </c>
    </row>
    <row r="16" spans="1:17">
      <c r="A16" s="4492"/>
      <c r="B16" s="4495"/>
      <c r="C16" s="1717" t="s">
        <v>1679</v>
      </c>
      <c r="D16" s="1740" t="s">
        <v>411</v>
      </c>
      <c r="E16" s="1712"/>
      <c r="F16" s="1712"/>
      <c r="G16" s="1743"/>
      <c r="H16" s="1715"/>
      <c r="I16" s="1712"/>
      <c r="J16" s="1712"/>
      <c r="K16" s="1712"/>
      <c r="L16" s="1712"/>
      <c r="M16" s="1712"/>
      <c r="N16" s="1712"/>
      <c r="O16" s="1727"/>
      <c r="Q16" s="1720">
        <f t="shared" si="0"/>
        <v>1.04</v>
      </c>
    </row>
    <row r="17" spans="1:17">
      <c r="A17" s="4493"/>
      <c r="B17" s="4496"/>
      <c r="C17" s="1712"/>
      <c r="D17" s="1740" t="s">
        <v>411</v>
      </c>
      <c r="E17" s="1708" t="s">
        <v>1728</v>
      </c>
      <c r="F17" s="1712"/>
      <c r="G17" s="1742">
        <v>1486671.9151313079</v>
      </c>
      <c r="H17" s="1718">
        <f>G17*Q17</f>
        <v>1546138.7917365602</v>
      </c>
      <c r="I17" s="1712"/>
      <c r="J17" s="1717" t="s">
        <v>699</v>
      </c>
      <c r="K17" s="1711">
        <v>9.4E-2</v>
      </c>
      <c r="L17" s="1712"/>
      <c r="M17" s="1712"/>
      <c r="N17" s="1712"/>
      <c r="O17" s="1719">
        <f>(H17-G17)*J17+L17</f>
        <v>59466.87660525227</v>
      </c>
      <c r="Q17" s="1720">
        <f t="shared" si="0"/>
        <v>1.04</v>
      </c>
    </row>
    <row r="18" spans="1:17">
      <c r="A18" s="4494"/>
      <c r="B18" s="4497"/>
      <c r="C18" s="1712"/>
      <c r="D18" s="1712"/>
      <c r="E18" s="1712"/>
      <c r="F18" s="1712"/>
      <c r="G18" s="1746"/>
      <c r="H18" s="1715"/>
      <c r="I18" s="1712"/>
      <c r="J18" s="1712"/>
      <c r="K18" s="1712"/>
      <c r="L18" s="1712"/>
      <c r="M18" s="1712"/>
      <c r="N18" s="1712"/>
      <c r="O18" s="1745">
        <f>O17</f>
        <v>59466.87660525227</v>
      </c>
      <c r="Q18" s="1720">
        <f t="shared" si="0"/>
        <v>1.04</v>
      </c>
    </row>
    <row r="19" spans="1:17">
      <c r="A19" s="4510" t="s">
        <v>1729</v>
      </c>
      <c r="B19" s="4512"/>
      <c r="C19" s="1712"/>
      <c r="D19" s="1712"/>
      <c r="E19" s="1712"/>
      <c r="F19" s="1712"/>
      <c r="G19" s="1746"/>
      <c r="H19" s="1715"/>
      <c r="I19" s="1712"/>
      <c r="J19" s="1712"/>
      <c r="K19" s="1712"/>
      <c r="L19" s="1712"/>
      <c r="M19" s="1712"/>
      <c r="N19" s="1712"/>
      <c r="O19" s="1727"/>
      <c r="Q19" s="1720">
        <f t="shared" si="0"/>
        <v>1.04</v>
      </c>
    </row>
    <row r="20" spans="1:17">
      <c r="A20" s="4492"/>
      <c r="B20" s="4495"/>
      <c r="C20" s="1717" t="s">
        <v>1679</v>
      </c>
      <c r="D20" s="1747" t="s">
        <v>1730</v>
      </c>
      <c r="E20" s="1712"/>
      <c r="F20" s="1712"/>
      <c r="G20" s="1746"/>
      <c r="H20" s="1715"/>
      <c r="I20" s="1712"/>
      <c r="J20" s="1712"/>
      <c r="K20" s="1712"/>
      <c r="L20" s="1712"/>
      <c r="M20" s="1712"/>
      <c r="N20" s="1712"/>
      <c r="O20" s="1727"/>
      <c r="Q20" s="1720">
        <f t="shared" si="0"/>
        <v>1.04</v>
      </c>
    </row>
    <row r="21" spans="1:17">
      <c r="A21" s="4494"/>
      <c r="B21" s="4497"/>
      <c r="C21" s="1712"/>
      <c r="D21" s="1712"/>
      <c r="E21" s="1712"/>
      <c r="F21" s="1712"/>
      <c r="G21" s="1746"/>
      <c r="H21" s="1715"/>
      <c r="I21" s="1712"/>
      <c r="J21" s="1712"/>
      <c r="K21" s="1712"/>
      <c r="L21" s="1712"/>
      <c r="M21" s="1712"/>
      <c r="N21" s="1712"/>
      <c r="O21" s="1727"/>
      <c r="Q21" s="1720">
        <f t="shared" si="0"/>
        <v>1.04</v>
      </c>
    </row>
    <row r="22" spans="1:17">
      <c r="A22" s="4510" t="s">
        <v>1731</v>
      </c>
      <c r="B22" s="4512"/>
      <c r="C22" s="1712"/>
      <c r="D22" s="1712"/>
      <c r="E22" s="1712"/>
      <c r="F22" s="1712"/>
      <c r="G22" s="1746"/>
      <c r="H22" s="1715"/>
      <c r="I22" s="1712"/>
      <c r="J22" s="1712"/>
      <c r="K22" s="1712"/>
      <c r="L22" s="1712"/>
      <c r="M22" s="1712"/>
      <c r="N22" s="1712"/>
      <c r="O22" s="1727"/>
      <c r="Q22" s="1720">
        <f t="shared" si="0"/>
        <v>1.04</v>
      </c>
    </row>
    <row r="23" spans="1:17">
      <c r="A23" s="4492"/>
      <c r="B23" s="4495"/>
      <c r="C23" s="1717" t="s">
        <v>1679</v>
      </c>
      <c r="D23" s="1747" t="s">
        <v>1730</v>
      </c>
      <c r="E23" s="1712"/>
      <c r="F23" s="1712"/>
      <c r="G23" s="1746"/>
      <c r="H23" s="1715"/>
      <c r="I23" s="1712"/>
      <c r="J23" s="1712"/>
      <c r="K23" s="1712"/>
      <c r="L23" s="1712"/>
      <c r="M23" s="1712"/>
      <c r="N23" s="1712"/>
      <c r="O23" s="1727"/>
      <c r="Q23" s="1720">
        <f t="shared" si="0"/>
        <v>1.04</v>
      </c>
    </row>
    <row r="24" spans="1:17">
      <c r="A24" s="4494"/>
      <c r="B24" s="4497"/>
      <c r="C24" s="1712"/>
      <c r="D24" s="1712"/>
      <c r="E24" s="1712"/>
      <c r="F24" s="1712"/>
      <c r="G24" s="1746"/>
      <c r="H24" s="1715"/>
      <c r="I24" s="1712"/>
      <c r="J24" s="1712"/>
      <c r="K24" s="1712"/>
      <c r="L24" s="1712"/>
      <c r="M24" s="1712"/>
      <c r="N24" s="1712"/>
      <c r="O24" s="1727"/>
      <c r="Q24" s="1720">
        <f t="shared" si="0"/>
        <v>1.04</v>
      </c>
    </row>
    <row r="25" spans="1:17">
      <c r="A25" s="4510" t="s">
        <v>1732</v>
      </c>
      <c r="B25" s="4511"/>
      <c r="C25" s="4512"/>
      <c r="D25" s="1712"/>
      <c r="E25" s="1712"/>
      <c r="F25" s="1712"/>
      <c r="G25" s="1746"/>
      <c r="H25" s="1715"/>
      <c r="I25" s="1712"/>
      <c r="J25" s="1712"/>
      <c r="K25" s="1712"/>
      <c r="L25" s="1712"/>
      <c r="M25" s="1712"/>
      <c r="N25" s="1712"/>
      <c r="O25" s="1727"/>
      <c r="Q25" s="1720">
        <f t="shared" si="0"/>
        <v>1.04</v>
      </c>
    </row>
    <row r="26" spans="1:17">
      <c r="A26" s="4492"/>
      <c r="B26" s="4495"/>
      <c r="C26" s="1717" t="s">
        <v>1679</v>
      </c>
      <c r="D26" s="1747" t="s">
        <v>1730</v>
      </c>
      <c r="E26" s="1712"/>
      <c r="F26" s="1712"/>
      <c r="G26" s="1746"/>
      <c r="H26" s="1715"/>
      <c r="I26" s="1712"/>
      <c r="J26" s="1712"/>
      <c r="K26" s="1712"/>
      <c r="L26" s="1712"/>
      <c r="M26" s="1712"/>
      <c r="N26" s="1712"/>
      <c r="O26" s="1727"/>
      <c r="Q26" s="1720">
        <f t="shared" si="0"/>
        <v>1.04</v>
      </c>
    </row>
    <row r="27" spans="1:17">
      <c r="A27" s="4494"/>
      <c r="B27" s="4497"/>
      <c r="C27" s="1748"/>
      <c r="D27" s="1721"/>
      <c r="E27" s="1721"/>
      <c r="F27" s="1721"/>
      <c r="G27" s="1721"/>
      <c r="H27" s="1749"/>
      <c r="I27" s="1721"/>
      <c r="J27" s="1721"/>
      <c r="K27" s="1721"/>
      <c r="L27" s="1721"/>
      <c r="M27" s="1721"/>
      <c r="N27" s="1721"/>
      <c r="O27" s="1750"/>
      <c r="Q27" s="1720">
        <f t="shared" si="0"/>
        <v>1.04</v>
      </c>
    </row>
    <row r="28" spans="1:17">
      <c r="A28" s="1751" t="s">
        <v>1733</v>
      </c>
      <c r="B28" s="1723"/>
      <c r="C28" s="1723"/>
      <c r="D28" s="1723"/>
      <c r="E28" s="1723"/>
      <c r="F28" s="1723"/>
      <c r="G28" s="1723"/>
      <c r="H28" s="1752"/>
      <c r="I28" s="1723"/>
      <c r="J28" s="1723"/>
      <c r="K28" s="1723"/>
      <c r="L28" s="1723"/>
      <c r="M28" s="1723"/>
      <c r="N28" s="1723"/>
      <c r="O28" s="1753"/>
      <c r="Q28" s="1720">
        <f t="shared" si="0"/>
        <v>1.04</v>
      </c>
    </row>
    <row r="29" spans="1:17">
      <c r="A29" s="4492"/>
      <c r="B29" s="4495"/>
      <c r="C29" s="1717" t="s">
        <v>1679</v>
      </c>
      <c r="D29" s="1747" t="s">
        <v>1730</v>
      </c>
      <c r="E29" s="1712"/>
      <c r="F29" s="1740"/>
      <c r="G29" s="1712"/>
      <c r="H29" s="1715"/>
      <c r="I29" s="1712"/>
      <c r="J29" s="1712"/>
      <c r="K29" s="1712"/>
      <c r="L29" s="1712"/>
      <c r="M29" s="1712"/>
      <c r="N29" s="1712"/>
      <c r="O29" s="1754"/>
      <c r="Q29" s="1720">
        <f t="shared" si="0"/>
        <v>1.04</v>
      </c>
    </row>
    <row r="30" spans="1:17">
      <c r="A30" s="4493"/>
      <c r="B30" s="4496"/>
      <c r="C30" s="1717" t="s">
        <v>1679</v>
      </c>
      <c r="D30" s="1747" t="s">
        <v>1730</v>
      </c>
      <c r="E30" s="1712"/>
      <c r="F30" s="1712"/>
      <c r="G30" s="1712"/>
      <c r="H30" s="1715"/>
      <c r="I30" s="1712"/>
      <c r="J30" s="1712"/>
      <c r="K30" s="1712"/>
      <c r="L30" s="1712"/>
      <c r="M30" s="1712"/>
      <c r="N30" s="1712"/>
      <c r="O30" s="1727"/>
      <c r="Q30" s="1720">
        <f t="shared" si="0"/>
        <v>1.04</v>
      </c>
    </row>
    <row r="31" spans="1:17">
      <c r="A31" s="4493"/>
      <c r="B31" s="4496"/>
      <c r="C31" s="1717" t="s">
        <v>1679</v>
      </c>
      <c r="D31" s="1747" t="s">
        <v>1730</v>
      </c>
      <c r="E31" s="1712"/>
      <c r="F31" s="1712"/>
      <c r="G31" s="1712"/>
      <c r="H31" s="1715"/>
      <c r="I31" s="1712"/>
      <c r="J31" s="1712"/>
      <c r="K31" s="1712"/>
      <c r="L31" s="1712"/>
      <c r="M31" s="1712"/>
      <c r="N31" s="1712"/>
      <c r="O31" s="1727"/>
      <c r="Q31" s="1720">
        <f t="shared" si="0"/>
        <v>1.04</v>
      </c>
    </row>
    <row r="32" spans="1:17">
      <c r="A32" s="4493"/>
      <c r="B32" s="4496"/>
      <c r="C32" s="1717" t="s">
        <v>1679</v>
      </c>
      <c r="D32" s="1747" t="s">
        <v>1730</v>
      </c>
      <c r="E32" s="1712"/>
      <c r="F32" s="1712"/>
      <c r="G32" s="1712"/>
      <c r="H32" s="1715"/>
      <c r="I32" s="1712"/>
      <c r="J32" s="1712"/>
      <c r="K32" s="1712"/>
      <c r="L32" s="1712"/>
      <c r="M32" s="1712"/>
      <c r="N32" s="1712"/>
      <c r="O32" s="1727"/>
      <c r="Q32" s="1720">
        <f t="shared" si="0"/>
        <v>1.04</v>
      </c>
    </row>
    <row r="33" spans="1:17">
      <c r="A33" s="4493"/>
      <c r="B33" s="4496"/>
      <c r="C33" s="1717" t="s">
        <v>1679</v>
      </c>
      <c r="D33" s="1747" t="s">
        <v>1730</v>
      </c>
      <c r="E33" s="1712"/>
      <c r="F33" s="1712"/>
      <c r="G33" s="1712"/>
      <c r="H33" s="1715"/>
      <c r="I33" s="1712"/>
      <c r="J33" s="1712"/>
      <c r="K33" s="1712"/>
      <c r="L33" s="1712"/>
      <c r="M33" s="1712"/>
      <c r="N33" s="1712"/>
      <c r="O33" s="1727"/>
      <c r="Q33" s="1720">
        <f t="shared" si="0"/>
        <v>1.04</v>
      </c>
    </row>
    <row r="34" spans="1:17">
      <c r="A34" s="4494"/>
      <c r="B34" s="4497"/>
      <c r="C34" s="1751"/>
      <c r="D34" s="1723"/>
      <c r="E34" s="1723"/>
      <c r="F34" s="1723"/>
      <c r="G34" s="1723"/>
      <c r="H34" s="1752"/>
      <c r="I34" s="1723"/>
      <c r="J34" s="1723"/>
      <c r="K34" s="1723"/>
      <c r="L34" s="1723"/>
      <c r="M34" s="1723"/>
      <c r="N34" s="1723"/>
      <c r="O34" s="1753"/>
      <c r="Q34" s="1720">
        <f t="shared" si="0"/>
        <v>1.04</v>
      </c>
    </row>
    <row r="35" spans="1:17">
      <c r="A35" s="1751" t="s">
        <v>1734</v>
      </c>
      <c r="B35" s="1723"/>
      <c r="C35" s="1723"/>
      <c r="D35" s="1723"/>
      <c r="E35" s="1723"/>
      <c r="F35" s="1723"/>
      <c r="G35" s="1723"/>
      <c r="H35" s="1752"/>
      <c r="I35" s="1723"/>
      <c r="J35" s="1723"/>
      <c r="K35" s="1723"/>
      <c r="L35" s="1723"/>
      <c r="M35" s="1723"/>
      <c r="N35" s="1723"/>
      <c r="O35" s="1753"/>
      <c r="Q35" s="1720">
        <f t="shared" si="0"/>
        <v>1.04</v>
      </c>
    </row>
    <row r="36" spans="1:17">
      <c r="A36" s="4492"/>
      <c r="B36" s="4495"/>
      <c r="C36" s="1717" t="s">
        <v>1680</v>
      </c>
      <c r="D36" s="1740" t="s">
        <v>12</v>
      </c>
      <c r="E36" s="1711" t="s">
        <v>1735</v>
      </c>
      <c r="F36" s="1712"/>
      <c r="G36" s="1742">
        <v>297217.14475900563</v>
      </c>
      <c r="H36" s="1718">
        <f>G36*Q36</f>
        <v>309105.8305493659</v>
      </c>
      <c r="I36" s="1712"/>
      <c r="J36" s="1717" t="s">
        <v>699</v>
      </c>
      <c r="K36" s="1711">
        <v>9.4E-2</v>
      </c>
      <c r="L36" s="1712"/>
      <c r="M36" s="1712"/>
      <c r="N36" s="1712"/>
      <c r="O36" s="1719">
        <f>(H36-G36)*J36+L36</f>
        <v>11888.685790360265</v>
      </c>
      <c r="Q36" s="1720">
        <f t="shared" si="0"/>
        <v>1.04</v>
      </c>
    </row>
    <row r="37" spans="1:17">
      <c r="A37" s="4493"/>
      <c r="B37" s="4496"/>
      <c r="C37" s="1717" t="s">
        <v>1679</v>
      </c>
      <c r="D37" s="1740" t="s">
        <v>12</v>
      </c>
      <c r="E37" s="1712"/>
      <c r="F37" s="1740"/>
      <c r="G37" s="1712"/>
      <c r="H37" s="1715"/>
      <c r="I37" s="1712"/>
      <c r="J37" s="1712"/>
      <c r="K37" s="1712"/>
      <c r="L37" s="1712"/>
      <c r="M37" s="1712"/>
      <c r="N37" s="1712"/>
      <c r="O37" s="1719">
        <f>(H37-G37)*J37*K37</f>
        <v>0</v>
      </c>
      <c r="Q37" s="1720">
        <f t="shared" si="0"/>
        <v>1.04</v>
      </c>
    </row>
    <row r="38" spans="1:17">
      <c r="A38" s="4494"/>
      <c r="B38" s="4497"/>
      <c r="C38" s="1751"/>
      <c r="D38" s="1723"/>
      <c r="E38" s="1723"/>
      <c r="F38" s="1723"/>
      <c r="G38" s="1723"/>
      <c r="H38" s="1752"/>
      <c r="I38" s="1723"/>
      <c r="J38" s="1723"/>
      <c r="K38" s="1723"/>
      <c r="L38" s="1723"/>
      <c r="M38" s="1723"/>
      <c r="N38" s="1723"/>
      <c r="O38" s="1753">
        <f>O36+O37</f>
        <v>11888.685790360265</v>
      </c>
      <c r="Q38" s="1720">
        <f t="shared" si="0"/>
        <v>1.04</v>
      </c>
    </row>
    <row r="39" spans="1:17">
      <c r="A39" s="1751" t="s">
        <v>1736</v>
      </c>
      <c r="B39" s="1723"/>
      <c r="C39" s="1723"/>
      <c r="D39" s="1723"/>
      <c r="E39" s="1723"/>
      <c r="F39" s="1723"/>
      <c r="G39" s="1723"/>
      <c r="H39" s="1752"/>
      <c r="I39" s="1723"/>
      <c r="J39" s="1723"/>
      <c r="K39" s="1723"/>
      <c r="L39" s="1723"/>
      <c r="M39" s="1723"/>
      <c r="N39" s="1723"/>
      <c r="O39" s="1753"/>
      <c r="Q39" s="1720">
        <f t="shared" si="0"/>
        <v>1.04</v>
      </c>
    </row>
    <row r="40" spans="1:17">
      <c r="A40" s="4492"/>
      <c r="B40" s="4495"/>
      <c r="C40" s="1717" t="s">
        <v>1680</v>
      </c>
      <c r="D40" s="1740" t="s">
        <v>12</v>
      </c>
      <c r="E40" s="1711" t="s">
        <v>1737</v>
      </c>
      <c r="F40" s="1712"/>
      <c r="G40" s="1742">
        <v>419127.5010526707</v>
      </c>
      <c r="H40" s="1718">
        <f>G40*Q40</f>
        <v>435892.60109477752</v>
      </c>
      <c r="I40" s="1712"/>
      <c r="J40" s="1717" t="s">
        <v>699</v>
      </c>
      <c r="K40" s="1711">
        <v>9.9000000000000005E-2</v>
      </c>
      <c r="L40" s="1712"/>
      <c r="M40" s="1712"/>
      <c r="N40" s="1712"/>
      <c r="O40" s="1719">
        <f>(H40-G40)*J40+L40</f>
        <v>16765.100042106817</v>
      </c>
      <c r="Q40" s="1720">
        <f t="shared" si="0"/>
        <v>1.04</v>
      </c>
    </row>
    <row r="41" spans="1:17">
      <c r="A41" s="4493"/>
      <c r="B41" s="4496"/>
      <c r="C41" s="1717" t="s">
        <v>1679</v>
      </c>
      <c r="D41" s="1740" t="s">
        <v>12</v>
      </c>
      <c r="E41" s="1712"/>
      <c r="F41" s="1740"/>
      <c r="G41" s="1712"/>
      <c r="H41" s="1715"/>
      <c r="I41" s="1712"/>
      <c r="J41" s="1712"/>
      <c r="K41" s="1711"/>
      <c r="L41" s="1712"/>
      <c r="M41" s="1712"/>
      <c r="N41" s="1712"/>
      <c r="O41" s="1719"/>
      <c r="Q41" s="1720"/>
    </row>
    <row r="42" spans="1:17">
      <c r="A42" s="1755"/>
      <c r="B42" s="1756"/>
      <c r="C42" s="1751"/>
      <c r="D42" s="1723"/>
      <c r="E42" s="1723"/>
      <c r="F42" s="1723"/>
      <c r="G42" s="1723"/>
      <c r="H42" s="1752"/>
      <c r="I42" s="1723"/>
      <c r="J42" s="1723"/>
      <c r="K42" s="1723"/>
      <c r="L42" s="1723"/>
      <c r="M42" s="1723"/>
      <c r="N42" s="1723"/>
      <c r="O42" s="1757">
        <f>O40+O41</f>
        <v>16765.100042106817</v>
      </c>
      <c r="Q42" s="1720"/>
    </row>
    <row r="43" spans="1:17">
      <c r="Q43" s="1720"/>
    </row>
    <row r="44" spans="1:17">
      <c r="A44" s="1701" t="s">
        <v>1738</v>
      </c>
      <c r="Q44" s="1720"/>
    </row>
    <row r="45" spans="1:17">
      <c r="Q45" s="1720"/>
    </row>
    <row r="46" spans="1:17">
      <c r="A46" s="1758"/>
      <c r="Q46" s="1720"/>
    </row>
    <row r="47" spans="1:17">
      <c r="Q47" s="1720"/>
    </row>
    <row r="48" spans="1:17" ht="15.75">
      <c r="A48" s="1701" t="s">
        <v>1739</v>
      </c>
      <c r="Q48" s="1720"/>
    </row>
    <row r="49" spans="1:20">
      <c r="Q49" s="1720"/>
    </row>
    <row r="50" spans="1:20">
      <c r="A50" s="1758"/>
      <c r="H50" s="1759"/>
      <c r="Q50" s="1720"/>
    </row>
    <row r="51" spans="1:20">
      <c r="Q51" s="1720"/>
    </row>
    <row r="52" spans="1:20">
      <c r="A52" s="1760"/>
      <c r="H52" s="1759"/>
      <c r="Q52" s="1720"/>
    </row>
    <row r="53" spans="1:20" ht="23.25">
      <c r="A53" s="1760"/>
      <c r="B53" s="1761" t="s">
        <v>1740</v>
      </c>
      <c r="C53" s="4513" t="s">
        <v>1741</v>
      </c>
      <c r="D53" s="4513"/>
      <c r="E53" s="4509" t="s">
        <v>1742</v>
      </c>
      <c r="F53" s="4509"/>
      <c r="G53" s="4509" t="s">
        <v>1743</v>
      </c>
      <c r="H53" s="4509"/>
      <c r="I53" s="4509" t="s">
        <v>12</v>
      </c>
      <c r="J53" s="4509"/>
      <c r="K53" s="4509"/>
      <c r="L53" s="4509" t="s">
        <v>693</v>
      </c>
      <c r="M53" s="4509"/>
      <c r="N53" s="4509"/>
      <c r="Q53" s="1720"/>
    </row>
    <row r="54" spans="1:20" ht="20.25">
      <c r="A54" s="1760"/>
      <c r="B54" s="1762" t="s">
        <v>280</v>
      </c>
      <c r="C54" s="4506" t="s">
        <v>1341</v>
      </c>
      <c r="D54" s="4506"/>
      <c r="E54" s="4507">
        <f>'Шаблон 46 ГП'!E298</f>
        <v>2685312</v>
      </c>
      <c r="F54" s="4507"/>
      <c r="G54" s="4507">
        <f>'Шаблон 46 ГП'!F298</f>
        <v>17078414</v>
      </c>
      <c r="H54" s="4507"/>
      <c r="I54" s="4507">
        <f>'Шаблон 46 ГП'!G298</f>
        <v>10718320</v>
      </c>
      <c r="J54" s="4507"/>
      <c r="K54" s="4507"/>
      <c r="L54" s="4508">
        <f>SUM(E54:K54)</f>
        <v>30482046</v>
      </c>
      <c r="M54" s="4508"/>
      <c r="N54" s="4508"/>
      <c r="R54" s="1763"/>
      <c r="S54" s="1763"/>
      <c r="T54" s="1763"/>
    </row>
    <row r="55" spans="1:20" ht="20.25">
      <c r="A55" s="1760"/>
      <c r="B55" s="1762" t="s">
        <v>705</v>
      </c>
      <c r="C55" s="4506" t="s">
        <v>1341</v>
      </c>
      <c r="D55" s="4506"/>
      <c r="E55" s="4507">
        <f>'Шаблон 46 ГП'!E299</f>
        <v>0</v>
      </c>
      <c r="F55" s="4507"/>
      <c r="G55" s="4507">
        <f>'Шаблон 46 ГП'!F299</f>
        <v>3618243</v>
      </c>
      <c r="H55" s="4507"/>
      <c r="I55" s="4507">
        <f>'Шаблон 46 ГП'!G299</f>
        <v>21211996</v>
      </c>
      <c r="J55" s="4507"/>
      <c r="K55" s="4507"/>
      <c r="L55" s="4508">
        <f>SUM(E55:K55)</f>
        <v>24830239</v>
      </c>
      <c r="M55" s="4508"/>
      <c r="N55" s="4508"/>
      <c r="S55" s="1763"/>
      <c r="T55" s="1763"/>
    </row>
    <row r="56" spans="1:20" ht="20.25">
      <c r="A56" s="1760"/>
      <c r="B56" s="1762" t="s">
        <v>1744</v>
      </c>
      <c r="C56" s="4506" t="s">
        <v>1341</v>
      </c>
      <c r="D56" s="4506"/>
      <c r="E56" s="4507">
        <f>'Шаблон 46 ГП'!E300</f>
        <v>0</v>
      </c>
      <c r="F56" s="4507"/>
      <c r="G56" s="4507">
        <f>'Шаблон 46 ГП'!F300</f>
        <v>1956120</v>
      </c>
      <c r="H56" s="4507"/>
      <c r="I56" s="4507">
        <f>'Шаблон 46 ГП'!G300</f>
        <v>1660013</v>
      </c>
      <c r="J56" s="4507"/>
      <c r="K56" s="4507"/>
      <c r="L56" s="4508">
        <f>SUM(E56:K56)</f>
        <v>3616133</v>
      </c>
      <c r="M56" s="4508"/>
      <c r="N56" s="4508"/>
      <c r="S56" s="1763"/>
      <c r="T56" s="1763"/>
    </row>
    <row r="57" spans="1:20" ht="20.25">
      <c r="A57" s="1760"/>
      <c r="B57" s="1762" t="s">
        <v>1745</v>
      </c>
      <c r="C57" s="4506" t="s">
        <v>1341</v>
      </c>
      <c r="D57" s="4506"/>
      <c r="E57" s="4507">
        <f>'Шаблон 46 ГП'!E301</f>
        <v>0</v>
      </c>
      <c r="F57" s="4507"/>
      <c r="G57" s="4507">
        <f>'Шаблон 46 ГП'!F301</f>
        <v>133018</v>
      </c>
      <c r="H57" s="4507"/>
      <c r="I57" s="4507">
        <f>'Шаблон 46 ГП'!G301</f>
        <v>14526077</v>
      </c>
      <c r="J57" s="4507"/>
      <c r="K57" s="4507"/>
      <c r="L57" s="4508">
        <f>SUM(E57:K57)</f>
        <v>14659095</v>
      </c>
      <c r="M57" s="4508"/>
      <c r="N57" s="4508"/>
      <c r="S57" s="1763"/>
      <c r="T57" s="1763"/>
    </row>
    <row r="58" spans="1:20" ht="23.25">
      <c r="A58" s="1760"/>
      <c r="B58" s="1761" t="s">
        <v>1324</v>
      </c>
      <c r="C58" s="4506" t="s">
        <v>1341</v>
      </c>
      <c r="D58" s="4506"/>
      <c r="E58" s="4507">
        <f>SUM(E54:F55)</f>
        <v>2685312</v>
      </c>
      <c r="F58" s="4507"/>
      <c r="G58" s="4507">
        <f>SUM(G54:H55)</f>
        <v>20696657</v>
      </c>
      <c r="H58" s="4507"/>
      <c r="I58" s="4507">
        <f>SUM(I54:K55)</f>
        <v>31930316</v>
      </c>
      <c r="J58" s="4507"/>
      <c r="K58" s="4507"/>
      <c r="L58" s="4508">
        <f>SUM(L54:N55)</f>
        <v>55312285</v>
      </c>
      <c r="M58" s="4508"/>
      <c r="N58" s="4508"/>
    </row>
    <row r="59" spans="1:20" ht="20.25">
      <c r="A59" s="1736"/>
      <c r="B59" s="1764"/>
      <c r="D59" s="1765"/>
      <c r="E59" s="1766"/>
      <c r="F59" s="1767"/>
      <c r="H59" s="1765"/>
      <c r="I59" s="1766"/>
    </row>
    <row r="61" spans="1:20">
      <c r="A61" s="1701"/>
      <c r="E61" s="1763"/>
    </row>
    <row r="62" spans="1:20" ht="18.75">
      <c r="A62" s="1701"/>
      <c r="E62" s="1768"/>
      <c r="F62" s="1768"/>
      <c r="G62" s="1768"/>
    </row>
    <row r="63" spans="1:20">
      <c r="A63" s="1701"/>
      <c r="H63" s="1759"/>
    </row>
    <row r="64" spans="1:20">
      <c r="A64" s="1701"/>
      <c r="H64" s="1759"/>
    </row>
    <row r="67" spans="1:1">
      <c r="A67" s="1737"/>
    </row>
  </sheetData>
  <mergeCells count="50">
    <mergeCell ref="C1:D1"/>
    <mergeCell ref="A2:B2"/>
    <mergeCell ref="A3:B3"/>
    <mergeCell ref="A4:C4"/>
    <mergeCell ref="A5:B6"/>
    <mergeCell ref="A19:B19"/>
    <mergeCell ref="A20:B21"/>
    <mergeCell ref="A22:B22"/>
    <mergeCell ref="A23:B24"/>
    <mergeCell ref="A7:C7"/>
    <mergeCell ref="A8:B10"/>
    <mergeCell ref="A11:C11"/>
    <mergeCell ref="A12:B14"/>
    <mergeCell ref="A15:B15"/>
    <mergeCell ref="A16:B18"/>
    <mergeCell ref="A25:C25"/>
    <mergeCell ref="A26:B27"/>
    <mergeCell ref="A36:B38"/>
    <mergeCell ref="A40:B41"/>
    <mergeCell ref="C53:D53"/>
    <mergeCell ref="A29:B34"/>
    <mergeCell ref="G53:H53"/>
    <mergeCell ref="L53:N53"/>
    <mergeCell ref="C54:D54"/>
    <mergeCell ref="E54:F54"/>
    <mergeCell ref="G54:H54"/>
    <mergeCell ref="I54:K54"/>
    <mergeCell ref="L54:N54"/>
    <mergeCell ref="I53:K53"/>
    <mergeCell ref="E53:F53"/>
    <mergeCell ref="C55:D55"/>
    <mergeCell ref="E55:F55"/>
    <mergeCell ref="G55:H55"/>
    <mergeCell ref="I55:K55"/>
    <mergeCell ref="L55:N55"/>
    <mergeCell ref="C56:D56"/>
    <mergeCell ref="E56:F56"/>
    <mergeCell ref="G56:H56"/>
    <mergeCell ref="I56:K56"/>
    <mergeCell ref="L56:N56"/>
    <mergeCell ref="C57:D57"/>
    <mergeCell ref="E57:F57"/>
    <mergeCell ref="G57:H57"/>
    <mergeCell ref="I57:K57"/>
    <mergeCell ref="L57:N57"/>
    <mergeCell ref="C58:D58"/>
    <mergeCell ref="E58:F58"/>
    <mergeCell ref="G58:H58"/>
    <mergeCell ref="I58:K58"/>
    <mergeCell ref="L58:N58"/>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5"/>
  <sheetViews>
    <sheetView topLeftCell="A3" workbookViewId="0">
      <selection activeCell="G37" sqref="G37"/>
    </sheetView>
  </sheetViews>
  <sheetFormatPr defaultColWidth="9.140625" defaultRowHeight="12.75"/>
  <cols>
    <col min="1" max="1" width="51.85546875" style="1845" customWidth="1"/>
    <col min="2" max="2" width="17.85546875" style="1845" customWidth="1"/>
    <col min="3" max="3" width="19.85546875" style="1845" customWidth="1"/>
    <col min="4" max="16384" width="9.140625" style="1845"/>
  </cols>
  <sheetData>
    <row r="1" spans="1:2" hidden="1">
      <c r="A1" s="1141"/>
      <c r="B1" s="1141" t="s">
        <v>1939</v>
      </c>
    </row>
    <row r="2" spans="1:2" ht="15" hidden="1">
      <c r="A2" s="2008"/>
      <c r="B2" s="1141" t="s">
        <v>4018</v>
      </c>
    </row>
    <row r="3" spans="1:2" ht="25.5">
      <c r="A3" s="3456" t="s">
        <v>1191</v>
      </c>
      <c r="B3" s="3457">
        <v>20220701</v>
      </c>
    </row>
    <row r="4" spans="1:2">
      <c r="A4" s="3456" t="s">
        <v>1193</v>
      </c>
      <c r="B4" s="3458" t="s">
        <v>1194</v>
      </c>
    </row>
    <row r="5" spans="1:2">
      <c r="A5" s="3456" t="s">
        <v>1195</v>
      </c>
      <c r="B5" s="3459">
        <v>71</v>
      </c>
    </row>
  </sheetData>
  <dataValidations count="3">
    <dataValidation type="textLength" operator="equal" allowBlank="1" showInputMessage="1" showErrorMessage="1" error="Длина поля должна быть 8 символов" sqref="B3">
      <formula1>8</formula1>
    </dataValidation>
    <dataValidation type="textLength" operator="equal" allowBlank="1" showInputMessage="1" showErrorMessage="1" error="Код участника должен содержать 8 символов" sqref="B4">
      <formula1>8</formula1>
    </dataValidation>
    <dataValidation type="list" allowBlank="1" showInputMessage="1" showErrorMessage="1" sqref="B5">
      <formula1>REGION_LIST</formula1>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4"/>
  <sheetViews>
    <sheetView workbookViewId="0">
      <selection activeCell="G37" sqref="G37"/>
    </sheetView>
  </sheetViews>
  <sheetFormatPr defaultColWidth="9.140625" defaultRowHeight="12.75"/>
  <cols>
    <col min="1" max="1" width="22.7109375" style="2013" customWidth="1"/>
    <col min="2" max="16384" width="9.140625" style="2013"/>
  </cols>
  <sheetData>
    <row r="1" spans="1:1">
      <c r="A1" s="3460" t="s">
        <v>1942</v>
      </c>
    </row>
    <row r="2" spans="1:1" hidden="1">
      <c r="A2" s="2013" t="s">
        <v>1943</v>
      </c>
    </row>
    <row r="3" spans="1:1">
      <c r="A3" s="3461" t="s">
        <v>1318</v>
      </c>
    </row>
    <row r="4" spans="1:1">
      <c r="A4" s="2015"/>
    </row>
  </sheetData>
  <dataValidations count="1">
    <dataValidation type="textLength" operator="equal" allowBlank="1" showInputMessage="1" showErrorMessage="1" error="Код ГТП должен содержать 8 символов" sqref="A3">
      <formula1>8</formula1>
    </dataValidation>
  </dataValidations>
  <pageMargins left="0.7" right="0.7" top="0.75" bottom="0.75" header="0.3" footer="0.3"/>
  <tableParts count="1">
    <tablePart r:id="rId1"/>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78"/>
  <sheetViews>
    <sheetView workbookViewId="0">
      <selection activeCell="G37" sqref="G37"/>
    </sheetView>
  </sheetViews>
  <sheetFormatPr defaultColWidth="9.140625" defaultRowHeight="12.75"/>
  <cols>
    <col min="1" max="1" width="8.140625" style="1845" customWidth="1"/>
    <col min="2" max="2" width="42.7109375" style="1845" customWidth="1"/>
    <col min="3" max="16384" width="9.140625" style="1845"/>
  </cols>
  <sheetData>
    <row r="1" spans="1:2">
      <c r="A1" s="3462" t="s">
        <v>1196</v>
      </c>
      <c r="B1" s="3462" t="s">
        <v>746</v>
      </c>
    </row>
    <row r="2" spans="1:2">
      <c r="A2" s="3462">
        <v>1</v>
      </c>
      <c r="B2" s="3462" t="s">
        <v>1197</v>
      </c>
    </row>
    <row r="3" spans="1:2">
      <c r="A3" s="3462">
        <v>3</v>
      </c>
      <c r="B3" s="3462" t="s">
        <v>1198</v>
      </c>
    </row>
    <row r="4" spans="1:2">
      <c r="A4" s="3462">
        <v>4</v>
      </c>
      <c r="B4" s="3462" t="s">
        <v>1199</v>
      </c>
    </row>
    <row r="5" spans="1:2">
      <c r="A5" s="3462">
        <v>5</v>
      </c>
      <c r="B5" s="3462" t="s">
        <v>1944</v>
      </c>
    </row>
    <row r="6" spans="1:2">
      <c r="A6" s="3462">
        <v>7</v>
      </c>
      <c r="B6" s="3462" t="s">
        <v>1200</v>
      </c>
    </row>
    <row r="7" spans="1:2">
      <c r="A7" s="3462">
        <v>8</v>
      </c>
      <c r="B7" s="3462" t="s">
        <v>1945</v>
      </c>
    </row>
    <row r="8" spans="1:2">
      <c r="A8" s="3462">
        <v>10</v>
      </c>
      <c r="B8" s="3462" t="s">
        <v>1946</v>
      </c>
    </row>
    <row r="9" spans="1:2">
      <c r="A9" s="3462">
        <v>11</v>
      </c>
      <c r="B9" s="3462" t="s">
        <v>1947</v>
      </c>
    </row>
    <row r="10" spans="1:2">
      <c r="A10" s="3462">
        <v>12</v>
      </c>
      <c r="B10" s="3462" t="s">
        <v>1201</v>
      </c>
    </row>
    <row r="11" spans="1:2">
      <c r="A11" s="3462">
        <v>14</v>
      </c>
      <c r="B11" s="3462" t="s">
        <v>1202</v>
      </c>
    </row>
    <row r="12" spans="1:2">
      <c r="A12" s="3462">
        <v>15</v>
      </c>
      <c r="B12" s="3462" t="s">
        <v>1203</v>
      </c>
    </row>
    <row r="13" spans="1:2">
      <c r="A13" s="3462">
        <v>17</v>
      </c>
      <c r="B13" s="3462" t="s">
        <v>1204</v>
      </c>
    </row>
    <row r="14" spans="1:2">
      <c r="A14" s="3462">
        <v>18</v>
      </c>
      <c r="B14" s="3462" t="s">
        <v>1205</v>
      </c>
    </row>
    <row r="15" spans="1:2">
      <c r="A15" s="3462">
        <v>19</v>
      </c>
      <c r="B15" s="3462" t="s">
        <v>1206</v>
      </c>
    </row>
    <row r="16" spans="1:2">
      <c r="A16" s="3462">
        <v>20</v>
      </c>
      <c r="B16" s="3462" t="s">
        <v>1207</v>
      </c>
    </row>
    <row r="17" spans="1:2">
      <c r="A17" s="3462">
        <v>22</v>
      </c>
      <c r="B17" s="3462" t="s">
        <v>1208</v>
      </c>
    </row>
    <row r="18" spans="1:2">
      <c r="A18" s="3462">
        <v>24</v>
      </c>
      <c r="B18" s="3462" t="s">
        <v>1209</v>
      </c>
    </row>
    <row r="19" spans="1:2">
      <c r="A19" s="3462">
        <v>25</v>
      </c>
      <c r="B19" s="3462" t="s">
        <v>1210</v>
      </c>
    </row>
    <row r="20" spans="1:2">
      <c r="A20" s="3462">
        <v>26</v>
      </c>
      <c r="B20" s="3462" t="s">
        <v>1211</v>
      </c>
    </row>
    <row r="21" spans="1:2">
      <c r="A21" s="3462">
        <v>27</v>
      </c>
      <c r="B21" s="3462" t="s">
        <v>1948</v>
      </c>
    </row>
    <row r="22" spans="1:2">
      <c r="A22" s="3462">
        <v>28</v>
      </c>
      <c r="B22" s="3462" t="s">
        <v>1212</v>
      </c>
    </row>
    <row r="23" spans="1:2">
      <c r="A23" s="3462">
        <v>29</v>
      </c>
      <c r="B23" s="3462" t="s">
        <v>1213</v>
      </c>
    </row>
    <row r="24" spans="1:2">
      <c r="A24" s="3462">
        <v>32</v>
      </c>
      <c r="B24" s="3462" t="s">
        <v>1214</v>
      </c>
    </row>
    <row r="25" spans="1:2">
      <c r="A25" s="3462">
        <v>33</v>
      </c>
      <c r="B25" s="3462" t="s">
        <v>1215</v>
      </c>
    </row>
    <row r="26" spans="1:2">
      <c r="A26" s="3462">
        <v>34</v>
      </c>
      <c r="B26" s="3462" t="s">
        <v>1216</v>
      </c>
    </row>
    <row r="27" spans="1:2">
      <c r="A27" s="3462">
        <v>35</v>
      </c>
      <c r="B27" s="3462" t="s">
        <v>1949</v>
      </c>
    </row>
    <row r="28" spans="1:2">
      <c r="A28" s="3462">
        <v>36</v>
      </c>
      <c r="B28" s="3462" t="s">
        <v>1217</v>
      </c>
    </row>
    <row r="29" spans="1:2">
      <c r="A29" s="3462">
        <v>37</v>
      </c>
      <c r="B29" s="3462" t="s">
        <v>1218</v>
      </c>
    </row>
    <row r="30" spans="1:2">
      <c r="A30" s="3462">
        <v>38</v>
      </c>
      <c r="B30" s="3462" t="s">
        <v>1219</v>
      </c>
    </row>
    <row r="31" spans="1:2">
      <c r="A31" s="3462">
        <v>40</v>
      </c>
      <c r="B31" s="3462" t="s">
        <v>1220</v>
      </c>
    </row>
    <row r="32" spans="1:2">
      <c r="A32" s="3462">
        <v>41</v>
      </c>
      <c r="B32" s="3462" t="s">
        <v>1221</v>
      </c>
    </row>
    <row r="33" spans="1:2">
      <c r="A33" s="3462">
        <v>42</v>
      </c>
      <c r="B33" s="3462" t="s">
        <v>1222</v>
      </c>
    </row>
    <row r="34" spans="1:2">
      <c r="A34" s="3462">
        <v>45</v>
      </c>
      <c r="B34" s="3462" t="s">
        <v>1223</v>
      </c>
    </row>
    <row r="35" spans="1:2">
      <c r="A35" s="3462">
        <v>46</v>
      </c>
      <c r="B35" s="3462" t="s">
        <v>1224</v>
      </c>
    </row>
    <row r="36" spans="1:2">
      <c r="A36" s="3462">
        <v>47</v>
      </c>
      <c r="B36" s="3462" t="s">
        <v>1225</v>
      </c>
    </row>
    <row r="37" spans="1:2">
      <c r="A37" s="3462">
        <v>49</v>
      </c>
      <c r="B37" s="3462" t="s">
        <v>1226</v>
      </c>
    </row>
    <row r="38" spans="1:2">
      <c r="A38" s="3462">
        <v>50</v>
      </c>
      <c r="B38" s="3462" t="s">
        <v>1227</v>
      </c>
    </row>
    <row r="39" spans="1:2">
      <c r="A39" s="3462">
        <v>52</v>
      </c>
      <c r="B39" s="3462" t="s">
        <v>1228</v>
      </c>
    </row>
    <row r="40" spans="1:2">
      <c r="A40" s="3462">
        <v>53</v>
      </c>
      <c r="B40" s="3462" t="s">
        <v>1229</v>
      </c>
    </row>
    <row r="41" spans="1:2">
      <c r="A41" s="3462">
        <v>54</v>
      </c>
      <c r="B41" s="3462" t="s">
        <v>1230</v>
      </c>
    </row>
    <row r="42" spans="1:2">
      <c r="A42" s="3462">
        <v>56</v>
      </c>
      <c r="B42" s="3462" t="s">
        <v>1231</v>
      </c>
    </row>
    <row r="43" spans="1:2">
      <c r="A43" s="3462">
        <v>57</v>
      </c>
      <c r="B43" s="3462" t="s">
        <v>1232</v>
      </c>
    </row>
    <row r="44" spans="1:2">
      <c r="A44" s="3462">
        <v>58</v>
      </c>
      <c r="B44" s="3462" t="s">
        <v>1233</v>
      </c>
    </row>
    <row r="45" spans="1:2">
      <c r="A45" s="3462">
        <v>60</v>
      </c>
      <c r="B45" s="3462" t="s">
        <v>1234</v>
      </c>
    </row>
    <row r="46" spans="1:2">
      <c r="A46" s="3462">
        <v>61</v>
      </c>
      <c r="B46" s="3462" t="s">
        <v>1235</v>
      </c>
    </row>
    <row r="47" spans="1:2">
      <c r="A47" s="3462">
        <v>63</v>
      </c>
      <c r="B47" s="3462" t="s">
        <v>1236</v>
      </c>
    </row>
    <row r="48" spans="1:2">
      <c r="A48" s="3462">
        <v>65</v>
      </c>
      <c r="B48" s="3462" t="s">
        <v>1237</v>
      </c>
    </row>
    <row r="49" spans="1:2">
      <c r="A49" s="3462">
        <v>66</v>
      </c>
      <c r="B49" s="3462" t="s">
        <v>1238</v>
      </c>
    </row>
    <row r="50" spans="1:2">
      <c r="A50" s="3462">
        <v>67</v>
      </c>
      <c r="B50" s="3462" t="s">
        <v>1950</v>
      </c>
    </row>
    <row r="51" spans="1:2">
      <c r="A51" s="3462">
        <v>68</v>
      </c>
      <c r="B51" s="3462" t="s">
        <v>1239</v>
      </c>
    </row>
    <row r="52" spans="1:2">
      <c r="A52" s="3462">
        <v>69</v>
      </c>
      <c r="B52" s="3462" t="s">
        <v>1240</v>
      </c>
    </row>
    <row r="53" spans="1:2">
      <c r="A53" s="3462">
        <v>70</v>
      </c>
      <c r="B53" s="3462" t="s">
        <v>1241</v>
      </c>
    </row>
    <row r="54" spans="1:2">
      <c r="A54" s="3462">
        <v>71</v>
      </c>
      <c r="B54" s="3462" t="s">
        <v>1242</v>
      </c>
    </row>
    <row r="55" spans="1:2">
      <c r="A55" s="3462">
        <v>73</v>
      </c>
      <c r="B55" s="3462" t="s">
        <v>1243</v>
      </c>
    </row>
    <row r="56" spans="1:2">
      <c r="A56" s="3462">
        <v>75</v>
      </c>
      <c r="B56" s="3462" t="s">
        <v>1244</v>
      </c>
    </row>
    <row r="57" spans="1:2">
      <c r="A57" s="3462">
        <v>76200</v>
      </c>
      <c r="B57" s="3462" t="s">
        <v>1245</v>
      </c>
    </row>
    <row r="58" spans="1:2">
      <c r="A58" s="3462">
        <v>78</v>
      </c>
      <c r="B58" s="3462" t="s">
        <v>1246</v>
      </c>
    </row>
    <row r="59" spans="1:2">
      <c r="A59" s="3462">
        <v>80</v>
      </c>
      <c r="B59" s="3462" t="s">
        <v>1247</v>
      </c>
    </row>
    <row r="60" spans="1:2">
      <c r="A60" s="3462">
        <v>81</v>
      </c>
      <c r="B60" s="3462" t="s">
        <v>1248</v>
      </c>
    </row>
    <row r="61" spans="1:2">
      <c r="A61" s="3462">
        <v>82</v>
      </c>
      <c r="B61" s="3462" t="s">
        <v>1249</v>
      </c>
    </row>
    <row r="62" spans="1:2">
      <c r="A62" s="3462">
        <v>83</v>
      </c>
      <c r="B62" s="3462" t="s">
        <v>1250</v>
      </c>
    </row>
    <row r="63" spans="1:2">
      <c r="A63" s="3462">
        <v>84</v>
      </c>
      <c r="B63" s="3462" t="s">
        <v>1251</v>
      </c>
    </row>
    <row r="64" spans="1:2">
      <c r="A64" s="3462">
        <v>85</v>
      </c>
      <c r="B64" s="3462" t="s">
        <v>1252</v>
      </c>
    </row>
    <row r="65" spans="1:2">
      <c r="A65" s="3462">
        <v>86</v>
      </c>
      <c r="B65" s="3462" t="s">
        <v>1253</v>
      </c>
    </row>
    <row r="66" spans="1:2">
      <c r="A66" s="3462">
        <v>87</v>
      </c>
      <c r="B66" s="3462" t="s">
        <v>1951</v>
      </c>
    </row>
    <row r="67" spans="1:2">
      <c r="A67" s="3462">
        <v>88</v>
      </c>
      <c r="B67" s="3462" t="s">
        <v>1952</v>
      </c>
    </row>
    <row r="68" spans="1:2">
      <c r="A68" s="3462">
        <v>89</v>
      </c>
      <c r="B68" s="3462" t="s">
        <v>1255</v>
      </c>
    </row>
    <row r="69" spans="1:2">
      <c r="A69" s="3462">
        <v>90</v>
      </c>
      <c r="B69" s="3462" t="s">
        <v>1256</v>
      </c>
    </row>
    <row r="70" spans="1:2">
      <c r="A70" s="3462">
        <v>91</v>
      </c>
      <c r="B70" s="3462" t="s">
        <v>1257</v>
      </c>
    </row>
    <row r="71" spans="1:2">
      <c r="A71" s="3462">
        <v>92</v>
      </c>
      <c r="B71" s="3462" t="s">
        <v>1258</v>
      </c>
    </row>
    <row r="72" spans="1:2">
      <c r="A72" s="3462">
        <v>93</v>
      </c>
      <c r="B72" s="3462" t="s">
        <v>1259</v>
      </c>
    </row>
    <row r="73" spans="1:2">
      <c r="A73" s="3462">
        <v>94</v>
      </c>
      <c r="B73" s="3462" t="s">
        <v>1260</v>
      </c>
    </row>
    <row r="74" spans="1:2">
      <c r="A74" s="3462">
        <v>95</v>
      </c>
      <c r="B74" s="3462" t="s">
        <v>1261</v>
      </c>
    </row>
    <row r="75" spans="1:2">
      <c r="A75" s="3462">
        <v>96</v>
      </c>
      <c r="B75" s="3462" t="s">
        <v>1262</v>
      </c>
    </row>
    <row r="76" spans="1:2">
      <c r="A76" s="3462">
        <v>97</v>
      </c>
      <c r="B76" s="3462" t="s">
        <v>1263</v>
      </c>
    </row>
    <row r="77" spans="1:2">
      <c r="A77" s="3462">
        <v>98</v>
      </c>
      <c r="B77" s="3462" t="s">
        <v>1953</v>
      </c>
    </row>
    <row r="78" spans="1:2">
      <c r="A78" s="3462">
        <v>99</v>
      </c>
      <c r="B78" s="3462" t="s">
        <v>1954</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FD16"/>
  <sheetViews>
    <sheetView workbookViewId="0">
      <selection activeCell="G37" sqref="G37"/>
    </sheetView>
  </sheetViews>
  <sheetFormatPr defaultRowHeight="12.75"/>
  <cols>
    <col min="1" max="1" width="9.140625" style="1845"/>
    <col min="2" max="2" width="59.28515625" style="1845" customWidth="1"/>
    <col min="3" max="16381" width="9.140625" style="1845"/>
    <col min="16382" max="16382" width="9.140625" style="1845" customWidth="1"/>
    <col min="16383" max="16383" width="9.140625" style="1845"/>
    <col min="16384" max="16384" width="3" style="1845" hidden="1" customWidth="1"/>
  </cols>
  <sheetData>
    <row r="1" spans="1:2 16384:16384">
      <c r="A1" s="3462" t="s">
        <v>1196</v>
      </c>
      <c r="B1" s="3462" t="s">
        <v>746</v>
      </c>
      <c r="XFD1" s="3463">
        <v>0</v>
      </c>
    </row>
    <row r="2" spans="1:2 16384:16384" ht="14.25" customHeight="1">
      <c r="A2" s="3463">
        <v>0</v>
      </c>
      <c r="B2" s="3463" t="s">
        <v>4019</v>
      </c>
      <c r="XFD2" s="3463">
        <v>1</v>
      </c>
    </row>
    <row r="3" spans="1:2 16384:16384">
      <c r="A3" s="3463">
        <v>1</v>
      </c>
      <c r="B3" s="3463" t="s">
        <v>1265</v>
      </c>
      <c r="XFD3" s="3463">
        <v>4</v>
      </c>
    </row>
    <row r="4" spans="1:2 16384:16384">
      <c r="A4" s="3463">
        <v>2</v>
      </c>
      <c r="B4" s="3463" t="s">
        <v>439</v>
      </c>
      <c r="XFD4" s="3463">
        <v>5</v>
      </c>
    </row>
    <row r="5" spans="1:2 16384:16384">
      <c r="A5" s="3463">
        <v>3</v>
      </c>
      <c r="B5" s="3463" t="s">
        <v>514</v>
      </c>
      <c r="XFD5" s="3463">
        <v>6</v>
      </c>
    </row>
    <row r="6" spans="1:2 16384:16384">
      <c r="A6" s="3463">
        <v>4</v>
      </c>
      <c r="B6" s="3463" t="s">
        <v>9</v>
      </c>
      <c r="XFD6" s="3463">
        <v>7</v>
      </c>
    </row>
    <row r="7" spans="1:2 16384:16384">
      <c r="A7" s="3463">
        <v>5</v>
      </c>
      <c r="B7" s="3463" t="s">
        <v>513</v>
      </c>
      <c r="XFD7" s="3463">
        <v>8</v>
      </c>
    </row>
    <row r="8" spans="1:2 16384:16384">
      <c r="A8" s="3463">
        <v>6</v>
      </c>
      <c r="B8" s="3463" t="s">
        <v>279</v>
      </c>
      <c r="XFD8" s="3463">
        <v>9</v>
      </c>
    </row>
    <row r="9" spans="1:2 16384:16384">
      <c r="A9" s="3463">
        <v>7</v>
      </c>
      <c r="B9" s="3463" t="s">
        <v>12</v>
      </c>
      <c r="XFD9" s="3463">
        <v>10</v>
      </c>
    </row>
    <row r="10" spans="1:2 16384:16384">
      <c r="A10" s="3463">
        <v>8</v>
      </c>
      <c r="B10" s="3463" t="s">
        <v>1270</v>
      </c>
      <c r="XFD10" s="3463">
        <v>11</v>
      </c>
    </row>
    <row r="11" spans="1:2 16384:16384">
      <c r="A11" s="3463">
        <v>9</v>
      </c>
      <c r="B11" s="3463" t="s">
        <v>1271</v>
      </c>
      <c r="XFD11" s="3463">
        <v>12</v>
      </c>
    </row>
    <row r="12" spans="1:2 16384:16384">
      <c r="A12" s="3463">
        <v>10</v>
      </c>
      <c r="B12" s="3463" t="s">
        <v>1272</v>
      </c>
      <c r="XFD12" s="3463">
        <v>13</v>
      </c>
    </row>
    <row r="13" spans="1:2 16384:16384">
      <c r="A13" s="3463">
        <v>11</v>
      </c>
      <c r="B13" s="3463" t="s">
        <v>1273</v>
      </c>
      <c r="XFD13" s="3463">
        <v>14</v>
      </c>
    </row>
    <row r="14" spans="1:2 16384:16384">
      <c r="A14" s="3463">
        <v>12</v>
      </c>
      <c r="B14" s="3463" t="s">
        <v>1274</v>
      </c>
    </row>
    <row r="15" spans="1:2 16384:16384">
      <c r="A15" s="3463">
        <v>13</v>
      </c>
      <c r="B15" s="3463" t="s">
        <v>1955</v>
      </c>
    </row>
    <row r="16" spans="1:2 16384:16384">
      <c r="A16" s="3463">
        <v>14</v>
      </c>
      <c r="B16" s="3463" t="s">
        <v>1956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Y23"/>
  <sheetViews>
    <sheetView topLeftCell="M1" workbookViewId="0">
      <selection activeCell="R9" sqref="R9"/>
    </sheetView>
  </sheetViews>
  <sheetFormatPr defaultColWidth="9.140625" defaultRowHeight="12.75"/>
  <cols>
    <col min="1" max="1" width="13.85546875" style="1845" customWidth="1"/>
    <col min="2" max="2" width="16.28515625" style="1845" customWidth="1"/>
    <col min="3" max="3" width="36.7109375" style="1845" customWidth="1"/>
    <col min="4" max="4" width="31.7109375" style="1845" customWidth="1"/>
    <col min="5" max="5" width="26.85546875" style="1845" customWidth="1"/>
    <col min="6" max="6" width="19.140625" style="1845" customWidth="1"/>
    <col min="7" max="11" width="18.7109375" style="1845" customWidth="1"/>
    <col min="12" max="12" width="18.5703125" style="1845" customWidth="1"/>
    <col min="13" max="13" width="19.28515625" style="1845" customWidth="1"/>
    <col min="14" max="15" width="35.7109375" style="1845" customWidth="1"/>
    <col min="16" max="16" width="18.7109375" style="1845" customWidth="1"/>
    <col min="17" max="18" width="35.7109375" style="1845" customWidth="1"/>
    <col min="19" max="19" width="18.7109375" style="1845" customWidth="1"/>
    <col min="20" max="21" width="35.7109375" style="1845" customWidth="1"/>
    <col min="22" max="22" width="18.7109375" style="1845" customWidth="1"/>
    <col min="23" max="24" width="35.7109375" style="1845" customWidth="1"/>
    <col min="25" max="25" width="18.7109375" style="1845" customWidth="1"/>
    <col min="26" max="16384" width="9.140625" style="1845"/>
  </cols>
  <sheetData>
    <row r="1" spans="1:25" ht="15.75">
      <c r="A1" s="2016" t="s">
        <v>1957</v>
      </c>
      <c r="B1" s="2017"/>
      <c r="C1" s="2017"/>
      <c r="D1" s="2017"/>
      <c r="E1" s="2017"/>
      <c r="F1" s="2017"/>
      <c r="G1" s="2017"/>
      <c r="H1" s="2017"/>
      <c r="I1" s="2017"/>
      <c r="J1" s="2017"/>
    </row>
    <row r="3" spans="1:25">
      <c r="A3" s="4516" t="s">
        <v>1276</v>
      </c>
      <c r="B3" s="4517" t="s">
        <v>1277</v>
      </c>
      <c r="C3" s="4517" t="s">
        <v>1278</v>
      </c>
      <c r="D3" s="4517" t="s">
        <v>1279</v>
      </c>
      <c r="E3" s="4517" t="s">
        <v>1958</v>
      </c>
      <c r="F3" s="4516" t="s">
        <v>1789</v>
      </c>
      <c r="G3" s="4517" t="s">
        <v>1959</v>
      </c>
      <c r="H3" s="4517"/>
      <c r="I3" s="4517"/>
      <c r="J3" s="4517"/>
      <c r="K3" s="4517" t="s">
        <v>1790</v>
      </c>
      <c r="L3" s="4517" t="s">
        <v>1282</v>
      </c>
      <c r="M3" s="4517"/>
      <c r="N3" s="4518" t="s">
        <v>1283</v>
      </c>
      <c r="O3" s="4519"/>
      <c r="P3" s="4520"/>
      <c r="Q3" s="4518" t="s">
        <v>1284</v>
      </c>
      <c r="R3" s="4519"/>
      <c r="S3" s="4520"/>
      <c r="T3" s="4517" t="s">
        <v>1285</v>
      </c>
      <c r="U3" s="4517"/>
      <c r="V3" s="4517"/>
      <c r="W3" s="4517" t="s">
        <v>1286</v>
      </c>
      <c r="X3" s="4517"/>
      <c r="Y3" s="4517"/>
    </row>
    <row r="4" spans="1:25">
      <c r="A4" s="4322"/>
      <c r="B4" s="4517"/>
      <c r="C4" s="4517"/>
      <c r="D4" s="4517"/>
      <c r="E4" s="4517"/>
      <c r="F4" s="4322"/>
      <c r="G4" s="4517" t="s">
        <v>1287</v>
      </c>
      <c r="H4" s="4517" t="s">
        <v>1288</v>
      </c>
      <c r="I4" s="4517" t="s">
        <v>1289</v>
      </c>
      <c r="J4" s="4517" t="s">
        <v>1290</v>
      </c>
      <c r="K4" s="4517"/>
      <c r="L4" s="4516" t="s">
        <v>1291</v>
      </c>
      <c r="M4" s="4516" t="s">
        <v>1292</v>
      </c>
      <c r="N4" s="4517" t="s">
        <v>1960</v>
      </c>
      <c r="O4" s="3464" t="s">
        <v>1294</v>
      </c>
      <c r="P4" s="4516" t="s">
        <v>1961</v>
      </c>
      <c r="Q4" s="4516" t="s">
        <v>1962</v>
      </c>
      <c r="R4" s="3464" t="s">
        <v>1294</v>
      </c>
      <c r="S4" s="4517" t="s">
        <v>1963</v>
      </c>
      <c r="T4" s="4517" t="s">
        <v>1962</v>
      </c>
      <c r="U4" s="3464" t="s">
        <v>1294</v>
      </c>
      <c r="V4" s="4517" t="s">
        <v>1964</v>
      </c>
      <c r="W4" s="4517" t="s">
        <v>1962</v>
      </c>
      <c r="X4" s="3464" t="s">
        <v>1294</v>
      </c>
      <c r="Y4" s="4517" t="s">
        <v>1965</v>
      </c>
    </row>
    <row r="5" spans="1:25" ht="76.5">
      <c r="A5" s="4323"/>
      <c r="B5" s="4517"/>
      <c r="C5" s="4517"/>
      <c r="D5" s="4517"/>
      <c r="E5" s="4517"/>
      <c r="F5" s="4323"/>
      <c r="G5" s="4517"/>
      <c r="H5" s="4517"/>
      <c r="I5" s="4517"/>
      <c r="J5" s="4517"/>
      <c r="K5" s="4517"/>
      <c r="L5" s="4323"/>
      <c r="M5" s="4323"/>
      <c r="N5" s="4517"/>
      <c r="O5" s="3464" t="s">
        <v>1966</v>
      </c>
      <c r="P5" s="4323"/>
      <c r="Q5" s="4323"/>
      <c r="R5" s="3464" t="s">
        <v>1967</v>
      </c>
      <c r="S5" s="4517"/>
      <c r="T5" s="4517"/>
      <c r="U5" s="3464" t="s">
        <v>1967</v>
      </c>
      <c r="V5" s="4517"/>
      <c r="W5" s="4517"/>
      <c r="X5" s="3464" t="s">
        <v>1967</v>
      </c>
      <c r="Y5" s="4517"/>
    </row>
    <row r="6" spans="1:25">
      <c r="A6" s="3465" t="s">
        <v>1298</v>
      </c>
      <c r="B6" s="3465">
        <v>1</v>
      </c>
      <c r="C6" s="3465">
        <v>2</v>
      </c>
      <c r="D6" s="3465">
        <v>3</v>
      </c>
      <c r="E6" s="3465">
        <v>4</v>
      </c>
      <c r="F6" s="3465">
        <v>5</v>
      </c>
      <c r="G6" s="3465">
        <v>6</v>
      </c>
      <c r="H6" s="3465">
        <v>7</v>
      </c>
      <c r="I6" s="3465">
        <v>8</v>
      </c>
      <c r="J6" s="3465">
        <v>9</v>
      </c>
      <c r="K6" s="3465">
        <v>10</v>
      </c>
      <c r="L6" s="3465">
        <v>11</v>
      </c>
      <c r="M6" s="3465">
        <v>12</v>
      </c>
      <c r="N6" s="3465">
        <v>13</v>
      </c>
      <c r="O6" s="3465">
        <v>14</v>
      </c>
      <c r="P6" s="3465">
        <v>15</v>
      </c>
      <c r="Q6" s="3465">
        <v>16</v>
      </c>
      <c r="R6" s="3465">
        <v>17</v>
      </c>
      <c r="S6" s="3465">
        <v>18</v>
      </c>
      <c r="T6" s="2019">
        <v>19</v>
      </c>
      <c r="U6" s="2019">
        <v>20</v>
      </c>
      <c r="V6" s="2019">
        <v>21</v>
      </c>
      <c r="W6" s="2019">
        <v>22</v>
      </c>
      <c r="X6" s="2019">
        <v>23</v>
      </c>
      <c r="Y6" s="2020">
        <v>24</v>
      </c>
    </row>
    <row r="7" spans="1:25">
      <c r="A7" s="1845" t="s">
        <v>1298</v>
      </c>
      <c r="B7" s="1845" t="s">
        <v>1299</v>
      </c>
      <c r="C7" s="1845" t="s">
        <v>1300</v>
      </c>
      <c r="D7" s="1845" t="s">
        <v>1301</v>
      </c>
      <c r="E7" s="1845" t="s">
        <v>1302</v>
      </c>
      <c r="F7" s="1845" t="s">
        <v>1556</v>
      </c>
      <c r="G7" s="1845" t="s">
        <v>1303</v>
      </c>
      <c r="H7" s="1845" t="s">
        <v>1304</v>
      </c>
      <c r="I7" s="1845" t="s">
        <v>1305</v>
      </c>
      <c r="J7" s="1845" t="s">
        <v>1306</v>
      </c>
      <c r="K7" s="1845" t="s">
        <v>1968</v>
      </c>
      <c r="L7" s="1845" t="s">
        <v>1307</v>
      </c>
      <c r="M7" s="1845" t="s">
        <v>1308</v>
      </c>
      <c r="N7" s="1845" t="s">
        <v>1309</v>
      </c>
      <c r="O7" s="1845" t="s">
        <v>1310</v>
      </c>
      <c r="P7" s="1845" t="s">
        <v>1969</v>
      </c>
      <c r="Q7" s="1845" t="s">
        <v>1311</v>
      </c>
      <c r="R7" s="1845" t="s">
        <v>1312</v>
      </c>
      <c r="S7" s="1845" t="s">
        <v>1970</v>
      </c>
      <c r="T7" s="1845" t="s">
        <v>1313</v>
      </c>
      <c r="U7" s="1845" t="s">
        <v>1314</v>
      </c>
      <c r="V7" s="1845" t="s">
        <v>1971</v>
      </c>
      <c r="W7" s="1845" t="s">
        <v>1315</v>
      </c>
      <c r="X7" s="1845" t="s">
        <v>1316</v>
      </c>
      <c r="Y7" s="1845" t="s">
        <v>1972</v>
      </c>
    </row>
    <row r="8" spans="1:25">
      <c r="A8" s="1845">
        <v>0</v>
      </c>
      <c r="B8" s="516"/>
      <c r="C8" s="516"/>
      <c r="D8" s="516"/>
      <c r="E8" s="1150">
        <f>IFERROR(('Шаблон 46 ГП'!L67+'Шаблон 46 ГП'!L268)/(F8),2)</f>
        <v>8415.5070257968928</v>
      </c>
      <c r="F8" s="513">
        <f>F9+F11+F12+F13</f>
        <v>21638.613000000001</v>
      </c>
      <c r="G8" s="1150">
        <f>IFERROR((G16/G17*1000),0)</f>
        <v>7225.633468158816</v>
      </c>
      <c r="H8" s="1150">
        <f>IFERROR((H16/H17*1000),0)</f>
        <v>12168.772447291003</v>
      </c>
      <c r="I8" s="1150">
        <v>0</v>
      </c>
      <c r="J8" s="1150">
        <v>0</v>
      </c>
      <c r="K8" s="1150">
        <f>'Шаблон 46 ГП'!C71/1000</f>
        <v>295.92700000000002</v>
      </c>
      <c r="L8" s="1150">
        <f>Таблица114[[#This Row],[v9]]</f>
        <v>24830.238999999998</v>
      </c>
      <c r="M8" s="1150">
        <f>Таблица114[[#This Row],[v10]]</f>
        <v>2297.09</v>
      </c>
      <c r="N8" s="1150">
        <f>ROUND(Таблица114[[#This Row],[v11]],2)</f>
        <v>8808.2900000000009</v>
      </c>
      <c r="O8" s="1150">
        <v>0</v>
      </c>
      <c r="P8" s="1150">
        <f>Таблица114[[#This Row],[v21]]</f>
        <v>6724.0690000000004</v>
      </c>
      <c r="Q8" s="1150">
        <f>ROUND(Таблица114[[#This Row],[v13]],2)</f>
        <v>7581.89</v>
      </c>
      <c r="R8" s="1150">
        <f>O8</f>
        <v>0</v>
      </c>
      <c r="S8" s="1150">
        <f>Таблица114[[#This Row],[v22]]</f>
        <v>3691.2719999999999</v>
      </c>
      <c r="T8" s="1150">
        <v>0</v>
      </c>
      <c r="U8" s="1150">
        <v>0</v>
      </c>
      <c r="V8" s="1150">
        <v>0</v>
      </c>
      <c r="W8" s="1150">
        <v>0</v>
      </c>
      <c r="X8" s="1150">
        <v>0</v>
      </c>
      <c r="Y8" s="1150">
        <v>0</v>
      </c>
    </row>
    <row r="9" spans="1:25">
      <c r="A9" s="1845">
        <v>1</v>
      </c>
      <c r="B9" s="516"/>
      <c r="C9" s="516"/>
      <c r="D9" s="516"/>
      <c r="E9" s="1150">
        <f>IFERROR(('Шаблон 46 ГП'!L69+'Шаблон 46 ГП'!L268)/(F9),2)</f>
        <v>3966.8716821225385</v>
      </c>
      <c r="F9" s="513">
        <f>IFERROR(('Шаблон 46 ГП'!C69/1000+'Шаблон 46 ГП'!C268/1000),0)</f>
        <v>1859.8109999999999</v>
      </c>
      <c r="G9" s="1150">
        <v>0</v>
      </c>
      <c r="H9" s="1150">
        <v>0</v>
      </c>
      <c r="I9" s="1150">
        <v>0</v>
      </c>
      <c r="J9" s="1150">
        <v>0</v>
      </c>
      <c r="K9" s="1150">
        <v>0</v>
      </c>
      <c r="L9" s="1150">
        <v>0</v>
      </c>
      <c r="M9" s="1150">
        <v>0</v>
      </c>
      <c r="N9" s="1150">
        <v>0</v>
      </c>
      <c r="O9" s="1150">
        <v>0</v>
      </c>
      <c r="P9" s="1150">
        <v>0</v>
      </c>
      <c r="Q9" s="1150">
        <f>ROUND(Таблица114[[#This Row],[v13]],2)</f>
        <v>0</v>
      </c>
      <c r="R9" s="1150">
        <v>0</v>
      </c>
      <c r="S9" s="1150">
        <v>0</v>
      </c>
      <c r="T9" s="1150">
        <v>0</v>
      </c>
      <c r="U9" s="1150">
        <v>0</v>
      </c>
      <c r="V9" s="1150">
        <v>0</v>
      </c>
      <c r="W9" s="1150">
        <v>0</v>
      </c>
      <c r="X9" s="1150">
        <v>0</v>
      </c>
      <c r="Y9" s="1150">
        <v>0</v>
      </c>
    </row>
    <row r="10" spans="1:25">
      <c r="A10" s="1845">
        <v>4</v>
      </c>
      <c r="B10" s="516"/>
      <c r="C10" s="516"/>
      <c r="D10" s="516"/>
      <c r="E10" s="1150">
        <v>0</v>
      </c>
      <c r="F10" s="1150">
        <v>0</v>
      </c>
      <c r="G10" s="1150">
        <v>0</v>
      </c>
      <c r="H10" s="1150">
        <v>0</v>
      </c>
      <c r="I10" s="1150">
        <v>0</v>
      </c>
      <c r="J10" s="1150">
        <v>0</v>
      </c>
      <c r="K10" s="1150">
        <v>0</v>
      </c>
      <c r="L10" s="1150">
        <v>0</v>
      </c>
      <c r="M10" s="1150">
        <v>0</v>
      </c>
      <c r="N10" s="1150">
        <v>0</v>
      </c>
      <c r="O10" s="1150">
        <v>0</v>
      </c>
      <c r="P10" s="1150">
        <v>0</v>
      </c>
      <c r="Q10" s="1150">
        <v>0</v>
      </c>
      <c r="R10" s="1150">
        <v>0</v>
      </c>
      <c r="S10" s="1150">
        <v>0</v>
      </c>
      <c r="T10" s="1150">
        <v>0</v>
      </c>
      <c r="U10" s="1150">
        <v>0</v>
      </c>
      <c r="V10" s="1150">
        <v>0</v>
      </c>
      <c r="W10" s="1150">
        <v>0</v>
      </c>
      <c r="X10" s="1150">
        <v>0</v>
      </c>
      <c r="Y10" s="1150">
        <v>0</v>
      </c>
    </row>
    <row r="11" spans="1:25">
      <c r="A11" s="1845">
        <v>5</v>
      </c>
      <c r="B11" s="516"/>
      <c r="C11" s="516"/>
      <c r="D11" s="516"/>
      <c r="E11" s="1150">
        <f>IFERROR(('Шаблон 46 ГП'!N68)/(F11),2)</f>
        <v>8459.4099709761576</v>
      </c>
      <c r="F11" s="513">
        <f>IFERROR(('Шаблон 46 ГП'!E68/1000),0)</f>
        <v>190.53299999999999</v>
      </c>
      <c r="G11" s="1150">
        <v>0</v>
      </c>
      <c r="H11" s="1150">
        <v>0</v>
      </c>
      <c r="I11" s="1150">
        <v>0</v>
      </c>
      <c r="J11" s="1150">
        <v>0</v>
      </c>
      <c r="K11" s="1150">
        <v>0</v>
      </c>
      <c r="L11" s="1150">
        <v>0</v>
      </c>
      <c r="M11" s="1150">
        <v>0</v>
      </c>
      <c r="N11" s="1150">
        <f>ROUND(Таблица114[[#This Row],[v11]],2)</f>
        <v>8996.07</v>
      </c>
      <c r="O11" s="1150">
        <f>O8</f>
        <v>0</v>
      </c>
      <c r="P11" s="1150">
        <f>Таблица114[[#This Row],[v21]]</f>
        <v>4215.41</v>
      </c>
      <c r="Q11" s="1150">
        <f>ROUND(Таблица114[[#This Row],[v13]],2)</f>
        <v>9512.89</v>
      </c>
      <c r="R11" s="1150">
        <v>0</v>
      </c>
      <c r="S11" s="1150">
        <v>0</v>
      </c>
      <c r="T11" s="1150">
        <v>0</v>
      </c>
      <c r="U11" s="1150">
        <v>0</v>
      </c>
      <c r="V11" s="1150">
        <v>0</v>
      </c>
      <c r="W11" s="1150">
        <v>0</v>
      </c>
      <c r="X11" s="1150">
        <v>0</v>
      </c>
      <c r="Y11" s="1150">
        <v>0</v>
      </c>
    </row>
    <row r="12" spans="1:25">
      <c r="A12" s="1845">
        <v>6</v>
      </c>
      <c r="B12" s="516"/>
      <c r="C12" s="516"/>
      <c r="D12" s="516"/>
      <c r="E12" s="1150">
        <f>IFERROR(('Шаблон 46 ГП'!O68)/(F12),2)</f>
        <v>8750.329999522768</v>
      </c>
      <c r="F12" s="513">
        <f>IFERROR(('Шаблон 46 ГП'!F68/1000),0)</f>
        <v>12467.715</v>
      </c>
      <c r="G12" s="1150">
        <f>IFERROR((G19/G20*1000),0)</f>
        <v>7223.0700360569572</v>
      </c>
      <c r="H12" s="1150">
        <f>IFERROR((H19/H20*1000),0)</f>
        <v>12166.399996904887</v>
      </c>
      <c r="I12" s="1150">
        <v>0</v>
      </c>
      <c r="J12" s="1150">
        <v>0</v>
      </c>
      <c r="K12" s="1150">
        <f>'Шаблон 46 ГП'!F71/1000</f>
        <v>292.86599999999999</v>
      </c>
      <c r="L12" s="1150">
        <f>Таблица114[[#This Row],[v9]]</f>
        <v>21211.995999999999</v>
      </c>
      <c r="M12" s="1150">
        <f>Таблица114[[#This Row],[v10]]</f>
        <v>2257.63</v>
      </c>
      <c r="N12" s="1150">
        <f>ROUND(Таблица114[[#This Row],[v11]],2)</f>
        <v>10960.8</v>
      </c>
      <c r="O12" s="1150">
        <f>O11</f>
        <v>0</v>
      </c>
      <c r="P12" s="1150">
        <f>Таблица114[[#This Row],[v21]]</f>
        <v>13.88</v>
      </c>
      <c r="Q12" s="1150">
        <f>ROUND(Таблица114[[#This Row],[v13]],2)</f>
        <v>7526.78</v>
      </c>
      <c r="R12" s="1150">
        <f>R8</f>
        <v>0</v>
      </c>
      <c r="S12" s="1150">
        <f>Таблица114[[#This Row],[v22]]</f>
        <v>3588.8490000000002</v>
      </c>
      <c r="T12" s="1150">
        <v>0</v>
      </c>
      <c r="U12" s="1150">
        <v>0</v>
      </c>
      <c r="V12" s="1150">
        <v>0</v>
      </c>
      <c r="W12" s="1150">
        <v>0</v>
      </c>
      <c r="X12" s="1150">
        <v>0</v>
      </c>
      <c r="Y12" s="1150">
        <v>0</v>
      </c>
    </row>
    <row r="13" spans="1:25">
      <c r="A13" s="1845">
        <v>7</v>
      </c>
      <c r="B13" s="516"/>
      <c r="C13" s="516"/>
      <c r="D13" s="516"/>
      <c r="E13" s="1150">
        <f>IFERROR(('Шаблон 46 ГП'!P68)/(F13),2)</f>
        <v>8990.0098770404657</v>
      </c>
      <c r="F13" s="513">
        <f>IFERROR(('Шаблон 46 ГП'!G68/1000),0)</f>
        <v>7120.5540000000001</v>
      </c>
      <c r="G13" s="1150">
        <f>IFERROR((G22/G23*1000),0)</f>
        <v>7462.747314867157</v>
      </c>
      <c r="H13" s="1150">
        <f>IFERROR((H22/H23*1000),0)</f>
        <v>12406.083591331269</v>
      </c>
      <c r="I13" s="1150">
        <v>0</v>
      </c>
      <c r="J13" s="1150">
        <v>0</v>
      </c>
      <c r="K13" s="1150">
        <f>'Шаблон 46 ГП'!G71/1000</f>
        <v>3.0609999999999999</v>
      </c>
      <c r="L13" s="1150">
        <f>Таблица114[[#This Row],[v9]]</f>
        <v>24830.238999999998</v>
      </c>
      <c r="M13" s="1150">
        <f>Таблица114[[#This Row],[v10]]</f>
        <v>2297.09</v>
      </c>
      <c r="N13" s="1150">
        <f>ROUND(Таблица114[[#This Row],[v11]],2)</f>
        <v>8808.2900000000009</v>
      </c>
      <c r="O13" s="1150">
        <f>O12</f>
        <v>0</v>
      </c>
      <c r="P13" s="1150">
        <f>Таблица114[[#This Row],[v21]]</f>
        <v>6724.0690000000004</v>
      </c>
      <c r="Q13" s="1150">
        <f>ROUND(Таблица114[[#This Row],[v13]],2)</f>
        <v>7581.89</v>
      </c>
      <c r="R13" s="1150">
        <f>R12</f>
        <v>0</v>
      </c>
      <c r="S13" s="1150">
        <f>Таблица114[[#This Row],[v22]]</f>
        <v>3691.2719999999999</v>
      </c>
      <c r="T13" s="1150">
        <v>0</v>
      </c>
      <c r="U13" s="1150">
        <v>0</v>
      </c>
      <c r="V13" s="1150">
        <v>0</v>
      </c>
      <c r="W13" s="1150">
        <v>0</v>
      </c>
      <c r="X13" s="1150">
        <v>0</v>
      </c>
      <c r="Y13" s="1150">
        <v>0</v>
      </c>
    </row>
    <row r="14" spans="1:25">
      <c r="A14" s="1845">
        <v>14</v>
      </c>
      <c r="B14" s="516"/>
      <c r="C14" s="516"/>
      <c r="D14" s="516"/>
      <c r="E14" s="1150">
        <f>IFERROR(('Шаблон 46 ГП'!L68)/(F14),2)</f>
        <v>8833.8145121226262</v>
      </c>
      <c r="F14" s="513">
        <f>F8-F9</f>
        <v>19778.802</v>
      </c>
      <c r="G14" s="1150">
        <f>G8</f>
        <v>7225.633468158816</v>
      </c>
      <c r="H14" s="1150">
        <f>H8</f>
        <v>12168.772447291003</v>
      </c>
      <c r="I14" s="1150">
        <v>0</v>
      </c>
      <c r="J14" s="1150">
        <v>0</v>
      </c>
      <c r="K14" s="1150">
        <f>K8</f>
        <v>295.92700000000002</v>
      </c>
      <c r="L14" s="1150">
        <f>L8</f>
        <v>24830.238999999998</v>
      </c>
      <c r="M14" s="1150">
        <f>M8</f>
        <v>2297.09</v>
      </c>
      <c r="N14" s="1150">
        <f>N8</f>
        <v>8808.2900000000009</v>
      </c>
      <c r="O14" s="1150">
        <f>O13</f>
        <v>0</v>
      </c>
      <c r="P14" s="1150">
        <f>P8</f>
        <v>6724.0690000000004</v>
      </c>
      <c r="Q14" s="1150">
        <f>Q8</f>
        <v>7581.89</v>
      </c>
      <c r="R14" s="1150">
        <f>R13</f>
        <v>0</v>
      </c>
      <c r="S14" s="1150">
        <f>S8</f>
        <v>3691.2719999999999</v>
      </c>
      <c r="T14" s="1150">
        <v>0</v>
      </c>
      <c r="U14" s="1150">
        <v>0</v>
      </c>
      <c r="V14" s="1150">
        <v>0</v>
      </c>
      <c r="W14" s="1150">
        <v>0</v>
      </c>
      <c r="X14" s="1150">
        <v>0</v>
      </c>
      <c r="Y14" s="1150">
        <v>0</v>
      </c>
    </row>
    <row r="16" spans="1:25" hidden="1">
      <c r="G16" s="3510">
        <f>IFERROR(AVERAGE('Шаблон 46 ГП'!L72),0)</f>
        <v>1195112.55</v>
      </c>
      <c r="H16" s="3510">
        <f>IFERROR(AVERAGE('Шаблон 46 ГП'!L73),0)</f>
        <v>1588365.53</v>
      </c>
    </row>
    <row r="17" spans="7:8">
      <c r="G17" s="3510">
        <f>IFERROR(AVERAGE('Шаблон 46 ГП'!C72),0)</f>
        <v>165399</v>
      </c>
      <c r="H17" s="3510">
        <f>IFERROR(AVERAGE('Шаблон 46 ГП'!C73),0)</f>
        <v>130528</v>
      </c>
    </row>
    <row r="18" spans="7:8" s="3509" customFormat="1">
      <c r="G18" s="3511"/>
      <c r="H18" s="3511"/>
    </row>
    <row r="19" spans="7:8">
      <c r="G19" s="3510">
        <f>IFERROR(AVERAGE('Шаблон 46 ГП'!O72),0)</f>
        <v>1181910.95</v>
      </c>
      <c r="H19" s="3510">
        <f>IFERROR(AVERAGE('Шаблон 46 ГП'!O73),0)</f>
        <v>1572336.87</v>
      </c>
    </row>
    <row r="20" spans="7:8">
      <c r="G20" s="3510">
        <f>IFERROR(AVERAGE('Шаблон 46 ГП'!F72),0)</f>
        <v>163630</v>
      </c>
      <c r="H20" s="3510">
        <f>IFERROR(AVERAGE('Шаблон 46 ГП'!F73),0)</f>
        <v>129236</v>
      </c>
    </row>
    <row r="21" spans="7:8">
      <c r="G21" s="3510"/>
      <c r="H21" s="3510"/>
    </row>
    <row r="22" spans="7:8">
      <c r="G22" s="3510">
        <f>IFERROR(AVERAGE('Шаблон 46 ГП'!P72),0)</f>
        <v>13201.6</v>
      </c>
      <c r="H22" s="3510">
        <f>IFERROR(AVERAGE('Шаблон 46 ГП'!P73),0)</f>
        <v>16028.66</v>
      </c>
    </row>
    <row r="23" spans="7:8">
      <c r="G23" s="3510">
        <f>IFERROR(AVERAGE('Шаблон 46 ГП'!G72),0)</f>
        <v>1769</v>
      </c>
      <c r="H23" s="3510">
        <f>IFERROR(AVERAGE('Шаблон 46 ГП'!G73),0)</f>
        <v>1292</v>
      </c>
    </row>
  </sheetData>
  <mergeCells count="27">
    <mergeCell ref="W4:W5"/>
    <mergeCell ref="Y4:Y5"/>
    <mergeCell ref="W3:Y3"/>
    <mergeCell ref="G4:G5"/>
    <mergeCell ref="H4:H5"/>
    <mergeCell ref="I4:I5"/>
    <mergeCell ref="J4:J5"/>
    <mergeCell ref="L4:L5"/>
    <mergeCell ref="M4:M5"/>
    <mergeCell ref="N4:N5"/>
    <mergeCell ref="P4:P5"/>
    <mergeCell ref="Q4:Q5"/>
    <mergeCell ref="G3:J3"/>
    <mergeCell ref="K3:K5"/>
    <mergeCell ref="L3:M3"/>
    <mergeCell ref="N3:P3"/>
    <mergeCell ref="Q3:S3"/>
    <mergeCell ref="T3:V3"/>
    <mergeCell ref="S4:S5"/>
    <mergeCell ref="T4:T5"/>
    <mergeCell ref="V4:V5"/>
    <mergeCell ref="F3:F5"/>
    <mergeCell ref="A3:A5"/>
    <mergeCell ref="B3:B5"/>
    <mergeCell ref="C3:C5"/>
    <mergeCell ref="D3:D5"/>
    <mergeCell ref="E3:E5"/>
  </mergeCells>
  <dataValidations xWindow="414" yWindow="480" count="4">
    <dataValidation type="decimal" operator="greaterThanOrEqual" allowBlank="1" showInputMessage="1" showErrorMessage="1" errorTitle="НЕВЕРНОЕ ЗНАЧЕНИЕ" error="Проверьте введенное значение:_x000a_нельзя вводить отрицательные значения" prompt="Значение должно быть неотрицательно" sqref="E8:Y14">
      <formula1>0</formula1>
    </dataValidation>
    <dataValidation type="decimal" operator="greaterThanOrEqual" allowBlank="1" showInputMessage="1" showErrorMessage="1" errorTitle="НЕВЕРНОЕ ЗНАЧЕНИЕ" error="Проверьте введенное значение:_x000a_нельзя вводить отрицательные значения" prompt="Значение должно быть неотрицательно._x000a_Не заполняется для значений уровня напряжения lvl:_x000a_0, 4-7, 13, 14" sqref="B8:B14">
      <formula1>0</formula1>
    </dataValidation>
    <dataValidation type="decimal" operator="greaterThanOrEqual" allowBlank="1" showInputMessage="1" showErrorMessage="1" errorTitle="НЕВЕРНОЕ ЗНАЧЕНИЕ" error="Проверьте введенное значение:_x000a_нельзя вводить отрицательные значения" prompt="Значение должно быть неотрицательно._x000a_Не заполняется для значений уровня напряжения lvl:_x000a_0, 4-7, 14" sqref="C8:D14">
      <formula1>0</formula1>
    </dataValidation>
    <dataValidation type="list" allowBlank="1" showInputMessage="1" showErrorMessage="1" sqref="A8:A14">
      <formula1>lvl</formula1>
    </dataValidation>
  </dataValidations>
  <pageMargins left="0.7" right="0.7" top="0.75" bottom="0.75" header="0.3" footer="0.3"/>
  <pageSetup paperSize="9" orientation="portrait" r:id="rId1"/>
  <tableParts count="1">
    <tablePart r:id="rId2"/>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Y153"/>
  <sheetViews>
    <sheetView topLeftCell="C1" workbookViewId="0">
      <selection activeCell="K11" sqref="K11"/>
    </sheetView>
  </sheetViews>
  <sheetFormatPr defaultRowHeight="12.75"/>
  <cols>
    <col min="1" max="1" width="5.42578125" style="3469" hidden="1" customWidth="1"/>
    <col min="2" max="2" width="5.28515625" style="3469" hidden="1" customWidth="1"/>
    <col min="3" max="3" width="45.7109375" style="3469" customWidth="1"/>
    <col min="4" max="4" width="7.140625" style="3469" customWidth="1"/>
    <col min="5" max="25" width="15.7109375" style="3469" customWidth="1"/>
    <col min="26" max="258" width="9.140625" style="3469"/>
    <col min="259" max="259" width="43.85546875" style="3469" customWidth="1"/>
    <col min="260" max="260" width="7.140625" style="3469" customWidth="1"/>
    <col min="261" max="261" width="15.5703125" style="3469" customWidth="1"/>
    <col min="262" max="262" width="16" style="3469" customWidth="1"/>
    <col min="263" max="263" width="15.140625" style="3469" customWidth="1"/>
    <col min="264" max="264" width="14.85546875" style="3469" customWidth="1"/>
    <col min="265" max="265" width="16.28515625" style="3469" customWidth="1"/>
    <col min="266" max="266" width="13.85546875" style="3469" customWidth="1"/>
    <col min="267" max="267" width="14.140625" style="3469" customWidth="1"/>
    <col min="268" max="268" width="15.7109375" style="3469" bestFit="1" customWidth="1"/>
    <col min="269" max="269" width="13.42578125" style="3469" bestFit="1" customWidth="1"/>
    <col min="270" max="272" width="13.28515625" style="3469" customWidth="1"/>
    <col min="273" max="273" width="11.5703125" style="3469" customWidth="1"/>
    <col min="274" max="274" width="13.140625" style="3469" customWidth="1"/>
    <col min="275" max="275" width="13.85546875" style="3469" customWidth="1"/>
    <col min="276" max="514" width="9.140625" style="3469"/>
    <col min="515" max="515" width="43.85546875" style="3469" customWidth="1"/>
    <col min="516" max="516" width="7.140625" style="3469" customWidth="1"/>
    <col min="517" max="517" width="15.5703125" style="3469" customWidth="1"/>
    <col min="518" max="518" width="16" style="3469" customWidth="1"/>
    <col min="519" max="519" width="15.140625" style="3469" customWidth="1"/>
    <col min="520" max="520" width="14.85546875" style="3469" customWidth="1"/>
    <col min="521" max="521" width="16.28515625" style="3469" customWidth="1"/>
    <col min="522" max="522" width="13.85546875" style="3469" customWidth="1"/>
    <col min="523" max="523" width="14.140625" style="3469" customWidth="1"/>
    <col min="524" max="524" width="15.7109375" style="3469" bestFit="1" customWidth="1"/>
    <col min="525" max="525" width="13.42578125" style="3469" bestFit="1" customWidth="1"/>
    <col min="526" max="528" width="13.28515625" style="3469" customWidth="1"/>
    <col min="529" max="529" width="11.5703125" style="3469" customWidth="1"/>
    <col min="530" max="530" width="13.140625" style="3469" customWidth="1"/>
    <col min="531" max="531" width="13.85546875" style="3469" customWidth="1"/>
    <col min="532" max="770" width="9.140625" style="3469"/>
    <col min="771" max="771" width="43.85546875" style="3469" customWidth="1"/>
    <col min="772" max="772" width="7.140625" style="3469" customWidth="1"/>
    <col min="773" max="773" width="15.5703125" style="3469" customWidth="1"/>
    <col min="774" max="774" width="16" style="3469" customWidth="1"/>
    <col min="775" max="775" width="15.140625" style="3469" customWidth="1"/>
    <col min="776" max="776" width="14.85546875" style="3469" customWidth="1"/>
    <col min="777" max="777" width="16.28515625" style="3469" customWidth="1"/>
    <col min="778" max="778" width="13.85546875" style="3469" customWidth="1"/>
    <col min="779" max="779" width="14.140625" style="3469" customWidth="1"/>
    <col min="780" max="780" width="15.7109375" style="3469" bestFit="1" customWidth="1"/>
    <col min="781" max="781" width="13.42578125" style="3469" bestFit="1" customWidth="1"/>
    <col min="782" max="784" width="13.28515625" style="3469" customWidth="1"/>
    <col min="785" max="785" width="11.5703125" style="3469" customWidth="1"/>
    <col min="786" max="786" width="13.140625" style="3469" customWidth="1"/>
    <col min="787" max="787" width="13.85546875" style="3469" customWidth="1"/>
    <col min="788" max="1026" width="9.140625" style="3469"/>
    <col min="1027" max="1027" width="43.85546875" style="3469" customWidth="1"/>
    <col min="1028" max="1028" width="7.140625" style="3469" customWidth="1"/>
    <col min="1029" max="1029" width="15.5703125" style="3469" customWidth="1"/>
    <col min="1030" max="1030" width="16" style="3469" customWidth="1"/>
    <col min="1031" max="1031" width="15.140625" style="3469" customWidth="1"/>
    <col min="1032" max="1032" width="14.85546875" style="3469" customWidth="1"/>
    <col min="1033" max="1033" width="16.28515625" style="3469" customWidth="1"/>
    <col min="1034" max="1034" width="13.85546875" style="3469" customWidth="1"/>
    <col min="1035" max="1035" width="14.140625" style="3469" customWidth="1"/>
    <col min="1036" max="1036" width="15.7109375" style="3469" bestFit="1" customWidth="1"/>
    <col min="1037" max="1037" width="13.42578125" style="3469" bestFit="1" customWidth="1"/>
    <col min="1038" max="1040" width="13.28515625" style="3469" customWidth="1"/>
    <col min="1041" max="1041" width="11.5703125" style="3469" customWidth="1"/>
    <col min="1042" max="1042" width="13.140625" style="3469" customWidth="1"/>
    <col min="1043" max="1043" width="13.85546875" style="3469" customWidth="1"/>
    <col min="1044" max="1282" width="9.140625" style="3469"/>
    <col min="1283" max="1283" width="43.85546875" style="3469" customWidth="1"/>
    <col min="1284" max="1284" width="7.140625" style="3469" customWidth="1"/>
    <col min="1285" max="1285" width="15.5703125" style="3469" customWidth="1"/>
    <col min="1286" max="1286" width="16" style="3469" customWidth="1"/>
    <col min="1287" max="1287" width="15.140625" style="3469" customWidth="1"/>
    <col min="1288" max="1288" width="14.85546875" style="3469" customWidth="1"/>
    <col min="1289" max="1289" width="16.28515625" style="3469" customWidth="1"/>
    <col min="1290" max="1290" width="13.85546875" style="3469" customWidth="1"/>
    <col min="1291" max="1291" width="14.140625" style="3469" customWidth="1"/>
    <col min="1292" max="1292" width="15.7109375" style="3469" bestFit="1" customWidth="1"/>
    <col min="1293" max="1293" width="13.42578125" style="3469" bestFit="1" customWidth="1"/>
    <col min="1294" max="1296" width="13.28515625" style="3469" customWidth="1"/>
    <col min="1297" max="1297" width="11.5703125" style="3469" customWidth="1"/>
    <col min="1298" max="1298" width="13.140625" style="3469" customWidth="1"/>
    <col min="1299" max="1299" width="13.85546875" style="3469" customWidth="1"/>
    <col min="1300" max="1538" width="9.140625" style="3469"/>
    <col min="1539" max="1539" width="43.85546875" style="3469" customWidth="1"/>
    <col min="1540" max="1540" width="7.140625" style="3469" customWidth="1"/>
    <col min="1541" max="1541" width="15.5703125" style="3469" customWidth="1"/>
    <col min="1542" max="1542" width="16" style="3469" customWidth="1"/>
    <col min="1543" max="1543" width="15.140625" style="3469" customWidth="1"/>
    <col min="1544" max="1544" width="14.85546875" style="3469" customWidth="1"/>
    <col min="1545" max="1545" width="16.28515625" style="3469" customWidth="1"/>
    <col min="1546" max="1546" width="13.85546875" style="3469" customWidth="1"/>
    <col min="1547" max="1547" width="14.140625" style="3469" customWidth="1"/>
    <col min="1548" max="1548" width="15.7109375" style="3469" bestFit="1" customWidth="1"/>
    <col min="1549" max="1549" width="13.42578125" style="3469" bestFit="1" customWidth="1"/>
    <col min="1550" max="1552" width="13.28515625" style="3469" customWidth="1"/>
    <col min="1553" max="1553" width="11.5703125" style="3469" customWidth="1"/>
    <col min="1554" max="1554" width="13.140625" style="3469" customWidth="1"/>
    <col min="1555" max="1555" width="13.85546875" style="3469" customWidth="1"/>
    <col min="1556" max="1794" width="9.140625" style="3469"/>
    <col min="1795" max="1795" width="43.85546875" style="3469" customWidth="1"/>
    <col min="1796" max="1796" width="7.140625" style="3469" customWidth="1"/>
    <col min="1797" max="1797" width="15.5703125" style="3469" customWidth="1"/>
    <col min="1798" max="1798" width="16" style="3469" customWidth="1"/>
    <col min="1799" max="1799" width="15.140625" style="3469" customWidth="1"/>
    <col min="1800" max="1800" width="14.85546875" style="3469" customWidth="1"/>
    <col min="1801" max="1801" width="16.28515625" style="3469" customWidth="1"/>
    <col min="1802" max="1802" width="13.85546875" style="3469" customWidth="1"/>
    <col min="1803" max="1803" width="14.140625" style="3469" customWidth="1"/>
    <col min="1804" max="1804" width="15.7109375" style="3469" bestFit="1" customWidth="1"/>
    <col min="1805" max="1805" width="13.42578125" style="3469" bestFit="1" customWidth="1"/>
    <col min="1806" max="1808" width="13.28515625" style="3469" customWidth="1"/>
    <col min="1809" max="1809" width="11.5703125" style="3469" customWidth="1"/>
    <col min="1810" max="1810" width="13.140625" style="3469" customWidth="1"/>
    <col min="1811" max="1811" width="13.85546875" style="3469" customWidth="1"/>
    <col min="1812" max="2050" width="9.140625" style="3469"/>
    <col min="2051" max="2051" width="43.85546875" style="3469" customWidth="1"/>
    <col min="2052" max="2052" width="7.140625" style="3469" customWidth="1"/>
    <col min="2053" max="2053" width="15.5703125" style="3469" customWidth="1"/>
    <col min="2054" max="2054" width="16" style="3469" customWidth="1"/>
    <col min="2055" max="2055" width="15.140625" style="3469" customWidth="1"/>
    <col min="2056" max="2056" width="14.85546875" style="3469" customWidth="1"/>
    <col min="2057" max="2057" width="16.28515625" style="3469" customWidth="1"/>
    <col min="2058" max="2058" width="13.85546875" style="3469" customWidth="1"/>
    <col min="2059" max="2059" width="14.140625" style="3469" customWidth="1"/>
    <col min="2060" max="2060" width="15.7109375" style="3469" bestFit="1" customWidth="1"/>
    <col min="2061" max="2061" width="13.42578125" style="3469" bestFit="1" customWidth="1"/>
    <col min="2062" max="2064" width="13.28515625" style="3469" customWidth="1"/>
    <col min="2065" max="2065" width="11.5703125" style="3469" customWidth="1"/>
    <col min="2066" max="2066" width="13.140625" style="3469" customWidth="1"/>
    <col min="2067" max="2067" width="13.85546875" style="3469" customWidth="1"/>
    <col min="2068" max="2306" width="9.140625" style="3469"/>
    <col min="2307" max="2307" width="43.85546875" style="3469" customWidth="1"/>
    <col min="2308" max="2308" width="7.140625" style="3469" customWidth="1"/>
    <col min="2309" max="2309" width="15.5703125" style="3469" customWidth="1"/>
    <col min="2310" max="2310" width="16" style="3469" customWidth="1"/>
    <col min="2311" max="2311" width="15.140625" style="3469" customWidth="1"/>
    <col min="2312" max="2312" width="14.85546875" style="3469" customWidth="1"/>
    <col min="2313" max="2313" width="16.28515625" style="3469" customWidth="1"/>
    <col min="2314" max="2314" width="13.85546875" style="3469" customWidth="1"/>
    <col min="2315" max="2315" width="14.140625" style="3469" customWidth="1"/>
    <col min="2316" max="2316" width="15.7109375" style="3469" bestFit="1" customWidth="1"/>
    <col min="2317" max="2317" width="13.42578125" style="3469" bestFit="1" customWidth="1"/>
    <col min="2318" max="2320" width="13.28515625" style="3469" customWidth="1"/>
    <col min="2321" max="2321" width="11.5703125" style="3469" customWidth="1"/>
    <col min="2322" max="2322" width="13.140625" style="3469" customWidth="1"/>
    <col min="2323" max="2323" width="13.85546875" style="3469" customWidth="1"/>
    <col min="2324" max="2562" width="9.140625" style="3469"/>
    <col min="2563" max="2563" width="43.85546875" style="3469" customWidth="1"/>
    <col min="2564" max="2564" width="7.140625" style="3469" customWidth="1"/>
    <col min="2565" max="2565" width="15.5703125" style="3469" customWidth="1"/>
    <col min="2566" max="2566" width="16" style="3469" customWidth="1"/>
    <col min="2567" max="2567" width="15.140625" style="3469" customWidth="1"/>
    <col min="2568" max="2568" width="14.85546875" style="3469" customWidth="1"/>
    <col min="2569" max="2569" width="16.28515625" style="3469" customWidth="1"/>
    <col min="2570" max="2570" width="13.85546875" style="3469" customWidth="1"/>
    <col min="2571" max="2571" width="14.140625" style="3469" customWidth="1"/>
    <col min="2572" max="2572" width="15.7109375" style="3469" bestFit="1" customWidth="1"/>
    <col min="2573" max="2573" width="13.42578125" style="3469" bestFit="1" customWidth="1"/>
    <col min="2574" max="2576" width="13.28515625" style="3469" customWidth="1"/>
    <col min="2577" max="2577" width="11.5703125" style="3469" customWidth="1"/>
    <col min="2578" max="2578" width="13.140625" style="3469" customWidth="1"/>
    <col min="2579" max="2579" width="13.85546875" style="3469" customWidth="1"/>
    <col min="2580" max="2818" width="9.140625" style="3469"/>
    <col min="2819" max="2819" width="43.85546875" style="3469" customWidth="1"/>
    <col min="2820" max="2820" width="7.140625" style="3469" customWidth="1"/>
    <col min="2821" max="2821" width="15.5703125" style="3469" customWidth="1"/>
    <col min="2822" max="2822" width="16" style="3469" customWidth="1"/>
    <col min="2823" max="2823" width="15.140625" style="3469" customWidth="1"/>
    <col min="2824" max="2824" width="14.85546875" style="3469" customWidth="1"/>
    <col min="2825" max="2825" width="16.28515625" style="3469" customWidth="1"/>
    <col min="2826" max="2826" width="13.85546875" style="3469" customWidth="1"/>
    <col min="2827" max="2827" width="14.140625" style="3469" customWidth="1"/>
    <col min="2828" max="2828" width="15.7109375" style="3469" bestFit="1" customWidth="1"/>
    <col min="2829" max="2829" width="13.42578125" style="3469" bestFit="1" customWidth="1"/>
    <col min="2830" max="2832" width="13.28515625" style="3469" customWidth="1"/>
    <col min="2833" max="2833" width="11.5703125" style="3469" customWidth="1"/>
    <col min="2834" max="2834" width="13.140625" style="3469" customWidth="1"/>
    <col min="2835" max="2835" width="13.85546875" style="3469" customWidth="1"/>
    <col min="2836" max="3074" width="9.140625" style="3469"/>
    <col min="3075" max="3075" width="43.85546875" style="3469" customWidth="1"/>
    <col min="3076" max="3076" width="7.140625" style="3469" customWidth="1"/>
    <col min="3077" max="3077" width="15.5703125" style="3469" customWidth="1"/>
    <col min="3078" max="3078" width="16" style="3469" customWidth="1"/>
    <col min="3079" max="3079" width="15.140625" style="3469" customWidth="1"/>
    <col min="3080" max="3080" width="14.85546875" style="3469" customWidth="1"/>
    <col min="3081" max="3081" width="16.28515625" style="3469" customWidth="1"/>
    <col min="3082" max="3082" width="13.85546875" style="3469" customWidth="1"/>
    <col min="3083" max="3083" width="14.140625" style="3469" customWidth="1"/>
    <col min="3084" max="3084" width="15.7109375" style="3469" bestFit="1" customWidth="1"/>
    <col min="3085" max="3085" width="13.42578125" style="3469" bestFit="1" customWidth="1"/>
    <col min="3086" max="3088" width="13.28515625" style="3469" customWidth="1"/>
    <col min="3089" max="3089" width="11.5703125" style="3469" customWidth="1"/>
    <col min="3090" max="3090" width="13.140625" style="3469" customWidth="1"/>
    <col min="3091" max="3091" width="13.85546875" style="3469" customWidth="1"/>
    <col min="3092" max="3330" width="9.140625" style="3469"/>
    <col min="3331" max="3331" width="43.85546875" style="3469" customWidth="1"/>
    <col min="3332" max="3332" width="7.140625" style="3469" customWidth="1"/>
    <col min="3333" max="3333" width="15.5703125" style="3469" customWidth="1"/>
    <col min="3334" max="3334" width="16" style="3469" customWidth="1"/>
    <col min="3335" max="3335" width="15.140625" style="3469" customWidth="1"/>
    <col min="3336" max="3336" width="14.85546875" style="3469" customWidth="1"/>
    <col min="3337" max="3337" width="16.28515625" style="3469" customWidth="1"/>
    <col min="3338" max="3338" width="13.85546875" style="3469" customWidth="1"/>
    <col min="3339" max="3339" width="14.140625" style="3469" customWidth="1"/>
    <col min="3340" max="3340" width="15.7109375" style="3469" bestFit="1" customWidth="1"/>
    <col min="3341" max="3341" width="13.42578125" style="3469" bestFit="1" customWidth="1"/>
    <col min="3342" max="3344" width="13.28515625" style="3469" customWidth="1"/>
    <col min="3345" max="3345" width="11.5703125" style="3469" customWidth="1"/>
    <col min="3346" max="3346" width="13.140625" style="3469" customWidth="1"/>
    <col min="3347" max="3347" width="13.85546875" style="3469" customWidth="1"/>
    <col min="3348" max="3586" width="9.140625" style="3469"/>
    <col min="3587" max="3587" width="43.85546875" style="3469" customWidth="1"/>
    <col min="3588" max="3588" width="7.140625" style="3469" customWidth="1"/>
    <col min="3589" max="3589" width="15.5703125" style="3469" customWidth="1"/>
    <col min="3590" max="3590" width="16" style="3469" customWidth="1"/>
    <col min="3591" max="3591" width="15.140625" style="3469" customWidth="1"/>
    <col min="3592" max="3592" width="14.85546875" style="3469" customWidth="1"/>
    <col min="3593" max="3593" width="16.28515625" style="3469" customWidth="1"/>
    <col min="3594" max="3594" width="13.85546875" style="3469" customWidth="1"/>
    <col min="3595" max="3595" width="14.140625" style="3469" customWidth="1"/>
    <col min="3596" max="3596" width="15.7109375" style="3469" bestFit="1" customWidth="1"/>
    <col min="3597" max="3597" width="13.42578125" style="3469" bestFit="1" customWidth="1"/>
    <col min="3598" max="3600" width="13.28515625" style="3469" customWidth="1"/>
    <col min="3601" max="3601" width="11.5703125" style="3469" customWidth="1"/>
    <col min="3602" max="3602" width="13.140625" style="3469" customWidth="1"/>
    <col min="3603" max="3603" width="13.85546875" style="3469" customWidth="1"/>
    <col min="3604" max="3842" width="9.140625" style="3469"/>
    <col min="3843" max="3843" width="43.85546875" style="3469" customWidth="1"/>
    <col min="3844" max="3844" width="7.140625" style="3469" customWidth="1"/>
    <col min="3845" max="3845" width="15.5703125" style="3469" customWidth="1"/>
    <col min="3846" max="3846" width="16" style="3469" customWidth="1"/>
    <col min="3847" max="3847" width="15.140625" style="3469" customWidth="1"/>
    <col min="3848" max="3848" width="14.85546875" style="3469" customWidth="1"/>
    <col min="3849" max="3849" width="16.28515625" style="3469" customWidth="1"/>
    <col min="3850" max="3850" width="13.85546875" style="3469" customWidth="1"/>
    <col min="3851" max="3851" width="14.140625" style="3469" customWidth="1"/>
    <col min="3852" max="3852" width="15.7109375" style="3469" bestFit="1" customWidth="1"/>
    <col min="3853" max="3853" width="13.42578125" style="3469" bestFit="1" customWidth="1"/>
    <col min="3854" max="3856" width="13.28515625" style="3469" customWidth="1"/>
    <col min="3857" max="3857" width="11.5703125" style="3469" customWidth="1"/>
    <col min="3858" max="3858" width="13.140625" style="3469" customWidth="1"/>
    <col min="3859" max="3859" width="13.85546875" style="3469" customWidth="1"/>
    <col min="3860" max="4098" width="9.140625" style="3469"/>
    <col min="4099" max="4099" width="43.85546875" style="3469" customWidth="1"/>
    <col min="4100" max="4100" width="7.140625" style="3469" customWidth="1"/>
    <col min="4101" max="4101" width="15.5703125" style="3469" customWidth="1"/>
    <col min="4102" max="4102" width="16" style="3469" customWidth="1"/>
    <col min="4103" max="4103" width="15.140625" style="3469" customWidth="1"/>
    <col min="4104" max="4104" width="14.85546875" style="3469" customWidth="1"/>
    <col min="4105" max="4105" width="16.28515625" style="3469" customWidth="1"/>
    <col min="4106" max="4106" width="13.85546875" style="3469" customWidth="1"/>
    <col min="4107" max="4107" width="14.140625" style="3469" customWidth="1"/>
    <col min="4108" max="4108" width="15.7109375" style="3469" bestFit="1" customWidth="1"/>
    <col min="4109" max="4109" width="13.42578125" style="3469" bestFit="1" customWidth="1"/>
    <col min="4110" max="4112" width="13.28515625" style="3469" customWidth="1"/>
    <col min="4113" max="4113" width="11.5703125" style="3469" customWidth="1"/>
    <col min="4114" max="4114" width="13.140625" style="3469" customWidth="1"/>
    <col min="4115" max="4115" width="13.85546875" style="3469" customWidth="1"/>
    <col min="4116" max="4354" width="9.140625" style="3469"/>
    <col min="4355" max="4355" width="43.85546875" style="3469" customWidth="1"/>
    <col min="4356" max="4356" width="7.140625" style="3469" customWidth="1"/>
    <col min="4357" max="4357" width="15.5703125" style="3469" customWidth="1"/>
    <col min="4358" max="4358" width="16" style="3469" customWidth="1"/>
    <col min="4359" max="4359" width="15.140625" style="3469" customWidth="1"/>
    <col min="4360" max="4360" width="14.85546875" style="3469" customWidth="1"/>
    <col min="4361" max="4361" width="16.28515625" style="3469" customWidth="1"/>
    <col min="4362" max="4362" width="13.85546875" style="3469" customWidth="1"/>
    <col min="4363" max="4363" width="14.140625" style="3469" customWidth="1"/>
    <col min="4364" max="4364" width="15.7109375" style="3469" bestFit="1" customWidth="1"/>
    <col min="4365" max="4365" width="13.42578125" style="3469" bestFit="1" customWidth="1"/>
    <col min="4366" max="4368" width="13.28515625" style="3469" customWidth="1"/>
    <col min="4369" max="4369" width="11.5703125" style="3469" customWidth="1"/>
    <col min="4370" max="4370" width="13.140625" style="3469" customWidth="1"/>
    <col min="4371" max="4371" width="13.85546875" style="3469" customWidth="1"/>
    <col min="4372" max="4610" width="9.140625" style="3469"/>
    <col min="4611" max="4611" width="43.85546875" style="3469" customWidth="1"/>
    <col min="4612" max="4612" width="7.140625" style="3469" customWidth="1"/>
    <col min="4613" max="4613" width="15.5703125" style="3469" customWidth="1"/>
    <col min="4614" max="4614" width="16" style="3469" customWidth="1"/>
    <col min="4615" max="4615" width="15.140625" style="3469" customWidth="1"/>
    <col min="4616" max="4616" width="14.85546875" style="3469" customWidth="1"/>
    <col min="4617" max="4617" width="16.28515625" style="3469" customWidth="1"/>
    <col min="4618" max="4618" width="13.85546875" style="3469" customWidth="1"/>
    <col min="4619" max="4619" width="14.140625" style="3469" customWidth="1"/>
    <col min="4620" max="4620" width="15.7109375" style="3469" bestFit="1" customWidth="1"/>
    <col min="4621" max="4621" width="13.42578125" style="3469" bestFit="1" customWidth="1"/>
    <col min="4622" max="4624" width="13.28515625" style="3469" customWidth="1"/>
    <col min="4625" max="4625" width="11.5703125" style="3469" customWidth="1"/>
    <col min="4626" max="4626" width="13.140625" style="3469" customWidth="1"/>
    <col min="4627" max="4627" width="13.85546875" style="3469" customWidth="1"/>
    <col min="4628" max="4866" width="9.140625" style="3469"/>
    <col min="4867" max="4867" width="43.85546875" style="3469" customWidth="1"/>
    <col min="4868" max="4868" width="7.140625" style="3469" customWidth="1"/>
    <col min="4869" max="4869" width="15.5703125" style="3469" customWidth="1"/>
    <col min="4870" max="4870" width="16" style="3469" customWidth="1"/>
    <col min="4871" max="4871" width="15.140625" style="3469" customWidth="1"/>
    <col min="4872" max="4872" width="14.85546875" style="3469" customWidth="1"/>
    <col min="4873" max="4873" width="16.28515625" style="3469" customWidth="1"/>
    <col min="4874" max="4874" width="13.85546875" style="3469" customWidth="1"/>
    <col min="4875" max="4875" width="14.140625" style="3469" customWidth="1"/>
    <col min="4876" max="4876" width="15.7109375" style="3469" bestFit="1" customWidth="1"/>
    <col min="4877" max="4877" width="13.42578125" style="3469" bestFit="1" customWidth="1"/>
    <col min="4878" max="4880" width="13.28515625" style="3469" customWidth="1"/>
    <col min="4881" max="4881" width="11.5703125" style="3469" customWidth="1"/>
    <col min="4882" max="4882" width="13.140625" style="3469" customWidth="1"/>
    <col min="4883" max="4883" width="13.85546875" style="3469" customWidth="1"/>
    <col min="4884" max="5122" width="9.140625" style="3469"/>
    <col min="5123" max="5123" width="43.85546875" style="3469" customWidth="1"/>
    <col min="5124" max="5124" width="7.140625" style="3469" customWidth="1"/>
    <col min="5125" max="5125" width="15.5703125" style="3469" customWidth="1"/>
    <col min="5126" max="5126" width="16" style="3469" customWidth="1"/>
    <col min="5127" max="5127" width="15.140625" style="3469" customWidth="1"/>
    <col min="5128" max="5128" width="14.85546875" style="3469" customWidth="1"/>
    <col min="5129" max="5129" width="16.28515625" style="3469" customWidth="1"/>
    <col min="5130" max="5130" width="13.85546875" style="3469" customWidth="1"/>
    <col min="5131" max="5131" width="14.140625" style="3469" customWidth="1"/>
    <col min="5132" max="5132" width="15.7109375" style="3469" bestFit="1" customWidth="1"/>
    <col min="5133" max="5133" width="13.42578125" style="3469" bestFit="1" customWidth="1"/>
    <col min="5134" max="5136" width="13.28515625" style="3469" customWidth="1"/>
    <col min="5137" max="5137" width="11.5703125" style="3469" customWidth="1"/>
    <col min="5138" max="5138" width="13.140625" style="3469" customWidth="1"/>
    <col min="5139" max="5139" width="13.85546875" style="3469" customWidth="1"/>
    <col min="5140" max="5378" width="9.140625" style="3469"/>
    <col min="5379" max="5379" width="43.85546875" style="3469" customWidth="1"/>
    <col min="5380" max="5380" width="7.140625" style="3469" customWidth="1"/>
    <col min="5381" max="5381" width="15.5703125" style="3469" customWidth="1"/>
    <col min="5382" max="5382" width="16" style="3469" customWidth="1"/>
    <col min="5383" max="5383" width="15.140625" style="3469" customWidth="1"/>
    <col min="5384" max="5384" width="14.85546875" style="3469" customWidth="1"/>
    <col min="5385" max="5385" width="16.28515625" style="3469" customWidth="1"/>
    <col min="5386" max="5386" width="13.85546875" style="3469" customWidth="1"/>
    <col min="5387" max="5387" width="14.140625" style="3469" customWidth="1"/>
    <col min="5388" max="5388" width="15.7109375" style="3469" bestFit="1" customWidth="1"/>
    <col min="5389" max="5389" width="13.42578125" style="3469" bestFit="1" customWidth="1"/>
    <col min="5390" max="5392" width="13.28515625" style="3469" customWidth="1"/>
    <col min="5393" max="5393" width="11.5703125" style="3469" customWidth="1"/>
    <col min="5394" max="5394" width="13.140625" style="3469" customWidth="1"/>
    <col min="5395" max="5395" width="13.85546875" style="3469" customWidth="1"/>
    <col min="5396" max="5634" width="9.140625" style="3469"/>
    <col min="5635" max="5635" width="43.85546875" style="3469" customWidth="1"/>
    <col min="5636" max="5636" width="7.140625" style="3469" customWidth="1"/>
    <col min="5637" max="5637" width="15.5703125" style="3469" customWidth="1"/>
    <col min="5638" max="5638" width="16" style="3469" customWidth="1"/>
    <col min="5639" max="5639" width="15.140625" style="3469" customWidth="1"/>
    <col min="5640" max="5640" width="14.85546875" style="3469" customWidth="1"/>
    <col min="5641" max="5641" width="16.28515625" style="3469" customWidth="1"/>
    <col min="5642" max="5642" width="13.85546875" style="3469" customWidth="1"/>
    <col min="5643" max="5643" width="14.140625" style="3469" customWidth="1"/>
    <col min="5644" max="5644" width="15.7109375" style="3469" bestFit="1" customWidth="1"/>
    <col min="5645" max="5645" width="13.42578125" style="3469" bestFit="1" customWidth="1"/>
    <col min="5646" max="5648" width="13.28515625" style="3469" customWidth="1"/>
    <col min="5649" max="5649" width="11.5703125" style="3469" customWidth="1"/>
    <col min="5650" max="5650" width="13.140625" style="3469" customWidth="1"/>
    <col min="5651" max="5651" width="13.85546875" style="3469" customWidth="1"/>
    <col min="5652" max="5890" width="9.140625" style="3469"/>
    <col min="5891" max="5891" width="43.85546875" style="3469" customWidth="1"/>
    <col min="5892" max="5892" width="7.140625" style="3469" customWidth="1"/>
    <col min="5893" max="5893" width="15.5703125" style="3469" customWidth="1"/>
    <col min="5894" max="5894" width="16" style="3469" customWidth="1"/>
    <col min="5895" max="5895" width="15.140625" style="3469" customWidth="1"/>
    <col min="5896" max="5896" width="14.85546875" style="3469" customWidth="1"/>
    <col min="5897" max="5897" width="16.28515625" style="3469" customWidth="1"/>
    <col min="5898" max="5898" width="13.85546875" style="3469" customWidth="1"/>
    <col min="5899" max="5899" width="14.140625" style="3469" customWidth="1"/>
    <col min="5900" max="5900" width="15.7109375" style="3469" bestFit="1" customWidth="1"/>
    <col min="5901" max="5901" width="13.42578125" style="3469" bestFit="1" customWidth="1"/>
    <col min="5902" max="5904" width="13.28515625" style="3469" customWidth="1"/>
    <col min="5905" max="5905" width="11.5703125" style="3469" customWidth="1"/>
    <col min="5906" max="5906" width="13.140625" style="3469" customWidth="1"/>
    <col min="5907" max="5907" width="13.85546875" style="3469" customWidth="1"/>
    <col min="5908" max="6146" width="9.140625" style="3469"/>
    <col min="6147" max="6147" width="43.85546875" style="3469" customWidth="1"/>
    <col min="6148" max="6148" width="7.140625" style="3469" customWidth="1"/>
    <col min="6149" max="6149" width="15.5703125" style="3469" customWidth="1"/>
    <col min="6150" max="6150" width="16" style="3469" customWidth="1"/>
    <col min="6151" max="6151" width="15.140625" style="3469" customWidth="1"/>
    <col min="6152" max="6152" width="14.85546875" style="3469" customWidth="1"/>
    <col min="6153" max="6153" width="16.28515625" style="3469" customWidth="1"/>
    <col min="6154" max="6154" width="13.85546875" style="3469" customWidth="1"/>
    <col min="6155" max="6155" width="14.140625" style="3469" customWidth="1"/>
    <col min="6156" max="6156" width="15.7109375" style="3469" bestFit="1" customWidth="1"/>
    <col min="6157" max="6157" width="13.42578125" style="3469" bestFit="1" customWidth="1"/>
    <col min="6158" max="6160" width="13.28515625" style="3469" customWidth="1"/>
    <col min="6161" max="6161" width="11.5703125" style="3469" customWidth="1"/>
    <col min="6162" max="6162" width="13.140625" style="3469" customWidth="1"/>
    <col min="6163" max="6163" width="13.85546875" style="3469" customWidth="1"/>
    <col min="6164" max="6402" width="9.140625" style="3469"/>
    <col min="6403" max="6403" width="43.85546875" style="3469" customWidth="1"/>
    <col min="6404" max="6404" width="7.140625" style="3469" customWidth="1"/>
    <col min="6405" max="6405" width="15.5703125" style="3469" customWidth="1"/>
    <col min="6406" max="6406" width="16" style="3469" customWidth="1"/>
    <col min="6407" max="6407" width="15.140625" style="3469" customWidth="1"/>
    <col min="6408" max="6408" width="14.85546875" style="3469" customWidth="1"/>
    <col min="6409" max="6409" width="16.28515625" style="3469" customWidth="1"/>
    <col min="6410" max="6410" width="13.85546875" style="3469" customWidth="1"/>
    <col min="6411" max="6411" width="14.140625" style="3469" customWidth="1"/>
    <col min="6412" max="6412" width="15.7109375" style="3469" bestFit="1" customWidth="1"/>
    <col min="6413" max="6413" width="13.42578125" style="3469" bestFit="1" customWidth="1"/>
    <col min="6414" max="6416" width="13.28515625" style="3469" customWidth="1"/>
    <col min="6417" max="6417" width="11.5703125" style="3469" customWidth="1"/>
    <col min="6418" max="6418" width="13.140625" style="3469" customWidth="1"/>
    <col min="6419" max="6419" width="13.85546875" style="3469" customWidth="1"/>
    <col min="6420" max="6658" width="9.140625" style="3469"/>
    <col min="6659" max="6659" width="43.85546875" style="3469" customWidth="1"/>
    <col min="6660" max="6660" width="7.140625" style="3469" customWidth="1"/>
    <col min="6661" max="6661" width="15.5703125" style="3469" customWidth="1"/>
    <col min="6662" max="6662" width="16" style="3469" customWidth="1"/>
    <col min="6663" max="6663" width="15.140625" style="3469" customWidth="1"/>
    <col min="6664" max="6664" width="14.85546875" style="3469" customWidth="1"/>
    <col min="6665" max="6665" width="16.28515625" style="3469" customWidth="1"/>
    <col min="6666" max="6666" width="13.85546875" style="3469" customWidth="1"/>
    <col min="6667" max="6667" width="14.140625" style="3469" customWidth="1"/>
    <col min="6668" max="6668" width="15.7109375" style="3469" bestFit="1" customWidth="1"/>
    <col min="6669" max="6669" width="13.42578125" style="3469" bestFit="1" customWidth="1"/>
    <col min="6670" max="6672" width="13.28515625" style="3469" customWidth="1"/>
    <col min="6673" max="6673" width="11.5703125" style="3469" customWidth="1"/>
    <col min="6674" max="6674" width="13.140625" style="3469" customWidth="1"/>
    <col min="6675" max="6675" width="13.85546875" style="3469" customWidth="1"/>
    <col min="6676" max="6914" width="9.140625" style="3469"/>
    <col min="6915" max="6915" width="43.85546875" style="3469" customWidth="1"/>
    <col min="6916" max="6916" width="7.140625" style="3469" customWidth="1"/>
    <col min="6917" max="6917" width="15.5703125" style="3469" customWidth="1"/>
    <col min="6918" max="6918" width="16" style="3469" customWidth="1"/>
    <col min="6919" max="6919" width="15.140625" style="3469" customWidth="1"/>
    <col min="6920" max="6920" width="14.85546875" style="3469" customWidth="1"/>
    <col min="6921" max="6921" width="16.28515625" style="3469" customWidth="1"/>
    <col min="6922" max="6922" width="13.85546875" style="3469" customWidth="1"/>
    <col min="6923" max="6923" width="14.140625" style="3469" customWidth="1"/>
    <col min="6924" max="6924" width="15.7109375" style="3469" bestFit="1" customWidth="1"/>
    <col min="6925" max="6925" width="13.42578125" style="3469" bestFit="1" customWidth="1"/>
    <col min="6926" max="6928" width="13.28515625" style="3469" customWidth="1"/>
    <col min="6929" max="6929" width="11.5703125" style="3469" customWidth="1"/>
    <col min="6930" max="6930" width="13.140625" style="3469" customWidth="1"/>
    <col min="6931" max="6931" width="13.85546875" style="3469" customWidth="1"/>
    <col min="6932" max="7170" width="9.140625" style="3469"/>
    <col min="7171" max="7171" width="43.85546875" style="3469" customWidth="1"/>
    <col min="7172" max="7172" width="7.140625" style="3469" customWidth="1"/>
    <col min="7173" max="7173" width="15.5703125" style="3469" customWidth="1"/>
    <col min="7174" max="7174" width="16" style="3469" customWidth="1"/>
    <col min="7175" max="7175" width="15.140625" style="3469" customWidth="1"/>
    <col min="7176" max="7176" width="14.85546875" style="3469" customWidth="1"/>
    <col min="7177" max="7177" width="16.28515625" style="3469" customWidth="1"/>
    <col min="7178" max="7178" width="13.85546875" style="3469" customWidth="1"/>
    <col min="7179" max="7179" width="14.140625" style="3469" customWidth="1"/>
    <col min="7180" max="7180" width="15.7109375" style="3469" bestFit="1" customWidth="1"/>
    <col min="7181" max="7181" width="13.42578125" style="3469" bestFit="1" customWidth="1"/>
    <col min="7182" max="7184" width="13.28515625" style="3469" customWidth="1"/>
    <col min="7185" max="7185" width="11.5703125" style="3469" customWidth="1"/>
    <col min="7186" max="7186" width="13.140625" style="3469" customWidth="1"/>
    <col min="7187" max="7187" width="13.85546875" style="3469" customWidth="1"/>
    <col min="7188" max="7426" width="9.140625" style="3469"/>
    <col min="7427" max="7427" width="43.85546875" style="3469" customWidth="1"/>
    <col min="7428" max="7428" width="7.140625" style="3469" customWidth="1"/>
    <col min="7429" max="7429" width="15.5703125" style="3469" customWidth="1"/>
    <col min="7430" max="7430" width="16" style="3469" customWidth="1"/>
    <col min="7431" max="7431" width="15.140625" style="3469" customWidth="1"/>
    <col min="7432" max="7432" width="14.85546875" style="3469" customWidth="1"/>
    <col min="7433" max="7433" width="16.28515625" style="3469" customWidth="1"/>
    <col min="7434" max="7434" width="13.85546875" style="3469" customWidth="1"/>
    <col min="7435" max="7435" width="14.140625" style="3469" customWidth="1"/>
    <col min="7436" max="7436" width="15.7109375" style="3469" bestFit="1" customWidth="1"/>
    <col min="7437" max="7437" width="13.42578125" style="3469" bestFit="1" customWidth="1"/>
    <col min="7438" max="7440" width="13.28515625" style="3469" customWidth="1"/>
    <col min="7441" max="7441" width="11.5703125" style="3469" customWidth="1"/>
    <col min="7442" max="7442" width="13.140625" style="3469" customWidth="1"/>
    <col min="7443" max="7443" width="13.85546875" style="3469" customWidth="1"/>
    <col min="7444" max="7682" width="9.140625" style="3469"/>
    <col min="7683" max="7683" width="43.85546875" style="3469" customWidth="1"/>
    <col min="7684" max="7684" width="7.140625" style="3469" customWidth="1"/>
    <col min="7685" max="7685" width="15.5703125" style="3469" customWidth="1"/>
    <col min="7686" max="7686" width="16" style="3469" customWidth="1"/>
    <col min="7687" max="7687" width="15.140625" style="3469" customWidth="1"/>
    <col min="7688" max="7688" width="14.85546875" style="3469" customWidth="1"/>
    <col min="7689" max="7689" width="16.28515625" style="3469" customWidth="1"/>
    <col min="7690" max="7690" width="13.85546875" style="3469" customWidth="1"/>
    <col min="7691" max="7691" width="14.140625" style="3469" customWidth="1"/>
    <col min="7692" max="7692" width="15.7109375" style="3469" bestFit="1" customWidth="1"/>
    <col min="7693" max="7693" width="13.42578125" style="3469" bestFit="1" customWidth="1"/>
    <col min="7694" max="7696" width="13.28515625" style="3469" customWidth="1"/>
    <col min="7697" max="7697" width="11.5703125" style="3469" customWidth="1"/>
    <col min="7698" max="7698" width="13.140625" style="3469" customWidth="1"/>
    <col min="7699" max="7699" width="13.85546875" style="3469" customWidth="1"/>
    <col min="7700" max="7938" width="9.140625" style="3469"/>
    <col min="7939" max="7939" width="43.85546875" style="3469" customWidth="1"/>
    <col min="7940" max="7940" width="7.140625" style="3469" customWidth="1"/>
    <col min="7941" max="7941" width="15.5703125" style="3469" customWidth="1"/>
    <col min="7942" max="7942" width="16" style="3469" customWidth="1"/>
    <col min="7943" max="7943" width="15.140625" style="3469" customWidth="1"/>
    <col min="7944" max="7944" width="14.85546875" style="3469" customWidth="1"/>
    <col min="7945" max="7945" width="16.28515625" style="3469" customWidth="1"/>
    <col min="7946" max="7946" width="13.85546875" style="3469" customWidth="1"/>
    <col min="7947" max="7947" width="14.140625" style="3469" customWidth="1"/>
    <col min="7948" max="7948" width="15.7109375" style="3469" bestFit="1" customWidth="1"/>
    <col min="7949" max="7949" width="13.42578125" style="3469" bestFit="1" customWidth="1"/>
    <col min="7950" max="7952" width="13.28515625" style="3469" customWidth="1"/>
    <col min="7953" max="7953" width="11.5703125" style="3469" customWidth="1"/>
    <col min="7954" max="7954" width="13.140625" style="3469" customWidth="1"/>
    <col min="7955" max="7955" width="13.85546875" style="3469" customWidth="1"/>
    <col min="7956" max="8194" width="9.140625" style="3469"/>
    <col min="8195" max="8195" width="43.85546875" style="3469" customWidth="1"/>
    <col min="8196" max="8196" width="7.140625" style="3469" customWidth="1"/>
    <col min="8197" max="8197" width="15.5703125" style="3469" customWidth="1"/>
    <col min="8198" max="8198" width="16" style="3469" customWidth="1"/>
    <col min="8199" max="8199" width="15.140625" style="3469" customWidth="1"/>
    <col min="8200" max="8200" width="14.85546875" style="3469" customWidth="1"/>
    <col min="8201" max="8201" width="16.28515625" style="3469" customWidth="1"/>
    <col min="8202" max="8202" width="13.85546875" style="3469" customWidth="1"/>
    <col min="8203" max="8203" width="14.140625" style="3469" customWidth="1"/>
    <col min="8204" max="8204" width="15.7109375" style="3469" bestFit="1" customWidth="1"/>
    <col min="8205" max="8205" width="13.42578125" style="3469" bestFit="1" customWidth="1"/>
    <col min="8206" max="8208" width="13.28515625" style="3469" customWidth="1"/>
    <col min="8209" max="8209" width="11.5703125" style="3469" customWidth="1"/>
    <col min="8210" max="8210" width="13.140625" style="3469" customWidth="1"/>
    <col min="8211" max="8211" width="13.85546875" style="3469" customWidth="1"/>
    <col min="8212" max="8450" width="9.140625" style="3469"/>
    <col min="8451" max="8451" width="43.85546875" style="3469" customWidth="1"/>
    <col min="8452" max="8452" width="7.140625" style="3469" customWidth="1"/>
    <col min="8453" max="8453" width="15.5703125" style="3469" customWidth="1"/>
    <col min="8454" max="8454" width="16" style="3469" customWidth="1"/>
    <col min="8455" max="8455" width="15.140625" style="3469" customWidth="1"/>
    <col min="8456" max="8456" width="14.85546875" style="3469" customWidth="1"/>
    <col min="8457" max="8457" width="16.28515625" style="3469" customWidth="1"/>
    <col min="8458" max="8458" width="13.85546875" style="3469" customWidth="1"/>
    <col min="8459" max="8459" width="14.140625" style="3469" customWidth="1"/>
    <col min="8460" max="8460" width="15.7109375" style="3469" bestFit="1" customWidth="1"/>
    <col min="8461" max="8461" width="13.42578125" style="3469" bestFit="1" customWidth="1"/>
    <col min="8462" max="8464" width="13.28515625" style="3469" customWidth="1"/>
    <col min="8465" max="8465" width="11.5703125" style="3469" customWidth="1"/>
    <col min="8466" max="8466" width="13.140625" style="3469" customWidth="1"/>
    <col min="8467" max="8467" width="13.85546875" style="3469" customWidth="1"/>
    <col min="8468" max="8706" width="9.140625" style="3469"/>
    <col min="8707" max="8707" width="43.85546875" style="3469" customWidth="1"/>
    <col min="8708" max="8708" width="7.140625" style="3469" customWidth="1"/>
    <col min="8709" max="8709" width="15.5703125" style="3469" customWidth="1"/>
    <col min="8710" max="8710" width="16" style="3469" customWidth="1"/>
    <col min="8711" max="8711" width="15.140625" style="3469" customWidth="1"/>
    <col min="8712" max="8712" width="14.85546875" style="3469" customWidth="1"/>
    <col min="8713" max="8713" width="16.28515625" style="3469" customWidth="1"/>
    <col min="8714" max="8714" width="13.85546875" style="3469" customWidth="1"/>
    <col min="8715" max="8715" width="14.140625" style="3469" customWidth="1"/>
    <col min="8716" max="8716" width="15.7109375" style="3469" bestFit="1" customWidth="1"/>
    <col min="8717" max="8717" width="13.42578125" style="3469" bestFit="1" customWidth="1"/>
    <col min="8718" max="8720" width="13.28515625" style="3469" customWidth="1"/>
    <col min="8721" max="8721" width="11.5703125" style="3469" customWidth="1"/>
    <col min="8722" max="8722" width="13.140625" style="3469" customWidth="1"/>
    <col min="8723" max="8723" width="13.85546875" style="3469" customWidth="1"/>
    <col min="8724" max="8962" width="9.140625" style="3469"/>
    <col min="8963" max="8963" width="43.85546875" style="3469" customWidth="1"/>
    <col min="8964" max="8964" width="7.140625" style="3469" customWidth="1"/>
    <col min="8965" max="8965" width="15.5703125" style="3469" customWidth="1"/>
    <col min="8966" max="8966" width="16" style="3469" customWidth="1"/>
    <col min="8967" max="8967" width="15.140625" style="3469" customWidth="1"/>
    <col min="8968" max="8968" width="14.85546875" style="3469" customWidth="1"/>
    <col min="8969" max="8969" width="16.28515625" style="3469" customWidth="1"/>
    <col min="8970" max="8970" width="13.85546875" style="3469" customWidth="1"/>
    <col min="8971" max="8971" width="14.140625" style="3469" customWidth="1"/>
    <col min="8972" max="8972" width="15.7109375" style="3469" bestFit="1" customWidth="1"/>
    <col min="8973" max="8973" width="13.42578125" style="3469" bestFit="1" customWidth="1"/>
    <col min="8974" max="8976" width="13.28515625" style="3469" customWidth="1"/>
    <col min="8977" max="8977" width="11.5703125" style="3469" customWidth="1"/>
    <col min="8978" max="8978" width="13.140625" style="3469" customWidth="1"/>
    <col min="8979" max="8979" width="13.85546875" style="3469" customWidth="1"/>
    <col min="8980" max="9218" width="9.140625" style="3469"/>
    <col min="9219" max="9219" width="43.85546875" style="3469" customWidth="1"/>
    <col min="9220" max="9220" width="7.140625" style="3469" customWidth="1"/>
    <col min="9221" max="9221" width="15.5703125" style="3469" customWidth="1"/>
    <col min="9222" max="9222" width="16" style="3469" customWidth="1"/>
    <col min="9223" max="9223" width="15.140625" style="3469" customWidth="1"/>
    <col min="9224" max="9224" width="14.85546875" style="3469" customWidth="1"/>
    <col min="9225" max="9225" width="16.28515625" style="3469" customWidth="1"/>
    <col min="9226" max="9226" width="13.85546875" style="3469" customWidth="1"/>
    <col min="9227" max="9227" width="14.140625" style="3469" customWidth="1"/>
    <col min="9228" max="9228" width="15.7109375" style="3469" bestFit="1" customWidth="1"/>
    <col min="9229" max="9229" width="13.42578125" style="3469" bestFit="1" customWidth="1"/>
    <col min="9230" max="9232" width="13.28515625" style="3469" customWidth="1"/>
    <col min="9233" max="9233" width="11.5703125" style="3469" customWidth="1"/>
    <col min="9234" max="9234" width="13.140625" style="3469" customWidth="1"/>
    <col min="9235" max="9235" width="13.85546875" style="3469" customWidth="1"/>
    <col min="9236" max="9474" width="9.140625" style="3469"/>
    <col min="9475" max="9475" width="43.85546875" style="3469" customWidth="1"/>
    <col min="9476" max="9476" width="7.140625" style="3469" customWidth="1"/>
    <col min="9477" max="9477" width="15.5703125" style="3469" customWidth="1"/>
    <col min="9478" max="9478" width="16" style="3469" customWidth="1"/>
    <col min="9479" max="9479" width="15.140625" style="3469" customWidth="1"/>
    <col min="9480" max="9480" width="14.85546875" style="3469" customWidth="1"/>
    <col min="9481" max="9481" width="16.28515625" style="3469" customWidth="1"/>
    <col min="9482" max="9482" width="13.85546875" style="3469" customWidth="1"/>
    <col min="9483" max="9483" width="14.140625" style="3469" customWidth="1"/>
    <col min="9484" max="9484" width="15.7109375" style="3469" bestFit="1" customWidth="1"/>
    <col min="9485" max="9485" width="13.42578125" style="3469" bestFit="1" customWidth="1"/>
    <col min="9486" max="9488" width="13.28515625" style="3469" customWidth="1"/>
    <col min="9489" max="9489" width="11.5703125" style="3469" customWidth="1"/>
    <col min="9490" max="9490" width="13.140625" style="3469" customWidth="1"/>
    <col min="9491" max="9491" width="13.85546875" style="3469" customWidth="1"/>
    <col min="9492" max="9730" width="9.140625" style="3469"/>
    <col min="9731" max="9731" width="43.85546875" style="3469" customWidth="1"/>
    <col min="9732" max="9732" width="7.140625" style="3469" customWidth="1"/>
    <col min="9733" max="9733" width="15.5703125" style="3469" customWidth="1"/>
    <col min="9734" max="9734" width="16" style="3469" customWidth="1"/>
    <col min="9735" max="9735" width="15.140625" style="3469" customWidth="1"/>
    <col min="9736" max="9736" width="14.85546875" style="3469" customWidth="1"/>
    <col min="9737" max="9737" width="16.28515625" style="3469" customWidth="1"/>
    <col min="9738" max="9738" width="13.85546875" style="3469" customWidth="1"/>
    <col min="9739" max="9739" width="14.140625" style="3469" customWidth="1"/>
    <col min="9740" max="9740" width="15.7109375" style="3469" bestFit="1" customWidth="1"/>
    <col min="9741" max="9741" width="13.42578125" style="3469" bestFit="1" customWidth="1"/>
    <col min="9742" max="9744" width="13.28515625" style="3469" customWidth="1"/>
    <col min="9745" max="9745" width="11.5703125" style="3469" customWidth="1"/>
    <col min="9746" max="9746" width="13.140625" style="3469" customWidth="1"/>
    <col min="9747" max="9747" width="13.85546875" style="3469" customWidth="1"/>
    <col min="9748" max="9986" width="9.140625" style="3469"/>
    <col min="9987" max="9987" width="43.85546875" style="3469" customWidth="1"/>
    <col min="9988" max="9988" width="7.140625" style="3469" customWidth="1"/>
    <col min="9989" max="9989" width="15.5703125" style="3469" customWidth="1"/>
    <col min="9990" max="9990" width="16" style="3469" customWidth="1"/>
    <col min="9991" max="9991" width="15.140625" style="3469" customWidth="1"/>
    <col min="9992" max="9992" width="14.85546875" style="3469" customWidth="1"/>
    <col min="9993" max="9993" width="16.28515625" style="3469" customWidth="1"/>
    <col min="9994" max="9994" width="13.85546875" style="3469" customWidth="1"/>
    <col min="9995" max="9995" width="14.140625" style="3469" customWidth="1"/>
    <col min="9996" max="9996" width="15.7109375" style="3469" bestFit="1" customWidth="1"/>
    <col min="9997" max="9997" width="13.42578125" style="3469" bestFit="1" customWidth="1"/>
    <col min="9998" max="10000" width="13.28515625" style="3469" customWidth="1"/>
    <col min="10001" max="10001" width="11.5703125" style="3469" customWidth="1"/>
    <col min="10002" max="10002" width="13.140625" style="3469" customWidth="1"/>
    <col min="10003" max="10003" width="13.85546875" style="3469" customWidth="1"/>
    <col min="10004" max="10242" width="9.140625" style="3469"/>
    <col min="10243" max="10243" width="43.85546875" style="3469" customWidth="1"/>
    <col min="10244" max="10244" width="7.140625" style="3469" customWidth="1"/>
    <col min="10245" max="10245" width="15.5703125" style="3469" customWidth="1"/>
    <col min="10246" max="10246" width="16" style="3469" customWidth="1"/>
    <col min="10247" max="10247" width="15.140625" style="3469" customWidth="1"/>
    <col min="10248" max="10248" width="14.85546875" style="3469" customWidth="1"/>
    <col min="10249" max="10249" width="16.28515625" style="3469" customWidth="1"/>
    <col min="10250" max="10250" width="13.85546875" style="3469" customWidth="1"/>
    <col min="10251" max="10251" width="14.140625" style="3469" customWidth="1"/>
    <col min="10252" max="10252" width="15.7109375" style="3469" bestFit="1" customWidth="1"/>
    <col min="10253" max="10253" width="13.42578125" style="3469" bestFit="1" customWidth="1"/>
    <col min="10254" max="10256" width="13.28515625" style="3469" customWidth="1"/>
    <col min="10257" max="10257" width="11.5703125" style="3469" customWidth="1"/>
    <col min="10258" max="10258" width="13.140625" style="3469" customWidth="1"/>
    <col min="10259" max="10259" width="13.85546875" style="3469" customWidth="1"/>
    <col min="10260" max="10498" width="9.140625" style="3469"/>
    <col min="10499" max="10499" width="43.85546875" style="3469" customWidth="1"/>
    <col min="10500" max="10500" width="7.140625" style="3469" customWidth="1"/>
    <col min="10501" max="10501" width="15.5703125" style="3469" customWidth="1"/>
    <col min="10502" max="10502" width="16" style="3469" customWidth="1"/>
    <col min="10503" max="10503" width="15.140625" style="3469" customWidth="1"/>
    <col min="10504" max="10504" width="14.85546875" style="3469" customWidth="1"/>
    <col min="10505" max="10505" width="16.28515625" style="3469" customWidth="1"/>
    <col min="10506" max="10506" width="13.85546875" style="3469" customWidth="1"/>
    <col min="10507" max="10507" width="14.140625" style="3469" customWidth="1"/>
    <col min="10508" max="10508" width="15.7109375" style="3469" bestFit="1" customWidth="1"/>
    <col min="10509" max="10509" width="13.42578125" style="3469" bestFit="1" customWidth="1"/>
    <col min="10510" max="10512" width="13.28515625" style="3469" customWidth="1"/>
    <col min="10513" max="10513" width="11.5703125" style="3469" customWidth="1"/>
    <col min="10514" max="10514" width="13.140625" style="3469" customWidth="1"/>
    <col min="10515" max="10515" width="13.85546875" style="3469" customWidth="1"/>
    <col min="10516" max="10754" width="9.140625" style="3469"/>
    <col min="10755" max="10755" width="43.85546875" style="3469" customWidth="1"/>
    <col min="10756" max="10756" width="7.140625" style="3469" customWidth="1"/>
    <col min="10757" max="10757" width="15.5703125" style="3469" customWidth="1"/>
    <col min="10758" max="10758" width="16" style="3469" customWidth="1"/>
    <col min="10759" max="10759" width="15.140625" style="3469" customWidth="1"/>
    <col min="10760" max="10760" width="14.85546875" style="3469" customWidth="1"/>
    <col min="10761" max="10761" width="16.28515625" style="3469" customWidth="1"/>
    <col min="10762" max="10762" width="13.85546875" style="3469" customWidth="1"/>
    <col min="10763" max="10763" width="14.140625" style="3469" customWidth="1"/>
    <col min="10764" max="10764" width="15.7109375" style="3469" bestFit="1" customWidth="1"/>
    <col min="10765" max="10765" width="13.42578125" style="3469" bestFit="1" customWidth="1"/>
    <col min="10766" max="10768" width="13.28515625" style="3469" customWidth="1"/>
    <col min="10769" max="10769" width="11.5703125" style="3469" customWidth="1"/>
    <col min="10770" max="10770" width="13.140625" style="3469" customWidth="1"/>
    <col min="10771" max="10771" width="13.85546875" style="3469" customWidth="1"/>
    <col min="10772" max="11010" width="9.140625" style="3469"/>
    <col min="11011" max="11011" width="43.85546875" style="3469" customWidth="1"/>
    <col min="11012" max="11012" width="7.140625" style="3469" customWidth="1"/>
    <col min="11013" max="11013" width="15.5703125" style="3469" customWidth="1"/>
    <col min="11014" max="11014" width="16" style="3469" customWidth="1"/>
    <col min="11015" max="11015" width="15.140625" style="3469" customWidth="1"/>
    <col min="11016" max="11016" width="14.85546875" style="3469" customWidth="1"/>
    <col min="11017" max="11017" width="16.28515625" style="3469" customWidth="1"/>
    <col min="11018" max="11018" width="13.85546875" style="3469" customWidth="1"/>
    <col min="11019" max="11019" width="14.140625" style="3469" customWidth="1"/>
    <col min="11020" max="11020" width="15.7109375" style="3469" bestFit="1" customWidth="1"/>
    <col min="11021" max="11021" width="13.42578125" style="3469" bestFit="1" customWidth="1"/>
    <col min="11022" max="11024" width="13.28515625" style="3469" customWidth="1"/>
    <col min="11025" max="11025" width="11.5703125" style="3469" customWidth="1"/>
    <col min="11026" max="11026" width="13.140625" style="3469" customWidth="1"/>
    <col min="11027" max="11027" width="13.85546875" style="3469" customWidth="1"/>
    <col min="11028" max="11266" width="9.140625" style="3469"/>
    <col min="11267" max="11267" width="43.85546875" style="3469" customWidth="1"/>
    <col min="11268" max="11268" width="7.140625" style="3469" customWidth="1"/>
    <col min="11269" max="11269" width="15.5703125" style="3469" customWidth="1"/>
    <col min="11270" max="11270" width="16" style="3469" customWidth="1"/>
    <col min="11271" max="11271" width="15.140625" style="3469" customWidth="1"/>
    <col min="11272" max="11272" width="14.85546875" style="3469" customWidth="1"/>
    <col min="11273" max="11273" width="16.28515625" style="3469" customWidth="1"/>
    <col min="11274" max="11274" width="13.85546875" style="3469" customWidth="1"/>
    <col min="11275" max="11275" width="14.140625" style="3469" customWidth="1"/>
    <col min="11276" max="11276" width="15.7109375" style="3469" bestFit="1" customWidth="1"/>
    <col min="11277" max="11277" width="13.42578125" style="3469" bestFit="1" customWidth="1"/>
    <col min="11278" max="11280" width="13.28515625" style="3469" customWidth="1"/>
    <col min="11281" max="11281" width="11.5703125" style="3469" customWidth="1"/>
    <col min="11282" max="11282" width="13.140625" style="3469" customWidth="1"/>
    <col min="11283" max="11283" width="13.85546875" style="3469" customWidth="1"/>
    <col min="11284" max="11522" width="9.140625" style="3469"/>
    <col min="11523" max="11523" width="43.85546875" style="3469" customWidth="1"/>
    <col min="11524" max="11524" width="7.140625" style="3469" customWidth="1"/>
    <col min="11525" max="11525" width="15.5703125" style="3469" customWidth="1"/>
    <col min="11526" max="11526" width="16" style="3469" customWidth="1"/>
    <col min="11527" max="11527" width="15.140625" style="3469" customWidth="1"/>
    <col min="11528" max="11528" width="14.85546875" style="3469" customWidth="1"/>
    <col min="11529" max="11529" width="16.28515625" style="3469" customWidth="1"/>
    <col min="11530" max="11530" width="13.85546875" style="3469" customWidth="1"/>
    <col min="11531" max="11531" width="14.140625" style="3469" customWidth="1"/>
    <col min="11532" max="11532" width="15.7109375" style="3469" bestFit="1" customWidth="1"/>
    <col min="11533" max="11533" width="13.42578125" style="3469" bestFit="1" customWidth="1"/>
    <col min="11534" max="11536" width="13.28515625" style="3469" customWidth="1"/>
    <col min="11537" max="11537" width="11.5703125" style="3469" customWidth="1"/>
    <col min="11538" max="11538" width="13.140625" style="3469" customWidth="1"/>
    <col min="11539" max="11539" width="13.85546875" style="3469" customWidth="1"/>
    <col min="11540" max="11778" width="9.140625" style="3469"/>
    <col min="11779" max="11779" width="43.85546875" style="3469" customWidth="1"/>
    <col min="11780" max="11780" width="7.140625" style="3469" customWidth="1"/>
    <col min="11781" max="11781" width="15.5703125" style="3469" customWidth="1"/>
    <col min="11782" max="11782" width="16" style="3469" customWidth="1"/>
    <col min="11783" max="11783" width="15.140625" style="3469" customWidth="1"/>
    <col min="11784" max="11784" width="14.85546875" style="3469" customWidth="1"/>
    <col min="11785" max="11785" width="16.28515625" style="3469" customWidth="1"/>
    <col min="11786" max="11786" width="13.85546875" style="3469" customWidth="1"/>
    <col min="11787" max="11787" width="14.140625" style="3469" customWidth="1"/>
    <col min="11788" max="11788" width="15.7109375" style="3469" bestFit="1" customWidth="1"/>
    <col min="11789" max="11789" width="13.42578125" style="3469" bestFit="1" customWidth="1"/>
    <col min="11790" max="11792" width="13.28515625" style="3469" customWidth="1"/>
    <col min="11793" max="11793" width="11.5703125" style="3469" customWidth="1"/>
    <col min="11794" max="11794" width="13.140625" style="3469" customWidth="1"/>
    <col min="11795" max="11795" width="13.85546875" style="3469" customWidth="1"/>
    <col min="11796" max="12034" width="9.140625" style="3469"/>
    <col min="12035" max="12035" width="43.85546875" style="3469" customWidth="1"/>
    <col min="12036" max="12036" width="7.140625" style="3469" customWidth="1"/>
    <col min="12037" max="12037" width="15.5703125" style="3469" customWidth="1"/>
    <col min="12038" max="12038" width="16" style="3469" customWidth="1"/>
    <col min="12039" max="12039" width="15.140625" style="3469" customWidth="1"/>
    <col min="12040" max="12040" width="14.85546875" style="3469" customWidth="1"/>
    <col min="12041" max="12041" width="16.28515625" style="3469" customWidth="1"/>
    <col min="12042" max="12042" width="13.85546875" style="3469" customWidth="1"/>
    <col min="12043" max="12043" width="14.140625" style="3469" customWidth="1"/>
    <col min="12044" max="12044" width="15.7109375" style="3469" bestFit="1" customWidth="1"/>
    <col min="12045" max="12045" width="13.42578125" style="3469" bestFit="1" customWidth="1"/>
    <col min="12046" max="12048" width="13.28515625" style="3469" customWidth="1"/>
    <col min="12049" max="12049" width="11.5703125" style="3469" customWidth="1"/>
    <col min="12050" max="12050" width="13.140625" style="3469" customWidth="1"/>
    <col min="12051" max="12051" width="13.85546875" style="3469" customWidth="1"/>
    <col min="12052" max="12290" width="9.140625" style="3469"/>
    <col min="12291" max="12291" width="43.85546875" style="3469" customWidth="1"/>
    <col min="12292" max="12292" width="7.140625" style="3469" customWidth="1"/>
    <col min="12293" max="12293" width="15.5703125" style="3469" customWidth="1"/>
    <col min="12294" max="12294" width="16" style="3469" customWidth="1"/>
    <col min="12295" max="12295" width="15.140625" style="3469" customWidth="1"/>
    <col min="12296" max="12296" width="14.85546875" style="3469" customWidth="1"/>
    <col min="12297" max="12297" width="16.28515625" style="3469" customWidth="1"/>
    <col min="12298" max="12298" width="13.85546875" style="3469" customWidth="1"/>
    <col min="12299" max="12299" width="14.140625" style="3469" customWidth="1"/>
    <col min="12300" max="12300" width="15.7109375" style="3469" bestFit="1" customWidth="1"/>
    <col min="12301" max="12301" width="13.42578125" style="3469" bestFit="1" customWidth="1"/>
    <col min="12302" max="12304" width="13.28515625" style="3469" customWidth="1"/>
    <col min="12305" max="12305" width="11.5703125" style="3469" customWidth="1"/>
    <col min="12306" max="12306" width="13.140625" style="3469" customWidth="1"/>
    <col min="12307" max="12307" width="13.85546875" style="3469" customWidth="1"/>
    <col min="12308" max="12546" width="9.140625" style="3469"/>
    <col min="12547" max="12547" width="43.85546875" style="3469" customWidth="1"/>
    <col min="12548" max="12548" width="7.140625" style="3469" customWidth="1"/>
    <col min="12549" max="12549" width="15.5703125" style="3469" customWidth="1"/>
    <col min="12550" max="12550" width="16" style="3469" customWidth="1"/>
    <col min="12551" max="12551" width="15.140625" style="3469" customWidth="1"/>
    <col min="12552" max="12552" width="14.85546875" style="3469" customWidth="1"/>
    <col min="12553" max="12553" width="16.28515625" style="3469" customWidth="1"/>
    <col min="12554" max="12554" width="13.85546875" style="3469" customWidth="1"/>
    <col min="12555" max="12555" width="14.140625" style="3469" customWidth="1"/>
    <col min="12556" max="12556" width="15.7109375" style="3469" bestFit="1" customWidth="1"/>
    <col min="12557" max="12557" width="13.42578125" style="3469" bestFit="1" customWidth="1"/>
    <col min="12558" max="12560" width="13.28515625" style="3469" customWidth="1"/>
    <col min="12561" max="12561" width="11.5703125" style="3469" customWidth="1"/>
    <col min="12562" max="12562" width="13.140625" style="3469" customWidth="1"/>
    <col min="12563" max="12563" width="13.85546875" style="3469" customWidth="1"/>
    <col min="12564" max="12802" width="9.140625" style="3469"/>
    <col min="12803" max="12803" width="43.85546875" style="3469" customWidth="1"/>
    <col min="12804" max="12804" width="7.140625" style="3469" customWidth="1"/>
    <col min="12805" max="12805" width="15.5703125" style="3469" customWidth="1"/>
    <col min="12806" max="12806" width="16" style="3469" customWidth="1"/>
    <col min="12807" max="12807" width="15.140625" style="3469" customWidth="1"/>
    <col min="12808" max="12808" width="14.85546875" style="3469" customWidth="1"/>
    <col min="12809" max="12809" width="16.28515625" style="3469" customWidth="1"/>
    <col min="12810" max="12810" width="13.85546875" style="3469" customWidth="1"/>
    <col min="12811" max="12811" width="14.140625" style="3469" customWidth="1"/>
    <col min="12812" max="12812" width="15.7109375" style="3469" bestFit="1" customWidth="1"/>
    <col min="12813" max="12813" width="13.42578125" style="3469" bestFit="1" customWidth="1"/>
    <col min="12814" max="12816" width="13.28515625" style="3469" customWidth="1"/>
    <col min="12817" max="12817" width="11.5703125" style="3469" customWidth="1"/>
    <col min="12818" max="12818" width="13.140625" style="3469" customWidth="1"/>
    <col min="12819" max="12819" width="13.85546875" style="3469" customWidth="1"/>
    <col min="12820" max="13058" width="9.140625" style="3469"/>
    <col min="13059" max="13059" width="43.85546875" style="3469" customWidth="1"/>
    <col min="13060" max="13060" width="7.140625" style="3469" customWidth="1"/>
    <col min="13061" max="13061" width="15.5703125" style="3469" customWidth="1"/>
    <col min="13062" max="13062" width="16" style="3469" customWidth="1"/>
    <col min="13063" max="13063" width="15.140625" style="3469" customWidth="1"/>
    <col min="13064" max="13064" width="14.85546875" style="3469" customWidth="1"/>
    <col min="13065" max="13065" width="16.28515625" style="3469" customWidth="1"/>
    <col min="13066" max="13066" width="13.85546875" style="3469" customWidth="1"/>
    <col min="13067" max="13067" width="14.140625" style="3469" customWidth="1"/>
    <col min="13068" max="13068" width="15.7109375" style="3469" bestFit="1" customWidth="1"/>
    <col min="13069" max="13069" width="13.42578125" style="3469" bestFit="1" customWidth="1"/>
    <col min="13070" max="13072" width="13.28515625" style="3469" customWidth="1"/>
    <col min="13073" max="13073" width="11.5703125" style="3469" customWidth="1"/>
    <col min="13074" max="13074" width="13.140625" style="3469" customWidth="1"/>
    <col min="13075" max="13075" width="13.85546875" style="3469" customWidth="1"/>
    <col min="13076" max="13314" width="9.140625" style="3469"/>
    <col min="13315" max="13315" width="43.85546875" style="3469" customWidth="1"/>
    <col min="13316" max="13316" width="7.140625" style="3469" customWidth="1"/>
    <col min="13317" max="13317" width="15.5703125" style="3469" customWidth="1"/>
    <col min="13318" max="13318" width="16" style="3469" customWidth="1"/>
    <col min="13319" max="13319" width="15.140625" style="3469" customWidth="1"/>
    <col min="13320" max="13320" width="14.85546875" style="3469" customWidth="1"/>
    <col min="13321" max="13321" width="16.28515625" style="3469" customWidth="1"/>
    <col min="13322" max="13322" width="13.85546875" style="3469" customWidth="1"/>
    <col min="13323" max="13323" width="14.140625" style="3469" customWidth="1"/>
    <col min="13324" max="13324" width="15.7109375" style="3469" bestFit="1" customWidth="1"/>
    <col min="13325" max="13325" width="13.42578125" style="3469" bestFit="1" customWidth="1"/>
    <col min="13326" max="13328" width="13.28515625" style="3469" customWidth="1"/>
    <col min="13329" max="13329" width="11.5703125" style="3469" customWidth="1"/>
    <col min="13330" max="13330" width="13.140625" style="3469" customWidth="1"/>
    <col min="13331" max="13331" width="13.85546875" style="3469" customWidth="1"/>
    <col min="13332" max="13570" width="9.140625" style="3469"/>
    <col min="13571" max="13571" width="43.85546875" style="3469" customWidth="1"/>
    <col min="13572" max="13572" width="7.140625" style="3469" customWidth="1"/>
    <col min="13573" max="13573" width="15.5703125" style="3469" customWidth="1"/>
    <col min="13574" max="13574" width="16" style="3469" customWidth="1"/>
    <col min="13575" max="13575" width="15.140625" style="3469" customWidth="1"/>
    <col min="13576" max="13576" width="14.85546875" style="3469" customWidth="1"/>
    <col min="13577" max="13577" width="16.28515625" style="3469" customWidth="1"/>
    <col min="13578" max="13578" width="13.85546875" style="3469" customWidth="1"/>
    <col min="13579" max="13579" width="14.140625" style="3469" customWidth="1"/>
    <col min="13580" max="13580" width="15.7109375" style="3469" bestFit="1" customWidth="1"/>
    <col min="13581" max="13581" width="13.42578125" style="3469" bestFit="1" customWidth="1"/>
    <col min="13582" max="13584" width="13.28515625" style="3469" customWidth="1"/>
    <col min="13585" max="13585" width="11.5703125" style="3469" customWidth="1"/>
    <col min="13586" max="13586" width="13.140625" style="3469" customWidth="1"/>
    <col min="13587" max="13587" width="13.85546875" style="3469" customWidth="1"/>
    <col min="13588" max="13826" width="9.140625" style="3469"/>
    <col min="13827" max="13827" width="43.85546875" style="3469" customWidth="1"/>
    <col min="13828" max="13828" width="7.140625" style="3469" customWidth="1"/>
    <col min="13829" max="13829" width="15.5703125" style="3469" customWidth="1"/>
    <col min="13830" max="13830" width="16" style="3469" customWidth="1"/>
    <col min="13831" max="13831" width="15.140625" style="3469" customWidth="1"/>
    <col min="13832" max="13832" width="14.85546875" style="3469" customWidth="1"/>
    <col min="13833" max="13833" width="16.28515625" style="3469" customWidth="1"/>
    <col min="13834" max="13834" width="13.85546875" style="3469" customWidth="1"/>
    <col min="13835" max="13835" width="14.140625" style="3469" customWidth="1"/>
    <col min="13836" max="13836" width="15.7109375" style="3469" bestFit="1" customWidth="1"/>
    <col min="13837" max="13837" width="13.42578125" style="3469" bestFit="1" customWidth="1"/>
    <col min="13838" max="13840" width="13.28515625" style="3469" customWidth="1"/>
    <col min="13841" max="13841" width="11.5703125" style="3469" customWidth="1"/>
    <col min="13842" max="13842" width="13.140625" style="3469" customWidth="1"/>
    <col min="13843" max="13843" width="13.85546875" style="3469" customWidth="1"/>
    <col min="13844" max="14082" width="9.140625" style="3469"/>
    <col min="14083" max="14083" width="43.85546875" style="3469" customWidth="1"/>
    <col min="14084" max="14084" width="7.140625" style="3469" customWidth="1"/>
    <col min="14085" max="14085" width="15.5703125" style="3469" customWidth="1"/>
    <col min="14086" max="14086" width="16" style="3469" customWidth="1"/>
    <col min="14087" max="14087" width="15.140625" style="3469" customWidth="1"/>
    <col min="14088" max="14088" width="14.85546875" style="3469" customWidth="1"/>
    <col min="14089" max="14089" width="16.28515625" style="3469" customWidth="1"/>
    <col min="14090" max="14090" width="13.85546875" style="3469" customWidth="1"/>
    <col min="14091" max="14091" width="14.140625" style="3469" customWidth="1"/>
    <col min="14092" max="14092" width="15.7109375" style="3469" bestFit="1" customWidth="1"/>
    <col min="14093" max="14093" width="13.42578125" style="3469" bestFit="1" customWidth="1"/>
    <col min="14094" max="14096" width="13.28515625" style="3469" customWidth="1"/>
    <col min="14097" max="14097" width="11.5703125" style="3469" customWidth="1"/>
    <col min="14098" max="14098" width="13.140625" style="3469" customWidth="1"/>
    <col min="14099" max="14099" width="13.85546875" style="3469" customWidth="1"/>
    <col min="14100" max="14338" width="9.140625" style="3469"/>
    <col min="14339" max="14339" width="43.85546875" style="3469" customWidth="1"/>
    <col min="14340" max="14340" width="7.140625" style="3469" customWidth="1"/>
    <col min="14341" max="14341" width="15.5703125" style="3469" customWidth="1"/>
    <col min="14342" max="14342" width="16" style="3469" customWidth="1"/>
    <col min="14343" max="14343" width="15.140625" style="3469" customWidth="1"/>
    <col min="14344" max="14344" width="14.85546875" style="3469" customWidth="1"/>
    <col min="14345" max="14345" width="16.28515625" style="3469" customWidth="1"/>
    <col min="14346" max="14346" width="13.85546875" style="3469" customWidth="1"/>
    <col min="14347" max="14347" width="14.140625" style="3469" customWidth="1"/>
    <col min="14348" max="14348" width="15.7109375" style="3469" bestFit="1" customWidth="1"/>
    <col min="14349" max="14349" width="13.42578125" style="3469" bestFit="1" customWidth="1"/>
    <col min="14350" max="14352" width="13.28515625" style="3469" customWidth="1"/>
    <col min="14353" max="14353" width="11.5703125" style="3469" customWidth="1"/>
    <col min="14354" max="14354" width="13.140625" style="3469" customWidth="1"/>
    <col min="14355" max="14355" width="13.85546875" style="3469" customWidth="1"/>
    <col min="14356" max="14594" width="9.140625" style="3469"/>
    <col min="14595" max="14595" width="43.85546875" style="3469" customWidth="1"/>
    <col min="14596" max="14596" width="7.140625" style="3469" customWidth="1"/>
    <col min="14597" max="14597" width="15.5703125" style="3469" customWidth="1"/>
    <col min="14598" max="14598" width="16" style="3469" customWidth="1"/>
    <col min="14599" max="14599" width="15.140625" style="3469" customWidth="1"/>
    <col min="14600" max="14600" width="14.85546875" style="3469" customWidth="1"/>
    <col min="14601" max="14601" width="16.28515625" style="3469" customWidth="1"/>
    <col min="14602" max="14602" width="13.85546875" style="3469" customWidth="1"/>
    <col min="14603" max="14603" width="14.140625" style="3469" customWidth="1"/>
    <col min="14604" max="14604" width="15.7109375" style="3469" bestFit="1" customWidth="1"/>
    <col min="14605" max="14605" width="13.42578125" style="3469" bestFit="1" customWidth="1"/>
    <col min="14606" max="14608" width="13.28515625" style="3469" customWidth="1"/>
    <col min="14609" max="14609" width="11.5703125" style="3469" customWidth="1"/>
    <col min="14610" max="14610" width="13.140625" style="3469" customWidth="1"/>
    <col min="14611" max="14611" width="13.85546875" style="3469" customWidth="1"/>
    <col min="14612" max="14850" width="9.140625" style="3469"/>
    <col min="14851" max="14851" width="43.85546875" style="3469" customWidth="1"/>
    <col min="14852" max="14852" width="7.140625" style="3469" customWidth="1"/>
    <col min="14853" max="14853" width="15.5703125" style="3469" customWidth="1"/>
    <col min="14854" max="14854" width="16" style="3469" customWidth="1"/>
    <col min="14855" max="14855" width="15.140625" style="3469" customWidth="1"/>
    <col min="14856" max="14856" width="14.85546875" style="3469" customWidth="1"/>
    <col min="14857" max="14857" width="16.28515625" style="3469" customWidth="1"/>
    <col min="14858" max="14858" width="13.85546875" style="3469" customWidth="1"/>
    <col min="14859" max="14859" width="14.140625" style="3469" customWidth="1"/>
    <col min="14860" max="14860" width="15.7109375" style="3469" bestFit="1" customWidth="1"/>
    <col min="14861" max="14861" width="13.42578125" style="3469" bestFit="1" customWidth="1"/>
    <col min="14862" max="14864" width="13.28515625" style="3469" customWidth="1"/>
    <col min="14865" max="14865" width="11.5703125" style="3469" customWidth="1"/>
    <col min="14866" max="14866" width="13.140625" style="3469" customWidth="1"/>
    <col min="14867" max="14867" width="13.85546875" style="3469" customWidth="1"/>
    <col min="14868" max="15106" width="9.140625" style="3469"/>
    <col min="15107" max="15107" width="43.85546875" style="3469" customWidth="1"/>
    <col min="15108" max="15108" width="7.140625" style="3469" customWidth="1"/>
    <col min="15109" max="15109" width="15.5703125" style="3469" customWidth="1"/>
    <col min="15110" max="15110" width="16" style="3469" customWidth="1"/>
    <col min="15111" max="15111" width="15.140625" style="3469" customWidth="1"/>
    <col min="15112" max="15112" width="14.85546875" style="3469" customWidth="1"/>
    <col min="15113" max="15113" width="16.28515625" style="3469" customWidth="1"/>
    <col min="15114" max="15114" width="13.85546875" style="3469" customWidth="1"/>
    <col min="15115" max="15115" width="14.140625" style="3469" customWidth="1"/>
    <col min="15116" max="15116" width="15.7109375" style="3469" bestFit="1" customWidth="1"/>
    <col min="15117" max="15117" width="13.42578125" style="3469" bestFit="1" customWidth="1"/>
    <col min="15118" max="15120" width="13.28515625" style="3469" customWidth="1"/>
    <col min="15121" max="15121" width="11.5703125" style="3469" customWidth="1"/>
    <col min="15122" max="15122" width="13.140625" style="3469" customWidth="1"/>
    <col min="15123" max="15123" width="13.85546875" style="3469" customWidth="1"/>
    <col min="15124" max="15362" width="9.140625" style="3469"/>
    <col min="15363" max="15363" width="43.85546875" style="3469" customWidth="1"/>
    <col min="15364" max="15364" width="7.140625" style="3469" customWidth="1"/>
    <col min="15365" max="15365" width="15.5703125" style="3469" customWidth="1"/>
    <col min="15366" max="15366" width="16" style="3469" customWidth="1"/>
    <col min="15367" max="15367" width="15.140625" style="3469" customWidth="1"/>
    <col min="15368" max="15368" width="14.85546875" style="3469" customWidth="1"/>
    <col min="15369" max="15369" width="16.28515625" style="3469" customWidth="1"/>
    <col min="15370" max="15370" width="13.85546875" style="3469" customWidth="1"/>
    <col min="15371" max="15371" width="14.140625" style="3469" customWidth="1"/>
    <col min="15372" max="15372" width="15.7109375" style="3469" bestFit="1" customWidth="1"/>
    <col min="15373" max="15373" width="13.42578125" style="3469" bestFit="1" customWidth="1"/>
    <col min="15374" max="15376" width="13.28515625" style="3469" customWidth="1"/>
    <col min="15377" max="15377" width="11.5703125" style="3469" customWidth="1"/>
    <col min="15378" max="15378" width="13.140625" style="3469" customWidth="1"/>
    <col min="15379" max="15379" width="13.85546875" style="3469" customWidth="1"/>
    <col min="15380" max="15618" width="9.140625" style="3469"/>
    <col min="15619" max="15619" width="43.85546875" style="3469" customWidth="1"/>
    <col min="15620" max="15620" width="7.140625" style="3469" customWidth="1"/>
    <col min="15621" max="15621" width="15.5703125" style="3469" customWidth="1"/>
    <col min="15622" max="15622" width="16" style="3469" customWidth="1"/>
    <col min="15623" max="15623" width="15.140625" style="3469" customWidth="1"/>
    <col min="15624" max="15624" width="14.85546875" style="3469" customWidth="1"/>
    <col min="15625" max="15625" width="16.28515625" style="3469" customWidth="1"/>
    <col min="15626" max="15626" width="13.85546875" style="3469" customWidth="1"/>
    <col min="15627" max="15627" width="14.140625" style="3469" customWidth="1"/>
    <col min="15628" max="15628" width="15.7109375" style="3469" bestFit="1" customWidth="1"/>
    <col min="15629" max="15629" width="13.42578125" style="3469" bestFit="1" customWidth="1"/>
    <col min="15630" max="15632" width="13.28515625" style="3469" customWidth="1"/>
    <col min="15633" max="15633" width="11.5703125" style="3469" customWidth="1"/>
    <col min="15634" max="15634" width="13.140625" style="3469" customWidth="1"/>
    <col min="15635" max="15635" width="13.85546875" style="3469" customWidth="1"/>
    <col min="15636" max="15874" width="9.140625" style="3469"/>
    <col min="15875" max="15875" width="43.85546875" style="3469" customWidth="1"/>
    <col min="15876" max="15876" width="7.140625" style="3469" customWidth="1"/>
    <col min="15877" max="15877" width="15.5703125" style="3469" customWidth="1"/>
    <col min="15878" max="15878" width="16" style="3469" customWidth="1"/>
    <col min="15879" max="15879" width="15.140625" style="3469" customWidth="1"/>
    <col min="15880" max="15880" width="14.85546875" style="3469" customWidth="1"/>
    <col min="15881" max="15881" width="16.28515625" style="3469" customWidth="1"/>
    <col min="15882" max="15882" width="13.85546875" style="3469" customWidth="1"/>
    <col min="15883" max="15883" width="14.140625" style="3469" customWidth="1"/>
    <col min="15884" max="15884" width="15.7109375" style="3469" bestFit="1" customWidth="1"/>
    <col min="15885" max="15885" width="13.42578125" style="3469" bestFit="1" customWidth="1"/>
    <col min="15886" max="15888" width="13.28515625" style="3469" customWidth="1"/>
    <col min="15889" max="15889" width="11.5703125" style="3469" customWidth="1"/>
    <col min="15890" max="15890" width="13.140625" style="3469" customWidth="1"/>
    <col min="15891" max="15891" width="13.85546875" style="3469" customWidth="1"/>
    <col min="15892" max="16130" width="9.140625" style="3469"/>
    <col min="16131" max="16131" width="43.85546875" style="3469" customWidth="1"/>
    <col min="16132" max="16132" width="7.140625" style="3469" customWidth="1"/>
    <col min="16133" max="16133" width="15.5703125" style="3469" customWidth="1"/>
    <col min="16134" max="16134" width="16" style="3469" customWidth="1"/>
    <col min="16135" max="16135" width="15.140625" style="3469" customWidth="1"/>
    <col min="16136" max="16136" width="14.85546875" style="3469" customWidth="1"/>
    <col min="16137" max="16137" width="16.28515625" style="3469" customWidth="1"/>
    <col min="16138" max="16138" width="13.85546875" style="3469" customWidth="1"/>
    <col min="16139" max="16139" width="14.140625" style="3469" customWidth="1"/>
    <col min="16140" max="16140" width="15.7109375" style="3469" bestFit="1" customWidth="1"/>
    <col min="16141" max="16141" width="13.42578125" style="3469" bestFit="1" customWidth="1"/>
    <col min="16142" max="16144" width="13.28515625" style="3469" customWidth="1"/>
    <col min="16145" max="16145" width="11.5703125" style="3469" customWidth="1"/>
    <col min="16146" max="16146" width="13.140625" style="3469" customWidth="1"/>
    <col min="16147" max="16147" width="13.85546875" style="3469" customWidth="1"/>
    <col min="16148" max="16384" width="9.140625" style="3469"/>
  </cols>
  <sheetData>
    <row r="1" spans="1:25" ht="15.75">
      <c r="A1" s="3466"/>
      <c r="B1" s="3466"/>
      <c r="C1" s="3467" t="s">
        <v>1528</v>
      </c>
      <c r="D1" s="3466"/>
      <c r="E1" s="3468"/>
      <c r="F1" s="3468"/>
      <c r="G1" s="3468"/>
    </row>
    <row r="2" spans="1:25">
      <c r="A2" s="3466"/>
      <c r="B2" s="3466"/>
      <c r="C2" s="2025"/>
      <c r="D2" s="3466"/>
      <c r="N2" s="3470"/>
      <c r="O2" s="3470"/>
      <c r="P2" s="3470"/>
      <c r="Q2" s="3470"/>
      <c r="R2" s="3470"/>
      <c r="S2" s="3470"/>
      <c r="T2" s="3470"/>
      <c r="U2" s="3470"/>
      <c r="V2" s="3470"/>
      <c r="W2" s="3470"/>
      <c r="X2" s="3470"/>
      <c r="Y2" s="3470"/>
    </row>
    <row r="3" spans="1:25" ht="114.75" customHeight="1">
      <c r="A3" s="3471"/>
      <c r="B3" s="3472"/>
      <c r="C3" s="4523" t="s">
        <v>497</v>
      </c>
      <c r="D3" s="4524" t="s">
        <v>498</v>
      </c>
      <c r="E3" s="4524" t="s">
        <v>4020</v>
      </c>
      <c r="F3" s="4524" t="s">
        <v>4021</v>
      </c>
      <c r="G3" s="4524" t="s">
        <v>4022</v>
      </c>
      <c r="H3" s="4521" t="s">
        <v>4023</v>
      </c>
      <c r="I3" s="4521" t="s">
        <v>1533</v>
      </c>
      <c r="J3" s="4521" t="s">
        <v>1534</v>
      </c>
      <c r="K3" s="4525" t="s">
        <v>4024</v>
      </c>
      <c r="L3" s="4526"/>
      <c r="M3" s="4525" t="s">
        <v>4025</v>
      </c>
      <c r="N3" s="4526"/>
      <c r="O3" s="4525" t="s">
        <v>4026</v>
      </c>
      <c r="P3" s="4526"/>
      <c r="Q3" s="4524" t="s">
        <v>4027</v>
      </c>
      <c r="R3" s="4524"/>
      <c r="S3" s="4524"/>
      <c r="T3" s="4524" t="s">
        <v>4028</v>
      </c>
      <c r="U3" s="4524"/>
      <c r="V3" s="4524"/>
      <c r="W3" s="4524" t="s">
        <v>4029</v>
      </c>
      <c r="X3" s="4524"/>
      <c r="Y3" s="4524"/>
    </row>
    <row r="4" spans="1:25" ht="15" customHeight="1">
      <c r="A4" s="3472"/>
      <c r="B4" s="3472"/>
      <c r="C4" s="4523"/>
      <c r="D4" s="4524"/>
      <c r="E4" s="4524"/>
      <c r="F4" s="4524"/>
      <c r="G4" s="4524"/>
      <c r="H4" s="4522"/>
      <c r="I4" s="4522"/>
      <c r="J4" s="4522"/>
      <c r="K4" s="3473" t="s">
        <v>553</v>
      </c>
      <c r="L4" s="3473" t="s">
        <v>4030</v>
      </c>
      <c r="M4" s="3473" t="s">
        <v>553</v>
      </c>
      <c r="N4" s="3473" t="s">
        <v>4030</v>
      </c>
      <c r="O4" s="3473" t="s">
        <v>553</v>
      </c>
      <c r="P4" s="3473" t="s">
        <v>4030</v>
      </c>
      <c r="Q4" s="3473" t="s">
        <v>553</v>
      </c>
      <c r="R4" s="3473" t="s">
        <v>554</v>
      </c>
      <c r="S4" s="3473" t="s">
        <v>4031</v>
      </c>
      <c r="T4" s="3473" t="s">
        <v>553</v>
      </c>
      <c r="U4" s="3473" t="s">
        <v>554</v>
      </c>
      <c r="V4" s="3473" t="s">
        <v>4031</v>
      </c>
      <c r="W4" s="3473" t="s">
        <v>553</v>
      </c>
      <c r="X4" s="3473" t="s">
        <v>554</v>
      </c>
      <c r="Y4" s="3473" t="s">
        <v>4031</v>
      </c>
    </row>
    <row r="5" spans="1:25">
      <c r="A5" s="3474"/>
      <c r="B5" s="3474"/>
      <c r="C5" s="3475">
        <v>1</v>
      </c>
      <c r="D5" s="3475">
        <v>2</v>
      </c>
      <c r="E5" s="3476">
        <v>3</v>
      </c>
      <c r="F5" s="3476">
        <v>4</v>
      </c>
      <c r="G5" s="3476">
        <v>5</v>
      </c>
      <c r="H5" s="3476">
        <v>6</v>
      </c>
      <c r="I5" s="3477">
        <v>7</v>
      </c>
      <c r="J5" s="3477">
        <v>8</v>
      </c>
      <c r="K5" s="3477">
        <v>9</v>
      </c>
      <c r="L5" s="3477">
        <v>10</v>
      </c>
      <c r="M5" s="3477">
        <v>11</v>
      </c>
      <c r="N5" s="3477">
        <v>12</v>
      </c>
      <c r="O5" s="3477">
        <v>13</v>
      </c>
      <c r="P5" s="3477">
        <v>14</v>
      </c>
      <c r="Q5" s="3477">
        <v>15</v>
      </c>
      <c r="R5" s="3477">
        <v>16</v>
      </c>
      <c r="S5" s="3477">
        <v>17</v>
      </c>
      <c r="T5" s="3477">
        <v>18</v>
      </c>
      <c r="U5" s="3477">
        <v>19</v>
      </c>
      <c r="V5" s="3477">
        <v>20</v>
      </c>
      <c r="W5" s="3477">
        <v>21</v>
      </c>
      <c r="X5" s="3477">
        <v>22</v>
      </c>
      <c r="Y5" s="3477">
        <v>23</v>
      </c>
    </row>
    <row r="6" spans="1:25" ht="15.75" hidden="1" thickBot="1">
      <c r="A6" s="2026" t="s">
        <v>1538</v>
      </c>
      <c r="B6" s="2026" t="s">
        <v>1539</v>
      </c>
      <c r="C6" s="2026" t="s">
        <v>497</v>
      </c>
      <c r="D6" s="2026" t="s">
        <v>1540</v>
      </c>
      <c r="E6" s="2027" t="s">
        <v>1299</v>
      </c>
      <c r="F6" s="2027" t="s">
        <v>1300</v>
      </c>
      <c r="G6" s="2027" t="s">
        <v>1301</v>
      </c>
      <c r="H6" s="2027" t="s">
        <v>1302</v>
      </c>
      <c r="I6" s="2027" t="s">
        <v>1303</v>
      </c>
      <c r="J6" s="2027" t="s">
        <v>1304</v>
      </c>
      <c r="K6" s="2027" t="s">
        <v>1314</v>
      </c>
      <c r="L6" s="2027" t="s">
        <v>1315</v>
      </c>
      <c r="M6" s="2027" t="s">
        <v>1316</v>
      </c>
      <c r="N6" s="2027" t="s">
        <v>1556</v>
      </c>
      <c r="O6" s="2027" t="s">
        <v>1968</v>
      </c>
      <c r="P6" s="2027" t="s">
        <v>1969</v>
      </c>
      <c r="Q6" s="2027" t="s">
        <v>1305</v>
      </c>
      <c r="R6" s="2027" t="s">
        <v>1306</v>
      </c>
      <c r="S6" s="2027" t="s">
        <v>1307</v>
      </c>
      <c r="T6" s="2027" t="s">
        <v>1308</v>
      </c>
      <c r="U6" s="2027" t="s">
        <v>1309</v>
      </c>
      <c r="V6" s="2027" t="s">
        <v>1310</v>
      </c>
      <c r="W6" s="2027" t="s">
        <v>1311</v>
      </c>
      <c r="X6" s="2027" t="s">
        <v>1312</v>
      </c>
      <c r="Y6" s="2027" t="s">
        <v>1313</v>
      </c>
    </row>
    <row r="7" spans="1:25" s="3483" customFormat="1" ht="25.5">
      <c r="A7" s="3478">
        <v>100</v>
      </c>
      <c r="B7" s="3479">
        <v>0</v>
      </c>
      <c r="C7" s="3480" t="s">
        <v>1973</v>
      </c>
      <c r="D7" s="3481">
        <v>100</v>
      </c>
      <c r="E7" s="3482">
        <f>Таблица145[[#This Row],[v1]]</f>
        <v>24830.238999999998</v>
      </c>
      <c r="F7" s="3482">
        <f>Таблица145[[#This Row],[v2]]</f>
        <v>67303.919316800006</v>
      </c>
      <c r="G7" s="3482">
        <f>Таблица145[[#This Row],[v3]]</f>
        <v>57037.21976</v>
      </c>
      <c r="H7" s="3482">
        <f>Таблица145[[#This Row],[v4]]</f>
        <v>7588.9080000000004</v>
      </c>
      <c r="I7" s="3482">
        <f>Таблица145[[#This Row],[v5]]</f>
        <v>22311.007942999997</v>
      </c>
      <c r="J7" s="3482">
        <f>Таблица145[[#This Row],[v6]]</f>
        <v>18907.633849999998</v>
      </c>
      <c r="K7" s="3482">
        <f>Таблица145[[#This Row],[v7]]</f>
        <v>4609.2960000000003</v>
      </c>
      <c r="L7" s="3482">
        <f>Таблица145[[#This Row],[v9]]</f>
        <v>12632.035000000002</v>
      </c>
      <c r="M7" s="3482">
        <f>Таблица145[[#This Row],[v10]]</f>
        <v>8776.3698762000004</v>
      </c>
      <c r="N7" s="3482">
        <f>Таблица145[[#This Row],[v12]]</f>
        <v>36216.541497599996</v>
      </c>
      <c r="O7" s="3482">
        <f>Таблица145[[#This Row],[v13]]</f>
        <v>7437.601590000002</v>
      </c>
      <c r="P7" s="3482">
        <f>Таблица145[[#This Row],[v15]]</f>
        <v>30691.98432</v>
      </c>
      <c r="Q7" s="3482">
        <v>0</v>
      </c>
      <c r="R7" s="3482">
        <v>0</v>
      </c>
      <c r="S7" s="3482">
        <v>0</v>
      </c>
      <c r="T7" s="3482">
        <v>0</v>
      </c>
      <c r="U7" s="3482">
        <v>0</v>
      </c>
      <c r="V7" s="3482">
        <v>0</v>
      </c>
      <c r="W7" s="3482">
        <v>0</v>
      </c>
      <c r="X7" s="3482">
        <v>0</v>
      </c>
      <c r="Y7" s="3482">
        <v>0</v>
      </c>
    </row>
    <row r="8" spans="1:25">
      <c r="A8" s="3479">
        <v>100</v>
      </c>
      <c r="B8" s="3479">
        <v>1</v>
      </c>
      <c r="C8" s="3484" t="s">
        <v>557</v>
      </c>
      <c r="D8" s="3475">
        <v>110</v>
      </c>
      <c r="E8" s="3482">
        <f>Таблица145[[#This Row],[v1]]</f>
        <v>24830.238999999998</v>
      </c>
      <c r="F8" s="3482">
        <f>Таблица145[[#This Row],[v2]]</f>
        <v>67303.919316800006</v>
      </c>
      <c r="G8" s="3482">
        <f>Таблица145[[#This Row],[v3]]</f>
        <v>57037.21976</v>
      </c>
      <c r="H8" s="3482">
        <f>Таблица145[[#This Row],[v4]]</f>
        <v>7588.9080000000004</v>
      </c>
      <c r="I8" s="3482">
        <f>Таблица145[[#This Row],[v5]]</f>
        <v>22311.007942999997</v>
      </c>
      <c r="J8" s="3482">
        <f>Таблица145[[#This Row],[v6]]</f>
        <v>18907.633849999998</v>
      </c>
      <c r="K8" s="3482">
        <f>Таблица145[[#This Row],[v7]]</f>
        <v>4609.2960000000003</v>
      </c>
      <c r="L8" s="3482">
        <f>Таблица145[[#This Row],[v9]]</f>
        <v>12632.035000000002</v>
      </c>
      <c r="M8" s="3482">
        <f>Таблица145[[#This Row],[v10]]</f>
        <v>8776.3698762000004</v>
      </c>
      <c r="N8" s="3482">
        <f>Таблица145[[#This Row],[v12]]</f>
        <v>36216.541497599996</v>
      </c>
      <c r="O8" s="3482">
        <f>Таблица145[[#This Row],[v13]]</f>
        <v>7437.601590000002</v>
      </c>
      <c r="P8" s="3482">
        <f>Таблица145[[#This Row],[v15]]</f>
        <v>30691.98432</v>
      </c>
      <c r="Q8" s="3482">
        <v>0</v>
      </c>
      <c r="R8" s="3482">
        <v>0</v>
      </c>
      <c r="S8" s="3482">
        <v>0</v>
      </c>
      <c r="T8" s="3482">
        <v>0</v>
      </c>
      <c r="U8" s="3482">
        <v>0</v>
      </c>
      <c r="V8" s="3482">
        <v>0</v>
      </c>
      <c r="W8" s="3482">
        <v>0</v>
      </c>
      <c r="X8" s="3482">
        <v>0</v>
      </c>
      <c r="Y8" s="3482">
        <v>0</v>
      </c>
    </row>
    <row r="9" spans="1:25">
      <c r="A9" s="3479">
        <v>100</v>
      </c>
      <c r="B9" s="3479">
        <v>2</v>
      </c>
      <c r="C9" s="3484" t="s">
        <v>558</v>
      </c>
      <c r="D9" s="3475">
        <v>120</v>
      </c>
      <c r="E9" s="3482">
        <f>Таблица145[[#This Row],[v1]]</f>
        <v>0</v>
      </c>
      <c r="F9" s="3482">
        <f>Таблица145[[#This Row],[v2]]</f>
        <v>0</v>
      </c>
      <c r="G9" s="3482">
        <f>Таблица145[[#This Row],[v3]]</f>
        <v>0</v>
      </c>
      <c r="H9" s="3482">
        <f>Таблица145[[#This Row],[v4]]</f>
        <v>0</v>
      </c>
      <c r="I9" s="3482">
        <f>Таблица145[[#This Row],[v5]]</f>
        <v>0</v>
      </c>
      <c r="J9" s="3482">
        <f>Таблица145[[#This Row],[v6]]</f>
        <v>0</v>
      </c>
      <c r="K9" s="3482">
        <f>Таблица145[[#This Row],[v7]]</f>
        <v>0</v>
      </c>
      <c r="L9" s="3482">
        <f>Таблица145[[#This Row],[v9]]</f>
        <v>0</v>
      </c>
      <c r="M9" s="3482">
        <f>Таблица145[[#This Row],[v10]]</f>
        <v>0</v>
      </c>
      <c r="N9" s="3482">
        <f>Таблица145[[#This Row],[v12]]</f>
        <v>0</v>
      </c>
      <c r="O9" s="3482">
        <f>Таблица145[[#This Row],[v13]]</f>
        <v>0</v>
      </c>
      <c r="P9" s="3482">
        <f>Таблица145[[#This Row],[v15]]</f>
        <v>0</v>
      </c>
      <c r="Q9" s="3482">
        <v>0</v>
      </c>
      <c r="R9" s="3482">
        <v>0</v>
      </c>
      <c r="S9" s="3482">
        <v>0</v>
      </c>
      <c r="T9" s="3482">
        <v>0</v>
      </c>
      <c r="U9" s="3482">
        <v>0</v>
      </c>
      <c r="V9" s="3482">
        <v>0</v>
      </c>
      <c r="W9" s="3482">
        <v>0</v>
      </c>
      <c r="X9" s="3482">
        <v>0</v>
      </c>
      <c r="Y9" s="3482">
        <v>0</v>
      </c>
    </row>
    <row r="10" spans="1:25" s="3483" customFormat="1">
      <c r="A10" s="3478">
        <v>200</v>
      </c>
      <c r="B10" s="3479">
        <v>0</v>
      </c>
      <c r="C10" s="3480" t="s">
        <v>556</v>
      </c>
      <c r="D10" s="3481">
        <v>200</v>
      </c>
      <c r="E10" s="3482">
        <f>Таблица145[[#This Row],[v1]]</f>
        <v>22702.847999999998</v>
      </c>
      <c r="F10" s="3482">
        <f>Таблица145[[#This Row],[v2]]</f>
        <v>59944.106565800001</v>
      </c>
      <c r="G10" s="3482">
        <f>Таблица145[[#This Row],[v3]]</f>
        <v>50800.09031</v>
      </c>
      <c r="H10" s="3482">
        <f>Таблица145[[#This Row],[v4]]</f>
        <v>7505.3220000000001</v>
      </c>
      <c r="I10" s="3482">
        <f>Таблица145[[#This Row],[v5]]</f>
        <v>21964.180844399998</v>
      </c>
      <c r="J10" s="3482">
        <f>Таблица145[[#This Row],[v6]]</f>
        <v>18613.712579999999</v>
      </c>
      <c r="K10" s="3482">
        <f>Таблица145[[#This Row],[v7]]</f>
        <v>3979.8690000000001</v>
      </c>
      <c r="L10" s="3482">
        <f>Таблица145[[#This Row],[v9]]</f>
        <v>11217.657000000001</v>
      </c>
      <c r="M10" s="3482">
        <f>Таблица145[[#This Row],[v10]]</f>
        <v>7188.1442860000006</v>
      </c>
      <c r="N10" s="3482">
        <f>Таблица145[[#This Row],[v12]]</f>
        <v>30791.781435399997</v>
      </c>
      <c r="O10" s="3482">
        <f>Таблица145[[#This Row],[v13]]</f>
        <v>6091.6477000000014</v>
      </c>
      <c r="P10" s="3482">
        <f>Таблица145[[#This Row],[v15]]</f>
        <v>26094.730029999999</v>
      </c>
      <c r="Q10" s="3482">
        <v>0</v>
      </c>
      <c r="R10" s="3482">
        <v>0</v>
      </c>
      <c r="S10" s="3482">
        <v>0</v>
      </c>
      <c r="T10" s="3485">
        <v>0</v>
      </c>
      <c r="U10" s="3485">
        <v>0</v>
      </c>
      <c r="V10" s="3485">
        <v>0</v>
      </c>
      <c r="W10" s="3485">
        <v>0</v>
      </c>
      <c r="X10" s="3485">
        <v>0</v>
      </c>
      <c r="Y10" s="3485">
        <v>0</v>
      </c>
    </row>
    <row r="11" spans="1:25">
      <c r="A11" s="3479">
        <v>200</v>
      </c>
      <c r="B11" s="3479">
        <v>1</v>
      </c>
      <c r="C11" s="3484" t="s">
        <v>557</v>
      </c>
      <c r="D11" s="3475">
        <v>201</v>
      </c>
      <c r="E11" s="3482">
        <f>Таблица145[[#This Row],[v1]]</f>
        <v>22702.847999999998</v>
      </c>
      <c r="F11" s="3482">
        <f>Таблица145[[#This Row],[v2]]</f>
        <v>59944.106565800001</v>
      </c>
      <c r="G11" s="3482">
        <f>Таблица145[[#This Row],[v3]]</f>
        <v>50800.09031</v>
      </c>
      <c r="H11" s="3482">
        <f>Таблица145[[#This Row],[v4]]</f>
        <v>7505.3220000000001</v>
      </c>
      <c r="I11" s="3482">
        <f>Таблица145[[#This Row],[v5]]</f>
        <v>21964.180844399998</v>
      </c>
      <c r="J11" s="3482">
        <f>Таблица145[[#This Row],[v6]]</f>
        <v>18613.712579999999</v>
      </c>
      <c r="K11" s="3482">
        <f>Таблица145[[#This Row],[v7]]</f>
        <v>3979.8690000000001</v>
      </c>
      <c r="L11" s="3482">
        <f>Таблица145[[#This Row],[v9]]</f>
        <v>11217.657000000001</v>
      </c>
      <c r="M11" s="3482">
        <f>Таблица145[[#This Row],[v10]]</f>
        <v>7188.1442860000006</v>
      </c>
      <c r="N11" s="3482">
        <f>Таблица145[[#This Row],[v12]]</f>
        <v>30791.781435399997</v>
      </c>
      <c r="O11" s="3482">
        <f>Таблица145[[#This Row],[v13]]</f>
        <v>6091.6477000000014</v>
      </c>
      <c r="P11" s="3482">
        <f>Таблица145[[#This Row],[v15]]</f>
        <v>26094.730029999999</v>
      </c>
      <c r="Q11" s="3482">
        <v>0</v>
      </c>
      <c r="R11" s="3482">
        <v>0</v>
      </c>
      <c r="S11" s="3482">
        <v>0</v>
      </c>
      <c r="T11" s="3485">
        <v>0</v>
      </c>
      <c r="U11" s="3485">
        <v>0</v>
      </c>
      <c r="V11" s="3485">
        <v>0</v>
      </c>
      <c r="W11" s="3485">
        <v>0</v>
      </c>
      <c r="X11" s="3485">
        <v>0</v>
      </c>
      <c r="Y11" s="3485">
        <v>0</v>
      </c>
    </row>
    <row r="12" spans="1:25">
      <c r="A12" s="3479">
        <v>200</v>
      </c>
      <c r="B12" s="3479">
        <v>2</v>
      </c>
      <c r="C12" s="3484" t="s">
        <v>558</v>
      </c>
      <c r="D12" s="3475">
        <v>202</v>
      </c>
      <c r="E12" s="3482">
        <f>Таблица145[[#This Row],[v1]]</f>
        <v>0</v>
      </c>
      <c r="F12" s="3482">
        <f>Таблица145[[#This Row],[v2]]</f>
        <v>0</v>
      </c>
      <c r="G12" s="3482">
        <f>Таблица145[[#This Row],[v3]]</f>
        <v>0</v>
      </c>
      <c r="H12" s="3482">
        <f>Таблица145[[#This Row],[v4]]</f>
        <v>0</v>
      </c>
      <c r="I12" s="3482">
        <f>Таблица145[[#This Row],[v5]]</f>
        <v>0</v>
      </c>
      <c r="J12" s="3482">
        <f>Таблица145[[#This Row],[v6]]</f>
        <v>0</v>
      </c>
      <c r="K12" s="3482">
        <f>Таблица145[[#This Row],[v7]]</f>
        <v>0</v>
      </c>
      <c r="L12" s="3482">
        <f>Таблица145[[#This Row],[v9]]</f>
        <v>0</v>
      </c>
      <c r="M12" s="3482">
        <f>Таблица145[[#This Row],[v10]]</f>
        <v>0</v>
      </c>
      <c r="N12" s="3482">
        <f>Таблица145[[#This Row],[v12]]</f>
        <v>0</v>
      </c>
      <c r="O12" s="3482">
        <f>Таблица145[[#This Row],[v13]]</f>
        <v>0</v>
      </c>
      <c r="P12" s="3482">
        <f>Таблица145[[#This Row],[v15]]</f>
        <v>0</v>
      </c>
      <c r="Q12" s="3482">
        <v>0</v>
      </c>
      <c r="R12" s="3482">
        <v>0</v>
      </c>
      <c r="S12" s="3482">
        <v>0</v>
      </c>
      <c r="T12" s="3482">
        <v>0</v>
      </c>
      <c r="U12" s="3482">
        <v>0</v>
      </c>
      <c r="V12" s="3482">
        <v>0</v>
      </c>
      <c r="W12" s="3482">
        <v>0</v>
      </c>
      <c r="X12" s="3482">
        <v>0</v>
      </c>
      <c r="Y12" s="3482">
        <v>0</v>
      </c>
    </row>
    <row r="13" spans="1:25" s="3483" customFormat="1" ht="89.25">
      <c r="A13" s="3478">
        <v>210</v>
      </c>
      <c r="B13" s="3479">
        <v>0</v>
      </c>
      <c r="C13" s="3480" t="s">
        <v>4032</v>
      </c>
      <c r="D13" s="3481">
        <v>210</v>
      </c>
      <c r="E13" s="3482">
        <f>Таблица145[[#This Row],[v1]]</f>
        <v>1488.742</v>
      </c>
      <c r="F13" s="3482">
        <f>Таблица145[[#This Row],[v2]]</f>
        <v>4992.6345631999993</v>
      </c>
      <c r="G13" s="3482">
        <f>Таблица145[[#This Row],[v3]]</f>
        <v>4231.0462399999997</v>
      </c>
      <c r="H13" s="3482">
        <f>Таблица145[[#This Row],[v4]]</f>
        <v>99.606999999999999</v>
      </c>
      <c r="I13" s="3482">
        <f>Таблица145[[#This Row],[v5]]</f>
        <v>402.90068679999996</v>
      </c>
      <c r="J13" s="3482">
        <f>Таблица145[[#This Row],[v6]]</f>
        <v>341.44126</v>
      </c>
      <c r="K13" s="3482">
        <f>Таблица145[[#This Row],[v7]]</f>
        <v>461.4</v>
      </c>
      <c r="L13" s="3482">
        <f>Таблица145[[#This Row],[v9]]</f>
        <v>927.73500000000001</v>
      </c>
      <c r="M13" s="3482">
        <f>Таблица145[[#This Row],[v10]]</f>
        <v>1130.806744</v>
      </c>
      <c r="N13" s="3482">
        <f>Таблица145[[#This Row],[v12]]</f>
        <v>3458.9271323999997</v>
      </c>
      <c r="O13" s="3482">
        <f>Таблица145[[#This Row],[v13]]</f>
        <v>958.31079999999997</v>
      </c>
      <c r="P13" s="3482">
        <f>Таблица145[[#This Row],[v15]]</f>
        <v>2931.2941799999999</v>
      </c>
      <c r="Q13" s="3482">
        <v>0</v>
      </c>
      <c r="R13" s="3482">
        <v>0</v>
      </c>
      <c r="S13" s="3482">
        <v>0</v>
      </c>
      <c r="T13" s="3482">
        <v>0</v>
      </c>
      <c r="U13" s="3482">
        <v>0</v>
      </c>
      <c r="V13" s="3482">
        <v>0</v>
      </c>
      <c r="W13" s="3482">
        <v>0</v>
      </c>
      <c r="X13" s="3482">
        <v>0</v>
      </c>
      <c r="Y13" s="3482">
        <v>0</v>
      </c>
    </row>
    <row r="14" spans="1:25">
      <c r="A14" s="3478">
        <v>210</v>
      </c>
      <c r="B14" s="3479">
        <v>1</v>
      </c>
      <c r="C14" s="3484" t="s">
        <v>557</v>
      </c>
      <c r="D14" s="3475">
        <v>211</v>
      </c>
      <c r="E14" s="3482">
        <f>Таблица145[[#This Row],[v1]]</f>
        <v>1488.742</v>
      </c>
      <c r="F14" s="3482">
        <f>Таблица145[[#This Row],[v2]]</f>
        <v>4992.6345631999993</v>
      </c>
      <c r="G14" s="3482">
        <f>Таблица145[[#This Row],[v3]]</f>
        <v>4231.0462399999997</v>
      </c>
      <c r="H14" s="3482">
        <f>Таблица145[[#This Row],[v4]]</f>
        <v>99.606999999999999</v>
      </c>
      <c r="I14" s="3482">
        <f>Таблица145[[#This Row],[v5]]</f>
        <v>402.90068679999996</v>
      </c>
      <c r="J14" s="3482">
        <f>Таблица145[[#This Row],[v6]]</f>
        <v>341.44126</v>
      </c>
      <c r="K14" s="3482">
        <f>Таблица145[[#This Row],[v7]]</f>
        <v>461.4</v>
      </c>
      <c r="L14" s="3482">
        <f>Таблица145[[#This Row],[v9]]</f>
        <v>927.73500000000001</v>
      </c>
      <c r="M14" s="3482">
        <f>Таблица145[[#This Row],[v10]]</f>
        <v>1130.806744</v>
      </c>
      <c r="N14" s="3482">
        <f>Таблица145[[#This Row],[v12]]</f>
        <v>3458.9271323999997</v>
      </c>
      <c r="O14" s="3482">
        <f>Таблица145[[#This Row],[v13]]</f>
        <v>958.31079999999997</v>
      </c>
      <c r="P14" s="3482">
        <f>Таблица145[[#This Row],[v15]]</f>
        <v>2931.2941799999999</v>
      </c>
      <c r="Q14" s="3482">
        <v>0</v>
      </c>
      <c r="R14" s="3482">
        <v>0</v>
      </c>
      <c r="S14" s="3482">
        <v>0</v>
      </c>
      <c r="T14" s="3485">
        <v>0</v>
      </c>
      <c r="U14" s="3485">
        <v>0</v>
      </c>
      <c r="V14" s="3485">
        <v>0</v>
      </c>
      <c r="W14" s="3485">
        <v>0</v>
      </c>
      <c r="X14" s="3485">
        <v>0</v>
      </c>
      <c r="Y14" s="3485">
        <v>0</v>
      </c>
    </row>
    <row r="15" spans="1:25">
      <c r="A15" s="3478">
        <v>210</v>
      </c>
      <c r="B15" s="3479">
        <v>2</v>
      </c>
      <c r="C15" s="3484" t="s">
        <v>558</v>
      </c>
      <c r="D15" s="3475">
        <v>212</v>
      </c>
      <c r="E15" s="3482">
        <f>Таблица145[[#This Row],[v1]]</f>
        <v>0</v>
      </c>
      <c r="F15" s="3482">
        <f>Таблица145[[#This Row],[v2]]</f>
        <v>0</v>
      </c>
      <c r="G15" s="3482">
        <f>Таблица145[[#This Row],[v3]]</f>
        <v>0</v>
      </c>
      <c r="H15" s="3482">
        <f>Таблица145[[#This Row],[v4]]</f>
        <v>0</v>
      </c>
      <c r="I15" s="3482">
        <f>Таблица145[[#This Row],[v5]]</f>
        <v>0</v>
      </c>
      <c r="J15" s="3482">
        <f>Таблица145[[#This Row],[v6]]</f>
        <v>0</v>
      </c>
      <c r="K15" s="3482">
        <f>Таблица145[[#This Row],[v7]]</f>
        <v>0</v>
      </c>
      <c r="L15" s="3482">
        <f>Таблица145[[#This Row],[v9]]</f>
        <v>0</v>
      </c>
      <c r="M15" s="3482">
        <f>Таблица145[[#This Row],[v10]]</f>
        <v>0</v>
      </c>
      <c r="N15" s="3482">
        <f>Таблица145[[#This Row],[v12]]</f>
        <v>0</v>
      </c>
      <c r="O15" s="3482">
        <f>Таблица145[[#This Row],[v13]]</f>
        <v>0</v>
      </c>
      <c r="P15" s="3482">
        <f>Таблица145[[#This Row],[v15]]</f>
        <v>0</v>
      </c>
      <c r="Q15" s="3482">
        <v>0</v>
      </c>
      <c r="R15" s="3482">
        <v>0</v>
      </c>
      <c r="S15" s="3482">
        <v>0</v>
      </c>
      <c r="T15" s="3485">
        <v>0</v>
      </c>
      <c r="U15" s="3485">
        <v>0</v>
      </c>
      <c r="V15" s="3485">
        <v>0</v>
      </c>
      <c r="W15" s="3485">
        <v>0</v>
      </c>
      <c r="X15" s="3485">
        <v>0</v>
      </c>
      <c r="Y15" s="3485">
        <v>0</v>
      </c>
    </row>
    <row r="16" spans="1:25" ht="63.75">
      <c r="A16" s="3479">
        <v>220</v>
      </c>
      <c r="B16" s="3479">
        <v>0</v>
      </c>
      <c r="C16" s="3480" t="s">
        <v>4033</v>
      </c>
      <c r="D16" s="3481">
        <v>220</v>
      </c>
      <c r="E16" s="3482">
        <f>Таблица145[[#This Row],[v1]]</f>
        <v>21214.106</v>
      </c>
      <c r="F16" s="3482">
        <f>Таблица145[[#This Row],[v2]]</f>
        <v>54951.4720026</v>
      </c>
      <c r="G16" s="3482">
        <f>Таблица145[[#This Row],[v3]]</f>
        <v>46569.044070000004</v>
      </c>
      <c r="H16" s="3482">
        <f>Таблица145[[#This Row],[v4]]</f>
        <v>7405.7150000000001</v>
      </c>
      <c r="I16" s="3482">
        <f>Таблица145[[#This Row],[v5]]</f>
        <v>21561.280157599998</v>
      </c>
      <c r="J16" s="3482">
        <f>Таблица145[[#This Row],[v6]]</f>
        <v>18272.27132</v>
      </c>
      <c r="K16" s="3482">
        <f>Таблица145[[#This Row],[v7]]</f>
        <v>3518.4690000000001</v>
      </c>
      <c r="L16" s="3482">
        <f>Таблица145[[#This Row],[v9]]</f>
        <v>10289.922</v>
      </c>
      <c r="M16" s="3482">
        <f>Таблица145[[#This Row],[v10]]</f>
        <v>6057.3375420000011</v>
      </c>
      <c r="N16" s="3482">
        <f>Таблица145[[#This Row],[v12]]</f>
        <v>27332.854302999996</v>
      </c>
      <c r="O16" s="3482">
        <f>Таблица145[[#This Row],[v13]]</f>
        <v>5133.3369000000012</v>
      </c>
      <c r="P16" s="3482">
        <f>Таблица145[[#This Row],[v15]]</f>
        <v>23163.435849999998</v>
      </c>
      <c r="Q16" s="3482">
        <v>0</v>
      </c>
      <c r="R16" s="3482">
        <v>0</v>
      </c>
      <c r="S16" s="3482">
        <v>0</v>
      </c>
      <c r="T16" s="3482">
        <v>0</v>
      </c>
      <c r="U16" s="3482">
        <v>0</v>
      </c>
      <c r="V16" s="3482">
        <v>0</v>
      </c>
      <c r="W16" s="3482">
        <v>0</v>
      </c>
      <c r="X16" s="3482">
        <v>0</v>
      </c>
      <c r="Y16" s="3482">
        <v>0</v>
      </c>
    </row>
    <row r="17" spans="1:25">
      <c r="A17" s="3479">
        <v>220</v>
      </c>
      <c r="B17" s="3479">
        <v>1</v>
      </c>
      <c r="C17" s="3484" t="s">
        <v>557</v>
      </c>
      <c r="D17" s="3475">
        <v>221</v>
      </c>
      <c r="E17" s="3482">
        <f>Таблица145[[#This Row],[v1]]</f>
        <v>21214.106</v>
      </c>
      <c r="F17" s="3482">
        <f>Таблица145[[#This Row],[v2]]</f>
        <v>54951.4720026</v>
      </c>
      <c r="G17" s="3482">
        <f>Таблица145[[#This Row],[v3]]</f>
        <v>46569.044070000004</v>
      </c>
      <c r="H17" s="3482">
        <f>Таблица145[[#This Row],[v4]]</f>
        <v>7405.7150000000001</v>
      </c>
      <c r="I17" s="3482">
        <f>Таблица145[[#This Row],[v5]]</f>
        <v>21561.280157599998</v>
      </c>
      <c r="J17" s="3482">
        <f>Таблица145[[#This Row],[v6]]</f>
        <v>18272.27132</v>
      </c>
      <c r="K17" s="3482">
        <f>Таблица145[[#This Row],[v7]]</f>
        <v>3518.4690000000001</v>
      </c>
      <c r="L17" s="3482">
        <f>Таблица145[[#This Row],[v9]]</f>
        <v>10289.922</v>
      </c>
      <c r="M17" s="3482">
        <f>Таблица145[[#This Row],[v10]]</f>
        <v>6057.3375420000011</v>
      </c>
      <c r="N17" s="3482">
        <f>Таблица145[[#This Row],[v12]]</f>
        <v>27332.854302999996</v>
      </c>
      <c r="O17" s="3482">
        <f>Таблица145[[#This Row],[v13]]</f>
        <v>5133.3369000000012</v>
      </c>
      <c r="P17" s="3482">
        <f>Таблица145[[#This Row],[v15]]</f>
        <v>23163.435849999998</v>
      </c>
      <c r="Q17" s="3482">
        <v>0</v>
      </c>
      <c r="R17" s="3482">
        <v>0</v>
      </c>
      <c r="S17" s="3482">
        <v>0</v>
      </c>
      <c r="T17" s="3485">
        <v>0</v>
      </c>
      <c r="U17" s="3485">
        <v>0</v>
      </c>
      <c r="V17" s="3485">
        <v>0</v>
      </c>
      <c r="W17" s="3485">
        <v>0</v>
      </c>
      <c r="X17" s="3485">
        <v>0</v>
      </c>
      <c r="Y17" s="3485">
        <v>0</v>
      </c>
    </row>
    <row r="18" spans="1:25">
      <c r="A18" s="3479">
        <v>220</v>
      </c>
      <c r="B18" s="3479">
        <v>2</v>
      </c>
      <c r="C18" s="3484" t="s">
        <v>558</v>
      </c>
      <c r="D18" s="3475">
        <v>222</v>
      </c>
      <c r="E18" s="3482">
        <f>Таблица145[[#This Row],[v1]]</f>
        <v>0</v>
      </c>
      <c r="F18" s="3482">
        <f>Таблица145[[#This Row],[v2]]</f>
        <v>0</v>
      </c>
      <c r="G18" s="3482">
        <f>Таблица145[[#This Row],[v3]]</f>
        <v>0</v>
      </c>
      <c r="H18" s="3482">
        <f>Таблица145[[#This Row],[v4]]</f>
        <v>0</v>
      </c>
      <c r="I18" s="3482">
        <f>Таблица145[[#This Row],[v5]]</f>
        <v>0</v>
      </c>
      <c r="J18" s="3482">
        <f>Таблица145[[#This Row],[v6]]</f>
        <v>0</v>
      </c>
      <c r="K18" s="3482">
        <f>Таблица145[[#This Row],[v7]]</f>
        <v>0</v>
      </c>
      <c r="L18" s="3482">
        <f>Таблица145[[#This Row],[v9]]</f>
        <v>0</v>
      </c>
      <c r="M18" s="3482">
        <f>Таблица145[[#This Row],[v10]]</f>
        <v>0</v>
      </c>
      <c r="N18" s="3482">
        <f>Таблица145[[#This Row],[v12]]</f>
        <v>0</v>
      </c>
      <c r="O18" s="3482">
        <f>Таблица145[[#This Row],[v13]]</f>
        <v>0</v>
      </c>
      <c r="P18" s="3482">
        <f>Таблица145[[#This Row],[v15]]</f>
        <v>0</v>
      </c>
      <c r="Q18" s="3482">
        <v>0</v>
      </c>
      <c r="R18" s="3482">
        <v>0</v>
      </c>
      <c r="S18" s="3482">
        <v>0</v>
      </c>
      <c r="T18" s="3485">
        <v>0</v>
      </c>
      <c r="U18" s="3485">
        <v>0</v>
      </c>
      <c r="V18" s="3485">
        <v>0</v>
      </c>
      <c r="W18" s="3485">
        <v>0</v>
      </c>
      <c r="X18" s="3485">
        <v>0</v>
      </c>
      <c r="Y18" s="3485">
        <v>0</v>
      </c>
    </row>
    <row r="19" spans="1:25" ht="51">
      <c r="A19" s="3479">
        <v>230</v>
      </c>
      <c r="B19" s="3479">
        <v>0</v>
      </c>
      <c r="C19" s="3480" t="s">
        <v>4034</v>
      </c>
      <c r="D19" s="3481">
        <v>230</v>
      </c>
      <c r="E19" s="3482">
        <v>0</v>
      </c>
      <c r="F19" s="3482">
        <v>0</v>
      </c>
      <c r="G19" s="3482">
        <v>0</v>
      </c>
      <c r="H19" s="3482">
        <v>0</v>
      </c>
      <c r="I19" s="3482">
        <v>0</v>
      </c>
      <c r="J19" s="3482">
        <v>0</v>
      </c>
      <c r="K19" s="3482">
        <v>0</v>
      </c>
      <c r="L19" s="3482">
        <v>0</v>
      </c>
      <c r="M19" s="3482">
        <v>0</v>
      </c>
      <c r="N19" s="3482">
        <v>0</v>
      </c>
      <c r="O19" s="3482">
        <v>0</v>
      </c>
      <c r="P19" s="3482">
        <v>0</v>
      </c>
      <c r="Q19" s="3482">
        <v>0</v>
      </c>
      <c r="R19" s="3482">
        <v>0</v>
      </c>
      <c r="S19" s="3482">
        <v>0</v>
      </c>
      <c r="T19" s="3482">
        <v>0</v>
      </c>
      <c r="U19" s="3482">
        <v>0</v>
      </c>
      <c r="V19" s="3482">
        <v>0</v>
      </c>
      <c r="W19" s="3482">
        <v>0</v>
      </c>
      <c r="X19" s="3482">
        <v>0</v>
      </c>
      <c r="Y19" s="3482">
        <v>0</v>
      </c>
    </row>
    <row r="20" spans="1:25">
      <c r="A20" s="3479">
        <v>230</v>
      </c>
      <c r="B20" s="3479">
        <v>1</v>
      </c>
      <c r="C20" s="3484" t="s">
        <v>557</v>
      </c>
      <c r="D20" s="3475">
        <v>231</v>
      </c>
      <c r="E20" s="3482">
        <v>0</v>
      </c>
      <c r="F20" s="3482">
        <v>0</v>
      </c>
      <c r="G20" s="3482">
        <v>0</v>
      </c>
      <c r="H20" s="3482">
        <v>0</v>
      </c>
      <c r="I20" s="3482">
        <v>0</v>
      </c>
      <c r="J20" s="3482">
        <v>0</v>
      </c>
      <c r="K20" s="3482">
        <v>0</v>
      </c>
      <c r="L20" s="3482">
        <v>0</v>
      </c>
      <c r="M20" s="3482">
        <v>0</v>
      </c>
      <c r="N20" s="3482">
        <v>0</v>
      </c>
      <c r="O20" s="3482">
        <v>0</v>
      </c>
      <c r="P20" s="3482">
        <v>0</v>
      </c>
      <c r="Q20" s="3482">
        <v>0</v>
      </c>
      <c r="R20" s="3482">
        <v>0</v>
      </c>
      <c r="S20" s="3482">
        <v>0</v>
      </c>
      <c r="T20" s="3485">
        <v>0</v>
      </c>
      <c r="U20" s="3485">
        <v>0</v>
      </c>
      <c r="V20" s="3485">
        <v>0</v>
      </c>
      <c r="W20" s="3485">
        <v>0</v>
      </c>
      <c r="X20" s="3485">
        <v>0</v>
      </c>
      <c r="Y20" s="3485">
        <v>0</v>
      </c>
    </row>
    <row r="21" spans="1:25">
      <c r="A21" s="3479">
        <v>230</v>
      </c>
      <c r="B21" s="3479">
        <v>2</v>
      </c>
      <c r="C21" s="3484" t="s">
        <v>558</v>
      </c>
      <c r="D21" s="3475">
        <v>232</v>
      </c>
      <c r="E21" s="3482">
        <v>0</v>
      </c>
      <c r="F21" s="3482">
        <v>0</v>
      </c>
      <c r="G21" s="3482">
        <v>0</v>
      </c>
      <c r="H21" s="3482">
        <v>0</v>
      </c>
      <c r="I21" s="3482">
        <v>0</v>
      </c>
      <c r="J21" s="3482">
        <v>0</v>
      </c>
      <c r="K21" s="3482">
        <v>0</v>
      </c>
      <c r="L21" s="3482">
        <v>0</v>
      </c>
      <c r="M21" s="3482">
        <v>0</v>
      </c>
      <c r="N21" s="3482">
        <v>0</v>
      </c>
      <c r="O21" s="3482">
        <v>0</v>
      </c>
      <c r="P21" s="3482">
        <v>0</v>
      </c>
      <c r="Q21" s="3482">
        <v>0</v>
      </c>
      <c r="R21" s="3482">
        <v>0</v>
      </c>
      <c r="S21" s="3482">
        <v>0</v>
      </c>
      <c r="T21" s="3485">
        <v>0</v>
      </c>
      <c r="U21" s="3485">
        <v>0</v>
      </c>
      <c r="V21" s="3485">
        <v>0</v>
      </c>
      <c r="W21" s="3485">
        <v>0</v>
      </c>
      <c r="X21" s="3485">
        <v>0</v>
      </c>
      <c r="Y21" s="3485">
        <v>0</v>
      </c>
    </row>
    <row r="22" spans="1:25" ht="51">
      <c r="A22" s="3479">
        <v>240</v>
      </c>
      <c r="B22" s="3479">
        <v>0</v>
      </c>
      <c r="C22" s="3480" t="s">
        <v>4035</v>
      </c>
      <c r="D22" s="3481">
        <v>240</v>
      </c>
      <c r="E22" s="3482">
        <v>0</v>
      </c>
      <c r="F22" s="3482">
        <v>0</v>
      </c>
      <c r="G22" s="3482">
        <v>0</v>
      </c>
      <c r="H22" s="3482">
        <v>0</v>
      </c>
      <c r="I22" s="3482">
        <v>0</v>
      </c>
      <c r="J22" s="3482">
        <v>0</v>
      </c>
      <c r="K22" s="3482">
        <v>0</v>
      </c>
      <c r="L22" s="3482">
        <v>0</v>
      </c>
      <c r="M22" s="3482">
        <v>0</v>
      </c>
      <c r="N22" s="3482">
        <v>0</v>
      </c>
      <c r="O22" s="3482">
        <v>0</v>
      </c>
      <c r="P22" s="3482">
        <v>0</v>
      </c>
      <c r="Q22" s="3482">
        <v>0</v>
      </c>
      <c r="R22" s="3482">
        <v>0</v>
      </c>
      <c r="S22" s="3482">
        <v>0</v>
      </c>
      <c r="T22" s="3482">
        <v>0</v>
      </c>
      <c r="U22" s="3482">
        <v>0</v>
      </c>
      <c r="V22" s="3482">
        <v>0</v>
      </c>
      <c r="W22" s="3482">
        <v>0</v>
      </c>
      <c r="X22" s="3482">
        <v>0</v>
      </c>
      <c r="Y22" s="3482">
        <v>0</v>
      </c>
    </row>
    <row r="23" spans="1:25">
      <c r="A23" s="3479">
        <v>240</v>
      </c>
      <c r="B23" s="3479">
        <v>1</v>
      </c>
      <c r="C23" s="3484" t="s">
        <v>557</v>
      </c>
      <c r="D23" s="3475">
        <v>241</v>
      </c>
      <c r="E23" s="3482">
        <v>0</v>
      </c>
      <c r="F23" s="3482">
        <v>0</v>
      </c>
      <c r="G23" s="3482">
        <v>0</v>
      </c>
      <c r="H23" s="3482">
        <v>0</v>
      </c>
      <c r="I23" s="3482">
        <v>0</v>
      </c>
      <c r="J23" s="3482">
        <v>0</v>
      </c>
      <c r="K23" s="3482">
        <v>0</v>
      </c>
      <c r="L23" s="3482">
        <v>0</v>
      </c>
      <c r="M23" s="3482">
        <v>0</v>
      </c>
      <c r="N23" s="3482">
        <v>0</v>
      </c>
      <c r="O23" s="3482">
        <v>0</v>
      </c>
      <c r="P23" s="3482">
        <v>0</v>
      </c>
      <c r="Q23" s="3482">
        <v>0</v>
      </c>
      <c r="R23" s="3482">
        <v>0</v>
      </c>
      <c r="S23" s="3482">
        <v>0</v>
      </c>
      <c r="T23" s="3485">
        <v>0</v>
      </c>
      <c r="U23" s="3485">
        <v>0</v>
      </c>
      <c r="V23" s="3485">
        <v>0</v>
      </c>
      <c r="W23" s="3485">
        <v>0</v>
      </c>
      <c r="X23" s="3485">
        <v>0</v>
      </c>
      <c r="Y23" s="3485">
        <v>0</v>
      </c>
    </row>
    <row r="24" spans="1:25">
      <c r="A24" s="3479">
        <v>240</v>
      </c>
      <c r="B24" s="3479">
        <v>2</v>
      </c>
      <c r="C24" s="3484" t="s">
        <v>558</v>
      </c>
      <c r="D24" s="3475">
        <v>242</v>
      </c>
      <c r="E24" s="3482">
        <v>0</v>
      </c>
      <c r="F24" s="3482">
        <v>0</v>
      </c>
      <c r="G24" s="3482">
        <v>0</v>
      </c>
      <c r="H24" s="3482">
        <v>0</v>
      </c>
      <c r="I24" s="3482">
        <v>0</v>
      </c>
      <c r="J24" s="3482">
        <v>0</v>
      </c>
      <c r="K24" s="3482">
        <v>0</v>
      </c>
      <c r="L24" s="3482">
        <v>0</v>
      </c>
      <c r="M24" s="3482">
        <v>0</v>
      </c>
      <c r="N24" s="3482">
        <v>0</v>
      </c>
      <c r="O24" s="3482">
        <v>0</v>
      </c>
      <c r="P24" s="3482">
        <v>0</v>
      </c>
      <c r="Q24" s="3482">
        <v>0</v>
      </c>
      <c r="R24" s="3482">
        <v>0</v>
      </c>
      <c r="S24" s="3482">
        <v>0</v>
      </c>
      <c r="T24" s="3485">
        <v>0</v>
      </c>
      <c r="U24" s="3485">
        <v>0</v>
      </c>
      <c r="V24" s="3485">
        <v>0</v>
      </c>
      <c r="W24" s="3485">
        <v>0</v>
      </c>
      <c r="X24" s="3485">
        <v>0</v>
      </c>
      <c r="Y24" s="3485">
        <v>0</v>
      </c>
    </row>
    <row r="25" spans="1:25" ht="25.5">
      <c r="A25" s="3479">
        <v>250</v>
      </c>
      <c r="B25" s="3479">
        <v>0</v>
      </c>
      <c r="C25" s="3480" t="s">
        <v>568</v>
      </c>
      <c r="D25" s="3481">
        <v>250</v>
      </c>
      <c r="E25" s="3482">
        <v>0</v>
      </c>
      <c r="F25" s="3482">
        <v>0</v>
      </c>
      <c r="G25" s="3482">
        <v>0</v>
      </c>
      <c r="H25" s="3482">
        <v>0</v>
      </c>
      <c r="I25" s="3482">
        <v>0</v>
      </c>
      <c r="J25" s="3482">
        <v>0</v>
      </c>
      <c r="K25" s="3482">
        <v>0</v>
      </c>
      <c r="L25" s="3482">
        <v>0</v>
      </c>
      <c r="M25" s="3482">
        <v>0</v>
      </c>
      <c r="N25" s="3482">
        <v>0</v>
      </c>
      <c r="O25" s="3482">
        <v>0</v>
      </c>
      <c r="P25" s="3482">
        <v>0</v>
      </c>
      <c r="Q25" s="3482">
        <v>0</v>
      </c>
      <c r="R25" s="3482">
        <v>0</v>
      </c>
      <c r="S25" s="3482">
        <v>0</v>
      </c>
      <c r="T25" s="3482">
        <v>0</v>
      </c>
      <c r="U25" s="3482">
        <v>0</v>
      </c>
      <c r="V25" s="3482">
        <v>0</v>
      </c>
      <c r="W25" s="3482">
        <v>0</v>
      </c>
      <c r="X25" s="3482">
        <v>0</v>
      </c>
      <c r="Y25" s="3482">
        <v>0</v>
      </c>
    </row>
    <row r="26" spans="1:25">
      <c r="A26" s="3479">
        <v>250</v>
      </c>
      <c r="B26" s="3479">
        <v>1</v>
      </c>
      <c r="C26" s="3484" t="s">
        <v>557</v>
      </c>
      <c r="D26" s="3475">
        <v>251</v>
      </c>
      <c r="E26" s="3482">
        <v>0</v>
      </c>
      <c r="F26" s="3482">
        <v>0</v>
      </c>
      <c r="G26" s="3482">
        <v>0</v>
      </c>
      <c r="H26" s="3482">
        <v>0</v>
      </c>
      <c r="I26" s="3482">
        <v>0</v>
      </c>
      <c r="J26" s="3482">
        <v>0</v>
      </c>
      <c r="K26" s="3482">
        <v>0</v>
      </c>
      <c r="L26" s="3482">
        <v>0</v>
      </c>
      <c r="M26" s="3482">
        <v>0</v>
      </c>
      <c r="N26" s="3482">
        <v>0</v>
      </c>
      <c r="O26" s="3482">
        <v>0</v>
      </c>
      <c r="P26" s="3482">
        <v>0</v>
      </c>
      <c r="Q26" s="3482">
        <v>0</v>
      </c>
      <c r="R26" s="3482">
        <v>0</v>
      </c>
      <c r="S26" s="3482">
        <v>0</v>
      </c>
      <c r="T26" s="3485">
        <v>0</v>
      </c>
      <c r="U26" s="3485">
        <v>0</v>
      </c>
      <c r="V26" s="3485">
        <v>0</v>
      </c>
      <c r="W26" s="3485">
        <v>0</v>
      </c>
      <c r="X26" s="3485">
        <v>0</v>
      </c>
      <c r="Y26" s="3485">
        <v>0</v>
      </c>
    </row>
    <row r="27" spans="1:25">
      <c r="A27" s="3479">
        <v>250</v>
      </c>
      <c r="B27" s="3479">
        <v>2</v>
      </c>
      <c r="C27" s="3484" t="s">
        <v>558</v>
      </c>
      <c r="D27" s="3475">
        <v>252</v>
      </c>
      <c r="E27" s="3482">
        <v>0</v>
      </c>
      <c r="F27" s="3482">
        <v>0</v>
      </c>
      <c r="G27" s="3482">
        <v>0</v>
      </c>
      <c r="H27" s="3482">
        <v>0</v>
      </c>
      <c r="I27" s="3482">
        <v>0</v>
      </c>
      <c r="J27" s="3482">
        <v>0</v>
      </c>
      <c r="K27" s="3482">
        <v>0</v>
      </c>
      <c r="L27" s="3482">
        <v>0</v>
      </c>
      <c r="M27" s="3482">
        <v>0</v>
      </c>
      <c r="N27" s="3482">
        <v>0</v>
      </c>
      <c r="O27" s="3482">
        <v>0</v>
      </c>
      <c r="P27" s="3482">
        <v>0</v>
      </c>
      <c r="Q27" s="3482">
        <v>0</v>
      </c>
      <c r="R27" s="3482">
        <v>0</v>
      </c>
      <c r="S27" s="3482">
        <v>0</v>
      </c>
      <c r="T27" s="3485">
        <v>0</v>
      </c>
      <c r="U27" s="3485">
        <v>0</v>
      </c>
      <c r="V27" s="3485">
        <v>0</v>
      </c>
      <c r="W27" s="3485">
        <v>0</v>
      </c>
      <c r="X27" s="3485">
        <v>0</v>
      </c>
      <c r="Y27" s="3485">
        <v>0</v>
      </c>
    </row>
    <row r="28" spans="1:25" ht="25.5">
      <c r="A28" s="3479">
        <v>300</v>
      </c>
      <c r="B28" s="3479">
        <v>0</v>
      </c>
      <c r="C28" s="3480" t="s">
        <v>4036</v>
      </c>
      <c r="D28" s="3481">
        <v>300</v>
      </c>
      <c r="E28" s="3482">
        <f>Таблица145[[#This Row],[v1]]</f>
        <v>2127.3910000000001</v>
      </c>
      <c r="F28" s="3482">
        <f>Таблица145[[#This Row],[v2]]</f>
        <v>7359.8127510000004</v>
      </c>
      <c r="G28" s="3482">
        <f>Таблица145[[#This Row],[v3]]</f>
        <v>6237.1294500000004</v>
      </c>
      <c r="H28" s="3482">
        <f>Таблица145[[#This Row],[v4]]</f>
        <v>83.585999999999999</v>
      </c>
      <c r="I28" s="3482">
        <f>Таблица145[[#This Row],[v5]]</f>
        <v>346.8270986</v>
      </c>
      <c r="J28" s="3482">
        <f>Таблица145[[#This Row],[v6]]</f>
        <v>293.92126999999999</v>
      </c>
      <c r="K28" s="3482">
        <f>Таблица145[[#This Row],[v7]]</f>
        <v>629.42700000000002</v>
      </c>
      <c r="L28" s="3482">
        <f>Таблица145[[#This Row],[v9]]</f>
        <v>1414.3779999999999</v>
      </c>
      <c r="M28" s="3482">
        <f>Таблица145[[#This Row],[v10]]</f>
        <v>1588.2255902000002</v>
      </c>
      <c r="N28" s="3482">
        <f>Таблица145[[#This Row],[v12]]</f>
        <v>5424.7600622</v>
      </c>
      <c r="O28" s="3482">
        <f>Таблица145[[#This Row],[v13]]</f>
        <v>1345.9538900000002</v>
      </c>
      <c r="P28" s="3482">
        <f>Таблица145[[#This Row],[v15]]</f>
        <v>4597.2542899999999</v>
      </c>
      <c r="Q28" s="3482">
        <v>0</v>
      </c>
      <c r="R28" s="3482">
        <v>0</v>
      </c>
      <c r="S28" s="3482">
        <v>0</v>
      </c>
      <c r="T28" s="3482">
        <v>0</v>
      </c>
      <c r="U28" s="3482">
        <v>0</v>
      </c>
      <c r="V28" s="3482">
        <v>0</v>
      </c>
      <c r="W28" s="3482">
        <v>0</v>
      </c>
      <c r="X28" s="3482">
        <v>0</v>
      </c>
      <c r="Y28" s="3482">
        <v>0</v>
      </c>
    </row>
    <row r="29" spans="1:25">
      <c r="A29" s="3479">
        <v>300</v>
      </c>
      <c r="B29" s="3479">
        <v>1</v>
      </c>
      <c r="C29" s="3484" t="s">
        <v>557</v>
      </c>
      <c r="D29" s="3475">
        <v>301</v>
      </c>
      <c r="E29" s="3482">
        <f>Таблица145[[#This Row],[v1]]</f>
        <v>2127.3910000000001</v>
      </c>
      <c r="F29" s="3482">
        <f>Таблица145[[#This Row],[v2]]</f>
        <v>7359.8127510000004</v>
      </c>
      <c r="G29" s="3482">
        <f>Таблица145[[#This Row],[v3]]</f>
        <v>6237.1294500000004</v>
      </c>
      <c r="H29" s="3482">
        <f>Таблица145[[#This Row],[v4]]</f>
        <v>83.585999999999999</v>
      </c>
      <c r="I29" s="3482">
        <f>Таблица145[[#This Row],[v5]]</f>
        <v>346.8270986</v>
      </c>
      <c r="J29" s="3482">
        <f>Таблица145[[#This Row],[v6]]</f>
        <v>293.92126999999999</v>
      </c>
      <c r="K29" s="3482">
        <f>Таблица145[[#This Row],[v7]]</f>
        <v>629.42700000000002</v>
      </c>
      <c r="L29" s="3482">
        <f>Таблица145[[#This Row],[v9]]</f>
        <v>1414.3779999999999</v>
      </c>
      <c r="M29" s="3482">
        <f>Таблица145[[#This Row],[v10]]</f>
        <v>1588.2255902000002</v>
      </c>
      <c r="N29" s="3482">
        <f>Таблица145[[#This Row],[v12]]</f>
        <v>5424.7600622</v>
      </c>
      <c r="O29" s="3482">
        <f>Таблица145[[#This Row],[v13]]</f>
        <v>1345.9538900000002</v>
      </c>
      <c r="P29" s="3482">
        <f>Таблица145[[#This Row],[v15]]</f>
        <v>4597.2542899999999</v>
      </c>
      <c r="Q29" s="3482">
        <v>0</v>
      </c>
      <c r="R29" s="3482">
        <v>0</v>
      </c>
      <c r="S29" s="3482">
        <v>0</v>
      </c>
      <c r="T29" s="3485">
        <v>0</v>
      </c>
      <c r="U29" s="3485">
        <v>0</v>
      </c>
      <c r="V29" s="3485">
        <v>0</v>
      </c>
      <c r="W29" s="3485">
        <v>0</v>
      </c>
      <c r="X29" s="3485">
        <v>0</v>
      </c>
      <c r="Y29" s="3485">
        <v>0</v>
      </c>
    </row>
    <row r="30" spans="1:25">
      <c r="A30" s="3479">
        <v>300</v>
      </c>
      <c r="B30" s="3479">
        <v>2</v>
      </c>
      <c r="C30" s="3484" t="s">
        <v>558</v>
      </c>
      <c r="D30" s="3475">
        <v>302</v>
      </c>
      <c r="E30" s="3482">
        <f>Таблица145[[#This Row],[v1]]</f>
        <v>0</v>
      </c>
      <c r="F30" s="3482">
        <f>Таблица145[[#This Row],[v2]]</f>
        <v>0</v>
      </c>
      <c r="G30" s="3482">
        <f>Таблица145[[#This Row],[v3]]</f>
        <v>0</v>
      </c>
      <c r="H30" s="3482">
        <f>Таблица145[[#This Row],[v4]]</f>
        <v>0</v>
      </c>
      <c r="I30" s="3482">
        <f>Таблица145[[#This Row],[v5]]</f>
        <v>0</v>
      </c>
      <c r="J30" s="3482">
        <f>Таблица145[[#This Row],[v6]]</f>
        <v>0</v>
      </c>
      <c r="K30" s="3482">
        <f>Таблица145[[#This Row],[v7]]</f>
        <v>0</v>
      </c>
      <c r="L30" s="3482">
        <f>Таблица145[[#This Row],[v9]]</f>
        <v>0</v>
      </c>
      <c r="M30" s="3482">
        <f>Таблица145[[#This Row],[v10]]</f>
        <v>0</v>
      </c>
      <c r="N30" s="3482">
        <f>Таблица145[[#This Row],[v12]]</f>
        <v>0</v>
      </c>
      <c r="O30" s="3482">
        <f>Таблица145[[#This Row],[v13]]</f>
        <v>0</v>
      </c>
      <c r="P30" s="3482">
        <f>Таблица145[[#This Row],[v15]]</f>
        <v>0</v>
      </c>
      <c r="Q30" s="3482">
        <v>0</v>
      </c>
      <c r="R30" s="3482">
        <v>0</v>
      </c>
      <c r="S30" s="3482">
        <v>0</v>
      </c>
      <c r="T30" s="3485">
        <v>0</v>
      </c>
      <c r="U30" s="3485">
        <v>0</v>
      </c>
      <c r="V30" s="3485">
        <v>0</v>
      </c>
      <c r="W30" s="3485">
        <v>0</v>
      </c>
      <c r="X30" s="3485">
        <v>0</v>
      </c>
      <c r="Y30" s="3485">
        <v>0</v>
      </c>
    </row>
    <row r="31" spans="1:25">
      <c r="A31" s="3479">
        <v>310</v>
      </c>
      <c r="B31" s="3479">
        <v>0</v>
      </c>
      <c r="C31" s="3480" t="s">
        <v>4037</v>
      </c>
      <c r="D31" s="3481">
        <v>310</v>
      </c>
      <c r="E31" s="3482">
        <f>Таблица145[[#This Row],[v1]]</f>
        <v>2127.3910000000001</v>
      </c>
      <c r="F31" s="3482">
        <f>Таблица145[[#This Row],[v2]]</f>
        <v>7359.8127510000004</v>
      </c>
      <c r="G31" s="3482">
        <f>Таблица145[[#This Row],[v3]]</f>
        <v>6237.1294500000004</v>
      </c>
      <c r="H31" s="3482">
        <f>Таблица145[[#This Row],[v4]]</f>
        <v>83.585999999999999</v>
      </c>
      <c r="I31" s="3482">
        <f>Таблица145[[#This Row],[v5]]</f>
        <v>346.8270986</v>
      </c>
      <c r="J31" s="3482">
        <f>Таблица145[[#This Row],[v6]]</f>
        <v>293.92126999999999</v>
      </c>
      <c r="K31" s="3482">
        <f>Таблица145[[#This Row],[v7]]</f>
        <v>629.42700000000002</v>
      </c>
      <c r="L31" s="3482">
        <f>Таблица145[[#This Row],[v9]]</f>
        <v>1414.3779999999999</v>
      </c>
      <c r="M31" s="3482">
        <f>Таблица145[[#This Row],[v10]]</f>
        <v>1588.2255902000002</v>
      </c>
      <c r="N31" s="3482">
        <f>Таблица145[[#This Row],[v12]]</f>
        <v>5424.7600622</v>
      </c>
      <c r="O31" s="3482">
        <f>Таблица145[[#This Row],[v13]]</f>
        <v>1345.9538900000002</v>
      </c>
      <c r="P31" s="3482">
        <f>Таблица145[[#This Row],[v15]]</f>
        <v>4597.2542899999999</v>
      </c>
      <c r="Q31" s="3482">
        <v>0</v>
      </c>
      <c r="R31" s="3482">
        <v>0</v>
      </c>
      <c r="S31" s="3482">
        <v>0</v>
      </c>
      <c r="T31" s="3485">
        <v>0</v>
      </c>
      <c r="U31" s="3485">
        <v>0</v>
      </c>
      <c r="V31" s="3485">
        <v>0</v>
      </c>
      <c r="W31" s="3485">
        <v>0</v>
      </c>
      <c r="X31" s="3485">
        <v>0</v>
      </c>
      <c r="Y31" s="3485">
        <v>0</v>
      </c>
    </row>
    <row r="32" spans="1:25">
      <c r="A32" s="3479">
        <v>310</v>
      </c>
      <c r="B32" s="3479">
        <v>1</v>
      </c>
      <c r="C32" s="3484" t="s">
        <v>557</v>
      </c>
      <c r="D32" s="3475">
        <v>311</v>
      </c>
      <c r="E32" s="3482">
        <f>Таблица145[[#This Row],[v1]]</f>
        <v>2127.3910000000001</v>
      </c>
      <c r="F32" s="3482">
        <f>Таблица145[[#This Row],[v2]]</f>
        <v>7359.8127510000004</v>
      </c>
      <c r="G32" s="3482">
        <f>Таблица145[[#This Row],[v3]]</f>
        <v>6237.1294500000004</v>
      </c>
      <c r="H32" s="3482">
        <f>Таблица145[[#This Row],[v4]]</f>
        <v>83.585999999999999</v>
      </c>
      <c r="I32" s="3482">
        <f>Таблица145[[#This Row],[v5]]</f>
        <v>346.8270986</v>
      </c>
      <c r="J32" s="3482">
        <f>Таблица145[[#This Row],[v6]]</f>
        <v>293.92126999999999</v>
      </c>
      <c r="K32" s="3482">
        <f>Таблица145[[#This Row],[v7]]</f>
        <v>629.42700000000002</v>
      </c>
      <c r="L32" s="3482">
        <f>Таблица145[[#This Row],[v9]]</f>
        <v>1414.3779999999999</v>
      </c>
      <c r="M32" s="3482">
        <f>Таблица145[[#This Row],[v10]]</f>
        <v>1588.2255902000002</v>
      </c>
      <c r="N32" s="3482">
        <f>Таблица145[[#This Row],[v12]]</f>
        <v>5424.7600622</v>
      </c>
      <c r="O32" s="3482">
        <f>Таблица145[[#This Row],[v13]]</f>
        <v>1345.9538900000002</v>
      </c>
      <c r="P32" s="3482">
        <f>Таблица145[[#This Row],[v15]]</f>
        <v>4597.2542899999999</v>
      </c>
      <c r="Q32" s="3482">
        <v>0</v>
      </c>
      <c r="R32" s="3482">
        <v>0</v>
      </c>
      <c r="S32" s="3482">
        <v>0</v>
      </c>
      <c r="T32" s="3485">
        <v>0</v>
      </c>
      <c r="U32" s="3485">
        <v>0</v>
      </c>
      <c r="V32" s="3485">
        <v>0</v>
      </c>
      <c r="W32" s="3485">
        <v>0</v>
      </c>
      <c r="X32" s="3485">
        <v>0</v>
      </c>
      <c r="Y32" s="3485">
        <v>0</v>
      </c>
    </row>
    <row r="33" spans="1:25">
      <c r="A33" s="3479">
        <v>310</v>
      </c>
      <c r="B33" s="3479">
        <v>2</v>
      </c>
      <c r="C33" s="3484" t="s">
        <v>558</v>
      </c>
      <c r="D33" s="3475">
        <v>312</v>
      </c>
      <c r="E33" s="3482">
        <f>Таблица145[[#This Row],[v1]]</f>
        <v>0</v>
      </c>
      <c r="F33" s="3482">
        <f>Таблица145[[#This Row],[v2]]</f>
        <v>0</v>
      </c>
      <c r="G33" s="3482">
        <f>Таблица145[[#This Row],[v3]]</f>
        <v>0</v>
      </c>
      <c r="H33" s="3482">
        <f>Таблица145[[#This Row],[v4]]</f>
        <v>0</v>
      </c>
      <c r="I33" s="3482">
        <f>Таблица145[[#This Row],[v5]]</f>
        <v>0</v>
      </c>
      <c r="J33" s="3482">
        <f>Таблица145[[#This Row],[v6]]</f>
        <v>0</v>
      </c>
      <c r="K33" s="3482">
        <f>Таблица145[[#This Row],[v7]]</f>
        <v>0</v>
      </c>
      <c r="L33" s="3482">
        <f>Таблица145[[#This Row],[v9]]</f>
        <v>0</v>
      </c>
      <c r="M33" s="3482">
        <f>Таблица145[[#This Row],[v10]]</f>
        <v>0</v>
      </c>
      <c r="N33" s="3482">
        <f>Таблица145[[#This Row],[v12]]</f>
        <v>0</v>
      </c>
      <c r="O33" s="3482">
        <f>Таблица145[[#This Row],[v13]]</f>
        <v>0</v>
      </c>
      <c r="P33" s="3482">
        <f>Таблица145[[#This Row],[v15]]</f>
        <v>0</v>
      </c>
      <c r="Q33" s="3482">
        <v>0</v>
      </c>
      <c r="R33" s="3482">
        <v>0</v>
      </c>
      <c r="S33" s="3482">
        <v>0</v>
      </c>
      <c r="T33" s="3485">
        <v>0</v>
      </c>
      <c r="U33" s="3485">
        <v>0</v>
      </c>
      <c r="V33" s="3485">
        <v>0</v>
      </c>
      <c r="W33" s="3485">
        <v>0</v>
      </c>
      <c r="X33" s="3485">
        <v>0</v>
      </c>
      <c r="Y33" s="3485">
        <v>0</v>
      </c>
    </row>
    <row r="34" spans="1:25" ht="25.5">
      <c r="A34" s="3479">
        <v>320</v>
      </c>
      <c r="B34" s="3479">
        <v>0</v>
      </c>
      <c r="C34" s="3480" t="s">
        <v>4038</v>
      </c>
      <c r="D34" s="3481">
        <v>320</v>
      </c>
      <c r="E34" s="3482">
        <v>0</v>
      </c>
      <c r="F34" s="3482">
        <v>0</v>
      </c>
      <c r="G34" s="3482">
        <v>0</v>
      </c>
      <c r="H34" s="3482">
        <v>0</v>
      </c>
      <c r="I34" s="3482">
        <v>0</v>
      </c>
      <c r="J34" s="3482">
        <v>0</v>
      </c>
      <c r="K34" s="3482">
        <v>0</v>
      </c>
      <c r="L34" s="3482">
        <v>0</v>
      </c>
      <c r="M34" s="3482">
        <v>0</v>
      </c>
      <c r="N34" s="3482">
        <v>0</v>
      </c>
      <c r="O34" s="3482">
        <v>0</v>
      </c>
      <c r="P34" s="3482">
        <v>0</v>
      </c>
      <c r="Q34" s="3482">
        <v>0</v>
      </c>
      <c r="R34" s="3482">
        <v>0</v>
      </c>
      <c r="S34" s="3482">
        <v>0</v>
      </c>
      <c r="T34" s="3482">
        <v>0</v>
      </c>
      <c r="U34" s="3482">
        <v>0</v>
      </c>
      <c r="V34" s="3482">
        <v>0</v>
      </c>
      <c r="W34" s="3482">
        <v>0</v>
      </c>
      <c r="X34" s="3482">
        <v>0</v>
      </c>
      <c r="Y34" s="3482">
        <v>0</v>
      </c>
    </row>
    <row r="35" spans="1:25">
      <c r="A35" s="3479">
        <v>320</v>
      </c>
      <c r="B35" s="3479">
        <v>1</v>
      </c>
      <c r="C35" s="3484" t="s">
        <v>557</v>
      </c>
      <c r="D35" s="3475">
        <v>321</v>
      </c>
      <c r="E35" s="3482">
        <v>0</v>
      </c>
      <c r="F35" s="3482">
        <v>0</v>
      </c>
      <c r="G35" s="3482">
        <v>0</v>
      </c>
      <c r="H35" s="3482">
        <v>0</v>
      </c>
      <c r="I35" s="3482">
        <v>0</v>
      </c>
      <c r="J35" s="3482">
        <v>0</v>
      </c>
      <c r="K35" s="3482">
        <v>0</v>
      </c>
      <c r="L35" s="3482">
        <v>0</v>
      </c>
      <c r="M35" s="3482">
        <v>0</v>
      </c>
      <c r="N35" s="3482">
        <v>0</v>
      </c>
      <c r="O35" s="3482">
        <v>0</v>
      </c>
      <c r="P35" s="3482">
        <v>0</v>
      </c>
      <c r="Q35" s="3482">
        <v>0</v>
      </c>
      <c r="R35" s="3482">
        <v>0</v>
      </c>
      <c r="S35" s="3482">
        <v>0</v>
      </c>
      <c r="T35" s="3485">
        <v>0</v>
      </c>
      <c r="U35" s="3485">
        <v>0</v>
      </c>
      <c r="V35" s="3485">
        <v>0</v>
      </c>
      <c r="W35" s="3485">
        <v>0</v>
      </c>
      <c r="X35" s="3485">
        <v>0</v>
      </c>
      <c r="Y35" s="3485">
        <v>0</v>
      </c>
    </row>
    <row r="36" spans="1:25">
      <c r="A36" s="3479">
        <v>320</v>
      </c>
      <c r="B36" s="3479">
        <v>2</v>
      </c>
      <c r="C36" s="3484" t="s">
        <v>558</v>
      </c>
      <c r="D36" s="3475">
        <v>322</v>
      </c>
      <c r="E36" s="3482">
        <v>0</v>
      </c>
      <c r="F36" s="3482">
        <v>0</v>
      </c>
      <c r="G36" s="3482">
        <v>0</v>
      </c>
      <c r="H36" s="3482">
        <v>0</v>
      </c>
      <c r="I36" s="3482">
        <v>0</v>
      </c>
      <c r="J36" s="3482">
        <v>0</v>
      </c>
      <c r="K36" s="3482">
        <v>0</v>
      </c>
      <c r="L36" s="3482">
        <v>0</v>
      </c>
      <c r="M36" s="3482">
        <v>0</v>
      </c>
      <c r="N36" s="3482">
        <v>0</v>
      </c>
      <c r="O36" s="3482">
        <v>0</v>
      </c>
      <c r="P36" s="3482">
        <v>0</v>
      </c>
      <c r="Q36" s="3482">
        <v>0</v>
      </c>
      <c r="R36" s="3482">
        <v>0</v>
      </c>
      <c r="S36" s="3482">
        <v>0</v>
      </c>
      <c r="T36" s="3485">
        <v>0</v>
      </c>
      <c r="U36" s="3485">
        <v>0</v>
      </c>
      <c r="V36" s="3485">
        <v>0</v>
      </c>
      <c r="W36" s="3485">
        <v>0</v>
      </c>
      <c r="X36" s="3485">
        <v>0</v>
      </c>
      <c r="Y36" s="3485">
        <v>0</v>
      </c>
    </row>
    <row r="37" spans="1:25" ht="76.5">
      <c r="A37" s="3479">
        <v>330</v>
      </c>
      <c r="B37" s="3479">
        <v>0</v>
      </c>
      <c r="C37" s="3480" t="s">
        <v>4039</v>
      </c>
      <c r="D37" s="3481">
        <v>330</v>
      </c>
      <c r="E37" s="3482">
        <v>0</v>
      </c>
      <c r="F37" s="3482">
        <v>0</v>
      </c>
      <c r="G37" s="3482">
        <v>0</v>
      </c>
      <c r="H37" s="3482">
        <v>0</v>
      </c>
      <c r="I37" s="3482">
        <v>0</v>
      </c>
      <c r="J37" s="3482">
        <v>0</v>
      </c>
      <c r="K37" s="3482">
        <v>0</v>
      </c>
      <c r="L37" s="3482">
        <v>0</v>
      </c>
      <c r="M37" s="3482">
        <v>0</v>
      </c>
      <c r="N37" s="3482">
        <v>0</v>
      </c>
      <c r="O37" s="3482">
        <v>0</v>
      </c>
      <c r="P37" s="3482">
        <v>0</v>
      </c>
      <c r="Q37" s="3482">
        <v>0</v>
      </c>
      <c r="R37" s="3482">
        <v>0</v>
      </c>
      <c r="S37" s="3482">
        <v>0</v>
      </c>
      <c r="T37" s="3482">
        <v>0</v>
      </c>
      <c r="U37" s="3482">
        <v>0</v>
      </c>
      <c r="V37" s="3482">
        <v>0</v>
      </c>
      <c r="W37" s="3482">
        <v>0</v>
      </c>
      <c r="X37" s="3482">
        <v>0</v>
      </c>
      <c r="Y37" s="3482">
        <v>0</v>
      </c>
    </row>
    <row r="38" spans="1:25">
      <c r="A38" s="3479">
        <v>330</v>
      </c>
      <c r="B38" s="3479">
        <v>1</v>
      </c>
      <c r="C38" s="3484" t="s">
        <v>557</v>
      </c>
      <c r="D38" s="3475">
        <v>331</v>
      </c>
      <c r="E38" s="3482">
        <v>0</v>
      </c>
      <c r="F38" s="3482">
        <v>0</v>
      </c>
      <c r="G38" s="3482">
        <v>0</v>
      </c>
      <c r="H38" s="3482">
        <v>0</v>
      </c>
      <c r="I38" s="3482">
        <v>0</v>
      </c>
      <c r="J38" s="3482">
        <v>0</v>
      </c>
      <c r="K38" s="3482">
        <v>0</v>
      </c>
      <c r="L38" s="3482">
        <v>0</v>
      </c>
      <c r="M38" s="3482">
        <v>0</v>
      </c>
      <c r="N38" s="3482">
        <v>0</v>
      </c>
      <c r="O38" s="3482">
        <v>0</v>
      </c>
      <c r="P38" s="3482">
        <v>0</v>
      </c>
      <c r="Q38" s="3482">
        <v>0</v>
      </c>
      <c r="R38" s="3482">
        <v>0</v>
      </c>
      <c r="S38" s="3482">
        <v>0</v>
      </c>
      <c r="T38" s="3485">
        <v>0</v>
      </c>
      <c r="U38" s="3485">
        <v>0</v>
      </c>
      <c r="V38" s="3485">
        <v>0</v>
      </c>
      <c r="W38" s="3485">
        <v>0</v>
      </c>
      <c r="X38" s="3485">
        <v>0</v>
      </c>
      <c r="Y38" s="3485">
        <v>0</v>
      </c>
    </row>
    <row r="39" spans="1:25">
      <c r="A39" s="3479">
        <v>330</v>
      </c>
      <c r="B39" s="3479">
        <v>2</v>
      </c>
      <c r="C39" s="3484" t="s">
        <v>558</v>
      </c>
      <c r="D39" s="3475">
        <v>332</v>
      </c>
      <c r="E39" s="3482">
        <v>0</v>
      </c>
      <c r="F39" s="3482">
        <v>0</v>
      </c>
      <c r="G39" s="3482">
        <v>0</v>
      </c>
      <c r="H39" s="3482">
        <v>0</v>
      </c>
      <c r="I39" s="3482">
        <v>0</v>
      </c>
      <c r="J39" s="3482">
        <v>0</v>
      </c>
      <c r="K39" s="3482">
        <v>0</v>
      </c>
      <c r="L39" s="3482">
        <v>0</v>
      </c>
      <c r="M39" s="3482">
        <v>0</v>
      </c>
      <c r="N39" s="3482">
        <v>0</v>
      </c>
      <c r="O39" s="3482">
        <v>0</v>
      </c>
      <c r="P39" s="3482">
        <v>0</v>
      </c>
      <c r="Q39" s="3482">
        <v>0</v>
      </c>
      <c r="R39" s="3482">
        <v>0</v>
      </c>
      <c r="S39" s="3482">
        <v>0</v>
      </c>
      <c r="T39" s="3485">
        <v>0</v>
      </c>
      <c r="U39" s="3485">
        <v>0</v>
      </c>
      <c r="V39" s="3485">
        <v>0</v>
      </c>
      <c r="W39" s="3485">
        <v>0</v>
      </c>
      <c r="X39" s="3485">
        <v>0</v>
      </c>
      <c r="Y39" s="3485">
        <v>0</v>
      </c>
    </row>
    <row r="40" spans="1:25" ht="25.5">
      <c r="A40" s="3479">
        <v>340</v>
      </c>
      <c r="B40" s="3479">
        <v>0</v>
      </c>
      <c r="C40" s="3480" t="s">
        <v>1976</v>
      </c>
      <c r="D40" s="3481">
        <v>340</v>
      </c>
      <c r="E40" s="3482">
        <v>0</v>
      </c>
      <c r="F40" s="3482">
        <v>0</v>
      </c>
      <c r="G40" s="3482">
        <v>0</v>
      </c>
      <c r="H40" s="3482">
        <v>0</v>
      </c>
      <c r="I40" s="3482">
        <v>0</v>
      </c>
      <c r="J40" s="3482">
        <v>0</v>
      </c>
      <c r="K40" s="3482">
        <v>0</v>
      </c>
      <c r="L40" s="3482">
        <v>0</v>
      </c>
      <c r="M40" s="3482">
        <v>0</v>
      </c>
      <c r="N40" s="3482">
        <v>0</v>
      </c>
      <c r="O40" s="3482">
        <v>0</v>
      </c>
      <c r="P40" s="3482">
        <v>0</v>
      </c>
      <c r="Q40" s="3482">
        <v>0</v>
      </c>
      <c r="R40" s="3482">
        <v>0</v>
      </c>
      <c r="S40" s="3482">
        <v>0</v>
      </c>
      <c r="T40" s="3482">
        <v>0</v>
      </c>
      <c r="U40" s="3482">
        <v>0</v>
      </c>
      <c r="V40" s="3482">
        <v>0</v>
      </c>
      <c r="W40" s="3482">
        <v>0</v>
      </c>
      <c r="X40" s="3482">
        <v>0</v>
      </c>
      <c r="Y40" s="3482">
        <v>0</v>
      </c>
    </row>
    <row r="41" spans="1:25">
      <c r="A41" s="3479">
        <v>340</v>
      </c>
      <c r="B41" s="3479">
        <v>1</v>
      </c>
      <c r="C41" s="3484" t="s">
        <v>557</v>
      </c>
      <c r="D41" s="3475">
        <v>341</v>
      </c>
      <c r="E41" s="3482">
        <v>0</v>
      </c>
      <c r="F41" s="3482">
        <v>0</v>
      </c>
      <c r="G41" s="3482">
        <v>0</v>
      </c>
      <c r="H41" s="3482">
        <v>0</v>
      </c>
      <c r="I41" s="3482">
        <v>0</v>
      </c>
      <c r="J41" s="3482">
        <v>0</v>
      </c>
      <c r="K41" s="3482">
        <v>0</v>
      </c>
      <c r="L41" s="3482">
        <v>0</v>
      </c>
      <c r="M41" s="3482">
        <v>0</v>
      </c>
      <c r="N41" s="3482">
        <v>0</v>
      </c>
      <c r="O41" s="3482">
        <v>0</v>
      </c>
      <c r="P41" s="3482">
        <v>0</v>
      </c>
      <c r="Q41" s="3482">
        <v>0</v>
      </c>
      <c r="R41" s="3482">
        <v>0</v>
      </c>
      <c r="S41" s="3482">
        <v>0</v>
      </c>
      <c r="T41" s="3485">
        <v>0</v>
      </c>
      <c r="U41" s="3485">
        <v>0</v>
      </c>
      <c r="V41" s="3485">
        <v>0</v>
      </c>
      <c r="W41" s="3485">
        <v>0</v>
      </c>
      <c r="X41" s="3485">
        <v>0</v>
      </c>
      <c r="Y41" s="3485">
        <v>0</v>
      </c>
    </row>
    <row r="42" spans="1:25">
      <c r="A42" s="3479">
        <v>340</v>
      </c>
      <c r="B42" s="3479">
        <v>2</v>
      </c>
      <c r="C42" s="3484" t="s">
        <v>558</v>
      </c>
      <c r="D42" s="3475">
        <v>342</v>
      </c>
      <c r="E42" s="3482">
        <v>0</v>
      </c>
      <c r="F42" s="3482">
        <v>0</v>
      </c>
      <c r="G42" s="3482">
        <v>0</v>
      </c>
      <c r="H42" s="3482">
        <v>0</v>
      </c>
      <c r="I42" s="3482">
        <v>0</v>
      </c>
      <c r="J42" s="3482">
        <v>0</v>
      </c>
      <c r="K42" s="3482">
        <v>0</v>
      </c>
      <c r="L42" s="3482">
        <v>0</v>
      </c>
      <c r="M42" s="3482">
        <v>0</v>
      </c>
      <c r="N42" s="3482">
        <v>0</v>
      </c>
      <c r="O42" s="3482">
        <v>0</v>
      </c>
      <c r="P42" s="3482">
        <v>0</v>
      </c>
      <c r="Q42" s="3482">
        <v>0</v>
      </c>
      <c r="R42" s="3482">
        <v>0</v>
      </c>
      <c r="S42" s="3482">
        <v>0</v>
      </c>
      <c r="T42" s="3485">
        <v>0</v>
      </c>
      <c r="U42" s="3485">
        <v>0</v>
      </c>
      <c r="V42" s="3485">
        <v>0</v>
      </c>
      <c r="W42" s="3485">
        <v>0</v>
      </c>
      <c r="X42" s="3485">
        <v>0</v>
      </c>
      <c r="Y42" s="3485">
        <v>0</v>
      </c>
    </row>
    <row r="43" spans="1:25" ht="51">
      <c r="A43" s="3479">
        <v>350</v>
      </c>
      <c r="B43" s="3479">
        <v>0</v>
      </c>
      <c r="C43" s="3480" t="s">
        <v>601</v>
      </c>
      <c r="D43" s="3481">
        <v>350</v>
      </c>
      <c r="E43" s="3482">
        <v>0</v>
      </c>
      <c r="F43" s="3482">
        <v>0</v>
      </c>
      <c r="G43" s="3482">
        <v>0</v>
      </c>
      <c r="H43" s="3482">
        <v>0</v>
      </c>
      <c r="I43" s="3482">
        <v>0</v>
      </c>
      <c r="J43" s="3482">
        <v>0</v>
      </c>
      <c r="K43" s="3482">
        <v>0</v>
      </c>
      <c r="L43" s="3482">
        <v>0</v>
      </c>
      <c r="M43" s="3482">
        <v>0</v>
      </c>
      <c r="N43" s="3482">
        <v>0</v>
      </c>
      <c r="O43" s="3482">
        <v>0</v>
      </c>
      <c r="P43" s="3482">
        <v>0</v>
      </c>
      <c r="Q43" s="3482">
        <v>0</v>
      </c>
      <c r="R43" s="3482">
        <v>0</v>
      </c>
      <c r="S43" s="3482">
        <v>0</v>
      </c>
      <c r="T43" s="3482">
        <v>0</v>
      </c>
      <c r="U43" s="3482">
        <v>0</v>
      </c>
      <c r="V43" s="3482">
        <v>0</v>
      </c>
      <c r="W43" s="3482">
        <v>0</v>
      </c>
      <c r="X43" s="3482">
        <v>0</v>
      </c>
      <c r="Y43" s="3482">
        <v>0</v>
      </c>
    </row>
    <row r="44" spans="1:25">
      <c r="A44" s="3479">
        <v>350</v>
      </c>
      <c r="B44" s="3479">
        <v>1</v>
      </c>
      <c r="C44" s="3484" t="s">
        <v>557</v>
      </c>
      <c r="D44" s="3475">
        <v>351</v>
      </c>
      <c r="E44" s="3482">
        <v>0</v>
      </c>
      <c r="F44" s="3482">
        <v>0</v>
      </c>
      <c r="G44" s="3482">
        <v>0</v>
      </c>
      <c r="H44" s="3482">
        <v>0</v>
      </c>
      <c r="I44" s="3482">
        <v>0</v>
      </c>
      <c r="J44" s="3482">
        <v>0</v>
      </c>
      <c r="K44" s="3482">
        <v>0</v>
      </c>
      <c r="L44" s="3482">
        <v>0</v>
      </c>
      <c r="M44" s="3482">
        <v>0</v>
      </c>
      <c r="N44" s="3482">
        <v>0</v>
      </c>
      <c r="O44" s="3482">
        <v>0</v>
      </c>
      <c r="P44" s="3482">
        <v>0</v>
      </c>
      <c r="Q44" s="3482">
        <v>0</v>
      </c>
      <c r="R44" s="3482">
        <v>0</v>
      </c>
      <c r="S44" s="3482">
        <v>0</v>
      </c>
      <c r="T44" s="3485">
        <v>0</v>
      </c>
      <c r="U44" s="3485">
        <v>0</v>
      </c>
      <c r="V44" s="3485">
        <v>0</v>
      </c>
      <c r="W44" s="3485">
        <v>0</v>
      </c>
      <c r="X44" s="3485">
        <v>0</v>
      </c>
      <c r="Y44" s="3485">
        <v>0</v>
      </c>
    </row>
    <row r="45" spans="1:25">
      <c r="A45" s="3479">
        <v>350</v>
      </c>
      <c r="B45" s="3479">
        <v>2</v>
      </c>
      <c r="C45" s="3484" t="s">
        <v>558</v>
      </c>
      <c r="D45" s="3475">
        <v>352</v>
      </c>
      <c r="E45" s="3482">
        <v>0</v>
      </c>
      <c r="F45" s="3482">
        <v>0</v>
      </c>
      <c r="G45" s="3482">
        <v>0</v>
      </c>
      <c r="H45" s="3482">
        <v>0</v>
      </c>
      <c r="I45" s="3482">
        <v>0</v>
      </c>
      <c r="J45" s="3482">
        <v>0</v>
      </c>
      <c r="K45" s="3482">
        <v>0</v>
      </c>
      <c r="L45" s="3482">
        <v>0</v>
      </c>
      <c r="M45" s="3482">
        <v>0</v>
      </c>
      <c r="N45" s="3482">
        <v>0</v>
      </c>
      <c r="O45" s="3482">
        <v>0</v>
      </c>
      <c r="P45" s="3482">
        <v>0</v>
      </c>
      <c r="Q45" s="3482">
        <v>0</v>
      </c>
      <c r="R45" s="3482">
        <v>0</v>
      </c>
      <c r="S45" s="3482">
        <v>0</v>
      </c>
      <c r="T45" s="3485">
        <v>0</v>
      </c>
      <c r="U45" s="3485">
        <v>0</v>
      </c>
      <c r="V45" s="3485">
        <v>0</v>
      </c>
      <c r="W45" s="3485">
        <v>0</v>
      </c>
      <c r="X45" s="3485">
        <v>0</v>
      </c>
      <c r="Y45" s="3485">
        <v>0</v>
      </c>
    </row>
    <row r="46" spans="1:25" ht="63.75">
      <c r="A46" s="3479">
        <v>360</v>
      </c>
      <c r="B46" s="3479">
        <v>0</v>
      </c>
      <c r="C46" s="3480" t="s">
        <v>4040</v>
      </c>
      <c r="D46" s="3481">
        <v>360</v>
      </c>
      <c r="E46" s="3482">
        <v>0</v>
      </c>
      <c r="F46" s="3482">
        <v>0</v>
      </c>
      <c r="G46" s="3482">
        <v>0</v>
      </c>
      <c r="H46" s="3482">
        <v>0</v>
      </c>
      <c r="I46" s="3482">
        <v>0</v>
      </c>
      <c r="J46" s="3482">
        <v>0</v>
      </c>
      <c r="K46" s="3482">
        <v>0</v>
      </c>
      <c r="L46" s="3482">
        <v>0</v>
      </c>
      <c r="M46" s="3482">
        <v>0</v>
      </c>
      <c r="N46" s="3482">
        <v>0</v>
      </c>
      <c r="O46" s="3482">
        <v>0</v>
      </c>
      <c r="P46" s="3482">
        <v>0</v>
      </c>
      <c r="Q46" s="3482">
        <v>0</v>
      </c>
      <c r="R46" s="3482">
        <v>0</v>
      </c>
      <c r="S46" s="3482">
        <v>0</v>
      </c>
      <c r="T46" s="3482">
        <v>0</v>
      </c>
      <c r="U46" s="3482">
        <v>0</v>
      </c>
      <c r="V46" s="3482">
        <v>0</v>
      </c>
      <c r="W46" s="3482">
        <v>0</v>
      </c>
      <c r="X46" s="3482">
        <v>0</v>
      </c>
      <c r="Y46" s="3482">
        <v>0</v>
      </c>
    </row>
    <row r="47" spans="1:25">
      <c r="A47" s="3479">
        <v>360</v>
      </c>
      <c r="B47" s="3479">
        <v>1</v>
      </c>
      <c r="C47" s="3484" t="s">
        <v>557</v>
      </c>
      <c r="D47" s="3475">
        <v>361</v>
      </c>
      <c r="E47" s="3482">
        <v>0</v>
      </c>
      <c r="F47" s="3482">
        <v>0</v>
      </c>
      <c r="G47" s="3482">
        <v>0</v>
      </c>
      <c r="H47" s="3482">
        <v>0</v>
      </c>
      <c r="I47" s="3482">
        <v>0</v>
      </c>
      <c r="J47" s="3482">
        <v>0</v>
      </c>
      <c r="K47" s="3482">
        <v>0</v>
      </c>
      <c r="L47" s="3482">
        <v>0</v>
      </c>
      <c r="M47" s="3482">
        <v>0</v>
      </c>
      <c r="N47" s="3482">
        <v>0</v>
      </c>
      <c r="O47" s="3482">
        <v>0</v>
      </c>
      <c r="P47" s="3482">
        <v>0</v>
      </c>
      <c r="Q47" s="3482">
        <v>0</v>
      </c>
      <c r="R47" s="3482">
        <v>0</v>
      </c>
      <c r="S47" s="3482">
        <v>0</v>
      </c>
      <c r="T47" s="3485">
        <v>0</v>
      </c>
      <c r="U47" s="3485">
        <v>0</v>
      </c>
      <c r="V47" s="3485">
        <v>0</v>
      </c>
      <c r="W47" s="3485">
        <v>0</v>
      </c>
      <c r="X47" s="3485">
        <v>0</v>
      </c>
      <c r="Y47" s="3485">
        <v>0</v>
      </c>
    </row>
    <row r="48" spans="1:25">
      <c r="A48" s="3479">
        <v>360</v>
      </c>
      <c r="B48" s="3479">
        <v>2</v>
      </c>
      <c r="C48" s="3484" t="s">
        <v>558</v>
      </c>
      <c r="D48" s="3475">
        <v>362</v>
      </c>
      <c r="E48" s="3482">
        <v>0</v>
      </c>
      <c r="F48" s="3482">
        <v>0</v>
      </c>
      <c r="G48" s="3482">
        <v>0</v>
      </c>
      <c r="H48" s="3482">
        <v>0</v>
      </c>
      <c r="I48" s="3482">
        <v>0</v>
      </c>
      <c r="J48" s="3482">
        <v>0</v>
      </c>
      <c r="K48" s="3482">
        <v>0</v>
      </c>
      <c r="L48" s="3482">
        <v>0</v>
      </c>
      <c r="M48" s="3482">
        <v>0</v>
      </c>
      <c r="N48" s="3482">
        <v>0</v>
      </c>
      <c r="O48" s="3482">
        <v>0</v>
      </c>
      <c r="P48" s="3482">
        <v>0</v>
      </c>
      <c r="Q48" s="3482">
        <v>0</v>
      </c>
      <c r="R48" s="3482">
        <v>0</v>
      </c>
      <c r="S48" s="3482">
        <v>0</v>
      </c>
      <c r="T48" s="3485">
        <v>0</v>
      </c>
      <c r="U48" s="3485">
        <v>0</v>
      </c>
      <c r="V48" s="3485">
        <v>0</v>
      </c>
      <c r="W48" s="3485">
        <v>0</v>
      </c>
      <c r="X48" s="3485">
        <v>0</v>
      </c>
      <c r="Y48" s="3485">
        <v>0</v>
      </c>
    </row>
    <row r="49" spans="1:25" ht="25.5">
      <c r="A49" s="3479">
        <v>400</v>
      </c>
      <c r="B49" s="3479">
        <v>0</v>
      </c>
      <c r="C49" s="3480" t="s">
        <v>1978</v>
      </c>
      <c r="D49" s="3481">
        <v>400</v>
      </c>
      <c r="E49" s="3482">
        <v>0</v>
      </c>
      <c r="F49" s="3482">
        <v>0</v>
      </c>
      <c r="G49" s="3482">
        <v>0</v>
      </c>
      <c r="H49" s="3482">
        <v>0</v>
      </c>
      <c r="I49" s="3482">
        <v>0</v>
      </c>
      <c r="J49" s="3482">
        <v>0</v>
      </c>
      <c r="K49" s="3482">
        <v>0</v>
      </c>
      <c r="L49" s="3482">
        <v>0</v>
      </c>
      <c r="M49" s="3482">
        <v>0</v>
      </c>
      <c r="N49" s="3482">
        <v>0</v>
      </c>
      <c r="O49" s="3482">
        <v>0</v>
      </c>
      <c r="P49" s="3482">
        <v>0</v>
      </c>
      <c r="Q49" s="3482">
        <v>0</v>
      </c>
      <c r="R49" s="3482">
        <v>0</v>
      </c>
      <c r="S49" s="3482">
        <v>0</v>
      </c>
      <c r="T49" s="3482">
        <v>0</v>
      </c>
      <c r="U49" s="3482">
        <v>0</v>
      </c>
      <c r="V49" s="3482">
        <v>0</v>
      </c>
      <c r="W49" s="3482">
        <v>0</v>
      </c>
      <c r="X49" s="3482">
        <v>0</v>
      </c>
      <c r="Y49" s="3482">
        <v>0</v>
      </c>
    </row>
    <row r="50" spans="1:25">
      <c r="A50" s="3479">
        <v>500</v>
      </c>
      <c r="B50" s="3479">
        <v>0</v>
      </c>
      <c r="C50" s="3480" t="s">
        <v>4041</v>
      </c>
      <c r="D50" s="3481">
        <v>500</v>
      </c>
      <c r="E50" s="3482">
        <f>E7</f>
        <v>24830.238999999998</v>
      </c>
      <c r="F50" s="3482">
        <f t="shared" ref="F50:P50" si="0">F7</f>
        <v>67303.919316800006</v>
      </c>
      <c r="G50" s="3482">
        <f t="shared" si="0"/>
        <v>57037.21976</v>
      </c>
      <c r="H50" s="3482">
        <f t="shared" si="0"/>
        <v>7588.9080000000004</v>
      </c>
      <c r="I50" s="3482">
        <f t="shared" si="0"/>
        <v>22311.007942999997</v>
      </c>
      <c r="J50" s="3482">
        <f t="shared" si="0"/>
        <v>18907.633849999998</v>
      </c>
      <c r="K50" s="3482">
        <f t="shared" si="0"/>
        <v>4609.2960000000003</v>
      </c>
      <c r="L50" s="3482">
        <f t="shared" si="0"/>
        <v>12632.035000000002</v>
      </c>
      <c r="M50" s="3482">
        <f t="shared" si="0"/>
        <v>8776.3698762000004</v>
      </c>
      <c r="N50" s="3482">
        <f t="shared" si="0"/>
        <v>36216.541497599996</v>
      </c>
      <c r="O50" s="3482">
        <f t="shared" si="0"/>
        <v>7437.601590000002</v>
      </c>
      <c r="P50" s="3482">
        <f t="shared" si="0"/>
        <v>30691.98432</v>
      </c>
      <c r="Q50" s="3482">
        <v>0</v>
      </c>
      <c r="R50" s="3482">
        <v>0</v>
      </c>
      <c r="S50" s="3482">
        <v>0</v>
      </c>
      <c r="T50" s="3482">
        <v>0</v>
      </c>
      <c r="U50" s="3482">
        <v>0</v>
      </c>
      <c r="V50" s="3482">
        <v>0</v>
      </c>
      <c r="W50" s="3482">
        <v>0</v>
      </c>
      <c r="X50" s="3482">
        <v>0</v>
      </c>
      <c r="Y50" s="3482">
        <v>0</v>
      </c>
    </row>
    <row r="65" ht="12.75" customHeight="1"/>
    <row r="66" ht="12.75" customHeight="1"/>
    <row r="104" spans="1:25" s="3486" customFormat="1" ht="15">
      <c r="A104" s="3469"/>
      <c r="B104" s="3469"/>
      <c r="C104" s="3469"/>
      <c r="D104" s="3469"/>
      <c r="E104" s="3469"/>
      <c r="F104" s="3469"/>
      <c r="G104" s="3469"/>
      <c r="H104" s="3469"/>
      <c r="I104" s="3469"/>
      <c r="J104" s="3469"/>
      <c r="K104" s="3469"/>
      <c r="L104" s="3469"/>
      <c r="M104" s="3469"/>
      <c r="N104" s="3469"/>
      <c r="O104" s="3469"/>
      <c r="P104" s="3469"/>
      <c r="Q104" s="3469"/>
      <c r="R104" s="3469"/>
      <c r="S104" s="3469"/>
      <c r="T104" s="3469"/>
      <c r="U104" s="3469"/>
      <c r="V104" s="3469"/>
      <c r="W104" s="3469"/>
      <c r="X104" s="3469"/>
      <c r="Y104" s="3469"/>
    </row>
    <row r="107" spans="1:25" ht="38.25" customHeight="1"/>
    <row r="108" spans="1:25" ht="25.5" customHeight="1"/>
    <row r="109" spans="1:25" ht="38.25" customHeight="1"/>
    <row r="110" spans="1:25" ht="13.5" customHeight="1"/>
    <row r="113" spans="1:25" s="3483" customFormat="1">
      <c r="A113" s="3469"/>
      <c r="B113" s="3469"/>
      <c r="C113" s="3469"/>
      <c r="D113" s="3469"/>
      <c r="E113" s="3469"/>
      <c r="F113" s="3469"/>
      <c r="G113" s="3469"/>
      <c r="H113" s="3469"/>
      <c r="I113" s="3469"/>
      <c r="J113" s="3469"/>
      <c r="K113" s="3469"/>
      <c r="L113" s="3469"/>
      <c r="M113" s="3469"/>
      <c r="N113" s="3469"/>
      <c r="O113" s="3469"/>
      <c r="P113" s="3469"/>
      <c r="Q113" s="3469"/>
      <c r="R113" s="3469"/>
      <c r="S113" s="3469"/>
      <c r="T113" s="3469"/>
      <c r="U113" s="3469"/>
      <c r="V113" s="3469"/>
      <c r="W113" s="3469"/>
      <c r="X113" s="3469"/>
      <c r="Y113" s="3469"/>
    </row>
    <row r="121" spans="1:25" s="3483" customFormat="1">
      <c r="A121" s="3469"/>
      <c r="B121" s="3469"/>
      <c r="C121" s="3469"/>
      <c r="D121" s="3469"/>
      <c r="E121" s="3469"/>
      <c r="F121" s="3469"/>
      <c r="G121" s="3469"/>
      <c r="H121" s="3469"/>
      <c r="I121" s="3469"/>
      <c r="J121" s="3469"/>
      <c r="K121" s="3469"/>
      <c r="L121" s="3469"/>
      <c r="M121" s="3469"/>
      <c r="N121" s="3469"/>
      <c r="O121" s="3469"/>
      <c r="P121" s="3469"/>
      <c r="Q121" s="3469"/>
      <c r="R121" s="3469"/>
      <c r="S121" s="3469"/>
      <c r="T121" s="3469"/>
      <c r="U121" s="3469"/>
      <c r="V121" s="3469"/>
      <c r="W121" s="3469"/>
      <c r="X121" s="3469"/>
      <c r="Y121" s="3469"/>
    </row>
    <row r="129" spans="1:25" s="3483" customFormat="1">
      <c r="A129" s="3469"/>
      <c r="B129" s="3469"/>
      <c r="C129" s="3469"/>
      <c r="D129" s="3469"/>
      <c r="E129" s="3469"/>
      <c r="F129" s="3469"/>
      <c r="G129" s="3469"/>
      <c r="H129" s="3469"/>
      <c r="I129" s="3469"/>
      <c r="J129" s="3469"/>
      <c r="K129" s="3469"/>
      <c r="L129" s="3469"/>
      <c r="M129" s="3469"/>
      <c r="N129" s="3469"/>
      <c r="O129" s="3469"/>
      <c r="P129" s="3469"/>
      <c r="Q129" s="3469"/>
      <c r="R129" s="3469"/>
      <c r="S129" s="3469"/>
      <c r="T129" s="3469"/>
      <c r="U129" s="3469"/>
      <c r="V129" s="3469"/>
      <c r="W129" s="3469"/>
      <c r="X129" s="3469"/>
      <c r="Y129" s="3469"/>
    </row>
    <row r="137" spans="1:25" s="3483" customFormat="1">
      <c r="A137" s="3469"/>
      <c r="B137" s="3469"/>
      <c r="C137" s="3469"/>
      <c r="D137" s="3469"/>
      <c r="E137" s="3469"/>
      <c r="F137" s="3469"/>
      <c r="G137" s="3469"/>
      <c r="H137" s="3469"/>
      <c r="I137" s="3469"/>
      <c r="J137" s="3469"/>
      <c r="K137" s="3469"/>
      <c r="L137" s="3469"/>
      <c r="M137" s="3469"/>
      <c r="N137" s="3469"/>
      <c r="O137" s="3469"/>
      <c r="P137" s="3469"/>
      <c r="Q137" s="3469"/>
      <c r="R137" s="3469"/>
      <c r="S137" s="3469"/>
      <c r="T137" s="3469"/>
      <c r="U137" s="3469"/>
      <c r="V137" s="3469"/>
      <c r="W137" s="3469"/>
      <c r="X137" s="3469"/>
      <c r="Y137" s="3469"/>
    </row>
    <row r="145" spans="1:25" s="3483" customFormat="1">
      <c r="A145" s="3469"/>
      <c r="B145" s="3469"/>
      <c r="C145" s="3469"/>
      <c r="D145" s="3469"/>
      <c r="E145" s="3469"/>
      <c r="F145" s="3469"/>
      <c r="G145" s="3469"/>
      <c r="H145" s="3469"/>
      <c r="I145" s="3469"/>
      <c r="J145" s="3469"/>
      <c r="K145" s="3469"/>
      <c r="L145" s="3469"/>
      <c r="M145" s="3469"/>
      <c r="N145" s="3469"/>
      <c r="O145" s="3469"/>
      <c r="P145" s="3469"/>
      <c r="Q145" s="3469"/>
      <c r="R145" s="3469"/>
      <c r="S145" s="3469"/>
      <c r="T145" s="3469"/>
      <c r="U145" s="3469"/>
      <c r="V145" s="3469"/>
      <c r="W145" s="3469"/>
      <c r="X145" s="3469"/>
      <c r="Y145" s="3469"/>
    </row>
    <row r="146" spans="1:25" s="3483" customFormat="1">
      <c r="A146" s="3469"/>
      <c r="B146" s="3469"/>
      <c r="C146" s="3469"/>
      <c r="D146" s="3469"/>
      <c r="E146" s="3469"/>
      <c r="F146" s="3469"/>
      <c r="G146" s="3469"/>
      <c r="H146" s="3469"/>
      <c r="I146" s="3469"/>
      <c r="J146" s="3469"/>
      <c r="K146" s="3469"/>
      <c r="L146" s="3469"/>
      <c r="M146" s="3469"/>
      <c r="N146" s="3469"/>
      <c r="O146" s="3469"/>
      <c r="P146" s="3469"/>
      <c r="Q146" s="3469"/>
      <c r="R146" s="3469"/>
      <c r="S146" s="3469"/>
      <c r="T146" s="3469"/>
      <c r="U146" s="3469"/>
      <c r="V146" s="3469"/>
      <c r="W146" s="3469"/>
      <c r="X146" s="3469"/>
      <c r="Y146" s="3469"/>
    </row>
    <row r="151" spans="1:25" ht="12.75" customHeight="1"/>
    <row r="152" spans="1:25" ht="12.75" customHeight="1"/>
    <row r="153" spans="1:25" ht="12.75" customHeight="1"/>
  </sheetData>
  <mergeCells count="14">
    <mergeCell ref="T3:V3"/>
    <mergeCell ref="W3:Y3"/>
    <mergeCell ref="I3:I4"/>
    <mergeCell ref="J3:J4"/>
    <mergeCell ref="K3:L3"/>
    <mergeCell ref="M3:N3"/>
    <mergeCell ref="O3:P3"/>
    <mergeCell ref="Q3:S3"/>
    <mergeCell ref="H3:H4"/>
    <mergeCell ref="C3:C4"/>
    <mergeCell ref="D3:D4"/>
    <mergeCell ref="E3:E4"/>
    <mergeCell ref="F3:F4"/>
    <mergeCell ref="G3:G4"/>
  </mergeCells>
  <dataValidations count="1">
    <dataValidation type="decimal" operator="greaterThanOrEqual" allowBlank="1" showInputMessage="1" showErrorMessage="1" errorTitle="НЕВЕРНОЕ ЗНАЧЕНИЕ" error="Введенное значение не является числовым" sqref="E40:Y50 E7:Y38">
      <formula1>-9.99999999999999E+42</formula1>
    </dataValidation>
  </dataValidations>
  <pageMargins left="0.7" right="0.7" top="0.75" bottom="0.75" header="0.3" footer="0.3"/>
  <tableParts count="1">
    <tablePart r:id="rId1"/>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Z82"/>
  <sheetViews>
    <sheetView topLeftCell="C1" zoomScale="85" zoomScaleNormal="85" workbookViewId="0">
      <selection activeCell="CU40" sqref="CU40"/>
    </sheetView>
  </sheetViews>
  <sheetFormatPr defaultRowHeight="12.75"/>
  <cols>
    <col min="1" max="1" width="7.28515625" style="3469" hidden="1" customWidth="1"/>
    <col min="2" max="2" width="7.42578125" style="3469" hidden="1" customWidth="1"/>
    <col min="3" max="3" width="45.7109375" style="3469" customWidth="1"/>
    <col min="4" max="4" width="11.42578125" style="3469" bestFit="1" customWidth="1"/>
    <col min="5" max="102" width="15.7109375" style="3469" customWidth="1"/>
    <col min="103" max="104" width="9.140625" style="1845"/>
    <col min="105" max="243" width="9.140625" style="3469"/>
    <col min="244" max="244" width="43.85546875" style="3469" customWidth="1"/>
    <col min="245" max="245" width="7.140625" style="3469" customWidth="1"/>
    <col min="246" max="246" width="15.5703125" style="3469" customWidth="1"/>
    <col min="247" max="247" width="16" style="3469" customWidth="1"/>
    <col min="248" max="248" width="15.140625" style="3469" customWidth="1"/>
    <col min="249" max="249" width="14.85546875" style="3469" customWidth="1"/>
    <col min="250" max="250" width="16.28515625" style="3469" customWidth="1"/>
    <col min="251" max="251" width="13.85546875" style="3469" customWidth="1"/>
    <col min="252" max="252" width="14.140625" style="3469" customWidth="1"/>
    <col min="253" max="253" width="15.7109375" style="3469" bestFit="1" customWidth="1"/>
    <col min="254" max="254" width="13.42578125" style="3469" bestFit="1" customWidth="1"/>
    <col min="255" max="257" width="13.28515625" style="3469" customWidth="1"/>
    <col min="258" max="258" width="11.5703125" style="3469" customWidth="1"/>
    <col min="259" max="259" width="13.140625" style="3469" customWidth="1"/>
    <col min="260" max="260" width="13.85546875" style="3469" customWidth="1"/>
    <col min="261" max="261" width="15.140625" style="3469" customWidth="1"/>
    <col min="262" max="262" width="16.7109375" style="3469" customWidth="1"/>
    <col min="263" max="263" width="13.85546875" style="3469" customWidth="1"/>
    <col min="264" max="265" width="16.7109375" style="3469" customWidth="1"/>
    <col min="266" max="266" width="15" style="3469" customWidth="1"/>
    <col min="267" max="267" width="13" style="3469" customWidth="1"/>
    <col min="268" max="268" width="14.140625" style="3469" customWidth="1"/>
    <col min="269" max="269" width="13.85546875" style="3469" customWidth="1"/>
    <col min="270" max="270" width="12.140625" style="3469" customWidth="1"/>
    <col min="271" max="272" width="15" style="3469" customWidth="1"/>
    <col min="273" max="273" width="12.140625" style="3469" customWidth="1"/>
    <col min="274" max="274" width="16.5703125" style="3469" customWidth="1"/>
    <col min="275" max="275" width="12.5703125" style="3469" customWidth="1"/>
    <col min="276" max="276" width="24.85546875" style="3469" customWidth="1"/>
    <col min="277" max="277" width="11.7109375" style="3469" customWidth="1"/>
    <col min="278" max="279" width="13.5703125" style="3469" customWidth="1"/>
    <col min="280" max="280" width="18.7109375" style="3469" customWidth="1"/>
    <col min="281" max="281" width="13.42578125" style="3469" customWidth="1"/>
    <col min="282" max="282" width="18.5703125" style="3469" customWidth="1"/>
    <col min="283" max="283" width="13.28515625" style="3469" customWidth="1"/>
    <col min="284" max="284" width="13.140625" style="3469" customWidth="1"/>
    <col min="285" max="285" width="10.28515625" style="3469" customWidth="1"/>
    <col min="286" max="286" width="12.42578125" style="3469" customWidth="1"/>
    <col min="287" max="287" width="13.85546875" style="3469" customWidth="1"/>
    <col min="288" max="289" width="6.85546875" style="3469" customWidth="1"/>
    <col min="290" max="291" width="9.140625" style="3469"/>
    <col min="292" max="292" width="15.7109375" style="3469" customWidth="1"/>
    <col min="293" max="293" width="9.140625" style="3469"/>
    <col min="294" max="301" width="13.28515625" style="3469" bestFit="1" customWidth="1"/>
    <col min="302" max="302" width="18.7109375" style="3469" bestFit="1" customWidth="1"/>
    <col min="303" max="304" width="19" style="3469" bestFit="1" customWidth="1"/>
    <col min="305" max="311" width="13.28515625" style="3469" bestFit="1" customWidth="1"/>
    <col min="312" max="312" width="14.140625" style="3469" bestFit="1" customWidth="1"/>
    <col min="313" max="314" width="15.7109375" style="3469" bestFit="1" customWidth="1"/>
    <col min="315" max="317" width="14.140625" style="3469" bestFit="1" customWidth="1"/>
    <col min="318" max="319" width="15.7109375" style="3469" bestFit="1" customWidth="1"/>
    <col min="320" max="321" width="14.140625" style="3469" bestFit="1" customWidth="1"/>
    <col min="322" max="338" width="9.140625" style="3469"/>
    <col min="339" max="339" width="10" style="3469" bestFit="1" customWidth="1"/>
    <col min="340" max="499" width="9.140625" style="3469"/>
    <col min="500" max="500" width="43.85546875" style="3469" customWidth="1"/>
    <col min="501" max="501" width="7.140625" style="3469" customWidth="1"/>
    <col min="502" max="502" width="15.5703125" style="3469" customWidth="1"/>
    <col min="503" max="503" width="16" style="3469" customWidth="1"/>
    <col min="504" max="504" width="15.140625" style="3469" customWidth="1"/>
    <col min="505" max="505" width="14.85546875" style="3469" customWidth="1"/>
    <col min="506" max="506" width="16.28515625" style="3469" customWidth="1"/>
    <col min="507" max="507" width="13.85546875" style="3469" customWidth="1"/>
    <col min="508" max="508" width="14.140625" style="3469" customWidth="1"/>
    <col min="509" max="509" width="15.7109375" style="3469" bestFit="1" customWidth="1"/>
    <col min="510" max="510" width="13.42578125" style="3469" bestFit="1" customWidth="1"/>
    <col min="511" max="513" width="13.28515625" style="3469" customWidth="1"/>
    <col min="514" max="514" width="11.5703125" style="3469" customWidth="1"/>
    <col min="515" max="515" width="13.140625" style="3469" customWidth="1"/>
    <col min="516" max="516" width="13.85546875" style="3469" customWidth="1"/>
    <col min="517" max="517" width="15.140625" style="3469" customWidth="1"/>
    <col min="518" max="518" width="16.7109375" style="3469" customWidth="1"/>
    <col min="519" max="519" width="13.85546875" style="3469" customWidth="1"/>
    <col min="520" max="521" width="16.7109375" style="3469" customWidth="1"/>
    <col min="522" max="522" width="15" style="3469" customWidth="1"/>
    <col min="523" max="523" width="13" style="3469" customWidth="1"/>
    <col min="524" max="524" width="14.140625" style="3469" customWidth="1"/>
    <col min="525" max="525" width="13.85546875" style="3469" customWidth="1"/>
    <col min="526" max="526" width="12.140625" style="3469" customWidth="1"/>
    <col min="527" max="528" width="15" style="3469" customWidth="1"/>
    <col min="529" max="529" width="12.140625" style="3469" customWidth="1"/>
    <col min="530" max="530" width="16.5703125" style="3469" customWidth="1"/>
    <col min="531" max="531" width="12.5703125" style="3469" customWidth="1"/>
    <col min="532" max="532" width="24.85546875" style="3469" customWidth="1"/>
    <col min="533" max="533" width="11.7109375" style="3469" customWidth="1"/>
    <col min="534" max="535" width="13.5703125" style="3469" customWidth="1"/>
    <col min="536" max="536" width="18.7109375" style="3469" customWidth="1"/>
    <col min="537" max="537" width="13.42578125" style="3469" customWidth="1"/>
    <col min="538" max="538" width="18.5703125" style="3469" customWidth="1"/>
    <col min="539" max="539" width="13.28515625" style="3469" customWidth="1"/>
    <col min="540" max="540" width="13.140625" style="3469" customWidth="1"/>
    <col min="541" max="541" width="10.28515625" style="3469" customWidth="1"/>
    <col min="542" max="542" width="12.42578125" style="3469" customWidth="1"/>
    <col min="543" max="543" width="13.85546875" style="3469" customWidth="1"/>
    <col min="544" max="545" width="6.85546875" style="3469" customWidth="1"/>
    <col min="546" max="547" width="9.140625" style="3469"/>
    <col min="548" max="548" width="15.7109375" style="3469" customWidth="1"/>
    <col min="549" max="549" width="9.140625" style="3469"/>
    <col min="550" max="557" width="13.28515625" style="3469" bestFit="1" customWidth="1"/>
    <col min="558" max="558" width="18.7109375" style="3469" bestFit="1" customWidth="1"/>
    <col min="559" max="560" width="19" style="3469" bestFit="1" customWidth="1"/>
    <col min="561" max="567" width="13.28515625" style="3469" bestFit="1" customWidth="1"/>
    <col min="568" max="568" width="14.140625" style="3469" bestFit="1" customWidth="1"/>
    <col min="569" max="570" width="15.7109375" style="3469" bestFit="1" customWidth="1"/>
    <col min="571" max="573" width="14.140625" style="3469" bestFit="1" customWidth="1"/>
    <col min="574" max="575" width="15.7109375" style="3469" bestFit="1" customWidth="1"/>
    <col min="576" max="577" width="14.140625" style="3469" bestFit="1" customWidth="1"/>
    <col min="578" max="594" width="9.140625" style="3469"/>
    <col min="595" max="595" width="10" style="3469" bestFit="1" customWidth="1"/>
    <col min="596" max="755" width="9.140625" style="3469"/>
    <col min="756" max="756" width="43.85546875" style="3469" customWidth="1"/>
    <col min="757" max="757" width="7.140625" style="3469" customWidth="1"/>
    <col min="758" max="758" width="15.5703125" style="3469" customWidth="1"/>
    <col min="759" max="759" width="16" style="3469" customWidth="1"/>
    <col min="760" max="760" width="15.140625" style="3469" customWidth="1"/>
    <col min="761" max="761" width="14.85546875" style="3469" customWidth="1"/>
    <col min="762" max="762" width="16.28515625" style="3469" customWidth="1"/>
    <col min="763" max="763" width="13.85546875" style="3469" customWidth="1"/>
    <col min="764" max="764" width="14.140625" style="3469" customWidth="1"/>
    <col min="765" max="765" width="15.7109375" style="3469" bestFit="1" customWidth="1"/>
    <col min="766" max="766" width="13.42578125" style="3469" bestFit="1" customWidth="1"/>
    <col min="767" max="769" width="13.28515625" style="3469" customWidth="1"/>
    <col min="770" max="770" width="11.5703125" style="3469" customWidth="1"/>
    <col min="771" max="771" width="13.140625" style="3469" customWidth="1"/>
    <col min="772" max="772" width="13.85546875" style="3469" customWidth="1"/>
    <col min="773" max="773" width="15.140625" style="3469" customWidth="1"/>
    <col min="774" max="774" width="16.7109375" style="3469" customWidth="1"/>
    <col min="775" max="775" width="13.85546875" style="3469" customWidth="1"/>
    <col min="776" max="777" width="16.7109375" style="3469" customWidth="1"/>
    <col min="778" max="778" width="15" style="3469" customWidth="1"/>
    <col min="779" max="779" width="13" style="3469" customWidth="1"/>
    <col min="780" max="780" width="14.140625" style="3469" customWidth="1"/>
    <col min="781" max="781" width="13.85546875" style="3469" customWidth="1"/>
    <col min="782" max="782" width="12.140625" style="3469" customWidth="1"/>
    <col min="783" max="784" width="15" style="3469" customWidth="1"/>
    <col min="785" max="785" width="12.140625" style="3469" customWidth="1"/>
    <col min="786" max="786" width="16.5703125" style="3469" customWidth="1"/>
    <col min="787" max="787" width="12.5703125" style="3469" customWidth="1"/>
    <col min="788" max="788" width="24.85546875" style="3469" customWidth="1"/>
    <col min="789" max="789" width="11.7109375" style="3469" customWidth="1"/>
    <col min="790" max="791" width="13.5703125" style="3469" customWidth="1"/>
    <col min="792" max="792" width="18.7109375" style="3469" customWidth="1"/>
    <col min="793" max="793" width="13.42578125" style="3469" customWidth="1"/>
    <col min="794" max="794" width="18.5703125" style="3469" customWidth="1"/>
    <col min="795" max="795" width="13.28515625" style="3469" customWidth="1"/>
    <col min="796" max="796" width="13.140625" style="3469" customWidth="1"/>
    <col min="797" max="797" width="10.28515625" style="3469" customWidth="1"/>
    <col min="798" max="798" width="12.42578125" style="3469" customWidth="1"/>
    <col min="799" max="799" width="13.85546875" style="3469" customWidth="1"/>
    <col min="800" max="801" width="6.85546875" style="3469" customWidth="1"/>
    <col min="802" max="803" width="9.140625" style="3469"/>
    <col min="804" max="804" width="15.7109375" style="3469" customWidth="1"/>
    <col min="805" max="805" width="9.140625" style="3469"/>
    <col min="806" max="813" width="13.28515625" style="3469" bestFit="1" customWidth="1"/>
    <col min="814" max="814" width="18.7109375" style="3469" bestFit="1" customWidth="1"/>
    <col min="815" max="816" width="19" style="3469" bestFit="1" customWidth="1"/>
    <col min="817" max="823" width="13.28515625" style="3469" bestFit="1" customWidth="1"/>
    <col min="824" max="824" width="14.140625" style="3469" bestFit="1" customWidth="1"/>
    <col min="825" max="826" width="15.7109375" style="3469" bestFit="1" customWidth="1"/>
    <col min="827" max="829" width="14.140625" style="3469" bestFit="1" customWidth="1"/>
    <col min="830" max="831" width="15.7109375" style="3469" bestFit="1" customWidth="1"/>
    <col min="832" max="833" width="14.140625" style="3469" bestFit="1" customWidth="1"/>
    <col min="834" max="850" width="9.140625" style="3469"/>
    <col min="851" max="851" width="10" style="3469" bestFit="1" customWidth="1"/>
    <col min="852" max="1011" width="9.140625" style="3469"/>
    <col min="1012" max="1012" width="43.85546875" style="3469" customWidth="1"/>
    <col min="1013" max="1013" width="7.140625" style="3469" customWidth="1"/>
    <col min="1014" max="1014" width="15.5703125" style="3469" customWidth="1"/>
    <col min="1015" max="1015" width="16" style="3469" customWidth="1"/>
    <col min="1016" max="1016" width="15.140625" style="3469" customWidth="1"/>
    <col min="1017" max="1017" width="14.85546875" style="3469" customWidth="1"/>
    <col min="1018" max="1018" width="16.28515625" style="3469" customWidth="1"/>
    <col min="1019" max="1019" width="13.85546875" style="3469" customWidth="1"/>
    <col min="1020" max="1020" width="14.140625" style="3469" customWidth="1"/>
    <col min="1021" max="1021" width="15.7109375" style="3469" bestFit="1" customWidth="1"/>
    <col min="1022" max="1022" width="13.42578125" style="3469" bestFit="1" customWidth="1"/>
    <col min="1023" max="1025" width="13.28515625" style="3469" customWidth="1"/>
    <col min="1026" max="1026" width="11.5703125" style="3469" customWidth="1"/>
    <col min="1027" max="1027" width="13.140625" style="3469" customWidth="1"/>
    <col min="1028" max="1028" width="13.85546875" style="3469" customWidth="1"/>
    <col min="1029" max="1029" width="15.140625" style="3469" customWidth="1"/>
    <col min="1030" max="1030" width="16.7109375" style="3469" customWidth="1"/>
    <col min="1031" max="1031" width="13.85546875" style="3469" customWidth="1"/>
    <col min="1032" max="1033" width="16.7109375" style="3469" customWidth="1"/>
    <col min="1034" max="1034" width="15" style="3469" customWidth="1"/>
    <col min="1035" max="1035" width="13" style="3469" customWidth="1"/>
    <col min="1036" max="1036" width="14.140625" style="3469" customWidth="1"/>
    <col min="1037" max="1037" width="13.85546875" style="3469" customWidth="1"/>
    <col min="1038" max="1038" width="12.140625" style="3469" customWidth="1"/>
    <col min="1039" max="1040" width="15" style="3469" customWidth="1"/>
    <col min="1041" max="1041" width="12.140625" style="3469" customWidth="1"/>
    <col min="1042" max="1042" width="16.5703125" style="3469" customWidth="1"/>
    <col min="1043" max="1043" width="12.5703125" style="3469" customWidth="1"/>
    <col min="1044" max="1044" width="24.85546875" style="3469" customWidth="1"/>
    <col min="1045" max="1045" width="11.7109375" style="3469" customWidth="1"/>
    <col min="1046" max="1047" width="13.5703125" style="3469" customWidth="1"/>
    <col min="1048" max="1048" width="18.7109375" style="3469" customWidth="1"/>
    <col min="1049" max="1049" width="13.42578125" style="3469" customWidth="1"/>
    <col min="1050" max="1050" width="18.5703125" style="3469" customWidth="1"/>
    <col min="1051" max="1051" width="13.28515625" style="3469" customWidth="1"/>
    <col min="1052" max="1052" width="13.140625" style="3469" customWidth="1"/>
    <col min="1053" max="1053" width="10.28515625" style="3469" customWidth="1"/>
    <col min="1054" max="1054" width="12.42578125" style="3469" customWidth="1"/>
    <col min="1055" max="1055" width="13.85546875" style="3469" customWidth="1"/>
    <col min="1056" max="1057" width="6.85546875" style="3469" customWidth="1"/>
    <col min="1058" max="1059" width="9.140625" style="3469"/>
    <col min="1060" max="1060" width="15.7109375" style="3469" customWidth="1"/>
    <col min="1061" max="1061" width="9.140625" style="3469"/>
    <col min="1062" max="1069" width="13.28515625" style="3469" bestFit="1" customWidth="1"/>
    <col min="1070" max="1070" width="18.7109375" style="3469" bestFit="1" customWidth="1"/>
    <col min="1071" max="1072" width="19" style="3469" bestFit="1" customWidth="1"/>
    <col min="1073" max="1079" width="13.28515625" style="3469" bestFit="1" customWidth="1"/>
    <col min="1080" max="1080" width="14.140625" style="3469" bestFit="1" customWidth="1"/>
    <col min="1081" max="1082" width="15.7109375" style="3469" bestFit="1" customWidth="1"/>
    <col min="1083" max="1085" width="14.140625" style="3469" bestFit="1" customWidth="1"/>
    <col min="1086" max="1087" width="15.7109375" style="3469" bestFit="1" customWidth="1"/>
    <col min="1088" max="1089" width="14.140625" style="3469" bestFit="1" customWidth="1"/>
    <col min="1090" max="1106" width="9.140625" style="3469"/>
    <col min="1107" max="1107" width="10" style="3469" bestFit="1" customWidth="1"/>
    <col min="1108" max="1267" width="9.140625" style="3469"/>
    <col min="1268" max="1268" width="43.85546875" style="3469" customWidth="1"/>
    <col min="1269" max="1269" width="7.140625" style="3469" customWidth="1"/>
    <col min="1270" max="1270" width="15.5703125" style="3469" customWidth="1"/>
    <col min="1271" max="1271" width="16" style="3469" customWidth="1"/>
    <col min="1272" max="1272" width="15.140625" style="3469" customWidth="1"/>
    <col min="1273" max="1273" width="14.85546875" style="3469" customWidth="1"/>
    <col min="1274" max="1274" width="16.28515625" style="3469" customWidth="1"/>
    <col min="1275" max="1275" width="13.85546875" style="3469" customWidth="1"/>
    <col min="1276" max="1276" width="14.140625" style="3469" customWidth="1"/>
    <col min="1277" max="1277" width="15.7109375" style="3469" bestFit="1" customWidth="1"/>
    <col min="1278" max="1278" width="13.42578125" style="3469" bestFit="1" customWidth="1"/>
    <col min="1279" max="1281" width="13.28515625" style="3469" customWidth="1"/>
    <col min="1282" max="1282" width="11.5703125" style="3469" customWidth="1"/>
    <col min="1283" max="1283" width="13.140625" style="3469" customWidth="1"/>
    <col min="1284" max="1284" width="13.85546875" style="3469" customWidth="1"/>
    <col min="1285" max="1285" width="15.140625" style="3469" customWidth="1"/>
    <col min="1286" max="1286" width="16.7109375" style="3469" customWidth="1"/>
    <col min="1287" max="1287" width="13.85546875" style="3469" customWidth="1"/>
    <col min="1288" max="1289" width="16.7109375" style="3469" customWidth="1"/>
    <col min="1290" max="1290" width="15" style="3469" customWidth="1"/>
    <col min="1291" max="1291" width="13" style="3469" customWidth="1"/>
    <col min="1292" max="1292" width="14.140625" style="3469" customWidth="1"/>
    <col min="1293" max="1293" width="13.85546875" style="3469" customWidth="1"/>
    <col min="1294" max="1294" width="12.140625" style="3469" customWidth="1"/>
    <col min="1295" max="1296" width="15" style="3469" customWidth="1"/>
    <col min="1297" max="1297" width="12.140625" style="3469" customWidth="1"/>
    <col min="1298" max="1298" width="16.5703125" style="3469" customWidth="1"/>
    <col min="1299" max="1299" width="12.5703125" style="3469" customWidth="1"/>
    <col min="1300" max="1300" width="24.85546875" style="3469" customWidth="1"/>
    <col min="1301" max="1301" width="11.7109375" style="3469" customWidth="1"/>
    <col min="1302" max="1303" width="13.5703125" style="3469" customWidth="1"/>
    <col min="1304" max="1304" width="18.7109375" style="3469" customWidth="1"/>
    <col min="1305" max="1305" width="13.42578125" style="3469" customWidth="1"/>
    <col min="1306" max="1306" width="18.5703125" style="3469" customWidth="1"/>
    <col min="1307" max="1307" width="13.28515625" style="3469" customWidth="1"/>
    <col min="1308" max="1308" width="13.140625" style="3469" customWidth="1"/>
    <col min="1309" max="1309" width="10.28515625" style="3469" customWidth="1"/>
    <col min="1310" max="1310" width="12.42578125" style="3469" customWidth="1"/>
    <col min="1311" max="1311" width="13.85546875" style="3469" customWidth="1"/>
    <col min="1312" max="1313" width="6.85546875" style="3469" customWidth="1"/>
    <col min="1314" max="1315" width="9.140625" style="3469"/>
    <col min="1316" max="1316" width="15.7109375" style="3469" customWidth="1"/>
    <col min="1317" max="1317" width="9.140625" style="3469"/>
    <col min="1318" max="1325" width="13.28515625" style="3469" bestFit="1" customWidth="1"/>
    <col min="1326" max="1326" width="18.7109375" style="3469" bestFit="1" customWidth="1"/>
    <col min="1327" max="1328" width="19" style="3469" bestFit="1" customWidth="1"/>
    <col min="1329" max="1335" width="13.28515625" style="3469" bestFit="1" customWidth="1"/>
    <col min="1336" max="1336" width="14.140625" style="3469" bestFit="1" customWidth="1"/>
    <col min="1337" max="1338" width="15.7109375" style="3469" bestFit="1" customWidth="1"/>
    <col min="1339" max="1341" width="14.140625" style="3469" bestFit="1" customWidth="1"/>
    <col min="1342" max="1343" width="15.7109375" style="3469" bestFit="1" customWidth="1"/>
    <col min="1344" max="1345" width="14.140625" style="3469" bestFit="1" customWidth="1"/>
    <col min="1346" max="1362" width="9.140625" style="3469"/>
    <col min="1363" max="1363" width="10" style="3469" bestFit="1" customWidth="1"/>
    <col min="1364" max="1523" width="9.140625" style="3469"/>
    <col min="1524" max="1524" width="43.85546875" style="3469" customWidth="1"/>
    <col min="1525" max="1525" width="7.140625" style="3469" customWidth="1"/>
    <col min="1526" max="1526" width="15.5703125" style="3469" customWidth="1"/>
    <col min="1527" max="1527" width="16" style="3469" customWidth="1"/>
    <col min="1528" max="1528" width="15.140625" style="3469" customWidth="1"/>
    <col min="1529" max="1529" width="14.85546875" style="3469" customWidth="1"/>
    <col min="1530" max="1530" width="16.28515625" style="3469" customWidth="1"/>
    <col min="1531" max="1531" width="13.85546875" style="3469" customWidth="1"/>
    <col min="1532" max="1532" width="14.140625" style="3469" customWidth="1"/>
    <col min="1533" max="1533" width="15.7109375" style="3469" bestFit="1" customWidth="1"/>
    <col min="1534" max="1534" width="13.42578125" style="3469" bestFit="1" customWidth="1"/>
    <col min="1535" max="1537" width="13.28515625" style="3469" customWidth="1"/>
    <col min="1538" max="1538" width="11.5703125" style="3469" customWidth="1"/>
    <col min="1539" max="1539" width="13.140625" style="3469" customWidth="1"/>
    <col min="1540" max="1540" width="13.85546875" style="3469" customWidth="1"/>
    <col min="1541" max="1541" width="15.140625" style="3469" customWidth="1"/>
    <col min="1542" max="1542" width="16.7109375" style="3469" customWidth="1"/>
    <col min="1543" max="1543" width="13.85546875" style="3469" customWidth="1"/>
    <col min="1544" max="1545" width="16.7109375" style="3469" customWidth="1"/>
    <col min="1546" max="1546" width="15" style="3469" customWidth="1"/>
    <col min="1547" max="1547" width="13" style="3469" customWidth="1"/>
    <col min="1548" max="1548" width="14.140625" style="3469" customWidth="1"/>
    <col min="1549" max="1549" width="13.85546875" style="3469" customWidth="1"/>
    <col min="1550" max="1550" width="12.140625" style="3469" customWidth="1"/>
    <col min="1551" max="1552" width="15" style="3469" customWidth="1"/>
    <col min="1553" max="1553" width="12.140625" style="3469" customWidth="1"/>
    <col min="1554" max="1554" width="16.5703125" style="3469" customWidth="1"/>
    <col min="1555" max="1555" width="12.5703125" style="3469" customWidth="1"/>
    <col min="1556" max="1556" width="24.85546875" style="3469" customWidth="1"/>
    <col min="1557" max="1557" width="11.7109375" style="3469" customWidth="1"/>
    <col min="1558" max="1559" width="13.5703125" style="3469" customWidth="1"/>
    <col min="1560" max="1560" width="18.7109375" style="3469" customWidth="1"/>
    <col min="1561" max="1561" width="13.42578125" style="3469" customWidth="1"/>
    <col min="1562" max="1562" width="18.5703125" style="3469" customWidth="1"/>
    <col min="1563" max="1563" width="13.28515625" style="3469" customWidth="1"/>
    <col min="1564" max="1564" width="13.140625" style="3469" customWidth="1"/>
    <col min="1565" max="1565" width="10.28515625" style="3469" customWidth="1"/>
    <col min="1566" max="1566" width="12.42578125" style="3469" customWidth="1"/>
    <col min="1567" max="1567" width="13.85546875" style="3469" customWidth="1"/>
    <col min="1568" max="1569" width="6.85546875" style="3469" customWidth="1"/>
    <col min="1570" max="1571" width="9.140625" style="3469"/>
    <col min="1572" max="1572" width="15.7109375" style="3469" customWidth="1"/>
    <col min="1573" max="1573" width="9.140625" style="3469"/>
    <col min="1574" max="1581" width="13.28515625" style="3469" bestFit="1" customWidth="1"/>
    <col min="1582" max="1582" width="18.7109375" style="3469" bestFit="1" customWidth="1"/>
    <col min="1583" max="1584" width="19" style="3469" bestFit="1" customWidth="1"/>
    <col min="1585" max="1591" width="13.28515625" style="3469" bestFit="1" customWidth="1"/>
    <col min="1592" max="1592" width="14.140625" style="3469" bestFit="1" customWidth="1"/>
    <col min="1593" max="1594" width="15.7109375" style="3469" bestFit="1" customWidth="1"/>
    <col min="1595" max="1597" width="14.140625" style="3469" bestFit="1" customWidth="1"/>
    <col min="1598" max="1599" width="15.7109375" style="3469" bestFit="1" customWidth="1"/>
    <col min="1600" max="1601" width="14.140625" style="3469" bestFit="1" customWidth="1"/>
    <col min="1602" max="1618" width="9.140625" style="3469"/>
    <col min="1619" max="1619" width="10" style="3469" bestFit="1" customWidth="1"/>
    <col min="1620" max="1779" width="9.140625" style="3469"/>
    <col min="1780" max="1780" width="43.85546875" style="3469" customWidth="1"/>
    <col min="1781" max="1781" width="7.140625" style="3469" customWidth="1"/>
    <col min="1782" max="1782" width="15.5703125" style="3469" customWidth="1"/>
    <col min="1783" max="1783" width="16" style="3469" customWidth="1"/>
    <col min="1784" max="1784" width="15.140625" style="3469" customWidth="1"/>
    <col min="1785" max="1785" width="14.85546875" style="3469" customWidth="1"/>
    <col min="1786" max="1786" width="16.28515625" style="3469" customWidth="1"/>
    <col min="1787" max="1787" width="13.85546875" style="3469" customWidth="1"/>
    <col min="1788" max="1788" width="14.140625" style="3469" customWidth="1"/>
    <col min="1789" max="1789" width="15.7109375" style="3469" bestFit="1" customWidth="1"/>
    <col min="1790" max="1790" width="13.42578125" style="3469" bestFit="1" customWidth="1"/>
    <col min="1791" max="1793" width="13.28515625" style="3469" customWidth="1"/>
    <col min="1794" max="1794" width="11.5703125" style="3469" customWidth="1"/>
    <col min="1795" max="1795" width="13.140625" style="3469" customWidth="1"/>
    <col min="1796" max="1796" width="13.85546875" style="3469" customWidth="1"/>
    <col min="1797" max="1797" width="15.140625" style="3469" customWidth="1"/>
    <col min="1798" max="1798" width="16.7109375" style="3469" customWidth="1"/>
    <col min="1799" max="1799" width="13.85546875" style="3469" customWidth="1"/>
    <col min="1800" max="1801" width="16.7109375" style="3469" customWidth="1"/>
    <col min="1802" max="1802" width="15" style="3469" customWidth="1"/>
    <col min="1803" max="1803" width="13" style="3469" customWidth="1"/>
    <col min="1804" max="1804" width="14.140625" style="3469" customWidth="1"/>
    <col min="1805" max="1805" width="13.85546875" style="3469" customWidth="1"/>
    <col min="1806" max="1806" width="12.140625" style="3469" customWidth="1"/>
    <col min="1807" max="1808" width="15" style="3469" customWidth="1"/>
    <col min="1809" max="1809" width="12.140625" style="3469" customWidth="1"/>
    <col min="1810" max="1810" width="16.5703125" style="3469" customWidth="1"/>
    <col min="1811" max="1811" width="12.5703125" style="3469" customWidth="1"/>
    <col min="1812" max="1812" width="24.85546875" style="3469" customWidth="1"/>
    <col min="1813" max="1813" width="11.7109375" style="3469" customWidth="1"/>
    <col min="1814" max="1815" width="13.5703125" style="3469" customWidth="1"/>
    <col min="1816" max="1816" width="18.7109375" style="3469" customWidth="1"/>
    <col min="1817" max="1817" width="13.42578125" style="3469" customWidth="1"/>
    <col min="1818" max="1818" width="18.5703125" style="3469" customWidth="1"/>
    <col min="1819" max="1819" width="13.28515625" style="3469" customWidth="1"/>
    <col min="1820" max="1820" width="13.140625" style="3469" customWidth="1"/>
    <col min="1821" max="1821" width="10.28515625" style="3469" customWidth="1"/>
    <col min="1822" max="1822" width="12.42578125" style="3469" customWidth="1"/>
    <col min="1823" max="1823" width="13.85546875" style="3469" customWidth="1"/>
    <col min="1824" max="1825" width="6.85546875" style="3469" customWidth="1"/>
    <col min="1826" max="1827" width="9.140625" style="3469"/>
    <col min="1828" max="1828" width="15.7109375" style="3469" customWidth="1"/>
    <col min="1829" max="1829" width="9.140625" style="3469"/>
    <col min="1830" max="1837" width="13.28515625" style="3469" bestFit="1" customWidth="1"/>
    <col min="1838" max="1838" width="18.7109375" style="3469" bestFit="1" customWidth="1"/>
    <col min="1839" max="1840" width="19" style="3469" bestFit="1" customWidth="1"/>
    <col min="1841" max="1847" width="13.28515625" style="3469" bestFit="1" customWidth="1"/>
    <col min="1848" max="1848" width="14.140625" style="3469" bestFit="1" customWidth="1"/>
    <col min="1849" max="1850" width="15.7109375" style="3469" bestFit="1" customWidth="1"/>
    <col min="1851" max="1853" width="14.140625" style="3469" bestFit="1" customWidth="1"/>
    <col min="1854" max="1855" width="15.7109375" style="3469" bestFit="1" customWidth="1"/>
    <col min="1856" max="1857" width="14.140625" style="3469" bestFit="1" customWidth="1"/>
    <col min="1858" max="1874" width="9.140625" style="3469"/>
    <col min="1875" max="1875" width="10" style="3469" bestFit="1" customWidth="1"/>
    <col min="1876" max="2035" width="9.140625" style="3469"/>
    <col min="2036" max="2036" width="43.85546875" style="3469" customWidth="1"/>
    <col min="2037" max="2037" width="7.140625" style="3469" customWidth="1"/>
    <col min="2038" max="2038" width="15.5703125" style="3469" customWidth="1"/>
    <col min="2039" max="2039" width="16" style="3469" customWidth="1"/>
    <col min="2040" max="2040" width="15.140625" style="3469" customWidth="1"/>
    <col min="2041" max="2041" width="14.85546875" style="3469" customWidth="1"/>
    <col min="2042" max="2042" width="16.28515625" style="3469" customWidth="1"/>
    <col min="2043" max="2043" width="13.85546875" style="3469" customWidth="1"/>
    <col min="2044" max="2044" width="14.140625" style="3469" customWidth="1"/>
    <col min="2045" max="2045" width="15.7109375" style="3469" bestFit="1" customWidth="1"/>
    <col min="2046" max="2046" width="13.42578125" style="3469" bestFit="1" customWidth="1"/>
    <col min="2047" max="2049" width="13.28515625" style="3469" customWidth="1"/>
    <col min="2050" max="2050" width="11.5703125" style="3469" customWidth="1"/>
    <col min="2051" max="2051" width="13.140625" style="3469" customWidth="1"/>
    <col min="2052" max="2052" width="13.85546875" style="3469" customWidth="1"/>
    <col min="2053" max="2053" width="15.140625" style="3469" customWidth="1"/>
    <col min="2054" max="2054" width="16.7109375" style="3469" customWidth="1"/>
    <col min="2055" max="2055" width="13.85546875" style="3469" customWidth="1"/>
    <col min="2056" max="2057" width="16.7109375" style="3469" customWidth="1"/>
    <col min="2058" max="2058" width="15" style="3469" customWidth="1"/>
    <col min="2059" max="2059" width="13" style="3469" customWidth="1"/>
    <col min="2060" max="2060" width="14.140625" style="3469" customWidth="1"/>
    <col min="2061" max="2061" width="13.85546875" style="3469" customWidth="1"/>
    <col min="2062" max="2062" width="12.140625" style="3469" customWidth="1"/>
    <col min="2063" max="2064" width="15" style="3469" customWidth="1"/>
    <col min="2065" max="2065" width="12.140625" style="3469" customWidth="1"/>
    <col min="2066" max="2066" width="16.5703125" style="3469" customWidth="1"/>
    <col min="2067" max="2067" width="12.5703125" style="3469" customWidth="1"/>
    <col min="2068" max="2068" width="24.85546875" style="3469" customWidth="1"/>
    <col min="2069" max="2069" width="11.7109375" style="3469" customWidth="1"/>
    <col min="2070" max="2071" width="13.5703125" style="3469" customWidth="1"/>
    <col min="2072" max="2072" width="18.7109375" style="3469" customWidth="1"/>
    <col min="2073" max="2073" width="13.42578125" style="3469" customWidth="1"/>
    <col min="2074" max="2074" width="18.5703125" style="3469" customWidth="1"/>
    <col min="2075" max="2075" width="13.28515625" style="3469" customWidth="1"/>
    <col min="2076" max="2076" width="13.140625" style="3469" customWidth="1"/>
    <col min="2077" max="2077" width="10.28515625" style="3469" customWidth="1"/>
    <col min="2078" max="2078" width="12.42578125" style="3469" customWidth="1"/>
    <col min="2079" max="2079" width="13.85546875" style="3469" customWidth="1"/>
    <col min="2080" max="2081" width="6.85546875" style="3469" customWidth="1"/>
    <col min="2082" max="2083" width="9.140625" style="3469"/>
    <col min="2084" max="2084" width="15.7109375" style="3469" customWidth="1"/>
    <col min="2085" max="2085" width="9.140625" style="3469"/>
    <col min="2086" max="2093" width="13.28515625" style="3469" bestFit="1" customWidth="1"/>
    <col min="2094" max="2094" width="18.7109375" style="3469" bestFit="1" customWidth="1"/>
    <col min="2095" max="2096" width="19" style="3469" bestFit="1" customWidth="1"/>
    <col min="2097" max="2103" width="13.28515625" style="3469" bestFit="1" customWidth="1"/>
    <col min="2104" max="2104" width="14.140625" style="3469" bestFit="1" customWidth="1"/>
    <col min="2105" max="2106" width="15.7109375" style="3469" bestFit="1" customWidth="1"/>
    <col min="2107" max="2109" width="14.140625" style="3469" bestFit="1" customWidth="1"/>
    <col min="2110" max="2111" width="15.7109375" style="3469" bestFit="1" customWidth="1"/>
    <col min="2112" max="2113" width="14.140625" style="3469" bestFit="1" customWidth="1"/>
    <col min="2114" max="2130" width="9.140625" style="3469"/>
    <col min="2131" max="2131" width="10" style="3469" bestFit="1" customWidth="1"/>
    <col min="2132" max="2291" width="9.140625" style="3469"/>
    <col min="2292" max="2292" width="43.85546875" style="3469" customWidth="1"/>
    <col min="2293" max="2293" width="7.140625" style="3469" customWidth="1"/>
    <col min="2294" max="2294" width="15.5703125" style="3469" customWidth="1"/>
    <col min="2295" max="2295" width="16" style="3469" customWidth="1"/>
    <col min="2296" max="2296" width="15.140625" style="3469" customWidth="1"/>
    <col min="2297" max="2297" width="14.85546875" style="3469" customWidth="1"/>
    <col min="2298" max="2298" width="16.28515625" style="3469" customWidth="1"/>
    <col min="2299" max="2299" width="13.85546875" style="3469" customWidth="1"/>
    <col min="2300" max="2300" width="14.140625" style="3469" customWidth="1"/>
    <col min="2301" max="2301" width="15.7109375" style="3469" bestFit="1" customWidth="1"/>
    <col min="2302" max="2302" width="13.42578125" style="3469" bestFit="1" customWidth="1"/>
    <col min="2303" max="2305" width="13.28515625" style="3469" customWidth="1"/>
    <col min="2306" max="2306" width="11.5703125" style="3469" customWidth="1"/>
    <col min="2307" max="2307" width="13.140625" style="3469" customWidth="1"/>
    <col min="2308" max="2308" width="13.85546875" style="3469" customWidth="1"/>
    <col min="2309" max="2309" width="15.140625" style="3469" customWidth="1"/>
    <col min="2310" max="2310" width="16.7109375" style="3469" customWidth="1"/>
    <col min="2311" max="2311" width="13.85546875" style="3469" customWidth="1"/>
    <col min="2312" max="2313" width="16.7109375" style="3469" customWidth="1"/>
    <col min="2314" max="2314" width="15" style="3469" customWidth="1"/>
    <col min="2315" max="2315" width="13" style="3469" customWidth="1"/>
    <col min="2316" max="2316" width="14.140625" style="3469" customWidth="1"/>
    <col min="2317" max="2317" width="13.85546875" style="3469" customWidth="1"/>
    <col min="2318" max="2318" width="12.140625" style="3469" customWidth="1"/>
    <col min="2319" max="2320" width="15" style="3469" customWidth="1"/>
    <col min="2321" max="2321" width="12.140625" style="3469" customWidth="1"/>
    <col min="2322" max="2322" width="16.5703125" style="3469" customWidth="1"/>
    <col min="2323" max="2323" width="12.5703125" style="3469" customWidth="1"/>
    <col min="2324" max="2324" width="24.85546875" style="3469" customWidth="1"/>
    <col min="2325" max="2325" width="11.7109375" style="3469" customWidth="1"/>
    <col min="2326" max="2327" width="13.5703125" style="3469" customWidth="1"/>
    <col min="2328" max="2328" width="18.7109375" style="3469" customWidth="1"/>
    <col min="2329" max="2329" width="13.42578125" style="3469" customWidth="1"/>
    <col min="2330" max="2330" width="18.5703125" style="3469" customWidth="1"/>
    <col min="2331" max="2331" width="13.28515625" style="3469" customWidth="1"/>
    <col min="2332" max="2332" width="13.140625" style="3469" customWidth="1"/>
    <col min="2333" max="2333" width="10.28515625" style="3469" customWidth="1"/>
    <col min="2334" max="2334" width="12.42578125" style="3469" customWidth="1"/>
    <col min="2335" max="2335" width="13.85546875" style="3469" customWidth="1"/>
    <col min="2336" max="2337" width="6.85546875" style="3469" customWidth="1"/>
    <col min="2338" max="2339" width="9.140625" style="3469"/>
    <col min="2340" max="2340" width="15.7109375" style="3469" customWidth="1"/>
    <col min="2341" max="2341" width="9.140625" style="3469"/>
    <col min="2342" max="2349" width="13.28515625" style="3469" bestFit="1" customWidth="1"/>
    <col min="2350" max="2350" width="18.7109375" style="3469" bestFit="1" customWidth="1"/>
    <col min="2351" max="2352" width="19" style="3469" bestFit="1" customWidth="1"/>
    <col min="2353" max="2359" width="13.28515625" style="3469" bestFit="1" customWidth="1"/>
    <col min="2360" max="2360" width="14.140625" style="3469" bestFit="1" customWidth="1"/>
    <col min="2361" max="2362" width="15.7109375" style="3469" bestFit="1" customWidth="1"/>
    <col min="2363" max="2365" width="14.140625" style="3469" bestFit="1" customWidth="1"/>
    <col min="2366" max="2367" width="15.7109375" style="3469" bestFit="1" customWidth="1"/>
    <col min="2368" max="2369" width="14.140625" style="3469" bestFit="1" customWidth="1"/>
    <col min="2370" max="2386" width="9.140625" style="3469"/>
    <col min="2387" max="2387" width="10" style="3469" bestFit="1" customWidth="1"/>
    <col min="2388" max="2547" width="9.140625" style="3469"/>
    <col min="2548" max="2548" width="43.85546875" style="3469" customWidth="1"/>
    <col min="2549" max="2549" width="7.140625" style="3469" customWidth="1"/>
    <col min="2550" max="2550" width="15.5703125" style="3469" customWidth="1"/>
    <col min="2551" max="2551" width="16" style="3469" customWidth="1"/>
    <col min="2552" max="2552" width="15.140625" style="3469" customWidth="1"/>
    <col min="2553" max="2553" width="14.85546875" style="3469" customWidth="1"/>
    <col min="2554" max="2554" width="16.28515625" style="3469" customWidth="1"/>
    <col min="2555" max="2555" width="13.85546875" style="3469" customWidth="1"/>
    <col min="2556" max="2556" width="14.140625" style="3469" customWidth="1"/>
    <col min="2557" max="2557" width="15.7109375" style="3469" bestFit="1" customWidth="1"/>
    <col min="2558" max="2558" width="13.42578125" style="3469" bestFit="1" customWidth="1"/>
    <col min="2559" max="2561" width="13.28515625" style="3469" customWidth="1"/>
    <col min="2562" max="2562" width="11.5703125" style="3469" customWidth="1"/>
    <col min="2563" max="2563" width="13.140625" style="3469" customWidth="1"/>
    <col min="2564" max="2564" width="13.85546875" style="3469" customWidth="1"/>
    <col min="2565" max="2565" width="15.140625" style="3469" customWidth="1"/>
    <col min="2566" max="2566" width="16.7109375" style="3469" customWidth="1"/>
    <col min="2567" max="2567" width="13.85546875" style="3469" customWidth="1"/>
    <col min="2568" max="2569" width="16.7109375" style="3469" customWidth="1"/>
    <col min="2570" max="2570" width="15" style="3469" customWidth="1"/>
    <col min="2571" max="2571" width="13" style="3469" customWidth="1"/>
    <col min="2572" max="2572" width="14.140625" style="3469" customWidth="1"/>
    <col min="2573" max="2573" width="13.85546875" style="3469" customWidth="1"/>
    <col min="2574" max="2574" width="12.140625" style="3469" customWidth="1"/>
    <col min="2575" max="2576" width="15" style="3469" customWidth="1"/>
    <col min="2577" max="2577" width="12.140625" style="3469" customWidth="1"/>
    <col min="2578" max="2578" width="16.5703125" style="3469" customWidth="1"/>
    <col min="2579" max="2579" width="12.5703125" style="3469" customWidth="1"/>
    <col min="2580" max="2580" width="24.85546875" style="3469" customWidth="1"/>
    <col min="2581" max="2581" width="11.7109375" style="3469" customWidth="1"/>
    <col min="2582" max="2583" width="13.5703125" style="3469" customWidth="1"/>
    <col min="2584" max="2584" width="18.7109375" style="3469" customWidth="1"/>
    <col min="2585" max="2585" width="13.42578125" style="3469" customWidth="1"/>
    <col min="2586" max="2586" width="18.5703125" style="3469" customWidth="1"/>
    <col min="2587" max="2587" width="13.28515625" style="3469" customWidth="1"/>
    <col min="2588" max="2588" width="13.140625" style="3469" customWidth="1"/>
    <col min="2589" max="2589" width="10.28515625" style="3469" customWidth="1"/>
    <col min="2590" max="2590" width="12.42578125" style="3469" customWidth="1"/>
    <col min="2591" max="2591" width="13.85546875" style="3469" customWidth="1"/>
    <col min="2592" max="2593" width="6.85546875" style="3469" customWidth="1"/>
    <col min="2594" max="2595" width="9.140625" style="3469"/>
    <col min="2596" max="2596" width="15.7109375" style="3469" customWidth="1"/>
    <col min="2597" max="2597" width="9.140625" style="3469"/>
    <col min="2598" max="2605" width="13.28515625" style="3469" bestFit="1" customWidth="1"/>
    <col min="2606" max="2606" width="18.7109375" style="3469" bestFit="1" customWidth="1"/>
    <col min="2607" max="2608" width="19" style="3469" bestFit="1" customWidth="1"/>
    <col min="2609" max="2615" width="13.28515625" style="3469" bestFit="1" customWidth="1"/>
    <col min="2616" max="2616" width="14.140625" style="3469" bestFit="1" customWidth="1"/>
    <col min="2617" max="2618" width="15.7109375" style="3469" bestFit="1" customWidth="1"/>
    <col min="2619" max="2621" width="14.140625" style="3469" bestFit="1" customWidth="1"/>
    <col min="2622" max="2623" width="15.7109375" style="3469" bestFit="1" customWidth="1"/>
    <col min="2624" max="2625" width="14.140625" style="3469" bestFit="1" customWidth="1"/>
    <col min="2626" max="2642" width="9.140625" style="3469"/>
    <col min="2643" max="2643" width="10" style="3469" bestFit="1" customWidth="1"/>
    <col min="2644" max="2803" width="9.140625" style="3469"/>
    <col min="2804" max="2804" width="43.85546875" style="3469" customWidth="1"/>
    <col min="2805" max="2805" width="7.140625" style="3469" customWidth="1"/>
    <col min="2806" max="2806" width="15.5703125" style="3469" customWidth="1"/>
    <col min="2807" max="2807" width="16" style="3469" customWidth="1"/>
    <col min="2808" max="2808" width="15.140625" style="3469" customWidth="1"/>
    <col min="2809" max="2809" width="14.85546875" style="3469" customWidth="1"/>
    <col min="2810" max="2810" width="16.28515625" style="3469" customWidth="1"/>
    <col min="2811" max="2811" width="13.85546875" style="3469" customWidth="1"/>
    <col min="2812" max="2812" width="14.140625" style="3469" customWidth="1"/>
    <col min="2813" max="2813" width="15.7109375" style="3469" bestFit="1" customWidth="1"/>
    <col min="2814" max="2814" width="13.42578125" style="3469" bestFit="1" customWidth="1"/>
    <col min="2815" max="2817" width="13.28515625" style="3469" customWidth="1"/>
    <col min="2818" max="2818" width="11.5703125" style="3469" customWidth="1"/>
    <col min="2819" max="2819" width="13.140625" style="3469" customWidth="1"/>
    <col min="2820" max="2820" width="13.85546875" style="3469" customWidth="1"/>
    <col min="2821" max="2821" width="15.140625" style="3469" customWidth="1"/>
    <col min="2822" max="2822" width="16.7109375" style="3469" customWidth="1"/>
    <col min="2823" max="2823" width="13.85546875" style="3469" customWidth="1"/>
    <col min="2824" max="2825" width="16.7109375" style="3469" customWidth="1"/>
    <col min="2826" max="2826" width="15" style="3469" customWidth="1"/>
    <col min="2827" max="2827" width="13" style="3469" customWidth="1"/>
    <col min="2828" max="2828" width="14.140625" style="3469" customWidth="1"/>
    <col min="2829" max="2829" width="13.85546875" style="3469" customWidth="1"/>
    <col min="2830" max="2830" width="12.140625" style="3469" customWidth="1"/>
    <col min="2831" max="2832" width="15" style="3469" customWidth="1"/>
    <col min="2833" max="2833" width="12.140625" style="3469" customWidth="1"/>
    <col min="2834" max="2834" width="16.5703125" style="3469" customWidth="1"/>
    <col min="2835" max="2835" width="12.5703125" style="3469" customWidth="1"/>
    <col min="2836" max="2836" width="24.85546875" style="3469" customWidth="1"/>
    <col min="2837" max="2837" width="11.7109375" style="3469" customWidth="1"/>
    <col min="2838" max="2839" width="13.5703125" style="3469" customWidth="1"/>
    <col min="2840" max="2840" width="18.7109375" style="3469" customWidth="1"/>
    <col min="2841" max="2841" width="13.42578125" style="3469" customWidth="1"/>
    <col min="2842" max="2842" width="18.5703125" style="3469" customWidth="1"/>
    <col min="2843" max="2843" width="13.28515625" style="3469" customWidth="1"/>
    <col min="2844" max="2844" width="13.140625" style="3469" customWidth="1"/>
    <col min="2845" max="2845" width="10.28515625" style="3469" customWidth="1"/>
    <col min="2846" max="2846" width="12.42578125" style="3469" customWidth="1"/>
    <col min="2847" max="2847" width="13.85546875" style="3469" customWidth="1"/>
    <col min="2848" max="2849" width="6.85546875" style="3469" customWidth="1"/>
    <col min="2850" max="2851" width="9.140625" style="3469"/>
    <col min="2852" max="2852" width="15.7109375" style="3469" customWidth="1"/>
    <col min="2853" max="2853" width="9.140625" style="3469"/>
    <col min="2854" max="2861" width="13.28515625" style="3469" bestFit="1" customWidth="1"/>
    <col min="2862" max="2862" width="18.7109375" style="3469" bestFit="1" customWidth="1"/>
    <col min="2863" max="2864" width="19" style="3469" bestFit="1" customWidth="1"/>
    <col min="2865" max="2871" width="13.28515625" style="3469" bestFit="1" customWidth="1"/>
    <col min="2872" max="2872" width="14.140625" style="3469" bestFit="1" customWidth="1"/>
    <col min="2873" max="2874" width="15.7109375" style="3469" bestFit="1" customWidth="1"/>
    <col min="2875" max="2877" width="14.140625" style="3469" bestFit="1" customWidth="1"/>
    <col min="2878" max="2879" width="15.7109375" style="3469" bestFit="1" customWidth="1"/>
    <col min="2880" max="2881" width="14.140625" style="3469" bestFit="1" customWidth="1"/>
    <col min="2882" max="2898" width="9.140625" style="3469"/>
    <col min="2899" max="2899" width="10" style="3469" bestFit="1" customWidth="1"/>
    <col min="2900" max="3059" width="9.140625" style="3469"/>
    <col min="3060" max="3060" width="43.85546875" style="3469" customWidth="1"/>
    <col min="3061" max="3061" width="7.140625" style="3469" customWidth="1"/>
    <col min="3062" max="3062" width="15.5703125" style="3469" customWidth="1"/>
    <col min="3063" max="3063" width="16" style="3469" customWidth="1"/>
    <col min="3064" max="3064" width="15.140625" style="3469" customWidth="1"/>
    <col min="3065" max="3065" width="14.85546875" style="3469" customWidth="1"/>
    <col min="3066" max="3066" width="16.28515625" style="3469" customWidth="1"/>
    <col min="3067" max="3067" width="13.85546875" style="3469" customWidth="1"/>
    <col min="3068" max="3068" width="14.140625" style="3469" customWidth="1"/>
    <col min="3069" max="3069" width="15.7109375" style="3469" bestFit="1" customWidth="1"/>
    <col min="3070" max="3070" width="13.42578125" style="3469" bestFit="1" customWidth="1"/>
    <col min="3071" max="3073" width="13.28515625" style="3469" customWidth="1"/>
    <col min="3074" max="3074" width="11.5703125" style="3469" customWidth="1"/>
    <col min="3075" max="3075" width="13.140625" style="3469" customWidth="1"/>
    <col min="3076" max="3076" width="13.85546875" style="3469" customWidth="1"/>
    <col min="3077" max="3077" width="15.140625" style="3469" customWidth="1"/>
    <col min="3078" max="3078" width="16.7109375" style="3469" customWidth="1"/>
    <col min="3079" max="3079" width="13.85546875" style="3469" customWidth="1"/>
    <col min="3080" max="3081" width="16.7109375" style="3469" customWidth="1"/>
    <col min="3082" max="3082" width="15" style="3469" customWidth="1"/>
    <col min="3083" max="3083" width="13" style="3469" customWidth="1"/>
    <col min="3084" max="3084" width="14.140625" style="3469" customWidth="1"/>
    <col min="3085" max="3085" width="13.85546875" style="3469" customWidth="1"/>
    <col min="3086" max="3086" width="12.140625" style="3469" customWidth="1"/>
    <col min="3087" max="3088" width="15" style="3469" customWidth="1"/>
    <col min="3089" max="3089" width="12.140625" style="3469" customWidth="1"/>
    <col min="3090" max="3090" width="16.5703125" style="3469" customWidth="1"/>
    <col min="3091" max="3091" width="12.5703125" style="3469" customWidth="1"/>
    <col min="3092" max="3092" width="24.85546875" style="3469" customWidth="1"/>
    <col min="3093" max="3093" width="11.7109375" style="3469" customWidth="1"/>
    <col min="3094" max="3095" width="13.5703125" style="3469" customWidth="1"/>
    <col min="3096" max="3096" width="18.7109375" style="3469" customWidth="1"/>
    <col min="3097" max="3097" width="13.42578125" style="3469" customWidth="1"/>
    <col min="3098" max="3098" width="18.5703125" style="3469" customWidth="1"/>
    <col min="3099" max="3099" width="13.28515625" style="3469" customWidth="1"/>
    <col min="3100" max="3100" width="13.140625" style="3469" customWidth="1"/>
    <col min="3101" max="3101" width="10.28515625" style="3469" customWidth="1"/>
    <col min="3102" max="3102" width="12.42578125" style="3469" customWidth="1"/>
    <col min="3103" max="3103" width="13.85546875" style="3469" customWidth="1"/>
    <col min="3104" max="3105" width="6.85546875" style="3469" customWidth="1"/>
    <col min="3106" max="3107" width="9.140625" style="3469"/>
    <col min="3108" max="3108" width="15.7109375" style="3469" customWidth="1"/>
    <col min="3109" max="3109" width="9.140625" style="3469"/>
    <col min="3110" max="3117" width="13.28515625" style="3469" bestFit="1" customWidth="1"/>
    <col min="3118" max="3118" width="18.7109375" style="3469" bestFit="1" customWidth="1"/>
    <col min="3119" max="3120" width="19" style="3469" bestFit="1" customWidth="1"/>
    <col min="3121" max="3127" width="13.28515625" style="3469" bestFit="1" customWidth="1"/>
    <col min="3128" max="3128" width="14.140625" style="3469" bestFit="1" customWidth="1"/>
    <col min="3129" max="3130" width="15.7109375" style="3469" bestFit="1" customWidth="1"/>
    <col min="3131" max="3133" width="14.140625" style="3469" bestFit="1" customWidth="1"/>
    <col min="3134" max="3135" width="15.7109375" style="3469" bestFit="1" customWidth="1"/>
    <col min="3136" max="3137" width="14.140625" style="3469" bestFit="1" customWidth="1"/>
    <col min="3138" max="3154" width="9.140625" style="3469"/>
    <col min="3155" max="3155" width="10" style="3469" bestFit="1" customWidth="1"/>
    <col min="3156" max="3315" width="9.140625" style="3469"/>
    <col min="3316" max="3316" width="43.85546875" style="3469" customWidth="1"/>
    <col min="3317" max="3317" width="7.140625" style="3469" customWidth="1"/>
    <col min="3318" max="3318" width="15.5703125" style="3469" customWidth="1"/>
    <col min="3319" max="3319" width="16" style="3469" customWidth="1"/>
    <col min="3320" max="3320" width="15.140625" style="3469" customWidth="1"/>
    <col min="3321" max="3321" width="14.85546875" style="3469" customWidth="1"/>
    <col min="3322" max="3322" width="16.28515625" style="3469" customWidth="1"/>
    <col min="3323" max="3323" width="13.85546875" style="3469" customWidth="1"/>
    <col min="3324" max="3324" width="14.140625" style="3469" customWidth="1"/>
    <col min="3325" max="3325" width="15.7109375" style="3469" bestFit="1" customWidth="1"/>
    <col min="3326" max="3326" width="13.42578125" style="3469" bestFit="1" customWidth="1"/>
    <col min="3327" max="3329" width="13.28515625" style="3469" customWidth="1"/>
    <col min="3330" max="3330" width="11.5703125" style="3469" customWidth="1"/>
    <col min="3331" max="3331" width="13.140625" style="3469" customWidth="1"/>
    <col min="3332" max="3332" width="13.85546875" style="3469" customWidth="1"/>
    <col min="3333" max="3333" width="15.140625" style="3469" customWidth="1"/>
    <col min="3334" max="3334" width="16.7109375" style="3469" customWidth="1"/>
    <col min="3335" max="3335" width="13.85546875" style="3469" customWidth="1"/>
    <col min="3336" max="3337" width="16.7109375" style="3469" customWidth="1"/>
    <col min="3338" max="3338" width="15" style="3469" customWidth="1"/>
    <col min="3339" max="3339" width="13" style="3469" customWidth="1"/>
    <col min="3340" max="3340" width="14.140625" style="3469" customWidth="1"/>
    <col min="3341" max="3341" width="13.85546875" style="3469" customWidth="1"/>
    <col min="3342" max="3342" width="12.140625" style="3469" customWidth="1"/>
    <col min="3343" max="3344" width="15" style="3469" customWidth="1"/>
    <col min="3345" max="3345" width="12.140625" style="3469" customWidth="1"/>
    <col min="3346" max="3346" width="16.5703125" style="3469" customWidth="1"/>
    <col min="3347" max="3347" width="12.5703125" style="3469" customWidth="1"/>
    <col min="3348" max="3348" width="24.85546875" style="3469" customWidth="1"/>
    <col min="3349" max="3349" width="11.7109375" style="3469" customWidth="1"/>
    <col min="3350" max="3351" width="13.5703125" style="3469" customWidth="1"/>
    <col min="3352" max="3352" width="18.7109375" style="3469" customWidth="1"/>
    <col min="3353" max="3353" width="13.42578125" style="3469" customWidth="1"/>
    <col min="3354" max="3354" width="18.5703125" style="3469" customWidth="1"/>
    <col min="3355" max="3355" width="13.28515625" style="3469" customWidth="1"/>
    <col min="3356" max="3356" width="13.140625" style="3469" customWidth="1"/>
    <col min="3357" max="3357" width="10.28515625" style="3469" customWidth="1"/>
    <col min="3358" max="3358" width="12.42578125" style="3469" customWidth="1"/>
    <col min="3359" max="3359" width="13.85546875" style="3469" customWidth="1"/>
    <col min="3360" max="3361" width="6.85546875" style="3469" customWidth="1"/>
    <col min="3362" max="3363" width="9.140625" style="3469"/>
    <col min="3364" max="3364" width="15.7109375" style="3469" customWidth="1"/>
    <col min="3365" max="3365" width="9.140625" style="3469"/>
    <col min="3366" max="3373" width="13.28515625" style="3469" bestFit="1" customWidth="1"/>
    <col min="3374" max="3374" width="18.7109375" style="3469" bestFit="1" customWidth="1"/>
    <col min="3375" max="3376" width="19" style="3469" bestFit="1" customWidth="1"/>
    <col min="3377" max="3383" width="13.28515625" style="3469" bestFit="1" customWidth="1"/>
    <col min="3384" max="3384" width="14.140625" style="3469" bestFit="1" customWidth="1"/>
    <col min="3385" max="3386" width="15.7109375" style="3469" bestFit="1" customWidth="1"/>
    <col min="3387" max="3389" width="14.140625" style="3469" bestFit="1" customWidth="1"/>
    <col min="3390" max="3391" width="15.7109375" style="3469" bestFit="1" customWidth="1"/>
    <col min="3392" max="3393" width="14.140625" style="3469" bestFit="1" customWidth="1"/>
    <col min="3394" max="3410" width="9.140625" style="3469"/>
    <col min="3411" max="3411" width="10" style="3469" bestFit="1" customWidth="1"/>
    <col min="3412" max="3571" width="9.140625" style="3469"/>
    <col min="3572" max="3572" width="43.85546875" style="3469" customWidth="1"/>
    <col min="3573" max="3573" width="7.140625" style="3469" customWidth="1"/>
    <col min="3574" max="3574" width="15.5703125" style="3469" customWidth="1"/>
    <col min="3575" max="3575" width="16" style="3469" customWidth="1"/>
    <col min="3576" max="3576" width="15.140625" style="3469" customWidth="1"/>
    <col min="3577" max="3577" width="14.85546875" style="3469" customWidth="1"/>
    <col min="3578" max="3578" width="16.28515625" style="3469" customWidth="1"/>
    <col min="3579" max="3579" width="13.85546875" style="3469" customWidth="1"/>
    <col min="3580" max="3580" width="14.140625" style="3469" customWidth="1"/>
    <col min="3581" max="3581" width="15.7109375" style="3469" bestFit="1" customWidth="1"/>
    <col min="3582" max="3582" width="13.42578125" style="3469" bestFit="1" customWidth="1"/>
    <col min="3583" max="3585" width="13.28515625" style="3469" customWidth="1"/>
    <col min="3586" max="3586" width="11.5703125" style="3469" customWidth="1"/>
    <col min="3587" max="3587" width="13.140625" style="3469" customWidth="1"/>
    <col min="3588" max="3588" width="13.85546875" style="3469" customWidth="1"/>
    <col min="3589" max="3589" width="15.140625" style="3469" customWidth="1"/>
    <col min="3590" max="3590" width="16.7109375" style="3469" customWidth="1"/>
    <col min="3591" max="3591" width="13.85546875" style="3469" customWidth="1"/>
    <col min="3592" max="3593" width="16.7109375" style="3469" customWidth="1"/>
    <col min="3594" max="3594" width="15" style="3469" customWidth="1"/>
    <col min="3595" max="3595" width="13" style="3469" customWidth="1"/>
    <col min="3596" max="3596" width="14.140625" style="3469" customWidth="1"/>
    <col min="3597" max="3597" width="13.85546875" style="3469" customWidth="1"/>
    <col min="3598" max="3598" width="12.140625" style="3469" customWidth="1"/>
    <col min="3599" max="3600" width="15" style="3469" customWidth="1"/>
    <col min="3601" max="3601" width="12.140625" style="3469" customWidth="1"/>
    <col min="3602" max="3602" width="16.5703125" style="3469" customWidth="1"/>
    <col min="3603" max="3603" width="12.5703125" style="3469" customWidth="1"/>
    <col min="3604" max="3604" width="24.85546875" style="3469" customWidth="1"/>
    <col min="3605" max="3605" width="11.7109375" style="3469" customWidth="1"/>
    <col min="3606" max="3607" width="13.5703125" style="3469" customWidth="1"/>
    <col min="3608" max="3608" width="18.7109375" style="3469" customWidth="1"/>
    <col min="3609" max="3609" width="13.42578125" style="3469" customWidth="1"/>
    <col min="3610" max="3610" width="18.5703125" style="3469" customWidth="1"/>
    <col min="3611" max="3611" width="13.28515625" style="3469" customWidth="1"/>
    <col min="3612" max="3612" width="13.140625" style="3469" customWidth="1"/>
    <col min="3613" max="3613" width="10.28515625" style="3469" customWidth="1"/>
    <col min="3614" max="3614" width="12.42578125" style="3469" customWidth="1"/>
    <col min="3615" max="3615" width="13.85546875" style="3469" customWidth="1"/>
    <col min="3616" max="3617" width="6.85546875" style="3469" customWidth="1"/>
    <col min="3618" max="3619" width="9.140625" style="3469"/>
    <col min="3620" max="3620" width="15.7109375" style="3469" customWidth="1"/>
    <col min="3621" max="3621" width="9.140625" style="3469"/>
    <col min="3622" max="3629" width="13.28515625" style="3469" bestFit="1" customWidth="1"/>
    <col min="3630" max="3630" width="18.7109375" style="3469" bestFit="1" customWidth="1"/>
    <col min="3631" max="3632" width="19" style="3469" bestFit="1" customWidth="1"/>
    <col min="3633" max="3639" width="13.28515625" style="3469" bestFit="1" customWidth="1"/>
    <col min="3640" max="3640" width="14.140625" style="3469" bestFit="1" customWidth="1"/>
    <col min="3641" max="3642" width="15.7109375" style="3469" bestFit="1" customWidth="1"/>
    <col min="3643" max="3645" width="14.140625" style="3469" bestFit="1" customWidth="1"/>
    <col min="3646" max="3647" width="15.7109375" style="3469" bestFit="1" customWidth="1"/>
    <col min="3648" max="3649" width="14.140625" style="3469" bestFit="1" customWidth="1"/>
    <col min="3650" max="3666" width="9.140625" style="3469"/>
    <col min="3667" max="3667" width="10" style="3469" bestFit="1" customWidth="1"/>
    <col min="3668" max="3827" width="9.140625" style="3469"/>
    <col min="3828" max="3828" width="43.85546875" style="3469" customWidth="1"/>
    <col min="3829" max="3829" width="7.140625" style="3469" customWidth="1"/>
    <col min="3830" max="3830" width="15.5703125" style="3469" customWidth="1"/>
    <col min="3831" max="3831" width="16" style="3469" customWidth="1"/>
    <col min="3832" max="3832" width="15.140625" style="3469" customWidth="1"/>
    <col min="3833" max="3833" width="14.85546875" style="3469" customWidth="1"/>
    <col min="3834" max="3834" width="16.28515625" style="3469" customWidth="1"/>
    <col min="3835" max="3835" width="13.85546875" style="3469" customWidth="1"/>
    <col min="3836" max="3836" width="14.140625" style="3469" customWidth="1"/>
    <col min="3837" max="3837" width="15.7109375" style="3469" bestFit="1" customWidth="1"/>
    <col min="3838" max="3838" width="13.42578125" style="3469" bestFit="1" customWidth="1"/>
    <col min="3839" max="3841" width="13.28515625" style="3469" customWidth="1"/>
    <col min="3842" max="3842" width="11.5703125" style="3469" customWidth="1"/>
    <col min="3843" max="3843" width="13.140625" style="3469" customWidth="1"/>
    <col min="3844" max="3844" width="13.85546875" style="3469" customWidth="1"/>
    <col min="3845" max="3845" width="15.140625" style="3469" customWidth="1"/>
    <col min="3846" max="3846" width="16.7109375" style="3469" customWidth="1"/>
    <col min="3847" max="3847" width="13.85546875" style="3469" customWidth="1"/>
    <col min="3848" max="3849" width="16.7109375" style="3469" customWidth="1"/>
    <col min="3850" max="3850" width="15" style="3469" customWidth="1"/>
    <col min="3851" max="3851" width="13" style="3469" customWidth="1"/>
    <col min="3852" max="3852" width="14.140625" style="3469" customWidth="1"/>
    <col min="3853" max="3853" width="13.85546875" style="3469" customWidth="1"/>
    <col min="3854" max="3854" width="12.140625" style="3469" customWidth="1"/>
    <col min="3855" max="3856" width="15" style="3469" customWidth="1"/>
    <col min="3857" max="3857" width="12.140625" style="3469" customWidth="1"/>
    <col min="3858" max="3858" width="16.5703125" style="3469" customWidth="1"/>
    <col min="3859" max="3859" width="12.5703125" style="3469" customWidth="1"/>
    <col min="3860" max="3860" width="24.85546875" style="3469" customWidth="1"/>
    <col min="3861" max="3861" width="11.7109375" style="3469" customWidth="1"/>
    <col min="3862" max="3863" width="13.5703125" style="3469" customWidth="1"/>
    <col min="3864" max="3864" width="18.7109375" style="3469" customWidth="1"/>
    <col min="3865" max="3865" width="13.42578125" style="3469" customWidth="1"/>
    <col min="3866" max="3866" width="18.5703125" style="3469" customWidth="1"/>
    <col min="3867" max="3867" width="13.28515625" style="3469" customWidth="1"/>
    <col min="3868" max="3868" width="13.140625" style="3469" customWidth="1"/>
    <col min="3869" max="3869" width="10.28515625" style="3469" customWidth="1"/>
    <col min="3870" max="3870" width="12.42578125" style="3469" customWidth="1"/>
    <col min="3871" max="3871" width="13.85546875" style="3469" customWidth="1"/>
    <col min="3872" max="3873" width="6.85546875" style="3469" customWidth="1"/>
    <col min="3874" max="3875" width="9.140625" style="3469"/>
    <col min="3876" max="3876" width="15.7109375" style="3469" customWidth="1"/>
    <col min="3877" max="3877" width="9.140625" style="3469"/>
    <col min="3878" max="3885" width="13.28515625" style="3469" bestFit="1" customWidth="1"/>
    <col min="3886" max="3886" width="18.7109375" style="3469" bestFit="1" customWidth="1"/>
    <col min="3887" max="3888" width="19" style="3469" bestFit="1" customWidth="1"/>
    <col min="3889" max="3895" width="13.28515625" style="3469" bestFit="1" customWidth="1"/>
    <col min="3896" max="3896" width="14.140625" style="3469" bestFit="1" customWidth="1"/>
    <col min="3897" max="3898" width="15.7109375" style="3469" bestFit="1" customWidth="1"/>
    <col min="3899" max="3901" width="14.140625" style="3469" bestFit="1" customWidth="1"/>
    <col min="3902" max="3903" width="15.7109375" style="3469" bestFit="1" customWidth="1"/>
    <col min="3904" max="3905" width="14.140625" style="3469" bestFit="1" customWidth="1"/>
    <col min="3906" max="3922" width="9.140625" style="3469"/>
    <col min="3923" max="3923" width="10" style="3469" bestFit="1" customWidth="1"/>
    <col min="3924" max="4083" width="9.140625" style="3469"/>
    <col min="4084" max="4084" width="43.85546875" style="3469" customWidth="1"/>
    <col min="4085" max="4085" width="7.140625" style="3469" customWidth="1"/>
    <col min="4086" max="4086" width="15.5703125" style="3469" customWidth="1"/>
    <col min="4087" max="4087" width="16" style="3469" customWidth="1"/>
    <col min="4088" max="4088" width="15.140625" style="3469" customWidth="1"/>
    <col min="4089" max="4089" width="14.85546875" style="3469" customWidth="1"/>
    <col min="4090" max="4090" width="16.28515625" style="3469" customWidth="1"/>
    <col min="4091" max="4091" width="13.85546875" style="3469" customWidth="1"/>
    <col min="4092" max="4092" width="14.140625" style="3469" customWidth="1"/>
    <col min="4093" max="4093" width="15.7109375" style="3469" bestFit="1" customWidth="1"/>
    <col min="4094" max="4094" width="13.42578125" style="3469" bestFit="1" customWidth="1"/>
    <col min="4095" max="4097" width="13.28515625" style="3469" customWidth="1"/>
    <col min="4098" max="4098" width="11.5703125" style="3469" customWidth="1"/>
    <col min="4099" max="4099" width="13.140625" style="3469" customWidth="1"/>
    <col min="4100" max="4100" width="13.85546875" style="3469" customWidth="1"/>
    <col min="4101" max="4101" width="15.140625" style="3469" customWidth="1"/>
    <col min="4102" max="4102" width="16.7109375" style="3469" customWidth="1"/>
    <col min="4103" max="4103" width="13.85546875" style="3469" customWidth="1"/>
    <col min="4104" max="4105" width="16.7109375" style="3469" customWidth="1"/>
    <col min="4106" max="4106" width="15" style="3469" customWidth="1"/>
    <col min="4107" max="4107" width="13" style="3469" customWidth="1"/>
    <col min="4108" max="4108" width="14.140625" style="3469" customWidth="1"/>
    <col min="4109" max="4109" width="13.85546875" style="3469" customWidth="1"/>
    <col min="4110" max="4110" width="12.140625" style="3469" customWidth="1"/>
    <col min="4111" max="4112" width="15" style="3469" customWidth="1"/>
    <col min="4113" max="4113" width="12.140625" style="3469" customWidth="1"/>
    <col min="4114" max="4114" width="16.5703125" style="3469" customWidth="1"/>
    <col min="4115" max="4115" width="12.5703125" style="3469" customWidth="1"/>
    <col min="4116" max="4116" width="24.85546875" style="3469" customWidth="1"/>
    <col min="4117" max="4117" width="11.7109375" style="3469" customWidth="1"/>
    <col min="4118" max="4119" width="13.5703125" style="3469" customWidth="1"/>
    <col min="4120" max="4120" width="18.7109375" style="3469" customWidth="1"/>
    <col min="4121" max="4121" width="13.42578125" style="3469" customWidth="1"/>
    <col min="4122" max="4122" width="18.5703125" style="3469" customWidth="1"/>
    <col min="4123" max="4123" width="13.28515625" style="3469" customWidth="1"/>
    <col min="4124" max="4124" width="13.140625" style="3469" customWidth="1"/>
    <col min="4125" max="4125" width="10.28515625" style="3469" customWidth="1"/>
    <col min="4126" max="4126" width="12.42578125" style="3469" customWidth="1"/>
    <col min="4127" max="4127" width="13.85546875" style="3469" customWidth="1"/>
    <col min="4128" max="4129" width="6.85546875" style="3469" customWidth="1"/>
    <col min="4130" max="4131" width="9.140625" style="3469"/>
    <col min="4132" max="4132" width="15.7109375" style="3469" customWidth="1"/>
    <col min="4133" max="4133" width="9.140625" style="3469"/>
    <col min="4134" max="4141" width="13.28515625" style="3469" bestFit="1" customWidth="1"/>
    <col min="4142" max="4142" width="18.7109375" style="3469" bestFit="1" customWidth="1"/>
    <col min="4143" max="4144" width="19" style="3469" bestFit="1" customWidth="1"/>
    <col min="4145" max="4151" width="13.28515625" style="3469" bestFit="1" customWidth="1"/>
    <col min="4152" max="4152" width="14.140625" style="3469" bestFit="1" customWidth="1"/>
    <col min="4153" max="4154" width="15.7109375" style="3469" bestFit="1" customWidth="1"/>
    <col min="4155" max="4157" width="14.140625" style="3469" bestFit="1" customWidth="1"/>
    <col min="4158" max="4159" width="15.7109375" style="3469" bestFit="1" customWidth="1"/>
    <col min="4160" max="4161" width="14.140625" style="3469" bestFit="1" customWidth="1"/>
    <col min="4162" max="4178" width="9.140625" style="3469"/>
    <col min="4179" max="4179" width="10" style="3469" bestFit="1" customWidth="1"/>
    <col min="4180" max="4339" width="9.140625" style="3469"/>
    <col min="4340" max="4340" width="43.85546875" style="3469" customWidth="1"/>
    <col min="4341" max="4341" width="7.140625" style="3469" customWidth="1"/>
    <col min="4342" max="4342" width="15.5703125" style="3469" customWidth="1"/>
    <col min="4343" max="4343" width="16" style="3469" customWidth="1"/>
    <col min="4344" max="4344" width="15.140625" style="3469" customWidth="1"/>
    <col min="4345" max="4345" width="14.85546875" style="3469" customWidth="1"/>
    <col min="4346" max="4346" width="16.28515625" style="3469" customWidth="1"/>
    <col min="4347" max="4347" width="13.85546875" style="3469" customWidth="1"/>
    <col min="4348" max="4348" width="14.140625" style="3469" customWidth="1"/>
    <col min="4349" max="4349" width="15.7109375" style="3469" bestFit="1" customWidth="1"/>
    <col min="4350" max="4350" width="13.42578125" style="3469" bestFit="1" customWidth="1"/>
    <col min="4351" max="4353" width="13.28515625" style="3469" customWidth="1"/>
    <col min="4354" max="4354" width="11.5703125" style="3469" customWidth="1"/>
    <col min="4355" max="4355" width="13.140625" style="3469" customWidth="1"/>
    <col min="4356" max="4356" width="13.85546875" style="3469" customWidth="1"/>
    <col min="4357" max="4357" width="15.140625" style="3469" customWidth="1"/>
    <col min="4358" max="4358" width="16.7109375" style="3469" customWidth="1"/>
    <col min="4359" max="4359" width="13.85546875" style="3469" customWidth="1"/>
    <col min="4360" max="4361" width="16.7109375" style="3469" customWidth="1"/>
    <col min="4362" max="4362" width="15" style="3469" customWidth="1"/>
    <col min="4363" max="4363" width="13" style="3469" customWidth="1"/>
    <col min="4364" max="4364" width="14.140625" style="3469" customWidth="1"/>
    <col min="4365" max="4365" width="13.85546875" style="3469" customWidth="1"/>
    <col min="4366" max="4366" width="12.140625" style="3469" customWidth="1"/>
    <col min="4367" max="4368" width="15" style="3469" customWidth="1"/>
    <col min="4369" max="4369" width="12.140625" style="3469" customWidth="1"/>
    <col min="4370" max="4370" width="16.5703125" style="3469" customWidth="1"/>
    <col min="4371" max="4371" width="12.5703125" style="3469" customWidth="1"/>
    <col min="4372" max="4372" width="24.85546875" style="3469" customWidth="1"/>
    <col min="4373" max="4373" width="11.7109375" style="3469" customWidth="1"/>
    <col min="4374" max="4375" width="13.5703125" style="3469" customWidth="1"/>
    <col min="4376" max="4376" width="18.7109375" style="3469" customWidth="1"/>
    <col min="4377" max="4377" width="13.42578125" style="3469" customWidth="1"/>
    <col min="4378" max="4378" width="18.5703125" style="3469" customWidth="1"/>
    <col min="4379" max="4379" width="13.28515625" style="3469" customWidth="1"/>
    <col min="4380" max="4380" width="13.140625" style="3469" customWidth="1"/>
    <col min="4381" max="4381" width="10.28515625" style="3469" customWidth="1"/>
    <col min="4382" max="4382" width="12.42578125" style="3469" customWidth="1"/>
    <col min="4383" max="4383" width="13.85546875" style="3469" customWidth="1"/>
    <col min="4384" max="4385" width="6.85546875" style="3469" customWidth="1"/>
    <col min="4386" max="4387" width="9.140625" style="3469"/>
    <col min="4388" max="4388" width="15.7109375" style="3469" customWidth="1"/>
    <col min="4389" max="4389" width="9.140625" style="3469"/>
    <col min="4390" max="4397" width="13.28515625" style="3469" bestFit="1" customWidth="1"/>
    <col min="4398" max="4398" width="18.7109375" style="3469" bestFit="1" customWidth="1"/>
    <col min="4399" max="4400" width="19" style="3469" bestFit="1" customWidth="1"/>
    <col min="4401" max="4407" width="13.28515625" style="3469" bestFit="1" customWidth="1"/>
    <col min="4408" max="4408" width="14.140625" style="3469" bestFit="1" customWidth="1"/>
    <col min="4409" max="4410" width="15.7109375" style="3469" bestFit="1" customWidth="1"/>
    <col min="4411" max="4413" width="14.140625" style="3469" bestFit="1" customWidth="1"/>
    <col min="4414" max="4415" width="15.7109375" style="3469" bestFit="1" customWidth="1"/>
    <col min="4416" max="4417" width="14.140625" style="3469" bestFit="1" customWidth="1"/>
    <col min="4418" max="4434" width="9.140625" style="3469"/>
    <col min="4435" max="4435" width="10" style="3469" bestFit="1" customWidth="1"/>
    <col min="4436" max="4595" width="9.140625" style="3469"/>
    <col min="4596" max="4596" width="43.85546875" style="3469" customWidth="1"/>
    <col min="4597" max="4597" width="7.140625" style="3469" customWidth="1"/>
    <col min="4598" max="4598" width="15.5703125" style="3469" customWidth="1"/>
    <col min="4599" max="4599" width="16" style="3469" customWidth="1"/>
    <col min="4600" max="4600" width="15.140625" style="3469" customWidth="1"/>
    <col min="4601" max="4601" width="14.85546875" style="3469" customWidth="1"/>
    <col min="4602" max="4602" width="16.28515625" style="3469" customWidth="1"/>
    <col min="4603" max="4603" width="13.85546875" style="3469" customWidth="1"/>
    <col min="4604" max="4604" width="14.140625" style="3469" customWidth="1"/>
    <col min="4605" max="4605" width="15.7109375" style="3469" bestFit="1" customWidth="1"/>
    <col min="4606" max="4606" width="13.42578125" style="3469" bestFit="1" customWidth="1"/>
    <col min="4607" max="4609" width="13.28515625" style="3469" customWidth="1"/>
    <col min="4610" max="4610" width="11.5703125" style="3469" customWidth="1"/>
    <col min="4611" max="4611" width="13.140625" style="3469" customWidth="1"/>
    <col min="4612" max="4612" width="13.85546875" style="3469" customWidth="1"/>
    <col min="4613" max="4613" width="15.140625" style="3469" customWidth="1"/>
    <col min="4614" max="4614" width="16.7109375" style="3469" customWidth="1"/>
    <col min="4615" max="4615" width="13.85546875" style="3469" customWidth="1"/>
    <col min="4616" max="4617" width="16.7109375" style="3469" customWidth="1"/>
    <col min="4618" max="4618" width="15" style="3469" customWidth="1"/>
    <col min="4619" max="4619" width="13" style="3469" customWidth="1"/>
    <col min="4620" max="4620" width="14.140625" style="3469" customWidth="1"/>
    <col min="4621" max="4621" width="13.85546875" style="3469" customWidth="1"/>
    <col min="4622" max="4622" width="12.140625" style="3469" customWidth="1"/>
    <col min="4623" max="4624" width="15" style="3469" customWidth="1"/>
    <col min="4625" max="4625" width="12.140625" style="3469" customWidth="1"/>
    <col min="4626" max="4626" width="16.5703125" style="3469" customWidth="1"/>
    <col min="4627" max="4627" width="12.5703125" style="3469" customWidth="1"/>
    <col min="4628" max="4628" width="24.85546875" style="3469" customWidth="1"/>
    <col min="4629" max="4629" width="11.7109375" style="3469" customWidth="1"/>
    <col min="4630" max="4631" width="13.5703125" style="3469" customWidth="1"/>
    <col min="4632" max="4632" width="18.7109375" style="3469" customWidth="1"/>
    <col min="4633" max="4633" width="13.42578125" style="3469" customWidth="1"/>
    <col min="4634" max="4634" width="18.5703125" style="3469" customWidth="1"/>
    <col min="4635" max="4635" width="13.28515625" style="3469" customWidth="1"/>
    <col min="4636" max="4636" width="13.140625" style="3469" customWidth="1"/>
    <col min="4637" max="4637" width="10.28515625" style="3469" customWidth="1"/>
    <col min="4638" max="4638" width="12.42578125" style="3469" customWidth="1"/>
    <col min="4639" max="4639" width="13.85546875" style="3469" customWidth="1"/>
    <col min="4640" max="4641" width="6.85546875" style="3469" customWidth="1"/>
    <col min="4642" max="4643" width="9.140625" style="3469"/>
    <col min="4644" max="4644" width="15.7109375" style="3469" customWidth="1"/>
    <col min="4645" max="4645" width="9.140625" style="3469"/>
    <col min="4646" max="4653" width="13.28515625" style="3469" bestFit="1" customWidth="1"/>
    <col min="4654" max="4654" width="18.7109375" style="3469" bestFit="1" customWidth="1"/>
    <col min="4655" max="4656" width="19" style="3469" bestFit="1" customWidth="1"/>
    <col min="4657" max="4663" width="13.28515625" style="3469" bestFit="1" customWidth="1"/>
    <col min="4664" max="4664" width="14.140625" style="3469" bestFit="1" customWidth="1"/>
    <col min="4665" max="4666" width="15.7109375" style="3469" bestFit="1" customWidth="1"/>
    <col min="4667" max="4669" width="14.140625" style="3469" bestFit="1" customWidth="1"/>
    <col min="4670" max="4671" width="15.7109375" style="3469" bestFit="1" customWidth="1"/>
    <col min="4672" max="4673" width="14.140625" style="3469" bestFit="1" customWidth="1"/>
    <col min="4674" max="4690" width="9.140625" style="3469"/>
    <col min="4691" max="4691" width="10" style="3469" bestFit="1" customWidth="1"/>
    <col min="4692" max="4851" width="9.140625" style="3469"/>
    <col min="4852" max="4852" width="43.85546875" style="3469" customWidth="1"/>
    <col min="4853" max="4853" width="7.140625" style="3469" customWidth="1"/>
    <col min="4854" max="4854" width="15.5703125" style="3469" customWidth="1"/>
    <col min="4855" max="4855" width="16" style="3469" customWidth="1"/>
    <col min="4856" max="4856" width="15.140625" style="3469" customWidth="1"/>
    <col min="4857" max="4857" width="14.85546875" style="3469" customWidth="1"/>
    <col min="4858" max="4858" width="16.28515625" style="3469" customWidth="1"/>
    <col min="4859" max="4859" width="13.85546875" style="3469" customWidth="1"/>
    <col min="4860" max="4860" width="14.140625" style="3469" customWidth="1"/>
    <col min="4861" max="4861" width="15.7109375" style="3469" bestFit="1" customWidth="1"/>
    <col min="4862" max="4862" width="13.42578125" style="3469" bestFit="1" customWidth="1"/>
    <col min="4863" max="4865" width="13.28515625" style="3469" customWidth="1"/>
    <col min="4866" max="4866" width="11.5703125" style="3469" customWidth="1"/>
    <col min="4867" max="4867" width="13.140625" style="3469" customWidth="1"/>
    <col min="4868" max="4868" width="13.85546875" style="3469" customWidth="1"/>
    <col min="4869" max="4869" width="15.140625" style="3469" customWidth="1"/>
    <col min="4870" max="4870" width="16.7109375" style="3469" customWidth="1"/>
    <col min="4871" max="4871" width="13.85546875" style="3469" customWidth="1"/>
    <col min="4872" max="4873" width="16.7109375" style="3469" customWidth="1"/>
    <col min="4874" max="4874" width="15" style="3469" customWidth="1"/>
    <col min="4875" max="4875" width="13" style="3469" customWidth="1"/>
    <col min="4876" max="4876" width="14.140625" style="3469" customWidth="1"/>
    <col min="4877" max="4877" width="13.85546875" style="3469" customWidth="1"/>
    <col min="4878" max="4878" width="12.140625" style="3469" customWidth="1"/>
    <col min="4879" max="4880" width="15" style="3469" customWidth="1"/>
    <col min="4881" max="4881" width="12.140625" style="3469" customWidth="1"/>
    <col min="4882" max="4882" width="16.5703125" style="3469" customWidth="1"/>
    <col min="4883" max="4883" width="12.5703125" style="3469" customWidth="1"/>
    <col min="4884" max="4884" width="24.85546875" style="3469" customWidth="1"/>
    <col min="4885" max="4885" width="11.7109375" style="3469" customWidth="1"/>
    <col min="4886" max="4887" width="13.5703125" style="3469" customWidth="1"/>
    <col min="4888" max="4888" width="18.7109375" style="3469" customWidth="1"/>
    <col min="4889" max="4889" width="13.42578125" style="3469" customWidth="1"/>
    <col min="4890" max="4890" width="18.5703125" style="3469" customWidth="1"/>
    <col min="4891" max="4891" width="13.28515625" style="3469" customWidth="1"/>
    <col min="4892" max="4892" width="13.140625" style="3469" customWidth="1"/>
    <col min="4893" max="4893" width="10.28515625" style="3469" customWidth="1"/>
    <col min="4894" max="4894" width="12.42578125" style="3469" customWidth="1"/>
    <col min="4895" max="4895" width="13.85546875" style="3469" customWidth="1"/>
    <col min="4896" max="4897" width="6.85546875" style="3469" customWidth="1"/>
    <col min="4898" max="4899" width="9.140625" style="3469"/>
    <col min="4900" max="4900" width="15.7109375" style="3469" customWidth="1"/>
    <col min="4901" max="4901" width="9.140625" style="3469"/>
    <col min="4902" max="4909" width="13.28515625" style="3469" bestFit="1" customWidth="1"/>
    <col min="4910" max="4910" width="18.7109375" style="3469" bestFit="1" customWidth="1"/>
    <col min="4911" max="4912" width="19" style="3469" bestFit="1" customWidth="1"/>
    <col min="4913" max="4919" width="13.28515625" style="3469" bestFit="1" customWidth="1"/>
    <col min="4920" max="4920" width="14.140625" style="3469" bestFit="1" customWidth="1"/>
    <col min="4921" max="4922" width="15.7109375" style="3469" bestFit="1" customWidth="1"/>
    <col min="4923" max="4925" width="14.140625" style="3469" bestFit="1" customWidth="1"/>
    <col min="4926" max="4927" width="15.7109375" style="3469" bestFit="1" customWidth="1"/>
    <col min="4928" max="4929" width="14.140625" style="3469" bestFit="1" customWidth="1"/>
    <col min="4930" max="4946" width="9.140625" style="3469"/>
    <col min="4947" max="4947" width="10" style="3469" bestFit="1" customWidth="1"/>
    <col min="4948" max="5107" width="9.140625" style="3469"/>
    <col min="5108" max="5108" width="43.85546875" style="3469" customWidth="1"/>
    <col min="5109" max="5109" width="7.140625" style="3469" customWidth="1"/>
    <col min="5110" max="5110" width="15.5703125" style="3469" customWidth="1"/>
    <col min="5111" max="5111" width="16" style="3469" customWidth="1"/>
    <col min="5112" max="5112" width="15.140625" style="3469" customWidth="1"/>
    <col min="5113" max="5113" width="14.85546875" style="3469" customWidth="1"/>
    <col min="5114" max="5114" width="16.28515625" style="3469" customWidth="1"/>
    <col min="5115" max="5115" width="13.85546875" style="3469" customWidth="1"/>
    <col min="5116" max="5116" width="14.140625" style="3469" customWidth="1"/>
    <col min="5117" max="5117" width="15.7109375" style="3469" bestFit="1" customWidth="1"/>
    <col min="5118" max="5118" width="13.42578125" style="3469" bestFit="1" customWidth="1"/>
    <col min="5119" max="5121" width="13.28515625" style="3469" customWidth="1"/>
    <col min="5122" max="5122" width="11.5703125" style="3469" customWidth="1"/>
    <col min="5123" max="5123" width="13.140625" style="3469" customWidth="1"/>
    <col min="5124" max="5124" width="13.85546875" style="3469" customWidth="1"/>
    <col min="5125" max="5125" width="15.140625" style="3469" customWidth="1"/>
    <col min="5126" max="5126" width="16.7109375" style="3469" customWidth="1"/>
    <col min="5127" max="5127" width="13.85546875" style="3469" customWidth="1"/>
    <col min="5128" max="5129" width="16.7109375" style="3469" customWidth="1"/>
    <col min="5130" max="5130" width="15" style="3469" customWidth="1"/>
    <col min="5131" max="5131" width="13" style="3469" customWidth="1"/>
    <col min="5132" max="5132" width="14.140625" style="3469" customWidth="1"/>
    <col min="5133" max="5133" width="13.85546875" style="3469" customWidth="1"/>
    <col min="5134" max="5134" width="12.140625" style="3469" customWidth="1"/>
    <col min="5135" max="5136" width="15" style="3469" customWidth="1"/>
    <col min="5137" max="5137" width="12.140625" style="3469" customWidth="1"/>
    <col min="5138" max="5138" width="16.5703125" style="3469" customWidth="1"/>
    <col min="5139" max="5139" width="12.5703125" style="3469" customWidth="1"/>
    <col min="5140" max="5140" width="24.85546875" style="3469" customWidth="1"/>
    <col min="5141" max="5141" width="11.7109375" style="3469" customWidth="1"/>
    <col min="5142" max="5143" width="13.5703125" style="3469" customWidth="1"/>
    <col min="5144" max="5144" width="18.7109375" style="3469" customWidth="1"/>
    <col min="5145" max="5145" width="13.42578125" style="3469" customWidth="1"/>
    <col min="5146" max="5146" width="18.5703125" style="3469" customWidth="1"/>
    <col min="5147" max="5147" width="13.28515625" style="3469" customWidth="1"/>
    <col min="5148" max="5148" width="13.140625" style="3469" customWidth="1"/>
    <col min="5149" max="5149" width="10.28515625" style="3469" customWidth="1"/>
    <col min="5150" max="5150" width="12.42578125" style="3469" customWidth="1"/>
    <col min="5151" max="5151" width="13.85546875" style="3469" customWidth="1"/>
    <col min="5152" max="5153" width="6.85546875" style="3469" customWidth="1"/>
    <col min="5154" max="5155" width="9.140625" style="3469"/>
    <col min="5156" max="5156" width="15.7109375" style="3469" customWidth="1"/>
    <col min="5157" max="5157" width="9.140625" style="3469"/>
    <col min="5158" max="5165" width="13.28515625" style="3469" bestFit="1" customWidth="1"/>
    <col min="5166" max="5166" width="18.7109375" style="3469" bestFit="1" customWidth="1"/>
    <col min="5167" max="5168" width="19" style="3469" bestFit="1" customWidth="1"/>
    <col min="5169" max="5175" width="13.28515625" style="3469" bestFit="1" customWidth="1"/>
    <col min="5176" max="5176" width="14.140625" style="3469" bestFit="1" customWidth="1"/>
    <col min="5177" max="5178" width="15.7109375" style="3469" bestFit="1" customWidth="1"/>
    <col min="5179" max="5181" width="14.140625" style="3469" bestFit="1" customWidth="1"/>
    <col min="5182" max="5183" width="15.7109375" style="3469" bestFit="1" customWidth="1"/>
    <col min="5184" max="5185" width="14.140625" style="3469" bestFit="1" customWidth="1"/>
    <col min="5186" max="5202" width="9.140625" style="3469"/>
    <col min="5203" max="5203" width="10" style="3469" bestFit="1" customWidth="1"/>
    <col min="5204" max="5363" width="9.140625" style="3469"/>
    <col min="5364" max="5364" width="43.85546875" style="3469" customWidth="1"/>
    <col min="5365" max="5365" width="7.140625" style="3469" customWidth="1"/>
    <col min="5366" max="5366" width="15.5703125" style="3469" customWidth="1"/>
    <col min="5367" max="5367" width="16" style="3469" customWidth="1"/>
    <col min="5368" max="5368" width="15.140625" style="3469" customWidth="1"/>
    <col min="5369" max="5369" width="14.85546875" style="3469" customWidth="1"/>
    <col min="5370" max="5370" width="16.28515625" style="3469" customWidth="1"/>
    <col min="5371" max="5371" width="13.85546875" style="3469" customWidth="1"/>
    <col min="5372" max="5372" width="14.140625" style="3469" customWidth="1"/>
    <col min="5373" max="5373" width="15.7109375" style="3469" bestFit="1" customWidth="1"/>
    <col min="5374" max="5374" width="13.42578125" style="3469" bestFit="1" customWidth="1"/>
    <col min="5375" max="5377" width="13.28515625" style="3469" customWidth="1"/>
    <col min="5378" max="5378" width="11.5703125" style="3469" customWidth="1"/>
    <col min="5379" max="5379" width="13.140625" style="3469" customWidth="1"/>
    <col min="5380" max="5380" width="13.85546875" style="3469" customWidth="1"/>
    <col min="5381" max="5381" width="15.140625" style="3469" customWidth="1"/>
    <col min="5382" max="5382" width="16.7109375" style="3469" customWidth="1"/>
    <col min="5383" max="5383" width="13.85546875" style="3469" customWidth="1"/>
    <col min="5384" max="5385" width="16.7109375" style="3469" customWidth="1"/>
    <col min="5386" max="5386" width="15" style="3469" customWidth="1"/>
    <col min="5387" max="5387" width="13" style="3469" customWidth="1"/>
    <col min="5388" max="5388" width="14.140625" style="3469" customWidth="1"/>
    <col min="5389" max="5389" width="13.85546875" style="3469" customWidth="1"/>
    <col min="5390" max="5390" width="12.140625" style="3469" customWidth="1"/>
    <col min="5391" max="5392" width="15" style="3469" customWidth="1"/>
    <col min="5393" max="5393" width="12.140625" style="3469" customWidth="1"/>
    <col min="5394" max="5394" width="16.5703125" style="3469" customWidth="1"/>
    <col min="5395" max="5395" width="12.5703125" style="3469" customWidth="1"/>
    <col min="5396" max="5396" width="24.85546875" style="3469" customWidth="1"/>
    <col min="5397" max="5397" width="11.7109375" style="3469" customWidth="1"/>
    <col min="5398" max="5399" width="13.5703125" style="3469" customWidth="1"/>
    <col min="5400" max="5400" width="18.7109375" style="3469" customWidth="1"/>
    <col min="5401" max="5401" width="13.42578125" style="3469" customWidth="1"/>
    <col min="5402" max="5402" width="18.5703125" style="3469" customWidth="1"/>
    <col min="5403" max="5403" width="13.28515625" style="3469" customWidth="1"/>
    <col min="5404" max="5404" width="13.140625" style="3469" customWidth="1"/>
    <col min="5405" max="5405" width="10.28515625" style="3469" customWidth="1"/>
    <col min="5406" max="5406" width="12.42578125" style="3469" customWidth="1"/>
    <col min="5407" max="5407" width="13.85546875" style="3469" customWidth="1"/>
    <col min="5408" max="5409" width="6.85546875" style="3469" customWidth="1"/>
    <col min="5410" max="5411" width="9.140625" style="3469"/>
    <col min="5412" max="5412" width="15.7109375" style="3469" customWidth="1"/>
    <col min="5413" max="5413" width="9.140625" style="3469"/>
    <col min="5414" max="5421" width="13.28515625" style="3469" bestFit="1" customWidth="1"/>
    <col min="5422" max="5422" width="18.7109375" style="3469" bestFit="1" customWidth="1"/>
    <col min="5423" max="5424" width="19" style="3469" bestFit="1" customWidth="1"/>
    <col min="5425" max="5431" width="13.28515625" style="3469" bestFit="1" customWidth="1"/>
    <col min="5432" max="5432" width="14.140625" style="3469" bestFit="1" customWidth="1"/>
    <col min="5433" max="5434" width="15.7109375" style="3469" bestFit="1" customWidth="1"/>
    <col min="5435" max="5437" width="14.140625" style="3469" bestFit="1" customWidth="1"/>
    <col min="5438" max="5439" width="15.7109375" style="3469" bestFit="1" customWidth="1"/>
    <col min="5440" max="5441" width="14.140625" style="3469" bestFit="1" customWidth="1"/>
    <col min="5442" max="5458" width="9.140625" style="3469"/>
    <col min="5459" max="5459" width="10" style="3469" bestFit="1" customWidth="1"/>
    <col min="5460" max="5619" width="9.140625" style="3469"/>
    <col min="5620" max="5620" width="43.85546875" style="3469" customWidth="1"/>
    <col min="5621" max="5621" width="7.140625" style="3469" customWidth="1"/>
    <col min="5622" max="5622" width="15.5703125" style="3469" customWidth="1"/>
    <col min="5623" max="5623" width="16" style="3469" customWidth="1"/>
    <col min="5624" max="5624" width="15.140625" style="3469" customWidth="1"/>
    <col min="5625" max="5625" width="14.85546875" style="3469" customWidth="1"/>
    <col min="5626" max="5626" width="16.28515625" style="3469" customWidth="1"/>
    <col min="5627" max="5627" width="13.85546875" style="3469" customWidth="1"/>
    <col min="5628" max="5628" width="14.140625" style="3469" customWidth="1"/>
    <col min="5629" max="5629" width="15.7109375" style="3469" bestFit="1" customWidth="1"/>
    <col min="5630" max="5630" width="13.42578125" style="3469" bestFit="1" customWidth="1"/>
    <col min="5631" max="5633" width="13.28515625" style="3469" customWidth="1"/>
    <col min="5634" max="5634" width="11.5703125" style="3469" customWidth="1"/>
    <col min="5635" max="5635" width="13.140625" style="3469" customWidth="1"/>
    <col min="5636" max="5636" width="13.85546875" style="3469" customWidth="1"/>
    <col min="5637" max="5637" width="15.140625" style="3469" customWidth="1"/>
    <col min="5638" max="5638" width="16.7109375" style="3469" customWidth="1"/>
    <col min="5639" max="5639" width="13.85546875" style="3469" customWidth="1"/>
    <col min="5640" max="5641" width="16.7109375" style="3469" customWidth="1"/>
    <col min="5642" max="5642" width="15" style="3469" customWidth="1"/>
    <col min="5643" max="5643" width="13" style="3469" customWidth="1"/>
    <col min="5644" max="5644" width="14.140625" style="3469" customWidth="1"/>
    <col min="5645" max="5645" width="13.85546875" style="3469" customWidth="1"/>
    <col min="5646" max="5646" width="12.140625" style="3469" customWidth="1"/>
    <col min="5647" max="5648" width="15" style="3469" customWidth="1"/>
    <col min="5649" max="5649" width="12.140625" style="3469" customWidth="1"/>
    <col min="5650" max="5650" width="16.5703125" style="3469" customWidth="1"/>
    <col min="5651" max="5651" width="12.5703125" style="3469" customWidth="1"/>
    <col min="5652" max="5652" width="24.85546875" style="3469" customWidth="1"/>
    <col min="5653" max="5653" width="11.7109375" style="3469" customWidth="1"/>
    <col min="5654" max="5655" width="13.5703125" style="3469" customWidth="1"/>
    <col min="5656" max="5656" width="18.7109375" style="3469" customWidth="1"/>
    <col min="5657" max="5657" width="13.42578125" style="3469" customWidth="1"/>
    <col min="5658" max="5658" width="18.5703125" style="3469" customWidth="1"/>
    <col min="5659" max="5659" width="13.28515625" style="3469" customWidth="1"/>
    <col min="5660" max="5660" width="13.140625" style="3469" customWidth="1"/>
    <col min="5661" max="5661" width="10.28515625" style="3469" customWidth="1"/>
    <col min="5662" max="5662" width="12.42578125" style="3469" customWidth="1"/>
    <col min="5663" max="5663" width="13.85546875" style="3469" customWidth="1"/>
    <col min="5664" max="5665" width="6.85546875" style="3469" customWidth="1"/>
    <col min="5666" max="5667" width="9.140625" style="3469"/>
    <col min="5668" max="5668" width="15.7109375" style="3469" customWidth="1"/>
    <col min="5669" max="5669" width="9.140625" style="3469"/>
    <col min="5670" max="5677" width="13.28515625" style="3469" bestFit="1" customWidth="1"/>
    <col min="5678" max="5678" width="18.7109375" style="3469" bestFit="1" customWidth="1"/>
    <col min="5679" max="5680" width="19" style="3469" bestFit="1" customWidth="1"/>
    <col min="5681" max="5687" width="13.28515625" style="3469" bestFit="1" customWidth="1"/>
    <col min="5688" max="5688" width="14.140625" style="3469" bestFit="1" customWidth="1"/>
    <col min="5689" max="5690" width="15.7109375" style="3469" bestFit="1" customWidth="1"/>
    <col min="5691" max="5693" width="14.140625" style="3469" bestFit="1" customWidth="1"/>
    <col min="5694" max="5695" width="15.7109375" style="3469" bestFit="1" customWidth="1"/>
    <col min="5696" max="5697" width="14.140625" style="3469" bestFit="1" customWidth="1"/>
    <col min="5698" max="5714" width="9.140625" style="3469"/>
    <col min="5715" max="5715" width="10" style="3469" bestFit="1" customWidth="1"/>
    <col min="5716" max="5875" width="9.140625" style="3469"/>
    <col min="5876" max="5876" width="43.85546875" style="3469" customWidth="1"/>
    <col min="5877" max="5877" width="7.140625" style="3469" customWidth="1"/>
    <col min="5878" max="5878" width="15.5703125" style="3469" customWidth="1"/>
    <col min="5879" max="5879" width="16" style="3469" customWidth="1"/>
    <col min="5880" max="5880" width="15.140625" style="3469" customWidth="1"/>
    <col min="5881" max="5881" width="14.85546875" style="3469" customWidth="1"/>
    <col min="5882" max="5882" width="16.28515625" style="3469" customWidth="1"/>
    <col min="5883" max="5883" width="13.85546875" style="3469" customWidth="1"/>
    <col min="5884" max="5884" width="14.140625" style="3469" customWidth="1"/>
    <col min="5885" max="5885" width="15.7109375" style="3469" bestFit="1" customWidth="1"/>
    <col min="5886" max="5886" width="13.42578125" style="3469" bestFit="1" customWidth="1"/>
    <col min="5887" max="5889" width="13.28515625" style="3469" customWidth="1"/>
    <col min="5890" max="5890" width="11.5703125" style="3469" customWidth="1"/>
    <col min="5891" max="5891" width="13.140625" style="3469" customWidth="1"/>
    <col min="5892" max="5892" width="13.85546875" style="3469" customWidth="1"/>
    <col min="5893" max="5893" width="15.140625" style="3469" customWidth="1"/>
    <col min="5894" max="5894" width="16.7109375" style="3469" customWidth="1"/>
    <col min="5895" max="5895" width="13.85546875" style="3469" customWidth="1"/>
    <col min="5896" max="5897" width="16.7109375" style="3469" customWidth="1"/>
    <col min="5898" max="5898" width="15" style="3469" customWidth="1"/>
    <col min="5899" max="5899" width="13" style="3469" customWidth="1"/>
    <col min="5900" max="5900" width="14.140625" style="3469" customWidth="1"/>
    <col min="5901" max="5901" width="13.85546875" style="3469" customWidth="1"/>
    <col min="5902" max="5902" width="12.140625" style="3469" customWidth="1"/>
    <col min="5903" max="5904" width="15" style="3469" customWidth="1"/>
    <col min="5905" max="5905" width="12.140625" style="3469" customWidth="1"/>
    <col min="5906" max="5906" width="16.5703125" style="3469" customWidth="1"/>
    <col min="5907" max="5907" width="12.5703125" style="3469" customWidth="1"/>
    <col min="5908" max="5908" width="24.85546875" style="3469" customWidth="1"/>
    <col min="5909" max="5909" width="11.7109375" style="3469" customWidth="1"/>
    <col min="5910" max="5911" width="13.5703125" style="3469" customWidth="1"/>
    <col min="5912" max="5912" width="18.7109375" style="3469" customWidth="1"/>
    <col min="5913" max="5913" width="13.42578125" style="3469" customWidth="1"/>
    <col min="5914" max="5914" width="18.5703125" style="3469" customWidth="1"/>
    <col min="5915" max="5915" width="13.28515625" style="3469" customWidth="1"/>
    <col min="5916" max="5916" width="13.140625" style="3469" customWidth="1"/>
    <col min="5917" max="5917" width="10.28515625" style="3469" customWidth="1"/>
    <col min="5918" max="5918" width="12.42578125" style="3469" customWidth="1"/>
    <col min="5919" max="5919" width="13.85546875" style="3469" customWidth="1"/>
    <col min="5920" max="5921" width="6.85546875" style="3469" customWidth="1"/>
    <col min="5922" max="5923" width="9.140625" style="3469"/>
    <col min="5924" max="5924" width="15.7109375" style="3469" customWidth="1"/>
    <col min="5925" max="5925" width="9.140625" style="3469"/>
    <col min="5926" max="5933" width="13.28515625" style="3469" bestFit="1" customWidth="1"/>
    <col min="5934" max="5934" width="18.7109375" style="3469" bestFit="1" customWidth="1"/>
    <col min="5935" max="5936" width="19" style="3469" bestFit="1" customWidth="1"/>
    <col min="5937" max="5943" width="13.28515625" style="3469" bestFit="1" customWidth="1"/>
    <col min="5944" max="5944" width="14.140625" style="3469" bestFit="1" customWidth="1"/>
    <col min="5945" max="5946" width="15.7109375" style="3469" bestFit="1" customWidth="1"/>
    <col min="5947" max="5949" width="14.140625" style="3469" bestFit="1" customWidth="1"/>
    <col min="5950" max="5951" width="15.7109375" style="3469" bestFit="1" customWidth="1"/>
    <col min="5952" max="5953" width="14.140625" style="3469" bestFit="1" customWidth="1"/>
    <col min="5954" max="5970" width="9.140625" style="3469"/>
    <col min="5971" max="5971" width="10" style="3469" bestFit="1" customWidth="1"/>
    <col min="5972" max="6131" width="9.140625" style="3469"/>
    <col min="6132" max="6132" width="43.85546875" style="3469" customWidth="1"/>
    <col min="6133" max="6133" width="7.140625" style="3469" customWidth="1"/>
    <col min="6134" max="6134" width="15.5703125" style="3469" customWidth="1"/>
    <col min="6135" max="6135" width="16" style="3469" customWidth="1"/>
    <col min="6136" max="6136" width="15.140625" style="3469" customWidth="1"/>
    <col min="6137" max="6137" width="14.85546875" style="3469" customWidth="1"/>
    <col min="6138" max="6138" width="16.28515625" style="3469" customWidth="1"/>
    <col min="6139" max="6139" width="13.85546875" style="3469" customWidth="1"/>
    <col min="6140" max="6140" width="14.140625" style="3469" customWidth="1"/>
    <col min="6141" max="6141" width="15.7109375" style="3469" bestFit="1" customWidth="1"/>
    <col min="6142" max="6142" width="13.42578125" style="3469" bestFit="1" customWidth="1"/>
    <col min="6143" max="6145" width="13.28515625" style="3469" customWidth="1"/>
    <col min="6146" max="6146" width="11.5703125" style="3469" customWidth="1"/>
    <col min="6147" max="6147" width="13.140625" style="3469" customWidth="1"/>
    <col min="6148" max="6148" width="13.85546875" style="3469" customWidth="1"/>
    <col min="6149" max="6149" width="15.140625" style="3469" customWidth="1"/>
    <col min="6150" max="6150" width="16.7109375" style="3469" customWidth="1"/>
    <col min="6151" max="6151" width="13.85546875" style="3469" customWidth="1"/>
    <col min="6152" max="6153" width="16.7109375" style="3469" customWidth="1"/>
    <col min="6154" max="6154" width="15" style="3469" customWidth="1"/>
    <col min="6155" max="6155" width="13" style="3469" customWidth="1"/>
    <col min="6156" max="6156" width="14.140625" style="3469" customWidth="1"/>
    <col min="6157" max="6157" width="13.85546875" style="3469" customWidth="1"/>
    <col min="6158" max="6158" width="12.140625" style="3469" customWidth="1"/>
    <col min="6159" max="6160" width="15" style="3469" customWidth="1"/>
    <col min="6161" max="6161" width="12.140625" style="3469" customWidth="1"/>
    <col min="6162" max="6162" width="16.5703125" style="3469" customWidth="1"/>
    <col min="6163" max="6163" width="12.5703125" style="3469" customWidth="1"/>
    <col min="6164" max="6164" width="24.85546875" style="3469" customWidth="1"/>
    <col min="6165" max="6165" width="11.7109375" style="3469" customWidth="1"/>
    <col min="6166" max="6167" width="13.5703125" style="3469" customWidth="1"/>
    <col min="6168" max="6168" width="18.7109375" style="3469" customWidth="1"/>
    <col min="6169" max="6169" width="13.42578125" style="3469" customWidth="1"/>
    <col min="6170" max="6170" width="18.5703125" style="3469" customWidth="1"/>
    <col min="6171" max="6171" width="13.28515625" style="3469" customWidth="1"/>
    <col min="6172" max="6172" width="13.140625" style="3469" customWidth="1"/>
    <col min="6173" max="6173" width="10.28515625" style="3469" customWidth="1"/>
    <col min="6174" max="6174" width="12.42578125" style="3469" customWidth="1"/>
    <col min="6175" max="6175" width="13.85546875" style="3469" customWidth="1"/>
    <col min="6176" max="6177" width="6.85546875" style="3469" customWidth="1"/>
    <col min="6178" max="6179" width="9.140625" style="3469"/>
    <col min="6180" max="6180" width="15.7109375" style="3469" customWidth="1"/>
    <col min="6181" max="6181" width="9.140625" style="3469"/>
    <col min="6182" max="6189" width="13.28515625" style="3469" bestFit="1" customWidth="1"/>
    <col min="6190" max="6190" width="18.7109375" style="3469" bestFit="1" customWidth="1"/>
    <col min="6191" max="6192" width="19" style="3469" bestFit="1" customWidth="1"/>
    <col min="6193" max="6199" width="13.28515625" style="3469" bestFit="1" customWidth="1"/>
    <col min="6200" max="6200" width="14.140625" style="3469" bestFit="1" customWidth="1"/>
    <col min="6201" max="6202" width="15.7109375" style="3469" bestFit="1" customWidth="1"/>
    <col min="6203" max="6205" width="14.140625" style="3469" bestFit="1" customWidth="1"/>
    <col min="6206" max="6207" width="15.7109375" style="3469" bestFit="1" customWidth="1"/>
    <col min="6208" max="6209" width="14.140625" style="3469" bestFit="1" customWidth="1"/>
    <col min="6210" max="6226" width="9.140625" style="3469"/>
    <col min="6227" max="6227" width="10" style="3469" bestFit="1" customWidth="1"/>
    <col min="6228" max="6387" width="9.140625" style="3469"/>
    <col min="6388" max="6388" width="43.85546875" style="3469" customWidth="1"/>
    <col min="6389" max="6389" width="7.140625" style="3469" customWidth="1"/>
    <col min="6390" max="6390" width="15.5703125" style="3469" customWidth="1"/>
    <col min="6391" max="6391" width="16" style="3469" customWidth="1"/>
    <col min="6392" max="6392" width="15.140625" style="3469" customWidth="1"/>
    <col min="6393" max="6393" width="14.85546875" style="3469" customWidth="1"/>
    <col min="6394" max="6394" width="16.28515625" style="3469" customWidth="1"/>
    <col min="6395" max="6395" width="13.85546875" style="3469" customWidth="1"/>
    <col min="6396" max="6396" width="14.140625" style="3469" customWidth="1"/>
    <col min="6397" max="6397" width="15.7109375" style="3469" bestFit="1" customWidth="1"/>
    <col min="6398" max="6398" width="13.42578125" style="3469" bestFit="1" customWidth="1"/>
    <col min="6399" max="6401" width="13.28515625" style="3469" customWidth="1"/>
    <col min="6402" max="6402" width="11.5703125" style="3469" customWidth="1"/>
    <col min="6403" max="6403" width="13.140625" style="3469" customWidth="1"/>
    <col min="6404" max="6404" width="13.85546875" style="3469" customWidth="1"/>
    <col min="6405" max="6405" width="15.140625" style="3469" customWidth="1"/>
    <col min="6406" max="6406" width="16.7109375" style="3469" customWidth="1"/>
    <col min="6407" max="6407" width="13.85546875" style="3469" customWidth="1"/>
    <col min="6408" max="6409" width="16.7109375" style="3469" customWidth="1"/>
    <col min="6410" max="6410" width="15" style="3469" customWidth="1"/>
    <col min="6411" max="6411" width="13" style="3469" customWidth="1"/>
    <col min="6412" max="6412" width="14.140625" style="3469" customWidth="1"/>
    <col min="6413" max="6413" width="13.85546875" style="3469" customWidth="1"/>
    <col min="6414" max="6414" width="12.140625" style="3469" customWidth="1"/>
    <col min="6415" max="6416" width="15" style="3469" customWidth="1"/>
    <col min="6417" max="6417" width="12.140625" style="3469" customWidth="1"/>
    <col min="6418" max="6418" width="16.5703125" style="3469" customWidth="1"/>
    <col min="6419" max="6419" width="12.5703125" style="3469" customWidth="1"/>
    <col min="6420" max="6420" width="24.85546875" style="3469" customWidth="1"/>
    <col min="6421" max="6421" width="11.7109375" style="3469" customWidth="1"/>
    <col min="6422" max="6423" width="13.5703125" style="3469" customWidth="1"/>
    <col min="6424" max="6424" width="18.7109375" style="3469" customWidth="1"/>
    <col min="6425" max="6425" width="13.42578125" style="3469" customWidth="1"/>
    <col min="6426" max="6426" width="18.5703125" style="3469" customWidth="1"/>
    <col min="6427" max="6427" width="13.28515625" style="3469" customWidth="1"/>
    <col min="6428" max="6428" width="13.140625" style="3469" customWidth="1"/>
    <col min="6429" max="6429" width="10.28515625" style="3469" customWidth="1"/>
    <col min="6430" max="6430" width="12.42578125" style="3469" customWidth="1"/>
    <col min="6431" max="6431" width="13.85546875" style="3469" customWidth="1"/>
    <col min="6432" max="6433" width="6.85546875" style="3469" customWidth="1"/>
    <col min="6434" max="6435" width="9.140625" style="3469"/>
    <col min="6436" max="6436" width="15.7109375" style="3469" customWidth="1"/>
    <col min="6437" max="6437" width="9.140625" style="3469"/>
    <col min="6438" max="6445" width="13.28515625" style="3469" bestFit="1" customWidth="1"/>
    <col min="6446" max="6446" width="18.7109375" style="3469" bestFit="1" customWidth="1"/>
    <col min="6447" max="6448" width="19" style="3469" bestFit="1" customWidth="1"/>
    <col min="6449" max="6455" width="13.28515625" style="3469" bestFit="1" customWidth="1"/>
    <col min="6456" max="6456" width="14.140625" style="3469" bestFit="1" customWidth="1"/>
    <col min="6457" max="6458" width="15.7109375" style="3469" bestFit="1" customWidth="1"/>
    <col min="6459" max="6461" width="14.140625" style="3469" bestFit="1" customWidth="1"/>
    <col min="6462" max="6463" width="15.7109375" style="3469" bestFit="1" customWidth="1"/>
    <col min="6464" max="6465" width="14.140625" style="3469" bestFit="1" customWidth="1"/>
    <col min="6466" max="6482" width="9.140625" style="3469"/>
    <col min="6483" max="6483" width="10" style="3469" bestFit="1" customWidth="1"/>
    <col min="6484" max="6643" width="9.140625" style="3469"/>
    <col min="6644" max="6644" width="43.85546875" style="3469" customWidth="1"/>
    <col min="6645" max="6645" width="7.140625" style="3469" customWidth="1"/>
    <col min="6646" max="6646" width="15.5703125" style="3469" customWidth="1"/>
    <col min="6647" max="6647" width="16" style="3469" customWidth="1"/>
    <col min="6648" max="6648" width="15.140625" style="3469" customWidth="1"/>
    <col min="6649" max="6649" width="14.85546875" style="3469" customWidth="1"/>
    <col min="6650" max="6650" width="16.28515625" style="3469" customWidth="1"/>
    <col min="6651" max="6651" width="13.85546875" style="3469" customWidth="1"/>
    <col min="6652" max="6652" width="14.140625" style="3469" customWidth="1"/>
    <col min="6653" max="6653" width="15.7109375" style="3469" bestFit="1" customWidth="1"/>
    <col min="6654" max="6654" width="13.42578125" style="3469" bestFit="1" customWidth="1"/>
    <col min="6655" max="6657" width="13.28515625" style="3469" customWidth="1"/>
    <col min="6658" max="6658" width="11.5703125" style="3469" customWidth="1"/>
    <col min="6659" max="6659" width="13.140625" style="3469" customWidth="1"/>
    <col min="6660" max="6660" width="13.85546875" style="3469" customWidth="1"/>
    <col min="6661" max="6661" width="15.140625" style="3469" customWidth="1"/>
    <col min="6662" max="6662" width="16.7109375" style="3469" customWidth="1"/>
    <col min="6663" max="6663" width="13.85546875" style="3469" customWidth="1"/>
    <col min="6664" max="6665" width="16.7109375" style="3469" customWidth="1"/>
    <col min="6666" max="6666" width="15" style="3469" customWidth="1"/>
    <col min="6667" max="6667" width="13" style="3469" customWidth="1"/>
    <col min="6668" max="6668" width="14.140625" style="3469" customWidth="1"/>
    <col min="6669" max="6669" width="13.85546875" style="3469" customWidth="1"/>
    <col min="6670" max="6670" width="12.140625" style="3469" customWidth="1"/>
    <col min="6671" max="6672" width="15" style="3469" customWidth="1"/>
    <col min="6673" max="6673" width="12.140625" style="3469" customWidth="1"/>
    <col min="6674" max="6674" width="16.5703125" style="3469" customWidth="1"/>
    <col min="6675" max="6675" width="12.5703125" style="3469" customWidth="1"/>
    <col min="6676" max="6676" width="24.85546875" style="3469" customWidth="1"/>
    <col min="6677" max="6677" width="11.7109375" style="3469" customWidth="1"/>
    <col min="6678" max="6679" width="13.5703125" style="3469" customWidth="1"/>
    <col min="6680" max="6680" width="18.7109375" style="3469" customWidth="1"/>
    <col min="6681" max="6681" width="13.42578125" style="3469" customWidth="1"/>
    <col min="6682" max="6682" width="18.5703125" style="3469" customWidth="1"/>
    <col min="6683" max="6683" width="13.28515625" style="3469" customWidth="1"/>
    <col min="6684" max="6684" width="13.140625" style="3469" customWidth="1"/>
    <col min="6685" max="6685" width="10.28515625" style="3469" customWidth="1"/>
    <col min="6686" max="6686" width="12.42578125" style="3469" customWidth="1"/>
    <col min="6687" max="6687" width="13.85546875" style="3469" customWidth="1"/>
    <col min="6688" max="6689" width="6.85546875" style="3469" customWidth="1"/>
    <col min="6690" max="6691" width="9.140625" style="3469"/>
    <col min="6692" max="6692" width="15.7109375" style="3469" customWidth="1"/>
    <col min="6693" max="6693" width="9.140625" style="3469"/>
    <col min="6694" max="6701" width="13.28515625" style="3469" bestFit="1" customWidth="1"/>
    <col min="6702" max="6702" width="18.7109375" style="3469" bestFit="1" customWidth="1"/>
    <col min="6703" max="6704" width="19" style="3469" bestFit="1" customWidth="1"/>
    <col min="6705" max="6711" width="13.28515625" style="3469" bestFit="1" customWidth="1"/>
    <col min="6712" max="6712" width="14.140625" style="3469" bestFit="1" customWidth="1"/>
    <col min="6713" max="6714" width="15.7109375" style="3469" bestFit="1" customWidth="1"/>
    <col min="6715" max="6717" width="14.140625" style="3469" bestFit="1" customWidth="1"/>
    <col min="6718" max="6719" width="15.7109375" style="3469" bestFit="1" customWidth="1"/>
    <col min="6720" max="6721" width="14.140625" style="3469" bestFit="1" customWidth="1"/>
    <col min="6722" max="6738" width="9.140625" style="3469"/>
    <col min="6739" max="6739" width="10" style="3469" bestFit="1" customWidth="1"/>
    <col min="6740" max="6899" width="9.140625" style="3469"/>
    <col min="6900" max="6900" width="43.85546875" style="3469" customWidth="1"/>
    <col min="6901" max="6901" width="7.140625" style="3469" customWidth="1"/>
    <col min="6902" max="6902" width="15.5703125" style="3469" customWidth="1"/>
    <col min="6903" max="6903" width="16" style="3469" customWidth="1"/>
    <col min="6904" max="6904" width="15.140625" style="3469" customWidth="1"/>
    <col min="6905" max="6905" width="14.85546875" style="3469" customWidth="1"/>
    <col min="6906" max="6906" width="16.28515625" style="3469" customWidth="1"/>
    <col min="6907" max="6907" width="13.85546875" style="3469" customWidth="1"/>
    <col min="6908" max="6908" width="14.140625" style="3469" customWidth="1"/>
    <col min="6909" max="6909" width="15.7109375" style="3469" bestFit="1" customWidth="1"/>
    <col min="6910" max="6910" width="13.42578125" style="3469" bestFit="1" customWidth="1"/>
    <col min="6911" max="6913" width="13.28515625" style="3469" customWidth="1"/>
    <col min="6914" max="6914" width="11.5703125" style="3469" customWidth="1"/>
    <col min="6915" max="6915" width="13.140625" style="3469" customWidth="1"/>
    <col min="6916" max="6916" width="13.85546875" style="3469" customWidth="1"/>
    <col min="6917" max="6917" width="15.140625" style="3469" customWidth="1"/>
    <col min="6918" max="6918" width="16.7109375" style="3469" customWidth="1"/>
    <col min="6919" max="6919" width="13.85546875" style="3469" customWidth="1"/>
    <col min="6920" max="6921" width="16.7109375" style="3469" customWidth="1"/>
    <col min="6922" max="6922" width="15" style="3469" customWidth="1"/>
    <col min="6923" max="6923" width="13" style="3469" customWidth="1"/>
    <col min="6924" max="6924" width="14.140625" style="3469" customWidth="1"/>
    <col min="6925" max="6925" width="13.85546875" style="3469" customWidth="1"/>
    <col min="6926" max="6926" width="12.140625" style="3469" customWidth="1"/>
    <col min="6927" max="6928" width="15" style="3469" customWidth="1"/>
    <col min="6929" max="6929" width="12.140625" style="3469" customWidth="1"/>
    <col min="6930" max="6930" width="16.5703125" style="3469" customWidth="1"/>
    <col min="6931" max="6931" width="12.5703125" style="3469" customWidth="1"/>
    <col min="6932" max="6932" width="24.85546875" style="3469" customWidth="1"/>
    <col min="6933" max="6933" width="11.7109375" style="3469" customWidth="1"/>
    <col min="6934" max="6935" width="13.5703125" style="3469" customWidth="1"/>
    <col min="6936" max="6936" width="18.7109375" style="3469" customWidth="1"/>
    <col min="6937" max="6937" width="13.42578125" style="3469" customWidth="1"/>
    <col min="6938" max="6938" width="18.5703125" style="3469" customWidth="1"/>
    <col min="6939" max="6939" width="13.28515625" style="3469" customWidth="1"/>
    <col min="6940" max="6940" width="13.140625" style="3469" customWidth="1"/>
    <col min="6941" max="6941" width="10.28515625" style="3469" customWidth="1"/>
    <col min="6942" max="6942" width="12.42578125" style="3469" customWidth="1"/>
    <col min="6943" max="6943" width="13.85546875" style="3469" customWidth="1"/>
    <col min="6944" max="6945" width="6.85546875" style="3469" customWidth="1"/>
    <col min="6946" max="6947" width="9.140625" style="3469"/>
    <col min="6948" max="6948" width="15.7109375" style="3469" customWidth="1"/>
    <col min="6949" max="6949" width="9.140625" style="3469"/>
    <col min="6950" max="6957" width="13.28515625" style="3469" bestFit="1" customWidth="1"/>
    <col min="6958" max="6958" width="18.7109375" style="3469" bestFit="1" customWidth="1"/>
    <col min="6959" max="6960" width="19" style="3469" bestFit="1" customWidth="1"/>
    <col min="6961" max="6967" width="13.28515625" style="3469" bestFit="1" customWidth="1"/>
    <col min="6968" max="6968" width="14.140625" style="3469" bestFit="1" customWidth="1"/>
    <col min="6969" max="6970" width="15.7109375" style="3469" bestFit="1" customWidth="1"/>
    <col min="6971" max="6973" width="14.140625" style="3469" bestFit="1" customWidth="1"/>
    <col min="6974" max="6975" width="15.7109375" style="3469" bestFit="1" customWidth="1"/>
    <col min="6976" max="6977" width="14.140625" style="3469" bestFit="1" customWidth="1"/>
    <col min="6978" max="6994" width="9.140625" style="3469"/>
    <col min="6995" max="6995" width="10" style="3469" bestFit="1" customWidth="1"/>
    <col min="6996" max="7155" width="9.140625" style="3469"/>
    <col min="7156" max="7156" width="43.85546875" style="3469" customWidth="1"/>
    <col min="7157" max="7157" width="7.140625" style="3469" customWidth="1"/>
    <col min="7158" max="7158" width="15.5703125" style="3469" customWidth="1"/>
    <col min="7159" max="7159" width="16" style="3469" customWidth="1"/>
    <col min="7160" max="7160" width="15.140625" style="3469" customWidth="1"/>
    <col min="7161" max="7161" width="14.85546875" style="3469" customWidth="1"/>
    <col min="7162" max="7162" width="16.28515625" style="3469" customWidth="1"/>
    <col min="7163" max="7163" width="13.85546875" style="3469" customWidth="1"/>
    <col min="7164" max="7164" width="14.140625" style="3469" customWidth="1"/>
    <col min="7165" max="7165" width="15.7109375" style="3469" bestFit="1" customWidth="1"/>
    <col min="7166" max="7166" width="13.42578125" style="3469" bestFit="1" customWidth="1"/>
    <col min="7167" max="7169" width="13.28515625" style="3469" customWidth="1"/>
    <col min="7170" max="7170" width="11.5703125" style="3469" customWidth="1"/>
    <col min="7171" max="7171" width="13.140625" style="3469" customWidth="1"/>
    <col min="7172" max="7172" width="13.85546875" style="3469" customWidth="1"/>
    <col min="7173" max="7173" width="15.140625" style="3469" customWidth="1"/>
    <col min="7174" max="7174" width="16.7109375" style="3469" customWidth="1"/>
    <col min="7175" max="7175" width="13.85546875" style="3469" customWidth="1"/>
    <col min="7176" max="7177" width="16.7109375" style="3469" customWidth="1"/>
    <col min="7178" max="7178" width="15" style="3469" customWidth="1"/>
    <col min="7179" max="7179" width="13" style="3469" customWidth="1"/>
    <col min="7180" max="7180" width="14.140625" style="3469" customWidth="1"/>
    <col min="7181" max="7181" width="13.85546875" style="3469" customWidth="1"/>
    <col min="7182" max="7182" width="12.140625" style="3469" customWidth="1"/>
    <col min="7183" max="7184" width="15" style="3469" customWidth="1"/>
    <col min="7185" max="7185" width="12.140625" style="3469" customWidth="1"/>
    <col min="7186" max="7186" width="16.5703125" style="3469" customWidth="1"/>
    <col min="7187" max="7187" width="12.5703125" style="3469" customWidth="1"/>
    <col min="7188" max="7188" width="24.85546875" style="3469" customWidth="1"/>
    <col min="7189" max="7189" width="11.7109375" style="3469" customWidth="1"/>
    <col min="7190" max="7191" width="13.5703125" style="3469" customWidth="1"/>
    <col min="7192" max="7192" width="18.7109375" style="3469" customWidth="1"/>
    <col min="7193" max="7193" width="13.42578125" style="3469" customWidth="1"/>
    <col min="7194" max="7194" width="18.5703125" style="3469" customWidth="1"/>
    <col min="7195" max="7195" width="13.28515625" style="3469" customWidth="1"/>
    <col min="7196" max="7196" width="13.140625" style="3469" customWidth="1"/>
    <col min="7197" max="7197" width="10.28515625" style="3469" customWidth="1"/>
    <col min="7198" max="7198" width="12.42578125" style="3469" customWidth="1"/>
    <col min="7199" max="7199" width="13.85546875" style="3469" customWidth="1"/>
    <col min="7200" max="7201" width="6.85546875" style="3469" customWidth="1"/>
    <col min="7202" max="7203" width="9.140625" style="3469"/>
    <col min="7204" max="7204" width="15.7109375" style="3469" customWidth="1"/>
    <col min="7205" max="7205" width="9.140625" style="3469"/>
    <col min="7206" max="7213" width="13.28515625" style="3469" bestFit="1" customWidth="1"/>
    <col min="7214" max="7214" width="18.7109375" style="3469" bestFit="1" customWidth="1"/>
    <col min="7215" max="7216" width="19" style="3469" bestFit="1" customWidth="1"/>
    <col min="7217" max="7223" width="13.28515625" style="3469" bestFit="1" customWidth="1"/>
    <col min="7224" max="7224" width="14.140625" style="3469" bestFit="1" customWidth="1"/>
    <col min="7225" max="7226" width="15.7109375" style="3469" bestFit="1" customWidth="1"/>
    <col min="7227" max="7229" width="14.140625" style="3469" bestFit="1" customWidth="1"/>
    <col min="7230" max="7231" width="15.7109375" style="3469" bestFit="1" customWidth="1"/>
    <col min="7232" max="7233" width="14.140625" style="3469" bestFit="1" customWidth="1"/>
    <col min="7234" max="7250" width="9.140625" style="3469"/>
    <col min="7251" max="7251" width="10" style="3469" bestFit="1" customWidth="1"/>
    <col min="7252" max="7411" width="9.140625" style="3469"/>
    <col min="7412" max="7412" width="43.85546875" style="3469" customWidth="1"/>
    <col min="7413" max="7413" width="7.140625" style="3469" customWidth="1"/>
    <col min="7414" max="7414" width="15.5703125" style="3469" customWidth="1"/>
    <col min="7415" max="7415" width="16" style="3469" customWidth="1"/>
    <col min="7416" max="7416" width="15.140625" style="3469" customWidth="1"/>
    <col min="7417" max="7417" width="14.85546875" style="3469" customWidth="1"/>
    <col min="7418" max="7418" width="16.28515625" style="3469" customWidth="1"/>
    <col min="7419" max="7419" width="13.85546875" style="3469" customWidth="1"/>
    <col min="7420" max="7420" width="14.140625" style="3469" customWidth="1"/>
    <col min="7421" max="7421" width="15.7109375" style="3469" bestFit="1" customWidth="1"/>
    <col min="7422" max="7422" width="13.42578125" style="3469" bestFit="1" customWidth="1"/>
    <col min="7423" max="7425" width="13.28515625" style="3469" customWidth="1"/>
    <col min="7426" max="7426" width="11.5703125" style="3469" customWidth="1"/>
    <col min="7427" max="7427" width="13.140625" style="3469" customWidth="1"/>
    <col min="7428" max="7428" width="13.85546875" style="3469" customWidth="1"/>
    <col min="7429" max="7429" width="15.140625" style="3469" customWidth="1"/>
    <col min="7430" max="7430" width="16.7109375" style="3469" customWidth="1"/>
    <col min="7431" max="7431" width="13.85546875" style="3469" customWidth="1"/>
    <col min="7432" max="7433" width="16.7109375" style="3469" customWidth="1"/>
    <col min="7434" max="7434" width="15" style="3469" customWidth="1"/>
    <col min="7435" max="7435" width="13" style="3469" customWidth="1"/>
    <col min="7436" max="7436" width="14.140625" style="3469" customWidth="1"/>
    <col min="7437" max="7437" width="13.85546875" style="3469" customWidth="1"/>
    <col min="7438" max="7438" width="12.140625" style="3469" customWidth="1"/>
    <col min="7439" max="7440" width="15" style="3469" customWidth="1"/>
    <col min="7441" max="7441" width="12.140625" style="3469" customWidth="1"/>
    <col min="7442" max="7442" width="16.5703125" style="3469" customWidth="1"/>
    <col min="7443" max="7443" width="12.5703125" style="3469" customWidth="1"/>
    <col min="7444" max="7444" width="24.85546875" style="3469" customWidth="1"/>
    <col min="7445" max="7445" width="11.7109375" style="3469" customWidth="1"/>
    <col min="7446" max="7447" width="13.5703125" style="3469" customWidth="1"/>
    <col min="7448" max="7448" width="18.7109375" style="3469" customWidth="1"/>
    <col min="7449" max="7449" width="13.42578125" style="3469" customWidth="1"/>
    <col min="7450" max="7450" width="18.5703125" style="3469" customWidth="1"/>
    <col min="7451" max="7451" width="13.28515625" style="3469" customWidth="1"/>
    <col min="7452" max="7452" width="13.140625" style="3469" customWidth="1"/>
    <col min="7453" max="7453" width="10.28515625" style="3469" customWidth="1"/>
    <col min="7454" max="7454" width="12.42578125" style="3469" customWidth="1"/>
    <col min="7455" max="7455" width="13.85546875" style="3469" customWidth="1"/>
    <col min="7456" max="7457" width="6.85546875" style="3469" customWidth="1"/>
    <col min="7458" max="7459" width="9.140625" style="3469"/>
    <col min="7460" max="7460" width="15.7109375" style="3469" customWidth="1"/>
    <col min="7461" max="7461" width="9.140625" style="3469"/>
    <col min="7462" max="7469" width="13.28515625" style="3469" bestFit="1" customWidth="1"/>
    <col min="7470" max="7470" width="18.7109375" style="3469" bestFit="1" customWidth="1"/>
    <col min="7471" max="7472" width="19" style="3469" bestFit="1" customWidth="1"/>
    <col min="7473" max="7479" width="13.28515625" style="3469" bestFit="1" customWidth="1"/>
    <col min="7480" max="7480" width="14.140625" style="3469" bestFit="1" customWidth="1"/>
    <col min="7481" max="7482" width="15.7109375" style="3469" bestFit="1" customWidth="1"/>
    <col min="7483" max="7485" width="14.140625" style="3469" bestFit="1" customWidth="1"/>
    <col min="7486" max="7487" width="15.7109375" style="3469" bestFit="1" customWidth="1"/>
    <col min="7488" max="7489" width="14.140625" style="3469" bestFit="1" customWidth="1"/>
    <col min="7490" max="7506" width="9.140625" style="3469"/>
    <col min="7507" max="7507" width="10" style="3469" bestFit="1" customWidth="1"/>
    <col min="7508" max="7667" width="9.140625" style="3469"/>
    <col min="7668" max="7668" width="43.85546875" style="3469" customWidth="1"/>
    <col min="7669" max="7669" width="7.140625" style="3469" customWidth="1"/>
    <col min="7670" max="7670" width="15.5703125" style="3469" customWidth="1"/>
    <col min="7671" max="7671" width="16" style="3469" customWidth="1"/>
    <col min="7672" max="7672" width="15.140625" style="3469" customWidth="1"/>
    <col min="7673" max="7673" width="14.85546875" style="3469" customWidth="1"/>
    <col min="7674" max="7674" width="16.28515625" style="3469" customWidth="1"/>
    <col min="7675" max="7675" width="13.85546875" style="3469" customWidth="1"/>
    <col min="7676" max="7676" width="14.140625" style="3469" customWidth="1"/>
    <col min="7677" max="7677" width="15.7109375" style="3469" bestFit="1" customWidth="1"/>
    <col min="7678" max="7678" width="13.42578125" style="3469" bestFit="1" customWidth="1"/>
    <col min="7679" max="7681" width="13.28515625" style="3469" customWidth="1"/>
    <col min="7682" max="7682" width="11.5703125" style="3469" customWidth="1"/>
    <col min="7683" max="7683" width="13.140625" style="3469" customWidth="1"/>
    <col min="7684" max="7684" width="13.85546875" style="3469" customWidth="1"/>
    <col min="7685" max="7685" width="15.140625" style="3469" customWidth="1"/>
    <col min="7686" max="7686" width="16.7109375" style="3469" customWidth="1"/>
    <col min="7687" max="7687" width="13.85546875" style="3469" customWidth="1"/>
    <col min="7688" max="7689" width="16.7109375" style="3469" customWidth="1"/>
    <col min="7690" max="7690" width="15" style="3469" customWidth="1"/>
    <col min="7691" max="7691" width="13" style="3469" customWidth="1"/>
    <col min="7692" max="7692" width="14.140625" style="3469" customWidth="1"/>
    <col min="7693" max="7693" width="13.85546875" style="3469" customWidth="1"/>
    <col min="7694" max="7694" width="12.140625" style="3469" customWidth="1"/>
    <col min="7695" max="7696" width="15" style="3469" customWidth="1"/>
    <col min="7697" max="7697" width="12.140625" style="3469" customWidth="1"/>
    <col min="7698" max="7698" width="16.5703125" style="3469" customWidth="1"/>
    <col min="7699" max="7699" width="12.5703125" style="3469" customWidth="1"/>
    <col min="7700" max="7700" width="24.85546875" style="3469" customWidth="1"/>
    <col min="7701" max="7701" width="11.7109375" style="3469" customWidth="1"/>
    <col min="7702" max="7703" width="13.5703125" style="3469" customWidth="1"/>
    <col min="7704" max="7704" width="18.7109375" style="3469" customWidth="1"/>
    <col min="7705" max="7705" width="13.42578125" style="3469" customWidth="1"/>
    <col min="7706" max="7706" width="18.5703125" style="3469" customWidth="1"/>
    <col min="7707" max="7707" width="13.28515625" style="3469" customWidth="1"/>
    <col min="7708" max="7708" width="13.140625" style="3469" customWidth="1"/>
    <col min="7709" max="7709" width="10.28515625" style="3469" customWidth="1"/>
    <col min="7710" max="7710" width="12.42578125" style="3469" customWidth="1"/>
    <col min="7711" max="7711" width="13.85546875" style="3469" customWidth="1"/>
    <col min="7712" max="7713" width="6.85546875" style="3469" customWidth="1"/>
    <col min="7714" max="7715" width="9.140625" style="3469"/>
    <col min="7716" max="7716" width="15.7109375" style="3469" customWidth="1"/>
    <col min="7717" max="7717" width="9.140625" style="3469"/>
    <col min="7718" max="7725" width="13.28515625" style="3469" bestFit="1" customWidth="1"/>
    <col min="7726" max="7726" width="18.7109375" style="3469" bestFit="1" customWidth="1"/>
    <col min="7727" max="7728" width="19" style="3469" bestFit="1" customWidth="1"/>
    <col min="7729" max="7735" width="13.28515625" style="3469" bestFit="1" customWidth="1"/>
    <col min="7736" max="7736" width="14.140625" style="3469" bestFit="1" customWidth="1"/>
    <col min="7737" max="7738" width="15.7109375" style="3469" bestFit="1" customWidth="1"/>
    <col min="7739" max="7741" width="14.140625" style="3469" bestFit="1" customWidth="1"/>
    <col min="7742" max="7743" width="15.7109375" style="3469" bestFit="1" customWidth="1"/>
    <col min="7744" max="7745" width="14.140625" style="3469" bestFit="1" customWidth="1"/>
    <col min="7746" max="7762" width="9.140625" style="3469"/>
    <col min="7763" max="7763" width="10" style="3469" bestFit="1" customWidth="1"/>
    <col min="7764" max="7923" width="9.140625" style="3469"/>
    <col min="7924" max="7924" width="43.85546875" style="3469" customWidth="1"/>
    <col min="7925" max="7925" width="7.140625" style="3469" customWidth="1"/>
    <col min="7926" max="7926" width="15.5703125" style="3469" customWidth="1"/>
    <col min="7927" max="7927" width="16" style="3469" customWidth="1"/>
    <col min="7928" max="7928" width="15.140625" style="3469" customWidth="1"/>
    <col min="7929" max="7929" width="14.85546875" style="3469" customWidth="1"/>
    <col min="7930" max="7930" width="16.28515625" style="3469" customWidth="1"/>
    <col min="7931" max="7931" width="13.85546875" style="3469" customWidth="1"/>
    <col min="7932" max="7932" width="14.140625" style="3469" customWidth="1"/>
    <col min="7933" max="7933" width="15.7109375" style="3469" bestFit="1" customWidth="1"/>
    <col min="7934" max="7934" width="13.42578125" style="3469" bestFit="1" customWidth="1"/>
    <col min="7935" max="7937" width="13.28515625" style="3469" customWidth="1"/>
    <col min="7938" max="7938" width="11.5703125" style="3469" customWidth="1"/>
    <col min="7939" max="7939" width="13.140625" style="3469" customWidth="1"/>
    <col min="7940" max="7940" width="13.85546875" style="3469" customWidth="1"/>
    <col min="7941" max="7941" width="15.140625" style="3469" customWidth="1"/>
    <col min="7942" max="7942" width="16.7109375" style="3469" customWidth="1"/>
    <col min="7943" max="7943" width="13.85546875" style="3469" customWidth="1"/>
    <col min="7944" max="7945" width="16.7109375" style="3469" customWidth="1"/>
    <col min="7946" max="7946" width="15" style="3469" customWidth="1"/>
    <col min="7947" max="7947" width="13" style="3469" customWidth="1"/>
    <col min="7948" max="7948" width="14.140625" style="3469" customWidth="1"/>
    <col min="7949" max="7949" width="13.85546875" style="3469" customWidth="1"/>
    <col min="7950" max="7950" width="12.140625" style="3469" customWidth="1"/>
    <col min="7951" max="7952" width="15" style="3469" customWidth="1"/>
    <col min="7953" max="7953" width="12.140625" style="3469" customWidth="1"/>
    <col min="7954" max="7954" width="16.5703125" style="3469" customWidth="1"/>
    <col min="7955" max="7955" width="12.5703125" style="3469" customWidth="1"/>
    <col min="7956" max="7956" width="24.85546875" style="3469" customWidth="1"/>
    <col min="7957" max="7957" width="11.7109375" style="3469" customWidth="1"/>
    <col min="7958" max="7959" width="13.5703125" style="3469" customWidth="1"/>
    <col min="7960" max="7960" width="18.7109375" style="3469" customWidth="1"/>
    <col min="7961" max="7961" width="13.42578125" style="3469" customWidth="1"/>
    <col min="7962" max="7962" width="18.5703125" style="3469" customWidth="1"/>
    <col min="7963" max="7963" width="13.28515625" style="3469" customWidth="1"/>
    <col min="7964" max="7964" width="13.140625" style="3469" customWidth="1"/>
    <col min="7965" max="7965" width="10.28515625" style="3469" customWidth="1"/>
    <col min="7966" max="7966" width="12.42578125" style="3469" customWidth="1"/>
    <col min="7967" max="7967" width="13.85546875" style="3469" customWidth="1"/>
    <col min="7968" max="7969" width="6.85546875" style="3469" customWidth="1"/>
    <col min="7970" max="7971" width="9.140625" style="3469"/>
    <col min="7972" max="7972" width="15.7109375" style="3469" customWidth="1"/>
    <col min="7973" max="7973" width="9.140625" style="3469"/>
    <col min="7974" max="7981" width="13.28515625" style="3469" bestFit="1" customWidth="1"/>
    <col min="7982" max="7982" width="18.7109375" style="3469" bestFit="1" customWidth="1"/>
    <col min="7983" max="7984" width="19" style="3469" bestFit="1" customWidth="1"/>
    <col min="7985" max="7991" width="13.28515625" style="3469" bestFit="1" customWidth="1"/>
    <col min="7992" max="7992" width="14.140625" style="3469" bestFit="1" customWidth="1"/>
    <col min="7993" max="7994" width="15.7109375" style="3469" bestFit="1" customWidth="1"/>
    <col min="7995" max="7997" width="14.140625" style="3469" bestFit="1" customWidth="1"/>
    <col min="7998" max="7999" width="15.7109375" style="3469" bestFit="1" customWidth="1"/>
    <col min="8000" max="8001" width="14.140625" style="3469" bestFit="1" customWidth="1"/>
    <col min="8002" max="8018" width="9.140625" style="3469"/>
    <col min="8019" max="8019" width="10" style="3469" bestFit="1" customWidth="1"/>
    <col min="8020" max="8179" width="9.140625" style="3469"/>
    <col min="8180" max="8180" width="43.85546875" style="3469" customWidth="1"/>
    <col min="8181" max="8181" width="7.140625" style="3469" customWidth="1"/>
    <col min="8182" max="8182" width="15.5703125" style="3469" customWidth="1"/>
    <col min="8183" max="8183" width="16" style="3469" customWidth="1"/>
    <col min="8184" max="8184" width="15.140625" style="3469" customWidth="1"/>
    <col min="8185" max="8185" width="14.85546875" style="3469" customWidth="1"/>
    <col min="8186" max="8186" width="16.28515625" style="3469" customWidth="1"/>
    <col min="8187" max="8187" width="13.85546875" style="3469" customWidth="1"/>
    <col min="8188" max="8188" width="14.140625" style="3469" customWidth="1"/>
    <col min="8189" max="8189" width="15.7109375" style="3469" bestFit="1" customWidth="1"/>
    <col min="8190" max="8190" width="13.42578125" style="3469" bestFit="1" customWidth="1"/>
    <col min="8191" max="8193" width="13.28515625" style="3469" customWidth="1"/>
    <col min="8194" max="8194" width="11.5703125" style="3469" customWidth="1"/>
    <col min="8195" max="8195" width="13.140625" style="3469" customWidth="1"/>
    <col min="8196" max="8196" width="13.85546875" style="3469" customWidth="1"/>
    <col min="8197" max="8197" width="15.140625" style="3469" customWidth="1"/>
    <col min="8198" max="8198" width="16.7109375" style="3469" customWidth="1"/>
    <col min="8199" max="8199" width="13.85546875" style="3469" customWidth="1"/>
    <col min="8200" max="8201" width="16.7109375" style="3469" customWidth="1"/>
    <col min="8202" max="8202" width="15" style="3469" customWidth="1"/>
    <col min="8203" max="8203" width="13" style="3469" customWidth="1"/>
    <col min="8204" max="8204" width="14.140625" style="3469" customWidth="1"/>
    <col min="8205" max="8205" width="13.85546875" style="3469" customWidth="1"/>
    <col min="8206" max="8206" width="12.140625" style="3469" customWidth="1"/>
    <col min="8207" max="8208" width="15" style="3469" customWidth="1"/>
    <col min="8209" max="8209" width="12.140625" style="3469" customWidth="1"/>
    <col min="8210" max="8210" width="16.5703125" style="3469" customWidth="1"/>
    <col min="8211" max="8211" width="12.5703125" style="3469" customWidth="1"/>
    <col min="8212" max="8212" width="24.85546875" style="3469" customWidth="1"/>
    <col min="8213" max="8213" width="11.7109375" style="3469" customWidth="1"/>
    <col min="8214" max="8215" width="13.5703125" style="3469" customWidth="1"/>
    <col min="8216" max="8216" width="18.7109375" style="3469" customWidth="1"/>
    <col min="8217" max="8217" width="13.42578125" style="3469" customWidth="1"/>
    <col min="8218" max="8218" width="18.5703125" style="3469" customWidth="1"/>
    <col min="8219" max="8219" width="13.28515625" style="3469" customWidth="1"/>
    <col min="8220" max="8220" width="13.140625" style="3469" customWidth="1"/>
    <col min="8221" max="8221" width="10.28515625" style="3469" customWidth="1"/>
    <col min="8222" max="8222" width="12.42578125" style="3469" customWidth="1"/>
    <col min="8223" max="8223" width="13.85546875" style="3469" customWidth="1"/>
    <col min="8224" max="8225" width="6.85546875" style="3469" customWidth="1"/>
    <col min="8226" max="8227" width="9.140625" style="3469"/>
    <col min="8228" max="8228" width="15.7109375" style="3469" customWidth="1"/>
    <col min="8229" max="8229" width="9.140625" style="3469"/>
    <col min="8230" max="8237" width="13.28515625" style="3469" bestFit="1" customWidth="1"/>
    <col min="8238" max="8238" width="18.7109375" style="3469" bestFit="1" customWidth="1"/>
    <col min="8239" max="8240" width="19" style="3469" bestFit="1" customWidth="1"/>
    <col min="8241" max="8247" width="13.28515625" style="3469" bestFit="1" customWidth="1"/>
    <col min="8248" max="8248" width="14.140625" style="3469" bestFit="1" customWidth="1"/>
    <col min="8249" max="8250" width="15.7109375" style="3469" bestFit="1" customWidth="1"/>
    <col min="8251" max="8253" width="14.140625" style="3469" bestFit="1" customWidth="1"/>
    <col min="8254" max="8255" width="15.7109375" style="3469" bestFit="1" customWidth="1"/>
    <col min="8256" max="8257" width="14.140625" style="3469" bestFit="1" customWidth="1"/>
    <col min="8258" max="8274" width="9.140625" style="3469"/>
    <col min="8275" max="8275" width="10" style="3469" bestFit="1" customWidth="1"/>
    <col min="8276" max="8435" width="9.140625" style="3469"/>
    <col min="8436" max="8436" width="43.85546875" style="3469" customWidth="1"/>
    <col min="8437" max="8437" width="7.140625" style="3469" customWidth="1"/>
    <col min="8438" max="8438" width="15.5703125" style="3469" customWidth="1"/>
    <col min="8439" max="8439" width="16" style="3469" customWidth="1"/>
    <col min="8440" max="8440" width="15.140625" style="3469" customWidth="1"/>
    <col min="8441" max="8441" width="14.85546875" style="3469" customWidth="1"/>
    <col min="8442" max="8442" width="16.28515625" style="3469" customWidth="1"/>
    <col min="8443" max="8443" width="13.85546875" style="3469" customWidth="1"/>
    <col min="8444" max="8444" width="14.140625" style="3469" customWidth="1"/>
    <col min="8445" max="8445" width="15.7109375" style="3469" bestFit="1" customWidth="1"/>
    <col min="8446" max="8446" width="13.42578125" style="3469" bestFit="1" customWidth="1"/>
    <col min="8447" max="8449" width="13.28515625" style="3469" customWidth="1"/>
    <col min="8450" max="8450" width="11.5703125" style="3469" customWidth="1"/>
    <col min="8451" max="8451" width="13.140625" style="3469" customWidth="1"/>
    <col min="8452" max="8452" width="13.85546875" style="3469" customWidth="1"/>
    <col min="8453" max="8453" width="15.140625" style="3469" customWidth="1"/>
    <col min="8454" max="8454" width="16.7109375" style="3469" customWidth="1"/>
    <col min="8455" max="8455" width="13.85546875" style="3469" customWidth="1"/>
    <col min="8456" max="8457" width="16.7109375" style="3469" customWidth="1"/>
    <col min="8458" max="8458" width="15" style="3469" customWidth="1"/>
    <col min="8459" max="8459" width="13" style="3469" customWidth="1"/>
    <col min="8460" max="8460" width="14.140625" style="3469" customWidth="1"/>
    <col min="8461" max="8461" width="13.85546875" style="3469" customWidth="1"/>
    <col min="8462" max="8462" width="12.140625" style="3469" customWidth="1"/>
    <col min="8463" max="8464" width="15" style="3469" customWidth="1"/>
    <col min="8465" max="8465" width="12.140625" style="3469" customWidth="1"/>
    <col min="8466" max="8466" width="16.5703125" style="3469" customWidth="1"/>
    <col min="8467" max="8467" width="12.5703125" style="3469" customWidth="1"/>
    <col min="8468" max="8468" width="24.85546875" style="3469" customWidth="1"/>
    <col min="8469" max="8469" width="11.7109375" style="3469" customWidth="1"/>
    <col min="8470" max="8471" width="13.5703125" style="3469" customWidth="1"/>
    <col min="8472" max="8472" width="18.7109375" style="3469" customWidth="1"/>
    <col min="8473" max="8473" width="13.42578125" style="3469" customWidth="1"/>
    <col min="8474" max="8474" width="18.5703125" style="3469" customWidth="1"/>
    <col min="8475" max="8475" width="13.28515625" style="3469" customWidth="1"/>
    <col min="8476" max="8476" width="13.140625" style="3469" customWidth="1"/>
    <col min="8477" max="8477" width="10.28515625" style="3469" customWidth="1"/>
    <col min="8478" max="8478" width="12.42578125" style="3469" customWidth="1"/>
    <col min="8479" max="8479" width="13.85546875" style="3469" customWidth="1"/>
    <col min="8480" max="8481" width="6.85546875" style="3469" customWidth="1"/>
    <col min="8482" max="8483" width="9.140625" style="3469"/>
    <col min="8484" max="8484" width="15.7109375" style="3469" customWidth="1"/>
    <col min="8485" max="8485" width="9.140625" style="3469"/>
    <col min="8486" max="8493" width="13.28515625" style="3469" bestFit="1" customWidth="1"/>
    <col min="8494" max="8494" width="18.7109375" style="3469" bestFit="1" customWidth="1"/>
    <col min="8495" max="8496" width="19" style="3469" bestFit="1" customWidth="1"/>
    <col min="8497" max="8503" width="13.28515625" style="3469" bestFit="1" customWidth="1"/>
    <col min="8504" max="8504" width="14.140625" style="3469" bestFit="1" customWidth="1"/>
    <col min="8505" max="8506" width="15.7109375" style="3469" bestFit="1" customWidth="1"/>
    <col min="8507" max="8509" width="14.140625" style="3469" bestFit="1" customWidth="1"/>
    <col min="8510" max="8511" width="15.7109375" style="3469" bestFit="1" customWidth="1"/>
    <col min="8512" max="8513" width="14.140625" style="3469" bestFit="1" customWidth="1"/>
    <col min="8514" max="8530" width="9.140625" style="3469"/>
    <col min="8531" max="8531" width="10" style="3469" bestFit="1" customWidth="1"/>
    <col min="8532" max="8691" width="9.140625" style="3469"/>
    <col min="8692" max="8692" width="43.85546875" style="3469" customWidth="1"/>
    <col min="8693" max="8693" width="7.140625" style="3469" customWidth="1"/>
    <col min="8694" max="8694" width="15.5703125" style="3469" customWidth="1"/>
    <col min="8695" max="8695" width="16" style="3469" customWidth="1"/>
    <col min="8696" max="8696" width="15.140625" style="3469" customWidth="1"/>
    <col min="8697" max="8697" width="14.85546875" style="3469" customWidth="1"/>
    <col min="8698" max="8698" width="16.28515625" style="3469" customWidth="1"/>
    <col min="8699" max="8699" width="13.85546875" style="3469" customWidth="1"/>
    <col min="8700" max="8700" width="14.140625" style="3469" customWidth="1"/>
    <col min="8701" max="8701" width="15.7109375" style="3469" bestFit="1" customWidth="1"/>
    <col min="8702" max="8702" width="13.42578125" style="3469" bestFit="1" customWidth="1"/>
    <col min="8703" max="8705" width="13.28515625" style="3469" customWidth="1"/>
    <col min="8706" max="8706" width="11.5703125" style="3469" customWidth="1"/>
    <col min="8707" max="8707" width="13.140625" style="3469" customWidth="1"/>
    <col min="8708" max="8708" width="13.85546875" style="3469" customWidth="1"/>
    <col min="8709" max="8709" width="15.140625" style="3469" customWidth="1"/>
    <col min="8710" max="8710" width="16.7109375" style="3469" customWidth="1"/>
    <col min="8711" max="8711" width="13.85546875" style="3469" customWidth="1"/>
    <col min="8712" max="8713" width="16.7109375" style="3469" customWidth="1"/>
    <col min="8714" max="8714" width="15" style="3469" customWidth="1"/>
    <col min="8715" max="8715" width="13" style="3469" customWidth="1"/>
    <col min="8716" max="8716" width="14.140625" style="3469" customWidth="1"/>
    <col min="8717" max="8717" width="13.85546875" style="3469" customWidth="1"/>
    <col min="8718" max="8718" width="12.140625" style="3469" customWidth="1"/>
    <col min="8719" max="8720" width="15" style="3469" customWidth="1"/>
    <col min="8721" max="8721" width="12.140625" style="3469" customWidth="1"/>
    <col min="8722" max="8722" width="16.5703125" style="3469" customWidth="1"/>
    <col min="8723" max="8723" width="12.5703125" style="3469" customWidth="1"/>
    <col min="8724" max="8724" width="24.85546875" style="3469" customWidth="1"/>
    <col min="8725" max="8725" width="11.7109375" style="3469" customWidth="1"/>
    <col min="8726" max="8727" width="13.5703125" style="3469" customWidth="1"/>
    <col min="8728" max="8728" width="18.7109375" style="3469" customWidth="1"/>
    <col min="8729" max="8729" width="13.42578125" style="3469" customWidth="1"/>
    <col min="8730" max="8730" width="18.5703125" style="3469" customWidth="1"/>
    <col min="8731" max="8731" width="13.28515625" style="3469" customWidth="1"/>
    <col min="8732" max="8732" width="13.140625" style="3469" customWidth="1"/>
    <col min="8733" max="8733" width="10.28515625" style="3469" customWidth="1"/>
    <col min="8734" max="8734" width="12.42578125" style="3469" customWidth="1"/>
    <col min="8735" max="8735" width="13.85546875" style="3469" customWidth="1"/>
    <col min="8736" max="8737" width="6.85546875" style="3469" customWidth="1"/>
    <col min="8738" max="8739" width="9.140625" style="3469"/>
    <col min="8740" max="8740" width="15.7109375" style="3469" customWidth="1"/>
    <col min="8741" max="8741" width="9.140625" style="3469"/>
    <col min="8742" max="8749" width="13.28515625" style="3469" bestFit="1" customWidth="1"/>
    <col min="8750" max="8750" width="18.7109375" style="3469" bestFit="1" customWidth="1"/>
    <col min="8751" max="8752" width="19" style="3469" bestFit="1" customWidth="1"/>
    <col min="8753" max="8759" width="13.28515625" style="3469" bestFit="1" customWidth="1"/>
    <col min="8760" max="8760" width="14.140625" style="3469" bestFit="1" customWidth="1"/>
    <col min="8761" max="8762" width="15.7109375" style="3469" bestFit="1" customWidth="1"/>
    <col min="8763" max="8765" width="14.140625" style="3469" bestFit="1" customWidth="1"/>
    <col min="8766" max="8767" width="15.7109375" style="3469" bestFit="1" customWidth="1"/>
    <col min="8768" max="8769" width="14.140625" style="3469" bestFit="1" customWidth="1"/>
    <col min="8770" max="8786" width="9.140625" style="3469"/>
    <col min="8787" max="8787" width="10" style="3469" bestFit="1" customWidth="1"/>
    <col min="8788" max="8947" width="9.140625" style="3469"/>
    <col min="8948" max="8948" width="43.85546875" style="3469" customWidth="1"/>
    <col min="8949" max="8949" width="7.140625" style="3469" customWidth="1"/>
    <col min="8950" max="8950" width="15.5703125" style="3469" customWidth="1"/>
    <col min="8951" max="8951" width="16" style="3469" customWidth="1"/>
    <col min="8952" max="8952" width="15.140625" style="3469" customWidth="1"/>
    <col min="8953" max="8953" width="14.85546875" style="3469" customWidth="1"/>
    <col min="8954" max="8954" width="16.28515625" style="3469" customWidth="1"/>
    <col min="8955" max="8955" width="13.85546875" style="3469" customWidth="1"/>
    <col min="8956" max="8956" width="14.140625" style="3469" customWidth="1"/>
    <col min="8957" max="8957" width="15.7109375" style="3469" bestFit="1" customWidth="1"/>
    <col min="8958" max="8958" width="13.42578125" style="3469" bestFit="1" customWidth="1"/>
    <col min="8959" max="8961" width="13.28515625" style="3469" customWidth="1"/>
    <col min="8962" max="8962" width="11.5703125" style="3469" customWidth="1"/>
    <col min="8963" max="8963" width="13.140625" style="3469" customWidth="1"/>
    <col min="8964" max="8964" width="13.85546875" style="3469" customWidth="1"/>
    <col min="8965" max="8965" width="15.140625" style="3469" customWidth="1"/>
    <col min="8966" max="8966" width="16.7109375" style="3469" customWidth="1"/>
    <col min="8967" max="8967" width="13.85546875" style="3469" customWidth="1"/>
    <col min="8968" max="8969" width="16.7109375" style="3469" customWidth="1"/>
    <col min="8970" max="8970" width="15" style="3469" customWidth="1"/>
    <col min="8971" max="8971" width="13" style="3469" customWidth="1"/>
    <col min="8972" max="8972" width="14.140625" style="3469" customWidth="1"/>
    <col min="8973" max="8973" width="13.85546875" style="3469" customWidth="1"/>
    <col min="8974" max="8974" width="12.140625" style="3469" customWidth="1"/>
    <col min="8975" max="8976" width="15" style="3469" customWidth="1"/>
    <col min="8977" max="8977" width="12.140625" style="3469" customWidth="1"/>
    <col min="8978" max="8978" width="16.5703125" style="3469" customWidth="1"/>
    <col min="8979" max="8979" width="12.5703125" style="3469" customWidth="1"/>
    <col min="8980" max="8980" width="24.85546875" style="3469" customWidth="1"/>
    <col min="8981" max="8981" width="11.7109375" style="3469" customWidth="1"/>
    <col min="8982" max="8983" width="13.5703125" style="3469" customWidth="1"/>
    <col min="8984" max="8984" width="18.7109375" style="3469" customWidth="1"/>
    <col min="8985" max="8985" width="13.42578125" style="3469" customWidth="1"/>
    <col min="8986" max="8986" width="18.5703125" style="3469" customWidth="1"/>
    <col min="8987" max="8987" width="13.28515625" style="3469" customWidth="1"/>
    <col min="8988" max="8988" width="13.140625" style="3469" customWidth="1"/>
    <col min="8989" max="8989" width="10.28515625" style="3469" customWidth="1"/>
    <col min="8990" max="8990" width="12.42578125" style="3469" customWidth="1"/>
    <col min="8991" max="8991" width="13.85546875" style="3469" customWidth="1"/>
    <col min="8992" max="8993" width="6.85546875" style="3469" customWidth="1"/>
    <col min="8994" max="8995" width="9.140625" style="3469"/>
    <col min="8996" max="8996" width="15.7109375" style="3469" customWidth="1"/>
    <col min="8997" max="8997" width="9.140625" style="3469"/>
    <col min="8998" max="9005" width="13.28515625" style="3469" bestFit="1" customWidth="1"/>
    <col min="9006" max="9006" width="18.7109375" style="3469" bestFit="1" customWidth="1"/>
    <col min="9007" max="9008" width="19" style="3469" bestFit="1" customWidth="1"/>
    <col min="9009" max="9015" width="13.28515625" style="3469" bestFit="1" customWidth="1"/>
    <col min="9016" max="9016" width="14.140625" style="3469" bestFit="1" customWidth="1"/>
    <col min="9017" max="9018" width="15.7109375" style="3469" bestFit="1" customWidth="1"/>
    <col min="9019" max="9021" width="14.140625" style="3469" bestFit="1" customWidth="1"/>
    <col min="9022" max="9023" width="15.7109375" style="3469" bestFit="1" customWidth="1"/>
    <col min="9024" max="9025" width="14.140625" style="3469" bestFit="1" customWidth="1"/>
    <col min="9026" max="9042" width="9.140625" style="3469"/>
    <col min="9043" max="9043" width="10" style="3469" bestFit="1" customWidth="1"/>
    <col min="9044" max="9203" width="9.140625" style="3469"/>
    <col min="9204" max="9204" width="43.85546875" style="3469" customWidth="1"/>
    <col min="9205" max="9205" width="7.140625" style="3469" customWidth="1"/>
    <col min="9206" max="9206" width="15.5703125" style="3469" customWidth="1"/>
    <col min="9207" max="9207" width="16" style="3469" customWidth="1"/>
    <col min="9208" max="9208" width="15.140625" style="3469" customWidth="1"/>
    <col min="9209" max="9209" width="14.85546875" style="3469" customWidth="1"/>
    <col min="9210" max="9210" width="16.28515625" style="3469" customWidth="1"/>
    <col min="9211" max="9211" width="13.85546875" style="3469" customWidth="1"/>
    <col min="9212" max="9212" width="14.140625" style="3469" customWidth="1"/>
    <col min="9213" max="9213" width="15.7109375" style="3469" bestFit="1" customWidth="1"/>
    <col min="9214" max="9214" width="13.42578125" style="3469" bestFit="1" customWidth="1"/>
    <col min="9215" max="9217" width="13.28515625" style="3469" customWidth="1"/>
    <col min="9218" max="9218" width="11.5703125" style="3469" customWidth="1"/>
    <col min="9219" max="9219" width="13.140625" style="3469" customWidth="1"/>
    <col min="9220" max="9220" width="13.85546875" style="3469" customWidth="1"/>
    <col min="9221" max="9221" width="15.140625" style="3469" customWidth="1"/>
    <col min="9222" max="9222" width="16.7109375" style="3469" customWidth="1"/>
    <col min="9223" max="9223" width="13.85546875" style="3469" customWidth="1"/>
    <col min="9224" max="9225" width="16.7109375" style="3469" customWidth="1"/>
    <col min="9226" max="9226" width="15" style="3469" customWidth="1"/>
    <col min="9227" max="9227" width="13" style="3469" customWidth="1"/>
    <col min="9228" max="9228" width="14.140625" style="3469" customWidth="1"/>
    <col min="9229" max="9229" width="13.85546875" style="3469" customWidth="1"/>
    <col min="9230" max="9230" width="12.140625" style="3469" customWidth="1"/>
    <col min="9231" max="9232" width="15" style="3469" customWidth="1"/>
    <col min="9233" max="9233" width="12.140625" style="3469" customWidth="1"/>
    <col min="9234" max="9234" width="16.5703125" style="3469" customWidth="1"/>
    <col min="9235" max="9235" width="12.5703125" style="3469" customWidth="1"/>
    <col min="9236" max="9236" width="24.85546875" style="3469" customWidth="1"/>
    <col min="9237" max="9237" width="11.7109375" style="3469" customWidth="1"/>
    <col min="9238" max="9239" width="13.5703125" style="3469" customWidth="1"/>
    <col min="9240" max="9240" width="18.7109375" style="3469" customWidth="1"/>
    <col min="9241" max="9241" width="13.42578125" style="3469" customWidth="1"/>
    <col min="9242" max="9242" width="18.5703125" style="3469" customWidth="1"/>
    <col min="9243" max="9243" width="13.28515625" style="3469" customWidth="1"/>
    <col min="9244" max="9244" width="13.140625" style="3469" customWidth="1"/>
    <col min="9245" max="9245" width="10.28515625" style="3469" customWidth="1"/>
    <col min="9246" max="9246" width="12.42578125" style="3469" customWidth="1"/>
    <col min="9247" max="9247" width="13.85546875" style="3469" customWidth="1"/>
    <col min="9248" max="9249" width="6.85546875" style="3469" customWidth="1"/>
    <col min="9250" max="9251" width="9.140625" style="3469"/>
    <col min="9252" max="9252" width="15.7109375" style="3469" customWidth="1"/>
    <col min="9253" max="9253" width="9.140625" style="3469"/>
    <col min="9254" max="9261" width="13.28515625" style="3469" bestFit="1" customWidth="1"/>
    <col min="9262" max="9262" width="18.7109375" style="3469" bestFit="1" customWidth="1"/>
    <col min="9263" max="9264" width="19" style="3469" bestFit="1" customWidth="1"/>
    <col min="9265" max="9271" width="13.28515625" style="3469" bestFit="1" customWidth="1"/>
    <col min="9272" max="9272" width="14.140625" style="3469" bestFit="1" customWidth="1"/>
    <col min="9273" max="9274" width="15.7109375" style="3469" bestFit="1" customWidth="1"/>
    <col min="9275" max="9277" width="14.140625" style="3469" bestFit="1" customWidth="1"/>
    <col min="9278" max="9279" width="15.7109375" style="3469" bestFit="1" customWidth="1"/>
    <col min="9280" max="9281" width="14.140625" style="3469" bestFit="1" customWidth="1"/>
    <col min="9282" max="9298" width="9.140625" style="3469"/>
    <col min="9299" max="9299" width="10" style="3469" bestFit="1" customWidth="1"/>
    <col min="9300" max="9459" width="9.140625" style="3469"/>
    <col min="9460" max="9460" width="43.85546875" style="3469" customWidth="1"/>
    <col min="9461" max="9461" width="7.140625" style="3469" customWidth="1"/>
    <col min="9462" max="9462" width="15.5703125" style="3469" customWidth="1"/>
    <col min="9463" max="9463" width="16" style="3469" customWidth="1"/>
    <col min="9464" max="9464" width="15.140625" style="3469" customWidth="1"/>
    <col min="9465" max="9465" width="14.85546875" style="3469" customWidth="1"/>
    <col min="9466" max="9466" width="16.28515625" style="3469" customWidth="1"/>
    <col min="9467" max="9467" width="13.85546875" style="3469" customWidth="1"/>
    <col min="9468" max="9468" width="14.140625" style="3469" customWidth="1"/>
    <col min="9469" max="9469" width="15.7109375" style="3469" bestFit="1" customWidth="1"/>
    <col min="9470" max="9470" width="13.42578125" style="3469" bestFit="1" customWidth="1"/>
    <col min="9471" max="9473" width="13.28515625" style="3469" customWidth="1"/>
    <col min="9474" max="9474" width="11.5703125" style="3469" customWidth="1"/>
    <col min="9475" max="9475" width="13.140625" style="3469" customWidth="1"/>
    <col min="9476" max="9476" width="13.85546875" style="3469" customWidth="1"/>
    <col min="9477" max="9477" width="15.140625" style="3469" customWidth="1"/>
    <col min="9478" max="9478" width="16.7109375" style="3469" customWidth="1"/>
    <col min="9479" max="9479" width="13.85546875" style="3469" customWidth="1"/>
    <col min="9480" max="9481" width="16.7109375" style="3469" customWidth="1"/>
    <col min="9482" max="9482" width="15" style="3469" customWidth="1"/>
    <col min="9483" max="9483" width="13" style="3469" customWidth="1"/>
    <col min="9484" max="9484" width="14.140625" style="3469" customWidth="1"/>
    <col min="9485" max="9485" width="13.85546875" style="3469" customWidth="1"/>
    <col min="9486" max="9486" width="12.140625" style="3469" customWidth="1"/>
    <col min="9487" max="9488" width="15" style="3469" customWidth="1"/>
    <col min="9489" max="9489" width="12.140625" style="3469" customWidth="1"/>
    <col min="9490" max="9490" width="16.5703125" style="3469" customWidth="1"/>
    <col min="9491" max="9491" width="12.5703125" style="3469" customWidth="1"/>
    <col min="9492" max="9492" width="24.85546875" style="3469" customWidth="1"/>
    <col min="9493" max="9493" width="11.7109375" style="3469" customWidth="1"/>
    <col min="9494" max="9495" width="13.5703125" style="3469" customWidth="1"/>
    <col min="9496" max="9496" width="18.7109375" style="3469" customWidth="1"/>
    <col min="9497" max="9497" width="13.42578125" style="3469" customWidth="1"/>
    <col min="9498" max="9498" width="18.5703125" style="3469" customWidth="1"/>
    <col min="9499" max="9499" width="13.28515625" style="3469" customWidth="1"/>
    <col min="9500" max="9500" width="13.140625" style="3469" customWidth="1"/>
    <col min="9501" max="9501" width="10.28515625" style="3469" customWidth="1"/>
    <col min="9502" max="9502" width="12.42578125" style="3469" customWidth="1"/>
    <col min="9503" max="9503" width="13.85546875" style="3469" customWidth="1"/>
    <col min="9504" max="9505" width="6.85546875" style="3469" customWidth="1"/>
    <col min="9506" max="9507" width="9.140625" style="3469"/>
    <col min="9508" max="9508" width="15.7109375" style="3469" customWidth="1"/>
    <col min="9509" max="9509" width="9.140625" style="3469"/>
    <col min="9510" max="9517" width="13.28515625" style="3469" bestFit="1" customWidth="1"/>
    <col min="9518" max="9518" width="18.7109375" style="3469" bestFit="1" customWidth="1"/>
    <col min="9519" max="9520" width="19" style="3469" bestFit="1" customWidth="1"/>
    <col min="9521" max="9527" width="13.28515625" style="3469" bestFit="1" customWidth="1"/>
    <col min="9528" max="9528" width="14.140625" style="3469" bestFit="1" customWidth="1"/>
    <col min="9529" max="9530" width="15.7109375" style="3469" bestFit="1" customWidth="1"/>
    <col min="9531" max="9533" width="14.140625" style="3469" bestFit="1" customWidth="1"/>
    <col min="9534" max="9535" width="15.7109375" style="3469" bestFit="1" customWidth="1"/>
    <col min="9536" max="9537" width="14.140625" style="3469" bestFit="1" customWidth="1"/>
    <col min="9538" max="9554" width="9.140625" style="3469"/>
    <col min="9555" max="9555" width="10" style="3469" bestFit="1" customWidth="1"/>
    <col min="9556" max="9715" width="9.140625" style="3469"/>
    <col min="9716" max="9716" width="43.85546875" style="3469" customWidth="1"/>
    <col min="9717" max="9717" width="7.140625" style="3469" customWidth="1"/>
    <col min="9718" max="9718" width="15.5703125" style="3469" customWidth="1"/>
    <col min="9719" max="9719" width="16" style="3469" customWidth="1"/>
    <col min="9720" max="9720" width="15.140625" style="3469" customWidth="1"/>
    <col min="9721" max="9721" width="14.85546875" style="3469" customWidth="1"/>
    <col min="9722" max="9722" width="16.28515625" style="3469" customWidth="1"/>
    <col min="9723" max="9723" width="13.85546875" style="3469" customWidth="1"/>
    <col min="9724" max="9724" width="14.140625" style="3469" customWidth="1"/>
    <col min="9725" max="9725" width="15.7109375" style="3469" bestFit="1" customWidth="1"/>
    <col min="9726" max="9726" width="13.42578125" style="3469" bestFit="1" customWidth="1"/>
    <col min="9727" max="9729" width="13.28515625" style="3469" customWidth="1"/>
    <col min="9730" max="9730" width="11.5703125" style="3469" customWidth="1"/>
    <col min="9731" max="9731" width="13.140625" style="3469" customWidth="1"/>
    <col min="9732" max="9732" width="13.85546875" style="3469" customWidth="1"/>
    <col min="9733" max="9733" width="15.140625" style="3469" customWidth="1"/>
    <col min="9734" max="9734" width="16.7109375" style="3469" customWidth="1"/>
    <col min="9735" max="9735" width="13.85546875" style="3469" customWidth="1"/>
    <col min="9736" max="9737" width="16.7109375" style="3469" customWidth="1"/>
    <col min="9738" max="9738" width="15" style="3469" customWidth="1"/>
    <col min="9739" max="9739" width="13" style="3469" customWidth="1"/>
    <col min="9740" max="9740" width="14.140625" style="3469" customWidth="1"/>
    <col min="9741" max="9741" width="13.85546875" style="3469" customWidth="1"/>
    <col min="9742" max="9742" width="12.140625" style="3469" customWidth="1"/>
    <col min="9743" max="9744" width="15" style="3469" customWidth="1"/>
    <col min="9745" max="9745" width="12.140625" style="3469" customWidth="1"/>
    <col min="9746" max="9746" width="16.5703125" style="3469" customWidth="1"/>
    <col min="9747" max="9747" width="12.5703125" style="3469" customWidth="1"/>
    <col min="9748" max="9748" width="24.85546875" style="3469" customWidth="1"/>
    <col min="9749" max="9749" width="11.7109375" style="3469" customWidth="1"/>
    <col min="9750" max="9751" width="13.5703125" style="3469" customWidth="1"/>
    <col min="9752" max="9752" width="18.7109375" style="3469" customWidth="1"/>
    <col min="9753" max="9753" width="13.42578125" style="3469" customWidth="1"/>
    <col min="9754" max="9754" width="18.5703125" style="3469" customWidth="1"/>
    <col min="9755" max="9755" width="13.28515625" style="3469" customWidth="1"/>
    <col min="9756" max="9756" width="13.140625" style="3469" customWidth="1"/>
    <col min="9757" max="9757" width="10.28515625" style="3469" customWidth="1"/>
    <col min="9758" max="9758" width="12.42578125" style="3469" customWidth="1"/>
    <col min="9759" max="9759" width="13.85546875" style="3469" customWidth="1"/>
    <col min="9760" max="9761" width="6.85546875" style="3469" customWidth="1"/>
    <col min="9762" max="9763" width="9.140625" style="3469"/>
    <col min="9764" max="9764" width="15.7109375" style="3469" customWidth="1"/>
    <col min="9765" max="9765" width="9.140625" style="3469"/>
    <col min="9766" max="9773" width="13.28515625" style="3469" bestFit="1" customWidth="1"/>
    <col min="9774" max="9774" width="18.7109375" style="3469" bestFit="1" customWidth="1"/>
    <col min="9775" max="9776" width="19" style="3469" bestFit="1" customWidth="1"/>
    <col min="9777" max="9783" width="13.28515625" style="3469" bestFit="1" customWidth="1"/>
    <col min="9784" max="9784" width="14.140625" style="3469" bestFit="1" customWidth="1"/>
    <col min="9785" max="9786" width="15.7109375" style="3469" bestFit="1" customWidth="1"/>
    <col min="9787" max="9789" width="14.140625" style="3469" bestFit="1" customWidth="1"/>
    <col min="9790" max="9791" width="15.7109375" style="3469" bestFit="1" customWidth="1"/>
    <col min="9792" max="9793" width="14.140625" style="3469" bestFit="1" customWidth="1"/>
    <col min="9794" max="9810" width="9.140625" style="3469"/>
    <col min="9811" max="9811" width="10" style="3469" bestFit="1" customWidth="1"/>
    <col min="9812" max="9971" width="9.140625" style="3469"/>
    <col min="9972" max="9972" width="43.85546875" style="3469" customWidth="1"/>
    <col min="9973" max="9973" width="7.140625" style="3469" customWidth="1"/>
    <col min="9974" max="9974" width="15.5703125" style="3469" customWidth="1"/>
    <col min="9975" max="9975" width="16" style="3469" customWidth="1"/>
    <col min="9976" max="9976" width="15.140625" style="3469" customWidth="1"/>
    <col min="9977" max="9977" width="14.85546875" style="3469" customWidth="1"/>
    <col min="9978" max="9978" width="16.28515625" style="3469" customWidth="1"/>
    <col min="9979" max="9979" width="13.85546875" style="3469" customWidth="1"/>
    <col min="9980" max="9980" width="14.140625" style="3469" customWidth="1"/>
    <col min="9981" max="9981" width="15.7109375" style="3469" bestFit="1" customWidth="1"/>
    <col min="9982" max="9982" width="13.42578125" style="3469" bestFit="1" customWidth="1"/>
    <col min="9983" max="9985" width="13.28515625" style="3469" customWidth="1"/>
    <col min="9986" max="9986" width="11.5703125" style="3469" customWidth="1"/>
    <col min="9987" max="9987" width="13.140625" style="3469" customWidth="1"/>
    <col min="9988" max="9988" width="13.85546875" style="3469" customWidth="1"/>
    <col min="9989" max="9989" width="15.140625" style="3469" customWidth="1"/>
    <col min="9990" max="9990" width="16.7109375" style="3469" customWidth="1"/>
    <col min="9991" max="9991" width="13.85546875" style="3469" customWidth="1"/>
    <col min="9992" max="9993" width="16.7109375" style="3469" customWidth="1"/>
    <col min="9994" max="9994" width="15" style="3469" customWidth="1"/>
    <col min="9995" max="9995" width="13" style="3469" customWidth="1"/>
    <col min="9996" max="9996" width="14.140625" style="3469" customWidth="1"/>
    <col min="9997" max="9997" width="13.85546875" style="3469" customWidth="1"/>
    <col min="9998" max="9998" width="12.140625" style="3469" customWidth="1"/>
    <col min="9999" max="10000" width="15" style="3469" customWidth="1"/>
    <col min="10001" max="10001" width="12.140625" style="3469" customWidth="1"/>
    <col min="10002" max="10002" width="16.5703125" style="3469" customWidth="1"/>
    <col min="10003" max="10003" width="12.5703125" style="3469" customWidth="1"/>
    <col min="10004" max="10004" width="24.85546875" style="3469" customWidth="1"/>
    <col min="10005" max="10005" width="11.7109375" style="3469" customWidth="1"/>
    <col min="10006" max="10007" width="13.5703125" style="3469" customWidth="1"/>
    <col min="10008" max="10008" width="18.7109375" style="3469" customWidth="1"/>
    <col min="10009" max="10009" width="13.42578125" style="3469" customWidth="1"/>
    <col min="10010" max="10010" width="18.5703125" style="3469" customWidth="1"/>
    <col min="10011" max="10011" width="13.28515625" style="3469" customWidth="1"/>
    <col min="10012" max="10012" width="13.140625" style="3469" customWidth="1"/>
    <col min="10013" max="10013" width="10.28515625" style="3469" customWidth="1"/>
    <col min="10014" max="10014" width="12.42578125" style="3469" customWidth="1"/>
    <col min="10015" max="10015" width="13.85546875" style="3469" customWidth="1"/>
    <col min="10016" max="10017" width="6.85546875" style="3469" customWidth="1"/>
    <col min="10018" max="10019" width="9.140625" style="3469"/>
    <col min="10020" max="10020" width="15.7109375" style="3469" customWidth="1"/>
    <col min="10021" max="10021" width="9.140625" style="3469"/>
    <col min="10022" max="10029" width="13.28515625" style="3469" bestFit="1" customWidth="1"/>
    <col min="10030" max="10030" width="18.7109375" style="3469" bestFit="1" customWidth="1"/>
    <col min="10031" max="10032" width="19" style="3469" bestFit="1" customWidth="1"/>
    <col min="10033" max="10039" width="13.28515625" style="3469" bestFit="1" customWidth="1"/>
    <col min="10040" max="10040" width="14.140625" style="3469" bestFit="1" customWidth="1"/>
    <col min="10041" max="10042" width="15.7109375" style="3469" bestFit="1" customWidth="1"/>
    <col min="10043" max="10045" width="14.140625" style="3469" bestFit="1" customWidth="1"/>
    <col min="10046" max="10047" width="15.7109375" style="3469" bestFit="1" customWidth="1"/>
    <col min="10048" max="10049" width="14.140625" style="3469" bestFit="1" customWidth="1"/>
    <col min="10050" max="10066" width="9.140625" style="3469"/>
    <col min="10067" max="10067" width="10" style="3469" bestFit="1" customWidth="1"/>
    <col min="10068" max="10227" width="9.140625" style="3469"/>
    <col min="10228" max="10228" width="43.85546875" style="3469" customWidth="1"/>
    <col min="10229" max="10229" width="7.140625" style="3469" customWidth="1"/>
    <col min="10230" max="10230" width="15.5703125" style="3469" customWidth="1"/>
    <col min="10231" max="10231" width="16" style="3469" customWidth="1"/>
    <col min="10232" max="10232" width="15.140625" style="3469" customWidth="1"/>
    <col min="10233" max="10233" width="14.85546875" style="3469" customWidth="1"/>
    <col min="10234" max="10234" width="16.28515625" style="3469" customWidth="1"/>
    <col min="10235" max="10235" width="13.85546875" style="3469" customWidth="1"/>
    <col min="10236" max="10236" width="14.140625" style="3469" customWidth="1"/>
    <col min="10237" max="10237" width="15.7109375" style="3469" bestFit="1" customWidth="1"/>
    <col min="10238" max="10238" width="13.42578125" style="3469" bestFit="1" customWidth="1"/>
    <col min="10239" max="10241" width="13.28515625" style="3469" customWidth="1"/>
    <col min="10242" max="10242" width="11.5703125" style="3469" customWidth="1"/>
    <col min="10243" max="10243" width="13.140625" style="3469" customWidth="1"/>
    <col min="10244" max="10244" width="13.85546875" style="3469" customWidth="1"/>
    <col min="10245" max="10245" width="15.140625" style="3469" customWidth="1"/>
    <col min="10246" max="10246" width="16.7109375" style="3469" customWidth="1"/>
    <col min="10247" max="10247" width="13.85546875" style="3469" customWidth="1"/>
    <col min="10248" max="10249" width="16.7109375" style="3469" customWidth="1"/>
    <col min="10250" max="10250" width="15" style="3469" customWidth="1"/>
    <col min="10251" max="10251" width="13" style="3469" customWidth="1"/>
    <col min="10252" max="10252" width="14.140625" style="3469" customWidth="1"/>
    <col min="10253" max="10253" width="13.85546875" style="3469" customWidth="1"/>
    <col min="10254" max="10254" width="12.140625" style="3469" customWidth="1"/>
    <col min="10255" max="10256" width="15" style="3469" customWidth="1"/>
    <col min="10257" max="10257" width="12.140625" style="3469" customWidth="1"/>
    <col min="10258" max="10258" width="16.5703125" style="3469" customWidth="1"/>
    <col min="10259" max="10259" width="12.5703125" style="3469" customWidth="1"/>
    <col min="10260" max="10260" width="24.85546875" style="3469" customWidth="1"/>
    <col min="10261" max="10261" width="11.7109375" style="3469" customWidth="1"/>
    <col min="10262" max="10263" width="13.5703125" style="3469" customWidth="1"/>
    <col min="10264" max="10264" width="18.7109375" style="3469" customWidth="1"/>
    <col min="10265" max="10265" width="13.42578125" style="3469" customWidth="1"/>
    <col min="10266" max="10266" width="18.5703125" style="3469" customWidth="1"/>
    <col min="10267" max="10267" width="13.28515625" style="3469" customWidth="1"/>
    <col min="10268" max="10268" width="13.140625" style="3469" customWidth="1"/>
    <col min="10269" max="10269" width="10.28515625" style="3469" customWidth="1"/>
    <col min="10270" max="10270" width="12.42578125" style="3469" customWidth="1"/>
    <col min="10271" max="10271" width="13.85546875" style="3469" customWidth="1"/>
    <col min="10272" max="10273" width="6.85546875" style="3469" customWidth="1"/>
    <col min="10274" max="10275" width="9.140625" style="3469"/>
    <col min="10276" max="10276" width="15.7109375" style="3469" customWidth="1"/>
    <col min="10277" max="10277" width="9.140625" style="3469"/>
    <col min="10278" max="10285" width="13.28515625" style="3469" bestFit="1" customWidth="1"/>
    <col min="10286" max="10286" width="18.7109375" style="3469" bestFit="1" customWidth="1"/>
    <col min="10287" max="10288" width="19" style="3469" bestFit="1" customWidth="1"/>
    <col min="10289" max="10295" width="13.28515625" style="3469" bestFit="1" customWidth="1"/>
    <col min="10296" max="10296" width="14.140625" style="3469" bestFit="1" customWidth="1"/>
    <col min="10297" max="10298" width="15.7109375" style="3469" bestFit="1" customWidth="1"/>
    <col min="10299" max="10301" width="14.140625" style="3469" bestFit="1" customWidth="1"/>
    <col min="10302" max="10303" width="15.7109375" style="3469" bestFit="1" customWidth="1"/>
    <col min="10304" max="10305" width="14.140625" style="3469" bestFit="1" customWidth="1"/>
    <col min="10306" max="10322" width="9.140625" style="3469"/>
    <col min="10323" max="10323" width="10" style="3469" bestFit="1" customWidth="1"/>
    <col min="10324" max="10483" width="9.140625" style="3469"/>
    <col min="10484" max="10484" width="43.85546875" style="3469" customWidth="1"/>
    <col min="10485" max="10485" width="7.140625" style="3469" customWidth="1"/>
    <col min="10486" max="10486" width="15.5703125" style="3469" customWidth="1"/>
    <col min="10487" max="10487" width="16" style="3469" customWidth="1"/>
    <col min="10488" max="10488" width="15.140625" style="3469" customWidth="1"/>
    <col min="10489" max="10489" width="14.85546875" style="3469" customWidth="1"/>
    <col min="10490" max="10490" width="16.28515625" style="3469" customWidth="1"/>
    <col min="10491" max="10491" width="13.85546875" style="3469" customWidth="1"/>
    <col min="10492" max="10492" width="14.140625" style="3469" customWidth="1"/>
    <col min="10493" max="10493" width="15.7109375" style="3469" bestFit="1" customWidth="1"/>
    <col min="10494" max="10494" width="13.42578125" style="3469" bestFit="1" customWidth="1"/>
    <col min="10495" max="10497" width="13.28515625" style="3469" customWidth="1"/>
    <col min="10498" max="10498" width="11.5703125" style="3469" customWidth="1"/>
    <col min="10499" max="10499" width="13.140625" style="3469" customWidth="1"/>
    <col min="10500" max="10500" width="13.85546875" style="3469" customWidth="1"/>
    <col min="10501" max="10501" width="15.140625" style="3469" customWidth="1"/>
    <col min="10502" max="10502" width="16.7109375" style="3469" customWidth="1"/>
    <col min="10503" max="10503" width="13.85546875" style="3469" customWidth="1"/>
    <col min="10504" max="10505" width="16.7109375" style="3469" customWidth="1"/>
    <col min="10506" max="10506" width="15" style="3469" customWidth="1"/>
    <col min="10507" max="10507" width="13" style="3469" customWidth="1"/>
    <col min="10508" max="10508" width="14.140625" style="3469" customWidth="1"/>
    <col min="10509" max="10509" width="13.85546875" style="3469" customWidth="1"/>
    <col min="10510" max="10510" width="12.140625" style="3469" customWidth="1"/>
    <col min="10511" max="10512" width="15" style="3469" customWidth="1"/>
    <col min="10513" max="10513" width="12.140625" style="3469" customWidth="1"/>
    <col min="10514" max="10514" width="16.5703125" style="3469" customWidth="1"/>
    <col min="10515" max="10515" width="12.5703125" style="3469" customWidth="1"/>
    <col min="10516" max="10516" width="24.85546875" style="3469" customWidth="1"/>
    <col min="10517" max="10517" width="11.7109375" style="3469" customWidth="1"/>
    <col min="10518" max="10519" width="13.5703125" style="3469" customWidth="1"/>
    <col min="10520" max="10520" width="18.7109375" style="3469" customWidth="1"/>
    <col min="10521" max="10521" width="13.42578125" style="3469" customWidth="1"/>
    <col min="10522" max="10522" width="18.5703125" style="3469" customWidth="1"/>
    <col min="10523" max="10523" width="13.28515625" style="3469" customWidth="1"/>
    <col min="10524" max="10524" width="13.140625" style="3469" customWidth="1"/>
    <col min="10525" max="10525" width="10.28515625" style="3469" customWidth="1"/>
    <col min="10526" max="10526" width="12.42578125" style="3469" customWidth="1"/>
    <col min="10527" max="10527" width="13.85546875" style="3469" customWidth="1"/>
    <col min="10528" max="10529" width="6.85546875" style="3469" customWidth="1"/>
    <col min="10530" max="10531" width="9.140625" style="3469"/>
    <col min="10532" max="10532" width="15.7109375" style="3469" customWidth="1"/>
    <col min="10533" max="10533" width="9.140625" style="3469"/>
    <col min="10534" max="10541" width="13.28515625" style="3469" bestFit="1" customWidth="1"/>
    <col min="10542" max="10542" width="18.7109375" style="3469" bestFit="1" customWidth="1"/>
    <col min="10543" max="10544" width="19" style="3469" bestFit="1" customWidth="1"/>
    <col min="10545" max="10551" width="13.28515625" style="3469" bestFit="1" customWidth="1"/>
    <col min="10552" max="10552" width="14.140625" style="3469" bestFit="1" customWidth="1"/>
    <col min="10553" max="10554" width="15.7109375" style="3469" bestFit="1" customWidth="1"/>
    <col min="10555" max="10557" width="14.140625" style="3469" bestFit="1" customWidth="1"/>
    <col min="10558" max="10559" width="15.7109375" style="3469" bestFit="1" customWidth="1"/>
    <col min="10560" max="10561" width="14.140625" style="3469" bestFit="1" customWidth="1"/>
    <col min="10562" max="10578" width="9.140625" style="3469"/>
    <col min="10579" max="10579" width="10" style="3469" bestFit="1" customWidth="1"/>
    <col min="10580" max="10739" width="9.140625" style="3469"/>
    <col min="10740" max="10740" width="43.85546875" style="3469" customWidth="1"/>
    <col min="10741" max="10741" width="7.140625" style="3469" customWidth="1"/>
    <col min="10742" max="10742" width="15.5703125" style="3469" customWidth="1"/>
    <col min="10743" max="10743" width="16" style="3469" customWidth="1"/>
    <col min="10744" max="10744" width="15.140625" style="3469" customWidth="1"/>
    <col min="10745" max="10745" width="14.85546875" style="3469" customWidth="1"/>
    <col min="10746" max="10746" width="16.28515625" style="3469" customWidth="1"/>
    <col min="10747" max="10747" width="13.85546875" style="3469" customWidth="1"/>
    <col min="10748" max="10748" width="14.140625" style="3469" customWidth="1"/>
    <col min="10749" max="10749" width="15.7109375" style="3469" bestFit="1" customWidth="1"/>
    <col min="10750" max="10750" width="13.42578125" style="3469" bestFit="1" customWidth="1"/>
    <col min="10751" max="10753" width="13.28515625" style="3469" customWidth="1"/>
    <col min="10754" max="10754" width="11.5703125" style="3469" customWidth="1"/>
    <col min="10755" max="10755" width="13.140625" style="3469" customWidth="1"/>
    <col min="10756" max="10756" width="13.85546875" style="3469" customWidth="1"/>
    <col min="10757" max="10757" width="15.140625" style="3469" customWidth="1"/>
    <col min="10758" max="10758" width="16.7109375" style="3469" customWidth="1"/>
    <col min="10759" max="10759" width="13.85546875" style="3469" customWidth="1"/>
    <col min="10760" max="10761" width="16.7109375" style="3469" customWidth="1"/>
    <col min="10762" max="10762" width="15" style="3469" customWidth="1"/>
    <col min="10763" max="10763" width="13" style="3469" customWidth="1"/>
    <col min="10764" max="10764" width="14.140625" style="3469" customWidth="1"/>
    <col min="10765" max="10765" width="13.85546875" style="3469" customWidth="1"/>
    <col min="10766" max="10766" width="12.140625" style="3469" customWidth="1"/>
    <col min="10767" max="10768" width="15" style="3469" customWidth="1"/>
    <col min="10769" max="10769" width="12.140625" style="3469" customWidth="1"/>
    <col min="10770" max="10770" width="16.5703125" style="3469" customWidth="1"/>
    <col min="10771" max="10771" width="12.5703125" style="3469" customWidth="1"/>
    <col min="10772" max="10772" width="24.85546875" style="3469" customWidth="1"/>
    <col min="10773" max="10773" width="11.7109375" style="3469" customWidth="1"/>
    <col min="10774" max="10775" width="13.5703125" style="3469" customWidth="1"/>
    <col min="10776" max="10776" width="18.7109375" style="3469" customWidth="1"/>
    <col min="10777" max="10777" width="13.42578125" style="3469" customWidth="1"/>
    <col min="10778" max="10778" width="18.5703125" style="3469" customWidth="1"/>
    <col min="10779" max="10779" width="13.28515625" style="3469" customWidth="1"/>
    <col min="10780" max="10780" width="13.140625" style="3469" customWidth="1"/>
    <col min="10781" max="10781" width="10.28515625" style="3469" customWidth="1"/>
    <col min="10782" max="10782" width="12.42578125" style="3469" customWidth="1"/>
    <col min="10783" max="10783" width="13.85546875" style="3469" customWidth="1"/>
    <col min="10784" max="10785" width="6.85546875" style="3469" customWidth="1"/>
    <col min="10786" max="10787" width="9.140625" style="3469"/>
    <col min="10788" max="10788" width="15.7109375" style="3469" customWidth="1"/>
    <col min="10789" max="10789" width="9.140625" style="3469"/>
    <col min="10790" max="10797" width="13.28515625" style="3469" bestFit="1" customWidth="1"/>
    <col min="10798" max="10798" width="18.7109375" style="3469" bestFit="1" customWidth="1"/>
    <col min="10799" max="10800" width="19" style="3469" bestFit="1" customWidth="1"/>
    <col min="10801" max="10807" width="13.28515625" style="3469" bestFit="1" customWidth="1"/>
    <col min="10808" max="10808" width="14.140625" style="3469" bestFit="1" customWidth="1"/>
    <col min="10809" max="10810" width="15.7109375" style="3469" bestFit="1" customWidth="1"/>
    <col min="10811" max="10813" width="14.140625" style="3469" bestFit="1" customWidth="1"/>
    <col min="10814" max="10815" width="15.7109375" style="3469" bestFit="1" customWidth="1"/>
    <col min="10816" max="10817" width="14.140625" style="3469" bestFit="1" customWidth="1"/>
    <col min="10818" max="10834" width="9.140625" style="3469"/>
    <col min="10835" max="10835" width="10" style="3469" bestFit="1" customWidth="1"/>
    <col min="10836" max="10995" width="9.140625" style="3469"/>
    <col min="10996" max="10996" width="43.85546875" style="3469" customWidth="1"/>
    <col min="10997" max="10997" width="7.140625" style="3469" customWidth="1"/>
    <col min="10998" max="10998" width="15.5703125" style="3469" customWidth="1"/>
    <col min="10999" max="10999" width="16" style="3469" customWidth="1"/>
    <col min="11000" max="11000" width="15.140625" style="3469" customWidth="1"/>
    <col min="11001" max="11001" width="14.85546875" style="3469" customWidth="1"/>
    <col min="11002" max="11002" width="16.28515625" style="3469" customWidth="1"/>
    <col min="11003" max="11003" width="13.85546875" style="3469" customWidth="1"/>
    <col min="11004" max="11004" width="14.140625" style="3469" customWidth="1"/>
    <col min="11005" max="11005" width="15.7109375" style="3469" bestFit="1" customWidth="1"/>
    <col min="11006" max="11006" width="13.42578125" style="3469" bestFit="1" customWidth="1"/>
    <col min="11007" max="11009" width="13.28515625" style="3469" customWidth="1"/>
    <col min="11010" max="11010" width="11.5703125" style="3469" customWidth="1"/>
    <col min="11011" max="11011" width="13.140625" style="3469" customWidth="1"/>
    <col min="11012" max="11012" width="13.85546875" style="3469" customWidth="1"/>
    <col min="11013" max="11013" width="15.140625" style="3469" customWidth="1"/>
    <col min="11014" max="11014" width="16.7109375" style="3469" customWidth="1"/>
    <col min="11015" max="11015" width="13.85546875" style="3469" customWidth="1"/>
    <col min="11016" max="11017" width="16.7109375" style="3469" customWidth="1"/>
    <col min="11018" max="11018" width="15" style="3469" customWidth="1"/>
    <col min="11019" max="11019" width="13" style="3469" customWidth="1"/>
    <col min="11020" max="11020" width="14.140625" style="3469" customWidth="1"/>
    <col min="11021" max="11021" width="13.85546875" style="3469" customWidth="1"/>
    <col min="11022" max="11022" width="12.140625" style="3469" customWidth="1"/>
    <col min="11023" max="11024" width="15" style="3469" customWidth="1"/>
    <col min="11025" max="11025" width="12.140625" style="3469" customWidth="1"/>
    <col min="11026" max="11026" width="16.5703125" style="3469" customWidth="1"/>
    <col min="11027" max="11027" width="12.5703125" style="3469" customWidth="1"/>
    <col min="11028" max="11028" width="24.85546875" style="3469" customWidth="1"/>
    <col min="11029" max="11029" width="11.7109375" style="3469" customWidth="1"/>
    <col min="11030" max="11031" width="13.5703125" style="3469" customWidth="1"/>
    <col min="11032" max="11032" width="18.7109375" style="3469" customWidth="1"/>
    <col min="11033" max="11033" width="13.42578125" style="3469" customWidth="1"/>
    <col min="11034" max="11034" width="18.5703125" style="3469" customWidth="1"/>
    <col min="11035" max="11035" width="13.28515625" style="3469" customWidth="1"/>
    <col min="11036" max="11036" width="13.140625" style="3469" customWidth="1"/>
    <col min="11037" max="11037" width="10.28515625" style="3469" customWidth="1"/>
    <col min="11038" max="11038" width="12.42578125" style="3469" customWidth="1"/>
    <col min="11039" max="11039" width="13.85546875" style="3469" customWidth="1"/>
    <col min="11040" max="11041" width="6.85546875" style="3469" customWidth="1"/>
    <col min="11042" max="11043" width="9.140625" style="3469"/>
    <col min="11044" max="11044" width="15.7109375" style="3469" customWidth="1"/>
    <col min="11045" max="11045" width="9.140625" style="3469"/>
    <col min="11046" max="11053" width="13.28515625" style="3469" bestFit="1" customWidth="1"/>
    <col min="11054" max="11054" width="18.7109375" style="3469" bestFit="1" customWidth="1"/>
    <col min="11055" max="11056" width="19" style="3469" bestFit="1" customWidth="1"/>
    <col min="11057" max="11063" width="13.28515625" style="3469" bestFit="1" customWidth="1"/>
    <col min="11064" max="11064" width="14.140625" style="3469" bestFit="1" customWidth="1"/>
    <col min="11065" max="11066" width="15.7109375" style="3469" bestFit="1" customWidth="1"/>
    <col min="11067" max="11069" width="14.140625" style="3469" bestFit="1" customWidth="1"/>
    <col min="11070" max="11071" width="15.7109375" style="3469" bestFit="1" customWidth="1"/>
    <col min="11072" max="11073" width="14.140625" style="3469" bestFit="1" customWidth="1"/>
    <col min="11074" max="11090" width="9.140625" style="3469"/>
    <col min="11091" max="11091" width="10" style="3469" bestFit="1" customWidth="1"/>
    <col min="11092" max="11251" width="9.140625" style="3469"/>
    <col min="11252" max="11252" width="43.85546875" style="3469" customWidth="1"/>
    <col min="11253" max="11253" width="7.140625" style="3469" customWidth="1"/>
    <col min="11254" max="11254" width="15.5703125" style="3469" customWidth="1"/>
    <col min="11255" max="11255" width="16" style="3469" customWidth="1"/>
    <col min="11256" max="11256" width="15.140625" style="3469" customWidth="1"/>
    <col min="11257" max="11257" width="14.85546875" style="3469" customWidth="1"/>
    <col min="11258" max="11258" width="16.28515625" style="3469" customWidth="1"/>
    <col min="11259" max="11259" width="13.85546875" style="3469" customWidth="1"/>
    <col min="11260" max="11260" width="14.140625" style="3469" customWidth="1"/>
    <col min="11261" max="11261" width="15.7109375" style="3469" bestFit="1" customWidth="1"/>
    <col min="11262" max="11262" width="13.42578125" style="3469" bestFit="1" customWidth="1"/>
    <col min="11263" max="11265" width="13.28515625" style="3469" customWidth="1"/>
    <col min="11266" max="11266" width="11.5703125" style="3469" customWidth="1"/>
    <col min="11267" max="11267" width="13.140625" style="3469" customWidth="1"/>
    <col min="11268" max="11268" width="13.85546875" style="3469" customWidth="1"/>
    <col min="11269" max="11269" width="15.140625" style="3469" customWidth="1"/>
    <col min="11270" max="11270" width="16.7109375" style="3469" customWidth="1"/>
    <col min="11271" max="11271" width="13.85546875" style="3469" customWidth="1"/>
    <col min="11272" max="11273" width="16.7109375" style="3469" customWidth="1"/>
    <col min="11274" max="11274" width="15" style="3469" customWidth="1"/>
    <col min="11275" max="11275" width="13" style="3469" customWidth="1"/>
    <col min="11276" max="11276" width="14.140625" style="3469" customWidth="1"/>
    <col min="11277" max="11277" width="13.85546875" style="3469" customWidth="1"/>
    <col min="11278" max="11278" width="12.140625" style="3469" customWidth="1"/>
    <col min="11279" max="11280" width="15" style="3469" customWidth="1"/>
    <col min="11281" max="11281" width="12.140625" style="3469" customWidth="1"/>
    <col min="11282" max="11282" width="16.5703125" style="3469" customWidth="1"/>
    <col min="11283" max="11283" width="12.5703125" style="3469" customWidth="1"/>
    <col min="11284" max="11284" width="24.85546875" style="3469" customWidth="1"/>
    <col min="11285" max="11285" width="11.7109375" style="3469" customWidth="1"/>
    <col min="11286" max="11287" width="13.5703125" style="3469" customWidth="1"/>
    <col min="11288" max="11288" width="18.7109375" style="3469" customWidth="1"/>
    <col min="11289" max="11289" width="13.42578125" style="3469" customWidth="1"/>
    <col min="11290" max="11290" width="18.5703125" style="3469" customWidth="1"/>
    <col min="11291" max="11291" width="13.28515625" style="3469" customWidth="1"/>
    <col min="11292" max="11292" width="13.140625" style="3469" customWidth="1"/>
    <col min="11293" max="11293" width="10.28515625" style="3469" customWidth="1"/>
    <col min="11294" max="11294" width="12.42578125" style="3469" customWidth="1"/>
    <col min="11295" max="11295" width="13.85546875" style="3469" customWidth="1"/>
    <col min="11296" max="11297" width="6.85546875" style="3469" customWidth="1"/>
    <col min="11298" max="11299" width="9.140625" style="3469"/>
    <col min="11300" max="11300" width="15.7109375" style="3469" customWidth="1"/>
    <col min="11301" max="11301" width="9.140625" style="3469"/>
    <col min="11302" max="11309" width="13.28515625" style="3469" bestFit="1" customWidth="1"/>
    <col min="11310" max="11310" width="18.7109375" style="3469" bestFit="1" customWidth="1"/>
    <col min="11311" max="11312" width="19" style="3469" bestFit="1" customWidth="1"/>
    <col min="11313" max="11319" width="13.28515625" style="3469" bestFit="1" customWidth="1"/>
    <col min="11320" max="11320" width="14.140625" style="3469" bestFit="1" customWidth="1"/>
    <col min="11321" max="11322" width="15.7109375" style="3469" bestFit="1" customWidth="1"/>
    <col min="11323" max="11325" width="14.140625" style="3469" bestFit="1" customWidth="1"/>
    <col min="11326" max="11327" width="15.7109375" style="3469" bestFit="1" customWidth="1"/>
    <col min="11328" max="11329" width="14.140625" style="3469" bestFit="1" customWidth="1"/>
    <col min="11330" max="11346" width="9.140625" style="3469"/>
    <col min="11347" max="11347" width="10" style="3469" bestFit="1" customWidth="1"/>
    <col min="11348" max="11507" width="9.140625" style="3469"/>
    <col min="11508" max="11508" width="43.85546875" style="3469" customWidth="1"/>
    <col min="11509" max="11509" width="7.140625" style="3469" customWidth="1"/>
    <col min="11510" max="11510" width="15.5703125" style="3469" customWidth="1"/>
    <col min="11511" max="11511" width="16" style="3469" customWidth="1"/>
    <col min="11512" max="11512" width="15.140625" style="3469" customWidth="1"/>
    <col min="11513" max="11513" width="14.85546875" style="3469" customWidth="1"/>
    <col min="11514" max="11514" width="16.28515625" style="3469" customWidth="1"/>
    <col min="11515" max="11515" width="13.85546875" style="3469" customWidth="1"/>
    <col min="11516" max="11516" width="14.140625" style="3469" customWidth="1"/>
    <col min="11517" max="11517" width="15.7109375" style="3469" bestFit="1" customWidth="1"/>
    <col min="11518" max="11518" width="13.42578125" style="3469" bestFit="1" customWidth="1"/>
    <col min="11519" max="11521" width="13.28515625" style="3469" customWidth="1"/>
    <col min="11522" max="11522" width="11.5703125" style="3469" customWidth="1"/>
    <col min="11523" max="11523" width="13.140625" style="3469" customWidth="1"/>
    <col min="11524" max="11524" width="13.85546875" style="3469" customWidth="1"/>
    <col min="11525" max="11525" width="15.140625" style="3469" customWidth="1"/>
    <col min="11526" max="11526" width="16.7109375" style="3469" customWidth="1"/>
    <col min="11527" max="11527" width="13.85546875" style="3469" customWidth="1"/>
    <col min="11528" max="11529" width="16.7109375" style="3469" customWidth="1"/>
    <col min="11530" max="11530" width="15" style="3469" customWidth="1"/>
    <col min="11531" max="11531" width="13" style="3469" customWidth="1"/>
    <col min="11532" max="11532" width="14.140625" style="3469" customWidth="1"/>
    <col min="11533" max="11533" width="13.85546875" style="3469" customWidth="1"/>
    <col min="11534" max="11534" width="12.140625" style="3469" customWidth="1"/>
    <col min="11535" max="11536" width="15" style="3469" customWidth="1"/>
    <col min="11537" max="11537" width="12.140625" style="3469" customWidth="1"/>
    <col min="11538" max="11538" width="16.5703125" style="3469" customWidth="1"/>
    <col min="11539" max="11539" width="12.5703125" style="3469" customWidth="1"/>
    <col min="11540" max="11540" width="24.85546875" style="3469" customWidth="1"/>
    <col min="11541" max="11541" width="11.7109375" style="3469" customWidth="1"/>
    <col min="11542" max="11543" width="13.5703125" style="3469" customWidth="1"/>
    <col min="11544" max="11544" width="18.7109375" style="3469" customWidth="1"/>
    <col min="11545" max="11545" width="13.42578125" style="3469" customWidth="1"/>
    <col min="11546" max="11546" width="18.5703125" style="3469" customWidth="1"/>
    <col min="11547" max="11547" width="13.28515625" style="3469" customWidth="1"/>
    <col min="11548" max="11548" width="13.140625" style="3469" customWidth="1"/>
    <col min="11549" max="11549" width="10.28515625" style="3469" customWidth="1"/>
    <col min="11550" max="11550" width="12.42578125" style="3469" customWidth="1"/>
    <col min="11551" max="11551" width="13.85546875" style="3469" customWidth="1"/>
    <col min="11552" max="11553" width="6.85546875" style="3469" customWidth="1"/>
    <col min="11554" max="11555" width="9.140625" style="3469"/>
    <col min="11556" max="11556" width="15.7109375" style="3469" customWidth="1"/>
    <col min="11557" max="11557" width="9.140625" style="3469"/>
    <col min="11558" max="11565" width="13.28515625" style="3469" bestFit="1" customWidth="1"/>
    <col min="11566" max="11566" width="18.7109375" style="3469" bestFit="1" customWidth="1"/>
    <col min="11567" max="11568" width="19" style="3469" bestFit="1" customWidth="1"/>
    <col min="11569" max="11575" width="13.28515625" style="3469" bestFit="1" customWidth="1"/>
    <col min="11576" max="11576" width="14.140625" style="3469" bestFit="1" customWidth="1"/>
    <col min="11577" max="11578" width="15.7109375" style="3469" bestFit="1" customWidth="1"/>
    <col min="11579" max="11581" width="14.140625" style="3469" bestFit="1" customWidth="1"/>
    <col min="11582" max="11583" width="15.7109375" style="3469" bestFit="1" customWidth="1"/>
    <col min="11584" max="11585" width="14.140625" style="3469" bestFit="1" customWidth="1"/>
    <col min="11586" max="11602" width="9.140625" style="3469"/>
    <col min="11603" max="11603" width="10" style="3469" bestFit="1" customWidth="1"/>
    <col min="11604" max="11763" width="9.140625" style="3469"/>
    <col min="11764" max="11764" width="43.85546875" style="3469" customWidth="1"/>
    <col min="11765" max="11765" width="7.140625" style="3469" customWidth="1"/>
    <col min="11766" max="11766" width="15.5703125" style="3469" customWidth="1"/>
    <col min="11767" max="11767" width="16" style="3469" customWidth="1"/>
    <col min="11768" max="11768" width="15.140625" style="3469" customWidth="1"/>
    <col min="11769" max="11769" width="14.85546875" style="3469" customWidth="1"/>
    <col min="11770" max="11770" width="16.28515625" style="3469" customWidth="1"/>
    <col min="11771" max="11771" width="13.85546875" style="3469" customWidth="1"/>
    <col min="11772" max="11772" width="14.140625" style="3469" customWidth="1"/>
    <col min="11773" max="11773" width="15.7109375" style="3469" bestFit="1" customWidth="1"/>
    <col min="11774" max="11774" width="13.42578125" style="3469" bestFit="1" customWidth="1"/>
    <col min="11775" max="11777" width="13.28515625" style="3469" customWidth="1"/>
    <col min="11778" max="11778" width="11.5703125" style="3469" customWidth="1"/>
    <col min="11779" max="11779" width="13.140625" style="3469" customWidth="1"/>
    <col min="11780" max="11780" width="13.85546875" style="3469" customWidth="1"/>
    <col min="11781" max="11781" width="15.140625" style="3469" customWidth="1"/>
    <col min="11782" max="11782" width="16.7109375" style="3469" customWidth="1"/>
    <col min="11783" max="11783" width="13.85546875" style="3469" customWidth="1"/>
    <col min="11784" max="11785" width="16.7109375" style="3469" customWidth="1"/>
    <col min="11786" max="11786" width="15" style="3469" customWidth="1"/>
    <col min="11787" max="11787" width="13" style="3469" customWidth="1"/>
    <col min="11788" max="11788" width="14.140625" style="3469" customWidth="1"/>
    <col min="11789" max="11789" width="13.85546875" style="3469" customWidth="1"/>
    <col min="11790" max="11790" width="12.140625" style="3469" customWidth="1"/>
    <col min="11791" max="11792" width="15" style="3469" customWidth="1"/>
    <col min="11793" max="11793" width="12.140625" style="3469" customWidth="1"/>
    <col min="11794" max="11794" width="16.5703125" style="3469" customWidth="1"/>
    <col min="11795" max="11795" width="12.5703125" style="3469" customWidth="1"/>
    <col min="11796" max="11796" width="24.85546875" style="3469" customWidth="1"/>
    <col min="11797" max="11797" width="11.7109375" style="3469" customWidth="1"/>
    <col min="11798" max="11799" width="13.5703125" style="3469" customWidth="1"/>
    <col min="11800" max="11800" width="18.7109375" style="3469" customWidth="1"/>
    <col min="11801" max="11801" width="13.42578125" style="3469" customWidth="1"/>
    <col min="11802" max="11802" width="18.5703125" style="3469" customWidth="1"/>
    <col min="11803" max="11803" width="13.28515625" style="3469" customWidth="1"/>
    <col min="11804" max="11804" width="13.140625" style="3469" customWidth="1"/>
    <col min="11805" max="11805" width="10.28515625" style="3469" customWidth="1"/>
    <col min="11806" max="11806" width="12.42578125" style="3469" customWidth="1"/>
    <col min="11807" max="11807" width="13.85546875" style="3469" customWidth="1"/>
    <col min="11808" max="11809" width="6.85546875" style="3469" customWidth="1"/>
    <col min="11810" max="11811" width="9.140625" style="3469"/>
    <col min="11812" max="11812" width="15.7109375" style="3469" customWidth="1"/>
    <col min="11813" max="11813" width="9.140625" style="3469"/>
    <col min="11814" max="11821" width="13.28515625" style="3469" bestFit="1" customWidth="1"/>
    <col min="11822" max="11822" width="18.7109375" style="3469" bestFit="1" customWidth="1"/>
    <col min="11823" max="11824" width="19" style="3469" bestFit="1" customWidth="1"/>
    <col min="11825" max="11831" width="13.28515625" style="3469" bestFit="1" customWidth="1"/>
    <col min="11832" max="11832" width="14.140625" style="3469" bestFit="1" customWidth="1"/>
    <col min="11833" max="11834" width="15.7109375" style="3469" bestFit="1" customWidth="1"/>
    <col min="11835" max="11837" width="14.140625" style="3469" bestFit="1" customWidth="1"/>
    <col min="11838" max="11839" width="15.7109375" style="3469" bestFit="1" customWidth="1"/>
    <col min="11840" max="11841" width="14.140625" style="3469" bestFit="1" customWidth="1"/>
    <col min="11842" max="11858" width="9.140625" style="3469"/>
    <col min="11859" max="11859" width="10" style="3469" bestFit="1" customWidth="1"/>
    <col min="11860" max="12019" width="9.140625" style="3469"/>
    <col min="12020" max="12020" width="43.85546875" style="3469" customWidth="1"/>
    <col min="12021" max="12021" width="7.140625" style="3469" customWidth="1"/>
    <col min="12022" max="12022" width="15.5703125" style="3469" customWidth="1"/>
    <col min="12023" max="12023" width="16" style="3469" customWidth="1"/>
    <col min="12024" max="12024" width="15.140625" style="3469" customWidth="1"/>
    <col min="12025" max="12025" width="14.85546875" style="3469" customWidth="1"/>
    <col min="12026" max="12026" width="16.28515625" style="3469" customWidth="1"/>
    <col min="12027" max="12027" width="13.85546875" style="3469" customWidth="1"/>
    <col min="12028" max="12028" width="14.140625" style="3469" customWidth="1"/>
    <col min="12029" max="12029" width="15.7109375" style="3469" bestFit="1" customWidth="1"/>
    <col min="12030" max="12030" width="13.42578125" style="3469" bestFit="1" customWidth="1"/>
    <col min="12031" max="12033" width="13.28515625" style="3469" customWidth="1"/>
    <col min="12034" max="12034" width="11.5703125" style="3469" customWidth="1"/>
    <col min="12035" max="12035" width="13.140625" style="3469" customWidth="1"/>
    <col min="12036" max="12036" width="13.85546875" style="3469" customWidth="1"/>
    <col min="12037" max="12037" width="15.140625" style="3469" customWidth="1"/>
    <col min="12038" max="12038" width="16.7109375" style="3469" customWidth="1"/>
    <col min="12039" max="12039" width="13.85546875" style="3469" customWidth="1"/>
    <col min="12040" max="12041" width="16.7109375" style="3469" customWidth="1"/>
    <col min="12042" max="12042" width="15" style="3469" customWidth="1"/>
    <col min="12043" max="12043" width="13" style="3469" customWidth="1"/>
    <col min="12044" max="12044" width="14.140625" style="3469" customWidth="1"/>
    <col min="12045" max="12045" width="13.85546875" style="3469" customWidth="1"/>
    <col min="12046" max="12046" width="12.140625" style="3469" customWidth="1"/>
    <col min="12047" max="12048" width="15" style="3469" customWidth="1"/>
    <col min="12049" max="12049" width="12.140625" style="3469" customWidth="1"/>
    <col min="12050" max="12050" width="16.5703125" style="3469" customWidth="1"/>
    <col min="12051" max="12051" width="12.5703125" style="3469" customWidth="1"/>
    <col min="12052" max="12052" width="24.85546875" style="3469" customWidth="1"/>
    <col min="12053" max="12053" width="11.7109375" style="3469" customWidth="1"/>
    <col min="12054" max="12055" width="13.5703125" style="3469" customWidth="1"/>
    <col min="12056" max="12056" width="18.7109375" style="3469" customWidth="1"/>
    <col min="12057" max="12057" width="13.42578125" style="3469" customWidth="1"/>
    <col min="12058" max="12058" width="18.5703125" style="3469" customWidth="1"/>
    <col min="12059" max="12059" width="13.28515625" style="3469" customWidth="1"/>
    <col min="12060" max="12060" width="13.140625" style="3469" customWidth="1"/>
    <col min="12061" max="12061" width="10.28515625" style="3469" customWidth="1"/>
    <col min="12062" max="12062" width="12.42578125" style="3469" customWidth="1"/>
    <col min="12063" max="12063" width="13.85546875" style="3469" customWidth="1"/>
    <col min="12064" max="12065" width="6.85546875" style="3469" customWidth="1"/>
    <col min="12066" max="12067" width="9.140625" style="3469"/>
    <col min="12068" max="12068" width="15.7109375" style="3469" customWidth="1"/>
    <col min="12069" max="12069" width="9.140625" style="3469"/>
    <col min="12070" max="12077" width="13.28515625" style="3469" bestFit="1" customWidth="1"/>
    <col min="12078" max="12078" width="18.7109375" style="3469" bestFit="1" customWidth="1"/>
    <col min="12079" max="12080" width="19" style="3469" bestFit="1" customWidth="1"/>
    <col min="12081" max="12087" width="13.28515625" style="3469" bestFit="1" customWidth="1"/>
    <col min="12088" max="12088" width="14.140625" style="3469" bestFit="1" customWidth="1"/>
    <col min="12089" max="12090" width="15.7109375" style="3469" bestFit="1" customWidth="1"/>
    <col min="12091" max="12093" width="14.140625" style="3469" bestFit="1" customWidth="1"/>
    <col min="12094" max="12095" width="15.7109375" style="3469" bestFit="1" customWidth="1"/>
    <col min="12096" max="12097" width="14.140625" style="3469" bestFit="1" customWidth="1"/>
    <col min="12098" max="12114" width="9.140625" style="3469"/>
    <col min="12115" max="12115" width="10" style="3469" bestFit="1" customWidth="1"/>
    <col min="12116" max="12275" width="9.140625" style="3469"/>
    <col min="12276" max="12276" width="43.85546875" style="3469" customWidth="1"/>
    <col min="12277" max="12277" width="7.140625" style="3469" customWidth="1"/>
    <col min="12278" max="12278" width="15.5703125" style="3469" customWidth="1"/>
    <col min="12279" max="12279" width="16" style="3469" customWidth="1"/>
    <col min="12280" max="12280" width="15.140625" style="3469" customWidth="1"/>
    <col min="12281" max="12281" width="14.85546875" style="3469" customWidth="1"/>
    <col min="12282" max="12282" width="16.28515625" style="3469" customWidth="1"/>
    <col min="12283" max="12283" width="13.85546875" style="3469" customWidth="1"/>
    <col min="12284" max="12284" width="14.140625" style="3469" customWidth="1"/>
    <col min="12285" max="12285" width="15.7109375" style="3469" bestFit="1" customWidth="1"/>
    <col min="12286" max="12286" width="13.42578125" style="3469" bestFit="1" customWidth="1"/>
    <col min="12287" max="12289" width="13.28515625" style="3469" customWidth="1"/>
    <col min="12290" max="12290" width="11.5703125" style="3469" customWidth="1"/>
    <col min="12291" max="12291" width="13.140625" style="3469" customWidth="1"/>
    <col min="12292" max="12292" width="13.85546875" style="3469" customWidth="1"/>
    <col min="12293" max="12293" width="15.140625" style="3469" customWidth="1"/>
    <col min="12294" max="12294" width="16.7109375" style="3469" customWidth="1"/>
    <col min="12295" max="12295" width="13.85546875" style="3469" customWidth="1"/>
    <col min="12296" max="12297" width="16.7109375" style="3469" customWidth="1"/>
    <col min="12298" max="12298" width="15" style="3469" customWidth="1"/>
    <col min="12299" max="12299" width="13" style="3469" customWidth="1"/>
    <col min="12300" max="12300" width="14.140625" style="3469" customWidth="1"/>
    <col min="12301" max="12301" width="13.85546875" style="3469" customWidth="1"/>
    <col min="12302" max="12302" width="12.140625" style="3469" customWidth="1"/>
    <col min="12303" max="12304" width="15" style="3469" customWidth="1"/>
    <col min="12305" max="12305" width="12.140625" style="3469" customWidth="1"/>
    <col min="12306" max="12306" width="16.5703125" style="3469" customWidth="1"/>
    <col min="12307" max="12307" width="12.5703125" style="3469" customWidth="1"/>
    <col min="12308" max="12308" width="24.85546875" style="3469" customWidth="1"/>
    <col min="12309" max="12309" width="11.7109375" style="3469" customWidth="1"/>
    <col min="12310" max="12311" width="13.5703125" style="3469" customWidth="1"/>
    <col min="12312" max="12312" width="18.7109375" style="3469" customWidth="1"/>
    <col min="12313" max="12313" width="13.42578125" style="3469" customWidth="1"/>
    <col min="12314" max="12314" width="18.5703125" style="3469" customWidth="1"/>
    <col min="12315" max="12315" width="13.28515625" style="3469" customWidth="1"/>
    <col min="12316" max="12316" width="13.140625" style="3469" customWidth="1"/>
    <col min="12317" max="12317" width="10.28515625" style="3469" customWidth="1"/>
    <col min="12318" max="12318" width="12.42578125" style="3469" customWidth="1"/>
    <col min="12319" max="12319" width="13.85546875" style="3469" customWidth="1"/>
    <col min="12320" max="12321" width="6.85546875" style="3469" customWidth="1"/>
    <col min="12322" max="12323" width="9.140625" style="3469"/>
    <col min="12324" max="12324" width="15.7109375" style="3469" customWidth="1"/>
    <col min="12325" max="12325" width="9.140625" style="3469"/>
    <col min="12326" max="12333" width="13.28515625" style="3469" bestFit="1" customWidth="1"/>
    <col min="12334" max="12334" width="18.7109375" style="3469" bestFit="1" customWidth="1"/>
    <col min="12335" max="12336" width="19" style="3469" bestFit="1" customWidth="1"/>
    <col min="12337" max="12343" width="13.28515625" style="3469" bestFit="1" customWidth="1"/>
    <col min="12344" max="12344" width="14.140625" style="3469" bestFit="1" customWidth="1"/>
    <col min="12345" max="12346" width="15.7109375" style="3469" bestFit="1" customWidth="1"/>
    <col min="12347" max="12349" width="14.140625" style="3469" bestFit="1" customWidth="1"/>
    <col min="12350" max="12351" width="15.7109375" style="3469" bestFit="1" customWidth="1"/>
    <col min="12352" max="12353" width="14.140625" style="3469" bestFit="1" customWidth="1"/>
    <col min="12354" max="12370" width="9.140625" style="3469"/>
    <col min="12371" max="12371" width="10" style="3469" bestFit="1" customWidth="1"/>
    <col min="12372" max="12531" width="9.140625" style="3469"/>
    <col min="12532" max="12532" width="43.85546875" style="3469" customWidth="1"/>
    <col min="12533" max="12533" width="7.140625" style="3469" customWidth="1"/>
    <col min="12534" max="12534" width="15.5703125" style="3469" customWidth="1"/>
    <col min="12535" max="12535" width="16" style="3469" customWidth="1"/>
    <col min="12536" max="12536" width="15.140625" style="3469" customWidth="1"/>
    <col min="12537" max="12537" width="14.85546875" style="3469" customWidth="1"/>
    <col min="12538" max="12538" width="16.28515625" style="3469" customWidth="1"/>
    <col min="12539" max="12539" width="13.85546875" style="3469" customWidth="1"/>
    <col min="12540" max="12540" width="14.140625" style="3469" customWidth="1"/>
    <col min="12541" max="12541" width="15.7109375" style="3469" bestFit="1" customWidth="1"/>
    <col min="12542" max="12542" width="13.42578125" style="3469" bestFit="1" customWidth="1"/>
    <col min="12543" max="12545" width="13.28515625" style="3469" customWidth="1"/>
    <col min="12546" max="12546" width="11.5703125" style="3469" customWidth="1"/>
    <col min="12547" max="12547" width="13.140625" style="3469" customWidth="1"/>
    <col min="12548" max="12548" width="13.85546875" style="3469" customWidth="1"/>
    <col min="12549" max="12549" width="15.140625" style="3469" customWidth="1"/>
    <col min="12550" max="12550" width="16.7109375" style="3469" customWidth="1"/>
    <col min="12551" max="12551" width="13.85546875" style="3469" customWidth="1"/>
    <col min="12552" max="12553" width="16.7109375" style="3469" customWidth="1"/>
    <col min="12554" max="12554" width="15" style="3469" customWidth="1"/>
    <col min="12555" max="12555" width="13" style="3469" customWidth="1"/>
    <col min="12556" max="12556" width="14.140625" style="3469" customWidth="1"/>
    <col min="12557" max="12557" width="13.85546875" style="3469" customWidth="1"/>
    <col min="12558" max="12558" width="12.140625" style="3469" customWidth="1"/>
    <col min="12559" max="12560" width="15" style="3469" customWidth="1"/>
    <col min="12561" max="12561" width="12.140625" style="3469" customWidth="1"/>
    <col min="12562" max="12562" width="16.5703125" style="3469" customWidth="1"/>
    <col min="12563" max="12563" width="12.5703125" style="3469" customWidth="1"/>
    <col min="12564" max="12564" width="24.85546875" style="3469" customWidth="1"/>
    <col min="12565" max="12565" width="11.7109375" style="3469" customWidth="1"/>
    <col min="12566" max="12567" width="13.5703125" style="3469" customWidth="1"/>
    <col min="12568" max="12568" width="18.7109375" style="3469" customWidth="1"/>
    <col min="12569" max="12569" width="13.42578125" style="3469" customWidth="1"/>
    <col min="12570" max="12570" width="18.5703125" style="3469" customWidth="1"/>
    <col min="12571" max="12571" width="13.28515625" style="3469" customWidth="1"/>
    <col min="12572" max="12572" width="13.140625" style="3469" customWidth="1"/>
    <col min="12573" max="12573" width="10.28515625" style="3469" customWidth="1"/>
    <col min="12574" max="12574" width="12.42578125" style="3469" customWidth="1"/>
    <col min="12575" max="12575" width="13.85546875" style="3469" customWidth="1"/>
    <col min="12576" max="12577" width="6.85546875" style="3469" customWidth="1"/>
    <col min="12578" max="12579" width="9.140625" style="3469"/>
    <col min="12580" max="12580" width="15.7109375" style="3469" customWidth="1"/>
    <col min="12581" max="12581" width="9.140625" style="3469"/>
    <col min="12582" max="12589" width="13.28515625" style="3469" bestFit="1" customWidth="1"/>
    <col min="12590" max="12590" width="18.7109375" style="3469" bestFit="1" customWidth="1"/>
    <col min="12591" max="12592" width="19" style="3469" bestFit="1" customWidth="1"/>
    <col min="12593" max="12599" width="13.28515625" style="3469" bestFit="1" customWidth="1"/>
    <col min="12600" max="12600" width="14.140625" style="3469" bestFit="1" customWidth="1"/>
    <col min="12601" max="12602" width="15.7109375" style="3469" bestFit="1" customWidth="1"/>
    <col min="12603" max="12605" width="14.140625" style="3469" bestFit="1" customWidth="1"/>
    <col min="12606" max="12607" width="15.7109375" style="3469" bestFit="1" customWidth="1"/>
    <col min="12608" max="12609" width="14.140625" style="3469" bestFit="1" customWidth="1"/>
    <col min="12610" max="12626" width="9.140625" style="3469"/>
    <col min="12627" max="12627" width="10" style="3469" bestFit="1" customWidth="1"/>
    <col min="12628" max="12787" width="9.140625" style="3469"/>
    <col min="12788" max="12788" width="43.85546875" style="3469" customWidth="1"/>
    <col min="12789" max="12789" width="7.140625" style="3469" customWidth="1"/>
    <col min="12790" max="12790" width="15.5703125" style="3469" customWidth="1"/>
    <col min="12791" max="12791" width="16" style="3469" customWidth="1"/>
    <col min="12792" max="12792" width="15.140625" style="3469" customWidth="1"/>
    <col min="12793" max="12793" width="14.85546875" style="3469" customWidth="1"/>
    <col min="12794" max="12794" width="16.28515625" style="3469" customWidth="1"/>
    <col min="12795" max="12795" width="13.85546875" style="3469" customWidth="1"/>
    <col min="12796" max="12796" width="14.140625" style="3469" customWidth="1"/>
    <col min="12797" max="12797" width="15.7109375" style="3469" bestFit="1" customWidth="1"/>
    <col min="12798" max="12798" width="13.42578125" style="3469" bestFit="1" customWidth="1"/>
    <col min="12799" max="12801" width="13.28515625" style="3469" customWidth="1"/>
    <col min="12802" max="12802" width="11.5703125" style="3469" customWidth="1"/>
    <col min="12803" max="12803" width="13.140625" style="3469" customWidth="1"/>
    <col min="12804" max="12804" width="13.85546875" style="3469" customWidth="1"/>
    <col min="12805" max="12805" width="15.140625" style="3469" customWidth="1"/>
    <col min="12806" max="12806" width="16.7109375" style="3469" customWidth="1"/>
    <col min="12807" max="12807" width="13.85546875" style="3469" customWidth="1"/>
    <col min="12808" max="12809" width="16.7109375" style="3469" customWidth="1"/>
    <col min="12810" max="12810" width="15" style="3469" customWidth="1"/>
    <col min="12811" max="12811" width="13" style="3469" customWidth="1"/>
    <col min="12812" max="12812" width="14.140625" style="3469" customWidth="1"/>
    <col min="12813" max="12813" width="13.85546875" style="3469" customWidth="1"/>
    <col min="12814" max="12814" width="12.140625" style="3469" customWidth="1"/>
    <col min="12815" max="12816" width="15" style="3469" customWidth="1"/>
    <col min="12817" max="12817" width="12.140625" style="3469" customWidth="1"/>
    <col min="12818" max="12818" width="16.5703125" style="3469" customWidth="1"/>
    <col min="12819" max="12819" width="12.5703125" style="3469" customWidth="1"/>
    <col min="12820" max="12820" width="24.85546875" style="3469" customWidth="1"/>
    <col min="12821" max="12821" width="11.7109375" style="3469" customWidth="1"/>
    <col min="12822" max="12823" width="13.5703125" style="3469" customWidth="1"/>
    <col min="12824" max="12824" width="18.7109375" style="3469" customWidth="1"/>
    <col min="12825" max="12825" width="13.42578125" style="3469" customWidth="1"/>
    <col min="12826" max="12826" width="18.5703125" style="3469" customWidth="1"/>
    <col min="12827" max="12827" width="13.28515625" style="3469" customWidth="1"/>
    <col min="12828" max="12828" width="13.140625" style="3469" customWidth="1"/>
    <col min="12829" max="12829" width="10.28515625" style="3469" customWidth="1"/>
    <col min="12830" max="12830" width="12.42578125" style="3469" customWidth="1"/>
    <col min="12831" max="12831" width="13.85546875" style="3469" customWidth="1"/>
    <col min="12832" max="12833" width="6.85546875" style="3469" customWidth="1"/>
    <col min="12834" max="12835" width="9.140625" style="3469"/>
    <col min="12836" max="12836" width="15.7109375" style="3469" customWidth="1"/>
    <col min="12837" max="12837" width="9.140625" style="3469"/>
    <col min="12838" max="12845" width="13.28515625" style="3469" bestFit="1" customWidth="1"/>
    <col min="12846" max="12846" width="18.7109375" style="3469" bestFit="1" customWidth="1"/>
    <col min="12847" max="12848" width="19" style="3469" bestFit="1" customWidth="1"/>
    <col min="12849" max="12855" width="13.28515625" style="3469" bestFit="1" customWidth="1"/>
    <col min="12856" max="12856" width="14.140625" style="3469" bestFit="1" customWidth="1"/>
    <col min="12857" max="12858" width="15.7109375" style="3469" bestFit="1" customWidth="1"/>
    <col min="12859" max="12861" width="14.140625" style="3469" bestFit="1" customWidth="1"/>
    <col min="12862" max="12863" width="15.7109375" style="3469" bestFit="1" customWidth="1"/>
    <col min="12864" max="12865" width="14.140625" style="3469" bestFit="1" customWidth="1"/>
    <col min="12866" max="12882" width="9.140625" style="3469"/>
    <col min="12883" max="12883" width="10" style="3469" bestFit="1" customWidth="1"/>
    <col min="12884" max="13043" width="9.140625" style="3469"/>
    <col min="13044" max="13044" width="43.85546875" style="3469" customWidth="1"/>
    <col min="13045" max="13045" width="7.140625" style="3469" customWidth="1"/>
    <col min="13046" max="13046" width="15.5703125" style="3469" customWidth="1"/>
    <col min="13047" max="13047" width="16" style="3469" customWidth="1"/>
    <col min="13048" max="13048" width="15.140625" style="3469" customWidth="1"/>
    <col min="13049" max="13049" width="14.85546875" style="3469" customWidth="1"/>
    <col min="13050" max="13050" width="16.28515625" style="3469" customWidth="1"/>
    <col min="13051" max="13051" width="13.85546875" style="3469" customWidth="1"/>
    <col min="13052" max="13052" width="14.140625" style="3469" customWidth="1"/>
    <col min="13053" max="13053" width="15.7109375" style="3469" bestFit="1" customWidth="1"/>
    <col min="13054" max="13054" width="13.42578125" style="3469" bestFit="1" customWidth="1"/>
    <col min="13055" max="13057" width="13.28515625" style="3469" customWidth="1"/>
    <col min="13058" max="13058" width="11.5703125" style="3469" customWidth="1"/>
    <col min="13059" max="13059" width="13.140625" style="3469" customWidth="1"/>
    <col min="13060" max="13060" width="13.85546875" style="3469" customWidth="1"/>
    <col min="13061" max="13061" width="15.140625" style="3469" customWidth="1"/>
    <col min="13062" max="13062" width="16.7109375" style="3469" customWidth="1"/>
    <col min="13063" max="13063" width="13.85546875" style="3469" customWidth="1"/>
    <col min="13064" max="13065" width="16.7109375" style="3469" customWidth="1"/>
    <col min="13066" max="13066" width="15" style="3469" customWidth="1"/>
    <col min="13067" max="13067" width="13" style="3469" customWidth="1"/>
    <col min="13068" max="13068" width="14.140625" style="3469" customWidth="1"/>
    <col min="13069" max="13069" width="13.85546875" style="3469" customWidth="1"/>
    <col min="13070" max="13070" width="12.140625" style="3469" customWidth="1"/>
    <col min="13071" max="13072" width="15" style="3469" customWidth="1"/>
    <col min="13073" max="13073" width="12.140625" style="3469" customWidth="1"/>
    <col min="13074" max="13074" width="16.5703125" style="3469" customWidth="1"/>
    <col min="13075" max="13075" width="12.5703125" style="3469" customWidth="1"/>
    <col min="13076" max="13076" width="24.85546875" style="3469" customWidth="1"/>
    <col min="13077" max="13077" width="11.7109375" style="3469" customWidth="1"/>
    <col min="13078" max="13079" width="13.5703125" style="3469" customWidth="1"/>
    <col min="13080" max="13080" width="18.7109375" style="3469" customWidth="1"/>
    <col min="13081" max="13081" width="13.42578125" style="3469" customWidth="1"/>
    <col min="13082" max="13082" width="18.5703125" style="3469" customWidth="1"/>
    <col min="13083" max="13083" width="13.28515625" style="3469" customWidth="1"/>
    <col min="13084" max="13084" width="13.140625" style="3469" customWidth="1"/>
    <col min="13085" max="13085" width="10.28515625" style="3469" customWidth="1"/>
    <col min="13086" max="13086" width="12.42578125" style="3469" customWidth="1"/>
    <col min="13087" max="13087" width="13.85546875" style="3469" customWidth="1"/>
    <col min="13088" max="13089" width="6.85546875" style="3469" customWidth="1"/>
    <col min="13090" max="13091" width="9.140625" style="3469"/>
    <col min="13092" max="13092" width="15.7109375" style="3469" customWidth="1"/>
    <col min="13093" max="13093" width="9.140625" style="3469"/>
    <col min="13094" max="13101" width="13.28515625" style="3469" bestFit="1" customWidth="1"/>
    <col min="13102" max="13102" width="18.7109375" style="3469" bestFit="1" customWidth="1"/>
    <col min="13103" max="13104" width="19" style="3469" bestFit="1" customWidth="1"/>
    <col min="13105" max="13111" width="13.28515625" style="3469" bestFit="1" customWidth="1"/>
    <col min="13112" max="13112" width="14.140625" style="3469" bestFit="1" customWidth="1"/>
    <col min="13113" max="13114" width="15.7109375" style="3469" bestFit="1" customWidth="1"/>
    <col min="13115" max="13117" width="14.140625" style="3469" bestFit="1" customWidth="1"/>
    <col min="13118" max="13119" width="15.7109375" style="3469" bestFit="1" customWidth="1"/>
    <col min="13120" max="13121" width="14.140625" style="3469" bestFit="1" customWidth="1"/>
    <col min="13122" max="13138" width="9.140625" style="3469"/>
    <col min="13139" max="13139" width="10" style="3469" bestFit="1" customWidth="1"/>
    <col min="13140" max="13299" width="9.140625" style="3469"/>
    <col min="13300" max="13300" width="43.85546875" style="3469" customWidth="1"/>
    <col min="13301" max="13301" width="7.140625" style="3469" customWidth="1"/>
    <col min="13302" max="13302" width="15.5703125" style="3469" customWidth="1"/>
    <col min="13303" max="13303" width="16" style="3469" customWidth="1"/>
    <col min="13304" max="13304" width="15.140625" style="3469" customWidth="1"/>
    <col min="13305" max="13305" width="14.85546875" style="3469" customWidth="1"/>
    <col min="13306" max="13306" width="16.28515625" style="3469" customWidth="1"/>
    <col min="13307" max="13307" width="13.85546875" style="3469" customWidth="1"/>
    <col min="13308" max="13308" width="14.140625" style="3469" customWidth="1"/>
    <col min="13309" max="13309" width="15.7109375" style="3469" bestFit="1" customWidth="1"/>
    <col min="13310" max="13310" width="13.42578125" style="3469" bestFit="1" customWidth="1"/>
    <col min="13311" max="13313" width="13.28515625" style="3469" customWidth="1"/>
    <col min="13314" max="13314" width="11.5703125" style="3469" customWidth="1"/>
    <col min="13315" max="13315" width="13.140625" style="3469" customWidth="1"/>
    <col min="13316" max="13316" width="13.85546875" style="3469" customWidth="1"/>
    <col min="13317" max="13317" width="15.140625" style="3469" customWidth="1"/>
    <col min="13318" max="13318" width="16.7109375" style="3469" customWidth="1"/>
    <col min="13319" max="13319" width="13.85546875" style="3469" customWidth="1"/>
    <col min="13320" max="13321" width="16.7109375" style="3469" customWidth="1"/>
    <col min="13322" max="13322" width="15" style="3469" customWidth="1"/>
    <col min="13323" max="13323" width="13" style="3469" customWidth="1"/>
    <col min="13324" max="13324" width="14.140625" style="3469" customWidth="1"/>
    <col min="13325" max="13325" width="13.85546875" style="3469" customWidth="1"/>
    <col min="13326" max="13326" width="12.140625" style="3469" customWidth="1"/>
    <col min="13327" max="13328" width="15" style="3469" customWidth="1"/>
    <col min="13329" max="13329" width="12.140625" style="3469" customWidth="1"/>
    <col min="13330" max="13330" width="16.5703125" style="3469" customWidth="1"/>
    <col min="13331" max="13331" width="12.5703125" style="3469" customWidth="1"/>
    <col min="13332" max="13332" width="24.85546875" style="3469" customWidth="1"/>
    <col min="13333" max="13333" width="11.7109375" style="3469" customWidth="1"/>
    <col min="13334" max="13335" width="13.5703125" style="3469" customWidth="1"/>
    <col min="13336" max="13336" width="18.7109375" style="3469" customWidth="1"/>
    <col min="13337" max="13337" width="13.42578125" style="3469" customWidth="1"/>
    <col min="13338" max="13338" width="18.5703125" style="3469" customWidth="1"/>
    <col min="13339" max="13339" width="13.28515625" style="3469" customWidth="1"/>
    <col min="13340" max="13340" width="13.140625" style="3469" customWidth="1"/>
    <col min="13341" max="13341" width="10.28515625" style="3469" customWidth="1"/>
    <col min="13342" max="13342" width="12.42578125" style="3469" customWidth="1"/>
    <col min="13343" max="13343" width="13.85546875" style="3469" customWidth="1"/>
    <col min="13344" max="13345" width="6.85546875" style="3469" customWidth="1"/>
    <col min="13346" max="13347" width="9.140625" style="3469"/>
    <col min="13348" max="13348" width="15.7109375" style="3469" customWidth="1"/>
    <col min="13349" max="13349" width="9.140625" style="3469"/>
    <col min="13350" max="13357" width="13.28515625" style="3469" bestFit="1" customWidth="1"/>
    <col min="13358" max="13358" width="18.7109375" style="3469" bestFit="1" customWidth="1"/>
    <col min="13359" max="13360" width="19" style="3469" bestFit="1" customWidth="1"/>
    <col min="13361" max="13367" width="13.28515625" style="3469" bestFit="1" customWidth="1"/>
    <col min="13368" max="13368" width="14.140625" style="3469" bestFit="1" customWidth="1"/>
    <col min="13369" max="13370" width="15.7109375" style="3469" bestFit="1" customWidth="1"/>
    <col min="13371" max="13373" width="14.140625" style="3469" bestFit="1" customWidth="1"/>
    <col min="13374" max="13375" width="15.7109375" style="3469" bestFit="1" customWidth="1"/>
    <col min="13376" max="13377" width="14.140625" style="3469" bestFit="1" customWidth="1"/>
    <col min="13378" max="13394" width="9.140625" style="3469"/>
    <col min="13395" max="13395" width="10" style="3469" bestFit="1" customWidth="1"/>
    <col min="13396" max="13555" width="9.140625" style="3469"/>
    <col min="13556" max="13556" width="43.85546875" style="3469" customWidth="1"/>
    <col min="13557" max="13557" width="7.140625" style="3469" customWidth="1"/>
    <col min="13558" max="13558" width="15.5703125" style="3469" customWidth="1"/>
    <col min="13559" max="13559" width="16" style="3469" customWidth="1"/>
    <col min="13560" max="13560" width="15.140625" style="3469" customWidth="1"/>
    <col min="13561" max="13561" width="14.85546875" style="3469" customWidth="1"/>
    <col min="13562" max="13562" width="16.28515625" style="3469" customWidth="1"/>
    <col min="13563" max="13563" width="13.85546875" style="3469" customWidth="1"/>
    <col min="13564" max="13564" width="14.140625" style="3469" customWidth="1"/>
    <col min="13565" max="13565" width="15.7109375" style="3469" bestFit="1" customWidth="1"/>
    <col min="13566" max="13566" width="13.42578125" style="3469" bestFit="1" customWidth="1"/>
    <col min="13567" max="13569" width="13.28515625" style="3469" customWidth="1"/>
    <col min="13570" max="13570" width="11.5703125" style="3469" customWidth="1"/>
    <col min="13571" max="13571" width="13.140625" style="3469" customWidth="1"/>
    <col min="13572" max="13572" width="13.85546875" style="3469" customWidth="1"/>
    <col min="13573" max="13573" width="15.140625" style="3469" customWidth="1"/>
    <col min="13574" max="13574" width="16.7109375" style="3469" customWidth="1"/>
    <col min="13575" max="13575" width="13.85546875" style="3469" customWidth="1"/>
    <col min="13576" max="13577" width="16.7109375" style="3469" customWidth="1"/>
    <col min="13578" max="13578" width="15" style="3469" customWidth="1"/>
    <col min="13579" max="13579" width="13" style="3469" customWidth="1"/>
    <col min="13580" max="13580" width="14.140625" style="3469" customWidth="1"/>
    <col min="13581" max="13581" width="13.85546875" style="3469" customWidth="1"/>
    <col min="13582" max="13582" width="12.140625" style="3469" customWidth="1"/>
    <col min="13583" max="13584" width="15" style="3469" customWidth="1"/>
    <col min="13585" max="13585" width="12.140625" style="3469" customWidth="1"/>
    <col min="13586" max="13586" width="16.5703125" style="3469" customWidth="1"/>
    <col min="13587" max="13587" width="12.5703125" style="3469" customWidth="1"/>
    <col min="13588" max="13588" width="24.85546875" style="3469" customWidth="1"/>
    <col min="13589" max="13589" width="11.7109375" style="3469" customWidth="1"/>
    <col min="13590" max="13591" width="13.5703125" style="3469" customWidth="1"/>
    <col min="13592" max="13592" width="18.7109375" style="3469" customWidth="1"/>
    <col min="13593" max="13593" width="13.42578125" style="3469" customWidth="1"/>
    <col min="13594" max="13594" width="18.5703125" style="3469" customWidth="1"/>
    <col min="13595" max="13595" width="13.28515625" style="3469" customWidth="1"/>
    <col min="13596" max="13596" width="13.140625" style="3469" customWidth="1"/>
    <col min="13597" max="13597" width="10.28515625" style="3469" customWidth="1"/>
    <col min="13598" max="13598" width="12.42578125" style="3469" customWidth="1"/>
    <col min="13599" max="13599" width="13.85546875" style="3469" customWidth="1"/>
    <col min="13600" max="13601" width="6.85546875" style="3469" customWidth="1"/>
    <col min="13602" max="13603" width="9.140625" style="3469"/>
    <col min="13604" max="13604" width="15.7109375" style="3469" customWidth="1"/>
    <col min="13605" max="13605" width="9.140625" style="3469"/>
    <col min="13606" max="13613" width="13.28515625" style="3469" bestFit="1" customWidth="1"/>
    <col min="13614" max="13614" width="18.7109375" style="3469" bestFit="1" customWidth="1"/>
    <col min="13615" max="13616" width="19" style="3469" bestFit="1" customWidth="1"/>
    <col min="13617" max="13623" width="13.28515625" style="3469" bestFit="1" customWidth="1"/>
    <col min="13624" max="13624" width="14.140625" style="3469" bestFit="1" customWidth="1"/>
    <col min="13625" max="13626" width="15.7109375" style="3469" bestFit="1" customWidth="1"/>
    <col min="13627" max="13629" width="14.140625" style="3469" bestFit="1" customWidth="1"/>
    <col min="13630" max="13631" width="15.7109375" style="3469" bestFit="1" customWidth="1"/>
    <col min="13632" max="13633" width="14.140625" style="3469" bestFit="1" customWidth="1"/>
    <col min="13634" max="13650" width="9.140625" style="3469"/>
    <col min="13651" max="13651" width="10" style="3469" bestFit="1" customWidth="1"/>
    <col min="13652" max="13811" width="9.140625" style="3469"/>
    <col min="13812" max="13812" width="43.85546875" style="3469" customWidth="1"/>
    <col min="13813" max="13813" width="7.140625" style="3469" customWidth="1"/>
    <col min="13814" max="13814" width="15.5703125" style="3469" customWidth="1"/>
    <col min="13815" max="13815" width="16" style="3469" customWidth="1"/>
    <col min="13816" max="13816" width="15.140625" style="3469" customWidth="1"/>
    <col min="13817" max="13817" width="14.85546875" style="3469" customWidth="1"/>
    <col min="13818" max="13818" width="16.28515625" style="3469" customWidth="1"/>
    <col min="13819" max="13819" width="13.85546875" style="3469" customWidth="1"/>
    <col min="13820" max="13820" width="14.140625" style="3469" customWidth="1"/>
    <col min="13821" max="13821" width="15.7109375" style="3469" bestFit="1" customWidth="1"/>
    <col min="13822" max="13822" width="13.42578125" style="3469" bestFit="1" customWidth="1"/>
    <col min="13823" max="13825" width="13.28515625" style="3469" customWidth="1"/>
    <col min="13826" max="13826" width="11.5703125" style="3469" customWidth="1"/>
    <col min="13827" max="13827" width="13.140625" style="3469" customWidth="1"/>
    <col min="13828" max="13828" width="13.85546875" style="3469" customWidth="1"/>
    <col min="13829" max="13829" width="15.140625" style="3469" customWidth="1"/>
    <col min="13830" max="13830" width="16.7109375" style="3469" customWidth="1"/>
    <col min="13831" max="13831" width="13.85546875" style="3469" customWidth="1"/>
    <col min="13832" max="13833" width="16.7109375" style="3469" customWidth="1"/>
    <col min="13834" max="13834" width="15" style="3469" customWidth="1"/>
    <col min="13835" max="13835" width="13" style="3469" customWidth="1"/>
    <col min="13836" max="13836" width="14.140625" style="3469" customWidth="1"/>
    <col min="13837" max="13837" width="13.85546875" style="3469" customWidth="1"/>
    <col min="13838" max="13838" width="12.140625" style="3469" customWidth="1"/>
    <col min="13839" max="13840" width="15" style="3469" customWidth="1"/>
    <col min="13841" max="13841" width="12.140625" style="3469" customWidth="1"/>
    <col min="13842" max="13842" width="16.5703125" style="3469" customWidth="1"/>
    <col min="13843" max="13843" width="12.5703125" style="3469" customWidth="1"/>
    <col min="13844" max="13844" width="24.85546875" style="3469" customWidth="1"/>
    <col min="13845" max="13845" width="11.7109375" style="3469" customWidth="1"/>
    <col min="13846" max="13847" width="13.5703125" style="3469" customWidth="1"/>
    <col min="13848" max="13848" width="18.7109375" style="3469" customWidth="1"/>
    <col min="13849" max="13849" width="13.42578125" style="3469" customWidth="1"/>
    <col min="13850" max="13850" width="18.5703125" style="3469" customWidth="1"/>
    <col min="13851" max="13851" width="13.28515625" style="3469" customWidth="1"/>
    <col min="13852" max="13852" width="13.140625" style="3469" customWidth="1"/>
    <col min="13853" max="13853" width="10.28515625" style="3469" customWidth="1"/>
    <col min="13854" max="13854" width="12.42578125" style="3469" customWidth="1"/>
    <col min="13855" max="13855" width="13.85546875" style="3469" customWidth="1"/>
    <col min="13856" max="13857" width="6.85546875" style="3469" customWidth="1"/>
    <col min="13858" max="13859" width="9.140625" style="3469"/>
    <col min="13860" max="13860" width="15.7109375" style="3469" customWidth="1"/>
    <col min="13861" max="13861" width="9.140625" style="3469"/>
    <col min="13862" max="13869" width="13.28515625" style="3469" bestFit="1" customWidth="1"/>
    <col min="13870" max="13870" width="18.7109375" style="3469" bestFit="1" customWidth="1"/>
    <col min="13871" max="13872" width="19" style="3469" bestFit="1" customWidth="1"/>
    <col min="13873" max="13879" width="13.28515625" style="3469" bestFit="1" customWidth="1"/>
    <col min="13880" max="13880" width="14.140625" style="3469" bestFit="1" customWidth="1"/>
    <col min="13881" max="13882" width="15.7109375" style="3469" bestFit="1" customWidth="1"/>
    <col min="13883" max="13885" width="14.140625" style="3469" bestFit="1" customWidth="1"/>
    <col min="13886" max="13887" width="15.7109375" style="3469" bestFit="1" customWidth="1"/>
    <col min="13888" max="13889" width="14.140625" style="3469" bestFit="1" customWidth="1"/>
    <col min="13890" max="13906" width="9.140625" style="3469"/>
    <col min="13907" max="13907" width="10" style="3469" bestFit="1" customWidth="1"/>
    <col min="13908" max="14067" width="9.140625" style="3469"/>
    <col min="14068" max="14068" width="43.85546875" style="3469" customWidth="1"/>
    <col min="14069" max="14069" width="7.140625" style="3469" customWidth="1"/>
    <col min="14070" max="14070" width="15.5703125" style="3469" customWidth="1"/>
    <col min="14071" max="14071" width="16" style="3469" customWidth="1"/>
    <col min="14072" max="14072" width="15.140625" style="3469" customWidth="1"/>
    <col min="14073" max="14073" width="14.85546875" style="3469" customWidth="1"/>
    <col min="14074" max="14074" width="16.28515625" style="3469" customWidth="1"/>
    <col min="14075" max="14075" width="13.85546875" style="3469" customWidth="1"/>
    <col min="14076" max="14076" width="14.140625" style="3469" customWidth="1"/>
    <col min="14077" max="14077" width="15.7109375" style="3469" bestFit="1" customWidth="1"/>
    <col min="14078" max="14078" width="13.42578125" style="3469" bestFit="1" customWidth="1"/>
    <col min="14079" max="14081" width="13.28515625" style="3469" customWidth="1"/>
    <col min="14082" max="14082" width="11.5703125" style="3469" customWidth="1"/>
    <col min="14083" max="14083" width="13.140625" style="3469" customWidth="1"/>
    <col min="14084" max="14084" width="13.85546875" style="3469" customWidth="1"/>
    <col min="14085" max="14085" width="15.140625" style="3469" customWidth="1"/>
    <col min="14086" max="14086" width="16.7109375" style="3469" customWidth="1"/>
    <col min="14087" max="14087" width="13.85546875" style="3469" customWidth="1"/>
    <col min="14088" max="14089" width="16.7109375" style="3469" customWidth="1"/>
    <col min="14090" max="14090" width="15" style="3469" customWidth="1"/>
    <col min="14091" max="14091" width="13" style="3469" customWidth="1"/>
    <col min="14092" max="14092" width="14.140625" style="3469" customWidth="1"/>
    <col min="14093" max="14093" width="13.85546875" style="3469" customWidth="1"/>
    <col min="14094" max="14094" width="12.140625" style="3469" customWidth="1"/>
    <col min="14095" max="14096" width="15" style="3469" customWidth="1"/>
    <col min="14097" max="14097" width="12.140625" style="3469" customWidth="1"/>
    <col min="14098" max="14098" width="16.5703125" style="3469" customWidth="1"/>
    <col min="14099" max="14099" width="12.5703125" style="3469" customWidth="1"/>
    <col min="14100" max="14100" width="24.85546875" style="3469" customWidth="1"/>
    <col min="14101" max="14101" width="11.7109375" style="3469" customWidth="1"/>
    <col min="14102" max="14103" width="13.5703125" style="3469" customWidth="1"/>
    <col min="14104" max="14104" width="18.7109375" style="3469" customWidth="1"/>
    <col min="14105" max="14105" width="13.42578125" style="3469" customWidth="1"/>
    <col min="14106" max="14106" width="18.5703125" style="3469" customWidth="1"/>
    <col min="14107" max="14107" width="13.28515625" style="3469" customWidth="1"/>
    <col min="14108" max="14108" width="13.140625" style="3469" customWidth="1"/>
    <col min="14109" max="14109" width="10.28515625" style="3469" customWidth="1"/>
    <col min="14110" max="14110" width="12.42578125" style="3469" customWidth="1"/>
    <col min="14111" max="14111" width="13.85546875" style="3469" customWidth="1"/>
    <col min="14112" max="14113" width="6.85546875" style="3469" customWidth="1"/>
    <col min="14114" max="14115" width="9.140625" style="3469"/>
    <col min="14116" max="14116" width="15.7109375" style="3469" customWidth="1"/>
    <col min="14117" max="14117" width="9.140625" style="3469"/>
    <col min="14118" max="14125" width="13.28515625" style="3469" bestFit="1" customWidth="1"/>
    <col min="14126" max="14126" width="18.7109375" style="3469" bestFit="1" customWidth="1"/>
    <col min="14127" max="14128" width="19" style="3469" bestFit="1" customWidth="1"/>
    <col min="14129" max="14135" width="13.28515625" style="3469" bestFit="1" customWidth="1"/>
    <col min="14136" max="14136" width="14.140625" style="3469" bestFit="1" customWidth="1"/>
    <col min="14137" max="14138" width="15.7109375" style="3469" bestFit="1" customWidth="1"/>
    <col min="14139" max="14141" width="14.140625" style="3469" bestFit="1" customWidth="1"/>
    <col min="14142" max="14143" width="15.7109375" style="3469" bestFit="1" customWidth="1"/>
    <col min="14144" max="14145" width="14.140625" style="3469" bestFit="1" customWidth="1"/>
    <col min="14146" max="14162" width="9.140625" style="3469"/>
    <col min="14163" max="14163" width="10" style="3469" bestFit="1" customWidth="1"/>
    <col min="14164" max="14323" width="9.140625" style="3469"/>
    <col min="14324" max="14324" width="43.85546875" style="3469" customWidth="1"/>
    <col min="14325" max="14325" width="7.140625" style="3469" customWidth="1"/>
    <col min="14326" max="14326" width="15.5703125" style="3469" customWidth="1"/>
    <col min="14327" max="14327" width="16" style="3469" customWidth="1"/>
    <col min="14328" max="14328" width="15.140625" style="3469" customWidth="1"/>
    <col min="14329" max="14329" width="14.85546875" style="3469" customWidth="1"/>
    <col min="14330" max="14330" width="16.28515625" style="3469" customWidth="1"/>
    <col min="14331" max="14331" width="13.85546875" style="3469" customWidth="1"/>
    <col min="14332" max="14332" width="14.140625" style="3469" customWidth="1"/>
    <col min="14333" max="14333" width="15.7109375" style="3469" bestFit="1" customWidth="1"/>
    <col min="14334" max="14334" width="13.42578125" style="3469" bestFit="1" customWidth="1"/>
    <col min="14335" max="14337" width="13.28515625" style="3469" customWidth="1"/>
    <col min="14338" max="14338" width="11.5703125" style="3469" customWidth="1"/>
    <col min="14339" max="14339" width="13.140625" style="3469" customWidth="1"/>
    <col min="14340" max="14340" width="13.85546875" style="3469" customWidth="1"/>
    <col min="14341" max="14341" width="15.140625" style="3469" customWidth="1"/>
    <col min="14342" max="14342" width="16.7109375" style="3469" customWidth="1"/>
    <col min="14343" max="14343" width="13.85546875" style="3469" customWidth="1"/>
    <col min="14344" max="14345" width="16.7109375" style="3469" customWidth="1"/>
    <col min="14346" max="14346" width="15" style="3469" customWidth="1"/>
    <col min="14347" max="14347" width="13" style="3469" customWidth="1"/>
    <col min="14348" max="14348" width="14.140625" style="3469" customWidth="1"/>
    <col min="14349" max="14349" width="13.85546875" style="3469" customWidth="1"/>
    <col min="14350" max="14350" width="12.140625" style="3469" customWidth="1"/>
    <col min="14351" max="14352" width="15" style="3469" customWidth="1"/>
    <col min="14353" max="14353" width="12.140625" style="3469" customWidth="1"/>
    <col min="14354" max="14354" width="16.5703125" style="3469" customWidth="1"/>
    <col min="14355" max="14355" width="12.5703125" style="3469" customWidth="1"/>
    <col min="14356" max="14356" width="24.85546875" style="3469" customWidth="1"/>
    <col min="14357" max="14357" width="11.7109375" style="3469" customWidth="1"/>
    <col min="14358" max="14359" width="13.5703125" style="3469" customWidth="1"/>
    <col min="14360" max="14360" width="18.7109375" style="3469" customWidth="1"/>
    <col min="14361" max="14361" width="13.42578125" style="3469" customWidth="1"/>
    <col min="14362" max="14362" width="18.5703125" style="3469" customWidth="1"/>
    <col min="14363" max="14363" width="13.28515625" style="3469" customWidth="1"/>
    <col min="14364" max="14364" width="13.140625" style="3469" customWidth="1"/>
    <col min="14365" max="14365" width="10.28515625" style="3469" customWidth="1"/>
    <col min="14366" max="14366" width="12.42578125" style="3469" customWidth="1"/>
    <col min="14367" max="14367" width="13.85546875" style="3469" customWidth="1"/>
    <col min="14368" max="14369" width="6.85546875" style="3469" customWidth="1"/>
    <col min="14370" max="14371" width="9.140625" style="3469"/>
    <col min="14372" max="14372" width="15.7109375" style="3469" customWidth="1"/>
    <col min="14373" max="14373" width="9.140625" style="3469"/>
    <col min="14374" max="14381" width="13.28515625" style="3469" bestFit="1" customWidth="1"/>
    <col min="14382" max="14382" width="18.7109375" style="3469" bestFit="1" customWidth="1"/>
    <col min="14383" max="14384" width="19" style="3469" bestFit="1" customWidth="1"/>
    <col min="14385" max="14391" width="13.28515625" style="3469" bestFit="1" customWidth="1"/>
    <col min="14392" max="14392" width="14.140625" style="3469" bestFit="1" customWidth="1"/>
    <col min="14393" max="14394" width="15.7109375" style="3469" bestFit="1" customWidth="1"/>
    <col min="14395" max="14397" width="14.140625" style="3469" bestFit="1" customWidth="1"/>
    <col min="14398" max="14399" width="15.7109375" style="3469" bestFit="1" customWidth="1"/>
    <col min="14400" max="14401" width="14.140625" style="3469" bestFit="1" customWidth="1"/>
    <col min="14402" max="14418" width="9.140625" style="3469"/>
    <col min="14419" max="14419" width="10" style="3469" bestFit="1" customWidth="1"/>
    <col min="14420" max="14579" width="9.140625" style="3469"/>
    <col min="14580" max="14580" width="43.85546875" style="3469" customWidth="1"/>
    <col min="14581" max="14581" width="7.140625" style="3469" customWidth="1"/>
    <col min="14582" max="14582" width="15.5703125" style="3469" customWidth="1"/>
    <col min="14583" max="14583" width="16" style="3469" customWidth="1"/>
    <col min="14584" max="14584" width="15.140625" style="3469" customWidth="1"/>
    <col min="14585" max="14585" width="14.85546875" style="3469" customWidth="1"/>
    <col min="14586" max="14586" width="16.28515625" style="3469" customWidth="1"/>
    <col min="14587" max="14587" width="13.85546875" style="3469" customWidth="1"/>
    <col min="14588" max="14588" width="14.140625" style="3469" customWidth="1"/>
    <col min="14589" max="14589" width="15.7109375" style="3469" bestFit="1" customWidth="1"/>
    <col min="14590" max="14590" width="13.42578125" style="3469" bestFit="1" customWidth="1"/>
    <col min="14591" max="14593" width="13.28515625" style="3469" customWidth="1"/>
    <col min="14594" max="14594" width="11.5703125" style="3469" customWidth="1"/>
    <col min="14595" max="14595" width="13.140625" style="3469" customWidth="1"/>
    <col min="14596" max="14596" width="13.85546875" style="3469" customWidth="1"/>
    <col min="14597" max="14597" width="15.140625" style="3469" customWidth="1"/>
    <col min="14598" max="14598" width="16.7109375" style="3469" customWidth="1"/>
    <col min="14599" max="14599" width="13.85546875" style="3469" customWidth="1"/>
    <col min="14600" max="14601" width="16.7109375" style="3469" customWidth="1"/>
    <col min="14602" max="14602" width="15" style="3469" customWidth="1"/>
    <col min="14603" max="14603" width="13" style="3469" customWidth="1"/>
    <col min="14604" max="14604" width="14.140625" style="3469" customWidth="1"/>
    <col min="14605" max="14605" width="13.85546875" style="3469" customWidth="1"/>
    <col min="14606" max="14606" width="12.140625" style="3469" customWidth="1"/>
    <col min="14607" max="14608" width="15" style="3469" customWidth="1"/>
    <col min="14609" max="14609" width="12.140625" style="3469" customWidth="1"/>
    <col min="14610" max="14610" width="16.5703125" style="3469" customWidth="1"/>
    <col min="14611" max="14611" width="12.5703125" style="3469" customWidth="1"/>
    <col min="14612" max="14612" width="24.85546875" style="3469" customWidth="1"/>
    <col min="14613" max="14613" width="11.7109375" style="3469" customWidth="1"/>
    <col min="14614" max="14615" width="13.5703125" style="3469" customWidth="1"/>
    <col min="14616" max="14616" width="18.7109375" style="3469" customWidth="1"/>
    <col min="14617" max="14617" width="13.42578125" style="3469" customWidth="1"/>
    <col min="14618" max="14618" width="18.5703125" style="3469" customWidth="1"/>
    <col min="14619" max="14619" width="13.28515625" style="3469" customWidth="1"/>
    <col min="14620" max="14620" width="13.140625" style="3469" customWidth="1"/>
    <col min="14621" max="14621" width="10.28515625" style="3469" customWidth="1"/>
    <col min="14622" max="14622" width="12.42578125" style="3469" customWidth="1"/>
    <col min="14623" max="14623" width="13.85546875" style="3469" customWidth="1"/>
    <col min="14624" max="14625" width="6.85546875" style="3469" customWidth="1"/>
    <col min="14626" max="14627" width="9.140625" style="3469"/>
    <col min="14628" max="14628" width="15.7109375" style="3469" customWidth="1"/>
    <col min="14629" max="14629" width="9.140625" style="3469"/>
    <col min="14630" max="14637" width="13.28515625" style="3469" bestFit="1" customWidth="1"/>
    <col min="14638" max="14638" width="18.7109375" style="3469" bestFit="1" customWidth="1"/>
    <col min="14639" max="14640" width="19" style="3469" bestFit="1" customWidth="1"/>
    <col min="14641" max="14647" width="13.28515625" style="3469" bestFit="1" customWidth="1"/>
    <col min="14648" max="14648" width="14.140625" style="3469" bestFit="1" customWidth="1"/>
    <col min="14649" max="14650" width="15.7109375" style="3469" bestFit="1" customWidth="1"/>
    <col min="14651" max="14653" width="14.140625" style="3469" bestFit="1" customWidth="1"/>
    <col min="14654" max="14655" width="15.7109375" style="3469" bestFit="1" customWidth="1"/>
    <col min="14656" max="14657" width="14.140625" style="3469" bestFit="1" customWidth="1"/>
    <col min="14658" max="14674" width="9.140625" style="3469"/>
    <col min="14675" max="14675" width="10" style="3469" bestFit="1" customWidth="1"/>
    <col min="14676" max="14835" width="9.140625" style="3469"/>
    <col min="14836" max="14836" width="43.85546875" style="3469" customWidth="1"/>
    <col min="14837" max="14837" width="7.140625" style="3469" customWidth="1"/>
    <col min="14838" max="14838" width="15.5703125" style="3469" customWidth="1"/>
    <col min="14839" max="14839" width="16" style="3469" customWidth="1"/>
    <col min="14840" max="14840" width="15.140625" style="3469" customWidth="1"/>
    <col min="14841" max="14841" width="14.85546875" style="3469" customWidth="1"/>
    <col min="14842" max="14842" width="16.28515625" style="3469" customWidth="1"/>
    <col min="14843" max="14843" width="13.85546875" style="3469" customWidth="1"/>
    <col min="14844" max="14844" width="14.140625" style="3469" customWidth="1"/>
    <col min="14845" max="14845" width="15.7109375" style="3469" bestFit="1" customWidth="1"/>
    <col min="14846" max="14846" width="13.42578125" style="3469" bestFit="1" customWidth="1"/>
    <col min="14847" max="14849" width="13.28515625" style="3469" customWidth="1"/>
    <col min="14850" max="14850" width="11.5703125" style="3469" customWidth="1"/>
    <col min="14851" max="14851" width="13.140625" style="3469" customWidth="1"/>
    <col min="14852" max="14852" width="13.85546875" style="3469" customWidth="1"/>
    <col min="14853" max="14853" width="15.140625" style="3469" customWidth="1"/>
    <col min="14854" max="14854" width="16.7109375" style="3469" customWidth="1"/>
    <col min="14855" max="14855" width="13.85546875" style="3469" customWidth="1"/>
    <col min="14856" max="14857" width="16.7109375" style="3469" customWidth="1"/>
    <col min="14858" max="14858" width="15" style="3469" customWidth="1"/>
    <col min="14859" max="14859" width="13" style="3469" customWidth="1"/>
    <col min="14860" max="14860" width="14.140625" style="3469" customWidth="1"/>
    <col min="14861" max="14861" width="13.85546875" style="3469" customWidth="1"/>
    <col min="14862" max="14862" width="12.140625" style="3469" customWidth="1"/>
    <col min="14863" max="14864" width="15" style="3469" customWidth="1"/>
    <col min="14865" max="14865" width="12.140625" style="3469" customWidth="1"/>
    <col min="14866" max="14866" width="16.5703125" style="3469" customWidth="1"/>
    <col min="14867" max="14867" width="12.5703125" style="3469" customWidth="1"/>
    <col min="14868" max="14868" width="24.85546875" style="3469" customWidth="1"/>
    <col min="14869" max="14869" width="11.7109375" style="3469" customWidth="1"/>
    <col min="14870" max="14871" width="13.5703125" style="3469" customWidth="1"/>
    <col min="14872" max="14872" width="18.7109375" style="3469" customWidth="1"/>
    <col min="14873" max="14873" width="13.42578125" style="3469" customWidth="1"/>
    <col min="14874" max="14874" width="18.5703125" style="3469" customWidth="1"/>
    <col min="14875" max="14875" width="13.28515625" style="3469" customWidth="1"/>
    <col min="14876" max="14876" width="13.140625" style="3469" customWidth="1"/>
    <col min="14877" max="14877" width="10.28515625" style="3469" customWidth="1"/>
    <col min="14878" max="14878" width="12.42578125" style="3469" customWidth="1"/>
    <col min="14879" max="14879" width="13.85546875" style="3469" customWidth="1"/>
    <col min="14880" max="14881" width="6.85546875" style="3469" customWidth="1"/>
    <col min="14882" max="14883" width="9.140625" style="3469"/>
    <col min="14884" max="14884" width="15.7109375" style="3469" customWidth="1"/>
    <col min="14885" max="14885" width="9.140625" style="3469"/>
    <col min="14886" max="14893" width="13.28515625" style="3469" bestFit="1" customWidth="1"/>
    <col min="14894" max="14894" width="18.7109375" style="3469" bestFit="1" customWidth="1"/>
    <col min="14895" max="14896" width="19" style="3469" bestFit="1" customWidth="1"/>
    <col min="14897" max="14903" width="13.28515625" style="3469" bestFit="1" customWidth="1"/>
    <col min="14904" max="14904" width="14.140625" style="3469" bestFit="1" customWidth="1"/>
    <col min="14905" max="14906" width="15.7109375" style="3469" bestFit="1" customWidth="1"/>
    <col min="14907" max="14909" width="14.140625" style="3469" bestFit="1" customWidth="1"/>
    <col min="14910" max="14911" width="15.7109375" style="3469" bestFit="1" customWidth="1"/>
    <col min="14912" max="14913" width="14.140625" style="3469" bestFit="1" customWidth="1"/>
    <col min="14914" max="14930" width="9.140625" style="3469"/>
    <col min="14931" max="14931" width="10" style="3469" bestFit="1" customWidth="1"/>
    <col min="14932" max="15091" width="9.140625" style="3469"/>
    <col min="15092" max="15092" width="43.85546875" style="3469" customWidth="1"/>
    <col min="15093" max="15093" width="7.140625" style="3469" customWidth="1"/>
    <col min="15094" max="15094" width="15.5703125" style="3469" customWidth="1"/>
    <col min="15095" max="15095" width="16" style="3469" customWidth="1"/>
    <col min="15096" max="15096" width="15.140625" style="3469" customWidth="1"/>
    <col min="15097" max="15097" width="14.85546875" style="3469" customWidth="1"/>
    <col min="15098" max="15098" width="16.28515625" style="3469" customWidth="1"/>
    <col min="15099" max="15099" width="13.85546875" style="3469" customWidth="1"/>
    <col min="15100" max="15100" width="14.140625" style="3469" customWidth="1"/>
    <col min="15101" max="15101" width="15.7109375" style="3469" bestFit="1" customWidth="1"/>
    <col min="15102" max="15102" width="13.42578125" style="3469" bestFit="1" customWidth="1"/>
    <col min="15103" max="15105" width="13.28515625" style="3469" customWidth="1"/>
    <col min="15106" max="15106" width="11.5703125" style="3469" customWidth="1"/>
    <col min="15107" max="15107" width="13.140625" style="3469" customWidth="1"/>
    <col min="15108" max="15108" width="13.85546875" style="3469" customWidth="1"/>
    <col min="15109" max="15109" width="15.140625" style="3469" customWidth="1"/>
    <col min="15110" max="15110" width="16.7109375" style="3469" customWidth="1"/>
    <col min="15111" max="15111" width="13.85546875" style="3469" customWidth="1"/>
    <col min="15112" max="15113" width="16.7109375" style="3469" customWidth="1"/>
    <col min="15114" max="15114" width="15" style="3469" customWidth="1"/>
    <col min="15115" max="15115" width="13" style="3469" customWidth="1"/>
    <col min="15116" max="15116" width="14.140625" style="3469" customWidth="1"/>
    <col min="15117" max="15117" width="13.85546875" style="3469" customWidth="1"/>
    <col min="15118" max="15118" width="12.140625" style="3469" customWidth="1"/>
    <col min="15119" max="15120" width="15" style="3469" customWidth="1"/>
    <col min="15121" max="15121" width="12.140625" style="3469" customWidth="1"/>
    <col min="15122" max="15122" width="16.5703125" style="3469" customWidth="1"/>
    <col min="15123" max="15123" width="12.5703125" style="3469" customWidth="1"/>
    <col min="15124" max="15124" width="24.85546875" style="3469" customWidth="1"/>
    <col min="15125" max="15125" width="11.7109375" style="3469" customWidth="1"/>
    <col min="15126" max="15127" width="13.5703125" style="3469" customWidth="1"/>
    <col min="15128" max="15128" width="18.7109375" style="3469" customWidth="1"/>
    <col min="15129" max="15129" width="13.42578125" style="3469" customWidth="1"/>
    <col min="15130" max="15130" width="18.5703125" style="3469" customWidth="1"/>
    <col min="15131" max="15131" width="13.28515625" style="3469" customWidth="1"/>
    <col min="15132" max="15132" width="13.140625" style="3469" customWidth="1"/>
    <col min="15133" max="15133" width="10.28515625" style="3469" customWidth="1"/>
    <col min="15134" max="15134" width="12.42578125" style="3469" customWidth="1"/>
    <col min="15135" max="15135" width="13.85546875" style="3469" customWidth="1"/>
    <col min="15136" max="15137" width="6.85546875" style="3469" customWidth="1"/>
    <col min="15138" max="15139" width="9.140625" style="3469"/>
    <col min="15140" max="15140" width="15.7109375" style="3469" customWidth="1"/>
    <col min="15141" max="15141" width="9.140625" style="3469"/>
    <col min="15142" max="15149" width="13.28515625" style="3469" bestFit="1" customWidth="1"/>
    <col min="15150" max="15150" width="18.7109375" style="3469" bestFit="1" customWidth="1"/>
    <col min="15151" max="15152" width="19" style="3469" bestFit="1" customWidth="1"/>
    <col min="15153" max="15159" width="13.28515625" style="3469" bestFit="1" customWidth="1"/>
    <col min="15160" max="15160" width="14.140625" style="3469" bestFit="1" customWidth="1"/>
    <col min="15161" max="15162" width="15.7109375" style="3469" bestFit="1" customWidth="1"/>
    <col min="15163" max="15165" width="14.140625" style="3469" bestFit="1" customWidth="1"/>
    <col min="15166" max="15167" width="15.7109375" style="3469" bestFit="1" customWidth="1"/>
    <col min="15168" max="15169" width="14.140625" style="3469" bestFit="1" customWidth="1"/>
    <col min="15170" max="15186" width="9.140625" style="3469"/>
    <col min="15187" max="15187" width="10" style="3469" bestFit="1" customWidth="1"/>
    <col min="15188" max="15347" width="9.140625" style="3469"/>
    <col min="15348" max="15348" width="43.85546875" style="3469" customWidth="1"/>
    <col min="15349" max="15349" width="7.140625" style="3469" customWidth="1"/>
    <col min="15350" max="15350" width="15.5703125" style="3469" customWidth="1"/>
    <col min="15351" max="15351" width="16" style="3469" customWidth="1"/>
    <col min="15352" max="15352" width="15.140625" style="3469" customWidth="1"/>
    <col min="15353" max="15353" width="14.85546875" style="3469" customWidth="1"/>
    <col min="15354" max="15354" width="16.28515625" style="3469" customWidth="1"/>
    <col min="15355" max="15355" width="13.85546875" style="3469" customWidth="1"/>
    <col min="15356" max="15356" width="14.140625" style="3469" customWidth="1"/>
    <col min="15357" max="15357" width="15.7109375" style="3469" bestFit="1" customWidth="1"/>
    <col min="15358" max="15358" width="13.42578125" style="3469" bestFit="1" customWidth="1"/>
    <col min="15359" max="15361" width="13.28515625" style="3469" customWidth="1"/>
    <col min="15362" max="15362" width="11.5703125" style="3469" customWidth="1"/>
    <col min="15363" max="15363" width="13.140625" style="3469" customWidth="1"/>
    <col min="15364" max="15364" width="13.85546875" style="3469" customWidth="1"/>
    <col min="15365" max="15365" width="15.140625" style="3469" customWidth="1"/>
    <col min="15366" max="15366" width="16.7109375" style="3469" customWidth="1"/>
    <col min="15367" max="15367" width="13.85546875" style="3469" customWidth="1"/>
    <col min="15368" max="15369" width="16.7109375" style="3469" customWidth="1"/>
    <col min="15370" max="15370" width="15" style="3469" customWidth="1"/>
    <col min="15371" max="15371" width="13" style="3469" customWidth="1"/>
    <col min="15372" max="15372" width="14.140625" style="3469" customWidth="1"/>
    <col min="15373" max="15373" width="13.85546875" style="3469" customWidth="1"/>
    <col min="15374" max="15374" width="12.140625" style="3469" customWidth="1"/>
    <col min="15375" max="15376" width="15" style="3469" customWidth="1"/>
    <col min="15377" max="15377" width="12.140625" style="3469" customWidth="1"/>
    <col min="15378" max="15378" width="16.5703125" style="3469" customWidth="1"/>
    <col min="15379" max="15379" width="12.5703125" style="3469" customWidth="1"/>
    <col min="15380" max="15380" width="24.85546875" style="3469" customWidth="1"/>
    <col min="15381" max="15381" width="11.7109375" style="3469" customWidth="1"/>
    <col min="15382" max="15383" width="13.5703125" style="3469" customWidth="1"/>
    <col min="15384" max="15384" width="18.7109375" style="3469" customWidth="1"/>
    <col min="15385" max="15385" width="13.42578125" style="3469" customWidth="1"/>
    <col min="15386" max="15386" width="18.5703125" style="3469" customWidth="1"/>
    <col min="15387" max="15387" width="13.28515625" style="3469" customWidth="1"/>
    <col min="15388" max="15388" width="13.140625" style="3469" customWidth="1"/>
    <col min="15389" max="15389" width="10.28515625" style="3469" customWidth="1"/>
    <col min="15390" max="15390" width="12.42578125" style="3469" customWidth="1"/>
    <col min="15391" max="15391" width="13.85546875" style="3469" customWidth="1"/>
    <col min="15392" max="15393" width="6.85546875" style="3469" customWidth="1"/>
    <col min="15394" max="15395" width="9.140625" style="3469"/>
    <col min="15396" max="15396" width="15.7109375" style="3469" customWidth="1"/>
    <col min="15397" max="15397" width="9.140625" style="3469"/>
    <col min="15398" max="15405" width="13.28515625" style="3469" bestFit="1" customWidth="1"/>
    <col min="15406" max="15406" width="18.7109375" style="3469" bestFit="1" customWidth="1"/>
    <col min="15407" max="15408" width="19" style="3469" bestFit="1" customWidth="1"/>
    <col min="15409" max="15415" width="13.28515625" style="3469" bestFit="1" customWidth="1"/>
    <col min="15416" max="15416" width="14.140625" style="3469" bestFit="1" customWidth="1"/>
    <col min="15417" max="15418" width="15.7109375" style="3469" bestFit="1" customWidth="1"/>
    <col min="15419" max="15421" width="14.140625" style="3469" bestFit="1" customWidth="1"/>
    <col min="15422" max="15423" width="15.7109375" style="3469" bestFit="1" customWidth="1"/>
    <col min="15424" max="15425" width="14.140625" style="3469" bestFit="1" customWidth="1"/>
    <col min="15426" max="15442" width="9.140625" style="3469"/>
    <col min="15443" max="15443" width="10" style="3469" bestFit="1" customWidth="1"/>
    <col min="15444" max="15603" width="9.140625" style="3469"/>
    <col min="15604" max="15604" width="43.85546875" style="3469" customWidth="1"/>
    <col min="15605" max="15605" width="7.140625" style="3469" customWidth="1"/>
    <col min="15606" max="15606" width="15.5703125" style="3469" customWidth="1"/>
    <col min="15607" max="15607" width="16" style="3469" customWidth="1"/>
    <col min="15608" max="15608" width="15.140625" style="3469" customWidth="1"/>
    <col min="15609" max="15609" width="14.85546875" style="3469" customWidth="1"/>
    <col min="15610" max="15610" width="16.28515625" style="3469" customWidth="1"/>
    <col min="15611" max="15611" width="13.85546875" style="3469" customWidth="1"/>
    <col min="15612" max="15612" width="14.140625" style="3469" customWidth="1"/>
    <col min="15613" max="15613" width="15.7109375" style="3469" bestFit="1" customWidth="1"/>
    <col min="15614" max="15614" width="13.42578125" style="3469" bestFit="1" customWidth="1"/>
    <col min="15615" max="15617" width="13.28515625" style="3469" customWidth="1"/>
    <col min="15618" max="15618" width="11.5703125" style="3469" customWidth="1"/>
    <col min="15619" max="15619" width="13.140625" style="3469" customWidth="1"/>
    <col min="15620" max="15620" width="13.85546875" style="3469" customWidth="1"/>
    <col min="15621" max="15621" width="15.140625" style="3469" customWidth="1"/>
    <col min="15622" max="15622" width="16.7109375" style="3469" customWidth="1"/>
    <col min="15623" max="15623" width="13.85546875" style="3469" customWidth="1"/>
    <col min="15624" max="15625" width="16.7109375" style="3469" customWidth="1"/>
    <col min="15626" max="15626" width="15" style="3469" customWidth="1"/>
    <col min="15627" max="15627" width="13" style="3469" customWidth="1"/>
    <col min="15628" max="15628" width="14.140625" style="3469" customWidth="1"/>
    <col min="15629" max="15629" width="13.85546875" style="3469" customWidth="1"/>
    <col min="15630" max="15630" width="12.140625" style="3469" customWidth="1"/>
    <col min="15631" max="15632" width="15" style="3469" customWidth="1"/>
    <col min="15633" max="15633" width="12.140625" style="3469" customWidth="1"/>
    <col min="15634" max="15634" width="16.5703125" style="3469" customWidth="1"/>
    <col min="15635" max="15635" width="12.5703125" style="3469" customWidth="1"/>
    <col min="15636" max="15636" width="24.85546875" style="3469" customWidth="1"/>
    <col min="15637" max="15637" width="11.7109375" style="3469" customWidth="1"/>
    <col min="15638" max="15639" width="13.5703125" style="3469" customWidth="1"/>
    <col min="15640" max="15640" width="18.7109375" style="3469" customWidth="1"/>
    <col min="15641" max="15641" width="13.42578125" style="3469" customWidth="1"/>
    <col min="15642" max="15642" width="18.5703125" style="3469" customWidth="1"/>
    <col min="15643" max="15643" width="13.28515625" style="3469" customWidth="1"/>
    <col min="15644" max="15644" width="13.140625" style="3469" customWidth="1"/>
    <col min="15645" max="15645" width="10.28515625" style="3469" customWidth="1"/>
    <col min="15646" max="15646" width="12.42578125" style="3469" customWidth="1"/>
    <col min="15647" max="15647" width="13.85546875" style="3469" customWidth="1"/>
    <col min="15648" max="15649" width="6.85546875" style="3469" customWidth="1"/>
    <col min="15650" max="15651" width="9.140625" style="3469"/>
    <col min="15652" max="15652" width="15.7109375" style="3469" customWidth="1"/>
    <col min="15653" max="15653" width="9.140625" style="3469"/>
    <col min="15654" max="15661" width="13.28515625" style="3469" bestFit="1" customWidth="1"/>
    <col min="15662" max="15662" width="18.7109375" style="3469" bestFit="1" customWidth="1"/>
    <col min="15663" max="15664" width="19" style="3469" bestFit="1" customWidth="1"/>
    <col min="15665" max="15671" width="13.28515625" style="3469" bestFit="1" customWidth="1"/>
    <col min="15672" max="15672" width="14.140625" style="3469" bestFit="1" customWidth="1"/>
    <col min="15673" max="15674" width="15.7109375" style="3469" bestFit="1" customWidth="1"/>
    <col min="15675" max="15677" width="14.140625" style="3469" bestFit="1" customWidth="1"/>
    <col min="15678" max="15679" width="15.7109375" style="3469" bestFit="1" customWidth="1"/>
    <col min="15680" max="15681" width="14.140625" style="3469" bestFit="1" customWidth="1"/>
    <col min="15682" max="15698" width="9.140625" style="3469"/>
    <col min="15699" max="15699" width="10" style="3469" bestFit="1" customWidth="1"/>
    <col min="15700" max="15859" width="9.140625" style="3469"/>
    <col min="15860" max="15860" width="43.85546875" style="3469" customWidth="1"/>
    <col min="15861" max="15861" width="7.140625" style="3469" customWidth="1"/>
    <col min="15862" max="15862" width="15.5703125" style="3469" customWidth="1"/>
    <col min="15863" max="15863" width="16" style="3469" customWidth="1"/>
    <col min="15864" max="15864" width="15.140625" style="3469" customWidth="1"/>
    <col min="15865" max="15865" width="14.85546875" style="3469" customWidth="1"/>
    <col min="15866" max="15866" width="16.28515625" style="3469" customWidth="1"/>
    <col min="15867" max="15867" width="13.85546875" style="3469" customWidth="1"/>
    <col min="15868" max="15868" width="14.140625" style="3469" customWidth="1"/>
    <col min="15869" max="15869" width="15.7109375" style="3469" bestFit="1" customWidth="1"/>
    <col min="15870" max="15870" width="13.42578125" style="3469" bestFit="1" customWidth="1"/>
    <col min="15871" max="15873" width="13.28515625" style="3469" customWidth="1"/>
    <col min="15874" max="15874" width="11.5703125" style="3469" customWidth="1"/>
    <col min="15875" max="15875" width="13.140625" style="3469" customWidth="1"/>
    <col min="15876" max="15876" width="13.85546875" style="3469" customWidth="1"/>
    <col min="15877" max="15877" width="15.140625" style="3469" customWidth="1"/>
    <col min="15878" max="15878" width="16.7109375" style="3469" customWidth="1"/>
    <col min="15879" max="15879" width="13.85546875" style="3469" customWidth="1"/>
    <col min="15880" max="15881" width="16.7109375" style="3469" customWidth="1"/>
    <col min="15882" max="15882" width="15" style="3469" customWidth="1"/>
    <col min="15883" max="15883" width="13" style="3469" customWidth="1"/>
    <col min="15884" max="15884" width="14.140625" style="3469" customWidth="1"/>
    <col min="15885" max="15885" width="13.85546875" style="3469" customWidth="1"/>
    <col min="15886" max="15886" width="12.140625" style="3469" customWidth="1"/>
    <col min="15887" max="15888" width="15" style="3469" customWidth="1"/>
    <col min="15889" max="15889" width="12.140625" style="3469" customWidth="1"/>
    <col min="15890" max="15890" width="16.5703125" style="3469" customWidth="1"/>
    <col min="15891" max="15891" width="12.5703125" style="3469" customWidth="1"/>
    <col min="15892" max="15892" width="24.85546875" style="3469" customWidth="1"/>
    <col min="15893" max="15893" width="11.7109375" style="3469" customWidth="1"/>
    <col min="15894" max="15895" width="13.5703125" style="3469" customWidth="1"/>
    <col min="15896" max="15896" width="18.7109375" style="3469" customWidth="1"/>
    <col min="15897" max="15897" width="13.42578125" style="3469" customWidth="1"/>
    <col min="15898" max="15898" width="18.5703125" style="3469" customWidth="1"/>
    <col min="15899" max="15899" width="13.28515625" style="3469" customWidth="1"/>
    <col min="15900" max="15900" width="13.140625" style="3469" customWidth="1"/>
    <col min="15901" max="15901" width="10.28515625" style="3469" customWidth="1"/>
    <col min="15902" max="15902" width="12.42578125" style="3469" customWidth="1"/>
    <col min="15903" max="15903" width="13.85546875" style="3469" customWidth="1"/>
    <col min="15904" max="15905" width="6.85546875" style="3469" customWidth="1"/>
    <col min="15906" max="15907" width="9.140625" style="3469"/>
    <col min="15908" max="15908" width="15.7109375" style="3469" customWidth="1"/>
    <col min="15909" max="15909" width="9.140625" style="3469"/>
    <col min="15910" max="15917" width="13.28515625" style="3469" bestFit="1" customWidth="1"/>
    <col min="15918" max="15918" width="18.7109375" style="3469" bestFit="1" customWidth="1"/>
    <col min="15919" max="15920" width="19" style="3469" bestFit="1" customWidth="1"/>
    <col min="15921" max="15927" width="13.28515625" style="3469" bestFit="1" customWidth="1"/>
    <col min="15928" max="15928" width="14.140625" style="3469" bestFit="1" customWidth="1"/>
    <col min="15929" max="15930" width="15.7109375" style="3469" bestFit="1" customWidth="1"/>
    <col min="15931" max="15933" width="14.140625" style="3469" bestFit="1" customWidth="1"/>
    <col min="15934" max="15935" width="15.7109375" style="3469" bestFit="1" customWidth="1"/>
    <col min="15936" max="15937" width="14.140625" style="3469" bestFit="1" customWidth="1"/>
    <col min="15938" max="15954" width="9.140625" style="3469"/>
    <col min="15955" max="15955" width="10" style="3469" bestFit="1" customWidth="1"/>
    <col min="15956" max="16115" width="9.140625" style="3469"/>
    <col min="16116" max="16116" width="43.85546875" style="3469" customWidth="1"/>
    <col min="16117" max="16117" width="7.140625" style="3469" customWidth="1"/>
    <col min="16118" max="16118" width="15.5703125" style="3469" customWidth="1"/>
    <col min="16119" max="16119" width="16" style="3469" customWidth="1"/>
    <col min="16120" max="16120" width="15.140625" style="3469" customWidth="1"/>
    <col min="16121" max="16121" width="14.85546875" style="3469" customWidth="1"/>
    <col min="16122" max="16122" width="16.28515625" style="3469" customWidth="1"/>
    <col min="16123" max="16123" width="13.85546875" style="3469" customWidth="1"/>
    <col min="16124" max="16124" width="14.140625" style="3469" customWidth="1"/>
    <col min="16125" max="16125" width="15.7109375" style="3469" bestFit="1" customWidth="1"/>
    <col min="16126" max="16126" width="13.42578125" style="3469" bestFit="1" customWidth="1"/>
    <col min="16127" max="16129" width="13.28515625" style="3469" customWidth="1"/>
    <col min="16130" max="16130" width="11.5703125" style="3469" customWidth="1"/>
    <col min="16131" max="16131" width="13.140625" style="3469" customWidth="1"/>
    <col min="16132" max="16132" width="13.85546875" style="3469" customWidth="1"/>
    <col min="16133" max="16133" width="15.140625" style="3469" customWidth="1"/>
    <col min="16134" max="16134" width="16.7109375" style="3469" customWidth="1"/>
    <col min="16135" max="16135" width="13.85546875" style="3469" customWidth="1"/>
    <col min="16136" max="16137" width="16.7109375" style="3469" customWidth="1"/>
    <col min="16138" max="16138" width="15" style="3469" customWidth="1"/>
    <col min="16139" max="16139" width="13" style="3469" customWidth="1"/>
    <col min="16140" max="16140" width="14.140625" style="3469" customWidth="1"/>
    <col min="16141" max="16141" width="13.85546875" style="3469" customWidth="1"/>
    <col min="16142" max="16142" width="12.140625" style="3469" customWidth="1"/>
    <col min="16143" max="16144" width="15" style="3469" customWidth="1"/>
    <col min="16145" max="16145" width="12.140625" style="3469" customWidth="1"/>
    <col min="16146" max="16146" width="16.5703125" style="3469" customWidth="1"/>
    <col min="16147" max="16147" width="12.5703125" style="3469" customWidth="1"/>
    <col min="16148" max="16148" width="24.85546875" style="3469" customWidth="1"/>
    <col min="16149" max="16149" width="11.7109375" style="3469" customWidth="1"/>
    <col min="16150" max="16151" width="13.5703125" style="3469" customWidth="1"/>
    <col min="16152" max="16152" width="18.7109375" style="3469" customWidth="1"/>
    <col min="16153" max="16153" width="13.42578125" style="3469" customWidth="1"/>
    <col min="16154" max="16154" width="18.5703125" style="3469" customWidth="1"/>
    <col min="16155" max="16155" width="13.28515625" style="3469" customWidth="1"/>
    <col min="16156" max="16156" width="13.140625" style="3469" customWidth="1"/>
    <col min="16157" max="16157" width="10.28515625" style="3469" customWidth="1"/>
    <col min="16158" max="16158" width="12.42578125" style="3469" customWidth="1"/>
    <col min="16159" max="16159" width="13.85546875" style="3469" customWidth="1"/>
    <col min="16160" max="16161" width="6.85546875" style="3469" customWidth="1"/>
    <col min="16162" max="16163" width="9.140625" style="3469"/>
    <col min="16164" max="16164" width="15.7109375" style="3469" customWidth="1"/>
    <col min="16165" max="16165" width="9.140625" style="3469"/>
    <col min="16166" max="16173" width="13.28515625" style="3469" bestFit="1" customWidth="1"/>
    <col min="16174" max="16174" width="18.7109375" style="3469" bestFit="1" customWidth="1"/>
    <col min="16175" max="16176" width="19" style="3469" bestFit="1" customWidth="1"/>
    <col min="16177" max="16183" width="13.28515625" style="3469" bestFit="1" customWidth="1"/>
    <col min="16184" max="16184" width="14.140625" style="3469" bestFit="1" customWidth="1"/>
    <col min="16185" max="16186" width="15.7109375" style="3469" bestFit="1" customWidth="1"/>
    <col min="16187" max="16189" width="14.140625" style="3469" bestFit="1" customWidth="1"/>
    <col min="16190" max="16191" width="15.7109375" style="3469" bestFit="1" customWidth="1"/>
    <col min="16192" max="16193" width="14.140625" style="3469" bestFit="1" customWidth="1"/>
    <col min="16194" max="16210" width="9.140625" style="3469"/>
    <col min="16211" max="16211" width="10" style="3469" bestFit="1" customWidth="1"/>
    <col min="16212" max="16384" width="9.140625" style="3469"/>
  </cols>
  <sheetData>
    <row r="1" spans="1:102" s="3486" customFormat="1" ht="15.75">
      <c r="A1" s="3487"/>
      <c r="B1" s="3487"/>
      <c r="C1" s="3467" t="s">
        <v>4042</v>
      </c>
      <c r="D1" s="3487"/>
      <c r="F1" s="3487"/>
      <c r="G1" s="3487"/>
      <c r="H1" s="3487"/>
      <c r="I1" s="3487"/>
      <c r="J1" s="3487"/>
      <c r="K1" s="3487"/>
      <c r="L1" s="3487"/>
      <c r="M1" s="3487"/>
      <c r="N1" s="3487"/>
      <c r="O1" s="3487"/>
      <c r="P1" s="3487"/>
      <c r="Q1" s="3487"/>
      <c r="R1" s="3487"/>
      <c r="S1" s="3487"/>
      <c r="T1" s="3487"/>
      <c r="U1" s="3487"/>
      <c r="V1" s="3487"/>
      <c r="W1" s="3487"/>
      <c r="X1" s="3487"/>
      <c r="Y1" s="3487"/>
      <c r="Z1" s="3487"/>
      <c r="AA1" s="3487"/>
      <c r="AB1" s="3487"/>
      <c r="AC1" s="3487"/>
      <c r="AD1" s="3487"/>
      <c r="AE1" s="3487"/>
      <c r="AF1" s="3487"/>
      <c r="AM1" s="3483"/>
      <c r="AN1" s="3483"/>
      <c r="AO1" s="3483"/>
      <c r="AP1" s="3483"/>
      <c r="AQ1" s="3483"/>
      <c r="AR1" s="3483"/>
      <c r="AS1" s="3483"/>
      <c r="AT1" s="3483"/>
      <c r="AU1" s="3483"/>
      <c r="AV1" s="3483"/>
      <c r="AW1" s="3483"/>
      <c r="AX1" s="3483"/>
      <c r="AY1" s="3483"/>
      <c r="AZ1" s="3483"/>
      <c r="BA1" s="3483"/>
      <c r="BB1" s="3483"/>
      <c r="BC1" s="3483"/>
      <c r="BD1" s="3483"/>
      <c r="BE1" s="3483"/>
      <c r="BF1" s="3483"/>
      <c r="BG1" s="3483"/>
      <c r="BH1" s="3483"/>
      <c r="BI1" s="3483"/>
      <c r="BJ1" s="3483"/>
      <c r="BK1" s="3483"/>
      <c r="BL1" s="3483"/>
      <c r="BM1" s="3483"/>
      <c r="BN1" s="3483"/>
      <c r="BO1" s="3483"/>
      <c r="BP1" s="3483"/>
      <c r="BQ1" s="3483"/>
      <c r="BR1" s="3483"/>
      <c r="BS1" s="3483"/>
    </row>
    <row r="2" spans="1:102">
      <c r="A2" s="3474"/>
      <c r="B2" s="3474"/>
      <c r="C2" s="2025"/>
      <c r="D2" s="3474"/>
      <c r="E2" s="3488"/>
      <c r="F2" s="3488"/>
      <c r="G2" s="3488"/>
      <c r="H2" s="3488"/>
      <c r="I2" s="3489"/>
      <c r="J2" s="3489"/>
      <c r="K2" s="3489"/>
      <c r="L2" s="3489"/>
      <c r="M2" s="3489"/>
      <c r="N2" s="3489"/>
      <c r="O2" s="3489"/>
      <c r="P2" s="3489"/>
      <c r="Q2" s="3489"/>
      <c r="R2" s="3489"/>
      <c r="S2" s="3489"/>
      <c r="AM2" s="3483"/>
      <c r="AN2" s="3483"/>
      <c r="AO2" s="3483"/>
      <c r="AP2" s="3483"/>
      <c r="AQ2" s="3483"/>
      <c r="AR2" s="3483"/>
      <c r="AS2" s="3483"/>
      <c r="AT2" s="3483"/>
      <c r="AU2" s="3483"/>
      <c r="AV2" s="3483"/>
      <c r="AW2" s="3483"/>
      <c r="AX2" s="3483"/>
      <c r="AY2" s="3483"/>
      <c r="AZ2" s="3483"/>
      <c r="BA2" s="3483"/>
      <c r="BB2" s="3483"/>
      <c r="BC2" s="3483"/>
      <c r="BD2" s="3483"/>
      <c r="BE2" s="3483"/>
      <c r="BF2" s="3483"/>
      <c r="BG2" s="3483"/>
      <c r="BH2" s="3483"/>
      <c r="BI2" s="3483"/>
      <c r="BJ2" s="3483"/>
      <c r="BK2" s="3483"/>
      <c r="BL2" s="3483"/>
      <c r="BM2" s="3483"/>
      <c r="BN2" s="3483"/>
      <c r="BO2" s="3483"/>
      <c r="BP2" s="3483"/>
      <c r="BQ2" s="3483"/>
      <c r="BR2" s="3483"/>
      <c r="BS2" s="3483"/>
    </row>
    <row r="3" spans="1:102" ht="18.75" customHeight="1">
      <c r="A3" s="3472"/>
      <c r="B3" s="3472"/>
      <c r="C3" s="4526" t="s">
        <v>497</v>
      </c>
      <c r="D3" s="4524" t="s">
        <v>498</v>
      </c>
      <c r="E3" s="4524" t="s">
        <v>4043</v>
      </c>
      <c r="F3" s="4524"/>
      <c r="G3" s="4524"/>
      <c r="H3" s="4524"/>
      <c r="I3" s="4524"/>
      <c r="J3" s="4524"/>
      <c r="K3" s="4524"/>
      <c r="L3" s="4524"/>
      <c r="M3" s="4524"/>
      <c r="N3" s="4524"/>
      <c r="O3" s="4524"/>
      <c r="P3" s="4524"/>
      <c r="Q3" s="4524"/>
      <c r="R3" s="4524"/>
      <c r="S3" s="4524" t="s">
        <v>4044</v>
      </c>
      <c r="T3" s="4524"/>
      <c r="U3" s="4524"/>
      <c r="V3" s="4524"/>
      <c r="W3" s="4524"/>
      <c r="X3" s="4524"/>
      <c r="Y3" s="4524"/>
      <c r="Z3" s="4524"/>
      <c r="AA3" s="4524"/>
      <c r="AB3" s="4524"/>
      <c r="AC3" s="4524"/>
      <c r="AD3" s="4524"/>
      <c r="AE3" s="4524"/>
      <c r="AF3" s="4524"/>
      <c r="AG3" s="4524" t="s">
        <v>4045</v>
      </c>
      <c r="AH3" s="4524"/>
      <c r="AI3" s="4524"/>
      <c r="AJ3" s="4524"/>
      <c r="AK3" s="4524"/>
      <c r="AL3" s="4524"/>
      <c r="AM3" s="4524"/>
      <c r="AN3" s="4524"/>
      <c r="AO3" s="4524"/>
      <c r="AP3" s="4524"/>
      <c r="AQ3" s="4524"/>
      <c r="AR3" s="4524"/>
      <c r="AS3" s="4524"/>
      <c r="AT3" s="4524"/>
      <c r="AU3" s="4524" t="s">
        <v>4045</v>
      </c>
      <c r="AV3" s="4524"/>
      <c r="AW3" s="4524"/>
      <c r="AX3" s="4524"/>
      <c r="AY3" s="4524"/>
      <c r="AZ3" s="4524"/>
      <c r="BA3" s="4524"/>
      <c r="BB3" s="4524"/>
      <c r="BC3" s="4524"/>
      <c r="BD3" s="4524"/>
      <c r="BE3" s="4524"/>
      <c r="BF3" s="4524"/>
      <c r="BG3" s="4524"/>
      <c r="BH3" s="4524"/>
      <c r="BI3" s="4524" t="s">
        <v>4046</v>
      </c>
      <c r="BJ3" s="4524"/>
      <c r="BK3" s="4524"/>
      <c r="BL3" s="4524"/>
      <c r="BM3" s="4524"/>
      <c r="BN3" s="4524"/>
      <c r="BO3" s="4524"/>
      <c r="BP3" s="4524"/>
      <c r="BQ3" s="4524"/>
      <c r="BR3" s="4524"/>
      <c r="BS3" s="4524"/>
      <c r="BT3" s="4524"/>
      <c r="BU3" s="4524"/>
      <c r="BV3" s="4524"/>
      <c r="BW3" s="4524" t="s">
        <v>4046</v>
      </c>
      <c r="BX3" s="4524"/>
      <c r="BY3" s="4524"/>
      <c r="BZ3" s="4524"/>
      <c r="CA3" s="4524"/>
      <c r="CB3" s="4524"/>
      <c r="CC3" s="4524"/>
      <c r="CD3" s="4524"/>
      <c r="CE3" s="4524"/>
      <c r="CF3" s="4524"/>
      <c r="CG3" s="4524"/>
      <c r="CH3" s="4524"/>
      <c r="CI3" s="4524"/>
      <c r="CJ3" s="4524"/>
      <c r="CK3" s="4524" t="s">
        <v>4046</v>
      </c>
      <c r="CL3" s="4524"/>
      <c r="CM3" s="4524"/>
      <c r="CN3" s="4524"/>
      <c r="CO3" s="4524"/>
      <c r="CP3" s="4524"/>
      <c r="CQ3" s="4524"/>
      <c r="CR3" s="4524"/>
      <c r="CS3" s="4524"/>
      <c r="CT3" s="4524"/>
      <c r="CU3" s="4524"/>
      <c r="CV3" s="4524"/>
      <c r="CW3" s="4524"/>
      <c r="CX3" s="4524"/>
    </row>
    <row r="4" spans="1:102" ht="24" customHeight="1">
      <c r="A4" s="3472"/>
      <c r="B4" s="3472"/>
      <c r="C4" s="4526"/>
      <c r="D4" s="4524"/>
      <c r="E4" s="4524" t="s">
        <v>4047</v>
      </c>
      <c r="F4" s="4524"/>
      <c r="G4" s="4524"/>
      <c r="H4" s="4524"/>
      <c r="I4" s="4524"/>
      <c r="J4" s="4524"/>
      <c r="K4" s="4524"/>
      <c r="L4" s="4524" t="s">
        <v>1546</v>
      </c>
      <c r="M4" s="4524"/>
      <c r="N4" s="4524"/>
      <c r="O4" s="4524"/>
      <c r="P4" s="4524"/>
      <c r="Q4" s="4524"/>
      <c r="R4" s="4524"/>
      <c r="S4" s="4524" t="s">
        <v>4047</v>
      </c>
      <c r="T4" s="4524"/>
      <c r="U4" s="4524"/>
      <c r="V4" s="4524"/>
      <c r="W4" s="4524"/>
      <c r="X4" s="4524"/>
      <c r="Y4" s="4524"/>
      <c r="Z4" s="4524" t="s">
        <v>1546</v>
      </c>
      <c r="AA4" s="4524"/>
      <c r="AB4" s="4524"/>
      <c r="AC4" s="4524"/>
      <c r="AD4" s="4524"/>
      <c r="AE4" s="4524"/>
      <c r="AF4" s="4524"/>
      <c r="AG4" s="4524" t="s">
        <v>4048</v>
      </c>
      <c r="AH4" s="4524"/>
      <c r="AI4" s="4524"/>
      <c r="AJ4" s="4524"/>
      <c r="AK4" s="4524"/>
      <c r="AL4" s="4524"/>
      <c r="AM4" s="4524"/>
      <c r="AN4" s="4524" t="s">
        <v>1548</v>
      </c>
      <c r="AO4" s="4524"/>
      <c r="AP4" s="4524"/>
      <c r="AQ4" s="4524"/>
      <c r="AR4" s="4524"/>
      <c r="AS4" s="4524"/>
      <c r="AT4" s="4524"/>
      <c r="AU4" s="4524" t="s">
        <v>1549</v>
      </c>
      <c r="AV4" s="4524"/>
      <c r="AW4" s="4524"/>
      <c r="AX4" s="4524"/>
      <c r="AY4" s="4524"/>
      <c r="AZ4" s="4524"/>
      <c r="BA4" s="4524"/>
      <c r="BB4" s="4524" t="s">
        <v>1550</v>
      </c>
      <c r="BC4" s="4524"/>
      <c r="BD4" s="4524"/>
      <c r="BE4" s="4524"/>
      <c r="BF4" s="4524"/>
      <c r="BG4" s="4524"/>
      <c r="BH4" s="4524"/>
      <c r="BI4" s="4524" t="s">
        <v>4048</v>
      </c>
      <c r="BJ4" s="4524"/>
      <c r="BK4" s="4524"/>
      <c r="BL4" s="4524"/>
      <c r="BM4" s="4524"/>
      <c r="BN4" s="4524"/>
      <c r="BO4" s="4524"/>
      <c r="BP4" s="4524" t="s">
        <v>1548</v>
      </c>
      <c r="BQ4" s="4524"/>
      <c r="BR4" s="4524"/>
      <c r="BS4" s="4524"/>
      <c r="BT4" s="4524"/>
      <c r="BU4" s="4524"/>
      <c r="BV4" s="4524"/>
      <c r="BW4" s="4524" t="s">
        <v>1549</v>
      </c>
      <c r="BX4" s="4524"/>
      <c r="BY4" s="4524"/>
      <c r="BZ4" s="4524"/>
      <c r="CA4" s="4524"/>
      <c r="CB4" s="4524"/>
      <c r="CC4" s="4524"/>
      <c r="CD4" s="4524" t="s">
        <v>1550</v>
      </c>
      <c r="CE4" s="4524"/>
      <c r="CF4" s="4524"/>
      <c r="CG4" s="4524"/>
      <c r="CH4" s="4524"/>
      <c r="CI4" s="4524"/>
      <c r="CJ4" s="4524"/>
      <c r="CK4" s="4524" t="s">
        <v>1551</v>
      </c>
      <c r="CL4" s="4524"/>
      <c r="CM4" s="4524"/>
      <c r="CN4" s="4524"/>
      <c r="CO4" s="4524"/>
      <c r="CP4" s="4524"/>
      <c r="CQ4" s="4524"/>
      <c r="CR4" s="4524" t="s">
        <v>1552</v>
      </c>
      <c r="CS4" s="4524"/>
      <c r="CT4" s="4524"/>
      <c r="CU4" s="4524"/>
      <c r="CV4" s="4524"/>
      <c r="CW4" s="4524"/>
      <c r="CX4" s="4524"/>
    </row>
    <row r="5" spans="1:102" ht="15" customHeight="1">
      <c r="A5" s="3472"/>
      <c r="B5" s="3472"/>
      <c r="C5" s="4526"/>
      <c r="D5" s="4524"/>
      <c r="E5" s="4524" t="s">
        <v>511</v>
      </c>
      <c r="F5" s="4524" t="s">
        <v>512</v>
      </c>
      <c r="G5" s="4524"/>
      <c r="H5" s="4524"/>
      <c r="I5" s="4524"/>
      <c r="J5" s="4524"/>
      <c r="K5" s="4524"/>
      <c r="L5" s="4524" t="s">
        <v>511</v>
      </c>
      <c r="M5" s="4524" t="s">
        <v>512</v>
      </c>
      <c r="N5" s="4524"/>
      <c r="O5" s="4524"/>
      <c r="P5" s="4524"/>
      <c r="Q5" s="4524"/>
      <c r="R5" s="4524"/>
      <c r="S5" s="4524" t="s">
        <v>511</v>
      </c>
      <c r="T5" s="4524" t="s">
        <v>512</v>
      </c>
      <c r="U5" s="4524"/>
      <c r="V5" s="4524"/>
      <c r="W5" s="4524"/>
      <c r="X5" s="4524"/>
      <c r="Y5" s="4524"/>
      <c r="Z5" s="4524" t="s">
        <v>511</v>
      </c>
      <c r="AA5" s="4524" t="s">
        <v>512</v>
      </c>
      <c r="AB5" s="4524"/>
      <c r="AC5" s="4524"/>
      <c r="AD5" s="4524"/>
      <c r="AE5" s="4524"/>
      <c r="AF5" s="4524"/>
      <c r="AG5" s="4524" t="s">
        <v>511</v>
      </c>
      <c r="AH5" s="4524" t="s">
        <v>512</v>
      </c>
      <c r="AI5" s="4524"/>
      <c r="AJ5" s="4524"/>
      <c r="AK5" s="4524"/>
      <c r="AL5" s="4524"/>
      <c r="AM5" s="4524"/>
      <c r="AN5" s="4524" t="s">
        <v>511</v>
      </c>
      <c r="AO5" s="4524" t="s">
        <v>512</v>
      </c>
      <c r="AP5" s="4524"/>
      <c r="AQ5" s="4524"/>
      <c r="AR5" s="4524"/>
      <c r="AS5" s="4524"/>
      <c r="AT5" s="4524"/>
      <c r="AU5" s="4524" t="s">
        <v>511</v>
      </c>
      <c r="AV5" s="4524" t="s">
        <v>512</v>
      </c>
      <c r="AW5" s="4524"/>
      <c r="AX5" s="4524"/>
      <c r="AY5" s="4524"/>
      <c r="AZ5" s="4524"/>
      <c r="BA5" s="4524"/>
      <c r="BB5" s="4524" t="s">
        <v>511</v>
      </c>
      <c r="BC5" s="4524" t="s">
        <v>1553</v>
      </c>
      <c r="BD5" s="4524"/>
      <c r="BE5" s="4524"/>
      <c r="BF5" s="4524"/>
      <c r="BG5" s="4524"/>
      <c r="BH5" s="4524"/>
      <c r="BI5" s="4524" t="s">
        <v>511</v>
      </c>
      <c r="BJ5" s="4524" t="s">
        <v>512</v>
      </c>
      <c r="BK5" s="4524"/>
      <c r="BL5" s="4524"/>
      <c r="BM5" s="4524"/>
      <c r="BN5" s="4524"/>
      <c r="BO5" s="4524"/>
      <c r="BP5" s="4524" t="s">
        <v>511</v>
      </c>
      <c r="BQ5" s="4524" t="s">
        <v>512</v>
      </c>
      <c r="BR5" s="4524"/>
      <c r="BS5" s="4524"/>
      <c r="BT5" s="4524"/>
      <c r="BU5" s="4524"/>
      <c r="BV5" s="4524"/>
      <c r="BW5" s="4524" t="s">
        <v>511</v>
      </c>
      <c r="BX5" s="4524" t="s">
        <v>512</v>
      </c>
      <c r="BY5" s="4524"/>
      <c r="BZ5" s="4524"/>
      <c r="CA5" s="4524"/>
      <c r="CB5" s="4524"/>
      <c r="CC5" s="4524"/>
      <c r="CD5" s="4524" t="s">
        <v>511</v>
      </c>
      <c r="CE5" s="4524" t="s">
        <v>512</v>
      </c>
      <c r="CF5" s="4524"/>
      <c r="CG5" s="4524"/>
      <c r="CH5" s="4524"/>
      <c r="CI5" s="3473"/>
      <c r="CJ5" s="3473"/>
      <c r="CK5" s="4524" t="s">
        <v>511</v>
      </c>
      <c r="CL5" s="4524" t="s">
        <v>512</v>
      </c>
      <c r="CM5" s="4524"/>
      <c r="CN5" s="4524"/>
      <c r="CO5" s="4524"/>
      <c r="CP5" s="4524"/>
      <c r="CQ5" s="4524"/>
      <c r="CR5" s="4524" t="s">
        <v>511</v>
      </c>
      <c r="CS5" s="4524" t="s">
        <v>512</v>
      </c>
      <c r="CT5" s="4524"/>
      <c r="CU5" s="4524"/>
      <c r="CV5" s="4524"/>
      <c r="CW5" s="4524"/>
      <c r="CX5" s="4524"/>
    </row>
    <row r="6" spans="1:102" ht="15" customHeight="1">
      <c r="A6" s="3472"/>
      <c r="B6" s="3472"/>
      <c r="C6" s="4526"/>
      <c r="D6" s="4524"/>
      <c r="E6" s="4524"/>
      <c r="F6" s="3473" t="s">
        <v>9</v>
      </c>
      <c r="G6" s="3473" t="s">
        <v>513</v>
      </c>
      <c r="H6" s="3473" t="s">
        <v>279</v>
      </c>
      <c r="I6" s="3473" t="s">
        <v>12</v>
      </c>
      <c r="J6" s="3473" t="s">
        <v>439</v>
      </c>
      <c r="K6" s="3473" t="s">
        <v>514</v>
      </c>
      <c r="L6" s="4524"/>
      <c r="M6" s="3473" t="s">
        <v>9</v>
      </c>
      <c r="N6" s="3473" t="s">
        <v>513</v>
      </c>
      <c r="O6" s="3473" t="s">
        <v>279</v>
      </c>
      <c r="P6" s="3473" t="s">
        <v>12</v>
      </c>
      <c r="Q6" s="3473" t="s">
        <v>439</v>
      </c>
      <c r="R6" s="3473" t="s">
        <v>514</v>
      </c>
      <c r="S6" s="4524"/>
      <c r="T6" s="3473" t="s">
        <v>9</v>
      </c>
      <c r="U6" s="3473" t="s">
        <v>513</v>
      </c>
      <c r="V6" s="3473" t="s">
        <v>279</v>
      </c>
      <c r="W6" s="3473" t="s">
        <v>12</v>
      </c>
      <c r="X6" s="3473" t="s">
        <v>439</v>
      </c>
      <c r="Y6" s="3473" t="s">
        <v>514</v>
      </c>
      <c r="Z6" s="4524"/>
      <c r="AA6" s="3473" t="s">
        <v>9</v>
      </c>
      <c r="AB6" s="3473" t="s">
        <v>513</v>
      </c>
      <c r="AC6" s="3473" t="s">
        <v>279</v>
      </c>
      <c r="AD6" s="3473" t="s">
        <v>12</v>
      </c>
      <c r="AE6" s="3473" t="s">
        <v>439</v>
      </c>
      <c r="AF6" s="3473" t="s">
        <v>514</v>
      </c>
      <c r="AG6" s="4524"/>
      <c r="AH6" s="3473" t="s">
        <v>9</v>
      </c>
      <c r="AI6" s="3473" t="s">
        <v>513</v>
      </c>
      <c r="AJ6" s="3473" t="s">
        <v>279</v>
      </c>
      <c r="AK6" s="3473" t="s">
        <v>12</v>
      </c>
      <c r="AL6" s="3473" t="s">
        <v>439</v>
      </c>
      <c r="AM6" s="3473" t="s">
        <v>514</v>
      </c>
      <c r="AN6" s="4524"/>
      <c r="AO6" s="3473" t="s">
        <v>9</v>
      </c>
      <c r="AP6" s="3473" t="s">
        <v>513</v>
      </c>
      <c r="AQ6" s="3473" t="s">
        <v>279</v>
      </c>
      <c r="AR6" s="3473" t="s">
        <v>12</v>
      </c>
      <c r="AS6" s="3473" t="s">
        <v>439</v>
      </c>
      <c r="AT6" s="3473" t="s">
        <v>514</v>
      </c>
      <c r="AU6" s="4524"/>
      <c r="AV6" s="3473" t="s">
        <v>9</v>
      </c>
      <c r="AW6" s="3473" t="s">
        <v>513</v>
      </c>
      <c r="AX6" s="3473" t="s">
        <v>279</v>
      </c>
      <c r="AY6" s="3473" t="s">
        <v>12</v>
      </c>
      <c r="AZ6" s="3473" t="s">
        <v>439</v>
      </c>
      <c r="BA6" s="3473" t="s">
        <v>514</v>
      </c>
      <c r="BB6" s="4524"/>
      <c r="BC6" s="3473" t="s">
        <v>9</v>
      </c>
      <c r="BD6" s="3473" t="s">
        <v>513</v>
      </c>
      <c r="BE6" s="3473" t="s">
        <v>279</v>
      </c>
      <c r="BF6" s="3473" t="s">
        <v>12</v>
      </c>
      <c r="BG6" s="3473" t="s">
        <v>439</v>
      </c>
      <c r="BH6" s="3473" t="s">
        <v>514</v>
      </c>
      <c r="BI6" s="4524"/>
      <c r="BJ6" s="3473" t="s">
        <v>9</v>
      </c>
      <c r="BK6" s="3473" t="s">
        <v>513</v>
      </c>
      <c r="BL6" s="3473" t="s">
        <v>279</v>
      </c>
      <c r="BM6" s="3473" t="s">
        <v>12</v>
      </c>
      <c r="BN6" s="3473" t="s">
        <v>439</v>
      </c>
      <c r="BO6" s="3473" t="s">
        <v>514</v>
      </c>
      <c r="BP6" s="4524"/>
      <c r="BQ6" s="3473" t="s">
        <v>9</v>
      </c>
      <c r="BR6" s="3473" t="s">
        <v>513</v>
      </c>
      <c r="BS6" s="3473" t="s">
        <v>279</v>
      </c>
      <c r="BT6" s="3473" t="s">
        <v>12</v>
      </c>
      <c r="BU6" s="3473" t="s">
        <v>439</v>
      </c>
      <c r="BV6" s="3473" t="s">
        <v>514</v>
      </c>
      <c r="BW6" s="4524"/>
      <c r="BX6" s="3473" t="s">
        <v>9</v>
      </c>
      <c r="BY6" s="3473" t="s">
        <v>513</v>
      </c>
      <c r="BZ6" s="3473" t="s">
        <v>279</v>
      </c>
      <c r="CA6" s="3473" t="s">
        <v>12</v>
      </c>
      <c r="CB6" s="3473" t="s">
        <v>439</v>
      </c>
      <c r="CC6" s="3473" t="s">
        <v>514</v>
      </c>
      <c r="CD6" s="4524"/>
      <c r="CE6" s="3473" t="s">
        <v>9</v>
      </c>
      <c r="CF6" s="3473" t="s">
        <v>513</v>
      </c>
      <c r="CG6" s="3473" t="s">
        <v>279</v>
      </c>
      <c r="CH6" s="3473" t="s">
        <v>12</v>
      </c>
      <c r="CI6" s="3473" t="s">
        <v>439</v>
      </c>
      <c r="CJ6" s="3473" t="s">
        <v>514</v>
      </c>
      <c r="CK6" s="4524"/>
      <c r="CL6" s="3473" t="s">
        <v>9</v>
      </c>
      <c r="CM6" s="3473" t="s">
        <v>513</v>
      </c>
      <c r="CN6" s="3473" t="s">
        <v>279</v>
      </c>
      <c r="CO6" s="3473" t="s">
        <v>12</v>
      </c>
      <c r="CP6" s="3473" t="s">
        <v>439</v>
      </c>
      <c r="CQ6" s="3473" t="s">
        <v>514</v>
      </c>
      <c r="CR6" s="4524"/>
      <c r="CS6" s="3473" t="s">
        <v>9</v>
      </c>
      <c r="CT6" s="3473" t="s">
        <v>513</v>
      </c>
      <c r="CU6" s="3473" t="s">
        <v>279</v>
      </c>
      <c r="CV6" s="3473" t="s">
        <v>12</v>
      </c>
      <c r="CW6" s="3473" t="s">
        <v>439</v>
      </c>
      <c r="CX6" s="3473" t="s">
        <v>514</v>
      </c>
    </row>
    <row r="7" spans="1:102">
      <c r="A7" s="3472"/>
      <c r="B7" s="3472"/>
      <c r="C7" s="3490">
        <v>1</v>
      </c>
      <c r="D7" s="3473">
        <v>2</v>
      </c>
      <c r="E7" s="3473">
        <v>3</v>
      </c>
      <c r="F7" s="3473">
        <v>4</v>
      </c>
      <c r="G7" s="3473">
        <v>5</v>
      </c>
      <c r="H7" s="3473">
        <v>6</v>
      </c>
      <c r="I7" s="3473">
        <v>7</v>
      </c>
      <c r="J7" s="3473">
        <v>8</v>
      </c>
      <c r="K7" s="3473">
        <v>9</v>
      </c>
      <c r="L7" s="3473">
        <v>10</v>
      </c>
      <c r="M7" s="3473">
        <v>11</v>
      </c>
      <c r="N7" s="3473">
        <v>12</v>
      </c>
      <c r="O7" s="3473">
        <v>13</v>
      </c>
      <c r="P7" s="3473">
        <v>14</v>
      </c>
      <c r="Q7" s="3473">
        <v>15</v>
      </c>
      <c r="R7" s="3473">
        <v>16</v>
      </c>
      <c r="S7" s="3473">
        <v>17</v>
      </c>
      <c r="T7" s="3473">
        <v>18</v>
      </c>
      <c r="U7" s="3473">
        <v>19</v>
      </c>
      <c r="V7" s="3473">
        <v>20</v>
      </c>
      <c r="W7" s="3473">
        <v>21</v>
      </c>
      <c r="X7" s="3473">
        <v>22</v>
      </c>
      <c r="Y7" s="3473">
        <v>23</v>
      </c>
      <c r="Z7" s="3473">
        <v>24</v>
      </c>
      <c r="AA7" s="3473">
        <v>25</v>
      </c>
      <c r="AB7" s="3473">
        <v>26</v>
      </c>
      <c r="AC7" s="3473">
        <v>27</v>
      </c>
      <c r="AD7" s="3473">
        <v>28</v>
      </c>
      <c r="AE7" s="3473">
        <v>29</v>
      </c>
      <c r="AF7" s="3473">
        <v>30</v>
      </c>
      <c r="AG7" s="3473">
        <v>31</v>
      </c>
      <c r="AH7" s="3473">
        <v>32</v>
      </c>
      <c r="AI7" s="3473">
        <v>33</v>
      </c>
      <c r="AJ7" s="3473">
        <v>34</v>
      </c>
      <c r="AK7" s="3473">
        <v>35</v>
      </c>
      <c r="AL7" s="3473">
        <v>36</v>
      </c>
      <c r="AM7" s="3473">
        <v>37</v>
      </c>
      <c r="AN7" s="3473">
        <v>38</v>
      </c>
      <c r="AO7" s="3473">
        <v>39</v>
      </c>
      <c r="AP7" s="3473">
        <v>40</v>
      </c>
      <c r="AQ7" s="3473">
        <v>41</v>
      </c>
      <c r="AR7" s="3473">
        <v>42</v>
      </c>
      <c r="AS7" s="3473">
        <v>43</v>
      </c>
      <c r="AT7" s="3473">
        <v>44</v>
      </c>
      <c r="AU7" s="3473">
        <v>45</v>
      </c>
      <c r="AV7" s="3473">
        <v>46</v>
      </c>
      <c r="AW7" s="3473">
        <v>47</v>
      </c>
      <c r="AX7" s="3473">
        <v>48</v>
      </c>
      <c r="AY7" s="3473">
        <v>49</v>
      </c>
      <c r="AZ7" s="3473">
        <v>50</v>
      </c>
      <c r="BA7" s="3473">
        <v>51</v>
      </c>
      <c r="BB7" s="3473">
        <v>52</v>
      </c>
      <c r="BC7" s="3473">
        <v>53</v>
      </c>
      <c r="BD7" s="3473">
        <v>54</v>
      </c>
      <c r="BE7" s="3473">
        <v>55</v>
      </c>
      <c r="BF7" s="3473">
        <v>56</v>
      </c>
      <c r="BG7" s="3473">
        <v>57</v>
      </c>
      <c r="BH7" s="3473">
        <v>58</v>
      </c>
      <c r="BI7" s="3473">
        <v>59</v>
      </c>
      <c r="BJ7" s="3473">
        <v>60</v>
      </c>
      <c r="BK7" s="3473">
        <v>61</v>
      </c>
      <c r="BL7" s="3473">
        <v>62</v>
      </c>
      <c r="BM7" s="3473">
        <v>63</v>
      </c>
      <c r="BN7" s="3473">
        <v>64</v>
      </c>
      <c r="BO7" s="3473">
        <v>65</v>
      </c>
      <c r="BP7" s="3473">
        <v>66</v>
      </c>
      <c r="BQ7" s="3473">
        <v>67</v>
      </c>
      <c r="BR7" s="3473">
        <v>68</v>
      </c>
      <c r="BS7" s="3473">
        <v>69</v>
      </c>
      <c r="BT7" s="3473">
        <v>70</v>
      </c>
      <c r="BU7" s="3473">
        <v>71</v>
      </c>
      <c r="BV7" s="3473">
        <v>72</v>
      </c>
      <c r="BW7" s="3473">
        <v>73</v>
      </c>
      <c r="BX7" s="3473">
        <v>74</v>
      </c>
      <c r="BY7" s="3473">
        <v>75</v>
      </c>
      <c r="BZ7" s="3473">
        <v>76</v>
      </c>
      <c r="CA7" s="3473">
        <v>77</v>
      </c>
      <c r="CB7" s="3473">
        <v>78</v>
      </c>
      <c r="CC7" s="3473">
        <v>79</v>
      </c>
      <c r="CD7" s="3473">
        <v>80</v>
      </c>
      <c r="CE7" s="3473">
        <v>81</v>
      </c>
      <c r="CF7" s="3473">
        <v>82</v>
      </c>
      <c r="CG7" s="3473">
        <v>83</v>
      </c>
      <c r="CH7" s="3473">
        <v>84</v>
      </c>
      <c r="CI7" s="3473">
        <v>85</v>
      </c>
      <c r="CJ7" s="3473">
        <v>86</v>
      </c>
      <c r="CK7" s="3473">
        <v>87</v>
      </c>
      <c r="CL7" s="3473">
        <v>88</v>
      </c>
      <c r="CM7" s="3473">
        <v>89</v>
      </c>
      <c r="CN7" s="3473">
        <v>90</v>
      </c>
      <c r="CO7" s="3473">
        <v>91</v>
      </c>
      <c r="CP7" s="3473">
        <v>92</v>
      </c>
      <c r="CQ7" s="3473">
        <v>93</v>
      </c>
      <c r="CR7" s="3473">
        <v>94</v>
      </c>
      <c r="CS7" s="3473">
        <v>95</v>
      </c>
      <c r="CT7" s="3473">
        <v>96</v>
      </c>
      <c r="CU7" s="3473">
        <v>97</v>
      </c>
      <c r="CV7" s="3473">
        <v>98</v>
      </c>
      <c r="CW7" s="3473">
        <v>99</v>
      </c>
      <c r="CX7" s="3473">
        <v>100</v>
      </c>
    </row>
    <row r="8" spans="1:102" ht="15.75" hidden="1" thickBot="1">
      <c r="A8" s="3491" t="s">
        <v>1554</v>
      </c>
      <c r="B8" s="3491" t="s">
        <v>1555</v>
      </c>
      <c r="C8" s="3472" t="s">
        <v>497</v>
      </c>
      <c r="D8" s="3472" t="s">
        <v>1540</v>
      </c>
      <c r="E8" s="2027" t="s">
        <v>1299</v>
      </c>
      <c r="F8" s="2027" t="s">
        <v>1300</v>
      </c>
      <c r="G8" s="2027" t="s">
        <v>1301</v>
      </c>
      <c r="H8" s="2027" t="s">
        <v>1302</v>
      </c>
      <c r="I8" s="2027" t="s">
        <v>1303</v>
      </c>
      <c r="J8" s="2027" t="s">
        <v>1304</v>
      </c>
      <c r="K8" s="2027" t="s">
        <v>1305</v>
      </c>
      <c r="L8" s="2027" t="s">
        <v>1306</v>
      </c>
      <c r="M8" s="2027" t="s">
        <v>1307</v>
      </c>
      <c r="N8" s="2027" t="s">
        <v>1308</v>
      </c>
      <c r="O8" s="2027" t="s">
        <v>1309</v>
      </c>
      <c r="P8" s="2027" t="s">
        <v>1310</v>
      </c>
      <c r="Q8" s="2027" t="s">
        <v>1311</v>
      </c>
      <c r="R8" s="2027" t="s">
        <v>1312</v>
      </c>
      <c r="S8" s="2027" t="s">
        <v>1313</v>
      </c>
      <c r="T8" s="2027" t="s">
        <v>1314</v>
      </c>
      <c r="U8" s="2027" t="s">
        <v>1315</v>
      </c>
      <c r="V8" s="2027" t="s">
        <v>1316</v>
      </c>
      <c r="W8" s="2027" t="s">
        <v>1556</v>
      </c>
      <c r="X8" s="2027" t="s">
        <v>1557</v>
      </c>
      <c r="Y8" s="2027" t="s">
        <v>1558</v>
      </c>
      <c r="Z8" s="2027" t="s">
        <v>1559</v>
      </c>
      <c r="AA8" s="2027" t="s">
        <v>1560</v>
      </c>
      <c r="AB8" s="2027" t="s">
        <v>1561</v>
      </c>
      <c r="AC8" s="2027" t="s">
        <v>1562</v>
      </c>
      <c r="AD8" s="2027" t="s">
        <v>1563</v>
      </c>
      <c r="AE8" s="2027" t="s">
        <v>1564</v>
      </c>
      <c r="AF8" s="2027" t="s">
        <v>1565</v>
      </c>
      <c r="AG8" s="2027" t="s">
        <v>1566</v>
      </c>
      <c r="AH8" s="2027" t="s">
        <v>1567</v>
      </c>
      <c r="AI8" s="2027" t="s">
        <v>1568</v>
      </c>
      <c r="AJ8" s="2027" t="s">
        <v>1569</v>
      </c>
      <c r="AK8" s="2027" t="s">
        <v>1570</v>
      </c>
      <c r="AL8" s="2027" t="s">
        <v>1571</v>
      </c>
      <c r="AM8" s="2027" t="s">
        <v>1572</v>
      </c>
      <c r="AN8" s="2027" t="s">
        <v>1573</v>
      </c>
      <c r="AO8" s="2027" t="s">
        <v>1574</v>
      </c>
      <c r="AP8" s="2027" t="s">
        <v>1575</v>
      </c>
      <c r="AQ8" s="2027" t="s">
        <v>1576</v>
      </c>
      <c r="AR8" s="2027" t="s">
        <v>1577</v>
      </c>
      <c r="AS8" s="2027" t="s">
        <v>1578</v>
      </c>
      <c r="AT8" s="2027" t="s">
        <v>1579</v>
      </c>
      <c r="AU8" s="2027" t="s">
        <v>1580</v>
      </c>
      <c r="AV8" s="2027" t="s">
        <v>1581</v>
      </c>
      <c r="AW8" s="2027" t="s">
        <v>1582</v>
      </c>
      <c r="AX8" s="2027" t="s">
        <v>1583</v>
      </c>
      <c r="AY8" s="2027" t="s">
        <v>1584</v>
      </c>
      <c r="AZ8" s="2027" t="s">
        <v>1585</v>
      </c>
      <c r="BA8" s="2027" t="s">
        <v>1586</v>
      </c>
      <c r="BB8" s="2027" t="s">
        <v>1587</v>
      </c>
      <c r="BC8" s="2027" t="s">
        <v>1588</v>
      </c>
      <c r="BD8" s="2027" t="s">
        <v>1589</v>
      </c>
      <c r="BE8" s="2027" t="s">
        <v>1590</v>
      </c>
      <c r="BF8" s="2027" t="s">
        <v>1591</v>
      </c>
      <c r="BG8" s="2027" t="s">
        <v>1592</v>
      </c>
      <c r="BH8" s="2027" t="s">
        <v>1593</v>
      </c>
      <c r="BI8" s="2027" t="s">
        <v>1594</v>
      </c>
      <c r="BJ8" s="2027" t="s">
        <v>1595</v>
      </c>
      <c r="BK8" s="2027" t="s">
        <v>1596</v>
      </c>
      <c r="BL8" s="2027" t="s">
        <v>1597</v>
      </c>
      <c r="BM8" s="2027" t="s">
        <v>1598</v>
      </c>
      <c r="BN8" s="2027" t="s">
        <v>1599</v>
      </c>
      <c r="BO8" s="2027" t="s">
        <v>1600</v>
      </c>
      <c r="BP8" s="2027" t="s">
        <v>1601</v>
      </c>
      <c r="BQ8" s="2027" t="s">
        <v>1602</v>
      </c>
      <c r="BR8" s="2027" t="s">
        <v>1603</v>
      </c>
      <c r="BS8" s="2027" t="s">
        <v>1604</v>
      </c>
      <c r="BT8" s="2027" t="s">
        <v>1605</v>
      </c>
      <c r="BU8" s="2027" t="s">
        <v>1606</v>
      </c>
      <c r="BV8" s="2027" t="s">
        <v>1607</v>
      </c>
      <c r="BW8" s="2027" t="s">
        <v>1608</v>
      </c>
      <c r="BX8" s="2027" t="s">
        <v>1609</v>
      </c>
      <c r="BY8" s="2027" t="s">
        <v>1610</v>
      </c>
      <c r="BZ8" s="2027" t="s">
        <v>1611</v>
      </c>
      <c r="CA8" s="2027" t="s">
        <v>1612</v>
      </c>
      <c r="CB8" s="2027" t="s">
        <v>1613</v>
      </c>
      <c r="CC8" s="2027" t="s">
        <v>1614</v>
      </c>
      <c r="CD8" s="2027" t="s">
        <v>1615</v>
      </c>
      <c r="CE8" s="2027" t="s">
        <v>1616</v>
      </c>
      <c r="CF8" s="2027" t="s">
        <v>1617</v>
      </c>
      <c r="CG8" s="2027" t="s">
        <v>1618</v>
      </c>
      <c r="CH8" s="2027" t="s">
        <v>1619</v>
      </c>
      <c r="CI8" s="2027" t="s">
        <v>1620</v>
      </c>
      <c r="CJ8" s="2027" t="s">
        <v>1621</v>
      </c>
      <c r="CK8" s="2027" t="s">
        <v>1622</v>
      </c>
      <c r="CL8" s="2027" t="s">
        <v>1623</v>
      </c>
      <c r="CM8" s="2027" t="s">
        <v>1624</v>
      </c>
      <c r="CN8" s="2027" t="s">
        <v>1625</v>
      </c>
      <c r="CO8" s="2027" t="s">
        <v>1626</v>
      </c>
      <c r="CP8" s="2027" t="s">
        <v>1627</v>
      </c>
      <c r="CQ8" s="2027" t="s">
        <v>1628</v>
      </c>
      <c r="CR8" s="2027" t="s">
        <v>1629</v>
      </c>
      <c r="CS8" s="2027" t="s">
        <v>1630</v>
      </c>
      <c r="CT8" s="2027" t="s">
        <v>1631</v>
      </c>
      <c r="CU8" s="2027" t="s">
        <v>1632</v>
      </c>
      <c r="CV8" s="2027" t="s">
        <v>1633</v>
      </c>
      <c r="CW8" s="2027" t="s">
        <v>1634</v>
      </c>
      <c r="CX8" s="2027" t="s">
        <v>1635</v>
      </c>
    </row>
    <row r="9" spans="1:102" ht="51">
      <c r="A9" s="3469">
        <v>9</v>
      </c>
      <c r="B9" s="3469">
        <v>13</v>
      </c>
      <c r="C9" s="3492" t="s">
        <v>4049</v>
      </c>
      <c r="D9" s="3493">
        <v>100</v>
      </c>
      <c r="E9" s="3494">
        <f>E28+E46+E64</f>
        <v>19850.285</v>
      </c>
      <c r="F9" s="3494">
        <f t="shared" ref="F9:BQ9" si="0">F28+F46+F64</f>
        <v>0</v>
      </c>
      <c r="G9" s="3494">
        <f t="shared" si="0"/>
        <v>190.53299999999999</v>
      </c>
      <c r="H9" s="3494">
        <f t="shared" si="0"/>
        <v>12530.698</v>
      </c>
      <c r="I9" s="3494">
        <f t="shared" si="0"/>
        <v>7129.054000000001</v>
      </c>
      <c r="J9" s="3494">
        <f t="shared" si="0"/>
        <v>0</v>
      </c>
      <c r="K9" s="3494">
        <f t="shared" si="0"/>
        <v>0</v>
      </c>
      <c r="L9" s="3494">
        <f t="shared" si="0"/>
        <v>175036.05778000003</v>
      </c>
      <c r="M9" s="3494">
        <f t="shared" si="0"/>
        <v>0</v>
      </c>
      <c r="N9" s="3494">
        <f t="shared" si="0"/>
        <v>1611.7967599999999</v>
      </c>
      <c r="O9" s="3494">
        <f t="shared" si="0"/>
        <v>109373.09769000001</v>
      </c>
      <c r="P9" s="3494">
        <f t="shared" si="0"/>
        <v>64051.163329999996</v>
      </c>
      <c r="Q9" s="3494">
        <f t="shared" si="0"/>
        <v>0</v>
      </c>
      <c r="R9" s="3494">
        <f t="shared" si="0"/>
        <v>0</v>
      </c>
      <c r="S9" s="3494">
        <f t="shared" si="0"/>
        <v>295.92699999999996</v>
      </c>
      <c r="T9" s="3494">
        <f t="shared" si="0"/>
        <v>0</v>
      </c>
      <c r="U9" s="3494">
        <f t="shared" si="0"/>
        <v>0</v>
      </c>
      <c r="V9" s="3494">
        <f t="shared" si="0"/>
        <v>292.86599999999999</v>
      </c>
      <c r="W9" s="3494">
        <f t="shared" si="0"/>
        <v>3.0609999999999999</v>
      </c>
      <c r="X9" s="3494">
        <f t="shared" si="0"/>
        <v>0</v>
      </c>
      <c r="Y9" s="3494">
        <f t="shared" si="0"/>
        <v>0</v>
      </c>
      <c r="Z9" s="3494">
        <f t="shared" si="0"/>
        <v>2783.4780800000003</v>
      </c>
      <c r="AA9" s="3494">
        <f t="shared" si="0"/>
        <v>0</v>
      </c>
      <c r="AB9" s="3494">
        <f t="shared" si="0"/>
        <v>0</v>
      </c>
      <c r="AC9" s="3494">
        <f t="shared" si="0"/>
        <v>2754.2478200000005</v>
      </c>
      <c r="AD9" s="3494">
        <f t="shared" si="0"/>
        <v>29.230260000000001</v>
      </c>
      <c r="AE9" s="3494">
        <f t="shared" si="0"/>
        <v>0</v>
      </c>
      <c r="AF9" s="3494">
        <f t="shared" si="0"/>
        <v>0</v>
      </c>
      <c r="AG9" s="3494">
        <f t="shared" si="0"/>
        <v>6724.0690000000004</v>
      </c>
      <c r="AH9" s="3494">
        <f t="shared" si="0"/>
        <v>0</v>
      </c>
      <c r="AI9" s="3494">
        <f t="shared" si="0"/>
        <v>2494.779</v>
      </c>
      <c r="AJ9" s="3494">
        <f t="shared" si="0"/>
        <v>4215.41</v>
      </c>
      <c r="AK9" s="3494">
        <f t="shared" si="0"/>
        <v>13.88</v>
      </c>
      <c r="AL9" s="3494">
        <f t="shared" si="0"/>
        <v>0</v>
      </c>
      <c r="AM9" s="3494">
        <f t="shared" si="0"/>
        <v>0</v>
      </c>
      <c r="AN9" s="3494">
        <f t="shared" si="0"/>
        <v>47691.441340000012</v>
      </c>
      <c r="AO9" s="3494">
        <f t="shared" si="0"/>
        <v>0</v>
      </c>
      <c r="AP9" s="3494">
        <f t="shared" si="0"/>
        <v>17193.228070000001</v>
      </c>
      <c r="AQ9" s="3494">
        <f t="shared" si="0"/>
        <v>30394.370740000006</v>
      </c>
      <c r="AR9" s="3494">
        <f t="shared" si="0"/>
        <v>103.84253</v>
      </c>
      <c r="AS9" s="3494">
        <f t="shared" si="0"/>
        <v>0</v>
      </c>
      <c r="AT9" s="3494">
        <f t="shared" si="0"/>
        <v>0</v>
      </c>
      <c r="AU9" s="3494">
        <f t="shared" si="0"/>
        <v>9.5549999999999997</v>
      </c>
      <c r="AV9" s="3494">
        <f t="shared" si="0"/>
        <v>0</v>
      </c>
      <c r="AW9" s="3494">
        <f t="shared" si="0"/>
        <v>3.28</v>
      </c>
      <c r="AX9" s="3494">
        <f t="shared" si="0"/>
        <v>6.2350000000000003</v>
      </c>
      <c r="AY9" s="3494">
        <f t="shared" si="0"/>
        <v>0.04</v>
      </c>
      <c r="AZ9" s="3494">
        <f t="shared" si="0"/>
        <v>0</v>
      </c>
      <c r="BA9" s="3494">
        <f t="shared" si="0"/>
        <v>0</v>
      </c>
      <c r="BB9" s="3494">
        <f t="shared" si="0"/>
        <v>11536.08747</v>
      </c>
      <c r="BC9" s="3494">
        <f t="shared" si="0"/>
        <v>0</v>
      </c>
      <c r="BD9" s="3494">
        <f t="shared" si="0"/>
        <v>3960.05933</v>
      </c>
      <c r="BE9" s="3494">
        <f t="shared" si="0"/>
        <v>7527.7347300000001</v>
      </c>
      <c r="BF9" s="3494">
        <f t="shared" si="0"/>
        <v>48.293410000000002</v>
      </c>
      <c r="BG9" s="3494">
        <f t="shared" si="0"/>
        <v>0</v>
      </c>
      <c r="BH9" s="3494">
        <f t="shared" si="0"/>
        <v>0</v>
      </c>
      <c r="BI9" s="3494">
        <f t="shared" si="0"/>
        <v>3691.2719999999999</v>
      </c>
      <c r="BJ9" s="3494">
        <f t="shared" si="0"/>
        <v>0</v>
      </c>
      <c r="BK9" s="3494">
        <f t="shared" si="0"/>
        <v>0</v>
      </c>
      <c r="BL9" s="3494">
        <f t="shared" si="0"/>
        <v>102.423</v>
      </c>
      <c r="BM9" s="3494">
        <f t="shared" si="0"/>
        <v>3588.8490000000002</v>
      </c>
      <c r="BN9" s="3494">
        <f t="shared" si="0"/>
        <v>0</v>
      </c>
      <c r="BO9" s="3494">
        <f t="shared" si="0"/>
        <v>0</v>
      </c>
      <c r="BP9" s="3494">
        <f t="shared" si="0"/>
        <v>13669.947359999998</v>
      </c>
      <c r="BQ9" s="3494">
        <f t="shared" si="0"/>
        <v>0</v>
      </c>
      <c r="BR9" s="3494">
        <f t="shared" ref="BR9:CX9" si="1">BR28+BR46+BR64</f>
        <v>0</v>
      </c>
      <c r="BS9" s="3494">
        <f t="shared" si="1"/>
        <v>359.80949000000004</v>
      </c>
      <c r="BT9" s="3494">
        <f t="shared" si="1"/>
        <v>13310.137869999999</v>
      </c>
      <c r="BU9" s="3494">
        <f t="shared" si="1"/>
        <v>0</v>
      </c>
      <c r="BV9" s="3494">
        <f t="shared" si="1"/>
        <v>0</v>
      </c>
      <c r="BW9" s="3494">
        <f t="shared" si="1"/>
        <v>5.9240000000000004</v>
      </c>
      <c r="BX9" s="3494">
        <f t="shared" si="1"/>
        <v>0</v>
      </c>
      <c r="BY9" s="3494">
        <f t="shared" si="1"/>
        <v>0</v>
      </c>
      <c r="BZ9" s="3494">
        <f t="shared" si="1"/>
        <v>0.14499999999999999</v>
      </c>
      <c r="CA9" s="3494">
        <f t="shared" si="1"/>
        <v>5.7789999999999999</v>
      </c>
      <c r="CB9" s="3494">
        <f t="shared" si="1"/>
        <v>0</v>
      </c>
      <c r="CC9" s="3494">
        <f t="shared" si="1"/>
        <v>0</v>
      </c>
      <c r="CD9" s="3494">
        <f t="shared" si="1"/>
        <v>7152.25353</v>
      </c>
      <c r="CE9" s="3494">
        <f t="shared" si="1"/>
        <v>0</v>
      </c>
      <c r="CF9" s="3494">
        <f t="shared" si="1"/>
        <v>0</v>
      </c>
      <c r="CG9" s="3494">
        <f t="shared" si="1"/>
        <v>175.06359999999998</v>
      </c>
      <c r="CH9" s="3494">
        <f t="shared" si="1"/>
        <v>6977.1899300000005</v>
      </c>
      <c r="CI9" s="3494">
        <f t="shared" si="1"/>
        <v>0</v>
      </c>
      <c r="CJ9" s="3494">
        <f t="shared" si="1"/>
        <v>0</v>
      </c>
      <c r="CK9" s="3494">
        <f t="shared" si="1"/>
        <v>6.7129999999999992</v>
      </c>
      <c r="CL9" s="3494">
        <f t="shared" si="1"/>
        <v>0</v>
      </c>
      <c r="CM9" s="3494">
        <f t="shared" si="1"/>
        <v>0</v>
      </c>
      <c r="CN9" s="3494">
        <f t="shared" si="1"/>
        <v>0.157</v>
      </c>
      <c r="CO9" s="3494">
        <f t="shared" si="1"/>
        <v>6.556</v>
      </c>
      <c r="CP9" s="3494">
        <f t="shared" si="1"/>
        <v>0</v>
      </c>
      <c r="CQ9" s="3494">
        <f t="shared" si="1"/>
        <v>0</v>
      </c>
      <c r="CR9" s="3494">
        <f t="shared" si="1"/>
        <v>7164.6043900000004</v>
      </c>
      <c r="CS9" s="3494">
        <f t="shared" si="1"/>
        <v>0</v>
      </c>
      <c r="CT9" s="3494">
        <f t="shared" si="1"/>
        <v>0</v>
      </c>
      <c r="CU9" s="3494">
        <f t="shared" si="1"/>
        <v>439.46540000000005</v>
      </c>
      <c r="CV9" s="3494">
        <f t="shared" si="1"/>
        <v>6725.1389899999995</v>
      </c>
      <c r="CW9" s="3494">
        <f t="shared" si="1"/>
        <v>0</v>
      </c>
      <c r="CX9" s="3494">
        <f t="shared" si="1"/>
        <v>0</v>
      </c>
    </row>
    <row r="10" spans="1:102" ht="38.25">
      <c r="A10" s="3469">
        <v>9</v>
      </c>
      <c r="B10" s="3469">
        <v>4</v>
      </c>
      <c r="C10" s="3492" t="s">
        <v>515</v>
      </c>
      <c r="D10" s="3493">
        <v>200</v>
      </c>
      <c r="E10" s="3495">
        <v>0</v>
      </c>
      <c r="F10" s="3495">
        <v>0</v>
      </c>
      <c r="G10" s="3495">
        <v>0</v>
      </c>
      <c r="H10" s="3495">
        <v>0</v>
      </c>
      <c r="I10" s="3495">
        <v>0</v>
      </c>
      <c r="J10" s="3495">
        <v>0</v>
      </c>
      <c r="K10" s="3495">
        <v>0</v>
      </c>
      <c r="L10" s="3495">
        <v>0</v>
      </c>
      <c r="M10" s="3495">
        <v>0</v>
      </c>
      <c r="N10" s="3495">
        <v>0</v>
      </c>
      <c r="O10" s="3495">
        <v>0</v>
      </c>
      <c r="P10" s="3495">
        <v>0</v>
      </c>
      <c r="Q10" s="3495">
        <v>0</v>
      </c>
      <c r="R10" s="3495">
        <v>0</v>
      </c>
      <c r="S10" s="3495">
        <v>0</v>
      </c>
      <c r="T10" s="3495">
        <v>0</v>
      </c>
      <c r="U10" s="3495">
        <v>0</v>
      </c>
      <c r="V10" s="3495">
        <v>0</v>
      </c>
      <c r="W10" s="3495">
        <v>0</v>
      </c>
      <c r="X10" s="3495">
        <v>0</v>
      </c>
      <c r="Y10" s="3495">
        <v>0</v>
      </c>
      <c r="Z10" s="3495">
        <v>0</v>
      </c>
      <c r="AA10" s="3495">
        <v>0</v>
      </c>
      <c r="AB10" s="3495">
        <v>0</v>
      </c>
      <c r="AC10" s="3495">
        <v>0</v>
      </c>
      <c r="AD10" s="3495">
        <v>0</v>
      </c>
      <c r="AE10" s="3495">
        <v>0</v>
      </c>
      <c r="AF10" s="3495">
        <v>0</v>
      </c>
      <c r="AG10" s="3495">
        <v>0</v>
      </c>
      <c r="AH10" s="3495">
        <v>0</v>
      </c>
      <c r="AI10" s="3495">
        <v>0</v>
      </c>
      <c r="AJ10" s="3495">
        <v>0</v>
      </c>
      <c r="AK10" s="3495">
        <v>0</v>
      </c>
      <c r="AL10" s="3495">
        <v>0</v>
      </c>
      <c r="AM10" s="3495">
        <v>0</v>
      </c>
      <c r="AN10" s="3495">
        <v>0</v>
      </c>
      <c r="AO10" s="3495">
        <v>0</v>
      </c>
      <c r="AP10" s="3495">
        <v>0</v>
      </c>
      <c r="AQ10" s="3495">
        <v>0</v>
      </c>
      <c r="AR10" s="3495">
        <v>0</v>
      </c>
      <c r="AS10" s="3495">
        <v>0</v>
      </c>
      <c r="AT10" s="3495">
        <v>0</v>
      </c>
      <c r="AU10" s="3495">
        <v>0</v>
      </c>
      <c r="AV10" s="3495">
        <v>0</v>
      </c>
      <c r="AW10" s="3495">
        <v>0</v>
      </c>
      <c r="AX10" s="3495">
        <v>0</v>
      </c>
      <c r="AY10" s="3495">
        <v>0</v>
      </c>
      <c r="AZ10" s="3495">
        <v>0</v>
      </c>
      <c r="BA10" s="3495">
        <v>0</v>
      </c>
      <c r="BB10" s="3495">
        <v>0</v>
      </c>
      <c r="BC10" s="3495">
        <v>0</v>
      </c>
      <c r="BD10" s="3495">
        <v>0</v>
      </c>
      <c r="BE10" s="3495">
        <v>0</v>
      </c>
      <c r="BF10" s="3495">
        <v>0</v>
      </c>
      <c r="BG10" s="3495">
        <v>0</v>
      </c>
      <c r="BH10" s="3495">
        <v>0</v>
      </c>
      <c r="BI10" s="3495">
        <v>0</v>
      </c>
      <c r="BJ10" s="3495">
        <v>0</v>
      </c>
      <c r="BK10" s="3495">
        <v>0</v>
      </c>
      <c r="BL10" s="3495">
        <v>0</v>
      </c>
      <c r="BM10" s="3495">
        <v>0</v>
      </c>
      <c r="BN10" s="3495">
        <v>0</v>
      </c>
      <c r="BO10" s="3495">
        <v>0</v>
      </c>
      <c r="BP10" s="3495">
        <v>0</v>
      </c>
      <c r="BQ10" s="3495">
        <v>0</v>
      </c>
      <c r="BR10" s="3495">
        <v>0</v>
      </c>
      <c r="BS10" s="3495">
        <v>0</v>
      </c>
      <c r="BT10" s="3495">
        <v>0</v>
      </c>
      <c r="BU10" s="3495">
        <v>0</v>
      </c>
      <c r="BV10" s="3495">
        <v>0</v>
      </c>
      <c r="BW10" s="3495">
        <v>0</v>
      </c>
      <c r="BX10" s="3495">
        <v>0</v>
      </c>
      <c r="BY10" s="3495">
        <v>0</v>
      </c>
      <c r="BZ10" s="3495">
        <v>0</v>
      </c>
      <c r="CA10" s="3495">
        <v>0</v>
      </c>
      <c r="CB10" s="3495">
        <v>0</v>
      </c>
      <c r="CC10" s="3495">
        <v>0</v>
      </c>
      <c r="CD10" s="3495">
        <v>0</v>
      </c>
      <c r="CE10" s="3495">
        <v>0</v>
      </c>
      <c r="CF10" s="3495">
        <v>0</v>
      </c>
      <c r="CG10" s="3495">
        <v>0</v>
      </c>
      <c r="CH10" s="3495">
        <v>0</v>
      </c>
      <c r="CI10" s="3495">
        <v>0</v>
      </c>
      <c r="CJ10" s="3495">
        <v>0</v>
      </c>
      <c r="CK10" s="3495">
        <v>0</v>
      </c>
      <c r="CL10" s="3495">
        <v>0</v>
      </c>
      <c r="CM10" s="3495">
        <v>0</v>
      </c>
      <c r="CN10" s="3495">
        <v>0</v>
      </c>
      <c r="CO10" s="3495">
        <v>0</v>
      </c>
      <c r="CP10" s="3495">
        <v>0</v>
      </c>
      <c r="CQ10" s="3495">
        <v>0</v>
      </c>
      <c r="CR10" s="3495">
        <v>0</v>
      </c>
      <c r="CS10" s="3495">
        <v>0</v>
      </c>
      <c r="CT10" s="3495">
        <v>0</v>
      </c>
      <c r="CU10" s="3495">
        <v>0</v>
      </c>
      <c r="CV10" s="3495">
        <v>0</v>
      </c>
      <c r="CW10" s="3495">
        <v>0</v>
      </c>
      <c r="CX10" s="3495">
        <v>0</v>
      </c>
    </row>
    <row r="11" spans="1:102" ht="76.5">
      <c r="A11" s="3469">
        <v>10</v>
      </c>
      <c r="B11" s="3469">
        <v>4</v>
      </c>
      <c r="C11" s="3496" t="s">
        <v>4050</v>
      </c>
      <c r="D11" s="3473">
        <v>210</v>
      </c>
      <c r="E11" s="3497">
        <v>0</v>
      </c>
      <c r="F11" s="3482"/>
      <c r="G11" s="3482"/>
      <c r="H11" s="3482"/>
      <c r="I11" s="3482"/>
      <c r="J11" s="3482"/>
      <c r="K11" s="3482"/>
      <c r="L11" s="3495">
        <v>0</v>
      </c>
      <c r="M11" s="3482"/>
      <c r="N11" s="3482"/>
      <c r="O11" s="3482"/>
      <c r="P11" s="3482"/>
      <c r="Q11" s="3482"/>
      <c r="R11" s="3482"/>
      <c r="S11" s="3495">
        <v>0</v>
      </c>
      <c r="T11" s="3482"/>
      <c r="U11" s="3482"/>
      <c r="V11" s="3482"/>
      <c r="W11" s="3482"/>
      <c r="X11" s="3482"/>
      <c r="Y11" s="3482"/>
      <c r="Z11" s="3495">
        <v>0</v>
      </c>
      <c r="AA11" s="3482"/>
      <c r="AB11" s="3482"/>
      <c r="AC11" s="3482"/>
      <c r="AD11" s="3482"/>
      <c r="AE11" s="3482"/>
      <c r="AF11" s="3482"/>
      <c r="AG11" s="3495">
        <v>0</v>
      </c>
      <c r="AH11" s="3482"/>
      <c r="AI11" s="3482"/>
      <c r="AJ11" s="3482"/>
      <c r="AK11" s="3482"/>
      <c r="AL11" s="3482"/>
      <c r="AM11" s="3482"/>
      <c r="AN11" s="3495">
        <v>0</v>
      </c>
      <c r="AO11" s="3482"/>
      <c r="AP11" s="3482"/>
      <c r="AQ11" s="3482"/>
      <c r="AR11" s="3482"/>
      <c r="AS11" s="3482"/>
      <c r="AT11" s="3482"/>
      <c r="AU11" s="3495">
        <v>0</v>
      </c>
      <c r="AV11" s="3482"/>
      <c r="AW11" s="3482"/>
      <c r="AX11" s="3482"/>
      <c r="AY11" s="3482"/>
      <c r="AZ11" s="3482"/>
      <c r="BA11" s="3482"/>
      <c r="BB11" s="3495">
        <v>0</v>
      </c>
      <c r="BC11" s="3482"/>
      <c r="BD11" s="3482"/>
      <c r="BE11" s="3482"/>
      <c r="BF11" s="3482"/>
      <c r="BG11" s="3482"/>
      <c r="BH11" s="3482"/>
      <c r="BI11" s="3495">
        <v>0</v>
      </c>
      <c r="BJ11" s="3482"/>
      <c r="BK11" s="3482"/>
      <c r="BL11" s="3482"/>
      <c r="BM11" s="3482"/>
      <c r="BN11" s="3482"/>
      <c r="BO11" s="3482"/>
      <c r="BP11" s="3495">
        <v>0</v>
      </c>
      <c r="BQ11" s="3482"/>
      <c r="BR11" s="3482"/>
      <c r="BS11" s="3482"/>
      <c r="BT11" s="3482"/>
      <c r="BU11" s="3482"/>
      <c r="BV11" s="3482"/>
      <c r="BW11" s="3495">
        <v>0</v>
      </c>
      <c r="BX11" s="3482"/>
      <c r="BY11" s="3482"/>
      <c r="BZ11" s="3482"/>
      <c r="CA11" s="3482"/>
      <c r="CB11" s="3482"/>
      <c r="CC11" s="3482"/>
      <c r="CD11" s="3495">
        <v>0</v>
      </c>
      <c r="CE11" s="3482"/>
      <c r="CF11" s="3482"/>
      <c r="CG11" s="3482"/>
      <c r="CH11" s="3482"/>
      <c r="CI11" s="3482"/>
      <c r="CJ11" s="3482"/>
      <c r="CK11" s="3495">
        <v>0</v>
      </c>
      <c r="CL11" s="3482"/>
      <c r="CM11" s="3482"/>
      <c r="CN11" s="3482"/>
      <c r="CO11" s="3482"/>
      <c r="CP11" s="3482"/>
      <c r="CQ11" s="3482"/>
      <c r="CR11" s="3495">
        <v>0</v>
      </c>
      <c r="CS11" s="3482"/>
      <c r="CT11" s="3482"/>
      <c r="CU11" s="3482"/>
      <c r="CV11" s="3482"/>
      <c r="CW11" s="3482"/>
      <c r="CX11" s="3482"/>
    </row>
    <row r="12" spans="1:102" ht="51">
      <c r="A12" s="3469">
        <v>11</v>
      </c>
      <c r="B12" s="3469">
        <v>4</v>
      </c>
      <c r="C12" s="3496" t="s">
        <v>4051</v>
      </c>
      <c r="D12" s="3473">
        <v>211</v>
      </c>
      <c r="E12" s="3497">
        <v>0</v>
      </c>
      <c r="F12" s="3482"/>
      <c r="G12" s="3482"/>
      <c r="H12" s="3482"/>
      <c r="I12" s="3482"/>
      <c r="J12" s="3482"/>
      <c r="K12" s="3482"/>
      <c r="L12" s="3495">
        <v>0</v>
      </c>
      <c r="M12" s="3482"/>
      <c r="N12" s="3482"/>
      <c r="O12" s="3482"/>
      <c r="P12" s="3482"/>
      <c r="Q12" s="3482"/>
      <c r="R12" s="3482"/>
      <c r="S12" s="3495">
        <v>0</v>
      </c>
      <c r="T12" s="3482"/>
      <c r="U12" s="3482"/>
      <c r="V12" s="3482"/>
      <c r="W12" s="3482"/>
      <c r="X12" s="3482"/>
      <c r="Y12" s="3482"/>
      <c r="Z12" s="3495">
        <v>0</v>
      </c>
      <c r="AA12" s="3482"/>
      <c r="AB12" s="3482"/>
      <c r="AC12" s="3482"/>
      <c r="AD12" s="3482"/>
      <c r="AE12" s="3482"/>
      <c r="AF12" s="3482"/>
      <c r="AG12" s="3495">
        <v>0</v>
      </c>
      <c r="AH12" s="3482"/>
      <c r="AI12" s="3482"/>
      <c r="AJ12" s="3482"/>
      <c r="AK12" s="3482"/>
      <c r="AL12" s="3482"/>
      <c r="AM12" s="3482"/>
      <c r="AN12" s="3495">
        <v>0</v>
      </c>
      <c r="AO12" s="3482"/>
      <c r="AP12" s="3482"/>
      <c r="AQ12" s="3482"/>
      <c r="AR12" s="3482"/>
      <c r="AS12" s="3482"/>
      <c r="AT12" s="3482"/>
      <c r="AU12" s="3495">
        <v>0</v>
      </c>
      <c r="AV12" s="3482"/>
      <c r="AW12" s="3482"/>
      <c r="AX12" s="3482"/>
      <c r="AY12" s="3482"/>
      <c r="AZ12" s="3482"/>
      <c r="BA12" s="3482"/>
      <c r="BB12" s="3495">
        <v>0</v>
      </c>
      <c r="BC12" s="3482"/>
      <c r="BD12" s="3482"/>
      <c r="BE12" s="3482"/>
      <c r="BF12" s="3482"/>
      <c r="BG12" s="3482"/>
      <c r="BH12" s="3482"/>
      <c r="BI12" s="3495">
        <v>0</v>
      </c>
      <c r="BJ12" s="3482"/>
      <c r="BK12" s="3482"/>
      <c r="BL12" s="3482"/>
      <c r="BM12" s="3482"/>
      <c r="BN12" s="3482"/>
      <c r="BO12" s="3482"/>
      <c r="BP12" s="3495">
        <v>0</v>
      </c>
      <c r="BQ12" s="3482"/>
      <c r="BR12" s="3482"/>
      <c r="BS12" s="3482"/>
      <c r="BT12" s="3482"/>
      <c r="BU12" s="3482"/>
      <c r="BV12" s="3482"/>
      <c r="BW12" s="3495">
        <v>0</v>
      </c>
      <c r="BX12" s="3482"/>
      <c r="BY12" s="3482"/>
      <c r="BZ12" s="3482"/>
      <c r="CA12" s="3482"/>
      <c r="CB12" s="3482"/>
      <c r="CC12" s="3482"/>
      <c r="CD12" s="3495">
        <v>0</v>
      </c>
      <c r="CE12" s="3482"/>
      <c r="CF12" s="3482"/>
      <c r="CG12" s="3482"/>
      <c r="CH12" s="3482"/>
      <c r="CI12" s="3482"/>
      <c r="CJ12" s="3482"/>
      <c r="CK12" s="3495">
        <v>0</v>
      </c>
      <c r="CL12" s="3482"/>
      <c r="CM12" s="3482"/>
      <c r="CN12" s="3482"/>
      <c r="CO12" s="3482"/>
      <c r="CP12" s="3482"/>
      <c r="CQ12" s="3482"/>
      <c r="CR12" s="3495">
        <v>0</v>
      </c>
      <c r="CS12" s="3482"/>
      <c r="CT12" s="3482"/>
      <c r="CU12" s="3482"/>
      <c r="CV12" s="3482"/>
      <c r="CW12" s="3482"/>
      <c r="CX12" s="3482"/>
    </row>
    <row r="13" spans="1:102" ht="25.5">
      <c r="A13" s="3469">
        <v>12</v>
      </c>
      <c r="B13" s="3469">
        <v>4</v>
      </c>
      <c r="C13" s="3496" t="s">
        <v>4052</v>
      </c>
      <c r="D13" s="3473">
        <v>212</v>
      </c>
      <c r="E13" s="3497">
        <v>0</v>
      </c>
      <c r="F13" s="3482"/>
      <c r="G13" s="3482"/>
      <c r="H13" s="3482"/>
      <c r="I13" s="3482"/>
      <c r="J13" s="3482"/>
      <c r="K13" s="3482"/>
      <c r="L13" s="3495">
        <v>0</v>
      </c>
      <c r="M13" s="3482"/>
      <c r="N13" s="3482"/>
      <c r="O13" s="3482"/>
      <c r="P13" s="3482"/>
      <c r="Q13" s="3482"/>
      <c r="R13" s="3482"/>
      <c r="S13" s="3495">
        <v>0</v>
      </c>
      <c r="T13" s="3482"/>
      <c r="U13" s="3482"/>
      <c r="V13" s="3482"/>
      <c r="W13" s="3482"/>
      <c r="X13" s="3482"/>
      <c r="Y13" s="3482"/>
      <c r="Z13" s="3495">
        <v>0</v>
      </c>
      <c r="AA13" s="3482"/>
      <c r="AB13" s="3482"/>
      <c r="AC13" s="3482"/>
      <c r="AD13" s="3482"/>
      <c r="AE13" s="3482"/>
      <c r="AF13" s="3482"/>
      <c r="AG13" s="3495">
        <v>0</v>
      </c>
      <c r="AH13" s="3482"/>
      <c r="AI13" s="3482"/>
      <c r="AJ13" s="3482"/>
      <c r="AK13" s="3482"/>
      <c r="AL13" s="3482"/>
      <c r="AM13" s="3482"/>
      <c r="AN13" s="3495">
        <v>0</v>
      </c>
      <c r="AO13" s="3482"/>
      <c r="AP13" s="3482"/>
      <c r="AQ13" s="3482"/>
      <c r="AR13" s="3482"/>
      <c r="AS13" s="3482"/>
      <c r="AT13" s="3482"/>
      <c r="AU13" s="3495">
        <v>0</v>
      </c>
      <c r="AV13" s="3482"/>
      <c r="AW13" s="3482"/>
      <c r="AX13" s="3482"/>
      <c r="AY13" s="3482"/>
      <c r="AZ13" s="3482"/>
      <c r="BA13" s="3482"/>
      <c r="BB13" s="3495">
        <v>0</v>
      </c>
      <c r="BC13" s="3482"/>
      <c r="BD13" s="3482"/>
      <c r="BE13" s="3482"/>
      <c r="BF13" s="3482"/>
      <c r="BG13" s="3482"/>
      <c r="BH13" s="3482"/>
      <c r="BI13" s="3495">
        <v>0</v>
      </c>
      <c r="BJ13" s="3482"/>
      <c r="BK13" s="3482"/>
      <c r="BL13" s="3482"/>
      <c r="BM13" s="3482"/>
      <c r="BN13" s="3482"/>
      <c r="BO13" s="3482"/>
      <c r="BP13" s="3495">
        <v>0</v>
      </c>
      <c r="BQ13" s="3482"/>
      <c r="BR13" s="3482"/>
      <c r="BS13" s="3482"/>
      <c r="BT13" s="3482"/>
      <c r="BU13" s="3482"/>
      <c r="BV13" s="3482"/>
      <c r="BW13" s="3495">
        <v>0</v>
      </c>
      <c r="BX13" s="3482"/>
      <c r="BY13" s="3482"/>
      <c r="BZ13" s="3482"/>
      <c r="CA13" s="3482"/>
      <c r="CB13" s="3482"/>
      <c r="CC13" s="3482"/>
      <c r="CD13" s="3495">
        <v>0</v>
      </c>
      <c r="CE13" s="3482"/>
      <c r="CF13" s="3482"/>
      <c r="CG13" s="3482"/>
      <c r="CH13" s="3482"/>
      <c r="CI13" s="3482"/>
      <c r="CJ13" s="3482"/>
      <c r="CK13" s="3495">
        <v>0</v>
      </c>
      <c r="CL13" s="3482"/>
      <c r="CM13" s="3482"/>
      <c r="CN13" s="3482"/>
      <c r="CO13" s="3482"/>
      <c r="CP13" s="3482"/>
      <c r="CQ13" s="3482"/>
      <c r="CR13" s="3495">
        <v>0</v>
      </c>
      <c r="CS13" s="3482"/>
      <c r="CT13" s="3482"/>
      <c r="CU13" s="3482"/>
      <c r="CV13" s="3482"/>
      <c r="CW13" s="3482"/>
      <c r="CX13" s="3482"/>
    </row>
    <row r="14" spans="1:102" ht="25.5">
      <c r="A14" s="3469">
        <v>13</v>
      </c>
      <c r="B14" s="3469">
        <v>4</v>
      </c>
      <c r="C14" s="3496" t="s">
        <v>4053</v>
      </c>
      <c r="D14" s="3473">
        <v>213</v>
      </c>
      <c r="E14" s="3497">
        <v>0</v>
      </c>
      <c r="F14" s="3482"/>
      <c r="G14" s="3482"/>
      <c r="H14" s="3482"/>
      <c r="I14" s="3482"/>
      <c r="J14" s="3482"/>
      <c r="K14" s="3482"/>
      <c r="L14" s="3495">
        <v>0</v>
      </c>
      <c r="M14" s="3482"/>
      <c r="N14" s="3482"/>
      <c r="O14" s="3482"/>
      <c r="P14" s="3482"/>
      <c r="Q14" s="3482"/>
      <c r="R14" s="3482"/>
      <c r="S14" s="3495">
        <v>0</v>
      </c>
      <c r="T14" s="3482"/>
      <c r="U14" s="3482"/>
      <c r="V14" s="3482"/>
      <c r="W14" s="3482"/>
      <c r="X14" s="3482"/>
      <c r="Y14" s="3482"/>
      <c r="Z14" s="3495">
        <v>0</v>
      </c>
      <c r="AA14" s="3482"/>
      <c r="AB14" s="3482"/>
      <c r="AC14" s="3482"/>
      <c r="AD14" s="3482"/>
      <c r="AE14" s="3482"/>
      <c r="AF14" s="3482"/>
      <c r="AG14" s="3495">
        <v>0</v>
      </c>
      <c r="AH14" s="3482"/>
      <c r="AI14" s="3482"/>
      <c r="AJ14" s="3482"/>
      <c r="AK14" s="3482"/>
      <c r="AL14" s="3482"/>
      <c r="AM14" s="3482"/>
      <c r="AN14" s="3495">
        <v>0</v>
      </c>
      <c r="AO14" s="3482"/>
      <c r="AP14" s="3482"/>
      <c r="AQ14" s="3482"/>
      <c r="AR14" s="3482"/>
      <c r="AS14" s="3482"/>
      <c r="AT14" s="3482"/>
      <c r="AU14" s="3495">
        <v>0</v>
      </c>
      <c r="AV14" s="3482"/>
      <c r="AW14" s="3482"/>
      <c r="AX14" s="3482"/>
      <c r="AY14" s="3482"/>
      <c r="AZ14" s="3482"/>
      <c r="BA14" s="3482"/>
      <c r="BB14" s="3495">
        <v>0</v>
      </c>
      <c r="BC14" s="3482"/>
      <c r="BD14" s="3482"/>
      <c r="BE14" s="3482"/>
      <c r="BF14" s="3482"/>
      <c r="BG14" s="3482"/>
      <c r="BH14" s="3482"/>
      <c r="BI14" s="3495">
        <v>0</v>
      </c>
      <c r="BJ14" s="3482"/>
      <c r="BK14" s="3482"/>
      <c r="BL14" s="3482"/>
      <c r="BM14" s="3482"/>
      <c r="BN14" s="3482"/>
      <c r="BO14" s="3482"/>
      <c r="BP14" s="3495">
        <v>0</v>
      </c>
      <c r="BQ14" s="3482"/>
      <c r="BR14" s="3482"/>
      <c r="BS14" s="3482"/>
      <c r="BT14" s="3482"/>
      <c r="BU14" s="3482"/>
      <c r="BV14" s="3482"/>
      <c r="BW14" s="3495">
        <v>0</v>
      </c>
      <c r="BX14" s="3482"/>
      <c r="BY14" s="3482"/>
      <c r="BZ14" s="3482"/>
      <c r="CA14" s="3482"/>
      <c r="CB14" s="3482"/>
      <c r="CC14" s="3482"/>
      <c r="CD14" s="3495">
        <v>0</v>
      </c>
      <c r="CE14" s="3482"/>
      <c r="CF14" s="3482"/>
      <c r="CG14" s="3482"/>
      <c r="CH14" s="3482"/>
      <c r="CI14" s="3482"/>
      <c r="CJ14" s="3482"/>
      <c r="CK14" s="3495">
        <v>0</v>
      </c>
      <c r="CL14" s="3482"/>
      <c r="CM14" s="3482"/>
      <c r="CN14" s="3482"/>
      <c r="CO14" s="3482"/>
      <c r="CP14" s="3482"/>
      <c r="CQ14" s="3482"/>
      <c r="CR14" s="3495">
        <v>0</v>
      </c>
      <c r="CS14" s="3482"/>
      <c r="CT14" s="3482"/>
      <c r="CU14" s="3482"/>
      <c r="CV14" s="3482"/>
      <c r="CW14" s="3482"/>
      <c r="CX14" s="3482"/>
    </row>
    <row r="15" spans="1:102" ht="25.5">
      <c r="A15" s="3469">
        <v>14</v>
      </c>
      <c r="B15" s="3469">
        <v>4</v>
      </c>
      <c r="C15" s="3496" t="s">
        <v>4054</v>
      </c>
      <c r="D15" s="3473">
        <v>214</v>
      </c>
      <c r="E15" s="3497">
        <v>0</v>
      </c>
      <c r="F15" s="3482"/>
      <c r="G15" s="3482"/>
      <c r="H15" s="3482"/>
      <c r="I15" s="3482"/>
      <c r="J15" s="3482"/>
      <c r="K15" s="3482"/>
      <c r="L15" s="3495">
        <v>0</v>
      </c>
      <c r="M15" s="3482"/>
      <c r="N15" s="3482"/>
      <c r="O15" s="3482"/>
      <c r="P15" s="3482"/>
      <c r="Q15" s="3482"/>
      <c r="R15" s="3482"/>
      <c r="S15" s="3495">
        <v>0</v>
      </c>
      <c r="T15" s="3482"/>
      <c r="U15" s="3482"/>
      <c r="V15" s="3482"/>
      <c r="W15" s="3482"/>
      <c r="X15" s="3482"/>
      <c r="Y15" s="3482"/>
      <c r="Z15" s="3495">
        <v>0</v>
      </c>
      <c r="AA15" s="3482"/>
      <c r="AB15" s="3482"/>
      <c r="AC15" s="3482"/>
      <c r="AD15" s="3482"/>
      <c r="AE15" s="3482"/>
      <c r="AF15" s="3482"/>
      <c r="AG15" s="3495">
        <v>0</v>
      </c>
      <c r="AH15" s="3482"/>
      <c r="AI15" s="3482"/>
      <c r="AJ15" s="3482"/>
      <c r="AK15" s="3482"/>
      <c r="AL15" s="3482"/>
      <c r="AM15" s="3482"/>
      <c r="AN15" s="3495">
        <v>0</v>
      </c>
      <c r="AO15" s="3482"/>
      <c r="AP15" s="3482"/>
      <c r="AQ15" s="3482"/>
      <c r="AR15" s="3482"/>
      <c r="AS15" s="3482"/>
      <c r="AT15" s="3482"/>
      <c r="AU15" s="3495">
        <v>0</v>
      </c>
      <c r="AV15" s="3482"/>
      <c r="AW15" s="3482"/>
      <c r="AX15" s="3482"/>
      <c r="AY15" s="3482"/>
      <c r="AZ15" s="3482"/>
      <c r="BA15" s="3482"/>
      <c r="BB15" s="3495">
        <v>0</v>
      </c>
      <c r="BC15" s="3482"/>
      <c r="BD15" s="3482"/>
      <c r="BE15" s="3482"/>
      <c r="BF15" s="3482"/>
      <c r="BG15" s="3482"/>
      <c r="BH15" s="3482"/>
      <c r="BI15" s="3495">
        <v>0</v>
      </c>
      <c r="BJ15" s="3482"/>
      <c r="BK15" s="3482"/>
      <c r="BL15" s="3482"/>
      <c r="BM15" s="3482"/>
      <c r="BN15" s="3482"/>
      <c r="BO15" s="3482"/>
      <c r="BP15" s="3495">
        <v>0</v>
      </c>
      <c r="BQ15" s="3482"/>
      <c r="BR15" s="3482"/>
      <c r="BS15" s="3482"/>
      <c r="BT15" s="3482"/>
      <c r="BU15" s="3482"/>
      <c r="BV15" s="3482"/>
      <c r="BW15" s="3495">
        <v>0</v>
      </c>
      <c r="BX15" s="3482"/>
      <c r="BY15" s="3482"/>
      <c r="BZ15" s="3482"/>
      <c r="CA15" s="3482"/>
      <c r="CB15" s="3482"/>
      <c r="CC15" s="3482"/>
      <c r="CD15" s="3495">
        <v>0</v>
      </c>
      <c r="CE15" s="3482"/>
      <c r="CF15" s="3482"/>
      <c r="CG15" s="3482"/>
      <c r="CH15" s="3482"/>
      <c r="CI15" s="3482"/>
      <c r="CJ15" s="3482"/>
      <c r="CK15" s="3495">
        <v>0</v>
      </c>
      <c r="CL15" s="3482"/>
      <c r="CM15" s="3482"/>
      <c r="CN15" s="3482"/>
      <c r="CO15" s="3482"/>
      <c r="CP15" s="3482"/>
      <c r="CQ15" s="3482"/>
      <c r="CR15" s="3495">
        <v>0</v>
      </c>
      <c r="CS15" s="3482"/>
      <c r="CT15" s="3482"/>
      <c r="CU15" s="3482"/>
      <c r="CV15" s="3482"/>
      <c r="CW15" s="3482"/>
      <c r="CX15" s="3482"/>
    </row>
    <row r="16" spans="1:102" ht="25.5">
      <c r="A16" s="3469">
        <v>15</v>
      </c>
      <c r="B16" s="3469">
        <v>4</v>
      </c>
      <c r="C16" s="3496" t="s">
        <v>4055</v>
      </c>
      <c r="D16" s="3473">
        <v>215</v>
      </c>
      <c r="E16" s="3497">
        <v>0</v>
      </c>
      <c r="F16" s="3482"/>
      <c r="G16" s="3482"/>
      <c r="H16" s="3482"/>
      <c r="I16" s="3482"/>
      <c r="J16" s="3482"/>
      <c r="K16" s="3482"/>
      <c r="L16" s="3495">
        <v>0</v>
      </c>
      <c r="M16" s="3482"/>
      <c r="N16" s="3482"/>
      <c r="O16" s="3482"/>
      <c r="P16" s="3482"/>
      <c r="Q16" s="3482"/>
      <c r="R16" s="3482"/>
      <c r="S16" s="3495">
        <v>0</v>
      </c>
      <c r="T16" s="3482"/>
      <c r="U16" s="3482"/>
      <c r="V16" s="3482"/>
      <c r="W16" s="3482"/>
      <c r="X16" s="3482"/>
      <c r="Y16" s="3482"/>
      <c r="Z16" s="3495">
        <v>0</v>
      </c>
      <c r="AA16" s="3482"/>
      <c r="AB16" s="3482"/>
      <c r="AC16" s="3482"/>
      <c r="AD16" s="3482"/>
      <c r="AE16" s="3482"/>
      <c r="AF16" s="3482"/>
      <c r="AG16" s="3495">
        <v>0</v>
      </c>
      <c r="AH16" s="3482"/>
      <c r="AI16" s="3482"/>
      <c r="AJ16" s="3482"/>
      <c r="AK16" s="3482"/>
      <c r="AL16" s="3482"/>
      <c r="AM16" s="3482"/>
      <c r="AN16" s="3495">
        <v>0</v>
      </c>
      <c r="AO16" s="3482"/>
      <c r="AP16" s="3482"/>
      <c r="AQ16" s="3482"/>
      <c r="AR16" s="3482"/>
      <c r="AS16" s="3482"/>
      <c r="AT16" s="3482"/>
      <c r="AU16" s="3495">
        <v>0</v>
      </c>
      <c r="AV16" s="3482"/>
      <c r="AW16" s="3482"/>
      <c r="AX16" s="3482"/>
      <c r="AY16" s="3482"/>
      <c r="AZ16" s="3482"/>
      <c r="BA16" s="3482"/>
      <c r="BB16" s="3495">
        <v>0</v>
      </c>
      <c r="BC16" s="3482"/>
      <c r="BD16" s="3482"/>
      <c r="BE16" s="3482"/>
      <c r="BF16" s="3482"/>
      <c r="BG16" s="3482"/>
      <c r="BH16" s="3482"/>
      <c r="BI16" s="3495">
        <v>0</v>
      </c>
      <c r="BJ16" s="3482"/>
      <c r="BK16" s="3482"/>
      <c r="BL16" s="3482"/>
      <c r="BM16" s="3482"/>
      <c r="BN16" s="3482"/>
      <c r="BO16" s="3482"/>
      <c r="BP16" s="3495">
        <v>0</v>
      </c>
      <c r="BQ16" s="3482"/>
      <c r="BR16" s="3482"/>
      <c r="BS16" s="3482"/>
      <c r="BT16" s="3482"/>
      <c r="BU16" s="3482"/>
      <c r="BV16" s="3482"/>
      <c r="BW16" s="3495">
        <v>0</v>
      </c>
      <c r="BX16" s="3482"/>
      <c r="BY16" s="3482"/>
      <c r="BZ16" s="3482"/>
      <c r="CA16" s="3482"/>
      <c r="CB16" s="3482"/>
      <c r="CC16" s="3482"/>
      <c r="CD16" s="3495">
        <v>0</v>
      </c>
      <c r="CE16" s="3482"/>
      <c r="CF16" s="3482"/>
      <c r="CG16" s="3482"/>
      <c r="CH16" s="3482"/>
      <c r="CI16" s="3482"/>
      <c r="CJ16" s="3482"/>
      <c r="CK16" s="3495">
        <v>0</v>
      </c>
      <c r="CL16" s="3482"/>
      <c r="CM16" s="3482"/>
      <c r="CN16" s="3482"/>
      <c r="CO16" s="3482"/>
      <c r="CP16" s="3482"/>
      <c r="CQ16" s="3482"/>
      <c r="CR16" s="3495">
        <v>0</v>
      </c>
      <c r="CS16" s="3482"/>
      <c r="CT16" s="3482"/>
      <c r="CU16" s="3482"/>
      <c r="CV16" s="3482"/>
      <c r="CW16" s="3482"/>
      <c r="CX16" s="3482"/>
    </row>
    <row r="17" spans="1:102" ht="25.5">
      <c r="A17" s="3469">
        <v>16</v>
      </c>
      <c r="B17" s="3469">
        <v>4</v>
      </c>
      <c r="C17" s="3496" t="s">
        <v>4056</v>
      </c>
      <c r="D17" s="3473">
        <v>216</v>
      </c>
      <c r="E17" s="3497">
        <v>0</v>
      </c>
      <c r="F17" s="3482"/>
      <c r="G17" s="3482"/>
      <c r="H17" s="3482"/>
      <c r="I17" s="3482"/>
      <c r="J17" s="3482"/>
      <c r="K17" s="3482"/>
      <c r="L17" s="3495">
        <v>0</v>
      </c>
      <c r="M17" s="3482"/>
      <c r="N17" s="3482"/>
      <c r="O17" s="3482"/>
      <c r="P17" s="3482"/>
      <c r="Q17" s="3482"/>
      <c r="R17" s="3482"/>
      <c r="S17" s="3495">
        <v>0</v>
      </c>
      <c r="T17" s="3482"/>
      <c r="U17" s="3482"/>
      <c r="V17" s="3482"/>
      <c r="W17" s="3482"/>
      <c r="X17" s="3482"/>
      <c r="Y17" s="3482"/>
      <c r="Z17" s="3495">
        <v>0</v>
      </c>
      <c r="AA17" s="3482"/>
      <c r="AB17" s="3482"/>
      <c r="AC17" s="3482"/>
      <c r="AD17" s="3482"/>
      <c r="AE17" s="3482"/>
      <c r="AF17" s="3482"/>
      <c r="AG17" s="3495">
        <v>0</v>
      </c>
      <c r="AH17" s="3482"/>
      <c r="AI17" s="3482"/>
      <c r="AJ17" s="3482"/>
      <c r="AK17" s="3482"/>
      <c r="AL17" s="3482"/>
      <c r="AM17" s="3482"/>
      <c r="AN17" s="3495">
        <v>0</v>
      </c>
      <c r="AO17" s="3482"/>
      <c r="AP17" s="3482"/>
      <c r="AQ17" s="3482"/>
      <c r="AR17" s="3482"/>
      <c r="AS17" s="3482"/>
      <c r="AT17" s="3482"/>
      <c r="AU17" s="3495">
        <v>0</v>
      </c>
      <c r="AV17" s="3482"/>
      <c r="AW17" s="3482"/>
      <c r="AX17" s="3482"/>
      <c r="AY17" s="3482"/>
      <c r="AZ17" s="3482"/>
      <c r="BA17" s="3482"/>
      <c r="BB17" s="3495">
        <v>0</v>
      </c>
      <c r="BC17" s="3482"/>
      <c r="BD17" s="3482"/>
      <c r="BE17" s="3482"/>
      <c r="BF17" s="3482"/>
      <c r="BG17" s="3482"/>
      <c r="BH17" s="3482"/>
      <c r="BI17" s="3495">
        <v>0</v>
      </c>
      <c r="BJ17" s="3482"/>
      <c r="BK17" s="3482"/>
      <c r="BL17" s="3482"/>
      <c r="BM17" s="3482"/>
      <c r="BN17" s="3482"/>
      <c r="BO17" s="3482"/>
      <c r="BP17" s="3495">
        <v>0</v>
      </c>
      <c r="BQ17" s="3482"/>
      <c r="BR17" s="3482"/>
      <c r="BS17" s="3482"/>
      <c r="BT17" s="3482"/>
      <c r="BU17" s="3482"/>
      <c r="BV17" s="3482"/>
      <c r="BW17" s="3495">
        <v>0</v>
      </c>
      <c r="BX17" s="3482"/>
      <c r="BY17" s="3482"/>
      <c r="BZ17" s="3482"/>
      <c r="CA17" s="3482"/>
      <c r="CB17" s="3482"/>
      <c r="CC17" s="3482"/>
      <c r="CD17" s="3495">
        <v>0</v>
      </c>
      <c r="CE17" s="3482"/>
      <c r="CF17" s="3482"/>
      <c r="CG17" s="3482"/>
      <c r="CH17" s="3482"/>
      <c r="CI17" s="3482"/>
      <c r="CJ17" s="3482"/>
      <c r="CK17" s="3495">
        <v>0</v>
      </c>
      <c r="CL17" s="3482"/>
      <c r="CM17" s="3482"/>
      <c r="CN17" s="3482"/>
      <c r="CO17" s="3482"/>
      <c r="CP17" s="3482"/>
      <c r="CQ17" s="3482"/>
      <c r="CR17" s="3495">
        <v>0</v>
      </c>
      <c r="CS17" s="3482"/>
      <c r="CT17" s="3482"/>
      <c r="CU17" s="3482"/>
      <c r="CV17" s="3482"/>
      <c r="CW17" s="3482"/>
      <c r="CX17" s="3482"/>
    </row>
    <row r="18" spans="1:102" ht="25.5">
      <c r="A18" s="3469">
        <v>17</v>
      </c>
      <c r="B18" s="3469">
        <v>4</v>
      </c>
      <c r="C18" s="3496" t="s">
        <v>4057</v>
      </c>
      <c r="D18" s="3473">
        <v>217</v>
      </c>
      <c r="E18" s="3497">
        <v>0</v>
      </c>
      <c r="F18" s="3482"/>
      <c r="G18" s="3482"/>
      <c r="H18" s="3482"/>
      <c r="I18" s="3482"/>
      <c r="J18" s="3482"/>
      <c r="K18" s="3482"/>
      <c r="L18" s="3495">
        <v>0</v>
      </c>
      <c r="M18" s="3482"/>
      <c r="N18" s="3482"/>
      <c r="O18" s="3482"/>
      <c r="P18" s="3482"/>
      <c r="Q18" s="3482"/>
      <c r="R18" s="3482"/>
      <c r="S18" s="3495">
        <v>0</v>
      </c>
      <c r="T18" s="3482"/>
      <c r="U18" s="3482"/>
      <c r="V18" s="3482"/>
      <c r="W18" s="3482"/>
      <c r="X18" s="3482"/>
      <c r="Y18" s="3482"/>
      <c r="Z18" s="3495">
        <v>0</v>
      </c>
      <c r="AA18" s="3482"/>
      <c r="AB18" s="3482"/>
      <c r="AC18" s="3482"/>
      <c r="AD18" s="3482"/>
      <c r="AE18" s="3482"/>
      <c r="AF18" s="3482"/>
      <c r="AG18" s="3495">
        <v>0</v>
      </c>
      <c r="AH18" s="3482"/>
      <c r="AI18" s="3482"/>
      <c r="AJ18" s="3482"/>
      <c r="AK18" s="3482"/>
      <c r="AL18" s="3482"/>
      <c r="AM18" s="3482"/>
      <c r="AN18" s="3495">
        <v>0</v>
      </c>
      <c r="AO18" s="3482"/>
      <c r="AP18" s="3482"/>
      <c r="AQ18" s="3482"/>
      <c r="AR18" s="3482"/>
      <c r="AS18" s="3482"/>
      <c r="AT18" s="3482"/>
      <c r="AU18" s="3495">
        <v>0</v>
      </c>
      <c r="AV18" s="3482"/>
      <c r="AW18" s="3482"/>
      <c r="AX18" s="3482"/>
      <c r="AY18" s="3482"/>
      <c r="AZ18" s="3482"/>
      <c r="BA18" s="3482"/>
      <c r="BB18" s="3495">
        <v>0</v>
      </c>
      <c r="BC18" s="3482"/>
      <c r="BD18" s="3482"/>
      <c r="BE18" s="3482"/>
      <c r="BF18" s="3482"/>
      <c r="BG18" s="3482"/>
      <c r="BH18" s="3482"/>
      <c r="BI18" s="3495">
        <v>0</v>
      </c>
      <c r="BJ18" s="3482"/>
      <c r="BK18" s="3482"/>
      <c r="BL18" s="3482"/>
      <c r="BM18" s="3482"/>
      <c r="BN18" s="3482"/>
      <c r="BO18" s="3482"/>
      <c r="BP18" s="3495">
        <v>0</v>
      </c>
      <c r="BQ18" s="3482"/>
      <c r="BR18" s="3482"/>
      <c r="BS18" s="3482"/>
      <c r="BT18" s="3482"/>
      <c r="BU18" s="3482"/>
      <c r="BV18" s="3482"/>
      <c r="BW18" s="3495">
        <v>0</v>
      </c>
      <c r="BX18" s="3482"/>
      <c r="BY18" s="3482"/>
      <c r="BZ18" s="3482"/>
      <c r="CA18" s="3482"/>
      <c r="CB18" s="3482"/>
      <c r="CC18" s="3482"/>
      <c r="CD18" s="3495">
        <v>0</v>
      </c>
      <c r="CE18" s="3482"/>
      <c r="CF18" s="3482"/>
      <c r="CG18" s="3482"/>
      <c r="CH18" s="3482"/>
      <c r="CI18" s="3482"/>
      <c r="CJ18" s="3482"/>
      <c r="CK18" s="3495">
        <v>0</v>
      </c>
      <c r="CL18" s="3482"/>
      <c r="CM18" s="3482"/>
      <c r="CN18" s="3482"/>
      <c r="CO18" s="3482"/>
      <c r="CP18" s="3482"/>
      <c r="CQ18" s="3482"/>
      <c r="CR18" s="3495">
        <v>0</v>
      </c>
      <c r="CS18" s="3482"/>
      <c r="CT18" s="3482"/>
      <c r="CU18" s="3482"/>
      <c r="CV18" s="3482"/>
      <c r="CW18" s="3482"/>
      <c r="CX18" s="3482"/>
    </row>
    <row r="19" spans="1:102" ht="25.5">
      <c r="A19" s="3469">
        <v>18</v>
      </c>
      <c r="B19" s="3469">
        <v>4</v>
      </c>
      <c r="C19" s="3496" t="s">
        <v>4058</v>
      </c>
      <c r="D19" s="3473">
        <v>218</v>
      </c>
      <c r="E19" s="3497">
        <v>0</v>
      </c>
      <c r="F19" s="3482"/>
      <c r="G19" s="3482"/>
      <c r="H19" s="3482"/>
      <c r="I19" s="3482"/>
      <c r="J19" s="3482"/>
      <c r="K19" s="3482"/>
      <c r="L19" s="3495">
        <v>0</v>
      </c>
      <c r="M19" s="3482"/>
      <c r="N19" s="3482"/>
      <c r="O19" s="3482"/>
      <c r="P19" s="3482"/>
      <c r="Q19" s="3482"/>
      <c r="R19" s="3482"/>
      <c r="S19" s="3495">
        <v>0</v>
      </c>
      <c r="T19" s="3482"/>
      <c r="U19" s="3482"/>
      <c r="V19" s="3482"/>
      <c r="W19" s="3482"/>
      <c r="X19" s="3482"/>
      <c r="Y19" s="3482"/>
      <c r="Z19" s="3495">
        <v>0</v>
      </c>
      <c r="AA19" s="3482"/>
      <c r="AB19" s="3482"/>
      <c r="AC19" s="3482"/>
      <c r="AD19" s="3482"/>
      <c r="AE19" s="3482"/>
      <c r="AF19" s="3482"/>
      <c r="AG19" s="3495">
        <v>0</v>
      </c>
      <c r="AH19" s="3482"/>
      <c r="AI19" s="3482"/>
      <c r="AJ19" s="3482"/>
      <c r="AK19" s="3482"/>
      <c r="AL19" s="3482"/>
      <c r="AM19" s="3482"/>
      <c r="AN19" s="3495">
        <v>0</v>
      </c>
      <c r="AO19" s="3482"/>
      <c r="AP19" s="3482"/>
      <c r="AQ19" s="3482"/>
      <c r="AR19" s="3482"/>
      <c r="AS19" s="3482"/>
      <c r="AT19" s="3482"/>
      <c r="AU19" s="3495">
        <v>0</v>
      </c>
      <c r="AV19" s="3482"/>
      <c r="AW19" s="3482"/>
      <c r="AX19" s="3482"/>
      <c r="AY19" s="3482"/>
      <c r="AZ19" s="3482"/>
      <c r="BA19" s="3482"/>
      <c r="BB19" s="3495">
        <v>0</v>
      </c>
      <c r="BC19" s="3482"/>
      <c r="BD19" s="3482"/>
      <c r="BE19" s="3482"/>
      <c r="BF19" s="3482"/>
      <c r="BG19" s="3482"/>
      <c r="BH19" s="3482"/>
      <c r="BI19" s="3495">
        <v>0</v>
      </c>
      <c r="BJ19" s="3482"/>
      <c r="BK19" s="3482"/>
      <c r="BL19" s="3482"/>
      <c r="BM19" s="3482"/>
      <c r="BN19" s="3482"/>
      <c r="BO19" s="3482"/>
      <c r="BP19" s="3495">
        <v>0</v>
      </c>
      <c r="BQ19" s="3482"/>
      <c r="BR19" s="3482"/>
      <c r="BS19" s="3482"/>
      <c r="BT19" s="3482"/>
      <c r="BU19" s="3482"/>
      <c r="BV19" s="3482"/>
      <c r="BW19" s="3495">
        <v>0</v>
      </c>
      <c r="BX19" s="3482"/>
      <c r="BY19" s="3482"/>
      <c r="BZ19" s="3482"/>
      <c r="CA19" s="3482"/>
      <c r="CB19" s="3482"/>
      <c r="CC19" s="3482"/>
      <c r="CD19" s="3495">
        <v>0</v>
      </c>
      <c r="CE19" s="3482"/>
      <c r="CF19" s="3482"/>
      <c r="CG19" s="3482"/>
      <c r="CH19" s="3482"/>
      <c r="CI19" s="3482"/>
      <c r="CJ19" s="3482"/>
      <c r="CK19" s="3495">
        <v>0</v>
      </c>
      <c r="CL19" s="3482"/>
      <c r="CM19" s="3482"/>
      <c r="CN19" s="3482"/>
      <c r="CO19" s="3482"/>
      <c r="CP19" s="3482"/>
      <c r="CQ19" s="3482"/>
      <c r="CR19" s="3495">
        <v>0</v>
      </c>
      <c r="CS19" s="3482"/>
      <c r="CT19" s="3482"/>
      <c r="CU19" s="3482"/>
      <c r="CV19" s="3482"/>
      <c r="CW19" s="3482"/>
      <c r="CX19" s="3482"/>
    </row>
    <row r="20" spans="1:102" ht="25.5">
      <c r="A20" s="3469">
        <v>19</v>
      </c>
      <c r="B20" s="3469">
        <v>4</v>
      </c>
      <c r="C20" s="3496" t="s">
        <v>4059</v>
      </c>
      <c r="D20" s="3473">
        <v>219</v>
      </c>
      <c r="E20" s="3497">
        <v>0</v>
      </c>
      <c r="F20" s="3482"/>
      <c r="G20" s="3482"/>
      <c r="H20" s="3482"/>
      <c r="I20" s="3482"/>
      <c r="J20" s="3482"/>
      <c r="K20" s="3482"/>
      <c r="L20" s="3495">
        <v>0</v>
      </c>
      <c r="M20" s="3482"/>
      <c r="N20" s="3482"/>
      <c r="O20" s="3482"/>
      <c r="P20" s="3482"/>
      <c r="Q20" s="3482"/>
      <c r="R20" s="3482"/>
      <c r="S20" s="3495">
        <v>0</v>
      </c>
      <c r="T20" s="3482"/>
      <c r="U20" s="3482"/>
      <c r="V20" s="3482"/>
      <c r="W20" s="3482"/>
      <c r="X20" s="3482"/>
      <c r="Y20" s="3482"/>
      <c r="Z20" s="3495">
        <v>0</v>
      </c>
      <c r="AA20" s="3482"/>
      <c r="AB20" s="3482"/>
      <c r="AC20" s="3482"/>
      <c r="AD20" s="3482"/>
      <c r="AE20" s="3482"/>
      <c r="AF20" s="3482"/>
      <c r="AG20" s="3495">
        <v>0</v>
      </c>
      <c r="AH20" s="3482"/>
      <c r="AI20" s="3482"/>
      <c r="AJ20" s="3482"/>
      <c r="AK20" s="3482"/>
      <c r="AL20" s="3482"/>
      <c r="AM20" s="3482"/>
      <c r="AN20" s="3495">
        <v>0</v>
      </c>
      <c r="AO20" s="3482"/>
      <c r="AP20" s="3482"/>
      <c r="AQ20" s="3482"/>
      <c r="AR20" s="3482"/>
      <c r="AS20" s="3482"/>
      <c r="AT20" s="3482"/>
      <c r="AU20" s="3495">
        <v>0</v>
      </c>
      <c r="AV20" s="3482"/>
      <c r="AW20" s="3482"/>
      <c r="AX20" s="3482"/>
      <c r="AY20" s="3482"/>
      <c r="AZ20" s="3482"/>
      <c r="BA20" s="3482"/>
      <c r="BB20" s="3495">
        <v>0</v>
      </c>
      <c r="BC20" s="3482"/>
      <c r="BD20" s="3482"/>
      <c r="BE20" s="3482"/>
      <c r="BF20" s="3482"/>
      <c r="BG20" s="3482"/>
      <c r="BH20" s="3482"/>
      <c r="BI20" s="3495">
        <v>0</v>
      </c>
      <c r="BJ20" s="3482"/>
      <c r="BK20" s="3482"/>
      <c r="BL20" s="3482"/>
      <c r="BM20" s="3482"/>
      <c r="BN20" s="3482"/>
      <c r="BO20" s="3482"/>
      <c r="BP20" s="3495">
        <v>0</v>
      </c>
      <c r="BQ20" s="3482"/>
      <c r="BR20" s="3482"/>
      <c r="BS20" s="3482"/>
      <c r="BT20" s="3482"/>
      <c r="BU20" s="3482"/>
      <c r="BV20" s="3482"/>
      <c r="BW20" s="3495">
        <v>0</v>
      </c>
      <c r="BX20" s="3482"/>
      <c r="BY20" s="3482"/>
      <c r="BZ20" s="3482"/>
      <c r="CA20" s="3482"/>
      <c r="CB20" s="3482"/>
      <c r="CC20" s="3482"/>
      <c r="CD20" s="3495">
        <v>0</v>
      </c>
      <c r="CE20" s="3482"/>
      <c r="CF20" s="3482"/>
      <c r="CG20" s="3482"/>
      <c r="CH20" s="3482"/>
      <c r="CI20" s="3482"/>
      <c r="CJ20" s="3482"/>
      <c r="CK20" s="3495">
        <v>0</v>
      </c>
      <c r="CL20" s="3482"/>
      <c r="CM20" s="3482"/>
      <c r="CN20" s="3482"/>
      <c r="CO20" s="3482"/>
      <c r="CP20" s="3482"/>
      <c r="CQ20" s="3482"/>
      <c r="CR20" s="3495">
        <v>0</v>
      </c>
      <c r="CS20" s="3482"/>
      <c r="CT20" s="3482"/>
      <c r="CU20" s="3482"/>
      <c r="CV20" s="3482"/>
      <c r="CW20" s="3482"/>
      <c r="CX20" s="3482"/>
    </row>
    <row r="21" spans="1:102">
      <c r="A21" s="3469">
        <v>1</v>
      </c>
      <c r="B21" s="3469">
        <v>4</v>
      </c>
      <c r="C21" s="3496" t="s">
        <v>516</v>
      </c>
      <c r="D21" s="3473">
        <v>220</v>
      </c>
      <c r="E21" s="3497">
        <v>0</v>
      </c>
      <c r="F21" s="3482"/>
      <c r="G21" s="3482"/>
      <c r="H21" s="3482"/>
      <c r="I21" s="3482"/>
      <c r="J21" s="3482"/>
      <c r="K21" s="3482"/>
      <c r="L21" s="3495">
        <v>0</v>
      </c>
      <c r="M21" s="3482"/>
      <c r="N21" s="3482"/>
      <c r="O21" s="3482"/>
      <c r="P21" s="3482"/>
      <c r="Q21" s="3482"/>
      <c r="R21" s="3482"/>
      <c r="S21" s="3495">
        <v>0</v>
      </c>
      <c r="T21" s="3482"/>
      <c r="U21" s="3482"/>
      <c r="V21" s="3482"/>
      <c r="W21" s="3482"/>
      <c r="X21" s="3482"/>
      <c r="Y21" s="3482"/>
      <c r="Z21" s="3495">
        <v>0</v>
      </c>
      <c r="AA21" s="3482"/>
      <c r="AB21" s="3482"/>
      <c r="AC21" s="3482"/>
      <c r="AD21" s="3482"/>
      <c r="AE21" s="3482"/>
      <c r="AF21" s="3482"/>
      <c r="AG21" s="3495">
        <v>0</v>
      </c>
      <c r="AH21" s="3482"/>
      <c r="AI21" s="3482"/>
      <c r="AJ21" s="3482"/>
      <c r="AK21" s="3482"/>
      <c r="AL21" s="3482"/>
      <c r="AM21" s="3482"/>
      <c r="AN21" s="3495">
        <v>0</v>
      </c>
      <c r="AO21" s="3482"/>
      <c r="AP21" s="3482"/>
      <c r="AQ21" s="3482"/>
      <c r="AR21" s="3482"/>
      <c r="AS21" s="3482"/>
      <c r="AT21" s="3482"/>
      <c r="AU21" s="3495">
        <v>0</v>
      </c>
      <c r="AV21" s="3482"/>
      <c r="AW21" s="3482"/>
      <c r="AX21" s="3482"/>
      <c r="AY21" s="3482"/>
      <c r="AZ21" s="3482"/>
      <c r="BA21" s="3482"/>
      <c r="BB21" s="3495">
        <v>0</v>
      </c>
      <c r="BC21" s="3482"/>
      <c r="BD21" s="3482"/>
      <c r="BE21" s="3482"/>
      <c r="BF21" s="3482"/>
      <c r="BG21" s="3482"/>
      <c r="BH21" s="3482"/>
      <c r="BI21" s="3495">
        <v>0</v>
      </c>
      <c r="BJ21" s="3482"/>
      <c r="BK21" s="3482"/>
      <c r="BL21" s="3482"/>
      <c r="BM21" s="3482"/>
      <c r="BN21" s="3482"/>
      <c r="BO21" s="3482"/>
      <c r="BP21" s="3495">
        <v>0</v>
      </c>
      <c r="BQ21" s="3482"/>
      <c r="BR21" s="3482"/>
      <c r="BS21" s="3482"/>
      <c r="BT21" s="3482"/>
      <c r="BU21" s="3482"/>
      <c r="BV21" s="3482"/>
      <c r="BW21" s="3495">
        <v>0</v>
      </c>
      <c r="BX21" s="3482"/>
      <c r="BY21" s="3482"/>
      <c r="BZ21" s="3482"/>
      <c r="CA21" s="3482"/>
      <c r="CB21" s="3482"/>
      <c r="CC21" s="3482"/>
      <c r="CD21" s="3495">
        <v>0</v>
      </c>
      <c r="CE21" s="3482"/>
      <c r="CF21" s="3482"/>
      <c r="CG21" s="3482"/>
      <c r="CH21" s="3482"/>
      <c r="CI21" s="3482"/>
      <c r="CJ21" s="3482"/>
      <c r="CK21" s="3495">
        <v>0</v>
      </c>
      <c r="CL21" s="3482"/>
      <c r="CM21" s="3482"/>
      <c r="CN21" s="3482"/>
      <c r="CO21" s="3482"/>
      <c r="CP21" s="3482"/>
      <c r="CQ21" s="3482"/>
      <c r="CR21" s="3495">
        <v>0</v>
      </c>
      <c r="CS21" s="3482"/>
      <c r="CT21" s="3482"/>
      <c r="CU21" s="3482"/>
      <c r="CV21" s="3482"/>
      <c r="CW21" s="3482"/>
      <c r="CX21" s="3482"/>
    </row>
    <row r="22" spans="1:102">
      <c r="A22" s="3469">
        <v>2</v>
      </c>
      <c r="B22" s="3469">
        <v>4</v>
      </c>
      <c r="C22" s="3496" t="s">
        <v>517</v>
      </c>
      <c r="D22" s="3473">
        <v>230</v>
      </c>
      <c r="E22" s="3497">
        <v>0</v>
      </c>
      <c r="F22" s="3482"/>
      <c r="G22" s="3482"/>
      <c r="H22" s="3482"/>
      <c r="I22" s="3482"/>
      <c r="J22" s="3482"/>
      <c r="K22" s="3482"/>
      <c r="L22" s="3495">
        <v>0</v>
      </c>
      <c r="M22" s="3482"/>
      <c r="N22" s="3482"/>
      <c r="O22" s="3482"/>
      <c r="P22" s="3482"/>
      <c r="Q22" s="3482"/>
      <c r="R22" s="3482"/>
      <c r="S22" s="3495">
        <v>0</v>
      </c>
      <c r="T22" s="3482"/>
      <c r="U22" s="3482"/>
      <c r="V22" s="3482"/>
      <c r="W22" s="3482"/>
      <c r="X22" s="3482"/>
      <c r="Y22" s="3482"/>
      <c r="Z22" s="3495">
        <v>0</v>
      </c>
      <c r="AA22" s="3482"/>
      <c r="AB22" s="3482"/>
      <c r="AC22" s="3482"/>
      <c r="AD22" s="3482"/>
      <c r="AE22" s="3482"/>
      <c r="AF22" s="3482"/>
      <c r="AG22" s="3495">
        <v>0</v>
      </c>
      <c r="AH22" s="3482"/>
      <c r="AI22" s="3482"/>
      <c r="AJ22" s="3482"/>
      <c r="AK22" s="3482"/>
      <c r="AL22" s="3482"/>
      <c r="AM22" s="3482"/>
      <c r="AN22" s="3495">
        <v>0</v>
      </c>
      <c r="AO22" s="3482"/>
      <c r="AP22" s="3482"/>
      <c r="AQ22" s="3482"/>
      <c r="AR22" s="3482"/>
      <c r="AS22" s="3482"/>
      <c r="AT22" s="3482"/>
      <c r="AU22" s="3495">
        <v>0</v>
      </c>
      <c r="AV22" s="3482"/>
      <c r="AW22" s="3482"/>
      <c r="AX22" s="3482"/>
      <c r="AY22" s="3482"/>
      <c r="AZ22" s="3482"/>
      <c r="BA22" s="3482"/>
      <c r="BB22" s="3495">
        <v>0</v>
      </c>
      <c r="BC22" s="3482"/>
      <c r="BD22" s="3482"/>
      <c r="BE22" s="3482"/>
      <c r="BF22" s="3482"/>
      <c r="BG22" s="3482"/>
      <c r="BH22" s="3482"/>
      <c r="BI22" s="3495">
        <v>0</v>
      </c>
      <c r="BJ22" s="3482"/>
      <c r="BK22" s="3482"/>
      <c r="BL22" s="3482"/>
      <c r="BM22" s="3482"/>
      <c r="BN22" s="3482"/>
      <c r="BO22" s="3482"/>
      <c r="BP22" s="3495">
        <v>0</v>
      </c>
      <c r="BQ22" s="3482"/>
      <c r="BR22" s="3482"/>
      <c r="BS22" s="3482"/>
      <c r="BT22" s="3482"/>
      <c r="BU22" s="3482"/>
      <c r="BV22" s="3482"/>
      <c r="BW22" s="3495">
        <v>0</v>
      </c>
      <c r="BX22" s="3482"/>
      <c r="BY22" s="3482"/>
      <c r="BZ22" s="3482"/>
      <c r="CA22" s="3482"/>
      <c r="CB22" s="3482"/>
      <c r="CC22" s="3482"/>
      <c r="CD22" s="3495">
        <v>0</v>
      </c>
      <c r="CE22" s="3482"/>
      <c r="CF22" s="3482"/>
      <c r="CG22" s="3482"/>
      <c r="CH22" s="3482"/>
      <c r="CI22" s="3482"/>
      <c r="CJ22" s="3482"/>
      <c r="CK22" s="3495">
        <v>0</v>
      </c>
      <c r="CL22" s="3482"/>
      <c r="CM22" s="3482"/>
      <c r="CN22" s="3482"/>
      <c r="CO22" s="3482"/>
      <c r="CP22" s="3482"/>
      <c r="CQ22" s="3482"/>
      <c r="CR22" s="3495">
        <v>0</v>
      </c>
      <c r="CS22" s="3482"/>
      <c r="CT22" s="3482"/>
      <c r="CU22" s="3482"/>
      <c r="CV22" s="3482"/>
      <c r="CW22" s="3482"/>
      <c r="CX22" s="3482"/>
    </row>
    <row r="23" spans="1:102">
      <c r="A23" s="3469">
        <v>3</v>
      </c>
      <c r="B23" s="3469">
        <v>4</v>
      </c>
      <c r="C23" s="3496" t="s">
        <v>518</v>
      </c>
      <c r="D23" s="3473">
        <v>240</v>
      </c>
      <c r="E23" s="3497">
        <v>0</v>
      </c>
      <c r="F23" s="3482"/>
      <c r="G23" s="3482"/>
      <c r="H23" s="3482"/>
      <c r="I23" s="3482"/>
      <c r="J23" s="3482"/>
      <c r="K23" s="3482"/>
      <c r="L23" s="3495">
        <v>0</v>
      </c>
      <c r="M23" s="3482"/>
      <c r="N23" s="3482"/>
      <c r="O23" s="3482"/>
      <c r="P23" s="3482"/>
      <c r="Q23" s="3482"/>
      <c r="R23" s="3482"/>
      <c r="S23" s="3495">
        <v>0</v>
      </c>
      <c r="T23" s="3482"/>
      <c r="U23" s="3482"/>
      <c r="V23" s="3482"/>
      <c r="W23" s="3482"/>
      <c r="X23" s="3482"/>
      <c r="Y23" s="3482"/>
      <c r="Z23" s="3495">
        <v>0</v>
      </c>
      <c r="AA23" s="3482"/>
      <c r="AB23" s="3482"/>
      <c r="AC23" s="3482"/>
      <c r="AD23" s="3482"/>
      <c r="AE23" s="3482"/>
      <c r="AF23" s="3482"/>
      <c r="AG23" s="3495">
        <v>0</v>
      </c>
      <c r="AH23" s="3482"/>
      <c r="AI23" s="3482"/>
      <c r="AJ23" s="3482"/>
      <c r="AK23" s="3482"/>
      <c r="AL23" s="3482"/>
      <c r="AM23" s="3482"/>
      <c r="AN23" s="3495">
        <v>0</v>
      </c>
      <c r="AO23" s="3482"/>
      <c r="AP23" s="3482"/>
      <c r="AQ23" s="3482"/>
      <c r="AR23" s="3482"/>
      <c r="AS23" s="3482"/>
      <c r="AT23" s="3482"/>
      <c r="AU23" s="3495">
        <v>0</v>
      </c>
      <c r="AV23" s="3482"/>
      <c r="AW23" s="3482"/>
      <c r="AX23" s="3482"/>
      <c r="AY23" s="3482"/>
      <c r="AZ23" s="3482"/>
      <c r="BA23" s="3482"/>
      <c r="BB23" s="3495">
        <v>0</v>
      </c>
      <c r="BC23" s="3482"/>
      <c r="BD23" s="3482"/>
      <c r="BE23" s="3482"/>
      <c r="BF23" s="3482"/>
      <c r="BG23" s="3482"/>
      <c r="BH23" s="3482"/>
      <c r="BI23" s="3495">
        <v>0</v>
      </c>
      <c r="BJ23" s="3482"/>
      <c r="BK23" s="3482"/>
      <c r="BL23" s="3482"/>
      <c r="BM23" s="3482"/>
      <c r="BN23" s="3482"/>
      <c r="BO23" s="3482"/>
      <c r="BP23" s="3495">
        <v>0</v>
      </c>
      <c r="BQ23" s="3482"/>
      <c r="BR23" s="3482"/>
      <c r="BS23" s="3482"/>
      <c r="BT23" s="3482"/>
      <c r="BU23" s="3482"/>
      <c r="BV23" s="3482"/>
      <c r="BW23" s="3495">
        <v>0</v>
      </c>
      <c r="BX23" s="3482"/>
      <c r="BY23" s="3482"/>
      <c r="BZ23" s="3482"/>
      <c r="CA23" s="3482"/>
      <c r="CB23" s="3482"/>
      <c r="CC23" s="3482"/>
      <c r="CD23" s="3495">
        <v>0</v>
      </c>
      <c r="CE23" s="3482"/>
      <c r="CF23" s="3482"/>
      <c r="CG23" s="3482"/>
      <c r="CH23" s="3482"/>
      <c r="CI23" s="3482"/>
      <c r="CJ23" s="3482"/>
      <c r="CK23" s="3495">
        <v>0</v>
      </c>
      <c r="CL23" s="3482"/>
      <c r="CM23" s="3482"/>
      <c r="CN23" s="3482"/>
      <c r="CO23" s="3482"/>
      <c r="CP23" s="3482"/>
      <c r="CQ23" s="3482"/>
      <c r="CR23" s="3495">
        <v>0</v>
      </c>
      <c r="CS23" s="3482"/>
      <c r="CT23" s="3482"/>
      <c r="CU23" s="3482"/>
      <c r="CV23" s="3482"/>
      <c r="CW23" s="3482"/>
      <c r="CX23" s="3482"/>
    </row>
    <row r="24" spans="1:102">
      <c r="A24" s="3469">
        <v>4</v>
      </c>
      <c r="B24" s="3469">
        <v>4</v>
      </c>
      <c r="C24" s="3496" t="s">
        <v>519</v>
      </c>
      <c r="D24" s="3473">
        <v>250</v>
      </c>
      <c r="E24" s="3497">
        <v>0</v>
      </c>
      <c r="F24" s="3482"/>
      <c r="G24" s="3482"/>
      <c r="H24" s="3482"/>
      <c r="I24" s="3482"/>
      <c r="J24" s="3482"/>
      <c r="K24" s="3482"/>
      <c r="L24" s="3495">
        <v>0</v>
      </c>
      <c r="M24" s="3482"/>
      <c r="N24" s="3482"/>
      <c r="O24" s="3482"/>
      <c r="P24" s="3482"/>
      <c r="Q24" s="3482"/>
      <c r="R24" s="3482"/>
      <c r="S24" s="3495">
        <v>0</v>
      </c>
      <c r="T24" s="3482"/>
      <c r="U24" s="3482"/>
      <c r="V24" s="3482"/>
      <c r="W24" s="3482"/>
      <c r="X24" s="3482"/>
      <c r="Y24" s="3482"/>
      <c r="Z24" s="3495">
        <v>0</v>
      </c>
      <c r="AA24" s="3482"/>
      <c r="AB24" s="3482"/>
      <c r="AC24" s="3482"/>
      <c r="AD24" s="3482"/>
      <c r="AE24" s="3482"/>
      <c r="AF24" s="3482"/>
      <c r="AG24" s="3495">
        <v>0</v>
      </c>
      <c r="AH24" s="3482"/>
      <c r="AI24" s="3482"/>
      <c r="AJ24" s="3482"/>
      <c r="AK24" s="3482"/>
      <c r="AL24" s="3482"/>
      <c r="AM24" s="3482"/>
      <c r="AN24" s="3495">
        <v>0</v>
      </c>
      <c r="AO24" s="3482"/>
      <c r="AP24" s="3482"/>
      <c r="AQ24" s="3482"/>
      <c r="AR24" s="3482"/>
      <c r="AS24" s="3482"/>
      <c r="AT24" s="3482"/>
      <c r="AU24" s="3495">
        <v>0</v>
      </c>
      <c r="AV24" s="3482"/>
      <c r="AW24" s="3482"/>
      <c r="AX24" s="3482"/>
      <c r="AY24" s="3482"/>
      <c r="AZ24" s="3482"/>
      <c r="BA24" s="3482"/>
      <c r="BB24" s="3495">
        <v>0</v>
      </c>
      <c r="BC24" s="3482"/>
      <c r="BD24" s="3482"/>
      <c r="BE24" s="3482"/>
      <c r="BF24" s="3482"/>
      <c r="BG24" s="3482"/>
      <c r="BH24" s="3482"/>
      <c r="BI24" s="3495">
        <v>0</v>
      </c>
      <c r="BJ24" s="3482"/>
      <c r="BK24" s="3482"/>
      <c r="BL24" s="3482"/>
      <c r="BM24" s="3482"/>
      <c r="BN24" s="3482"/>
      <c r="BO24" s="3482"/>
      <c r="BP24" s="3495">
        <v>0</v>
      </c>
      <c r="BQ24" s="3482"/>
      <c r="BR24" s="3482"/>
      <c r="BS24" s="3482"/>
      <c r="BT24" s="3482"/>
      <c r="BU24" s="3482"/>
      <c r="BV24" s="3482"/>
      <c r="BW24" s="3495">
        <v>0</v>
      </c>
      <c r="BX24" s="3482"/>
      <c r="BY24" s="3482"/>
      <c r="BZ24" s="3482"/>
      <c r="CA24" s="3482"/>
      <c r="CB24" s="3482"/>
      <c r="CC24" s="3482"/>
      <c r="CD24" s="3495">
        <v>0</v>
      </c>
      <c r="CE24" s="3482"/>
      <c r="CF24" s="3482"/>
      <c r="CG24" s="3482"/>
      <c r="CH24" s="3482"/>
      <c r="CI24" s="3482"/>
      <c r="CJ24" s="3482"/>
      <c r="CK24" s="3495">
        <v>0</v>
      </c>
      <c r="CL24" s="3482"/>
      <c r="CM24" s="3482"/>
      <c r="CN24" s="3482"/>
      <c r="CO24" s="3482"/>
      <c r="CP24" s="3482"/>
      <c r="CQ24" s="3482"/>
      <c r="CR24" s="3495">
        <v>0</v>
      </c>
      <c r="CS24" s="3482"/>
      <c r="CT24" s="3482"/>
      <c r="CU24" s="3482"/>
      <c r="CV24" s="3482"/>
      <c r="CW24" s="3482"/>
      <c r="CX24" s="3482"/>
    </row>
    <row r="25" spans="1:102">
      <c r="A25" s="3469">
        <v>5</v>
      </c>
      <c r="B25" s="3469">
        <v>4</v>
      </c>
      <c r="C25" s="3496" t="s">
        <v>520</v>
      </c>
      <c r="D25" s="3473">
        <v>260</v>
      </c>
      <c r="E25" s="3497">
        <v>0</v>
      </c>
      <c r="F25" s="3482"/>
      <c r="G25" s="3482"/>
      <c r="H25" s="3482"/>
      <c r="I25" s="3482"/>
      <c r="J25" s="3482"/>
      <c r="K25" s="3482"/>
      <c r="L25" s="3495">
        <v>0</v>
      </c>
      <c r="M25" s="3482"/>
      <c r="N25" s="3482"/>
      <c r="O25" s="3482"/>
      <c r="P25" s="3482"/>
      <c r="Q25" s="3482"/>
      <c r="R25" s="3482"/>
      <c r="S25" s="3495">
        <v>0</v>
      </c>
      <c r="T25" s="3482"/>
      <c r="U25" s="3482"/>
      <c r="V25" s="3482"/>
      <c r="W25" s="3482"/>
      <c r="X25" s="3482"/>
      <c r="Y25" s="3482"/>
      <c r="Z25" s="3495">
        <v>0</v>
      </c>
      <c r="AA25" s="3482"/>
      <c r="AB25" s="3482"/>
      <c r="AC25" s="3482"/>
      <c r="AD25" s="3482"/>
      <c r="AE25" s="3482"/>
      <c r="AF25" s="3482"/>
      <c r="AG25" s="3495">
        <v>0</v>
      </c>
      <c r="AH25" s="3482"/>
      <c r="AI25" s="3482"/>
      <c r="AJ25" s="3482"/>
      <c r="AK25" s="3482"/>
      <c r="AL25" s="3482"/>
      <c r="AM25" s="3482"/>
      <c r="AN25" s="3495">
        <v>0</v>
      </c>
      <c r="AO25" s="3482"/>
      <c r="AP25" s="3482"/>
      <c r="AQ25" s="3482"/>
      <c r="AR25" s="3482"/>
      <c r="AS25" s="3482"/>
      <c r="AT25" s="3482"/>
      <c r="AU25" s="3495">
        <v>0</v>
      </c>
      <c r="AV25" s="3482"/>
      <c r="AW25" s="3482"/>
      <c r="AX25" s="3482"/>
      <c r="AY25" s="3482"/>
      <c r="AZ25" s="3482"/>
      <c r="BA25" s="3482"/>
      <c r="BB25" s="3495">
        <v>0</v>
      </c>
      <c r="BC25" s="3482"/>
      <c r="BD25" s="3482"/>
      <c r="BE25" s="3482"/>
      <c r="BF25" s="3482"/>
      <c r="BG25" s="3482"/>
      <c r="BH25" s="3482"/>
      <c r="BI25" s="3495">
        <v>0</v>
      </c>
      <c r="BJ25" s="3482"/>
      <c r="BK25" s="3482"/>
      <c r="BL25" s="3482"/>
      <c r="BM25" s="3482"/>
      <c r="BN25" s="3482"/>
      <c r="BO25" s="3482"/>
      <c r="BP25" s="3495">
        <v>0</v>
      </c>
      <c r="BQ25" s="3482"/>
      <c r="BR25" s="3482"/>
      <c r="BS25" s="3482"/>
      <c r="BT25" s="3482"/>
      <c r="BU25" s="3482"/>
      <c r="BV25" s="3482"/>
      <c r="BW25" s="3495">
        <v>0</v>
      </c>
      <c r="BX25" s="3482"/>
      <c r="BY25" s="3482"/>
      <c r="BZ25" s="3482"/>
      <c r="CA25" s="3482"/>
      <c r="CB25" s="3482"/>
      <c r="CC25" s="3482"/>
      <c r="CD25" s="3495">
        <v>0</v>
      </c>
      <c r="CE25" s="3482"/>
      <c r="CF25" s="3482"/>
      <c r="CG25" s="3482"/>
      <c r="CH25" s="3482"/>
      <c r="CI25" s="3482"/>
      <c r="CJ25" s="3482"/>
      <c r="CK25" s="3495">
        <v>0</v>
      </c>
      <c r="CL25" s="3482"/>
      <c r="CM25" s="3482"/>
      <c r="CN25" s="3482"/>
      <c r="CO25" s="3482"/>
      <c r="CP25" s="3482"/>
      <c r="CQ25" s="3482"/>
      <c r="CR25" s="3495">
        <v>0</v>
      </c>
      <c r="CS25" s="3482"/>
      <c r="CT25" s="3482"/>
      <c r="CU25" s="3482"/>
      <c r="CV25" s="3482"/>
      <c r="CW25" s="3482"/>
      <c r="CX25" s="3482"/>
    </row>
    <row r="26" spans="1:102">
      <c r="A26" s="3469">
        <v>6</v>
      </c>
      <c r="B26" s="3469">
        <v>4</v>
      </c>
      <c r="C26" s="3496" t="s">
        <v>521</v>
      </c>
      <c r="D26" s="3473">
        <v>270</v>
      </c>
      <c r="E26" s="3497">
        <v>0</v>
      </c>
      <c r="F26" s="3482"/>
      <c r="G26" s="3482"/>
      <c r="H26" s="3482"/>
      <c r="I26" s="3482"/>
      <c r="J26" s="3482"/>
      <c r="K26" s="3482"/>
      <c r="L26" s="3495">
        <v>0</v>
      </c>
      <c r="M26" s="3482"/>
      <c r="N26" s="3482"/>
      <c r="O26" s="3482"/>
      <c r="P26" s="3482"/>
      <c r="Q26" s="3482"/>
      <c r="R26" s="3482"/>
      <c r="S26" s="3495">
        <v>0</v>
      </c>
      <c r="T26" s="3482"/>
      <c r="U26" s="3482"/>
      <c r="V26" s="3482"/>
      <c r="W26" s="3482"/>
      <c r="X26" s="3482"/>
      <c r="Y26" s="3482"/>
      <c r="Z26" s="3495">
        <v>0</v>
      </c>
      <c r="AA26" s="3482"/>
      <c r="AB26" s="3482"/>
      <c r="AC26" s="3482"/>
      <c r="AD26" s="3482"/>
      <c r="AE26" s="3482"/>
      <c r="AF26" s="3482"/>
      <c r="AG26" s="3495">
        <v>0</v>
      </c>
      <c r="AH26" s="3482"/>
      <c r="AI26" s="3482"/>
      <c r="AJ26" s="3482"/>
      <c r="AK26" s="3482"/>
      <c r="AL26" s="3482"/>
      <c r="AM26" s="3482"/>
      <c r="AN26" s="3495">
        <v>0</v>
      </c>
      <c r="AO26" s="3482"/>
      <c r="AP26" s="3482"/>
      <c r="AQ26" s="3482"/>
      <c r="AR26" s="3482"/>
      <c r="AS26" s="3482"/>
      <c r="AT26" s="3482"/>
      <c r="AU26" s="3495">
        <v>0</v>
      </c>
      <c r="AV26" s="3482"/>
      <c r="AW26" s="3482"/>
      <c r="AX26" s="3482"/>
      <c r="AY26" s="3482"/>
      <c r="AZ26" s="3482"/>
      <c r="BA26" s="3482"/>
      <c r="BB26" s="3495">
        <v>0</v>
      </c>
      <c r="BC26" s="3482"/>
      <c r="BD26" s="3482"/>
      <c r="BE26" s="3482"/>
      <c r="BF26" s="3482"/>
      <c r="BG26" s="3482"/>
      <c r="BH26" s="3482"/>
      <c r="BI26" s="3495">
        <v>0</v>
      </c>
      <c r="BJ26" s="3482"/>
      <c r="BK26" s="3482"/>
      <c r="BL26" s="3482"/>
      <c r="BM26" s="3482"/>
      <c r="BN26" s="3482"/>
      <c r="BO26" s="3482"/>
      <c r="BP26" s="3495">
        <v>0</v>
      </c>
      <c r="BQ26" s="3482"/>
      <c r="BR26" s="3482"/>
      <c r="BS26" s="3482"/>
      <c r="BT26" s="3482"/>
      <c r="BU26" s="3482"/>
      <c r="BV26" s="3482"/>
      <c r="BW26" s="3495">
        <v>0</v>
      </c>
      <c r="BX26" s="3482"/>
      <c r="BY26" s="3482"/>
      <c r="BZ26" s="3482"/>
      <c r="CA26" s="3482"/>
      <c r="CB26" s="3482"/>
      <c r="CC26" s="3482"/>
      <c r="CD26" s="3495">
        <v>0</v>
      </c>
      <c r="CE26" s="3482"/>
      <c r="CF26" s="3482"/>
      <c r="CG26" s="3482"/>
      <c r="CH26" s="3482"/>
      <c r="CI26" s="3482"/>
      <c r="CJ26" s="3482"/>
      <c r="CK26" s="3495">
        <v>0</v>
      </c>
      <c r="CL26" s="3482"/>
      <c r="CM26" s="3482"/>
      <c r="CN26" s="3482"/>
      <c r="CO26" s="3482"/>
      <c r="CP26" s="3482"/>
      <c r="CQ26" s="3482"/>
      <c r="CR26" s="3495">
        <v>0</v>
      </c>
      <c r="CS26" s="3482"/>
      <c r="CT26" s="3482"/>
      <c r="CU26" s="3482"/>
      <c r="CV26" s="3482"/>
      <c r="CW26" s="3482"/>
      <c r="CX26" s="3482"/>
    </row>
    <row r="27" spans="1:102">
      <c r="A27" s="3469">
        <v>7</v>
      </c>
      <c r="B27" s="3469">
        <v>4</v>
      </c>
      <c r="C27" s="3496" t="s">
        <v>4060</v>
      </c>
      <c r="D27" s="3473">
        <v>280</v>
      </c>
      <c r="E27" s="3497">
        <v>0</v>
      </c>
      <c r="F27" s="3482"/>
      <c r="G27" s="3482"/>
      <c r="H27" s="3482"/>
      <c r="I27" s="3482"/>
      <c r="J27" s="3482"/>
      <c r="K27" s="3482"/>
      <c r="L27" s="3495">
        <v>0</v>
      </c>
      <c r="M27" s="3482"/>
      <c r="N27" s="3482"/>
      <c r="O27" s="3482"/>
      <c r="P27" s="3482"/>
      <c r="Q27" s="3482"/>
      <c r="R27" s="3482"/>
      <c r="S27" s="3495">
        <v>0</v>
      </c>
      <c r="T27" s="3482"/>
      <c r="U27" s="3482"/>
      <c r="V27" s="3482"/>
      <c r="W27" s="3482"/>
      <c r="X27" s="3482"/>
      <c r="Y27" s="3482"/>
      <c r="Z27" s="3495">
        <v>0</v>
      </c>
      <c r="AA27" s="3482"/>
      <c r="AB27" s="3482"/>
      <c r="AC27" s="3482"/>
      <c r="AD27" s="3482"/>
      <c r="AE27" s="3482"/>
      <c r="AF27" s="3482"/>
      <c r="AG27" s="3495">
        <v>0</v>
      </c>
      <c r="AH27" s="3482"/>
      <c r="AI27" s="3482"/>
      <c r="AJ27" s="3482"/>
      <c r="AK27" s="3482"/>
      <c r="AL27" s="3482"/>
      <c r="AM27" s="3482"/>
      <c r="AN27" s="3495">
        <v>0</v>
      </c>
      <c r="AO27" s="3482"/>
      <c r="AP27" s="3482"/>
      <c r="AQ27" s="3482"/>
      <c r="AR27" s="3482"/>
      <c r="AS27" s="3482"/>
      <c r="AT27" s="3482"/>
      <c r="AU27" s="3495">
        <v>0</v>
      </c>
      <c r="AV27" s="3482"/>
      <c r="AW27" s="3482"/>
      <c r="AX27" s="3482"/>
      <c r="AY27" s="3482"/>
      <c r="AZ27" s="3482"/>
      <c r="BA27" s="3482"/>
      <c r="BB27" s="3495">
        <v>0</v>
      </c>
      <c r="BC27" s="3482"/>
      <c r="BD27" s="3482"/>
      <c r="BE27" s="3482"/>
      <c r="BF27" s="3482"/>
      <c r="BG27" s="3482"/>
      <c r="BH27" s="3482"/>
      <c r="BI27" s="3495">
        <v>0</v>
      </c>
      <c r="BJ27" s="3482"/>
      <c r="BK27" s="3482"/>
      <c r="BL27" s="3482"/>
      <c r="BM27" s="3482"/>
      <c r="BN27" s="3482"/>
      <c r="BO27" s="3482"/>
      <c r="BP27" s="3495">
        <v>0</v>
      </c>
      <c r="BQ27" s="3482"/>
      <c r="BR27" s="3482"/>
      <c r="BS27" s="3482"/>
      <c r="BT27" s="3482"/>
      <c r="BU27" s="3482"/>
      <c r="BV27" s="3482"/>
      <c r="BW27" s="3495">
        <v>0</v>
      </c>
      <c r="BX27" s="3482"/>
      <c r="BY27" s="3482"/>
      <c r="BZ27" s="3482"/>
      <c r="CA27" s="3482"/>
      <c r="CB27" s="3482"/>
      <c r="CC27" s="3482"/>
      <c r="CD27" s="3495">
        <v>0</v>
      </c>
      <c r="CE27" s="3482"/>
      <c r="CF27" s="3482"/>
      <c r="CG27" s="3482"/>
      <c r="CH27" s="3482"/>
      <c r="CI27" s="3482"/>
      <c r="CJ27" s="3482"/>
      <c r="CK27" s="3495">
        <v>0</v>
      </c>
      <c r="CL27" s="3482"/>
      <c r="CM27" s="3482"/>
      <c r="CN27" s="3482"/>
      <c r="CO27" s="3482"/>
      <c r="CP27" s="3482"/>
      <c r="CQ27" s="3482"/>
      <c r="CR27" s="3495">
        <v>0</v>
      </c>
      <c r="CS27" s="3482"/>
      <c r="CT27" s="3482"/>
      <c r="CU27" s="3482"/>
      <c r="CV27" s="3482"/>
      <c r="CW27" s="3482"/>
      <c r="CX27" s="3482"/>
    </row>
    <row r="28" spans="1:102" ht="38.25">
      <c r="A28" s="3469">
        <v>9</v>
      </c>
      <c r="B28" s="3469">
        <v>3</v>
      </c>
      <c r="C28" s="3492" t="s">
        <v>523</v>
      </c>
      <c r="D28" s="3493">
        <v>300</v>
      </c>
      <c r="E28" s="3494">
        <f>E39+E40+E41+E42+E43+E44+E45</f>
        <v>0</v>
      </c>
      <c r="F28" s="3494">
        <f t="shared" ref="F28:BQ28" si="2">F39+F40+F41+F42+F43+F44+F45</f>
        <v>0</v>
      </c>
      <c r="G28" s="3494">
        <f t="shared" si="2"/>
        <v>0</v>
      </c>
      <c r="H28" s="3494">
        <f t="shared" si="2"/>
        <v>0</v>
      </c>
      <c r="I28" s="3494">
        <f t="shared" si="2"/>
        <v>0</v>
      </c>
      <c r="J28" s="3494">
        <f t="shared" si="2"/>
        <v>0</v>
      </c>
      <c r="K28" s="3494">
        <f t="shared" si="2"/>
        <v>0</v>
      </c>
      <c r="L28" s="3494">
        <f t="shared" si="2"/>
        <v>0</v>
      </c>
      <c r="M28" s="3494">
        <f t="shared" si="2"/>
        <v>0</v>
      </c>
      <c r="N28" s="3494">
        <f t="shared" si="2"/>
        <v>0</v>
      </c>
      <c r="O28" s="3494">
        <f t="shared" si="2"/>
        <v>0</v>
      </c>
      <c r="P28" s="3494">
        <f t="shared" si="2"/>
        <v>0</v>
      </c>
      <c r="Q28" s="3494">
        <f t="shared" si="2"/>
        <v>0</v>
      </c>
      <c r="R28" s="3494">
        <f t="shared" si="2"/>
        <v>0</v>
      </c>
      <c r="S28" s="3494">
        <f t="shared" si="2"/>
        <v>0</v>
      </c>
      <c r="T28" s="3494">
        <f t="shared" si="2"/>
        <v>0</v>
      </c>
      <c r="U28" s="3494">
        <f t="shared" si="2"/>
        <v>0</v>
      </c>
      <c r="V28" s="3494">
        <f t="shared" si="2"/>
        <v>0</v>
      </c>
      <c r="W28" s="3494">
        <f t="shared" si="2"/>
        <v>0</v>
      </c>
      <c r="X28" s="3494">
        <f t="shared" si="2"/>
        <v>0</v>
      </c>
      <c r="Y28" s="3494">
        <f t="shared" si="2"/>
        <v>0</v>
      </c>
      <c r="Z28" s="3494">
        <f t="shared" si="2"/>
        <v>0</v>
      </c>
      <c r="AA28" s="3494">
        <f t="shared" si="2"/>
        <v>0</v>
      </c>
      <c r="AB28" s="3494">
        <f t="shared" si="2"/>
        <v>0</v>
      </c>
      <c r="AC28" s="3494">
        <f t="shared" si="2"/>
        <v>0</v>
      </c>
      <c r="AD28" s="3494">
        <f t="shared" si="2"/>
        <v>0</v>
      </c>
      <c r="AE28" s="3494">
        <f t="shared" si="2"/>
        <v>0</v>
      </c>
      <c r="AF28" s="3494">
        <f t="shared" si="2"/>
        <v>0</v>
      </c>
      <c r="AG28" s="3494">
        <f t="shared" si="2"/>
        <v>6724.0690000000004</v>
      </c>
      <c r="AH28" s="3494">
        <f t="shared" si="2"/>
        <v>0</v>
      </c>
      <c r="AI28" s="3494">
        <f t="shared" si="2"/>
        <v>2494.779</v>
      </c>
      <c r="AJ28" s="3494">
        <f t="shared" si="2"/>
        <v>4215.41</v>
      </c>
      <c r="AK28" s="3494">
        <f t="shared" si="2"/>
        <v>13.88</v>
      </c>
      <c r="AL28" s="3494">
        <f t="shared" si="2"/>
        <v>0</v>
      </c>
      <c r="AM28" s="3494">
        <f t="shared" si="2"/>
        <v>0</v>
      </c>
      <c r="AN28" s="3494">
        <f t="shared" si="2"/>
        <v>47691.441340000012</v>
      </c>
      <c r="AO28" s="3494">
        <f t="shared" si="2"/>
        <v>0</v>
      </c>
      <c r="AP28" s="3494">
        <f t="shared" si="2"/>
        <v>17193.228070000001</v>
      </c>
      <c r="AQ28" s="3494">
        <f t="shared" si="2"/>
        <v>30394.370740000006</v>
      </c>
      <c r="AR28" s="3494">
        <f t="shared" si="2"/>
        <v>103.84253</v>
      </c>
      <c r="AS28" s="3494">
        <f t="shared" si="2"/>
        <v>0</v>
      </c>
      <c r="AT28" s="3494">
        <f t="shared" si="2"/>
        <v>0</v>
      </c>
      <c r="AU28" s="3494">
        <f t="shared" si="2"/>
        <v>9.5549999999999997</v>
      </c>
      <c r="AV28" s="3494">
        <f t="shared" si="2"/>
        <v>0</v>
      </c>
      <c r="AW28" s="3494">
        <f t="shared" si="2"/>
        <v>3.28</v>
      </c>
      <c r="AX28" s="3494">
        <f t="shared" si="2"/>
        <v>6.2350000000000003</v>
      </c>
      <c r="AY28" s="3494">
        <f t="shared" si="2"/>
        <v>0.04</v>
      </c>
      <c r="AZ28" s="3494">
        <f t="shared" si="2"/>
        <v>0</v>
      </c>
      <c r="BA28" s="3494">
        <f t="shared" si="2"/>
        <v>0</v>
      </c>
      <c r="BB28" s="3494">
        <f t="shared" si="2"/>
        <v>11536.08747</v>
      </c>
      <c r="BC28" s="3494">
        <f t="shared" si="2"/>
        <v>0</v>
      </c>
      <c r="BD28" s="3494">
        <f t="shared" si="2"/>
        <v>3960.05933</v>
      </c>
      <c r="BE28" s="3494">
        <f t="shared" si="2"/>
        <v>7527.7347300000001</v>
      </c>
      <c r="BF28" s="3494">
        <f t="shared" si="2"/>
        <v>48.293410000000002</v>
      </c>
      <c r="BG28" s="3494">
        <f t="shared" si="2"/>
        <v>0</v>
      </c>
      <c r="BH28" s="3494">
        <f t="shared" si="2"/>
        <v>0</v>
      </c>
      <c r="BI28" s="3494">
        <f t="shared" si="2"/>
        <v>2480.12</v>
      </c>
      <c r="BJ28" s="3494">
        <f t="shared" si="2"/>
        <v>0</v>
      </c>
      <c r="BK28" s="3494">
        <f t="shared" si="2"/>
        <v>0</v>
      </c>
      <c r="BL28" s="3494">
        <f>BL39+BL40+BL41+BL42+BL43+BL44+BL45</f>
        <v>14.5</v>
      </c>
      <c r="BM28" s="3494">
        <f t="shared" si="2"/>
        <v>2465.62</v>
      </c>
      <c r="BN28" s="3494">
        <f t="shared" si="2"/>
        <v>0</v>
      </c>
      <c r="BO28" s="3494">
        <f t="shared" si="2"/>
        <v>0</v>
      </c>
      <c r="BP28" s="3494">
        <f t="shared" si="2"/>
        <v>8894.0103499999987</v>
      </c>
      <c r="BQ28" s="3494">
        <f t="shared" si="2"/>
        <v>0</v>
      </c>
      <c r="BR28" s="3494">
        <f t="shared" ref="BR28:CX28" si="3">BR39+BR40+BR41+BR42+BR43+BR44+BR45</f>
        <v>0</v>
      </c>
      <c r="BS28" s="3494">
        <f t="shared" si="3"/>
        <v>45.351800000000004</v>
      </c>
      <c r="BT28" s="3494">
        <f t="shared" si="3"/>
        <v>8848.6585499999983</v>
      </c>
      <c r="BU28" s="3494">
        <f t="shared" si="3"/>
        <v>0</v>
      </c>
      <c r="BV28" s="3494">
        <f t="shared" si="3"/>
        <v>0</v>
      </c>
      <c r="BW28" s="3494">
        <f t="shared" si="3"/>
        <v>4.0810000000000004</v>
      </c>
      <c r="BX28" s="3494">
        <f t="shared" si="3"/>
        <v>0</v>
      </c>
      <c r="BY28" s="3494">
        <f t="shared" si="3"/>
        <v>0</v>
      </c>
      <c r="BZ28" s="3494">
        <f t="shared" si="3"/>
        <v>2.7E-2</v>
      </c>
      <c r="CA28" s="3494">
        <f t="shared" si="3"/>
        <v>4.0540000000000003</v>
      </c>
      <c r="CB28" s="3494">
        <f t="shared" si="3"/>
        <v>0</v>
      </c>
      <c r="CC28" s="3494">
        <f t="shared" si="3"/>
        <v>0</v>
      </c>
      <c r="CD28" s="3494">
        <f t="shared" si="3"/>
        <v>4927.1347800000003</v>
      </c>
      <c r="CE28" s="3494">
        <f t="shared" si="3"/>
        <v>0</v>
      </c>
      <c r="CF28" s="3494">
        <f t="shared" si="3"/>
        <v>0</v>
      </c>
      <c r="CG28" s="3494">
        <f t="shared" si="3"/>
        <v>32.598050000000001</v>
      </c>
      <c r="CH28" s="3494">
        <f t="shared" si="3"/>
        <v>4894.5367300000007</v>
      </c>
      <c r="CI28" s="3494">
        <f t="shared" si="3"/>
        <v>0</v>
      </c>
      <c r="CJ28" s="3494">
        <f t="shared" si="3"/>
        <v>0</v>
      </c>
      <c r="CK28" s="3494">
        <f t="shared" si="3"/>
        <v>4.6559999999999997</v>
      </c>
      <c r="CL28" s="3494">
        <f t="shared" si="3"/>
        <v>0</v>
      </c>
      <c r="CM28" s="3494">
        <f t="shared" si="3"/>
        <v>0</v>
      </c>
      <c r="CN28" s="3494">
        <f t="shared" si="3"/>
        <v>3.4000000000000002E-2</v>
      </c>
      <c r="CO28" s="3494">
        <f t="shared" si="3"/>
        <v>4.6219999999999999</v>
      </c>
      <c r="CP28" s="3494">
        <f t="shared" si="3"/>
        <v>0</v>
      </c>
      <c r="CQ28" s="3494">
        <f t="shared" si="3"/>
        <v>0</v>
      </c>
      <c r="CR28" s="3494">
        <f t="shared" si="3"/>
        <v>4836.4143400000003</v>
      </c>
      <c r="CS28" s="3494">
        <f t="shared" si="3"/>
        <v>0</v>
      </c>
      <c r="CT28" s="3494">
        <f t="shared" si="3"/>
        <v>0</v>
      </c>
      <c r="CU28" s="3494">
        <f t="shared" si="3"/>
        <v>95.170850000000002</v>
      </c>
      <c r="CV28" s="3494">
        <f t="shared" si="3"/>
        <v>4741.2434899999998</v>
      </c>
      <c r="CW28" s="3494">
        <f t="shared" si="3"/>
        <v>0</v>
      </c>
      <c r="CX28" s="3494">
        <f t="shared" si="3"/>
        <v>0</v>
      </c>
    </row>
    <row r="29" spans="1:102" ht="76.5">
      <c r="A29" s="3469">
        <v>10</v>
      </c>
      <c r="B29" s="3469">
        <v>3</v>
      </c>
      <c r="C29" s="3496" t="s">
        <v>4050</v>
      </c>
      <c r="D29" s="3473">
        <v>310</v>
      </c>
      <c r="E29" s="3497">
        <v>0</v>
      </c>
      <c r="F29" s="3482"/>
      <c r="G29" s="3482"/>
      <c r="H29" s="3482"/>
      <c r="I29" s="3482"/>
      <c r="J29" s="3482"/>
      <c r="K29" s="3482"/>
      <c r="L29" s="3495">
        <v>0</v>
      </c>
      <c r="M29" s="3482"/>
      <c r="N29" s="3482"/>
      <c r="O29" s="3482"/>
      <c r="P29" s="3482"/>
      <c r="Q29" s="3482"/>
      <c r="R29" s="3482"/>
      <c r="S29" s="3495">
        <v>0</v>
      </c>
      <c r="T29" s="3482"/>
      <c r="U29" s="3482"/>
      <c r="V29" s="3482"/>
      <c r="W29" s="3482"/>
      <c r="X29" s="3482"/>
      <c r="Y29" s="3482"/>
      <c r="Z29" s="3495">
        <v>0</v>
      </c>
      <c r="AA29" s="3482"/>
      <c r="AB29" s="3482"/>
      <c r="AC29" s="3482"/>
      <c r="AD29" s="3482"/>
      <c r="AE29" s="3482"/>
      <c r="AF29" s="3482"/>
      <c r="AG29" s="3495">
        <v>0</v>
      </c>
      <c r="AH29" s="3482"/>
      <c r="AI29" s="3482"/>
      <c r="AJ29" s="3482"/>
      <c r="AK29" s="3482"/>
      <c r="AL29" s="3482"/>
      <c r="AM29" s="3482"/>
      <c r="AN29" s="3495">
        <v>0</v>
      </c>
      <c r="AO29" s="3482"/>
      <c r="AP29" s="3482"/>
      <c r="AQ29" s="3482"/>
      <c r="AR29" s="3482"/>
      <c r="AS29" s="3482"/>
      <c r="AT29" s="3482"/>
      <c r="AU29" s="3495">
        <v>0</v>
      </c>
      <c r="AV29" s="3482"/>
      <c r="AW29" s="3482"/>
      <c r="AX29" s="3482"/>
      <c r="AY29" s="3482"/>
      <c r="AZ29" s="3482"/>
      <c r="BA29" s="3482"/>
      <c r="BB29" s="3495">
        <v>0</v>
      </c>
      <c r="BC29" s="3482"/>
      <c r="BD29" s="3482"/>
      <c r="BE29" s="3482"/>
      <c r="BF29" s="3482"/>
      <c r="BG29" s="3482"/>
      <c r="BH29" s="3482"/>
      <c r="BI29" s="3495">
        <v>0</v>
      </c>
      <c r="BJ29" s="3482"/>
      <c r="BK29" s="3482"/>
      <c r="BL29" s="3482"/>
      <c r="BM29" s="3482"/>
      <c r="BN29" s="3482"/>
      <c r="BO29" s="3482"/>
      <c r="BP29" s="3495">
        <v>0</v>
      </c>
      <c r="BQ29" s="3482"/>
      <c r="BR29" s="3482"/>
      <c r="BS29" s="3482"/>
      <c r="BT29" s="3482"/>
      <c r="BU29" s="3482"/>
      <c r="BV29" s="3482"/>
      <c r="BW29" s="3495">
        <v>0</v>
      </c>
      <c r="BX29" s="3482"/>
      <c r="BY29" s="3482"/>
      <c r="BZ29" s="3482"/>
      <c r="CA29" s="3482"/>
      <c r="CB29" s="3482"/>
      <c r="CC29" s="3482"/>
      <c r="CD29" s="3495">
        <v>0</v>
      </c>
      <c r="CE29" s="3482"/>
      <c r="CF29" s="3482"/>
      <c r="CG29" s="3482"/>
      <c r="CH29" s="3482"/>
      <c r="CI29" s="3482"/>
      <c r="CJ29" s="3482"/>
      <c r="CK29" s="3495">
        <v>0</v>
      </c>
      <c r="CL29" s="3482"/>
      <c r="CM29" s="3482"/>
      <c r="CN29" s="3482"/>
      <c r="CO29" s="3482"/>
      <c r="CP29" s="3482"/>
      <c r="CQ29" s="3482"/>
      <c r="CR29" s="3495">
        <v>0</v>
      </c>
      <c r="CS29" s="3482"/>
      <c r="CT29" s="3482"/>
      <c r="CU29" s="3482"/>
      <c r="CV29" s="3482"/>
      <c r="CW29" s="3482"/>
      <c r="CX29" s="3482"/>
    </row>
    <row r="30" spans="1:102" ht="51">
      <c r="A30" s="3469">
        <v>11</v>
      </c>
      <c r="B30" s="3469">
        <v>3</v>
      </c>
      <c r="C30" s="3496" t="s">
        <v>4051</v>
      </c>
      <c r="D30" s="3473">
        <v>311</v>
      </c>
      <c r="E30" s="3497">
        <v>0</v>
      </c>
      <c r="F30" s="3482"/>
      <c r="G30" s="3482"/>
      <c r="H30" s="3482"/>
      <c r="I30" s="3482"/>
      <c r="J30" s="3482"/>
      <c r="K30" s="3482"/>
      <c r="L30" s="3495">
        <v>0</v>
      </c>
      <c r="M30" s="3482"/>
      <c r="N30" s="3482"/>
      <c r="O30" s="3482"/>
      <c r="P30" s="3482"/>
      <c r="Q30" s="3482"/>
      <c r="R30" s="3482"/>
      <c r="S30" s="3495">
        <v>0</v>
      </c>
      <c r="T30" s="3482"/>
      <c r="U30" s="3482"/>
      <c r="V30" s="3482"/>
      <c r="W30" s="3482"/>
      <c r="X30" s="3482"/>
      <c r="Y30" s="3482"/>
      <c r="Z30" s="3495">
        <v>0</v>
      </c>
      <c r="AA30" s="3482"/>
      <c r="AB30" s="3482"/>
      <c r="AC30" s="3482"/>
      <c r="AD30" s="3482"/>
      <c r="AE30" s="3482"/>
      <c r="AF30" s="3482"/>
      <c r="AG30" s="3495">
        <v>0</v>
      </c>
      <c r="AH30" s="3482"/>
      <c r="AI30" s="3482"/>
      <c r="AJ30" s="3482"/>
      <c r="AK30" s="3482"/>
      <c r="AL30" s="3482"/>
      <c r="AM30" s="3482"/>
      <c r="AN30" s="3495">
        <v>0</v>
      </c>
      <c r="AO30" s="3482"/>
      <c r="AP30" s="3482"/>
      <c r="AQ30" s="3482"/>
      <c r="AR30" s="3482"/>
      <c r="AS30" s="3482"/>
      <c r="AT30" s="3482"/>
      <c r="AU30" s="3495">
        <v>0</v>
      </c>
      <c r="AV30" s="3482"/>
      <c r="AW30" s="3482"/>
      <c r="AX30" s="3482"/>
      <c r="AY30" s="3482"/>
      <c r="AZ30" s="3482"/>
      <c r="BA30" s="3482"/>
      <c r="BB30" s="3495">
        <v>0</v>
      </c>
      <c r="BC30" s="3482"/>
      <c r="BD30" s="3482"/>
      <c r="BE30" s="3482"/>
      <c r="BF30" s="3482"/>
      <c r="BG30" s="3482"/>
      <c r="BH30" s="3482"/>
      <c r="BI30" s="3495">
        <v>0</v>
      </c>
      <c r="BJ30" s="3482"/>
      <c r="BK30" s="3482"/>
      <c r="BL30" s="3482"/>
      <c r="BM30" s="3482"/>
      <c r="BN30" s="3482"/>
      <c r="BO30" s="3482"/>
      <c r="BP30" s="3495">
        <v>0</v>
      </c>
      <c r="BQ30" s="3482"/>
      <c r="BR30" s="3482"/>
      <c r="BS30" s="3482"/>
      <c r="BT30" s="3482"/>
      <c r="BU30" s="3482"/>
      <c r="BV30" s="3482"/>
      <c r="BW30" s="3495">
        <v>0</v>
      </c>
      <c r="BX30" s="3482"/>
      <c r="BY30" s="3482"/>
      <c r="BZ30" s="3482"/>
      <c r="CA30" s="3482"/>
      <c r="CB30" s="3482"/>
      <c r="CC30" s="3482"/>
      <c r="CD30" s="3495">
        <v>0</v>
      </c>
      <c r="CE30" s="3482"/>
      <c r="CF30" s="3482"/>
      <c r="CG30" s="3482"/>
      <c r="CH30" s="3482"/>
      <c r="CI30" s="3482"/>
      <c r="CJ30" s="3482"/>
      <c r="CK30" s="3495">
        <v>0</v>
      </c>
      <c r="CL30" s="3482"/>
      <c r="CM30" s="3482"/>
      <c r="CN30" s="3482"/>
      <c r="CO30" s="3482"/>
      <c r="CP30" s="3482"/>
      <c r="CQ30" s="3482"/>
      <c r="CR30" s="3495">
        <v>0</v>
      </c>
      <c r="CS30" s="3482"/>
      <c r="CT30" s="3482"/>
      <c r="CU30" s="3482"/>
      <c r="CV30" s="3482"/>
      <c r="CW30" s="3482"/>
      <c r="CX30" s="3482"/>
    </row>
    <row r="31" spans="1:102" ht="25.5">
      <c r="A31" s="3469">
        <v>12</v>
      </c>
      <c r="B31" s="3469">
        <v>3</v>
      </c>
      <c r="C31" s="3496" t="s">
        <v>4052</v>
      </c>
      <c r="D31" s="3473">
        <v>312</v>
      </c>
      <c r="E31" s="3497">
        <v>0</v>
      </c>
      <c r="F31" s="3482"/>
      <c r="G31" s="3482"/>
      <c r="H31" s="3482"/>
      <c r="I31" s="3482"/>
      <c r="J31" s="3482"/>
      <c r="K31" s="3482"/>
      <c r="L31" s="3495">
        <v>0</v>
      </c>
      <c r="M31" s="3482"/>
      <c r="N31" s="3482"/>
      <c r="O31" s="3482"/>
      <c r="P31" s="3482"/>
      <c r="Q31" s="3482"/>
      <c r="R31" s="3482"/>
      <c r="S31" s="3495">
        <v>0</v>
      </c>
      <c r="T31" s="3482"/>
      <c r="U31" s="3482"/>
      <c r="V31" s="3482"/>
      <c r="W31" s="3482"/>
      <c r="X31" s="3482"/>
      <c r="Y31" s="3482"/>
      <c r="Z31" s="3495">
        <v>0</v>
      </c>
      <c r="AA31" s="3482"/>
      <c r="AB31" s="3482"/>
      <c r="AC31" s="3482"/>
      <c r="AD31" s="3482"/>
      <c r="AE31" s="3482"/>
      <c r="AF31" s="3482"/>
      <c r="AG31" s="3495">
        <v>0</v>
      </c>
      <c r="AH31" s="3482"/>
      <c r="AI31" s="3482"/>
      <c r="AJ31" s="3482"/>
      <c r="AK31" s="3482"/>
      <c r="AL31" s="3482"/>
      <c r="AM31" s="3482"/>
      <c r="AN31" s="3495">
        <v>0</v>
      </c>
      <c r="AO31" s="3482"/>
      <c r="AP31" s="3482"/>
      <c r="AQ31" s="3482"/>
      <c r="AR31" s="3482"/>
      <c r="AS31" s="3482"/>
      <c r="AT31" s="3482"/>
      <c r="AU31" s="3495">
        <v>0</v>
      </c>
      <c r="AV31" s="3482"/>
      <c r="AW31" s="3482"/>
      <c r="AX31" s="3482"/>
      <c r="AY31" s="3482"/>
      <c r="AZ31" s="3482"/>
      <c r="BA31" s="3482"/>
      <c r="BB31" s="3495">
        <v>0</v>
      </c>
      <c r="BC31" s="3482"/>
      <c r="BD31" s="3482"/>
      <c r="BE31" s="3482"/>
      <c r="BF31" s="3482"/>
      <c r="BG31" s="3482"/>
      <c r="BH31" s="3482"/>
      <c r="BI31" s="3495">
        <v>0</v>
      </c>
      <c r="BJ31" s="3482"/>
      <c r="BK31" s="3482"/>
      <c r="BL31" s="3482"/>
      <c r="BM31" s="3482"/>
      <c r="BN31" s="3482"/>
      <c r="BO31" s="3482"/>
      <c r="BP31" s="3495">
        <v>0</v>
      </c>
      <c r="BQ31" s="3482"/>
      <c r="BR31" s="3482"/>
      <c r="BS31" s="3482"/>
      <c r="BT31" s="3482"/>
      <c r="BU31" s="3482"/>
      <c r="BV31" s="3482"/>
      <c r="BW31" s="3495">
        <v>0</v>
      </c>
      <c r="BX31" s="3482"/>
      <c r="BY31" s="3482"/>
      <c r="BZ31" s="3482"/>
      <c r="CA31" s="3482"/>
      <c r="CB31" s="3482"/>
      <c r="CC31" s="3482"/>
      <c r="CD31" s="3495">
        <v>0</v>
      </c>
      <c r="CE31" s="3482"/>
      <c r="CF31" s="3482"/>
      <c r="CG31" s="3482"/>
      <c r="CH31" s="3482"/>
      <c r="CI31" s="3482"/>
      <c r="CJ31" s="3482"/>
      <c r="CK31" s="3495">
        <v>0</v>
      </c>
      <c r="CL31" s="3482"/>
      <c r="CM31" s="3482"/>
      <c r="CN31" s="3482"/>
      <c r="CO31" s="3482"/>
      <c r="CP31" s="3482"/>
      <c r="CQ31" s="3482"/>
      <c r="CR31" s="3495">
        <v>0</v>
      </c>
      <c r="CS31" s="3482"/>
      <c r="CT31" s="3482"/>
      <c r="CU31" s="3482"/>
      <c r="CV31" s="3482"/>
      <c r="CW31" s="3482"/>
      <c r="CX31" s="3482"/>
    </row>
    <row r="32" spans="1:102" ht="25.5">
      <c r="A32" s="3469">
        <v>13</v>
      </c>
      <c r="B32" s="3469">
        <v>3</v>
      </c>
      <c r="C32" s="3496" t="s">
        <v>4053</v>
      </c>
      <c r="D32" s="3473">
        <v>313</v>
      </c>
      <c r="E32" s="3497">
        <v>0</v>
      </c>
      <c r="F32" s="3482"/>
      <c r="G32" s="3482"/>
      <c r="H32" s="3482"/>
      <c r="I32" s="3482"/>
      <c r="J32" s="3482"/>
      <c r="K32" s="3482"/>
      <c r="L32" s="3495">
        <v>0</v>
      </c>
      <c r="M32" s="3482"/>
      <c r="N32" s="3482"/>
      <c r="O32" s="3482"/>
      <c r="P32" s="3482"/>
      <c r="Q32" s="3482"/>
      <c r="R32" s="3482"/>
      <c r="S32" s="3495">
        <v>0</v>
      </c>
      <c r="T32" s="3482"/>
      <c r="U32" s="3482"/>
      <c r="V32" s="3482"/>
      <c r="W32" s="3482"/>
      <c r="X32" s="3482"/>
      <c r="Y32" s="3482"/>
      <c r="Z32" s="3495">
        <v>0</v>
      </c>
      <c r="AA32" s="3482"/>
      <c r="AB32" s="3482"/>
      <c r="AC32" s="3482"/>
      <c r="AD32" s="3482"/>
      <c r="AE32" s="3482"/>
      <c r="AF32" s="3482"/>
      <c r="AG32" s="3495">
        <v>0</v>
      </c>
      <c r="AH32" s="3482"/>
      <c r="AI32" s="3482"/>
      <c r="AJ32" s="3482"/>
      <c r="AK32" s="3482"/>
      <c r="AL32" s="3482"/>
      <c r="AM32" s="3482"/>
      <c r="AN32" s="3495">
        <v>0</v>
      </c>
      <c r="AO32" s="3482"/>
      <c r="AP32" s="3482"/>
      <c r="AQ32" s="3482"/>
      <c r="AR32" s="3482"/>
      <c r="AS32" s="3482"/>
      <c r="AT32" s="3482"/>
      <c r="AU32" s="3495">
        <v>0</v>
      </c>
      <c r="AV32" s="3482"/>
      <c r="AW32" s="3482"/>
      <c r="AX32" s="3482"/>
      <c r="AY32" s="3482"/>
      <c r="AZ32" s="3482"/>
      <c r="BA32" s="3482"/>
      <c r="BB32" s="3495">
        <v>0</v>
      </c>
      <c r="BC32" s="3482"/>
      <c r="BD32" s="3482"/>
      <c r="BE32" s="3482"/>
      <c r="BF32" s="3482"/>
      <c r="BG32" s="3482"/>
      <c r="BH32" s="3482"/>
      <c r="BI32" s="3495">
        <v>0</v>
      </c>
      <c r="BJ32" s="3482"/>
      <c r="BK32" s="3482"/>
      <c r="BL32" s="3482"/>
      <c r="BM32" s="3482"/>
      <c r="BN32" s="3482"/>
      <c r="BO32" s="3482"/>
      <c r="BP32" s="3495">
        <v>0</v>
      </c>
      <c r="BQ32" s="3482"/>
      <c r="BR32" s="3482"/>
      <c r="BS32" s="3482"/>
      <c r="BT32" s="3482"/>
      <c r="BU32" s="3482"/>
      <c r="BV32" s="3482"/>
      <c r="BW32" s="3495">
        <v>0</v>
      </c>
      <c r="BX32" s="3482"/>
      <c r="BY32" s="3482"/>
      <c r="BZ32" s="3482"/>
      <c r="CA32" s="3482"/>
      <c r="CB32" s="3482"/>
      <c r="CC32" s="3482"/>
      <c r="CD32" s="3495">
        <v>0</v>
      </c>
      <c r="CE32" s="3482"/>
      <c r="CF32" s="3482"/>
      <c r="CG32" s="3482"/>
      <c r="CH32" s="3482"/>
      <c r="CI32" s="3482"/>
      <c r="CJ32" s="3482"/>
      <c r="CK32" s="3495">
        <v>0</v>
      </c>
      <c r="CL32" s="3482"/>
      <c r="CM32" s="3482"/>
      <c r="CN32" s="3482"/>
      <c r="CO32" s="3482"/>
      <c r="CP32" s="3482"/>
      <c r="CQ32" s="3482"/>
      <c r="CR32" s="3495">
        <v>0</v>
      </c>
      <c r="CS32" s="3482"/>
      <c r="CT32" s="3482"/>
      <c r="CU32" s="3482"/>
      <c r="CV32" s="3482"/>
      <c r="CW32" s="3482"/>
      <c r="CX32" s="3482"/>
    </row>
    <row r="33" spans="1:102" ht="25.5">
      <c r="A33" s="3469">
        <v>14</v>
      </c>
      <c r="B33" s="3469">
        <v>3</v>
      </c>
      <c r="C33" s="3496" t="s">
        <v>4054</v>
      </c>
      <c r="D33" s="3473">
        <v>314</v>
      </c>
      <c r="E33" s="3497">
        <v>0</v>
      </c>
      <c r="F33" s="3482"/>
      <c r="G33" s="3482"/>
      <c r="H33" s="3482"/>
      <c r="I33" s="3482"/>
      <c r="J33" s="3482"/>
      <c r="K33" s="3482"/>
      <c r="L33" s="3495">
        <v>0</v>
      </c>
      <c r="M33" s="3482"/>
      <c r="N33" s="3482"/>
      <c r="O33" s="3482"/>
      <c r="P33" s="3482"/>
      <c r="Q33" s="3482"/>
      <c r="R33" s="3482"/>
      <c r="S33" s="3495">
        <v>0</v>
      </c>
      <c r="T33" s="3482"/>
      <c r="U33" s="3482"/>
      <c r="V33" s="3482"/>
      <c r="W33" s="3482"/>
      <c r="X33" s="3482"/>
      <c r="Y33" s="3482"/>
      <c r="Z33" s="3495">
        <v>0</v>
      </c>
      <c r="AA33" s="3482"/>
      <c r="AB33" s="3482"/>
      <c r="AC33" s="3482"/>
      <c r="AD33" s="3482"/>
      <c r="AE33" s="3482"/>
      <c r="AF33" s="3482"/>
      <c r="AG33" s="3495">
        <v>0</v>
      </c>
      <c r="AH33" s="3482"/>
      <c r="AI33" s="3482"/>
      <c r="AJ33" s="3482"/>
      <c r="AK33" s="3482"/>
      <c r="AL33" s="3482"/>
      <c r="AM33" s="3482"/>
      <c r="AN33" s="3495">
        <v>0</v>
      </c>
      <c r="AO33" s="3482"/>
      <c r="AP33" s="3482"/>
      <c r="AQ33" s="3482"/>
      <c r="AR33" s="3482"/>
      <c r="AS33" s="3482"/>
      <c r="AT33" s="3482"/>
      <c r="AU33" s="3495">
        <v>0</v>
      </c>
      <c r="AV33" s="3482"/>
      <c r="AW33" s="3482"/>
      <c r="AX33" s="3482"/>
      <c r="AY33" s="3482"/>
      <c r="AZ33" s="3482"/>
      <c r="BA33" s="3482"/>
      <c r="BB33" s="3495">
        <v>0</v>
      </c>
      <c r="BC33" s="3482"/>
      <c r="BD33" s="3482"/>
      <c r="BE33" s="3482"/>
      <c r="BF33" s="3482"/>
      <c r="BG33" s="3482"/>
      <c r="BH33" s="3482"/>
      <c r="BI33" s="3495">
        <v>0</v>
      </c>
      <c r="BJ33" s="3482"/>
      <c r="BK33" s="3482"/>
      <c r="BL33" s="3482"/>
      <c r="BM33" s="3482"/>
      <c r="BN33" s="3482"/>
      <c r="BO33" s="3482"/>
      <c r="BP33" s="3495">
        <v>0</v>
      </c>
      <c r="BQ33" s="3482"/>
      <c r="BR33" s="3482"/>
      <c r="BS33" s="3482"/>
      <c r="BT33" s="3482"/>
      <c r="BU33" s="3482"/>
      <c r="BV33" s="3482"/>
      <c r="BW33" s="3495">
        <v>0</v>
      </c>
      <c r="BX33" s="3482"/>
      <c r="BY33" s="3482"/>
      <c r="BZ33" s="3482"/>
      <c r="CA33" s="3482"/>
      <c r="CB33" s="3482"/>
      <c r="CC33" s="3482"/>
      <c r="CD33" s="3495">
        <v>0</v>
      </c>
      <c r="CE33" s="3482"/>
      <c r="CF33" s="3482"/>
      <c r="CG33" s="3482"/>
      <c r="CH33" s="3482"/>
      <c r="CI33" s="3482"/>
      <c r="CJ33" s="3482"/>
      <c r="CK33" s="3495">
        <v>0</v>
      </c>
      <c r="CL33" s="3482"/>
      <c r="CM33" s="3482"/>
      <c r="CN33" s="3482"/>
      <c r="CO33" s="3482"/>
      <c r="CP33" s="3482"/>
      <c r="CQ33" s="3482"/>
      <c r="CR33" s="3495">
        <v>0</v>
      </c>
      <c r="CS33" s="3482"/>
      <c r="CT33" s="3482"/>
      <c r="CU33" s="3482"/>
      <c r="CV33" s="3482"/>
      <c r="CW33" s="3482"/>
      <c r="CX33" s="3482"/>
    </row>
    <row r="34" spans="1:102" ht="25.5">
      <c r="A34" s="3469">
        <v>15</v>
      </c>
      <c r="B34" s="3469">
        <v>3</v>
      </c>
      <c r="C34" s="3496" t="s">
        <v>4055</v>
      </c>
      <c r="D34" s="3473">
        <v>315</v>
      </c>
      <c r="E34" s="3497">
        <v>0</v>
      </c>
      <c r="F34" s="3482"/>
      <c r="G34" s="3482"/>
      <c r="H34" s="3482"/>
      <c r="I34" s="3482"/>
      <c r="J34" s="3482"/>
      <c r="K34" s="3482"/>
      <c r="L34" s="3495">
        <v>0</v>
      </c>
      <c r="M34" s="3482"/>
      <c r="N34" s="3482"/>
      <c r="O34" s="3482"/>
      <c r="P34" s="3482"/>
      <c r="Q34" s="3482"/>
      <c r="R34" s="3482"/>
      <c r="S34" s="3495">
        <v>0</v>
      </c>
      <c r="T34" s="3482"/>
      <c r="U34" s="3482"/>
      <c r="V34" s="3482"/>
      <c r="W34" s="3482"/>
      <c r="X34" s="3482"/>
      <c r="Y34" s="3482"/>
      <c r="Z34" s="3495">
        <v>0</v>
      </c>
      <c r="AA34" s="3482"/>
      <c r="AB34" s="3482"/>
      <c r="AC34" s="3482"/>
      <c r="AD34" s="3482"/>
      <c r="AE34" s="3482"/>
      <c r="AF34" s="3482"/>
      <c r="AG34" s="3495">
        <v>0</v>
      </c>
      <c r="AH34" s="3482"/>
      <c r="AI34" s="3482"/>
      <c r="AJ34" s="3482"/>
      <c r="AK34" s="3482"/>
      <c r="AL34" s="3482"/>
      <c r="AM34" s="3482"/>
      <c r="AN34" s="3495">
        <v>0</v>
      </c>
      <c r="AO34" s="3482"/>
      <c r="AP34" s="3482"/>
      <c r="AQ34" s="3482"/>
      <c r="AR34" s="3482"/>
      <c r="AS34" s="3482"/>
      <c r="AT34" s="3482"/>
      <c r="AU34" s="3495">
        <v>0</v>
      </c>
      <c r="AV34" s="3482"/>
      <c r="AW34" s="3482"/>
      <c r="AX34" s="3482"/>
      <c r="AY34" s="3482"/>
      <c r="AZ34" s="3482"/>
      <c r="BA34" s="3482"/>
      <c r="BB34" s="3495">
        <v>0</v>
      </c>
      <c r="BC34" s="3482"/>
      <c r="BD34" s="3482"/>
      <c r="BE34" s="3482"/>
      <c r="BF34" s="3482"/>
      <c r="BG34" s="3482"/>
      <c r="BH34" s="3482"/>
      <c r="BI34" s="3495">
        <v>0</v>
      </c>
      <c r="BJ34" s="3482"/>
      <c r="BK34" s="3482"/>
      <c r="BL34" s="3482"/>
      <c r="BM34" s="3482"/>
      <c r="BN34" s="3482"/>
      <c r="BO34" s="3482"/>
      <c r="BP34" s="3495">
        <v>0</v>
      </c>
      <c r="BQ34" s="3482"/>
      <c r="BR34" s="3482"/>
      <c r="BS34" s="3482"/>
      <c r="BT34" s="3482"/>
      <c r="BU34" s="3482"/>
      <c r="BV34" s="3482"/>
      <c r="BW34" s="3495">
        <v>0</v>
      </c>
      <c r="BX34" s="3482"/>
      <c r="BY34" s="3482"/>
      <c r="BZ34" s="3482"/>
      <c r="CA34" s="3482"/>
      <c r="CB34" s="3482"/>
      <c r="CC34" s="3482"/>
      <c r="CD34" s="3495">
        <v>0</v>
      </c>
      <c r="CE34" s="3482"/>
      <c r="CF34" s="3482"/>
      <c r="CG34" s="3482"/>
      <c r="CH34" s="3482"/>
      <c r="CI34" s="3482"/>
      <c r="CJ34" s="3482"/>
      <c r="CK34" s="3495">
        <v>0</v>
      </c>
      <c r="CL34" s="3482"/>
      <c r="CM34" s="3482"/>
      <c r="CN34" s="3482"/>
      <c r="CO34" s="3482"/>
      <c r="CP34" s="3482"/>
      <c r="CQ34" s="3482"/>
      <c r="CR34" s="3495">
        <v>0</v>
      </c>
      <c r="CS34" s="3482"/>
      <c r="CT34" s="3482"/>
      <c r="CU34" s="3482"/>
      <c r="CV34" s="3482"/>
      <c r="CW34" s="3482"/>
      <c r="CX34" s="3482"/>
    </row>
    <row r="35" spans="1:102" ht="25.5">
      <c r="A35" s="3469">
        <v>16</v>
      </c>
      <c r="B35" s="3469">
        <v>3</v>
      </c>
      <c r="C35" s="3496" t="s">
        <v>4056</v>
      </c>
      <c r="D35" s="3473">
        <v>316</v>
      </c>
      <c r="E35" s="3497">
        <v>0</v>
      </c>
      <c r="F35" s="3482"/>
      <c r="G35" s="3482"/>
      <c r="H35" s="3482"/>
      <c r="I35" s="3482"/>
      <c r="J35" s="3482"/>
      <c r="K35" s="3482"/>
      <c r="L35" s="3495">
        <v>0</v>
      </c>
      <c r="M35" s="3482"/>
      <c r="N35" s="3482"/>
      <c r="O35" s="3482"/>
      <c r="P35" s="3482"/>
      <c r="Q35" s="3482"/>
      <c r="R35" s="3482"/>
      <c r="S35" s="3495">
        <v>0</v>
      </c>
      <c r="T35" s="3482"/>
      <c r="U35" s="3482"/>
      <c r="V35" s="3482"/>
      <c r="W35" s="3482"/>
      <c r="X35" s="3482"/>
      <c r="Y35" s="3482"/>
      <c r="Z35" s="3495">
        <v>0</v>
      </c>
      <c r="AA35" s="3482"/>
      <c r="AB35" s="3482"/>
      <c r="AC35" s="3482"/>
      <c r="AD35" s="3482"/>
      <c r="AE35" s="3482"/>
      <c r="AF35" s="3482"/>
      <c r="AG35" s="3495">
        <v>0</v>
      </c>
      <c r="AH35" s="3482"/>
      <c r="AI35" s="3482"/>
      <c r="AJ35" s="3482"/>
      <c r="AK35" s="3482"/>
      <c r="AL35" s="3482"/>
      <c r="AM35" s="3482"/>
      <c r="AN35" s="3495">
        <v>0</v>
      </c>
      <c r="AO35" s="3482"/>
      <c r="AP35" s="3482"/>
      <c r="AQ35" s="3482"/>
      <c r="AR35" s="3482"/>
      <c r="AS35" s="3482"/>
      <c r="AT35" s="3482"/>
      <c r="AU35" s="3495">
        <v>0</v>
      </c>
      <c r="AV35" s="3482"/>
      <c r="AW35" s="3482"/>
      <c r="AX35" s="3482"/>
      <c r="AY35" s="3482"/>
      <c r="AZ35" s="3482"/>
      <c r="BA35" s="3482"/>
      <c r="BB35" s="3495">
        <v>0</v>
      </c>
      <c r="BC35" s="3482"/>
      <c r="BD35" s="3482"/>
      <c r="BE35" s="3482"/>
      <c r="BF35" s="3482"/>
      <c r="BG35" s="3482"/>
      <c r="BH35" s="3482"/>
      <c r="BI35" s="3495">
        <v>0</v>
      </c>
      <c r="BJ35" s="3482"/>
      <c r="BK35" s="3482"/>
      <c r="BL35" s="3482"/>
      <c r="BM35" s="3482"/>
      <c r="BN35" s="3482"/>
      <c r="BO35" s="3482"/>
      <c r="BP35" s="3495">
        <v>0</v>
      </c>
      <c r="BQ35" s="3482"/>
      <c r="BR35" s="3482"/>
      <c r="BS35" s="3482"/>
      <c r="BT35" s="3482"/>
      <c r="BU35" s="3482"/>
      <c r="BV35" s="3482"/>
      <c r="BW35" s="3495">
        <v>0</v>
      </c>
      <c r="BX35" s="3482"/>
      <c r="BY35" s="3482"/>
      <c r="BZ35" s="3482"/>
      <c r="CA35" s="3482"/>
      <c r="CB35" s="3482"/>
      <c r="CC35" s="3482"/>
      <c r="CD35" s="3495">
        <v>0</v>
      </c>
      <c r="CE35" s="3482"/>
      <c r="CF35" s="3482"/>
      <c r="CG35" s="3482"/>
      <c r="CH35" s="3482"/>
      <c r="CI35" s="3482"/>
      <c r="CJ35" s="3482"/>
      <c r="CK35" s="3495">
        <v>0</v>
      </c>
      <c r="CL35" s="3482"/>
      <c r="CM35" s="3482"/>
      <c r="CN35" s="3482"/>
      <c r="CO35" s="3482"/>
      <c r="CP35" s="3482"/>
      <c r="CQ35" s="3482"/>
      <c r="CR35" s="3495">
        <v>0</v>
      </c>
      <c r="CS35" s="3482"/>
      <c r="CT35" s="3482"/>
      <c r="CU35" s="3482"/>
      <c r="CV35" s="3482"/>
      <c r="CW35" s="3482"/>
      <c r="CX35" s="3482"/>
    </row>
    <row r="36" spans="1:102" ht="25.5">
      <c r="A36" s="3469">
        <v>17</v>
      </c>
      <c r="B36" s="3469">
        <v>3</v>
      </c>
      <c r="C36" s="3496" t="s">
        <v>4057</v>
      </c>
      <c r="D36" s="3473">
        <v>317</v>
      </c>
      <c r="E36" s="3497">
        <v>0</v>
      </c>
      <c r="F36" s="3482"/>
      <c r="G36" s="3482"/>
      <c r="H36" s="3482"/>
      <c r="I36" s="3482"/>
      <c r="J36" s="3482"/>
      <c r="K36" s="3482"/>
      <c r="L36" s="3495">
        <v>0</v>
      </c>
      <c r="M36" s="3482"/>
      <c r="N36" s="3482"/>
      <c r="O36" s="3482"/>
      <c r="P36" s="3482"/>
      <c r="Q36" s="3482"/>
      <c r="R36" s="3482"/>
      <c r="S36" s="3495">
        <v>0</v>
      </c>
      <c r="T36" s="3482"/>
      <c r="U36" s="3482"/>
      <c r="V36" s="3482"/>
      <c r="W36" s="3482"/>
      <c r="X36" s="3482"/>
      <c r="Y36" s="3482"/>
      <c r="Z36" s="3495">
        <v>0</v>
      </c>
      <c r="AA36" s="3482"/>
      <c r="AB36" s="3482"/>
      <c r="AC36" s="3482"/>
      <c r="AD36" s="3482"/>
      <c r="AE36" s="3482"/>
      <c r="AF36" s="3482"/>
      <c r="AG36" s="3495">
        <v>0</v>
      </c>
      <c r="AH36" s="3482"/>
      <c r="AI36" s="3482"/>
      <c r="AJ36" s="3482"/>
      <c r="AK36" s="3482"/>
      <c r="AL36" s="3482"/>
      <c r="AM36" s="3482"/>
      <c r="AN36" s="3495">
        <v>0</v>
      </c>
      <c r="AO36" s="3482"/>
      <c r="AP36" s="3482"/>
      <c r="AQ36" s="3482"/>
      <c r="AR36" s="3482"/>
      <c r="AS36" s="3482"/>
      <c r="AT36" s="3482"/>
      <c r="AU36" s="3495">
        <v>0</v>
      </c>
      <c r="AV36" s="3482"/>
      <c r="AW36" s="3482"/>
      <c r="AX36" s="3482"/>
      <c r="AY36" s="3482"/>
      <c r="AZ36" s="3482"/>
      <c r="BA36" s="3482"/>
      <c r="BB36" s="3495">
        <v>0</v>
      </c>
      <c r="BC36" s="3482"/>
      <c r="BD36" s="3482"/>
      <c r="BE36" s="3482"/>
      <c r="BF36" s="3482"/>
      <c r="BG36" s="3482"/>
      <c r="BH36" s="3482"/>
      <c r="BI36" s="3495">
        <v>0</v>
      </c>
      <c r="BJ36" s="3482"/>
      <c r="BK36" s="3482"/>
      <c r="BL36" s="3482"/>
      <c r="BM36" s="3482"/>
      <c r="BN36" s="3482"/>
      <c r="BO36" s="3482"/>
      <c r="BP36" s="3495">
        <v>0</v>
      </c>
      <c r="BQ36" s="3482"/>
      <c r="BR36" s="3482"/>
      <c r="BS36" s="3482"/>
      <c r="BT36" s="3482"/>
      <c r="BU36" s="3482"/>
      <c r="BV36" s="3482"/>
      <c r="BW36" s="3495">
        <v>0</v>
      </c>
      <c r="BX36" s="3482"/>
      <c r="BY36" s="3482"/>
      <c r="BZ36" s="3482"/>
      <c r="CA36" s="3482"/>
      <c r="CB36" s="3482"/>
      <c r="CC36" s="3482"/>
      <c r="CD36" s="3495">
        <v>0</v>
      </c>
      <c r="CE36" s="3482"/>
      <c r="CF36" s="3482"/>
      <c r="CG36" s="3482"/>
      <c r="CH36" s="3482"/>
      <c r="CI36" s="3482"/>
      <c r="CJ36" s="3482"/>
      <c r="CK36" s="3495">
        <v>0</v>
      </c>
      <c r="CL36" s="3482"/>
      <c r="CM36" s="3482"/>
      <c r="CN36" s="3482"/>
      <c r="CO36" s="3482"/>
      <c r="CP36" s="3482"/>
      <c r="CQ36" s="3482"/>
      <c r="CR36" s="3495">
        <v>0</v>
      </c>
      <c r="CS36" s="3482"/>
      <c r="CT36" s="3482"/>
      <c r="CU36" s="3482"/>
      <c r="CV36" s="3482"/>
      <c r="CW36" s="3482"/>
      <c r="CX36" s="3482"/>
    </row>
    <row r="37" spans="1:102" ht="25.5">
      <c r="A37" s="3469">
        <v>18</v>
      </c>
      <c r="B37" s="3469">
        <v>3</v>
      </c>
      <c r="C37" s="3496" t="s">
        <v>4058</v>
      </c>
      <c r="D37" s="3473">
        <v>318</v>
      </c>
      <c r="E37" s="3497">
        <v>0</v>
      </c>
      <c r="F37" s="3482"/>
      <c r="G37" s="3482"/>
      <c r="H37" s="3482"/>
      <c r="I37" s="3482"/>
      <c r="J37" s="3482"/>
      <c r="K37" s="3482"/>
      <c r="L37" s="3495">
        <v>0</v>
      </c>
      <c r="M37" s="3482"/>
      <c r="N37" s="3482"/>
      <c r="O37" s="3482"/>
      <c r="P37" s="3482"/>
      <c r="Q37" s="3482"/>
      <c r="R37" s="3482"/>
      <c r="S37" s="3495">
        <v>0</v>
      </c>
      <c r="T37" s="3482"/>
      <c r="U37" s="3482"/>
      <c r="V37" s="3482"/>
      <c r="W37" s="3482"/>
      <c r="X37" s="3482"/>
      <c r="Y37" s="3482"/>
      <c r="Z37" s="3495">
        <v>0</v>
      </c>
      <c r="AA37" s="3482"/>
      <c r="AB37" s="3482"/>
      <c r="AC37" s="3482"/>
      <c r="AD37" s="3482"/>
      <c r="AE37" s="3482"/>
      <c r="AF37" s="3482"/>
      <c r="AG37" s="3495">
        <v>0</v>
      </c>
      <c r="AH37" s="3482"/>
      <c r="AI37" s="3482"/>
      <c r="AJ37" s="3482"/>
      <c r="AK37" s="3482"/>
      <c r="AL37" s="3482"/>
      <c r="AM37" s="3482"/>
      <c r="AN37" s="3495">
        <v>0</v>
      </c>
      <c r="AO37" s="3482"/>
      <c r="AP37" s="3482"/>
      <c r="AQ37" s="3482"/>
      <c r="AR37" s="3482"/>
      <c r="AS37" s="3482"/>
      <c r="AT37" s="3482"/>
      <c r="AU37" s="3495">
        <v>0</v>
      </c>
      <c r="AV37" s="3482"/>
      <c r="AW37" s="3482"/>
      <c r="AX37" s="3482"/>
      <c r="AY37" s="3482"/>
      <c r="AZ37" s="3482"/>
      <c r="BA37" s="3482"/>
      <c r="BB37" s="3495">
        <v>0</v>
      </c>
      <c r="BC37" s="3482"/>
      <c r="BD37" s="3482"/>
      <c r="BE37" s="3482"/>
      <c r="BF37" s="3482"/>
      <c r="BG37" s="3482"/>
      <c r="BH37" s="3482"/>
      <c r="BI37" s="3495">
        <v>0</v>
      </c>
      <c r="BJ37" s="3482"/>
      <c r="BK37" s="3482"/>
      <c r="BL37" s="3482"/>
      <c r="BM37" s="3482"/>
      <c r="BN37" s="3482"/>
      <c r="BO37" s="3482"/>
      <c r="BP37" s="3495">
        <v>0</v>
      </c>
      <c r="BQ37" s="3482"/>
      <c r="BR37" s="3482"/>
      <c r="BS37" s="3482"/>
      <c r="BT37" s="3482"/>
      <c r="BU37" s="3482"/>
      <c r="BV37" s="3482"/>
      <c r="BW37" s="3495">
        <v>0</v>
      </c>
      <c r="BX37" s="3482"/>
      <c r="BY37" s="3482"/>
      <c r="BZ37" s="3482"/>
      <c r="CA37" s="3482"/>
      <c r="CB37" s="3482"/>
      <c r="CC37" s="3482"/>
      <c r="CD37" s="3495">
        <v>0</v>
      </c>
      <c r="CE37" s="3482"/>
      <c r="CF37" s="3482"/>
      <c r="CG37" s="3482"/>
      <c r="CH37" s="3482"/>
      <c r="CI37" s="3482"/>
      <c r="CJ37" s="3482"/>
      <c r="CK37" s="3495">
        <v>0</v>
      </c>
      <c r="CL37" s="3482"/>
      <c r="CM37" s="3482"/>
      <c r="CN37" s="3482"/>
      <c r="CO37" s="3482"/>
      <c r="CP37" s="3482"/>
      <c r="CQ37" s="3482"/>
      <c r="CR37" s="3495">
        <v>0</v>
      </c>
      <c r="CS37" s="3482"/>
      <c r="CT37" s="3482"/>
      <c r="CU37" s="3482"/>
      <c r="CV37" s="3482"/>
      <c r="CW37" s="3482"/>
      <c r="CX37" s="3482"/>
    </row>
    <row r="38" spans="1:102" ht="25.5">
      <c r="A38" s="3469">
        <v>19</v>
      </c>
      <c r="B38" s="3469">
        <v>3</v>
      </c>
      <c r="C38" s="3496" t="s">
        <v>4059</v>
      </c>
      <c r="D38" s="3473">
        <v>319</v>
      </c>
      <c r="E38" s="3497">
        <v>0</v>
      </c>
      <c r="F38" s="3482"/>
      <c r="G38" s="3482"/>
      <c r="H38" s="3482"/>
      <c r="I38" s="3482"/>
      <c r="J38" s="3482"/>
      <c r="K38" s="3482"/>
      <c r="L38" s="3495">
        <v>0</v>
      </c>
      <c r="M38" s="3482"/>
      <c r="N38" s="3482"/>
      <c r="O38" s="3482"/>
      <c r="P38" s="3482"/>
      <c r="Q38" s="3482"/>
      <c r="R38" s="3482"/>
      <c r="S38" s="3495">
        <v>0</v>
      </c>
      <c r="T38" s="3482"/>
      <c r="U38" s="3482"/>
      <c r="V38" s="3482"/>
      <c r="W38" s="3482"/>
      <c r="X38" s="3482"/>
      <c r="Y38" s="3482"/>
      <c r="Z38" s="3495">
        <v>0</v>
      </c>
      <c r="AA38" s="3482"/>
      <c r="AB38" s="3482"/>
      <c r="AC38" s="3482"/>
      <c r="AD38" s="3482"/>
      <c r="AE38" s="3482"/>
      <c r="AF38" s="3482"/>
      <c r="AG38" s="3495">
        <v>0</v>
      </c>
      <c r="AH38" s="3482"/>
      <c r="AI38" s="3482"/>
      <c r="AJ38" s="3482"/>
      <c r="AK38" s="3482"/>
      <c r="AL38" s="3482"/>
      <c r="AM38" s="3482"/>
      <c r="AN38" s="3495">
        <v>0</v>
      </c>
      <c r="AO38" s="3482"/>
      <c r="AP38" s="3482"/>
      <c r="AQ38" s="3482"/>
      <c r="AR38" s="3482"/>
      <c r="AS38" s="3482"/>
      <c r="AT38" s="3482"/>
      <c r="AU38" s="3495">
        <v>0</v>
      </c>
      <c r="AV38" s="3482"/>
      <c r="AW38" s="3482"/>
      <c r="AX38" s="3482"/>
      <c r="AY38" s="3482"/>
      <c r="AZ38" s="3482"/>
      <c r="BA38" s="3482"/>
      <c r="BB38" s="3495">
        <v>0</v>
      </c>
      <c r="BC38" s="3482"/>
      <c r="BD38" s="3482"/>
      <c r="BE38" s="3482"/>
      <c r="BF38" s="3482"/>
      <c r="BG38" s="3482"/>
      <c r="BH38" s="3482"/>
      <c r="BI38" s="3495">
        <v>0</v>
      </c>
      <c r="BJ38" s="3482"/>
      <c r="BK38" s="3482"/>
      <c r="BL38" s="3482"/>
      <c r="BM38" s="3482"/>
      <c r="BN38" s="3482"/>
      <c r="BO38" s="3482"/>
      <c r="BP38" s="3495">
        <v>0</v>
      </c>
      <c r="BQ38" s="3482"/>
      <c r="BR38" s="3482"/>
      <c r="BS38" s="3482"/>
      <c r="BT38" s="3482"/>
      <c r="BU38" s="3482"/>
      <c r="BV38" s="3482"/>
      <c r="BW38" s="3495">
        <v>0</v>
      </c>
      <c r="BX38" s="3482"/>
      <c r="BY38" s="3482"/>
      <c r="BZ38" s="3482"/>
      <c r="CA38" s="3482"/>
      <c r="CB38" s="3482"/>
      <c r="CC38" s="3482"/>
      <c r="CD38" s="3495">
        <v>0</v>
      </c>
      <c r="CE38" s="3482"/>
      <c r="CF38" s="3482"/>
      <c r="CG38" s="3482"/>
      <c r="CH38" s="3482"/>
      <c r="CI38" s="3482"/>
      <c r="CJ38" s="3482"/>
      <c r="CK38" s="3495">
        <v>0</v>
      </c>
      <c r="CL38" s="3482"/>
      <c r="CM38" s="3482"/>
      <c r="CN38" s="3482"/>
      <c r="CO38" s="3482"/>
      <c r="CP38" s="3482"/>
      <c r="CQ38" s="3482"/>
      <c r="CR38" s="3495">
        <v>0</v>
      </c>
      <c r="CS38" s="3482"/>
      <c r="CT38" s="3482"/>
      <c r="CU38" s="3482"/>
      <c r="CV38" s="3482"/>
      <c r="CW38" s="3482"/>
      <c r="CX38" s="3482"/>
    </row>
    <row r="39" spans="1:102">
      <c r="A39" s="3469">
        <v>1</v>
      </c>
      <c r="B39" s="3469">
        <v>3</v>
      </c>
      <c r="C39" s="3496" t="s">
        <v>516</v>
      </c>
      <c r="D39" s="3473">
        <v>320</v>
      </c>
      <c r="E39" s="3498">
        <v>0</v>
      </c>
      <c r="F39" s="3482"/>
      <c r="G39" s="3482"/>
      <c r="H39" s="3482"/>
      <c r="I39" s="3482"/>
      <c r="J39" s="3482"/>
      <c r="K39" s="3482"/>
      <c r="L39" s="3498">
        <v>0</v>
      </c>
      <c r="M39" s="3482"/>
      <c r="N39" s="3482"/>
      <c r="O39" s="3482"/>
      <c r="P39" s="3482"/>
      <c r="Q39" s="3482"/>
      <c r="R39" s="3482"/>
      <c r="S39" s="3498">
        <v>0</v>
      </c>
      <c r="T39" s="3482"/>
      <c r="U39" s="3482"/>
      <c r="V39" s="3482"/>
      <c r="W39" s="3482"/>
      <c r="X39" s="3482"/>
      <c r="Y39" s="3482"/>
      <c r="Z39" s="3498">
        <v>0</v>
      </c>
      <c r="AA39" s="3482"/>
      <c r="AB39" s="3482"/>
      <c r="AC39" s="3482"/>
      <c r="AD39" s="3482"/>
      <c r="AE39" s="3482"/>
      <c r="AF39" s="3482"/>
      <c r="AG39" s="3498">
        <f>SUM(Таблица611[[#This Row],[V30]:[V35]])</f>
        <v>6724.0690000000004</v>
      </c>
      <c r="AH39" s="3482"/>
      <c r="AI39" s="3482">
        <f>'135 до 26'!AI9</f>
        <v>2494.779</v>
      </c>
      <c r="AJ39" s="3482">
        <f>'135 до 26'!AJ9</f>
        <v>4215.41</v>
      </c>
      <c r="AK39" s="3482">
        <f>'135 до 26'!AK9</f>
        <v>13.88</v>
      </c>
      <c r="AL39" s="3482"/>
      <c r="AM39" s="3482"/>
      <c r="AN39" s="3498">
        <f>SUM(Таблица611[[#This Row],[V37]:[V42]])</f>
        <v>47691.441340000012</v>
      </c>
      <c r="AO39" s="3482"/>
      <c r="AP39" s="3482">
        <f>'135 до 26'!AP9</f>
        <v>17193.228070000001</v>
      </c>
      <c r="AQ39" s="3482">
        <f>'135 до 26'!AQ9</f>
        <v>30394.370740000006</v>
      </c>
      <c r="AR39" s="3482">
        <f>'135 до 26'!AR9</f>
        <v>103.84253</v>
      </c>
      <c r="AS39" s="3482"/>
      <c r="AT39" s="3482"/>
      <c r="AU39" s="3498">
        <f>SUM(Таблица611[[#This Row],[V44]:[V49]])</f>
        <v>9.5549999999999997</v>
      </c>
      <c r="AV39" s="3482"/>
      <c r="AW39" s="3482">
        <f>'135 до 26'!AW9</f>
        <v>3.28</v>
      </c>
      <c r="AX39" s="3482">
        <f>'135 до 26'!AX9</f>
        <v>6.2350000000000003</v>
      </c>
      <c r="AY39" s="3482">
        <f>'135 до 26'!AY9</f>
        <v>0.04</v>
      </c>
      <c r="AZ39" s="3482"/>
      <c r="BA39" s="3482"/>
      <c r="BB39" s="3498">
        <f>SUM(Таблица611[[#This Row],[V51]:[V56]])</f>
        <v>11536.08747</v>
      </c>
      <c r="BC39" s="3482"/>
      <c r="BD39" s="3482">
        <f>'135 до 26'!BD9</f>
        <v>3960.05933</v>
      </c>
      <c r="BE39" s="3482">
        <f>'135 до 26'!BE9</f>
        <v>7527.7347300000001</v>
      </c>
      <c r="BF39" s="3482">
        <f>'135 до 26'!BF9</f>
        <v>48.293410000000002</v>
      </c>
      <c r="BG39" s="3482"/>
      <c r="BH39" s="3482"/>
      <c r="BI39" s="3498">
        <f>SUM(Таблица611[[#This Row],[V58]:[V63]])</f>
        <v>2480.12</v>
      </c>
      <c r="BJ39" s="3482"/>
      <c r="BK39" s="3482"/>
      <c r="BL39" s="3482">
        <f>'Шаблон 46 ГП'!F139/1000</f>
        <v>14.5</v>
      </c>
      <c r="BM39" s="3482">
        <f>'135 до 26'!BM19</f>
        <v>2465.62</v>
      </c>
      <c r="BN39" s="3482"/>
      <c r="BO39" s="3482"/>
      <c r="BP39" s="3498">
        <f>SUM(Таблица611[[#This Row],[V65]:[V70]])</f>
        <v>8894.0103499999987</v>
      </c>
      <c r="BQ39" s="3482"/>
      <c r="BR39" s="3482"/>
      <c r="BS39" s="3482">
        <f>'Шаблон 46 ГП'!O139/1000</f>
        <v>45.351800000000004</v>
      </c>
      <c r="BT39" s="3482">
        <f>'135 до 26'!BT19</f>
        <v>8848.6585499999983</v>
      </c>
      <c r="BU39" s="3482"/>
      <c r="BV39" s="3482"/>
      <c r="BW39" s="3498">
        <f>SUM(Таблица611[[#This Row],[V72]:[V77]])</f>
        <v>4.0810000000000004</v>
      </c>
      <c r="BX39" s="3482"/>
      <c r="BY39" s="3482"/>
      <c r="BZ39" s="3482">
        <f>'Шаблон 46 ГП'!F254/1000</f>
        <v>2.7E-2</v>
      </c>
      <c r="CA39" s="3482">
        <f>'135 до 26'!CA19</f>
        <v>4.0540000000000003</v>
      </c>
      <c r="CB39" s="3482"/>
      <c r="CC39" s="3482"/>
      <c r="CD39" s="3498">
        <f>SUM(Таблица611[[#This Row],[V79]:[V84]])</f>
        <v>4927.1347800000003</v>
      </c>
      <c r="CE39" s="3482"/>
      <c r="CF39" s="3482"/>
      <c r="CG39" s="3482">
        <f>'Шаблон 46 ГП'!O254/1000</f>
        <v>32.598050000000001</v>
      </c>
      <c r="CH39" s="3482">
        <f>'135 до 26'!CH19</f>
        <v>4894.5367300000007</v>
      </c>
      <c r="CI39" s="3482"/>
      <c r="CJ39" s="3482"/>
      <c r="CK39" s="3498">
        <f>SUM(Таблица611[[#This Row],[V86]:[V91]])</f>
        <v>4.6559999999999997</v>
      </c>
      <c r="CL39" s="3482"/>
      <c r="CM39" s="3482"/>
      <c r="CN39" s="3482">
        <f>'Шаблон 46 ГП'!F255/1000</f>
        <v>3.4000000000000002E-2</v>
      </c>
      <c r="CO39" s="3482">
        <f>'135 до 26'!CO19</f>
        <v>4.6219999999999999</v>
      </c>
      <c r="CP39" s="3482"/>
      <c r="CQ39" s="3482"/>
      <c r="CR39" s="3498">
        <f>SUM(Таблица611[[#This Row],[V93]:[V98]])</f>
        <v>4836.4143400000003</v>
      </c>
      <c r="CS39" s="3482"/>
      <c r="CT39" s="3482"/>
      <c r="CU39" s="3482">
        <f>'Шаблон 46 ГП'!O255/1000</f>
        <v>95.170850000000002</v>
      </c>
      <c r="CV39" s="3482">
        <f>'135 до 26'!CV19</f>
        <v>4741.2434899999998</v>
      </c>
      <c r="CW39" s="3482"/>
      <c r="CX39" s="3482"/>
    </row>
    <row r="40" spans="1:102">
      <c r="A40" s="3469">
        <v>2</v>
      </c>
      <c r="B40" s="3469">
        <v>3</v>
      </c>
      <c r="C40" s="3496" t="s">
        <v>517</v>
      </c>
      <c r="D40" s="3473">
        <v>330</v>
      </c>
      <c r="E40" s="3498">
        <v>0</v>
      </c>
      <c r="F40" s="3482"/>
      <c r="G40" s="3482"/>
      <c r="H40" s="3482"/>
      <c r="I40" s="3482"/>
      <c r="J40" s="3482"/>
      <c r="K40" s="3482"/>
      <c r="L40" s="3498">
        <v>0</v>
      </c>
      <c r="M40" s="3482"/>
      <c r="N40" s="3482"/>
      <c r="O40" s="3482"/>
      <c r="P40" s="3482"/>
      <c r="Q40" s="3482"/>
      <c r="R40" s="3482"/>
      <c r="S40" s="3498">
        <v>0</v>
      </c>
      <c r="T40" s="3482"/>
      <c r="U40" s="3482"/>
      <c r="V40" s="3482"/>
      <c r="W40" s="3482"/>
      <c r="X40" s="3482"/>
      <c r="Y40" s="3482"/>
      <c r="Z40" s="3498">
        <v>0</v>
      </c>
      <c r="AA40" s="3482"/>
      <c r="AB40" s="3482"/>
      <c r="AC40" s="3482"/>
      <c r="AD40" s="3482"/>
      <c r="AE40" s="3482"/>
      <c r="AF40" s="3482"/>
      <c r="AG40" s="3498">
        <v>0</v>
      </c>
      <c r="AH40" s="3482"/>
      <c r="AI40" s="3482"/>
      <c r="AJ40" s="3482"/>
      <c r="AK40" s="3482"/>
      <c r="AL40" s="3482"/>
      <c r="AM40" s="3482"/>
      <c r="AN40" s="3498">
        <v>0</v>
      </c>
      <c r="AO40" s="3482"/>
      <c r="AP40" s="3482"/>
      <c r="AQ40" s="3482"/>
      <c r="AR40" s="3482"/>
      <c r="AS40" s="3482"/>
      <c r="AT40" s="3482"/>
      <c r="AU40" s="3498">
        <v>0</v>
      </c>
      <c r="AV40" s="3482"/>
      <c r="AW40" s="3482"/>
      <c r="AX40" s="3482"/>
      <c r="AY40" s="3482"/>
      <c r="AZ40" s="3482"/>
      <c r="BA40" s="3482"/>
      <c r="BB40" s="3498">
        <v>0</v>
      </c>
      <c r="BC40" s="3482"/>
      <c r="BD40" s="3482"/>
      <c r="BE40" s="3482"/>
      <c r="BF40" s="3482"/>
      <c r="BG40" s="3482"/>
      <c r="BH40" s="3482"/>
      <c r="BI40" s="3498">
        <v>0</v>
      </c>
      <c r="BJ40" s="3482"/>
      <c r="BK40" s="3482"/>
      <c r="BL40" s="3482"/>
      <c r="BM40" s="3482"/>
      <c r="BN40" s="3482"/>
      <c r="BO40" s="3482"/>
      <c r="BP40" s="3498">
        <v>0</v>
      </c>
      <c r="BQ40" s="3482"/>
      <c r="BR40" s="3482"/>
      <c r="BS40" s="3482"/>
      <c r="BT40" s="3482"/>
      <c r="BU40" s="3482"/>
      <c r="BV40" s="3482"/>
      <c r="BW40" s="3498">
        <v>0</v>
      </c>
      <c r="BX40" s="3482"/>
      <c r="BY40" s="3482"/>
      <c r="BZ40" s="3482"/>
      <c r="CA40" s="3482"/>
      <c r="CB40" s="3482"/>
      <c r="CC40" s="3482"/>
      <c r="CD40" s="3498">
        <v>0</v>
      </c>
      <c r="CE40" s="3482"/>
      <c r="CF40" s="3482"/>
      <c r="CG40" s="3482"/>
      <c r="CH40" s="3482"/>
      <c r="CI40" s="3482"/>
      <c r="CJ40" s="3482"/>
      <c r="CK40" s="3498">
        <v>0</v>
      </c>
      <c r="CL40" s="3482"/>
      <c r="CM40" s="3482"/>
      <c r="CN40" s="3482"/>
      <c r="CO40" s="3482"/>
      <c r="CP40" s="3482"/>
      <c r="CQ40" s="3482"/>
      <c r="CR40" s="3498">
        <v>0</v>
      </c>
      <c r="CS40" s="3482"/>
      <c r="CT40" s="3482"/>
      <c r="CU40" s="3482"/>
      <c r="CV40" s="3482"/>
      <c r="CW40" s="3482"/>
      <c r="CX40" s="3482"/>
    </row>
    <row r="41" spans="1:102">
      <c r="A41" s="3469">
        <v>3</v>
      </c>
      <c r="B41" s="3469">
        <v>3</v>
      </c>
      <c r="C41" s="3496" t="s">
        <v>518</v>
      </c>
      <c r="D41" s="3473">
        <v>340</v>
      </c>
      <c r="E41" s="3498">
        <v>0</v>
      </c>
      <c r="F41" s="3482"/>
      <c r="G41" s="3482"/>
      <c r="H41" s="3482"/>
      <c r="I41" s="3482"/>
      <c r="J41" s="3482"/>
      <c r="K41" s="3482"/>
      <c r="L41" s="3498">
        <v>0</v>
      </c>
      <c r="M41" s="3482"/>
      <c r="N41" s="3482"/>
      <c r="O41" s="3482"/>
      <c r="P41" s="3482"/>
      <c r="Q41" s="3482"/>
      <c r="R41" s="3482"/>
      <c r="S41" s="3498">
        <v>0</v>
      </c>
      <c r="T41" s="3482"/>
      <c r="U41" s="3482"/>
      <c r="V41" s="3482"/>
      <c r="W41" s="3482"/>
      <c r="X41" s="3482"/>
      <c r="Y41" s="3482"/>
      <c r="Z41" s="3498">
        <v>0</v>
      </c>
      <c r="AA41" s="3482"/>
      <c r="AB41" s="3482"/>
      <c r="AC41" s="3482"/>
      <c r="AD41" s="3482"/>
      <c r="AE41" s="3482"/>
      <c r="AF41" s="3482"/>
      <c r="AG41" s="3498">
        <v>0</v>
      </c>
      <c r="AH41" s="3482"/>
      <c r="AI41" s="3482"/>
      <c r="AJ41" s="3482"/>
      <c r="AK41" s="3482"/>
      <c r="AL41" s="3482"/>
      <c r="AM41" s="3482"/>
      <c r="AN41" s="3498">
        <v>0</v>
      </c>
      <c r="AO41" s="3482"/>
      <c r="AP41" s="3482"/>
      <c r="AQ41" s="3482"/>
      <c r="AR41" s="3482"/>
      <c r="AS41" s="3482"/>
      <c r="AT41" s="3482"/>
      <c r="AU41" s="3498">
        <v>0</v>
      </c>
      <c r="AV41" s="3482"/>
      <c r="AW41" s="3482"/>
      <c r="AX41" s="3482"/>
      <c r="AY41" s="3482"/>
      <c r="AZ41" s="3482"/>
      <c r="BA41" s="3482"/>
      <c r="BB41" s="3498">
        <v>0</v>
      </c>
      <c r="BC41" s="3482"/>
      <c r="BD41" s="3482"/>
      <c r="BE41" s="3482"/>
      <c r="BF41" s="3482"/>
      <c r="BG41" s="3482"/>
      <c r="BH41" s="3482"/>
      <c r="BI41" s="3498">
        <v>0</v>
      </c>
      <c r="BJ41" s="3482"/>
      <c r="BK41" s="3482"/>
      <c r="BL41" s="3482"/>
      <c r="BM41" s="3482"/>
      <c r="BN41" s="3482"/>
      <c r="BO41" s="3482"/>
      <c r="BP41" s="3498">
        <v>0</v>
      </c>
      <c r="BQ41" s="3482"/>
      <c r="BR41" s="3482"/>
      <c r="BS41" s="3482"/>
      <c r="BT41" s="3482"/>
      <c r="BU41" s="3482"/>
      <c r="BV41" s="3482"/>
      <c r="BW41" s="3498">
        <v>0</v>
      </c>
      <c r="BX41" s="3482"/>
      <c r="BY41" s="3482"/>
      <c r="BZ41" s="3482"/>
      <c r="CA41" s="3482"/>
      <c r="CB41" s="3482"/>
      <c r="CC41" s="3482"/>
      <c r="CD41" s="3498">
        <v>0</v>
      </c>
      <c r="CE41" s="3482"/>
      <c r="CF41" s="3482"/>
      <c r="CG41" s="3482"/>
      <c r="CH41" s="3482"/>
      <c r="CI41" s="3482"/>
      <c r="CJ41" s="3482"/>
      <c r="CK41" s="3498">
        <v>0</v>
      </c>
      <c r="CL41" s="3482"/>
      <c r="CM41" s="3482"/>
      <c r="CN41" s="3482"/>
      <c r="CO41" s="3482"/>
      <c r="CP41" s="3482"/>
      <c r="CQ41" s="3482"/>
      <c r="CR41" s="3498">
        <v>0</v>
      </c>
      <c r="CS41" s="3482"/>
      <c r="CT41" s="3482"/>
      <c r="CU41" s="3482"/>
      <c r="CV41" s="3482"/>
      <c r="CW41" s="3482"/>
      <c r="CX41" s="3482"/>
    </row>
    <row r="42" spans="1:102">
      <c r="A42" s="3469">
        <v>4</v>
      </c>
      <c r="B42" s="3469">
        <v>3</v>
      </c>
      <c r="C42" s="3496" t="s">
        <v>519</v>
      </c>
      <c r="D42" s="3473">
        <v>350</v>
      </c>
      <c r="E42" s="3498">
        <v>0</v>
      </c>
      <c r="F42" s="3482"/>
      <c r="G42" s="3482"/>
      <c r="H42" s="3482"/>
      <c r="I42" s="3482"/>
      <c r="J42" s="3482"/>
      <c r="K42" s="3482"/>
      <c r="L42" s="3498">
        <v>0</v>
      </c>
      <c r="M42" s="3482"/>
      <c r="N42" s="3482"/>
      <c r="O42" s="3482"/>
      <c r="P42" s="3482"/>
      <c r="Q42" s="3482"/>
      <c r="R42" s="3482"/>
      <c r="S42" s="3498">
        <v>0</v>
      </c>
      <c r="T42" s="3482"/>
      <c r="U42" s="3482"/>
      <c r="V42" s="3482"/>
      <c r="W42" s="3482"/>
      <c r="X42" s="3482"/>
      <c r="Y42" s="3482"/>
      <c r="Z42" s="3498">
        <v>0</v>
      </c>
      <c r="AA42" s="3482"/>
      <c r="AB42" s="3482"/>
      <c r="AC42" s="3482"/>
      <c r="AD42" s="3482"/>
      <c r="AE42" s="3482"/>
      <c r="AF42" s="3482"/>
      <c r="AG42" s="3498">
        <v>0</v>
      </c>
      <c r="AH42" s="3482"/>
      <c r="AI42" s="3482"/>
      <c r="AJ42" s="3482"/>
      <c r="AK42" s="3482"/>
      <c r="AL42" s="3482"/>
      <c r="AM42" s="3482"/>
      <c r="AN42" s="3498">
        <v>0</v>
      </c>
      <c r="AO42" s="3482"/>
      <c r="AP42" s="3482"/>
      <c r="AQ42" s="3482"/>
      <c r="AR42" s="3482"/>
      <c r="AS42" s="3482"/>
      <c r="AT42" s="3482"/>
      <c r="AU42" s="3498">
        <v>0</v>
      </c>
      <c r="AV42" s="3482"/>
      <c r="AW42" s="3482"/>
      <c r="AX42" s="3482"/>
      <c r="AY42" s="3482"/>
      <c r="AZ42" s="3482"/>
      <c r="BA42" s="3482"/>
      <c r="BB42" s="3498">
        <v>0</v>
      </c>
      <c r="BC42" s="3482"/>
      <c r="BD42" s="3482"/>
      <c r="BE42" s="3482"/>
      <c r="BF42" s="3482"/>
      <c r="BG42" s="3482"/>
      <c r="BH42" s="3482"/>
      <c r="BI42" s="3498">
        <v>0</v>
      </c>
      <c r="BJ42" s="3482"/>
      <c r="BK42" s="3482"/>
      <c r="BL42" s="3482"/>
      <c r="BM42" s="3482"/>
      <c r="BN42" s="3482"/>
      <c r="BO42" s="3482"/>
      <c r="BP42" s="3498">
        <v>0</v>
      </c>
      <c r="BQ42" s="3482"/>
      <c r="BR42" s="3482"/>
      <c r="BS42" s="3482"/>
      <c r="BT42" s="3482"/>
      <c r="BU42" s="3482"/>
      <c r="BV42" s="3482"/>
      <c r="BW42" s="3498">
        <v>0</v>
      </c>
      <c r="BX42" s="3482"/>
      <c r="BY42" s="3482"/>
      <c r="BZ42" s="3482"/>
      <c r="CA42" s="3482"/>
      <c r="CB42" s="3482"/>
      <c r="CC42" s="3482"/>
      <c r="CD42" s="3498">
        <v>0</v>
      </c>
      <c r="CE42" s="3482"/>
      <c r="CF42" s="3482"/>
      <c r="CG42" s="3482"/>
      <c r="CH42" s="3482"/>
      <c r="CI42" s="3482"/>
      <c r="CJ42" s="3482"/>
      <c r="CK42" s="3498">
        <v>0</v>
      </c>
      <c r="CL42" s="3482"/>
      <c r="CM42" s="3482"/>
      <c r="CN42" s="3482"/>
      <c r="CO42" s="3482"/>
      <c r="CP42" s="3482"/>
      <c r="CQ42" s="3482"/>
      <c r="CR42" s="3498">
        <v>0</v>
      </c>
      <c r="CS42" s="3482"/>
      <c r="CT42" s="3482"/>
      <c r="CU42" s="3482"/>
      <c r="CV42" s="3482"/>
      <c r="CW42" s="3482"/>
      <c r="CX42" s="3482"/>
    </row>
    <row r="43" spans="1:102">
      <c r="A43" s="3469">
        <v>5</v>
      </c>
      <c r="B43" s="3469">
        <v>3</v>
      </c>
      <c r="C43" s="3496" t="s">
        <v>520</v>
      </c>
      <c r="D43" s="3473">
        <v>360</v>
      </c>
      <c r="E43" s="3498">
        <v>0</v>
      </c>
      <c r="F43" s="3482"/>
      <c r="G43" s="3482"/>
      <c r="H43" s="3482"/>
      <c r="I43" s="3482"/>
      <c r="J43" s="3482"/>
      <c r="K43" s="3482"/>
      <c r="L43" s="3498">
        <v>0</v>
      </c>
      <c r="M43" s="3482"/>
      <c r="N43" s="3482"/>
      <c r="O43" s="3482"/>
      <c r="P43" s="3482"/>
      <c r="Q43" s="3482"/>
      <c r="R43" s="3482"/>
      <c r="S43" s="3498">
        <v>0</v>
      </c>
      <c r="T43" s="3482"/>
      <c r="U43" s="3482"/>
      <c r="V43" s="3482"/>
      <c r="W43" s="3482"/>
      <c r="X43" s="3482"/>
      <c r="Y43" s="3482"/>
      <c r="Z43" s="3498">
        <v>0</v>
      </c>
      <c r="AA43" s="3482"/>
      <c r="AB43" s="3482"/>
      <c r="AC43" s="3482"/>
      <c r="AD43" s="3482"/>
      <c r="AE43" s="3482"/>
      <c r="AF43" s="3482"/>
      <c r="AG43" s="3498">
        <v>0</v>
      </c>
      <c r="AH43" s="3482"/>
      <c r="AI43" s="3482"/>
      <c r="AJ43" s="3482"/>
      <c r="AK43" s="3482"/>
      <c r="AL43" s="3482"/>
      <c r="AM43" s="3482"/>
      <c r="AN43" s="3498">
        <v>0</v>
      </c>
      <c r="AO43" s="3482"/>
      <c r="AP43" s="3482"/>
      <c r="AQ43" s="3482"/>
      <c r="AR43" s="3482"/>
      <c r="AS43" s="3482"/>
      <c r="AT43" s="3482"/>
      <c r="AU43" s="3498">
        <v>0</v>
      </c>
      <c r="AV43" s="3482"/>
      <c r="AW43" s="3482"/>
      <c r="AX43" s="3482"/>
      <c r="AY43" s="3482"/>
      <c r="AZ43" s="3482"/>
      <c r="BA43" s="3482"/>
      <c r="BB43" s="3498">
        <v>0</v>
      </c>
      <c r="BC43" s="3482"/>
      <c r="BD43" s="3482"/>
      <c r="BE43" s="3482"/>
      <c r="BF43" s="3482"/>
      <c r="BG43" s="3482"/>
      <c r="BH43" s="3482"/>
      <c r="BI43" s="3498">
        <v>0</v>
      </c>
      <c r="BJ43" s="3482"/>
      <c r="BK43" s="3482"/>
      <c r="BL43" s="3482"/>
      <c r="BM43" s="3482"/>
      <c r="BN43" s="3482"/>
      <c r="BO43" s="3482"/>
      <c r="BP43" s="3498">
        <v>0</v>
      </c>
      <c r="BQ43" s="3482"/>
      <c r="BR43" s="3482"/>
      <c r="BS43" s="3482"/>
      <c r="BT43" s="3482"/>
      <c r="BU43" s="3482"/>
      <c r="BV43" s="3482"/>
      <c r="BW43" s="3498">
        <v>0</v>
      </c>
      <c r="BX43" s="3482"/>
      <c r="BY43" s="3482"/>
      <c r="BZ43" s="3482"/>
      <c r="CA43" s="3482"/>
      <c r="CB43" s="3482"/>
      <c r="CC43" s="3482"/>
      <c r="CD43" s="3498">
        <v>0</v>
      </c>
      <c r="CE43" s="3482"/>
      <c r="CF43" s="3482"/>
      <c r="CG43" s="3482"/>
      <c r="CH43" s="3482"/>
      <c r="CI43" s="3482"/>
      <c r="CJ43" s="3482"/>
      <c r="CK43" s="3498">
        <v>0</v>
      </c>
      <c r="CL43" s="3482"/>
      <c r="CM43" s="3482"/>
      <c r="CN43" s="3482"/>
      <c r="CO43" s="3482"/>
      <c r="CP43" s="3482"/>
      <c r="CQ43" s="3482"/>
      <c r="CR43" s="3498">
        <v>0</v>
      </c>
      <c r="CS43" s="3482"/>
      <c r="CT43" s="3482"/>
      <c r="CU43" s="3482"/>
      <c r="CV43" s="3482"/>
      <c r="CW43" s="3482"/>
      <c r="CX43" s="3482"/>
    </row>
    <row r="44" spans="1:102">
      <c r="A44" s="3469">
        <v>6</v>
      </c>
      <c r="B44" s="3469">
        <v>3</v>
      </c>
      <c r="C44" s="3496" t="s">
        <v>521</v>
      </c>
      <c r="D44" s="3473">
        <v>370</v>
      </c>
      <c r="E44" s="3498">
        <v>0</v>
      </c>
      <c r="F44" s="3482"/>
      <c r="G44" s="3482"/>
      <c r="H44" s="3482"/>
      <c r="I44" s="3482"/>
      <c r="J44" s="3482"/>
      <c r="K44" s="3482"/>
      <c r="L44" s="3498">
        <v>0</v>
      </c>
      <c r="M44" s="3482"/>
      <c r="N44" s="3482"/>
      <c r="O44" s="3482"/>
      <c r="P44" s="3482"/>
      <c r="Q44" s="3482"/>
      <c r="R44" s="3482"/>
      <c r="S44" s="3498">
        <v>0</v>
      </c>
      <c r="T44" s="3482"/>
      <c r="U44" s="3482"/>
      <c r="V44" s="3482"/>
      <c r="W44" s="3482"/>
      <c r="X44" s="3482"/>
      <c r="Y44" s="3482"/>
      <c r="Z44" s="3498">
        <v>0</v>
      </c>
      <c r="AA44" s="3482"/>
      <c r="AB44" s="3482"/>
      <c r="AC44" s="3482"/>
      <c r="AD44" s="3482"/>
      <c r="AE44" s="3482"/>
      <c r="AF44" s="3482"/>
      <c r="AG44" s="3498">
        <v>0</v>
      </c>
      <c r="AH44" s="3482"/>
      <c r="AI44" s="3482"/>
      <c r="AJ44" s="3482"/>
      <c r="AK44" s="3482"/>
      <c r="AL44" s="3482"/>
      <c r="AM44" s="3482"/>
      <c r="AN44" s="3498">
        <v>0</v>
      </c>
      <c r="AO44" s="3482"/>
      <c r="AP44" s="3482"/>
      <c r="AQ44" s="3482"/>
      <c r="AR44" s="3482"/>
      <c r="AS44" s="3482"/>
      <c r="AT44" s="3482"/>
      <c r="AU44" s="3498">
        <v>0</v>
      </c>
      <c r="AV44" s="3482"/>
      <c r="AW44" s="3482"/>
      <c r="AX44" s="3482"/>
      <c r="AY44" s="3482"/>
      <c r="AZ44" s="3482"/>
      <c r="BA44" s="3482"/>
      <c r="BB44" s="3498">
        <v>0</v>
      </c>
      <c r="BC44" s="3482"/>
      <c r="BD44" s="3482"/>
      <c r="BE44" s="3482"/>
      <c r="BF44" s="3482"/>
      <c r="BG44" s="3482"/>
      <c r="BH44" s="3482"/>
      <c r="BI44" s="3498">
        <v>0</v>
      </c>
      <c r="BJ44" s="3482"/>
      <c r="BK44" s="3482"/>
      <c r="BL44" s="3482"/>
      <c r="BM44" s="3482"/>
      <c r="BN44" s="3482"/>
      <c r="BO44" s="3482"/>
      <c r="BP44" s="3498">
        <v>0</v>
      </c>
      <c r="BQ44" s="3482"/>
      <c r="BR44" s="3482"/>
      <c r="BS44" s="3482"/>
      <c r="BT44" s="3482"/>
      <c r="BU44" s="3482"/>
      <c r="BV44" s="3482"/>
      <c r="BW44" s="3498">
        <v>0</v>
      </c>
      <c r="BX44" s="3482"/>
      <c r="BY44" s="3482"/>
      <c r="BZ44" s="3482"/>
      <c r="CA44" s="3482"/>
      <c r="CB44" s="3482"/>
      <c r="CC44" s="3482"/>
      <c r="CD44" s="3498">
        <v>0</v>
      </c>
      <c r="CE44" s="3482"/>
      <c r="CF44" s="3482"/>
      <c r="CG44" s="3482"/>
      <c r="CH44" s="3482"/>
      <c r="CI44" s="3482"/>
      <c r="CJ44" s="3482"/>
      <c r="CK44" s="3498">
        <v>0</v>
      </c>
      <c r="CL44" s="3482"/>
      <c r="CM44" s="3482"/>
      <c r="CN44" s="3482"/>
      <c r="CO44" s="3482"/>
      <c r="CP44" s="3482"/>
      <c r="CQ44" s="3482"/>
      <c r="CR44" s="3498">
        <v>0</v>
      </c>
      <c r="CS44" s="3482"/>
      <c r="CT44" s="3482"/>
      <c r="CU44" s="3482"/>
      <c r="CV44" s="3482"/>
      <c r="CW44" s="3482"/>
      <c r="CX44" s="3482"/>
    </row>
    <row r="45" spans="1:102">
      <c r="A45" s="3469">
        <v>7</v>
      </c>
      <c r="B45" s="3469">
        <v>3</v>
      </c>
      <c r="C45" s="3496" t="s">
        <v>4060</v>
      </c>
      <c r="D45" s="3473">
        <v>380</v>
      </c>
      <c r="E45" s="3498">
        <v>0</v>
      </c>
      <c r="F45" s="3482"/>
      <c r="G45" s="3482"/>
      <c r="H45" s="3482"/>
      <c r="I45" s="3482"/>
      <c r="J45" s="3482"/>
      <c r="K45" s="3482"/>
      <c r="L45" s="3498">
        <v>0</v>
      </c>
      <c r="M45" s="3482"/>
      <c r="N45" s="3482"/>
      <c r="O45" s="3482"/>
      <c r="P45" s="3482"/>
      <c r="Q45" s="3482"/>
      <c r="R45" s="3482"/>
      <c r="S45" s="3498">
        <v>0</v>
      </c>
      <c r="T45" s="3482"/>
      <c r="U45" s="3482"/>
      <c r="V45" s="3482"/>
      <c r="W45" s="3482"/>
      <c r="X45" s="3482"/>
      <c r="Y45" s="3482"/>
      <c r="Z45" s="3498">
        <v>0</v>
      </c>
      <c r="AA45" s="3482"/>
      <c r="AB45" s="3482"/>
      <c r="AC45" s="3482"/>
      <c r="AD45" s="3482"/>
      <c r="AE45" s="3482"/>
      <c r="AF45" s="3482"/>
      <c r="AG45" s="3498">
        <v>0</v>
      </c>
      <c r="AH45" s="3482"/>
      <c r="AI45" s="3482"/>
      <c r="AJ45" s="3482"/>
      <c r="AK45" s="3482"/>
      <c r="AL45" s="3482"/>
      <c r="AM45" s="3482"/>
      <c r="AN45" s="3498">
        <v>0</v>
      </c>
      <c r="AO45" s="3482"/>
      <c r="AP45" s="3482"/>
      <c r="AQ45" s="3482"/>
      <c r="AR45" s="3482"/>
      <c r="AS45" s="3482"/>
      <c r="AT45" s="3482"/>
      <c r="AU45" s="3498">
        <v>0</v>
      </c>
      <c r="AV45" s="3482"/>
      <c r="AW45" s="3482"/>
      <c r="AX45" s="3482"/>
      <c r="AY45" s="3482"/>
      <c r="AZ45" s="3482"/>
      <c r="BA45" s="3482"/>
      <c r="BB45" s="3498">
        <v>0</v>
      </c>
      <c r="BC45" s="3482"/>
      <c r="BD45" s="3482"/>
      <c r="BE45" s="3482"/>
      <c r="BF45" s="3482"/>
      <c r="BG45" s="3482"/>
      <c r="BH45" s="3482"/>
      <c r="BI45" s="3498">
        <v>0</v>
      </c>
      <c r="BJ45" s="3482"/>
      <c r="BK45" s="3482"/>
      <c r="BL45" s="3482"/>
      <c r="BM45" s="3482"/>
      <c r="BN45" s="3482"/>
      <c r="BO45" s="3482"/>
      <c r="BP45" s="3498">
        <v>0</v>
      </c>
      <c r="BQ45" s="3482"/>
      <c r="BR45" s="3482"/>
      <c r="BS45" s="3482"/>
      <c r="BT45" s="3482"/>
      <c r="BU45" s="3482"/>
      <c r="BV45" s="3482"/>
      <c r="BW45" s="3498">
        <v>0</v>
      </c>
      <c r="BX45" s="3482"/>
      <c r="BY45" s="3482"/>
      <c r="BZ45" s="3482"/>
      <c r="CA45" s="3482"/>
      <c r="CB45" s="3482"/>
      <c r="CC45" s="3482"/>
      <c r="CD45" s="3498">
        <v>0</v>
      </c>
      <c r="CE45" s="3482"/>
      <c r="CF45" s="3482"/>
      <c r="CG45" s="3482"/>
      <c r="CH45" s="3482"/>
      <c r="CI45" s="3482"/>
      <c r="CJ45" s="3482"/>
      <c r="CK45" s="3498">
        <v>0</v>
      </c>
      <c r="CL45" s="3482"/>
      <c r="CM45" s="3482"/>
      <c r="CN45" s="3482"/>
      <c r="CO45" s="3482"/>
      <c r="CP45" s="3482"/>
      <c r="CQ45" s="3482"/>
      <c r="CR45" s="3498">
        <v>0</v>
      </c>
      <c r="CS45" s="3482"/>
      <c r="CT45" s="3482"/>
      <c r="CU45" s="3482"/>
      <c r="CV45" s="3482"/>
      <c r="CW45" s="3482"/>
      <c r="CX45" s="3482"/>
    </row>
    <row r="46" spans="1:102" ht="38.25">
      <c r="A46" s="3469">
        <v>9</v>
      </c>
      <c r="B46" s="3469">
        <v>5</v>
      </c>
      <c r="C46" s="3492" t="s">
        <v>1981</v>
      </c>
      <c r="D46" s="3493">
        <v>400</v>
      </c>
      <c r="E46" s="3494">
        <f>E57+E58+E59+E60+E61+E62+E63</f>
        <v>19850.285</v>
      </c>
      <c r="F46" s="3494">
        <f t="shared" ref="F46:BQ46" si="4">F57+F58+F59+F60+F61+F62+F63</f>
        <v>0</v>
      </c>
      <c r="G46" s="3494">
        <f t="shared" si="4"/>
        <v>190.53299999999999</v>
      </c>
      <c r="H46" s="3494">
        <f t="shared" si="4"/>
        <v>12530.698</v>
      </c>
      <c r="I46" s="3494">
        <f t="shared" si="4"/>
        <v>7129.054000000001</v>
      </c>
      <c r="J46" s="3494">
        <f t="shared" si="4"/>
        <v>0</v>
      </c>
      <c r="K46" s="3494">
        <f t="shared" si="4"/>
        <v>0</v>
      </c>
      <c r="L46" s="3494">
        <f t="shared" si="4"/>
        <v>175036.05778000003</v>
      </c>
      <c r="M46" s="3494">
        <f t="shared" si="4"/>
        <v>0</v>
      </c>
      <c r="N46" s="3494">
        <f t="shared" si="4"/>
        <v>1611.7967599999999</v>
      </c>
      <c r="O46" s="3494">
        <f t="shared" si="4"/>
        <v>109373.09769000001</v>
      </c>
      <c r="P46" s="3494">
        <f t="shared" si="4"/>
        <v>64051.163329999996</v>
      </c>
      <c r="Q46" s="3494">
        <f t="shared" si="4"/>
        <v>0</v>
      </c>
      <c r="R46" s="3494">
        <f t="shared" si="4"/>
        <v>0</v>
      </c>
      <c r="S46" s="3494">
        <f t="shared" si="4"/>
        <v>295.92699999999996</v>
      </c>
      <c r="T46" s="3494">
        <f t="shared" si="4"/>
        <v>0</v>
      </c>
      <c r="U46" s="3494">
        <f t="shared" si="4"/>
        <v>0</v>
      </c>
      <c r="V46" s="3494">
        <f t="shared" si="4"/>
        <v>292.86599999999999</v>
      </c>
      <c r="W46" s="3494">
        <f t="shared" si="4"/>
        <v>3.0609999999999999</v>
      </c>
      <c r="X46" s="3494">
        <f t="shared" si="4"/>
        <v>0</v>
      </c>
      <c r="Y46" s="3494">
        <f t="shared" si="4"/>
        <v>0</v>
      </c>
      <c r="Z46" s="3494">
        <f t="shared" si="4"/>
        <v>2783.4780800000003</v>
      </c>
      <c r="AA46" s="3494">
        <f t="shared" si="4"/>
        <v>0</v>
      </c>
      <c r="AB46" s="3494">
        <f t="shared" si="4"/>
        <v>0</v>
      </c>
      <c r="AC46" s="3494">
        <f t="shared" si="4"/>
        <v>2754.2478200000005</v>
      </c>
      <c r="AD46" s="3494">
        <f t="shared" si="4"/>
        <v>29.230260000000001</v>
      </c>
      <c r="AE46" s="3494">
        <f t="shared" si="4"/>
        <v>0</v>
      </c>
      <c r="AF46" s="3494">
        <f t="shared" si="4"/>
        <v>0</v>
      </c>
      <c r="AG46" s="3494">
        <f t="shared" si="4"/>
        <v>0</v>
      </c>
      <c r="AH46" s="3494">
        <f t="shared" si="4"/>
        <v>0</v>
      </c>
      <c r="AI46" s="3494">
        <f t="shared" si="4"/>
        <v>0</v>
      </c>
      <c r="AJ46" s="3494">
        <f t="shared" si="4"/>
        <v>0</v>
      </c>
      <c r="AK46" s="3494">
        <f t="shared" si="4"/>
        <v>0</v>
      </c>
      <c r="AL46" s="3494">
        <f t="shared" si="4"/>
        <v>0</v>
      </c>
      <c r="AM46" s="3494">
        <f t="shared" si="4"/>
        <v>0</v>
      </c>
      <c r="AN46" s="3494">
        <f t="shared" si="4"/>
        <v>0</v>
      </c>
      <c r="AO46" s="3494">
        <f t="shared" si="4"/>
        <v>0</v>
      </c>
      <c r="AP46" s="3494">
        <f t="shared" si="4"/>
        <v>0</v>
      </c>
      <c r="AQ46" s="3494">
        <f t="shared" si="4"/>
        <v>0</v>
      </c>
      <c r="AR46" s="3494">
        <f t="shared" si="4"/>
        <v>0</v>
      </c>
      <c r="AS46" s="3494">
        <f t="shared" si="4"/>
        <v>0</v>
      </c>
      <c r="AT46" s="3494">
        <f t="shared" si="4"/>
        <v>0</v>
      </c>
      <c r="AU46" s="3494">
        <f t="shared" si="4"/>
        <v>0</v>
      </c>
      <c r="AV46" s="3494">
        <f t="shared" si="4"/>
        <v>0</v>
      </c>
      <c r="AW46" s="3494">
        <f t="shared" si="4"/>
        <v>0</v>
      </c>
      <c r="AX46" s="3494">
        <f t="shared" si="4"/>
        <v>0</v>
      </c>
      <c r="AY46" s="3494">
        <f t="shared" si="4"/>
        <v>0</v>
      </c>
      <c r="AZ46" s="3494">
        <f t="shared" si="4"/>
        <v>0</v>
      </c>
      <c r="BA46" s="3494">
        <f t="shared" si="4"/>
        <v>0</v>
      </c>
      <c r="BB46" s="3494">
        <f t="shared" si="4"/>
        <v>0</v>
      </c>
      <c r="BC46" s="3494">
        <f t="shared" si="4"/>
        <v>0</v>
      </c>
      <c r="BD46" s="3494">
        <f t="shared" si="4"/>
        <v>0</v>
      </c>
      <c r="BE46" s="3494">
        <f t="shared" si="4"/>
        <v>0</v>
      </c>
      <c r="BF46" s="3494">
        <f t="shared" si="4"/>
        <v>0</v>
      </c>
      <c r="BG46" s="3494">
        <f t="shared" si="4"/>
        <v>0</v>
      </c>
      <c r="BH46" s="3494">
        <f t="shared" si="4"/>
        <v>0</v>
      </c>
      <c r="BI46" s="3494">
        <f t="shared" si="4"/>
        <v>1211.152</v>
      </c>
      <c r="BJ46" s="3494">
        <f t="shared" si="4"/>
        <v>0</v>
      </c>
      <c r="BK46" s="3494">
        <f t="shared" si="4"/>
        <v>0</v>
      </c>
      <c r="BL46" s="3494">
        <f t="shared" si="4"/>
        <v>87.923000000000002</v>
      </c>
      <c r="BM46" s="3494">
        <f t="shared" si="4"/>
        <v>1123.229</v>
      </c>
      <c r="BN46" s="3494">
        <f t="shared" si="4"/>
        <v>0</v>
      </c>
      <c r="BO46" s="3494">
        <f t="shared" si="4"/>
        <v>0</v>
      </c>
      <c r="BP46" s="3494">
        <f t="shared" si="4"/>
        <v>4775.9370100000006</v>
      </c>
      <c r="BQ46" s="3494">
        <f t="shared" si="4"/>
        <v>0</v>
      </c>
      <c r="BR46" s="3494">
        <f t="shared" ref="BR46:CX46" si="5">BR57+BR58+BR59+BR60+BR61+BR62+BR63</f>
        <v>0</v>
      </c>
      <c r="BS46" s="3494">
        <f t="shared" si="5"/>
        <v>314.45769000000001</v>
      </c>
      <c r="BT46" s="3494">
        <f t="shared" si="5"/>
        <v>4461.4793200000004</v>
      </c>
      <c r="BU46" s="3494">
        <f t="shared" si="5"/>
        <v>0</v>
      </c>
      <c r="BV46" s="3494">
        <f t="shared" si="5"/>
        <v>0</v>
      </c>
      <c r="BW46" s="3494">
        <f t="shared" si="5"/>
        <v>1.843</v>
      </c>
      <c r="BX46" s="3494">
        <f t="shared" si="5"/>
        <v>0</v>
      </c>
      <c r="BY46" s="3494">
        <f t="shared" si="5"/>
        <v>0</v>
      </c>
      <c r="BZ46" s="3494">
        <f t="shared" si="5"/>
        <v>0.11799999999999999</v>
      </c>
      <c r="CA46" s="3494">
        <f t="shared" si="5"/>
        <v>1.7250000000000001</v>
      </c>
      <c r="CB46" s="3494">
        <f t="shared" si="5"/>
        <v>0</v>
      </c>
      <c r="CC46" s="3494">
        <f t="shared" si="5"/>
        <v>0</v>
      </c>
      <c r="CD46" s="3494">
        <f t="shared" si="5"/>
        <v>2225.1187500000001</v>
      </c>
      <c r="CE46" s="3494">
        <f t="shared" si="5"/>
        <v>0</v>
      </c>
      <c r="CF46" s="3494">
        <f t="shared" si="5"/>
        <v>0</v>
      </c>
      <c r="CG46" s="3494">
        <f t="shared" si="5"/>
        <v>142.46554999999998</v>
      </c>
      <c r="CH46" s="3494">
        <f t="shared" si="5"/>
        <v>2082.6532000000002</v>
      </c>
      <c r="CI46" s="3494">
        <f t="shared" si="5"/>
        <v>0</v>
      </c>
      <c r="CJ46" s="3494">
        <f t="shared" si="5"/>
        <v>0</v>
      </c>
      <c r="CK46" s="3494">
        <f t="shared" si="5"/>
        <v>2.0569999999999999</v>
      </c>
      <c r="CL46" s="3494">
        <f t="shared" si="5"/>
        <v>0</v>
      </c>
      <c r="CM46" s="3494">
        <f t="shared" si="5"/>
        <v>0</v>
      </c>
      <c r="CN46" s="3494">
        <f t="shared" si="5"/>
        <v>0.123</v>
      </c>
      <c r="CO46" s="3494">
        <f t="shared" si="5"/>
        <v>1.9339999999999999</v>
      </c>
      <c r="CP46" s="3494">
        <f t="shared" si="5"/>
        <v>0</v>
      </c>
      <c r="CQ46" s="3494">
        <f t="shared" si="5"/>
        <v>0</v>
      </c>
      <c r="CR46" s="3494">
        <f t="shared" si="5"/>
        <v>2328.1900500000002</v>
      </c>
      <c r="CS46" s="3494">
        <f t="shared" si="5"/>
        <v>0</v>
      </c>
      <c r="CT46" s="3494">
        <f t="shared" si="5"/>
        <v>0</v>
      </c>
      <c r="CU46" s="3494">
        <f t="shared" si="5"/>
        <v>344.29455000000007</v>
      </c>
      <c r="CV46" s="3494">
        <f t="shared" si="5"/>
        <v>1983.8954999999999</v>
      </c>
      <c r="CW46" s="3494">
        <f t="shared" si="5"/>
        <v>0</v>
      </c>
      <c r="CX46" s="3494">
        <f t="shared" si="5"/>
        <v>0</v>
      </c>
    </row>
    <row r="47" spans="1:102" ht="76.5">
      <c r="A47" s="3469">
        <v>10</v>
      </c>
      <c r="B47" s="3469">
        <v>5</v>
      </c>
      <c r="C47" s="3496" t="s">
        <v>4050</v>
      </c>
      <c r="D47" s="3473">
        <v>410</v>
      </c>
      <c r="E47" s="3495">
        <v>0</v>
      </c>
      <c r="F47" s="3482"/>
      <c r="G47" s="3482"/>
      <c r="H47" s="3482"/>
      <c r="I47" s="3482"/>
      <c r="J47" s="3482"/>
      <c r="K47" s="3482"/>
      <c r="L47" s="3495">
        <v>0</v>
      </c>
      <c r="M47" s="3482"/>
      <c r="N47" s="3482"/>
      <c r="O47" s="3482"/>
      <c r="P47" s="3482"/>
      <c r="Q47" s="3482"/>
      <c r="R47" s="3482"/>
      <c r="S47" s="3495">
        <v>0</v>
      </c>
      <c r="T47" s="3482"/>
      <c r="U47" s="3482"/>
      <c r="V47" s="3482"/>
      <c r="W47" s="3482"/>
      <c r="X47" s="3482"/>
      <c r="Y47" s="3482"/>
      <c r="Z47" s="3495">
        <v>0</v>
      </c>
      <c r="AA47" s="3482"/>
      <c r="AB47" s="3482"/>
      <c r="AC47" s="3482"/>
      <c r="AD47" s="3482"/>
      <c r="AE47" s="3482"/>
      <c r="AF47" s="3482"/>
      <c r="AG47" s="3495">
        <v>0</v>
      </c>
      <c r="AH47" s="3482"/>
      <c r="AI47" s="3482"/>
      <c r="AJ47" s="3482"/>
      <c r="AK47" s="3482"/>
      <c r="AL47" s="3482"/>
      <c r="AM47" s="3482"/>
      <c r="AN47" s="3495">
        <v>0</v>
      </c>
      <c r="AO47" s="3482"/>
      <c r="AP47" s="3482"/>
      <c r="AQ47" s="3482"/>
      <c r="AR47" s="3482"/>
      <c r="AS47" s="3482"/>
      <c r="AT47" s="3482"/>
      <c r="AU47" s="3495">
        <v>0</v>
      </c>
      <c r="AV47" s="3482"/>
      <c r="AW47" s="3482"/>
      <c r="AX47" s="3482"/>
      <c r="AY47" s="3482"/>
      <c r="AZ47" s="3482"/>
      <c r="BA47" s="3482"/>
      <c r="BB47" s="3495">
        <v>0</v>
      </c>
      <c r="BC47" s="3482"/>
      <c r="BD47" s="3482"/>
      <c r="BE47" s="3482"/>
      <c r="BF47" s="3482"/>
      <c r="BG47" s="3482"/>
      <c r="BH47" s="3482"/>
      <c r="BI47" s="3495">
        <v>0</v>
      </c>
      <c r="BJ47" s="3482"/>
      <c r="BK47" s="3482"/>
      <c r="BL47" s="3482"/>
      <c r="BM47" s="3482"/>
      <c r="BN47" s="3482"/>
      <c r="BO47" s="3482"/>
      <c r="BP47" s="3495">
        <v>0</v>
      </c>
      <c r="BQ47" s="3482"/>
      <c r="BR47" s="3482"/>
      <c r="BS47" s="3482"/>
      <c r="BT47" s="3482"/>
      <c r="BU47" s="3482"/>
      <c r="BV47" s="3482"/>
      <c r="BW47" s="3495">
        <v>0</v>
      </c>
      <c r="BX47" s="3482"/>
      <c r="BY47" s="3482"/>
      <c r="BZ47" s="3482"/>
      <c r="CA47" s="3482"/>
      <c r="CB47" s="3482"/>
      <c r="CC47" s="3482"/>
      <c r="CD47" s="3495">
        <v>0</v>
      </c>
      <c r="CE47" s="3482"/>
      <c r="CF47" s="3482"/>
      <c r="CG47" s="3482"/>
      <c r="CH47" s="3482"/>
      <c r="CI47" s="3482"/>
      <c r="CJ47" s="3482"/>
      <c r="CK47" s="3495">
        <v>0</v>
      </c>
      <c r="CL47" s="3482"/>
      <c r="CM47" s="3482"/>
      <c r="CN47" s="3482"/>
      <c r="CO47" s="3482"/>
      <c r="CP47" s="3482"/>
      <c r="CQ47" s="3482"/>
      <c r="CR47" s="3495">
        <v>0</v>
      </c>
      <c r="CS47" s="3482"/>
      <c r="CT47" s="3482"/>
      <c r="CU47" s="3482"/>
      <c r="CV47" s="3482"/>
      <c r="CW47" s="3482"/>
      <c r="CX47" s="3482"/>
    </row>
    <row r="48" spans="1:102" ht="51">
      <c r="A48" s="3469">
        <v>11</v>
      </c>
      <c r="B48" s="3469">
        <v>5</v>
      </c>
      <c r="C48" s="3496" t="s">
        <v>4051</v>
      </c>
      <c r="D48" s="3473">
        <v>411</v>
      </c>
      <c r="E48" s="3495">
        <v>0</v>
      </c>
      <c r="F48" s="3482"/>
      <c r="G48" s="3482"/>
      <c r="H48" s="3482"/>
      <c r="I48" s="3482"/>
      <c r="J48" s="3482"/>
      <c r="K48" s="3482"/>
      <c r="L48" s="3495">
        <v>0</v>
      </c>
      <c r="M48" s="3482"/>
      <c r="N48" s="3482"/>
      <c r="O48" s="3482"/>
      <c r="P48" s="3482"/>
      <c r="Q48" s="3482"/>
      <c r="R48" s="3482"/>
      <c r="S48" s="3495">
        <v>0</v>
      </c>
      <c r="T48" s="3482"/>
      <c r="U48" s="3482"/>
      <c r="V48" s="3482"/>
      <c r="W48" s="3482"/>
      <c r="X48" s="3482"/>
      <c r="Y48" s="3482"/>
      <c r="Z48" s="3495">
        <v>0</v>
      </c>
      <c r="AA48" s="3482"/>
      <c r="AB48" s="3482"/>
      <c r="AC48" s="3482"/>
      <c r="AD48" s="3482"/>
      <c r="AE48" s="3482"/>
      <c r="AF48" s="3482"/>
      <c r="AG48" s="3495">
        <v>0</v>
      </c>
      <c r="AH48" s="3482"/>
      <c r="AI48" s="3482"/>
      <c r="AJ48" s="3482"/>
      <c r="AK48" s="3482"/>
      <c r="AL48" s="3482"/>
      <c r="AM48" s="3482"/>
      <c r="AN48" s="3495">
        <v>0</v>
      </c>
      <c r="AO48" s="3482"/>
      <c r="AP48" s="3482"/>
      <c r="AQ48" s="3482"/>
      <c r="AR48" s="3482"/>
      <c r="AS48" s="3482"/>
      <c r="AT48" s="3482"/>
      <c r="AU48" s="3495">
        <v>0</v>
      </c>
      <c r="AV48" s="3482"/>
      <c r="AW48" s="3482"/>
      <c r="AX48" s="3482"/>
      <c r="AY48" s="3482"/>
      <c r="AZ48" s="3482"/>
      <c r="BA48" s="3482"/>
      <c r="BB48" s="3495">
        <v>0</v>
      </c>
      <c r="BC48" s="3482"/>
      <c r="BD48" s="3482"/>
      <c r="BE48" s="3482"/>
      <c r="BF48" s="3482"/>
      <c r="BG48" s="3482"/>
      <c r="BH48" s="3482"/>
      <c r="BI48" s="3495">
        <v>0</v>
      </c>
      <c r="BJ48" s="3482"/>
      <c r="BK48" s="3482"/>
      <c r="BL48" s="3482"/>
      <c r="BM48" s="3482"/>
      <c r="BN48" s="3482"/>
      <c r="BO48" s="3482"/>
      <c r="BP48" s="3495">
        <v>0</v>
      </c>
      <c r="BQ48" s="3482"/>
      <c r="BR48" s="3482"/>
      <c r="BS48" s="3482"/>
      <c r="BT48" s="3482"/>
      <c r="BU48" s="3482"/>
      <c r="BV48" s="3482"/>
      <c r="BW48" s="3495">
        <v>0</v>
      </c>
      <c r="BX48" s="3482"/>
      <c r="BY48" s="3482"/>
      <c r="BZ48" s="3482"/>
      <c r="CA48" s="3482"/>
      <c r="CB48" s="3482"/>
      <c r="CC48" s="3482"/>
      <c r="CD48" s="3495">
        <v>0</v>
      </c>
      <c r="CE48" s="3482"/>
      <c r="CF48" s="3482"/>
      <c r="CG48" s="3482"/>
      <c r="CH48" s="3482"/>
      <c r="CI48" s="3482"/>
      <c r="CJ48" s="3482"/>
      <c r="CK48" s="3495">
        <v>0</v>
      </c>
      <c r="CL48" s="3482"/>
      <c r="CM48" s="3482"/>
      <c r="CN48" s="3482"/>
      <c r="CO48" s="3482"/>
      <c r="CP48" s="3482"/>
      <c r="CQ48" s="3482"/>
      <c r="CR48" s="3495">
        <v>0</v>
      </c>
      <c r="CS48" s="3482"/>
      <c r="CT48" s="3482"/>
      <c r="CU48" s="3482"/>
      <c r="CV48" s="3482"/>
      <c r="CW48" s="3482"/>
      <c r="CX48" s="3482"/>
    </row>
    <row r="49" spans="1:102" ht="25.5">
      <c r="A49" s="3469">
        <v>12</v>
      </c>
      <c r="B49" s="3469">
        <v>5</v>
      </c>
      <c r="C49" s="3496" t="s">
        <v>4052</v>
      </c>
      <c r="D49" s="3473">
        <v>412</v>
      </c>
      <c r="E49" s="3495">
        <v>0</v>
      </c>
      <c r="F49" s="3482"/>
      <c r="G49" s="3482"/>
      <c r="H49" s="3482"/>
      <c r="I49" s="3482"/>
      <c r="J49" s="3482"/>
      <c r="K49" s="3482"/>
      <c r="L49" s="3495">
        <v>0</v>
      </c>
      <c r="M49" s="3482"/>
      <c r="N49" s="3482"/>
      <c r="O49" s="3482"/>
      <c r="P49" s="3482"/>
      <c r="Q49" s="3482"/>
      <c r="R49" s="3482"/>
      <c r="S49" s="3495">
        <v>0</v>
      </c>
      <c r="T49" s="3482"/>
      <c r="U49" s="3482"/>
      <c r="V49" s="3482"/>
      <c r="W49" s="3482"/>
      <c r="X49" s="3482"/>
      <c r="Y49" s="3482"/>
      <c r="Z49" s="3495">
        <v>0</v>
      </c>
      <c r="AA49" s="3482"/>
      <c r="AB49" s="3482"/>
      <c r="AC49" s="3482"/>
      <c r="AD49" s="3482"/>
      <c r="AE49" s="3482"/>
      <c r="AF49" s="3482"/>
      <c r="AG49" s="3495">
        <v>0</v>
      </c>
      <c r="AH49" s="3482"/>
      <c r="AI49" s="3482"/>
      <c r="AJ49" s="3482"/>
      <c r="AK49" s="3482"/>
      <c r="AL49" s="3482"/>
      <c r="AM49" s="3482"/>
      <c r="AN49" s="3495">
        <v>0</v>
      </c>
      <c r="AO49" s="3482"/>
      <c r="AP49" s="3482"/>
      <c r="AQ49" s="3482"/>
      <c r="AR49" s="3482"/>
      <c r="AS49" s="3482"/>
      <c r="AT49" s="3482"/>
      <c r="AU49" s="3495">
        <v>0</v>
      </c>
      <c r="AV49" s="3482"/>
      <c r="AW49" s="3482"/>
      <c r="AX49" s="3482"/>
      <c r="AY49" s="3482"/>
      <c r="AZ49" s="3482"/>
      <c r="BA49" s="3482"/>
      <c r="BB49" s="3495">
        <v>0</v>
      </c>
      <c r="BC49" s="3482"/>
      <c r="BD49" s="3482"/>
      <c r="BE49" s="3482"/>
      <c r="BF49" s="3482"/>
      <c r="BG49" s="3482"/>
      <c r="BH49" s="3482"/>
      <c r="BI49" s="3495">
        <v>0</v>
      </c>
      <c r="BJ49" s="3482"/>
      <c r="BK49" s="3482"/>
      <c r="BL49" s="3482"/>
      <c r="BM49" s="3482"/>
      <c r="BN49" s="3482"/>
      <c r="BO49" s="3482"/>
      <c r="BP49" s="3495">
        <v>0</v>
      </c>
      <c r="BQ49" s="3482"/>
      <c r="BR49" s="3482"/>
      <c r="BS49" s="3482"/>
      <c r="BT49" s="3482"/>
      <c r="BU49" s="3482"/>
      <c r="BV49" s="3482"/>
      <c r="BW49" s="3495">
        <v>0</v>
      </c>
      <c r="BX49" s="3482"/>
      <c r="BY49" s="3482"/>
      <c r="BZ49" s="3482"/>
      <c r="CA49" s="3482"/>
      <c r="CB49" s="3482"/>
      <c r="CC49" s="3482"/>
      <c r="CD49" s="3495">
        <v>0</v>
      </c>
      <c r="CE49" s="3482"/>
      <c r="CF49" s="3482"/>
      <c r="CG49" s="3482"/>
      <c r="CH49" s="3482"/>
      <c r="CI49" s="3482"/>
      <c r="CJ49" s="3482"/>
      <c r="CK49" s="3495">
        <v>0</v>
      </c>
      <c r="CL49" s="3482"/>
      <c r="CM49" s="3482"/>
      <c r="CN49" s="3482"/>
      <c r="CO49" s="3482"/>
      <c r="CP49" s="3482"/>
      <c r="CQ49" s="3482"/>
      <c r="CR49" s="3495">
        <v>0</v>
      </c>
      <c r="CS49" s="3482"/>
      <c r="CT49" s="3482"/>
      <c r="CU49" s="3482"/>
      <c r="CV49" s="3482"/>
      <c r="CW49" s="3482"/>
      <c r="CX49" s="3482"/>
    </row>
    <row r="50" spans="1:102" ht="25.5">
      <c r="A50" s="3469">
        <v>13</v>
      </c>
      <c r="B50" s="3469">
        <v>5</v>
      </c>
      <c r="C50" s="3496" t="s">
        <v>4053</v>
      </c>
      <c r="D50" s="3473">
        <v>413</v>
      </c>
      <c r="E50" s="3495">
        <v>0</v>
      </c>
      <c r="F50" s="3482"/>
      <c r="G50" s="3482"/>
      <c r="H50" s="3482"/>
      <c r="I50" s="3482"/>
      <c r="J50" s="3482"/>
      <c r="K50" s="3482"/>
      <c r="L50" s="3495">
        <v>0</v>
      </c>
      <c r="M50" s="3482"/>
      <c r="N50" s="3482"/>
      <c r="O50" s="3482"/>
      <c r="P50" s="3482"/>
      <c r="Q50" s="3482"/>
      <c r="R50" s="3482"/>
      <c r="S50" s="3495">
        <v>0</v>
      </c>
      <c r="T50" s="3482"/>
      <c r="U50" s="3482"/>
      <c r="V50" s="3482"/>
      <c r="W50" s="3482"/>
      <c r="X50" s="3482"/>
      <c r="Y50" s="3482"/>
      <c r="Z50" s="3495">
        <v>0</v>
      </c>
      <c r="AA50" s="3482"/>
      <c r="AB50" s="3482"/>
      <c r="AC50" s="3482"/>
      <c r="AD50" s="3482"/>
      <c r="AE50" s="3482"/>
      <c r="AF50" s="3482"/>
      <c r="AG50" s="3495">
        <v>0</v>
      </c>
      <c r="AH50" s="3482"/>
      <c r="AI50" s="3482"/>
      <c r="AJ50" s="3482"/>
      <c r="AK50" s="3482"/>
      <c r="AL50" s="3482"/>
      <c r="AM50" s="3482"/>
      <c r="AN50" s="3495">
        <v>0</v>
      </c>
      <c r="AO50" s="3482"/>
      <c r="AP50" s="3482"/>
      <c r="AQ50" s="3482"/>
      <c r="AR50" s="3482"/>
      <c r="AS50" s="3482"/>
      <c r="AT50" s="3482"/>
      <c r="AU50" s="3495">
        <v>0</v>
      </c>
      <c r="AV50" s="3482"/>
      <c r="AW50" s="3482"/>
      <c r="AX50" s="3482"/>
      <c r="AY50" s="3482"/>
      <c r="AZ50" s="3482"/>
      <c r="BA50" s="3482"/>
      <c r="BB50" s="3495">
        <v>0</v>
      </c>
      <c r="BC50" s="3482"/>
      <c r="BD50" s="3482"/>
      <c r="BE50" s="3482"/>
      <c r="BF50" s="3482"/>
      <c r="BG50" s="3482"/>
      <c r="BH50" s="3482"/>
      <c r="BI50" s="3495">
        <v>0</v>
      </c>
      <c r="BJ50" s="3482"/>
      <c r="BK50" s="3482"/>
      <c r="BL50" s="3482"/>
      <c r="BM50" s="3482"/>
      <c r="BN50" s="3482"/>
      <c r="BO50" s="3482"/>
      <c r="BP50" s="3495">
        <v>0</v>
      </c>
      <c r="BQ50" s="3482"/>
      <c r="BR50" s="3482"/>
      <c r="BS50" s="3482"/>
      <c r="BT50" s="3482"/>
      <c r="BU50" s="3482"/>
      <c r="BV50" s="3482"/>
      <c r="BW50" s="3495">
        <v>0</v>
      </c>
      <c r="BX50" s="3482"/>
      <c r="BY50" s="3482"/>
      <c r="BZ50" s="3482"/>
      <c r="CA50" s="3482"/>
      <c r="CB50" s="3482"/>
      <c r="CC50" s="3482"/>
      <c r="CD50" s="3495">
        <v>0</v>
      </c>
      <c r="CE50" s="3482"/>
      <c r="CF50" s="3482"/>
      <c r="CG50" s="3482"/>
      <c r="CH50" s="3482"/>
      <c r="CI50" s="3482"/>
      <c r="CJ50" s="3482"/>
      <c r="CK50" s="3495">
        <v>0</v>
      </c>
      <c r="CL50" s="3482"/>
      <c r="CM50" s="3482"/>
      <c r="CN50" s="3482"/>
      <c r="CO50" s="3482"/>
      <c r="CP50" s="3482"/>
      <c r="CQ50" s="3482"/>
      <c r="CR50" s="3495">
        <v>0</v>
      </c>
      <c r="CS50" s="3482"/>
      <c r="CT50" s="3482"/>
      <c r="CU50" s="3482"/>
      <c r="CV50" s="3482"/>
      <c r="CW50" s="3482"/>
      <c r="CX50" s="3482"/>
    </row>
    <row r="51" spans="1:102" ht="25.5">
      <c r="A51" s="3469">
        <v>14</v>
      </c>
      <c r="B51" s="3469">
        <v>5</v>
      </c>
      <c r="C51" s="3496" t="s">
        <v>4054</v>
      </c>
      <c r="D51" s="3473">
        <v>414</v>
      </c>
      <c r="E51" s="3495">
        <v>0</v>
      </c>
      <c r="F51" s="3482"/>
      <c r="G51" s="3482"/>
      <c r="H51" s="3482"/>
      <c r="I51" s="3482"/>
      <c r="J51" s="3482"/>
      <c r="K51" s="3482"/>
      <c r="L51" s="3495">
        <v>0</v>
      </c>
      <c r="M51" s="3482"/>
      <c r="N51" s="3482"/>
      <c r="O51" s="3482"/>
      <c r="P51" s="3482"/>
      <c r="Q51" s="3482"/>
      <c r="R51" s="3482"/>
      <c r="S51" s="3495">
        <v>0</v>
      </c>
      <c r="T51" s="3482"/>
      <c r="U51" s="3482"/>
      <c r="V51" s="3482"/>
      <c r="W51" s="3482"/>
      <c r="X51" s="3482"/>
      <c r="Y51" s="3482"/>
      <c r="Z51" s="3495">
        <v>0</v>
      </c>
      <c r="AA51" s="3482"/>
      <c r="AB51" s="3482"/>
      <c r="AC51" s="3482"/>
      <c r="AD51" s="3482"/>
      <c r="AE51" s="3482"/>
      <c r="AF51" s="3482"/>
      <c r="AG51" s="3495">
        <v>0</v>
      </c>
      <c r="AH51" s="3482"/>
      <c r="AI51" s="3482"/>
      <c r="AJ51" s="3482"/>
      <c r="AK51" s="3482"/>
      <c r="AL51" s="3482"/>
      <c r="AM51" s="3482"/>
      <c r="AN51" s="3495">
        <v>0</v>
      </c>
      <c r="AO51" s="3482"/>
      <c r="AP51" s="3482"/>
      <c r="AQ51" s="3482"/>
      <c r="AR51" s="3482"/>
      <c r="AS51" s="3482"/>
      <c r="AT51" s="3482"/>
      <c r="AU51" s="3495">
        <v>0</v>
      </c>
      <c r="AV51" s="3482"/>
      <c r="AW51" s="3482"/>
      <c r="AX51" s="3482"/>
      <c r="AY51" s="3482"/>
      <c r="AZ51" s="3482"/>
      <c r="BA51" s="3482"/>
      <c r="BB51" s="3495">
        <v>0</v>
      </c>
      <c r="BC51" s="3482"/>
      <c r="BD51" s="3482"/>
      <c r="BE51" s="3482"/>
      <c r="BF51" s="3482"/>
      <c r="BG51" s="3482"/>
      <c r="BH51" s="3482"/>
      <c r="BI51" s="3495">
        <v>0</v>
      </c>
      <c r="BJ51" s="3482"/>
      <c r="BK51" s="3482"/>
      <c r="BL51" s="3482"/>
      <c r="BM51" s="3482"/>
      <c r="BN51" s="3482"/>
      <c r="BO51" s="3482"/>
      <c r="BP51" s="3495">
        <v>0</v>
      </c>
      <c r="BQ51" s="3482"/>
      <c r="BR51" s="3482"/>
      <c r="BS51" s="3482"/>
      <c r="BT51" s="3482"/>
      <c r="BU51" s="3482"/>
      <c r="BV51" s="3482"/>
      <c r="BW51" s="3495">
        <v>0</v>
      </c>
      <c r="BX51" s="3482"/>
      <c r="BY51" s="3482"/>
      <c r="BZ51" s="3482"/>
      <c r="CA51" s="3482"/>
      <c r="CB51" s="3482"/>
      <c r="CC51" s="3482"/>
      <c r="CD51" s="3495">
        <v>0</v>
      </c>
      <c r="CE51" s="3482"/>
      <c r="CF51" s="3482"/>
      <c r="CG51" s="3482"/>
      <c r="CH51" s="3482"/>
      <c r="CI51" s="3482"/>
      <c r="CJ51" s="3482"/>
      <c r="CK51" s="3495">
        <v>0</v>
      </c>
      <c r="CL51" s="3482"/>
      <c r="CM51" s="3482"/>
      <c r="CN51" s="3482"/>
      <c r="CO51" s="3482"/>
      <c r="CP51" s="3482"/>
      <c r="CQ51" s="3482"/>
      <c r="CR51" s="3495">
        <v>0</v>
      </c>
      <c r="CS51" s="3482"/>
      <c r="CT51" s="3482"/>
      <c r="CU51" s="3482"/>
      <c r="CV51" s="3482"/>
      <c r="CW51" s="3482"/>
      <c r="CX51" s="3482"/>
    </row>
    <row r="52" spans="1:102" ht="25.5">
      <c r="A52" s="3469">
        <v>15</v>
      </c>
      <c r="B52" s="3469">
        <v>5</v>
      </c>
      <c r="C52" s="3496" t="s">
        <v>4055</v>
      </c>
      <c r="D52" s="3473">
        <v>415</v>
      </c>
      <c r="E52" s="3495">
        <v>0</v>
      </c>
      <c r="F52" s="3482"/>
      <c r="G52" s="3482"/>
      <c r="H52" s="3482"/>
      <c r="I52" s="3482"/>
      <c r="J52" s="3482"/>
      <c r="K52" s="3482"/>
      <c r="L52" s="3495">
        <v>0</v>
      </c>
      <c r="M52" s="3482"/>
      <c r="N52" s="3482"/>
      <c r="O52" s="3482"/>
      <c r="P52" s="3482"/>
      <c r="Q52" s="3482"/>
      <c r="R52" s="3482"/>
      <c r="S52" s="3495">
        <v>0</v>
      </c>
      <c r="T52" s="3482"/>
      <c r="U52" s="3482"/>
      <c r="V52" s="3482"/>
      <c r="W52" s="3482"/>
      <c r="X52" s="3482"/>
      <c r="Y52" s="3482"/>
      <c r="Z52" s="3495">
        <v>0</v>
      </c>
      <c r="AA52" s="3482"/>
      <c r="AB52" s="3482"/>
      <c r="AC52" s="3482"/>
      <c r="AD52" s="3482"/>
      <c r="AE52" s="3482"/>
      <c r="AF52" s="3482"/>
      <c r="AG52" s="3495">
        <v>0</v>
      </c>
      <c r="AH52" s="3482"/>
      <c r="AI52" s="3482"/>
      <c r="AJ52" s="3482"/>
      <c r="AK52" s="3482"/>
      <c r="AL52" s="3482"/>
      <c r="AM52" s="3482"/>
      <c r="AN52" s="3495">
        <v>0</v>
      </c>
      <c r="AO52" s="3482"/>
      <c r="AP52" s="3482"/>
      <c r="AQ52" s="3482"/>
      <c r="AR52" s="3482"/>
      <c r="AS52" s="3482"/>
      <c r="AT52" s="3482"/>
      <c r="AU52" s="3495">
        <v>0</v>
      </c>
      <c r="AV52" s="3482"/>
      <c r="AW52" s="3482"/>
      <c r="AX52" s="3482"/>
      <c r="AY52" s="3482"/>
      <c r="AZ52" s="3482"/>
      <c r="BA52" s="3482"/>
      <c r="BB52" s="3495">
        <v>0</v>
      </c>
      <c r="BC52" s="3482"/>
      <c r="BD52" s="3482"/>
      <c r="BE52" s="3482"/>
      <c r="BF52" s="3482"/>
      <c r="BG52" s="3482"/>
      <c r="BH52" s="3482"/>
      <c r="BI52" s="3495">
        <v>0</v>
      </c>
      <c r="BJ52" s="3482"/>
      <c r="BK52" s="3482"/>
      <c r="BL52" s="3482"/>
      <c r="BM52" s="3482"/>
      <c r="BN52" s="3482"/>
      <c r="BO52" s="3482"/>
      <c r="BP52" s="3495">
        <v>0</v>
      </c>
      <c r="BQ52" s="3482"/>
      <c r="BR52" s="3482"/>
      <c r="BS52" s="3482"/>
      <c r="BT52" s="3482"/>
      <c r="BU52" s="3482"/>
      <c r="BV52" s="3482"/>
      <c r="BW52" s="3495">
        <v>0</v>
      </c>
      <c r="BX52" s="3482"/>
      <c r="BY52" s="3482"/>
      <c r="BZ52" s="3482"/>
      <c r="CA52" s="3482"/>
      <c r="CB52" s="3482"/>
      <c r="CC52" s="3482"/>
      <c r="CD52" s="3495">
        <v>0</v>
      </c>
      <c r="CE52" s="3482"/>
      <c r="CF52" s="3482"/>
      <c r="CG52" s="3482"/>
      <c r="CH52" s="3482"/>
      <c r="CI52" s="3482"/>
      <c r="CJ52" s="3482"/>
      <c r="CK52" s="3495">
        <v>0</v>
      </c>
      <c r="CL52" s="3482"/>
      <c r="CM52" s="3482"/>
      <c r="CN52" s="3482"/>
      <c r="CO52" s="3482"/>
      <c r="CP52" s="3482"/>
      <c r="CQ52" s="3482"/>
      <c r="CR52" s="3495">
        <v>0</v>
      </c>
      <c r="CS52" s="3482"/>
      <c r="CT52" s="3482"/>
      <c r="CU52" s="3482"/>
      <c r="CV52" s="3482"/>
      <c r="CW52" s="3482"/>
      <c r="CX52" s="3482"/>
    </row>
    <row r="53" spans="1:102" ht="25.5">
      <c r="A53" s="3469">
        <v>16</v>
      </c>
      <c r="B53" s="3469">
        <v>5</v>
      </c>
      <c r="C53" s="3496" t="s">
        <v>4056</v>
      </c>
      <c r="D53" s="3473">
        <v>416</v>
      </c>
      <c r="E53" s="3495">
        <v>0</v>
      </c>
      <c r="F53" s="3482"/>
      <c r="G53" s="3482"/>
      <c r="H53" s="3482"/>
      <c r="I53" s="3482"/>
      <c r="J53" s="3482"/>
      <c r="K53" s="3482"/>
      <c r="L53" s="3495">
        <v>0</v>
      </c>
      <c r="M53" s="3482"/>
      <c r="N53" s="3482"/>
      <c r="O53" s="3482"/>
      <c r="P53" s="3482"/>
      <c r="Q53" s="3482"/>
      <c r="R53" s="3482"/>
      <c r="S53" s="3495">
        <v>0</v>
      </c>
      <c r="T53" s="3482"/>
      <c r="U53" s="3482"/>
      <c r="V53" s="3482"/>
      <c r="W53" s="3482"/>
      <c r="X53" s="3482"/>
      <c r="Y53" s="3482"/>
      <c r="Z53" s="3495">
        <v>0</v>
      </c>
      <c r="AA53" s="3482"/>
      <c r="AB53" s="3482"/>
      <c r="AC53" s="3482"/>
      <c r="AD53" s="3482"/>
      <c r="AE53" s="3482"/>
      <c r="AF53" s="3482"/>
      <c r="AG53" s="3495">
        <v>0</v>
      </c>
      <c r="AH53" s="3482"/>
      <c r="AI53" s="3482"/>
      <c r="AJ53" s="3482"/>
      <c r="AK53" s="3482"/>
      <c r="AL53" s="3482"/>
      <c r="AM53" s="3482"/>
      <c r="AN53" s="3495">
        <v>0</v>
      </c>
      <c r="AO53" s="3482"/>
      <c r="AP53" s="3482"/>
      <c r="AQ53" s="3482"/>
      <c r="AR53" s="3482"/>
      <c r="AS53" s="3482"/>
      <c r="AT53" s="3482"/>
      <c r="AU53" s="3495">
        <v>0</v>
      </c>
      <c r="AV53" s="3482"/>
      <c r="AW53" s="3482"/>
      <c r="AX53" s="3482"/>
      <c r="AY53" s="3482"/>
      <c r="AZ53" s="3482"/>
      <c r="BA53" s="3482"/>
      <c r="BB53" s="3495">
        <v>0</v>
      </c>
      <c r="BC53" s="3482"/>
      <c r="BD53" s="3482"/>
      <c r="BE53" s="3482"/>
      <c r="BF53" s="3482"/>
      <c r="BG53" s="3482"/>
      <c r="BH53" s="3482"/>
      <c r="BI53" s="3495">
        <v>0</v>
      </c>
      <c r="BJ53" s="3482"/>
      <c r="BK53" s="3482"/>
      <c r="BL53" s="3482"/>
      <c r="BM53" s="3482"/>
      <c r="BN53" s="3482"/>
      <c r="BO53" s="3482"/>
      <c r="BP53" s="3495">
        <v>0</v>
      </c>
      <c r="BQ53" s="3482"/>
      <c r="BR53" s="3482"/>
      <c r="BS53" s="3482"/>
      <c r="BT53" s="3482"/>
      <c r="BU53" s="3482"/>
      <c r="BV53" s="3482"/>
      <c r="BW53" s="3495">
        <v>0</v>
      </c>
      <c r="BX53" s="3482"/>
      <c r="BY53" s="3482"/>
      <c r="BZ53" s="3482"/>
      <c r="CA53" s="3482"/>
      <c r="CB53" s="3482"/>
      <c r="CC53" s="3482"/>
      <c r="CD53" s="3495">
        <v>0</v>
      </c>
      <c r="CE53" s="3482"/>
      <c r="CF53" s="3482"/>
      <c r="CG53" s="3482"/>
      <c r="CH53" s="3482"/>
      <c r="CI53" s="3482"/>
      <c r="CJ53" s="3482"/>
      <c r="CK53" s="3495">
        <v>0</v>
      </c>
      <c r="CL53" s="3482"/>
      <c r="CM53" s="3482"/>
      <c r="CN53" s="3482"/>
      <c r="CO53" s="3482"/>
      <c r="CP53" s="3482"/>
      <c r="CQ53" s="3482"/>
      <c r="CR53" s="3495">
        <v>0</v>
      </c>
      <c r="CS53" s="3482"/>
      <c r="CT53" s="3482"/>
      <c r="CU53" s="3482"/>
      <c r="CV53" s="3482"/>
      <c r="CW53" s="3482"/>
      <c r="CX53" s="3482"/>
    </row>
    <row r="54" spans="1:102" ht="25.5">
      <c r="A54" s="3469">
        <v>17</v>
      </c>
      <c r="B54" s="3469">
        <v>5</v>
      </c>
      <c r="C54" s="3496" t="s">
        <v>4057</v>
      </c>
      <c r="D54" s="3473">
        <v>417</v>
      </c>
      <c r="E54" s="3495">
        <v>0</v>
      </c>
      <c r="F54" s="3482"/>
      <c r="G54" s="3482"/>
      <c r="H54" s="3482"/>
      <c r="I54" s="3482"/>
      <c r="J54" s="3482"/>
      <c r="K54" s="3482"/>
      <c r="L54" s="3495">
        <v>0</v>
      </c>
      <c r="M54" s="3482"/>
      <c r="N54" s="3482"/>
      <c r="O54" s="3482"/>
      <c r="P54" s="3482"/>
      <c r="Q54" s="3482"/>
      <c r="R54" s="3482"/>
      <c r="S54" s="3495">
        <v>0</v>
      </c>
      <c r="T54" s="3482"/>
      <c r="U54" s="3482"/>
      <c r="V54" s="3482"/>
      <c r="W54" s="3482"/>
      <c r="X54" s="3482"/>
      <c r="Y54" s="3482"/>
      <c r="Z54" s="3495">
        <v>0</v>
      </c>
      <c r="AA54" s="3482"/>
      <c r="AB54" s="3482"/>
      <c r="AC54" s="3482"/>
      <c r="AD54" s="3482"/>
      <c r="AE54" s="3482"/>
      <c r="AF54" s="3482"/>
      <c r="AG54" s="3495">
        <v>0</v>
      </c>
      <c r="AH54" s="3482"/>
      <c r="AI54" s="3482"/>
      <c r="AJ54" s="3482"/>
      <c r="AK54" s="3482"/>
      <c r="AL54" s="3482"/>
      <c r="AM54" s="3482"/>
      <c r="AN54" s="3495">
        <v>0</v>
      </c>
      <c r="AO54" s="3482"/>
      <c r="AP54" s="3482"/>
      <c r="AQ54" s="3482"/>
      <c r="AR54" s="3482"/>
      <c r="AS54" s="3482"/>
      <c r="AT54" s="3482"/>
      <c r="AU54" s="3495">
        <v>0</v>
      </c>
      <c r="AV54" s="3482"/>
      <c r="AW54" s="3482"/>
      <c r="AX54" s="3482"/>
      <c r="AY54" s="3482"/>
      <c r="AZ54" s="3482"/>
      <c r="BA54" s="3482"/>
      <c r="BB54" s="3495">
        <v>0</v>
      </c>
      <c r="BC54" s="3482"/>
      <c r="BD54" s="3482"/>
      <c r="BE54" s="3482"/>
      <c r="BF54" s="3482"/>
      <c r="BG54" s="3482"/>
      <c r="BH54" s="3482"/>
      <c r="BI54" s="3495">
        <v>0</v>
      </c>
      <c r="BJ54" s="3482"/>
      <c r="BK54" s="3482"/>
      <c r="BL54" s="3482"/>
      <c r="BM54" s="3482"/>
      <c r="BN54" s="3482"/>
      <c r="BO54" s="3482"/>
      <c r="BP54" s="3495">
        <v>0</v>
      </c>
      <c r="BQ54" s="3482"/>
      <c r="BR54" s="3482"/>
      <c r="BS54" s="3482"/>
      <c r="BT54" s="3482"/>
      <c r="BU54" s="3482"/>
      <c r="BV54" s="3482"/>
      <c r="BW54" s="3495">
        <v>0</v>
      </c>
      <c r="BX54" s="3482"/>
      <c r="BY54" s="3482"/>
      <c r="BZ54" s="3482"/>
      <c r="CA54" s="3482"/>
      <c r="CB54" s="3482"/>
      <c r="CC54" s="3482"/>
      <c r="CD54" s="3495">
        <v>0</v>
      </c>
      <c r="CE54" s="3482"/>
      <c r="CF54" s="3482"/>
      <c r="CG54" s="3482"/>
      <c r="CH54" s="3482"/>
      <c r="CI54" s="3482"/>
      <c r="CJ54" s="3482"/>
      <c r="CK54" s="3495">
        <v>0</v>
      </c>
      <c r="CL54" s="3482"/>
      <c r="CM54" s="3482"/>
      <c r="CN54" s="3482"/>
      <c r="CO54" s="3482"/>
      <c r="CP54" s="3482"/>
      <c r="CQ54" s="3482"/>
      <c r="CR54" s="3495">
        <v>0</v>
      </c>
      <c r="CS54" s="3482"/>
      <c r="CT54" s="3482"/>
      <c r="CU54" s="3482"/>
      <c r="CV54" s="3482"/>
      <c r="CW54" s="3482"/>
      <c r="CX54" s="3482"/>
    </row>
    <row r="55" spans="1:102" ht="25.5">
      <c r="A55" s="3469">
        <v>18</v>
      </c>
      <c r="B55" s="3469">
        <v>5</v>
      </c>
      <c r="C55" s="3496" t="s">
        <v>4058</v>
      </c>
      <c r="D55" s="3473">
        <v>418</v>
      </c>
      <c r="E55" s="3495">
        <v>0</v>
      </c>
      <c r="F55" s="3482"/>
      <c r="G55" s="3482"/>
      <c r="H55" s="3482"/>
      <c r="I55" s="3482"/>
      <c r="J55" s="3482"/>
      <c r="K55" s="3482"/>
      <c r="L55" s="3495">
        <v>0</v>
      </c>
      <c r="M55" s="3482"/>
      <c r="N55" s="3482"/>
      <c r="O55" s="3482"/>
      <c r="P55" s="3482"/>
      <c r="Q55" s="3482"/>
      <c r="R55" s="3482"/>
      <c r="S55" s="3495">
        <v>0</v>
      </c>
      <c r="T55" s="3482"/>
      <c r="U55" s="3482"/>
      <c r="V55" s="3482"/>
      <c r="W55" s="3482"/>
      <c r="X55" s="3482"/>
      <c r="Y55" s="3482"/>
      <c r="Z55" s="3495">
        <v>0</v>
      </c>
      <c r="AA55" s="3482"/>
      <c r="AB55" s="3482"/>
      <c r="AC55" s="3482"/>
      <c r="AD55" s="3482"/>
      <c r="AE55" s="3482"/>
      <c r="AF55" s="3482"/>
      <c r="AG55" s="3495">
        <v>0</v>
      </c>
      <c r="AH55" s="3482"/>
      <c r="AI55" s="3482"/>
      <c r="AJ55" s="3482"/>
      <c r="AK55" s="3482"/>
      <c r="AL55" s="3482"/>
      <c r="AM55" s="3482"/>
      <c r="AN55" s="3495">
        <v>0</v>
      </c>
      <c r="AO55" s="3482"/>
      <c r="AP55" s="3482"/>
      <c r="AQ55" s="3482"/>
      <c r="AR55" s="3482"/>
      <c r="AS55" s="3482"/>
      <c r="AT55" s="3482"/>
      <c r="AU55" s="3495">
        <v>0</v>
      </c>
      <c r="AV55" s="3482"/>
      <c r="AW55" s="3482"/>
      <c r="AX55" s="3482"/>
      <c r="AY55" s="3482"/>
      <c r="AZ55" s="3482"/>
      <c r="BA55" s="3482"/>
      <c r="BB55" s="3495">
        <v>0</v>
      </c>
      <c r="BC55" s="3482"/>
      <c r="BD55" s="3482"/>
      <c r="BE55" s="3482"/>
      <c r="BF55" s="3482"/>
      <c r="BG55" s="3482"/>
      <c r="BH55" s="3482"/>
      <c r="BI55" s="3495">
        <v>0</v>
      </c>
      <c r="BJ55" s="3482"/>
      <c r="BK55" s="3482"/>
      <c r="BL55" s="3482"/>
      <c r="BM55" s="3482"/>
      <c r="BN55" s="3482"/>
      <c r="BO55" s="3482"/>
      <c r="BP55" s="3495">
        <v>0</v>
      </c>
      <c r="BQ55" s="3482"/>
      <c r="BR55" s="3482"/>
      <c r="BS55" s="3482"/>
      <c r="BT55" s="3482"/>
      <c r="BU55" s="3482"/>
      <c r="BV55" s="3482"/>
      <c r="BW55" s="3495">
        <v>0</v>
      </c>
      <c r="BX55" s="3482"/>
      <c r="BY55" s="3482"/>
      <c r="BZ55" s="3482"/>
      <c r="CA55" s="3482"/>
      <c r="CB55" s="3482"/>
      <c r="CC55" s="3482"/>
      <c r="CD55" s="3495">
        <v>0</v>
      </c>
      <c r="CE55" s="3482"/>
      <c r="CF55" s="3482"/>
      <c r="CG55" s="3482"/>
      <c r="CH55" s="3482"/>
      <c r="CI55" s="3482"/>
      <c r="CJ55" s="3482"/>
      <c r="CK55" s="3495">
        <v>0</v>
      </c>
      <c r="CL55" s="3482"/>
      <c r="CM55" s="3482"/>
      <c r="CN55" s="3482"/>
      <c r="CO55" s="3482"/>
      <c r="CP55" s="3482"/>
      <c r="CQ55" s="3482"/>
      <c r="CR55" s="3495">
        <v>0</v>
      </c>
      <c r="CS55" s="3482"/>
      <c r="CT55" s="3482"/>
      <c r="CU55" s="3482"/>
      <c r="CV55" s="3482"/>
      <c r="CW55" s="3482"/>
      <c r="CX55" s="3482"/>
    </row>
    <row r="56" spans="1:102" ht="25.5">
      <c r="A56" s="3469">
        <v>19</v>
      </c>
      <c r="B56" s="3469">
        <v>5</v>
      </c>
      <c r="C56" s="3496" t="s">
        <v>4059</v>
      </c>
      <c r="D56" s="3473">
        <v>419</v>
      </c>
      <c r="E56" s="3495">
        <v>0</v>
      </c>
      <c r="F56" s="3482"/>
      <c r="G56" s="3482"/>
      <c r="H56" s="3482"/>
      <c r="I56" s="3482"/>
      <c r="J56" s="3482"/>
      <c r="K56" s="3482"/>
      <c r="L56" s="3495">
        <v>0</v>
      </c>
      <c r="M56" s="3482"/>
      <c r="N56" s="3482"/>
      <c r="O56" s="3482"/>
      <c r="P56" s="3482"/>
      <c r="Q56" s="3482"/>
      <c r="R56" s="3482"/>
      <c r="S56" s="3495">
        <v>0</v>
      </c>
      <c r="T56" s="3482"/>
      <c r="U56" s="3482"/>
      <c r="V56" s="3482"/>
      <c r="W56" s="3482"/>
      <c r="X56" s="3482"/>
      <c r="Y56" s="3482"/>
      <c r="Z56" s="3495">
        <v>0</v>
      </c>
      <c r="AA56" s="3482"/>
      <c r="AB56" s="3482"/>
      <c r="AC56" s="3482"/>
      <c r="AD56" s="3482"/>
      <c r="AE56" s="3482"/>
      <c r="AF56" s="3482"/>
      <c r="AG56" s="3495">
        <v>0</v>
      </c>
      <c r="AH56" s="3482"/>
      <c r="AI56" s="3482"/>
      <c r="AJ56" s="3482"/>
      <c r="AK56" s="3482"/>
      <c r="AL56" s="3482"/>
      <c r="AM56" s="3482"/>
      <c r="AN56" s="3495">
        <v>0</v>
      </c>
      <c r="AO56" s="3482"/>
      <c r="AP56" s="3482"/>
      <c r="AQ56" s="3482"/>
      <c r="AR56" s="3482"/>
      <c r="AS56" s="3482"/>
      <c r="AT56" s="3482"/>
      <c r="AU56" s="3495">
        <v>0</v>
      </c>
      <c r="AV56" s="3482"/>
      <c r="AW56" s="3482"/>
      <c r="AX56" s="3482"/>
      <c r="AY56" s="3482"/>
      <c r="AZ56" s="3482"/>
      <c r="BA56" s="3482"/>
      <c r="BB56" s="3495">
        <v>0</v>
      </c>
      <c r="BC56" s="3482"/>
      <c r="BD56" s="3482"/>
      <c r="BE56" s="3482"/>
      <c r="BF56" s="3482"/>
      <c r="BG56" s="3482"/>
      <c r="BH56" s="3482"/>
      <c r="BI56" s="3495">
        <v>0</v>
      </c>
      <c r="BJ56" s="3482"/>
      <c r="BK56" s="3482"/>
      <c r="BL56" s="3482"/>
      <c r="BM56" s="3482"/>
      <c r="BN56" s="3482"/>
      <c r="BO56" s="3482"/>
      <c r="BP56" s="3495">
        <v>0</v>
      </c>
      <c r="BQ56" s="3482"/>
      <c r="BR56" s="3482"/>
      <c r="BS56" s="3482"/>
      <c r="BT56" s="3482"/>
      <c r="BU56" s="3482"/>
      <c r="BV56" s="3482"/>
      <c r="BW56" s="3495">
        <v>0</v>
      </c>
      <c r="BX56" s="3482"/>
      <c r="BY56" s="3482"/>
      <c r="BZ56" s="3482"/>
      <c r="CA56" s="3482"/>
      <c r="CB56" s="3482"/>
      <c r="CC56" s="3482"/>
      <c r="CD56" s="3495">
        <v>0</v>
      </c>
      <c r="CE56" s="3482"/>
      <c r="CF56" s="3482"/>
      <c r="CG56" s="3482"/>
      <c r="CH56" s="3482"/>
      <c r="CI56" s="3482"/>
      <c r="CJ56" s="3482"/>
      <c r="CK56" s="3495">
        <v>0</v>
      </c>
      <c r="CL56" s="3482"/>
      <c r="CM56" s="3482"/>
      <c r="CN56" s="3482"/>
      <c r="CO56" s="3482"/>
      <c r="CP56" s="3482"/>
      <c r="CQ56" s="3482"/>
      <c r="CR56" s="3495">
        <v>0</v>
      </c>
      <c r="CS56" s="3482"/>
      <c r="CT56" s="3482"/>
      <c r="CU56" s="3482"/>
      <c r="CV56" s="3482"/>
      <c r="CW56" s="3482"/>
      <c r="CX56" s="3482"/>
    </row>
    <row r="57" spans="1:102">
      <c r="A57" s="3469">
        <v>1</v>
      </c>
      <c r="B57" s="3469">
        <v>5</v>
      </c>
      <c r="C57" s="3496" t="s">
        <v>516</v>
      </c>
      <c r="D57" s="3473">
        <v>420</v>
      </c>
      <c r="E57" s="3498">
        <v>0</v>
      </c>
      <c r="F57" s="3482"/>
      <c r="G57" s="3482"/>
      <c r="H57" s="3482"/>
      <c r="I57" s="3482"/>
      <c r="J57" s="3482"/>
      <c r="K57" s="3482"/>
      <c r="L57" s="3498">
        <v>0</v>
      </c>
      <c r="M57" s="3482"/>
      <c r="N57" s="3482"/>
      <c r="O57" s="3482"/>
      <c r="P57" s="3482"/>
      <c r="Q57" s="3482"/>
      <c r="R57" s="3482"/>
      <c r="S57" s="3498">
        <v>0</v>
      </c>
      <c r="T57" s="3482"/>
      <c r="U57" s="3482"/>
      <c r="V57" s="3482"/>
      <c r="W57" s="3482"/>
      <c r="X57" s="3482"/>
      <c r="Y57" s="3482"/>
      <c r="Z57" s="3498">
        <v>0</v>
      </c>
      <c r="AA57" s="3482"/>
      <c r="AB57" s="3482"/>
      <c r="AC57" s="3482"/>
      <c r="AD57" s="3482"/>
      <c r="AE57" s="3482"/>
      <c r="AF57" s="3482"/>
      <c r="AG57" s="3498">
        <v>0</v>
      </c>
      <c r="AH57" s="3482"/>
      <c r="AI57" s="3482"/>
      <c r="AJ57" s="3482"/>
      <c r="AK57" s="3482"/>
      <c r="AL57" s="3482"/>
      <c r="AM57" s="3482"/>
      <c r="AN57" s="3498">
        <v>0</v>
      </c>
      <c r="AO57" s="3482"/>
      <c r="AP57" s="3482"/>
      <c r="AQ57" s="3482"/>
      <c r="AR57" s="3482"/>
      <c r="AS57" s="3482"/>
      <c r="AT57" s="3482"/>
      <c r="AU57" s="3498">
        <v>0</v>
      </c>
      <c r="AV57" s="3482"/>
      <c r="AW57" s="3482"/>
      <c r="AX57" s="3482"/>
      <c r="AY57" s="3482"/>
      <c r="AZ57" s="3482"/>
      <c r="BA57" s="3482"/>
      <c r="BB57" s="3498">
        <v>0</v>
      </c>
      <c r="BC57" s="3482"/>
      <c r="BD57" s="3482"/>
      <c r="BE57" s="3482"/>
      <c r="BF57" s="3482"/>
      <c r="BG57" s="3482"/>
      <c r="BH57" s="3482"/>
      <c r="BI57" s="3498">
        <f>SUM(Таблица611[[#This Row],[V58]:[V63]])</f>
        <v>1211.152</v>
      </c>
      <c r="BJ57" s="3482"/>
      <c r="BK57" s="3482"/>
      <c r="BL57" s="3482">
        <f>'135 до 26'!BL28</f>
        <v>87.923000000000002</v>
      </c>
      <c r="BM57" s="3482">
        <f>'135 до 26'!BM28</f>
        <v>1123.229</v>
      </c>
      <c r="BN57" s="3482"/>
      <c r="BO57" s="3482"/>
      <c r="BP57" s="3498">
        <f>SUM(Таблица611[[#This Row],[V65]:[V70]])</f>
        <v>4775.9370100000006</v>
      </c>
      <c r="BQ57" s="3482"/>
      <c r="BR57" s="3482"/>
      <c r="BS57" s="3482">
        <f>'135 до 26'!BS28</f>
        <v>314.45769000000001</v>
      </c>
      <c r="BT57" s="3482">
        <f>'135 до 26'!BT28</f>
        <v>4461.4793200000004</v>
      </c>
      <c r="BU57" s="3482"/>
      <c r="BV57" s="3482"/>
      <c r="BW57" s="3498">
        <f>SUM(Таблица611[[#This Row],[V72]:[V77]])</f>
        <v>1.843</v>
      </c>
      <c r="BX57" s="3482"/>
      <c r="BY57" s="3482"/>
      <c r="BZ57" s="3482">
        <f>'135 до 26'!BZ28</f>
        <v>0.11799999999999999</v>
      </c>
      <c r="CA57" s="3482">
        <f>'135 до 26'!CA28</f>
        <v>1.7250000000000001</v>
      </c>
      <c r="CB57" s="3482"/>
      <c r="CC57" s="3482"/>
      <c r="CD57" s="3498">
        <f>SUM(Таблица611[[#This Row],[V79]:[V84]])</f>
        <v>2225.1187500000001</v>
      </c>
      <c r="CE57" s="3482"/>
      <c r="CF57" s="3482"/>
      <c r="CG57" s="3482">
        <f>'135 до 26'!CG28</f>
        <v>142.46554999999998</v>
      </c>
      <c r="CH57" s="3482">
        <f>'135 до 26'!CH28</f>
        <v>2082.6532000000002</v>
      </c>
      <c r="CI57" s="3482"/>
      <c r="CJ57" s="3482"/>
      <c r="CK57" s="3498">
        <f>SUM(Таблица611[[#This Row],[V86]:[V91]])</f>
        <v>2.0569999999999999</v>
      </c>
      <c r="CL57" s="3482"/>
      <c r="CM57" s="3482"/>
      <c r="CN57" s="3482">
        <f>'135 до 26'!CN28</f>
        <v>0.123</v>
      </c>
      <c r="CO57" s="3482">
        <f>'135 до 26'!CO28</f>
        <v>1.9339999999999999</v>
      </c>
      <c r="CP57" s="3482"/>
      <c r="CQ57" s="3482"/>
      <c r="CR57" s="3498">
        <f>SUM(Таблица611[[#This Row],[V93]:[V98]])</f>
        <v>2328.1900500000002</v>
      </c>
      <c r="CS57" s="3482"/>
      <c r="CT57" s="3482"/>
      <c r="CU57" s="3482">
        <f>'135 до 26'!CU28</f>
        <v>344.29455000000007</v>
      </c>
      <c r="CV57" s="3482">
        <f>'135 до 26'!CV28</f>
        <v>1983.8954999999999</v>
      </c>
      <c r="CW57" s="3482"/>
      <c r="CX57" s="3482"/>
    </row>
    <row r="58" spans="1:102">
      <c r="A58" s="3469">
        <v>2</v>
      </c>
      <c r="B58" s="3469">
        <v>5</v>
      </c>
      <c r="C58" s="3496" t="s">
        <v>517</v>
      </c>
      <c r="D58" s="3473">
        <v>430</v>
      </c>
      <c r="E58" s="3498">
        <v>0</v>
      </c>
      <c r="F58" s="3482"/>
      <c r="G58" s="3482"/>
      <c r="H58" s="3482"/>
      <c r="I58" s="3482"/>
      <c r="J58" s="3482"/>
      <c r="K58" s="3482"/>
      <c r="L58" s="3498">
        <v>0</v>
      </c>
      <c r="M58" s="3482"/>
      <c r="N58" s="3482"/>
      <c r="O58" s="3482"/>
      <c r="P58" s="3482"/>
      <c r="Q58" s="3482"/>
      <c r="R58" s="3482"/>
      <c r="S58" s="3498">
        <v>0</v>
      </c>
      <c r="T58" s="3482"/>
      <c r="U58" s="3482"/>
      <c r="V58" s="3482"/>
      <c r="W58" s="3482"/>
      <c r="X58" s="3482"/>
      <c r="Y58" s="3482"/>
      <c r="Z58" s="3498">
        <v>0</v>
      </c>
      <c r="AA58" s="3482"/>
      <c r="AB58" s="3482"/>
      <c r="AC58" s="3482"/>
      <c r="AD58" s="3482"/>
      <c r="AE58" s="3482"/>
      <c r="AF58" s="3482"/>
      <c r="AG58" s="3498">
        <v>0</v>
      </c>
      <c r="AH58" s="3482"/>
      <c r="AI58" s="3482"/>
      <c r="AJ58" s="3482"/>
      <c r="AK58" s="3482"/>
      <c r="AL58" s="3482"/>
      <c r="AM58" s="3482"/>
      <c r="AN58" s="3498">
        <v>0</v>
      </c>
      <c r="AO58" s="3482"/>
      <c r="AP58" s="3482"/>
      <c r="AQ58" s="3482"/>
      <c r="AR58" s="3482"/>
      <c r="AS58" s="3482"/>
      <c r="AT58" s="3482"/>
      <c r="AU58" s="3498">
        <v>0</v>
      </c>
      <c r="AV58" s="3482"/>
      <c r="AW58" s="3482"/>
      <c r="AX58" s="3482"/>
      <c r="AY58" s="3482"/>
      <c r="AZ58" s="3482"/>
      <c r="BA58" s="3482"/>
      <c r="BB58" s="3498">
        <v>0</v>
      </c>
      <c r="BC58" s="3482"/>
      <c r="BD58" s="3482"/>
      <c r="BE58" s="3482"/>
      <c r="BF58" s="3482"/>
      <c r="BG58" s="3482"/>
      <c r="BH58" s="3482"/>
      <c r="BI58" s="3498">
        <v>0</v>
      </c>
      <c r="BJ58" s="3482"/>
      <c r="BK58" s="3482"/>
      <c r="BL58" s="3482"/>
      <c r="BM58" s="3482"/>
      <c r="BN58" s="3482"/>
      <c r="BO58" s="3482"/>
      <c r="BP58" s="3498">
        <v>0</v>
      </c>
      <c r="BQ58" s="3482"/>
      <c r="BR58" s="3482"/>
      <c r="BS58" s="3482"/>
      <c r="BT58" s="3482"/>
      <c r="BU58" s="3482"/>
      <c r="BV58" s="3482"/>
      <c r="BW58" s="3498">
        <v>0</v>
      </c>
      <c r="BX58" s="3482"/>
      <c r="BY58" s="3482"/>
      <c r="BZ58" s="3482"/>
      <c r="CA58" s="3482"/>
      <c r="CB58" s="3482"/>
      <c r="CC58" s="3482"/>
      <c r="CD58" s="3498">
        <v>0</v>
      </c>
      <c r="CE58" s="3482"/>
      <c r="CF58" s="3482"/>
      <c r="CG58" s="3482"/>
      <c r="CH58" s="3482"/>
      <c r="CI58" s="3482"/>
      <c r="CJ58" s="3482"/>
      <c r="CK58" s="3498">
        <v>0</v>
      </c>
      <c r="CL58" s="3482"/>
      <c r="CM58" s="3482"/>
      <c r="CN58" s="3482"/>
      <c r="CO58" s="3482"/>
      <c r="CP58" s="3482"/>
      <c r="CQ58" s="3482"/>
      <c r="CR58" s="3498">
        <v>0</v>
      </c>
      <c r="CS58" s="3482"/>
      <c r="CT58" s="3482"/>
      <c r="CU58" s="3482"/>
      <c r="CV58" s="3482"/>
      <c r="CW58" s="3482"/>
      <c r="CX58" s="3482"/>
    </row>
    <row r="59" spans="1:102">
      <c r="A59" s="3469">
        <v>3</v>
      </c>
      <c r="B59" s="3469">
        <v>5</v>
      </c>
      <c r="C59" s="3496" t="s">
        <v>518</v>
      </c>
      <c r="D59" s="3473">
        <v>440</v>
      </c>
      <c r="E59" s="3498">
        <v>0</v>
      </c>
      <c r="F59" s="3482"/>
      <c r="G59" s="3482"/>
      <c r="H59" s="3482"/>
      <c r="I59" s="3482"/>
      <c r="J59" s="3482"/>
      <c r="K59" s="3482"/>
      <c r="L59" s="3498">
        <v>0</v>
      </c>
      <c r="M59" s="3482"/>
      <c r="N59" s="3482"/>
      <c r="O59" s="3482"/>
      <c r="P59" s="3482"/>
      <c r="Q59" s="3482"/>
      <c r="R59" s="3482"/>
      <c r="S59" s="3498">
        <v>0</v>
      </c>
      <c r="T59" s="3482"/>
      <c r="U59" s="3482"/>
      <c r="V59" s="3482"/>
      <c r="W59" s="3482"/>
      <c r="X59" s="3482"/>
      <c r="Y59" s="3482"/>
      <c r="Z59" s="3498">
        <v>0</v>
      </c>
      <c r="AA59" s="3482"/>
      <c r="AB59" s="3482"/>
      <c r="AC59" s="3482"/>
      <c r="AD59" s="3482"/>
      <c r="AE59" s="3482"/>
      <c r="AF59" s="3482"/>
      <c r="AG59" s="3498">
        <v>0</v>
      </c>
      <c r="AH59" s="3482"/>
      <c r="AI59" s="3482"/>
      <c r="AJ59" s="3482"/>
      <c r="AK59" s="3482"/>
      <c r="AL59" s="3482"/>
      <c r="AM59" s="3482"/>
      <c r="AN59" s="3498">
        <v>0</v>
      </c>
      <c r="AO59" s="3482"/>
      <c r="AP59" s="3482"/>
      <c r="AQ59" s="3482"/>
      <c r="AR59" s="3482"/>
      <c r="AS59" s="3482"/>
      <c r="AT59" s="3482"/>
      <c r="AU59" s="3498">
        <v>0</v>
      </c>
      <c r="AV59" s="3482"/>
      <c r="AW59" s="3482"/>
      <c r="AX59" s="3482"/>
      <c r="AY59" s="3482"/>
      <c r="AZ59" s="3482"/>
      <c r="BA59" s="3482"/>
      <c r="BB59" s="3498">
        <v>0</v>
      </c>
      <c r="BC59" s="3482"/>
      <c r="BD59" s="3482"/>
      <c r="BE59" s="3482"/>
      <c r="BF59" s="3482"/>
      <c r="BG59" s="3482"/>
      <c r="BH59" s="3482"/>
      <c r="BI59" s="3498">
        <v>0</v>
      </c>
      <c r="BJ59" s="3482"/>
      <c r="BK59" s="3482"/>
      <c r="BL59" s="3482"/>
      <c r="BM59" s="3482"/>
      <c r="BN59" s="3482"/>
      <c r="BO59" s="3482"/>
      <c r="BP59" s="3498">
        <v>0</v>
      </c>
      <c r="BQ59" s="3482"/>
      <c r="BR59" s="3482"/>
      <c r="BS59" s="3482"/>
      <c r="BT59" s="3482"/>
      <c r="BU59" s="3482"/>
      <c r="BV59" s="3482"/>
      <c r="BW59" s="3498">
        <v>0</v>
      </c>
      <c r="BX59" s="3482"/>
      <c r="BY59" s="3482"/>
      <c r="BZ59" s="3482"/>
      <c r="CA59" s="3482"/>
      <c r="CB59" s="3482"/>
      <c r="CC59" s="3482"/>
      <c r="CD59" s="3498">
        <v>0</v>
      </c>
      <c r="CE59" s="3482"/>
      <c r="CF59" s="3482"/>
      <c r="CG59" s="3482"/>
      <c r="CH59" s="3482"/>
      <c r="CI59" s="3482"/>
      <c r="CJ59" s="3482"/>
      <c r="CK59" s="3498">
        <v>0</v>
      </c>
      <c r="CL59" s="3482"/>
      <c r="CM59" s="3482"/>
      <c r="CN59" s="3482"/>
      <c r="CO59" s="3482"/>
      <c r="CP59" s="3482"/>
      <c r="CQ59" s="3482"/>
      <c r="CR59" s="3498">
        <v>0</v>
      </c>
      <c r="CS59" s="3482"/>
      <c r="CT59" s="3482"/>
      <c r="CU59" s="3482"/>
      <c r="CV59" s="3482"/>
      <c r="CW59" s="3482"/>
      <c r="CX59" s="3482"/>
    </row>
    <row r="60" spans="1:102">
      <c r="A60" s="3469">
        <v>4</v>
      </c>
      <c r="B60" s="3469">
        <v>5</v>
      </c>
      <c r="C60" s="3496" t="s">
        <v>519</v>
      </c>
      <c r="D60" s="3473">
        <v>450</v>
      </c>
      <c r="E60" s="3498">
        <f>SUM(Таблица611[[#This Row],[v2]:[v7]])</f>
        <v>14113.965</v>
      </c>
      <c r="F60" s="3482"/>
      <c r="G60" s="3482">
        <f>'135 до 26'!G31</f>
        <v>190.53299999999999</v>
      </c>
      <c r="H60" s="3482">
        <f>'135 до 26'!H31</f>
        <v>10007.896000000001</v>
      </c>
      <c r="I60" s="3482">
        <f>'135 до 26'!I31</f>
        <v>3915.536000000001</v>
      </c>
      <c r="J60" s="3482"/>
      <c r="K60" s="3482"/>
      <c r="L60" s="3498">
        <f>SUM(Таблица611[[#This Row],[v9]:[v14]])</f>
        <v>120236.33578000001</v>
      </c>
      <c r="M60" s="3482"/>
      <c r="N60" s="3482">
        <f>'135 до 26'!N31</f>
        <v>1611.7967599999999</v>
      </c>
      <c r="O60" s="3482">
        <f>'135 до 26'!O31</f>
        <v>84109.674690000014</v>
      </c>
      <c r="P60" s="3482">
        <f>'135 до 26'!P31</f>
        <v>34514.864329999997</v>
      </c>
      <c r="Q60" s="3482"/>
      <c r="R60" s="3482"/>
      <c r="S60" s="3498">
        <v>0</v>
      </c>
      <c r="T60" s="3482"/>
      <c r="U60" s="3482"/>
      <c r="V60" s="3482"/>
      <c r="W60" s="3482"/>
      <c r="X60" s="3482"/>
      <c r="Y60" s="3482"/>
      <c r="Z60" s="3498">
        <v>0</v>
      </c>
      <c r="AA60" s="3482"/>
      <c r="AB60" s="3482"/>
      <c r="AC60" s="3482"/>
      <c r="AD60" s="3482"/>
      <c r="AE60" s="3482"/>
      <c r="AF60" s="3482"/>
      <c r="AG60" s="3498">
        <v>0</v>
      </c>
      <c r="AH60" s="3482"/>
      <c r="AI60" s="3482"/>
      <c r="AJ60" s="3482"/>
      <c r="AK60" s="3482"/>
      <c r="AL60" s="3482"/>
      <c r="AM60" s="3482"/>
      <c r="AN60" s="3498">
        <v>0</v>
      </c>
      <c r="AO60" s="3482"/>
      <c r="AP60" s="3482"/>
      <c r="AQ60" s="3482"/>
      <c r="AR60" s="3482"/>
      <c r="AS60" s="3482"/>
      <c r="AT60" s="3482"/>
      <c r="AU60" s="3498">
        <v>0</v>
      </c>
      <c r="AV60" s="3482"/>
      <c r="AW60" s="3482"/>
      <c r="AX60" s="3482"/>
      <c r="AY60" s="3482"/>
      <c r="AZ60" s="3482"/>
      <c r="BA60" s="3482"/>
      <c r="BB60" s="3498">
        <v>0</v>
      </c>
      <c r="BC60" s="3482"/>
      <c r="BD60" s="3482"/>
      <c r="BE60" s="3482"/>
      <c r="BF60" s="3482"/>
      <c r="BG60" s="3482"/>
      <c r="BH60" s="3482"/>
      <c r="BI60" s="3498">
        <v>0</v>
      </c>
      <c r="BJ60" s="3482"/>
      <c r="BK60" s="3482"/>
      <c r="BL60" s="3482"/>
      <c r="BM60" s="3482"/>
      <c r="BN60" s="3482"/>
      <c r="BO60" s="3482"/>
      <c r="BP60" s="3498">
        <v>0</v>
      </c>
      <c r="BQ60" s="3482"/>
      <c r="BR60" s="3482"/>
      <c r="BS60" s="3482"/>
      <c r="BT60" s="3482"/>
      <c r="BU60" s="3482"/>
      <c r="BV60" s="3482"/>
      <c r="BW60" s="3498">
        <v>0</v>
      </c>
      <c r="BX60" s="3482"/>
      <c r="BY60" s="3482"/>
      <c r="BZ60" s="3482"/>
      <c r="CA60" s="3482"/>
      <c r="CB60" s="3482"/>
      <c r="CC60" s="3482"/>
      <c r="CD60" s="3498">
        <v>0</v>
      </c>
      <c r="CE60" s="3482"/>
      <c r="CF60" s="3482"/>
      <c r="CG60" s="3482"/>
      <c r="CH60" s="3482"/>
      <c r="CI60" s="3482"/>
      <c r="CJ60" s="3482"/>
      <c r="CK60" s="3498">
        <v>0</v>
      </c>
      <c r="CL60" s="3482"/>
      <c r="CM60" s="3482"/>
      <c r="CN60" s="3482"/>
      <c r="CO60" s="3482"/>
      <c r="CP60" s="3482"/>
      <c r="CQ60" s="3482"/>
      <c r="CR60" s="3498">
        <v>0</v>
      </c>
      <c r="CS60" s="3482"/>
      <c r="CT60" s="3482"/>
      <c r="CU60" s="3482"/>
      <c r="CV60" s="3482"/>
      <c r="CW60" s="3482"/>
      <c r="CX60" s="3482"/>
    </row>
    <row r="61" spans="1:102">
      <c r="A61" s="3469">
        <v>5</v>
      </c>
      <c r="B61" s="3469">
        <v>5</v>
      </c>
      <c r="C61" s="3496" t="s">
        <v>520</v>
      </c>
      <c r="D61" s="3473">
        <v>460</v>
      </c>
      <c r="E61" s="3498">
        <f>SUM(Таблица611[[#This Row],[v2]:[v7]])</f>
        <v>122.85300000000001</v>
      </c>
      <c r="F61" s="3482"/>
      <c r="G61" s="3482"/>
      <c r="H61" s="3482">
        <f>'135 до 26'!H32</f>
        <v>102.998</v>
      </c>
      <c r="I61" s="3482">
        <f>'135 до 26'!I32</f>
        <v>19.855</v>
      </c>
      <c r="J61" s="3482"/>
      <c r="K61" s="3482"/>
      <c r="L61" s="3498">
        <f>SUM(Таблица611[[#This Row],[v9]:[v14]])</f>
        <v>1268.729</v>
      </c>
      <c r="M61" s="3482"/>
      <c r="N61" s="3482"/>
      <c r="O61" s="3482">
        <f>'135 до 26'!O32</f>
        <v>1099.5450000000001</v>
      </c>
      <c r="P61" s="3482">
        <f>'135 до 26'!P32</f>
        <v>169.184</v>
      </c>
      <c r="Q61" s="3482"/>
      <c r="R61" s="3482"/>
      <c r="S61" s="3498">
        <v>0</v>
      </c>
      <c r="T61" s="3482"/>
      <c r="U61" s="3482"/>
      <c r="V61" s="3482"/>
      <c r="W61" s="3482"/>
      <c r="X61" s="3482"/>
      <c r="Y61" s="3482"/>
      <c r="Z61" s="3498">
        <v>0</v>
      </c>
      <c r="AA61" s="3482"/>
      <c r="AB61" s="3482"/>
      <c r="AC61" s="3482"/>
      <c r="AD61" s="3482"/>
      <c r="AE61" s="3482"/>
      <c r="AF61" s="3482"/>
      <c r="AG61" s="3498">
        <v>0</v>
      </c>
      <c r="AH61" s="3482"/>
      <c r="AI61" s="3482"/>
      <c r="AJ61" s="3482"/>
      <c r="AK61" s="3482"/>
      <c r="AL61" s="3482"/>
      <c r="AM61" s="3482"/>
      <c r="AN61" s="3498">
        <v>0</v>
      </c>
      <c r="AO61" s="3482"/>
      <c r="AP61" s="3482"/>
      <c r="AQ61" s="3482"/>
      <c r="AR61" s="3482"/>
      <c r="AS61" s="3482"/>
      <c r="AT61" s="3482"/>
      <c r="AU61" s="3498">
        <v>0</v>
      </c>
      <c r="AV61" s="3482"/>
      <c r="AW61" s="3482"/>
      <c r="AX61" s="3482"/>
      <c r="AY61" s="3482"/>
      <c r="AZ61" s="3482"/>
      <c r="BA61" s="3482"/>
      <c r="BB61" s="3498">
        <v>0</v>
      </c>
      <c r="BC61" s="3482"/>
      <c r="BD61" s="3482"/>
      <c r="BE61" s="3482"/>
      <c r="BF61" s="3482"/>
      <c r="BG61" s="3482"/>
      <c r="BH61" s="3482"/>
      <c r="BI61" s="3498">
        <v>0</v>
      </c>
      <c r="BJ61" s="3482"/>
      <c r="BK61" s="3482"/>
      <c r="BL61" s="3482"/>
      <c r="BM61" s="3482"/>
      <c r="BN61" s="3482"/>
      <c r="BO61" s="3482"/>
      <c r="BP61" s="3498">
        <v>0</v>
      </c>
      <c r="BQ61" s="3482"/>
      <c r="BR61" s="3482"/>
      <c r="BS61" s="3482"/>
      <c r="BT61" s="3482"/>
      <c r="BU61" s="3482"/>
      <c r="BV61" s="3482"/>
      <c r="BW61" s="3498">
        <v>0</v>
      </c>
      <c r="BX61" s="3482"/>
      <c r="BY61" s="3482"/>
      <c r="BZ61" s="3482"/>
      <c r="CA61" s="3482"/>
      <c r="CB61" s="3482"/>
      <c r="CC61" s="3482"/>
      <c r="CD61" s="3498">
        <v>0</v>
      </c>
      <c r="CE61" s="3482"/>
      <c r="CF61" s="3482"/>
      <c r="CG61" s="3482"/>
      <c r="CH61" s="3482"/>
      <c r="CI61" s="3482"/>
      <c r="CJ61" s="3482"/>
      <c r="CK61" s="3498">
        <v>0</v>
      </c>
      <c r="CL61" s="3482"/>
      <c r="CM61" s="3482"/>
      <c r="CN61" s="3482"/>
      <c r="CO61" s="3482"/>
      <c r="CP61" s="3482"/>
      <c r="CQ61" s="3482"/>
      <c r="CR61" s="3498">
        <v>0</v>
      </c>
      <c r="CS61" s="3482"/>
      <c r="CT61" s="3482"/>
      <c r="CU61" s="3482"/>
      <c r="CV61" s="3482"/>
      <c r="CW61" s="3482"/>
      <c r="CX61" s="3482"/>
    </row>
    <row r="62" spans="1:102">
      <c r="A62" s="3469">
        <v>6</v>
      </c>
      <c r="B62" s="3469">
        <v>5</v>
      </c>
      <c r="C62" s="3496" t="s">
        <v>521</v>
      </c>
      <c r="D62" s="3473">
        <v>470</v>
      </c>
      <c r="E62" s="3498">
        <f>SUM(Таблица611[[#This Row],[v2]:[v7]])</f>
        <v>4162.308</v>
      </c>
      <c r="F62" s="3482"/>
      <c r="G62" s="3482"/>
      <c r="H62" s="3482">
        <f>'135 до 26'!H33</f>
        <v>1166.971</v>
      </c>
      <c r="I62" s="3482">
        <f>'135 до 26'!I33</f>
        <v>2995.337</v>
      </c>
      <c r="J62" s="3482"/>
      <c r="K62" s="3482"/>
      <c r="L62" s="3498">
        <f>SUM(Таблица611[[#This Row],[v9]:[v14]])</f>
        <v>39815.281000000003</v>
      </c>
      <c r="M62" s="3482"/>
      <c r="N62" s="3482"/>
      <c r="O62" s="3482">
        <f>'135 до 26'!O33</f>
        <v>11647.897000000001</v>
      </c>
      <c r="P62" s="3482">
        <f>'135 до 26'!P33</f>
        <v>28167.383999999998</v>
      </c>
      <c r="Q62" s="3482"/>
      <c r="R62" s="3482"/>
      <c r="S62" s="3498">
        <f>SUM(Таблица611[[#This Row],[v16]:[V21]])</f>
        <v>295.92699999999996</v>
      </c>
      <c r="T62" s="3482"/>
      <c r="U62" s="3482"/>
      <c r="V62" s="3482">
        <f>'135 до 26'!V33</f>
        <v>292.86599999999999</v>
      </c>
      <c r="W62" s="3482">
        <f>'135 до 26'!W33</f>
        <v>3.0609999999999999</v>
      </c>
      <c r="X62" s="3482"/>
      <c r="Y62" s="3482"/>
      <c r="Z62" s="3498">
        <f>SUM(Таблица611[[#This Row],[V23]:[V28]])</f>
        <v>2783.4780800000003</v>
      </c>
      <c r="AA62" s="3482"/>
      <c r="AB62" s="3482"/>
      <c r="AC62" s="3482">
        <f>'135 до 26'!AC33</f>
        <v>2754.2478200000005</v>
      </c>
      <c r="AD62" s="3482">
        <f>'135 до 26'!AD33</f>
        <v>29.230260000000001</v>
      </c>
      <c r="AE62" s="3482"/>
      <c r="AF62" s="3482"/>
      <c r="AG62" s="3498">
        <v>0</v>
      </c>
      <c r="AH62" s="3482"/>
      <c r="AI62" s="3482"/>
      <c r="AJ62" s="3482"/>
      <c r="AK62" s="3482"/>
      <c r="AL62" s="3482"/>
      <c r="AM62" s="3482"/>
      <c r="AN62" s="3498">
        <v>0</v>
      </c>
      <c r="AO62" s="3482"/>
      <c r="AP62" s="3482"/>
      <c r="AQ62" s="3482"/>
      <c r="AR62" s="3482"/>
      <c r="AS62" s="3482"/>
      <c r="AT62" s="3482"/>
      <c r="AU62" s="3498">
        <v>0</v>
      </c>
      <c r="AV62" s="3482"/>
      <c r="AW62" s="3482"/>
      <c r="AX62" s="3482"/>
      <c r="AY62" s="3482"/>
      <c r="AZ62" s="3482"/>
      <c r="BA62" s="3482"/>
      <c r="BB62" s="3498">
        <v>0</v>
      </c>
      <c r="BC62" s="3482"/>
      <c r="BD62" s="3482"/>
      <c r="BE62" s="3482"/>
      <c r="BF62" s="3482"/>
      <c r="BG62" s="3482"/>
      <c r="BH62" s="3482"/>
      <c r="BI62" s="3498">
        <v>0</v>
      </c>
      <c r="BJ62" s="3482"/>
      <c r="BK62" s="3482"/>
      <c r="BL62" s="3482"/>
      <c r="BM62" s="3482"/>
      <c r="BN62" s="3482"/>
      <c r="BO62" s="3482"/>
      <c r="BP62" s="3498">
        <v>0</v>
      </c>
      <c r="BQ62" s="3482"/>
      <c r="BR62" s="3482"/>
      <c r="BS62" s="3482"/>
      <c r="BT62" s="3482"/>
      <c r="BU62" s="3482"/>
      <c r="BV62" s="3482"/>
      <c r="BW62" s="3498">
        <v>0</v>
      </c>
      <c r="BX62" s="3482"/>
      <c r="BY62" s="3482"/>
      <c r="BZ62" s="3482"/>
      <c r="CA62" s="3482"/>
      <c r="CB62" s="3482"/>
      <c r="CC62" s="3482"/>
      <c r="CD62" s="3498">
        <v>0</v>
      </c>
      <c r="CE62" s="3482"/>
      <c r="CF62" s="3482"/>
      <c r="CG62" s="3482"/>
      <c r="CH62" s="3482"/>
      <c r="CI62" s="3482"/>
      <c r="CJ62" s="3482"/>
      <c r="CK62" s="3498">
        <v>0</v>
      </c>
      <c r="CL62" s="3482"/>
      <c r="CM62" s="3482"/>
      <c r="CN62" s="3482"/>
      <c r="CO62" s="3482"/>
      <c r="CP62" s="3482"/>
      <c r="CQ62" s="3482"/>
      <c r="CR62" s="3498">
        <v>0</v>
      </c>
      <c r="CS62" s="3482"/>
      <c r="CT62" s="3482"/>
      <c r="CU62" s="3482"/>
      <c r="CV62" s="3482"/>
      <c r="CW62" s="3482"/>
      <c r="CX62" s="3482"/>
    </row>
    <row r="63" spans="1:102">
      <c r="A63" s="3469">
        <v>7</v>
      </c>
      <c r="B63" s="3469">
        <v>5</v>
      </c>
      <c r="C63" s="3496" t="s">
        <v>4060</v>
      </c>
      <c r="D63" s="3473">
        <v>480</v>
      </c>
      <c r="E63" s="3498">
        <f>SUM(Таблица611[[#This Row],[v2]:[v7]])</f>
        <v>1451.1590000000001</v>
      </c>
      <c r="F63" s="3482"/>
      <c r="G63" s="3482"/>
      <c r="H63" s="3482">
        <f>'135 до 26'!H34</f>
        <v>1252.8330000000001</v>
      </c>
      <c r="I63" s="3482">
        <f>'135 до 26'!I34</f>
        <v>198.32599999999999</v>
      </c>
      <c r="J63" s="3482"/>
      <c r="K63" s="3482"/>
      <c r="L63" s="3498">
        <f>SUM(Таблица611[[#This Row],[v9]:[v14]])</f>
        <v>13715.712</v>
      </c>
      <c r="M63" s="3482"/>
      <c r="N63" s="3482"/>
      <c r="O63" s="3482">
        <f>'135 до 26'!O34</f>
        <v>12515.981</v>
      </c>
      <c r="P63" s="3482">
        <f>'135 до 26'!P34</f>
        <v>1199.731</v>
      </c>
      <c r="Q63" s="3482"/>
      <c r="R63" s="3482"/>
      <c r="S63" s="3498">
        <v>0</v>
      </c>
      <c r="T63" s="3482"/>
      <c r="U63" s="3482"/>
      <c r="V63" s="3482"/>
      <c r="W63" s="3482"/>
      <c r="X63" s="3482"/>
      <c r="Y63" s="3482"/>
      <c r="Z63" s="3498">
        <v>0</v>
      </c>
      <c r="AA63" s="3482"/>
      <c r="AB63" s="3482"/>
      <c r="AC63" s="3482"/>
      <c r="AD63" s="3482"/>
      <c r="AE63" s="3482"/>
      <c r="AF63" s="3482"/>
      <c r="AG63" s="3498">
        <v>0</v>
      </c>
      <c r="AH63" s="3482"/>
      <c r="AI63" s="3482"/>
      <c r="AJ63" s="3482"/>
      <c r="AK63" s="3482"/>
      <c r="AL63" s="3482"/>
      <c r="AM63" s="3482"/>
      <c r="AN63" s="3498">
        <v>0</v>
      </c>
      <c r="AO63" s="3482"/>
      <c r="AP63" s="3482"/>
      <c r="AQ63" s="3482"/>
      <c r="AR63" s="3482"/>
      <c r="AS63" s="3482"/>
      <c r="AT63" s="3482"/>
      <c r="AU63" s="3498">
        <v>0</v>
      </c>
      <c r="AV63" s="3482"/>
      <c r="AW63" s="3482"/>
      <c r="AX63" s="3482"/>
      <c r="AY63" s="3482"/>
      <c r="AZ63" s="3482"/>
      <c r="BA63" s="3482"/>
      <c r="BB63" s="3498">
        <v>0</v>
      </c>
      <c r="BC63" s="3482"/>
      <c r="BD63" s="3482"/>
      <c r="BE63" s="3482"/>
      <c r="BF63" s="3482"/>
      <c r="BG63" s="3482"/>
      <c r="BH63" s="3482"/>
      <c r="BI63" s="3498">
        <v>0</v>
      </c>
      <c r="BJ63" s="3482"/>
      <c r="BK63" s="3482"/>
      <c r="BL63" s="3482"/>
      <c r="BM63" s="3482"/>
      <c r="BN63" s="3482"/>
      <c r="BO63" s="3482"/>
      <c r="BP63" s="3498">
        <v>0</v>
      </c>
      <c r="BQ63" s="3482"/>
      <c r="BR63" s="3482"/>
      <c r="BS63" s="3482"/>
      <c r="BT63" s="3482"/>
      <c r="BU63" s="3482"/>
      <c r="BV63" s="3482"/>
      <c r="BW63" s="3498">
        <v>0</v>
      </c>
      <c r="BX63" s="3482"/>
      <c r="BY63" s="3482"/>
      <c r="BZ63" s="3482"/>
      <c r="CA63" s="3482"/>
      <c r="CB63" s="3482"/>
      <c r="CC63" s="3482"/>
      <c r="CD63" s="3498">
        <v>0</v>
      </c>
      <c r="CE63" s="3482"/>
      <c r="CF63" s="3482"/>
      <c r="CG63" s="3482"/>
      <c r="CH63" s="3482"/>
      <c r="CI63" s="3482"/>
      <c r="CJ63" s="3482"/>
      <c r="CK63" s="3498">
        <v>0</v>
      </c>
      <c r="CL63" s="3482"/>
      <c r="CM63" s="3482"/>
      <c r="CN63" s="3482"/>
      <c r="CO63" s="3482"/>
      <c r="CP63" s="3482"/>
      <c r="CQ63" s="3482"/>
      <c r="CR63" s="3498">
        <v>0</v>
      </c>
      <c r="CS63" s="3482"/>
      <c r="CT63" s="3482"/>
      <c r="CU63" s="3482"/>
      <c r="CV63" s="3482"/>
      <c r="CW63" s="3482"/>
      <c r="CX63" s="3482"/>
    </row>
    <row r="64" spans="1:102" ht="76.5">
      <c r="A64" s="3469">
        <v>9</v>
      </c>
      <c r="B64" s="3469">
        <v>14</v>
      </c>
      <c r="C64" s="3492" t="s">
        <v>4061</v>
      </c>
      <c r="D64" s="3493">
        <v>500</v>
      </c>
      <c r="E64" s="3497">
        <v>0</v>
      </c>
      <c r="F64" s="3497">
        <v>0</v>
      </c>
      <c r="G64" s="3497">
        <v>0</v>
      </c>
      <c r="H64" s="3497">
        <v>0</v>
      </c>
      <c r="I64" s="3497">
        <v>0</v>
      </c>
      <c r="J64" s="3497">
        <v>0</v>
      </c>
      <c r="K64" s="3497">
        <v>0</v>
      </c>
      <c r="L64" s="3497">
        <v>0</v>
      </c>
      <c r="M64" s="3497">
        <v>0</v>
      </c>
      <c r="N64" s="3497">
        <v>0</v>
      </c>
      <c r="O64" s="3497">
        <v>0</v>
      </c>
      <c r="P64" s="3497">
        <v>0</v>
      </c>
      <c r="Q64" s="3497">
        <v>0</v>
      </c>
      <c r="R64" s="3497">
        <v>0</v>
      </c>
      <c r="S64" s="3497">
        <v>0</v>
      </c>
      <c r="T64" s="3497">
        <v>0</v>
      </c>
      <c r="U64" s="3497">
        <v>0</v>
      </c>
      <c r="V64" s="3497">
        <v>0</v>
      </c>
      <c r="W64" s="3497">
        <v>0</v>
      </c>
      <c r="X64" s="3497">
        <v>0</v>
      </c>
      <c r="Y64" s="3497">
        <v>0</v>
      </c>
      <c r="Z64" s="3497">
        <v>0</v>
      </c>
      <c r="AA64" s="3497">
        <v>0</v>
      </c>
      <c r="AB64" s="3497">
        <v>0</v>
      </c>
      <c r="AC64" s="3497">
        <v>0</v>
      </c>
      <c r="AD64" s="3497">
        <v>0</v>
      </c>
      <c r="AE64" s="3497">
        <v>0</v>
      </c>
      <c r="AF64" s="3497">
        <v>0</v>
      </c>
      <c r="AG64" s="3497">
        <v>0</v>
      </c>
      <c r="AH64" s="3497">
        <v>0</v>
      </c>
      <c r="AI64" s="3497">
        <v>0</v>
      </c>
      <c r="AJ64" s="3497">
        <v>0</v>
      </c>
      <c r="AK64" s="3497">
        <v>0</v>
      </c>
      <c r="AL64" s="3497">
        <v>0</v>
      </c>
      <c r="AM64" s="3497">
        <v>0</v>
      </c>
      <c r="AN64" s="3497">
        <v>0</v>
      </c>
      <c r="AO64" s="3497">
        <v>0</v>
      </c>
      <c r="AP64" s="3497">
        <v>0</v>
      </c>
      <c r="AQ64" s="3497">
        <v>0</v>
      </c>
      <c r="AR64" s="3497">
        <v>0</v>
      </c>
      <c r="AS64" s="3497">
        <v>0</v>
      </c>
      <c r="AT64" s="3497">
        <v>0</v>
      </c>
      <c r="AU64" s="3497">
        <v>0</v>
      </c>
      <c r="AV64" s="3497">
        <v>0</v>
      </c>
      <c r="AW64" s="3497">
        <v>0</v>
      </c>
      <c r="AX64" s="3497">
        <v>0</v>
      </c>
      <c r="AY64" s="3497">
        <v>0</v>
      </c>
      <c r="AZ64" s="3497">
        <v>0</v>
      </c>
      <c r="BA64" s="3497">
        <v>0</v>
      </c>
      <c r="BB64" s="3497">
        <v>0</v>
      </c>
      <c r="BC64" s="3497">
        <v>0</v>
      </c>
      <c r="BD64" s="3497">
        <v>0</v>
      </c>
      <c r="BE64" s="3497">
        <v>0</v>
      </c>
      <c r="BF64" s="3497">
        <v>0</v>
      </c>
      <c r="BG64" s="3497">
        <v>0</v>
      </c>
      <c r="BH64" s="3497">
        <v>0</v>
      </c>
      <c r="BI64" s="3497">
        <v>0</v>
      </c>
      <c r="BJ64" s="3497">
        <v>0</v>
      </c>
      <c r="BK64" s="3497">
        <v>0</v>
      </c>
      <c r="BL64" s="3497">
        <v>0</v>
      </c>
      <c r="BM64" s="3497">
        <v>0</v>
      </c>
      <c r="BN64" s="3497">
        <v>0</v>
      </c>
      <c r="BO64" s="3497">
        <v>0</v>
      </c>
      <c r="BP64" s="3497">
        <v>0</v>
      </c>
      <c r="BQ64" s="3497">
        <v>0</v>
      </c>
      <c r="BR64" s="3497">
        <v>0</v>
      </c>
      <c r="BS64" s="3497">
        <v>0</v>
      </c>
      <c r="BT64" s="3497">
        <v>0</v>
      </c>
      <c r="BU64" s="3497">
        <v>0</v>
      </c>
      <c r="BV64" s="3497">
        <v>0</v>
      </c>
      <c r="BW64" s="3497">
        <v>0</v>
      </c>
      <c r="BX64" s="3497">
        <v>0</v>
      </c>
      <c r="BY64" s="3497">
        <v>0</v>
      </c>
      <c r="BZ64" s="3497">
        <v>0</v>
      </c>
      <c r="CA64" s="3497">
        <v>0</v>
      </c>
      <c r="CB64" s="3497">
        <v>0</v>
      </c>
      <c r="CC64" s="3497">
        <v>0</v>
      </c>
      <c r="CD64" s="3497">
        <v>0</v>
      </c>
      <c r="CE64" s="3497">
        <v>0</v>
      </c>
      <c r="CF64" s="3497">
        <v>0</v>
      </c>
      <c r="CG64" s="3497">
        <v>0</v>
      </c>
      <c r="CH64" s="3497">
        <v>0</v>
      </c>
      <c r="CI64" s="3497">
        <v>0</v>
      </c>
      <c r="CJ64" s="3497">
        <v>0</v>
      </c>
      <c r="CK64" s="3497">
        <v>0</v>
      </c>
      <c r="CL64" s="3497">
        <v>0</v>
      </c>
      <c r="CM64" s="3497">
        <v>0</v>
      </c>
      <c r="CN64" s="3497">
        <v>0</v>
      </c>
      <c r="CO64" s="3497">
        <v>0</v>
      </c>
      <c r="CP64" s="3497">
        <v>0</v>
      </c>
      <c r="CQ64" s="3497">
        <v>0</v>
      </c>
      <c r="CR64" s="3497">
        <v>0</v>
      </c>
      <c r="CS64" s="3497">
        <v>0</v>
      </c>
      <c r="CT64" s="3497">
        <v>0</v>
      </c>
      <c r="CU64" s="3497">
        <v>0</v>
      </c>
      <c r="CV64" s="3497">
        <v>0</v>
      </c>
      <c r="CW64" s="3497">
        <v>0</v>
      </c>
      <c r="CX64" s="3497">
        <v>0</v>
      </c>
    </row>
    <row r="65" spans="1:102" ht="76.5">
      <c r="A65" s="3469">
        <v>10</v>
      </c>
      <c r="B65" s="3469">
        <v>14</v>
      </c>
      <c r="C65" s="3496" t="s">
        <v>4050</v>
      </c>
      <c r="D65" s="3473">
        <v>510</v>
      </c>
      <c r="E65" s="3497">
        <v>0</v>
      </c>
      <c r="F65" s="3482"/>
      <c r="G65" s="3482"/>
      <c r="H65" s="3482"/>
      <c r="I65" s="3482"/>
      <c r="J65" s="3482"/>
      <c r="K65" s="3482"/>
      <c r="L65" s="3497">
        <v>0</v>
      </c>
      <c r="M65" s="3482"/>
      <c r="N65" s="3482"/>
      <c r="O65" s="3482"/>
      <c r="P65" s="3482"/>
      <c r="Q65" s="3482"/>
      <c r="R65" s="3482"/>
      <c r="S65" s="3497">
        <v>0</v>
      </c>
      <c r="T65" s="3482"/>
      <c r="U65" s="3482"/>
      <c r="V65" s="3482"/>
      <c r="W65" s="3482"/>
      <c r="X65" s="3482"/>
      <c r="Y65" s="3482"/>
      <c r="Z65" s="3497">
        <v>0</v>
      </c>
      <c r="AA65" s="3482"/>
      <c r="AB65" s="3482"/>
      <c r="AC65" s="3482"/>
      <c r="AD65" s="3482"/>
      <c r="AE65" s="3482"/>
      <c r="AF65" s="3482"/>
      <c r="AG65" s="3497">
        <v>0</v>
      </c>
      <c r="AH65" s="3482"/>
      <c r="AI65" s="3482"/>
      <c r="AJ65" s="3482"/>
      <c r="AK65" s="3482"/>
      <c r="AL65" s="3482"/>
      <c r="AM65" s="3482"/>
      <c r="AN65" s="3497">
        <v>0</v>
      </c>
      <c r="AO65" s="3482"/>
      <c r="AP65" s="3482"/>
      <c r="AQ65" s="3482"/>
      <c r="AR65" s="3482"/>
      <c r="AS65" s="3482"/>
      <c r="AT65" s="3482"/>
      <c r="AU65" s="3497">
        <v>0</v>
      </c>
      <c r="AV65" s="3482"/>
      <c r="AW65" s="3482"/>
      <c r="AX65" s="3482"/>
      <c r="AY65" s="3482"/>
      <c r="AZ65" s="3482"/>
      <c r="BA65" s="3482"/>
      <c r="BB65" s="3497">
        <v>0</v>
      </c>
      <c r="BC65" s="3482"/>
      <c r="BD65" s="3482"/>
      <c r="BE65" s="3482"/>
      <c r="BF65" s="3482"/>
      <c r="BG65" s="3482"/>
      <c r="BH65" s="3482"/>
      <c r="BI65" s="3497">
        <v>0</v>
      </c>
      <c r="BJ65" s="3482"/>
      <c r="BK65" s="3482"/>
      <c r="BL65" s="3482"/>
      <c r="BM65" s="3482"/>
      <c r="BN65" s="3482"/>
      <c r="BO65" s="3482"/>
      <c r="BP65" s="3497">
        <v>0</v>
      </c>
      <c r="BQ65" s="3482"/>
      <c r="BR65" s="3482"/>
      <c r="BS65" s="3482"/>
      <c r="BT65" s="3482"/>
      <c r="BU65" s="3482"/>
      <c r="BV65" s="3482"/>
      <c r="BW65" s="3497">
        <v>0</v>
      </c>
      <c r="BX65" s="3482"/>
      <c r="BY65" s="3482"/>
      <c r="BZ65" s="3482"/>
      <c r="CA65" s="3482"/>
      <c r="CB65" s="3482"/>
      <c r="CC65" s="3482"/>
      <c r="CD65" s="3497">
        <v>0</v>
      </c>
      <c r="CE65" s="3482"/>
      <c r="CF65" s="3482"/>
      <c r="CG65" s="3482"/>
      <c r="CH65" s="3482"/>
      <c r="CI65" s="3482"/>
      <c r="CJ65" s="3482"/>
      <c r="CK65" s="3497">
        <v>0</v>
      </c>
      <c r="CL65" s="3482"/>
      <c r="CM65" s="3482"/>
      <c r="CN65" s="3482"/>
      <c r="CO65" s="3482"/>
      <c r="CP65" s="3482"/>
      <c r="CQ65" s="3482"/>
      <c r="CR65" s="3497">
        <v>0</v>
      </c>
      <c r="CS65" s="3482"/>
      <c r="CT65" s="3482"/>
      <c r="CU65" s="3482"/>
      <c r="CV65" s="3482"/>
      <c r="CW65" s="3482"/>
      <c r="CX65" s="3482"/>
    </row>
    <row r="66" spans="1:102" ht="51">
      <c r="A66" s="3469">
        <v>11</v>
      </c>
      <c r="B66" s="3469">
        <v>14</v>
      </c>
      <c r="C66" s="3496" t="s">
        <v>4051</v>
      </c>
      <c r="D66" s="3473">
        <v>511</v>
      </c>
      <c r="E66" s="3497">
        <v>0</v>
      </c>
      <c r="F66" s="3482"/>
      <c r="G66" s="3482"/>
      <c r="H66" s="3482"/>
      <c r="I66" s="3482"/>
      <c r="J66" s="3482"/>
      <c r="K66" s="3482"/>
      <c r="L66" s="3497">
        <v>0</v>
      </c>
      <c r="M66" s="3482"/>
      <c r="N66" s="3482"/>
      <c r="O66" s="3482"/>
      <c r="P66" s="3482"/>
      <c r="Q66" s="3482"/>
      <c r="R66" s="3482"/>
      <c r="S66" s="3497">
        <v>0</v>
      </c>
      <c r="T66" s="3482"/>
      <c r="U66" s="3482"/>
      <c r="V66" s="3482"/>
      <c r="W66" s="3482"/>
      <c r="X66" s="3482"/>
      <c r="Y66" s="3482"/>
      <c r="Z66" s="3497">
        <v>0</v>
      </c>
      <c r="AA66" s="3482"/>
      <c r="AB66" s="3482"/>
      <c r="AC66" s="3482"/>
      <c r="AD66" s="3482"/>
      <c r="AE66" s="3482"/>
      <c r="AF66" s="3482"/>
      <c r="AG66" s="3497">
        <v>0</v>
      </c>
      <c r="AH66" s="3482"/>
      <c r="AI66" s="3482"/>
      <c r="AJ66" s="3482"/>
      <c r="AK66" s="3482"/>
      <c r="AL66" s="3482"/>
      <c r="AM66" s="3482"/>
      <c r="AN66" s="3497">
        <v>0</v>
      </c>
      <c r="AO66" s="3482"/>
      <c r="AP66" s="3482"/>
      <c r="AQ66" s="3482"/>
      <c r="AR66" s="3482"/>
      <c r="AS66" s="3482"/>
      <c r="AT66" s="3482"/>
      <c r="AU66" s="3497">
        <v>0</v>
      </c>
      <c r="AV66" s="3482"/>
      <c r="AW66" s="3482"/>
      <c r="AX66" s="3482"/>
      <c r="AY66" s="3482"/>
      <c r="AZ66" s="3482"/>
      <c r="BA66" s="3482"/>
      <c r="BB66" s="3497">
        <v>0</v>
      </c>
      <c r="BC66" s="3482"/>
      <c r="BD66" s="3482"/>
      <c r="BE66" s="3482"/>
      <c r="BF66" s="3482"/>
      <c r="BG66" s="3482"/>
      <c r="BH66" s="3482"/>
      <c r="BI66" s="3497">
        <v>0</v>
      </c>
      <c r="BJ66" s="3482"/>
      <c r="BK66" s="3482"/>
      <c r="BL66" s="3482"/>
      <c r="BM66" s="3482"/>
      <c r="BN66" s="3482"/>
      <c r="BO66" s="3482"/>
      <c r="BP66" s="3497">
        <v>0</v>
      </c>
      <c r="BQ66" s="3482"/>
      <c r="BR66" s="3482"/>
      <c r="BS66" s="3482"/>
      <c r="BT66" s="3482"/>
      <c r="BU66" s="3482"/>
      <c r="BV66" s="3482"/>
      <c r="BW66" s="3497">
        <v>0</v>
      </c>
      <c r="BX66" s="3482"/>
      <c r="BY66" s="3482"/>
      <c r="BZ66" s="3482"/>
      <c r="CA66" s="3482"/>
      <c r="CB66" s="3482"/>
      <c r="CC66" s="3482"/>
      <c r="CD66" s="3497">
        <v>0</v>
      </c>
      <c r="CE66" s="3482"/>
      <c r="CF66" s="3482"/>
      <c r="CG66" s="3482"/>
      <c r="CH66" s="3482"/>
      <c r="CI66" s="3482"/>
      <c r="CJ66" s="3482"/>
      <c r="CK66" s="3497">
        <v>0</v>
      </c>
      <c r="CL66" s="3482"/>
      <c r="CM66" s="3482"/>
      <c r="CN66" s="3482"/>
      <c r="CO66" s="3482"/>
      <c r="CP66" s="3482"/>
      <c r="CQ66" s="3482"/>
      <c r="CR66" s="3497">
        <v>0</v>
      </c>
      <c r="CS66" s="3482"/>
      <c r="CT66" s="3482"/>
      <c r="CU66" s="3482"/>
      <c r="CV66" s="3482"/>
      <c r="CW66" s="3482"/>
      <c r="CX66" s="3482"/>
    </row>
    <row r="67" spans="1:102" ht="25.5">
      <c r="A67" s="3469">
        <v>12</v>
      </c>
      <c r="B67" s="3469">
        <v>14</v>
      </c>
      <c r="C67" s="3496" t="s">
        <v>4052</v>
      </c>
      <c r="D67" s="3473">
        <v>512</v>
      </c>
      <c r="E67" s="3497">
        <v>0</v>
      </c>
      <c r="F67" s="3482"/>
      <c r="G67" s="3482"/>
      <c r="H67" s="3482"/>
      <c r="I67" s="3482"/>
      <c r="J67" s="3482"/>
      <c r="K67" s="3482"/>
      <c r="L67" s="3497">
        <v>0</v>
      </c>
      <c r="M67" s="3482"/>
      <c r="N67" s="3482"/>
      <c r="O67" s="3482"/>
      <c r="P67" s="3482"/>
      <c r="Q67" s="3482"/>
      <c r="R67" s="3482"/>
      <c r="S67" s="3497">
        <v>0</v>
      </c>
      <c r="T67" s="3482"/>
      <c r="U67" s="3482"/>
      <c r="V67" s="3482"/>
      <c r="W67" s="3482"/>
      <c r="X67" s="3482"/>
      <c r="Y67" s="3482"/>
      <c r="Z67" s="3497">
        <v>0</v>
      </c>
      <c r="AA67" s="3482"/>
      <c r="AB67" s="3482"/>
      <c r="AC67" s="3482"/>
      <c r="AD67" s="3482"/>
      <c r="AE67" s="3482"/>
      <c r="AF67" s="3482"/>
      <c r="AG67" s="3497">
        <v>0</v>
      </c>
      <c r="AH67" s="3482"/>
      <c r="AI67" s="3482"/>
      <c r="AJ67" s="3482"/>
      <c r="AK67" s="3482"/>
      <c r="AL67" s="3482"/>
      <c r="AM67" s="3482"/>
      <c r="AN67" s="3497">
        <v>0</v>
      </c>
      <c r="AO67" s="3482"/>
      <c r="AP67" s="3482"/>
      <c r="AQ67" s="3482"/>
      <c r="AR67" s="3482"/>
      <c r="AS67" s="3482"/>
      <c r="AT67" s="3482"/>
      <c r="AU67" s="3497">
        <v>0</v>
      </c>
      <c r="AV67" s="3482"/>
      <c r="AW67" s="3482"/>
      <c r="AX67" s="3482"/>
      <c r="AY67" s="3482"/>
      <c r="AZ67" s="3482"/>
      <c r="BA67" s="3482"/>
      <c r="BB67" s="3497">
        <v>0</v>
      </c>
      <c r="BC67" s="3482"/>
      <c r="BD67" s="3482"/>
      <c r="BE67" s="3482"/>
      <c r="BF67" s="3482"/>
      <c r="BG67" s="3482"/>
      <c r="BH67" s="3482"/>
      <c r="BI67" s="3497">
        <v>0</v>
      </c>
      <c r="BJ67" s="3482"/>
      <c r="BK67" s="3482"/>
      <c r="BL67" s="3482"/>
      <c r="BM67" s="3482"/>
      <c r="BN67" s="3482"/>
      <c r="BO67" s="3482"/>
      <c r="BP67" s="3497">
        <v>0</v>
      </c>
      <c r="BQ67" s="3482"/>
      <c r="BR67" s="3482"/>
      <c r="BS67" s="3482"/>
      <c r="BT67" s="3482"/>
      <c r="BU67" s="3482"/>
      <c r="BV67" s="3482"/>
      <c r="BW67" s="3497">
        <v>0</v>
      </c>
      <c r="BX67" s="3482"/>
      <c r="BY67" s="3482"/>
      <c r="BZ67" s="3482"/>
      <c r="CA67" s="3482"/>
      <c r="CB67" s="3482"/>
      <c r="CC67" s="3482"/>
      <c r="CD67" s="3497">
        <v>0</v>
      </c>
      <c r="CE67" s="3482"/>
      <c r="CF67" s="3482"/>
      <c r="CG67" s="3482"/>
      <c r="CH67" s="3482"/>
      <c r="CI67" s="3482"/>
      <c r="CJ67" s="3482"/>
      <c r="CK67" s="3497">
        <v>0</v>
      </c>
      <c r="CL67" s="3482"/>
      <c r="CM67" s="3482"/>
      <c r="CN67" s="3482"/>
      <c r="CO67" s="3482"/>
      <c r="CP67" s="3482"/>
      <c r="CQ67" s="3482"/>
      <c r="CR67" s="3497">
        <v>0</v>
      </c>
      <c r="CS67" s="3482"/>
      <c r="CT67" s="3482"/>
      <c r="CU67" s="3482"/>
      <c r="CV67" s="3482"/>
      <c r="CW67" s="3482"/>
      <c r="CX67" s="3482"/>
    </row>
    <row r="68" spans="1:102" ht="25.5">
      <c r="A68" s="3469">
        <v>13</v>
      </c>
      <c r="B68" s="3469">
        <v>14</v>
      </c>
      <c r="C68" s="3496" t="s">
        <v>4053</v>
      </c>
      <c r="D68" s="3473">
        <v>513</v>
      </c>
      <c r="E68" s="3497">
        <v>0</v>
      </c>
      <c r="F68" s="3482"/>
      <c r="G68" s="3482"/>
      <c r="H68" s="3482"/>
      <c r="I68" s="3482"/>
      <c r="J68" s="3482"/>
      <c r="K68" s="3482"/>
      <c r="L68" s="3497">
        <v>0</v>
      </c>
      <c r="M68" s="3482"/>
      <c r="N68" s="3482"/>
      <c r="O68" s="3482"/>
      <c r="P68" s="3482"/>
      <c r="Q68" s="3482"/>
      <c r="R68" s="3482"/>
      <c r="S68" s="3497">
        <v>0</v>
      </c>
      <c r="T68" s="3482"/>
      <c r="U68" s="3482"/>
      <c r="V68" s="3482"/>
      <c r="W68" s="3482"/>
      <c r="X68" s="3482"/>
      <c r="Y68" s="3482"/>
      <c r="Z68" s="3497">
        <v>0</v>
      </c>
      <c r="AA68" s="3482"/>
      <c r="AB68" s="3482"/>
      <c r="AC68" s="3482"/>
      <c r="AD68" s="3482"/>
      <c r="AE68" s="3482"/>
      <c r="AF68" s="3482"/>
      <c r="AG68" s="3497">
        <v>0</v>
      </c>
      <c r="AH68" s="3482"/>
      <c r="AI68" s="3482"/>
      <c r="AJ68" s="3482"/>
      <c r="AK68" s="3482"/>
      <c r="AL68" s="3482"/>
      <c r="AM68" s="3482"/>
      <c r="AN68" s="3497">
        <v>0</v>
      </c>
      <c r="AO68" s="3482"/>
      <c r="AP68" s="3482"/>
      <c r="AQ68" s="3482"/>
      <c r="AR68" s="3482"/>
      <c r="AS68" s="3482"/>
      <c r="AT68" s="3482"/>
      <c r="AU68" s="3497">
        <v>0</v>
      </c>
      <c r="AV68" s="3482"/>
      <c r="AW68" s="3482"/>
      <c r="AX68" s="3482"/>
      <c r="AY68" s="3482"/>
      <c r="AZ68" s="3482"/>
      <c r="BA68" s="3482"/>
      <c r="BB68" s="3497">
        <v>0</v>
      </c>
      <c r="BC68" s="3482"/>
      <c r="BD68" s="3482"/>
      <c r="BE68" s="3482"/>
      <c r="BF68" s="3482"/>
      <c r="BG68" s="3482"/>
      <c r="BH68" s="3482"/>
      <c r="BI68" s="3497">
        <v>0</v>
      </c>
      <c r="BJ68" s="3482"/>
      <c r="BK68" s="3482"/>
      <c r="BL68" s="3482"/>
      <c r="BM68" s="3482"/>
      <c r="BN68" s="3482"/>
      <c r="BO68" s="3482"/>
      <c r="BP68" s="3497">
        <v>0</v>
      </c>
      <c r="BQ68" s="3482"/>
      <c r="BR68" s="3482"/>
      <c r="BS68" s="3482"/>
      <c r="BT68" s="3482"/>
      <c r="BU68" s="3482"/>
      <c r="BV68" s="3482"/>
      <c r="BW68" s="3497">
        <v>0</v>
      </c>
      <c r="BX68" s="3482"/>
      <c r="BY68" s="3482"/>
      <c r="BZ68" s="3482"/>
      <c r="CA68" s="3482"/>
      <c r="CB68" s="3482"/>
      <c r="CC68" s="3482"/>
      <c r="CD68" s="3497">
        <v>0</v>
      </c>
      <c r="CE68" s="3482"/>
      <c r="CF68" s="3482"/>
      <c r="CG68" s="3482"/>
      <c r="CH68" s="3482"/>
      <c r="CI68" s="3482"/>
      <c r="CJ68" s="3482"/>
      <c r="CK68" s="3497">
        <v>0</v>
      </c>
      <c r="CL68" s="3482"/>
      <c r="CM68" s="3482"/>
      <c r="CN68" s="3482"/>
      <c r="CO68" s="3482"/>
      <c r="CP68" s="3482"/>
      <c r="CQ68" s="3482"/>
      <c r="CR68" s="3497">
        <v>0</v>
      </c>
      <c r="CS68" s="3482"/>
      <c r="CT68" s="3482"/>
      <c r="CU68" s="3482"/>
      <c r="CV68" s="3482"/>
      <c r="CW68" s="3482"/>
      <c r="CX68" s="3482"/>
    </row>
    <row r="69" spans="1:102" ht="25.5">
      <c r="A69" s="3469">
        <v>14</v>
      </c>
      <c r="B69" s="3469">
        <v>14</v>
      </c>
      <c r="C69" s="3496" t="s">
        <v>4054</v>
      </c>
      <c r="D69" s="3473">
        <v>514</v>
      </c>
      <c r="E69" s="3497">
        <v>0</v>
      </c>
      <c r="F69" s="3482"/>
      <c r="G69" s="3482"/>
      <c r="H69" s="3482"/>
      <c r="I69" s="3482"/>
      <c r="J69" s="3482"/>
      <c r="K69" s="3482"/>
      <c r="L69" s="3497">
        <v>0</v>
      </c>
      <c r="M69" s="3482"/>
      <c r="N69" s="3482"/>
      <c r="O69" s="3482"/>
      <c r="P69" s="3482"/>
      <c r="Q69" s="3482"/>
      <c r="R69" s="3482"/>
      <c r="S69" s="3497">
        <v>0</v>
      </c>
      <c r="T69" s="3482"/>
      <c r="U69" s="3482"/>
      <c r="V69" s="3482"/>
      <c r="W69" s="3482"/>
      <c r="X69" s="3482"/>
      <c r="Y69" s="3482"/>
      <c r="Z69" s="3497">
        <v>0</v>
      </c>
      <c r="AA69" s="3482"/>
      <c r="AB69" s="3482"/>
      <c r="AC69" s="3482"/>
      <c r="AD69" s="3482"/>
      <c r="AE69" s="3482"/>
      <c r="AF69" s="3482"/>
      <c r="AG69" s="3497">
        <v>0</v>
      </c>
      <c r="AH69" s="3482"/>
      <c r="AI69" s="3482"/>
      <c r="AJ69" s="3482"/>
      <c r="AK69" s="3482"/>
      <c r="AL69" s="3482"/>
      <c r="AM69" s="3482"/>
      <c r="AN69" s="3497">
        <v>0</v>
      </c>
      <c r="AO69" s="3482"/>
      <c r="AP69" s="3482"/>
      <c r="AQ69" s="3482"/>
      <c r="AR69" s="3482"/>
      <c r="AS69" s="3482"/>
      <c r="AT69" s="3482"/>
      <c r="AU69" s="3497">
        <v>0</v>
      </c>
      <c r="AV69" s="3482"/>
      <c r="AW69" s="3482"/>
      <c r="AX69" s="3482"/>
      <c r="AY69" s="3482"/>
      <c r="AZ69" s="3482"/>
      <c r="BA69" s="3482"/>
      <c r="BB69" s="3497">
        <v>0</v>
      </c>
      <c r="BC69" s="3482"/>
      <c r="BD69" s="3482"/>
      <c r="BE69" s="3482"/>
      <c r="BF69" s="3482"/>
      <c r="BG69" s="3482"/>
      <c r="BH69" s="3482"/>
      <c r="BI69" s="3497">
        <v>0</v>
      </c>
      <c r="BJ69" s="3482"/>
      <c r="BK69" s="3482"/>
      <c r="BL69" s="3482"/>
      <c r="BM69" s="3482"/>
      <c r="BN69" s="3482"/>
      <c r="BO69" s="3482"/>
      <c r="BP69" s="3497">
        <v>0</v>
      </c>
      <c r="BQ69" s="3482"/>
      <c r="BR69" s="3482"/>
      <c r="BS69" s="3482"/>
      <c r="BT69" s="3482"/>
      <c r="BU69" s="3482"/>
      <c r="BV69" s="3482"/>
      <c r="BW69" s="3497">
        <v>0</v>
      </c>
      <c r="BX69" s="3482"/>
      <c r="BY69" s="3482"/>
      <c r="BZ69" s="3482"/>
      <c r="CA69" s="3482"/>
      <c r="CB69" s="3482"/>
      <c r="CC69" s="3482"/>
      <c r="CD69" s="3497">
        <v>0</v>
      </c>
      <c r="CE69" s="3482"/>
      <c r="CF69" s="3482"/>
      <c r="CG69" s="3482"/>
      <c r="CH69" s="3482"/>
      <c r="CI69" s="3482"/>
      <c r="CJ69" s="3482"/>
      <c r="CK69" s="3497">
        <v>0</v>
      </c>
      <c r="CL69" s="3482"/>
      <c r="CM69" s="3482"/>
      <c r="CN69" s="3482"/>
      <c r="CO69" s="3482"/>
      <c r="CP69" s="3482"/>
      <c r="CQ69" s="3482"/>
      <c r="CR69" s="3497">
        <v>0</v>
      </c>
      <c r="CS69" s="3482"/>
      <c r="CT69" s="3482"/>
      <c r="CU69" s="3482"/>
      <c r="CV69" s="3482"/>
      <c r="CW69" s="3482"/>
      <c r="CX69" s="3482"/>
    </row>
    <row r="70" spans="1:102" ht="25.5">
      <c r="A70" s="3469">
        <v>15</v>
      </c>
      <c r="B70" s="3469">
        <v>14</v>
      </c>
      <c r="C70" s="3496" t="s">
        <v>4055</v>
      </c>
      <c r="D70" s="3473">
        <v>515</v>
      </c>
      <c r="E70" s="3497">
        <v>0</v>
      </c>
      <c r="F70" s="3482"/>
      <c r="G70" s="3482"/>
      <c r="H70" s="3482"/>
      <c r="I70" s="3482"/>
      <c r="J70" s="3482"/>
      <c r="K70" s="3482"/>
      <c r="L70" s="3497">
        <v>0</v>
      </c>
      <c r="M70" s="3482"/>
      <c r="N70" s="3482"/>
      <c r="O70" s="3482"/>
      <c r="P70" s="3482"/>
      <c r="Q70" s="3482"/>
      <c r="R70" s="3482"/>
      <c r="S70" s="3497">
        <v>0</v>
      </c>
      <c r="T70" s="3482"/>
      <c r="U70" s="3482"/>
      <c r="V70" s="3482"/>
      <c r="W70" s="3482"/>
      <c r="X70" s="3482"/>
      <c r="Y70" s="3482"/>
      <c r="Z70" s="3497">
        <v>0</v>
      </c>
      <c r="AA70" s="3482"/>
      <c r="AB70" s="3482"/>
      <c r="AC70" s="3482"/>
      <c r="AD70" s="3482"/>
      <c r="AE70" s="3482"/>
      <c r="AF70" s="3482"/>
      <c r="AG70" s="3497">
        <v>0</v>
      </c>
      <c r="AH70" s="3482"/>
      <c r="AI70" s="3482"/>
      <c r="AJ70" s="3482"/>
      <c r="AK70" s="3482"/>
      <c r="AL70" s="3482"/>
      <c r="AM70" s="3482"/>
      <c r="AN70" s="3497">
        <v>0</v>
      </c>
      <c r="AO70" s="3482"/>
      <c r="AP70" s="3482"/>
      <c r="AQ70" s="3482"/>
      <c r="AR70" s="3482"/>
      <c r="AS70" s="3482"/>
      <c r="AT70" s="3482"/>
      <c r="AU70" s="3497">
        <v>0</v>
      </c>
      <c r="AV70" s="3482"/>
      <c r="AW70" s="3482"/>
      <c r="AX70" s="3482"/>
      <c r="AY70" s="3482"/>
      <c r="AZ70" s="3482"/>
      <c r="BA70" s="3482"/>
      <c r="BB70" s="3497">
        <v>0</v>
      </c>
      <c r="BC70" s="3482"/>
      <c r="BD70" s="3482"/>
      <c r="BE70" s="3482"/>
      <c r="BF70" s="3482"/>
      <c r="BG70" s="3482"/>
      <c r="BH70" s="3482"/>
      <c r="BI70" s="3497">
        <v>0</v>
      </c>
      <c r="BJ70" s="3482"/>
      <c r="BK70" s="3482"/>
      <c r="BL70" s="3482"/>
      <c r="BM70" s="3482"/>
      <c r="BN70" s="3482"/>
      <c r="BO70" s="3482"/>
      <c r="BP70" s="3497">
        <v>0</v>
      </c>
      <c r="BQ70" s="3482"/>
      <c r="BR70" s="3482"/>
      <c r="BS70" s="3482"/>
      <c r="BT70" s="3482"/>
      <c r="BU70" s="3482"/>
      <c r="BV70" s="3482"/>
      <c r="BW70" s="3497">
        <v>0</v>
      </c>
      <c r="BX70" s="3482"/>
      <c r="BY70" s="3482"/>
      <c r="BZ70" s="3482"/>
      <c r="CA70" s="3482"/>
      <c r="CB70" s="3482"/>
      <c r="CC70" s="3482"/>
      <c r="CD70" s="3497">
        <v>0</v>
      </c>
      <c r="CE70" s="3482"/>
      <c r="CF70" s="3482"/>
      <c r="CG70" s="3482"/>
      <c r="CH70" s="3482"/>
      <c r="CI70" s="3482"/>
      <c r="CJ70" s="3482"/>
      <c r="CK70" s="3497">
        <v>0</v>
      </c>
      <c r="CL70" s="3482"/>
      <c r="CM70" s="3482"/>
      <c r="CN70" s="3482"/>
      <c r="CO70" s="3482"/>
      <c r="CP70" s="3482"/>
      <c r="CQ70" s="3482"/>
      <c r="CR70" s="3497">
        <v>0</v>
      </c>
      <c r="CS70" s="3482"/>
      <c r="CT70" s="3482"/>
      <c r="CU70" s="3482"/>
      <c r="CV70" s="3482"/>
      <c r="CW70" s="3482"/>
      <c r="CX70" s="3482"/>
    </row>
    <row r="71" spans="1:102" ht="25.5">
      <c r="A71" s="3469">
        <v>16</v>
      </c>
      <c r="B71" s="3469">
        <v>14</v>
      </c>
      <c r="C71" s="3496" t="s">
        <v>4056</v>
      </c>
      <c r="D71" s="3473">
        <v>516</v>
      </c>
      <c r="E71" s="3497">
        <v>0</v>
      </c>
      <c r="F71" s="3482"/>
      <c r="G71" s="3482"/>
      <c r="H71" s="3482"/>
      <c r="I71" s="3482"/>
      <c r="J71" s="3482"/>
      <c r="K71" s="3482"/>
      <c r="L71" s="3497">
        <v>0</v>
      </c>
      <c r="M71" s="3482"/>
      <c r="N71" s="3482"/>
      <c r="O71" s="3482"/>
      <c r="P71" s="3482"/>
      <c r="Q71" s="3482"/>
      <c r="R71" s="3482"/>
      <c r="S71" s="3497">
        <v>0</v>
      </c>
      <c r="T71" s="3482"/>
      <c r="U71" s="3482"/>
      <c r="V71" s="3482"/>
      <c r="W71" s="3482"/>
      <c r="X71" s="3482"/>
      <c r="Y71" s="3482"/>
      <c r="Z71" s="3497">
        <v>0</v>
      </c>
      <c r="AA71" s="3482"/>
      <c r="AB71" s="3482"/>
      <c r="AC71" s="3482"/>
      <c r="AD71" s="3482"/>
      <c r="AE71" s="3482"/>
      <c r="AF71" s="3482"/>
      <c r="AG71" s="3497">
        <v>0</v>
      </c>
      <c r="AH71" s="3482"/>
      <c r="AI71" s="3482"/>
      <c r="AJ71" s="3482"/>
      <c r="AK71" s="3482"/>
      <c r="AL71" s="3482"/>
      <c r="AM71" s="3482"/>
      <c r="AN71" s="3497">
        <v>0</v>
      </c>
      <c r="AO71" s="3482"/>
      <c r="AP71" s="3482"/>
      <c r="AQ71" s="3482"/>
      <c r="AR71" s="3482"/>
      <c r="AS71" s="3482"/>
      <c r="AT71" s="3482"/>
      <c r="AU71" s="3497">
        <v>0</v>
      </c>
      <c r="AV71" s="3482"/>
      <c r="AW71" s="3482"/>
      <c r="AX71" s="3482"/>
      <c r="AY71" s="3482"/>
      <c r="AZ71" s="3482"/>
      <c r="BA71" s="3482"/>
      <c r="BB71" s="3497">
        <v>0</v>
      </c>
      <c r="BC71" s="3482"/>
      <c r="BD71" s="3482"/>
      <c r="BE71" s="3482"/>
      <c r="BF71" s="3482"/>
      <c r="BG71" s="3482"/>
      <c r="BH71" s="3482"/>
      <c r="BI71" s="3497">
        <v>0</v>
      </c>
      <c r="BJ71" s="3482"/>
      <c r="BK71" s="3482"/>
      <c r="BL71" s="3482"/>
      <c r="BM71" s="3482"/>
      <c r="BN71" s="3482"/>
      <c r="BO71" s="3482"/>
      <c r="BP71" s="3497">
        <v>0</v>
      </c>
      <c r="BQ71" s="3482"/>
      <c r="BR71" s="3482"/>
      <c r="BS71" s="3482"/>
      <c r="BT71" s="3482"/>
      <c r="BU71" s="3482"/>
      <c r="BV71" s="3482"/>
      <c r="BW71" s="3497">
        <v>0</v>
      </c>
      <c r="BX71" s="3482"/>
      <c r="BY71" s="3482"/>
      <c r="BZ71" s="3482"/>
      <c r="CA71" s="3482"/>
      <c r="CB71" s="3482"/>
      <c r="CC71" s="3482"/>
      <c r="CD71" s="3497">
        <v>0</v>
      </c>
      <c r="CE71" s="3482"/>
      <c r="CF71" s="3482"/>
      <c r="CG71" s="3482"/>
      <c r="CH71" s="3482"/>
      <c r="CI71" s="3482"/>
      <c r="CJ71" s="3482"/>
      <c r="CK71" s="3497">
        <v>0</v>
      </c>
      <c r="CL71" s="3482"/>
      <c r="CM71" s="3482"/>
      <c r="CN71" s="3482"/>
      <c r="CO71" s="3482"/>
      <c r="CP71" s="3482"/>
      <c r="CQ71" s="3482"/>
      <c r="CR71" s="3497">
        <v>0</v>
      </c>
      <c r="CS71" s="3482"/>
      <c r="CT71" s="3482"/>
      <c r="CU71" s="3482"/>
      <c r="CV71" s="3482"/>
      <c r="CW71" s="3482"/>
      <c r="CX71" s="3482"/>
    </row>
    <row r="72" spans="1:102" ht="25.5">
      <c r="A72" s="3469">
        <v>17</v>
      </c>
      <c r="B72" s="3469">
        <v>14</v>
      </c>
      <c r="C72" s="3496" t="s">
        <v>4057</v>
      </c>
      <c r="D72" s="3473">
        <v>517</v>
      </c>
      <c r="E72" s="3497">
        <v>0</v>
      </c>
      <c r="F72" s="3482"/>
      <c r="G72" s="3482"/>
      <c r="H72" s="3482"/>
      <c r="I72" s="3482"/>
      <c r="J72" s="3482"/>
      <c r="K72" s="3482"/>
      <c r="L72" s="3497">
        <v>0</v>
      </c>
      <c r="M72" s="3482"/>
      <c r="N72" s="3482"/>
      <c r="O72" s="3482"/>
      <c r="P72" s="3482"/>
      <c r="Q72" s="3482"/>
      <c r="R72" s="3482"/>
      <c r="S72" s="3497">
        <v>0</v>
      </c>
      <c r="T72" s="3482"/>
      <c r="U72" s="3482"/>
      <c r="V72" s="3482"/>
      <c r="W72" s="3482"/>
      <c r="X72" s="3482"/>
      <c r="Y72" s="3482"/>
      <c r="Z72" s="3497">
        <v>0</v>
      </c>
      <c r="AA72" s="3482"/>
      <c r="AB72" s="3482"/>
      <c r="AC72" s="3482"/>
      <c r="AD72" s="3482"/>
      <c r="AE72" s="3482"/>
      <c r="AF72" s="3482"/>
      <c r="AG72" s="3497">
        <v>0</v>
      </c>
      <c r="AH72" s="3482"/>
      <c r="AI72" s="3482"/>
      <c r="AJ72" s="3482"/>
      <c r="AK72" s="3482"/>
      <c r="AL72" s="3482"/>
      <c r="AM72" s="3482"/>
      <c r="AN72" s="3497">
        <v>0</v>
      </c>
      <c r="AO72" s="3482"/>
      <c r="AP72" s="3482"/>
      <c r="AQ72" s="3482"/>
      <c r="AR72" s="3482"/>
      <c r="AS72" s="3482"/>
      <c r="AT72" s="3482"/>
      <c r="AU72" s="3497">
        <v>0</v>
      </c>
      <c r="AV72" s="3482"/>
      <c r="AW72" s="3482"/>
      <c r="AX72" s="3482"/>
      <c r="AY72" s="3482"/>
      <c r="AZ72" s="3482"/>
      <c r="BA72" s="3482"/>
      <c r="BB72" s="3497">
        <v>0</v>
      </c>
      <c r="BC72" s="3482"/>
      <c r="BD72" s="3482"/>
      <c r="BE72" s="3482"/>
      <c r="BF72" s="3482"/>
      <c r="BG72" s="3482"/>
      <c r="BH72" s="3482"/>
      <c r="BI72" s="3497">
        <v>0</v>
      </c>
      <c r="BJ72" s="3482"/>
      <c r="BK72" s="3482"/>
      <c r="BL72" s="3482"/>
      <c r="BM72" s="3482"/>
      <c r="BN72" s="3482"/>
      <c r="BO72" s="3482"/>
      <c r="BP72" s="3497">
        <v>0</v>
      </c>
      <c r="BQ72" s="3482"/>
      <c r="BR72" s="3482"/>
      <c r="BS72" s="3482"/>
      <c r="BT72" s="3482"/>
      <c r="BU72" s="3482"/>
      <c r="BV72" s="3482"/>
      <c r="BW72" s="3497">
        <v>0</v>
      </c>
      <c r="BX72" s="3482"/>
      <c r="BY72" s="3482"/>
      <c r="BZ72" s="3482"/>
      <c r="CA72" s="3482"/>
      <c r="CB72" s="3482"/>
      <c r="CC72" s="3482"/>
      <c r="CD72" s="3497">
        <v>0</v>
      </c>
      <c r="CE72" s="3482"/>
      <c r="CF72" s="3482"/>
      <c r="CG72" s="3482"/>
      <c r="CH72" s="3482"/>
      <c r="CI72" s="3482"/>
      <c r="CJ72" s="3482"/>
      <c r="CK72" s="3497">
        <v>0</v>
      </c>
      <c r="CL72" s="3482"/>
      <c r="CM72" s="3482"/>
      <c r="CN72" s="3482"/>
      <c r="CO72" s="3482"/>
      <c r="CP72" s="3482"/>
      <c r="CQ72" s="3482"/>
      <c r="CR72" s="3497">
        <v>0</v>
      </c>
      <c r="CS72" s="3482"/>
      <c r="CT72" s="3482"/>
      <c r="CU72" s="3482"/>
      <c r="CV72" s="3482"/>
      <c r="CW72" s="3482"/>
      <c r="CX72" s="3482"/>
    </row>
    <row r="73" spans="1:102" ht="25.5">
      <c r="A73" s="3469">
        <v>18</v>
      </c>
      <c r="B73" s="3469">
        <v>14</v>
      </c>
      <c r="C73" s="3496" t="s">
        <v>4058</v>
      </c>
      <c r="D73" s="3473">
        <v>518</v>
      </c>
      <c r="E73" s="3497">
        <v>0</v>
      </c>
      <c r="F73" s="3482"/>
      <c r="G73" s="3482"/>
      <c r="H73" s="3482"/>
      <c r="I73" s="3482"/>
      <c r="J73" s="3482"/>
      <c r="K73" s="3482"/>
      <c r="L73" s="3497">
        <v>0</v>
      </c>
      <c r="M73" s="3482"/>
      <c r="N73" s="3482"/>
      <c r="O73" s="3482"/>
      <c r="P73" s="3482"/>
      <c r="Q73" s="3482"/>
      <c r="R73" s="3482"/>
      <c r="S73" s="3497">
        <v>0</v>
      </c>
      <c r="T73" s="3482"/>
      <c r="U73" s="3482"/>
      <c r="V73" s="3482"/>
      <c r="W73" s="3482"/>
      <c r="X73" s="3482"/>
      <c r="Y73" s="3482"/>
      <c r="Z73" s="3497">
        <v>0</v>
      </c>
      <c r="AA73" s="3482"/>
      <c r="AB73" s="3482"/>
      <c r="AC73" s="3482"/>
      <c r="AD73" s="3482"/>
      <c r="AE73" s="3482"/>
      <c r="AF73" s="3482"/>
      <c r="AG73" s="3497">
        <v>0</v>
      </c>
      <c r="AH73" s="3482"/>
      <c r="AI73" s="3482"/>
      <c r="AJ73" s="3482"/>
      <c r="AK73" s="3482"/>
      <c r="AL73" s="3482"/>
      <c r="AM73" s="3482"/>
      <c r="AN73" s="3497">
        <v>0</v>
      </c>
      <c r="AO73" s="3482"/>
      <c r="AP73" s="3482"/>
      <c r="AQ73" s="3482"/>
      <c r="AR73" s="3482"/>
      <c r="AS73" s="3482"/>
      <c r="AT73" s="3482"/>
      <c r="AU73" s="3497">
        <v>0</v>
      </c>
      <c r="AV73" s="3482"/>
      <c r="AW73" s="3482"/>
      <c r="AX73" s="3482"/>
      <c r="AY73" s="3482"/>
      <c r="AZ73" s="3482"/>
      <c r="BA73" s="3482"/>
      <c r="BB73" s="3497">
        <v>0</v>
      </c>
      <c r="BC73" s="3482"/>
      <c r="BD73" s="3482"/>
      <c r="BE73" s="3482"/>
      <c r="BF73" s="3482"/>
      <c r="BG73" s="3482"/>
      <c r="BH73" s="3482"/>
      <c r="BI73" s="3497">
        <v>0</v>
      </c>
      <c r="BJ73" s="3482"/>
      <c r="BK73" s="3482"/>
      <c r="BL73" s="3482"/>
      <c r="BM73" s="3482"/>
      <c r="BN73" s="3482"/>
      <c r="BO73" s="3482"/>
      <c r="BP73" s="3497">
        <v>0</v>
      </c>
      <c r="BQ73" s="3482"/>
      <c r="BR73" s="3482"/>
      <c r="BS73" s="3482"/>
      <c r="BT73" s="3482"/>
      <c r="BU73" s="3482"/>
      <c r="BV73" s="3482"/>
      <c r="BW73" s="3497">
        <v>0</v>
      </c>
      <c r="BX73" s="3482"/>
      <c r="BY73" s="3482"/>
      <c r="BZ73" s="3482"/>
      <c r="CA73" s="3482"/>
      <c r="CB73" s="3482"/>
      <c r="CC73" s="3482"/>
      <c r="CD73" s="3497">
        <v>0</v>
      </c>
      <c r="CE73" s="3482"/>
      <c r="CF73" s="3482"/>
      <c r="CG73" s="3482"/>
      <c r="CH73" s="3482"/>
      <c r="CI73" s="3482"/>
      <c r="CJ73" s="3482"/>
      <c r="CK73" s="3497">
        <v>0</v>
      </c>
      <c r="CL73" s="3482"/>
      <c r="CM73" s="3482"/>
      <c r="CN73" s="3482"/>
      <c r="CO73" s="3482"/>
      <c r="CP73" s="3482"/>
      <c r="CQ73" s="3482"/>
      <c r="CR73" s="3497">
        <v>0</v>
      </c>
      <c r="CS73" s="3482"/>
      <c r="CT73" s="3482"/>
      <c r="CU73" s="3482"/>
      <c r="CV73" s="3482"/>
      <c r="CW73" s="3482"/>
      <c r="CX73" s="3482"/>
    </row>
    <row r="74" spans="1:102" ht="25.5">
      <c r="A74" s="3469">
        <v>19</v>
      </c>
      <c r="B74" s="3469">
        <v>14</v>
      </c>
      <c r="C74" s="3496" t="s">
        <v>4059</v>
      </c>
      <c r="D74" s="3473">
        <v>519</v>
      </c>
      <c r="E74" s="3497">
        <v>0</v>
      </c>
      <c r="F74" s="3482"/>
      <c r="G74" s="3482"/>
      <c r="H74" s="3482"/>
      <c r="I74" s="3482"/>
      <c r="J74" s="3482"/>
      <c r="K74" s="3482"/>
      <c r="L74" s="3497">
        <v>0</v>
      </c>
      <c r="M74" s="3482"/>
      <c r="N74" s="3482"/>
      <c r="O74" s="3482"/>
      <c r="P74" s="3482"/>
      <c r="Q74" s="3482"/>
      <c r="R74" s="3482"/>
      <c r="S74" s="3497">
        <v>0</v>
      </c>
      <c r="T74" s="3482"/>
      <c r="U74" s="3482"/>
      <c r="V74" s="3482"/>
      <c r="W74" s="3482"/>
      <c r="X74" s="3482"/>
      <c r="Y74" s="3482"/>
      <c r="Z74" s="3497">
        <v>0</v>
      </c>
      <c r="AA74" s="3482"/>
      <c r="AB74" s="3482"/>
      <c r="AC74" s="3482"/>
      <c r="AD74" s="3482"/>
      <c r="AE74" s="3482"/>
      <c r="AF74" s="3482"/>
      <c r="AG74" s="3497">
        <v>0</v>
      </c>
      <c r="AH74" s="3482"/>
      <c r="AI74" s="3482"/>
      <c r="AJ74" s="3482"/>
      <c r="AK74" s="3482"/>
      <c r="AL74" s="3482"/>
      <c r="AM74" s="3482"/>
      <c r="AN74" s="3497">
        <v>0</v>
      </c>
      <c r="AO74" s="3482"/>
      <c r="AP74" s="3482"/>
      <c r="AQ74" s="3482"/>
      <c r="AR74" s="3482"/>
      <c r="AS74" s="3482"/>
      <c r="AT74" s="3482"/>
      <c r="AU74" s="3497">
        <v>0</v>
      </c>
      <c r="AV74" s="3482"/>
      <c r="AW74" s="3482"/>
      <c r="AX74" s="3482"/>
      <c r="AY74" s="3482"/>
      <c r="AZ74" s="3482"/>
      <c r="BA74" s="3482"/>
      <c r="BB74" s="3497">
        <v>0</v>
      </c>
      <c r="BC74" s="3482"/>
      <c r="BD74" s="3482"/>
      <c r="BE74" s="3482"/>
      <c r="BF74" s="3482"/>
      <c r="BG74" s="3482"/>
      <c r="BH74" s="3482"/>
      <c r="BI74" s="3497">
        <v>0</v>
      </c>
      <c r="BJ74" s="3482"/>
      <c r="BK74" s="3482"/>
      <c r="BL74" s="3482"/>
      <c r="BM74" s="3482"/>
      <c r="BN74" s="3482"/>
      <c r="BO74" s="3482"/>
      <c r="BP74" s="3497">
        <v>0</v>
      </c>
      <c r="BQ74" s="3482"/>
      <c r="BR74" s="3482"/>
      <c r="BS74" s="3482"/>
      <c r="BT74" s="3482"/>
      <c r="BU74" s="3482"/>
      <c r="BV74" s="3482"/>
      <c r="BW74" s="3497">
        <v>0</v>
      </c>
      <c r="BX74" s="3482"/>
      <c r="BY74" s="3482"/>
      <c r="BZ74" s="3482"/>
      <c r="CA74" s="3482"/>
      <c r="CB74" s="3482"/>
      <c r="CC74" s="3482"/>
      <c r="CD74" s="3497">
        <v>0</v>
      </c>
      <c r="CE74" s="3482"/>
      <c r="CF74" s="3482"/>
      <c r="CG74" s="3482"/>
      <c r="CH74" s="3482"/>
      <c r="CI74" s="3482"/>
      <c r="CJ74" s="3482"/>
      <c r="CK74" s="3497">
        <v>0</v>
      </c>
      <c r="CL74" s="3482"/>
      <c r="CM74" s="3482"/>
      <c r="CN74" s="3482"/>
      <c r="CO74" s="3482"/>
      <c r="CP74" s="3482"/>
      <c r="CQ74" s="3482"/>
      <c r="CR74" s="3497">
        <v>0</v>
      </c>
      <c r="CS74" s="3482"/>
      <c r="CT74" s="3482"/>
      <c r="CU74" s="3482"/>
      <c r="CV74" s="3482"/>
      <c r="CW74" s="3482"/>
      <c r="CX74" s="3482"/>
    </row>
    <row r="75" spans="1:102">
      <c r="A75" s="3469">
        <v>1</v>
      </c>
      <c r="B75" s="3469">
        <v>14</v>
      </c>
      <c r="C75" s="3496" t="s">
        <v>516</v>
      </c>
      <c r="D75" s="3473">
        <v>520</v>
      </c>
      <c r="E75" s="3497">
        <v>0</v>
      </c>
      <c r="F75" s="3499"/>
      <c r="G75" s="3499"/>
      <c r="H75" s="3499"/>
      <c r="I75" s="3499"/>
      <c r="J75" s="3499"/>
      <c r="K75" s="3499"/>
      <c r="L75" s="3497">
        <v>0</v>
      </c>
      <c r="M75" s="3499"/>
      <c r="N75" s="3499"/>
      <c r="O75" s="3499"/>
      <c r="P75" s="3499"/>
      <c r="Q75" s="3499"/>
      <c r="R75" s="3499"/>
      <c r="S75" s="3497">
        <v>0</v>
      </c>
      <c r="T75" s="3499"/>
      <c r="U75" s="3499"/>
      <c r="V75" s="3499"/>
      <c r="W75" s="3499"/>
      <c r="X75" s="3499"/>
      <c r="Y75" s="3499"/>
      <c r="Z75" s="3497">
        <v>0</v>
      </c>
      <c r="AA75" s="3499"/>
      <c r="AB75" s="3499"/>
      <c r="AC75" s="3499"/>
      <c r="AD75" s="3499"/>
      <c r="AE75" s="3499"/>
      <c r="AF75" s="3499"/>
      <c r="AG75" s="3497">
        <v>0</v>
      </c>
      <c r="AH75" s="3499"/>
      <c r="AI75" s="3499"/>
      <c r="AJ75" s="3499"/>
      <c r="AK75" s="3499"/>
      <c r="AL75" s="3499"/>
      <c r="AM75" s="3499"/>
      <c r="AN75" s="3497">
        <v>0</v>
      </c>
      <c r="AO75" s="3499"/>
      <c r="AP75" s="3499"/>
      <c r="AQ75" s="3499"/>
      <c r="AR75" s="3499"/>
      <c r="AS75" s="3499"/>
      <c r="AT75" s="3499"/>
      <c r="AU75" s="3497">
        <v>0</v>
      </c>
      <c r="AV75" s="3499"/>
      <c r="AW75" s="3499"/>
      <c r="AX75" s="3499"/>
      <c r="AY75" s="3499"/>
      <c r="AZ75" s="3499"/>
      <c r="BA75" s="3499"/>
      <c r="BB75" s="3497">
        <v>0</v>
      </c>
      <c r="BC75" s="3499"/>
      <c r="BD75" s="3499"/>
      <c r="BE75" s="3499"/>
      <c r="BF75" s="3499"/>
      <c r="BG75" s="3499"/>
      <c r="BH75" s="3499"/>
      <c r="BI75" s="3497">
        <v>0</v>
      </c>
      <c r="BJ75" s="3499"/>
      <c r="BK75" s="3499"/>
      <c r="BL75" s="3499"/>
      <c r="BM75" s="3499"/>
      <c r="BN75" s="3499"/>
      <c r="BO75" s="3499"/>
      <c r="BP75" s="3497">
        <v>0</v>
      </c>
      <c r="BQ75" s="3499"/>
      <c r="BR75" s="3499"/>
      <c r="BS75" s="3499"/>
      <c r="BT75" s="3499"/>
      <c r="BU75" s="3499"/>
      <c r="BV75" s="3499"/>
      <c r="BW75" s="3497">
        <v>0</v>
      </c>
      <c r="BX75" s="3499"/>
      <c r="BY75" s="3499"/>
      <c r="BZ75" s="3499"/>
      <c r="CA75" s="3499"/>
      <c r="CB75" s="3499"/>
      <c r="CC75" s="3499"/>
      <c r="CD75" s="3497">
        <v>0</v>
      </c>
      <c r="CE75" s="3499"/>
      <c r="CF75" s="3499"/>
      <c r="CG75" s="3499"/>
      <c r="CH75" s="3499"/>
      <c r="CI75" s="3499"/>
      <c r="CJ75" s="3499"/>
      <c r="CK75" s="3497">
        <v>0</v>
      </c>
      <c r="CL75" s="3499"/>
      <c r="CM75" s="3499"/>
      <c r="CN75" s="3499"/>
      <c r="CO75" s="3499"/>
      <c r="CP75" s="3499"/>
      <c r="CQ75" s="3499"/>
      <c r="CR75" s="3497">
        <v>0</v>
      </c>
      <c r="CS75" s="3499"/>
      <c r="CT75" s="3499"/>
      <c r="CU75" s="3499"/>
      <c r="CV75" s="3499"/>
      <c r="CW75" s="3499"/>
      <c r="CX75" s="3499"/>
    </row>
    <row r="76" spans="1:102">
      <c r="A76" s="3469">
        <v>2</v>
      </c>
      <c r="B76" s="3469">
        <v>14</v>
      </c>
      <c r="C76" s="3496" t="s">
        <v>517</v>
      </c>
      <c r="D76" s="3473">
        <v>530</v>
      </c>
      <c r="E76" s="3497">
        <v>0</v>
      </c>
      <c r="F76" s="3499"/>
      <c r="G76" s="3499"/>
      <c r="H76" s="3499"/>
      <c r="I76" s="3499"/>
      <c r="J76" s="3499"/>
      <c r="K76" s="3499"/>
      <c r="L76" s="3497">
        <v>0</v>
      </c>
      <c r="M76" s="3499"/>
      <c r="N76" s="3499"/>
      <c r="O76" s="3499"/>
      <c r="P76" s="3499"/>
      <c r="Q76" s="3499"/>
      <c r="R76" s="3499"/>
      <c r="S76" s="3497">
        <v>0</v>
      </c>
      <c r="T76" s="3499"/>
      <c r="U76" s="3499"/>
      <c r="V76" s="3499"/>
      <c r="W76" s="3499"/>
      <c r="X76" s="3499"/>
      <c r="Y76" s="3499"/>
      <c r="Z76" s="3497">
        <v>0</v>
      </c>
      <c r="AA76" s="3499"/>
      <c r="AB76" s="3499"/>
      <c r="AC76" s="3499"/>
      <c r="AD76" s="3499"/>
      <c r="AE76" s="3499"/>
      <c r="AF76" s="3499"/>
      <c r="AG76" s="3497">
        <v>0</v>
      </c>
      <c r="AH76" s="3499"/>
      <c r="AI76" s="3499"/>
      <c r="AJ76" s="3499"/>
      <c r="AK76" s="3499"/>
      <c r="AL76" s="3499"/>
      <c r="AM76" s="3499"/>
      <c r="AN76" s="3497">
        <v>0</v>
      </c>
      <c r="AO76" s="3499"/>
      <c r="AP76" s="3499"/>
      <c r="AQ76" s="3499"/>
      <c r="AR76" s="3499"/>
      <c r="AS76" s="3499"/>
      <c r="AT76" s="3499"/>
      <c r="AU76" s="3497">
        <v>0</v>
      </c>
      <c r="AV76" s="3499"/>
      <c r="AW76" s="3499"/>
      <c r="AX76" s="3499"/>
      <c r="AY76" s="3499"/>
      <c r="AZ76" s="3499"/>
      <c r="BA76" s="3499"/>
      <c r="BB76" s="3497">
        <v>0</v>
      </c>
      <c r="BC76" s="3499"/>
      <c r="BD76" s="3499"/>
      <c r="BE76" s="3499"/>
      <c r="BF76" s="3499"/>
      <c r="BG76" s="3499"/>
      <c r="BH76" s="3499"/>
      <c r="BI76" s="3497">
        <v>0</v>
      </c>
      <c r="BJ76" s="3499"/>
      <c r="BK76" s="3499"/>
      <c r="BL76" s="3499"/>
      <c r="BM76" s="3499"/>
      <c r="BN76" s="3499"/>
      <c r="BO76" s="3499"/>
      <c r="BP76" s="3497">
        <v>0</v>
      </c>
      <c r="BQ76" s="3499"/>
      <c r="BR76" s="3499"/>
      <c r="BS76" s="3499"/>
      <c r="BT76" s="3499"/>
      <c r="BU76" s="3499"/>
      <c r="BV76" s="3499"/>
      <c r="BW76" s="3497">
        <v>0</v>
      </c>
      <c r="BX76" s="3499"/>
      <c r="BY76" s="3499"/>
      <c r="BZ76" s="3499"/>
      <c r="CA76" s="3499"/>
      <c r="CB76" s="3499"/>
      <c r="CC76" s="3499"/>
      <c r="CD76" s="3497">
        <v>0</v>
      </c>
      <c r="CE76" s="3499"/>
      <c r="CF76" s="3499"/>
      <c r="CG76" s="3499"/>
      <c r="CH76" s="3499"/>
      <c r="CI76" s="3499"/>
      <c r="CJ76" s="3499"/>
      <c r="CK76" s="3497">
        <v>0</v>
      </c>
      <c r="CL76" s="3499"/>
      <c r="CM76" s="3499"/>
      <c r="CN76" s="3499"/>
      <c r="CO76" s="3499"/>
      <c r="CP76" s="3499"/>
      <c r="CQ76" s="3499"/>
      <c r="CR76" s="3497">
        <v>0</v>
      </c>
      <c r="CS76" s="3499"/>
      <c r="CT76" s="3499"/>
      <c r="CU76" s="3499"/>
      <c r="CV76" s="3499"/>
      <c r="CW76" s="3499"/>
      <c r="CX76" s="3499"/>
    </row>
    <row r="77" spans="1:102">
      <c r="A77" s="3469">
        <v>3</v>
      </c>
      <c r="B77" s="3469">
        <v>14</v>
      </c>
      <c r="C77" s="3496" t="s">
        <v>518</v>
      </c>
      <c r="D77" s="3473">
        <v>540</v>
      </c>
      <c r="E77" s="3497">
        <v>0</v>
      </c>
      <c r="F77" s="3499"/>
      <c r="G77" s="3499"/>
      <c r="H77" s="3499"/>
      <c r="I77" s="3499"/>
      <c r="J77" s="3499"/>
      <c r="K77" s="3499"/>
      <c r="L77" s="3497">
        <v>0</v>
      </c>
      <c r="M77" s="3499"/>
      <c r="N77" s="3499"/>
      <c r="O77" s="3499"/>
      <c r="P77" s="3499"/>
      <c r="Q77" s="3499"/>
      <c r="R77" s="3499"/>
      <c r="S77" s="3497">
        <v>0</v>
      </c>
      <c r="T77" s="3499"/>
      <c r="U77" s="3499"/>
      <c r="V77" s="3499"/>
      <c r="W77" s="3499"/>
      <c r="X77" s="3499"/>
      <c r="Y77" s="3499"/>
      <c r="Z77" s="3497">
        <v>0</v>
      </c>
      <c r="AA77" s="3499"/>
      <c r="AB77" s="3499"/>
      <c r="AC77" s="3499"/>
      <c r="AD77" s="3499"/>
      <c r="AE77" s="3499"/>
      <c r="AF77" s="3499"/>
      <c r="AG77" s="3497">
        <v>0</v>
      </c>
      <c r="AH77" s="3499"/>
      <c r="AI77" s="3499"/>
      <c r="AJ77" s="3499"/>
      <c r="AK77" s="3499"/>
      <c r="AL77" s="3499"/>
      <c r="AM77" s="3499"/>
      <c r="AN77" s="3497">
        <v>0</v>
      </c>
      <c r="AO77" s="3499"/>
      <c r="AP77" s="3499"/>
      <c r="AQ77" s="3499"/>
      <c r="AR77" s="3499"/>
      <c r="AS77" s="3499"/>
      <c r="AT77" s="3499"/>
      <c r="AU77" s="3497">
        <v>0</v>
      </c>
      <c r="AV77" s="3499"/>
      <c r="AW77" s="3499"/>
      <c r="AX77" s="3499"/>
      <c r="AY77" s="3499"/>
      <c r="AZ77" s="3499"/>
      <c r="BA77" s="3499"/>
      <c r="BB77" s="3497">
        <v>0</v>
      </c>
      <c r="BC77" s="3499"/>
      <c r="BD77" s="3499"/>
      <c r="BE77" s="3499"/>
      <c r="BF77" s="3499"/>
      <c r="BG77" s="3499"/>
      <c r="BH77" s="3499"/>
      <c r="BI77" s="3497">
        <v>0</v>
      </c>
      <c r="BJ77" s="3499"/>
      <c r="BK77" s="3499"/>
      <c r="BL77" s="3499"/>
      <c r="BM77" s="3499"/>
      <c r="BN77" s="3499"/>
      <c r="BO77" s="3499"/>
      <c r="BP77" s="3497">
        <v>0</v>
      </c>
      <c r="BQ77" s="3499"/>
      <c r="BR77" s="3499"/>
      <c r="BS77" s="3499"/>
      <c r="BT77" s="3499"/>
      <c r="BU77" s="3499"/>
      <c r="BV77" s="3499"/>
      <c r="BW77" s="3497">
        <v>0</v>
      </c>
      <c r="BX77" s="3499"/>
      <c r="BY77" s="3499"/>
      <c r="BZ77" s="3499"/>
      <c r="CA77" s="3499"/>
      <c r="CB77" s="3499"/>
      <c r="CC77" s="3499"/>
      <c r="CD77" s="3497">
        <v>0</v>
      </c>
      <c r="CE77" s="3499"/>
      <c r="CF77" s="3499"/>
      <c r="CG77" s="3499"/>
      <c r="CH77" s="3499"/>
      <c r="CI77" s="3499"/>
      <c r="CJ77" s="3499"/>
      <c r="CK77" s="3497">
        <v>0</v>
      </c>
      <c r="CL77" s="3499"/>
      <c r="CM77" s="3499"/>
      <c r="CN77" s="3499"/>
      <c r="CO77" s="3499"/>
      <c r="CP77" s="3499"/>
      <c r="CQ77" s="3499"/>
      <c r="CR77" s="3497">
        <v>0</v>
      </c>
      <c r="CS77" s="3499"/>
      <c r="CT77" s="3499"/>
      <c r="CU77" s="3499"/>
      <c r="CV77" s="3499"/>
      <c r="CW77" s="3499"/>
      <c r="CX77" s="3499"/>
    </row>
    <row r="78" spans="1:102">
      <c r="A78" s="3469">
        <v>4</v>
      </c>
      <c r="B78" s="3469">
        <v>14</v>
      </c>
      <c r="C78" s="3496" t="s">
        <v>519</v>
      </c>
      <c r="D78" s="3473">
        <v>550</v>
      </c>
      <c r="E78" s="3497">
        <v>0</v>
      </c>
      <c r="F78" s="3499"/>
      <c r="G78" s="3499"/>
      <c r="H78" s="3499"/>
      <c r="I78" s="3499"/>
      <c r="J78" s="3499"/>
      <c r="K78" s="3499"/>
      <c r="L78" s="3497">
        <v>0</v>
      </c>
      <c r="M78" s="3499"/>
      <c r="N78" s="3499"/>
      <c r="O78" s="3499"/>
      <c r="P78" s="3499"/>
      <c r="Q78" s="3499"/>
      <c r="R78" s="3499"/>
      <c r="S78" s="3497">
        <v>0</v>
      </c>
      <c r="T78" s="3499"/>
      <c r="U78" s="3499"/>
      <c r="V78" s="3499"/>
      <c r="W78" s="3499"/>
      <c r="X78" s="3499"/>
      <c r="Y78" s="3499"/>
      <c r="Z78" s="3497">
        <v>0</v>
      </c>
      <c r="AA78" s="3499"/>
      <c r="AB78" s="3499"/>
      <c r="AC78" s="3499"/>
      <c r="AD78" s="3499"/>
      <c r="AE78" s="3499"/>
      <c r="AF78" s="3499"/>
      <c r="AG78" s="3497">
        <v>0</v>
      </c>
      <c r="AH78" s="3499"/>
      <c r="AI78" s="3499"/>
      <c r="AJ78" s="3499"/>
      <c r="AK78" s="3499"/>
      <c r="AL78" s="3499"/>
      <c r="AM78" s="3499"/>
      <c r="AN78" s="3497">
        <v>0</v>
      </c>
      <c r="AO78" s="3499"/>
      <c r="AP78" s="3499"/>
      <c r="AQ78" s="3499"/>
      <c r="AR78" s="3499"/>
      <c r="AS78" s="3499"/>
      <c r="AT78" s="3499"/>
      <c r="AU78" s="3497">
        <v>0</v>
      </c>
      <c r="AV78" s="3499"/>
      <c r="AW78" s="3499"/>
      <c r="AX78" s="3499"/>
      <c r="AY78" s="3499"/>
      <c r="AZ78" s="3499"/>
      <c r="BA78" s="3499"/>
      <c r="BB78" s="3497">
        <v>0</v>
      </c>
      <c r="BC78" s="3499"/>
      <c r="BD78" s="3499"/>
      <c r="BE78" s="3499"/>
      <c r="BF78" s="3499"/>
      <c r="BG78" s="3499"/>
      <c r="BH78" s="3499"/>
      <c r="BI78" s="3497">
        <v>0</v>
      </c>
      <c r="BJ78" s="3499"/>
      <c r="BK78" s="3499"/>
      <c r="BL78" s="3499"/>
      <c r="BM78" s="3499"/>
      <c r="BN78" s="3499"/>
      <c r="BO78" s="3499"/>
      <c r="BP78" s="3497">
        <v>0</v>
      </c>
      <c r="BQ78" s="3499"/>
      <c r="BR78" s="3499"/>
      <c r="BS78" s="3499"/>
      <c r="BT78" s="3499"/>
      <c r="BU78" s="3499"/>
      <c r="BV78" s="3499"/>
      <c r="BW78" s="3497">
        <v>0</v>
      </c>
      <c r="BX78" s="3499"/>
      <c r="BY78" s="3499"/>
      <c r="BZ78" s="3499"/>
      <c r="CA78" s="3499"/>
      <c r="CB78" s="3499"/>
      <c r="CC78" s="3499"/>
      <c r="CD78" s="3497">
        <v>0</v>
      </c>
      <c r="CE78" s="3499"/>
      <c r="CF78" s="3499"/>
      <c r="CG78" s="3499"/>
      <c r="CH78" s="3499"/>
      <c r="CI78" s="3499"/>
      <c r="CJ78" s="3499"/>
      <c r="CK78" s="3497">
        <v>0</v>
      </c>
      <c r="CL78" s="3499"/>
      <c r="CM78" s="3499"/>
      <c r="CN78" s="3499"/>
      <c r="CO78" s="3499"/>
      <c r="CP78" s="3499"/>
      <c r="CQ78" s="3499"/>
      <c r="CR78" s="3497">
        <v>0</v>
      </c>
      <c r="CS78" s="3499"/>
      <c r="CT78" s="3499"/>
      <c r="CU78" s="3499"/>
      <c r="CV78" s="3499"/>
      <c r="CW78" s="3499"/>
      <c r="CX78" s="3499"/>
    </row>
    <row r="79" spans="1:102">
      <c r="A79" s="3469">
        <v>5</v>
      </c>
      <c r="B79" s="3469">
        <v>14</v>
      </c>
      <c r="C79" s="3496" t="s">
        <v>520</v>
      </c>
      <c r="D79" s="3473">
        <v>560</v>
      </c>
      <c r="E79" s="3497">
        <v>0</v>
      </c>
      <c r="F79" s="3499"/>
      <c r="G79" s="3499"/>
      <c r="H79" s="3499"/>
      <c r="I79" s="3499"/>
      <c r="J79" s="3499"/>
      <c r="K79" s="3499"/>
      <c r="L79" s="3497">
        <v>0</v>
      </c>
      <c r="M79" s="3499"/>
      <c r="N79" s="3499"/>
      <c r="O79" s="3499"/>
      <c r="P79" s="3499"/>
      <c r="Q79" s="3499"/>
      <c r="R79" s="3499"/>
      <c r="S79" s="3497">
        <v>0</v>
      </c>
      <c r="T79" s="3499"/>
      <c r="U79" s="3499"/>
      <c r="V79" s="3499"/>
      <c r="W79" s="3499"/>
      <c r="X79" s="3499"/>
      <c r="Y79" s="3499"/>
      <c r="Z79" s="3497">
        <v>0</v>
      </c>
      <c r="AA79" s="3499"/>
      <c r="AB79" s="3499"/>
      <c r="AC79" s="3499"/>
      <c r="AD79" s="3499"/>
      <c r="AE79" s="3499"/>
      <c r="AF79" s="3499"/>
      <c r="AG79" s="3497">
        <v>0</v>
      </c>
      <c r="AH79" s="3499"/>
      <c r="AI79" s="3499"/>
      <c r="AJ79" s="3499"/>
      <c r="AK79" s="3499"/>
      <c r="AL79" s="3499"/>
      <c r="AM79" s="3499"/>
      <c r="AN79" s="3497">
        <v>0</v>
      </c>
      <c r="AO79" s="3499"/>
      <c r="AP79" s="3499"/>
      <c r="AQ79" s="3499"/>
      <c r="AR79" s="3499"/>
      <c r="AS79" s="3499"/>
      <c r="AT79" s="3499"/>
      <c r="AU79" s="3497">
        <v>0</v>
      </c>
      <c r="AV79" s="3499"/>
      <c r="AW79" s="3499"/>
      <c r="AX79" s="3499"/>
      <c r="AY79" s="3499"/>
      <c r="AZ79" s="3499"/>
      <c r="BA79" s="3499"/>
      <c r="BB79" s="3497">
        <v>0</v>
      </c>
      <c r="BC79" s="3499"/>
      <c r="BD79" s="3499"/>
      <c r="BE79" s="3499"/>
      <c r="BF79" s="3499"/>
      <c r="BG79" s="3499"/>
      <c r="BH79" s="3499"/>
      <c r="BI79" s="3497">
        <v>0</v>
      </c>
      <c r="BJ79" s="3499"/>
      <c r="BK79" s="3499"/>
      <c r="BL79" s="3499"/>
      <c r="BM79" s="3499"/>
      <c r="BN79" s="3499"/>
      <c r="BO79" s="3499"/>
      <c r="BP79" s="3497">
        <v>0</v>
      </c>
      <c r="BQ79" s="3499"/>
      <c r="BR79" s="3499"/>
      <c r="BS79" s="3499"/>
      <c r="BT79" s="3499"/>
      <c r="BU79" s="3499"/>
      <c r="BV79" s="3499"/>
      <c r="BW79" s="3497">
        <v>0</v>
      </c>
      <c r="BX79" s="3499"/>
      <c r="BY79" s="3499"/>
      <c r="BZ79" s="3499"/>
      <c r="CA79" s="3499"/>
      <c r="CB79" s="3499"/>
      <c r="CC79" s="3499"/>
      <c r="CD79" s="3497">
        <v>0</v>
      </c>
      <c r="CE79" s="3499"/>
      <c r="CF79" s="3499"/>
      <c r="CG79" s="3499"/>
      <c r="CH79" s="3499"/>
      <c r="CI79" s="3499"/>
      <c r="CJ79" s="3499"/>
      <c r="CK79" s="3497">
        <v>0</v>
      </c>
      <c r="CL79" s="3499"/>
      <c r="CM79" s="3499"/>
      <c r="CN79" s="3499"/>
      <c r="CO79" s="3499"/>
      <c r="CP79" s="3499"/>
      <c r="CQ79" s="3499"/>
      <c r="CR79" s="3497">
        <v>0</v>
      </c>
      <c r="CS79" s="3499"/>
      <c r="CT79" s="3499"/>
      <c r="CU79" s="3499"/>
      <c r="CV79" s="3499"/>
      <c r="CW79" s="3499"/>
      <c r="CX79" s="3499"/>
    </row>
    <row r="80" spans="1:102">
      <c r="A80" s="3469">
        <v>6</v>
      </c>
      <c r="B80" s="3469">
        <v>14</v>
      </c>
      <c r="C80" s="3496" t="s">
        <v>521</v>
      </c>
      <c r="D80" s="3473">
        <v>570</v>
      </c>
      <c r="E80" s="3497">
        <v>0</v>
      </c>
      <c r="F80" s="3499"/>
      <c r="G80" s="3499"/>
      <c r="H80" s="3499"/>
      <c r="I80" s="3499"/>
      <c r="J80" s="3499"/>
      <c r="K80" s="3499"/>
      <c r="L80" s="3497">
        <v>0</v>
      </c>
      <c r="M80" s="3499"/>
      <c r="N80" s="3499"/>
      <c r="O80" s="3499"/>
      <c r="P80" s="3499"/>
      <c r="Q80" s="3499"/>
      <c r="R80" s="3499"/>
      <c r="S80" s="3497">
        <v>0</v>
      </c>
      <c r="T80" s="3499"/>
      <c r="U80" s="3499"/>
      <c r="V80" s="3499"/>
      <c r="W80" s="3499"/>
      <c r="X80" s="3499"/>
      <c r="Y80" s="3499"/>
      <c r="Z80" s="3497">
        <v>0</v>
      </c>
      <c r="AA80" s="3499"/>
      <c r="AB80" s="3499"/>
      <c r="AC80" s="3499"/>
      <c r="AD80" s="3499"/>
      <c r="AE80" s="3499"/>
      <c r="AF80" s="3499"/>
      <c r="AG80" s="3497">
        <v>0</v>
      </c>
      <c r="AH80" s="3499"/>
      <c r="AI80" s="3499"/>
      <c r="AJ80" s="3499"/>
      <c r="AK80" s="3499"/>
      <c r="AL80" s="3499"/>
      <c r="AM80" s="3499"/>
      <c r="AN80" s="3497">
        <v>0</v>
      </c>
      <c r="AO80" s="3499"/>
      <c r="AP80" s="3499"/>
      <c r="AQ80" s="3499"/>
      <c r="AR80" s="3499"/>
      <c r="AS80" s="3499"/>
      <c r="AT80" s="3499"/>
      <c r="AU80" s="3497">
        <v>0</v>
      </c>
      <c r="AV80" s="3499"/>
      <c r="AW80" s="3499"/>
      <c r="AX80" s="3499"/>
      <c r="AY80" s="3499"/>
      <c r="AZ80" s="3499"/>
      <c r="BA80" s="3499"/>
      <c r="BB80" s="3497">
        <v>0</v>
      </c>
      <c r="BC80" s="3499"/>
      <c r="BD80" s="3499"/>
      <c r="BE80" s="3499"/>
      <c r="BF80" s="3499"/>
      <c r="BG80" s="3499"/>
      <c r="BH80" s="3499"/>
      <c r="BI80" s="3497">
        <v>0</v>
      </c>
      <c r="BJ80" s="3499"/>
      <c r="BK80" s="3499"/>
      <c r="BL80" s="3499"/>
      <c r="BM80" s="3499"/>
      <c r="BN80" s="3499"/>
      <c r="BO80" s="3499"/>
      <c r="BP80" s="3497">
        <v>0</v>
      </c>
      <c r="BQ80" s="3499"/>
      <c r="BR80" s="3499"/>
      <c r="BS80" s="3499"/>
      <c r="BT80" s="3499"/>
      <c r="BU80" s="3499"/>
      <c r="BV80" s="3499"/>
      <c r="BW80" s="3497">
        <v>0</v>
      </c>
      <c r="BX80" s="3499"/>
      <c r="BY80" s="3499"/>
      <c r="BZ80" s="3499"/>
      <c r="CA80" s="3499"/>
      <c r="CB80" s="3499"/>
      <c r="CC80" s="3499"/>
      <c r="CD80" s="3497">
        <v>0</v>
      </c>
      <c r="CE80" s="3499"/>
      <c r="CF80" s="3499"/>
      <c r="CG80" s="3499"/>
      <c r="CH80" s="3499"/>
      <c r="CI80" s="3499"/>
      <c r="CJ80" s="3499"/>
      <c r="CK80" s="3497">
        <v>0</v>
      </c>
      <c r="CL80" s="3499"/>
      <c r="CM80" s="3499"/>
      <c r="CN80" s="3499"/>
      <c r="CO80" s="3499"/>
      <c r="CP80" s="3499"/>
      <c r="CQ80" s="3499"/>
      <c r="CR80" s="3497">
        <v>0</v>
      </c>
      <c r="CS80" s="3499"/>
      <c r="CT80" s="3499"/>
      <c r="CU80" s="3499"/>
      <c r="CV80" s="3499"/>
      <c r="CW80" s="3499"/>
      <c r="CX80" s="3499"/>
    </row>
    <row r="81" spans="1:102">
      <c r="A81" s="3469">
        <v>7</v>
      </c>
      <c r="B81" s="3469">
        <v>14</v>
      </c>
      <c r="C81" s="3496" t="s">
        <v>4060</v>
      </c>
      <c r="D81" s="3473">
        <v>580</v>
      </c>
      <c r="E81" s="3497">
        <v>0</v>
      </c>
      <c r="F81" s="3499"/>
      <c r="G81" s="3499"/>
      <c r="H81" s="3499"/>
      <c r="I81" s="3499"/>
      <c r="J81" s="3499"/>
      <c r="K81" s="3499"/>
      <c r="L81" s="3497">
        <v>0</v>
      </c>
      <c r="M81" s="3499"/>
      <c r="N81" s="3499"/>
      <c r="O81" s="3499"/>
      <c r="P81" s="3499"/>
      <c r="Q81" s="3499"/>
      <c r="R81" s="3499"/>
      <c r="S81" s="3497">
        <v>0</v>
      </c>
      <c r="T81" s="3499"/>
      <c r="U81" s="3499"/>
      <c r="V81" s="3499"/>
      <c r="W81" s="3499"/>
      <c r="X81" s="3499"/>
      <c r="Y81" s="3499"/>
      <c r="Z81" s="3497">
        <v>0</v>
      </c>
      <c r="AA81" s="3499"/>
      <c r="AB81" s="3499"/>
      <c r="AC81" s="3499"/>
      <c r="AD81" s="3499"/>
      <c r="AE81" s="3499"/>
      <c r="AF81" s="3499"/>
      <c r="AG81" s="3497">
        <v>0</v>
      </c>
      <c r="AH81" s="3499"/>
      <c r="AI81" s="3499"/>
      <c r="AJ81" s="3499"/>
      <c r="AK81" s="3499"/>
      <c r="AL81" s="3499"/>
      <c r="AM81" s="3499"/>
      <c r="AN81" s="3497">
        <v>0</v>
      </c>
      <c r="AO81" s="3499"/>
      <c r="AP81" s="3499"/>
      <c r="AQ81" s="3499"/>
      <c r="AR81" s="3499"/>
      <c r="AS81" s="3499"/>
      <c r="AT81" s="3499"/>
      <c r="AU81" s="3497">
        <v>0</v>
      </c>
      <c r="AV81" s="3499"/>
      <c r="AW81" s="3499"/>
      <c r="AX81" s="3499"/>
      <c r="AY81" s="3499"/>
      <c r="AZ81" s="3499"/>
      <c r="BA81" s="3499"/>
      <c r="BB81" s="3497">
        <v>0</v>
      </c>
      <c r="BC81" s="3499"/>
      <c r="BD81" s="3499"/>
      <c r="BE81" s="3499"/>
      <c r="BF81" s="3499"/>
      <c r="BG81" s="3499"/>
      <c r="BH81" s="3499"/>
      <c r="BI81" s="3497">
        <v>0</v>
      </c>
      <c r="BJ81" s="3499"/>
      <c r="BK81" s="3499"/>
      <c r="BL81" s="3499"/>
      <c r="BM81" s="3499"/>
      <c r="BN81" s="3499"/>
      <c r="BO81" s="3499"/>
      <c r="BP81" s="3497">
        <v>0</v>
      </c>
      <c r="BQ81" s="3499"/>
      <c r="BR81" s="3499"/>
      <c r="BS81" s="3499"/>
      <c r="BT81" s="3499"/>
      <c r="BU81" s="3499"/>
      <c r="BV81" s="3499"/>
      <c r="BW81" s="3497">
        <v>0</v>
      </c>
      <c r="BX81" s="3499"/>
      <c r="BY81" s="3499"/>
      <c r="BZ81" s="3499"/>
      <c r="CA81" s="3499"/>
      <c r="CB81" s="3499"/>
      <c r="CC81" s="3499"/>
      <c r="CD81" s="3497">
        <v>0</v>
      </c>
      <c r="CE81" s="3499"/>
      <c r="CF81" s="3499"/>
      <c r="CG81" s="3499"/>
      <c r="CH81" s="3499"/>
      <c r="CI81" s="3499"/>
      <c r="CJ81" s="3499"/>
      <c r="CK81" s="3497">
        <v>0</v>
      </c>
      <c r="CL81" s="3499"/>
      <c r="CM81" s="3499"/>
      <c r="CN81" s="3499"/>
      <c r="CO81" s="3499"/>
      <c r="CP81" s="3499"/>
      <c r="CQ81" s="3499"/>
      <c r="CR81" s="3497">
        <v>0</v>
      </c>
      <c r="CS81" s="3499"/>
      <c r="CT81" s="3499"/>
      <c r="CU81" s="3499"/>
      <c r="CV81" s="3499"/>
      <c r="CW81" s="3499"/>
      <c r="CX81" s="3499"/>
    </row>
    <row r="82" spans="1:102">
      <c r="A82" s="3469">
        <v>9</v>
      </c>
      <c r="B82" s="3469">
        <v>0</v>
      </c>
      <c r="C82" s="3492" t="s">
        <v>4062</v>
      </c>
      <c r="D82" s="3493">
        <v>700</v>
      </c>
      <c r="E82" s="3494">
        <f>E9</f>
        <v>19850.285</v>
      </c>
      <c r="F82" s="3494">
        <f t="shared" ref="F82:BQ82" si="6">F9</f>
        <v>0</v>
      </c>
      <c r="G82" s="3494">
        <f t="shared" si="6"/>
        <v>190.53299999999999</v>
      </c>
      <c r="H82" s="3494">
        <f t="shared" si="6"/>
        <v>12530.698</v>
      </c>
      <c r="I82" s="3494">
        <f t="shared" si="6"/>
        <v>7129.054000000001</v>
      </c>
      <c r="J82" s="3494">
        <f t="shared" si="6"/>
        <v>0</v>
      </c>
      <c r="K82" s="3494">
        <f t="shared" si="6"/>
        <v>0</v>
      </c>
      <c r="L82" s="3494">
        <f t="shared" si="6"/>
        <v>175036.05778000003</v>
      </c>
      <c r="M82" s="3494">
        <f t="shared" si="6"/>
        <v>0</v>
      </c>
      <c r="N82" s="3494">
        <f t="shared" si="6"/>
        <v>1611.7967599999999</v>
      </c>
      <c r="O82" s="3494">
        <f t="shared" si="6"/>
        <v>109373.09769000001</v>
      </c>
      <c r="P82" s="3494">
        <f t="shared" si="6"/>
        <v>64051.163329999996</v>
      </c>
      <c r="Q82" s="3494">
        <f t="shared" si="6"/>
        <v>0</v>
      </c>
      <c r="R82" s="3494">
        <f t="shared" si="6"/>
        <v>0</v>
      </c>
      <c r="S82" s="3494">
        <f t="shared" si="6"/>
        <v>295.92699999999996</v>
      </c>
      <c r="T82" s="3494">
        <f t="shared" si="6"/>
        <v>0</v>
      </c>
      <c r="U82" s="3494">
        <f t="shared" si="6"/>
        <v>0</v>
      </c>
      <c r="V82" s="3494">
        <f t="shared" si="6"/>
        <v>292.86599999999999</v>
      </c>
      <c r="W82" s="3494">
        <f t="shared" si="6"/>
        <v>3.0609999999999999</v>
      </c>
      <c r="X82" s="3494">
        <f t="shared" si="6"/>
        <v>0</v>
      </c>
      <c r="Y82" s="3494">
        <f t="shared" si="6"/>
        <v>0</v>
      </c>
      <c r="Z82" s="3494">
        <f t="shared" si="6"/>
        <v>2783.4780800000003</v>
      </c>
      <c r="AA82" s="3494">
        <f t="shared" si="6"/>
        <v>0</v>
      </c>
      <c r="AB82" s="3494">
        <f t="shared" si="6"/>
        <v>0</v>
      </c>
      <c r="AC82" s="3494">
        <f t="shared" si="6"/>
        <v>2754.2478200000005</v>
      </c>
      <c r="AD82" s="3494">
        <f t="shared" si="6"/>
        <v>29.230260000000001</v>
      </c>
      <c r="AE82" s="3494">
        <f t="shared" si="6"/>
        <v>0</v>
      </c>
      <c r="AF82" s="3494">
        <f t="shared" si="6"/>
        <v>0</v>
      </c>
      <c r="AG82" s="3494">
        <f t="shared" si="6"/>
        <v>6724.0690000000004</v>
      </c>
      <c r="AH82" s="3494">
        <f t="shared" si="6"/>
        <v>0</v>
      </c>
      <c r="AI82" s="3494">
        <f t="shared" si="6"/>
        <v>2494.779</v>
      </c>
      <c r="AJ82" s="3494">
        <f t="shared" si="6"/>
        <v>4215.41</v>
      </c>
      <c r="AK82" s="3494">
        <f t="shared" si="6"/>
        <v>13.88</v>
      </c>
      <c r="AL82" s="3494">
        <f t="shared" si="6"/>
        <v>0</v>
      </c>
      <c r="AM82" s="3494">
        <f t="shared" si="6"/>
        <v>0</v>
      </c>
      <c r="AN82" s="3494">
        <f t="shared" si="6"/>
        <v>47691.441340000012</v>
      </c>
      <c r="AO82" s="3494">
        <f t="shared" si="6"/>
        <v>0</v>
      </c>
      <c r="AP82" s="3494">
        <f t="shared" si="6"/>
        <v>17193.228070000001</v>
      </c>
      <c r="AQ82" s="3494">
        <f t="shared" si="6"/>
        <v>30394.370740000006</v>
      </c>
      <c r="AR82" s="3494">
        <f t="shared" si="6"/>
        <v>103.84253</v>
      </c>
      <c r="AS82" s="3494">
        <f t="shared" si="6"/>
        <v>0</v>
      </c>
      <c r="AT82" s="3494">
        <f t="shared" si="6"/>
        <v>0</v>
      </c>
      <c r="AU82" s="3494">
        <f t="shared" si="6"/>
        <v>9.5549999999999997</v>
      </c>
      <c r="AV82" s="3494">
        <f t="shared" si="6"/>
        <v>0</v>
      </c>
      <c r="AW82" s="3494">
        <f t="shared" si="6"/>
        <v>3.28</v>
      </c>
      <c r="AX82" s="3494">
        <f t="shared" si="6"/>
        <v>6.2350000000000003</v>
      </c>
      <c r="AY82" s="3494">
        <f t="shared" si="6"/>
        <v>0.04</v>
      </c>
      <c r="AZ82" s="3494">
        <f t="shared" si="6"/>
        <v>0</v>
      </c>
      <c r="BA82" s="3494">
        <f t="shared" si="6"/>
        <v>0</v>
      </c>
      <c r="BB82" s="3494">
        <f t="shared" si="6"/>
        <v>11536.08747</v>
      </c>
      <c r="BC82" s="3494">
        <f t="shared" si="6"/>
        <v>0</v>
      </c>
      <c r="BD82" s="3494">
        <f t="shared" si="6"/>
        <v>3960.05933</v>
      </c>
      <c r="BE82" s="3494">
        <f t="shared" si="6"/>
        <v>7527.7347300000001</v>
      </c>
      <c r="BF82" s="3494">
        <f t="shared" si="6"/>
        <v>48.293410000000002</v>
      </c>
      <c r="BG82" s="3494">
        <f t="shared" si="6"/>
        <v>0</v>
      </c>
      <c r="BH82" s="3494">
        <f t="shared" si="6"/>
        <v>0</v>
      </c>
      <c r="BI82" s="3494">
        <f t="shared" si="6"/>
        <v>3691.2719999999999</v>
      </c>
      <c r="BJ82" s="3494">
        <f t="shared" si="6"/>
        <v>0</v>
      </c>
      <c r="BK82" s="3494">
        <f t="shared" si="6"/>
        <v>0</v>
      </c>
      <c r="BL82" s="3494">
        <f t="shared" si="6"/>
        <v>102.423</v>
      </c>
      <c r="BM82" s="3494">
        <f t="shared" si="6"/>
        <v>3588.8490000000002</v>
      </c>
      <c r="BN82" s="3494">
        <f t="shared" si="6"/>
        <v>0</v>
      </c>
      <c r="BO82" s="3494">
        <f t="shared" si="6"/>
        <v>0</v>
      </c>
      <c r="BP82" s="3494">
        <f t="shared" si="6"/>
        <v>13669.947359999998</v>
      </c>
      <c r="BQ82" s="3494">
        <f t="shared" si="6"/>
        <v>0</v>
      </c>
      <c r="BR82" s="3494">
        <f t="shared" ref="BR82:CX82" si="7">BR9</f>
        <v>0</v>
      </c>
      <c r="BS82" s="3494">
        <f t="shared" si="7"/>
        <v>359.80949000000004</v>
      </c>
      <c r="BT82" s="3494">
        <f t="shared" si="7"/>
        <v>13310.137869999999</v>
      </c>
      <c r="BU82" s="3494">
        <f t="shared" si="7"/>
        <v>0</v>
      </c>
      <c r="BV82" s="3494">
        <f t="shared" si="7"/>
        <v>0</v>
      </c>
      <c r="BW82" s="3494">
        <f t="shared" si="7"/>
        <v>5.9240000000000004</v>
      </c>
      <c r="BX82" s="3494">
        <f t="shared" si="7"/>
        <v>0</v>
      </c>
      <c r="BY82" s="3494">
        <f t="shared" si="7"/>
        <v>0</v>
      </c>
      <c r="BZ82" s="3494">
        <f t="shared" si="7"/>
        <v>0.14499999999999999</v>
      </c>
      <c r="CA82" s="3494">
        <f t="shared" si="7"/>
        <v>5.7789999999999999</v>
      </c>
      <c r="CB82" s="3494">
        <f t="shared" si="7"/>
        <v>0</v>
      </c>
      <c r="CC82" s="3494">
        <f t="shared" si="7"/>
        <v>0</v>
      </c>
      <c r="CD82" s="3494">
        <f t="shared" si="7"/>
        <v>7152.25353</v>
      </c>
      <c r="CE82" s="3494">
        <f t="shared" si="7"/>
        <v>0</v>
      </c>
      <c r="CF82" s="3494">
        <f t="shared" si="7"/>
        <v>0</v>
      </c>
      <c r="CG82" s="3494">
        <f t="shared" si="7"/>
        <v>175.06359999999998</v>
      </c>
      <c r="CH82" s="3494">
        <f t="shared" si="7"/>
        <v>6977.1899300000005</v>
      </c>
      <c r="CI82" s="3494">
        <f t="shared" si="7"/>
        <v>0</v>
      </c>
      <c r="CJ82" s="3494">
        <f t="shared" si="7"/>
        <v>0</v>
      </c>
      <c r="CK82" s="3494">
        <f t="shared" si="7"/>
        <v>6.7129999999999992</v>
      </c>
      <c r="CL82" s="3494">
        <f t="shared" si="7"/>
        <v>0</v>
      </c>
      <c r="CM82" s="3494">
        <f t="shared" si="7"/>
        <v>0</v>
      </c>
      <c r="CN82" s="3494">
        <f t="shared" si="7"/>
        <v>0.157</v>
      </c>
      <c r="CO82" s="3494">
        <f t="shared" si="7"/>
        <v>6.556</v>
      </c>
      <c r="CP82" s="3494">
        <f t="shared" si="7"/>
        <v>0</v>
      </c>
      <c r="CQ82" s="3494">
        <f t="shared" si="7"/>
        <v>0</v>
      </c>
      <c r="CR82" s="3494">
        <f t="shared" si="7"/>
        <v>7164.6043900000004</v>
      </c>
      <c r="CS82" s="3494">
        <f t="shared" si="7"/>
        <v>0</v>
      </c>
      <c r="CT82" s="3494">
        <f t="shared" si="7"/>
        <v>0</v>
      </c>
      <c r="CU82" s="3494">
        <f t="shared" si="7"/>
        <v>439.46540000000005</v>
      </c>
      <c r="CV82" s="3494">
        <f t="shared" si="7"/>
        <v>6725.1389899999995</v>
      </c>
      <c r="CW82" s="3494">
        <f t="shared" si="7"/>
        <v>0</v>
      </c>
      <c r="CX82" s="3494">
        <f t="shared" si="7"/>
        <v>0</v>
      </c>
    </row>
  </sheetData>
  <mergeCells count="51">
    <mergeCell ref="CS5:CX5"/>
    <mergeCell ref="BX5:CC5"/>
    <mergeCell ref="CD5:CD6"/>
    <mergeCell ref="CE5:CH5"/>
    <mergeCell ref="CK5:CK6"/>
    <mergeCell ref="CL5:CQ5"/>
    <mergeCell ref="CR5:CR6"/>
    <mergeCell ref="BW5:BW6"/>
    <mergeCell ref="AH5:AM5"/>
    <mergeCell ref="AN5:AN6"/>
    <mergeCell ref="AO5:AT5"/>
    <mergeCell ref="AU5:AU6"/>
    <mergeCell ref="AV5:BA5"/>
    <mergeCell ref="BB5:BB6"/>
    <mergeCell ref="BC5:BH5"/>
    <mergeCell ref="BI5:BI6"/>
    <mergeCell ref="BJ5:BO5"/>
    <mergeCell ref="BP5:BP6"/>
    <mergeCell ref="BQ5:BV5"/>
    <mergeCell ref="CK4:CQ4"/>
    <mergeCell ref="CR4:CX4"/>
    <mergeCell ref="BI3:BV3"/>
    <mergeCell ref="BW3:CJ3"/>
    <mergeCell ref="CK3:CX3"/>
    <mergeCell ref="BI4:BO4"/>
    <mergeCell ref="BP4:BV4"/>
    <mergeCell ref="BW4:CC4"/>
    <mergeCell ref="CD4:CJ4"/>
    <mergeCell ref="C3:C6"/>
    <mergeCell ref="D3:D6"/>
    <mergeCell ref="E3:R3"/>
    <mergeCell ref="S3:AF3"/>
    <mergeCell ref="AG3:AT3"/>
    <mergeCell ref="E4:K4"/>
    <mergeCell ref="L4:R4"/>
    <mergeCell ref="S4:Y4"/>
    <mergeCell ref="Z4:AF4"/>
    <mergeCell ref="AG4:AM4"/>
    <mergeCell ref="AG5:AG6"/>
    <mergeCell ref="AN4:AT4"/>
    <mergeCell ref="M5:R5"/>
    <mergeCell ref="S5:S6"/>
    <mergeCell ref="T5:Y5"/>
    <mergeCell ref="Z5:Z6"/>
    <mergeCell ref="AU3:BH3"/>
    <mergeCell ref="BB4:BH4"/>
    <mergeCell ref="E5:E6"/>
    <mergeCell ref="F5:K5"/>
    <mergeCell ref="L5:L6"/>
    <mergeCell ref="AU4:BA4"/>
    <mergeCell ref="AA5:AF5"/>
  </mergeCells>
  <dataValidations count="1">
    <dataValidation type="decimal" operator="greaterThanOrEqual" allowBlank="1" showErrorMessage="1" errorTitle="НЕВЕРНОЕ ЗНАЧЕНИЕ" error="Введенное значение не является числовым" sqref="E9:CX82">
      <formula1>-9.99999999999999E+42</formula1>
    </dataValidation>
  </dataValidation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BS1416"/>
  <sheetViews>
    <sheetView workbookViewId="0">
      <selection activeCell="AH740" sqref="AH740"/>
    </sheetView>
  </sheetViews>
  <sheetFormatPr defaultColWidth="9.140625" defaultRowHeight="11.25"/>
  <cols>
    <col min="1" max="2" width="1" style="2085" customWidth="1"/>
    <col min="3" max="3" width="8.140625" style="2085" customWidth="1"/>
    <col min="4" max="4" width="40" style="2085" customWidth="1"/>
    <col min="5" max="5" width="10.42578125" style="2086" customWidth="1"/>
    <col min="6" max="6" width="8.7109375" style="2087" hidden="1" customWidth="1"/>
    <col min="7" max="7" width="12.140625" style="2085" hidden="1" customWidth="1"/>
    <col min="8" max="8" width="10.140625" style="2085" hidden="1" customWidth="1"/>
    <col min="9" max="9" width="8.85546875" style="2085" hidden="1" customWidth="1"/>
    <col min="10" max="10" width="12.140625" style="2087" hidden="1" customWidth="1"/>
    <col min="11" max="11" width="10.140625" style="2085" hidden="1" customWidth="1"/>
    <col min="12" max="12" width="8.7109375" style="2085" hidden="1" customWidth="1"/>
    <col min="13" max="13" width="9.140625" style="2085" hidden="1" customWidth="1"/>
    <col min="14" max="15" width="10.7109375" style="2085" hidden="1" customWidth="1"/>
    <col min="16" max="16" width="11.140625" style="2085" hidden="1" customWidth="1"/>
    <col min="17" max="17" width="10.7109375" style="2085" hidden="1" customWidth="1"/>
    <col min="18" max="18" width="10.5703125" style="2085" hidden="1" customWidth="1"/>
    <col min="19" max="19" width="11.140625" style="2085" hidden="1" customWidth="1"/>
    <col min="20" max="21" width="10.5703125" style="2085" hidden="1" customWidth="1"/>
    <col min="22" max="22" width="11.140625" style="2085" hidden="1" customWidth="1"/>
    <col min="23" max="23" width="10.7109375" style="2085" hidden="1" customWidth="1"/>
    <col min="24" max="24" width="10.5703125" style="2085" hidden="1" customWidth="1"/>
    <col min="25" max="25" width="11.140625" style="2085" hidden="1" customWidth="1"/>
    <col min="26" max="26" width="10.5703125" style="2085" hidden="1" customWidth="1"/>
    <col min="27" max="27" width="12.7109375" style="2085" hidden="1" customWidth="1"/>
    <col min="28" max="28" width="11.7109375" style="2085" hidden="1" customWidth="1"/>
    <col min="29" max="29" width="10.7109375" style="2085" hidden="1" customWidth="1"/>
    <col min="30" max="30" width="10.5703125" style="2085" hidden="1" customWidth="1"/>
    <col min="31" max="31" width="11.140625" style="2085" hidden="1" customWidth="1"/>
    <col min="32" max="32" width="34.5703125" style="2461" hidden="1" customWidth="1"/>
    <col min="33" max="33" width="12.140625" style="2085" hidden="1" customWidth="1"/>
    <col min="34" max="34" width="10.7109375" style="2085" bestFit="1" customWidth="1"/>
    <col min="35" max="35" width="10.7109375" style="2085" hidden="1" customWidth="1"/>
    <col min="36" max="36" width="11.140625" style="2085" hidden="1" customWidth="1"/>
    <col min="37" max="38" width="10.7109375" style="2085" hidden="1" customWidth="1"/>
    <col min="39" max="39" width="11.140625" style="2085" hidden="1" customWidth="1"/>
    <col min="40" max="41" width="10.7109375" style="2085" hidden="1" customWidth="1"/>
    <col min="42" max="42" width="11.140625" style="2085" hidden="1" customWidth="1"/>
    <col min="43" max="44" width="10.7109375" style="2085" hidden="1" customWidth="1"/>
    <col min="45" max="45" width="11.140625" style="2085" hidden="1" customWidth="1"/>
    <col min="46" max="47" width="10.7109375" style="2085" hidden="1" customWidth="1"/>
    <col min="48" max="48" width="11.140625" style="2085" hidden="1" customWidth="1"/>
    <col min="49" max="50" width="10.7109375" style="2085" hidden="1" customWidth="1"/>
    <col min="51" max="51" width="11.140625" style="2085" hidden="1" customWidth="1"/>
    <col min="52" max="53" width="10.7109375" style="2085" hidden="1" customWidth="1"/>
    <col min="54" max="54" width="11.140625" style="2085" hidden="1" customWidth="1"/>
    <col min="55" max="56" width="10.7109375" style="2085" hidden="1" customWidth="1"/>
    <col min="57" max="57" width="11.140625" style="2085" hidden="1" customWidth="1"/>
    <col min="58" max="59" width="10.7109375" style="2085" hidden="1" customWidth="1"/>
    <col min="60" max="60" width="11.140625" style="2085" hidden="1" customWidth="1"/>
    <col min="61" max="62" width="10.7109375" style="2085" hidden="1" customWidth="1"/>
    <col min="63" max="63" width="11.140625" style="2085" hidden="1" customWidth="1"/>
    <col min="64" max="65" width="10.7109375" style="2085" hidden="1" customWidth="1"/>
    <col min="66" max="66" width="11.140625" style="2085" hidden="1" customWidth="1"/>
    <col min="67" max="68" width="10.7109375" style="2085" hidden="1" customWidth="1"/>
    <col min="69" max="69" width="11.140625" style="2085" hidden="1" customWidth="1"/>
    <col min="70" max="16384" width="9.140625" style="2085"/>
  </cols>
  <sheetData>
    <row r="1" spans="3:69" ht="15.75" customHeight="1">
      <c r="C1" s="2084" t="s">
        <v>2042</v>
      </c>
      <c r="H1" s="2088"/>
      <c r="I1" s="2089"/>
      <c r="J1" s="2090"/>
      <c r="K1" s="2091"/>
      <c r="L1" s="2092"/>
      <c r="M1" s="2093"/>
      <c r="N1" s="2094">
        <v>748448.06249066209</v>
      </c>
      <c r="O1" s="2092"/>
      <c r="P1" s="2092"/>
      <c r="Q1" s="2094">
        <v>558132.87827556627</v>
      </c>
      <c r="R1" s="2092"/>
      <c r="S1" s="2092"/>
      <c r="T1" s="2094"/>
      <c r="U1" s="2092"/>
      <c r="V1" s="2092"/>
      <c r="W1" s="2094">
        <v>506793.30178133224</v>
      </c>
      <c r="X1" s="2092"/>
      <c r="Y1" s="2092"/>
      <c r="Z1" s="2092"/>
      <c r="AA1" s="2092"/>
      <c r="AB1" s="2092"/>
      <c r="AC1" s="2094">
        <v>832639.40408921975</v>
      </c>
      <c r="AD1" s="2092"/>
      <c r="AE1" s="2092"/>
      <c r="AF1" s="2095"/>
      <c r="AG1" s="2092" t="s">
        <v>705</v>
      </c>
      <c r="AH1" s="2092">
        <v>1.6375994003285459</v>
      </c>
      <c r="AI1" s="2092"/>
      <c r="AJ1" s="2092"/>
      <c r="AK1" s="2092">
        <v>1.6375994003285459</v>
      </c>
      <c r="AL1" s="2092"/>
      <c r="AM1" s="2092"/>
      <c r="AN1" s="2092">
        <v>1.6375994003285459</v>
      </c>
      <c r="AO1" s="2092"/>
      <c r="AP1" s="2092"/>
      <c r="AQ1" s="2092">
        <v>1.6375995046590812</v>
      </c>
      <c r="AR1" s="2092"/>
      <c r="AS1" s="2092"/>
      <c r="AT1" s="2092">
        <v>1.6375995046590812</v>
      </c>
      <c r="AU1" s="2092"/>
      <c r="AV1" s="2092"/>
      <c r="AW1" s="2092">
        <v>1.6375995046590812</v>
      </c>
      <c r="AX1" s="2092"/>
      <c r="AY1" s="2092"/>
      <c r="AZ1" s="2092">
        <v>1.717761050015286</v>
      </c>
      <c r="BA1" s="2092"/>
      <c r="BB1" s="2092"/>
      <c r="BC1" s="2092">
        <v>1.717761050015286</v>
      </c>
      <c r="BD1" s="2092"/>
      <c r="BE1" s="2092"/>
      <c r="BF1" s="2092">
        <v>1.717761050015286</v>
      </c>
      <c r="BG1" s="2092"/>
      <c r="BH1" s="2092"/>
      <c r="BI1" s="2092">
        <v>1.7177629640691063</v>
      </c>
      <c r="BJ1" s="2092"/>
      <c r="BK1" s="2092"/>
      <c r="BL1" s="2092">
        <v>1.7177629640691063</v>
      </c>
      <c r="BM1" s="2092"/>
      <c r="BN1" s="2092"/>
      <c r="BO1" s="2092">
        <v>1.7177629640691063</v>
      </c>
      <c r="BP1" s="2092"/>
      <c r="BQ1" s="2092"/>
    </row>
    <row r="2" spans="3:69" ht="15.75">
      <c r="C2" s="2096" t="s">
        <v>2043</v>
      </c>
      <c r="D2" s="2097"/>
      <c r="E2" s="2098"/>
      <c r="F2" s="2099"/>
      <c r="G2" s="2100"/>
      <c r="H2" s="2089"/>
      <c r="I2" s="2089"/>
      <c r="J2" s="2101"/>
      <c r="K2" s="2102">
        <f>K785/K724/1000</f>
        <v>3.8718912638878975</v>
      </c>
      <c r="L2" s="2103"/>
      <c r="M2" s="2104">
        <f>N776/N715</f>
        <v>5056.289279857685</v>
      </c>
      <c r="N2" s="2102">
        <f>N785/N724/1000</f>
        <v>5.4832281622476939</v>
      </c>
      <c r="O2" s="2105">
        <f>N777/N716</f>
        <v>6006.2425245991662</v>
      </c>
      <c r="P2" s="2104">
        <f>Q776/Q715</f>
        <v>4451.9600868850439</v>
      </c>
      <c r="Q2" s="2102">
        <f>Q785/Q724/1000</f>
        <v>3.4430405007011164</v>
      </c>
      <c r="R2" s="2105">
        <f>Q777/Q716</f>
        <v>4478.5657243698661</v>
      </c>
      <c r="S2" s="2104">
        <f>W776/W715</f>
        <v>4655.9334616342549</v>
      </c>
      <c r="T2" s="2103"/>
      <c r="U2" s="2103"/>
      <c r="V2" s="2103"/>
      <c r="W2" s="2102">
        <f>W785/W724/1000</f>
        <v>3.443040500701116</v>
      </c>
      <c r="X2" s="2105">
        <f>W777/W716</f>
        <v>4655.9348074898799</v>
      </c>
      <c r="Y2" s="2104">
        <f>AC776/AC715</f>
        <v>4655.935802154997</v>
      </c>
      <c r="Z2" s="2103"/>
      <c r="AA2" s="2103"/>
      <c r="AB2" s="2103"/>
      <c r="AC2" s="2102">
        <f>AC785/AC724/1000</f>
        <v>3.443040500701116</v>
      </c>
      <c r="AD2" s="2105">
        <f>AC777/AC716</f>
        <v>4655.9344680761396</v>
      </c>
      <c r="AE2" s="2106"/>
      <c r="AF2" s="2103"/>
      <c r="AG2" s="2092" t="s">
        <v>280</v>
      </c>
      <c r="AH2" s="2103">
        <v>4.4609796623260252</v>
      </c>
      <c r="AI2" s="2103"/>
      <c r="AJ2" s="2103"/>
      <c r="AK2" s="2103">
        <v>4.4609796623260252</v>
      </c>
      <c r="AL2" s="2103"/>
      <c r="AM2" s="2103"/>
      <c r="AN2" s="2103">
        <v>4.4609796623260252</v>
      </c>
      <c r="AO2" s="2103"/>
      <c r="AP2" s="2103"/>
      <c r="AQ2" s="2103">
        <v>4.46466088764776</v>
      </c>
      <c r="AR2" s="2103"/>
      <c r="AS2" s="2103"/>
      <c r="AT2" s="2103">
        <v>4.46466088764776</v>
      </c>
      <c r="AU2" s="2103"/>
      <c r="AV2" s="2103"/>
      <c r="AW2" s="2103">
        <v>4.46466088764776</v>
      </c>
      <c r="AX2" s="2103"/>
      <c r="AY2" s="2103"/>
      <c r="AZ2" s="2103">
        <v>4.6422565744522917</v>
      </c>
      <c r="BA2" s="2103"/>
      <c r="BB2" s="2103"/>
      <c r="BC2" s="2103">
        <v>4.6422565744522917</v>
      </c>
      <c r="BD2" s="2103"/>
      <c r="BE2" s="2103"/>
      <c r="BF2" s="2103">
        <v>4.6422565744522917</v>
      </c>
      <c r="BG2" s="2103"/>
      <c r="BH2" s="2103"/>
      <c r="BI2" s="2103">
        <v>4.6413938550627725</v>
      </c>
      <c r="BJ2" s="2103"/>
      <c r="BK2" s="2103"/>
      <c r="BL2" s="2103">
        <v>4.6413938550627725</v>
      </c>
      <c r="BM2" s="2103"/>
      <c r="BN2" s="2103"/>
      <c r="BO2" s="2103">
        <v>4.6413938550627725</v>
      </c>
      <c r="BP2" s="2103"/>
      <c r="BQ2" s="2103"/>
    </row>
    <row r="3" spans="3:69" ht="15.75" customHeight="1" thickBot="1">
      <c r="C3" s="2107"/>
      <c r="D3" s="2097"/>
      <c r="E3" s="2098"/>
      <c r="F3" s="2108"/>
      <c r="G3" s="2109"/>
      <c r="H3" s="2088"/>
      <c r="I3" s="2089"/>
      <c r="J3" s="2110"/>
      <c r="K3" s="2111"/>
      <c r="L3" s="2103"/>
      <c r="M3" s="2103"/>
      <c r="N3" s="2102">
        <f>N781/N720</f>
        <v>4434.2234513639787</v>
      </c>
      <c r="O3" s="2103"/>
      <c r="P3" s="2103"/>
      <c r="Q3" s="2102">
        <f>Q781/Q720</f>
        <v>4434.2234513639778</v>
      </c>
      <c r="R3" s="2103"/>
      <c r="S3" s="2103"/>
      <c r="T3" s="2103"/>
      <c r="U3" s="2103"/>
      <c r="V3" s="2103"/>
      <c r="W3" s="2102">
        <f>W781/W720</f>
        <v>4611.592389418538</v>
      </c>
      <c r="X3" s="2103"/>
      <c r="Y3" s="2103"/>
      <c r="Z3" s="2103"/>
      <c r="AA3" s="2103"/>
      <c r="AB3" s="2103"/>
      <c r="AC3" s="2102">
        <f>AC781/AC720</f>
        <v>4611.592389418538</v>
      </c>
      <c r="AD3" s="2103"/>
      <c r="AE3" s="2112"/>
      <c r="AF3" s="2103"/>
      <c r="AG3" s="2092"/>
      <c r="AH3" s="2103" t="s">
        <v>2044</v>
      </c>
      <c r="AI3" s="2103"/>
      <c r="AJ3" s="2103"/>
      <c r="AK3" s="2103">
        <v>3.443040500701116</v>
      </c>
      <c r="AL3" s="2103"/>
      <c r="AM3" s="2103"/>
      <c r="AN3" s="2103">
        <v>3.443040500701116</v>
      </c>
      <c r="AO3" s="2103"/>
      <c r="AP3" s="2103"/>
      <c r="AQ3" s="2103">
        <v>3.443040500701116</v>
      </c>
      <c r="AR3" s="2103"/>
      <c r="AS3" s="2103"/>
      <c r="AT3" s="2103">
        <v>3.443040500701116</v>
      </c>
      <c r="AU3" s="2103"/>
      <c r="AV3" s="2103"/>
      <c r="AW3" s="2103">
        <v>3.443040500701116</v>
      </c>
      <c r="AX3" s="2103"/>
      <c r="AY3" s="2103"/>
      <c r="AZ3" s="2103">
        <v>3.443040500701116</v>
      </c>
      <c r="BA3" s="2103"/>
      <c r="BB3" s="2103"/>
      <c r="BC3" s="2103">
        <v>3.443040500701116</v>
      </c>
      <c r="BD3" s="2103"/>
      <c r="BE3" s="2103"/>
      <c r="BF3" s="2103">
        <v>3.443040500701116</v>
      </c>
      <c r="BG3" s="2103"/>
      <c r="BH3" s="2103"/>
      <c r="BI3" s="2103">
        <v>3.443040500701116</v>
      </c>
      <c r="BJ3" s="2103"/>
      <c r="BK3" s="2103"/>
      <c r="BL3" s="2103">
        <v>3.443040500701116</v>
      </c>
      <c r="BM3" s="2103"/>
      <c r="BN3" s="2103"/>
      <c r="BO3" s="2103">
        <v>3.443040500701116</v>
      </c>
      <c r="BP3" s="2103"/>
      <c r="BQ3" s="2103"/>
    </row>
    <row r="4" spans="3:69" s="2087" customFormat="1" ht="23.45" customHeight="1" thickBot="1">
      <c r="C4" s="4163" t="s">
        <v>400</v>
      </c>
      <c r="D4" s="4165" t="s">
        <v>746</v>
      </c>
      <c r="E4" s="4167" t="s">
        <v>692</v>
      </c>
      <c r="F4" s="2113">
        <v>2018</v>
      </c>
      <c r="G4" s="4169">
        <v>2018</v>
      </c>
      <c r="H4" s="4170"/>
      <c r="I4" s="4171"/>
      <c r="J4" s="2113">
        <v>2019</v>
      </c>
      <c r="K4" s="4169">
        <v>2019</v>
      </c>
      <c r="L4" s="4170"/>
      <c r="M4" s="4171"/>
      <c r="N4" s="4165" t="s">
        <v>2045</v>
      </c>
      <c r="O4" s="4165"/>
      <c r="P4" s="4167"/>
      <c r="Q4" s="4165" t="s">
        <v>2046</v>
      </c>
      <c r="R4" s="4165"/>
      <c r="S4" s="4167"/>
      <c r="T4" s="4172" t="s">
        <v>2047</v>
      </c>
      <c r="U4" s="4173"/>
      <c r="V4" s="4173"/>
      <c r="W4" s="4174" t="s">
        <v>2048</v>
      </c>
      <c r="X4" s="4175"/>
      <c r="Y4" s="4176"/>
      <c r="Z4" s="4173" t="s">
        <v>2049</v>
      </c>
      <c r="AA4" s="4173"/>
      <c r="AB4" s="4177"/>
      <c r="AC4" s="4165" t="s">
        <v>2050</v>
      </c>
      <c r="AD4" s="4165"/>
      <c r="AE4" s="4167"/>
      <c r="AF4" s="4161" t="s">
        <v>2051</v>
      </c>
      <c r="AG4" s="2114"/>
      <c r="AH4" s="2115" t="str">
        <f>'Шаблон 46 ГП'!A8</f>
        <v>Май 2026 год</v>
      </c>
      <c r="AI4" s="2116" t="s">
        <v>2052</v>
      </c>
      <c r="AJ4" s="2117"/>
      <c r="AK4" s="2115" t="s">
        <v>2053</v>
      </c>
      <c r="AL4" s="2116" t="s">
        <v>2054</v>
      </c>
      <c r="AM4" s="2117"/>
      <c r="AN4" s="2115" t="s">
        <v>2055</v>
      </c>
      <c r="AO4" s="2116" t="s">
        <v>2056</v>
      </c>
      <c r="AP4" s="2117"/>
      <c r="AQ4" s="2115" t="s">
        <v>2057</v>
      </c>
      <c r="AR4" s="2116" t="s">
        <v>2058</v>
      </c>
      <c r="AS4" s="2117"/>
      <c r="AT4" s="2115" t="s">
        <v>2059</v>
      </c>
      <c r="AU4" s="2116" t="s">
        <v>2060</v>
      </c>
      <c r="AV4" s="2117"/>
      <c r="AW4" s="2115" t="s">
        <v>2061</v>
      </c>
      <c r="AX4" s="2116" t="s">
        <v>2062</v>
      </c>
      <c r="AY4" s="2117"/>
      <c r="AZ4" s="2115" t="s">
        <v>2063</v>
      </c>
      <c r="BA4" s="2116" t="s">
        <v>2064</v>
      </c>
      <c r="BB4" s="2117"/>
      <c r="BC4" s="2115" t="s">
        <v>2065</v>
      </c>
      <c r="BD4" s="2116" t="s">
        <v>2066</v>
      </c>
      <c r="BE4" s="2117"/>
      <c r="BF4" s="2115" t="s">
        <v>2067</v>
      </c>
      <c r="BG4" s="2116" t="s">
        <v>2068</v>
      </c>
      <c r="BH4" s="2117"/>
      <c r="BI4" s="2115" t="s">
        <v>2069</v>
      </c>
      <c r="BJ4" s="2116" t="s">
        <v>2070</v>
      </c>
      <c r="BK4" s="2117"/>
      <c r="BL4" s="2115" t="s">
        <v>2071</v>
      </c>
      <c r="BM4" s="2116" t="s">
        <v>2072</v>
      </c>
      <c r="BN4" s="2117"/>
      <c r="BO4" s="2115" t="s">
        <v>2073</v>
      </c>
      <c r="BP4" s="2116" t="s">
        <v>2074</v>
      </c>
      <c r="BQ4" s="2117"/>
    </row>
    <row r="5" spans="3:69" s="2087" customFormat="1" ht="15.75" hidden="1" customHeight="1">
      <c r="C5" s="4164"/>
      <c r="D5" s="4166"/>
      <c r="E5" s="4168"/>
      <c r="F5" s="2118"/>
      <c r="G5" s="2119"/>
      <c r="H5" s="2119"/>
      <c r="I5" s="2120"/>
      <c r="J5" s="2118"/>
      <c r="K5" s="2119"/>
      <c r="L5" s="2119"/>
      <c r="M5" s="2120"/>
      <c r="N5" s="2121"/>
      <c r="O5" s="2121"/>
      <c r="P5" s="2122"/>
      <c r="Q5" s="2123"/>
      <c r="R5" s="2121"/>
      <c r="S5" s="2124"/>
      <c r="T5" s="2125"/>
      <c r="U5" s="2121"/>
      <c r="V5" s="2124"/>
      <c r="W5" s="2126"/>
      <c r="X5" s="2121"/>
      <c r="Y5" s="2127"/>
      <c r="Z5" s="2123"/>
      <c r="AA5" s="2121"/>
      <c r="AB5" s="2122"/>
      <c r="AC5" s="2123"/>
      <c r="AD5" s="2121"/>
      <c r="AE5" s="2124"/>
      <c r="AF5" s="4162"/>
      <c r="AG5" s="2114"/>
      <c r="AH5" s="2128"/>
      <c r="AI5" s="2128"/>
      <c r="AJ5" s="2129"/>
      <c r="AK5" s="2128"/>
      <c r="AL5" s="2128"/>
      <c r="AM5" s="2129"/>
      <c r="AN5" s="2128"/>
      <c r="AO5" s="2128"/>
      <c r="AP5" s="2129"/>
      <c r="AQ5" s="2128"/>
      <c r="AR5" s="2128"/>
      <c r="AS5" s="2129"/>
      <c r="AT5" s="2128"/>
      <c r="AU5" s="2128"/>
      <c r="AV5" s="2129"/>
      <c r="AW5" s="2128"/>
      <c r="AX5" s="2128"/>
      <c r="AY5" s="2129"/>
      <c r="AZ5" s="2128"/>
      <c r="BA5" s="2128"/>
      <c r="BB5" s="2129"/>
      <c r="BC5" s="2128"/>
      <c r="BD5" s="2128"/>
      <c r="BE5" s="2129"/>
      <c r="BF5" s="2128"/>
      <c r="BG5" s="2128"/>
      <c r="BH5" s="2129"/>
      <c r="BI5" s="2128"/>
      <c r="BJ5" s="2128"/>
      <c r="BK5" s="2129"/>
      <c r="BL5" s="2128"/>
      <c r="BM5" s="2128"/>
      <c r="BN5" s="2129"/>
      <c r="BO5" s="2128"/>
      <c r="BP5" s="2128"/>
      <c r="BQ5" s="2129"/>
    </row>
    <row r="6" spans="3:69" s="2133" customFormat="1" ht="24" customHeight="1">
      <c r="C6" s="4164"/>
      <c r="D6" s="4166"/>
      <c r="E6" s="4168"/>
      <c r="F6" s="2123" t="s">
        <v>1092</v>
      </c>
      <c r="G6" s="2121" t="s">
        <v>2075</v>
      </c>
      <c r="H6" s="2130" t="s">
        <v>668</v>
      </c>
      <c r="I6" s="2122" t="s">
        <v>2076</v>
      </c>
      <c r="J6" s="2123" t="s">
        <v>1092</v>
      </c>
      <c r="K6" s="2121" t="s">
        <v>2075</v>
      </c>
      <c r="L6" s="2121" t="str">
        <f>AD6</f>
        <v>Факт</v>
      </c>
      <c r="M6" s="2122" t="s">
        <v>2076</v>
      </c>
      <c r="N6" s="2121" t="s">
        <v>2075</v>
      </c>
      <c r="O6" s="2121" t="s">
        <v>668</v>
      </c>
      <c r="P6" s="2122" t="s">
        <v>2076</v>
      </c>
      <c r="Q6" s="2123" t="s">
        <v>2075</v>
      </c>
      <c r="R6" s="2121" t="s">
        <v>668</v>
      </c>
      <c r="S6" s="2124" t="s">
        <v>2076</v>
      </c>
      <c r="T6" s="2125" t="s">
        <v>2075</v>
      </c>
      <c r="U6" s="2121" t="s">
        <v>668</v>
      </c>
      <c r="V6" s="2124" t="s">
        <v>2076</v>
      </c>
      <c r="W6" s="2126" t="s">
        <v>2075</v>
      </c>
      <c r="X6" s="2121" t="s">
        <v>668</v>
      </c>
      <c r="Y6" s="2127" t="s">
        <v>2076</v>
      </c>
      <c r="Z6" s="2123" t="s">
        <v>2075</v>
      </c>
      <c r="AA6" s="2121" t="s">
        <v>668</v>
      </c>
      <c r="AB6" s="2122" t="s">
        <v>2076</v>
      </c>
      <c r="AC6" s="2123" t="s">
        <v>2075</v>
      </c>
      <c r="AD6" s="2121" t="s">
        <v>668</v>
      </c>
      <c r="AE6" s="2124" t="s">
        <v>2076</v>
      </c>
      <c r="AF6" s="4162"/>
      <c r="AG6" s="2131"/>
      <c r="AH6" s="2130" t="s">
        <v>2075</v>
      </c>
      <c r="AI6" s="2130" t="s">
        <v>668</v>
      </c>
      <c r="AJ6" s="2132" t="s">
        <v>2076</v>
      </c>
      <c r="AK6" s="2130" t="s">
        <v>2075</v>
      </c>
      <c r="AL6" s="2130" t="s">
        <v>668</v>
      </c>
      <c r="AM6" s="2132" t="s">
        <v>2076</v>
      </c>
      <c r="AN6" s="2130" t="s">
        <v>2075</v>
      </c>
      <c r="AO6" s="2130" t="s">
        <v>668</v>
      </c>
      <c r="AP6" s="2132" t="s">
        <v>2076</v>
      </c>
      <c r="AQ6" s="2130" t="s">
        <v>2075</v>
      </c>
      <c r="AR6" s="2130" t="s">
        <v>668</v>
      </c>
      <c r="AS6" s="2132" t="s">
        <v>2076</v>
      </c>
      <c r="AT6" s="2130" t="s">
        <v>2075</v>
      </c>
      <c r="AU6" s="2130" t="s">
        <v>668</v>
      </c>
      <c r="AV6" s="2132" t="s">
        <v>2076</v>
      </c>
      <c r="AW6" s="2130" t="s">
        <v>2075</v>
      </c>
      <c r="AX6" s="2130" t="s">
        <v>668</v>
      </c>
      <c r="AY6" s="2132" t="s">
        <v>2076</v>
      </c>
      <c r="AZ6" s="2130" t="s">
        <v>2075</v>
      </c>
      <c r="BA6" s="2130" t="s">
        <v>668</v>
      </c>
      <c r="BB6" s="2132" t="s">
        <v>2076</v>
      </c>
      <c r="BC6" s="2130" t="s">
        <v>2075</v>
      </c>
      <c r="BD6" s="2130" t="s">
        <v>668</v>
      </c>
      <c r="BE6" s="2132" t="s">
        <v>2076</v>
      </c>
      <c r="BF6" s="2130" t="s">
        <v>2075</v>
      </c>
      <c r="BG6" s="2130" t="s">
        <v>668</v>
      </c>
      <c r="BH6" s="2132" t="s">
        <v>2076</v>
      </c>
      <c r="BI6" s="2130" t="s">
        <v>2075</v>
      </c>
      <c r="BJ6" s="2130" t="s">
        <v>668</v>
      </c>
      <c r="BK6" s="2132" t="s">
        <v>2076</v>
      </c>
      <c r="BL6" s="2130" t="s">
        <v>2075</v>
      </c>
      <c r="BM6" s="2130" t="s">
        <v>668</v>
      </c>
      <c r="BN6" s="2132" t="s">
        <v>2076</v>
      </c>
      <c r="BO6" s="2130" t="s">
        <v>2075</v>
      </c>
      <c r="BP6" s="2130" t="s">
        <v>668</v>
      </c>
      <c r="BQ6" s="2132" t="s">
        <v>2076</v>
      </c>
    </row>
    <row r="7" spans="3:69" ht="21.6" customHeight="1">
      <c r="C7" s="2134" t="s">
        <v>2077</v>
      </c>
      <c r="D7" s="2135" t="s">
        <v>2078</v>
      </c>
      <c r="E7" s="2136"/>
      <c r="F7" s="2137"/>
      <c r="G7" s="2138"/>
      <c r="H7" s="2138"/>
      <c r="I7" s="2139"/>
      <c r="J7" s="2137"/>
      <c r="K7" s="2138"/>
      <c r="L7" s="2138"/>
      <c r="M7" s="2139"/>
      <c r="N7" s="2138"/>
      <c r="O7" s="2138"/>
      <c r="P7" s="2139"/>
      <c r="Q7" s="2137"/>
      <c r="R7" s="2138"/>
      <c r="S7" s="2140"/>
      <c r="T7" s="2141"/>
      <c r="U7" s="2138"/>
      <c r="V7" s="2140"/>
      <c r="W7" s="2142"/>
      <c r="X7" s="2138"/>
      <c r="Y7" s="2143"/>
      <c r="Z7" s="2137"/>
      <c r="AA7" s="2138"/>
      <c r="AB7" s="2139"/>
      <c r="AC7" s="2137"/>
      <c r="AD7" s="2138"/>
      <c r="AE7" s="2140"/>
      <c r="AF7" s="2144"/>
      <c r="AG7" s="2145"/>
      <c r="AH7" s="2138"/>
      <c r="AI7" s="2138"/>
      <c r="AJ7" s="2139"/>
      <c r="AK7" s="2138"/>
      <c r="AL7" s="2138"/>
      <c r="AM7" s="2139"/>
      <c r="AN7" s="2138"/>
      <c r="AO7" s="2138"/>
      <c r="AP7" s="2139"/>
      <c r="AQ7" s="2138"/>
      <c r="AR7" s="2138"/>
      <c r="AS7" s="2139"/>
      <c r="AT7" s="2138"/>
      <c r="AU7" s="2138"/>
      <c r="AV7" s="2139"/>
      <c r="AW7" s="2138"/>
      <c r="AX7" s="2138"/>
      <c r="AY7" s="2139"/>
      <c r="AZ7" s="2138"/>
      <c r="BA7" s="2138"/>
      <c r="BB7" s="2139"/>
      <c r="BC7" s="2138"/>
      <c r="BD7" s="2138"/>
      <c r="BE7" s="2139"/>
      <c r="BF7" s="2138"/>
      <c r="BG7" s="2138"/>
      <c r="BH7" s="2139"/>
      <c r="BI7" s="2138"/>
      <c r="BJ7" s="2138"/>
      <c r="BK7" s="2139"/>
      <c r="BL7" s="2138"/>
      <c r="BM7" s="2138"/>
      <c r="BN7" s="2139"/>
      <c r="BO7" s="2138"/>
      <c r="BP7" s="2138"/>
      <c r="BQ7" s="2139"/>
    </row>
    <row r="8" spans="3:69" ht="21.6" hidden="1" customHeight="1">
      <c r="C8" s="2134" t="s">
        <v>25</v>
      </c>
      <c r="D8" s="2146" t="s">
        <v>2079</v>
      </c>
      <c r="E8" s="2136"/>
      <c r="F8" s="2137"/>
      <c r="G8" s="2138"/>
      <c r="H8" s="2138"/>
      <c r="I8" s="2139"/>
      <c r="J8" s="2137"/>
      <c r="K8" s="2138"/>
      <c r="L8" s="2138"/>
      <c r="M8" s="2139"/>
      <c r="N8" s="2138"/>
      <c r="O8" s="2138"/>
      <c r="P8" s="2139"/>
      <c r="Q8" s="2137"/>
      <c r="R8" s="2138"/>
      <c r="S8" s="2140"/>
      <c r="T8" s="2141"/>
      <c r="U8" s="2138"/>
      <c r="V8" s="2140"/>
      <c r="W8" s="2142"/>
      <c r="X8" s="2138"/>
      <c r="Y8" s="2143"/>
      <c r="Z8" s="2137"/>
      <c r="AA8" s="2138"/>
      <c r="AB8" s="2139"/>
      <c r="AC8" s="2137"/>
      <c r="AD8" s="2138"/>
      <c r="AE8" s="2140"/>
      <c r="AF8" s="2144"/>
      <c r="AG8" s="2145"/>
      <c r="AH8" s="2138"/>
      <c r="AI8" s="2138"/>
      <c r="AJ8" s="2139"/>
      <c r="AK8" s="2138"/>
      <c r="AL8" s="2138"/>
      <c r="AM8" s="2139"/>
      <c r="AN8" s="2138"/>
      <c r="AO8" s="2138"/>
      <c r="AP8" s="2139"/>
      <c r="AQ8" s="2138"/>
      <c r="AR8" s="2138"/>
      <c r="AS8" s="2139"/>
      <c r="AT8" s="2138"/>
      <c r="AU8" s="2138"/>
      <c r="AV8" s="2139"/>
      <c r="AW8" s="2138"/>
      <c r="AX8" s="2138"/>
      <c r="AY8" s="2139"/>
      <c r="AZ8" s="2138"/>
      <c r="BA8" s="2138"/>
      <c r="BB8" s="2139"/>
      <c r="BC8" s="2138"/>
      <c r="BD8" s="2138"/>
      <c r="BE8" s="2139"/>
      <c r="BF8" s="2138"/>
      <c r="BG8" s="2138"/>
      <c r="BH8" s="2139"/>
      <c r="BI8" s="2138"/>
      <c r="BJ8" s="2138"/>
      <c r="BK8" s="2139"/>
      <c r="BL8" s="2138"/>
      <c r="BM8" s="2138"/>
      <c r="BN8" s="2139"/>
      <c r="BO8" s="2138"/>
      <c r="BP8" s="2138"/>
      <c r="BQ8" s="2139"/>
    </row>
    <row r="9" spans="3:69" s="2159" customFormat="1" ht="21.6" hidden="1" customHeight="1">
      <c r="C9" s="2147" t="s">
        <v>339</v>
      </c>
      <c r="D9" s="2148" t="s">
        <v>2080</v>
      </c>
      <c r="E9" s="2149"/>
      <c r="F9" s="2150"/>
      <c r="G9" s="2151"/>
      <c r="H9" s="2151"/>
      <c r="I9" s="2152"/>
      <c r="J9" s="2150"/>
      <c r="K9" s="2151"/>
      <c r="L9" s="2151"/>
      <c r="M9" s="2152"/>
      <c r="N9" s="2151"/>
      <c r="O9" s="2151"/>
      <c r="P9" s="2152"/>
      <c r="Q9" s="2150"/>
      <c r="R9" s="2151"/>
      <c r="S9" s="2153"/>
      <c r="T9" s="2154"/>
      <c r="U9" s="2151"/>
      <c r="V9" s="2153"/>
      <c r="W9" s="2155"/>
      <c r="X9" s="2151"/>
      <c r="Y9" s="2156"/>
      <c r="Z9" s="2150"/>
      <c r="AA9" s="2151"/>
      <c r="AB9" s="2152"/>
      <c r="AC9" s="2150"/>
      <c r="AD9" s="2151"/>
      <c r="AE9" s="2153"/>
      <c r="AF9" s="2157"/>
      <c r="AG9" s="2158"/>
      <c r="AH9" s="2151"/>
      <c r="AI9" s="2151"/>
      <c r="AJ9" s="2152"/>
      <c r="AK9" s="2151"/>
      <c r="AL9" s="2151"/>
      <c r="AM9" s="2152"/>
      <c r="AN9" s="2151"/>
      <c r="AO9" s="2151"/>
      <c r="AP9" s="2152"/>
      <c r="AQ9" s="2151"/>
      <c r="AR9" s="2151"/>
      <c r="AS9" s="2152"/>
      <c r="AT9" s="2151"/>
      <c r="AU9" s="2151"/>
      <c r="AV9" s="2152"/>
      <c r="AW9" s="2151"/>
      <c r="AX9" s="2151"/>
      <c r="AY9" s="2152"/>
      <c r="AZ9" s="2151"/>
      <c r="BA9" s="2151"/>
      <c r="BB9" s="2152"/>
      <c r="BC9" s="2151"/>
      <c r="BD9" s="2151"/>
      <c r="BE9" s="2152"/>
      <c r="BF9" s="2151"/>
      <c r="BG9" s="2151"/>
      <c r="BH9" s="2152"/>
      <c r="BI9" s="2151"/>
      <c r="BJ9" s="2151"/>
      <c r="BK9" s="2152"/>
      <c r="BL9" s="2151"/>
      <c r="BM9" s="2151"/>
      <c r="BN9" s="2152"/>
      <c r="BO9" s="2151"/>
      <c r="BP9" s="2151"/>
      <c r="BQ9" s="2152"/>
    </row>
    <row r="10" spans="3:69" s="2159" customFormat="1" ht="21.6" hidden="1" customHeight="1">
      <c r="C10" s="2160" t="s">
        <v>2081</v>
      </c>
      <c r="D10" s="2161" t="s">
        <v>2082</v>
      </c>
      <c r="E10" s="2120" t="s">
        <v>240</v>
      </c>
      <c r="F10" s="2162"/>
      <c r="G10" s="2163">
        <f>G11+G12+G13+G14+G28</f>
        <v>0</v>
      </c>
      <c r="H10" s="2163">
        <f>H11+H12+H13+H14+H28</f>
        <v>0</v>
      </c>
      <c r="I10" s="2164">
        <f>H10-G10</f>
        <v>0</v>
      </c>
      <c r="J10" s="2162"/>
      <c r="K10" s="2163">
        <f>N10+Q10+W10+AC10</f>
        <v>0</v>
      </c>
      <c r="L10" s="2163">
        <f>O10+R10+X10+AD10</f>
        <v>0</v>
      </c>
      <c r="M10" s="2164">
        <f>L10-K10</f>
        <v>0</v>
      </c>
      <c r="N10" s="2163">
        <f>N11+N12+N13+N14+N28</f>
        <v>0</v>
      </c>
      <c r="O10" s="2163">
        <f>O11+O12+O13+O14+O28</f>
        <v>0</v>
      </c>
      <c r="P10" s="2164">
        <f>O10-N10</f>
        <v>0</v>
      </c>
      <c r="Q10" s="2165">
        <f>Q11+Q12+Q13+Q14+Q28</f>
        <v>0</v>
      </c>
      <c r="R10" s="2163">
        <f>R11+R12+R13+R14+R28</f>
        <v>0</v>
      </c>
      <c r="S10" s="2166">
        <f>R10-Q10</f>
        <v>0</v>
      </c>
      <c r="T10" s="2167">
        <f>N10+Q10</f>
        <v>0</v>
      </c>
      <c r="U10" s="2163">
        <f>O10+R10</f>
        <v>0</v>
      </c>
      <c r="V10" s="2166">
        <f>U10-T10</f>
        <v>0</v>
      </c>
      <c r="W10" s="2168">
        <f>W11+W12+W13+W14+W28</f>
        <v>0</v>
      </c>
      <c r="X10" s="2163">
        <f>X11+X12+X13+X14+X28</f>
        <v>0</v>
      </c>
      <c r="Y10" s="2169">
        <f>X10-W10</f>
        <v>0</v>
      </c>
      <c r="Z10" s="2165">
        <f>T10+W10</f>
        <v>0</v>
      </c>
      <c r="AA10" s="2163">
        <f>U10+X10</f>
        <v>0</v>
      </c>
      <c r="AB10" s="2164">
        <f>AA10-Z10</f>
        <v>0</v>
      </c>
      <c r="AC10" s="2165">
        <f>AC11+AC12+AC13+AC14+AC28</f>
        <v>0</v>
      </c>
      <c r="AD10" s="2163">
        <f>AD11+AD12+AD13+AD14+AD28</f>
        <v>0</v>
      </c>
      <c r="AE10" s="2166">
        <f>AD10-AC10</f>
        <v>0</v>
      </c>
      <c r="AF10" s="2170"/>
      <c r="AG10" s="2158"/>
      <c r="AH10" s="2171">
        <f>AH11+AH12+AH13+AH14+AH28</f>
        <v>0</v>
      </c>
      <c r="AI10" s="2171">
        <f>AI11+AI12+AI13+AI14+AI28</f>
        <v>0</v>
      </c>
      <c r="AJ10" s="2172">
        <f>AI10-AH10</f>
        <v>0</v>
      </c>
      <c r="AK10" s="2171">
        <f>AK11+AK12+AK13+AK14+AK28</f>
        <v>0</v>
      </c>
      <c r="AL10" s="2171">
        <f>AL11+AL12+AL13+AL14+AL28</f>
        <v>0</v>
      </c>
      <c r="AM10" s="2172">
        <f>AL10-AK10</f>
        <v>0</v>
      </c>
      <c r="AN10" s="2171">
        <f>AN11+AN12+AN13+AN14+AN28</f>
        <v>0</v>
      </c>
      <c r="AO10" s="2171">
        <f>AO11+AO12+AO13+AO14+AO28</f>
        <v>0</v>
      </c>
      <c r="AP10" s="2172">
        <f>AO10-AN10</f>
        <v>0</v>
      </c>
      <c r="AQ10" s="2171">
        <f>AQ11+AQ12+AQ13+AQ14+AQ28</f>
        <v>0</v>
      </c>
      <c r="AR10" s="2171">
        <f>AR11+AR12+AR13+AR14+AR28</f>
        <v>0</v>
      </c>
      <c r="AS10" s="2172">
        <f>AR10-AQ10</f>
        <v>0</v>
      </c>
      <c r="AT10" s="2171">
        <f>AT11+AT12+AT13+AT14+AT28</f>
        <v>0</v>
      </c>
      <c r="AU10" s="2171">
        <f>AU11+AU12+AU13+AU14+AU28</f>
        <v>0</v>
      </c>
      <c r="AV10" s="2172">
        <f>AU10-AT10</f>
        <v>0</v>
      </c>
      <c r="AW10" s="2171">
        <f>AW11+AW12+AW13+AW14+AW28</f>
        <v>0</v>
      </c>
      <c r="AX10" s="2171">
        <f>AX11+AX12+AX13+AX14+AX28</f>
        <v>0</v>
      </c>
      <c r="AY10" s="2172">
        <f>AX10-AW10</f>
        <v>0</v>
      </c>
      <c r="AZ10" s="2171">
        <f>AZ11+AZ12+AZ13+AZ14+AZ28</f>
        <v>0</v>
      </c>
      <c r="BA10" s="2171">
        <f>BA11+BA12+BA13+BA14+BA28</f>
        <v>0</v>
      </c>
      <c r="BB10" s="2172">
        <f>BA10-AZ10</f>
        <v>0</v>
      </c>
      <c r="BC10" s="2171">
        <f>BC11+BC12+BC13+BC14+BC28</f>
        <v>0</v>
      </c>
      <c r="BD10" s="2171">
        <f>BD11+BD12+BD13+BD14+BD28</f>
        <v>0</v>
      </c>
      <c r="BE10" s="2172">
        <f>BD10-BC10</f>
        <v>0</v>
      </c>
      <c r="BF10" s="2171">
        <f>BF11+BF12+BF13+BF14+BF28</f>
        <v>0</v>
      </c>
      <c r="BG10" s="2171">
        <f>BG11+BG12+BG13+BG14+BG28</f>
        <v>0</v>
      </c>
      <c r="BH10" s="2172">
        <f>BG10-BF10</f>
        <v>0</v>
      </c>
      <c r="BI10" s="2171">
        <f>BI11+BI12+BI13+BI14+BI28</f>
        <v>0</v>
      </c>
      <c r="BJ10" s="2171">
        <f>BJ11+BJ12+BJ13+BJ14+BJ28</f>
        <v>0</v>
      </c>
      <c r="BK10" s="2172">
        <f>BJ10-BI10</f>
        <v>0</v>
      </c>
      <c r="BL10" s="2171">
        <f>BL11+BL12+BL13+BL14+BL28</f>
        <v>0</v>
      </c>
      <c r="BM10" s="2171">
        <f>BM11+BM12+BM13+BM14+BM28</f>
        <v>0</v>
      </c>
      <c r="BN10" s="2172">
        <f>BM10-BL10</f>
        <v>0</v>
      </c>
      <c r="BO10" s="2171">
        <f>BO11+BO12+BO13+BO14+BO28</f>
        <v>0</v>
      </c>
      <c r="BP10" s="2171">
        <f>BP11+BP12+BP13+BP14+BP28</f>
        <v>0</v>
      </c>
      <c r="BQ10" s="2172">
        <f>BP10-BO10</f>
        <v>0</v>
      </c>
    </row>
    <row r="11" spans="3:69" ht="21.6" hidden="1" customHeight="1">
      <c r="C11" s="2173" t="s">
        <v>2083</v>
      </c>
      <c r="D11" s="2174" t="s">
        <v>2084</v>
      </c>
      <c r="E11" s="2175" t="s">
        <v>240</v>
      </c>
      <c r="F11" s="2176"/>
      <c r="G11" s="2177"/>
      <c r="H11" s="2177"/>
      <c r="I11" s="2178">
        <f t="shared" ref="I11:I28" si="0">H11-G11</f>
        <v>0</v>
      </c>
      <c r="J11" s="2176"/>
      <c r="K11" s="2179">
        <f t="shared" ref="K11:L36" si="1">N11+Q11+W11+AC11</f>
        <v>0</v>
      </c>
      <c r="L11" s="2179">
        <f t="shared" si="1"/>
        <v>0</v>
      </c>
      <c r="M11" s="2178">
        <f t="shared" ref="M11:M36" si="2">L11-K11</f>
        <v>0</v>
      </c>
      <c r="N11" s="2177"/>
      <c r="O11" s="2177"/>
      <c r="P11" s="2178">
        <f t="shared" ref="P11:P28" si="3">O11-N11</f>
        <v>0</v>
      </c>
      <c r="Q11" s="2176"/>
      <c r="R11" s="2177"/>
      <c r="S11" s="2180">
        <f t="shared" ref="S11:S28" si="4">R11-Q11</f>
        <v>0</v>
      </c>
      <c r="T11" s="2181">
        <f t="shared" ref="T11:U36" si="5">N11+Q11</f>
        <v>0</v>
      </c>
      <c r="U11" s="2179">
        <f t="shared" si="5"/>
        <v>0</v>
      </c>
      <c r="V11" s="2180">
        <f t="shared" ref="V11:V36" si="6">U11-T11</f>
        <v>0</v>
      </c>
      <c r="W11" s="2182"/>
      <c r="X11" s="2177"/>
      <c r="Y11" s="2183">
        <f t="shared" ref="Y11:Y28" si="7">X11-W11</f>
        <v>0</v>
      </c>
      <c r="Z11" s="2184">
        <f t="shared" ref="Z11:AA36" si="8">T11+W11</f>
        <v>0</v>
      </c>
      <c r="AA11" s="2179">
        <f t="shared" si="8"/>
        <v>0</v>
      </c>
      <c r="AB11" s="2178">
        <f t="shared" ref="AB11:AB36" si="9">AA11-Z11</f>
        <v>0</v>
      </c>
      <c r="AC11" s="2176"/>
      <c r="AD11" s="2177"/>
      <c r="AE11" s="2180">
        <f t="shared" ref="AE11:AE28" si="10">AD11-AC11</f>
        <v>0</v>
      </c>
      <c r="AF11" s="2185"/>
      <c r="AG11" s="2145"/>
      <c r="AH11" s="2177"/>
      <c r="AI11" s="2177"/>
      <c r="AJ11" s="2186">
        <f t="shared" ref="AJ11:AJ28" si="11">AI11-AH11</f>
        <v>0</v>
      </c>
      <c r="AK11" s="2177"/>
      <c r="AL11" s="2177"/>
      <c r="AM11" s="2186">
        <f t="shared" ref="AM11:AM28" si="12">AL11-AK11</f>
        <v>0</v>
      </c>
      <c r="AN11" s="2177"/>
      <c r="AO11" s="2177"/>
      <c r="AP11" s="2186">
        <f t="shared" ref="AP11:AP28" si="13">AO11-AN11</f>
        <v>0</v>
      </c>
      <c r="AQ11" s="2177"/>
      <c r="AR11" s="2177"/>
      <c r="AS11" s="2186">
        <f t="shared" ref="AS11:AS28" si="14">AR11-AQ11</f>
        <v>0</v>
      </c>
      <c r="AT11" s="2177"/>
      <c r="AU11" s="2177"/>
      <c r="AV11" s="2186">
        <f t="shared" ref="AV11:AV28" si="15">AU11-AT11</f>
        <v>0</v>
      </c>
      <c r="AW11" s="2177"/>
      <c r="AX11" s="2177"/>
      <c r="AY11" s="2186">
        <f t="shared" ref="AY11:AY28" si="16">AX11-AW11</f>
        <v>0</v>
      </c>
      <c r="AZ11" s="2177"/>
      <c r="BA11" s="2177"/>
      <c r="BB11" s="2186">
        <f t="shared" ref="BB11:BB28" si="17">BA11-AZ11</f>
        <v>0</v>
      </c>
      <c r="BC11" s="2177"/>
      <c r="BD11" s="2177"/>
      <c r="BE11" s="2186">
        <f t="shared" ref="BE11:BE28" si="18">BD11-BC11</f>
        <v>0</v>
      </c>
      <c r="BF11" s="2177"/>
      <c r="BG11" s="2177"/>
      <c r="BH11" s="2186">
        <f t="shared" ref="BH11:BH28" si="19">BG11-BF11</f>
        <v>0</v>
      </c>
      <c r="BI11" s="2177"/>
      <c r="BJ11" s="2177"/>
      <c r="BK11" s="2186">
        <f t="shared" ref="BK11:BK28" si="20">BJ11-BI11</f>
        <v>0</v>
      </c>
      <c r="BL11" s="2177"/>
      <c r="BM11" s="2177"/>
      <c r="BN11" s="2186">
        <f t="shared" ref="BN11:BN28" si="21">BM11-BL11</f>
        <v>0</v>
      </c>
      <c r="BO11" s="2177"/>
      <c r="BP11" s="2177"/>
      <c r="BQ11" s="2186">
        <f t="shared" ref="BQ11:BQ28" si="22">BP11-BO11</f>
        <v>0</v>
      </c>
    </row>
    <row r="12" spans="3:69" ht="21.6" hidden="1" customHeight="1">
      <c r="C12" s="2173" t="s">
        <v>2085</v>
      </c>
      <c r="D12" s="2174" t="s">
        <v>2086</v>
      </c>
      <c r="E12" s="2175" t="s">
        <v>240</v>
      </c>
      <c r="F12" s="2176"/>
      <c r="G12" s="2177"/>
      <c r="H12" s="2177"/>
      <c r="I12" s="2178">
        <f t="shared" si="0"/>
        <v>0</v>
      </c>
      <c r="J12" s="2176"/>
      <c r="K12" s="2179">
        <f t="shared" si="1"/>
        <v>0</v>
      </c>
      <c r="L12" s="2179">
        <f>O12+R12+X12+AD12</f>
        <v>0</v>
      </c>
      <c r="M12" s="2178">
        <f t="shared" si="2"/>
        <v>0</v>
      </c>
      <c r="N12" s="2177"/>
      <c r="O12" s="2177"/>
      <c r="P12" s="2178">
        <f t="shared" si="3"/>
        <v>0</v>
      </c>
      <c r="Q12" s="2176"/>
      <c r="R12" s="2177"/>
      <c r="S12" s="2180">
        <f t="shared" si="4"/>
        <v>0</v>
      </c>
      <c r="T12" s="2181">
        <f t="shared" si="5"/>
        <v>0</v>
      </c>
      <c r="U12" s="2179">
        <f t="shared" si="5"/>
        <v>0</v>
      </c>
      <c r="V12" s="2180">
        <f t="shared" si="6"/>
        <v>0</v>
      </c>
      <c r="W12" s="2182"/>
      <c r="X12" s="2177"/>
      <c r="Y12" s="2183">
        <f t="shared" si="7"/>
        <v>0</v>
      </c>
      <c r="Z12" s="2184">
        <f t="shared" si="8"/>
        <v>0</v>
      </c>
      <c r="AA12" s="2179">
        <f t="shared" si="8"/>
        <v>0</v>
      </c>
      <c r="AB12" s="2178">
        <f t="shared" si="9"/>
        <v>0</v>
      </c>
      <c r="AC12" s="2176"/>
      <c r="AD12" s="2177"/>
      <c r="AE12" s="2180">
        <f t="shared" si="10"/>
        <v>0</v>
      </c>
      <c r="AF12" s="2185"/>
      <c r="AG12" s="2145"/>
      <c r="AH12" s="2177"/>
      <c r="AI12" s="2177"/>
      <c r="AJ12" s="2186">
        <f t="shared" si="11"/>
        <v>0</v>
      </c>
      <c r="AK12" s="2177"/>
      <c r="AL12" s="2177"/>
      <c r="AM12" s="2186">
        <f t="shared" si="12"/>
        <v>0</v>
      </c>
      <c r="AN12" s="2177"/>
      <c r="AO12" s="2177"/>
      <c r="AP12" s="2186">
        <f t="shared" si="13"/>
        <v>0</v>
      </c>
      <c r="AQ12" s="2177"/>
      <c r="AR12" s="2177"/>
      <c r="AS12" s="2186">
        <f t="shared" si="14"/>
        <v>0</v>
      </c>
      <c r="AT12" s="2177"/>
      <c r="AU12" s="2177"/>
      <c r="AV12" s="2186">
        <f t="shared" si="15"/>
        <v>0</v>
      </c>
      <c r="AW12" s="2177"/>
      <c r="AX12" s="2177"/>
      <c r="AY12" s="2186">
        <f t="shared" si="16"/>
        <v>0</v>
      </c>
      <c r="AZ12" s="2177"/>
      <c r="BA12" s="2177"/>
      <c r="BB12" s="2186">
        <f t="shared" si="17"/>
        <v>0</v>
      </c>
      <c r="BC12" s="2177"/>
      <c r="BD12" s="2177"/>
      <c r="BE12" s="2186">
        <f t="shared" si="18"/>
        <v>0</v>
      </c>
      <c r="BF12" s="2177"/>
      <c r="BG12" s="2177"/>
      <c r="BH12" s="2186">
        <f t="shared" si="19"/>
        <v>0</v>
      </c>
      <c r="BI12" s="2177"/>
      <c r="BJ12" s="2177"/>
      <c r="BK12" s="2186">
        <f t="shared" si="20"/>
        <v>0</v>
      </c>
      <c r="BL12" s="2177"/>
      <c r="BM12" s="2177"/>
      <c r="BN12" s="2186">
        <f t="shared" si="21"/>
        <v>0</v>
      </c>
      <c r="BO12" s="2177"/>
      <c r="BP12" s="2177"/>
      <c r="BQ12" s="2186">
        <f t="shared" si="22"/>
        <v>0</v>
      </c>
    </row>
    <row r="13" spans="3:69" ht="21.6" hidden="1" customHeight="1">
      <c r="C13" s="2173" t="s">
        <v>2087</v>
      </c>
      <c r="D13" s="2174" t="s">
        <v>2088</v>
      </c>
      <c r="E13" s="2175" t="s">
        <v>240</v>
      </c>
      <c r="F13" s="2176"/>
      <c r="G13" s="2177"/>
      <c r="H13" s="2177"/>
      <c r="I13" s="2178">
        <f t="shared" si="0"/>
        <v>0</v>
      </c>
      <c r="J13" s="2176"/>
      <c r="K13" s="2179">
        <f t="shared" si="1"/>
        <v>0</v>
      </c>
      <c r="L13" s="2179">
        <f t="shared" si="1"/>
        <v>0</v>
      </c>
      <c r="M13" s="2178">
        <f t="shared" si="2"/>
        <v>0</v>
      </c>
      <c r="N13" s="2177"/>
      <c r="O13" s="2177"/>
      <c r="P13" s="2178">
        <f t="shared" si="3"/>
        <v>0</v>
      </c>
      <c r="Q13" s="2176"/>
      <c r="R13" s="2177"/>
      <c r="S13" s="2180">
        <f t="shared" si="4"/>
        <v>0</v>
      </c>
      <c r="T13" s="2181">
        <f t="shared" si="5"/>
        <v>0</v>
      </c>
      <c r="U13" s="2179">
        <f t="shared" si="5"/>
        <v>0</v>
      </c>
      <c r="V13" s="2180">
        <f t="shared" si="6"/>
        <v>0</v>
      </c>
      <c r="W13" s="2182"/>
      <c r="X13" s="2177"/>
      <c r="Y13" s="2183">
        <f t="shared" si="7"/>
        <v>0</v>
      </c>
      <c r="Z13" s="2184">
        <f t="shared" si="8"/>
        <v>0</v>
      </c>
      <c r="AA13" s="2179">
        <f t="shared" si="8"/>
        <v>0</v>
      </c>
      <c r="AB13" s="2178">
        <f t="shared" si="9"/>
        <v>0</v>
      </c>
      <c r="AC13" s="2176"/>
      <c r="AD13" s="2177"/>
      <c r="AE13" s="2180">
        <f t="shared" si="10"/>
        <v>0</v>
      </c>
      <c r="AF13" s="2185"/>
      <c r="AG13" s="2145"/>
      <c r="AH13" s="2177"/>
      <c r="AI13" s="2177"/>
      <c r="AJ13" s="2186">
        <f t="shared" si="11"/>
        <v>0</v>
      </c>
      <c r="AK13" s="2177"/>
      <c r="AL13" s="2177"/>
      <c r="AM13" s="2186">
        <f t="shared" si="12"/>
        <v>0</v>
      </c>
      <c r="AN13" s="2177"/>
      <c r="AO13" s="2177"/>
      <c r="AP13" s="2186">
        <f t="shared" si="13"/>
        <v>0</v>
      </c>
      <c r="AQ13" s="2177"/>
      <c r="AR13" s="2177"/>
      <c r="AS13" s="2186">
        <f t="shared" si="14"/>
        <v>0</v>
      </c>
      <c r="AT13" s="2177"/>
      <c r="AU13" s="2177"/>
      <c r="AV13" s="2186">
        <f t="shared" si="15"/>
        <v>0</v>
      </c>
      <c r="AW13" s="2177"/>
      <c r="AX13" s="2177"/>
      <c r="AY13" s="2186">
        <f t="shared" si="16"/>
        <v>0</v>
      </c>
      <c r="AZ13" s="2177"/>
      <c r="BA13" s="2177"/>
      <c r="BB13" s="2186">
        <f t="shared" si="17"/>
        <v>0</v>
      </c>
      <c r="BC13" s="2177"/>
      <c r="BD13" s="2177"/>
      <c r="BE13" s="2186">
        <f t="shared" si="18"/>
        <v>0</v>
      </c>
      <c r="BF13" s="2177"/>
      <c r="BG13" s="2177"/>
      <c r="BH13" s="2186">
        <f t="shared" si="19"/>
        <v>0</v>
      </c>
      <c r="BI13" s="2177"/>
      <c r="BJ13" s="2177"/>
      <c r="BK13" s="2186">
        <f t="shared" si="20"/>
        <v>0</v>
      </c>
      <c r="BL13" s="2177"/>
      <c r="BM13" s="2177"/>
      <c r="BN13" s="2186">
        <f t="shared" si="21"/>
        <v>0</v>
      </c>
      <c r="BO13" s="2177"/>
      <c r="BP13" s="2177"/>
      <c r="BQ13" s="2186">
        <f t="shared" si="22"/>
        <v>0</v>
      </c>
    </row>
    <row r="14" spans="3:69" ht="21.6" hidden="1" customHeight="1">
      <c r="C14" s="2173" t="s">
        <v>2089</v>
      </c>
      <c r="D14" s="2174" t="s">
        <v>2090</v>
      </c>
      <c r="E14" s="2175" t="s">
        <v>240</v>
      </c>
      <c r="F14" s="2176"/>
      <c r="G14" s="2179">
        <f>G15+G16+G17+G18+G19+G20+G27+G21+G22+G23+G24+G25+G26+G28</f>
        <v>0</v>
      </c>
      <c r="H14" s="2179">
        <f>H15+H16+H17+H18+H19+H20+H27+H21+H22+H23+H24+H25+H26+H28</f>
        <v>0</v>
      </c>
      <c r="I14" s="2178">
        <f t="shared" si="0"/>
        <v>0</v>
      </c>
      <c r="J14" s="2176"/>
      <c r="K14" s="2179">
        <f t="shared" si="1"/>
        <v>0</v>
      </c>
      <c r="L14" s="2179">
        <f t="shared" si="1"/>
        <v>0</v>
      </c>
      <c r="M14" s="2178">
        <f t="shared" si="2"/>
        <v>0</v>
      </c>
      <c r="N14" s="2179">
        <f>N15+N16+N17+N18+N19+N20+N27+N21+N22+N23+N24+N25+N26+N28</f>
        <v>0</v>
      </c>
      <c r="O14" s="2179">
        <f>O15+O16+O17+O18+O19+O20+O27+O21+O22+O23+O24+O25+O26+O28</f>
        <v>0</v>
      </c>
      <c r="P14" s="2178">
        <f t="shared" si="3"/>
        <v>0</v>
      </c>
      <c r="Q14" s="2179">
        <f>Q15+Q16+Q17+Q18+Q19+Q20+Q27+Q21+Q22+Q23+Q24+Q25+Q26+Q28</f>
        <v>0</v>
      </c>
      <c r="R14" s="2179">
        <f>R15+R16+R17+R18+R19+R20+R27+R21+R22+R23+R24+R25+R26+R28</f>
        <v>0</v>
      </c>
      <c r="S14" s="2180">
        <f t="shared" si="4"/>
        <v>0</v>
      </c>
      <c r="T14" s="2181">
        <f t="shared" si="5"/>
        <v>0</v>
      </c>
      <c r="U14" s="2179">
        <f t="shared" si="5"/>
        <v>0</v>
      </c>
      <c r="V14" s="2180">
        <f t="shared" si="6"/>
        <v>0</v>
      </c>
      <c r="W14" s="2187">
        <f>W15+W16+W17+W18+W19+W20+W27+W21+W22+W23+W24+W25+W26+W28</f>
        <v>0</v>
      </c>
      <c r="X14" s="2179">
        <f>X15+X16+X17+X18+X19+X20+X27+X21+X22+X23+X24+X25+X26+X28</f>
        <v>0</v>
      </c>
      <c r="Y14" s="2183">
        <f t="shared" si="7"/>
        <v>0</v>
      </c>
      <c r="Z14" s="2184">
        <f>T14+W14</f>
        <v>0</v>
      </c>
      <c r="AA14" s="2179">
        <f t="shared" si="8"/>
        <v>0</v>
      </c>
      <c r="AB14" s="2178">
        <f t="shared" si="9"/>
        <v>0</v>
      </c>
      <c r="AC14" s="2179">
        <f>AC15+AC16+AC17+AC18+AC19+AC20+AC27+AC21+AC22+AC23+AC24+AC25+AC26+AC28</f>
        <v>0</v>
      </c>
      <c r="AD14" s="2179">
        <f>AD15+AD16+AD17+AD18+AD19+AD20+AD27+AD21+AD22+AD23+AD24+AD25+AD26+AD28</f>
        <v>0</v>
      </c>
      <c r="AE14" s="2180">
        <f t="shared" si="10"/>
        <v>0</v>
      </c>
      <c r="AF14" s="2185"/>
      <c r="AG14" s="2145"/>
      <c r="AH14" s="2188">
        <f>AH15+AH16+AH17+AH18+AH19+AH20+AH27+AH21+AH22+AH23+AH24+AH25+AH26+AH28</f>
        <v>0</v>
      </c>
      <c r="AI14" s="2188">
        <f>AI15+AI16+AI17+AI18+AI19+AI20+AI27+AI21+AI22+AI23+AI24+AI25+AI26+AI28</f>
        <v>0</v>
      </c>
      <c r="AJ14" s="2186">
        <f t="shared" si="11"/>
        <v>0</v>
      </c>
      <c r="AK14" s="2188">
        <f>AK15+AK16+AK17+AK18+AK19+AK20+AK27+AK21+AK22+AK23+AK24+AK25+AK26+AK28</f>
        <v>0</v>
      </c>
      <c r="AL14" s="2188">
        <f>AL15+AL16+AL17+AL18+AL19+AL20+AL27+AL21+AL22+AL23+AL24+AL25+AL26+AL28</f>
        <v>0</v>
      </c>
      <c r="AM14" s="2186">
        <f t="shared" si="12"/>
        <v>0</v>
      </c>
      <c r="AN14" s="2188">
        <f>AN15+AN16+AN17+AN18+AN19+AN20+AN27+AN21+AN22+AN23+AN24+AN25+AN26+AN28</f>
        <v>0</v>
      </c>
      <c r="AO14" s="2188">
        <f>AO15+AO16+AO17+AO18+AO19+AO20+AO27+AO21+AO22+AO23+AO24+AO25+AO26+AO28</f>
        <v>0</v>
      </c>
      <c r="AP14" s="2186">
        <f t="shared" si="13"/>
        <v>0</v>
      </c>
      <c r="AQ14" s="2188">
        <f>AQ15+AQ16+AQ17+AQ18+AQ19+AQ20+AQ27+AQ21+AQ22+AQ23+AQ24+AQ25+AQ26+AQ28</f>
        <v>0</v>
      </c>
      <c r="AR14" s="2188">
        <f>AR15+AR16+AR17+AR18+AR19+AR20+AR27+AR21+AR22+AR23+AR24+AR25+AR26+AR28</f>
        <v>0</v>
      </c>
      <c r="AS14" s="2186">
        <f t="shared" si="14"/>
        <v>0</v>
      </c>
      <c r="AT14" s="2188">
        <f>AT15+AT16+AT17+AT18+AT19+AT20+AT27+AT21+AT22+AT23+AT24+AT25+AT26+AT28</f>
        <v>0</v>
      </c>
      <c r="AU14" s="2188">
        <f>AU15+AU16+AU17+AU18+AU19+AU20+AU27+AU21+AU22+AU23+AU24+AU25+AU26+AU28</f>
        <v>0</v>
      </c>
      <c r="AV14" s="2186">
        <f t="shared" si="15"/>
        <v>0</v>
      </c>
      <c r="AW14" s="2188">
        <f>AW15+AW16+AW17+AW18+AW19+AW20+AW27+AW21+AW22+AW23+AW24+AW25+AW26+AW28</f>
        <v>0</v>
      </c>
      <c r="AX14" s="2188">
        <f>AX15+AX16+AX17+AX18+AX19+AX20+AX27+AX21+AX22+AX23+AX24+AX25+AX26+AX28</f>
        <v>0</v>
      </c>
      <c r="AY14" s="2186">
        <f t="shared" si="16"/>
        <v>0</v>
      </c>
      <c r="AZ14" s="2188">
        <f>AZ15+AZ16+AZ17+AZ18+AZ19+AZ20+AZ27+AZ21+AZ22+AZ23+AZ24+AZ25+AZ26+AZ28</f>
        <v>0</v>
      </c>
      <c r="BA14" s="2188">
        <f>BA15+BA16+BA17+BA18+BA19+BA20+BA27+BA21+BA22+BA23+BA24+BA25+BA26+BA28</f>
        <v>0</v>
      </c>
      <c r="BB14" s="2186">
        <f t="shared" si="17"/>
        <v>0</v>
      </c>
      <c r="BC14" s="2188">
        <f>BC15+BC16+BC17+BC18+BC19+BC20+BC27+BC21+BC22+BC23+BC24+BC25+BC26+BC28</f>
        <v>0</v>
      </c>
      <c r="BD14" s="2188">
        <f>BD15+BD16+BD17+BD18+BD19+BD20+BD27+BD21+BD22+BD23+BD24+BD25+BD26+BD28</f>
        <v>0</v>
      </c>
      <c r="BE14" s="2186">
        <f t="shared" si="18"/>
        <v>0</v>
      </c>
      <c r="BF14" s="2188">
        <f>BF15+BF16+BF17+BF18+BF19+BF20+BF27+BF21+BF22+BF23+BF24+BF25+BF26+BF28</f>
        <v>0</v>
      </c>
      <c r="BG14" s="2188">
        <f>BG15+BG16+BG17+BG18+BG19+BG20+BG27+BG21+BG22+BG23+BG24+BG25+BG26+BG28</f>
        <v>0</v>
      </c>
      <c r="BH14" s="2186">
        <f t="shared" si="19"/>
        <v>0</v>
      </c>
      <c r="BI14" s="2188">
        <f>BI15+BI16+BI17+BI18+BI19+BI20+BI27+BI21+BI22+BI23+BI24+BI25+BI26+BI28</f>
        <v>0</v>
      </c>
      <c r="BJ14" s="2188">
        <f>BJ15+BJ16+BJ17+BJ18+BJ19+BJ20+BJ27+BJ21+BJ22+BJ23+BJ24+BJ25+BJ26+BJ28</f>
        <v>0</v>
      </c>
      <c r="BK14" s="2186">
        <f t="shared" si="20"/>
        <v>0</v>
      </c>
      <c r="BL14" s="2188">
        <f>BL15+BL16+BL17+BL18+BL19+BL20+BL27+BL21+BL22+BL23+BL24+BL25+BL26+BL28</f>
        <v>0</v>
      </c>
      <c r="BM14" s="2188">
        <f>BM15+BM16+BM17+BM18+BM19+BM20+BM27+BM21+BM22+BM23+BM24+BM25+BM26+BM28</f>
        <v>0</v>
      </c>
      <c r="BN14" s="2186">
        <f t="shared" si="21"/>
        <v>0</v>
      </c>
      <c r="BO14" s="2188">
        <f>BO15+BO16+BO17+BO18+BO19+BO20+BO27+BO21+BO22+BO23+BO24+BO25+BO26+BO28</f>
        <v>0</v>
      </c>
      <c r="BP14" s="2188">
        <f>BP15+BP16+BP17+BP18+BP19+BP20+BP27+BP21+BP22+BP23+BP24+BP25+BP26+BP28</f>
        <v>0</v>
      </c>
      <c r="BQ14" s="2186">
        <f t="shared" si="22"/>
        <v>0</v>
      </c>
    </row>
    <row r="15" spans="3:69" s="2193" customFormat="1" ht="21.6" hidden="1" customHeight="1">
      <c r="C15" s="2189" t="s">
        <v>2091</v>
      </c>
      <c r="D15" s="2190" t="s">
        <v>2092</v>
      </c>
      <c r="E15" s="2175" t="s">
        <v>240</v>
      </c>
      <c r="F15" s="2176"/>
      <c r="G15" s="2177"/>
      <c r="H15" s="2177"/>
      <c r="I15" s="2178">
        <f t="shared" si="0"/>
        <v>0</v>
      </c>
      <c r="J15" s="2176"/>
      <c r="K15" s="2179">
        <f t="shared" si="1"/>
        <v>0</v>
      </c>
      <c r="L15" s="2179">
        <f t="shared" si="1"/>
        <v>0</v>
      </c>
      <c r="M15" s="2178">
        <f t="shared" si="2"/>
        <v>0</v>
      </c>
      <c r="N15" s="2177"/>
      <c r="O15" s="2177"/>
      <c r="P15" s="2178">
        <f t="shared" si="3"/>
        <v>0</v>
      </c>
      <c r="Q15" s="2176"/>
      <c r="R15" s="2177"/>
      <c r="S15" s="2180">
        <f t="shared" si="4"/>
        <v>0</v>
      </c>
      <c r="T15" s="2181">
        <f t="shared" si="5"/>
        <v>0</v>
      </c>
      <c r="U15" s="2179">
        <f t="shared" si="5"/>
        <v>0</v>
      </c>
      <c r="V15" s="2180">
        <f t="shared" si="6"/>
        <v>0</v>
      </c>
      <c r="W15" s="2182"/>
      <c r="X15" s="2177"/>
      <c r="Y15" s="2183">
        <f t="shared" si="7"/>
        <v>0</v>
      </c>
      <c r="Z15" s="2184">
        <f t="shared" si="8"/>
        <v>0</v>
      </c>
      <c r="AA15" s="2179">
        <f t="shared" si="8"/>
        <v>0</v>
      </c>
      <c r="AB15" s="2178">
        <f t="shared" si="9"/>
        <v>0</v>
      </c>
      <c r="AC15" s="2176"/>
      <c r="AD15" s="2177"/>
      <c r="AE15" s="2180">
        <f t="shared" si="10"/>
        <v>0</v>
      </c>
      <c r="AF15" s="2191"/>
      <c r="AG15" s="2192"/>
      <c r="AH15" s="2177"/>
      <c r="AI15" s="2177"/>
      <c r="AJ15" s="2186">
        <f t="shared" si="11"/>
        <v>0</v>
      </c>
      <c r="AK15" s="2177"/>
      <c r="AL15" s="2177"/>
      <c r="AM15" s="2186">
        <f t="shared" si="12"/>
        <v>0</v>
      </c>
      <c r="AN15" s="2177"/>
      <c r="AO15" s="2177"/>
      <c r="AP15" s="2186">
        <f t="shared" si="13"/>
        <v>0</v>
      </c>
      <c r="AQ15" s="2177"/>
      <c r="AR15" s="2177"/>
      <c r="AS15" s="2186">
        <f t="shared" si="14"/>
        <v>0</v>
      </c>
      <c r="AT15" s="2177"/>
      <c r="AU15" s="2177"/>
      <c r="AV15" s="2186">
        <f t="shared" si="15"/>
        <v>0</v>
      </c>
      <c r="AW15" s="2177"/>
      <c r="AX15" s="2177"/>
      <c r="AY15" s="2186">
        <f t="shared" si="16"/>
        <v>0</v>
      </c>
      <c r="AZ15" s="2177"/>
      <c r="BA15" s="2177"/>
      <c r="BB15" s="2186">
        <f t="shared" si="17"/>
        <v>0</v>
      </c>
      <c r="BC15" s="2177"/>
      <c r="BD15" s="2177"/>
      <c r="BE15" s="2186">
        <f t="shared" si="18"/>
        <v>0</v>
      </c>
      <c r="BF15" s="2177"/>
      <c r="BG15" s="2177"/>
      <c r="BH15" s="2186">
        <f t="shared" si="19"/>
        <v>0</v>
      </c>
      <c r="BI15" s="2177"/>
      <c r="BJ15" s="2177"/>
      <c r="BK15" s="2186">
        <f t="shared" si="20"/>
        <v>0</v>
      </c>
      <c r="BL15" s="2177"/>
      <c r="BM15" s="2177"/>
      <c r="BN15" s="2186">
        <f t="shared" si="21"/>
        <v>0</v>
      </c>
      <c r="BO15" s="2177"/>
      <c r="BP15" s="2177"/>
      <c r="BQ15" s="2186">
        <f t="shared" si="22"/>
        <v>0</v>
      </c>
    </row>
    <row r="16" spans="3:69" s="2193" customFormat="1" ht="21.6" hidden="1" customHeight="1">
      <c r="C16" s="2189" t="s">
        <v>2093</v>
      </c>
      <c r="D16" s="2190" t="s">
        <v>2094</v>
      </c>
      <c r="E16" s="2175" t="s">
        <v>240</v>
      </c>
      <c r="F16" s="2176"/>
      <c r="G16" s="2177"/>
      <c r="H16" s="2177"/>
      <c r="I16" s="2178">
        <f t="shared" si="0"/>
        <v>0</v>
      </c>
      <c r="J16" s="2176"/>
      <c r="K16" s="2179">
        <f t="shared" si="1"/>
        <v>0</v>
      </c>
      <c r="L16" s="2179">
        <f t="shared" si="1"/>
        <v>0</v>
      </c>
      <c r="M16" s="2178">
        <f t="shared" si="2"/>
        <v>0</v>
      </c>
      <c r="N16" s="2177"/>
      <c r="O16" s="2177"/>
      <c r="P16" s="2178">
        <f t="shared" si="3"/>
        <v>0</v>
      </c>
      <c r="Q16" s="2176"/>
      <c r="R16" s="2177"/>
      <c r="S16" s="2180">
        <f t="shared" si="4"/>
        <v>0</v>
      </c>
      <c r="T16" s="2181">
        <f t="shared" si="5"/>
        <v>0</v>
      </c>
      <c r="U16" s="2179">
        <f t="shared" si="5"/>
        <v>0</v>
      </c>
      <c r="V16" s="2180">
        <f t="shared" si="6"/>
        <v>0</v>
      </c>
      <c r="W16" s="2182"/>
      <c r="X16" s="2177"/>
      <c r="Y16" s="2183">
        <f t="shared" si="7"/>
        <v>0</v>
      </c>
      <c r="Z16" s="2184">
        <f t="shared" si="8"/>
        <v>0</v>
      </c>
      <c r="AA16" s="2179">
        <f t="shared" si="8"/>
        <v>0</v>
      </c>
      <c r="AB16" s="2178">
        <f t="shared" si="9"/>
        <v>0</v>
      </c>
      <c r="AC16" s="2176"/>
      <c r="AD16" s="2177"/>
      <c r="AE16" s="2180">
        <f t="shared" si="10"/>
        <v>0</v>
      </c>
      <c r="AF16" s="2191"/>
      <c r="AG16" s="2192"/>
      <c r="AH16" s="2177"/>
      <c r="AI16" s="2177"/>
      <c r="AJ16" s="2186">
        <f t="shared" si="11"/>
        <v>0</v>
      </c>
      <c r="AK16" s="2177"/>
      <c r="AL16" s="2177"/>
      <c r="AM16" s="2186">
        <f t="shared" si="12"/>
        <v>0</v>
      </c>
      <c r="AN16" s="2177"/>
      <c r="AO16" s="2177"/>
      <c r="AP16" s="2186">
        <f t="shared" si="13"/>
        <v>0</v>
      </c>
      <c r="AQ16" s="2177"/>
      <c r="AR16" s="2177"/>
      <c r="AS16" s="2186">
        <f t="shared" si="14"/>
        <v>0</v>
      </c>
      <c r="AT16" s="2177"/>
      <c r="AU16" s="2177"/>
      <c r="AV16" s="2186">
        <f t="shared" si="15"/>
        <v>0</v>
      </c>
      <c r="AW16" s="2177"/>
      <c r="AX16" s="2177"/>
      <c r="AY16" s="2186">
        <f t="shared" si="16"/>
        <v>0</v>
      </c>
      <c r="AZ16" s="2177"/>
      <c r="BA16" s="2177"/>
      <c r="BB16" s="2186">
        <f t="shared" si="17"/>
        <v>0</v>
      </c>
      <c r="BC16" s="2177"/>
      <c r="BD16" s="2177"/>
      <c r="BE16" s="2186">
        <f t="shared" si="18"/>
        <v>0</v>
      </c>
      <c r="BF16" s="2177"/>
      <c r="BG16" s="2177"/>
      <c r="BH16" s="2186">
        <f t="shared" si="19"/>
        <v>0</v>
      </c>
      <c r="BI16" s="2177"/>
      <c r="BJ16" s="2177"/>
      <c r="BK16" s="2186">
        <f t="shared" si="20"/>
        <v>0</v>
      </c>
      <c r="BL16" s="2177"/>
      <c r="BM16" s="2177"/>
      <c r="BN16" s="2186">
        <f t="shared" si="21"/>
        <v>0</v>
      </c>
      <c r="BO16" s="2177"/>
      <c r="BP16" s="2177"/>
      <c r="BQ16" s="2186">
        <f t="shared" si="22"/>
        <v>0</v>
      </c>
    </row>
    <row r="17" spans="3:69" s="2193" customFormat="1" ht="21.6" hidden="1" customHeight="1">
      <c r="C17" s="2194" t="s">
        <v>2095</v>
      </c>
      <c r="D17" s="2190" t="s">
        <v>2096</v>
      </c>
      <c r="E17" s="2175" t="s">
        <v>240</v>
      </c>
      <c r="F17" s="2176"/>
      <c r="G17" s="2177"/>
      <c r="H17" s="2177"/>
      <c r="I17" s="2178">
        <f t="shared" si="0"/>
        <v>0</v>
      </c>
      <c r="J17" s="2176"/>
      <c r="K17" s="2179">
        <f t="shared" si="1"/>
        <v>0</v>
      </c>
      <c r="L17" s="2179">
        <f t="shared" si="1"/>
        <v>0</v>
      </c>
      <c r="M17" s="2178">
        <f t="shared" si="2"/>
        <v>0</v>
      </c>
      <c r="N17" s="2177"/>
      <c r="O17" s="2177"/>
      <c r="P17" s="2178">
        <f t="shared" si="3"/>
        <v>0</v>
      </c>
      <c r="Q17" s="2176"/>
      <c r="R17" s="2177"/>
      <c r="S17" s="2180">
        <f t="shared" si="4"/>
        <v>0</v>
      </c>
      <c r="T17" s="2181">
        <f t="shared" si="5"/>
        <v>0</v>
      </c>
      <c r="U17" s="2179">
        <f t="shared" si="5"/>
        <v>0</v>
      </c>
      <c r="V17" s="2180">
        <f t="shared" si="6"/>
        <v>0</v>
      </c>
      <c r="W17" s="2182"/>
      <c r="X17" s="2177"/>
      <c r="Y17" s="2183">
        <f t="shared" si="7"/>
        <v>0</v>
      </c>
      <c r="Z17" s="2184">
        <f t="shared" si="8"/>
        <v>0</v>
      </c>
      <c r="AA17" s="2179">
        <f t="shared" si="8"/>
        <v>0</v>
      </c>
      <c r="AB17" s="2178">
        <f t="shared" si="9"/>
        <v>0</v>
      </c>
      <c r="AC17" s="2176"/>
      <c r="AD17" s="2177"/>
      <c r="AE17" s="2180">
        <f t="shared" si="10"/>
        <v>0</v>
      </c>
      <c r="AF17" s="2191"/>
      <c r="AG17" s="2192"/>
      <c r="AH17" s="2177"/>
      <c r="AI17" s="2177"/>
      <c r="AJ17" s="2186">
        <f t="shared" si="11"/>
        <v>0</v>
      </c>
      <c r="AK17" s="2177"/>
      <c r="AL17" s="2177"/>
      <c r="AM17" s="2186">
        <f t="shared" si="12"/>
        <v>0</v>
      </c>
      <c r="AN17" s="2177"/>
      <c r="AO17" s="2177"/>
      <c r="AP17" s="2186">
        <f t="shared" si="13"/>
        <v>0</v>
      </c>
      <c r="AQ17" s="2177"/>
      <c r="AR17" s="2177"/>
      <c r="AS17" s="2186">
        <f t="shared" si="14"/>
        <v>0</v>
      </c>
      <c r="AT17" s="2177"/>
      <c r="AU17" s="2177"/>
      <c r="AV17" s="2186">
        <f t="shared" si="15"/>
        <v>0</v>
      </c>
      <c r="AW17" s="2177"/>
      <c r="AX17" s="2177"/>
      <c r="AY17" s="2186">
        <f t="shared" si="16"/>
        <v>0</v>
      </c>
      <c r="AZ17" s="2177"/>
      <c r="BA17" s="2177"/>
      <c r="BB17" s="2186">
        <f t="shared" si="17"/>
        <v>0</v>
      </c>
      <c r="BC17" s="2177"/>
      <c r="BD17" s="2177"/>
      <c r="BE17" s="2186">
        <f t="shared" si="18"/>
        <v>0</v>
      </c>
      <c r="BF17" s="2177"/>
      <c r="BG17" s="2177"/>
      <c r="BH17" s="2186">
        <f t="shared" si="19"/>
        <v>0</v>
      </c>
      <c r="BI17" s="2177"/>
      <c r="BJ17" s="2177"/>
      <c r="BK17" s="2186">
        <f t="shared" si="20"/>
        <v>0</v>
      </c>
      <c r="BL17" s="2177"/>
      <c r="BM17" s="2177"/>
      <c r="BN17" s="2186">
        <f t="shared" si="21"/>
        <v>0</v>
      </c>
      <c r="BO17" s="2177"/>
      <c r="BP17" s="2177"/>
      <c r="BQ17" s="2186">
        <f t="shared" si="22"/>
        <v>0</v>
      </c>
    </row>
    <row r="18" spans="3:69" s="2193" customFormat="1" ht="21.6" hidden="1" customHeight="1">
      <c r="C18" s="2194" t="s">
        <v>2097</v>
      </c>
      <c r="D18" s="2190" t="s">
        <v>2098</v>
      </c>
      <c r="E18" s="2175" t="s">
        <v>240</v>
      </c>
      <c r="F18" s="2176"/>
      <c r="G18" s="2177"/>
      <c r="H18" s="2177"/>
      <c r="I18" s="2178">
        <f t="shared" si="0"/>
        <v>0</v>
      </c>
      <c r="J18" s="2176"/>
      <c r="K18" s="2179">
        <f t="shared" si="1"/>
        <v>0</v>
      </c>
      <c r="L18" s="2179">
        <f t="shared" si="1"/>
        <v>0</v>
      </c>
      <c r="M18" s="2178">
        <f t="shared" si="2"/>
        <v>0</v>
      </c>
      <c r="N18" s="2177"/>
      <c r="O18" s="2177"/>
      <c r="P18" s="2178">
        <f t="shared" si="3"/>
        <v>0</v>
      </c>
      <c r="Q18" s="2176"/>
      <c r="R18" s="2177"/>
      <c r="S18" s="2180">
        <f t="shared" si="4"/>
        <v>0</v>
      </c>
      <c r="T18" s="2181">
        <f t="shared" si="5"/>
        <v>0</v>
      </c>
      <c r="U18" s="2179">
        <f t="shared" si="5"/>
        <v>0</v>
      </c>
      <c r="V18" s="2180">
        <f t="shared" si="6"/>
        <v>0</v>
      </c>
      <c r="W18" s="2182"/>
      <c r="X18" s="2177"/>
      <c r="Y18" s="2183">
        <f t="shared" si="7"/>
        <v>0</v>
      </c>
      <c r="Z18" s="2184">
        <f t="shared" si="8"/>
        <v>0</v>
      </c>
      <c r="AA18" s="2179">
        <f t="shared" si="8"/>
        <v>0</v>
      </c>
      <c r="AB18" s="2178">
        <f t="shared" si="9"/>
        <v>0</v>
      </c>
      <c r="AC18" s="2176"/>
      <c r="AD18" s="2177"/>
      <c r="AE18" s="2180">
        <f t="shared" si="10"/>
        <v>0</v>
      </c>
      <c r="AF18" s="2191"/>
      <c r="AG18" s="2192"/>
      <c r="AH18" s="2177"/>
      <c r="AI18" s="2177"/>
      <c r="AJ18" s="2186">
        <f t="shared" si="11"/>
        <v>0</v>
      </c>
      <c r="AK18" s="2177"/>
      <c r="AL18" s="2177"/>
      <c r="AM18" s="2186">
        <f t="shared" si="12"/>
        <v>0</v>
      </c>
      <c r="AN18" s="2177"/>
      <c r="AO18" s="2177"/>
      <c r="AP18" s="2186">
        <f t="shared" si="13"/>
        <v>0</v>
      </c>
      <c r="AQ18" s="2177"/>
      <c r="AR18" s="2177"/>
      <c r="AS18" s="2186">
        <f t="shared" si="14"/>
        <v>0</v>
      </c>
      <c r="AT18" s="2177"/>
      <c r="AU18" s="2177"/>
      <c r="AV18" s="2186">
        <f t="shared" si="15"/>
        <v>0</v>
      </c>
      <c r="AW18" s="2177"/>
      <c r="AX18" s="2177"/>
      <c r="AY18" s="2186">
        <f t="shared" si="16"/>
        <v>0</v>
      </c>
      <c r="AZ18" s="2177"/>
      <c r="BA18" s="2177"/>
      <c r="BB18" s="2186">
        <f t="shared" si="17"/>
        <v>0</v>
      </c>
      <c r="BC18" s="2177"/>
      <c r="BD18" s="2177"/>
      <c r="BE18" s="2186">
        <f t="shared" si="18"/>
        <v>0</v>
      </c>
      <c r="BF18" s="2177"/>
      <c r="BG18" s="2177"/>
      <c r="BH18" s="2186">
        <f t="shared" si="19"/>
        <v>0</v>
      </c>
      <c r="BI18" s="2177"/>
      <c r="BJ18" s="2177"/>
      <c r="BK18" s="2186">
        <f t="shared" si="20"/>
        <v>0</v>
      </c>
      <c r="BL18" s="2177"/>
      <c r="BM18" s="2177"/>
      <c r="BN18" s="2186">
        <f t="shared" si="21"/>
        <v>0</v>
      </c>
      <c r="BO18" s="2177"/>
      <c r="BP18" s="2177"/>
      <c r="BQ18" s="2186">
        <f t="shared" si="22"/>
        <v>0</v>
      </c>
    </row>
    <row r="19" spans="3:69" s="2193" customFormat="1" ht="21.6" hidden="1" customHeight="1">
      <c r="C19" s="2194" t="s">
        <v>2099</v>
      </c>
      <c r="D19" s="2190" t="s">
        <v>2100</v>
      </c>
      <c r="E19" s="2175" t="s">
        <v>240</v>
      </c>
      <c r="F19" s="2176"/>
      <c r="G19" s="2177"/>
      <c r="H19" s="2177"/>
      <c r="I19" s="2178">
        <f t="shared" si="0"/>
        <v>0</v>
      </c>
      <c r="J19" s="2176"/>
      <c r="K19" s="2179">
        <f t="shared" si="1"/>
        <v>0</v>
      </c>
      <c r="L19" s="2179">
        <f t="shared" si="1"/>
        <v>0</v>
      </c>
      <c r="M19" s="2178">
        <f t="shared" si="2"/>
        <v>0</v>
      </c>
      <c r="N19" s="2177"/>
      <c r="O19" s="2177"/>
      <c r="P19" s="2178">
        <f t="shared" si="3"/>
        <v>0</v>
      </c>
      <c r="Q19" s="2176"/>
      <c r="R19" s="2177"/>
      <c r="S19" s="2180">
        <f t="shared" si="4"/>
        <v>0</v>
      </c>
      <c r="T19" s="2181">
        <f t="shared" si="5"/>
        <v>0</v>
      </c>
      <c r="U19" s="2179">
        <f t="shared" si="5"/>
        <v>0</v>
      </c>
      <c r="V19" s="2180">
        <f t="shared" si="6"/>
        <v>0</v>
      </c>
      <c r="W19" s="2182"/>
      <c r="X19" s="2177"/>
      <c r="Y19" s="2183">
        <f t="shared" si="7"/>
        <v>0</v>
      </c>
      <c r="Z19" s="2184">
        <f t="shared" si="8"/>
        <v>0</v>
      </c>
      <c r="AA19" s="2179">
        <f t="shared" si="8"/>
        <v>0</v>
      </c>
      <c r="AB19" s="2178">
        <f t="shared" si="9"/>
        <v>0</v>
      </c>
      <c r="AC19" s="2176"/>
      <c r="AD19" s="2177"/>
      <c r="AE19" s="2180">
        <f t="shared" si="10"/>
        <v>0</v>
      </c>
      <c r="AF19" s="2191"/>
      <c r="AG19" s="2192"/>
      <c r="AH19" s="2177"/>
      <c r="AI19" s="2177"/>
      <c r="AJ19" s="2186">
        <f t="shared" si="11"/>
        <v>0</v>
      </c>
      <c r="AK19" s="2177"/>
      <c r="AL19" s="2177"/>
      <c r="AM19" s="2186">
        <f t="shared" si="12"/>
        <v>0</v>
      </c>
      <c r="AN19" s="2177"/>
      <c r="AO19" s="2177"/>
      <c r="AP19" s="2186">
        <f t="shared" si="13"/>
        <v>0</v>
      </c>
      <c r="AQ19" s="2177"/>
      <c r="AR19" s="2177"/>
      <c r="AS19" s="2186">
        <f t="shared" si="14"/>
        <v>0</v>
      </c>
      <c r="AT19" s="2177"/>
      <c r="AU19" s="2177"/>
      <c r="AV19" s="2186">
        <f t="shared" si="15"/>
        <v>0</v>
      </c>
      <c r="AW19" s="2177"/>
      <c r="AX19" s="2177"/>
      <c r="AY19" s="2186">
        <f t="shared" si="16"/>
        <v>0</v>
      </c>
      <c r="AZ19" s="2177"/>
      <c r="BA19" s="2177"/>
      <c r="BB19" s="2186">
        <f t="shared" si="17"/>
        <v>0</v>
      </c>
      <c r="BC19" s="2177"/>
      <c r="BD19" s="2177"/>
      <c r="BE19" s="2186">
        <f t="shared" si="18"/>
        <v>0</v>
      </c>
      <c r="BF19" s="2177"/>
      <c r="BG19" s="2177"/>
      <c r="BH19" s="2186">
        <f t="shared" si="19"/>
        <v>0</v>
      </c>
      <c r="BI19" s="2177"/>
      <c r="BJ19" s="2177"/>
      <c r="BK19" s="2186">
        <f t="shared" si="20"/>
        <v>0</v>
      </c>
      <c r="BL19" s="2177"/>
      <c r="BM19" s="2177"/>
      <c r="BN19" s="2186">
        <f t="shared" si="21"/>
        <v>0</v>
      </c>
      <c r="BO19" s="2177"/>
      <c r="BP19" s="2177"/>
      <c r="BQ19" s="2186">
        <f t="shared" si="22"/>
        <v>0</v>
      </c>
    </row>
    <row r="20" spans="3:69" s="2193" customFormat="1" ht="21.6" hidden="1" customHeight="1">
      <c r="C20" s="2194" t="s">
        <v>2101</v>
      </c>
      <c r="D20" s="2190" t="s">
        <v>2102</v>
      </c>
      <c r="E20" s="2175" t="s">
        <v>240</v>
      </c>
      <c r="F20" s="2176"/>
      <c r="G20" s="2177"/>
      <c r="H20" s="2177"/>
      <c r="I20" s="2178">
        <f t="shared" si="0"/>
        <v>0</v>
      </c>
      <c r="J20" s="2176"/>
      <c r="K20" s="2179">
        <f t="shared" si="1"/>
        <v>0</v>
      </c>
      <c r="L20" s="2179">
        <f t="shared" si="1"/>
        <v>0</v>
      </c>
      <c r="M20" s="2178">
        <f t="shared" si="2"/>
        <v>0</v>
      </c>
      <c r="N20" s="2177"/>
      <c r="O20" s="2177"/>
      <c r="P20" s="2178">
        <f t="shared" si="3"/>
        <v>0</v>
      </c>
      <c r="Q20" s="2176"/>
      <c r="R20" s="2177"/>
      <c r="S20" s="2180">
        <f t="shared" si="4"/>
        <v>0</v>
      </c>
      <c r="T20" s="2181">
        <f t="shared" si="5"/>
        <v>0</v>
      </c>
      <c r="U20" s="2179">
        <f t="shared" si="5"/>
        <v>0</v>
      </c>
      <c r="V20" s="2180">
        <f t="shared" si="6"/>
        <v>0</v>
      </c>
      <c r="W20" s="2182"/>
      <c r="X20" s="2177"/>
      <c r="Y20" s="2183">
        <f t="shared" si="7"/>
        <v>0</v>
      </c>
      <c r="Z20" s="2184">
        <f t="shared" si="8"/>
        <v>0</v>
      </c>
      <c r="AA20" s="2179">
        <f t="shared" si="8"/>
        <v>0</v>
      </c>
      <c r="AB20" s="2178">
        <f t="shared" si="9"/>
        <v>0</v>
      </c>
      <c r="AC20" s="2176"/>
      <c r="AD20" s="2177"/>
      <c r="AE20" s="2180">
        <f t="shared" si="10"/>
        <v>0</v>
      </c>
      <c r="AF20" s="2191"/>
      <c r="AG20" s="2192"/>
      <c r="AH20" s="2177"/>
      <c r="AI20" s="2177"/>
      <c r="AJ20" s="2186">
        <f t="shared" si="11"/>
        <v>0</v>
      </c>
      <c r="AK20" s="2177"/>
      <c r="AL20" s="2177"/>
      <c r="AM20" s="2186">
        <f t="shared" si="12"/>
        <v>0</v>
      </c>
      <c r="AN20" s="2177"/>
      <c r="AO20" s="2177"/>
      <c r="AP20" s="2186">
        <f t="shared" si="13"/>
        <v>0</v>
      </c>
      <c r="AQ20" s="2177"/>
      <c r="AR20" s="2177"/>
      <c r="AS20" s="2186">
        <f t="shared" si="14"/>
        <v>0</v>
      </c>
      <c r="AT20" s="2177"/>
      <c r="AU20" s="2177"/>
      <c r="AV20" s="2186">
        <f t="shared" si="15"/>
        <v>0</v>
      </c>
      <c r="AW20" s="2177"/>
      <c r="AX20" s="2177"/>
      <c r="AY20" s="2186">
        <f t="shared" si="16"/>
        <v>0</v>
      </c>
      <c r="AZ20" s="2177"/>
      <c r="BA20" s="2177"/>
      <c r="BB20" s="2186">
        <f t="shared" si="17"/>
        <v>0</v>
      </c>
      <c r="BC20" s="2177"/>
      <c r="BD20" s="2177"/>
      <c r="BE20" s="2186">
        <f t="shared" si="18"/>
        <v>0</v>
      </c>
      <c r="BF20" s="2177"/>
      <c r="BG20" s="2177"/>
      <c r="BH20" s="2186">
        <f t="shared" si="19"/>
        <v>0</v>
      </c>
      <c r="BI20" s="2177"/>
      <c r="BJ20" s="2177"/>
      <c r="BK20" s="2186">
        <f t="shared" si="20"/>
        <v>0</v>
      </c>
      <c r="BL20" s="2177"/>
      <c r="BM20" s="2177"/>
      <c r="BN20" s="2186">
        <f t="shared" si="21"/>
        <v>0</v>
      </c>
      <c r="BO20" s="2177"/>
      <c r="BP20" s="2177"/>
      <c r="BQ20" s="2186">
        <f t="shared" si="22"/>
        <v>0</v>
      </c>
    </row>
    <row r="21" spans="3:69" s="2193" customFormat="1" ht="21.6" hidden="1" customHeight="1">
      <c r="C21" s="2194" t="s">
        <v>2103</v>
      </c>
      <c r="D21" s="2190" t="s">
        <v>2104</v>
      </c>
      <c r="E21" s="2175" t="s">
        <v>240</v>
      </c>
      <c r="F21" s="2176"/>
      <c r="G21" s="2177"/>
      <c r="H21" s="2177"/>
      <c r="I21" s="2178">
        <f t="shared" si="0"/>
        <v>0</v>
      </c>
      <c r="J21" s="2176"/>
      <c r="K21" s="2179">
        <f t="shared" si="1"/>
        <v>0</v>
      </c>
      <c r="L21" s="2179">
        <f t="shared" si="1"/>
        <v>0</v>
      </c>
      <c r="M21" s="2178">
        <f t="shared" si="2"/>
        <v>0</v>
      </c>
      <c r="N21" s="2177"/>
      <c r="O21" s="2177"/>
      <c r="P21" s="2178">
        <f t="shared" si="3"/>
        <v>0</v>
      </c>
      <c r="Q21" s="2176"/>
      <c r="R21" s="2177"/>
      <c r="S21" s="2180">
        <f t="shared" si="4"/>
        <v>0</v>
      </c>
      <c r="T21" s="2181">
        <f t="shared" si="5"/>
        <v>0</v>
      </c>
      <c r="U21" s="2179">
        <f t="shared" si="5"/>
        <v>0</v>
      </c>
      <c r="V21" s="2180">
        <f t="shared" si="6"/>
        <v>0</v>
      </c>
      <c r="W21" s="2182"/>
      <c r="X21" s="2177"/>
      <c r="Y21" s="2183">
        <f t="shared" si="7"/>
        <v>0</v>
      </c>
      <c r="Z21" s="2184">
        <f t="shared" si="8"/>
        <v>0</v>
      </c>
      <c r="AA21" s="2179">
        <f t="shared" si="8"/>
        <v>0</v>
      </c>
      <c r="AB21" s="2178">
        <f t="shared" si="9"/>
        <v>0</v>
      </c>
      <c r="AC21" s="2176"/>
      <c r="AD21" s="2177"/>
      <c r="AE21" s="2180">
        <f t="shared" si="10"/>
        <v>0</v>
      </c>
      <c r="AF21" s="2191"/>
      <c r="AG21" s="2192"/>
      <c r="AH21" s="2177"/>
      <c r="AI21" s="2177"/>
      <c r="AJ21" s="2186">
        <f t="shared" si="11"/>
        <v>0</v>
      </c>
      <c r="AK21" s="2177"/>
      <c r="AL21" s="2177"/>
      <c r="AM21" s="2186">
        <f t="shared" si="12"/>
        <v>0</v>
      </c>
      <c r="AN21" s="2177"/>
      <c r="AO21" s="2177"/>
      <c r="AP21" s="2186">
        <f t="shared" si="13"/>
        <v>0</v>
      </c>
      <c r="AQ21" s="2177"/>
      <c r="AR21" s="2177"/>
      <c r="AS21" s="2186">
        <f t="shared" si="14"/>
        <v>0</v>
      </c>
      <c r="AT21" s="2177"/>
      <c r="AU21" s="2177"/>
      <c r="AV21" s="2186">
        <f t="shared" si="15"/>
        <v>0</v>
      </c>
      <c r="AW21" s="2177"/>
      <c r="AX21" s="2177"/>
      <c r="AY21" s="2186">
        <f t="shared" si="16"/>
        <v>0</v>
      </c>
      <c r="AZ21" s="2177"/>
      <c r="BA21" s="2177"/>
      <c r="BB21" s="2186">
        <f t="shared" si="17"/>
        <v>0</v>
      </c>
      <c r="BC21" s="2177"/>
      <c r="BD21" s="2177"/>
      <c r="BE21" s="2186">
        <f t="shared" si="18"/>
        <v>0</v>
      </c>
      <c r="BF21" s="2177"/>
      <c r="BG21" s="2177"/>
      <c r="BH21" s="2186">
        <f t="shared" si="19"/>
        <v>0</v>
      </c>
      <c r="BI21" s="2177"/>
      <c r="BJ21" s="2177"/>
      <c r="BK21" s="2186">
        <f t="shared" si="20"/>
        <v>0</v>
      </c>
      <c r="BL21" s="2177"/>
      <c r="BM21" s="2177"/>
      <c r="BN21" s="2186">
        <f t="shared" si="21"/>
        <v>0</v>
      </c>
      <c r="BO21" s="2177"/>
      <c r="BP21" s="2177"/>
      <c r="BQ21" s="2186">
        <f t="shared" si="22"/>
        <v>0</v>
      </c>
    </row>
    <row r="22" spans="3:69" s="2193" customFormat="1" ht="21.6" hidden="1" customHeight="1">
      <c r="C22" s="2194" t="s">
        <v>2105</v>
      </c>
      <c r="D22" s="2190" t="s">
        <v>2106</v>
      </c>
      <c r="E22" s="2175" t="s">
        <v>240</v>
      </c>
      <c r="F22" s="2176"/>
      <c r="G22" s="2177"/>
      <c r="H22" s="2177"/>
      <c r="I22" s="2178">
        <f t="shared" si="0"/>
        <v>0</v>
      </c>
      <c r="J22" s="2176"/>
      <c r="K22" s="2179">
        <f t="shared" si="1"/>
        <v>0</v>
      </c>
      <c r="L22" s="2179">
        <f t="shared" si="1"/>
        <v>0</v>
      </c>
      <c r="M22" s="2178">
        <f t="shared" si="2"/>
        <v>0</v>
      </c>
      <c r="N22" s="2177"/>
      <c r="O22" s="2177"/>
      <c r="P22" s="2178">
        <f t="shared" si="3"/>
        <v>0</v>
      </c>
      <c r="Q22" s="2176"/>
      <c r="R22" s="2177"/>
      <c r="S22" s="2180">
        <f t="shared" si="4"/>
        <v>0</v>
      </c>
      <c r="T22" s="2181">
        <f t="shared" si="5"/>
        <v>0</v>
      </c>
      <c r="U22" s="2179">
        <f t="shared" si="5"/>
        <v>0</v>
      </c>
      <c r="V22" s="2180">
        <f t="shared" si="6"/>
        <v>0</v>
      </c>
      <c r="W22" s="2182"/>
      <c r="X22" s="2177"/>
      <c r="Y22" s="2183">
        <f t="shared" si="7"/>
        <v>0</v>
      </c>
      <c r="Z22" s="2184">
        <f t="shared" si="8"/>
        <v>0</v>
      </c>
      <c r="AA22" s="2179">
        <f t="shared" si="8"/>
        <v>0</v>
      </c>
      <c r="AB22" s="2178">
        <f t="shared" si="9"/>
        <v>0</v>
      </c>
      <c r="AC22" s="2176"/>
      <c r="AD22" s="2177"/>
      <c r="AE22" s="2180">
        <f t="shared" si="10"/>
        <v>0</v>
      </c>
      <c r="AF22" s="2191"/>
      <c r="AG22" s="2192"/>
      <c r="AH22" s="2177"/>
      <c r="AI22" s="2177"/>
      <c r="AJ22" s="2186">
        <f t="shared" si="11"/>
        <v>0</v>
      </c>
      <c r="AK22" s="2177"/>
      <c r="AL22" s="2177"/>
      <c r="AM22" s="2186">
        <f t="shared" si="12"/>
        <v>0</v>
      </c>
      <c r="AN22" s="2177"/>
      <c r="AO22" s="2177"/>
      <c r="AP22" s="2186">
        <f t="shared" si="13"/>
        <v>0</v>
      </c>
      <c r="AQ22" s="2177"/>
      <c r="AR22" s="2177"/>
      <c r="AS22" s="2186">
        <f t="shared" si="14"/>
        <v>0</v>
      </c>
      <c r="AT22" s="2177"/>
      <c r="AU22" s="2177"/>
      <c r="AV22" s="2186">
        <f t="shared" si="15"/>
        <v>0</v>
      </c>
      <c r="AW22" s="2177"/>
      <c r="AX22" s="2177"/>
      <c r="AY22" s="2186">
        <f t="shared" si="16"/>
        <v>0</v>
      </c>
      <c r="AZ22" s="2177"/>
      <c r="BA22" s="2177"/>
      <c r="BB22" s="2186">
        <f t="shared" si="17"/>
        <v>0</v>
      </c>
      <c r="BC22" s="2177"/>
      <c r="BD22" s="2177"/>
      <c r="BE22" s="2186">
        <f t="shared" si="18"/>
        <v>0</v>
      </c>
      <c r="BF22" s="2177"/>
      <c r="BG22" s="2177"/>
      <c r="BH22" s="2186">
        <f t="shared" si="19"/>
        <v>0</v>
      </c>
      <c r="BI22" s="2177"/>
      <c r="BJ22" s="2177"/>
      <c r="BK22" s="2186">
        <f t="shared" si="20"/>
        <v>0</v>
      </c>
      <c r="BL22" s="2177"/>
      <c r="BM22" s="2177"/>
      <c r="BN22" s="2186">
        <f t="shared" si="21"/>
        <v>0</v>
      </c>
      <c r="BO22" s="2177"/>
      <c r="BP22" s="2177"/>
      <c r="BQ22" s="2186">
        <f t="shared" si="22"/>
        <v>0</v>
      </c>
    </row>
    <row r="23" spans="3:69" s="2193" customFormat="1" ht="21.6" hidden="1" customHeight="1">
      <c r="C23" s="2194" t="s">
        <v>2107</v>
      </c>
      <c r="D23" s="2195" t="s">
        <v>2108</v>
      </c>
      <c r="E23" s="2175" t="s">
        <v>240</v>
      </c>
      <c r="F23" s="2176"/>
      <c r="G23" s="2177"/>
      <c r="H23" s="2177"/>
      <c r="I23" s="2178">
        <f t="shared" si="0"/>
        <v>0</v>
      </c>
      <c r="J23" s="2176"/>
      <c r="K23" s="2179">
        <f t="shared" si="1"/>
        <v>0</v>
      </c>
      <c r="L23" s="2179">
        <f t="shared" si="1"/>
        <v>0</v>
      </c>
      <c r="M23" s="2178">
        <f t="shared" si="2"/>
        <v>0</v>
      </c>
      <c r="N23" s="2177"/>
      <c r="O23" s="2177"/>
      <c r="P23" s="2178">
        <f t="shared" si="3"/>
        <v>0</v>
      </c>
      <c r="Q23" s="2176"/>
      <c r="R23" s="2177"/>
      <c r="S23" s="2180">
        <f t="shared" si="4"/>
        <v>0</v>
      </c>
      <c r="T23" s="2181">
        <f t="shared" si="5"/>
        <v>0</v>
      </c>
      <c r="U23" s="2179">
        <f t="shared" si="5"/>
        <v>0</v>
      </c>
      <c r="V23" s="2180">
        <f t="shared" si="6"/>
        <v>0</v>
      </c>
      <c r="W23" s="2182"/>
      <c r="X23" s="2177"/>
      <c r="Y23" s="2183">
        <f t="shared" si="7"/>
        <v>0</v>
      </c>
      <c r="Z23" s="2184">
        <f t="shared" si="8"/>
        <v>0</v>
      </c>
      <c r="AA23" s="2179">
        <f t="shared" si="8"/>
        <v>0</v>
      </c>
      <c r="AB23" s="2178">
        <f t="shared" si="9"/>
        <v>0</v>
      </c>
      <c r="AC23" s="2176"/>
      <c r="AD23" s="2177"/>
      <c r="AE23" s="2180">
        <f t="shared" si="10"/>
        <v>0</v>
      </c>
      <c r="AF23" s="2191"/>
      <c r="AG23" s="2192"/>
      <c r="AH23" s="2177"/>
      <c r="AI23" s="2177"/>
      <c r="AJ23" s="2186">
        <f t="shared" si="11"/>
        <v>0</v>
      </c>
      <c r="AK23" s="2177"/>
      <c r="AL23" s="2177"/>
      <c r="AM23" s="2186">
        <f t="shared" si="12"/>
        <v>0</v>
      </c>
      <c r="AN23" s="2177"/>
      <c r="AO23" s="2177"/>
      <c r="AP23" s="2186">
        <f t="shared" si="13"/>
        <v>0</v>
      </c>
      <c r="AQ23" s="2177"/>
      <c r="AR23" s="2177"/>
      <c r="AS23" s="2186">
        <f t="shared" si="14"/>
        <v>0</v>
      </c>
      <c r="AT23" s="2177"/>
      <c r="AU23" s="2177"/>
      <c r="AV23" s="2186">
        <f t="shared" si="15"/>
        <v>0</v>
      </c>
      <c r="AW23" s="2177"/>
      <c r="AX23" s="2177"/>
      <c r="AY23" s="2186">
        <f t="shared" si="16"/>
        <v>0</v>
      </c>
      <c r="AZ23" s="2177"/>
      <c r="BA23" s="2177"/>
      <c r="BB23" s="2186">
        <f t="shared" si="17"/>
        <v>0</v>
      </c>
      <c r="BC23" s="2177"/>
      <c r="BD23" s="2177"/>
      <c r="BE23" s="2186">
        <f t="shared" si="18"/>
        <v>0</v>
      </c>
      <c r="BF23" s="2177"/>
      <c r="BG23" s="2177"/>
      <c r="BH23" s="2186">
        <f t="shared" si="19"/>
        <v>0</v>
      </c>
      <c r="BI23" s="2177"/>
      <c r="BJ23" s="2177"/>
      <c r="BK23" s="2186">
        <f t="shared" si="20"/>
        <v>0</v>
      </c>
      <c r="BL23" s="2177"/>
      <c r="BM23" s="2177"/>
      <c r="BN23" s="2186">
        <f t="shared" si="21"/>
        <v>0</v>
      </c>
      <c r="BO23" s="2177"/>
      <c r="BP23" s="2177"/>
      <c r="BQ23" s="2186">
        <f t="shared" si="22"/>
        <v>0</v>
      </c>
    </row>
    <row r="24" spans="3:69" s="2193" customFormat="1" ht="21.6" hidden="1" customHeight="1">
      <c r="C24" s="2194" t="s">
        <v>2109</v>
      </c>
      <c r="D24" s="2195" t="s">
        <v>2110</v>
      </c>
      <c r="E24" s="2175" t="s">
        <v>240</v>
      </c>
      <c r="F24" s="2176"/>
      <c r="G24" s="2177"/>
      <c r="H24" s="2177"/>
      <c r="I24" s="2178">
        <f t="shared" si="0"/>
        <v>0</v>
      </c>
      <c r="J24" s="2176"/>
      <c r="K24" s="2179">
        <f t="shared" si="1"/>
        <v>0</v>
      </c>
      <c r="L24" s="2179">
        <f t="shared" si="1"/>
        <v>0</v>
      </c>
      <c r="M24" s="2178">
        <f t="shared" si="2"/>
        <v>0</v>
      </c>
      <c r="N24" s="2177"/>
      <c r="O24" s="2177"/>
      <c r="P24" s="2178">
        <f t="shared" si="3"/>
        <v>0</v>
      </c>
      <c r="Q24" s="2176"/>
      <c r="R24" s="2177"/>
      <c r="S24" s="2180">
        <f t="shared" si="4"/>
        <v>0</v>
      </c>
      <c r="T24" s="2181">
        <f t="shared" si="5"/>
        <v>0</v>
      </c>
      <c r="U24" s="2179">
        <f t="shared" si="5"/>
        <v>0</v>
      </c>
      <c r="V24" s="2180">
        <f t="shared" si="6"/>
        <v>0</v>
      </c>
      <c r="W24" s="2182"/>
      <c r="X24" s="2177"/>
      <c r="Y24" s="2183">
        <f t="shared" si="7"/>
        <v>0</v>
      </c>
      <c r="Z24" s="2184">
        <f t="shared" si="8"/>
        <v>0</v>
      </c>
      <c r="AA24" s="2179">
        <f t="shared" si="8"/>
        <v>0</v>
      </c>
      <c r="AB24" s="2178">
        <f t="shared" si="9"/>
        <v>0</v>
      </c>
      <c r="AC24" s="2176"/>
      <c r="AD24" s="2177"/>
      <c r="AE24" s="2180">
        <f t="shared" si="10"/>
        <v>0</v>
      </c>
      <c r="AF24" s="2191"/>
      <c r="AG24" s="2192"/>
      <c r="AH24" s="2177"/>
      <c r="AI24" s="2177"/>
      <c r="AJ24" s="2186">
        <f t="shared" si="11"/>
        <v>0</v>
      </c>
      <c r="AK24" s="2177"/>
      <c r="AL24" s="2177"/>
      <c r="AM24" s="2186">
        <f t="shared" si="12"/>
        <v>0</v>
      </c>
      <c r="AN24" s="2177"/>
      <c r="AO24" s="2177"/>
      <c r="AP24" s="2186">
        <f t="shared" si="13"/>
        <v>0</v>
      </c>
      <c r="AQ24" s="2177"/>
      <c r="AR24" s="2177"/>
      <c r="AS24" s="2186">
        <f t="shared" si="14"/>
        <v>0</v>
      </c>
      <c r="AT24" s="2177"/>
      <c r="AU24" s="2177"/>
      <c r="AV24" s="2186">
        <f t="shared" si="15"/>
        <v>0</v>
      </c>
      <c r="AW24" s="2177"/>
      <c r="AX24" s="2177"/>
      <c r="AY24" s="2186">
        <f t="shared" si="16"/>
        <v>0</v>
      </c>
      <c r="AZ24" s="2177"/>
      <c r="BA24" s="2177"/>
      <c r="BB24" s="2186">
        <f t="shared" si="17"/>
        <v>0</v>
      </c>
      <c r="BC24" s="2177"/>
      <c r="BD24" s="2177"/>
      <c r="BE24" s="2186">
        <f t="shared" si="18"/>
        <v>0</v>
      </c>
      <c r="BF24" s="2177"/>
      <c r="BG24" s="2177"/>
      <c r="BH24" s="2186">
        <f t="shared" si="19"/>
        <v>0</v>
      </c>
      <c r="BI24" s="2177"/>
      <c r="BJ24" s="2177"/>
      <c r="BK24" s="2186">
        <f t="shared" si="20"/>
        <v>0</v>
      </c>
      <c r="BL24" s="2177"/>
      <c r="BM24" s="2177"/>
      <c r="BN24" s="2186">
        <f t="shared" si="21"/>
        <v>0</v>
      </c>
      <c r="BO24" s="2177"/>
      <c r="BP24" s="2177"/>
      <c r="BQ24" s="2186">
        <f t="shared" si="22"/>
        <v>0</v>
      </c>
    </row>
    <row r="25" spans="3:69" s="2193" customFormat="1" ht="21.6" hidden="1" customHeight="1">
      <c r="C25" s="2194" t="s">
        <v>2111</v>
      </c>
      <c r="D25" s="2195" t="s">
        <v>2112</v>
      </c>
      <c r="E25" s="2175" t="s">
        <v>240</v>
      </c>
      <c r="F25" s="2176"/>
      <c r="G25" s="2177"/>
      <c r="H25" s="2177"/>
      <c r="I25" s="2178">
        <f t="shared" si="0"/>
        <v>0</v>
      </c>
      <c r="J25" s="2176"/>
      <c r="K25" s="2179">
        <f t="shared" si="1"/>
        <v>0</v>
      </c>
      <c r="L25" s="2179">
        <f t="shared" si="1"/>
        <v>0</v>
      </c>
      <c r="M25" s="2178">
        <f t="shared" si="2"/>
        <v>0</v>
      </c>
      <c r="N25" s="2177"/>
      <c r="O25" s="2177"/>
      <c r="P25" s="2178">
        <f t="shared" si="3"/>
        <v>0</v>
      </c>
      <c r="Q25" s="2176"/>
      <c r="R25" s="2177"/>
      <c r="S25" s="2180">
        <f t="shared" si="4"/>
        <v>0</v>
      </c>
      <c r="T25" s="2181">
        <f t="shared" si="5"/>
        <v>0</v>
      </c>
      <c r="U25" s="2179">
        <f t="shared" si="5"/>
        <v>0</v>
      </c>
      <c r="V25" s="2180">
        <f t="shared" si="6"/>
        <v>0</v>
      </c>
      <c r="W25" s="2182"/>
      <c r="X25" s="2177"/>
      <c r="Y25" s="2183">
        <f t="shared" si="7"/>
        <v>0</v>
      </c>
      <c r="Z25" s="2184">
        <f t="shared" si="8"/>
        <v>0</v>
      </c>
      <c r="AA25" s="2179">
        <f t="shared" si="8"/>
        <v>0</v>
      </c>
      <c r="AB25" s="2178">
        <f t="shared" si="9"/>
        <v>0</v>
      </c>
      <c r="AC25" s="2176"/>
      <c r="AD25" s="2177"/>
      <c r="AE25" s="2180">
        <f t="shared" si="10"/>
        <v>0</v>
      </c>
      <c r="AF25" s="2191"/>
      <c r="AG25" s="2192"/>
      <c r="AH25" s="2177"/>
      <c r="AI25" s="2177"/>
      <c r="AJ25" s="2186">
        <f t="shared" si="11"/>
        <v>0</v>
      </c>
      <c r="AK25" s="2177"/>
      <c r="AL25" s="2177"/>
      <c r="AM25" s="2186">
        <f t="shared" si="12"/>
        <v>0</v>
      </c>
      <c r="AN25" s="2177"/>
      <c r="AO25" s="2177"/>
      <c r="AP25" s="2186">
        <f t="shared" si="13"/>
        <v>0</v>
      </c>
      <c r="AQ25" s="2177"/>
      <c r="AR25" s="2177"/>
      <c r="AS25" s="2186">
        <f t="shared" si="14"/>
        <v>0</v>
      </c>
      <c r="AT25" s="2177"/>
      <c r="AU25" s="2177"/>
      <c r="AV25" s="2186">
        <f t="shared" si="15"/>
        <v>0</v>
      </c>
      <c r="AW25" s="2177"/>
      <c r="AX25" s="2177"/>
      <c r="AY25" s="2186">
        <f t="shared" si="16"/>
        <v>0</v>
      </c>
      <c r="AZ25" s="2177"/>
      <c r="BA25" s="2177"/>
      <c r="BB25" s="2186">
        <f t="shared" si="17"/>
        <v>0</v>
      </c>
      <c r="BC25" s="2177"/>
      <c r="BD25" s="2177"/>
      <c r="BE25" s="2186">
        <f t="shared" si="18"/>
        <v>0</v>
      </c>
      <c r="BF25" s="2177"/>
      <c r="BG25" s="2177"/>
      <c r="BH25" s="2186">
        <f t="shared" si="19"/>
        <v>0</v>
      </c>
      <c r="BI25" s="2177"/>
      <c r="BJ25" s="2177"/>
      <c r="BK25" s="2186">
        <f t="shared" si="20"/>
        <v>0</v>
      </c>
      <c r="BL25" s="2177"/>
      <c r="BM25" s="2177"/>
      <c r="BN25" s="2186">
        <f t="shared" si="21"/>
        <v>0</v>
      </c>
      <c r="BO25" s="2177"/>
      <c r="BP25" s="2177"/>
      <c r="BQ25" s="2186">
        <f t="shared" si="22"/>
        <v>0</v>
      </c>
    </row>
    <row r="26" spans="3:69" s="2193" customFormat="1" ht="21.6" hidden="1" customHeight="1">
      <c r="C26" s="2194" t="s">
        <v>2113</v>
      </c>
      <c r="D26" s="2195" t="s">
        <v>2114</v>
      </c>
      <c r="E26" s="2175" t="s">
        <v>240</v>
      </c>
      <c r="F26" s="2176"/>
      <c r="G26" s="2177"/>
      <c r="H26" s="2177"/>
      <c r="I26" s="2178">
        <f t="shared" si="0"/>
        <v>0</v>
      </c>
      <c r="J26" s="2176"/>
      <c r="K26" s="2179">
        <f t="shared" si="1"/>
        <v>0</v>
      </c>
      <c r="L26" s="2179">
        <f t="shared" si="1"/>
        <v>0</v>
      </c>
      <c r="M26" s="2178">
        <f t="shared" si="2"/>
        <v>0</v>
      </c>
      <c r="N26" s="2177"/>
      <c r="O26" s="2177"/>
      <c r="P26" s="2178">
        <f t="shared" si="3"/>
        <v>0</v>
      </c>
      <c r="Q26" s="2176"/>
      <c r="R26" s="2177"/>
      <c r="S26" s="2180">
        <f t="shared" si="4"/>
        <v>0</v>
      </c>
      <c r="T26" s="2181">
        <f t="shared" si="5"/>
        <v>0</v>
      </c>
      <c r="U26" s="2179">
        <f t="shared" si="5"/>
        <v>0</v>
      </c>
      <c r="V26" s="2180">
        <f t="shared" si="6"/>
        <v>0</v>
      </c>
      <c r="W26" s="2182"/>
      <c r="X26" s="2177"/>
      <c r="Y26" s="2183">
        <f t="shared" si="7"/>
        <v>0</v>
      </c>
      <c r="Z26" s="2184">
        <f t="shared" si="8"/>
        <v>0</v>
      </c>
      <c r="AA26" s="2179">
        <f t="shared" si="8"/>
        <v>0</v>
      </c>
      <c r="AB26" s="2178">
        <f t="shared" si="9"/>
        <v>0</v>
      </c>
      <c r="AC26" s="2176"/>
      <c r="AD26" s="2177"/>
      <c r="AE26" s="2180">
        <f t="shared" si="10"/>
        <v>0</v>
      </c>
      <c r="AF26" s="2191"/>
      <c r="AG26" s="2192"/>
      <c r="AH26" s="2177"/>
      <c r="AI26" s="2177"/>
      <c r="AJ26" s="2186">
        <f t="shared" si="11"/>
        <v>0</v>
      </c>
      <c r="AK26" s="2177"/>
      <c r="AL26" s="2177"/>
      <c r="AM26" s="2186">
        <f t="shared" si="12"/>
        <v>0</v>
      </c>
      <c r="AN26" s="2177"/>
      <c r="AO26" s="2177"/>
      <c r="AP26" s="2186">
        <f t="shared" si="13"/>
        <v>0</v>
      </c>
      <c r="AQ26" s="2177"/>
      <c r="AR26" s="2177"/>
      <c r="AS26" s="2186">
        <f t="shared" si="14"/>
        <v>0</v>
      </c>
      <c r="AT26" s="2177"/>
      <c r="AU26" s="2177"/>
      <c r="AV26" s="2186">
        <f t="shared" si="15"/>
        <v>0</v>
      </c>
      <c r="AW26" s="2177"/>
      <c r="AX26" s="2177"/>
      <c r="AY26" s="2186">
        <f t="shared" si="16"/>
        <v>0</v>
      </c>
      <c r="AZ26" s="2177"/>
      <c r="BA26" s="2177"/>
      <c r="BB26" s="2186">
        <f t="shared" si="17"/>
        <v>0</v>
      </c>
      <c r="BC26" s="2177"/>
      <c r="BD26" s="2177"/>
      <c r="BE26" s="2186">
        <f t="shared" si="18"/>
        <v>0</v>
      </c>
      <c r="BF26" s="2177"/>
      <c r="BG26" s="2177"/>
      <c r="BH26" s="2186">
        <f t="shared" si="19"/>
        <v>0</v>
      </c>
      <c r="BI26" s="2177"/>
      <c r="BJ26" s="2177"/>
      <c r="BK26" s="2186">
        <f t="shared" si="20"/>
        <v>0</v>
      </c>
      <c r="BL26" s="2177"/>
      <c r="BM26" s="2177"/>
      <c r="BN26" s="2186">
        <f t="shared" si="21"/>
        <v>0</v>
      </c>
      <c r="BO26" s="2177"/>
      <c r="BP26" s="2177"/>
      <c r="BQ26" s="2186">
        <f t="shared" si="22"/>
        <v>0</v>
      </c>
    </row>
    <row r="27" spans="3:69" s="2193" customFormat="1" ht="21.6" hidden="1" customHeight="1">
      <c r="C27" s="2194" t="s">
        <v>2115</v>
      </c>
      <c r="D27" s="2195" t="s">
        <v>2116</v>
      </c>
      <c r="E27" s="2175" t="s">
        <v>240</v>
      </c>
      <c r="F27" s="2176"/>
      <c r="G27" s="2177"/>
      <c r="H27" s="2177"/>
      <c r="I27" s="2178">
        <f t="shared" si="0"/>
        <v>0</v>
      </c>
      <c r="J27" s="2176"/>
      <c r="K27" s="2179">
        <f t="shared" si="1"/>
        <v>0</v>
      </c>
      <c r="L27" s="2179">
        <f t="shared" si="1"/>
        <v>0</v>
      </c>
      <c r="M27" s="2178">
        <f t="shared" si="2"/>
        <v>0</v>
      </c>
      <c r="N27" s="2177"/>
      <c r="O27" s="2177"/>
      <c r="P27" s="2178">
        <f t="shared" si="3"/>
        <v>0</v>
      </c>
      <c r="Q27" s="2176"/>
      <c r="R27" s="2177"/>
      <c r="S27" s="2180">
        <f t="shared" si="4"/>
        <v>0</v>
      </c>
      <c r="T27" s="2181">
        <f t="shared" si="5"/>
        <v>0</v>
      </c>
      <c r="U27" s="2179">
        <f t="shared" si="5"/>
        <v>0</v>
      </c>
      <c r="V27" s="2180">
        <f t="shared" si="6"/>
        <v>0</v>
      </c>
      <c r="W27" s="2182"/>
      <c r="X27" s="2177"/>
      <c r="Y27" s="2183">
        <f t="shared" si="7"/>
        <v>0</v>
      </c>
      <c r="Z27" s="2184">
        <f t="shared" si="8"/>
        <v>0</v>
      </c>
      <c r="AA27" s="2179">
        <f t="shared" si="8"/>
        <v>0</v>
      </c>
      <c r="AB27" s="2178">
        <f t="shared" si="9"/>
        <v>0</v>
      </c>
      <c r="AC27" s="2176"/>
      <c r="AD27" s="2177"/>
      <c r="AE27" s="2180">
        <f t="shared" si="10"/>
        <v>0</v>
      </c>
      <c r="AF27" s="2191"/>
      <c r="AG27" s="2192"/>
      <c r="AH27" s="2177"/>
      <c r="AI27" s="2177"/>
      <c r="AJ27" s="2186">
        <f t="shared" si="11"/>
        <v>0</v>
      </c>
      <c r="AK27" s="2177"/>
      <c r="AL27" s="2177"/>
      <c r="AM27" s="2186">
        <f t="shared" si="12"/>
        <v>0</v>
      </c>
      <c r="AN27" s="2177"/>
      <c r="AO27" s="2177"/>
      <c r="AP27" s="2186">
        <f t="shared" si="13"/>
        <v>0</v>
      </c>
      <c r="AQ27" s="2177"/>
      <c r="AR27" s="2177"/>
      <c r="AS27" s="2186">
        <f t="shared" si="14"/>
        <v>0</v>
      </c>
      <c r="AT27" s="2177"/>
      <c r="AU27" s="2177"/>
      <c r="AV27" s="2186">
        <f t="shared" si="15"/>
        <v>0</v>
      </c>
      <c r="AW27" s="2177"/>
      <c r="AX27" s="2177"/>
      <c r="AY27" s="2186">
        <f t="shared" si="16"/>
        <v>0</v>
      </c>
      <c r="AZ27" s="2177"/>
      <c r="BA27" s="2177"/>
      <c r="BB27" s="2186">
        <f t="shared" si="17"/>
        <v>0</v>
      </c>
      <c r="BC27" s="2177"/>
      <c r="BD27" s="2177"/>
      <c r="BE27" s="2186">
        <f t="shared" si="18"/>
        <v>0</v>
      </c>
      <c r="BF27" s="2177"/>
      <c r="BG27" s="2177"/>
      <c r="BH27" s="2186">
        <f t="shared" si="19"/>
        <v>0</v>
      </c>
      <c r="BI27" s="2177"/>
      <c r="BJ27" s="2177"/>
      <c r="BK27" s="2186">
        <f t="shared" si="20"/>
        <v>0</v>
      </c>
      <c r="BL27" s="2177"/>
      <c r="BM27" s="2177"/>
      <c r="BN27" s="2186">
        <f t="shared" si="21"/>
        <v>0</v>
      </c>
      <c r="BO27" s="2177"/>
      <c r="BP27" s="2177"/>
      <c r="BQ27" s="2186">
        <f t="shared" si="22"/>
        <v>0</v>
      </c>
    </row>
    <row r="28" spans="3:69" ht="21.6" hidden="1" customHeight="1">
      <c r="C28" s="2194" t="s">
        <v>2117</v>
      </c>
      <c r="D28" s="2195" t="s">
        <v>2118</v>
      </c>
      <c r="E28" s="2175" t="s">
        <v>240</v>
      </c>
      <c r="F28" s="2176"/>
      <c r="G28" s="2177"/>
      <c r="H28" s="2177"/>
      <c r="I28" s="2178">
        <f t="shared" si="0"/>
        <v>0</v>
      </c>
      <c r="J28" s="2176"/>
      <c r="K28" s="2179">
        <f t="shared" si="1"/>
        <v>0</v>
      </c>
      <c r="L28" s="2179">
        <f t="shared" si="1"/>
        <v>0</v>
      </c>
      <c r="M28" s="2178">
        <f t="shared" si="2"/>
        <v>0</v>
      </c>
      <c r="N28" s="2177"/>
      <c r="O28" s="2177"/>
      <c r="P28" s="2178">
        <f t="shared" si="3"/>
        <v>0</v>
      </c>
      <c r="Q28" s="2176"/>
      <c r="R28" s="2177"/>
      <c r="S28" s="2180">
        <f t="shared" si="4"/>
        <v>0</v>
      </c>
      <c r="T28" s="2181">
        <f t="shared" si="5"/>
        <v>0</v>
      </c>
      <c r="U28" s="2179">
        <f t="shared" si="5"/>
        <v>0</v>
      </c>
      <c r="V28" s="2180">
        <f t="shared" si="6"/>
        <v>0</v>
      </c>
      <c r="W28" s="2182"/>
      <c r="X28" s="2177"/>
      <c r="Y28" s="2183">
        <f t="shared" si="7"/>
        <v>0</v>
      </c>
      <c r="Z28" s="2184">
        <f t="shared" si="8"/>
        <v>0</v>
      </c>
      <c r="AA28" s="2179">
        <f t="shared" si="8"/>
        <v>0</v>
      </c>
      <c r="AB28" s="2178">
        <f t="shared" si="9"/>
        <v>0</v>
      </c>
      <c r="AC28" s="2176"/>
      <c r="AD28" s="2177"/>
      <c r="AE28" s="2180">
        <f t="shared" si="10"/>
        <v>0</v>
      </c>
      <c r="AF28" s="2191"/>
      <c r="AG28" s="2145"/>
      <c r="AH28" s="2177"/>
      <c r="AI28" s="2177"/>
      <c r="AJ28" s="2186">
        <f t="shared" si="11"/>
        <v>0</v>
      </c>
      <c r="AK28" s="2177"/>
      <c r="AL28" s="2177"/>
      <c r="AM28" s="2186">
        <f t="shared" si="12"/>
        <v>0</v>
      </c>
      <c r="AN28" s="2177"/>
      <c r="AO28" s="2177"/>
      <c r="AP28" s="2186">
        <f t="shared" si="13"/>
        <v>0</v>
      </c>
      <c r="AQ28" s="2177"/>
      <c r="AR28" s="2177"/>
      <c r="AS28" s="2186">
        <f t="shared" si="14"/>
        <v>0</v>
      </c>
      <c r="AT28" s="2177"/>
      <c r="AU28" s="2177"/>
      <c r="AV28" s="2186">
        <f t="shared" si="15"/>
        <v>0</v>
      </c>
      <c r="AW28" s="2177"/>
      <c r="AX28" s="2177"/>
      <c r="AY28" s="2186">
        <f t="shared" si="16"/>
        <v>0</v>
      </c>
      <c r="AZ28" s="2177"/>
      <c r="BA28" s="2177"/>
      <c r="BB28" s="2186">
        <f t="shared" si="17"/>
        <v>0</v>
      </c>
      <c r="BC28" s="2177"/>
      <c r="BD28" s="2177"/>
      <c r="BE28" s="2186">
        <f t="shared" si="18"/>
        <v>0</v>
      </c>
      <c r="BF28" s="2177"/>
      <c r="BG28" s="2177"/>
      <c r="BH28" s="2186">
        <f t="shared" si="19"/>
        <v>0</v>
      </c>
      <c r="BI28" s="2177"/>
      <c r="BJ28" s="2177"/>
      <c r="BK28" s="2186">
        <f t="shared" si="20"/>
        <v>0</v>
      </c>
      <c r="BL28" s="2177"/>
      <c r="BM28" s="2177"/>
      <c r="BN28" s="2186">
        <f t="shared" si="21"/>
        <v>0</v>
      </c>
      <c r="BO28" s="2177"/>
      <c r="BP28" s="2177"/>
      <c r="BQ28" s="2186">
        <f t="shared" si="22"/>
        <v>0</v>
      </c>
    </row>
    <row r="29" spans="3:69" s="2159" customFormat="1" ht="21.6" hidden="1" customHeight="1">
      <c r="C29" s="2196" t="s">
        <v>2119</v>
      </c>
      <c r="D29" s="2161" t="s">
        <v>2120</v>
      </c>
      <c r="E29" s="2120" t="s">
        <v>420</v>
      </c>
      <c r="F29" s="2162"/>
      <c r="G29" s="2163">
        <f>G30+G31+G34+G35+G36</f>
        <v>0</v>
      </c>
      <c r="H29" s="2163">
        <f>H30+H31+H34+H35+H36</f>
        <v>0</v>
      </c>
      <c r="I29" s="2164">
        <f>H29-G29</f>
        <v>0</v>
      </c>
      <c r="J29" s="2162"/>
      <c r="K29" s="2163">
        <f t="shared" si="1"/>
        <v>0</v>
      </c>
      <c r="L29" s="2163">
        <f t="shared" si="1"/>
        <v>0</v>
      </c>
      <c r="M29" s="2164">
        <f t="shared" si="2"/>
        <v>0</v>
      </c>
      <c r="N29" s="2163">
        <f>N30+N31+N34+N35+N36</f>
        <v>0</v>
      </c>
      <c r="O29" s="2163">
        <f>O30+O31+O34+O35+O36</f>
        <v>0</v>
      </c>
      <c r="P29" s="2164">
        <f>O29-N29</f>
        <v>0</v>
      </c>
      <c r="Q29" s="2165">
        <f>Q30+Q31+Q34+Q35+Q36</f>
        <v>0</v>
      </c>
      <c r="R29" s="2163">
        <f>R30+R31+R34+R35+R36</f>
        <v>0</v>
      </c>
      <c r="S29" s="2166">
        <f>R29-Q29</f>
        <v>0</v>
      </c>
      <c r="T29" s="2167">
        <f t="shared" si="5"/>
        <v>0</v>
      </c>
      <c r="U29" s="2163">
        <f t="shared" si="5"/>
        <v>0</v>
      </c>
      <c r="V29" s="2166">
        <f t="shared" si="6"/>
        <v>0</v>
      </c>
      <c r="W29" s="2168">
        <f>W30+W31+W34+W35+W36</f>
        <v>0</v>
      </c>
      <c r="X29" s="2163">
        <f>X30+X31+X34+X35+X36</f>
        <v>0</v>
      </c>
      <c r="Y29" s="2169">
        <f>X29-W29</f>
        <v>0</v>
      </c>
      <c r="Z29" s="2165">
        <f t="shared" si="8"/>
        <v>0</v>
      </c>
      <c r="AA29" s="2163">
        <f t="shared" si="8"/>
        <v>0</v>
      </c>
      <c r="AB29" s="2164">
        <f t="shared" si="9"/>
        <v>0</v>
      </c>
      <c r="AC29" s="2165">
        <f>AC30+AC31+AC34+AC35+AC36</f>
        <v>0</v>
      </c>
      <c r="AD29" s="2163">
        <f>AD30+AD31+AD34+AD35+AD36</f>
        <v>0</v>
      </c>
      <c r="AE29" s="2166">
        <f>AD29-AC29</f>
        <v>0</v>
      </c>
      <c r="AF29" s="2170"/>
      <c r="AG29" s="2158"/>
      <c r="AH29" s="2171">
        <f>AH30+AH31+AH34+AH35+AH36</f>
        <v>0</v>
      </c>
      <c r="AI29" s="2171">
        <f>AI30+AI31+AI34+AI35+AI36</f>
        <v>0</v>
      </c>
      <c r="AJ29" s="2172">
        <f>AI29-AH29</f>
        <v>0</v>
      </c>
      <c r="AK29" s="2171">
        <f>AK30+AK31+AK34+AK35+AK36</f>
        <v>0</v>
      </c>
      <c r="AL29" s="2171">
        <f>AL30+AL31+AL34+AL35+AL36</f>
        <v>0</v>
      </c>
      <c r="AM29" s="2172">
        <f>AL29-AK29</f>
        <v>0</v>
      </c>
      <c r="AN29" s="2171">
        <f>AN30+AN31+AN34+AN35+AN36</f>
        <v>0</v>
      </c>
      <c r="AO29" s="2171">
        <f>AO30+AO31+AO34+AO35+AO36</f>
        <v>0</v>
      </c>
      <c r="AP29" s="2172">
        <f>AO29-AN29</f>
        <v>0</v>
      </c>
      <c r="AQ29" s="2171">
        <f>AQ30+AQ31+AQ34+AQ35+AQ36</f>
        <v>0</v>
      </c>
      <c r="AR29" s="2171">
        <f>AR30+AR31+AR34+AR35+AR36</f>
        <v>0</v>
      </c>
      <c r="AS29" s="2172">
        <f>AR29-AQ29</f>
        <v>0</v>
      </c>
      <c r="AT29" s="2171">
        <f>AT30+AT31+AT34+AT35+AT36</f>
        <v>0</v>
      </c>
      <c r="AU29" s="2171">
        <f>AU30+AU31+AU34+AU35+AU36</f>
        <v>0</v>
      </c>
      <c r="AV29" s="2172">
        <f>AU29-AT29</f>
        <v>0</v>
      </c>
      <c r="AW29" s="2171">
        <f>AW30+AW31+AW34+AW35+AW36</f>
        <v>0</v>
      </c>
      <c r="AX29" s="2171">
        <f>AX30+AX31+AX34+AX35+AX36</f>
        <v>0</v>
      </c>
      <c r="AY29" s="2172">
        <f>AX29-AW29</f>
        <v>0</v>
      </c>
      <c r="AZ29" s="2171">
        <f>AZ30+AZ31+AZ34+AZ35+AZ36</f>
        <v>0</v>
      </c>
      <c r="BA29" s="2171">
        <f>BA30+BA31+BA34+BA35+BA36</f>
        <v>0</v>
      </c>
      <c r="BB29" s="2172">
        <f>BA29-AZ29</f>
        <v>0</v>
      </c>
      <c r="BC29" s="2171">
        <f>BC30+BC31+BC34+BC35+BC36</f>
        <v>0</v>
      </c>
      <c r="BD29" s="2171">
        <f>BD30+BD31+BD34+BD35+BD36</f>
        <v>0</v>
      </c>
      <c r="BE29" s="2172">
        <f>BD29-BC29</f>
        <v>0</v>
      </c>
      <c r="BF29" s="2171">
        <f>BF30+BF31+BF34+BF35+BF36</f>
        <v>0</v>
      </c>
      <c r="BG29" s="2171">
        <f>BG30+BG31+BG34+BG35+BG36</f>
        <v>0</v>
      </c>
      <c r="BH29" s="2172">
        <f>BG29-BF29</f>
        <v>0</v>
      </c>
      <c r="BI29" s="2171">
        <f>BI30+BI31+BI34+BI35+BI36</f>
        <v>0</v>
      </c>
      <c r="BJ29" s="2171">
        <f>BJ30+BJ31+BJ34+BJ35+BJ36</f>
        <v>0</v>
      </c>
      <c r="BK29" s="2172">
        <f>BJ29-BI29</f>
        <v>0</v>
      </c>
      <c r="BL29" s="2171">
        <f>BL30+BL31+BL34+BL35+BL36</f>
        <v>0</v>
      </c>
      <c r="BM29" s="2171">
        <f>BM30+BM31+BM34+BM35+BM36</f>
        <v>0</v>
      </c>
      <c r="BN29" s="2172">
        <f>BM29-BL29</f>
        <v>0</v>
      </c>
      <c r="BO29" s="2171">
        <f>BO30+BO31+BO34+BO35+BO36</f>
        <v>0</v>
      </c>
      <c r="BP29" s="2171">
        <f>BP30+BP31+BP34+BP35+BP36</f>
        <v>0</v>
      </c>
      <c r="BQ29" s="2172">
        <f>BP29-BO29</f>
        <v>0</v>
      </c>
    </row>
    <row r="30" spans="3:69" ht="21.6" hidden="1" customHeight="1">
      <c r="C30" s="2173" t="s">
        <v>2121</v>
      </c>
      <c r="D30" s="2174" t="s">
        <v>2088</v>
      </c>
      <c r="E30" s="2197" t="s">
        <v>420</v>
      </c>
      <c r="F30" s="2176"/>
      <c r="G30" s="2177"/>
      <c r="H30" s="2177"/>
      <c r="I30" s="2178">
        <f t="shared" ref="I30:I36" si="23">H30-G30</f>
        <v>0</v>
      </c>
      <c r="J30" s="2176"/>
      <c r="K30" s="2179">
        <f t="shared" si="1"/>
        <v>0</v>
      </c>
      <c r="L30" s="2179">
        <f t="shared" si="1"/>
        <v>0</v>
      </c>
      <c r="M30" s="2178">
        <f t="shared" si="2"/>
        <v>0</v>
      </c>
      <c r="N30" s="2177"/>
      <c r="O30" s="2177"/>
      <c r="P30" s="2178">
        <f t="shared" ref="P30:P36" si="24">O30-N30</f>
        <v>0</v>
      </c>
      <c r="Q30" s="2176"/>
      <c r="R30" s="2177"/>
      <c r="S30" s="2180">
        <f t="shared" ref="S30:S36" si="25">R30-Q30</f>
        <v>0</v>
      </c>
      <c r="T30" s="2181">
        <f t="shared" si="5"/>
        <v>0</v>
      </c>
      <c r="U30" s="2179">
        <f t="shared" si="5"/>
        <v>0</v>
      </c>
      <c r="V30" s="2180">
        <f>U30-T30</f>
        <v>0</v>
      </c>
      <c r="W30" s="2182"/>
      <c r="X30" s="2177"/>
      <c r="Y30" s="2183">
        <f t="shared" ref="Y30:Y36" si="26">X30-W30</f>
        <v>0</v>
      </c>
      <c r="Z30" s="2184">
        <f t="shared" si="8"/>
        <v>0</v>
      </c>
      <c r="AA30" s="2179">
        <f t="shared" si="8"/>
        <v>0</v>
      </c>
      <c r="AB30" s="2178">
        <f t="shared" si="9"/>
        <v>0</v>
      </c>
      <c r="AC30" s="2176"/>
      <c r="AD30" s="2177"/>
      <c r="AE30" s="2180">
        <f t="shared" ref="AE30:AE36" si="27">AD30-AC30</f>
        <v>0</v>
      </c>
      <c r="AF30" s="2198"/>
      <c r="AG30" s="2145"/>
      <c r="AH30" s="2177"/>
      <c r="AI30" s="2177"/>
      <c r="AJ30" s="2186">
        <f t="shared" ref="AJ30:AJ36" si="28">AI30-AH30</f>
        <v>0</v>
      </c>
      <c r="AK30" s="2177"/>
      <c r="AL30" s="2177"/>
      <c r="AM30" s="2186">
        <f t="shared" ref="AM30:AM36" si="29">AL30-AK30</f>
        <v>0</v>
      </c>
      <c r="AN30" s="2177"/>
      <c r="AO30" s="2177"/>
      <c r="AP30" s="2186">
        <f t="shared" ref="AP30:AP36" si="30">AO30-AN30</f>
        <v>0</v>
      </c>
      <c r="AQ30" s="2177"/>
      <c r="AR30" s="2177"/>
      <c r="AS30" s="2186">
        <f t="shared" ref="AS30:AS36" si="31">AR30-AQ30</f>
        <v>0</v>
      </c>
      <c r="AT30" s="2177"/>
      <c r="AU30" s="2177"/>
      <c r="AV30" s="2186">
        <f t="shared" ref="AV30:AV36" si="32">AU30-AT30</f>
        <v>0</v>
      </c>
      <c r="AW30" s="2177"/>
      <c r="AX30" s="2177"/>
      <c r="AY30" s="2186">
        <f t="shared" ref="AY30:AY36" si="33">AX30-AW30</f>
        <v>0</v>
      </c>
      <c r="AZ30" s="2177"/>
      <c r="BA30" s="2177"/>
      <c r="BB30" s="2186">
        <f t="shared" ref="BB30:BB36" si="34">BA30-AZ30</f>
        <v>0</v>
      </c>
      <c r="BC30" s="2177"/>
      <c r="BD30" s="2177"/>
      <c r="BE30" s="2186">
        <f t="shared" ref="BE30:BE36" si="35">BD30-BC30</f>
        <v>0</v>
      </c>
      <c r="BF30" s="2177"/>
      <c r="BG30" s="2177"/>
      <c r="BH30" s="2186">
        <f t="shared" ref="BH30:BH36" si="36">BG30-BF30</f>
        <v>0</v>
      </c>
      <c r="BI30" s="2177"/>
      <c r="BJ30" s="2177"/>
      <c r="BK30" s="2186">
        <f t="shared" ref="BK30:BK36" si="37">BJ30-BI30</f>
        <v>0</v>
      </c>
      <c r="BL30" s="2177"/>
      <c r="BM30" s="2177"/>
      <c r="BN30" s="2186">
        <f t="shared" ref="BN30:BN36" si="38">BM30-BL30</f>
        <v>0</v>
      </c>
      <c r="BO30" s="2177"/>
      <c r="BP30" s="2177"/>
      <c r="BQ30" s="2186">
        <f t="shared" ref="BQ30:BQ36" si="39">BP30-BO30</f>
        <v>0</v>
      </c>
    </row>
    <row r="31" spans="3:69" ht="21.6" hidden="1" customHeight="1">
      <c r="C31" s="2173" t="s">
        <v>2122</v>
      </c>
      <c r="D31" s="2174" t="s">
        <v>2123</v>
      </c>
      <c r="E31" s="2197" t="s">
        <v>420</v>
      </c>
      <c r="F31" s="2176"/>
      <c r="G31" s="2179">
        <f>G32+G33</f>
        <v>0</v>
      </c>
      <c r="H31" s="2179">
        <f>H32+H33</f>
        <v>0</v>
      </c>
      <c r="I31" s="2178">
        <f t="shared" si="23"/>
        <v>0</v>
      </c>
      <c r="J31" s="2176"/>
      <c r="K31" s="2179">
        <f t="shared" si="1"/>
        <v>0</v>
      </c>
      <c r="L31" s="2179">
        <f t="shared" si="1"/>
        <v>0</v>
      </c>
      <c r="M31" s="2178">
        <f t="shared" si="2"/>
        <v>0</v>
      </c>
      <c r="N31" s="2179">
        <f>N32+N33</f>
        <v>0</v>
      </c>
      <c r="O31" s="2179">
        <f>O32+O33</f>
        <v>0</v>
      </c>
      <c r="P31" s="2178">
        <f t="shared" si="24"/>
        <v>0</v>
      </c>
      <c r="Q31" s="2184">
        <f>Q32+Q33</f>
        <v>0</v>
      </c>
      <c r="R31" s="2179">
        <f>R32+R33</f>
        <v>0</v>
      </c>
      <c r="S31" s="2180">
        <f t="shared" si="25"/>
        <v>0</v>
      </c>
      <c r="T31" s="2181">
        <f t="shared" si="5"/>
        <v>0</v>
      </c>
      <c r="U31" s="2179">
        <f t="shared" si="5"/>
        <v>0</v>
      </c>
      <c r="V31" s="2180">
        <f t="shared" si="6"/>
        <v>0</v>
      </c>
      <c r="W31" s="2187">
        <f>W32+W33</f>
        <v>0</v>
      </c>
      <c r="X31" s="2179">
        <f>X32+X33</f>
        <v>0</v>
      </c>
      <c r="Y31" s="2183">
        <f t="shared" si="26"/>
        <v>0</v>
      </c>
      <c r="Z31" s="2184">
        <f t="shared" si="8"/>
        <v>0</v>
      </c>
      <c r="AA31" s="2179">
        <f t="shared" si="8"/>
        <v>0</v>
      </c>
      <c r="AB31" s="2178">
        <f t="shared" si="9"/>
        <v>0</v>
      </c>
      <c r="AC31" s="2184">
        <f>AC32+AC33</f>
        <v>0</v>
      </c>
      <c r="AD31" s="2179">
        <f>AD32+AD33</f>
        <v>0</v>
      </c>
      <c r="AE31" s="2180">
        <f t="shared" si="27"/>
        <v>0</v>
      </c>
      <c r="AF31" s="2185"/>
      <c r="AG31" s="2145"/>
      <c r="AH31" s="2188">
        <f>AH32+AH33</f>
        <v>0</v>
      </c>
      <c r="AI31" s="2188">
        <f>AI32+AI33</f>
        <v>0</v>
      </c>
      <c r="AJ31" s="2186">
        <f t="shared" si="28"/>
        <v>0</v>
      </c>
      <c r="AK31" s="2188">
        <f>AK32+AK33</f>
        <v>0</v>
      </c>
      <c r="AL31" s="2188">
        <f>AL32+AL33</f>
        <v>0</v>
      </c>
      <c r="AM31" s="2186">
        <f t="shared" si="29"/>
        <v>0</v>
      </c>
      <c r="AN31" s="2188">
        <f>AN32+AN33</f>
        <v>0</v>
      </c>
      <c r="AO31" s="2188">
        <f>AO32+AO33</f>
        <v>0</v>
      </c>
      <c r="AP31" s="2186">
        <f t="shared" si="30"/>
        <v>0</v>
      </c>
      <c r="AQ31" s="2188">
        <f>AQ32+AQ33</f>
        <v>0</v>
      </c>
      <c r="AR31" s="2188">
        <f>AR32+AR33</f>
        <v>0</v>
      </c>
      <c r="AS31" s="2186">
        <f t="shared" si="31"/>
        <v>0</v>
      </c>
      <c r="AT31" s="2188">
        <f>AT32+AT33</f>
        <v>0</v>
      </c>
      <c r="AU31" s="2188">
        <f>AU32+AU33</f>
        <v>0</v>
      </c>
      <c r="AV31" s="2186">
        <f t="shared" si="32"/>
        <v>0</v>
      </c>
      <c r="AW31" s="2188">
        <f>AW32+AW33</f>
        <v>0</v>
      </c>
      <c r="AX31" s="2188">
        <f>AX32+AX33</f>
        <v>0</v>
      </c>
      <c r="AY31" s="2186">
        <f t="shared" si="33"/>
        <v>0</v>
      </c>
      <c r="AZ31" s="2188">
        <f>AZ32+AZ33</f>
        <v>0</v>
      </c>
      <c r="BA31" s="2188">
        <f>BA32+BA33</f>
        <v>0</v>
      </c>
      <c r="BB31" s="2186">
        <f t="shared" si="34"/>
        <v>0</v>
      </c>
      <c r="BC31" s="2188">
        <f>BC32+BC33</f>
        <v>0</v>
      </c>
      <c r="BD31" s="2188">
        <f>BD32+BD33</f>
        <v>0</v>
      </c>
      <c r="BE31" s="2186">
        <f t="shared" si="35"/>
        <v>0</v>
      </c>
      <c r="BF31" s="2188">
        <f>BF32+BF33</f>
        <v>0</v>
      </c>
      <c r="BG31" s="2188">
        <f>BG32+BG33</f>
        <v>0</v>
      </c>
      <c r="BH31" s="2186">
        <f t="shared" si="36"/>
        <v>0</v>
      </c>
      <c r="BI31" s="2188">
        <f>BI32+BI33</f>
        <v>0</v>
      </c>
      <c r="BJ31" s="2188">
        <f>BJ32+BJ33</f>
        <v>0</v>
      </c>
      <c r="BK31" s="2186">
        <f t="shared" si="37"/>
        <v>0</v>
      </c>
      <c r="BL31" s="2188">
        <f>BL32+BL33</f>
        <v>0</v>
      </c>
      <c r="BM31" s="2188">
        <f>BM32+BM33</f>
        <v>0</v>
      </c>
      <c r="BN31" s="2186">
        <f t="shared" si="38"/>
        <v>0</v>
      </c>
      <c r="BO31" s="2188">
        <f>BO32+BO33</f>
        <v>0</v>
      </c>
      <c r="BP31" s="2188">
        <f>BP32+BP33</f>
        <v>0</v>
      </c>
      <c r="BQ31" s="2186">
        <f t="shared" si="39"/>
        <v>0</v>
      </c>
    </row>
    <row r="32" spans="3:69" ht="21.6" hidden="1" customHeight="1">
      <c r="C32" s="2189" t="s">
        <v>2124</v>
      </c>
      <c r="D32" s="2199" t="s">
        <v>2125</v>
      </c>
      <c r="E32" s="2197" t="s">
        <v>420</v>
      </c>
      <c r="F32" s="2176"/>
      <c r="G32" s="2177"/>
      <c r="H32" s="2177"/>
      <c r="I32" s="2178">
        <f t="shared" si="23"/>
        <v>0</v>
      </c>
      <c r="J32" s="2176"/>
      <c r="K32" s="2179">
        <f t="shared" si="1"/>
        <v>0</v>
      </c>
      <c r="L32" s="2179">
        <f t="shared" si="1"/>
        <v>0</v>
      </c>
      <c r="M32" s="2178">
        <f t="shared" si="2"/>
        <v>0</v>
      </c>
      <c r="N32" s="2177"/>
      <c r="O32" s="2177"/>
      <c r="P32" s="2178">
        <f t="shared" si="24"/>
        <v>0</v>
      </c>
      <c r="Q32" s="2176"/>
      <c r="R32" s="2177"/>
      <c r="S32" s="2180">
        <f t="shared" si="25"/>
        <v>0</v>
      </c>
      <c r="T32" s="2181">
        <f t="shared" si="5"/>
        <v>0</v>
      </c>
      <c r="U32" s="2179">
        <f t="shared" si="5"/>
        <v>0</v>
      </c>
      <c r="V32" s="2180">
        <f t="shared" si="6"/>
        <v>0</v>
      </c>
      <c r="W32" s="2182"/>
      <c r="X32" s="2177"/>
      <c r="Y32" s="2183">
        <f t="shared" si="26"/>
        <v>0</v>
      </c>
      <c r="Z32" s="2184">
        <f t="shared" si="8"/>
        <v>0</v>
      </c>
      <c r="AA32" s="2179">
        <f t="shared" si="8"/>
        <v>0</v>
      </c>
      <c r="AB32" s="2178">
        <f t="shared" si="9"/>
        <v>0</v>
      </c>
      <c r="AC32" s="2176"/>
      <c r="AD32" s="2177"/>
      <c r="AE32" s="2180">
        <f t="shared" si="27"/>
        <v>0</v>
      </c>
      <c r="AF32" s="2191"/>
      <c r="AG32" s="2145"/>
      <c r="AH32" s="2177"/>
      <c r="AI32" s="2177"/>
      <c r="AJ32" s="2186">
        <f t="shared" si="28"/>
        <v>0</v>
      </c>
      <c r="AK32" s="2177"/>
      <c r="AL32" s="2177"/>
      <c r="AM32" s="2186">
        <f t="shared" si="29"/>
        <v>0</v>
      </c>
      <c r="AN32" s="2177"/>
      <c r="AO32" s="2177"/>
      <c r="AP32" s="2186">
        <f t="shared" si="30"/>
        <v>0</v>
      </c>
      <c r="AQ32" s="2177"/>
      <c r="AR32" s="2177"/>
      <c r="AS32" s="2186">
        <f t="shared" si="31"/>
        <v>0</v>
      </c>
      <c r="AT32" s="2177"/>
      <c r="AU32" s="2177"/>
      <c r="AV32" s="2186">
        <f t="shared" si="32"/>
        <v>0</v>
      </c>
      <c r="AW32" s="2177"/>
      <c r="AX32" s="2177"/>
      <c r="AY32" s="2186">
        <f t="shared" si="33"/>
        <v>0</v>
      </c>
      <c r="AZ32" s="2177"/>
      <c r="BA32" s="2177"/>
      <c r="BB32" s="2186">
        <f t="shared" si="34"/>
        <v>0</v>
      </c>
      <c r="BC32" s="2177"/>
      <c r="BD32" s="2177"/>
      <c r="BE32" s="2186">
        <f t="shared" si="35"/>
        <v>0</v>
      </c>
      <c r="BF32" s="2177"/>
      <c r="BG32" s="2177"/>
      <c r="BH32" s="2186">
        <f t="shared" si="36"/>
        <v>0</v>
      </c>
      <c r="BI32" s="2177"/>
      <c r="BJ32" s="2177"/>
      <c r="BK32" s="2186">
        <f t="shared" si="37"/>
        <v>0</v>
      </c>
      <c r="BL32" s="2177"/>
      <c r="BM32" s="2177"/>
      <c r="BN32" s="2186">
        <f t="shared" si="38"/>
        <v>0</v>
      </c>
      <c r="BO32" s="2177"/>
      <c r="BP32" s="2177"/>
      <c r="BQ32" s="2186">
        <f t="shared" si="39"/>
        <v>0</v>
      </c>
    </row>
    <row r="33" spans="3:69" ht="21.6" hidden="1" customHeight="1">
      <c r="C33" s="2189" t="s">
        <v>2126</v>
      </c>
      <c r="D33" s="2199" t="s">
        <v>2127</v>
      </c>
      <c r="E33" s="2197" t="s">
        <v>420</v>
      </c>
      <c r="F33" s="2176"/>
      <c r="G33" s="2177"/>
      <c r="H33" s="2177"/>
      <c r="I33" s="2178">
        <f t="shared" si="23"/>
        <v>0</v>
      </c>
      <c r="J33" s="2176"/>
      <c r="K33" s="2179">
        <f t="shared" si="1"/>
        <v>0</v>
      </c>
      <c r="L33" s="2179">
        <f t="shared" si="1"/>
        <v>0</v>
      </c>
      <c r="M33" s="2178">
        <f t="shared" si="2"/>
        <v>0</v>
      </c>
      <c r="N33" s="2177"/>
      <c r="O33" s="2177"/>
      <c r="P33" s="2178">
        <f t="shared" si="24"/>
        <v>0</v>
      </c>
      <c r="Q33" s="2176"/>
      <c r="R33" s="2177"/>
      <c r="S33" s="2180">
        <f t="shared" si="25"/>
        <v>0</v>
      </c>
      <c r="T33" s="2181">
        <f t="shared" si="5"/>
        <v>0</v>
      </c>
      <c r="U33" s="2179">
        <f t="shared" si="5"/>
        <v>0</v>
      </c>
      <c r="V33" s="2180">
        <f t="shared" si="6"/>
        <v>0</v>
      </c>
      <c r="W33" s="2182"/>
      <c r="X33" s="2177"/>
      <c r="Y33" s="2183">
        <f t="shared" si="26"/>
        <v>0</v>
      </c>
      <c r="Z33" s="2184">
        <f t="shared" si="8"/>
        <v>0</v>
      </c>
      <c r="AA33" s="2179">
        <f t="shared" si="8"/>
        <v>0</v>
      </c>
      <c r="AB33" s="2178">
        <f t="shared" si="9"/>
        <v>0</v>
      </c>
      <c r="AC33" s="2176"/>
      <c r="AD33" s="2177"/>
      <c r="AE33" s="2180">
        <f t="shared" si="27"/>
        <v>0</v>
      </c>
      <c r="AF33" s="2185"/>
      <c r="AG33" s="2145"/>
      <c r="AH33" s="2177"/>
      <c r="AI33" s="2177"/>
      <c r="AJ33" s="2186">
        <f t="shared" si="28"/>
        <v>0</v>
      </c>
      <c r="AK33" s="2177"/>
      <c r="AL33" s="2177"/>
      <c r="AM33" s="2186">
        <f t="shared" si="29"/>
        <v>0</v>
      </c>
      <c r="AN33" s="2177"/>
      <c r="AO33" s="2177"/>
      <c r="AP33" s="2186">
        <f t="shared" si="30"/>
        <v>0</v>
      </c>
      <c r="AQ33" s="2177"/>
      <c r="AR33" s="2177"/>
      <c r="AS33" s="2186">
        <f t="shared" si="31"/>
        <v>0</v>
      </c>
      <c r="AT33" s="2177"/>
      <c r="AU33" s="2177"/>
      <c r="AV33" s="2186">
        <f t="shared" si="32"/>
        <v>0</v>
      </c>
      <c r="AW33" s="2177"/>
      <c r="AX33" s="2177"/>
      <c r="AY33" s="2186">
        <f t="shared" si="33"/>
        <v>0</v>
      </c>
      <c r="AZ33" s="2177"/>
      <c r="BA33" s="2177"/>
      <c r="BB33" s="2186">
        <f t="shared" si="34"/>
        <v>0</v>
      </c>
      <c r="BC33" s="2177"/>
      <c r="BD33" s="2177"/>
      <c r="BE33" s="2186">
        <f t="shared" si="35"/>
        <v>0</v>
      </c>
      <c r="BF33" s="2177"/>
      <c r="BG33" s="2177"/>
      <c r="BH33" s="2186">
        <f t="shared" si="36"/>
        <v>0</v>
      </c>
      <c r="BI33" s="2177"/>
      <c r="BJ33" s="2177"/>
      <c r="BK33" s="2186">
        <f t="shared" si="37"/>
        <v>0</v>
      </c>
      <c r="BL33" s="2177"/>
      <c r="BM33" s="2177"/>
      <c r="BN33" s="2186">
        <f t="shared" si="38"/>
        <v>0</v>
      </c>
      <c r="BO33" s="2177"/>
      <c r="BP33" s="2177"/>
      <c r="BQ33" s="2186">
        <f t="shared" si="39"/>
        <v>0</v>
      </c>
    </row>
    <row r="34" spans="3:69" ht="21.6" hidden="1" customHeight="1">
      <c r="C34" s="2173" t="s">
        <v>2128</v>
      </c>
      <c r="D34" s="2174" t="s">
        <v>2129</v>
      </c>
      <c r="E34" s="2197" t="s">
        <v>420</v>
      </c>
      <c r="F34" s="2176"/>
      <c r="G34" s="2177"/>
      <c r="H34" s="2177"/>
      <c r="I34" s="2178">
        <f t="shared" si="23"/>
        <v>0</v>
      </c>
      <c r="J34" s="2176"/>
      <c r="K34" s="2179">
        <f t="shared" si="1"/>
        <v>0</v>
      </c>
      <c r="L34" s="2179">
        <f t="shared" si="1"/>
        <v>0</v>
      </c>
      <c r="M34" s="2178">
        <f t="shared" si="2"/>
        <v>0</v>
      </c>
      <c r="N34" s="2177"/>
      <c r="O34" s="2177"/>
      <c r="P34" s="2178">
        <f t="shared" si="24"/>
        <v>0</v>
      </c>
      <c r="Q34" s="2176"/>
      <c r="R34" s="2177"/>
      <c r="S34" s="2180">
        <f t="shared" si="25"/>
        <v>0</v>
      </c>
      <c r="T34" s="2181">
        <f t="shared" si="5"/>
        <v>0</v>
      </c>
      <c r="U34" s="2179">
        <f t="shared" si="5"/>
        <v>0</v>
      </c>
      <c r="V34" s="2180">
        <f t="shared" si="6"/>
        <v>0</v>
      </c>
      <c r="W34" s="2182"/>
      <c r="X34" s="2177"/>
      <c r="Y34" s="2183">
        <f t="shared" si="26"/>
        <v>0</v>
      </c>
      <c r="Z34" s="2184">
        <f t="shared" si="8"/>
        <v>0</v>
      </c>
      <c r="AA34" s="2179">
        <f t="shared" si="8"/>
        <v>0</v>
      </c>
      <c r="AB34" s="2178">
        <f t="shared" si="9"/>
        <v>0</v>
      </c>
      <c r="AC34" s="2176"/>
      <c r="AD34" s="2177"/>
      <c r="AE34" s="2180">
        <f t="shared" si="27"/>
        <v>0</v>
      </c>
      <c r="AF34" s="2185"/>
      <c r="AG34" s="2145"/>
      <c r="AH34" s="2177"/>
      <c r="AI34" s="2177"/>
      <c r="AJ34" s="2186">
        <f t="shared" si="28"/>
        <v>0</v>
      </c>
      <c r="AK34" s="2177"/>
      <c r="AL34" s="2177"/>
      <c r="AM34" s="2186">
        <f t="shared" si="29"/>
        <v>0</v>
      </c>
      <c r="AN34" s="2177"/>
      <c r="AO34" s="2177"/>
      <c r="AP34" s="2186">
        <f t="shared" si="30"/>
        <v>0</v>
      </c>
      <c r="AQ34" s="2177"/>
      <c r="AR34" s="2177"/>
      <c r="AS34" s="2186">
        <f t="shared" si="31"/>
        <v>0</v>
      </c>
      <c r="AT34" s="2177"/>
      <c r="AU34" s="2177"/>
      <c r="AV34" s="2186">
        <f t="shared" si="32"/>
        <v>0</v>
      </c>
      <c r="AW34" s="2177"/>
      <c r="AX34" s="2177"/>
      <c r="AY34" s="2186">
        <f t="shared" si="33"/>
        <v>0</v>
      </c>
      <c r="AZ34" s="2177"/>
      <c r="BA34" s="2177"/>
      <c r="BB34" s="2186">
        <f t="shared" si="34"/>
        <v>0</v>
      </c>
      <c r="BC34" s="2177"/>
      <c r="BD34" s="2177"/>
      <c r="BE34" s="2186">
        <f t="shared" si="35"/>
        <v>0</v>
      </c>
      <c r="BF34" s="2177"/>
      <c r="BG34" s="2177"/>
      <c r="BH34" s="2186">
        <f t="shared" si="36"/>
        <v>0</v>
      </c>
      <c r="BI34" s="2177"/>
      <c r="BJ34" s="2177"/>
      <c r="BK34" s="2186">
        <f t="shared" si="37"/>
        <v>0</v>
      </c>
      <c r="BL34" s="2177"/>
      <c r="BM34" s="2177"/>
      <c r="BN34" s="2186">
        <f t="shared" si="38"/>
        <v>0</v>
      </c>
      <c r="BO34" s="2177"/>
      <c r="BP34" s="2177"/>
      <c r="BQ34" s="2186">
        <f t="shared" si="39"/>
        <v>0</v>
      </c>
    </row>
    <row r="35" spans="3:69" ht="21.6" hidden="1" customHeight="1">
      <c r="C35" s="2173" t="s">
        <v>2130</v>
      </c>
      <c r="D35" s="2174" t="s">
        <v>2131</v>
      </c>
      <c r="E35" s="2197" t="s">
        <v>420</v>
      </c>
      <c r="F35" s="2176"/>
      <c r="G35" s="2177"/>
      <c r="H35" s="2177"/>
      <c r="I35" s="2178">
        <f t="shared" si="23"/>
        <v>0</v>
      </c>
      <c r="J35" s="2176"/>
      <c r="K35" s="2179">
        <f t="shared" si="1"/>
        <v>0</v>
      </c>
      <c r="L35" s="2179">
        <f t="shared" si="1"/>
        <v>0</v>
      </c>
      <c r="M35" s="2178">
        <f t="shared" si="2"/>
        <v>0</v>
      </c>
      <c r="N35" s="2177"/>
      <c r="O35" s="2177"/>
      <c r="P35" s="2178">
        <f t="shared" si="24"/>
        <v>0</v>
      </c>
      <c r="Q35" s="2176"/>
      <c r="R35" s="2177"/>
      <c r="S35" s="2180">
        <f t="shared" si="25"/>
        <v>0</v>
      </c>
      <c r="T35" s="2181">
        <f t="shared" si="5"/>
        <v>0</v>
      </c>
      <c r="U35" s="2179">
        <f t="shared" si="5"/>
        <v>0</v>
      </c>
      <c r="V35" s="2180">
        <f t="shared" si="6"/>
        <v>0</v>
      </c>
      <c r="W35" s="2182"/>
      <c r="X35" s="2177"/>
      <c r="Y35" s="2183">
        <f t="shared" si="26"/>
        <v>0</v>
      </c>
      <c r="Z35" s="2184">
        <f t="shared" si="8"/>
        <v>0</v>
      </c>
      <c r="AA35" s="2179">
        <f t="shared" si="8"/>
        <v>0</v>
      </c>
      <c r="AB35" s="2178">
        <f t="shared" si="9"/>
        <v>0</v>
      </c>
      <c r="AC35" s="2176"/>
      <c r="AD35" s="2177"/>
      <c r="AE35" s="2180">
        <f t="shared" si="27"/>
        <v>0</v>
      </c>
      <c r="AF35" s="2185"/>
      <c r="AG35" s="2145"/>
      <c r="AH35" s="2177"/>
      <c r="AI35" s="2177"/>
      <c r="AJ35" s="2186">
        <f t="shared" si="28"/>
        <v>0</v>
      </c>
      <c r="AK35" s="2177"/>
      <c r="AL35" s="2177"/>
      <c r="AM35" s="2186">
        <f t="shared" si="29"/>
        <v>0</v>
      </c>
      <c r="AN35" s="2177"/>
      <c r="AO35" s="2177"/>
      <c r="AP35" s="2186">
        <f t="shared" si="30"/>
        <v>0</v>
      </c>
      <c r="AQ35" s="2177"/>
      <c r="AR35" s="2177"/>
      <c r="AS35" s="2186">
        <f t="shared" si="31"/>
        <v>0</v>
      </c>
      <c r="AT35" s="2177"/>
      <c r="AU35" s="2177"/>
      <c r="AV35" s="2186">
        <f t="shared" si="32"/>
        <v>0</v>
      </c>
      <c r="AW35" s="2177"/>
      <c r="AX35" s="2177"/>
      <c r="AY35" s="2186">
        <f t="shared" si="33"/>
        <v>0</v>
      </c>
      <c r="AZ35" s="2177"/>
      <c r="BA35" s="2177"/>
      <c r="BB35" s="2186">
        <f t="shared" si="34"/>
        <v>0</v>
      </c>
      <c r="BC35" s="2177"/>
      <c r="BD35" s="2177"/>
      <c r="BE35" s="2186">
        <f t="shared" si="35"/>
        <v>0</v>
      </c>
      <c r="BF35" s="2177"/>
      <c r="BG35" s="2177"/>
      <c r="BH35" s="2186">
        <f t="shared" si="36"/>
        <v>0</v>
      </c>
      <c r="BI35" s="2177"/>
      <c r="BJ35" s="2177"/>
      <c r="BK35" s="2186">
        <f t="shared" si="37"/>
        <v>0</v>
      </c>
      <c r="BL35" s="2177"/>
      <c r="BM35" s="2177"/>
      <c r="BN35" s="2186">
        <f t="shared" si="38"/>
        <v>0</v>
      </c>
      <c r="BO35" s="2177"/>
      <c r="BP35" s="2177"/>
      <c r="BQ35" s="2186">
        <f t="shared" si="39"/>
        <v>0</v>
      </c>
    </row>
    <row r="36" spans="3:69" ht="21.6" hidden="1" customHeight="1">
      <c r="C36" s="2173" t="s">
        <v>2132</v>
      </c>
      <c r="D36" s="2200"/>
      <c r="E36" s="2197" t="s">
        <v>420</v>
      </c>
      <c r="F36" s="2176"/>
      <c r="G36" s="2177"/>
      <c r="H36" s="2177"/>
      <c r="I36" s="2178">
        <f t="shared" si="23"/>
        <v>0</v>
      </c>
      <c r="J36" s="2176"/>
      <c r="K36" s="2179">
        <f t="shared" si="1"/>
        <v>0</v>
      </c>
      <c r="L36" s="2179">
        <f t="shared" si="1"/>
        <v>0</v>
      </c>
      <c r="M36" s="2178">
        <f t="shared" si="2"/>
        <v>0</v>
      </c>
      <c r="N36" s="2177"/>
      <c r="O36" s="2177"/>
      <c r="P36" s="2178">
        <f t="shared" si="24"/>
        <v>0</v>
      </c>
      <c r="Q36" s="2176"/>
      <c r="R36" s="2177"/>
      <c r="S36" s="2180">
        <f t="shared" si="25"/>
        <v>0</v>
      </c>
      <c r="T36" s="2181">
        <f t="shared" si="5"/>
        <v>0</v>
      </c>
      <c r="U36" s="2179">
        <f t="shared" si="5"/>
        <v>0</v>
      </c>
      <c r="V36" s="2180">
        <f t="shared" si="6"/>
        <v>0</v>
      </c>
      <c r="W36" s="2182"/>
      <c r="X36" s="2177"/>
      <c r="Y36" s="2183">
        <f t="shared" si="26"/>
        <v>0</v>
      </c>
      <c r="Z36" s="2184">
        <f t="shared" si="8"/>
        <v>0</v>
      </c>
      <c r="AA36" s="2179">
        <f t="shared" si="8"/>
        <v>0</v>
      </c>
      <c r="AB36" s="2178">
        <f t="shared" si="9"/>
        <v>0</v>
      </c>
      <c r="AC36" s="2176"/>
      <c r="AD36" s="2177"/>
      <c r="AE36" s="2180">
        <f t="shared" si="27"/>
        <v>0</v>
      </c>
      <c r="AF36" s="2185"/>
      <c r="AG36" s="2145"/>
      <c r="AH36" s="2177"/>
      <c r="AI36" s="2177"/>
      <c r="AJ36" s="2186">
        <f t="shared" si="28"/>
        <v>0</v>
      </c>
      <c r="AK36" s="2177"/>
      <c r="AL36" s="2177"/>
      <c r="AM36" s="2186">
        <f t="shared" si="29"/>
        <v>0</v>
      </c>
      <c r="AN36" s="2177"/>
      <c r="AO36" s="2177"/>
      <c r="AP36" s="2186">
        <f t="shared" si="30"/>
        <v>0</v>
      </c>
      <c r="AQ36" s="2177"/>
      <c r="AR36" s="2177"/>
      <c r="AS36" s="2186">
        <f t="shared" si="31"/>
        <v>0</v>
      </c>
      <c r="AT36" s="2177"/>
      <c r="AU36" s="2177"/>
      <c r="AV36" s="2186">
        <f t="shared" si="32"/>
        <v>0</v>
      </c>
      <c r="AW36" s="2177"/>
      <c r="AX36" s="2177"/>
      <c r="AY36" s="2186">
        <f t="shared" si="33"/>
        <v>0</v>
      </c>
      <c r="AZ36" s="2177"/>
      <c r="BA36" s="2177"/>
      <c r="BB36" s="2186">
        <f t="shared" si="34"/>
        <v>0</v>
      </c>
      <c r="BC36" s="2177"/>
      <c r="BD36" s="2177"/>
      <c r="BE36" s="2186">
        <f t="shared" si="35"/>
        <v>0</v>
      </c>
      <c r="BF36" s="2177"/>
      <c r="BG36" s="2177"/>
      <c r="BH36" s="2186">
        <f t="shared" si="36"/>
        <v>0</v>
      </c>
      <c r="BI36" s="2177"/>
      <c r="BJ36" s="2177"/>
      <c r="BK36" s="2186">
        <f t="shared" si="37"/>
        <v>0</v>
      </c>
      <c r="BL36" s="2177"/>
      <c r="BM36" s="2177"/>
      <c r="BN36" s="2186">
        <f t="shared" si="38"/>
        <v>0</v>
      </c>
      <c r="BO36" s="2177"/>
      <c r="BP36" s="2177"/>
      <c r="BQ36" s="2186">
        <f t="shared" si="39"/>
        <v>0</v>
      </c>
    </row>
    <row r="37" spans="3:69" s="2159" customFormat="1" ht="21.6" hidden="1" customHeight="1">
      <c r="C37" s="2147" t="s">
        <v>390</v>
      </c>
      <c r="D37" s="2148" t="s">
        <v>2133</v>
      </c>
      <c r="E37" s="2149"/>
      <c r="F37" s="2150"/>
      <c r="G37" s="2151"/>
      <c r="H37" s="2151"/>
      <c r="I37" s="2152"/>
      <c r="J37" s="2150"/>
      <c r="K37" s="2151"/>
      <c r="L37" s="2151"/>
      <c r="M37" s="2152"/>
      <c r="N37" s="2151"/>
      <c r="O37" s="2151"/>
      <c r="P37" s="2152"/>
      <c r="Q37" s="2150"/>
      <c r="R37" s="2151"/>
      <c r="S37" s="2153"/>
      <c r="T37" s="2154"/>
      <c r="U37" s="2151"/>
      <c r="V37" s="2153"/>
      <c r="W37" s="2155"/>
      <c r="X37" s="2151"/>
      <c r="Y37" s="2156"/>
      <c r="Z37" s="2150"/>
      <c r="AA37" s="2151"/>
      <c r="AB37" s="2152"/>
      <c r="AC37" s="2150"/>
      <c r="AD37" s="2151"/>
      <c r="AE37" s="2153"/>
      <c r="AF37" s="2157"/>
      <c r="AG37" s="2158"/>
      <c r="AH37" s="2151"/>
      <c r="AI37" s="2151"/>
      <c r="AJ37" s="2152"/>
      <c r="AK37" s="2151"/>
      <c r="AL37" s="2151"/>
      <c r="AM37" s="2152"/>
      <c r="AN37" s="2151"/>
      <c r="AO37" s="2151"/>
      <c r="AP37" s="2152"/>
      <c r="AQ37" s="2151"/>
      <c r="AR37" s="2151"/>
      <c r="AS37" s="2152"/>
      <c r="AT37" s="2151"/>
      <c r="AU37" s="2151"/>
      <c r="AV37" s="2152"/>
      <c r="AW37" s="2151"/>
      <c r="AX37" s="2151"/>
      <c r="AY37" s="2152"/>
      <c r="AZ37" s="2151"/>
      <c r="BA37" s="2151"/>
      <c r="BB37" s="2152"/>
      <c r="BC37" s="2151"/>
      <c r="BD37" s="2151"/>
      <c r="BE37" s="2152"/>
      <c r="BF37" s="2151"/>
      <c r="BG37" s="2151"/>
      <c r="BH37" s="2152"/>
      <c r="BI37" s="2151"/>
      <c r="BJ37" s="2151"/>
      <c r="BK37" s="2152"/>
      <c r="BL37" s="2151"/>
      <c r="BM37" s="2151"/>
      <c r="BN37" s="2152"/>
      <c r="BO37" s="2151"/>
      <c r="BP37" s="2151"/>
      <c r="BQ37" s="2152"/>
    </row>
    <row r="38" spans="3:69" s="2159" customFormat="1" ht="21.6" hidden="1" customHeight="1">
      <c r="C38" s="2201" t="s">
        <v>2134</v>
      </c>
      <c r="D38" s="2202" t="s">
        <v>2135</v>
      </c>
      <c r="E38" s="2203" t="s">
        <v>2136</v>
      </c>
      <c r="F38" s="2162"/>
      <c r="G38" s="2163">
        <f>IFERROR(G70/G10,0)</f>
        <v>0</v>
      </c>
      <c r="H38" s="2163">
        <f>IFERROR(H70/H10,0)</f>
        <v>0</v>
      </c>
      <c r="I38" s="2164">
        <f>H38-G38</f>
        <v>0</v>
      </c>
      <c r="J38" s="2162"/>
      <c r="K38" s="2163">
        <f>IFERROR(K70/K10,0)</f>
        <v>0</v>
      </c>
      <c r="L38" s="2163">
        <f>IFERROR(L70/L10,0)</f>
        <v>0</v>
      </c>
      <c r="M38" s="2164">
        <f>L38-K38</f>
        <v>0</v>
      </c>
      <c r="N38" s="2163">
        <f>IFERROR(N70/N10,0)</f>
        <v>0</v>
      </c>
      <c r="O38" s="2163">
        <f>IFERROR(O70/O10,0)</f>
        <v>0</v>
      </c>
      <c r="P38" s="2164">
        <f>O38-N38</f>
        <v>0</v>
      </c>
      <c r="Q38" s="2165">
        <f>IFERROR(Q70/Q10,0)</f>
        <v>0</v>
      </c>
      <c r="R38" s="2163">
        <f>IFERROR(R70/R10,0)</f>
        <v>0</v>
      </c>
      <c r="S38" s="2166">
        <f>R38-Q38</f>
        <v>0</v>
      </c>
      <c r="T38" s="2167">
        <f>IFERROR(T70/T10,0)</f>
        <v>0</v>
      </c>
      <c r="U38" s="2163">
        <f>IFERROR(U70/U10,0)</f>
        <v>0</v>
      </c>
      <c r="V38" s="2166">
        <f>U38-T38</f>
        <v>0</v>
      </c>
      <c r="W38" s="2168">
        <f>IFERROR(W70/W10,0)</f>
        <v>0</v>
      </c>
      <c r="X38" s="2163">
        <f>IFERROR(X70/X10,0)</f>
        <v>0</v>
      </c>
      <c r="Y38" s="2169">
        <f>X38-W38</f>
        <v>0</v>
      </c>
      <c r="Z38" s="2165">
        <f>IFERROR(Z70/Z10,0)</f>
        <v>0</v>
      </c>
      <c r="AA38" s="2163">
        <f>IFERROR(AA70/AA10,0)</f>
        <v>0</v>
      </c>
      <c r="AB38" s="2164">
        <f>AA38-Z38</f>
        <v>0</v>
      </c>
      <c r="AC38" s="2165">
        <f>IFERROR(AC70/AC10,0)</f>
        <v>0</v>
      </c>
      <c r="AD38" s="2163">
        <f>IFERROR(AD70/AD10,0)</f>
        <v>0</v>
      </c>
      <c r="AE38" s="2166">
        <f>AD38-AC38</f>
        <v>0</v>
      </c>
      <c r="AF38" s="2204"/>
      <c r="AG38" s="2158"/>
      <c r="AH38" s="2171">
        <f>IFERROR(AH70/AH10,0)</f>
        <v>0</v>
      </c>
      <c r="AI38" s="2171">
        <f>IFERROR(AI70/AI10,0)</f>
        <v>0</v>
      </c>
      <c r="AJ38" s="2172">
        <f>AI38-AH38</f>
        <v>0</v>
      </c>
      <c r="AK38" s="2171">
        <f>IFERROR(AK70/AK10,0)</f>
        <v>0</v>
      </c>
      <c r="AL38" s="2171">
        <f>IFERROR(AL70/AL10,0)</f>
        <v>0</v>
      </c>
      <c r="AM38" s="2172">
        <f>AL38-AK38</f>
        <v>0</v>
      </c>
      <c r="AN38" s="2171">
        <f>IFERROR(AN70/AN10,0)</f>
        <v>0</v>
      </c>
      <c r="AO38" s="2171">
        <f>IFERROR(AO70/AO10,0)</f>
        <v>0</v>
      </c>
      <c r="AP38" s="2172">
        <f>AO38-AN38</f>
        <v>0</v>
      </c>
      <c r="AQ38" s="2171">
        <f>IFERROR(AQ70/AQ10,0)</f>
        <v>0</v>
      </c>
      <c r="AR38" s="2171">
        <f>IFERROR(AR70/AR10,0)</f>
        <v>0</v>
      </c>
      <c r="AS38" s="2172">
        <f>AR38-AQ38</f>
        <v>0</v>
      </c>
      <c r="AT38" s="2171">
        <f>IFERROR(AT70/AT10,0)</f>
        <v>0</v>
      </c>
      <c r="AU38" s="2171">
        <f>IFERROR(AU70/AU10,0)</f>
        <v>0</v>
      </c>
      <c r="AV38" s="2172">
        <f>AU38-AT38</f>
        <v>0</v>
      </c>
      <c r="AW38" s="2171">
        <f>IFERROR(AW70/AW10,0)</f>
        <v>0</v>
      </c>
      <c r="AX38" s="2171">
        <f>IFERROR(AX70/AX10,0)</f>
        <v>0</v>
      </c>
      <c r="AY38" s="2172">
        <f>AX38-AW38</f>
        <v>0</v>
      </c>
      <c r="AZ38" s="2171">
        <f>IFERROR(AZ70/AZ10,0)</f>
        <v>0</v>
      </c>
      <c r="BA38" s="2171">
        <f>IFERROR(BA70/BA10,0)</f>
        <v>0</v>
      </c>
      <c r="BB38" s="2172">
        <f>BA38-AZ38</f>
        <v>0</v>
      </c>
      <c r="BC38" s="2171">
        <f>IFERROR(BC70/BC10,0)</f>
        <v>0</v>
      </c>
      <c r="BD38" s="2171">
        <f>IFERROR(BD70/BD10,0)</f>
        <v>0</v>
      </c>
      <c r="BE38" s="2172">
        <f>BD38-BC38</f>
        <v>0</v>
      </c>
      <c r="BF38" s="2171">
        <f>IFERROR(BF70/BF10,0)</f>
        <v>0</v>
      </c>
      <c r="BG38" s="2171">
        <f>IFERROR(BG70/BG10,0)</f>
        <v>0</v>
      </c>
      <c r="BH38" s="2172">
        <f>BG38-BF38</f>
        <v>0</v>
      </c>
      <c r="BI38" s="2171">
        <f>IFERROR(BI70/BI10,0)</f>
        <v>0</v>
      </c>
      <c r="BJ38" s="2171">
        <f>IFERROR(BJ70/BJ10,0)</f>
        <v>0</v>
      </c>
      <c r="BK38" s="2172">
        <f>BJ38-BI38</f>
        <v>0</v>
      </c>
      <c r="BL38" s="2171">
        <f>IFERROR(BL70/BL10,0)</f>
        <v>0</v>
      </c>
      <c r="BM38" s="2171">
        <f>IFERROR(BM70/BM10,0)</f>
        <v>0</v>
      </c>
      <c r="BN38" s="2172">
        <f>BM38-BL38</f>
        <v>0</v>
      </c>
      <c r="BO38" s="2171">
        <f>IFERROR(BO70/BO10,0)</f>
        <v>0</v>
      </c>
      <c r="BP38" s="2171">
        <f>IFERROR(BP70/BP10,0)</f>
        <v>0</v>
      </c>
      <c r="BQ38" s="2172">
        <f>BP38-BO38</f>
        <v>0</v>
      </c>
    </row>
    <row r="39" spans="3:69" s="2207" customFormat="1" ht="21.6" hidden="1" customHeight="1">
      <c r="C39" s="2201" t="s">
        <v>2137</v>
      </c>
      <c r="D39" s="2202" t="s">
        <v>2138</v>
      </c>
      <c r="E39" s="2205" t="s">
        <v>2136</v>
      </c>
      <c r="F39" s="2162"/>
      <c r="G39" s="2163">
        <f t="shared" ref="G39:H44" si="40">IFERROR(G71/G10,0)</f>
        <v>0</v>
      </c>
      <c r="H39" s="2163">
        <f t="shared" si="40"/>
        <v>0</v>
      </c>
      <c r="I39" s="2164">
        <f t="shared" ref="I39:I64" si="41">H39-G39</f>
        <v>0</v>
      </c>
      <c r="J39" s="2162"/>
      <c r="K39" s="2163">
        <f t="shared" ref="K39:L54" si="42">IFERROR(K71/K10,0)</f>
        <v>0</v>
      </c>
      <c r="L39" s="2163">
        <f t="shared" si="42"/>
        <v>0</v>
      </c>
      <c r="M39" s="2164">
        <f t="shared" ref="M39:M64" si="43">L39-K39</f>
        <v>0</v>
      </c>
      <c r="N39" s="2163">
        <f t="shared" ref="N39:O54" si="44">IFERROR(N71/N10,0)</f>
        <v>0</v>
      </c>
      <c r="O39" s="2163">
        <f t="shared" si="44"/>
        <v>0</v>
      </c>
      <c r="P39" s="2164">
        <f t="shared" ref="P39:P65" si="45">O39-N39</f>
        <v>0</v>
      </c>
      <c r="Q39" s="2165">
        <f t="shared" ref="Q39:R54" si="46">IFERROR(Q71/Q10,0)</f>
        <v>0</v>
      </c>
      <c r="R39" s="2163">
        <f t="shared" si="46"/>
        <v>0</v>
      </c>
      <c r="S39" s="2166">
        <f t="shared" ref="S39:S65" si="47">R39-Q39</f>
        <v>0</v>
      </c>
      <c r="T39" s="2167">
        <f t="shared" ref="T39:U54" si="48">IFERROR(T71/T10,0)</f>
        <v>0</v>
      </c>
      <c r="U39" s="2163">
        <f t="shared" si="48"/>
        <v>0</v>
      </c>
      <c r="V39" s="2166">
        <f t="shared" ref="V39:V65" si="49">U39-T39</f>
        <v>0</v>
      </c>
      <c r="W39" s="2168">
        <f t="shared" ref="W39:X54" si="50">IFERROR(W71/W10,0)</f>
        <v>0</v>
      </c>
      <c r="X39" s="2163">
        <f t="shared" si="50"/>
        <v>0</v>
      </c>
      <c r="Y39" s="2169">
        <f t="shared" ref="Y39:Y65" si="51">X39-W39</f>
        <v>0</v>
      </c>
      <c r="Z39" s="2165">
        <f t="shared" ref="Z39:AA54" si="52">IFERROR(Z71/Z10,0)</f>
        <v>0</v>
      </c>
      <c r="AA39" s="2163">
        <f t="shared" si="52"/>
        <v>0</v>
      </c>
      <c r="AB39" s="2164">
        <f t="shared" ref="AB39:AB65" si="53">AA39-Z39</f>
        <v>0</v>
      </c>
      <c r="AC39" s="2165">
        <f t="shared" ref="AC39:AD54" si="54">IFERROR(AC71/AC10,0)</f>
        <v>0</v>
      </c>
      <c r="AD39" s="2163">
        <f t="shared" si="54"/>
        <v>0</v>
      </c>
      <c r="AE39" s="2166">
        <f t="shared" ref="AE39:AE65" si="55">AD39-AC39</f>
        <v>0</v>
      </c>
      <c r="AF39" s="2204"/>
      <c r="AG39" s="2206"/>
      <c r="AH39" s="2171">
        <f t="shared" ref="AH39:AI54" si="56">IFERROR(AH71/AH10,0)</f>
        <v>0</v>
      </c>
      <c r="AI39" s="2171">
        <f t="shared" si="56"/>
        <v>0</v>
      </c>
      <c r="AJ39" s="2172">
        <f t="shared" ref="AJ39:AJ65" si="57">AI39-AH39</f>
        <v>0</v>
      </c>
      <c r="AK39" s="2171">
        <f t="shared" ref="AK39:AL54" si="58">IFERROR(AK71/AK10,0)</f>
        <v>0</v>
      </c>
      <c r="AL39" s="2171">
        <f t="shared" si="58"/>
        <v>0</v>
      </c>
      <c r="AM39" s="2172">
        <f t="shared" ref="AM39:AM65" si="59">AL39-AK39</f>
        <v>0</v>
      </c>
      <c r="AN39" s="2171">
        <f t="shared" ref="AN39:AO54" si="60">IFERROR(AN71/AN10,0)</f>
        <v>0</v>
      </c>
      <c r="AO39" s="2171">
        <f t="shared" si="60"/>
        <v>0</v>
      </c>
      <c r="AP39" s="2172">
        <f t="shared" ref="AP39:AP65" si="61">AO39-AN39</f>
        <v>0</v>
      </c>
      <c r="AQ39" s="2171">
        <f t="shared" ref="AQ39:AR54" si="62">IFERROR(AQ71/AQ10,0)</f>
        <v>0</v>
      </c>
      <c r="AR39" s="2171">
        <f t="shared" si="62"/>
        <v>0</v>
      </c>
      <c r="AS39" s="2172">
        <f t="shared" ref="AS39:AS65" si="63">AR39-AQ39</f>
        <v>0</v>
      </c>
      <c r="AT39" s="2171">
        <f t="shared" ref="AT39:AU54" si="64">IFERROR(AT71/AT10,0)</f>
        <v>0</v>
      </c>
      <c r="AU39" s="2171">
        <f t="shared" si="64"/>
        <v>0</v>
      </c>
      <c r="AV39" s="2172">
        <f t="shared" ref="AV39:AV65" si="65">AU39-AT39</f>
        <v>0</v>
      </c>
      <c r="AW39" s="2171">
        <f t="shared" ref="AW39:AX54" si="66">IFERROR(AW71/AW10,0)</f>
        <v>0</v>
      </c>
      <c r="AX39" s="2171">
        <f t="shared" si="66"/>
        <v>0</v>
      </c>
      <c r="AY39" s="2172">
        <f t="shared" ref="AY39:AY65" si="67">AX39-AW39</f>
        <v>0</v>
      </c>
      <c r="AZ39" s="2171">
        <f t="shared" ref="AZ39:BA54" si="68">IFERROR(AZ71/AZ10,0)</f>
        <v>0</v>
      </c>
      <c r="BA39" s="2171">
        <f t="shared" si="68"/>
        <v>0</v>
      </c>
      <c r="BB39" s="2172">
        <f t="shared" ref="BB39:BB65" si="69">BA39-AZ39</f>
        <v>0</v>
      </c>
      <c r="BC39" s="2171">
        <f t="shared" ref="BC39:BD54" si="70">IFERROR(BC71/BC10,0)</f>
        <v>0</v>
      </c>
      <c r="BD39" s="2171">
        <f t="shared" si="70"/>
        <v>0</v>
      </c>
      <c r="BE39" s="2172">
        <f t="shared" ref="BE39:BE65" si="71">BD39-BC39</f>
        <v>0</v>
      </c>
      <c r="BF39" s="2171">
        <f t="shared" ref="BF39:BG54" si="72">IFERROR(BF71/BF10,0)</f>
        <v>0</v>
      </c>
      <c r="BG39" s="2171">
        <f t="shared" si="72"/>
        <v>0</v>
      </c>
      <c r="BH39" s="2172">
        <f t="shared" ref="BH39:BH65" si="73">BG39-BF39</f>
        <v>0</v>
      </c>
      <c r="BI39" s="2171">
        <f t="shared" ref="BI39:BJ54" si="74">IFERROR(BI71/BI10,0)</f>
        <v>0</v>
      </c>
      <c r="BJ39" s="2171">
        <f t="shared" si="74"/>
        <v>0</v>
      </c>
      <c r="BK39" s="2172">
        <f t="shared" ref="BK39:BK65" si="75">BJ39-BI39</f>
        <v>0</v>
      </c>
      <c r="BL39" s="2171">
        <f t="shared" ref="BL39:BM54" si="76">IFERROR(BL71/BL10,0)</f>
        <v>0</v>
      </c>
      <c r="BM39" s="2171">
        <f t="shared" si="76"/>
        <v>0</v>
      </c>
      <c r="BN39" s="2172">
        <f t="shared" ref="BN39:BN65" si="77">BM39-BL39</f>
        <v>0</v>
      </c>
      <c r="BO39" s="2171">
        <f t="shared" ref="BO39:BP54" si="78">IFERROR(BO71/BO10,0)</f>
        <v>0</v>
      </c>
      <c r="BP39" s="2171">
        <f t="shared" si="78"/>
        <v>0</v>
      </c>
      <c r="BQ39" s="2172">
        <f t="shared" ref="BQ39:BQ65" si="79">BP39-BO39</f>
        <v>0</v>
      </c>
    </row>
    <row r="40" spans="3:69" ht="21.6" hidden="1" customHeight="1">
      <c r="C40" s="2208" t="s">
        <v>2139</v>
      </c>
      <c r="D40" s="2209" t="s">
        <v>2084</v>
      </c>
      <c r="E40" s="2210" t="s">
        <v>2136</v>
      </c>
      <c r="F40" s="2176"/>
      <c r="G40" s="2179">
        <f t="shared" si="40"/>
        <v>0</v>
      </c>
      <c r="H40" s="2179">
        <f t="shared" si="40"/>
        <v>0</v>
      </c>
      <c r="I40" s="2178">
        <f t="shared" si="41"/>
        <v>0</v>
      </c>
      <c r="J40" s="2176"/>
      <c r="K40" s="2179">
        <f t="shared" si="42"/>
        <v>0</v>
      </c>
      <c r="L40" s="2179">
        <f t="shared" si="42"/>
        <v>0</v>
      </c>
      <c r="M40" s="2178">
        <f t="shared" si="43"/>
        <v>0</v>
      </c>
      <c r="N40" s="2179">
        <f t="shared" si="44"/>
        <v>0</v>
      </c>
      <c r="O40" s="2179">
        <f t="shared" si="44"/>
        <v>0</v>
      </c>
      <c r="P40" s="2178">
        <f t="shared" si="45"/>
        <v>0</v>
      </c>
      <c r="Q40" s="2184">
        <f t="shared" si="46"/>
        <v>0</v>
      </c>
      <c r="R40" s="2179">
        <f t="shared" si="46"/>
        <v>0</v>
      </c>
      <c r="S40" s="2180">
        <f t="shared" si="47"/>
        <v>0</v>
      </c>
      <c r="T40" s="2181">
        <f t="shared" si="48"/>
        <v>0</v>
      </c>
      <c r="U40" s="2179">
        <f t="shared" si="48"/>
        <v>0</v>
      </c>
      <c r="V40" s="2180">
        <f t="shared" si="49"/>
        <v>0</v>
      </c>
      <c r="W40" s="2187">
        <f t="shared" si="50"/>
        <v>0</v>
      </c>
      <c r="X40" s="2179">
        <f t="shared" si="50"/>
        <v>0</v>
      </c>
      <c r="Y40" s="2183">
        <f t="shared" si="51"/>
        <v>0</v>
      </c>
      <c r="Z40" s="2184">
        <f t="shared" si="52"/>
        <v>0</v>
      </c>
      <c r="AA40" s="2179">
        <f t="shared" si="52"/>
        <v>0</v>
      </c>
      <c r="AB40" s="2178">
        <f t="shared" si="53"/>
        <v>0</v>
      </c>
      <c r="AC40" s="2184">
        <f t="shared" si="54"/>
        <v>0</v>
      </c>
      <c r="AD40" s="2179">
        <f t="shared" si="54"/>
        <v>0</v>
      </c>
      <c r="AE40" s="2180">
        <f t="shared" si="55"/>
        <v>0</v>
      </c>
      <c r="AF40" s="2204"/>
      <c r="AG40" s="2145"/>
      <c r="AH40" s="2188">
        <f t="shared" si="56"/>
        <v>0</v>
      </c>
      <c r="AI40" s="2188">
        <f t="shared" si="56"/>
        <v>0</v>
      </c>
      <c r="AJ40" s="2186">
        <f t="shared" si="57"/>
        <v>0</v>
      </c>
      <c r="AK40" s="2188">
        <f t="shared" si="58"/>
        <v>0</v>
      </c>
      <c r="AL40" s="2188">
        <f t="shared" si="58"/>
        <v>0</v>
      </c>
      <c r="AM40" s="2186">
        <f t="shared" si="59"/>
        <v>0</v>
      </c>
      <c r="AN40" s="2188">
        <f t="shared" si="60"/>
        <v>0</v>
      </c>
      <c r="AO40" s="2188">
        <f t="shared" si="60"/>
        <v>0</v>
      </c>
      <c r="AP40" s="2186">
        <f t="shared" si="61"/>
        <v>0</v>
      </c>
      <c r="AQ40" s="2188">
        <f t="shared" si="62"/>
        <v>0</v>
      </c>
      <c r="AR40" s="2188">
        <f t="shared" si="62"/>
        <v>0</v>
      </c>
      <c r="AS40" s="2186">
        <f t="shared" si="63"/>
        <v>0</v>
      </c>
      <c r="AT40" s="2188">
        <f t="shared" si="64"/>
        <v>0</v>
      </c>
      <c r="AU40" s="2188">
        <f t="shared" si="64"/>
        <v>0</v>
      </c>
      <c r="AV40" s="2186">
        <f t="shared" si="65"/>
        <v>0</v>
      </c>
      <c r="AW40" s="2188">
        <f t="shared" si="66"/>
        <v>0</v>
      </c>
      <c r="AX40" s="2188">
        <f t="shared" si="66"/>
        <v>0</v>
      </c>
      <c r="AY40" s="2186">
        <f t="shared" si="67"/>
        <v>0</v>
      </c>
      <c r="AZ40" s="2188">
        <f t="shared" si="68"/>
        <v>0</v>
      </c>
      <c r="BA40" s="2188">
        <f t="shared" si="68"/>
        <v>0</v>
      </c>
      <c r="BB40" s="2186">
        <f t="shared" si="69"/>
        <v>0</v>
      </c>
      <c r="BC40" s="2188">
        <f t="shared" si="70"/>
        <v>0</v>
      </c>
      <c r="BD40" s="2188">
        <f t="shared" si="70"/>
        <v>0</v>
      </c>
      <c r="BE40" s="2186">
        <f t="shared" si="71"/>
        <v>0</v>
      </c>
      <c r="BF40" s="2188">
        <f t="shared" si="72"/>
        <v>0</v>
      </c>
      <c r="BG40" s="2188">
        <f t="shared" si="72"/>
        <v>0</v>
      </c>
      <c r="BH40" s="2186">
        <f t="shared" si="73"/>
        <v>0</v>
      </c>
      <c r="BI40" s="2188">
        <f t="shared" si="74"/>
        <v>0</v>
      </c>
      <c r="BJ40" s="2188">
        <f t="shared" si="74"/>
        <v>0</v>
      </c>
      <c r="BK40" s="2186">
        <f t="shared" si="75"/>
        <v>0</v>
      </c>
      <c r="BL40" s="2188">
        <f t="shared" si="76"/>
        <v>0</v>
      </c>
      <c r="BM40" s="2188">
        <f t="shared" si="76"/>
        <v>0</v>
      </c>
      <c r="BN40" s="2186">
        <f t="shared" si="77"/>
        <v>0</v>
      </c>
      <c r="BO40" s="2188">
        <f t="shared" si="78"/>
        <v>0</v>
      </c>
      <c r="BP40" s="2188">
        <f t="shared" si="78"/>
        <v>0</v>
      </c>
      <c r="BQ40" s="2186">
        <f t="shared" si="79"/>
        <v>0</v>
      </c>
    </row>
    <row r="41" spans="3:69" ht="21.6" hidden="1" customHeight="1">
      <c r="C41" s="2208" t="s">
        <v>2140</v>
      </c>
      <c r="D41" s="2209" t="s">
        <v>2086</v>
      </c>
      <c r="E41" s="2210" t="s">
        <v>2136</v>
      </c>
      <c r="F41" s="2176"/>
      <c r="G41" s="2179">
        <f t="shared" si="40"/>
        <v>0</v>
      </c>
      <c r="H41" s="2179">
        <f t="shared" si="40"/>
        <v>0</v>
      </c>
      <c r="I41" s="2178">
        <f t="shared" si="41"/>
        <v>0</v>
      </c>
      <c r="J41" s="2176"/>
      <c r="K41" s="2179">
        <f t="shared" si="42"/>
        <v>0</v>
      </c>
      <c r="L41" s="2179">
        <f t="shared" si="42"/>
        <v>0</v>
      </c>
      <c r="M41" s="2178">
        <f t="shared" si="43"/>
        <v>0</v>
      </c>
      <c r="N41" s="2179">
        <f t="shared" si="44"/>
        <v>0</v>
      </c>
      <c r="O41" s="2179">
        <f t="shared" si="44"/>
        <v>0</v>
      </c>
      <c r="P41" s="2178">
        <f t="shared" si="45"/>
        <v>0</v>
      </c>
      <c r="Q41" s="2184">
        <f t="shared" si="46"/>
        <v>0</v>
      </c>
      <c r="R41" s="2179">
        <f t="shared" si="46"/>
        <v>0</v>
      </c>
      <c r="S41" s="2180">
        <f t="shared" si="47"/>
        <v>0</v>
      </c>
      <c r="T41" s="2181">
        <f t="shared" si="48"/>
        <v>0</v>
      </c>
      <c r="U41" s="2179">
        <f t="shared" si="48"/>
        <v>0</v>
      </c>
      <c r="V41" s="2180">
        <f t="shared" si="49"/>
        <v>0</v>
      </c>
      <c r="W41" s="2187">
        <f t="shared" si="50"/>
        <v>0</v>
      </c>
      <c r="X41" s="2179">
        <f t="shared" si="50"/>
        <v>0</v>
      </c>
      <c r="Y41" s="2183">
        <f t="shared" si="51"/>
        <v>0</v>
      </c>
      <c r="Z41" s="2184">
        <f t="shared" si="52"/>
        <v>0</v>
      </c>
      <c r="AA41" s="2179">
        <f t="shared" si="52"/>
        <v>0</v>
      </c>
      <c r="AB41" s="2178">
        <f t="shared" si="53"/>
        <v>0</v>
      </c>
      <c r="AC41" s="2184">
        <f t="shared" si="54"/>
        <v>0</v>
      </c>
      <c r="AD41" s="2179">
        <f t="shared" si="54"/>
        <v>0</v>
      </c>
      <c r="AE41" s="2180">
        <f t="shared" si="55"/>
        <v>0</v>
      </c>
      <c r="AF41" s="2204"/>
      <c r="AG41" s="2145"/>
      <c r="AH41" s="2188">
        <f t="shared" si="56"/>
        <v>0</v>
      </c>
      <c r="AI41" s="2188">
        <f t="shared" si="56"/>
        <v>0</v>
      </c>
      <c r="AJ41" s="2186">
        <f t="shared" si="57"/>
        <v>0</v>
      </c>
      <c r="AK41" s="2188">
        <f t="shared" si="58"/>
        <v>0</v>
      </c>
      <c r="AL41" s="2188">
        <f t="shared" si="58"/>
        <v>0</v>
      </c>
      <c r="AM41" s="2186">
        <f t="shared" si="59"/>
        <v>0</v>
      </c>
      <c r="AN41" s="2188">
        <f t="shared" si="60"/>
        <v>0</v>
      </c>
      <c r="AO41" s="2188">
        <f t="shared" si="60"/>
        <v>0</v>
      </c>
      <c r="AP41" s="2186">
        <f t="shared" si="61"/>
        <v>0</v>
      </c>
      <c r="AQ41" s="2188">
        <f t="shared" si="62"/>
        <v>0</v>
      </c>
      <c r="AR41" s="2188">
        <f t="shared" si="62"/>
        <v>0</v>
      </c>
      <c r="AS41" s="2186">
        <f t="shared" si="63"/>
        <v>0</v>
      </c>
      <c r="AT41" s="2188">
        <f t="shared" si="64"/>
        <v>0</v>
      </c>
      <c r="AU41" s="2188">
        <f t="shared" si="64"/>
        <v>0</v>
      </c>
      <c r="AV41" s="2186">
        <f t="shared" si="65"/>
        <v>0</v>
      </c>
      <c r="AW41" s="2188">
        <f t="shared" si="66"/>
        <v>0</v>
      </c>
      <c r="AX41" s="2188">
        <f t="shared" si="66"/>
        <v>0</v>
      </c>
      <c r="AY41" s="2186">
        <f t="shared" si="67"/>
        <v>0</v>
      </c>
      <c r="AZ41" s="2188">
        <f t="shared" si="68"/>
        <v>0</v>
      </c>
      <c r="BA41" s="2188">
        <f t="shared" si="68"/>
        <v>0</v>
      </c>
      <c r="BB41" s="2186">
        <f t="shared" si="69"/>
        <v>0</v>
      </c>
      <c r="BC41" s="2188">
        <f t="shared" si="70"/>
        <v>0</v>
      </c>
      <c r="BD41" s="2188">
        <f t="shared" si="70"/>
        <v>0</v>
      </c>
      <c r="BE41" s="2186">
        <f t="shared" si="71"/>
        <v>0</v>
      </c>
      <c r="BF41" s="2188">
        <f t="shared" si="72"/>
        <v>0</v>
      </c>
      <c r="BG41" s="2188">
        <f t="shared" si="72"/>
        <v>0</v>
      </c>
      <c r="BH41" s="2186">
        <f t="shared" si="73"/>
        <v>0</v>
      </c>
      <c r="BI41" s="2188">
        <f t="shared" si="74"/>
        <v>0</v>
      </c>
      <c r="BJ41" s="2188">
        <f t="shared" si="74"/>
        <v>0</v>
      </c>
      <c r="BK41" s="2186">
        <f t="shared" si="75"/>
        <v>0</v>
      </c>
      <c r="BL41" s="2188">
        <f t="shared" si="76"/>
        <v>0</v>
      </c>
      <c r="BM41" s="2188">
        <f t="shared" si="76"/>
        <v>0</v>
      </c>
      <c r="BN41" s="2186">
        <f t="shared" si="77"/>
        <v>0</v>
      </c>
      <c r="BO41" s="2188">
        <f t="shared" si="78"/>
        <v>0</v>
      </c>
      <c r="BP41" s="2188">
        <f t="shared" si="78"/>
        <v>0</v>
      </c>
      <c r="BQ41" s="2186">
        <f t="shared" si="79"/>
        <v>0</v>
      </c>
    </row>
    <row r="42" spans="3:69" ht="21.6" hidden="1" customHeight="1">
      <c r="C42" s="2208" t="s">
        <v>2141</v>
      </c>
      <c r="D42" s="2209" t="s">
        <v>2088</v>
      </c>
      <c r="E42" s="2210" t="s">
        <v>2136</v>
      </c>
      <c r="F42" s="2176"/>
      <c r="G42" s="2179">
        <f t="shared" si="40"/>
        <v>0</v>
      </c>
      <c r="H42" s="2179">
        <f t="shared" si="40"/>
        <v>0</v>
      </c>
      <c r="I42" s="2178">
        <f t="shared" si="41"/>
        <v>0</v>
      </c>
      <c r="J42" s="2176"/>
      <c r="K42" s="2179">
        <f t="shared" si="42"/>
        <v>0</v>
      </c>
      <c r="L42" s="2179">
        <f t="shared" si="42"/>
        <v>0</v>
      </c>
      <c r="M42" s="2178">
        <f t="shared" si="43"/>
        <v>0</v>
      </c>
      <c r="N42" s="2179">
        <f t="shared" si="44"/>
        <v>0</v>
      </c>
      <c r="O42" s="2179">
        <f t="shared" si="44"/>
        <v>0</v>
      </c>
      <c r="P42" s="2178">
        <f t="shared" si="45"/>
        <v>0</v>
      </c>
      <c r="Q42" s="2184">
        <f t="shared" si="46"/>
        <v>0</v>
      </c>
      <c r="R42" s="2179">
        <f t="shared" si="46"/>
        <v>0</v>
      </c>
      <c r="S42" s="2180">
        <f t="shared" si="47"/>
        <v>0</v>
      </c>
      <c r="T42" s="2181">
        <f t="shared" si="48"/>
        <v>0</v>
      </c>
      <c r="U42" s="2179">
        <f t="shared" si="48"/>
        <v>0</v>
      </c>
      <c r="V42" s="2180">
        <f t="shared" si="49"/>
        <v>0</v>
      </c>
      <c r="W42" s="2187">
        <f t="shared" si="50"/>
        <v>0</v>
      </c>
      <c r="X42" s="2179">
        <f t="shared" si="50"/>
        <v>0</v>
      </c>
      <c r="Y42" s="2183">
        <f t="shared" si="51"/>
        <v>0</v>
      </c>
      <c r="Z42" s="2184">
        <f t="shared" si="52"/>
        <v>0</v>
      </c>
      <c r="AA42" s="2179">
        <f t="shared" si="52"/>
        <v>0</v>
      </c>
      <c r="AB42" s="2178">
        <f t="shared" si="53"/>
        <v>0</v>
      </c>
      <c r="AC42" s="2184">
        <f t="shared" si="54"/>
        <v>0</v>
      </c>
      <c r="AD42" s="2179">
        <f t="shared" si="54"/>
        <v>0</v>
      </c>
      <c r="AE42" s="2180">
        <f t="shared" si="55"/>
        <v>0</v>
      </c>
      <c r="AF42" s="2204"/>
      <c r="AG42" s="2145"/>
      <c r="AH42" s="2188">
        <f t="shared" si="56"/>
        <v>0</v>
      </c>
      <c r="AI42" s="2188">
        <f t="shared" si="56"/>
        <v>0</v>
      </c>
      <c r="AJ42" s="2186">
        <f t="shared" si="57"/>
        <v>0</v>
      </c>
      <c r="AK42" s="2188">
        <f t="shared" si="58"/>
        <v>0</v>
      </c>
      <c r="AL42" s="2188">
        <f t="shared" si="58"/>
        <v>0</v>
      </c>
      <c r="AM42" s="2186">
        <f t="shared" si="59"/>
        <v>0</v>
      </c>
      <c r="AN42" s="2188">
        <f t="shared" si="60"/>
        <v>0</v>
      </c>
      <c r="AO42" s="2188">
        <f t="shared" si="60"/>
        <v>0</v>
      </c>
      <c r="AP42" s="2186">
        <f t="shared" si="61"/>
        <v>0</v>
      </c>
      <c r="AQ42" s="2188">
        <f t="shared" si="62"/>
        <v>0</v>
      </c>
      <c r="AR42" s="2188">
        <f t="shared" si="62"/>
        <v>0</v>
      </c>
      <c r="AS42" s="2186">
        <f t="shared" si="63"/>
        <v>0</v>
      </c>
      <c r="AT42" s="2188">
        <f t="shared" si="64"/>
        <v>0</v>
      </c>
      <c r="AU42" s="2188">
        <f t="shared" si="64"/>
        <v>0</v>
      </c>
      <c r="AV42" s="2186">
        <f t="shared" si="65"/>
        <v>0</v>
      </c>
      <c r="AW42" s="2188">
        <f t="shared" si="66"/>
        <v>0</v>
      </c>
      <c r="AX42" s="2188">
        <f t="shared" si="66"/>
        <v>0</v>
      </c>
      <c r="AY42" s="2186">
        <f t="shared" si="67"/>
        <v>0</v>
      </c>
      <c r="AZ42" s="2188">
        <f t="shared" si="68"/>
        <v>0</v>
      </c>
      <c r="BA42" s="2188">
        <f t="shared" si="68"/>
        <v>0</v>
      </c>
      <c r="BB42" s="2186">
        <f t="shared" si="69"/>
        <v>0</v>
      </c>
      <c r="BC42" s="2188">
        <f t="shared" si="70"/>
        <v>0</v>
      </c>
      <c r="BD42" s="2188">
        <f t="shared" si="70"/>
        <v>0</v>
      </c>
      <c r="BE42" s="2186">
        <f t="shared" si="71"/>
        <v>0</v>
      </c>
      <c r="BF42" s="2188">
        <f t="shared" si="72"/>
        <v>0</v>
      </c>
      <c r="BG42" s="2188">
        <f t="shared" si="72"/>
        <v>0</v>
      </c>
      <c r="BH42" s="2186">
        <f t="shared" si="73"/>
        <v>0</v>
      </c>
      <c r="BI42" s="2188">
        <f t="shared" si="74"/>
        <v>0</v>
      </c>
      <c r="BJ42" s="2188">
        <f t="shared" si="74"/>
        <v>0</v>
      </c>
      <c r="BK42" s="2186">
        <f t="shared" si="75"/>
        <v>0</v>
      </c>
      <c r="BL42" s="2188">
        <f t="shared" si="76"/>
        <v>0</v>
      </c>
      <c r="BM42" s="2188">
        <f t="shared" si="76"/>
        <v>0</v>
      </c>
      <c r="BN42" s="2186">
        <f t="shared" si="77"/>
        <v>0</v>
      </c>
      <c r="BO42" s="2188">
        <f t="shared" si="78"/>
        <v>0</v>
      </c>
      <c r="BP42" s="2188">
        <f t="shared" si="78"/>
        <v>0</v>
      </c>
      <c r="BQ42" s="2186">
        <f t="shared" si="79"/>
        <v>0</v>
      </c>
    </row>
    <row r="43" spans="3:69" ht="21.6" hidden="1" customHeight="1">
      <c r="C43" s="2208" t="s">
        <v>2142</v>
      </c>
      <c r="D43" s="2209" t="s">
        <v>2090</v>
      </c>
      <c r="E43" s="2210" t="s">
        <v>2136</v>
      </c>
      <c r="F43" s="2176"/>
      <c r="G43" s="2179">
        <f t="shared" si="40"/>
        <v>0</v>
      </c>
      <c r="H43" s="2179">
        <f t="shared" si="40"/>
        <v>0</v>
      </c>
      <c r="I43" s="2178">
        <f t="shared" si="41"/>
        <v>0</v>
      </c>
      <c r="J43" s="2176"/>
      <c r="K43" s="2179">
        <f t="shared" si="42"/>
        <v>0</v>
      </c>
      <c r="L43" s="2179">
        <f t="shared" si="42"/>
        <v>0</v>
      </c>
      <c r="M43" s="2178">
        <f t="shared" si="43"/>
        <v>0</v>
      </c>
      <c r="N43" s="2179">
        <f t="shared" si="44"/>
        <v>0</v>
      </c>
      <c r="O43" s="2179">
        <f t="shared" si="44"/>
        <v>0</v>
      </c>
      <c r="P43" s="2178">
        <f t="shared" si="45"/>
        <v>0</v>
      </c>
      <c r="Q43" s="2184">
        <f t="shared" si="46"/>
        <v>0</v>
      </c>
      <c r="R43" s="2179">
        <f t="shared" si="46"/>
        <v>0</v>
      </c>
      <c r="S43" s="2180">
        <f t="shared" si="47"/>
        <v>0</v>
      </c>
      <c r="T43" s="2181">
        <f t="shared" si="48"/>
        <v>0</v>
      </c>
      <c r="U43" s="2179">
        <f t="shared" si="48"/>
        <v>0</v>
      </c>
      <c r="V43" s="2180">
        <f t="shared" si="49"/>
        <v>0</v>
      </c>
      <c r="W43" s="2187">
        <f t="shared" si="50"/>
        <v>0</v>
      </c>
      <c r="X43" s="2179">
        <f t="shared" si="50"/>
        <v>0</v>
      </c>
      <c r="Y43" s="2183">
        <f t="shared" si="51"/>
        <v>0</v>
      </c>
      <c r="Z43" s="2184">
        <f t="shared" si="52"/>
        <v>0</v>
      </c>
      <c r="AA43" s="2179">
        <f t="shared" si="52"/>
        <v>0</v>
      </c>
      <c r="AB43" s="2178">
        <f t="shared" si="53"/>
        <v>0</v>
      </c>
      <c r="AC43" s="2184">
        <f t="shared" si="54"/>
        <v>0</v>
      </c>
      <c r="AD43" s="2179">
        <f t="shared" si="54"/>
        <v>0</v>
      </c>
      <c r="AE43" s="2180">
        <f t="shared" si="55"/>
        <v>0</v>
      </c>
      <c r="AF43" s="2204"/>
      <c r="AG43" s="2145"/>
      <c r="AH43" s="2188">
        <f t="shared" si="56"/>
        <v>0</v>
      </c>
      <c r="AI43" s="2188">
        <f t="shared" si="56"/>
        <v>0</v>
      </c>
      <c r="AJ43" s="2186">
        <f t="shared" si="57"/>
        <v>0</v>
      </c>
      <c r="AK43" s="2188">
        <f t="shared" si="58"/>
        <v>0</v>
      </c>
      <c r="AL43" s="2188">
        <f t="shared" si="58"/>
        <v>0</v>
      </c>
      <c r="AM43" s="2186">
        <f t="shared" si="59"/>
        <v>0</v>
      </c>
      <c r="AN43" s="2188">
        <f t="shared" si="60"/>
        <v>0</v>
      </c>
      <c r="AO43" s="2188">
        <f t="shared" si="60"/>
        <v>0</v>
      </c>
      <c r="AP43" s="2186">
        <f t="shared" si="61"/>
        <v>0</v>
      </c>
      <c r="AQ43" s="2188">
        <f t="shared" si="62"/>
        <v>0</v>
      </c>
      <c r="AR43" s="2188">
        <f t="shared" si="62"/>
        <v>0</v>
      </c>
      <c r="AS43" s="2186">
        <f t="shared" si="63"/>
        <v>0</v>
      </c>
      <c r="AT43" s="2188">
        <f t="shared" si="64"/>
        <v>0</v>
      </c>
      <c r="AU43" s="2188">
        <f t="shared" si="64"/>
        <v>0</v>
      </c>
      <c r="AV43" s="2186">
        <f t="shared" si="65"/>
        <v>0</v>
      </c>
      <c r="AW43" s="2188">
        <f t="shared" si="66"/>
        <v>0</v>
      </c>
      <c r="AX43" s="2188">
        <f t="shared" si="66"/>
        <v>0</v>
      </c>
      <c r="AY43" s="2186">
        <f t="shared" si="67"/>
        <v>0</v>
      </c>
      <c r="AZ43" s="2188">
        <f t="shared" si="68"/>
        <v>0</v>
      </c>
      <c r="BA43" s="2188">
        <f t="shared" si="68"/>
        <v>0</v>
      </c>
      <c r="BB43" s="2186">
        <f t="shared" si="69"/>
        <v>0</v>
      </c>
      <c r="BC43" s="2188">
        <f t="shared" si="70"/>
        <v>0</v>
      </c>
      <c r="BD43" s="2188">
        <f t="shared" si="70"/>
        <v>0</v>
      </c>
      <c r="BE43" s="2186">
        <f t="shared" si="71"/>
        <v>0</v>
      </c>
      <c r="BF43" s="2188">
        <f t="shared" si="72"/>
        <v>0</v>
      </c>
      <c r="BG43" s="2188">
        <f t="shared" si="72"/>
        <v>0</v>
      </c>
      <c r="BH43" s="2186">
        <f t="shared" si="73"/>
        <v>0</v>
      </c>
      <c r="BI43" s="2188">
        <f t="shared" si="74"/>
        <v>0</v>
      </c>
      <c r="BJ43" s="2188">
        <f t="shared" si="74"/>
        <v>0</v>
      </c>
      <c r="BK43" s="2186">
        <f t="shared" si="75"/>
        <v>0</v>
      </c>
      <c r="BL43" s="2188">
        <f t="shared" si="76"/>
        <v>0</v>
      </c>
      <c r="BM43" s="2188">
        <f t="shared" si="76"/>
        <v>0</v>
      </c>
      <c r="BN43" s="2186">
        <f t="shared" si="77"/>
        <v>0</v>
      </c>
      <c r="BO43" s="2188">
        <f t="shared" si="78"/>
        <v>0</v>
      </c>
      <c r="BP43" s="2188">
        <f t="shared" si="78"/>
        <v>0</v>
      </c>
      <c r="BQ43" s="2186">
        <f t="shared" si="79"/>
        <v>0</v>
      </c>
    </row>
    <row r="44" spans="3:69" s="2193" customFormat="1" ht="21.6" hidden="1" customHeight="1">
      <c r="C44" s="2189" t="s">
        <v>2143</v>
      </c>
      <c r="D44" s="2190" t="s">
        <v>2092</v>
      </c>
      <c r="E44" s="2175" t="s">
        <v>2136</v>
      </c>
      <c r="F44" s="2176"/>
      <c r="G44" s="2179">
        <f>IFERROR(G76/G15,0)</f>
        <v>0</v>
      </c>
      <c r="H44" s="2179">
        <f t="shared" si="40"/>
        <v>0</v>
      </c>
      <c r="I44" s="2178">
        <f t="shared" si="41"/>
        <v>0</v>
      </c>
      <c r="J44" s="2176"/>
      <c r="K44" s="2179">
        <f t="shared" si="42"/>
        <v>0</v>
      </c>
      <c r="L44" s="2179">
        <f t="shared" si="42"/>
        <v>0</v>
      </c>
      <c r="M44" s="2178">
        <f t="shared" si="43"/>
        <v>0</v>
      </c>
      <c r="N44" s="2179">
        <f t="shared" si="44"/>
        <v>0</v>
      </c>
      <c r="O44" s="2179">
        <f t="shared" si="44"/>
        <v>0</v>
      </c>
      <c r="P44" s="2178">
        <f t="shared" si="45"/>
        <v>0</v>
      </c>
      <c r="Q44" s="2184">
        <f t="shared" si="46"/>
        <v>0</v>
      </c>
      <c r="R44" s="2179">
        <f t="shared" si="46"/>
        <v>0</v>
      </c>
      <c r="S44" s="2180">
        <f t="shared" si="47"/>
        <v>0</v>
      </c>
      <c r="T44" s="2181">
        <f t="shared" si="48"/>
        <v>0</v>
      </c>
      <c r="U44" s="2179">
        <f t="shared" si="48"/>
        <v>0</v>
      </c>
      <c r="V44" s="2180">
        <f t="shared" si="49"/>
        <v>0</v>
      </c>
      <c r="W44" s="2187">
        <f t="shared" si="50"/>
        <v>0</v>
      </c>
      <c r="X44" s="2179">
        <f t="shared" si="50"/>
        <v>0</v>
      </c>
      <c r="Y44" s="2183">
        <f t="shared" si="51"/>
        <v>0</v>
      </c>
      <c r="Z44" s="2184">
        <f t="shared" si="52"/>
        <v>0</v>
      </c>
      <c r="AA44" s="2179">
        <f t="shared" si="52"/>
        <v>0</v>
      </c>
      <c r="AB44" s="2178">
        <f t="shared" si="53"/>
        <v>0</v>
      </c>
      <c r="AC44" s="2184">
        <f t="shared" si="54"/>
        <v>0</v>
      </c>
      <c r="AD44" s="2179">
        <f t="shared" si="54"/>
        <v>0</v>
      </c>
      <c r="AE44" s="2180">
        <f t="shared" si="55"/>
        <v>0</v>
      </c>
      <c r="AF44" s="2191"/>
      <c r="AG44" s="2192"/>
      <c r="AH44" s="2188">
        <f t="shared" si="56"/>
        <v>0</v>
      </c>
      <c r="AI44" s="2188">
        <f t="shared" si="56"/>
        <v>0</v>
      </c>
      <c r="AJ44" s="2186">
        <f t="shared" si="57"/>
        <v>0</v>
      </c>
      <c r="AK44" s="2188">
        <f t="shared" si="58"/>
        <v>0</v>
      </c>
      <c r="AL44" s="2188">
        <f t="shared" si="58"/>
        <v>0</v>
      </c>
      <c r="AM44" s="2186">
        <f t="shared" si="59"/>
        <v>0</v>
      </c>
      <c r="AN44" s="2188">
        <f t="shared" si="60"/>
        <v>0</v>
      </c>
      <c r="AO44" s="2188">
        <f t="shared" si="60"/>
        <v>0</v>
      </c>
      <c r="AP44" s="2186">
        <f t="shared" si="61"/>
        <v>0</v>
      </c>
      <c r="AQ44" s="2188">
        <f t="shared" si="62"/>
        <v>0</v>
      </c>
      <c r="AR44" s="2188">
        <f t="shared" si="62"/>
        <v>0</v>
      </c>
      <c r="AS44" s="2186">
        <f t="shared" si="63"/>
        <v>0</v>
      </c>
      <c r="AT44" s="2188">
        <f t="shared" si="64"/>
        <v>0</v>
      </c>
      <c r="AU44" s="2188">
        <f t="shared" si="64"/>
        <v>0</v>
      </c>
      <c r="AV44" s="2186">
        <f t="shared" si="65"/>
        <v>0</v>
      </c>
      <c r="AW44" s="2188">
        <f t="shared" si="66"/>
        <v>0</v>
      </c>
      <c r="AX44" s="2188">
        <f t="shared" si="66"/>
        <v>0</v>
      </c>
      <c r="AY44" s="2186">
        <f t="shared" si="67"/>
        <v>0</v>
      </c>
      <c r="AZ44" s="2188">
        <f t="shared" si="68"/>
        <v>0</v>
      </c>
      <c r="BA44" s="2188">
        <f t="shared" si="68"/>
        <v>0</v>
      </c>
      <c r="BB44" s="2186">
        <f t="shared" si="69"/>
        <v>0</v>
      </c>
      <c r="BC44" s="2188">
        <f t="shared" si="70"/>
        <v>0</v>
      </c>
      <c r="BD44" s="2188">
        <f t="shared" si="70"/>
        <v>0</v>
      </c>
      <c r="BE44" s="2186">
        <f t="shared" si="71"/>
        <v>0</v>
      </c>
      <c r="BF44" s="2188">
        <f t="shared" si="72"/>
        <v>0</v>
      </c>
      <c r="BG44" s="2188">
        <f t="shared" si="72"/>
        <v>0</v>
      </c>
      <c r="BH44" s="2186">
        <f t="shared" si="73"/>
        <v>0</v>
      </c>
      <c r="BI44" s="2188">
        <f t="shared" si="74"/>
        <v>0</v>
      </c>
      <c r="BJ44" s="2188">
        <f t="shared" si="74"/>
        <v>0</v>
      </c>
      <c r="BK44" s="2186">
        <f t="shared" si="75"/>
        <v>0</v>
      </c>
      <c r="BL44" s="2188">
        <f t="shared" si="76"/>
        <v>0</v>
      </c>
      <c r="BM44" s="2188">
        <f t="shared" si="76"/>
        <v>0</v>
      </c>
      <c r="BN44" s="2186">
        <f t="shared" si="77"/>
        <v>0</v>
      </c>
      <c r="BO44" s="2188">
        <f t="shared" si="78"/>
        <v>0</v>
      </c>
      <c r="BP44" s="2188">
        <f t="shared" si="78"/>
        <v>0</v>
      </c>
      <c r="BQ44" s="2186">
        <f t="shared" si="79"/>
        <v>0</v>
      </c>
    </row>
    <row r="45" spans="3:69" s="2193" customFormat="1" ht="21.6" hidden="1" customHeight="1">
      <c r="C45" s="2189" t="s">
        <v>2144</v>
      </c>
      <c r="D45" s="2190" t="s">
        <v>2094</v>
      </c>
      <c r="E45" s="2175" t="s">
        <v>2136</v>
      </c>
      <c r="F45" s="2176"/>
      <c r="G45" s="2179">
        <f t="shared" ref="G45:H54" si="80">IFERROR(G77/G16,0)</f>
        <v>0</v>
      </c>
      <c r="H45" s="2179">
        <f t="shared" si="80"/>
        <v>0</v>
      </c>
      <c r="I45" s="2178">
        <f t="shared" si="41"/>
        <v>0</v>
      </c>
      <c r="J45" s="2176"/>
      <c r="K45" s="2179">
        <f t="shared" si="42"/>
        <v>0</v>
      </c>
      <c r="L45" s="2179">
        <f t="shared" si="42"/>
        <v>0</v>
      </c>
      <c r="M45" s="2178">
        <f t="shared" si="43"/>
        <v>0</v>
      </c>
      <c r="N45" s="2179">
        <f t="shared" si="44"/>
        <v>0</v>
      </c>
      <c r="O45" s="2179">
        <f t="shared" si="44"/>
        <v>0</v>
      </c>
      <c r="P45" s="2178">
        <f t="shared" si="45"/>
        <v>0</v>
      </c>
      <c r="Q45" s="2184">
        <f t="shared" si="46"/>
        <v>0</v>
      </c>
      <c r="R45" s="2179">
        <f t="shared" si="46"/>
        <v>0</v>
      </c>
      <c r="S45" s="2180">
        <f t="shared" si="47"/>
        <v>0</v>
      </c>
      <c r="T45" s="2181">
        <f t="shared" si="48"/>
        <v>0</v>
      </c>
      <c r="U45" s="2179">
        <f t="shared" si="48"/>
        <v>0</v>
      </c>
      <c r="V45" s="2180">
        <f t="shared" si="49"/>
        <v>0</v>
      </c>
      <c r="W45" s="2187">
        <f t="shared" si="50"/>
        <v>0</v>
      </c>
      <c r="X45" s="2179">
        <f t="shared" si="50"/>
        <v>0</v>
      </c>
      <c r="Y45" s="2183">
        <f t="shared" si="51"/>
        <v>0</v>
      </c>
      <c r="Z45" s="2184">
        <f t="shared" si="52"/>
        <v>0</v>
      </c>
      <c r="AA45" s="2179">
        <f t="shared" si="52"/>
        <v>0</v>
      </c>
      <c r="AB45" s="2178">
        <f t="shared" si="53"/>
        <v>0</v>
      </c>
      <c r="AC45" s="2184">
        <f t="shared" si="54"/>
        <v>0</v>
      </c>
      <c r="AD45" s="2179">
        <f t="shared" si="54"/>
        <v>0</v>
      </c>
      <c r="AE45" s="2180">
        <f t="shared" si="55"/>
        <v>0</v>
      </c>
      <c r="AF45" s="2211"/>
      <c r="AG45" s="2192"/>
      <c r="AH45" s="2188">
        <f t="shared" si="56"/>
        <v>0</v>
      </c>
      <c r="AI45" s="2188">
        <f t="shared" si="56"/>
        <v>0</v>
      </c>
      <c r="AJ45" s="2186">
        <f t="shared" si="57"/>
        <v>0</v>
      </c>
      <c r="AK45" s="2188">
        <f t="shared" si="58"/>
        <v>0</v>
      </c>
      <c r="AL45" s="2188">
        <f t="shared" si="58"/>
        <v>0</v>
      </c>
      <c r="AM45" s="2186">
        <f t="shared" si="59"/>
        <v>0</v>
      </c>
      <c r="AN45" s="2188">
        <f t="shared" si="60"/>
        <v>0</v>
      </c>
      <c r="AO45" s="2188">
        <f t="shared" si="60"/>
        <v>0</v>
      </c>
      <c r="AP45" s="2186">
        <f t="shared" si="61"/>
        <v>0</v>
      </c>
      <c r="AQ45" s="2188">
        <f t="shared" si="62"/>
        <v>0</v>
      </c>
      <c r="AR45" s="2188">
        <f t="shared" si="62"/>
        <v>0</v>
      </c>
      <c r="AS45" s="2186">
        <f t="shared" si="63"/>
        <v>0</v>
      </c>
      <c r="AT45" s="2188">
        <f t="shared" si="64"/>
        <v>0</v>
      </c>
      <c r="AU45" s="2188">
        <f t="shared" si="64"/>
        <v>0</v>
      </c>
      <c r="AV45" s="2186">
        <f t="shared" si="65"/>
        <v>0</v>
      </c>
      <c r="AW45" s="2188">
        <f t="shared" si="66"/>
        <v>0</v>
      </c>
      <c r="AX45" s="2188">
        <f t="shared" si="66"/>
        <v>0</v>
      </c>
      <c r="AY45" s="2186">
        <f t="shared" si="67"/>
        <v>0</v>
      </c>
      <c r="AZ45" s="2188">
        <f t="shared" si="68"/>
        <v>0</v>
      </c>
      <c r="BA45" s="2188">
        <f t="shared" si="68"/>
        <v>0</v>
      </c>
      <c r="BB45" s="2186">
        <f t="shared" si="69"/>
        <v>0</v>
      </c>
      <c r="BC45" s="2188">
        <f t="shared" si="70"/>
        <v>0</v>
      </c>
      <c r="BD45" s="2188">
        <f t="shared" si="70"/>
        <v>0</v>
      </c>
      <c r="BE45" s="2186">
        <f t="shared" si="71"/>
        <v>0</v>
      </c>
      <c r="BF45" s="2188">
        <f t="shared" si="72"/>
        <v>0</v>
      </c>
      <c r="BG45" s="2188">
        <f t="shared" si="72"/>
        <v>0</v>
      </c>
      <c r="BH45" s="2186">
        <f t="shared" si="73"/>
        <v>0</v>
      </c>
      <c r="BI45" s="2188">
        <f t="shared" si="74"/>
        <v>0</v>
      </c>
      <c r="BJ45" s="2188">
        <f t="shared" si="74"/>
        <v>0</v>
      </c>
      <c r="BK45" s="2186">
        <f t="shared" si="75"/>
        <v>0</v>
      </c>
      <c r="BL45" s="2188">
        <f t="shared" si="76"/>
        <v>0</v>
      </c>
      <c r="BM45" s="2188">
        <f t="shared" si="76"/>
        <v>0</v>
      </c>
      <c r="BN45" s="2186">
        <f t="shared" si="77"/>
        <v>0</v>
      </c>
      <c r="BO45" s="2188">
        <f t="shared" si="78"/>
        <v>0</v>
      </c>
      <c r="BP45" s="2188">
        <f t="shared" si="78"/>
        <v>0</v>
      </c>
      <c r="BQ45" s="2186">
        <f t="shared" si="79"/>
        <v>0</v>
      </c>
    </row>
    <row r="46" spans="3:69" s="2193" customFormat="1" ht="21.6" hidden="1" customHeight="1">
      <c r="C46" s="2189" t="s">
        <v>2145</v>
      </c>
      <c r="D46" s="2190" t="s">
        <v>2096</v>
      </c>
      <c r="E46" s="2175" t="s">
        <v>2136</v>
      </c>
      <c r="F46" s="2176"/>
      <c r="G46" s="2179">
        <f t="shared" si="80"/>
        <v>0</v>
      </c>
      <c r="H46" s="2179">
        <f t="shared" si="80"/>
        <v>0</v>
      </c>
      <c r="I46" s="2178">
        <f t="shared" si="41"/>
        <v>0</v>
      </c>
      <c r="J46" s="2176"/>
      <c r="K46" s="2179">
        <f t="shared" si="42"/>
        <v>0</v>
      </c>
      <c r="L46" s="2179">
        <f t="shared" si="42"/>
        <v>0</v>
      </c>
      <c r="M46" s="2178">
        <f t="shared" si="43"/>
        <v>0</v>
      </c>
      <c r="N46" s="2179">
        <f t="shared" si="44"/>
        <v>0</v>
      </c>
      <c r="O46" s="2179">
        <f t="shared" si="44"/>
        <v>0</v>
      </c>
      <c r="P46" s="2178">
        <f t="shared" si="45"/>
        <v>0</v>
      </c>
      <c r="Q46" s="2184">
        <f t="shared" si="46"/>
        <v>0</v>
      </c>
      <c r="R46" s="2179">
        <f t="shared" si="46"/>
        <v>0</v>
      </c>
      <c r="S46" s="2180">
        <f t="shared" si="47"/>
        <v>0</v>
      </c>
      <c r="T46" s="2181">
        <f t="shared" si="48"/>
        <v>0</v>
      </c>
      <c r="U46" s="2179">
        <f t="shared" si="48"/>
        <v>0</v>
      </c>
      <c r="V46" s="2180">
        <f t="shared" si="49"/>
        <v>0</v>
      </c>
      <c r="W46" s="2187">
        <f t="shared" si="50"/>
        <v>0</v>
      </c>
      <c r="X46" s="2179">
        <f t="shared" si="50"/>
        <v>0</v>
      </c>
      <c r="Y46" s="2183">
        <f t="shared" si="51"/>
        <v>0</v>
      </c>
      <c r="Z46" s="2184">
        <f t="shared" si="52"/>
        <v>0</v>
      </c>
      <c r="AA46" s="2179">
        <f t="shared" si="52"/>
        <v>0</v>
      </c>
      <c r="AB46" s="2178">
        <f t="shared" si="53"/>
        <v>0</v>
      </c>
      <c r="AC46" s="2184">
        <f t="shared" si="54"/>
        <v>0</v>
      </c>
      <c r="AD46" s="2179">
        <f t="shared" si="54"/>
        <v>0</v>
      </c>
      <c r="AE46" s="2180">
        <f t="shared" si="55"/>
        <v>0</v>
      </c>
      <c r="AF46" s="2211"/>
      <c r="AG46" s="2192"/>
      <c r="AH46" s="2188">
        <f t="shared" si="56"/>
        <v>0</v>
      </c>
      <c r="AI46" s="2188">
        <f t="shared" si="56"/>
        <v>0</v>
      </c>
      <c r="AJ46" s="2186">
        <f t="shared" si="57"/>
        <v>0</v>
      </c>
      <c r="AK46" s="2188">
        <f t="shared" si="58"/>
        <v>0</v>
      </c>
      <c r="AL46" s="2188">
        <f t="shared" si="58"/>
        <v>0</v>
      </c>
      <c r="AM46" s="2186">
        <f t="shared" si="59"/>
        <v>0</v>
      </c>
      <c r="AN46" s="2188">
        <f t="shared" si="60"/>
        <v>0</v>
      </c>
      <c r="AO46" s="2188">
        <f t="shared" si="60"/>
        <v>0</v>
      </c>
      <c r="AP46" s="2186">
        <f t="shared" si="61"/>
        <v>0</v>
      </c>
      <c r="AQ46" s="2188">
        <f t="shared" si="62"/>
        <v>0</v>
      </c>
      <c r="AR46" s="2188">
        <f t="shared" si="62"/>
        <v>0</v>
      </c>
      <c r="AS46" s="2186">
        <f t="shared" si="63"/>
        <v>0</v>
      </c>
      <c r="AT46" s="2188">
        <f t="shared" si="64"/>
        <v>0</v>
      </c>
      <c r="AU46" s="2188">
        <f t="shared" si="64"/>
        <v>0</v>
      </c>
      <c r="AV46" s="2186">
        <f t="shared" si="65"/>
        <v>0</v>
      </c>
      <c r="AW46" s="2188">
        <f t="shared" si="66"/>
        <v>0</v>
      </c>
      <c r="AX46" s="2188">
        <f t="shared" si="66"/>
        <v>0</v>
      </c>
      <c r="AY46" s="2186">
        <f t="shared" si="67"/>
        <v>0</v>
      </c>
      <c r="AZ46" s="2188">
        <f t="shared" si="68"/>
        <v>0</v>
      </c>
      <c r="BA46" s="2188">
        <f t="shared" si="68"/>
        <v>0</v>
      </c>
      <c r="BB46" s="2186">
        <f t="shared" si="69"/>
        <v>0</v>
      </c>
      <c r="BC46" s="2188">
        <f t="shared" si="70"/>
        <v>0</v>
      </c>
      <c r="BD46" s="2188">
        <f t="shared" si="70"/>
        <v>0</v>
      </c>
      <c r="BE46" s="2186">
        <f t="shared" si="71"/>
        <v>0</v>
      </c>
      <c r="BF46" s="2188">
        <f t="shared" si="72"/>
        <v>0</v>
      </c>
      <c r="BG46" s="2188">
        <f t="shared" si="72"/>
        <v>0</v>
      </c>
      <c r="BH46" s="2186">
        <f t="shared" si="73"/>
        <v>0</v>
      </c>
      <c r="BI46" s="2188">
        <f t="shared" si="74"/>
        <v>0</v>
      </c>
      <c r="BJ46" s="2188">
        <f t="shared" si="74"/>
        <v>0</v>
      </c>
      <c r="BK46" s="2186">
        <f t="shared" si="75"/>
        <v>0</v>
      </c>
      <c r="BL46" s="2188">
        <f t="shared" si="76"/>
        <v>0</v>
      </c>
      <c r="BM46" s="2188">
        <f t="shared" si="76"/>
        <v>0</v>
      </c>
      <c r="BN46" s="2186">
        <f t="shared" si="77"/>
        <v>0</v>
      </c>
      <c r="BO46" s="2188">
        <f t="shared" si="78"/>
        <v>0</v>
      </c>
      <c r="BP46" s="2188">
        <f t="shared" si="78"/>
        <v>0</v>
      </c>
      <c r="BQ46" s="2186">
        <f t="shared" si="79"/>
        <v>0</v>
      </c>
    </row>
    <row r="47" spans="3:69" s="2193" customFormat="1" ht="21.6" hidden="1" customHeight="1">
      <c r="C47" s="2194" t="s">
        <v>2146</v>
      </c>
      <c r="D47" s="2190" t="s">
        <v>2098</v>
      </c>
      <c r="E47" s="2175" t="s">
        <v>2136</v>
      </c>
      <c r="F47" s="2176"/>
      <c r="G47" s="2179">
        <f t="shared" si="80"/>
        <v>0</v>
      </c>
      <c r="H47" s="2179">
        <f t="shared" si="80"/>
        <v>0</v>
      </c>
      <c r="I47" s="2178">
        <f t="shared" si="41"/>
        <v>0</v>
      </c>
      <c r="J47" s="2176"/>
      <c r="K47" s="2179">
        <f t="shared" si="42"/>
        <v>0</v>
      </c>
      <c r="L47" s="2179">
        <f t="shared" si="42"/>
        <v>0</v>
      </c>
      <c r="M47" s="2178">
        <f t="shared" si="43"/>
        <v>0</v>
      </c>
      <c r="N47" s="2179">
        <f t="shared" si="44"/>
        <v>0</v>
      </c>
      <c r="O47" s="2179">
        <f t="shared" si="44"/>
        <v>0</v>
      </c>
      <c r="P47" s="2178">
        <f t="shared" si="45"/>
        <v>0</v>
      </c>
      <c r="Q47" s="2184">
        <f t="shared" si="46"/>
        <v>0</v>
      </c>
      <c r="R47" s="2179">
        <f t="shared" si="46"/>
        <v>0</v>
      </c>
      <c r="S47" s="2180">
        <f t="shared" si="47"/>
        <v>0</v>
      </c>
      <c r="T47" s="2181">
        <f t="shared" si="48"/>
        <v>0</v>
      </c>
      <c r="U47" s="2179">
        <f t="shared" si="48"/>
        <v>0</v>
      </c>
      <c r="V47" s="2180">
        <f t="shared" si="49"/>
        <v>0</v>
      </c>
      <c r="W47" s="2187">
        <f t="shared" si="50"/>
        <v>0</v>
      </c>
      <c r="X47" s="2179">
        <f t="shared" si="50"/>
        <v>0</v>
      </c>
      <c r="Y47" s="2183">
        <f t="shared" si="51"/>
        <v>0</v>
      </c>
      <c r="Z47" s="2184">
        <f t="shared" si="52"/>
        <v>0</v>
      </c>
      <c r="AA47" s="2179">
        <f t="shared" si="52"/>
        <v>0</v>
      </c>
      <c r="AB47" s="2178">
        <f t="shared" si="53"/>
        <v>0</v>
      </c>
      <c r="AC47" s="2184">
        <f t="shared" si="54"/>
        <v>0</v>
      </c>
      <c r="AD47" s="2179">
        <f t="shared" si="54"/>
        <v>0</v>
      </c>
      <c r="AE47" s="2180">
        <f t="shared" si="55"/>
        <v>0</v>
      </c>
      <c r="AF47" s="2211"/>
      <c r="AG47" s="2192"/>
      <c r="AH47" s="2188">
        <f t="shared" si="56"/>
        <v>0</v>
      </c>
      <c r="AI47" s="2188">
        <f t="shared" si="56"/>
        <v>0</v>
      </c>
      <c r="AJ47" s="2186">
        <f t="shared" si="57"/>
        <v>0</v>
      </c>
      <c r="AK47" s="2188">
        <f t="shared" si="58"/>
        <v>0</v>
      </c>
      <c r="AL47" s="2188">
        <f t="shared" si="58"/>
        <v>0</v>
      </c>
      <c r="AM47" s="2186">
        <f t="shared" si="59"/>
        <v>0</v>
      </c>
      <c r="AN47" s="2188">
        <f t="shared" si="60"/>
        <v>0</v>
      </c>
      <c r="AO47" s="2188">
        <f t="shared" si="60"/>
        <v>0</v>
      </c>
      <c r="AP47" s="2186">
        <f t="shared" si="61"/>
        <v>0</v>
      </c>
      <c r="AQ47" s="2188">
        <f t="shared" si="62"/>
        <v>0</v>
      </c>
      <c r="AR47" s="2188">
        <f t="shared" si="62"/>
        <v>0</v>
      </c>
      <c r="AS47" s="2186">
        <f t="shared" si="63"/>
        <v>0</v>
      </c>
      <c r="AT47" s="2188">
        <f t="shared" si="64"/>
        <v>0</v>
      </c>
      <c r="AU47" s="2188">
        <f t="shared" si="64"/>
        <v>0</v>
      </c>
      <c r="AV47" s="2186">
        <f t="shared" si="65"/>
        <v>0</v>
      </c>
      <c r="AW47" s="2188">
        <f t="shared" si="66"/>
        <v>0</v>
      </c>
      <c r="AX47" s="2188">
        <f t="shared" si="66"/>
        <v>0</v>
      </c>
      <c r="AY47" s="2186">
        <f t="shared" si="67"/>
        <v>0</v>
      </c>
      <c r="AZ47" s="2188">
        <f t="shared" si="68"/>
        <v>0</v>
      </c>
      <c r="BA47" s="2188">
        <f t="shared" si="68"/>
        <v>0</v>
      </c>
      <c r="BB47" s="2186">
        <f t="shared" si="69"/>
        <v>0</v>
      </c>
      <c r="BC47" s="2188">
        <f t="shared" si="70"/>
        <v>0</v>
      </c>
      <c r="BD47" s="2188">
        <f t="shared" si="70"/>
        <v>0</v>
      </c>
      <c r="BE47" s="2186">
        <f t="shared" si="71"/>
        <v>0</v>
      </c>
      <c r="BF47" s="2188">
        <f t="shared" si="72"/>
        <v>0</v>
      </c>
      <c r="BG47" s="2188">
        <f t="shared" si="72"/>
        <v>0</v>
      </c>
      <c r="BH47" s="2186">
        <f t="shared" si="73"/>
        <v>0</v>
      </c>
      <c r="BI47" s="2188">
        <f t="shared" si="74"/>
        <v>0</v>
      </c>
      <c r="BJ47" s="2188">
        <f t="shared" si="74"/>
        <v>0</v>
      </c>
      <c r="BK47" s="2186">
        <f t="shared" si="75"/>
        <v>0</v>
      </c>
      <c r="BL47" s="2188">
        <f t="shared" si="76"/>
        <v>0</v>
      </c>
      <c r="BM47" s="2188">
        <f t="shared" si="76"/>
        <v>0</v>
      </c>
      <c r="BN47" s="2186">
        <f t="shared" si="77"/>
        <v>0</v>
      </c>
      <c r="BO47" s="2188">
        <f t="shared" si="78"/>
        <v>0</v>
      </c>
      <c r="BP47" s="2188">
        <f t="shared" si="78"/>
        <v>0</v>
      </c>
      <c r="BQ47" s="2186">
        <f t="shared" si="79"/>
        <v>0</v>
      </c>
    </row>
    <row r="48" spans="3:69" s="2193" customFormat="1" ht="21.6" hidden="1" customHeight="1">
      <c r="C48" s="2194" t="s">
        <v>2147</v>
      </c>
      <c r="D48" s="2190" t="s">
        <v>2100</v>
      </c>
      <c r="E48" s="2175" t="s">
        <v>2136</v>
      </c>
      <c r="F48" s="2176"/>
      <c r="G48" s="2179">
        <f t="shared" si="80"/>
        <v>0</v>
      </c>
      <c r="H48" s="2179">
        <f t="shared" si="80"/>
        <v>0</v>
      </c>
      <c r="I48" s="2178">
        <f t="shared" si="41"/>
        <v>0</v>
      </c>
      <c r="J48" s="2176"/>
      <c r="K48" s="2179">
        <f t="shared" si="42"/>
        <v>0</v>
      </c>
      <c r="L48" s="2179">
        <f t="shared" si="42"/>
        <v>0</v>
      </c>
      <c r="M48" s="2178">
        <f t="shared" si="43"/>
        <v>0</v>
      </c>
      <c r="N48" s="2179">
        <f t="shared" si="44"/>
        <v>0</v>
      </c>
      <c r="O48" s="2179">
        <f t="shared" si="44"/>
        <v>0</v>
      </c>
      <c r="P48" s="2178">
        <f t="shared" si="45"/>
        <v>0</v>
      </c>
      <c r="Q48" s="2184">
        <f t="shared" si="46"/>
        <v>0</v>
      </c>
      <c r="R48" s="2179">
        <f t="shared" si="46"/>
        <v>0</v>
      </c>
      <c r="S48" s="2180">
        <f t="shared" si="47"/>
        <v>0</v>
      </c>
      <c r="T48" s="2181">
        <f t="shared" si="48"/>
        <v>0</v>
      </c>
      <c r="U48" s="2179">
        <f t="shared" si="48"/>
        <v>0</v>
      </c>
      <c r="V48" s="2180">
        <f t="shared" si="49"/>
        <v>0</v>
      </c>
      <c r="W48" s="2187">
        <f t="shared" si="50"/>
        <v>0</v>
      </c>
      <c r="X48" s="2179">
        <f t="shared" si="50"/>
        <v>0</v>
      </c>
      <c r="Y48" s="2183">
        <f t="shared" si="51"/>
        <v>0</v>
      </c>
      <c r="Z48" s="2184">
        <f t="shared" si="52"/>
        <v>0</v>
      </c>
      <c r="AA48" s="2179">
        <f t="shared" si="52"/>
        <v>0</v>
      </c>
      <c r="AB48" s="2178">
        <f t="shared" si="53"/>
        <v>0</v>
      </c>
      <c r="AC48" s="2184">
        <f t="shared" si="54"/>
        <v>0</v>
      </c>
      <c r="AD48" s="2179">
        <f t="shared" si="54"/>
        <v>0</v>
      </c>
      <c r="AE48" s="2180">
        <f t="shared" si="55"/>
        <v>0</v>
      </c>
      <c r="AF48" s="2211"/>
      <c r="AG48" s="2192"/>
      <c r="AH48" s="2188">
        <f t="shared" si="56"/>
        <v>0</v>
      </c>
      <c r="AI48" s="2188">
        <f t="shared" si="56"/>
        <v>0</v>
      </c>
      <c r="AJ48" s="2186">
        <f t="shared" si="57"/>
        <v>0</v>
      </c>
      <c r="AK48" s="2188">
        <f t="shared" si="58"/>
        <v>0</v>
      </c>
      <c r="AL48" s="2188">
        <f t="shared" si="58"/>
        <v>0</v>
      </c>
      <c r="AM48" s="2186">
        <f t="shared" si="59"/>
        <v>0</v>
      </c>
      <c r="AN48" s="2188">
        <f t="shared" si="60"/>
        <v>0</v>
      </c>
      <c r="AO48" s="2188">
        <f t="shared" si="60"/>
        <v>0</v>
      </c>
      <c r="AP48" s="2186">
        <f t="shared" si="61"/>
        <v>0</v>
      </c>
      <c r="AQ48" s="2188">
        <f t="shared" si="62"/>
        <v>0</v>
      </c>
      <c r="AR48" s="2188">
        <f t="shared" si="62"/>
        <v>0</v>
      </c>
      <c r="AS48" s="2186">
        <f t="shared" si="63"/>
        <v>0</v>
      </c>
      <c r="AT48" s="2188">
        <f t="shared" si="64"/>
        <v>0</v>
      </c>
      <c r="AU48" s="2188">
        <f t="shared" si="64"/>
        <v>0</v>
      </c>
      <c r="AV48" s="2186">
        <f t="shared" si="65"/>
        <v>0</v>
      </c>
      <c r="AW48" s="2188">
        <f t="shared" si="66"/>
        <v>0</v>
      </c>
      <c r="AX48" s="2188">
        <f t="shared" si="66"/>
        <v>0</v>
      </c>
      <c r="AY48" s="2186">
        <f t="shared" si="67"/>
        <v>0</v>
      </c>
      <c r="AZ48" s="2188">
        <f t="shared" si="68"/>
        <v>0</v>
      </c>
      <c r="BA48" s="2188">
        <f t="shared" si="68"/>
        <v>0</v>
      </c>
      <c r="BB48" s="2186">
        <f t="shared" si="69"/>
        <v>0</v>
      </c>
      <c r="BC48" s="2188">
        <f t="shared" si="70"/>
        <v>0</v>
      </c>
      <c r="BD48" s="2188">
        <f t="shared" si="70"/>
        <v>0</v>
      </c>
      <c r="BE48" s="2186">
        <f t="shared" si="71"/>
        <v>0</v>
      </c>
      <c r="BF48" s="2188">
        <f t="shared" si="72"/>
        <v>0</v>
      </c>
      <c r="BG48" s="2188">
        <f t="shared" si="72"/>
        <v>0</v>
      </c>
      <c r="BH48" s="2186">
        <f t="shared" si="73"/>
        <v>0</v>
      </c>
      <c r="BI48" s="2188">
        <f t="shared" si="74"/>
        <v>0</v>
      </c>
      <c r="BJ48" s="2188">
        <f t="shared" si="74"/>
        <v>0</v>
      </c>
      <c r="BK48" s="2186">
        <f t="shared" si="75"/>
        <v>0</v>
      </c>
      <c r="BL48" s="2188">
        <f t="shared" si="76"/>
        <v>0</v>
      </c>
      <c r="BM48" s="2188">
        <f t="shared" si="76"/>
        <v>0</v>
      </c>
      <c r="BN48" s="2186">
        <f t="shared" si="77"/>
        <v>0</v>
      </c>
      <c r="BO48" s="2188">
        <f t="shared" si="78"/>
        <v>0</v>
      </c>
      <c r="BP48" s="2188">
        <f t="shared" si="78"/>
        <v>0</v>
      </c>
      <c r="BQ48" s="2186">
        <f t="shared" si="79"/>
        <v>0</v>
      </c>
    </row>
    <row r="49" spans="3:69" s="2193" customFormat="1" ht="21.6" hidden="1" customHeight="1">
      <c r="C49" s="2194" t="s">
        <v>2148</v>
      </c>
      <c r="D49" s="2190" t="s">
        <v>2102</v>
      </c>
      <c r="E49" s="2175" t="s">
        <v>2136</v>
      </c>
      <c r="F49" s="2176"/>
      <c r="G49" s="2179">
        <f t="shared" si="80"/>
        <v>0</v>
      </c>
      <c r="H49" s="2179">
        <f t="shared" si="80"/>
        <v>0</v>
      </c>
      <c r="I49" s="2178">
        <f t="shared" si="41"/>
        <v>0</v>
      </c>
      <c r="J49" s="2176"/>
      <c r="K49" s="2179">
        <f t="shared" si="42"/>
        <v>0</v>
      </c>
      <c r="L49" s="2179">
        <f t="shared" si="42"/>
        <v>0</v>
      </c>
      <c r="M49" s="2178">
        <f t="shared" si="43"/>
        <v>0</v>
      </c>
      <c r="N49" s="2179">
        <f t="shared" si="44"/>
        <v>0</v>
      </c>
      <c r="O49" s="2179">
        <f t="shared" si="44"/>
        <v>0</v>
      </c>
      <c r="P49" s="2178">
        <f t="shared" si="45"/>
        <v>0</v>
      </c>
      <c r="Q49" s="2184">
        <f t="shared" si="46"/>
        <v>0</v>
      </c>
      <c r="R49" s="2179">
        <f t="shared" si="46"/>
        <v>0</v>
      </c>
      <c r="S49" s="2180">
        <f t="shared" si="47"/>
        <v>0</v>
      </c>
      <c r="T49" s="2181">
        <f t="shared" si="48"/>
        <v>0</v>
      </c>
      <c r="U49" s="2179">
        <f t="shared" si="48"/>
        <v>0</v>
      </c>
      <c r="V49" s="2180">
        <f t="shared" si="49"/>
        <v>0</v>
      </c>
      <c r="W49" s="2187">
        <f t="shared" si="50"/>
        <v>0</v>
      </c>
      <c r="X49" s="2179">
        <f t="shared" si="50"/>
        <v>0</v>
      </c>
      <c r="Y49" s="2183">
        <f t="shared" si="51"/>
        <v>0</v>
      </c>
      <c r="Z49" s="2184">
        <f t="shared" si="52"/>
        <v>0</v>
      </c>
      <c r="AA49" s="2179">
        <f t="shared" si="52"/>
        <v>0</v>
      </c>
      <c r="AB49" s="2178">
        <f t="shared" si="53"/>
        <v>0</v>
      </c>
      <c r="AC49" s="2184">
        <f t="shared" si="54"/>
        <v>0</v>
      </c>
      <c r="AD49" s="2179">
        <f t="shared" si="54"/>
        <v>0</v>
      </c>
      <c r="AE49" s="2180">
        <f t="shared" si="55"/>
        <v>0</v>
      </c>
      <c r="AF49" s="2211"/>
      <c r="AG49" s="2192"/>
      <c r="AH49" s="2188">
        <f t="shared" si="56"/>
        <v>0</v>
      </c>
      <c r="AI49" s="2188">
        <f t="shared" si="56"/>
        <v>0</v>
      </c>
      <c r="AJ49" s="2186">
        <f t="shared" si="57"/>
        <v>0</v>
      </c>
      <c r="AK49" s="2188">
        <f t="shared" si="58"/>
        <v>0</v>
      </c>
      <c r="AL49" s="2188">
        <f t="shared" si="58"/>
        <v>0</v>
      </c>
      <c r="AM49" s="2186">
        <f t="shared" si="59"/>
        <v>0</v>
      </c>
      <c r="AN49" s="2188">
        <f t="shared" si="60"/>
        <v>0</v>
      </c>
      <c r="AO49" s="2188">
        <f t="shared" si="60"/>
        <v>0</v>
      </c>
      <c r="AP49" s="2186">
        <f t="shared" si="61"/>
        <v>0</v>
      </c>
      <c r="AQ49" s="2188">
        <f t="shared" si="62"/>
        <v>0</v>
      </c>
      <c r="AR49" s="2188">
        <f t="shared" si="62"/>
        <v>0</v>
      </c>
      <c r="AS49" s="2186">
        <f t="shared" si="63"/>
        <v>0</v>
      </c>
      <c r="AT49" s="2188">
        <f t="shared" si="64"/>
        <v>0</v>
      </c>
      <c r="AU49" s="2188">
        <f t="shared" si="64"/>
        <v>0</v>
      </c>
      <c r="AV49" s="2186">
        <f t="shared" si="65"/>
        <v>0</v>
      </c>
      <c r="AW49" s="2188">
        <f t="shared" si="66"/>
        <v>0</v>
      </c>
      <c r="AX49" s="2188">
        <f t="shared" si="66"/>
        <v>0</v>
      </c>
      <c r="AY49" s="2186">
        <f t="shared" si="67"/>
        <v>0</v>
      </c>
      <c r="AZ49" s="2188">
        <f t="shared" si="68"/>
        <v>0</v>
      </c>
      <c r="BA49" s="2188">
        <f t="shared" si="68"/>
        <v>0</v>
      </c>
      <c r="BB49" s="2186">
        <f t="shared" si="69"/>
        <v>0</v>
      </c>
      <c r="BC49" s="2188">
        <f t="shared" si="70"/>
        <v>0</v>
      </c>
      <c r="BD49" s="2188">
        <f t="shared" si="70"/>
        <v>0</v>
      </c>
      <c r="BE49" s="2186">
        <f t="shared" si="71"/>
        <v>0</v>
      </c>
      <c r="BF49" s="2188">
        <f t="shared" si="72"/>
        <v>0</v>
      </c>
      <c r="BG49" s="2188">
        <f t="shared" si="72"/>
        <v>0</v>
      </c>
      <c r="BH49" s="2186">
        <f t="shared" si="73"/>
        <v>0</v>
      </c>
      <c r="BI49" s="2188">
        <f t="shared" si="74"/>
        <v>0</v>
      </c>
      <c r="BJ49" s="2188">
        <f t="shared" si="74"/>
        <v>0</v>
      </c>
      <c r="BK49" s="2186">
        <f t="shared" si="75"/>
        <v>0</v>
      </c>
      <c r="BL49" s="2188">
        <f t="shared" si="76"/>
        <v>0</v>
      </c>
      <c r="BM49" s="2188">
        <f t="shared" si="76"/>
        <v>0</v>
      </c>
      <c r="BN49" s="2186">
        <f t="shared" si="77"/>
        <v>0</v>
      </c>
      <c r="BO49" s="2188">
        <f t="shared" si="78"/>
        <v>0</v>
      </c>
      <c r="BP49" s="2188">
        <f t="shared" si="78"/>
        <v>0</v>
      </c>
      <c r="BQ49" s="2186">
        <f t="shared" si="79"/>
        <v>0</v>
      </c>
    </row>
    <row r="50" spans="3:69" s="2193" customFormat="1" ht="21.6" hidden="1" customHeight="1">
      <c r="C50" s="2194" t="s">
        <v>2149</v>
      </c>
      <c r="D50" s="2190" t="s">
        <v>2104</v>
      </c>
      <c r="E50" s="2175" t="s">
        <v>2136</v>
      </c>
      <c r="F50" s="2176"/>
      <c r="G50" s="2179">
        <f t="shared" si="80"/>
        <v>0</v>
      </c>
      <c r="H50" s="2179">
        <f t="shared" si="80"/>
        <v>0</v>
      </c>
      <c r="I50" s="2178">
        <f t="shared" si="41"/>
        <v>0</v>
      </c>
      <c r="J50" s="2176"/>
      <c r="K50" s="2179">
        <f t="shared" si="42"/>
        <v>0</v>
      </c>
      <c r="L50" s="2179">
        <f t="shared" si="42"/>
        <v>0</v>
      </c>
      <c r="M50" s="2178">
        <f t="shared" si="43"/>
        <v>0</v>
      </c>
      <c r="N50" s="2179">
        <f t="shared" si="44"/>
        <v>0</v>
      </c>
      <c r="O50" s="2179">
        <f t="shared" si="44"/>
        <v>0</v>
      </c>
      <c r="P50" s="2178">
        <f t="shared" si="45"/>
        <v>0</v>
      </c>
      <c r="Q50" s="2184">
        <f t="shared" si="46"/>
        <v>0</v>
      </c>
      <c r="R50" s="2179">
        <f t="shared" si="46"/>
        <v>0</v>
      </c>
      <c r="S50" s="2180">
        <f t="shared" si="47"/>
        <v>0</v>
      </c>
      <c r="T50" s="2181">
        <f t="shared" si="48"/>
        <v>0</v>
      </c>
      <c r="U50" s="2179">
        <f t="shared" si="48"/>
        <v>0</v>
      </c>
      <c r="V50" s="2180">
        <f t="shared" si="49"/>
        <v>0</v>
      </c>
      <c r="W50" s="2187">
        <f t="shared" si="50"/>
        <v>0</v>
      </c>
      <c r="X50" s="2179">
        <f t="shared" si="50"/>
        <v>0</v>
      </c>
      <c r="Y50" s="2183">
        <f t="shared" si="51"/>
        <v>0</v>
      </c>
      <c r="Z50" s="2184">
        <f t="shared" si="52"/>
        <v>0</v>
      </c>
      <c r="AA50" s="2179">
        <f t="shared" si="52"/>
        <v>0</v>
      </c>
      <c r="AB50" s="2178">
        <f t="shared" si="53"/>
        <v>0</v>
      </c>
      <c r="AC50" s="2184">
        <f t="shared" si="54"/>
        <v>0</v>
      </c>
      <c r="AD50" s="2179">
        <f t="shared" si="54"/>
        <v>0</v>
      </c>
      <c r="AE50" s="2180">
        <f t="shared" si="55"/>
        <v>0</v>
      </c>
      <c r="AF50" s="2211"/>
      <c r="AG50" s="2192"/>
      <c r="AH50" s="2188">
        <f t="shared" si="56"/>
        <v>0</v>
      </c>
      <c r="AI50" s="2188">
        <f t="shared" si="56"/>
        <v>0</v>
      </c>
      <c r="AJ50" s="2186">
        <f t="shared" si="57"/>
        <v>0</v>
      </c>
      <c r="AK50" s="2188">
        <f t="shared" si="58"/>
        <v>0</v>
      </c>
      <c r="AL50" s="2188">
        <f t="shared" si="58"/>
        <v>0</v>
      </c>
      <c r="AM50" s="2186">
        <f t="shared" si="59"/>
        <v>0</v>
      </c>
      <c r="AN50" s="2188">
        <f t="shared" si="60"/>
        <v>0</v>
      </c>
      <c r="AO50" s="2188">
        <f t="shared" si="60"/>
        <v>0</v>
      </c>
      <c r="AP50" s="2186">
        <f t="shared" si="61"/>
        <v>0</v>
      </c>
      <c r="AQ50" s="2188">
        <f t="shared" si="62"/>
        <v>0</v>
      </c>
      <c r="AR50" s="2188">
        <f t="shared" si="62"/>
        <v>0</v>
      </c>
      <c r="AS50" s="2186">
        <f t="shared" si="63"/>
        <v>0</v>
      </c>
      <c r="AT50" s="2188">
        <f t="shared" si="64"/>
        <v>0</v>
      </c>
      <c r="AU50" s="2188">
        <f t="shared" si="64"/>
        <v>0</v>
      </c>
      <c r="AV50" s="2186">
        <f t="shared" si="65"/>
        <v>0</v>
      </c>
      <c r="AW50" s="2188">
        <f t="shared" si="66"/>
        <v>0</v>
      </c>
      <c r="AX50" s="2188">
        <f t="shared" si="66"/>
        <v>0</v>
      </c>
      <c r="AY50" s="2186">
        <f t="shared" si="67"/>
        <v>0</v>
      </c>
      <c r="AZ50" s="2188">
        <f t="shared" si="68"/>
        <v>0</v>
      </c>
      <c r="BA50" s="2188">
        <f t="shared" si="68"/>
        <v>0</v>
      </c>
      <c r="BB50" s="2186">
        <f t="shared" si="69"/>
        <v>0</v>
      </c>
      <c r="BC50" s="2188">
        <f t="shared" si="70"/>
        <v>0</v>
      </c>
      <c r="BD50" s="2188">
        <f t="shared" si="70"/>
        <v>0</v>
      </c>
      <c r="BE50" s="2186">
        <f t="shared" si="71"/>
        <v>0</v>
      </c>
      <c r="BF50" s="2188">
        <f t="shared" si="72"/>
        <v>0</v>
      </c>
      <c r="BG50" s="2188">
        <f t="shared" si="72"/>
        <v>0</v>
      </c>
      <c r="BH50" s="2186">
        <f t="shared" si="73"/>
        <v>0</v>
      </c>
      <c r="BI50" s="2188">
        <f t="shared" si="74"/>
        <v>0</v>
      </c>
      <c r="BJ50" s="2188">
        <f t="shared" si="74"/>
        <v>0</v>
      </c>
      <c r="BK50" s="2186">
        <f t="shared" si="75"/>
        <v>0</v>
      </c>
      <c r="BL50" s="2188">
        <f t="shared" si="76"/>
        <v>0</v>
      </c>
      <c r="BM50" s="2188">
        <f t="shared" si="76"/>
        <v>0</v>
      </c>
      <c r="BN50" s="2186">
        <f t="shared" si="77"/>
        <v>0</v>
      </c>
      <c r="BO50" s="2188">
        <f t="shared" si="78"/>
        <v>0</v>
      </c>
      <c r="BP50" s="2188">
        <f t="shared" si="78"/>
        <v>0</v>
      </c>
      <c r="BQ50" s="2186">
        <f t="shared" si="79"/>
        <v>0</v>
      </c>
    </row>
    <row r="51" spans="3:69" s="2193" customFormat="1" ht="21.6" hidden="1" customHeight="1">
      <c r="C51" s="2194" t="s">
        <v>2150</v>
      </c>
      <c r="D51" s="2190" t="s">
        <v>2106</v>
      </c>
      <c r="E51" s="2175" t="s">
        <v>2136</v>
      </c>
      <c r="F51" s="2176"/>
      <c r="G51" s="2179">
        <f t="shared" si="80"/>
        <v>0</v>
      </c>
      <c r="H51" s="2179">
        <f t="shared" si="80"/>
        <v>0</v>
      </c>
      <c r="I51" s="2178">
        <f t="shared" si="41"/>
        <v>0</v>
      </c>
      <c r="J51" s="2176"/>
      <c r="K51" s="2179">
        <f t="shared" si="42"/>
        <v>0</v>
      </c>
      <c r="L51" s="2179">
        <f t="shared" si="42"/>
        <v>0</v>
      </c>
      <c r="M51" s="2178">
        <f t="shared" si="43"/>
        <v>0</v>
      </c>
      <c r="N51" s="2179">
        <f t="shared" si="44"/>
        <v>0</v>
      </c>
      <c r="O51" s="2179">
        <f t="shared" si="44"/>
        <v>0</v>
      </c>
      <c r="P51" s="2178">
        <f t="shared" si="45"/>
        <v>0</v>
      </c>
      <c r="Q51" s="2184">
        <f t="shared" si="46"/>
        <v>0</v>
      </c>
      <c r="R51" s="2179">
        <f t="shared" si="46"/>
        <v>0</v>
      </c>
      <c r="S51" s="2180">
        <f t="shared" si="47"/>
        <v>0</v>
      </c>
      <c r="T51" s="2181">
        <f t="shared" si="48"/>
        <v>0</v>
      </c>
      <c r="U51" s="2179">
        <f t="shared" si="48"/>
        <v>0</v>
      </c>
      <c r="V51" s="2180">
        <f t="shared" si="49"/>
        <v>0</v>
      </c>
      <c r="W51" s="2187">
        <f t="shared" si="50"/>
        <v>0</v>
      </c>
      <c r="X51" s="2179">
        <f t="shared" si="50"/>
        <v>0</v>
      </c>
      <c r="Y51" s="2183">
        <f t="shared" si="51"/>
        <v>0</v>
      </c>
      <c r="Z51" s="2184">
        <f t="shared" si="52"/>
        <v>0</v>
      </c>
      <c r="AA51" s="2179">
        <f t="shared" si="52"/>
        <v>0</v>
      </c>
      <c r="AB51" s="2178">
        <f t="shared" si="53"/>
        <v>0</v>
      </c>
      <c r="AC51" s="2184">
        <f t="shared" si="54"/>
        <v>0</v>
      </c>
      <c r="AD51" s="2179">
        <f t="shared" si="54"/>
        <v>0</v>
      </c>
      <c r="AE51" s="2180">
        <f t="shared" si="55"/>
        <v>0</v>
      </c>
      <c r="AF51" s="2211"/>
      <c r="AG51" s="2192"/>
      <c r="AH51" s="2188">
        <f t="shared" si="56"/>
        <v>0</v>
      </c>
      <c r="AI51" s="2188">
        <f t="shared" si="56"/>
        <v>0</v>
      </c>
      <c r="AJ51" s="2186">
        <f t="shared" si="57"/>
        <v>0</v>
      </c>
      <c r="AK51" s="2188">
        <f t="shared" si="58"/>
        <v>0</v>
      </c>
      <c r="AL51" s="2188">
        <f t="shared" si="58"/>
        <v>0</v>
      </c>
      <c r="AM51" s="2186">
        <f t="shared" si="59"/>
        <v>0</v>
      </c>
      <c r="AN51" s="2188">
        <f t="shared" si="60"/>
        <v>0</v>
      </c>
      <c r="AO51" s="2188">
        <f t="shared" si="60"/>
        <v>0</v>
      </c>
      <c r="AP51" s="2186">
        <f t="shared" si="61"/>
        <v>0</v>
      </c>
      <c r="AQ51" s="2188">
        <f t="shared" si="62"/>
        <v>0</v>
      </c>
      <c r="AR51" s="2188">
        <f t="shared" si="62"/>
        <v>0</v>
      </c>
      <c r="AS51" s="2186">
        <f t="shared" si="63"/>
        <v>0</v>
      </c>
      <c r="AT51" s="2188">
        <f t="shared" si="64"/>
        <v>0</v>
      </c>
      <c r="AU51" s="2188">
        <f t="shared" si="64"/>
        <v>0</v>
      </c>
      <c r="AV51" s="2186">
        <f t="shared" si="65"/>
        <v>0</v>
      </c>
      <c r="AW51" s="2188">
        <f t="shared" si="66"/>
        <v>0</v>
      </c>
      <c r="AX51" s="2188">
        <f t="shared" si="66"/>
        <v>0</v>
      </c>
      <c r="AY51" s="2186">
        <f t="shared" si="67"/>
        <v>0</v>
      </c>
      <c r="AZ51" s="2188">
        <f t="shared" si="68"/>
        <v>0</v>
      </c>
      <c r="BA51" s="2188">
        <f t="shared" si="68"/>
        <v>0</v>
      </c>
      <c r="BB51" s="2186">
        <f t="shared" si="69"/>
        <v>0</v>
      </c>
      <c r="BC51" s="2188">
        <f t="shared" si="70"/>
        <v>0</v>
      </c>
      <c r="BD51" s="2188">
        <f t="shared" si="70"/>
        <v>0</v>
      </c>
      <c r="BE51" s="2186">
        <f t="shared" si="71"/>
        <v>0</v>
      </c>
      <c r="BF51" s="2188">
        <f t="shared" si="72"/>
        <v>0</v>
      </c>
      <c r="BG51" s="2188">
        <f t="shared" si="72"/>
        <v>0</v>
      </c>
      <c r="BH51" s="2186">
        <f t="shared" si="73"/>
        <v>0</v>
      </c>
      <c r="BI51" s="2188">
        <f t="shared" si="74"/>
        <v>0</v>
      </c>
      <c r="BJ51" s="2188">
        <f t="shared" si="74"/>
        <v>0</v>
      </c>
      <c r="BK51" s="2186">
        <f t="shared" si="75"/>
        <v>0</v>
      </c>
      <c r="BL51" s="2188">
        <f t="shared" si="76"/>
        <v>0</v>
      </c>
      <c r="BM51" s="2188">
        <f t="shared" si="76"/>
        <v>0</v>
      </c>
      <c r="BN51" s="2186">
        <f t="shared" si="77"/>
        <v>0</v>
      </c>
      <c r="BO51" s="2188">
        <f t="shared" si="78"/>
        <v>0</v>
      </c>
      <c r="BP51" s="2188">
        <f t="shared" si="78"/>
        <v>0</v>
      </c>
      <c r="BQ51" s="2186">
        <f t="shared" si="79"/>
        <v>0</v>
      </c>
    </row>
    <row r="52" spans="3:69" s="2193" customFormat="1" ht="21.6" hidden="1" customHeight="1">
      <c r="C52" s="2194" t="s">
        <v>2151</v>
      </c>
      <c r="D52" s="2190" t="s">
        <v>2108</v>
      </c>
      <c r="E52" s="2175" t="s">
        <v>2136</v>
      </c>
      <c r="F52" s="2176"/>
      <c r="G52" s="2179">
        <f t="shared" si="80"/>
        <v>0</v>
      </c>
      <c r="H52" s="2179">
        <f t="shared" si="80"/>
        <v>0</v>
      </c>
      <c r="I52" s="2178">
        <f t="shared" si="41"/>
        <v>0</v>
      </c>
      <c r="J52" s="2176"/>
      <c r="K52" s="2179">
        <f t="shared" si="42"/>
        <v>0</v>
      </c>
      <c r="L52" s="2179">
        <f t="shared" si="42"/>
        <v>0</v>
      </c>
      <c r="M52" s="2178">
        <f t="shared" si="43"/>
        <v>0</v>
      </c>
      <c r="N52" s="2179">
        <f t="shared" si="44"/>
        <v>0</v>
      </c>
      <c r="O52" s="2179">
        <f t="shared" si="44"/>
        <v>0</v>
      </c>
      <c r="P52" s="2178">
        <f t="shared" si="45"/>
        <v>0</v>
      </c>
      <c r="Q52" s="2184">
        <f t="shared" si="46"/>
        <v>0</v>
      </c>
      <c r="R52" s="2179">
        <f t="shared" si="46"/>
        <v>0</v>
      </c>
      <c r="S52" s="2180">
        <f t="shared" si="47"/>
        <v>0</v>
      </c>
      <c r="T52" s="2181">
        <f t="shared" si="48"/>
        <v>0</v>
      </c>
      <c r="U52" s="2179">
        <f t="shared" si="48"/>
        <v>0</v>
      </c>
      <c r="V52" s="2180">
        <f t="shared" si="49"/>
        <v>0</v>
      </c>
      <c r="W52" s="2187">
        <f t="shared" si="50"/>
        <v>0</v>
      </c>
      <c r="X52" s="2179">
        <f t="shared" si="50"/>
        <v>0</v>
      </c>
      <c r="Y52" s="2183">
        <f t="shared" si="51"/>
        <v>0</v>
      </c>
      <c r="Z52" s="2184">
        <f t="shared" si="52"/>
        <v>0</v>
      </c>
      <c r="AA52" s="2179">
        <f t="shared" si="52"/>
        <v>0</v>
      </c>
      <c r="AB52" s="2178">
        <f t="shared" si="53"/>
        <v>0</v>
      </c>
      <c r="AC52" s="2184">
        <f t="shared" si="54"/>
        <v>0</v>
      </c>
      <c r="AD52" s="2179">
        <f t="shared" si="54"/>
        <v>0</v>
      </c>
      <c r="AE52" s="2180">
        <f t="shared" si="55"/>
        <v>0</v>
      </c>
      <c r="AF52" s="2211"/>
      <c r="AG52" s="2192"/>
      <c r="AH52" s="2188">
        <f t="shared" si="56"/>
        <v>0</v>
      </c>
      <c r="AI52" s="2188">
        <f t="shared" si="56"/>
        <v>0</v>
      </c>
      <c r="AJ52" s="2186">
        <f t="shared" si="57"/>
        <v>0</v>
      </c>
      <c r="AK52" s="2188">
        <f t="shared" si="58"/>
        <v>0</v>
      </c>
      <c r="AL52" s="2188">
        <f t="shared" si="58"/>
        <v>0</v>
      </c>
      <c r="AM52" s="2186">
        <f t="shared" si="59"/>
        <v>0</v>
      </c>
      <c r="AN52" s="2188">
        <f t="shared" si="60"/>
        <v>0</v>
      </c>
      <c r="AO52" s="2188">
        <f t="shared" si="60"/>
        <v>0</v>
      </c>
      <c r="AP52" s="2186">
        <f t="shared" si="61"/>
        <v>0</v>
      </c>
      <c r="AQ52" s="2188">
        <f t="shared" si="62"/>
        <v>0</v>
      </c>
      <c r="AR52" s="2188">
        <f t="shared" si="62"/>
        <v>0</v>
      </c>
      <c r="AS52" s="2186">
        <f t="shared" si="63"/>
        <v>0</v>
      </c>
      <c r="AT52" s="2188">
        <f t="shared" si="64"/>
        <v>0</v>
      </c>
      <c r="AU52" s="2188">
        <f t="shared" si="64"/>
        <v>0</v>
      </c>
      <c r="AV52" s="2186">
        <f t="shared" si="65"/>
        <v>0</v>
      </c>
      <c r="AW52" s="2188">
        <f t="shared" si="66"/>
        <v>0</v>
      </c>
      <c r="AX52" s="2188">
        <f t="shared" si="66"/>
        <v>0</v>
      </c>
      <c r="AY52" s="2186">
        <f t="shared" si="67"/>
        <v>0</v>
      </c>
      <c r="AZ52" s="2188">
        <f t="shared" si="68"/>
        <v>0</v>
      </c>
      <c r="BA52" s="2188">
        <f t="shared" si="68"/>
        <v>0</v>
      </c>
      <c r="BB52" s="2186">
        <f t="shared" si="69"/>
        <v>0</v>
      </c>
      <c r="BC52" s="2188">
        <f t="shared" si="70"/>
        <v>0</v>
      </c>
      <c r="BD52" s="2188">
        <f t="shared" si="70"/>
        <v>0</v>
      </c>
      <c r="BE52" s="2186">
        <f t="shared" si="71"/>
        <v>0</v>
      </c>
      <c r="BF52" s="2188">
        <f t="shared" si="72"/>
        <v>0</v>
      </c>
      <c r="BG52" s="2188">
        <f t="shared" si="72"/>
        <v>0</v>
      </c>
      <c r="BH52" s="2186">
        <f t="shared" si="73"/>
        <v>0</v>
      </c>
      <c r="BI52" s="2188">
        <f t="shared" si="74"/>
        <v>0</v>
      </c>
      <c r="BJ52" s="2188">
        <f t="shared" si="74"/>
        <v>0</v>
      </c>
      <c r="BK52" s="2186">
        <f t="shared" si="75"/>
        <v>0</v>
      </c>
      <c r="BL52" s="2188">
        <f t="shared" si="76"/>
        <v>0</v>
      </c>
      <c r="BM52" s="2188">
        <f t="shared" si="76"/>
        <v>0</v>
      </c>
      <c r="BN52" s="2186">
        <f t="shared" si="77"/>
        <v>0</v>
      </c>
      <c r="BO52" s="2188">
        <f t="shared" si="78"/>
        <v>0</v>
      </c>
      <c r="BP52" s="2188">
        <f t="shared" si="78"/>
        <v>0</v>
      </c>
      <c r="BQ52" s="2186">
        <f t="shared" si="79"/>
        <v>0</v>
      </c>
    </row>
    <row r="53" spans="3:69" s="2193" customFormat="1" ht="21.6" hidden="1" customHeight="1">
      <c r="C53" s="2194" t="s">
        <v>2152</v>
      </c>
      <c r="D53" s="2190" t="s">
        <v>2110</v>
      </c>
      <c r="E53" s="2175" t="s">
        <v>2136</v>
      </c>
      <c r="F53" s="2176"/>
      <c r="G53" s="2179">
        <f t="shared" si="80"/>
        <v>0</v>
      </c>
      <c r="H53" s="2179">
        <f t="shared" si="80"/>
        <v>0</v>
      </c>
      <c r="I53" s="2178">
        <f t="shared" si="41"/>
        <v>0</v>
      </c>
      <c r="J53" s="2176"/>
      <c r="K53" s="2179">
        <f t="shared" si="42"/>
        <v>0</v>
      </c>
      <c r="L53" s="2179">
        <f t="shared" si="42"/>
        <v>0</v>
      </c>
      <c r="M53" s="2178">
        <f t="shared" si="43"/>
        <v>0</v>
      </c>
      <c r="N53" s="2179">
        <f t="shared" si="44"/>
        <v>0</v>
      </c>
      <c r="O53" s="2179">
        <f t="shared" si="44"/>
        <v>0</v>
      </c>
      <c r="P53" s="2178">
        <f t="shared" si="45"/>
        <v>0</v>
      </c>
      <c r="Q53" s="2184">
        <f t="shared" si="46"/>
        <v>0</v>
      </c>
      <c r="R53" s="2179">
        <f t="shared" si="46"/>
        <v>0</v>
      </c>
      <c r="S53" s="2180">
        <f t="shared" si="47"/>
        <v>0</v>
      </c>
      <c r="T53" s="2181">
        <f t="shared" si="48"/>
        <v>0</v>
      </c>
      <c r="U53" s="2179">
        <f t="shared" si="48"/>
        <v>0</v>
      </c>
      <c r="V53" s="2180">
        <f t="shared" si="49"/>
        <v>0</v>
      </c>
      <c r="W53" s="2187">
        <f t="shared" si="50"/>
        <v>0</v>
      </c>
      <c r="X53" s="2179">
        <f t="shared" si="50"/>
        <v>0</v>
      </c>
      <c r="Y53" s="2183">
        <f t="shared" si="51"/>
        <v>0</v>
      </c>
      <c r="Z53" s="2184">
        <f t="shared" si="52"/>
        <v>0</v>
      </c>
      <c r="AA53" s="2179">
        <f t="shared" si="52"/>
        <v>0</v>
      </c>
      <c r="AB53" s="2178">
        <f t="shared" si="53"/>
        <v>0</v>
      </c>
      <c r="AC53" s="2184">
        <f t="shared" si="54"/>
        <v>0</v>
      </c>
      <c r="AD53" s="2179">
        <f t="shared" si="54"/>
        <v>0</v>
      </c>
      <c r="AE53" s="2180">
        <f t="shared" si="55"/>
        <v>0</v>
      </c>
      <c r="AF53" s="2211"/>
      <c r="AG53" s="2192"/>
      <c r="AH53" s="2188">
        <f t="shared" si="56"/>
        <v>0</v>
      </c>
      <c r="AI53" s="2188">
        <f t="shared" si="56"/>
        <v>0</v>
      </c>
      <c r="AJ53" s="2186">
        <f t="shared" si="57"/>
        <v>0</v>
      </c>
      <c r="AK53" s="2188">
        <f t="shared" si="58"/>
        <v>0</v>
      </c>
      <c r="AL53" s="2188">
        <f t="shared" si="58"/>
        <v>0</v>
      </c>
      <c r="AM53" s="2186">
        <f t="shared" si="59"/>
        <v>0</v>
      </c>
      <c r="AN53" s="2188">
        <f t="shared" si="60"/>
        <v>0</v>
      </c>
      <c r="AO53" s="2188">
        <f t="shared" si="60"/>
        <v>0</v>
      </c>
      <c r="AP53" s="2186">
        <f t="shared" si="61"/>
        <v>0</v>
      </c>
      <c r="AQ53" s="2188">
        <f t="shared" si="62"/>
        <v>0</v>
      </c>
      <c r="AR53" s="2188">
        <f t="shared" si="62"/>
        <v>0</v>
      </c>
      <c r="AS53" s="2186">
        <f t="shared" si="63"/>
        <v>0</v>
      </c>
      <c r="AT53" s="2188">
        <f t="shared" si="64"/>
        <v>0</v>
      </c>
      <c r="AU53" s="2188">
        <f t="shared" si="64"/>
        <v>0</v>
      </c>
      <c r="AV53" s="2186">
        <f t="shared" si="65"/>
        <v>0</v>
      </c>
      <c r="AW53" s="2188">
        <f t="shared" si="66"/>
        <v>0</v>
      </c>
      <c r="AX53" s="2188">
        <f t="shared" si="66"/>
        <v>0</v>
      </c>
      <c r="AY53" s="2186">
        <f t="shared" si="67"/>
        <v>0</v>
      </c>
      <c r="AZ53" s="2188">
        <f t="shared" si="68"/>
        <v>0</v>
      </c>
      <c r="BA53" s="2188">
        <f t="shared" si="68"/>
        <v>0</v>
      </c>
      <c r="BB53" s="2186">
        <f t="shared" si="69"/>
        <v>0</v>
      </c>
      <c r="BC53" s="2188">
        <f t="shared" si="70"/>
        <v>0</v>
      </c>
      <c r="BD53" s="2188">
        <f t="shared" si="70"/>
        <v>0</v>
      </c>
      <c r="BE53" s="2186">
        <f t="shared" si="71"/>
        <v>0</v>
      </c>
      <c r="BF53" s="2188">
        <f t="shared" si="72"/>
        <v>0</v>
      </c>
      <c r="BG53" s="2188">
        <f t="shared" si="72"/>
        <v>0</v>
      </c>
      <c r="BH53" s="2186">
        <f t="shared" si="73"/>
        <v>0</v>
      </c>
      <c r="BI53" s="2188">
        <f t="shared" si="74"/>
        <v>0</v>
      </c>
      <c r="BJ53" s="2188">
        <f t="shared" si="74"/>
        <v>0</v>
      </c>
      <c r="BK53" s="2186">
        <f t="shared" si="75"/>
        <v>0</v>
      </c>
      <c r="BL53" s="2188">
        <f t="shared" si="76"/>
        <v>0</v>
      </c>
      <c r="BM53" s="2188">
        <f t="shared" si="76"/>
        <v>0</v>
      </c>
      <c r="BN53" s="2186">
        <f t="shared" si="77"/>
        <v>0</v>
      </c>
      <c r="BO53" s="2188">
        <f t="shared" si="78"/>
        <v>0</v>
      </c>
      <c r="BP53" s="2188">
        <f t="shared" si="78"/>
        <v>0</v>
      </c>
      <c r="BQ53" s="2186">
        <f t="shared" si="79"/>
        <v>0</v>
      </c>
    </row>
    <row r="54" spans="3:69" s="2193" customFormat="1" ht="21.6" hidden="1" customHeight="1">
      <c r="C54" s="2194" t="s">
        <v>2153</v>
      </c>
      <c r="D54" s="2190" t="s">
        <v>2112</v>
      </c>
      <c r="E54" s="2175" t="s">
        <v>2136</v>
      </c>
      <c r="F54" s="2176"/>
      <c r="G54" s="2179">
        <f>IFERROR(G86/G25,0)</f>
        <v>0</v>
      </c>
      <c r="H54" s="2179">
        <f t="shared" si="80"/>
        <v>0</v>
      </c>
      <c r="I54" s="2178">
        <f t="shared" si="41"/>
        <v>0</v>
      </c>
      <c r="J54" s="2176"/>
      <c r="K54" s="2179">
        <f t="shared" si="42"/>
        <v>0</v>
      </c>
      <c r="L54" s="2179">
        <f t="shared" si="42"/>
        <v>0</v>
      </c>
      <c r="M54" s="2178">
        <f t="shared" si="43"/>
        <v>0</v>
      </c>
      <c r="N54" s="2179">
        <f t="shared" si="44"/>
        <v>0</v>
      </c>
      <c r="O54" s="2179">
        <f t="shared" si="44"/>
        <v>0</v>
      </c>
      <c r="P54" s="2178">
        <f t="shared" si="45"/>
        <v>0</v>
      </c>
      <c r="Q54" s="2184">
        <f t="shared" si="46"/>
        <v>0</v>
      </c>
      <c r="R54" s="2179">
        <f t="shared" si="46"/>
        <v>0</v>
      </c>
      <c r="S54" s="2180">
        <f t="shared" si="47"/>
        <v>0</v>
      </c>
      <c r="T54" s="2181">
        <f t="shared" si="48"/>
        <v>0</v>
      </c>
      <c r="U54" s="2179">
        <f t="shared" si="48"/>
        <v>0</v>
      </c>
      <c r="V54" s="2180">
        <f t="shared" si="49"/>
        <v>0</v>
      </c>
      <c r="W54" s="2187">
        <f t="shared" si="50"/>
        <v>0</v>
      </c>
      <c r="X54" s="2179">
        <f t="shared" si="50"/>
        <v>0</v>
      </c>
      <c r="Y54" s="2183">
        <f t="shared" si="51"/>
        <v>0</v>
      </c>
      <c r="Z54" s="2184">
        <f t="shared" si="52"/>
        <v>0</v>
      </c>
      <c r="AA54" s="2179">
        <f t="shared" si="52"/>
        <v>0</v>
      </c>
      <c r="AB54" s="2178">
        <f t="shared" si="53"/>
        <v>0</v>
      </c>
      <c r="AC54" s="2184">
        <f t="shared" si="54"/>
        <v>0</v>
      </c>
      <c r="AD54" s="2179">
        <f t="shared" si="54"/>
        <v>0</v>
      </c>
      <c r="AE54" s="2180">
        <f t="shared" si="55"/>
        <v>0</v>
      </c>
      <c r="AF54" s="2211"/>
      <c r="AG54" s="2192"/>
      <c r="AH54" s="2188">
        <f t="shared" si="56"/>
        <v>0</v>
      </c>
      <c r="AI54" s="2188">
        <f t="shared" si="56"/>
        <v>0</v>
      </c>
      <c r="AJ54" s="2186">
        <f t="shared" si="57"/>
        <v>0</v>
      </c>
      <c r="AK54" s="2188">
        <f t="shared" si="58"/>
        <v>0</v>
      </c>
      <c r="AL54" s="2188">
        <f t="shared" si="58"/>
        <v>0</v>
      </c>
      <c r="AM54" s="2186">
        <f t="shared" si="59"/>
        <v>0</v>
      </c>
      <c r="AN54" s="2188">
        <f t="shared" si="60"/>
        <v>0</v>
      </c>
      <c r="AO54" s="2188">
        <f t="shared" si="60"/>
        <v>0</v>
      </c>
      <c r="AP54" s="2186">
        <f t="shared" si="61"/>
        <v>0</v>
      </c>
      <c r="AQ54" s="2188">
        <f t="shared" si="62"/>
        <v>0</v>
      </c>
      <c r="AR54" s="2188">
        <f t="shared" si="62"/>
        <v>0</v>
      </c>
      <c r="AS54" s="2186">
        <f t="shared" si="63"/>
        <v>0</v>
      </c>
      <c r="AT54" s="2188">
        <f t="shared" si="64"/>
        <v>0</v>
      </c>
      <c r="AU54" s="2188">
        <f t="shared" si="64"/>
        <v>0</v>
      </c>
      <c r="AV54" s="2186">
        <f t="shared" si="65"/>
        <v>0</v>
      </c>
      <c r="AW54" s="2188">
        <f t="shared" si="66"/>
        <v>0</v>
      </c>
      <c r="AX54" s="2188">
        <f t="shared" si="66"/>
        <v>0</v>
      </c>
      <c r="AY54" s="2186">
        <f t="shared" si="67"/>
        <v>0</v>
      </c>
      <c r="AZ54" s="2188">
        <f t="shared" si="68"/>
        <v>0</v>
      </c>
      <c r="BA54" s="2188">
        <f t="shared" si="68"/>
        <v>0</v>
      </c>
      <c r="BB54" s="2186">
        <f t="shared" si="69"/>
        <v>0</v>
      </c>
      <c r="BC54" s="2188">
        <f t="shared" si="70"/>
        <v>0</v>
      </c>
      <c r="BD54" s="2188">
        <f t="shared" si="70"/>
        <v>0</v>
      </c>
      <c r="BE54" s="2186">
        <f t="shared" si="71"/>
        <v>0</v>
      </c>
      <c r="BF54" s="2188">
        <f t="shared" si="72"/>
        <v>0</v>
      </c>
      <c r="BG54" s="2188">
        <f t="shared" si="72"/>
        <v>0</v>
      </c>
      <c r="BH54" s="2186">
        <f t="shared" si="73"/>
        <v>0</v>
      </c>
      <c r="BI54" s="2188">
        <f t="shared" si="74"/>
        <v>0</v>
      </c>
      <c r="BJ54" s="2188">
        <f t="shared" si="74"/>
        <v>0</v>
      </c>
      <c r="BK54" s="2186">
        <f t="shared" si="75"/>
        <v>0</v>
      </c>
      <c r="BL54" s="2188">
        <f t="shared" si="76"/>
        <v>0</v>
      </c>
      <c r="BM54" s="2188">
        <f t="shared" si="76"/>
        <v>0</v>
      </c>
      <c r="BN54" s="2186">
        <f t="shared" si="77"/>
        <v>0</v>
      </c>
      <c r="BO54" s="2188">
        <f t="shared" si="78"/>
        <v>0</v>
      </c>
      <c r="BP54" s="2188">
        <f t="shared" si="78"/>
        <v>0</v>
      </c>
      <c r="BQ54" s="2186">
        <f t="shared" si="79"/>
        <v>0</v>
      </c>
    </row>
    <row r="55" spans="3:69" s="2193" customFormat="1" ht="21.6" hidden="1" customHeight="1">
      <c r="C55" s="2194" t="s">
        <v>2154</v>
      </c>
      <c r="D55" s="2190" t="s">
        <v>2114</v>
      </c>
      <c r="E55" s="2175" t="s">
        <v>2136</v>
      </c>
      <c r="F55" s="2176"/>
      <c r="G55" s="2179">
        <f t="shared" ref="G55:H57" si="81">IFERROR(G87/G26,0)</f>
        <v>0</v>
      </c>
      <c r="H55" s="2179">
        <f t="shared" si="81"/>
        <v>0</v>
      </c>
      <c r="I55" s="2178">
        <f t="shared" si="41"/>
        <v>0</v>
      </c>
      <c r="J55" s="2176"/>
      <c r="K55" s="2179">
        <f t="shared" ref="K55:L57" si="82">IFERROR(K87/K26,0)</f>
        <v>0</v>
      </c>
      <c r="L55" s="2179">
        <f t="shared" si="82"/>
        <v>0</v>
      </c>
      <c r="M55" s="2178">
        <f t="shared" si="43"/>
        <v>0</v>
      </c>
      <c r="N55" s="2179">
        <f t="shared" ref="N55:O57" si="83">IFERROR(N87/N26,0)</f>
        <v>0</v>
      </c>
      <c r="O55" s="2179">
        <f t="shared" si="83"/>
        <v>0</v>
      </c>
      <c r="P55" s="2178">
        <f t="shared" si="45"/>
        <v>0</v>
      </c>
      <c r="Q55" s="2184">
        <f t="shared" ref="Q55:R57" si="84">IFERROR(Q87/Q26,0)</f>
        <v>0</v>
      </c>
      <c r="R55" s="2179">
        <f t="shared" si="84"/>
        <v>0</v>
      </c>
      <c r="S55" s="2180">
        <f t="shared" si="47"/>
        <v>0</v>
      </c>
      <c r="T55" s="2181">
        <f t="shared" ref="T55:U57" si="85">IFERROR(T87/T26,0)</f>
        <v>0</v>
      </c>
      <c r="U55" s="2179">
        <f t="shared" si="85"/>
        <v>0</v>
      </c>
      <c r="V55" s="2180">
        <f t="shared" si="49"/>
        <v>0</v>
      </c>
      <c r="W55" s="2187">
        <f t="shared" ref="W55:X57" si="86">IFERROR(W87/W26,0)</f>
        <v>0</v>
      </c>
      <c r="X55" s="2179">
        <f t="shared" si="86"/>
        <v>0</v>
      </c>
      <c r="Y55" s="2183">
        <f t="shared" si="51"/>
        <v>0</v>
      </c>
      <c r="Z55" s="2184">
        <f t="shared" ref="Z55:AA57" si="87">IFERROR(Z87/Z26,0)</f>
        <v>0</v>
      </c>
      <c r="AA55" s="2179">
        <f t="shared" si="87"/>
        <v>0</v>
      </c>
      <c r="AB55" s="2178">
        <f t="shared" si="53"/>
        <v>0</v>
      </c>
      <c r="AC55" s="2184">
        <f t="shared" ref="AC55:AD57" si="88">IFERROR(AC87/AC26,0)</f>
        <v>0</v>
      </c>
      <c r="AD55" s="2179">
        <f t="shared" si="88"/>
        <v>0</v>
      </c>
      <c r="AE55" s="2180">
        <f t="shared" si="55"/>
        <v>0</v>
      </c>
      <c r="AF55" s="2211"/>
      <c r="AG55" s="2192"/>
      <c r="AH55" s="2188">
        <f t="shared" ref="AH55:AI57" si="89">IFERROR(AH87/AH26,0)</f>
        <v>0</v>
      </c>
      <c r="AI55" s="2188">
        <f t="shared" si="89"/>
        <v>0</v>
      </c>
      <c r="AJ55" s="2186">
        <f t="shared" si="57"/>
        <v>0</v>
      </c>
      <c r="AK55" s="2188">
        <f t="shared" ref="AK55:AL57" si="90">IFERROR(AK87/AK26,0)</f>
        <v>0</v>
      </c>
      <c r="AL55" s="2188">
        <f t="shared" si="90"/>
        <v>0</v>
      </c>
      <c r="AM55" s="2186">
        <f t="shared" si="59"/>
        <v>0</v>
      </c>
      <c r="AN55" s="2188">
        <f t="shared" ref="AN55:AO57" si="91">IFERROR(AN87/AN26,0)</f>
        <v>0</v>
      </c>
      <c r="AO55" s="2188">
        <f t="shared" si="91"/>
        <v>0</v>
      </c>
      <c r="AP55" s="2186">
        <f t="shared" si="61"/>
        <v>0</v>
      </c>
      <c r="AQ55" s="2188">
        <f t="shared" ref="AQ55:AR57" si="92">IFERROR(AQ87/AQ26,0)</f>
        <v>0</v>
      </c>
      <c r="AR55" s="2188">
        <f t="shared" si="92"/>
        <v>0</v>
      </c>
      <c r="AS55" s="2186">
        <f t="shared" si="63"/>
        <v>0</v>
      </c>
      <c r="AT55" s="2188">
        <f t="shared" ref="AT55:AU57" si="93">IFERROR(AT87/AT26,0)</f>
        <v>0</v>
      </c>
      <c r="AU55" s="2188">
        <f t="shared" si="93"/>
        <v>0</v>
      </c>
      <c r="AV55" s="2186">
        <f t="shared" si="65"/>
        <v>0</v>
      </c>
      <c r="AW55" s="2188">
        <f t="shared" ref="AW55:AX57" si="94">IFERROR(AW87/AW26,0)</f>
        <v>0</v>
      </c>
      <c r="AX55" s="2188">
        <f t="shared" si="94"/>
        <v>0</v>
      </c>
      <c r="AY55" s="2186">
        <f t="shared" si="67"/>
        <v>0</v>
      </c>
      <c r="AZ55" s="2188">
        <f t="shared" ref="AZ55:BA57" si="95">IFERROR(AZ87/AZ26,0)</f>
        <v>0</v>
      </c>
      <c r="BA55" s="2188">
        <f t="shared" si="95"/>
        <v>0</v>
      </c>
      <c r="BB55" s="2186">
        <f t="shared" si="69"/>
        <v>0</v>
      </c>
      <c r="BC55" s="2188">
        <f t="shared" ref="BC55:BD57" si="96">IFERROR(BC87/BC26,0)</f>
        <v>0</v>
      </c>
      <c r="BD55" s="2188">
        <f t="shared" si="96"/>
        <v>0</v>
      </c>
      <c r="BE55" s="2186">
        <f t="shared" si="71"/>
        <v>0</v>
      </c>
      <c r="BF55" s="2188">
        <f t="shared" ref="BF55:BG57" si="97">IFERROR(BF87/BF26,0)</f>
        <v>0</v>
      </c>
      <c r="BG55" s="2188">
        <f t="shared" si="97"/>
        <v>0</v>
      </c>
      <c r="BH55" s="2186">
        <f t="shared" si="73"/>
        <v>0</v>
      </c>
      <c r="BI55" s="2188">
        <f t="shared" ref="BI55:BJ57" si="98">IFERROR(BI87/BI26,0)</f>
        <v>0</v>
      </c>
      <c r="BJ55" s="2188">
        <f t="shared" si="98"/>
        <v>0</v>
      </c>
      <c r="BK55" s="2186">
        <f t="shared" si="75"/>
        <v>0</v>
      </c>
      <c r="BL55" s="2188">
        <f t="shared" ref="BL55:BM57" si="99">IFERROR(BL87/BL26,0)</f>
        <v>0</v>
      </c>
      <c r="BM55" s="2188">
        <f t="shared" si="99"/>
        <v>0</v>
      </c>
      <c r="BN55" s="2186">
        <f t="shared" si="77"/>
        <v>0</v>
      </c>
      <c r="BO55" s="2188">
        <f t="shared" ref="BO55:BP57" si="100">IFERROR(BO87/BO26,0)</f>
        <v>0</v>
      </c>
      <c r="BP55" s="2188">
        <f t="shared" si="100"/>
        <v>0</v>
      </c>
      <c r="BQ55" s="2186">
        <f t="shared" si="79"/>
        <v>0</v>
      </c>
    </row>
    <row r="56" spans="3:69" s="2193" customFormat="1" ht="21.6" hidden="1" customHeight="1">
      <c r="C56" s="2194" t="s">
        <v>2155</v>
      </c>
      <c r="D56" s="2190" t="s">
        <v>2116</v>
      </c>
      <c r="E56" s="2175" t="s">
        <v>2136</v>
      </c>
      <c r="F56" s="2176"/>
      <c r="G56" s="2179">
        <f t="shared" si="81"/>
        <v>0</v>
      </c>
      <c r="H56" s="2179">
        <f t="shared" si="81"/>
        <v>0</v>
      </c>
      <c r="I56" s="2178">
        <f t="shared" si="41"/>
        <v>0</v>
      </c>
      <c r="J56" s="2176"/>
      <c r="K56" s="2179">
        <f t="shared" si="82"/>
        <v>0</v>
      </c>
      <c r="L56" s="2179">
        <f t="shared" si="82"/>
        <v>0</v>
      </c>
      <c r="M56" s="2178">
        <f t="shared" si="43"/>
        <v>0</v>
      </c>
      <c r="N56" s="2179">
        <f t="shared" si="83"/>
        <v>0</v>
      </c>
      <c r="O56" s="2179">
        <f t="shared" si="83"/>
        <v>0</v>
      </c>
      <c r="P56" s="2178">
        <f t="shared" si="45"/>
        <v>0</v>
      </c>
      <c r="Q56" s="2184">
        <f t="shared" si="84"/>
        <v>0</v>
      </c>
      <c r="R56" s="2179">
        <f t="shared" si="84"/>
        <v>0</v>
      </c>
      <c r="S56" s="2180">
        <f t="shared" si="47"/>
        <v>0</v>
      </c>
      <c r="T56" s="2181">
        <f t="shared" si="85"/>
        <v>0</v>
      </c>
      <c r="U56" s="2179">
        <f t="shared" si="85"/>
        <v>0</v>
      </c>
      <c r="V56" s="2180">
        <f t="shared" si="49"/>
        <v>0</v>
      </c>
      <c r="W56" s="2187">
        <f t="shared" si="86"/>
        <v>0</v>
      </c>
      <c r="X56" s="2179">
        <f t="shared" si="86"/>
        <v>0</v>
      </c>
      <c r="Y56" s="2183">
        <f t="shared" si="51"/>
        <v>0</v>
      </c>
      <c r="Z56" s="2184">
        <f t="shared" si="87"/>
        <v>0</v>
      </c>
      <c r="AA56" s="2179">
        <f t="shared" si="87"/>
        <v>0</v>
      </c>
      <c r="AB56" s="2178">
        <f t="shared" si="53"/>
        <v>0</v>
      </c>
      <c r="AC56" s="2184">
        <f t="shared" si="88"/>
        <v>0</v>
      </c>
      <c r="AD56" s="2179">
        <f t="shared" si="88"/>
        <v>0</v>
      </c>
      <c r="AE56" s="2180">
        <f t="shared" si="55"/>
        <v>0</v>
      </c>
      <c r="AF56" s="2211"/>
      <c r="AG56" s="2192"/>
      <c r="AH56" s="2188">
        <f t="shared" si="89"/>
        <v>0</v>
      </c>
      <c r="AI56" s="2188">
        <f t="shared" si="89"/>
        <v>0</v>
      </c>
      <c r="AJ56" s="2186">
        <f t="shared" si="57"/>
        <v>0</v>
      </c>
      <c r="AK56" s="2188">
        <f t="shared" si="90"/>
        <v>0</v>
      </c>
      <c r="AL56" s="2188">
        <f t="shared" si="90"/>
        <v>0</v>
      </c>
      <c r="AM56" s="2186">
        <f t="shared" si="59"/>
        <v>0</v>
      </c>
      <c r="AN56" s="2188">
        <f t="shared" si="91"/>
        <v>0</v>
      </c>
      <c r="AO56" s="2188">
        <f t="shared" si="91"/>
        <v>0</v>
      </c>
      <c r="AP56" s="2186">
        <f t="shared" si="61"/>
        <v>0</v>
      </c>
      <c r="AQ56" s="2188">
        <f t="shared" si="92"/>
        <v>0</v>
      </c>
      <c r="AR56" s="2188">
        <f t="shared" si="92"/>
        <v>0</v>
      </c>
      <c r="AS56" s="2186">
        <f t="shared" si="63"/>
        <v>0</v>
      </c>
      <c r="AT56" s="2188">
        <f t="shared" si="93"/>
        <v>0</v>
      </c>
      <c r="AU56" s="2188">
        <f t="shared" si="93"/>
        <v>0</v>
      </c>
      <c r="AV56" s="2186">
        <f t="shared" si="65"/>
        <v>0</v>
      </c>
      <c r="AW56" s="2188">
        <f t="shared" si="94"/>
        <v>0</v>
      </c>
      <c r="AX56" s="2188">
        <f t="shared" si="94"/>
        <v>0</v>
      </c>
      <c r="AY56" s="2186">
        <f t="shared" si="67"/>
        <v>0</v>
      </c>
      <c r="AZ56" s="2188">
        <f t="shared" si="95"/>
        <v>0</v>
      </c>
      <c r="BA56" s="2188">
        <f t="shared" si="95"/>
        <v>0</v>
      </c>
      <c r="BB56" s="2186">
        <f t="shared" si="69"/>
        <v>0</v>
      </c>
      <c r="BC56" s="2188">
        <f t="shared" si="96"/>
        <v>0</v>
      </c>
      <c r="BD56" s="2188">
        <f t="shared" si="96"/>
        <v>0</v>
      </c>
      <c r="BE56" s="2186">
        <f t="shared" si="71"/>
        <v>0</v>
      </c>
      <c r="BF56" s="2188">
        <f t="shared" si="97"/>
        <v>0</v>
      </c>
      <c r="BG56" s="2188">
        <f t="shared" si="97"/>
        <v>0</v>
      </c>
      <c r="BH56" s="2186">
        <f t="shared" si="73"/>
        <v>0</v>
      </c>
      <c r="BI56" s="2188">
        <f t="shared" si="98"/>
        <v>0</v>
      </c>
      <c r="BJ56" s="2188">
        <f t="shared" si="98"/>
        <v>0</v>
      </c>
      <c r="BK56" s="2186">
        <f t="shared" si="75"/>
        <v>0</v>
      </c>
      <c r="BL56" s="2188">
        <f t="shared" si="99"/>
        <v>0</v>
      </c>
      <c r="BM56" s="2188">
        <f t="shared" si="99"/>
        <v>0</v>
      </c>
      <c r="BN56" s="2186">
        <f t="shared" si="77"/>
        <v>0</v>
      </c>
      <c r="BO56" s="2188">
        <f t="shared" si="100"/>
        <v>0</v>
      </c>
      <c r="BP56" s="2188">
        <f t="shared" si="100"/>
        <v>0</v>
      </c>
      <c r="BQ56" s="2186">
        <f t="shared" si="79"/>
        <v>0</v>
      </c>
    </row>
    <row r="57" spans="3:69" s="2087" customFormat="1" ht="21.6" hidden="1" customHeight="1">
      <c r="C57" s="2194" t="s">
        <v>2156</v>
      </c>
      <c r="D57" s="2190" t="s">
        <v>2118</v>
      </c>
      <c r="E57" s="2175" t="s">
        <v>2136</v>
      </c>
      <c r="F57" s="2176"/>
      <c r="G57" s="2179">
        <f>IFERROR(G89/G28,0)</f>
        <v>0</v>
      </c>
      <c r="H57" s="2179">
        <f t="shared" si="81"/>
        <v>0</v>
      </c>
      <c r="I57" s="2178">
        <f t="shared" si="41"/>
        <v>0</v>
      </c>
      <c r="J57" s="2176"/>
      <c r="K57" s="2179">
        <f t="shared" si="82"/>
        <v>0</v>
      </c>
      <c r="L57" s="2179">
        <f t="shared" si="82"/>
        <v>0</v>
      </c>
      <c r="M57" s="2178">
        <f t="shared" si="43"/>
        <v>0</v>
      </c>
      <c r="N57" s="2179">
        <f t="shared" si="83"/>
        <v>0</v>
      </c>
      <c r="O57" s="2179">
        <f t="shared" si="83"/>
        <v>0</v>
      </c>
      <c r="P57" s="2178">
        <f t="shared" si="45"/>
        <v>0</v>
      </c>
      <c r="Q57" s="2184">
        <f t="shared" si="84"/>
        <v>0</v>
      </c>
      <c r="R57" s="2179">
        <f t="shared" si="84"/>
        <v>0</v>
      </c>
      <c r="S57" s="2180">
        <f t="shared" si="47"/>
        <v>0</v>
      </c>
      <c r="T57" s="2181">
        <f t="shared" si="85"/>
        <v>0</v>
      </c>
      <c r="U57" s="2179">
        <f t="shared" si="85"/>
        <v>0</v>
      </c>
      <c r="V57" s="2180">
        <f t="shared" si="49"/>
        <v>0</v>
      </c>
      <c r="W57" s="2187">
        <f t="shared" si="86"/>
        <v>0</v>
      </c>
      <c r="X57" s="2179">
        <f t="shared" si="86"/>
        <v>0</v>
      </c>
      <c r="Y57" s="2183">
        <f t="shared" si="51"/>
        <v>0</v>
      </c>
      <c r="Z57" s="2184">
        <f t="shared" si="87"/>
        <v>0</v>
      </c>
      <c r="AA57" s="2179">
        <f t="shared" si="87"/>
        <v>0</v>
      </c>
      <c r="AB57" s="2178">
        <f t="shared" si="53"/>
        <v>0</v>
      </c>
      <c r="AC57" s="2184">
        <f t="shared" si="88"/>
        <v>0</v>
      </c>
      <c r="AD57" s="2179">
        <f t="shared" si="88"/>
        <v>0</v>
      </c>
      <c r="AE57" s="2180">
        <f t="shared" si="55"/>
        <v>0</v>
      </c>
      <c r="AF57" s="2211"/>
      <c r="AG57" s="2114"/>
      <c r="AH57" s="2188">
        <f t="shared" si="89"/>
        <v>0</v>
      </c>
      <c r="AI57" s="2188">
        <f t="shared" si="89"/>
        <v>0</v>
      </c>
      <c r="AJ57" s="2186">
        <f t="shared" si="57"/>
        <v>0</v>
      </c>
      <c r="AK57" s="2188">
        <f t="shared" si="90"/>
        <v>0</v>
      </c>
      <c r="AL57" s="2188">
        <f t="shared" si="90"/>
        <v>0</v>
      </c>
      <c r="AM57" s="2186">
        <f t="shared" si="59"/>
        <v>0</v>
      </c>
      <c r="AN57" s="2188">
        <f t="shared" si="91"/>
        <v>0</v>
      </c>
      <c r="AO57" s="2188">
        <f t="shared" si="91"/>
        <v>0</v>
      </c>
      <c r="AP57" s="2186">
        <f t="shared" si="61"/>
        <v>0</v>
      </c>
      <c r="AQ57" s="2188">
        <f t="shared" si="92"/>
        <v>0</v>
      </c>
      <c r="AR57" s="2188">
        <f t="shared" si="92"/>
        <v>0</v>
      </c>
      <c r="AS57" s="2186">
        <f t="shared" si="63"/>
        <v>0</v>
      </c>
      <c r="AT57" s="2188">
        <f t="shared" si="93"/>
        <v>0</v>
      </c>
      <c r="AU57" s="2188">
        <f t="shared" si="93"/>
        <v>0</v>
      </c>
      <c r="AV57" s="2186">
        <f t="shared" si="65"/>
        <v>0</v>
      </c>
      <c r="AW57" s="2188">
        <f t="shared" si="94"/>
        <v>0</v>
      </c>
      <c r="AX57" s="2188">
        <f t="shared" si="94"/>
        <v>0</v>
      </c>
      <c r="AY57" s="2186">
        <f t="shared" si="67"/>
        <v>0</v>
      </c>
      <c r="AZ57" s="2188">
        <f t="shared" si="95"/>
        <v>0</v>
      </c>
      <c r="BA57" s="2188">
        <f t="shared" si="95"/>
        <v>0</v>
      </c>
      <c r="BB57" s="2186">
        <f t="shared" si="69"/>
        <v>0</v>
      </c>
      <c r="BC57" s="2188">
        <f t="shared" si="96"/>
        <v>0</v>
      </c>
      <c r="BD57" s="2188">
        <f t="shared" si="96"/>
        <v>0</v>
      </c>
      <c r="BE57" s="2186">
        <f t="shared" si="71"/>
        <v>0</v>
      </c>
      <c r="BF57" s="2188">
        <f t="shared" si="97"/>
        <v>0</v>
      </c>
      <c r="BG57" s="2188">
        <f t="shared" si="97"/>
        <v>0</v>
      </c>
      <c r="BH57" s="2186">
        <f t="shared" si="73"/>
        <v>0</v>
      </c>
      <c r="BI57" s="2188">
        <f t="shared" si="98"/>
        <v>0</v>
      </c>
      <c r="BJ57" s="2188">
        <f t="shared" si="98"/>
        <v>0</v>
      </c>
      <c r="BK57" s="2186">
        <f t="shared" si="75"/>
        <v>0</v>
      </c>
      <c r="BL57" s="2188">
        <f t="shared" si="99"/>
        <v>0</v>
      </c>
      <c r="BM57" s="2188">
        <f t="shared" si="99"/>
        <v>0</v>
      </c>
      <c r="BN57" s="2186">
        <f t="shared" si="77"/>
        <v>0</v>
      </c>
      <c r="BO57" s="2188">
        <f t="shared" si="100"/>
        <v>0</v>
      </c>
      <c r="BP57" s="2188">
        <f t="shared" si="100"/>
        <v>0</v>
      </c>
      <c r="BQ57" s="2186">
        <f t="shared" si="79"/>
        <v>0</v>
      </c>
    </row>
    <row r="58" spans="3:69" s="2159" customFormat="1" ht="21.6" hidden="1" customHeight="1">
      <c r="C58" s="2212" t="s">
        <v>2157</v>
      </c>
      <c r="D58" s="2202" t="s">
        <v>2158</v>
      </c>
      <c r="E58" s="2213" t="s">
        <v>2159</v>
      </c>
      <c r="F58" s="2162"/>
      <c r="G58" s="2163">
        <f t="shared" ref="G58:H64" si="101">IFERROR(G90/G29/12*1000,0)</f>
        <v>0</v>
      </c>
      <c r="H58" s="2163">
        <f t="shared" si="101"/>
        <v>0</v>
      </c>
      <c r="I58" s="2164">
        <f t="shared" si="41"/>
        <v>0</v>
      </c>
      <c r="J58" s="2162"/>
      <c r="K58" s="2163">
        <f t="shared" ref="K58:L64" si="102">IFERROR(K90/K29/12*1000,0)</f>
        <v>0</v>
      </c>
      <c r="L58" s="2163">
        <f t="shared" si="102"/>
        <v>0</v>
      </c>
      <c r="M58" s="2164">
        <f t="shared" si="43"/>
        <v>0</v>
      </c>
      <c r="N58" s="2163">
        <f t="shared" ref="N58:O64" si="103">IFERROR(N90/N29/3*1000,0)</f>
        <v>0</v>
      </c>
      <c r="O58" s="2163">
        <f t="shared" si="103"/>
        <v>0</v>
      </c>
      <c r="P58" s="2164">
        <f t="shared" si="45"/>
        <v>0</v>
      </c>
      <c r="Q58" s="2165">
        <f t="shared" ref="Q58:R64" si="104">IFERROR(Q90/Q29/3*1000,0)</f>
        <v>0</v>
      </c>
      <c r="R58" s="2163">
        <f t="shared" si="104"/>
        <v>0</v>
      </c>
      <c r="S58" s="2166">
        <f t="shared" si="47"/>
        <v>0</v>
      </c>
      <c r="T58" s="2167">
        <f t="shared" ref="T58:U64" si="105">IFERROR(T90/T29/6*1000,0)</f>
        <v>0</v>
      </c>
      <c r="U58" s="2163">
        <f t="shared" si="105"/>
        <v>0</v>
      </c>
      <c r="V58" s="2166">
        <f t="shared" si="49"/>
        <v>0</v>
      </c>
      <c r="W58" s="2168">
        <f t="shared" ref="W58:X64" si="106">IFERROR(W90/W29/3*1000,0)</f>
        <v>0</v>
      </c>
      <c r="X58" s="2163">
        <f t="shared" si="106"/>
        <v>0</v>
      </c>
      <c r="Y58" s="2169">
        <f t="shared" si="51"/>
        <v>0</v>
      </c>
      <c r="Z58" s="2165">
        <f t="shared" ref="Z58:AA64" si="107">IFERROR(Z90/Z29/9*1000,0)</f>
        <v>0</v>
      </c>
      <c r="AA58" s="2163">
        <f t="shared" si="107"/>
        <v>0</v>
      </c>
      <c r="AB58" s="2164">
        <f t="shared" si="53"/>
        <v>0</v>
      </c>
      <c r="AC58" s="2165">
        <f t="shared" ref="AC58:AD64" si="108">IFERROR(AC90/AC29/3*1000,0)</f>
        <v>0</v>
      </c>
      <c r="AD58" s="2163">
        <f t="shared" si="108"/>
        <v>0</v>
      </c>
      <c r="AE58" s="2166">
        <f t="shared" si="55"/>
        <v>0</v>
      </c>
      <c r="AF58" s="2204"/>
      <c r="AG58" s="2158"/>
      <c r="AH58" s="2171">
        <f t="shared" ref="AH58:AI64" si="109">IFERROR(AH90/AH29/3*1000,0)</f>
        <v>0</v>
      </c>
      <c r="AI58" s="2171">
        <f t="shared" si="109"/>
        <v>0</v>
      </c>
      <c r="AJ58" s="2172">
        <f t="shared" si="57"/>
        <v>0</v>
      </c>
      <c r="AK58" s="2171">
        <f t="shared" ref="AK58:AL64" si="110">IFERROR(AK90/AK29/3*1000,0)</f>
        <v>0</v>
      </c>
      <c r="AL58" s="2171">
        <f t="shared" si="110"/>
        <v>0</v>
      </c>
      <c r="AM58" s="2172">
        <f t="shared" si="59"/>
        <v>0</v>
      </c>
      <c r="AN58" s="2171">
        <f t="shared" ref="AN58:AO64" si="111">IFERROR(AN90/AN29/3*1000,0)</f>
        <v>0</v>
      </c>
      <c r="AO58" s="2171">
        <f t="shared" si="111"/>
        <v>0</v>
      </c>
      <c r="AP58" s="2172">
        <f t="shared" si="61"/>
        <v>0</v>
      </c>
      <c r="AQ58" s="2171">
        <f t="shared" ref="AQ58:AR64" si="112">IFERROR(AQ90/AQ29/3*1000,0)</f>
        <v>0</v>
      </c>
      <c r="AR58" s="2171">
        <f t="shared" si="112"/>
        <v>0</v>
      </c>
      <c r="AS58" s="2172">
        <f t="shared" si="63"/>
        <v>0</v>
      </c>
      <c r="AT58" s="2171">
        <f t="shared" ref="AT58:AU64" si="113">IFERROR(AT90/AT29/3*1000,0)</f>
        <v>0</v>
      </c>
      <c r="AU58" s="2171">
        <f t="shared" si="113"/>
        <v>0</v>
      </c>
      <c r="AV58" s="2172">
        <f t="shared" si="65"/>
        <v>0</v>
      </c>
      <c r="AW58" s="2171">
        <f t="shared" ref="AW58:AX64" si="114">IFERROR(AW90/AW29/3*1000,0)</f>
        <v>0</v>
      </c>
      <c r="AX58" s="2171">
        <f t="shared" si="114"/>
        <v>0</v>
      </c>
      <c r="AY58" s="2172">
        <f t="shared" si="67"/>
        <v>0</v>
      </c>
      <c r="AZ58" s="2171">
        <f t="shared" ref="AZ58:BA64" si="115">IFERROR(AZ90/AZ29/3*1000,0)</f>
        <v>0</v>
      </c>
      <c r="BA58" s="2171">
        <f t="shared" si="115"/>
        <v>0</v>
      </c>
      <c r="BB58" s="2172">
        <f t="shared" si="69"/>
        <v>0</v>
      </c>
      <c r="BC58" s="2171">
        <f t="shared" ref="BC58:BD64" si="116">IFERROR(BC90/BC29/3*1000,0)</f>
        <v>0</v>
      </c>
      <c r="BD58" s="2171">
        <f t="shared" si="116"/>
        <v>0</v>
      </c>
      <c r="BE58" s="2172">
        <f t="shared" si="71"/>
        <v>0</v>
      </c>
      <c r="BF58" s="2171">
        <f t="shared" ref="BF58:BG64" si="117">IFERROR(BF90/BF29/3*1000,0)</f>
        <v>0</v>
      </c>
      <c r="BG58" s="2171">
        <f t="shared" si="117"/>
        <v>0</v>
      </c>
      <c r="BH58" s="2172">
        <f t="shared" si="73"/>
        <v>0</v>
      </c>
      <c r="BI58" s="2171">
        <f t="shared" ref="BI58:BJ64" si="118">IFERROR(BI90/BI29/3*1000,0)</f>
        <v>0</v>
      </c>
      <c r="BJ58" s="2171">
        <f t="shared" si="118"/>
        <v>0</v>
      </c>
      <c r="BK58" s="2172">
        <f t="shared" si="75"/>
        <v>0</v>
      </c>
      <c r="BL58" s="2171">
        <f t="shared" ref="BL58:BM64" si="119">IFERROR(BL90/BL29/3*1000,0)</f>
        <v>0</v>
      </c>
      <c r="BM58" s="2171">
        <f t="shared" si="119"/>
        <v>0</v>
      </c>
      <c r="BN58" s="2172">
        <f t="shared" si="77"/>
        <v>0</v>
      </c>
      <c r="BO58" s="2171">
        <f t="shared" ref="BO58:BP64" si="120">IFERROR(BO90/BO29/3*1000,0)</f>
        <v>0</v>
      </c>
      <c r="BP58" s="2171">
        <f t="shared" si="120"/>
        <v>0</v>
      </c>
      <c r="BQ58" s="2172">
        <f t="shared" si="79"/>
        <v>0</v>
      </c>
    </row>
    <row r="59" spans="3:69" ht="21.6" hidden="1" customHeight="1">
      <c r="C59" s="2208" t="s">
        <v>2160</v>
      </c>
      <c r="D59" s="2174" t="s">
        <v>2088</v>
      </c>
      <c r="E59" s="2214" t="s">
        <v>2159</v>
      </c>
      <c r="F59" s="2176"/>
      <c r="G59" s="2179">
        <f t="shared" si="101"/>
        <v>0</v>
      </c>
      <c r="H59" s="2179">
        <f t="shared" si="101"/>
        <v>0</v>
      </c>
      <c r="I59" s="2178">
        <f t="shared" si="41"/>
        <v>0</v>
      </c>
      <c r="J59" s="2176"/>
      <c r="K59" s="2179">
        <f t="shared" si="102"/>
        <v>0</v>
      </c>
      <c r="L59" s="2179">
        <f t="shared" si="102"/>
        <v>0</v>
      </c>
      <c r="M59" s="2178">
        <f t="shared" si="43"/>
        <v>0</v>
      </c>
      <c r="N59" s="2179">
        <f t="shared" si="103"/>
        <v>0</v>
      </c>
      <c r="O59" s="2179">
        <f t="shared" si="103"/>
        <v>0</v>
      </c>
      <c r="P59" s="2178">
        <f t="shared" si="45"/>
        <v>0</v>
      </c>
      <c r="Q59" s="2184">
        <f t="shared" si="104"/>
        <v>0</v>
      </c>
      <c r="R59" s="2179">
        <f t="shared" si="104"/>
        <v>0</v>
      </c>
      <c r="S59" s="2180">
        <f t="shared" si="47"/>
        <v>0</v>
      </c>
      <c r="T59" s="2181">
        <f t="shared" si="105"/>
        <v>0</v>
      </c>
      <c r="U59" s="2179">
        <f t="shared" si="105"/>
        <v>0</v>
      </c>
      <c r="V59" s="2180">
        <f t="shared" si="49"/>
        <v>0</v>
      </c>
      <c r="W59" s="2187">
        <f t="shared" si="106"/>
        <v>0</v>
      </c>
      <c r="X59" s="2179">
        <f t="shared" si="106"/>
        <v>0</v>
      </c>
      <c r="Y59" s="2183">
        <f t="shared" si="51"/>
        <v>0</v>
      </c>
      <c r="Z59" s="2184">
        <f t="shared" si="107"/>
        <v>0</v>
      </c>
      <c r="AA59" s="2179">
        <f t="shared" si="107"/>
        <v>0</v>
      </c>
      <c r="AB59" s="2178">
        <f t="shared" si="53"/>
        <v>0</v>
      </c>
      <c r="AC59" s="2184">
        <f t="shared" si="108"/>
        <v>0</v>
      </c>
      <c r="AD59" s="2179">
        <f t="shared" si="108"/>
        <v>0</v>
      </c>
      <c r="AE59" s="2180">
        <f t="shared" si="55"/>
        <v>0</v>
      </c>
      <c r="AF59" s="2204"/>
      <c r="AG59" s="2145"/>
      <c r="AH59" s="2188">
        <f t="shared" si="109"/>
        <v>0</v>
      </c>
      <c r="AI59" s="2188">
        <f t="shared" si="109"/>
        <v>0</v>
      </c>
      <c r="AJ59" s="2186">
        <f t="shared" si="57"/>
        <v>0</v>
      </c>
      <c r="AK59" s="2188">
        <f t="shared" si="110"/>
        <v>0</v>
      </c>
      <c r="AL59" s="2188">
        <f t="shared" si="110"/>
        <v>0</v>
      </c>
      <c r="AM59" s="2186">
        <f t="shared" si="59"/>
        <v>0</v>
      </c>
      <c r="AN59" s="2188">
        <f t="shared" si="111"/>
        <v>0</v>
      </c>
      <c r="AO59" s="2188">
        <f t="shared" si="111"/>
        <v>0</v>
      </c>
      <c r="AP59" s="2186">
        <f t="shared" si="61"/>
        <v>0</v>
      </c>
      <c r="AQ59" s="2188">
        <f t="shared" si="112"/>
        <v>0</v>
      </c>
      <c r="AR59" s="2188">
        <f t="shared" si="112"/>
        <v>0</v>
      </c>
      <c r="AS59" s="2186">
        <f t="shared" si="63"/>
        <v>0</v>
      </c>
      <c r="AT59" s="2188">
        <f t="shared" si="113"/>
        <v>0</v>
      </c>
      <c r="AU59" s="2188">
        <f t="shared" si="113"/>
        <v>0</v>
      </c>
      <c r="AV59" s="2186">
        <f t="shared" si="65"/>
        <v>0</v>
      </c>
      <c r="AW59" s="2188">
        <f t="shared" si="114"/>
        <v>0</v>
      </c>
      <c r="AX59" s="2188">
        <f t="shared" si="114"/>
        <v>0</v>
      </c>
      <c r="AY59" s="2186">
        <f t="shared" si="67"/>
        <v>0</v>
      </c>
      <c r="AZ59" s="2188">
        <f t="shared" si="115"/>
        <v>0</v>
      </c>
      <c r="BA59" s="2188">
        <f t="shared" si="115"/>
        <v>0</v>
      </c>
      <c r="BB59" s="2186">
        <f t="shared" si="69"/>
        <v>0</v>
      </c>
      <c r="BC59" s="2188">
        <f t="shared" si="116"/>
        <v>0</v>
      </c>
      <c r="BD59" s="2188">
        <f t="shared" si="116"/>
        <v>0</v>
      </c>
      <c r="BE59" s="2186">
        <f t="shared" si="71"/>
        <v>0</v>
      </c>
      <c r="BF59" s="2188">
        <f t="shared" si="117"/>
        <v>0</v>
      </c>
      <c r="BG59" s="2188">
        <f t="shared" si="117"/>
        <v>0</v>
      </c>
      <c r="BH59" s="2186">
        <f t="shared" si="73"/>
        <v>0</v>
      </c>
      <c r="BI59" s="2188">
        <f t="shared" si="118"/>
        <v>0</v>
      </c>
      <c r="BJ59" s="2188">
        <f t="shared" si="118"/>
        <v>0</v>
      </c>
      <c r="BK59" s="2186">
        <f t="shared" si="75"/>
        <v>0</v>
      </c>
      <c r="BL59" s="2188">
        <f t="shared" si="119"/>
        <v>0</v>
      </c>
      <c r="BM59" s="2188">
        <f t="shared" si="119"/>
        <v>0</v>
      </c>
      <c r="BN59" s="2186">
        <f t="shared" si="77"/>
        <v>0</v>
      </c>
      <c r="BO59" s="2188">
        <f t="shared" si="120"/>
        <v>0</v>
      </c>
      <c r="BP59" s="2188">
        <f t="shared" si="120"/>
        <v>0</v>
      </c>
      <c r="BQ59" s="2186">
        <f t="shared" si="79"/>
        <v>0</v>
      </c>
    </row>
    <row r="60" spans="3:69" ht="21.6" hidden="1" customHeight="1">
      <c r="C60" s="2208" t="s">
        <v>2161</v>
      </c>
      <c r="D60" s="2174" t="s">
        <v>2123</v>
      </c>
      <c r="E60" s="2214" t="s">
        <v>2159</v>
      </c>
      <c r="F60" s="2176"/>
      <c r="G60" s="2179">
        <f t="shared" si="101"/>
        <v>0</v>
      </c>
      <c r="H60" s="2179">
        <f t="shared" si="101"/>
        <v>0</v>
      </c>
      <c r="I60" s="2178">
        <f t="shared" si="41"/>
        <v>0</v>
      </c>
      <c r="J60" s="2176"/>
      <c r="K60" s="2179">
        <f t="shared" si="102"/>
        <v>0</v>
      </c>
      <c r="L60" s="2179">
        <f t="shared" si="102"/>
        <v>0</v>
      </c>
      <c r="M60" s="2178">
        <f t="shared" si="43"/>
        <v>0</v>
      </c>
      <c r="N60" s="2179">
        <f t="shared" si="103"/>
        <v>0</v>
      </c>
      <c r="O60" s="2179">
        <f t="shared" si="103"/>
        <v>0</v>
      </c>
      <c r="P60" s="2178">
        <f t="shared" si="45"/>
        <v>0</v>
      </c>
      <c r="Q60" s="2184">
        <f t="shared" si="104"/>
        <v>0</v>
      </c>
      <c r="R60" s="2179">
        <f t="shared" si="104"/>
        <v>0</v>
      </c>
      <c r="S60" s="2180">
        <f t="shared" si="47"/>
        <v>0</v>
      </c>
      <c r="T60" s="2181">
        <f t="shared" si="105"/>
        <v>0</v>
      </c>
      <c r="U60" s="2179">
        <f t="shared" si="105"/>
        <v>0</v>
      </c>
      <c r="V60" s="2180">
        <f t="shared" si="49"/>
        <v>0</v>
      </c>
      <c r="W60" s="2187">
        <f t="shared" si="106"/>
        <v>0</v>
      </c>
      <c r="X60" s="2179">
        <f t="shared" si="106"/>
        <v>0</v>
      </c>
      <c r="Y60" s="2183">
        <f t="shared" si="51"/>
        <v>0</v>
      </c>
      <c r="Z60" s="2184">
        <f t="shared" si="107"/>
        <v>0</v>
      </c>
      <c r="AA60" s="2179">
        <f t="shared" si="107"/>
        <v>0</v>
      </c>
      <c r="AB60" s="2178">
        <f t="shared" si="53"/>
        <v>0</v>
      </c>
      <c r="AC60" s="2184">
        <f t="shared" si="108"/>
        <v>0</v>
      </c>
      <c r="AD60" s="2179">
        <f t="shared" si="108"/>
        <v>0</v>
      </c>
      <c r="AE60" s="2180">
        <f t="shared" si="55"/>
        <v>0</v>
      </c>
      <c r="AF60" s="2191"/>
      <c r="AG60" s="2145"/>
      <c r="AH60" s="2188">
        <f t="shared" si="109"/>
        <v>0</v>
      </c>
      <c r="AI60" s="2188">
        <f t="shared" si="109"/>
        <v>0</v>
      </c>
      <c r="AJ60" s="2186">
        <f t="shared" si="57"/>
        <v>0</v>
      </c>
      <c r="AK60" s="2188">
        <f t="shared" si="110"/>
        <v>0</v>
      </c>
      <c r="AL60" s="2188">
        <f t="shared" si="110"/>
        <v>0</v>
      </c>
      <c r="AM60" s="2186">
        <f t="shared" si="59"/>
        <v>0</v>
      </c>
      <c r="AN60" s="2188">
        <f t="shared" si="111"/>
        <v>0</v>
      </c>
      <c r="AO60" s="2188">
        <f t="shared" si="111"/>
        <v>0</v>
      </c>
      <c r="AP60" s="2186">
        <f t="shared" si="61"/>
        <v>0</v>
      </c>
      <c r="AQ60" s="2188">
        <f t="shared" si="112"/>
        <v>0</v>
      </c>
      <c r="AR60" s="2188">
        <f t="shared" si="112"/>
        <v>0</v>
      </c>
      <c r="AS60" s="2186">
        <f t="shared" si="63"/>
        <v>0</v>
      </c>
      <c r="AT60" s="2188">
        <f t="shared" si="113"/>
        <v>0</v>
      </c>
      <c r="AU60" s="2188">
        <f t="shared" si="113"/>
        <v>0</v>
      </c>
      <c r="AV60" s="2186">
        <f t="shared" si="65"/>
        <v>0</v>
      </c>
      <c r="AW60" s="2188">
        <f t="shared" si="114"/>
        <v>0</v>
      </c>
      <c r="AX60" s="2188">
        <f t="shared" si="114"/>
        <v>0</v>
      </c>
      <c r="AY60" s="2186">
        <f t="shared" si="67"/>
        <v>0</v>
      </c>
      <c r="AZ60" s="2188">
        <f t="shared" si="115"/>
        <v>0</v>
      </c>
      <c r="BA60" s="2188">
        <f t="shared" si="115"/>
        <v>0</v>
      </c>
      <c r="BB60" s="2186">
        <f t="shared" si="69"/>
        <v>0</v>
      </c>
      <c r="BC60" s="2188">
        <f t="shared" si="116"/>
        <v>0</v>
      </c>
      <c r="BD60" s="2188">
        <f t="shared" si="116"/>
        <v>0</v>
      </c>
      <c r="BE60" s="2186">
        <f t="shared" si="71"/>
        <v>0</v>
      </c>
      <c r="BF60" s="2188">
        <f t="shared" si="117"/>
        <v>0</v>
      </c>
      <c r="BG60" s="2188">
        <f t="shared" si="117"/>
        <v>0</v>
      </c>
      <c r="BH60" s="2186">
        <f t="shared" si="73"/>
        <v>0</v>
      </c>
      <c r="BI60" s="2188">
        <f t="shared" si="118"/>
        <v>0</v>
      </c>
      <c r="BJ60" s="2188">
        <f t="shared" si="118"/>
        <v>0</v>
      </c>
      <c r="BK60" s="2186">
        <f t="shared" si="75"/>
        <v>0</v>
      </c>
      <c r="BL60" s="2188">
        <f t="shared" si="119"/>
        <v>0</v>
      </c>
      <c r="BM60" s="2188">
        <f t="shared" si="119"/>
        <v>0</v>
      </c>
      <c r="BN60" s="2186">
        <f t="shared" si="77"/>
        <v>0</v>
      </c>
      <c r="BO60" s="2188">
        <f t="shared" si="120"/>
        <v>0</v>
      </c>
      <c r="BP60" s="2188">
        <f t="shared" si="120"/>
        <v>0</v>
      </c>
      <c r="BQ60" s="2186">
        <f t="shared" si="79"/>
        <v>0</v>
      </c>
    </row>
    <row r="61" spans="3:69" ht="21.6" hidden="1" customHeight="1">
      <c r="C61" s="2189" t="s">
        <v>2162</v>
      </c>
      <c r="D61" s="2199" t="s">
        <v>2125</v>
      </c>
      <c r="E61" s="2214" t="s">
        <v>2159</v>
      </c>
      <c r="F61" s="2176"/>
      <c r="G61" s="2179">
        <f t="shared" si="101"/>
        <v>0</v>
      </c>
      <c r="H61" s="2179">
        <f t="shared" si="101"/>
        <v>0</v>
      </c>
      <c r="I61" s="2178">
        <f t="shared" si="41"/>
        <v>0</v>
      </c>
      <c r="J61" s="2176"/>
      <c r="K61" s="2179">
        <f t="shared" si="102"/>
        <v>0</v>
      </c>
      <c r="L61" s="2179">
        <f t="shared" si="102"/>
        <v>0</v>
      </c>
      <c r="M61" s="2178">
        <f t="shared" si="43"/>
        <v>0</v>
      </c>
      <c r="N61" s="2179">
        <f t="shared" si="103"/>
        <v>0</v>
      </c>
      <c r="O61" s="2179">
        <f t="shared" si="103"/>
        <v>0</v>
      </c>
      <c r="P61" s="2178">
        <f t="shared" si="45"/>
        <v>0</v>
      </c>
      <c r="Q61" s="2184">
        <f t="shared" si="104"/>
        <v>0</v>
      </c>
      <c r="R61" s="2179">
        <f t="shared" si="104"/>
        <v>0</v>
      </c>
      <c r="S61" s="2180">
        <f t="shared" si="47"/>
        <v>0</v>
      </c>
      <c r="T61" s="2181">
        <f t="shared" si="105"/>
        <v>0</v>
      </c>
      <c r="U61" s="2179">
        <f t="shared" si="105"/>
        <v>0</v>
      </c>
      <c r="V61" s="2180">
        <f t="shared" si="49"/>
        <v>0</v>
      </c>
      <c r="W61" s="2187">
        <f t="shared" si="106"/>
        <v>0</v>
      </c>
      <c r="X61" s="2179">
        <f t="shared" si="106"/>
        <v>0</v>
      </c>
      <c r="Y61" s="2183">
        <f t="shared" si="51"/>
        <v>0</v>
      </c>
      <c r="Z61" s="2184">
        <f t="shared" si="107"/>
        <v>0</v>
      </c>
      <c r="AA61" s="2179">
        <f t="shared" si="107"/>
        <v>0</v>
      </c>
      <c r="AB61" s="2178">
        <f t="shared" si="53"/>
        <v>0</v>
      </c>
      <c r="AC61" s="2184">
        <f t="shared" si="108"/>
        <v>0</v>
      </c>
      <c r="AD61" s="2179">
        <f t="shared" si="108"/>
        <v>0</v>
      </c>
      <c r="AE61" s="2180">
        <f t="shared" si="55"/>
        <v>0</v>
      </c>
      <c r="AF61" s="2191"/>
      <c r="AG61" s="2145"/>
      <c r="AH61" s="2188">
        <f t="shared" si="109"/>
        <v>0</v>
      </c>
      <c r="AI61" s="2188">
        <f t="shared" si="109"/>
        <v>0</v>
      </c>
      <c r="AJ61" s="2186">
        <f t="shared" si="57"/>
        <v>0</v>
      </c>
      <c r="AK61" s="2188">
        <f t="shared" si="110"/>
        <v>0</v>
      </c>
      <c r="AL61" s="2188">
        <f t="shared" si="110"/>
        <v>0</v>
      </c>
      <c r="AM61" s="2186">
        <f t="shared" si="59"/>
        <v>0</v>
      </c>
      <c r="AN61" s="2188">
        <f t="shared" si="111"/>
        <v>0</v>
      </c>
      <c r="AO61" s="2188">
        <f t="shared" si="111"/>
        <v>0</v>
      </c>
      <c r="AP61" s="2186">
        <f t="shared" si="61"/>
        <v>0</v>
      </c>
      <c r="AQ61" s="2188">
        <f t="shared" si="112"/>
        <v>0</v>
      </c>
      <c r="AR61" s="2188">
        <f t="shared" si="112"/>
        <v>0</v>
      </c>
      <c r="AS61" s="2186">
        <f t="shared" si="63"/>
        <v>0</v>
      </c>
      <c r="AT61" s="2188">
        <f t="shared" si="113"/>
        <v>0</v>
      </c>
      <c r="AU61" s="2188">
        <f t="shared" si="113"/>
        <v>0</v>
      </c>
      <c r="AV61" s="2186">
        <f t="shared" si="65"/>
        <v>0</v>
      </c>
      <c r="AW61" s="2188">
        <f t="shared" si="114"/>
        <v>0</v>
      </c>
      <c r="AX61" s="2188">
        <f t="shared" si="114"/>
        <v>0</v>
      </c>
      <c r="AY61" s="2186">
        <f t="shared" si="67"/>
        <v>0</v>
      </c>
      <c r="AZ61" s="2188">
        <f t="shared" si="115"/>
        <v>0</v>
      </c>
      <c r="BA61" s="2188">
        <f t="shared" si="115"/>
        <v>0</v>
      </c>
      <c r="BB61" s="2186">
        <f t="shared" si="69"/>
        <v>0</v>
      </c>
      <c r="BC61" s="2188">
        <f t="shared" si="116"/>
        <v>0</v>
      </c>
      <c r="BD61" s="2188">
        <f t="shared" si="116"/>
        <v>0</v>
      </c>
      <c r="BE61" s="2186">
        <f t="shared" si="71"/>
        <v>0</v>
      </c>
      <c r="BF61" s="2188">
        <f t="shared" si="117"/>
        <v>0</v>
      </c>
      <c r="BG61" s="2188">
        <f t="shared" si="117"/>
        <v>0</v>
      </c>
      <c r="BH61" s="2186">
        <f t="shared" si="73"/>
        <v>0</v>
      </c>
      <c r="BI61" s="2188">
        <f t="shared" si="118"/>
        <v>0</v>
      </c>
      <c r="BJ61" s="2188">
        <f t="shared" si="118"/>
        <v>0</v>
      </c>
      <c r="BK61" s="2186">
        <f t="shared" si="75"/>
        <v>0</v>
      </c>
      <c r="BL61" s="2188">
        <f t="shared" si="119"/>
        <v>0</v>
      </c>
      <c r="BM61" s="2188">
        <f t="shared" si="119"/>
        <v>0</v>
      </c>
      <c r="BN61" s="2186">
        <f t="shared" si="77"/>
        <v>0</v>
      </c>
      <c r="BO61" s="2188">
        <f t="shared" si="120"/>
        <v>0</v>
      </c>
      <c r="BP61" s="2188">
        <f t="shared" si="120"/>
        <v>0</v>
      </c>
      <c r="BQ61" s="2186">
        <f t="shared" si="79"/>
        <v>0</v>
      </c>
    </row>
    <row r="62" spans="3:69" ht="21.6" hidden="1" customHeight="1">
      <c r="C62" s="2189" t="s">
        <v>2163</v>
      </c>
      <c r="D62" s="2199" t="s">
        <v>2127</v>
      </c>
      <c r="E62" s="2214" t="s">
        <v>2159</v>
      </c>
      <c r="F62" s="2176"/>
      <c r="G62" s="2179">
        <f t="shared" si="101"/>
        <v>0</v>
      </c>
      <c r="H62" s="2179">
        <f t="shared" si="101"/>
        <v>0</v>
      </c>
      <c r="I62" s="2178">
        <f t="shared" si="41"/>
        <v>0</v>
      </c>
      <c r="J62" s="2176"/>
      <c r="K62" s="2179">
        <f t="shared" si="102"/>
        <v>0</v>
      </c>
      <c r="L62" s="2179">
        <f t="shared" si="102"/>
        <v>0</v>
      </c>
      <c r="M62" s="2178">
        <f t="shared" si="43"/>
        <v>0</v>
      </c>
      <c r="N62" s="2179">
        <f t="shared" si="103"/>
        <v>0</v>
      </c>
      <c r="O62" s="2179">
        <f t="shared" si="103"/>
        <v>0</v>
      </c>
      <c r="P62" s="2178">
        <f t="shared" si="45"/>
        <v>0</v>
      </c>
      <c r="Q62" s="2184">
        <f t="shared" si="104"/>
        <v>0</v>
      </c>
      <c r="R62" s="2179">
        <f t="shared" si="104"/>
        <v>0</v>
      </c>
      <c r="S62" s="2180">
        <f t="shared" si="47"/>
        <v>0</v>
      </c>
      <c r="T62" s="2181">
        <f t="shared" si="105"/>
        <v>0</v>
      </c>
      <c r="U62" s="2179">
        <f t="shared" si="105"/>
        <v>0</v>
      </c>
      <c r="V62" s="2180">
        <f t="shared" si="49"/>
        <v>0</v>
      </c>
      <c r="W62" s="2187">
        <f t="shared" si="106"/>
        <v>0</v>
      </c>
      <c r="X62" s="2179">
        <f t="shared" si="106"/>
        <v>0</v>
      </c>
      <c r="Y62" s="2183">
        <f t="shared" si="51"/>
        <v>0</v>
      </c>
      <c r="Z62" s="2184">
        <f t="shared" si="107"/>
        <v>0</v>
      </c>
      <c r="AA62" s="2179">
        <f t="shared" si="107"/>
        <v>0</v>
      </c>
      <c r="AB62" s="2178">
        <f t="shared" si="53"/>
        <v>0</v>
      </c>
      <c r="AC62" s="2184">
        <f t="shared" si="108"/>
        <v>0</v>
      </c>
      <c r="AD62" s="2179">
        <f t="shared" si="108"/>
        <v>0</v>
      </c>
      <c r="AE62" s="2180">
        <f t="shared" si="55"/>
        <v>0</v>
      </c>
      <c r="AF62" s="2204"/>
      <c r="AG62" s="2145"/>
      <c r="AH62" s="2188">
        <f t="shared" si="109"/>
        <v>0</v>
      </c>
      <c r="AI62" s="2188">
        <f t="shared" si="109"/>
        <v>0</v>
      </c>
      <c r="AJ62" s="2186">
        <f t="shared" si="57"/>
        <v>0</v>
      </c>
      <c r="AK62" s="2188">
        <f t="shared" si="110"/>
        <v>0</v>
      </c>
      <c r="AL62" s="2188">
        <f t="shared" si="110"/>
        <v>0</v>
      </c>
      <c r="AM62" s="2186">
        <f t="shared" si="59"/>
        <v>0</v>
      </c>
      <c r="AN62" s="2188">
        <f t="shared" si="111"/>
        <v>0</v>
      </c>
      <c r="AO62" s="2188">
        <f t="shared" si="111"/>
        <v>0</v>
      </c>
      <c r="AP62" s="2186">
        <f t="shared" si="61"/>
        <v>0</v>
      </c>
      <c r="AQ62" s="2188">
        <f t="shared" si="112"/>
        <v>0</v>
      </c>
      <c r="AR62" s="2188">
        <f t="shared" si="112"/>
        <v>0</v>
      </c>
      <c r="AS62" s="2186">
        <f t="shared" si="63"/>
        <v>0</v>
      </c>
      <c r="AT62" s="2188">
        <f t="shared" si="113"/>
        <v>0</v>
      </c>
      <c r="AU62" s="2188">
        <f t="shared" si="113"/>
        <v>0</v>
      </c>
      <c r="AV62" s="2186">
        <f t="shared" si="65"/>
        <v>0</v>
      </c>
      <c r="AW62" s="2188">
        <f t="shared" si="114"/>
        <v>0</v>
      </c>
      <c r="AX62" s="2188">
        <f t="shared" si="114"/>
        <v>0</v>
      </c>
      <c r="AY62" s="2186">
        <f t="shared" si="67"/>
        <v>0</v>
      </c>
      <c r="AZ62" s="2188">
        <f t="shared" si="115"/>
        <v>0</v>
      </c>
      <c r="BA62" s="2188">
        <f t="shared" si="115"/>
        <v>0</v>
      </c>
      <c r="BB62" s="2186">
        <f t="shared" si="69"/>
        <v>0</v>
      </c>
      <c r="BC62" s="2188">
        <f t="shared" si="116"/>
        <v>0</v>
      </c>
      <c r="BD62" s="2188">
        <f t="shared" si="116"/>
        <v>0</v>
      </c>
      <c r="BE62" s="2186">
        <f t="shared" si="71"/>
        <v>0</v>
      </c>
      <c r="BF62" s="2188">
        <f t="shared" si="117"/>
        <v>0</v>
      </c>
      <c r="BG62" s="2188">
        <f t="shared" si="117"/>
        <v>0</v>
      </c>
      <c r="BH62" s="2186">
        <f t="shared" si="73"/>
        <v>0</v>
      </c>
      <c r="BI62" s="2188">
        <f t="shared" si="118"/>
        <v>0</v>
      </c>
      <c r="BJ62" s="2188">
        <f t="shared" si="118"/>
        <v>0</v>
      </c>
      <c r="BK62" s="2186">
        <f t="shared" si="75"/>
        <v>0</v>
      </c>
      <c r="BL62" s="2188">
        <f t="shared" si="119"/>
        <v>0</v>
      </c>
      <c r="BM62" s="2188">
        <f t="shared" si="119"/>
        <v>0</v>
      </c>
      <c r="BN62" s="2186">
        <f t="shared" si="77"/>
        <v>0</v>
      </c>
      <c r="BO62" s="2188">
        <f t="shared" si="120"/>
        <v>0</v>
      </c>
      <c r="BP62" s="2188">
        <f t="shared" si="120"/>
        <v>0</v>
      </c>
      <c r="BQ62" s="2186">
        <f t="shared" si="79"/>
        <v>0</v>
      </c>
    </row>
    <row r="63" spans="3:69" ht="21.6" hidden="1" customHeight="1">
      <c r="C63" s="2208" t="s">
        <v>2164</v>
      </c>
      <c r="D63" s="2215" t="s">
        <v>2129</v>
      </c>
      <c r="E63" s="2214" t="s">
        <v>2159</v>
      </c>
      <c r="F63" s="2176"/>
      <c r="G63" s="2179">
        <f t="shared" si="101"/>
        <v>0</v>
      </c>
      <c r="H63" s="2179">
        <f t="shared" si="101"/>
        <v>0</v>
      </c>
      <c r="I63" s="2178">
        <f t="shared" si="41"/>
        <v>0</v>
      </c>
      <c r="J63" s="2176"/>
      <c r="K63" s="2179">
        <f t="shared" si="102"/>
        <v>0</v>
      </c>
      <c r="L63" s="2179">
        <f t="shared" si="102"/>
        <v>0</v>
      </c>
      <c r="M63" s="2178">
        <f t="shared" si="43"/>
        <v>0</v>
      </c>
      <c r="N63" s="2179">
        <f t="shared" si="103"/>
        <v>0</v>
      </c>
      <c r="O63" s="2179">
        <f t="shared" si="103"/>
        <v>0</v>
      </c>
      <c r="P63" s="2178">
        <f t="shared" si="45"/>
        <v>0</v>
      </c>
      <c r="Q63" s="2184">
        <f t="shared" si="104"/>
        <v>0</v>
      </c>
      <c r="R63" s="2179">
        <f t="shared" si="104"/>
        <v>0</v>
      </c>
      <c r="S63" s="2180">
        <f t="shared" si="47"/>
        <v>0</v>
      </c>
      <c r="T63" s="2181">
        <f t="shared" si="105"/>
        <v>0</v>
      </c>
      <c r="U63" s="2179">
        <f t="shared" si="105"/>
        <v>0</v>
      </c>
      <c r="V63" s="2180">
        <f t="shared" si="49"/>
        <v>0</v>
      </c>
      <c r="W63" s="2187">
        <f t="shared" si="106"/>
        <v>0</v>
      </c>
      <c r="X63" s="2179">
        <f t="shared" si="106"/>
        <v>0</v>
      </c>
      <c r="Y63" s="2183">
        <f t="shared" si="51"/>
        <v>0</v>
      </c>
      <c r="Z63" s="2184">
        <f t="shared" si="107"/>
        <v>0</v>
      </c>
      <c r="AA63" s="2179">
        <f t="shared" si="107"/>
        <v>0</v>
      </c>
      <c r="AB63" s="2178">
        <f t="shared" si="53"/>
        <v>0</v>
      </c>
      <c r="AC63" s="2184">
        <f t="shared" si="108"/>
        <v>0</v>
      </c>
      <c r="AD63" s="2179">
        <f t="shared" si="108"/>
        <v>0</v>
      </c>
      <c r="AE63" s="2180">
        <f t="shared" si="55"/>
        <v>0</v>
      </c>
      <c r="AF63" s="2204"/>
      <c r="AG63" s="2145"/>
      <c r="AH63" s="2188">
        <f t="shared" si="109"/>
        <v>0</v>
      </c>
      <c r="AI63" s="2188">
        <f t="shared" si="109"/>
        <v>0</v>
      </c>
      <c r="AJ63" s="2186">
        <f t="shared" si="57"/>
        <v>0</v>
      </c>
      <c r="AK63" s="2188">
        <f t="shared" si="110"/>
        <v>0</v>
      </c>
      <c r="AL63" s="2188">
        <f t="shared" si="110"/>
        <v>0</v>
      </c>
      <c r="AM63" s="2186">
        <f t="shared" si="59"/>
        <v>0</v>
      </c>
      <c r="AN63" s="2188">
        <f t="shared" si="111"/>
        <v>0</v>
      </c>
      <c r="AO63" s="2188">
        <f t="shared" si="111"/>
        <v>0</v>
      </c>
      <c r="AP63" s="2186">
        <f t="shared" si="61"/>
        <v>0</v>
      </c>
      <c r="AQ63" s="2188">
        <f t="shared" si="112"/>
        <v>0</v>
      </c>
      <c r="AR63" s="2188">
        <f t="shared" si="112"/>
        <v>0</v>
      </c>
      <c r="AS63" s="2186">
        <f t="shared" si="63"/>
        <v>0</v>
      </c>
      <c r="AT63" s="2188">
        <f t="shared" si="113"/>
        <v>0</v>
      </c>
      <c r="AU63" s="2188">
        <f t="shared" si="113"/>
        <v>0</v>
      </c>
      <c r="AV63" s="2186">
        <f t="shared" si="65"/>
        <v>0</v>
      </c>
      <c r="AW63" s="2188">
        <f t="shared" si="114"/>
        <v>0</v>
      </c>
      <c r="AX63" s="2188">
        <f t="shared" si="114"/>
        <v>0</v>
      </c>
      <c r="AY63" s="2186">
        <f t="shared" si="67"/>
        <v>0</v>
      </c>
      <c r="AZ63" s="2188">
        <f t="shared" si="115"/>
        <v>0</v>
      </c>
      <c r="BA63" s="2188">
        <f t="shared" si="115"/>
        <v>0</v>
      </c>
      <c r="BB63" s="2186">
        <f t="shared" si="69"/>
        <v>0</v>
      </c>
      <c r="BC63" s="2188">
        <f t="shared" si="116"/>
        <v>0</v>
      </c>
      <c r="BD63" s="2188">
        <f t="shared" si="116"/>
        <v>0</v>
      </c>
      <c r="BE63" s="2186">
        <f t="shared" si="71"/>
        <v>0</v>
      </c>
      <c r="BF63" s="2188">
        <f t="shared" si="117"/>
        <v>0</v>
      </c>
      <c r="BG63" s="2188">
        <f t="shared" si="117"/>
        <v>0</v>
      </c>
      <c r="BH63" s="2186">
        <f t="shared" si="73"/>
        <v>0</v>
      </c>
      <c r="BI63" s="2188">
        <f t="shared" si="118"/>
        <v>0</v>
      </c>
      <c r="BJ63" s="2188">
        <f t="shared" si="118"/>
        <v>0</v>
      </c>
      <c r="BK63" s="2186">
        <f t="shared" si="75"/>
        <v>0</v>
      </c>
      <c r="BL63" s="2188">
        <f t="shared" si="119"/>
        <v>0</v>
      </c>
      <c r="BM63" s="2188">
        <f t="shared" si="119"/>
        <v>0</v>
      </c>
      <c r="BN63" s="2186">
        <f t="shared" si="77"/>
        <v>0</v>
      </c>
      <c r="BO63" s="2188">
        <f t="shared" si="120"/>
        <v>0</v>
      </c>
      <c r="BP63" s="2188">
        <f t="shared" si="120"/>
        <v>0</v>
      </c>
      <c r="BQ63" s="2186">
        <f t="shared" si="79"/>
        <v>0</v>
      </c>
    </row>
    <row r="64" spans="3:69" ht="21.6" hidden="1" customHeight="1">
      <c r="C64" s="2208" t="s">
        <v>2165</v>
      </c>
      <c r="D64" s="2174" t="s">
        <v>2131</v>
      </c>
      <c r="E64" s="2214" t="s">
        <v>2159</v>
      </c>
      <c r="F64" s="2176"/>
      <c r="G64" s="2179">
        <f t="shared" si="101"/>
        <v>0</v>
      </c>
      <c r="H64" s="2179">
        <f t="shared" si="101"/>
        <v>0</v>
      </c>
      <c r="I64" s="2178">
        <f t="shared" si="41"/>
        <v>0</v>
      </c>
      <c r="J64" s="2176"/>
      <c r="K64" s="2179">
        <f t="shared" si="102"/>
        <v>0</v>
      </c>
      <c r="L64" s="2179">
        <f t="shared" si="102"/>
        <v>0</v>
      </c>
      <c r="M64" s="2178">
        <f t="shared" si="43"/>
        <v>0</v>
      </c>
      <c r="N64" s="2179">
        <f t="shared" si="103"/>
        <v>0</v>
      </c>
      <c r="O64" s="2179">
        <f t="shared" si="103"/>
        <v>0</v>
      </c>
      <c r="P64" s="2178">
        <f t="shared" si="45"/>
        <v>0</v>
      </c>
      <c r="Q64" s="2184">
        <f t="shared" si="104"/>
        <v>0</v>
      </c>
      <c r="R64" s="2179">
        <f t="shared" si="104"/>
        <v>0</v>
      </c>
      <c r="S64" s="2180">
        <f t="shared" si="47"/>
        <v>0</v>
      </c>
      <c r="T64" s="2181">
        <f t="shared" si="105"/>
        <v>0</v>
      </c>
      <c r="U64" s="2179">
        <f t="shared" si="105"/>
        <v>0</v>
      </c>
      <c r="V64" s="2180">
        <f t="shared" si="49"/>
        <v>0</v>
      </c>
      <c r="W64" s="2187">
        <f t="shared" si="106"/>
        <v>0</v>
      </c>
      <c r="X64" s="2179">
        <f t="shared" si="106"/>
        <v>0</v>
      </c>
      <c r="Y64" s="2183">
        <f t="shared" si="51"/>
        <v>0</v>
      </c>
      <c r="Z64" s="2184">
        <f t="shared" si="107"/>
        <v>0</v>
      </c>
      <c r="AA64" s="2179">
        <f t="shared" si="107"/>
        <v>0</v>
      </c>
      <c r="AB64" s="2178">
        <f t="shared" si="53"/>
        <v>0</v>
      </c>
      <c r="AC64" s="2184">
        <f t="shared" si="108"/>
        <v>0</v>
      </c>
      <c r="AD64" s="2179">
        <f t="shared" si="108"/>
        <v>0</v>
      </c>
      <c r="AE64" s="2180">
        <f t="shared" si="55"/>
        <v>0</v>
      </c>
      <c r="AF64" s="2204"/>
      <c r="AG64" s="2145"/>
      <c r="AH64" s="2188">
        <f t="shared" si="109"/>
        <v>0</v>
      </c>
      <c r="AI64" s="2188">
        <f t="shared" si="109"/>
        <v>0</v>
      </c>
      <c r="AJ64" s="2186">
        <f t="shared" si="57"/>
        <v>0</v>
      </c>
      <c r="AK64" s="2188">
        <f t="shared" si="110"/>
        <v>0</v>
      </c>
      <c r="AL64" s="2188">
        <f t="shared" si="110"/>
        <v>0</v>
      </c>
      <c r="AM64" s="2186">
        <f t="shared" si="59"/>
        <v>0</v>
      </c>
      <c r="AN64" s="2188">
        <f t="shared" si="111"/>
        <v>0</v>
      </c>
      <c r="AO64" s="2188">
        <f t="shared" si="111"/>
        <v>0</v>
      </c>
      <c r="AP64" s="2186">
        <f t="shared" si="61"/>
        <v>0</v>
      </c>
      <c r="AQ64" s="2188">
        <f t="shared" si="112"/>
        <v>0</v>
      </c>
      <c r="AR64" s="2188">
        <f t="shared" si="112"/>
        <v>0</v>
      </c>
      <c r="AS64" s="2186">
        <f t="shared" si="63"/>
        <v>0</v>
      </c>
      <c r="AT64" s="2188">
        <f t="shared" si="113"/>
        <v>0</v>
      </c>
      <c r="AU64" s="2188">
        <f t="shared" si="113"/>
        <v>0</v>
      </c>
      <c r="AV64" s="2186">
        <f t="shared" si="65"/>
        <v>0</v>
      </c>
      <c r="AW64" s="2188">
        <f t="shared" si="114"/>
        <v>0</v>
      </c>
      <c r="AX64" s="2188">
        <f t="shared" si="114"/>
        <v>0</v>
      </c>
      <c r="AY64" s="2186">
        <f t="shared" si="67"/>
        <v>0</v>
      </c>
      <c r="AZ64" s="2188">
        <f t="shared" si="115"/>
        <v>0</v>
      </c>
      <c r="BA64" s="2188">
        <f t="shared" si="115"/>
        <v>0</v>
      </c>
      <c r="BB64" s="2186">
        <f t="shared" si="69"/>
        <v>0</v>
      </c>
      <c r="BC64" s="2188">
        <f t="shared" si="116"/>
        <v>0</v>
      </c>
      <c r="BD64" s="2188">
        <f t="shared" si="116"/>
        <v>0</v>
      </c>
      <c r="BE64" s="2186">
        <f t="shared" si="71"/>
        <v>0</v>
      </c>
      <c r="BF64" s="2188">
        <f t="shared" si="117"/>
        <v>0</v>
      </c>
      <c r="BG64" s="2188">
        <f t="shared" si="117"/>
        <v>0</v>
      </c>
      <c r="BH64" s="2186">
        <f t="shared" si="73"/>
        <v>0</v>
      </c>
      <c r="BI64" s="2188">
        <f t="shared" si="118"/>
        <v>0</v>
      </c>
      <c r="BJ64" s="2188">
        <f t="shared" si="118"/>
        <v>0</v>
      </c>
      <c r="BK64" s="2186">
        <f t="shared" si="75"/>
        <v>0</v>
      </c>
      <c r="BL64" s="2188">
        <f t="shared" si="119"/>
        <v>0</v>
      </c>
      <c r="BM64" s="2188">
        <f t="shared" si="119"/>
        <v>0</v>
      </c>
      <c r="BN64" s="2186">
        <f t="shared" si="77"/>
        <v>0</v>
      </c>
      <c r="BO64" s="2188">
        <f t="shared" si="120"/>
        <v>0</v>
      </c>
      <c r="BP64" s="2188">
        <f t="shared" si="120"/>
        <v>0</v>
      </c>
      <c r="BQ64" s="2186">
        <f t="shared" si="79"/>
        <v>0</v>
      </c>
    </row>
    <row r="65" spans="3:69" ht="21.6" hidden="1" customHeight="1">
      <c r="C65" s="2208" t="s">
        <v>2166</v>
      </c>
      <c r="D65" s="2200"/>
      <c r="E65" s="2214" t="s">
        <v>2159</v>
      </c>
      <c r="F65" s="2176"/>
      <c r="G65" s="2177"/>
      <c r="H65" s="2177"/>
      <c r="I65" s="2178">
        <f>H65-G65</f>
        <v>0</v>
      </c>
      <c r="J65" s="2176"/>
      <c r="K65" s="2177"/>
      <c r="L65" s="2177"/>
      <c r="M65" s="2178">
        <f>L65-K65</f>
        <v>0</v>
      </c>
      <c r="N65" s="2177"/>
      <c r="O65" s="2177"/>
      <c r="P65" s="2178">
        <f t="shared" si="45"/>
        <v>0</v>
      </c>
      <c r="Q65" s="2176"/>
      <c r="R65" s="2177"/>
      <c r="S65" s="2180">
        <f t="shared" si="47"/>
        <v>0</v>
      </c>
      <c r="T65" s="2216"/>
      <c r="U65" s="2177"/>
      <c r="V65" s="2180">
        <f t="shared" si="49"/>
        <v>0</v>
      </c>
      <c r="W65" s="2182"/>
      <c r="X65" s="2177"/>
      <c r="Y65" s="2183">
        <f t="shared" si="51"/>
        <v>0</v>
      </c>
      <c r="Z65" s="2176"/>
      <c r="AA65" s="2177"/>
      <c r="AB65" s="2178">
        <f t="shared" si="53"/>
        <v>0</v>
      </c>
      <c r="AC65" s="2176"/>
      <c r="AD65" s="2177"/>
      <c r="AE65" s="2180">
        <f t="shared" si="55"/>
        <v>0</v>
      </c>
      <c r="AF65" s="2204"/>
      <c r="AG65" s="2145"/>
      <c r="AH65" s="2177"/>
      <c r="AI65" s="2177"/>
      <c r="AJ65" s="2186">
        <f t="shared" si="57"/>
        <v>0</v>
      </c>
      <c r="AK65" s="2177"/>
      <c r="AL65" s="2177"/>
      <c r="AM65" s="2186">
        <f t="shared" si="59"/>
        <v>0</v>
      </c>
      <c r="AN65" s="2177"/>
      <c r="AO65" s="2177"/>
      <c r="AP65" s="2186">
        <f t="shared" si="61"/>
        <v>0</v>
      </c>
      <c r="AQ65" s="2177"/>
      <c r="AR65" s="2177"/>
      <c r="AS65" s="2186">
        <f t="shared" si="63"/>
        <v>0</v>
      </c>
      <c r="AT65" s="2177"/>
      <c r="AU65" s="2177"/>
      <c r="AV65" s="2186">
        <f t="shared" si="65"/>
        <v>0</v>
      </c>
      <c r="AW65" s="2177"/>
      <c r="AX65" s="2177"/>
      <c r="AY65" s="2186">
        <f t="shared" si="67"/>
        <v>0</v>
      </c>
      <c r="AZ65" s="2177"/>
      <c r="BA65" s="2177"/>
      <c r="BB65" s="2186">
        <f t="shared" si="69"/>
        <v>0</v>
      </c>
      <c r="BC65" s="2177"/>
      <c r="BD65" s="2177"/>
      <c r="BE65" s="2186">
        <f t="shared" si="71"/>
        <v>0</v>
      </c>
      <c r="BF65" s="2177"/>
      <c r="BG65" s="2177"/>
      <c r="BH65" s="2186">
        <f t="shared" si="73"/>
        <v>0</v>
      </c>
      <c r="BI65" s="2177"/>
      <c r="BJ65" s="2177"/>
      <c r="BK65" s="2186">
        <f t="shared" si="75"/>
        <v>0</v>
      </c>
      <c r="BL65" s="2177"/>
      <c r="BM65" s="2177"/>
      <c r="BN65" s="2186">
        <f t="shared" si="77"/>
        <v>0</v>
      </c>
      <c r="BO65" s="2177"/>
      <c r="BP65" s="2177"/>
      <c r="BQ65" s="2186">
        <f t="shared" si="79"/>
        <v>0</v>
      </c>
    </row>
    <row r="66" spans="3:69" s="2207" customFormat="1" ht="21.6" hidden="1" customHeight="1">
      <c r="C66" s="2201" t="s">
        <v>2167</v>
      </c>
      <c r="D66" s="2202" t="s">
        <v>2168</v>
      </c>
      <c r="E66" s="2217"/>
      <c r="F66" s="2162"/>
      <c r="G66" s="2218"/>
      <c r="H66" s="2218"/>
      <c r="I66" s="2164">
        <f>H66-G66</f>
        <v>0</v>
      </c>
      <c r="J66" s="2162"/>
      <c r="K66" s="2218"/>
      <c r="L66" s="2218"/>
      <c r="M66" s="2164">
        <f>L66-K66</f>
        <v>0</v>
      </c>
      <c r="N66" s="2218"/>
      <c r="O66" s="2218"/>
      <c r="P66" s="2164">
        <f>O66-N66</f>
        <v>0</v>
      </c>
      <c r="Q66" s="2162"/>
      <c r="R66" s="2218"/>
      <c r="S66" s="2166">
        <f>R66-Q66</f>
        <v>0</v>
      </c>
      <c r="T66" s="2219"/>
      <c r="U66" s="2218"/>
      <c r="V66" s="2166">
        <f>U66-T66</f>
        <v>0</v>
      </c>
      <c r="W66" s="2220"/>
      <c r="X66" s="2218"/>
      <c r="Y66" s="2169">
        <f>X66-W66</f>
        <v>0</v>
      </c>
      <c r="Z66" s="2162"/>
      <c r="AA66" s="2218"/>
      <c r="AB66" s="2164">
        <f>AA66-Z66</f>
        <v>0</v>
      </c>
      <c r="AC66" s="2162"/>
      <c r="AD66" s="2218"/>
      <c r="AE66" s="2166">
        <f>AD66-AC66</f>
        <v>0</v>
      </c>
      <c r="AF66" s="2204"/>
      <c r="AG66" s="2206"/>
      <c r="AH66" s="2218"/>
      <c r="AI66" s="2218"/>
      <c r="AJ66" s="2172">
        <f>AI66-AH66</f>
        <v>0</v>
      </c>
      <c r="AK66" s="2218"/>
      <c r="AL66" s="2218"/>
      <c r="AM66" s="2172">
        <f>AL66-AK66</f>
        <v>0</v>
      </c>
      <c r="AN66" s="2218"/>
      <c r="AO66" s="2218"/>
      <c r="AP66" s="2172">
        <f>AO66-AN66</f>
        <v>0</v>
      </c>
      <c r="AQ66" s="2218"/>
      <c r="AR66" s="2218"/>
      <c r="AS66" s="2172">
        <f>AR66-AQ66</f>
        <v>0</v>
      </c>
      <c r="AT66" s="2218"/>
      <c r="AU66" s="2218"/>
      <c r="AV66" s="2172">
        <f>AU66-AT66</f>
        <v>0</v>
      </c>
      <c r="AW66" s="2218"/>
      <c r="AX66" s="2218"/>
      <c r="AY66" s="2172">
        <f>AX66-AW66</f>
        <v>0</v>
      </c>
      <c r="AZ66" s="2218"/>
      <c r="BA66" s="2218"/>
      <c r="BB66" s="2172">
        <f>BA66-AZ66</f>
        <v>0</v>
      </c>
      <c r="BC66" s="2218"/>
      <c r="BD66" s="2218"/>
      <c r="BE66" s="2172">
        <f>BD66-BC66</f>
        <v>0</v>
      </c>
      <c r="BF66" s="2218"/>
      <c r="BG66" s="2218"/>
      <c r="BH66" s="2172">
        <f>BG66-BF66</f>
        <v>0</v>
      </c>
      <c r="BI66" s="2218"/>
      <c r="BJ66" s="2218"/>
      <c r="BK66" s="2172">
        <f>BJ66-BI66</f>
        <v>0</v>
      </c>
      <c r="BL66" s="2218"/>
      <c r="BM66" s="2218"/>
      <c r="BN66" s="2172">
        <f>BM66-BL66</f>
        <v>0</v>
      </c>
      <c r="BO66" s="2218"/>
      <c r="BP66" s="2218"/>
      <c r="BQ66" s="2172">
        <f>BP66-BO66</f>
        <v>0</v>
      </c>
    </row>
    <row r="67" spans="3:69" s="2207" customFormat="1" ht="21.6" hidden="1" customHeight="1">
      <c r="C67" s="2212" t="s">
        <v>2169</v>
      </c>
      <c r="D67" s="2202" t="s">
        <v>2170</v>
      </c>
      <c r="E67" s="2205" t="s">
        <v>2171</v>
      </c>
      <c r="F67" s="2162"/>
      <c r="G67" s="2218"/>
      <c r="H67" s="2218"/>
      <c r="I67" s="2164">
        <f t="shared" ref="I67:I68" si="121">H67-G67</f>
        <v>0</v>
      </c>
      <c r="J67" s="2162"/>
      <c r="K67" s="2218"/>
      <c r="L67" s="2218"/>
      <c r="M67" s="2164">
        <f t="shared" ref="M67:M68" si="122">L67-K67</f>
        <v>0</v>
      </c>
      <c r="N67" s="2218"/>
      <c r="O67" s="2218"/>
      <c r="P67" s="2164">
        <f t="shared" ref="P67:P68" si="123">O67-N67</f>
        <v>0</v>
      </c>
      <c r="Q67" s="2162"/>
      <c r="R67" s="2218"/>
      <c r="S67" s="2166">
        <f t="shared" ref="S67:S68" si="124">R67-Q67</f>
        <v>0</v>
      </c>
      <c r="T67" s="2219"/>
      <c r="U67" s="2218"/>
      <c r="V67" s="2166">
        <f t="shared" ref="V67:V68" si="125">U67-T67</f>
        <v>0</v>
      </c>
      <c r="W67" s="2220"/>
      <c r="X67" s="2218"/>
      <c r="Y67" s="2169">
        <f t="shared" ref="Y67:Y68" si="126">X67-W67</f>
        <v>0</v>
      </c>
      <c r="Z67" s="2162"/>
      <c r="AA67" s="2218"/>
      <c r="AB67" s="2164">
        <f t="shared" ref="AB67:AB68" si="127">AA67-Z67</f>
        <v>0</v>
      </c>
      <c r="AC67" s="2162"/>
      <c r="AD67" s="2218"/>
      <c r="AE67" s="2166">
        <f t="shared" ref="AE67:AE68" si="128">AD67-AC67</f>
        <v>0</v>
      </c>
      <c r="AF67" s="2211"/>
      <c r="AG67" s="2206"/>
      <c r="AH67" s="2218"/>
      <c r="AI67" s="2218"/>
      <c r="AJ67" s="2172">
        <f t="shared" ref="AJ67:AJ68" si="129">AI67-AH67</f>
        <v>0</v>
      </c>
      <c r="AK67" s="2218"/>
      <c r="AL67" s="2218"/>
      <c r="AM67" s="2172">
        <f t="shared" ref="AM67:AM68" si="130">AL67-AK67</f>
        <v>0</v>
      </c>
      <c r="AN67" s="2218"/>
      <c r="AO67" s="2218"/>
      <c r="AP67" s="2172">
        <f t="shared" ref="AP67:AP68" si="131">AO67-AN67</f>
        <v>0</v>
      </c>
      <c r="AQ67" s="2218"/>
      <c r="AR67" s="2218"/>
      <c r="AS67" s="2172">
        <f t="shared" ref="AS67:AS68" si="132">AR67-AQ67</f>
        <v>0</v>
      </c>
      <c r="AT67" s="2218"/>
      <c r="AU67" s="2218"/>
      <c r="AV67" s="2172">
        <f t="shared" ref="AV67:AV68" si="133">AU67-AT67</f>
        <v>0</v>
      </c>
      <c r="AW67" s="2218"/>
      <c r="AX67" s="2218"/>
      <c r="AY67" s="2172">
        <f t="shared" ref="AY67:AY68" si="134">AX67-AW67</f>
        <v>0</v>
      </c>
      <c r="AZ67" s="2218"/>
      <c r="BA67" s="2218"/>
      <c r="BB67" s="2172">
        <f t="shared" ref="BB67:BB68" si="135">BA67-AZ67</f>
        <v>0</v>
      </c>
      <c r="BC67" s="2218"/>
      <c r="BD67" s="2218"/>
      <c r="BE67" s="2172">
        <f t="shared" ref="BE67:BE68" si="136">BD67-BC67</f>
        <v>0</v>
      </c>
      <c r="BF67" s="2218"/>
      <c r="BG67" s="2218"/>
      <c r="BH67" s="2172">
        <f t="shared" ref="BH67:BH68" si="137">BG67-BF67</f>
        <v>0</v>
      </c>
      <c r="BI67" s="2218"/>
      <c r="BJ67" s="2218"/>
      <c r="BK67" s="2172">
        <f t="shared" ref="BK67:BK68" si="138">BJ67-BI67</f>
        <v>0</v>
      </c>
      <c r="BL67" s="2218"/>
      <c r="BM67" s="2218"/>
      <c r="BN67" s="2172">
        <f t="shared" ref="BN67:BN68" si="139">BM67-BL67</f>
        <v>0</v>
      </c>
      <c r="BO67" s="2218"/>
      <c r="BP67" s="2218"/>
      <c r="BQ67" s="2172">
        <f t="shared" ref="BQ67:BQ68" si="140">BP67-BO67</f>
        <v>0</v>
      </c>
    </row>
    <row r="68" spans="3:69" s="2207" customFormat="1" ht="21.6" hidden="1" customHeight="1">
      <c r="C68" s="2212" t="s">
        <v>2172</v>
      </c>
      <c r="D68" s="2202" t="s">
        <v>2173</v>
      </c>
      <c r="E68" s="2205" t="s">
        <v>2171</v>
      </c>
      <c r="F68" s="2162"/>
      <c r="G68" s="2218"/>
      <c r="H68" s="2218"/>
      <c r="I68" s="2164">
        <f t="shared" si="121"/>
        <v>0</v>
      </c>
      <c r="J68" s="2162"/>
      <c r="K68" s="2218"/>
      <c r="L68" s="2218"/>
      <c r="M68" s="2164">
        <f t="shared" si="122"/>
        <v>0</v>
      </c>
      <c r="N68" s="2218"/>
      <c r="O68" s="2218"/>
      <c r="P68" s="2164">
        <f t="shared" si="123"/>
        <v>0</v>
      </c>
      <c r="Q68" s="2162"/>
      <c r="R68" s="2218"/>
      <c r="S68" s="2166">
        <f t="shared" si="124"/>
        <v>0</v>
      </c>
      <c r="T68" s="2219"/>
      <c r="U68" s="2218"/>
      <c r="V68" s="2166">
        <f t="shared" si="125"/>
        <v>0</v>
      </c>
      <c r="W68" s="2220"/>
      <c r="X68" s="2218"/>
      <c r="Y68" s="2169">
        <f t="shared" si="126"/>
        <v>0</v>
      </c>
      <c r="Z68" s="2162"/>
      <c r="AA68" s="2218"/>
      <c r="AB68" s="2164">
        <f t="shared" si="127"/>
        <v>0</v>
      </c>
      <c r="AC68" s="2162"/>
      <c r="AD68" s="2218"/>
      <c r="AE68" s="2166">
        <f t="shared" si="128"/>
        <v>0</v>
      </c>
      <c r="AF68" s="2204"/>
      <c r="AG68" s="2206"/>
      <c r="AH68" s="2218"/>
      <c r="AI68" s="2218"/>
      <c r="AJ68" s="2172">
        <f t="shared" si="129"/>
        <v>0</v>
      </c>
      <c r="AK68" s="2218"/>
      <c r="AL68" s="2218"/>
      <c r="AM68" s="2172">
        <f t="shared" si="130"/>
        <v>0</v>
      </c>
      <c r="AN68" s="2218"/>
      <c r="AO68" s="2218"/>
      <c r="AP68" s="2172">
        <f t="shared" si="131"/>
        <v>0</v>
      </c>
      <c r="AQ68" s="2218"/>
      <c r="AR68" s="2218"/>
      <c r="AS68" s="2172">
        <f t="shared" si="132"/>
        <v>0</v>
      </c>
      <c r="AT68" s="2218"/>
      <c r="AU68" s="2218"/>
      <c r="AV68" s="2172">
        <f t="shared" si="133"/>
        <v>0</v>
      </c>
      <c r="AW68" s="2218"/>
      <c r="AX68" s="2218"/>
      <c r="AY68" s="2172">
        <f t="shared" si="134"/>
        <v>0</v>
      </c>
      <c r="AZ68" s="2218"/>
      <c r="BA68" s="2218"/>
      <c r="BB68" s="2172">
        <f t="shared" si="135"/>
        <v>0</v>
      </c>
      <c r="BC68" s="2218"/>
      <c r="BD68" s="2218"/>
      <c r="BE68" s="2172">
        <f t="shared" si="136"/>
        <v>0</v>
      </c>
      <c r="BF68" s="2218"/>
      <c r="BG68" s="2218"/>
      <c r="BH68" s="2172">
        <f t="shared" si="137"/>
        <v>0</v>
      </c>
      <c r="BI68" s="2218"/>
      <c r="BJ68" s="2218"/>
      <c r="BK68" s="2172">
        <f t="shared" si="138"/>
        <v>0</v>
      </c>
      <c r="BL68" s="2218"/>
      <c r="BM68" s="2218"/>
      <c r="BN68" s="2172">
        <f t="shared" si="139"/>
        <v>0</v>
      </c>
      <c r="BO68" s="2218"/>
      <c r="BP68" s="2218"/>
      <c r="BQ68" s="2172">
        <f t="shared" si="140"/>
        <v>0</v>
      </c>
    </row>
    <row r="69" spans="3:69" s="2159" customFormat="1" ht="21.6" hidden="1" customHeight="1">
      <c r="C69" s="2147" t="s">
        <v>391</v>
      </c>
      <c r="D69" s="2148" t="s">
        <v>1420</v>
      </c>
      <c r="E69" s="2149"/>
      <c r="F69" s="2150"/>
      <c r="G69" s="2151"/>
      <c r="H69" s="2151"/>
      <c r="I69" s="2152"/>
      <c r="J69" s="2150"/>
      <c r="K69" s="2151"/>
      <c r="L69" s="2151"/>
      <c r="M69" s="2152"/>
      <c r="N69" s="2151"/>
      <c r="O69" s="2151"/>
      <c r="P69" s="2152"/>
      <c r="Q69" s="2150"/>
      <c r="R69" s="2151"/>
      <c r="S69" s="2153"/>
      <c r="T69" s="2154"/>
      <c r="U69" s="2151"/>
      <c r="V69" s="2153"/>
      <c r="W69" s="2155"/>
      <c r="X69" s="2151"/>
      <c r="Y69" s="2156"/>
      <c r="Z69" s="2150"/>
      <c r="AA69" s="2151"/>
      <c r="AB69" s="2152"/>
      <c r="AC69" s="2150"/>
      <c r="AD69" s="2151"/>
      <c r="AE69" s="2153"/>
      <c r="AF69" s="2157"/>
      <c r="AG69" s="2158"/>
      <c r="AH69" s="2151"/>
      <c r="AI69" s="2151"/>
      <c r="AJ69" s="2152"/>
      <c r="AK69" s="2151"/>
      <c r="AL69" s="2151"/>
      <c r="AM69" s="2152"/>
      <c r="AN69" s="2151"/>
      <c r="AO69" s="2151"/>
      <c r="AP69" s="2152"/>
      <c r="AQ69" s="2151"/>
      <c r="AR69" s="2151"/>
      <c r="AS69" s="2152"/>
      <c r="AT69" s="2151"/>
      <c r="AU69" s="2151"/>
      <c r="AV69" s="2152"/>
      <c r="AW69" s="2151"/>
      <c r="AX69" s="2151"/>
      <c r="AY69" s="2152"/>
      <c r="AZ69" s="2151"/>
      <c r="BA69" s="2151"/>
      <c r="BB69" s="2152"/>
      <c r="BC69" s="2151"/>
      <c r="BD69" s="2151"/>
      <c r="BE69" s="2152"/>
      <c r="BF69" s="2151"/>
      <c r="BG69" s="2151"/>
      <c r="BH69" s="2152"/>
      <c r="BI69" s="2151"/>
      <c r="BJ69" s="2151"/>
      <c r="BK69" s="2152"/>
      <c r="BL69" s="2151"/>
      <c r="BM69" s="2151"/>
      <c r="BN69" s="2152"/>
      <c r="BO69" s="2151"/>
      <c r="BP69" s="2151"/>
      <c r="BQ69" s="2152"/>
    </row>
    <row r="70" spans="3:69" s="2159" customFormat="1" ht="21.6" hidden="1" customHeight="1">
      <c r="C70" s="2201" t="s">
        <v>2174</v>
      </c>
      <c r="D70" s="2202" t="s">
        <v>2175</v>
      </c>
      <c r="E70" s="2203" t="s">
        <v>1833</v>
      </c>
      <c r="F70" s="2162"/>
      <c r="G70" s="2163">
        <f>G71+G90</f>
        <v>0</v>
      </c>
      <c r="H70" s="2163">
        <f>H71+H90</f>
        <v>0</v>
      </c>
      <c r="I70" s="2164">
        <f>H70-G70</f>
        <v>0</v>
      </c>
      <c r="J70" s="2162"/>
      <c r="K70" s="2163">
        <f>N70+Q70+W70+AC70</f>
        <v>0</v>
      </c>
      <c r="L70" s="2163">
        <f>O70+R70+X70+AD70</f>
        <v>0</v>
      </c>
      <c r="M70" s="2164">
        <f>L70-K70</f>
        <v>0</v>
      </c>
      <c r="N70" s="2163">
        <f>N71+N90</f>
        <v>0</v>
      </c>
      <c r="O70" s="2163">
        <f>O71+O90</f>
        <v>0</v>
      </c>
      <c r="P70" s="2164">
        <f>O70-N70</f>
        <v>0</v>
      </c>
      <c r="Q70" s="2165">
        <f>Q71+Q90</f>
        <v>0</v>
      </c>
      <c r="R70" s="2163">
        <f>R71+R90</f>
        <v>0</v>
      </c>
      <c r="S70" s="2166">
        <f>R70-Q70</f>
        <v>0</v>
      </c>
      <c r="T70" s="2167">
        <f>N70+Q70</f>
        <v>0</v>
      </c>
      <c r="U70" s="2163">
        <f>O70+R70</f>
        <v>0</v>
      </c>
      <c r="V70" s="2166">
        <f>U70-T70</f>
        <v>0</v>
      </c>
      <c r="W70" s="2168">
        <f>W71+W90</f>
        <v>0</v>
      </c>
      <c r="X70" s="2163">
        <f>X71+X90</f>
        <v>0</v>
      </c>
      <c r="Y70" s="2169">
        <f>X70-W70</f>
        <v>0</v>
      </c>
      <c r="Z70" s="2165">
        <f>T70+W70</f>
        <v>0</v>
      </c>
      <c r="AA70" s="2163">
        <f>U70+X70</f>
        <v>0</v>
      </c>
      <c r="AB70" s="2164">
        <f>AA70-Z70</f>
        <v>0</v>
      </c>
      <c r="AC70" s="2165">
        <f>AC71+AC90</f>
        <v>0</v>
      </c>
      <c r="AD70" s="2163">
        <f>AD71+AD90</f>
        <v>0</v>
      </c>
      <c r="AE70" s="2166">
        <f>AD70-AC70</f>
        <v>0</v>
      </c>
      <c r="AF70" s="2204"/>
      <c r="AG70" s="2158"/>
      <c r="AH70" s="2171">
        <f>AH71+AH90</f>
        <v>0</v>
      </c>
      <c r="AI70" s="2171">
        <f>AI71+AI90</f>
        <v>0</v>
      </c>
      <c r="AJ70" s="2172">
        <f>AI70-AH70</f>
        <v>0</v>
      </c>
      <c r="AK70" s="2171">
        <f>AK71+AK90</f>
        <v>0</v>
      </c>
      <c r="AL70" s="2171">
        <f>AL71+AL90</f>
        <v>0</v>
      </c>
      <c r="AM70" s="2172">
        <f>AL70-AK70</f>
        <v>0</v>
      </c>
      <c r="AN70" s="2171">
        <f>AN71+AN90</f>
        <v>0</v>
      </c>
      <c r="AO70" s="2171">
        <f>AO71+AO90</f>
        <v>0</v>
      </c>
      <c r="AP70" s="2172">
        <f>AO70-AN70</f>
        <v>0</v>
      </c>
      <c r="AQ70" s="2171">
        <f>AQ71+AQ90</f>
        <v>0</v>
      </c>
      <c r="AR70" s="2171">
        <f>AR71+AR90</f>
        <v>0</v>
      </c>
      <c r="AS70" s="2172">
        <f>AR70-AQ70</f>
        <v>0</v>
      </c>
      <c r="AT70" s="2171">
        <f>AT71+AT90</f>
        <v>0</v>
      </c>
      <c r="AU70" s="2171">
        <f>AU71+AU90</f>
        <v>0</v>
      </c>
      <c r="AV70" s="2172">
        <f>AU70-AT70</f>
        <v>0</v>
      </c>
      <c r="AW70" s="2171">
        <f>AW71+AW90</f>
        <v>0</v>
      </c>
      <c r="AX70" s="2171">
        <f>AX71+AX90</f>
        <v>0</v>
      </c>
      <c r="AY70" s="2172">
        <f>AX70-AW70</f>
        <v>0</v>
      </c>
      <c r="AZ70" s="2171">
        <f>AZ71+AZ90</f>
        <v>0</v>
      </c>
      <c r="BA70" s="2171">
        <f>BA71+BA90</f>
        <v>0</v>
      </c>
      <c r="BB70" s="2172">
        <f>BA70-AZ70</f>
        <v>0</v>
      </c>
      <c r="BC70" s="2171">
        <f>BC71+BC90</f>
        <v>0</v>
      </c>
      <c r="BD70" s="2171">
        <f>BD71+BD90</f>
        <v>0</v>
      </c>
      <c r="BE70" s="2172">
        <f>BD70-BC70</f>
        <v>0</v>
      </c>
      <c r="BF70" s="2171">
        <f>BF71+BF90</f>
        <v>0</v>
      </c>
      <c r="BG70" s="2171">
        <f>BG71+BG90</f>
        <v>0</v>
      </c>
      <c r="BH70" s="2172">
        <f>BG70-BF70</f>
        <v>0</v>
      </c>
      <c r="BI70" s="2171">
        <f>BI71+BI90</f>
        <v>0</v>
      </c>
      <c r="BJ70" s="2171">
        <f>BJ71+BJ90</f>
        <v>0</v>
      </c>
      <c r="BK70" s="2172">
        <f>BJ70-BI70</f>
        <v>0</v>
      </c>
      <c r="BL70" s="2171">
        <f>BL71+BL90</f>
        <v>0</v>
      </c>
      <c r="BM70" s="2171">
        <f>BM71+BM90</f>
        <v>0</v>
      </c>
      <c r="BN70" s="2172">
        <f>BM70-BL70</f>
        <v>0</v>
      </c>
      <c r="BO70" s="2171">
        <f>BO71+BO90</f>
        <v>0</v>
      </c>
      <c r="BP70" s="2171">
        <f>BP71+BP90</f>
        <v>0</v>
      </c>
      <c r="BQ70" s="2172">
        <f>BP70-BO70</f>
        <v>0</v>
      </c>
    </row>
    <row r="71" spans="3:69" s="2159" customFormat="1" ht="21.6" hidden="1" customHeight="1">
      <c r="C71" s="2201" t="s">
        <v>2176</v>
      </c>
      <c r="D71" s="2202" t="s">
        <v>2177</v>
      </c>
      <c r="E71" s="2203" t="s">
        <v>1833</v>
      </c>
      <c r="F71" s="2162"/>
      <c r="G71" s="2163">
        <f>G72+G73+G74+G75+G89</f>
        <v>0</v>
      </c>
      <c r="H71" s="2163">
        <f>H72+H73+H74+H75+H89</f>
        <v>0</v>
      </c>
      <c r="I71" s="2164">
        <f>H71-G71</f>
        <v>0</v>
      </c>
      <c r="J71" s="2162"/>
      <c r="K71" s="2163">
        <f t="shared" ref="K71:L97" si="141">N71+Q71+W71+AC71</f>
        <v>0</v>
      </c>
      <c r="L71" s="2163">
        <f t="shared" si="141"/>
        <v>0</v>
      </c>
      <c r="M71" s="2164">
        <f>L71-K71</f>
        <v>0</v>
      </c>
      <c r="N71" s="2163">
        <f>N72+N73+N74+N75+N89</f>
        <v>0</v>
      </c>
      <c r="O71" s="2163">
        <f>O72+O73+O74+O75+O89</f>
        <v>0</v>
      </c>
      <c r="P71" s="2164">
        <f>O71-N71</f>
        <v>0</v>
      </c>
      <c r="Q71" s="2165">
        <f>Q72+Q73+Q74+Q75+Q89</f>
        <v>0</v>
      </c>
      <c r="R71" s="2163">
        <f>R72+R73+R74+R75+R89</f>
        <v>0</v>
      </c>
      <c r="S71" s="2166">
        <f>R71-Q71</f>
        <v>0</v>
      </c>
      <c r="T71" s="2167">
        <f>N71+Q71</f>
        <v>0</v>
      </c>
      <c r="U71" s="2163">
        <f>O71+R71</f>
        <v>0</v>
      </c>
      <c r="V71" s="2166">
        <f>U71-T71</f>
        <v>0</v>
      </c>
      <c r="W71" s="2168">
        <f>W72+W73+W74+W75+W89</f>
        <v>0</v>
      </c>
      <c r="X71" s="2163">
        <f>X72+X73+X74+X75+X89</f>
        <v>0</v>
      </c>
      <c r="Y71" s="2169">
        <f>X71-W71</f>
        <v>0</v>
      </c>
      <c r="Z71" s="2165">
        <f>T71+W71</f>
        <v>0</v>
      </c>
      <c r="AA71" s="2163">
        <f>U71+X71</f>
        <v>0</v>
      </c>
      <c r="AB71" s="2164">
        <f>AA71-Z71</f>
        <v>0</v>
      </c>
      <c r="AC71" s="2165">
        <f>AC72+AC73+AC74+AC75+AC89</f>
        <v>0</v>
      </c>
      <c r="AD71" s="2163">
        <f>AD72+AD73+AD74+AD75+AD89</f>
        <v>0</v>
      </c>
      <c r="AE71" s="2166">
        <f>AD71-AC71</f>
        <v>0</v>
      </c>
      <c r="AF71" s="2204"/>
      <c r="AG71" s="2158"/>
      <c r="AH71" s="2171">
        <f>AH72+AH73+AH74+AH75+AH89</f>
        <v>0</v>
      </c>
      <c r="AI71" s="2171">
        <f>AI72+AI73+AI74+AI75+AI89</f>
        <v>0</v>
      </c>
      <c r="AJ71" s="2172">
        <f>AI71-AH71</f>
        <v>0</v>
      </c>
      <c r="AK71" s="2171">
        <f>AK72+AK73+AK74+AK75+AK89</f>
        <v>0</v>
      </c>
      <c r="AL71" s="2171">
        <f>AL72+AL73+AL74+AL75+AL89</f>
        <v>0</v>
      </c>
      <c r="AM71" s="2172">
        <f>AL71-AK71</f>
        <v>0</v>
      </c>
      <c r="AN71" s="2171">
        <f>AN72+AN73+AN74+AN75+AN89</f>
        <v>0</v>
      </c>
      <c r="AO71" s="2171">
        <f>AO72+AO73+AO74+AO75+AO89</f>
        <v>0</v>
      </c>
      <c r="AP71" s="2172">
        <f>AO71-AN71</f>
        <v>0</v>
      </c>
      <c r="AQ71" s="2171">
        <f>AQ72+AQ73+AQ74+AQ75+AQ89</f>
        <v>0</v>
      </c>
      <c r="AR71" s="2171">
        <f>AR72+AR73+AR74+AR75+AR89</f>
        <v>0</v>
      </c>
      <c r="AS71" s="2172">
        <f>AR71-AQ71</f>
        <v>0</v>
      </c>
      <c r="AT71" s="2171">
        <f>AT72+AT73+AT74+AT75+AT89</f>
        <v>0</v>
      </c>
      <c r="AU71" s="2171">
        <f>AU72+AU73+AU74+AU75+AU89</f>
        <v>0</v>
      </c>
      <c r="AV71" s="2172">
        <f>AU71-AT71</f>
        <v>0</v>
      </c>
      <c r="AW71" s="2171">
        <f>AW72+AW73+AW74+AW75+AW89</f>
        <v>0</v>
      </c>
      <c r="AX71" s="2171">
        <f>AX72+AX73+AX74+AX75+AX89</f>
        <v>0</v>
      </c>
      <c r="AY71" s="2172">
        <f>AX71-AW71</f>
        <v>0</v>
      </c>
      <c r="AZ71" s="2171">
        <f>AZ72+AZ73+AZ74+AZ75+AZ89</f>
        <v>0</v>
      </c>
      <c r="BA71" s="2171">
        <f>BA72+BA73+BA74+BA75+BA89</f>
        <v>0</v>
      </c>
      <c r="BB71" s="2172">
        <f>BA71-AZ71</f>
        <v>0</v>
      </c>
      <c r="BC71" s="2171">
        <f>BC72+BC73+BC74+BC75+BC89</f>
        <v>0</v>
      </c>
      <c r="BD71" s="2171">
        <f>BD72+BD73+BD74+BD75+BD89</f>
        <v>0</v>
      </c>
      <c r="BE71" s="2172">
        <f>BD71-BC71</f>
        <v>0</v>
      </c>
      <c r="BF71" s="2171">
        <f>BF72+BF73+BF74+BF75+BF89</f>
        <v>0</v>
      </c>
      <c r="BG71" s="2171">
        <f>BG72+BG73+BG74+BG75+BG89</f>
        <v>0</v>
      </c>
      <c r="BH71" s="2172">
        <f>BG71-BF71</f>
        <v>0</v>
      </c>
      <c r="BI71" s="2171">
        <f>BI72+BI73+BI74+BI75+BI89</f>
        <v>0</v>
      </c>
      <c r="BJ71" s="2171">
        <f>BJ72+BJ73+BJ74+BJ75+BJ89</f>
        <v>0</v>
      </c>
      <c r="BK71" s="2172">
        <f>BJ71-BI71</f>
        <v>0</v>
      </c>
      <c r="BL71" s="2171">
        <f>BL72+BL73+BL74+BL75+BL89</f>
        <v>0</v>
      </c>
      <c r="BM71" s="2171">
        <f>BM72+BM73+BM74+BM75+BM89</f>
        <v>0</v>
      </c>
      <c r="BN71" s="2172">
        <f>BM71-BL71</f>
        <v>0</v>
      </c>
      <c r="BO71" s="2171">
        <f>BO72+BO73+BO74+BO75+BO89</f>
        <v>0</v>
      </c>
      <c r="BP71" s="2171">
        <f>BP72+BP73+BP74+BP75+BP89</f>
        <v>0</v>
      </c>
      <c r="BQ71" s="2172">
        <f>BP71-BO71</f>
        <v>0</v>
      </c>
    </row>
    <row r="72" spans="3:69" ht="21.6" hidden="1" customHeight="1">
      <c r="C72" s="2208" t="s">
        <v>2178</v>
      </c>
      <c r="D72" s="2209" t="s">
        <v>2084</v>
      </c>
      <c r="E72" s="2197" t="s">
        <v>1833</v>
      </c>
      <c r="F72" s="2176"/>
      <c r="G72" s="2177"/>
      <c r="H72" s="2177"/>
      <c r="I72" s="2178">
        <f t="shared" ref="I72:I89" si="142">H72-G72</f>
        <v>0</v>
      </c>
      <c r="J72" s="2176"/>
      <c r="K72" s="2179">
        <f t="shared" si="141"/>
        <v>0</v>
      </c>
      <c r="L72" s="2179">
        <f t="shared" si="141"/>
        <v>0</v>
      </c>
      <c r="M72" s="2178">
        <f t="shared" ref="M72:M97" si="143">L72-K72</f>
        <v>0</v>
      </c>
      <c r="N72" s="2177"/>
      <c r="O72" s="2177"/>
      <c r="P72" s="2178">
        <f t="shared" ref="P72:P89" si="144">O72-N72</f>
        <v>0</v>
      </c>
      <c r="Q72" s="2176"/>
      <c r="R72" s="2177"/>
      <c r="S72" s="2180">
        <f t="shared" ref="S72:S89" si="145">R72-Q72</f>
        <v>0</v>
      </c>
      <c r="T72" s="2181">
        <f t="shared" ref="T72:U97" si="146">N72+Q72</f>
        <v>0</v>
      </c>
      <c r="U72" s="2179">
        <f t="shared" si="146"/>
        <v>0</v>
      </c>
      <c r="V72" s="2180">
        <f t="shared" ref="V72:V90" si="147">U72-T72</f>
        <v>0</v>
      </c>
      <c r="W72" s="2182"/>
      <c r="X72" s="2177"/>
      <c r="Y72" s="2183">
        <f t="shared" ref="Y72:Y89" si="148">X72-W72</f>
        <v>0</v>
      </c>
      <c r="Z72" s="2184">
        <f t="shared" ref="Z72:AA97" si="149">T72+W72</f>
        <v>0</v>
      </c>
      <c r="AA72" s="2179">
        <f t="shared" si="149"/>
        <v>0</v>
      </c>
      <c r="AB72" s="2178">
        <f t="shared" ref="AB72:AB97" si="150">AA72-Z72</f>
        <v>0</v>
      </c>
      <c r="AC72" s="2176"/>
      <c r="AD72" s="2177"/>
      <c r="AE72" s="2180">
        <f t="shared" ref="AE72:AE89" si="151">AD72-AC72</f>
        <v>0</v>
      </c>
      <c r="AF72" s="2204"/>
      <c r="AG72" s="2145"/>
      <c r="AH72" s="2177"/>
      <c r="AI72" s="2177"/>
      <c r="AJ72" s="2186">
        <f t="shared" ref="AJ72:AJ89" si="152">AI72-AH72</f>
        <v>0</v>
      </c>
      <c r="AK72" s="2177"/>
      <c r="AL72" s="2177"/>
      <c r="AM72" s="2186">
        <f t="shared" ref="AM72:AM89" si="153">AL72-AK72</f>
        <v>0</v>
      </c>
      <c r="AN72" s="2177"/>
      <c r="AO72" s="2177"/>
      <c r="AP72" s="2186">
        <f t="shared" ref="AP72:AP89" si="154">AO72-AN72</f>
        <v>0</v>
      </c>
      <c r="AQ72" s="2177"/>
      <c r="AR72" s="2177"/>
      <c r="AS72" s="2186">
        <f t="shared" ref="AS72:AS89" si="155">AR72-AQ72</f>
        <v>0</v>
      </c>
      <c r="AT72" s="2177"/>
      <c r="AU72" s="2177"/>
      <c r="AV72" s="2186">
        <f t="shared" ref="AV72:AV89" si="156">AU72-AT72</f>
        <v>0</v>
      </c>
      <c r="AW72" s="2177"/>
      <c r="AX72" s="2177"/>
      <c r="AY72" s="2186">
        <f t="shared" ref="AY72:AY89" si="157">AX72-AW72</f>
        <v>0</v>
      </c>
      <c r="AZ72" s="2177"/>
      <c r="BA72" s="2177"/>
      <c r="BB72" s="2186">
        <f t="shared" ref="BB72:BB89" si="158">BA72-AZ72</f>
        <v>0</v>
      </c>
      <c r="BC72" s="2177"/>
      <c r="BD72" s="2177"/>
      <c r="BE72" s="2186">
        <f t="shared" ref="BE72:BE89" si="159">BD72-BC72</f>
        <v>0</v>
      </c>
      <c r="BF72" s="2177"/>
      <c r="BG72" s="2177"/>
      <c r="BH72" s="2186">
        <f t="shared" ref="BH72:BH89" si="160">BG72-BF72</f>
        <v>0</v>
      </c>
      <c r="BI72" s="2177"/>
      <c r="BJ72" s="2177"/>
      <c r="BK72" s="2186">
        <f t="shared" ref="BK72:BK89" si="161">BJ72-BI72</f>
        <v>0</v>
      </c>
      <c r="BL72" s="2177"/>
      <c r="BM72" s="2177"/>
      <c r="BN72" s="2186">
        <f t="shared" ref="BN72:BN89" si="162">BM72-BL72</f>
        <v>0</v>
      </c>
      <c r="BO72" s="2177"/>
      <c r="BP72" s="2177"/>
      <c r="BQ72" s="2186">
        <f t="shared" ref="BQ72:BQ89" si="163">BP72-BO72</f>
        <v>0</v>
      </c>
    </row>
    <row r="73" spans="3:69" ht="21.6" hidden="1" customHeight="1">
      <c r="C73" s="2208" t="s">
        <v>2179</v>
      </c>
      <c r="D73" s="2209" t="s">
        <v>2086</v>
      </c>
      <c r="E73" s="2197" t="s">
        <v>1833</v>
      </c>
      <c r="F73" s="2176"/>
      <c r="G73" s="2177"/>
      <c r="H73" s="2177"/>
      <c r="I73" s="2178">
        <f t="shared" si="142"/>
        <v>0</v>
      </c>
      <c r="J73" s="2176"/>
      <c r="K73" s="2179">
        <f t="shared" si="141"/>
        <v>0</v>
      </c>
      <c r="L73" s="2179">
        <f t="shared" si="141"/>
        <v>0</v>
      </c>
      <c r="M73" s="2178">
        <f t="shared" si="143"/>
        <v>0</v>
      </c>
      <c r="N73" s="2177"/>
      <c r="O73" s="2177"/>
      <c r="P73" s="2178">
        <f t="shared" si="144"/>
        <v>0</v>
      </c>
      <c r="Q73" s="2176"/>
      <c r="R73" s="2177"/>
      <c r="S73" s="2180">
        <f t="shared" si="145"/>
        <v>0</v>
      </c>
      <c r="T73" s="2181">
        <f t="shared" si="146"/>
        <v>0</v>
      </c>
      <c r="U73" s="2179">
        <f t="shared" si="146"/>
        <v>0</v>
      </c>
      <c r="V73" s="2180">
        <f t="shared" si="147"/>
        <v>0</v>
      </c>
      <c r="W73" s="2182"/>
      <c r="X73" s="2177"/>
      <c r="Y73" s="2183">
        <f t="shared" si="148"/>
        <v>0</v>
      </c>
      <c r="Z73" s="2184">
        <f t="shared" si="149"/>
        <v>0</v>
      </c>
      <c r="AA73" s="2179">
        <f t="shared" si="149"/>
        <v>0</v>
      </c>
      <c r="AB73" s="2178">
        <f t="shared" si="150"/>
        <v>0</v>
      </c>
      <c r="AC73" s="2176"/>
      <c r="AD73" s="2177"/>
      <c r="AE73" s="2180">
        <f t="shared" si="151"/>
        <v>0</v>
      </c>
      <c r="AF73" s="2204"/>
      <c r="AG73" s="2145"/>
      <c r="AH73" s="2177"/>
      <c r="AI73" s="2177"/>
      <c r="AJ73" s="2186">
        <f t="shared" si="152"/>
        <v>0</v>
      </c>
      <c r="AK73" s="2177"/>
      <c r="AL73" s="2177"/>
      <c r="AM73" s="2186">
        <f t="shared" si="153"/>
        <v>0</v>
      </c>
      <c r="AN73" s="2177"/>
      <c r="AO73" s="2177"/>
      <c r="AP73" s="2186">
        <f t="shared" si="154"/>
        <v>0</v>
      </c>
      <c r="AQ73" s="2177"/>
      <c r="AR73" s="2177"/>
      <c r="AS73" s="2186">
        <f t="shared" si="155"/>
        <v>0</v>
      </c>
      <c r="AT73" s="2177"/>
      <c r="AU73" s="2177"/>
      <c r="AV73" s="2186">
        <f t="shared" si="156"/>
        <v>0</v>
      </c>
      <c r="AW73" s="2177"/>
      <c r="AX73" s="2177"/>
      <c r="AY73" s="2186">
        <f t="shared" si="157"/>
        <v>0</v>
      </c>
      <c r="AZ73" s="2177"/>
      <c r="BA73" s="2177"/>
      <c r="BB73" s="2186">
        <f t="shared" si="158"/>
        <v>0</v>
      </c>
      <c r="BC73" s="2177"/>
      <c r="BD73" s="2177"/>
      <c r="BE73" s="2186">
        <f t="shared" si="159"/>
        <v>0</v>
      </c>
      <c r="BF73" s="2177"/>
      <c r="BG73" s="2177"/>
      <c r="BH73" s="2186">
        <f t="shared" si="160"/>
        <v>0</v>
      </c>
      <c r="BI73" s="2177"/>
      <c r="BJ73" s="2177"/>
      <c r="BK73" s="2186">
        <f t="shared" si="161"/>
        <v>0</v>
      </c>
      <c r="BL73" s="2177"/>
      <c r="BM73" s="2177"/>
      <c r="BN73" s="2186">
        <f t="shared" si="162"/>
        <v>0</v>
      </c>
      <c r="BO73" s="2177"/>
      <c r="BP73" s="2177"/>
      <c r="BQ73" s="2186">
        <f t="shared" si="163"/>
        <v>0</v>
      </c>
    </row>
    <row r="74" spans="3:69" ht="21.6" hidden="1" customHeight="1">
      <c r="C74" s="2208" t="s">
        <v>2180</v>
      </c>
      <c r="D74" s="2209" t="s">
        <v>2181</v>
      </c>
      <c r="E74" s="2197" t="s">
        <v>1833</v>
      </c>
      <c r="F74" s="2176"/>
      <c r="G74" s="2177"/>
      <c r="H74" s="2177"/>
      <c r="I74" s="2178">
        <f t="shared" si="142"/>
        <v>0</v>
      </c>
      <c r="J74" s="2176"/>
      <c r="K74" s="2179">
        <f t="shared" si="141"/>
        <v>0</v>
      </c>
      <c r="L74" s="2179">
        <f t="shared" si="141"/>
        <v>0</v>
      </c>
      <c r="M74" s="2178">
        <f t="shared" si="143"/>
        <v>0</v>
      </c>
      <c r="N74" s="2177"/>
      <c r="O74" s="2177"/>
      <c r="P74" s="2178">
        <f t="shared" si="144"/>
        <v>0</v>
      </c>
      <c r="Q74" s="2176"/>
      <c r="R74" s="2177"/>
      <c r="S74" s="2180">
        <f t="shared" si="145"/>
        <v>0</v>
      </c>
      <c r="T74" s="2181">
        <f t="shared" si="146"/>
        <v>0</v>
      </c>
      <c r="U74" s="2179">
        <f t="shared" si="146"/>
        <v>0</v>
      </c>
      <c r="V74" s="2180">
        <f t="shared" si="147"/>
        <v>0</v>
      </c>
      <c r="W74" s="2182"/>
      <c r="X74" s="2177"/>
      <c r="Y74" s="2183">
        <f t="shared" si="148"/>
        <v>0</v>
      </c>
      <c r="Z74" s="2184">
        <f t="shared" si="149"/>
        <v>0</v>
      </c>
      <c r="AA74" s="2179">
        <f t="shared" si="149"/>
        <v>0</v>
      </c>
      <c r="AB74" s="2178">
        <f t="shared" si="150"/>
        <v>0</v>
      </c>
      <c r="AC74" s="2176"/>
      <c r="AD74" s="2177"/>
      <c r="AE74" s="2180">
        <f t="shared" si="151"/>
        <v>0</v>
      </c>
      <c r="AF74" s="2204"/>
      <c r="AG74" s="2145"/>
      <c r="AH74" s="2177"/>
      <c r="AI74" s="2177"/>
      <c r="AJ74" s="2186">
        <f t="shared" si="152"/>
        <v>0</v>
      </c>
      <c r="AK74" s="2177"/>
      <c r="AL74" s="2177"/>
      <c r="AM74" s="2186">
        <f t="shared" si="153"/>
        <v>0</v>
      </c>
      <c r="AN74" s="2177"/>
      <c r="AO74" s="2177"/>
      <c r="AP74" s="2186">
        <f t="shared" si="154"/>
        <v>0</v>
      </c>
      <c r="AQ74" s="2177"/>
      <c r="AR74" s="2177"/>
      <c r="AS74" s="2186">
        <f t="shared" si="155"/>
        <v>0</v>
      </c>
      <c r="AT74" s="2177"/>
      <c r="AU74" s="2177"/>
      <c r="AV74" s="2186">
        <f t="shared" si="156"/>
        <v>0</v>
      </c>
      <c r="AW74" s="2177"/>
      <c r="AX74" s="2177"/>
      <c r="AY74" s="2186">
        <f t="shared" si="157"/>
        <v>0</v>
      </c>
      <c r="AZ74" s="2177"/>
      <c r="BA74" s="2177"/>
      <c r="BB74" s="2186">
        <f t="shared" si="158"/>
        <v>0</v>
      </c>
      <c r="BC74" s="2177"/>
      <c r="BD74" s="2177"/>
      <c r="BE74" s="2186">
        <f t="shared" si="159"/>
        <v>0</v>
      </c>
      <c r="BF74" s="2177"/>
      <c r="BG74" s="2177"/>
      <c r="BH74" s="2186">
        <f t="shared" si="160"/>
        <v>0</v>
      </c>
      <c r="BI74" s="2177"/>
      <c r="BJ74" s="2177"/>
      <c r="BK74" s="2186">
        <f t="shared" si="161"/>
        <v>0</v>
      </c>
      <c r="BL74" s="2177"/>
      <c r="BM74" s="2177"/>
      <c r="BN74" s="2186">
        <f t="shared" si="162"/>
        <v>0</v>
      </c>
      <c r="BO74" s="2177"/>
      <c r="BP74" s="2177"/>
      <c r="BQ74" s="2186">
        <f t="shared" si="163"/>
        <v>0</v>
      </c>
    </row>
    <row r="75" spans="3:69" ht="21.6" hidden="1" customHeight="1">
      <c r="C75" s="2208" t="s">
        <v>2182</v>
      </c>
      <c r="D75" s="2209" t="s">
        <v>2183</v>
      </c>
      <c r="E75" s="2197" t="s">
        <v>1833</v>
      </c>
      <c r="F75" s="2176"/>
      <c r="G75" s="2179">
        <f>G76+G77+G78+G79+G80+G81+G88+G82+G83+G84+G85+G86+G87+G89</f>
        <v>0</v>
      </c>
      <c r="H75" s="2179">
        <f>H76+H77+H78+H79+H80+H81+H88+H82+H83+H84+H85+H86+H87+H89</f>
        <v>0</v>
      </c>
      <c r="I75" s="2178">
        <f t="shared" si="142"/>
        <v>0</v>
      </c>
      <c r="J75" s="2176"/>
      <c r="K75" s="2179">
        <f t="shared" si="141"/>
        <v>0</v>
      </c>
      <c r="L75" s="2179">
        <f t="shared" si="141"/>
        <v>0</v>
      </c>
      <c r="M75" s="2178">
        <f t="shared" si="143"/>
        <v>0</v>
      </c>
      <c r="N75" s="2179">
        <f>N76+N77+N78+N79+N80+N81+N88+N82+N83+N84+N85+N86+N87+N89</f>
        <v>0</v>
      </c>
      <c r="O75" s="2179">
        <f>O76+O77+O78+O79+O80+O81+O88+O82+O83+O84+O85+O86+O87+O89</f>
        <v>0</v>
      </c>
      <c r="P75" s="2178">
        <f t="shared" si="144"/>
        <v>0</v>
      </c>
      <c r="Q75" s="2179">
        <f>Q76+Q77+Q78+Q79+Q80+Q81+Q88+Q82+Q83+Q84+Q85+Q86+Q87+Q89</f>
        <v>0</v>
      </c>
      <c r="R75" s="2179">
        <f>R76+R77+R78+R79+R80+R81+R88+R82+R83+R84+R85+R86+R87+R89</f>
        <v>0</v>
      </c>
      <c r="S75" s="2180">
        <f t="shared" si="145"/>
        <v>0</v>
      </c>
      <c r="T75" s="2181">
        <f t="shared" si="146"/>
        <v>0</v>
      </c>
      <c r="U75" s="2179">
        <f t="shared" si="146"/>
        <v>0</v>
      </c>
      <c r="V75" s="2180">
        <f t="shared" si="147"/>
        <v>0</v>
      </c>
      <c r="W75" s="2187">
        <f>W76+W77+W78+W79+W80+W81+W88+W82+W83+W84+W85+W86+W87+W89</f>
        <v>0</v>
      </c>
      <c r="X75" s="2179">
        <f>X76+X77+X78+X79+X80+X81+X88+X82+X83+X84+X85+X86+X87+X89</f>
        <v>0</v>
      </c>
      <c r="Y75" s="2183">
        <f t="shared" si="148"/>
        <v>0</v>
      </c>
      <c r="Z75" s="2184">
        <f t="shared" si="149"/>
        <v>0</v>
      </c>
      <c r="AA75" s="2179">
        <f t="shared" si="149"/>
        <v>0</v>
      </c>
      <c r="AB75" s="2178">
        <f t="shared" si="150"/>
        <v>0</v>
      </c>
      <c r="AC75" s="2179">
        <f>AC76+AC77+AC78+AC79+AC80+AC81+AC88+AC82+AC83+AC84+AC85+AC86+AC87+AC89</f>
        <v>0</v>
      </c>
      <c r="AD75" s="2179">
        <f>AD76+AD77+AD78+AD79+AD80+AD81+AD88+AD82+AD83+AD84+AD85+AD86+AD87+AD89</f>
        <v>0</v>
      </c>
      <c r="AE75" s="2180">
        <f t="shared" si="151"/>
        <v>0</v>
      </c>
      <c r="AF75" s="2204"/>
      <c r="AG75" s="2145"/>
      <c r="AH75" s="2188">
        <f>AH76+AH77+AH78+AH79+AH80+AH81+AH88+AH82+AH83+AH84+AH85+AH86+AH87+AH89</f>
        <v>0</v>
      </c>
      <c r="AI75" s="2188">
        <f>AI76+AI77+AI78+AI79+AI80+AI81+AI88+AI82+AI83+AI84+AI85+AI86+AI87+AI89</f>
        <v>0</v>
      </c>
      <c r="AJ75" s="2186">
        <f t="shared" si="152"/>
        <v>0</v>
      </c>
      <c r="AK75" s="2188">
        <f>AK76+AK77+AK78+AK79+AK80+AK81+AK88+AK82+AK83+AK84+AK85+AK86+AK87+AK89</f>
        <v>0</v>
      </c>
      <c r="AL75" s="2188">
        <f>AL76+AL77+AL78+AL79+AL80+AL81+AL88+AL82+AL83+AL84+AL85+AL86+AL87+AL89</f>
        <v>0</v>
      </c>
      <c r="AM75" s="2186">
        <f t="shared" si="153"/>
        <v>0</v>
      </c>
      <c r="AN75" s="2188">
        <f>AN76+AN77+AN78+AN79+AN80+AN81+AN88+AN82+AN83+AN84+AN85+AN86+AN87+AN89</f>
        <v>0</v>
      </c>
      <c r="AO75" s="2188">
        <f>AO76+AO77+AO78+AO79+AO80+AO81+AO88+AO82+AO83+AO84+AO85+AO86+AO87+AO89</f>
        <v>0</v>
      </c>
      <c r="AP75" s="2186">
        <f t="shared" si="154"/>
        <v>0</v>
      </c>
      <c r="AQ75" s="2188">
        <f>AQ76+AQ77+AQ78+AQ79+AQ80+AQ81+AQ88+AQ82+AQ83+AQ84+AQ85+AQ86+AQ87+AQ89</f>
        <v>0</v>
      </c>
      <c r="AR75" s="2188">
        <f>AR76+AR77+AR78+AR79+AR80+AR81+AR88+AR82+AR83+AR84+AR85+AR86+AR87+AR89</f>
        <v>0</v>
      </c>
      <c r="AS75" s="2186">
        <f t="shared" si="155"/>
        <v>0</v>
      </c>
      <c r="AT75" s="2188">
        <f>AT76+AT77+AT78+AT79+AT80+AT81+AT88+AT82+AT83+AT84+AT85+AT86+AT87+AT89</f>
        <v>0</v>
      </c>
      <c r="AU75" s="2188">
        <f>AU76+AU77+AU78+AU79+AU80+AU81+AU88+AU82+AU83+AU84+AU85+AU86+AU87+AU89</f>
        <v>0</v>
      </c>
      <c r="AV75" s="2186">
        <f t="shared" si="156"/>
        <v>0</v>
      </c>
      <c r="AW75" s="2188">
        <f>AW76+AW77+AW78+AW79+AW80+AW81+AW88+AW82+AW83+AW84+AW85+AW86+AW87+AW89</f>
        <v>0</v>
      </c>
      <c r="AX75" s="2188">
        <f>AX76+AX77+AX78+AX79+AX80+AX81+AX88+AX82+AX83+AX84+AX85+AX86+AX87+AX89</f>
        <v>0</v>
      </c>
      <c r="AY75" s="2186">
        <f t="shared" si="157"/>
        <v>0</v>
      </c>
      <c r="AZ75" s="2188">
        <f>AZ76+AZ77+AZ78+AZ79+AZ80+AZ81+AZ88+AZ82+AZ83+AZ84+AZ85+AZ86+AZ87+AZ89</f>
        <v>0</v>
      </c>
      <c r="BA75" s="2188">
        <f>BA76+BA77+BA78+BA79+BA80+BA81+BA88+BA82+BA83+BA84+BA85+BA86+BA87+BA89</f>
        <v>0</v>
      </c>
      <c r="BB75" s="2186">
        <f t="shared" si="158"/>
        <v>0</v>
      </c>
      <c r="BC75" s="2188">
        <f>BC76+BC77+BC78+BC79+BC80+BC81+BC88+BC82+BC83+BC84+BC85+BC86+BC87+BC89</f>
        <v>0</v>
      </c>
      <c r="BD75" s="2188">
        <f>BD76+BD77+BD78+BD79+BD80+BD81+BD88+BD82+BD83+BD84+BD85+BD86+BD87+BD89</f>
        <v>0</v>
      </c>
      <c r="BE75" s="2186">
        <f t="shared" si="159"/>
        <v>0</v>
      </c>
      <c r="BF75" s="2188">
        <f>BF76+BF77+BF78+BF79+BF80+BF81+BF88+BF82+BF83+BF84+BF85+BF86+BF87+BF89</f>
        <v>0</v>
      </c>
      <c r="BG75" s="2188">
        <f>BG76+BG77+BG78+BG79+BG80+BG81+BG88+BG82+BG83+BG84+BG85+BG86+BG87+BG89</f>
        <v>0</v>
      </c>
      <c r="BH75" s="2186">
        <f t="shared" si="160"/>
        <v>0</v>
      </c>
      <c r="BI75" s="2188">
        <f>BI76+BI77+BI78+BI79+BI80+BI81+BI88+BI82+BI83+BI84+BI85+BI86+BI87+BI89</f>
        <v>0</v>
      </c>
      <c r="BJ75" s="2188">
        <f>BJ76+BJ77+BJ78+BJ79+BJ80+BJ81+BJ88+BJ82+BJ83+BJ84+BJ85+BJ86+BJ87+BJ89</f>
        <v>0</v>
      </c>
      <c r="BK75" s="2186">
        <f t="shared" si="161"/>
        <v>0</v>
      </c>
      <c r="BL75" s="2188">
        <f>BL76+BL77+BL78+BL79+BL80+BL81+BL88+BL82+BL83+BL84+BL85+BL86+BL87+BL89</f>
        <v>0</v>
      </c>
      <c r="BM75" s="2188">
        <f>BM76+BM77+BM78+BM79+BM80+BM81+BM88+BM82+BM83+BM84+BM85+BM86+BM87+BM89</f>
        <v>0</v>
      </c>
      <c r="BN75" s="2186">
        <f t="shared" si="162"/>
        <v>0</v>
      </c>
      <c r="BO75" s="2188">
        <f>BO76+BO77+BO78+BO79+BO80+BO81+BO88+BO82+BO83+BO84+BO85+BO86+BO87+BO89</f>
        <v>0</v>
      </c>
      <c r="BP75" s="2188">
        <f>BP76+BP77+BP78+BP79+BP80+BP81+BP88+BP82+BP83+BP84+BP85+BP86+BP87+BP89</f>
        <v>0</v>
      </c>
      <c r="BQ75" s="2186">
        <f t="shared" si="163"/>
        <v>0</v>
      </c>
    </row>
    <row r="76" spans="3:69" s="2193" customFormat="1" ht="21.6" hidden="1" customHeight="1">
      <c r="C76" s="2189" t="s">
        <v>2184</v>
      </c>
      <c r="D76" s="2221" t="s">
        <v>2092</v>
      </c>
      <c r="E76" s="2175" t="s">
        <v>1833</v>
      </c>
      <c r="F76" s="2176"/>
      <c r="G76" s="2177"/>
      <c r="H76" s="2177"/>
      <c r="I76" s="2178">
        <f t="shared" si="142"/>
        <v>0</v>
      </c>
      <c r="J76" s="2176"/>
      <c r="K76" s="2179">
        <f t="shared" si="141"/>
        <v>0</v>
      </c>
      <c r="L76" s="2179">
        <f t="shared" si="141"/>
        <v>0</v>
      </c>
      <c r="M76" s="2178">
        <f t="shared" si="143"/>
        <v>0</v>
      </c>
      <c r="N76" s="2177"/>
      <c r="O76" s="2177"/>
      <c r="P76" s="2178">
        <f t="shared" si="144"/>
        <v>0</v>
      </c>
      <c r="Q76" s="2176"/>
      <c r="R76" s="2177"/>
      <c r="S76" s="2180">
        <f t="shared" si="145"/>
        <v>0</v>
      </c>
      <c r="T76" s="2181">
        <f t="shared" si="146"/>
        <v>0</v>
      </c>
      <c r="U76" s="2179">
        <f t="shared" si="146"/>
        <v>0</v>
      </c>
      <c r="V76" s="2180">
        <f t="shared" si="147"/>
        <v>0</v>
      </c>
      <c r="W76" s="2182"/>
      <c r="X76" s="2177"/>
      <c r="Y76" s="2183">
        <f t="shared" si="148"/>
        <v>0</v>
      </c>
      <c r="Z76" s="2184">
        <f t="shared" si="149"/>
        <v>0</v>
      </c>
      <c r="AA76" s="2179">
        <f t="shared" si="149"/>
        <v>0</v>
      </c>
      <c r="AB76" s="2178">
        <f t="shared" si="150"/>
        <v>0</v>
      </c>
      <c r="AC76" s="2176"/>
      <c r="AD76" s="2177"/>
      <c r="AE76" s="2180">
        <f t="shared" si="151"/>
        <v>0</v>
      </c>
      <c r="AF76" s="2191"/>
      <c r="AG76" s="2192"/>
      <c r="AH76" s="2177"/>
      <c r="AI76" s="2177"/>
      <c r="AJ76" s="2186">
        <f t="shared" si="152"/>
        <v>0</v>
      </c>
      <c r="AK76" s="2177"/>
      <c r="AL76" s="2177"/>
      <c r="AM76" s="2186">
        <f t="shared" si="153"/>
        <v>0</v>
      </c>
      <c r="AN76" s="2177"/>
      <c r="AO76" s="2177"/>
      <c r="AP76" s="2186">
        <f t="shared" si="154"/>
        <v>0</v>
      </c>
      <c r="AQ76" s="2177"/>
      <c r="AR76" s="2177"/>
      <c r="AS76" s="2186">
        <f t="shared" si="155"/>
        <v>0</v>
      </c>
      <c r="AT76" s="2177"/>
      <c r="AU76" s="2177"/>
      <c r="AV76" s="2186">
        <f t="shared" si="156"/>
        <v>0</v>
      </c>
      <c r="AW76" s="2177"/>
      <c r="AX76" s="2177"/>
      <c r="AY76" s="2186">
        <f t="shared" si="157"/>
        <v>0</v>
      </c>
      <c r="AZ76" s="2177"/>
      <c r="BA76" s="2177"/>
      <c r="BB76" s="2186">
        <f t="shared" si="158"/>
        <v>0</v>
      </c>
      <c r="BC76" s="2177"/>
      <c r="BD76" s="2177"/>
      <c r="BE76" s="2186">
        <f t="shared" si="159"/>
        <v>0</v>
      </c>
      <c r="BF76" s="2177"/>
      <c r="BG76" s="2177"/>
      <c r="BH76" s="2186">
        <f t="shared" si="160"/>
        <v>0</v>
      </c>
      <c r="BI76" s="2177"/>
      <c r="BJ76" s="2177"/>
      <c r="BK76" s="2186">
        <f t="shared" si="161"/>
        <v>0</v>
      </c>
      <c r="BL76" s="2177"/>
      <c r="BM76" s="2177"/>
      <c r="BN76" s="2186">
        <f t="shared" si="162"/>
        <v>0</v>
      </c>
      <c r="BO76" s="2177"/>
      <c r="BP76" s="2177"/>
      <c r="BQ76" s="2186">
        <f t="shared" si="163"/>
        <v>0</v>
      </c>
    </row>
    <row r="77" spans="3:69" s="2193" customFormat="1" ht="21.6" hidden="1" customHeight="1">
      <c r="C77" s="2189" t="s">
        <v>2185</v>
      </c>
      <c r="D77" s="2221" t="s">
        <v>2094</v>
      </c>
      <c r="E77" s="2175" t="s">
        <v>1833</v>
      </c>
      <c r="F77" s="2176"/>
      <c r="G77" s="2177"/>
      <c r="H77" s="2177"/>
      <c r="I77" s="2178">
        <f t="shared" si="142"/>
        <v>0</v>
      </c>
      <c r="J77" s="2176"/>
      <c r="K77" s="2179">
        <f t="shared" si="141"/>
        <v>0</v>
      </c>
      <c r="L77" s="2179">
        <f t="shared" si="141"/>
        <v>0</v>
      </c>
      <c r="M77" s="2178">
        <f t="shared" si="143"/>
        <v>0</v>
      </c>
      <c r="N77" s="2177"/>
      <c r="O77" s="2177"/>
      <c r="P77" s="2178">
        <f t="shared" si="144"/>
        <v>0</v>
      </c>
      <c r="Q77" s="2176"/>
      <c r="R77" s="2177"/>
      <c r="S77" s="2180">
        <f t="shared" si="145"/>
        <v>0</v>
      </c>
      <c r="T77" s="2181">
        <f t="shared" si="146"/>
        <v>0</v>
      </c>
      <c r="U77" s="2179">
        <f t="shared" si="146"/>
        <v>0</v>
      </c>
      <c r="V77" s="2180">
        <f t="shared" si="147"/>
        <v>0</v>
      </c>
      <c r="W77" s="2182"/>
      <c r="X77" s="2177"/>
      <c r="Y77" s="2183">
        <f t="shared" si="148"/>
        <v>0</v>
      </c>
      <c r="Z77" s="2184">
        <f t="shared" si="149"/>
        <v>0</v>
      </c>
      <c r="AA77" s="2179">
        <f t="shared" si="149"/>
        <v>0</v>
      </c>
      <c r="AB77" s="2178">
        <f t="shared" si="150"/>
        <v>0</v>
      </c>
      <c r="AC77" s="2176"/>
      <c r="AD77" s="2177"/>
      <c r="AE77" s="2180">
        <f t="shared" si="151"/>
        <v>0</v>
      </c>
      <c r="AF77" s="2191"/>
      <c r="AG77" s="2192"/>
      <c r="AH77" s="2177"/>
      <c r="AI77" s="2177"/>
      <c r="AJ77" s="2186">
        <f t="shared" si="152"/>
        <v>0</v>
      </c>
      <c r="AK77" s="2177"/>
      <c r="AL77" s="2177"/>
      <c r="AM77" s="2186">
        <f t="shared" si="153"/>
        <v>0</v>
      </c>
      <c r="AN77" s="2177"/>
      <c r="AO77" s="2177"/>
      <c r="AP77" s="2186">
        <f t="shared" si="154"/>
        <v>0</v>
      </c>
      <c r="AQ77" s="2177"/>
      <c r="AR77" s="2177"/>
      <c r="AS77" s="2186">
        <f t="shared" si="155"/>
        <v>0</v>
      </c>
      <c r="AT77" s="2177"/>
      <c r="AU77" s="2177"/>
      <c r="AV77" s="2186">
        <f t="shared" si="156"/>
        <v>0</v>
      </c>
      <c r="AW77" s="2177"/>
      <c r="AX77" s="2177"/>
      <c r="AY77" s="2186">
        <f t="shared" si="157"/>
        <v>0</v>
      </c>
      <c r="AZ77" s="2177"/>
      <c r="BA77" s="2177"/>
      <c r="BB77" s="2186">
        <f t="shared" si="158"/>
        <v>0</v>
      </c>
      <c r="BC77" s="2177"/>
      <c r="BD77" s="2177"/>
      <c r="BE77" s="2186">
        <f t="shared" si="159"/>
        <v>0</v>
      </c>
      <c r="BF77" s="2177"/>
      <c r="BG77" s="2177"/>
      <c r="BH77" s="2186">
        <f t="shared" si="160"/>
        <v>0</v>
      </c>
      <c r="BI77" s="2177"/>
      <c r="BJ77" s="2177"/>
      <c r="BK77" s="2186">
        <f t="shared" si="161"/>
        <v>0</v>
      </c>
      <c r="BL77" s="2177"/>
      <c r="BM77" s="2177"/>
      <c r="BN77" s="2186">
        <f t="shared" si="162"/>
        <v>0</v>
      </c>
      <c r="BO77" s="2177"/>
      <c r="BP77" s="2177"/>
      <c r="BQ77" s="2186">
        <f t="shared" si="163"/>
        <v>0</v>
      </c>
    </row>
    <row r="78" spans="3:69" s="2193" customFormat="1" ht="21.6" hidden="1" customHeight="1">
      <c r="C78" s="2194" t="s">
        <v>2186</v>
      </c>
      <c r="D78" s="2221" t="s">
        <v>2096</v>
      </c>
      <c r="E78" s="2175" t="s">
        <v>1833</v>
      </c>
      <c r="F78" s="2176"/>
      <c r="G78" s="2177"/>
      <c r="H78" s="2177"/>
      <c r="I78" s="2178">
        <f t="shared" si="142"/>
        <v>0</v>
      </c>
      <c r="J78" s="2176"/>
      <c r="K78" s="2179">
        <f t="shared" si="141"/>
        <v>0</v>
      </c>
      <c r="L78" s="2179">
        <f t="shared" si="141"/>
        <v>0</v>
      </c>
      <c r="M78" s="2178">
        <f t="shared" si="143"/>
        <v>0</v>
      </c>
      <c r="N78" s="2177"/>
      <c r="O78" s="2177"/>
      <c r="P78" s="2178">
        <f t="shared" si="144"/>
        <v>0</v>
      </c>
      <c r="Q78" s="2176"/>
      <c r="R78" s="2177"/>
      <c r="S78" s="2180">
        <f t="shared" si="145"/>
        <v>0</v>
      </c>
      <c r="T78" s="2181">
        <f t="shared" si="146"/>
        <v>0</v>
      </c>
      <c r="U78" s="2179">
        <f t="shared" si="146"/>
        <v>0</v>
      </c>
      <c r="V78" s="2180">
        <f t="shared" si="147"/>
        <v>0</v>
      </c>
      <c r="W78" s="2182"/>
      <c r="X78" s="2177"/>
      <c r="Y78" s="2183">
        <f t="shared" si="148"/>
        <v>0</v>
      </c>
      <c r="Z78" s="2184">
        <f t="shared" si="149"/>
        <v>0</v>
      </c>
      <c r="AA78" s="2179">
        <f t="shared" si="149"/>
        <v>0</v>
      </c>
      <c r="AB78" s="2178">
        <f t="shared" si="150"/>
        <v>0</v>
      </c>
      <c r="AC78" s="2176"/>
      <c r="AD78" s="2177"/>
      <c r="AE78" s="2180">
        <f t="shared" si="151"/>
        <v>0</v>
      </c>
      <c r="AF78" s="2191"/>
      <c r="AG78" s="2192"/>
      <c r="AH78" s="2177"/>
      <c r="AI78" s="2177"/>
      <c r="AJ78" s="2186">
        <f t="shared" si="152"/>
        <v>0</v>
      </c>
      <c r="AK78" s="2177"/>
      <c r="AL78" s="2177"/>
      <c r="AM78" s="2186">
        <f t="shared" si="153"/>
        <v>0</v>
      </c>
      <c r="AN78" s="2177"/>
      <c r="AO78" s="2177"/>
      <c r="AP78" s="2186">
        <f t="shared" si="154"/>
        <v>0</v>
      </c>
      <c r="AQ78" s="2177"/>
      <c r="AR78" s="2177"/>
      <c r="AS78" s="2186">
        <f t="shared" si="155"/>
        <v>0</v>
      </c>
      <c r="AT78" s="2177"/>
      <c r="AU78" s="2177"/>
      <c r="AV78" s="2186">
        <f t="shared" si="156"/>
        <v>0</v>
      </c>
      <c r="AW78" s="2177"/>
      <c r="AX78" s="2177"/>
      <c r="AY78" s="2186">
        <f t="shared" si="157"/>
        <v>0</v>
      </c>
      <c r="AZ78" s="2177"/>
      <c r="BA78" s="2177"/>
      <c r="BB78" s="2186">
        <f t="shared" si="158"/>
        <v>0</v>
      </c>
      <c r="BC78" s="2177"/>
      <c r="BD78" s="2177"/>
      <c r="BE78" s="2186">
        <f t="shared" si="159"/>
        <v>0</v>
      </c>
      <c r="BF78" s="2177"/>
      <c r="BG78" s="2177"/>
      <c r="BH78" s="2186">
        <f t="shared" si="160"/>
        <v>0</v>
      </c>
      <c r="BI78" s="2177"/>
      <c r="BJ78" s="2177"/>
      <c r="BK78" s="2186">
        <f t="shared" si="161"/>
        <v>0</v>
      </c>
      <c r="BL78" s="2177"/>
      <c r="BM78" s="2177"/>
      <c r="BN78" s="2186">
        <f t="shared" si="162"/>
        <v>0</v>
      </c>
      <c r="BO78" s="2177"/>
      <c r="BP78" s="2177"/>
      <c r="BQ78" s="2186">
        <f t="shared" si="163"/>
        <v>0</v>
      </c>
    </row>
    <row r="79" spans="3:69" s="2193" customFormat="1" ht="21.6" hidden="1" customHeight="1">
      <c r="C79" s="2194" t="s">
        <v>2187</v>
      </c>
      <c r="D79" s="2221" t="s">
        <v>2098</v>
      </c>
      <c r="E79" s="2175" t="s">
        <v>1833</v>
      </c>
      <c r="F79" s="2176"/>
      <c r="G79" s="2177"/>
      <c r="H79" s="2177"/>
      <c r="I79" s="2178">
        <f t="shared" si="142"/>
        <v>0</v>
      </c>
      <c r="J79" s="2176"/>
      <c r="K79" s="2179">
        <f t="shared" si="141"/>
        <v>0</v>
      </c>
      <c r="L79" s="2179">
        <f t="shared" si="141"/>
        <v>0</v>
      </c>
      <c r="M79" s="2178">
        <f t="shared" si="143"/>
        <v>0</v>
      </c>
      <c r="N79" s="2177"/>
      <c r="O79" s="2177"/>
      <c r="P79" s="2178">
        <f t="shared" si="144"/>
        <v>0</v>
      </c>
      <c r="Q79" s="2176"/>
      <c r="R79" s="2177"/>
      <c r="S79" s="2180">
        <f t="shared" si="145"/>
        <v>0</v>
      </c>
      <c r="T79" s="2181">
        <f t="shared" si="146"/>
        <v>0</v>
      </c>
      <c r="U79" s="2179">
        <f t="shared" si="146"/>
        <v>0</v>
      </c>
      <c r="V79" s="2180">
        <f t="shared" si="147"/>
        <v>0</v>
      </c>
      <c r="W79" s="2182"/>
      <c r="X79" s="2177"/>
      <c r="Y79" s="2183">
        <f t="shared" si="148"/>
        <v>0</v>
      </c>
      <c r="Z79" s="2184">
        <f t="shared" si="149"/>
        <v>0</v>
      </c>
      <c r="AA79" s="2179">
        <f t="shared" si="149"/>
        <v>0</v>
      </c>
      <c r="AB79" s="2178">
        <f t="shared" si="150"/>
        <v>0</v>
      </c>
      <c r="AC79" s="2176"/>
      <c r="AD79" s="2177"/>
      <c r="AE79" s="2180">
        <f t="shared" si="151"/>
        <v>0</v>
      </c>
      <c r="AF79" s="2191"/>
      <c r="AG79" s="2192"/>
      <c r="AH79" s="2177"/>
      <c r="AI79" s="2177"/>
      <c r="AJ79" s="2186">
        <f t="shared" si="152"/>
        <v>0</v>
      </c>
      <c r="AK79" s="2177"/>
      <c r="AL79" s="2177"/>
      <c r="AM79" s="2186">
        <f t="shared" si="153"/>
        <v>0</v>
      </c>
      <c r="AN79" s="2177"/>
      <c r="AO79" s="2177"/>
      <c r="AP79" s="2186">
        <f t="shared" si="154"/>
        <v>0</v>
      </c>
      <c r="AQ79" s="2177"/>
      <c r="AR79" s="2177"/>
      <c r="AS79" s="2186">
        <f t="shared" si="155"/>
        <v>0</v>
      </c>
      <c r="AT79" s="2177"/>
      <c r="AU79" s="2177"/>
      <c r="AV79" s="2186">
        <f t="shared" si="156"/>
        <v>0</v>
      </c>
      <c r="AW79" s="2177"/>
      <c r="AX79" s="2177"/>
      <c r="AY79" s="2186">
        <f t="shared" si="157"/>
        <v>0</v>
      </c>
      <c r="AZ79" s="2177"/>
      <c r="BA79" s="2177"/>
      <c r="BB79" s="2186">
        <f t="shared" si="158"/>
        <v>0</v>
      </c>
      <c r="BC79" s="2177"/>
      <c r="BD79" s="2177"/>
      <c r="BE79" s="2186">
        <f t="shared" si="159"/>
        <v>0</v>
      </c>
      <c r="BF79" s="2177"/>
      <c r="BG79" s="2177"/>
      <c r="BH79" s="2186">
        <f t="shared" si="160"/>
        <v>0</v>
      </c>
      <c r="BI79" s="2177"/>
      <c r="BJ79" s="2177"/>
      <c r="BK79" s="2186">
        <f t="shared" si="161"/>
        <v>0</v>
      </c>
      <c r="BL79" s="2177"/>
      <c r="BM79" s="2177"/>
      <c r="BN79" s="2186">
        <f t="shared" si="162"/>
        <v>0</v>
      </c>
      <c r="BO79" s="2177"/>
      <c r="BP79" s="2177"/>
      <c r="BQ79" s="2186">
        <f t="shared" si="163"/>
        <v>0</v>
      </c>
    </row>
    <row r="80" spans="3:69" s="2193" customFormat="1" ht="21.6" hidden="1" customHeight="1">
      <c r="C80" s="2194" t="s">
        <v>2188</v>
      </c>
      <c r="D80" s="2221" t="s">
        <v>2100</v>
      </c>
      <c r="E80" s="2175" t="s">
        <v>1833</v>
      </c>
      <c r="F80" s="2176"/>
      <c r="G80" s="2177"/>
      <c r="H80" s="2177"/>
      <c r="I80" s="2178">
        <f t="shared" si="142"/>
        <v>0</v>
      </c>
      <c r="J80" s="2176"/>
      <c r="K80" s="2179">
        <f t="shared" si="141"/>
        <v>0</v>
      </c>
      <c r="L80" s="2179">
        <f t="shared" si="141"/>
        <v>0</v>
      </c>
      <c r="M80" s="2178">
        <f t="shared" si="143"/>
        <v>0</v>
      </c>
      <c r="N80" s="2177"/>
      <c r="O80" s="2177"/>
      <c r="P80" s="2178">
        <f t="shared" si="144"/>
        <v>0</v>
      </c>
      <c r="Q80" s="2176"/>
      <c r="R80" s="2177"/>
      <c r="S80" s="2180">
        <f t="shared" si="145"/>
        <v>0</v>
      </c>
      <c r="T80" s="2181">
        <f t="shared" si="146"/>
        <v>0</v>
      </c>
      <c r="U80" s="2179">
        <f t="shared" si="146"/>
        <v>0</v>
      </c>
      <c r="V80" s="2180">
        <f t="shared" si="147"/>
        <v>0</v>
      </c>
      <c r="W80" s="2182"/>
      <c r="X80" s="2177"/>
      <c r="Y80" s="2183">
        <f t="shared" si="148"/>
        <v>0</v>
      </c>
      <c r="Z80" s="2184">
        <f t="shared" si="149"/>
        <v>0</v>
      </c>
      <c r="AA80" s="2179">
        <f t="shared" si="149"/>
        <v>0</v>
      </c>
      <c r="AB80" s="2178">
        <f t="shared" si="150"/>
        <v>0</v>
      </c>
      <c r="AC80" s="2176"/>
      <c r="AD80" s="2177"/>
      <c r="AE80" s="2180">
        <f t="shared" si="151"/>
        <v>0</v>
      </c>
      <c r="AF80" s="2191"/>
      <c r="AG80" s="2192"/>
      <c r="AH80" s="2177"/>
      <c r="AI80" s="2177"/>
      <c r="AJ80" s="2186">
        <f t="shared" si="152"/>
        <v>0</v>
      </c>
      <c r="AK80" s="2177"/>
      <c r="AL80" s="2177"/>
      <c r="AM80" s="2186">
        <f t="shared" si="153"/>
        <v>0</v>
      </c>
      <c r="AN80" s="2177"/>
      <c r="AO80" s="2177"/>
      <c r="AP80" s="2186">
        <f t="shared" si="154"/>
        <v>0</v>
      </c>
      <c r="AQ80" s="2177"/>
      <c r="AR80" s="2177"/>
      <c r="AS80" s="2186">
        <f t="shared" si="155"/>
        <v>0</v>
      </c>
      <c r="AT80" s="2177"/>
      <c r="AU80" s="2177"/>
      <c r="AV80" s="2186">
        <f t="shared" si="156"/>
        <v>0</v>
      </c>
      <c r="AW80" s="2177"/>
      <c r="AX80" s="2177"/>
      <c r="AY80" s="2186">
        <f t="shared" si="157"/>
        <v>0</v>
      </c>
      <c r="AZ80" s="2177"/>
      <c r="BA80" s="2177"/>
      <c r="BB80" s="2186">
        <f t="shared" si="158"/>
        <v>0</v>
      </c>
      <c r="BC80" s="2177"/>
      <c r="BD80" s="2177"/>
      <c r="BE80" s="2186">
        <f t="shared" si="159"/>
        <v>0</v>
      </c>
      <c r="BF80" s="2177"/>
      <c r="BG80" s="2177"/>
      <c r="BH80" s="2186">
        <f t="shared" si="160"/>
        <v>0</v>
      </c>
      <c r="BI80" s="2177"/>
      <c r="BJ80" s="2177"/>
      <c r="BK80" s="2186">
        <f t="shared" si="161"/>
        <v>0</v>
      </c>
      <c r="BL80" s="2177"/>
      <c r="BM80" s="2177"/>
      <c r="BN80" s="2186">
        <f t="shared" si="162"/>
        <v>0</v>
      </c>
      <c r="BO80" s="2177"/>
      <c r="BP80" s="2177"/>
      <c r="BQ80" s="2186">
        <f t="shared" si="163"/>
        <v>0</v>
      </c>
    </row>
    <row r="81" spans="3:69" s="2193" customFormat="1" ht="21.6" hidden="1" customHeight="1">
      <c r="C81" s="2194" t="s">
        <v>2189</v>
      </c>
      <c r="D81" s="2221" t="s">
        <v>2102</v>
      </c>
      <c r="E81" s="2175" t="s">
        <v>1833</v>
      </c>
      <c r="F81" s="2176"/>
      <c r="G81" s="2177"/>
      <c r="H81" s="2177"/>
      <c r="I81" s="2178">
        <f t="shared" si="142"/>
        <v>0</v>
      </c>
      <c r="J81" s="2176"/>
      <c r="K81" s="2179">
        <f t="shared" si="141"/>
        <v>0</v>
      </c>
      <c r="L81" s="2179">
        <f t="shared" si="141"/>
        <v>0</v>
      </c>
      <c r="M81" s="2178">
        <f t="shared" si="143"/>
        <v>0</v>
      </c>
      <c r="N81" s="2177"/>
      <c r="O81" s="2177"/>
      <c r="P81" s="2178">
        <f t="shared" si="144"/>
        <v>0</v>
      </c>
      <c r="Q81" s="2176"/>
      <c r="R81" s="2177"/>
      <c r="S81" s="2180">
        <f t="shared" si="145"/>
        <v>0</v>
      </c>
      <c r="T81" s="2181">
        <f t="shared" si="146"/>
        <v>0</v>
      </c>
      <c r="U81" s="2179">
        <f t="shared" si="146"/>
        <v>0</v>
      </c>
      <c r="V81" s="2180">
        <f t="shared" si="147"/>
        <v>0</v>
      </c>
      <c r="W81" s="2182"/>
      <c r="X81" s="2177"/>
      <c r="Y81" s="2183">
        <f t="shared" si="148"/>
        <v>0</v>
      </c>
      <c r="Z81" s="2184">
        <f t="shared" si="149"/>
        <v>0</v>
      </c>
      <c r="AA81" s="2179">
        <f t="shared" si="149"/>
        <v>0</v>
      </c>
      <c r="AB81" s="2178">
        <f t="shared" si="150"/>
        <v>0</v>
      </c>
      <c r="AC81" s="2176"/>
      <c r="AD81" s="2177"/>
      <c r="AE81" s="2180">
        <f t="shared" si="151"/>
        <v>0</v>
      </c>
      <c r="AF81" s="2191"/>
      <c r="AG81" s="2192"/>
      <c r="AH81" s="2177"/>
      <c r="AI81" s="2177"/>
      <c r="AJ81" s="2186">
        <f t="shared" si="152"/>
        <v>0</v>
      </c>
      <c r="AK81" s="2177"/>
      <c r="AL81" s="2177"/>
      <c r="AM81" s="2186">
        <f t="shared" si="153"/>
        <v>0</v>
      </c>
      <c r="AN81" s="2177"/>
      <c r="AO81" s="2177"/>
      <c r="AP81" s="2186">
        <f t="shared" si="154"/>
        <v>0</v>
      </c>
      <c r="AQ81" s="2177"/>
      <c r="AR81" s="2177"/>
      <c r="AS81" s="2186">
        <f t="shared" si="155"/>
        <v>0</v>
      </c>
      <c r="AT81" s="2177"/>
      <c r="AU81" s="2177"/>
      <c r="AV81" s="2186">
        <f t="shared" si="156"/>
        <v>0</v>
      </c>
      <c r="AW81" s="2177"/>
      <c r="AX81" s="2177"/>
      <c r="AY81" s="2186">
        <f t="shared" si="157"/>
        <v>0</v>
      </c>
      <c r="AZ81" s="2177"/>
      <c r="BA81" s="2177"/>
      <c r="BB81" s="2186">
        <f t="shared" si="158"/>
        <v>0</v>
      </c>
      <c r="BC81" s="2177"/>
      <c r="BD81" s="2177"/>
      <c r="BE81" s="2186">
        <f t="shared" si="159"/>
        <v>0</v>
      </c>
      <c r="BF81" s="2177"/>
      <c r="BG81" s="2177"/>
      <c r="BH81" s="2186">
        <f t="shared" si="160"/>
        <v>0</v>
      </c>
      <c r="BI81" s="2177"/>
      <c r="BJ81" s="2177"/>
      <c r="BK81" s="2186">
        <f t="shared" si="161"/>
        <v>0</v>
      </c>
      <c r="BL81" s="2177"/>
      <c r="BM81" s="2177"/>
      <c r="BN81" s="2186">
        <f t="shared" si="162"/>
        <v>0</v>
      </c>
      <c r="BO81" s="2177"/>
      <c r="BP81" s="2177"/>
      <c r="BQ81" s="2186">
        <f t="shared" si="163"/>
        <v>0</v>
      </c>
    </row>
    <row r="82" spans="3:69" s="2193" customFormat="1" ht="21.6" hidden="1" customHeight="1">
      <c r="C82" s="2194" t="s">
        <v>2190</v>
      </c>
      <c r="D82" s="2221" t="s">
        <v>2104</v>
      </c>
      <c r="E82" s="2175" t="s">
        <v>1833</v>
      </c>
      <c r="F82" s="2176"/>
      <c r="G82" s="2177"/>
      <c r="H82" s="2177"/>
      <c r="I82" s="2178">
        <f t="shared" si="142"/>
        <v>0</v>
      </c>
      <c r="J82" s="2176"/>
      <c r="K82" s="2179">
        <f t="shared" si="141"/>
        <v>0</v>
      </c>
      <c r="L82" s="2179">
        <f t="shared" si="141"/>
        <v>0</v>
      </c>
      <c r="M82" s="2178">
        <f t="shared" si="143"/>
        <v>0</v>
      </c>
      <c r="N82" s="2177"/>
      <c r="O82" s="2177"/>
      <c r="P82" s="2178">
        <f t="shared" si="144"/>
        <v>0</v>
      </c>
      <c r="Q82" s="2176"/>
      <c r="R82" s="2177"/>
      <c r="S82" s="2180">
        <f t="shared" si="145"/>
        <v>0</v>
      </c>
      <c r="T82" s="2181">
        <f t="shared" si="146"/>
        <v>0</v>
      </c>
      <c r="U82" s="2179">
        <f t="shared" si="146"/>
        <v>0</v>
      </c>
      <c r="V82" s="2180">
        <f t="shared" si="147"/>
        <v>0</v>
      </c>
      <c r="W82" s="2182"/>
      <c r="X82" s="2177"/>
      <c r="Y82" s="2183">
        <f t="shared" si="148"/>
        <v>0</v>
      </c>
      <c r="Z82" s="2184">
        <f t="shared" si="149"/>
        <v>0</v>
      </c>
      <c r="AA82" s="2179">
        <f t="shared" si="149"/>
        <v>0</v>
      </c>
      <c r="AB82" s="2178">
        <f t="shared" si="150"/>
        <v>0</v>
      </c>
      <c r="AC82" s="2176"/>
      <c r="AD82" s="2177"/>
      <c r="AE82" s="2180">
        <f t="shared" si="151"/>
        <v>0</v>
      </c>
      <c r="AF82" s="2191"/>
      <c r="AG82" s="2192"/>
      <c r="AH82" s="2177"/>
      <c r="AI82" s="2177"/>
      <c r="AJ82" s="2186">
        <f t="shared" si="152"/>
        <v>0</v>
      </c>
      <c r="AK82" s="2177"/>
      <c r="AL82" s="2177"/>
      <c r="AM82" s="2186">
        <f t="shared" si="153"/>
        <v>0</v>
      </c>
      <c r="AN82" s="2177"/>
      <c r="AO82" s="2177"/>
      <c r="AP82" s="2186">
        <f t="shared" si="154"/>
        <v>0</v>
      </c>
      <c r="AQ82" s="2177"/>
      <c r="AR82" s="2177"/>
      <c r="AS82" s="2186">
        <f t="shared" si="155"/>
        <v>0</v>
      </c>
      <c r="AT82" s="2177"/>
      <c r="AU82" s="2177"/>
      <c r="AV82" s="2186">
        <f t="shared" si="156"/>
        <v>0</v>
      </c>
      <c r="AW82" s="2177"/>
      <c r="AX82" s="2177"/>
      <c r="AY82" s="2186">
        <f t="shared" si="157"/>
        <v>0</v>
      </c>
      <c r="AZ82" s="2177"/>
      <c r="BA82" s="2177"/>
      <c r="BB82" s="2186">
        <f t="shared" si="158"/>
        <v>0</v>
      </c>
      <c r="BC82" s="2177"/>
      <c r="BD82" s="2177"/>
      <c r="BE82" s="2186">
        <f t="shared" si="159"/>
        <v>0</v>
      </c>
      <c r="BF82" s="2177"/>
      <c r="BG82" s="2177"/>
      <c r="BH82" s="2186">
        <f t="shared" si="160"/>
        <v>0</v>
      </c>
      <c r="BI82" s="2177"/>
      <c r="BJ82" s="2177"/>
      <c r="BK82" s="2186">
        <f t="shared" si="161"/>
        <v>0</v>
      </c>
      <c r="BL82" s="2177"/>
      <c r="BM82" s="2177"/>
      <c r="BN82" s="2186">
        <f t="shared" si="162"/>
        <v>0</v>
      </c>
      <c r="BO82" s="2177"/>
      <c r="BP82" s="2177"/>
      <c r="BQ82" s="2186">
        <f t="shared" si="163"/>
        <v>0</v>
      </c>
    </row>
    <row r="83" spans="3:69" s="2193" customFormat="1" ht="21.6" hidden="1" customHeight="1">
      <c r="C83" s="2194" t="s">
        <v>2191</v>
      </c>
      <c r="D83" s="2221" t="s">
        <v>2106</v>
      </c>
      <c r="E83" s="2175" t="s">
        <v>1833</v>
      </c>
      <c r="F83" s="2176"/>
      <c r="G83" s="2177"/>
      <c r="H83" s="2177"/>
      <c r="I83" s="2178">
        <f t="shared" si="142"/>
        <v>0</v>
      </c>
      <c r="J83" s="2176"/>
      <c r="K83" s="2179">
        <f t="shared" si="141"/>
        <v>0</v>
      </c>
      <c r="L83" s="2179">
        <f t="shared" si="141"/>
        <v>0</v>
      </c>
      <c r="M83" s="2178">
        <f t="shared" si="143"/>
        <v>0</v>
      </c>
      <c r="N83" s="2177"/>
      <c r="O83" s="2177"/>
      <c r="P83" s="2178">
        <f t="shared" si="144"/>
        <v>0</v>
      </c>
      <c r="Q83" s="2176"/>
      <c r="R83" s="2177"/>
      <c r="S83" s="2180">
        <f t="shared" si="145"/>
        <v>0</v>
      </c>
      <c r="T83" s="2181">
        <f t="shared" si="146"/>
        <v>0</v>
      </c>
      <c r="U83" s="2179">
        <f t="shared" si="146"/>
        <v>0</v>
      </c>
      <c r="V83" s="2180">
        <f t="shared" si="147"/>
        <v>0</v>
      </c>
      <c r="W83" s="2182"/>
      <c r="X83" s="2177"/>
      <c r="Y83" s="2183">
        <f t="shared" si="148"/>
        <v>0</v>
      </c>
      <c r="Z83" s="2184">
        <f t="shared" si="149"/>
        <v>0</v>
      </c>
      <c r="AA83" s="2179">
        <f t="shared" si="149"/>
        <v>0</v>
      </c>
      <c r="AB83" s="2178">
        <f t="shared" si="150"/>
        <v>0</v>
      </c>
      <c r="AC83" s="2176"/>
      <c r="AD83" s="2177"/>
      <c r="AE83" s="2180">
        <f t="shared" si="151"/>
        <v>0</v>
      </c>
      <c r="AF83" s="2191"/>
      <c r="AG83" s="2192"/>
      <c r="AH83" s="2177"/>
      <c r="AI83" s="2177"/>
      <c r="AJ83" s="2186">
        <f t="shared" si="152"/>
        <v>0</v>
      </c>
      <c r="AK83" s="2177"/>
      <c r="AL83" s="2177"/>
      <c r="AM83" s="2186">
        <f t="shared" si="153"/>
        <v>0</v>
      </c>
      <c r="AN83" s="2177"/>
      <c r="AO83" s="2177"/>
      <c r="AP83" s="2186">
        <f t="shared" si="154"/>
        <v>0</v>
      </c>
      <c r="AQ83" s="2177"/>
      <c r="AR83" s="2177"/>
      <c r="AS83" s="2186">
        <f t="shared" si="155"/>
        <v>0</v>
      </c>
      <c r="AT83" s="2177"/>
      <c r="AU83" s="2177"/>
      <c r="AV83" s="2186">
        <f t="shared" si="156"/>
        <v>0</v>
      </c>
      <c r="AW83" s="2177"/>
      <c r="AX83" s="2177"/>
      <c r="AY83" s="2186">
        <f t="shared" si="157"/>
        <v>0</v>
      </c>
      <c r="AZ83" s="2177"/>
      <c r="BA83" s="2177"/>
      <c r="BB83" s="2186">
        <f t="shared" si="158"/>
        <v>0</v>
      </c>
      <c r="BC83" s="2177"/>
      <c r="BD83" s="2177"/>
      <c r="BE83" s="2186">
        <f t="shared" si="159"/>
        <v>0</v>
      </c>
      <c r="BF83" s="2177"/>
      <c r="BG83" s="2177"/>
      <c r="BH83" s="2186">
        <f t="shared" si="160"/>
        <v>0</v>
      </c>
      <c r="BI83" s="2177"/>
      <c r="BJ83" s="2177"/>
      <c r="BK83" s="2186">
        <f t="shared" si="161"/>
        <v>0</v>
      </c>
      <c r="BL83" s="2177"/>
      <c r="BM83" s="2177"/>
      <c r="BN83" s="2186">
        <f t="shared" si="162"/>
        <v>0</v>
      </c>
      <c r="BO83" s="2177"/>
      <c r="BP83" s="2177"/>
      <c r="BQ83" s="2186">
        <f t="shared" si="163"/>
        <v>0</v>
      </c>
    </row>
    <row r="84" spans="3:69" s="2193" customFormat="1" ht="21.6" hidden="1" customHeight="1">
      <c r="C84" s="2194" t="s">
        <v>2192</v>
      </c>
      <c r="D84" s="2221" t="s">
        <v>2108</v>
      </c>
      <c r="E84" s="2175" t="s">
        <v>1833</v>
      </c>
      <c r="F84" s="2176"/>
      <c r="G84" s="2177"/>
      <c r="H84" s="2177"/>
      <c r="I84" s="2178">
        <f t="shared" si="142"/>
        <v>0</v>
      </c>
      <c r="J84" s="2176"/>
      <c r="K84" s="2179">
        <f t="shared" si="141"/>
        <v>0</v>
      </c>
      <c r="L84" s="2179">
        <f t="shared" si="141"/>
        <v>0</v>
      </c>
      <c r="M84" s="2178">
        <f t="shared" si="143"/>
        <v>0</v>
      </c>
      <c r="N84" s="2177"/>
      <c r="O84" s="2177"/>
      <c r="P84" s="2178">
        <f t="shared" si="144"/>
        <v>0</v>
      </c>
      <c r="Q84" s="2176"/>
      <c r="R84" s="2177"/>
      <c r="S84" s="2180">
        <f t="shared" si="145"/>
        <v>0</v>
      </c>
      <c r="T84" s="2181">
        <f t="shared" si="146"/>
        <v>0</v>
      </c>
      <c r="U84" s="2179">
        <f t="shared" si="146"/>
        <v>0</v>
      </c>
      <c r="V84" s="2180">
        <f t="shared" si="147"/>
        <v>0</v>
      </c>
      <c r="W84" s="2182"/>
      <c r="X84" s="2177"/>
      <c r="Y84" s="2183">
        <f t="shared" si="148"/>
        <v>0</v>
      </c>
      <c r="Z84" s="2184">
        <f t="shared" si="149"/>
        <v>0</v>
      </c>
      <c r="AA84" s="2179">
        <f t="shared" si="149"/>
        <v>0</v>
      </c>
      <c r="AB84" s="2178">
        <f t="shared" si="150"/>
        <v>0</v>
      </c>
      <c r="AC84" s="2176"/>
      <c r="AD84" s="2177"/>
      <c r="AE84" s="2180">
        <f t="shared" si="151"/>
        <v>0</v>
      </c>
      <c r="AF84" s="2191"/>
      <c r="AG84" s="2192"/>
      <c r="AH84" s="2177"/>
      <c r="AI84" s="2177"/>
      <c r="AJ84" s="2186">
        <f t="shared" si="152"/>
        <v>0</v>
      </c>
      <c r="AK84" s="2177"/>
      <c r="AL84" s="2177"/>
      <c r="AM84" s="2186">
        <f t="shared" si="153"/>
        <v>0</v>
      </c>
      <c r="AN84" s="2177"/>
      <c r="AO84" s="2177"/>
      <c r="AP84" s="2186">
        <f t="shared" si="154"/>
        <v>0</v>
      </c>
      <c r="AQ84" s="2177"/>
      <c r="AR84" s="2177"/>
      <c r="AS84" s="2186">
        <f t="shared" si="155"/>
        <v>0</v>
      </c>
      <c r="AT84" s="2177"/>
      <c r="AU84" s="2177"/>
      <c r="AV84" s="2186">
        <f t="shared" si="156"/>
        <v>0</v>
      </c>
      <c r="AW84" s="2177"/>
      <c r="AX84" s="2177"/>
      <c r="AY84" s="2186">
        <f t="shared" si="157"/>
        <v>0</v>
      </c>
      <c r="AZ84" s="2177"/>
      <c r="BA84" s="2177"/>
      <c r="BB84" s="2186">
        <f t="shared" si="158"/>
        <v>0</v>
      </c>
      <c r="BC84" s="2177"/>
      <c r="BD84" s="2177"/>
      <c r="BE84" s="2186">
        <f t="shared" si="159"/>
        <v>0</v>
      </c>
      <c r="BF84" s="2177"/>
      <c r="BG84" s="2177"/>
      <c r="BH84" s="2186">
        <f t="shared" si="160"/>
        <v>0</v>
      </c>
      <c r="BI84" s="2177"/>
      <c r="BJ84" s="2177"/>
      <c r="BK84" s="2186">
        <f t="shared" si="161"/>
        <v>0</v>
      </c>
      <c r="BL84" s="2177"/>
      <c r="BM84" s="2177"/>
      <c r="BN84" s="2186">
        <f t="shared" si="162"/>
        <v>0</v>
      </c>
      <c r="BO84" s="2177"/>
      <c r="BP84" s="2177"/>
      <c r="BQ84" s="2186">
        <f t="shared" si="163"/>
        <v>0</v>
      </c>
    </row>
    <row r="85" spans="3:69" s="2193" customFormat="1" ht="21.6" hidden="1" customHeight="1">
      <c r="C85" s="2194" t="s">
        <v>2193</v>
      </c>
      <c r="D85" s="2221" t="s">
        <v>2110</v>
      </c>
      <c r="E85" s="2175" t="s">
        <v>1833</v>
      </c>
      <c r="F85" s="2176"/>
      <c r="G85" s="2177"/>
      <c r="H85" s="2177"/>
      <c r="I85" s="2178">
        <f t="shared" si="142"/>
        <v>0</v>
      </c>
      <c r="J85" s="2176"/>
      <c r="K85" s="2179">
        <f t="shared" si="141"/>
        <v>0</v>
      </c>
      <c r="L85" s="2179">
        <f t="shared" si="141"/>
        <v>0</v>
      </c>
      <c r="M85" s="2178">
        <f t="shared" si="143"/>
        <v>0</v>
      </c>
      <c r="N85" s="2177"/>
      <c r="O85" s="2177"/>
      <c r="P85" s="2178">
        <f t="shared" si="144"/>
        <v>0</v>
      </c>
      <c r="Q85" s="2176"/>
      <c r="R85" s="2177"/>
      <c r="S85" s="2180">
        <f t="shared" si="145"/>
        <v>0</v>
      </c>
      <c r="T85" s="2181">
        <f t="shared" si="146"/>
        <v>0</v>
      </c>
      <c r="U85" s="2179">
        <f t="shared" si="146"/>
        <v>0</v>
      </c>
      <c r="V85" s="2180">
        <f t="shared" si="147"/>
        <v>0</v>
      </c>
      <c r="W85" s="2182"/>
      <c r="X85" s="2177"/>
      <c r="Y85" s="2183">
        <f t="shared" si="148"/>
        <v>0</v>
      </c>
      <c r="Z85" s="2184">
        <f t="shared" si="149"/>
        <v>0</v>
      </c>
      <c r="AA85" s="2179">
        <f t="shared" si="149"/>
        <v>0</v>
      </c>
      <c r="AB85" s="2178">
        <f t="shared" si="150"/>
        <v>0</v>
      </c>
      <c r="AC85" s="2176"/>
      <c r="AD85" s="2177"/>
      <c r="AE85" s="2180">
        <f t="shared" si="151"/>
        <v>0</v>
      </c>
      <c r="AF85" s="2191"/>
      <c r="AG85" s="2192"/>
      <c r="AH85" s="2177"/>
      <c r="AI85" s="2177"/>
      <c r="AJ85" s="2186">
        <f t="shared" si="152"/>
        <v>0</v>
      </c>
      <c r="AK85" s="2177"/>
      <c r="AL85" s="2177"/>
      <c r="AM85" s="2186">
        <f t="shared" si="153"/>
        <v>0</v>
      </c>
      <c r="AN85" s="2177"/>
      <c r="AO85" s="2177"/>
      <c r="AP85" s="2186">
        <f t="shared" si="154"/>
        <v>0</v>
      </c>
      <c r="AQ85" s="2177"/>
      <c r="AR85" s="2177"/>
      <c r="AS85" s="2186">
        <f t="shared" si="155"/>
        <v>0</v>
      </c>
      <c r="AT85" s="2177"/>
      <c r="AU85" s="2177"/>
      <c r="AV85" s="2186">
        <f t="shared" si="156"/>
        <v>0</v>
      </c>
      <c r="AW85" s="2177"/>
      <c r="AX85" s="2177"/>
      <c r="AY85" s="2186">
        <f t="shared" si="157"/>
        <v>0</v>
      </c>
      <c r="AZ85" s="2177"/>
      <c r="BA85" s="2177"/>
      <c r="BB85" s="2186">
        <f t="shared" si="158"/>
        <v>0</v>
      </c>
      <c r="BC85" s="2177"/>
      <c r="BD85" s="2177"/>
      <c r="BE85" s="2186">
        <f t="shared" si="159"/>
        <v>0</v>
      </c>
      <c r="BF85" s="2177"/>
      <c r="BG85" s="2177"/>
      <c r="BH85" s="2186">
        <f t="shared" si="160"/>
        <v>0</v>
      </c>
      <c r="BI85" s="2177"/>
      <c r="BJ85" s="2177"/>
      <c r="BK85" s="2186">
        <f t="shared" si="161"/>
        <v>0</v>
      </c>
      <c r="BL85" s="2177"/>
      <c r="BM85" s="2177"/>
      <c r="BN85" s="2186">
        <f t="shared" si="162"/>
        <v>0</v>
      </c>
      <c r="BO85" s="2177"/>
      <c r="BP85" s="2177"/>
      <c r="BQ85" s="2186">
        <f t="shared" si="163"/>
        <v>0</v>
      </c>
    </row>
    <row r="86" spans="3:69" s="2193" customFormat="1" ht="21.6" hidden="1" customHeight="1">
      <c r="C86" s="2194" t="s">
        <v>2194</v>
      </c>
      <c r="D86" s="2221" t="s">
        <v>2112</v>
      </c>
      <c r="E86" s="2175" t="s">
        <v>1833</v>
      </c>
      <c r="F86" s="2176"/>
      <c r="G86" s="2177"/>
      <c r="H86" s="2177"/>
      <c r="I86" s="2178">
        <f t="shared" si="142"/>
        <v>0</v>
      </c>
      <c r="J86" s="2176"/>
      <c r="K86" s="2179">
        <f t="shared" si="141"/>
        <v>0</v>
      </c>
      <c r="L86" s="2179">
        <f t="shared" si="141"/>
        <v>0</v>
      </c>
      <c r="M86" s="2178">
        <f t="shared" si="143"/>
        <v>0</v>
      </c>
      <c r="N86" s="2177"/>
      <c r="O86" s="2177"/>
      <c r="P86" s="2178">
        <f t="shared" si="144"/>
        <v>0</v>
      </c>
      <c r="Q86" s="2176"/>
      <c r="R86" s="2177"/>
      <c r="S86" s="2180">
        <f t="shared" si="145"/>
        <v>0</v>
      </c>
      <c r="T86" s="2181">
        <f t="shared" si="146"/>
        <v>0</v>
      </c>
      <c r="U86" s="2179">
        <f t="shared" si="146"/>
        <v>0</v>
      </c>
      <c r="V86" s="2180">
        <f t="shared" si="147"/>
        <v>0</v>
      </c>
      <c r="W86" s="2182"/>
      <c r="X86" s="2177"/>
      <c r="Y86" s="2183">
        <f t="shared" si="148"/>
        <v>0</v>
      </c>
      <c r="Z86" s="2184">
        <f t="shared" si="149"/>
        <v>0</v>
      </c>
      <c r="AA86" s="2179">
        <f t="shared" si="149"/>
        <v>0</v>
      </c>
      <c r="AB86" s="2178">
        <f t="shared" si="150"/>
        <v>0</v>
      </c>
      <c r="AC86" s="2176"/>
      <c r="AD86" s="2177"/>
      <c r="AE86" s="2180">
        <f t="shared" si="151"/>
        <v>0</v>
      </c>
      <c r="AF86" s="2191"/>
      <c r="AG86" s="2192"/>
      <c r="AH86" s="2177"/>
      <c r="AI86" s="2177"/>
      <c r="AJ86" s="2186">
        <f t="shared" si="152"/>
        <v>0</v>
      </c>
      <c r="AK86" s="2177"/>
      <c r="AL86" s="2177"/>
      <c r="AM86" s="2186">
        <f t="shared" si="153"/>
        <v>0</v>
      </c>
      <c r="AN86" s="2177"/>
      <c r="AO86" s="2177"/>
      <c r="AP86" s="2186">
        <f t="shared" si="154"/>
        <v>0</v>
      </c>
      <c r="AQ86" s="2177"/>
      <c r="AR86" s="2177"/>
      <c r="AS86" s="2186">
        <f t="shared" si="155"/>
        <v>0</v>
      </c>
      <c r="AT86" s="2177"/>
      <c r="AU86" s="2177"/>
      <c r="AV86" s="2186">
        <f t="shared" si="156"/>
        <v>0</v>
      </c>
      <c r="AW86" s="2177"/>
      <c r="AX86" s="2177"/>
      <c r="AY86" s="2186">
        <f t="shared" si="157"/>
        <v>0</v>
      </c>
      <c r="AZ86" s="2177"/>
      <c r="BA86" s="2177"/>
      <c r="BB86" s="2186">
        <f t="shared" si="158"/>
        <v>0</v>
      </c>
      <c r="BC86" s="2177"/>
      <c r="BD86" s="2177"/>
      <c r="BE86" s="2186">
        <f t="shared" si="159"/>
        <v>0</v>
      </c>
      <c r="BF86" s="2177"/>
      <c r="BG86" s="2177"/>
      <c r="BH86" s="2186">
        <f t="shared" si="160"/>
        <v>0</v>
      </c>
      <c r="BI86" s="2177"/>
      <c r="BJ86" s="2177"/>
      <c r="BK86" s="2186">
        <f t="shared" si="161"/>
        <v>0</v>
      </c>
      <c r="BL86" s="2177"/>
      <c r="BM86" s="2177"/>
      <c r="BN86" s="2186">
        <f t="shared" si="162"/>
        <v>0</v>
      </c>
      <c r="BO86" s="2177"/>
      <c r="BP86" s="2177"/>
      <c r="BQ86" s="2186">
        <f t="shared" si="163"/>
        <v>0</v>
      </c>
    </row>
    <row r="87" spans="3:69" s="2193" customFormat="1" ht="21.6" hidden="1" customHeight="1">
      <c r="C87" s="2194" t="s">
        <v>2195</v>
      </c>
      <c r="D87" s="2221" t="s">
        <v>2114</v>
      </c>
      <c r="E87" s="2175" t="s">
        <v>1833</v>
      </c>
      <c r="F87" s="2176"/>
      <c r="G87" s="2177"/>
      <c r="H87" s="2177"/>
      <c r="I87" s="2178">
        <f t="shared" si="142"/>
        <v>0</v>
      </c>
      <c r="J87" s="2176"/>
      <c r="K87" s="2179">
        <f t="shared" si="141"/>
        <v>0</v>
      </c>
      <c r="L87" s="2179">
        <f t="shared" si="141"/>
        <v>0</v>
      </c>
      <c r="M87" s="2178">
        <f t="shared" si="143"/>
        <v>0</v>
      </c>
      <c r="N87" s="2177"/>
      <c r="O87" s="2177"/>
      <c r="P87" s="2178">
        <f t="shared" si="144"/>
        <v>0</v>
      </c>
      <c r="Q87" s="2176"/>
      <c r="R87" s="2177"/>
      <c r="S87" s="2180">
        <f t="shared" si="145"/>
        <v>0</v>
      </c>
      <c r="T87" s="2181">
        <f t="shared" si="146"/>
        <v>0</v>
      </c>
      <c r="U87" s="2179">
        <f t="shared" si="146"/>
        <v>0</v>
      </c>
      <c r="V87" s="2180">
        <f t="shared" si="147"/>
        <v>0</v>
      </c>
      <c r="W87" s="2182"/>
      <c r="X87" s="2177"/>
      <c r="Y87" s="2183">
        <f t="shared" si="148"/>
        <v>0</v>
      </c>
      <c r="Z87" s="2184">
        <f t="shared" si="149"/>
        <v>0</v>
      </c>
      <c r="AA87" s="2179">
        <f t="shared" si="149"/>
        <v>0</v>
      </c>
      <c r="AB87" s="2178">
        <f t="shared" si="150"/>
        <v>0</v>
      </c>
      <c r="AC87" s="2176"/>
      <c r="AD87" s="2177"/>
      <c r="AE87" s="2180">
        <f t="shared" si="151"/>
        <v>0</v>
      </c>
      <c r="AF87" s="2191"/>
      <c r="AG87" s="2192"/>
      <c r="AH87" s="2177"/>
      <c r="AI87" s="2177"/>
      <c r="AJ87" s="2186">
        <f t="shared" si="152"/>
        <v>0</v>
      </c>
      <c r="AK87" s="2177"/>
      <c r="AL87" s="2177"/>
      <c r="AM87" s="2186">
        <f t="shared" si="153"/>
        <v>0</v>
      </c>
      <c r="AN87" s="2177"/>
      <c r="AO87" s="2177"/>
      <c r="AP87" s="2186">
        <f t="shared" si="154"/>
        <v>0</v>
      </c>
      <c r="AQ87" s="2177"/>
      <c r="AR87" s="2177"/>
      <c r="AS87" s="2186">
        <f t="shared" si="155"/>
        <v>0</v>
      </c>
      <c r="AT87" s="2177"/>
      <c r="AU87" s="2177"/>
      <c r="AV87" s="2186">
        <f t="shared" si="156"/>
        <v>0</v>
      </c>
      <c r="AW87" s="2177"/>
      <c r="AX87" s="2177"/>
      <c r="AY87" s="2186">
        <f t="shared" si="157"/>
        <v>0</v>
      </c>
      <c r="AZ87" s="2177"/>
      <c r="BA87" s="2177"/>
      <c r="BB87" s="2186">
        <f t="shared" si="158"/>
        <v>0</v>
      </c>
      <c r="BC87" s="2177"/>
      <c r="BD87" s="2177"/>
      <c r="BE87" s="2186">
        <f t="shared" si="159"/>
        <v>0</v>
      </c>
      <c r="BF87" s="2177"/>
      <c r="BG87" s="2177"/>
      <c r="BH87" s="2186">
        <f t="shared" si="160"/>
        <v>0</v>
      </c>
      <c r="BI87" s="2177"/>
      <c r="BJ87" s="2177"/>
      <c r="BK87" s="2186">
        <f t="shared" si="161"/>
        <v>0</v>
      </c>
      <c r="BL87" s="2177"/>
      <c r="BM87" s="2177"/>
      <c r="BN87" s="2186">
        <f t="shared" si="162"/>
        <v>0</v>
      </c>
      <c r="BO87" s="2177"/>
      <c r="BP87" s="2177"/>
      <c r="BQ87" s="2186">
        <f t="shared" si="163"/>
        <v>0</v>
      </c>
    </row>
    <row r="88" spans="3:69" s="2193" customFormat="1" ht="21.6" hidden="1" customHeight="1">
      <c r="C88" s="2194" t="s">
        <v>2196</v>
      </c>
      <c r="D88" s="2221" t="s">
        <v>2116</v>
      </c>
      <c r="E88" s="2175" t="s">
        <v>1833</v>
      </c>
      <c r="F88" s="2176"/>
      <c r="G88" s="2177"/>
      <c r="H88" s="2177"/>
      <c r="I88" s="2178">
        <f t="shared" si="142"/>
        <v>0</v>
      </c>
      <c r="J88" s="2176"/>
      <c r="K88" s="2179">
        <f t="shared" si="141"/>
        <v>0</v>
      </c>
      <c r="L88" s="2179">
        <f t="shared" si="141"/>
        <v>0</v>
      </c>
      <c r="M88" s="2178">
        <f t="shared" si="143"/>
        <v>0</v>
      </c>
      <c r="N88" s="2177"/>
      <c r="O88" s="2177"/>
      <c r="P88" s="2178">
        <f t="shared" si="144"/>
        <v>0</v>
      </c>
      <c r="Q88" s="2176"/>
      <c r="R88" s="2177"/>
      <c r="S88" s="2180">
        <f t="shared" si="145"/>
        <v>0</v>
      </c>
      <c r="T88" s="2181">
        <f t="shared" si="146"/>
        <v>0</v>
      </c>
      <c r="U88" s="2179">
        <f t="shared" si="146"/>
        <v>0</v>
      </c>
      <c r="V88" s="2180">
        <f t="shared" si="147"/>
        <v>0</v>
      </c>
      <c r="W88" s="2182"/>
      <c r="X88" s="2177"/>
      <c r="Y88" s="2183">
        <f t="shared" si="148"/>
        <v>0</v>
      </c>
      <c r="Z88" s="2184">
        <f t="shared" si="149"/>
        <v>0</v>
      </c>
      <c r="AA88" s="2179">
        <f t="shared" si="149"/>
        <v>0</v>
      </c>
      <c r="AB88" s="2178">
        <f t="shared" si="150"/>
        <v>0</v>
      </c>
      <c r="AC88" s="2176"/>
      <c r="AD88" s="2177"/>
      <c r="AE88" s="2180">
        <f t="shared" si="151"/>
        <v>0</v>
      </c>
      <c r="AF88" s="2191"/>
      <c r="AG88" s="2192"/>
      <c r="AH88" s="2177"/>
      <c r="AI88" s="2177"/>
      <c r="AJ88" s="2186">
        <f t="shared" si="152"/>
        <v>0</v>
      </c>
      <c r="AK88" s="2177"/>
      <c r="AL88" s="2177"/>
      <c r="AM88" s="2186">
        <f t="shared" si="153"/>
        <v>0</v>
      </c>
      <c r="AN88" s="2177"/>
      <c r="AO88" s="2177"/>
      <c r="AP88" s="2186">
        <f t="shared" si="154"/>
        <v>0</v>
      </c>
      <c r="AQ88" s="2177"/>
      <c r="AR88" s="2177"/>
      <c r="AS88" s="2186">
        <f t="shared" si="155"/>
        <v>0</v>
      </c>
      <c r="AT88" s="2177"/>
      <c r="AU88" s="2177"/>
      <c r="AV88" s="2186">
        <f t="shared" si="156"/>
        <v>0</v>
      </c>
      <c r="AW88" s="2177"/>
      <c r="AX88" s="2177"/>
      <c r="AY88" s="2186">
        <f t="shared" si="157"/>
        <v>0</v>
      </c>
      <c r="AZ88" s="2177"/>
      <c r="BA88" s="2177"/>
      <c r="BB88" s="2186">
        <f t="shared" si="158"/>
        <v>0</v>
      </c>
      <c r="BC88" s="2177"/>
      <c r="BD88" s="2177"/>
      <c r="BE88" s="2186">
        <f t="shared" si="159"/>
        <v>0</v>
      </c>
      <c r="BF88" s="2177"/>
      <c r="BG88" s="2177"/>
      <c r="BH88" s="2186">
        <f t="shared" si="160"/>
        <v>0</v>
      </c>
      <c r="BI88" s="2177"/>
      <c r="BJ88" s="2177"/>
      <c r="BK88" s="2186">
        <f t="shared" si="161"/>
        <v>0</v>
      </c>
      <c r="BL88" s="2177"/>
      <c r="BM88" s="2177"/>
      <c r="BN88" s="2186">
        <f t="shared" si="162"/>
        <v>0</v>
      </c>
      <c r="BO88" s="2177"/>
      <c r="BP88" s="2177"/>
      <c r="BQ88" s="2186">
        <f t="shared" si="163"/>
        <v>0</v>
      </c>
    </row>
    <row r="89" spans="3:69" ht="21.6" hidden="1" customHeight="1">
      <c r="C89" s="2194" t="s">
        <v>2197</v>
      </c>
      <c r="D89" s="2221" t="s">
        <v>2118</v>
      </c>
      <c r="E89" s="2175" t="s">
        <v>1833</v>
      </c>
      <c r="F89" s="2176"/>
      <c r="G89" s="2177"/>
      <c r="H89" s="2177"/>
      <c r="I89" s="2178">
        <f t="shared" si="142"/>
        <v>0</v>
      </c>
      <c r="J89" s="2176"/>
      <c r="K89" s="2179">
        <f t="shared" si="141"/>
        <v>0</v>
      </c>
      <c r="L89" s="2179">
        <f t="shared" si="141"/>
        <v>0</v>
      </c>
      <c r="M89" s="2178">
        <f t="shared" si="143"/>
        <v>0</v>
      </c>
      <c r="N89" s="2177"/>
      <c r="O89" s="2177"/>
      <c r="P89" s="2178">
        <f t="shared" si="144"/>
        <v>0</v>
      </c>
      <c r="Q89" s="2176"/>
      <c r="R89" s="2177"/>
      <c r="S89" s="2180">
        <f t="shared" si="145"/>
        <v>0</v>
      </c>
      <c r="T89" s="2181">
        <f t="shared" si="146"/>
        <v>0</v>
      </c>
      <c r="U89" s="2179">
        <f t="shared" si="146"/>
        <v>0</v>
      </c>
      <c r="V89" s="2180">
        <f t="shared" si="147"/>
        <v>0</v>
      </c>
      <c r="W89" s="2182"/>
      <c r="X89" s="2177"/>
      <c r="Y89" s="2183">
        <f t="shared" si="148"/>
        <v>0</v>
      </c>
      <c r="Z89" s="2184">
        <f t="shared" si="149"/>
        <v>0</v>
      </c>
      <c r="AA89" s="2179">
        <f t="shared" si="149"/>
        <v>0</v>
      </c>
      <c r="AB89" s="2178">
        <f t="shared" si="150"/>
        <v>0</v>
      </c>
      <c r="AC89" s="2176"/>
      <c r="AD89" s="2177"/>
      <c r="AE89" s="2180">
        <f t="shared" si="151"/>
        <v>0</v>
      </c>
      <c r="AF89" s="2191"/>
      <c r="AG89" s="2145"/>
      <c r="AH89" s="2177"/>
      <c r="AI89" s="2177"/>
      <c r="AJ89" s="2186">
        <f t="shared" si="152"/>
        <v>0</v>
      </c>
      <c r="AK89" s="2177"/>
      <c r="AL89" s="2177"/>
      <c r="AM89" s="2186">
        <f t="shared" si="153"/>
        <v>0</v>
      </c>
      <c r="AN89" s="2177"/>
      <c r="AO89" s="2177"/>
      <c r="AP89" s="2186">
        <f t="shared" si="154"/>
        <v>0</v>
      </c>
      <c r="AQ89" s="2177"/>
      <c r="AR89" s="2177"/>
      <c r="AS89" s="2186">
        <f t="shared" si="155"/>
        <v>0</v>
      </c>
      <c r="AT89" s="2177"/>
      <c r="AU89" s="2177"/>
      <c r="AV89" s="2186">
        <f t="shared" si="156"/>
        <v>0</v>
      </c>
      <c r="AW89" s="2177"/>
      <c r="AX89" s="2177"/>
      <c r="AY89" s="2186">
        <f t="shared" si="157"/>
        <v>0</v>
      </c>
      <c r="AZ89" s="2177"/>
      <c r="BA89" s="2177"/>
      <c r="BB89" s="2186">
        <f t="shared" si="158"/>
        <v>0</v>
      </c>
      <c r="BC89" s="2177"/>
      <c r="BD89" s="2177"/>
      <c r="BE89" s="2186">
        <f t="shared" si="159"/>
        <v>0</v>
      </c>
      <c r="BF89" s="2177"/>
      <c r="BG89" s="2177"/>
      <c r="BH89" s="2186">
        <f t="shared" si="160"/>
        <v>0</v>
      </c>
      <c r="BI89" s="2177"/>
      <c r="BJ89" s="2177"/>
      <c r="BK89" s="2186">
        <f t="shared" si="161"/>
        <v>0</v>
      </c>
      <c r="BL89" s="2177"/>
      <c r="BM89" s="2177"/>
      <c r="BN89" s="2186">
        <f t="shared" si="162"/>
        <v>0</v>
      </c>
      <c r="BO89" s="2177"/>
      <c r="BP89" s="2177"/>
      <c r="BQ89" s="2186">
        <f t="shared" si="163"/>
        <v>0</v>
      </c>
    </row>
    <row r="90" spans="3:69" s="2159" customFormat="1" ht="21.6" hidden="1" customHeight="1">
      <c r="C90" s="2201" t="s">
        <v>2198</v>
      </c>
      <c r="D90" s="2202" t="s">
        <v>2199</v>
      </c>
      <c r="E90" s="2213" t="s">
        <v>1833</v>
      </c>
      <c r="F90" s="2162"/>
      <c r="G90" s="2163">
        <f>G91+G92+G95+G96+G97</f>
        <v>0</v>
      </c>
      <c r="H90" s="2163">
        <f>H91+H92+H95+H96+H97</f>
        <v>0</v>
      </c>
      <c r="I90" s="2164">
        <f>H90-G90</f>
        <v>0</v>
      </c>
      <c r="J90" s="2162"/>
      <c r="K90" s="2163">
        <f t="shared" si="141"/>
        <v>0</v>
      </c>
      <c r="L90" s="2163">
        <f t="shared" si="141"/>
        <v>0</v>
      </c>
      <c r="M90" s="2164">
        <f t="shared" si="143"/>
        <v>0</v>
      </c>
      <c r="N90" s="2163">
        <f>N91+N92+N95+N96+N97</f>
        <v>0</v>
      </c>
      <c r="O90" s="2163">
        <f>O91+O92+O95+O96+O97</f>
        <v>0</v>
      </c>
      <c r="P90" s="2164">
        <f>O90-N90</f>
        <v>0</v>
      </c>
      <c r="Q90" s="2165">
        <f>Q91+Q92+Q95+Q96+Q97</f>
        <v>0</v>
      </c>
      <c r="R90" s="2163">
        <f>R91+R92+R95+R96+R97</f>
        <v>0</v>
      </c>
      <c r="S90" s="2166">
        <f>R90-Q90</f>
        <v>0</v>
      </c>
      <c r="T90" s="2167">
        <f t="shared" si="146"/>
        <v>0</v>
      </c>
      <c r="U90" s="2163">
        <f t="shared" si="146"/>
        <v>0</v>
      </c>
      <c r="V90" s="2166">
        <f t="shared" si="147"/>
        <v>0</v>
      </c>
      <c r="W90" s="2168">
        <f>W91+W92+W95+W96+W97</f>
        <v>0</v>
      </c>
      <c r="X90" s="2163">
        <f>X91+X92+X95+X96+X97</f>
        <v>0</v>
      </c>
      <c r="Y90" s="2169">
        <f>X90-W90</f>
        <v>0</v>
      </c>
      <c r="Z90" s="2165">
        <f t="shared" si="149"/>
        <v>0</v>
      </c>
      <c r="AA90" s="2163">
        <f t="shared" si="149"/>
        <v>0</v>
      </c>
      <c r="AB90" s="2164">
        <f t="shared" si="150"/>
        <v>0</v>
      </c>
      <c r="AC90" s="2165">
        <f>AC91+AC92+AC95+AC96+AC97</f>
        <v>0</v>
      </c>
      <c r="AD90" s="2163">
        <f>AD91+AD92+AD95+AD96+AD97</f>
        <v>0</v>
      </c>
      <c r="AE90" s="2166">
        <f>AD90-AC90</f>
        <v>0</v>
      </c>
      <c r="AF90" s="2204"/>
      <c r="AG90" s="2158"/>
      <c r="AH90" s="2171">
        <f>AH91+AH92+AH95+AH96+AH97</f>
        <v>0</v>
      </c>
      <c r="AI90" s="2171">
        <f>AI91+AI92+AI95+AI96+AI97</f>
        <v>0</v>
      </c>
      <c r="AJ90" s="2172">
        <f>AI90-AH90</f>
        <v>0</v>
      </c>
      <c r="AK90" s="2171">
        <f>AK91+AK92+AK95+AK96+AK97</f>
        <v>0</v>
      </c>
      <c r="AL90" s="2171">
        <f>AL91+AL92+AL95+AL96+AL97</f>
        <v>0</v>
      </c>
      <c r="AM90" s="2172">
        <f>AL90-AK90</f>
        <v>0</v>
      </c>
      <c r="AN90" s="2171">
        <f>AN91+AN92+AN95+AN96+AN97</f>
        <v>0</v>
      </c>
      <c r="AO90" s="2171">
        <f>AO91+AO92+AO95+AO96+AO97</f>
        <v>0</v>
      </c>
      <c r="AP90" s="2172">
        <f>AO90-AN90</f>
        <v>0</v>
      </c>
      <c r="AQ90" s="2171">
        <f>AQ91+AQ92+AQ95+AQ96+AQ97</f>
        <v>0</v>
      </c>
      <c r="AR90" s="2171">
        <f>AR91+AR92+AR95+AR96+AR97</f>
        <v>0</v>
      </c>
      <c r="AS90" s="2172">
        <f>AR90-AQ90</f>
        <v>0</v>
      </c>
      <c r="AT90" s="2171">
        <f>AT91+AT92+AT95+AT96+AT97</f>
        <v>0</v>
      </c>
      <c r="AU90" s="2171">
        <f>AU91+AU92+AU95+AU96+AU97</f>
        <v>0</v>
      </c>
      <c r="AV90" s="2172">
        <f>AU90-AT90</f>
        <v>0</v>
      </c>
      <c r="AW90" s="2171">
        <f>AW91+AW92+AW95+AW96+AW97</f>
        <v>0</v>
      </c>
      <c r="AX90" s="2171">
        <f>AX91+AX92+AX95+AX96+AX97</f>
        <v>0</v>
      </c>
      <c r="AY90" s="2172">
        <f>AX90-AW90</f>
        <v>0</v>
      </c>
      <c r="AZ90" s="2171">
        <f>AZ91+AZ92+AZ95+AZ96+AZ97</f>
        <v>0</v>
      </c>
      <c r="BA90" s="2171">
        <f>BA91+BA92+BA95+BA96+BA97</f>
        <v>0</v>
      </c>
      <c r="BB90" s="2172">
        <f>BA90-AZ90</f>
        <v>0</v>
      </c>
      <c r="BC90" s="2171">
        <f>BC91+BC92+BC95+BC96+BC97</f>
        <v>0</v>
      </c>
      <c r="BD90" s="2171">
        <f>BD91+BD92+BD95+BD96+BD97</f>
        <v>0</v>
      </c>
      <c r="BE90" s="2172">
        <f>BD90-BC90</f>
        <v>0</v>
      </c>
      <c r="BF90" s="2171">
        <f>BF91+BF92+BF95+BF96+BF97</f>
        <v>0</v>
      </c>
      <c r="BG90" s="2171">
        <f>BG91+BG92+BG95+BG96+BG97</f>
        <v>0</v>
      </c>
      <c r="BH90" s="2172">
        <f>BG90-BF90</f>
        <v>0</v>
      </c>
      <c r="BI90" s="2171">
        <f>BI91+BI92+BI95+BI96+BI97</f>
        <v>0</v>
      </c>
      <c r="BJ90" s="2171">
        <f>BJ91+BJ92+BJ95+BJ96+BJ97</f>
        <v>0</v>
      </c>
      <c r="BK90" s="2172">
        <f>BJ90-BI90</f>
        <v>0</v>
      </c>
      <c r="BL90" s="2171">
        <f>BL91+BL92+BL95+BL96+BL97</f>
        <v>0</v>
      </c>
      <c r="BM90" s="2171">
        <f>BM91+BM92+BM95+BM96+BM97</f>
        <v>0</v>
      </c>
      <c r="BN90" s="2172">
        <f>BM90-BL90</f>
        <v>0</v>
      </c>
      <c r="BO90" s="2171">
        <f>BO91+BO92+BO95+BO96+BO97</f>
        <v>0</v>
      </c>
      <c r="BP90" s="2171">
        <f>BP91+BP92+BP95+BP96+BP97</f>
        <v>0</v>
      </c>
      <c r="BQ90" s="2172">
        <f>BP90-BO90</f>
        <v>0</v>
      </c>
    </row>
    <row r="91" spans="3:69" ht="21.6" hidden="1" customHeight="1">
      <c r="C91" s="2208" t="s">
        <v>2200</v>
      </c>
      <c r="D91" s="2209" t="s">
        <v>2088</v>
      </c>
      <c r="E91" s="2222" t="s">
        <v>1833</v>
      </c>
      <c r="F91" s="2176"/>
      <c r="G91" s="2177"/>
      <c r="H91" s="2177"/>
      <c r="I91" s="2178">
        <f t="shared" ref="I91:I97" si="164">H91-G91</f>
        <v>0</v>
      </c>
      <c r="J91" s="2176"/>
      <c r="K91" s="2179">
        <f t="shared" si="141"/>
        <v>0</v>
      </c>
      <c r="L91" s="2179">
        <f t="shared" si="141"/>
        <v>0</v>
      </c>
      <c r="M91" s="2178">
        <f t="shared" si="143"/>
        <v>0</v>
      </c>
      <c r="N91" s="2177"/>
      <c r="O91" s="2177"/>
      <c r="P91" s="2178">
        <f t="shared" ref="P91:P97" si="165">O91-N91</f>
        <v>0</v>
      </c>
      <c r="Q91" s="2176"/>
      <c r="R91" s="2177"/>
      <c r="S91" s="2180">
        <f t="shared" ref="S91:S97" si="166">R91-Q91</f>
        <v>0</v>
      </c>
      <c r="T91" s="2181">
        <f t="shared" si="146"/>
        <v>0</v>
      </c>
      <c r="U91" s="2179">
        <f t="shared" si="146"/>
        <v>0</v>
      </c>
      <c r="V91" s="2180">
        <f>U91-T91</f>
        <v>0</v>
      </c>
      <c r="W91" s="2182"/>
      <c r="X91" s="2177"/>
      <c r="Y91" s="2183">
        <f t="shared" ref="Y91:Y97" si="167">X91-W91</f>
        <v>0</v>
      </c>
      <c r="Z91" s="2184">
        <f t="shared" si="149"/>
        <v>0</v>
      </c>
      <c r="AA91" s="2179">
        <f t="shared" si="149"/>
        <v>0</v>
      </c>
      <c r="AB91" s="2178">
        <f t="shared" si="150"/>
        <v>0</v>
      </c>
      <c r="AC91" s="2176"/>
      <c r="AD91" s="2177"/>
      <c r="AE91" s="2180">
        <f t="shared" ref="AE91:AE97" si="168">AD91-AC91</f>
        <v>0</v>
      </c>
      <c r="AF91" s="2204"/>
      <c r="AG91" s="2145"/>
      <c r="AH91" s="2177"/>
      <c r="AI91" s="2177"/>
      <c r="AJ91" s="2186">
        <f t="shared" ref="AJ91:AJ97" si="169">AI91-AH91</f>
        <v>0</v>
      </c>
      <c r="AK91" s="2177"/>
      <c r="AL91" s="2177"/>
      <c r="AM91" s="2186">
        <f t="shared" ref="AM91:AM97" si="170">AL91-AK91</f>
        <v>0</v>
      </c>
      <c r="AN91" s="2177"/>
      <c r="AO91" s="2177"/>
      <c r="AP91" s="2186">
        <f t="shared" ref="AP91:AP97" si="171">AO91-AN91</f>
        <v>0</v>
      </c>
      <c r="AQ91" s="2177"/>
      <c r="AR91" s="2177"/>
      <c r="AS91" s="2186">
        <f t="shared" ref="AS91:AS97" si="172">AR91-AQ91</f>
        <v>0</v>
      </c>
      <c r="AT91" s="2177"/>
      <c r="AU91" s="2177"/>
      <c r="AV91" s="2186">
        <f t="shared" ref="AV91:AV97" si="173">AU91-AT91</f>
        <v>0</v>
      </c>
      <c r="AW91" s="2177"/>
      <c r="AX91" s="2177"/>
      <c r="AY91" s="2186">
        <f t="shared" ref="AY91:AY97" si="174">AX91-AW91</f>
        <v>0</v>
      </c>
      <c r="AZ91" s="2177"/>
      <c r="BA91" s="2177"/>
      <c r="BB91" s="2186">
        <f t="shared" ref="BB91:BB97" si="175">BA91-AZ91</f>
        <v>0</v>
      </c>
      <c r="BC91" s="2177"/>
      <c r="BD91" s="2177"/>
      <c r="BE91" s="2186">
        <f t="shared" ref="BE91:BE97" si="176">BD91-BC91</f>
        <v>0</v>
      </c>
      <c r="BF91" s="2177"/>
      <c r="BG91" s="2177"/>
      <c r="BH91" s="2186">
        <f t="shared" ref="BH91:BH97" si="177">BG91-BF91</f>
        <v>0</v>
      </c>
      <c r="BI91" s="2177"/>
      <c r="BJ91" s="2177"/>
      <c r="BK91" s="2186">
        <f t="shared" ref="BK91:BK97" si="178">BJ91-BI91</f>
        <v>0</v>
      </c>
      <c r="BL91" s="2177"/>
      <c r="BM91" s="2177"/>
      <c r="BN91" s="2186">
        <f t="shared" ref="BN91:BN97" si="179">BM91-BL91</f>
        <v>0</v>
      </c>
      <c r="BO91" s="2177"/>
      <c r="BP91" s="2177"/>
      <c r="BQ91" s="2186">
        <f t="shared" ref="BQ91:BQ97" si="180">BP91-BO91</f>
        <v>0</v>
      </c>
    </row>
    <row r="92" spans="3:69" ht="21.6" hidden="1" customHeight="1">
      <c r="C92" s="2208" t="s">
        <v>2201</v>
      </c>
      <c r="D92" s="2209" t="s">
        <v>2123</v>
      </c>
      <c r="E92" s="2222" t="s">
        <v>1833</v>
      </c>
      <c r="F92" s="2176"/>
      <c r="G92" s="2179">
        <f>G93+G94</f>
        <v>0</v>
      </c>
      <c r="H92" s="2179">
        <f>H93+H94</f>
        <v>0</v>
      </c>
      <c r="I92" s="2178">
        <f t="shared" si="164"/>
        <v>0</v>
      </c>
      <c r="J92" s="2176"/>
      <c r="K92" s="2179">
        <f t="shared" si="141"/>
        <v>0</v>
      </c>
      <c r="L92" s="2179">
        <f t="shared" si="141"/>
        <v>0</v>
      </c>
      <c r="M92" s="2178">
        <f t="shared" si="143"/>
        <v>0</v>
      </c>
      <c r="N92" s="2179">
        <f>N93+N94</f>
        <v>0</v>
      </c>
      <c r="O92" s="2179">
        <f>O93+O94</f>
        <v>0</v>
      </c>
      <c r="P92" s="2178">
        <f t="shared" si="165"/>
        <v>0</v>
      </c>
      <c r="Q92" s="2184">
        <f>Q93+Q94</f>
        <v>0</v>
      </c>
      <c r="R92" s="2179">
        <f>R93+R94</f>
        <v>0</v>
      </c>
      <c r="S92" s="2180">
        <f t="shared" si="166"/>
        <v>0</v>
      </c>
      <c r="T92" s="2181">
        <f t="shared" si="146"/>
        <v>0</v>
      </c>
      <c r="U92" s="2179">
        <f t="shared" si="146"/>
        <v>0</v>
      </c>
      <c r="V92" s="2180">
        <f t="shared" ref="V92:V97" si="181">U92-T92</f>
        <v>0</v>
      </c>
      <c r="W92" s="2187">
        <f>W93+W94</f>
        <v>0</v>
      </c>
      <c r="X92" s="2179">
        <f>X93+X94</f>
        <v>0</v>
      </c>
      <c r="Y92" s="2183">
        <f t="shared" si="167"/>
        <v>0</v>
      </c>
      <c r="Z92" s="2184">
        <f t="shared" si="149"/>
        <v>0</v>
      </c>
      <c r="AA92" s="2179">
        <f t="shared" si="149"/>
        <v>0</v>
      </c>
      <c r="AB92" s="2178">
        <f t="shared" si="150"/>
        <v>0</v>
      </c>
      <c r="AC92" s="2184">
        <f>AC93+AC94</f>
        <v>0</v>
      </c>
      <c r="AD92" s="2179">
        <f>AD93+AD94</f>
        <v>0</v>
      </c>
      <c r="AE92" s="2180">
        <f t="shared" si="168"/>
        <v>0</v>
      </c>
      <c r="AF92" s="2204"/>
      <c r="AG92" s="2145"/>
      <c r="AH92" s="2188">
        <f>AH93+AH94</f>
        <v>0</v>
      </c>
      <c r="AI92" s="2188">
        <f>AI93+AI94</f>
        <v>0</v>
      </c>
      <c r="AJ92" s="2186">
        <f t="shared" si="169"/>
        <v>0</v>
      </c>
      <c r="AK92" s="2188">
        <f>AK93+AK94</f>
        <v>0</v>
      </c>
      <c r="AL92" s="2188">
        <f>AL93+AL94</f>
        <v>0</v>
      </c>
      <c r="AM92" s="2186">
        <f t="shared" si="170"/>
        <v>0</v>
      </c>
      <c r="AN92" s="2188">
        <f>AN93+AN94</f>
        <v>0</v>
      </c>
      <c r="AO92" s="2188">
        <f>AO93+AO94</f>
        <v>0</v>
      </c>
      <c r="AP92" s="2186">
        <f t="shared" si="171"/>
        <v>0</v>
      </c>
      <c r="AQ92" s="2188">
        <f>AQ93+AQ94</f>
        <v>0</v>
      </c>
      <c r="AR92" s="2188">
        <f>AR93+AR94</f>
        <v>0</v>
      </c>
      <c r="AS92" s="2186">
        <f t="shared" si="172"/>
        <v>0</v>
      </c>
      <c r="AT92" s="2188">
        <f>AT93+AT94</f>
        <v>0</v>
      </c>
      <c r="AU92" s="2188">
        <f>AU93+AU94</f>
        <v>0</v>
      </c>
      <c r="AV92" s="2186">
        <f t="shared" si="173"/>
        <v>0</v>
      </c>
      <c r="AW92" s="2188">
        <f>AW93+AW94</f>
        <v>0</v>
      </c>
      <c r="AX92" s="2188">
        <f>AX93+AX94</f>
        <v>0</v>
      </c>
      <c r="AY92" s="2186">
        <f t="shared" si="174"/>
        <v>0</v>
      </c>
      <c r="AZ92" s="2188">
        <f>AZ93+AZ94</f>
        <v>0</v>
      </c>
      <c r="BA92" s="2188">
        <f>BA93+BA94</f>
        <v>0</v>
      </c>
      <c r="BB92" s="2186">
        <f t="shared" si="175"/>
        <v>0</v>
      </c>
      <c r="BC92" s="2188">
        <f>BC93+BC94</f>
        <v>0</v>
      </c>
      <c r="BD92" s="2188">
        <f>BD93+BD94</f>
        <v>0</v>
      </c>
      <c r="BE92" s="2186">
        <f t="shared" si="176"/>
        <v>0</v>
      </c>
      <c r="BF92" s="2188">
        <f>BF93+BF94</f>
        <v>0</v>
      </c>
      <c r="BG92" s="2188">
        <f>BG93+BG94</f>
        <v>0</v>
      </c>
      <c r="BH92" s="2186">
        <f t="shared" si="177"/>
        <v>0</v>
      </c>
      <c r="BI92" s="2188">
        <f>BI93+BI94</f>
        <v>0</v>
      </c>
      <c r="BJ92" s="2188">
        <f>BJ93+BJ94</f>
        <v>0</v>
      </c>
      <c r="BK92" s="2186">
        <f t="shared" si="178"/>
        <v>0</v>
      </c>
      <c r="BL92" s="2188">
        <f>BL93+BL94</f>
        <v>0</v>
      </c>
      <c r="BM92" s="2188">
        <f>BM93+BM94</f>
        <v>0</v>
      </c>
      <c r="BN92" s="2186">
        <f t="shared" si="179"/>
        <v>0</v>
      </c>
      <c r="BO92" s="2188">
        <f>BO93+BO94</f>
        <v>0</v>
      </c>
      <c r="BP92" s="2188">
        <f>BP93+BP94</f>
        <v>0</v>
      </c>
      <c r="BQ92" s="2186">
        <f t="shared" si="180"/>
        <v>0</v>
      </c>
    </row>
    <row r="93" spans="3:69" ht="21.6" hidden="1" customHeight="1">
      <c r="C93" s="2189" t="s">
        <v>2202</v>
      </c>
      <c r="D93" s="2199" t="s">
        <v>2125</v>
      </c>
      <c r="E93" s="2222" t="s">
        <v>1833</v>
      </c>
      <c r="F93" s="2176"/>
      <c r="G93" s="2177"/>
      <c r="H93" s="2177"/>
      <c r="I93" s="2178">
        <f t="shared" si="164"/>
        <v>0</v>
      </c>
      <c r="J93" s="2176"/>
      <c r="K93" s="2179">
        <f t="shared" si="141"/>
        <v>0</v>
      </c>
      <c r="L93" s="2179">
        <f t="shared" si="141"/>
        <v>0</v>
      </c>
      <c r="M93" s="2178">
        <f t="shared" si="143"/>
        <v>0</v>
      </c>
      <c r="N93" s="2177"/>
      <c r="O93" s="2177"/>
      <c r="P93" s="2178">
        <f t="shared" si="165"/>
        <v>0</v>
      </c>
      <c r="Q93" s="2176"/>
      <c r="R93" s="2177"/>
      <c r="S93" s="2180">
        <f t="shared" si="166"/>
        <v>0</v>
      </c>
      <c r="T93" s="2181">
        <f t="shared" si="146"/>
        <v>0</v>
      </c>
      <c r="U93" s="2179">
        <f t="shared" si="146"/>
        <v>0</v>
      </c>
      <c r="V93" s="2180">
        <f t="shared" si="181"/>
        <v>0</v>
      </c>
      <c r="W93" s="2182"/>
      <c r="X93" s="2177"/>
      <c r="Y93" s="2183">
        <f t="shared" si="167"/>
        <v>0</v>
      </c>
      <c r="Z93" s="2184">
        <f t="shared" si="149"/>
        <v>0</v>
      </c>
      <c r="AA93" s="2179">
        <f t="shared" si="149"/>
        <v>0</v>
      </c>
      <c r="AB93" s="2178">
        <f t="shared" si="150"/>
        <v>0</v>
      </c>
      <c r="AC93" s="2176"/>
      <c r="AD93" s="2177"/>
      <c r="AE93" s="2180">
        <f t="shared" si="168"/>
        <v>0</v>
      </c>
      <c r="AF93" s="2191"/>
      <c r="AG93" s="2145"/>
      <c r="AH93" s="2177"/>
      <c r="AI93" s="2177"/>
      <c r="AJ93" s="2186">
        <f t="shared" si="169"/>
        <v>0</v>
      </c>
      <c r="AK93" s="2177"/>
      <c r="AL93" s="2177"/>
      <c r="AM93" s="2186">
        <f t="shared" si="170"/>
        <v>0</v>
      </c>
      <c r="AN93" s="2177"/>
      <c r="AO93" s="2177"/>
      <c r="AP93" s="2186">
        <f t="shared" si="171"/>
        <v>0</v>
      </c>
      <c r="AQ93" s="2177"/>
      <c r="AR93" s="2177"/>
      <c r="AS93" s="2186">
        <f t="shared" si="172"/>
        <v>0</v>
      </c>
      <c r="AT93" s="2177"/>
      <c r="AU93" s="2177"/>
      <c r="AV93" s="2186">
        <f t="shared" si="173"/>
        <v>0</v>
      </c>
      <c r="AW93" s="2177"/>
      <c r="AX93" s="2177"/>
      <c r="AY93" s="2186">
        <f t="shared" si="174"/>
        <v>0</v>
      </c>
      <c r="AZ93" s="2177"/>
      <c r="BA93" s="2177"/>
      <c r="BB93" s="2186">
        <f t="shared" si="175"/>
        <v>0</v>
      </c>
      <c r="BC93" s="2177"/>
      <c r="BD93" s="2177"/>
      <c r="BE93" s="2186">
        <f t="shared" si="176"/>
        <v>0</v>
      </c>
      <c r="BF93" s="2177"/>
      <c r="BG93" s="2177"/>
      <c r="BH93" s="2186">
        <f t="shared" si="177"/>
        <v>0</v>
      </c>
      <c r="BI93" s="2177"/>
      <c r="BJ93" s="2177"/>
      <c r="BK93" s="2186">
        <f t="shared" si="178"/>
        <v>0</v>
      </c>
      <c r="BL93" s="2177"/>
      <c r="BM93" s="2177"/>
      <c r="BN93" s="2186">
        <f t="shared" si="179"/>
        <v>0</v>
      </c>
      <c r="BO93" s="2177"/>
      <c r="BP93" s="2177"/>
      <c r="BQ93" s="2186">
        <f t="shared" si="180"/>
        <v>0</v>
      </c>
    </row>
    <row r="94" spans="3:69" ht="21.6" hidden="1" customHeight="1">
      <c r="C94" s="2189" t="s">
        <v>2203</v>
      </c>
      <c r="D94" s="2199" t="s">
        <v>2127</v>
      </c>
      <c r="E94" s="2222" t="s">
        <v>1833</v>
      </c>
      <c r="F94" s="2176"/>
      <c r="G94" s="2177"/>
      <c r="H94" s="2177"/>
      <c r="I94" s="2178">
        <f t="shared" si="164"/>
        <v>0</v>
      </c>
      <c r="J94" s="2176"/>
      <c r="K94" s="2179">
        <f t="shared" si="141"/>
        <v>0</v>
      </c>
      <c r="L94" s="2179">
        <f t="shared" si="141"/>
        <v>0</v>
      </c>
      <c r="M94" s="2178">
        <f t="shared" si="143"/>
        <v>0</v>
      </c>
      <c r="N94" s="2177"/>
      <c r="O94" s="2177"/>
      <c r="P94" s="2178">
        <f t="shared" si="165"/>
        <v>0</v>
      </c>
      <c r="Q94" s="2176"/>
      <c r="R94" s="2177"/>
      <c r="S94" s="2180">
        <f t="shared" si="166"/>
        <v>0</v>
      </c>
      <c r="T94" s="2181">
        <f t="shared" si="146"/>
        <v>0</v>
      </c>
      <c r="U94" s="2179">
        <f t="shared" si="146"/>
        <v>0</v>
      </c>
      <c r="V94" s="2180">
        <f t="shared" si="181"/>
        <v>0</v>
      </c>
      <c r="W94" s="2182"/>
      <c r="X94" s="2177"/>
      <c r="Y94" s="2183">
        <f t="shared" si="167"/>
        <v>0</v>
      </c>
      <c r="Z94" s="2184">
        <f t="shared" si="149"/>
        <v>0</v>
      </c>
      <c r="AA94" s="2179">
        <f t="shared" si="149"/>
        <v>0</v>
      </c>
      <c r="AB94" s="2178">
        <f t="shared" si="150"/>
        <v>0</v>
      </c>
      <c r="AC94" s="2176"/>
      <c r="AD94" s="2177"/>
      <c r="AE94" s="2180">
        <f t="shared" si="168"/>
        <v>0</v>
      </c>
      <c r="AF94" s="2204"/>
      <c r="AG94" s="2145"/>
      <c r="AH94" s="2177"/>
      <c r="AI94" s="2177"/>
      <c r="AJ94" s="2186">
        <f t="shared" si="169"/>
        <v>0</v>
      </c>
      <c r="AK94" s="2177"/>
      <c r="AL94" s="2177"/>
      <c r="AM94" s="2186">
        <f t="shared" si="170"/>
        <v>0</v>
      </c>
      <c r="AN94" s="2177"/>
      <c r="AO94" s="2177"/>
      <c r="AP94" s="2186">
        <f t="shared" si="171"/>
        <v>0</v>
      </c>
      <c r="AQ94" s="2177"/>
      <c r="AR94" s="2177"/>
      <c r="AS94" s="2186">
        <f t="shared" si="172"/>
        <v>0</v>
      </c>
      <c r="AT94" s="2177"/>
      <c r="AU94" s="2177"/>
      <c r="AV94" s="2186">
        <f t="shared" si="173"/>
        <v>0</v>
      </c>
      <c r="AW94" s="2177"/>
      <c r="AX94" s="2177"/>
      <c r="AY94" s="2186">
        <f t="shared" si="174"/>
        <v>0</v>
      </c>
      <c r="AZ94" s="2177"/>
      <c r="BA94" s="2177"/>
      <c r="BB94" s="2186">
        <f t="shared" si="175"/>
        <v>0</v>
      </c>
      <c r="BC94" s="2177"/>
      <c r="BD94" s="2177"/>
      <c r="BE94" s="2186">
        <f t="shared" si="176"/>
        <v>0</v>
      </c>
      <c r="BF94" s="2177"/>
      <c r="BG94" s="2177"/>
      <c r="BH94" s="2186">
        <f t="shared" si="177"/>
        <v>0</v>
      </c>
      <c r="BI94" s="2177"/>
      <c r="BJ94" s="2177"/>
      <c r="BK94" s="2186">
        <f t="shared" si="178"/>
        <v>0</v>
      </c>
      <c r="BL94" s="2177"/>
      <c r="BM94" s="2177"/>
      <c r="BN94" s="2186">
        <f t="shared" si="179"/>
        <v>0</v>
      </c>
      <c r="BO94" s="2177"/>
      <c r="BP94" s="2177"/>
      <c r="BQ94" s="2186">
        <f t="shared" si="180"/>
        <v>0</v>
      </c>
    </row>
    <row r="95" spans="3:69" ht="21.6" hidden="1" customHeight="1">
      <c r="C95" s="2208" t="s">
        <v>2204</v>
      </c>
      <c r="D95" s="2223" t="s">
        <v>2129</v>
      </c>
      <c r="E95" s="2222" t="s">
        <v>1833</v>
      </c>
      <c r="F95" s="2176"/>
      <c r="G95" s="2177"/>
      <c r="H95" s="2177"/>
      <c r="I95" s="2178">
        <f t="shared" si="164"/>
        <v>0</v>
      </c>
      <c r="J95" s="2176"/>
      <c r="K95" s="2179">
        <f t="shared" si="141"/>
        <v>0</v>
      </c>
      <c r="L95" s="2179">
        <f t="shared" si="141"/>
        <v>0</v>
      </c>
      <c r="M95" s="2178">
        <f t="shared" si="143"/>
        <v>0</v>
      </c>
      <c r="N95" s="2177"/>
      <c r="O95" s="2177"/>
      <c r="P95" s="2178">
        <f t="shared" si="165"/>
        <v>0</v>
      </c>
      <c r="Q95" s="2176"/>
      <c r="R95" s="2177"/>
      <c r="S95" s="2180">
        <f t="shared" si="166"/>
        <v>0</v>
      </c>
      <c r="T95" s="2181">
        <f t="shared" si="146"/>
        <v>0</v>
      </c>
      <c r="U95" s="2179">
        <f t="shared" si="146"/>
        <v>0</v>
      </c>
      <c r="V95" s="2180">
        <f t="shared" si="181"/>
        <v>0</v>
      </c>
      <c r="W95" s="2182"/>
      <c r="X95" s="2177"/>
      <c r="Y95" s="2183">
        <f t="shared" si="167"/>
        <v>0</v>
      </c>
      <c r="Z95" s="2184">
        <f t="shared" si="149"/>
        <v>0</v>
      </c>
      <c r="AA95" s="2179">
        <f t="shared" si="149"/>
        <v>0</v>
      </c>
      <c r="AB95" s="2178">
        <f t="shared" si="150"/>
        <v>0</v>
      </c>
      <c r="AC95" s="2176"/>
      <c r="AD95" s="2177"/>
      <c r="AE95" s="2180">
        <f t="shared" si="168"/>
        <v>0</v>
      </c>
      <c r="AF95" s="2204"/>
      <c r="AG95" s="2145"/>
      <c r="AH95" s="2177"/>
      <c r="AI95" s="2177"/>
      <c r="AJ95" s="2186">
        <f t="shared" si="169"/>
        <v>0</v>
      </c>
      <c r="AK95" s="2177"/>
      <c r="AL95" s="2177"/>
      <c r="AM95" s="2186">
        <f t="shared" si="170"/>
        <v>0</v>
      </c>
      <c r="AN95" s="2177"/>
      <c r="AO95" s="2177"/>
      <c r="AP95" s="2186">
        <f t="shared" si="171"/>
        <v>0</v>
      </c>
      <c r="AQ95" s="2177"/>
      <c r="AR95" s="2177"/>
      <c r="AS95" s="2186">
        <f t="shared" si="172"/>
        <v>0</v>
      </c>
      <c r="AT95" s="2177"/>
      <c r="AU95" s="2177"/>
      <c r="AV95" s="2186">
        <f t="shared" si="173"/>
        <v>0</v>
      </c>
      <c r="AW95" s="2177"/>
      <c r="AX95" s="2177"/>
      <c r="AY95" s="2186">
        <f t="shared" si="174"/>
        <v>0</v>
      </c>
      <c r="AZ95" s="2177"/>
      <c r="BA95" s="2177"/>
      <c r="BB95" s="2186">
        <f t="shared" si="175"/>
        <v>0</v>
      </c>
      <c r="BC95" s="2177"/>
      <c r="BD95" s="2177"/>
      <c r="BE95" s="2186">
        <f t="shared" si="176"/>
        <v>0</v>
      </c>
      <c r="BF95" s="2177"/>
      <c r="BG95" s="2177"/>
      <c r="BH95" s="2186">
        <f t="shared" si="177"/>
        <v>0</v>
      </c>
      <c r="BI95" s="2177"/>
      <c r="BJ95" s="2177"/>
      <c r="BK95" s="2186">
        <f t="shared" si="178"/>
        <v>0</v>
      </c>
      <c r="BL95" s="2177"/>
      <c r="BM95" s="2177"/>
      <c r="BN95" s="2186">
        <f t="shared" si="179"/>
        <v>0</v>
      </c>
      <c r="BO95" s="2177"/>
      <c r="BP95" s="2177"/>
      <c r="BQ95" s="2186">
        <f t="shared" si="180"/>
        <v>0</v>
      </c>
    </row>
    <row r="96" spans="3:69" ht="21.6" hidden="1" customHeight="1">
      <c r="C96" s="2208" t="s">
        <v>2205</v>
      </c>
      <c r="D96" s="2223" t="s">
        <v>2131</v>
      </c>
      <c r="E96" s="2222" t="s">
        <v>1833</v>
      </c>
      <c r="F96" s="2176"/>
      <c r="G96" s="2177"/>
      <c r="H96" s="2177"/>
      <c r="I96" s="2178">
        <f t="shared" si="164"/>
        <v>0</v>
      </c>
      <c r="J96" s="2176"/>
      <c r="K96" s="2179">
        <f t="shared" si="141"/>
        <v>0</v>
      </c>
      <c r="L96" s="2179">
        <f t="shared" si="141"/>
        <v>0</v>
      </c>
      <c r="M96" s="2178">
        <f t="shared" si="143"/>
        <v>0</v>
      </c>
      <c r="N96" s="2177"/>
      <c r="O96" s="2177"/>
      <c r="P96" s="2178">
        <f t="shared" si="165"/>
        <v>0</v>
      </c>
      <c r="Q96" s="2176"/>
      <c r="R96" s="2177"/>
      <c r="S96" s="2180">
        <f t="shared" si="166"/>
        <v>0</v>
      </c>
      <c r="T96" s="2181">
        <f t="shared" si="146"/>
        <v>0</v>
      </c>
      <c r="U96" s="2179">
        <f t="shared" si="146"/>
        <v>0</v>
      </c>
      <c r="V96" s="2180">
        <f t="shared" si="181"/>
        <v>0</v>
      </c>
      <c r="W96" s="2182"/>
      <c r="X96" s="2177"/>
      <c r="Y96" s="2183">
        <f t="shared" si="167"/>
        <v>0</v>
      </c>
      <c r="Z96" s="2184">
        <f t="shared" si="149"/>
        <v>0</v>
      </c>
      <c r="AA96" s="2179">
        <f t="shared" si="149"/>
        <v>0</v>
      </c>
      <c r="AB96" s="2178">
        <f t="shared" si="150"/>
        <v>0</v>
      </c>
      <c r="AC96" s="2176"/>
      <c r="AD96" s="2177"/>
      <c r="AE96" s="2180">
        <f t="shared" si="168"/>
        <v>0</v>
      </c>
      <c r="AF96" s="2204"/>
      <c r="AG96" s="2145"/>
      <c r="AH96" s="2177"/>
      <c r="AI96" s="2177"/>
      <c r="AJ96" s="2186">
        <f t="shared" si="169"/>
        <v>0</v>
      </c>
      <c r="AK96" s="2177"/>
      <c r="AL96" s="2177"/>
      <c r="AM96" s="2186">
        <f t="shared" si="170"/>
        <v>0</v>
      </c>
      <c r="AN96" s="2177"/>
      <c r="AO96" s="2177"/>
      <c r="AP96" s="2186">
        <f t="shared" si="171"/>
        <v>0</v>
      </c>
      <c r="AQ96" s="2177"/>
      <c r="AR96" s="2177"/>
      <c r="AS96" s="2186">
        <f t="shared" si="172"/>
        <v>0</v>
      </c>
      <c r="AT96" s="2177"/>
      <c r="AU96" s="2177"/>
      <c r="AV96" s="2186">
        <f t="shared" si="173"/>
        <v>0</v>
      </c>
      <c r="AW96" s="2177"/>
      <c r="AX96" s="2177"/>
      <c r="AY96" s="2186">
        <f t="shared" si="174"/>
        <v>0</v>
      </c>
      <c r="AZ96" s="2177"/>
      <c r="BA96" s="2177"/>
      <c r="BB96" s="2186">
        <f t="shared" si="175"/>
        <v>0</v>
      </c>
      <c r="BC96" s="2177"/>
      <c r="BD96" s="2177"/>
      <c r="BE96" s="2186">
        <f t="shared" si="176"/>
        <v>0</v>
      </c>
      <c r="BF96" s="2177"/>
      <c r="BG96" s="2177"/>
      <c r="BH96" s="2186">
        <f t="shared" si="177"/>
        <v>0</v>
      </c>
      <c r="BI96" s="2177"/>
      <c r="BJ96" s="2177"/>
      <c r="BK96" s="2186">
        <f t="shared" si="178"/>
        <v>0</v>
      </c>
      <c r="BL96" s="2177"/>
      <c r="BM96" s="2177"/>
      <c r="BN96" s="2186">
        <f t="shared" si="179"/>
        <v>0</v>
      </c>
      <c r="BO96" s="2177"/>
      <c r="BP96" s="2177"/>
      <c r="BQ96" s="2186">
        <f t="shared" si="180"/>
        <v>0</v>
      </c>
    </row>
    <row r="97" spans="3:69" ht="21.6" hidden="1" customHeight="1">
      <c r="C97" s="2208" t="s">
        <v>2206</v>
      </c>
      <c r="D97" s="2223"/>
      <c r="E97" s="2222" t="s">
        <v>1833</v>
      </c>
      <c r="F97" s="2176"/>
      <c r="G97" s="2177"/>
      <c r="H97" s="2177"/>
      <c r="I97" s="2178">
        <f t="shared" si="164"/>
        <v>0</v>
      </c>
      <c r="J97" s="2176"/>
      <c r="K97" s="2179">
        <f t="shared" si="141"/>
        <v>0</v>
      </c>
      <c r="L97" s="2179">
        <f t="shared" si="141"/>
        <v>0</v>
      </c>
      <c r="M97" s="2178">
        <f t="shared" si="143"/>
        <v>0</v>
      </c>
      <c r="N97" s="2177"/>
      <c r="O97" s="2177"/>
      <c r="P97" s="2178">
        <f t="shared" si="165"/>
        <v>0</v>
      </c>
      <c r="Q97" s="2176"/>
      <c r="R97" s="2177"/>
      <c r="S97" s="2180">
        <f t="shared" si="166"/>
        <v>0</v>
      </c>
      <c r="T97" s="2181">
        <f t="shared" si="146"/>
        <v>0</v>
      </c>
      <c r="U97" s="2179">
        <f t="shared" si="146"/>
        <v>0</v>
      </c>
      <c r="V97" s="2180">
        <f t="shared" si="181"/>
        <v>0</v>
      </c>
      <c r="W97" s="2182"/>
      <c r="X97" s="2177"/>
      <c r="Y97" s="2183">
        <f t="shared" si="167"/>
        <v>0</v>
      </c>
      <c r="Z97" s="2184">
        <f t="shared" si="149"/>
        <v>0</v>
      </c>
      <c r="AA97" s="2179">
        <f t="shared" si="149"/>
        <v>0</v>
      </c>
      <c r="AB97" s="2178">
        <f t="shared" si="150"/>
        <v>0</v>
      </c>
      <c r="AC97" s="2176"/>
      <c r="AD97" s="2177"/>
      <c r="AE97" s="2180">
        <f t="shared" si="168"/>
        <v>0</v>
      </c>
      <c r="AF97" s="2204"/>
      <c r="AG97" s="2145"/>
      <c r="AH97" s="2177"/>
      <c r="AI97" s="2177"/>
      <c r="AJ97" s="2186">
        <f t="shared" si="169"/>
        <v>0</v>
      </c>
      <c r="AK97" s="2177"/>
      <c r="AL97" s="2177"/>
      <c r="AM97" s="2186">
        <f t="shared" si="170"/>
        <v>0</v>
      </c>
      <c r="AN97" s="2177"/>
      <c r="AO97" s="2177"/>
      <c r="AP97" s="2186">
        <f t="shared" si="171"/>
        <v>0</v>
      </c>
      <c r="AQ97" s="2177"/>
      <c r="AR97" s="2177"/>
      <c r="AS97" s="2186">
        <f t="shared" si="172"/>
        <v>0</v>
      </c>
      <c r="AT97" s="2177"/>
      <c r="AU97" s="2177"/>
      <c r="AV97" s="2186">
        <f t="shared" si="173"/>
        <v>0</v>
      </c>
      <c r="AW97" s="2177"/>
      <c r="AX97" s="2177"/>
      <c r="AY97" s="2186">
        <f t="shared" si="174"/>
        <v>0</v>
      </c>
      <c r="AZ97" s="2177"/>
      <c r="BA97" s="2177"/>
      <c r="BB97" s="2186">
        <f t="shared" si="175"/>
        <v>0</v>
      </c>
      <c r="BC97" s="2177"/>
      <c r="BD97" s="2177"/>
      <c r="BE97" s="2186">
        <f t="shared" si="176"/>
        <v>0</v>
      </c>
      <c r="BF97" s="2177"/>
      <c r="BG97" s="2177"/>
      <c r="BH97" s="2186">
        <f t="shared" si="177"/>
        <v>0</v>
      </c>
      <c r="BI97" s="2177"/>
      <c r="BJ97" s="2177"/>
      <c r="BK97" s="2186">
        <f t="shared" si="178"/>
        <v>0</v>
      </c>
      <c r="BL97" s="2177"/>
      <c r="BM97" s="2177"/>
      <c r="BN97" s="2186">
        <f t="shared" si="179"/>
        <v>0</v>
      </c>
      <c r="BO97" s="2177"/>
      <c r="BP97" s="2177"/>
      <c r="BQ97" s="2186">
        <f t="shared" si="180"/>
        <v>0</v>
      </c>
    </row>
    <row r="98" spans="3:69" s="2207" customFormat="1" ht="21.6" customHeight="1">
      <c r="C98" s="2134" t="s">
        <v>27</v>
      </c>
      <c r="D98" s="2146" t="s">
        <v>2207</v>
      </c>
      <c r="E98" s="2136"/>
      <c r="F98" s="2224"/>
      <c r="G98" s="2225"/>
      <c r="H98" s="2225"/>
      <c r="I98" s="2226"/>
      <c r="J98" s="2224"/>
      <c r="K98" s="2225"/>
      <c r="L98" s="2225"/>
      <c r="M98" s="2226"/>
      <c r="N98" s="2225"/>
      <c r="O98" s="2225"/>
      <c r="P98" s="2226"/>
      <c r="Q98" s="2224"/>
      <c r="R98" s="2225"/>
      <c r="S98" s="2227"/>
      <c r="T98" s="2228"/>
      <c r="U98" s="2225"/>
      <c r="V98" s="2227"/>
      <c r="W98" s="2229"/>
      <c r="X98" s="2225"/>
      <c r="Y98" s="2230"/>
      <c r="Z98" s="2224"/>
      <c r="AA98" s="2225"/>
      <c r="AB98" s="2226"/>
      <c r="AC98" s="2224"/>
      <c r="AD98" s="2225"/>
      <c r="AE98" s="2227"/>
      <c r="AF98" s="2231"/>
      <c r="AG98" s="2206"/>
      <c r="AH98" s="2225"/>
      <c r="AI98" s="2225"/>
      <c r="AJ98" s="2226"/>
      <c r="AK98" s="2225"/>
      <c r="AL98" s="2225"/>
      <c r="AM98" s="2226"/>
      <c r="AN98" s="2225"/>
      <c r="AO98" s="2225"/>
      <c r="AP98" s="2226"/>
      <c r="AQ98" s="2225"/>
      <c r="AR98" s="2225"/>
      <c r="AS98" s="2226"/>
      <c r="AT98" s="2225"/>
      <c r="AU98" s="2225"/>
      <c r="AV98" s="2226"/>
      <c r="AW98" s="2225"/>
      <c r="AX98" s="2225"/>
      <c r="AY98" s="2226"/>
      <c r="AZ98" s="2225"/>
      <c r="BA98" s="2225"/>
      <c r="BB98" s="2226"/>
      <c r="BC98" s="2225"/>
      <c r="BD98" s="2225"/>
      <c r="BE98" s="2226"/>
      <c r="BF98" s="2225"/>
      <c r="BG98" s="2225"/>
      <c r="BH98" s="2226"/>
      <c r="BI98" s="2225"/>
      <c r="BJ98" s="2225"/>
      <c r="BK98" s="2226"/>
      <c r="BL98" s="2225"/>
      <c r="BM98" s="2225"/>
      <c r="BN98" s="2226"/>
      <c r="BO98" s="2225"/>
      <c r="BP98" s="2225"/>
      <c r="BQ98" s="2226"/>
    </row>
    <row r="99" spans="3:69" s="2159" customFormat="1" ht="21.6" customHeight="1">
      <c r="C99" s="2147" t="s">
        <v>427</v>
      </c>
      <c r="D99" s="2148" t="s">
        <v>2080</v>
      </c>
      <c r="E99" s="2149"/>
      <c r="F99" s="2150"/>
      <c r="G99" s="2151"/>
      <c r="H99" s="2151"/>
      <c r="I99" s="2152"/>
      <c r="J99" s="2150"/>
      <c r="K99" s="2151"/>
      <c r="L99" s="2151"/>
      <c r="M99" s="2152"/>
      <c r="N99" s="2151"/>
      <c r="O99" s="2151"/>
      <c r="P99" s="2152"/>
      <c r="Q99" s="2150"/>
      <c r="R99" s="2151"/>
      <c r="S99" s="2153"/>
      <c r="T99" s="2154"/>
      <c r="U99" s="2151"/>
      <c r="V99" s="2153"/>
      <c r="W99" s="2155"/>
      <c r="X99" s="2151"/>
      <c r="Y99" s="2156"/>
      <c r="Z99" s="2150"/>
      <c r="AA99" s="2151"/>
      <c r="AB99" s="2152"/>
      <c r="AC99" s="2150"/>
      <c r="AD99" s="2151"/>
      <c r="AE99" s="2153"/>
      <c r="AF99" s="2157"/>
      <c r="AG99" s="2158"/>
      <c r="AH99" s="2151"/>
      <c r="AI99" s="2151"/>
      <c r="AJ99" s="2152"/>
      <c r="AK99" s="2151"/>
      <c r="AL99" s="2151"/>
      <c r="AM99" s="2152"/>
      <c r="AN99" s="2151"/>
      <c r="AO99" s="2151"/>
      <c r="AP99" s="2152"/>
      <c r="AQ99" s="2151"/>
      <c r="AR99" s="2151"/>
      <c r="AS99" s="2152"/>
      <c r="AT99" s="2151"/>
      <c r="AU99" s="2151"/>
      <c r="AV99" s="2152"/>
      <c r="AW99" s="2151"/>
      <c r="AX99" s="2151"/>
      <c r="AY99" s="2152"/>
      <c r="AZ99" s="2151"/>
      <c r="BA99" s="2151"/>
      <c r="BB99" s="2152"/>
      <c r="BC99" s="2151"/>
      <c r="BD99" s="2151"/>
      <c r="BE99" s="2152"/>
      <c r="BF99" s="2151"/>
      <c r="BG99" s="2151"/>
      <c r="BH99" s="2152"/>
      <c r="BI99" s="2151"/>
      <c r="BJ99" s="2151"/>
      <c r="BK99" s="2152"/>
      <c r="BL99" s="2151"/>
      <c r="BM99" s="2151"/>
      <c r="BN99" s="2152"/>
      <c r="BO99" s="2151"/>
      <c r="BP99" s="2151"/>
      <c r="BQ99" s="2152"/>
    </row>
    <row r="100" spans="3:69" s="2159" customFormat="1" ht="22.5" collapsed="1">
      <c r="C100" s="2232" t="s">
        <v>2208</v>
      </c>
      <c r="D100" s="2233" t="s">
        <v>2209</v>
      </c>
      <c r="E100" s="2234" t="s">
        <v>240</v>
      </c>
      <c r="F100" s="2235"/>
      <c r="G100" s="2236">
        <f>G137+G170+G269+G203+G236</f>
        <v>0</v>
      </c>
      <c r="H100" s="2236">
        <f>H137+H170+H269+H203+H236</f>
        <v>0</v>
      </c>
      <c r="I100" s="2237">
        <f>H100-G100</f>
        <v>0</v>
      </c>
      <c r="J100" s="2235"/>
      <c r="K100" s="2236">
        <f>N100+Q100+W100+AC100</f>
        <v>722.89998255486501</v>
      </c>
      <c r="L100" s="2236">
        <f t="shared" ref="L100:L171" si="182">O100+R100+X100+AD100</f>
        <v>0</v>
      </c>
      <c r="M100" s="2237">
        <f t="shared" ref="M100:M171" si="183">L100-K100</f>
        <v>-722.89998255486501</v>
      </c>
      <c r="N100" s="2236">
        <f>N137+N170+N269+N203+N236</f>
        <v>189.21526630486497</v>
      </c>
      <c r="O100" s="2236">
        <f>O137+O170+O269+O203+O236</f>
        <v>0</v>
      </c>
      <c r="P100" s="2237">
        <f t="shared" ref="P100:P171" si="184">O100-N100</f>
        <v>-189.21526630486497</v>
      </c>
      <c r="Q100" s="2236">
        <f>Q137+Q170+Q269+Q203+Q236</f>
        <v>155.49878975000004</v>
      </c>
      <c r="R100" s="2236">
        <f>R137+R170+R269+R203+R236</f>
        <v>0</v>
      </c>
      <c r="S100" s="2238">
        <f t="shared" ref="S100:S171" si="185">R100-Q100</f>
        <v>-155.49878975000004</v>
      </c>
      <c r="T100" s="2239">
        <f t="shared" ref="T100:U171" si="186">N100+Q100</f>
        <v>344.71405605486501</v>
      </c>
      <c r="U100" s="2240">
        <f t="shared" si="186"/>
        <v>0</v>
      </c>
      <c r="V100" s="2241">
        <f t="shared" ref="V100:V171" si="187">U100-T100</f>
        <v>-344.71405605486501</v>
      </c>
      <c r="W100" s="2242">
        <f>W137+W170+W269+W203+W236</f>
        <v>144.60454975000002</v>
      </c>
      <c r="X100" s="2236">
        <f>X137+X170+X269+X203+X236</f>
        <v>0</v>
      </c>
      <c r="Y100" s="2243">
        <f t="shared" ref="Y100:Y171" si="188">X100-W100</f>
        <v>-144.60454975000002</v>
      </c>
      <c r="Z100" s="2244">
        <f t="shared" ref="Z100:AA171" si="189">T100+W100</f>
        <v>489.318605804865</v>
      </c>
      <c r="AA100" s="2240">
        <f t="shared" si="189"/>
        <v>0</v>
      </c>
      <c r="AB100" s="2245">
        <f t="shared" ref="AB100:AB171" si="190">AA100-Z100</f>
        <v>-489.318605804865</v>
      </c>
      <c r="AC100" s="2236">
        <f>AC137+AC170+AC269+AC203+AC236</f>
        <v>233.58137675000003</v>
      </c>
      <c r="AD100" s="2236">
        <f>AD137+AD170+AD269+AD203+AD236</f>
        <v>0</v>
      </c>
      <c r="AE100" s="2238">
        <f t="shared" ref="AE100:AE171" si="191">AD100-AC100</f>
        <v>-233.58137675000003</v>
      </c>
      <c r="AF100" s="2246"/>
      <c r="AG100" s="2247"/>
      <c r="AH100" s="2248">
        <f>AH137+AH170+AH269+AH203+AH236</f>
        <v>56.974407999999997</v>
      </c>
      <c r="AI100" s="2248">
        <f>AI137+AI170+AI269+AI203+AI236</f>
        <v>0</v>
      </c>
      <c r="AJ100" s="2249">
        <f t="shared" ref="AJ100:AJ101" si="192">AI100-AH100</f>
        <v>-56.974407999999997</v>
      </c>
      <c r="AK100" s="2248">
        <f>AK137+AK170+AK269+AK203+AK236</f>
        <v>70.830499481288157</v>
      </c>
      <c r="AL100" s="2248">
        <f>AL137+AL170+AL269+AL203+AL236</f>
        <v>0</v>
      </c>
      <c r="AM100" s="2249">
        <f t="shared" ref="AM100:AM101" si="193">AL100-AK100</f>
        <v>-70.830499481288157</v>
      </c>
      <c r="AN100" s="2248">
        <f>AN137+AN170+AN269+AN203+AN236</f>
        <v>66.755729823576829</v>
      </c>
      <c r="AO100" s="2248">
        <f>AO137+AO170+AO269+AO203+AO236</f>
        <v>0</v>
      </c>
      <c r="AP100" s="2249">
        <f t="shared" ref="AP100:AP101" si="194">AO100-AN100</f>
        <v>-66.755729823576829</v>
      </c>
      <c r="AQ100" s="2248">
        <f>AQ137+AQ170+AQ269+AQ203+AQ236</f>
        <v>57.811541235328463</v>
      </c>
      <c r="AR100" s="2248">
        <f>AR137+AR170+AR269+AR203+AR236</f>
        <v>0</v>
      </c>
      <c r="AS100" s="2249">
        <f t="shared" ref="AS100:AS101" si="195">AR100-AQ100</f>
        <v>-57.811541235328463</v>
      </c>
      <c r="AT100" s="2248">
        <f>AT137+AT170+AT269+AT203+AT236</f>
        <v>54.907982295914422</v>
      </c>
      <c r="AU100" s="2248">
        <f>AU137+AU170+AU269+AU203+AU236</f>
        <v>0</v>
      </c>
      <c r="AV100" s="2249">
        <f t="shared" ref="AV100:AV101" si="196">AU100-AT100</f>
        <v>-54.907982295914422</v>
      </c>
      <c r="AW100" s="2248">
        <f>AW137+AW170+AW269+AW203+AW236</f>
        <v>42.779266218757165</v>
      </c>
      <c r="AX100" s="2248">
        <f>AX137+AX170+AX269+AX203+AX236</f>
        <v>0</v>
      </c>
      <c r="AY100" s="2249">
        <f t="shared" ref="AY100:AY101" si="197">AX100-AW100</f>
        <v>-42.779266218757165</v>
      </c>
      <c r="AZ100" s="2248">
        <f>AZ137+AZ170+AZ269+AZ203+AZ236</f>
        <v>43.384131866000594</v>
      </c>
      <c r="BA100" s="2248">
        <f>BA137+BA170+BA269+BA203+BA236</f>
        <v>0</v>
      </c>
      <c r="BB100" s="2249">
        <f t="shared" ref="BB100:BB101" si="198">BA100-AZ100</f>
        <v>-43.384131866000594</v>
      </c>
      <c r="BC100" s="2248">
        <f>BC137+BC170+BC269+BC203+BC236</f>
        <v>44.577401734078784</v>
      </c>
      <c r="BD100" s="2248">
        <f>BD137+BD170+BD269+BD203+BD236</f>
        <v>0</v>
      </c>
      <c r="BE100" s="2249">
        <f t="shared" ref="BE100:BE101" si="199">BD100-BC100</f>
        <v>-44.577401734078784</v>
      </c>
      <c r="BF100" s="2248">
        <f>BF137+BF170+BF269+BF203+BF236</f>
        <v>56.643016149920633</v>
      </c>
      <c r="BG100" s="2248">
        <f>BG137+BG170+BG269+BG203+BG236</f>
        <v>0</v>
      </c>
      <c r="BH100" s="2249">
        <f t="shared" ref="BH100:BH101" si="200">BG100-BF100</f>
        <v>-56.643016149920633</v>
      </c>
      <c r="BI100" s="2248">
        <f>BI137+BI170+BI269+BI203+BI236</f>
        <v>72.583062594999845</v>
      </c>
      <c r="BJ100" s="2248">
        <f>BJ137+BJ170+BJ269+BJ203+BJ236</f>
        <v>0</v>
      </c>
      <c r="BK100" s="2249">
        <f t="shared" ref="BK100:BK101" si="201">BJ100-BI100</f>
        <v>-72.583062594999845</v>
      </c>
      <c r="BL100" s="2248">
        <f>BL137+BL170+BL269+BL203+BL236</f>
        <v>77.418177741637066</v>
      </c>
      <c r="BM100" s="2248">
        <f>BM137+BM170+BM269+BM203+BM236</f>
        <v>0</v>
      </c>
      <c r="BN100" s="2249">
        <f t="shared" ref="BN100:BN101" si="202">BM100-BL100</f>
        <v>-77.418177741637066</v>
      </c>
      <c r="BO100" s="2248">
        <f>BO137+BO170+BO269+BO203+BO236</f>
        <v>83.580136413363093</v>
      </c>
      <c r="BP100" s="2248">
        <f>BP137+BP170+BP269+BP203+BP236</f>
        <v>0</v>
      </c>
      <c r="BQ100" s="2249">
        <f t="shared" ref="BQ100:BQ101" si="203">BP100-BO100</f>
        <v>-83.580136413363093</v>
      </c>
    </row>
    <row r="101" spans="3:69" s="2159" customFormat="1">
      <c r="C101" s="2173" t="s">
        <v>2210</v>
      </c>
      <c r="D101" s="2209" t="s">
        <v>2211</v>
      </c>
      <c r="E101" s="2250" t="s">
        <v>240</v>
      </c>
      <c r="F101" s="2176"/>
      <c r="G101" s="2179">
        <f>G138+G171+G270+G204+G237</f>
        <v>0</v>
      </c>
      <c r="H101" s="2179">
        <f>H138+H171+H270+H204+H237</f>
        <v>0</v>
      </c>
      <c r="I101" s="2178">
        <f t="shared" ref="I101:I171" si="204">H101-G101</f>
        <v>0</v>
      </c>
      <c r="J101" s="2176"/>
      <c r="K101" s="2179">
        <f>N101+Q101+W101+AC101</f>
        <v>0</v>
      </c>
      <c r="L101" s="2179">
        <f t="shared" si="182"/>
        <v>0</v>
      </c>
      <c r="M101" s="2178">
        <f t="shared" si="183"/>
        <v>0</v>
      </c>
      <c r="N101" s="2179">
        <f>N138+N171+N270+N204+N237</f>
        <v>0</v>
      </c>
      <c r="O101" s="2179">
        <f>O138+O171+O270+O204+O237</f>
        <v>0</v>
      </c>
      <c r="P101" s="2178">
        <f t="shared" si="184"/>
        <v>0</v>
      </c>
      <c r="Q101" s="2184">
        <f>Q138+Q171+Q270+Q204+Q237</f>
        <v>0</v>
      </c>
      <c r="R101" s="2179">
        <f>R138+R171+R270+R204+R237</f>
        <v>0</v>
      </c>
      <c r="S101" s="2180">
        <f t="shared" si="185"/>
        <v>0</v>
      </c>
      <c r="T101" s="2251">
        <f>N101+Q101</f>
        <v>0</v>
      </c>
      <c r="U101" s="2252">
        <f t="shared" si="186"/>
        <v>0</v>
      </c>
      <c r="V101" s="2253">
        <f t="shared" si="187"/>
        <v>0</v>
      </c>
      <c r="W101" s="2187">
        <f>W138+W171+W270+W204+W237</f>
        <v>0</v>
      </c>
      <c r="X101" s="2179">
        <f>X138+X171+X270+X204+X237</f>
        <v>0</v>
      </c>
      <c r="Y101" s="2183">
        <f t="shared" si="188"/>
        <v>0</v>
      </c>
      <c r="Z101" s="2254">
        <f>T101+W101</f>
        <v>0</v>
      </c>
      <c r="AA101" s="2252">
        <f t="shared" si="189"/>
        <v>0</v>
      </c>
      <c r="AB101" s="2255">
        <f t="shared" si="190"/>
        <v>0</v>
      </c>
      <c r="AC101" s="2184">
        <f>AC138+AC171+AC270+AC204+AC237</f>
        <v>0</v>
      </c>
      <c r="AD101" s="2184">
        <f>AD138+AD171+AD270+AD204+AD237</f>
        <v>0</v>
      </c>
      <c r="AE101" s="2180">
        <f t="shared" si="191"/>
        <v>0</v>
      </c>
      <c r="AF101" s="2170"/>
      <c r="AG101" s="2158"/>
      <c r="AH101" s="2188">
        <f>AH138+AH171+AH270+AH204+AH237</f>
        <v>0</v>
      </c>
      <c r="AI101" s="2188">
        <f>AI138+AI171+AI270+AI204+AI237</f>
        <v>0</v>
      </c>
      <c r="AJ101" s="2186">
        <f t="shared" si="192"/>
        <v>0</v>
      </c>
      <c r="AK101" s="2188">
        <f>AK138+AK171+AK270+AK204+AK237</f>
        <v>0</v>
      </c>
      <c r="AL101" s="2188">
        <f>AL138+AL171+AL270+AL204+AL237</f>
        <v>0</v>
      </c>
      <c r="AM101" s="2186">
        <f t="shared" si="193"/>
        <v>0</v>
      </c>
      <c r="AN101" s="2188">
        <f>AN138+AN171+AN270+AN204+AN237</f>
        <v>0</v>
      </c>
      <c r="AO101" s="2188">
        <f>AO138+AO171+AO270+AO204+AO237</f>
        <v>0</v>
      </c>
      <c r="AP101" s="2186">
        <f t="shared" si="194"/>
        <v>0</v>
      </c>
      <c r="AQ101" s="2188">
        <f>AQ138+AQ171+AQ270+AQ204+AQ237</f>
        <v>0</v>
      </c>
      <c r="AR101" s="2188">
        <f>AR138+AR171+AR270+AR204+AR237</f>
        <v>0</v>
      </c>
      <c r="AS101" s="2186">
        <f t="shared" si="195"/>
        <v>0</v>
      </c>
      <c r="AT101" s="2188">
        <f>AT138+AT171+AT270+AT204+AT237</f>
        <v>0</v>
      </c>
      <c r="AU101" s="2188">
        <f>AU138+AU171+AU270+AU204+AU237</f>
        <v>0</v>
      </c>
      <c r="AV101" s="2186">
        <f t="shared" si="196"/>
        <v>0</v>
      </c>
      <c r="AW101" s="2188">
        <f>AW138+AW171+AW270+AW204+AW237</f>
        <v>0</v>
      </c>
      <c r="AX101" s="2188">
        <f>AX138+AX171+AX270+AX204+AX237</f>
        <v>0</v>
      </c>
      <c r="AY101" s="2186">
        <f t="shared" si="197"/>
        <v>0</v>
      </c>
      <c r="AZ101" s="2188">
        <f>AZ138+AZ171+AZ270+AZ204+AZ237</f>
        <v>0</v>
      </c>
      <c r="BA101" s="2188">
        <f>BA138+BA171+BA270+BA204+BA237</f>
        <v>0</v>
      </c>
      <c r="BB101" s="2186">
        <f t="shared" si="198"/>
        <v>0</v>
      </c>
      <c r="BC101" s="2188">
        <f>BC138+BC171+BC270+BC204+BC237</f>
        <v>0</v>
      </c>
      <c r="BD101" s="2188">
        <f>BD138+BD171+BD270+BD204+BD237</f>
        <v>0</v>
      </c>
      <c r="BE101" s="2186">
        <f t="shared" si="199"/>
        <v>0</v>
      </c>
      <c r="BF101" s="2188">
        <f>BF138+BF171+BF270+BF204+BF237</f>
        <v>0</v>
      </c>
      <c r="BG101" s="2188">
        <f>BG138+BG171+BG270+BG204+BG237</f>
        <v>0</v>
      </c>
      <c r="BH101" s="2186">
        <f t="shared" si="200"/>
        <v>0</v>
      </c>
      <c r="BI101" s="2188">
        <f>BI138+BI171+BI270+BI204+BI237</f>
        <v>0</v>
      </c>
      <c r="BJ101" s="2188">
        <f>BJ138+BJ171+BJ270+BJ204+BJ237</f>
        <v>0</v>
      </c>
      <c r="BK101" s="2186">
        <f t="shared" si="201"/>
        <v>0</v>
      </c>
      <c r="BL101" s="2188">
        <f>BL138+BL171+BL270+BL204+BL237</f>
        <v>0</v>
      </c>
      <c r="BM101" s="2188">
        <f>BM138+BM171+BM270+BM204+BM237</f>
        <v>0</v>
      </c>
      <c r="BN101" s="2186">
        <f t="shared" si="202"/>
        <v>0</v>
      </c>
      <c r="BO101" s="2188">
        <f>BO138+BO171+BO270+BO204+BO237</f>
        <v>0</v>
      </c>
      <c r="BP101" s="2188">
        <f>BP138+BP171+BP270+BP204+BP237</f>
        <v>0</v>
      </c>
      <c r="BQ101" s="2186">
        <f t="shared" si="203"/>
        <v>0</v>
      </c>
    </row>
    <row r="102" spans="3:69" s="2159" customFormat="1">
      <c r="C102" s="2256" t="s">
        <v>2212</v>
      </c>
      <c r="D102" s="2257" t="s">
        <v>2213</v>
      </c>
      <c r="E102" s="2120" t="s">
        <v>240</v>
      </c>
      <c r="F102" s="2162"/>
      <c r="G102" s="2163">
        <f>G111+G117</f>
        <v>0</v>
      </c>
      <c r="H102" s="2163">
        <f>H111+H117</f>
        <v>0</v>
      </c>
      <c r="I102" s="2164">
        <f t="shared" si="204"/>
        <v>0</v>
      </c>
      <c r="J102" s="2162"/>
      <c r="K102" s="2163">
        <f>N102+Q102+W102+AC102</f>
        <v>411.13410855486507</v>
      </c>
      <c r="L102" s="2163">
        <f>O102+R102+X102+AD102</f>
        <v>0</v>
      </c>
      <c r="M102" s="2164">
        <f>L102-K102</f>
        <v>-411.13410855486507</v>
      </c>
      <c r="N102" s="2163">
        <f>N111+N117</f>
        <v>106.12147830486499</v>
      </c>
      <c r="O102" s="2163">
        <f>O111+O117</f>
        <v>0</v>
      </c>
      <c r="P102" s="2164">
        <f>O102-N102</f>
        <v>-106.12147830486499</v>
      </c>
      <c r="Q102" s="2165">
        <f>Q111+Q117</f>
        <v>96.286180750000042</v>
      </c>
      <c r="R102" s="2163">
        <f>R111+R117</f>
        <v>0</v>
      </c>
      <c r="S102" s="2166">
        <f t="shared" si="185"/>
        <v>-96.286180750000042</v>
      </c>
      <c r="T102" s="2258">
        <f>N102+Q102</f>
        <v>202.40765905486504</v>
      </c>
      <c r="U102" s="2259">
        <f>O102+R102</f>
        <v>0</v>
      </c>
      <c r="V102" s="2260">
        <f>U102-T102</f>
        <v>-202.40765905486504</v>
      </c>
      <c r="W102" s="2168">
        <f>W111+W117</f>
        <v>78.056813750000032</v>
      </c>
      <c r="X102" s="2163">
        <f>X111+X117</f>
        <v>0</v>
      </c>
      <c r="Y102" s="2169">
        <f t="shared" si="188"/>
        <v>-78.056813750000032</v>
      </c>
      <c r="Z102" s="2261">
        <f t="shared" ref="Z102:Z103" si="205">T102+W102</f>
        <v>280.46447280486507</v>
      </c>
      <c r="AA102" s="2259">
        <f t="shared" si="189"/>
        <v>0</v>
      </c>
      <c r="AB102" s="2262">
        <f t="shared" si="190"/>
        <v>-280.46447280486507</v>
      </c>
      <c r="AC102" s="2165">
        <f>AC111+AC117</f>
        <v>130.66963575000003</v>
      </c>
      <c r="AD102" s="2163">
        <f>AD111+AD117</f>
        <v>0</v>
      </c>
      <c r="AE102" s="2166">
        <f t="shared" si="191"/>
        <v>-130.66963575000003</v>
      </c>
      <c r="AF102" s="2204"/>
      <c r="AG102" s="2158"/>
      <c r="AH102" s="2171">
        <f>AH111+AH117</f>
        <v>30.482045999999997</v>
      </c>
      <c r="AI102" s="2171">
        <f>AI111+AI117</f>
        <v>0</v>
      </c>
      <c r="AJ102" s="2172">
        <f>AI102-AH102</f>
        <v>-30.482045999999997</v>
      </c>
      <c r="AK102" s="2171">
        <f>AK111+AK117</f>
        <v>42.641683481288155</v>
      </c>
      <c r="AL102" s="2171">
        <f>AL111+AL117</f>
        <v>0</v>
      </c>
      <c r="AM102" s="2172">
        <f>AL102-AK102</f>
        <v>-42.641683481288155</v>
      </c>
      <c r="AN102" s="2171">
        <f>AN111+AN117</f>
        <v>36.680996823576834</v>
      </c>
      <c r="AO102" s="2171">
        <f>AO111+AO117</f>
        <v>0</v>
      </c>
      <c r="AP102" s="2172">
        <f>AO102-AN102</f>
        <v>-36.680996823576834</v>
      </c>
      <c r="AQ102" s="2171">
        <f>AQ111+AQ117</f>
        <v>36.404813235328461</v>
      </c>
      <c r="AR102" s="2171">
        <f>AR111+AR117</f>
        <v>0</v>
      </c>
      <c r="AS102" s="2172">
        <f>AR102-AQ102</f>
        <v>-36.404813235328461</v>
      </c>
      <c r="AT102" s="2171">
        <f>AT111+AT117</f>
        <v>33.691726295914421</v>
      </c>
      <c r="AU102" s="2171">
        <f>AU111+AU117</f>
        <v>0</v>
      </c>
      <c r="AV102" s="2172">
        <f>AU102-AT102</f>
        <v>-33.691726295914421</v>
      </c>
      <c r="AW102" s="2171">
        <f>AW111+AW117</f>
        <v>26.189641218757163</v>
      </c>
      <c r="AX102" s="2171">
        <f>AX111+AX117</f>
        <v>0</v>
      </c>
      <c r="AY102" s="2172">
        <f>AX102-AW102</f>
        <v>-26.189641218757163</v>
      </c>
      <c r="AZ102" s="2171">
        <f>AZ111+AZ117</f>
        <v>23.348465866000598</v>
      </c>
      <c r="BA102" s="2171">
        <f>BA111+BA117</f>
        <v>0</v>
      </c>
      <c r="BB102" s="2172">
        <f>BA102-AZ102</f>
        <v>-23.348465866000598</v>
      </c>
      <c r="BC102" s="2171">
        <f>BC111+BC117</f>
        <v>23.868463734078784</v>
      </c>
      <c r="BD102" s="2171">
        <f>BD111+BD117</f>
        <v>0</v>
      </c>
      <c r="BE102" s="2172">
        <f>BD102-BC102</f>
        <v>-23.868463734078784</v>
      </c>
      <c r="BF102" s="2171">
        <f>BF111+BF117</f>
        <v>30.839884149920639</v>
      </c>
      <c r="BG102" s="2171">
        <f>BG111+BG117</f>
        <v>0</v>
      </c>
      <c r="BH102" s="2172">
        <f>BG102-BF102</f>
        <v>-30.839884149920639</v>
      </c>
      <c r="BI102" s="2171">
        <f>BI111+BI117</f>
        <v>41.519675594999853</v>
      </c>
      <c r="BJ102" s="2171">
        <f>BJ111+BJ117</f>
        <v>0</v>
      </c>
      <c r="BK102" s="2172">
        <f>BJ102-BI102</f>
        <v>-41.519675594999853</v>
      </c>
      <c r="BL102" s="2171">
        <f>BL111+BL117</f>
        <v>45.177496741637079</v>
      </c>
      <c r="BM102" s="2171">
        <f>BM111+BM117</f>
        <v>0</v>
      </c>
      <c r="BN102" s="2172">
        <f>BM102-BL102</f>
        <v>-45.177496741637079</v>
      </c>
      <c r="BO102" s="2171">
        <f>BO111+BO117</f>
        <v>43.972463413363087</v>
      </c>
      <c r="BP102" s="2171">
        <f>BP111+BP117</f>
        <v>0</v>
      </c>
      <c r="BQ102" s="2172">
        <f>BP102-BO102</f>
        <v>-43.972463413363087</v>
      </c>
    </row>
    <row r="103" spans="3:69" s="2159" customFormat="1" ht="22.5">
      <c r="C103" s="2256" t="s">
        <v>2214</v>
      </c>
      <c r="D103" s="2257" t="s">
        <v>2215</v>
      </c>
      <c r="E103" s="2120" t="s">
        <v>240</v>
      </c>
      <c r="F103" s="2162"/>
      <c r="G103" s="2163">
        <f>G116+G122</f>
        <v>0</v>
      </c>
      <c r="H103" s="2163">
        <f>H116+H122</f>
        <v>0</v>
      </c>
      <c r="I103" s="2164">
        <f t="shared" si="204"/>
        <v>0</v>
      </c>
      <c r="J103" s="2162"/>
      <c r="K103" s="2163">
        <f>N103+Q103+W103+AC103</f>
        <v>0</v>
      </c>
      <c r="L103" s="2163">
        <f>O103+R103+X103+AD103</f>
        <v>0</v>
      </c>
      <c r="M103" s="2164">
        <f>L103-K103</f>
        <v>0</v>
      </c>
      <c r="N103" s="2163">
        <f>N116+N122</f>
        <v>0</v>
      </c>
      <c r="O103" s="2163">
        <f>O116+O122</f>
        <v>0</v>
      </c>
      <c r="P103" s="2164"/>
      <c r="Q103" s="2165">
        <f>Q116+Q122</f>
        <v>0</v>
      </c>
      <c r="R103" s="2163">
        <f>R116+R122</f>
        <v>0</v>
      </c>
      <c r="S103" s="2166"/>
      <c r="T103" s="2258">
        <f>N103+Q103</f>
        <v>0</v>
      </c>
      <c r="U103" s="2259">
        <f>O103+R103</f>
        <v>0</v>
      </c>
      <c r="V103" s="2260">
        <f>U103-T103</f>
        <v>0</v>
      </c>
      <c r="W103" s="2168">
        <f>W116+W122</f>
        <v>0</v>
      </c>
      <c r="X103" s="2163">
        <f>X116+X122</f>
        <v>0</v>
      </c>
      <c r="Y103" s="2169">
        <f t="shared" si="188"/>
        <v>0</v>
      </c>
      <c r="Z103" s="2261">
        <f t="shared" si="205"/>
        <v>0</v>
      </c>
      <c r="AA103" s="2259">
        <f t="shared" si="189"/>
        <v>0</v>
      </c>
      <c r="AB103" s="2262">
        <f t="shared" si="190"/>
        <v>0</v>
      </c>
      <c r="AC103" s="2165">
        <f>AC116+AC122</f>
        <v>0</v>
      </c>
      <c r="AD103" s="2163">
        <f>AD116+AD122</f>
        <v>0</v>
      </c>
      <c r="AE103" s="2166">
        <f t="shared" si="191"/>
        <v>0</v>
      </c>
      <c r="AF103" s="2204"/>
      <c r="AG103" s="2158"/>
      <c r="AH103" s="2171">
        <f>AH116+AH122</f>
        <v>0</v>
      </c>
      <c r="AI103" s="2171">
        <f>AI116+AI122</f>
        <v>0</v>
      </c>
      <c r="AJ103" s="2172"/>
      <c r="AK103" s="2171">
        <f>AK116+AK122</f>
        <v>0</v>
      </c>
      <c r="AL103" s="2171">
        <f>AL116+AL122</f>
        <v>0</v>
      </c>
      <c r="AM103" s="2172"/>
      <c r="AN103" s="2171">
        <f>AN116+AN122</f>
        <v>0</v>
      </c>
      <c r="AO103" s="2171">
        <f>AO116+AO122</f>
        <v>0</v>
      </c>
      <c r="AP103" s="2172"/>
      <c r="AQ103" s="2171">
        <f>AQ116+AQ122</f>
        <v>0</v>
      </c>
      <c r="AR103" s="2171">
        <f>AR116+AR122</f>
        <v>0</v>
      </c>
      <c r="AS103" s="2172"/>
      <c r="AT103" s="2171">
        <f>AT116+AT122</f>
        <v>0</v>
      </c>
      <c r="AU103" s="2171">
        <f>AU116+AU122</f>
        <v>0</v>
      </c>
      <c r="AV103" s="2172"/>
      <c r="AW103" s="2171">
        <f>AW116+AW122</f>
        <v>0</v>
      </c>
      <c r="AX103" s="2171">
        <f>AX116+AX122</f>
        <v>0</v>
      </c>
      <c r="AY103" s="2172"/>
      <c r="AZ103" s="2171">
        <f>AZ116+AZ122</f>
        <v>0</v>
      </c>
      <c r="BA103" s="2171">
        <f>BA116+BA122</f>
        <v>0</v>
      </c>
      <c r="BB103" s="2172"/>
      <c r="BC103" s="2171">
        <f>BC116+BC122</f>
        <v>0</v>
      </c>
      <c r="BD103" s="2171">
        <f>BD116+BD122</f>
        <v>0</v>
      </c>
      <c r="BE103" s="2172"/>
      <c r="BF103" s="2171">
        <f>BF116+BF122</f>
        <v>0</v>
      </c>
      <c r="BG103" s="2171">
        <f>BG116+BG122</f>
        <v>0</v>
      </c>
      <c r="BH103" s="2172"/>
      <c r="BI103" s="2171">
        <f>BI116+BI122</f>
        <v>0</v>
      </c>
      <c r="BJ103" s="2171">
        <f>BJ116+BJ122</f>
        <v>0</v>
      </c>
      <c r="BK103" s="2172"/>
      <c r="BL103" s="2171">
        <f>BL116+BL122</f>
        <v>0</v>
      </c>
      <c r="BM103" s="2171">
        <f>BM116+BM122</f>
        <v>0</v>
      </c>
      <c r="BN103" s="2172"/>
      <c r="BO103" s="2171">
        <f>BO116+BO122</f>
        <v>0</v>
      </c>
      <c r="BP103" s="2171">
        <f>BP116+BP122</f>
        <v>0</v>
      </c>
      <c r="BQ103" s="2172"/>
    </row>
    <row r="104" spans="3:69" s="2087" customFormat="1">
      <c r="C104" s="2173" t="s">
        <v>2216</v>
      </c>
      <c r="D104" s="2263" t="s">
        <v>2217</v>
      </c>
      <c r="E104" s="2264"/>
      <c r="F104" s="2265"/>
      <c r="G104" s="2188"/>
      <c r="H104" s="2188"/>
      <c r="I104" s="2178">
        <f t="shared" si="204"/>
        <v>0</v>
      </c>
      <c r="J104" s="2265"/>
      <c r="K104" s="2188"/>
      <c r="L104" s="2188"/>
      <c r="M104" s="2186"/>
      <c r="N104" s="2188"/>
      <c r="O104" s="2188"/>
      <c r="P104" s="2186"/>
      <c r="Q104" s="2265"/>
      <c r="R104" s="2188"/>
      <c r="S104" s="2266"/>
      <c r="T104" s="2267"/>
      <c r="U104" s="2268"/>
      <c r="V104" s="2269"/>
      <c r="W104" s="2270"/>
      <c r="X104" s="2188"/>
      <c r="Y104" s="2271"/>
      <c r="Z104" s="2272"/>
      <c r="AA104" s="2268"/>
      <c r="AB104" s="2273"/>
      <c r="AC104" s="2265"/>
      <c r="AD104" s="2188"/>
      <c r="AE104" s="2266"/>
      <c r="AF104" s="2185"/>
      <c r="AG104" s="2114"/>
      <c r="AH104" s="2188"/>
      <c r="AI104" s="2188"/>
      <c r="AJ104" s="2186"/>
      <c r="AK104" s="2188"/>
      <c r="AL104" s="2188"/>
      <c r="AM104" s="2186"/>
      <c r="AN104" s="2188"/>
      <c r="AO104" s="2188"/>
      <c r="AP104" s="2186"/>
      <c r="AQ104" s="2188"/>
      <c r="AR104" s="2188"/>
      <c r="AS104" s="2186"/>
      <c r="AT104" s="2188"/>
      <c r="AU104" s="2188"/>
      <c r="AV104" s="2186"/>
      <c r="AW104" s="2188"/>
      <c r="AX104" s="2188"/>
      <c r="AY104" s="2186"/>
      <c r="AZ104" s="2188"/>
      <c r="BA104" s="2188"/>
      <c r="BB104" s="2186"/>
      <c r="BC104" s="2188"/>
      <c r="BD104" s="2188"/>
      <c r="BE104" s="2186"/>
      <c r="BF104" s="2188"/>
      <c r="BG104" s="2188"/>
      <c r="BH104" s="2186"/>
      <c r="BI104" s="2188"/>
      <c r="BJ104" s="2188"/>
      <c r="BK104" s="2186"/>
      <c r="BL104" s="2188"/>
      <c r="BM104" s="2188"/>
      <c r="BN104" s="2186"/>
      <c r="BO104" s="2188"/>
      <c r="BP104" s="2188"/>
      <c r="BQ104" s="2186"/>
    </row>
    <row r="105" spans="3:69" s="2087" customFormat="1">
      <c r="C105" s="2173" t="s">
        <v>2218</v>
      </c>
      <c r="D105" s="2174" t="s">
        <v>2219</v>
      </c>
      <c r="E105" s="2274" t="s">
        <v>420</v>
      </c>
      <c r="F105" s="2176"/>
      <c r="G105" s="2179">
        <f>G140+G173+G272+G206+G239</f>
        <v>0</v>
      </c>
      <c r="H105" s="2179">
        <f>H140+H173+H272+H206+H239</f>
        <v>0</v>
      </c>
      <c r="I105" s="2178">
        <f t="shared" si="204"/>
        <v>0</v>
      </c>
      <c r="J105" s="2176"/>
      <c r="K105" s="2179">
        <f t="shared" ref="K105:L110" si="206">(N105+Q105+W105+AC105)/4</f>
        <v>0</v>
      </c>
      <c r="L105" s="2179">
        <f t="shared" si="206"/>
        <v>0</v>
      </c>
      <c r="M105" s="2178">
        <f t="shared" si="183"/>
        <v>0</v>
      </c>
      <c r="N105" s="2179">
        <f>N140+N173+N272+N206+N239</f>
        <v>0</v>
      </c>
      <c r="O105" s="2179">
        <f>O140+O173+O272+O206+O239</f>
        <v>0</v>
      </c>
      <c r="P105" s="2178">
        <f t="shared" si="184"/>
        <v>0</v>
      </c>
      <c r="Q105" s="2179">
        <f>Q140+Q173+Q272+Q206+Q239</f>
        <v>0</v>
      </c>
      <c r="R105" s="2179">
        <f>R140+R173+R272+R206+R239</f>
        <v>0</v>
      </c>
      <c r="S105" s="2180">
        <f t="shared" si="185"/>
        <v>0</v>
      </c>
      <c r="T105" s="2251">
        <f>(N105+Q105)/2</f>
        <v>0</v>
      </c>
      <c r="U105" s="2252">
        <f>(O105+R105)/2</f>
        <v>0</v>
      </c>
      <c r="V105" s="2253">
        <f t="shared" si="187"/>
        <v>0</v>
      </c>
      <c r="W105" s="2187">
        <f>W140+W173+W272+W206+W239</f>
        <v>0</v>
      </c>
      <c r="X105" s="2179">
        <f>X140+X173+X272+X206+X239</f>
        <v>0</v>
      </c>
      <c r="Y105" s="2183">
        <f t="shared" si="188"/>
        <v>0</v>
      </c>
      <c r="Z105" s="2254">
        <f>(N105+Q105+W105)/3</f>
        <v>0</v>
      </c>
      <c r="AA105" s="2252">
        <f>(O105+R105+X105)/3</f>
        <v>0</v>
      </c>
      <c r="AB105" s="2255">
        <f>AA105-Z105</f>
        <v>0</v>
      </c>
      <c r="AC105" s="2179">
        <f>AC140+AC173+AC272+AC206+AC239</f>
        <v>0</v>
      </c>
      <c r="AD105" s="2179">
        <f>AD140+AD173+AD272+AD206+AD239</f>
        <v>0</v>
      </c>
      <c r="AE105" s="2180">
        <f t="shared" si="191"/>
        <v>0</v>
      </c>
      <c r="AF105" s="2185"/>
      <c r="AG105" s="2114"/>
      <c r="AH105" s="2188">
        <f>AH140+AH173+AH272+AH206+AH239</f>
        <v>6.7130000000000001</v>
      </c>
      <c r="AI105" s="2188">
        <f>AI140+AI173+AI272+AI206+AI239</f>
        <v>0</v>
      </c>
      <c r="AJ105" s="2186">
        <f t="shared" ref="AJ105:AJ122" si="207">AI105-AH105</f>
        <v>-6.7130000000000001</v>
      </c>
      <c r="AK105" s="2188">
        <f>AK140+AK173+AK272+AK206+AK239</f>
        <v>0</v>
      </c>
      <c r="AL105" s="2188">
        <f>AL140+AL173+AL272+AL206+AL239</f>
        <v>0</v>
      </c>
      <c r="AM105" s="2186">
        <f t="shared" ref="AM105:AM122" si="208">AL105-AK105</f>
        <v>0</v>
      </c>
      <c r="AN105" s="2188">
        <f>AN140+AN173+AN272+AN206+AN239</f>
        <v>0</v>
      </c>
      <c r="AO105" s="2188">
        <f>AO140+AO173+AO272+AO206+AO239</f>
        <v>0</v>
      </c>
      <c r="AP105" s="2186">
        <f t="shared" ref="AP105:AP122" si="209">AO105-AN105</f>
        <v>0</v>
      </c>
      <c r="AQ105" s="2188">
        <f>AQ140+AQ173+AQ272+AQ206+AQ239</f>
        <v>0</v>
      </c>
      <c r="AR105" s="2188">
        <f>AR140+AR173+AR272+AR206+AR239</f>
        <v>0</v>
      </c>
      <c r="AS105" s="2186">
        <f t="shared" ref="AS105:AS122" si="210">AR105-AQ105</f>
        <v>0</v>
      </c>
      <c r="AT105" s="2188">
        <f>AT140+AT173+AT272+AT206+AT239</f>
        <v>0</v>
      </c>
      <c r="AU105" s="2188">
        <f>AU140+AU173+AU272+AU206+AU239</f>
        <v>0</v>
      </c>
      <c r="AV105" s="2186">
        <f t="shared" ref="AV105:AV122" si="211">AU105-AT105</f>
        <v>0</v>
      </c>
      <c r="AW105" s="2188">
        <f>AW140+AW173+AW272+AW206+AW239</f>
        <v>0</v>
      </c>
      <c r="AX105" s="2188">
        <f>AX140+AX173+AX272+AX206+AX239</f>
        <v>0</v>
      </c>
      <c r="AY105" s="2186">
        <f t="shared" ref="AY105:AY122" si="212">AX105-AW105</f>
        <v>0</v>
      </c>
      <c r="AZ105" s="2188">
        <f>AZ140+AZ173+AZ272+AZ206+AZ239</f>
        <v>0</v>
      </c>
      <c r="BA105" s="2188">
        <f>BA140+BA173+BA272+BA206+BA239</f>
        <v>0</v>
      </c>
      <c r="BB105" s="2186">
        <f t="shared" ref="BB105:BB122" si="213">BA105-AZ105</f>
        <v>0</v>
      </c>
      <c r="BC105" s="2188">
        <f>BC140+BC173+BC272+BC206+BC239</f>
        <v>0</v>
      </c>
      <c r="BD105" s="2188">
        <f>BD140+BD173+BD272+BD206+BD239</f>
        <v>0</v>
      </c>
      <c r="BE105" s="2186">
        <f t="shared" ref="BE105:BE122" si="214">BD105-BC105</f>
        <v>0</v>
      </c>
      <c r="BF105" s="2188">
        <f>BF140+BF173+BF272+BF206+BF239</f>
        <v>0</v>
      </c>
      <c r="BG105" s="2188">
        <f>BG140+BG173+BG272+BG206+BG239</f>
        <v>0</v>
      </c>
      <c r="BH105" s="2186">
        <f t="shared" ref="BH105:BH122" si="215">BG105-BF105</f>
        <v>0</v>
      </c>
      <c r="BI105" s="2188">
        <f>BI140+BI173+BI272+BI206+BI239</f>
        <v>0</v>
      </c>
      <c r="BJ105" s="2188">
        <f>BJ140+BJ173+BJ272+BJ206+BJ239</f>
        <v>0</v>
      </c>
      <c r="BK105" s="2186">
        <f t="shared" ref="BK105:BK122" si="216">BJ105-BI105</f>
        <v>0</v>
      </c>
      <c r="BL105" s="2188">
        <f>BL140+BL173+BL272+BL206+BL239</f>
        <v>0</v>
      </c>
      <c r="BM105" s="2188">
        <f>BM140+BM173+BM272+BM206+BM239</f>
        <v>0</v>
      </c>
      <c r="BN105" s="2186">
        <f t="shared" ref="BN105:BN122" si="217">BM105-BL105</f>
        <v>0</v>
      </c>
      <c r="BO105" s="2188">
        <f>BO140+BO173+BO272+BO206+BO239</f>
        <v>0</v>
      </c>
      <c r="BP105" s="2188">
        <f>BP140+BP173+BP272+BP206+BP239</f>
        <v>0</v>
      </c>
      <c r="BQ105" s="2186">
        <f t="shared" ref="BQ105:BQ122" si="218">BP105-BO105</f>
        <v>0</v>
      </c>
    </row>
    <row r="106" spans="3:69" s="2087" customFormat="1">
      <c r="C106" s="2189" t="s">
        <v>2220</v>
      </c>
      <c r="D106" s="2275" t="s">
        <v>2221</v>
      </c>
      <c r="E106" s="2274" t="s">
        <v>420</v>
      </c>
      <c r="F106" s="2176"/>
      <c r="G106" s="2179">
        <f t="shared" ref="G106:H110" si="219">G141+G174+G273+G207+G240</f>
        <v>0</v>
      </c>
      <c r="H106" s="2179">
        <f t="shared" si="219"/>
        <v>0</v>
      </c>
      <c r="I106" s="2178">
        <f t="shared" si="204"/>
        <v>0</v>
      </c>
      <c r="J106" s="2176"/>
      <c r="K106" s="2179">
        <f t="shared" si="206"/>
        <v>0</v>
      </c>
      <c r="L106" s="2179">
        <f t="shared" si="206"/>
        <v>0</v>
      </c>
      <c r="M106" s="2178">
        <f t="shared" si="183"/>
        <v>0</v>
      </c>
      <c r="N106" s="2179">
        <f t="shared" ref="N106:O121" si="220">N141+N174+N273+N207+N240</f>
        <v>0</v>
      </c>
      <c r="O106" s="2179">
        <f t="shared" si="220"/>
        <v>0</v>
      </c>
      <c r="P106" s="2178">
        <f t="shared" si="184"/>
        <v>0</v>
      </c>
      <c r="Q106" s="2179">
        <f t="shared" ref="Q106:R121" si="221">Q141+Q174+Q273+Q207+Q240</f>
        <v>0</v>
      </c>
      <c r="R106" s="2179">
        <f t="shared" si="221"/>
        <v>0</v>
      </c>
      <c r="S106" s="2180">
        <f t="shared" si="185"/>
        <v>0</v>
      </c>
      <c r="T106" s="2251">
        <f t="shared" ref="T106:U110" si="222">(N106+Q106)/2</f>
        <v>0</v>
      </c>
      <c r="U106" s="2252">
        <f t="shared" si="222"/>
        <v>0</v>
      </c>
      <c r="V106" s="2253">
        <f t="shared" si="187"/>
        <v>0</v>
      </c>
      <c r="W106" s="2187">
        <f t="shared" ref="W106:X121" si="223">W141+W174+W273+W207+W240</f>
        <v>0</v>
      </c>
      <c r="X106" s="2179">
        <f t="shared" si="223"/>
        <v>0</v>
      </c>
      <c r="Y106" s="2183">
        <f t="shared" si="188"/>
        <v>0</v>
      </c>
      <c r="Z106" s="2254">
        <f t="shared" ref="Z106:AA110" si="224">(N106+Q106+W106)/3</f>
        <v>0</v>
      </c>
      <c r="AA106" s="2252">
        <f t="shared" si="224"/>
        <v>0</v>
      </c>
      <c r="AB106" s="2255">
        <f t="shared" si="190"/>
        <v>0</v>
      </c>
      <c r="AC106" s="2179">
        <f t="shared" ref="AC106:AD121" si="225">AC141+AC174+AC273+AC207+AC240</f>
        <v>0</v>
      </c>
      <c r="AD106" s="2179">
        <f t="shared" si="225"/>
        <v>0</v>
      </c>
      <c r="AE106" s="2180">
        <f t="shared" si="191"/>
        <v>0</v>
      </c>
      <c r="AF106" s="2185"/>
      <c r="AG106" s="2114"/>
      <c r="AH106" s="2188">
        <f t="shared" ref="AH106:AI121" si="226">AH141+AH174+AH273+AH207+AH240</f>
        <v>0</v>
      </c>
      <c r="AI106" s="2188">
        <f t="shared" si="226"/>
        <v>0</v>
      </c>
      <c r="AJ106" s="2186">
        <f t="shared" si="207"/>
        <v>0</v>
      </c>
      <c r="AK106" s="2188">
        <f t="shared" ref="AK106:AL121" si="227">AK141+AK174+AK273+AK207+AK240</f>
        <v>0</v>
      </c>
      <c r="AL106" s="2188">
        <f t="shared" si="227"/>
        <v>0</v>
      </c>
      <c r="AM106" s="2186">
        <f t="shared" si="208"/>
        <v>0</v>
      </c>
      <c r="AN106" s="2188">
        <f t="shared" ref="AN106:AO121" si="228">AN141+AN174+AN273+AN207+AN240</f>
        <v>0</v>
      </c>
      <c r="AO106" s="2188">
        <f t="shared" si="228"/>
        <v>0</v>
      </c>
      <c r="AP106" s="2186">
        <f t="shared" si="209"/>
        <v>0</v>
      </c>
      <c r="AQ106" s="2188">
        <f t="shared" ref="AQ106:AR121" si="229">AQ141+AQ174+AQ273+AQ207+AQ240</f>
        <v>0</v>
      </c>
      <c r="AR106" s="2188">
        <f t="shared" si="229"/>
        <v>0</v>
      </c>
      <c r="AS106" s="2186">
        <f t="shared" si="210"/>
        <v>0</v>
      </c>
      <c r="AT106" s="2188">
        <f t="shared" ref="AT106:AU121" si="230">AT141+AT174+AT273+AT207+AT240</f>
        <v>0</v>
      </c>
      <c r="AU106" s="2188">
        <f t="shared" si="230"/>
        <v>0</v>
      </c>
      <c r="AV106" s="2186">
        <f t="shared" si="211"/>
        <v>0</v>
      </c>
      <c r="AW106" s="2188">
        <f t="shared" ref="AW106:AX121" si="231">AW141+AW174+AW273+AW207+AW240</f>
        <v>0</v>
      </c>
      <c r="AX106" s="2188">
        <f t="shared" si="231"/>
        <v>0</v>
      </c>
      <c r="AY106" s="2186">
        <f t="shared" si="212"/>
        <v>0</v>
      </c>
      <c r="AZ106" s="2188">
        <f t="shared" ref="AZ106:BA121" si="232">AZ141+AZ174+AZ273+AZ207+AZ240</f>
        <v>0</v>
      </c>
      <c r="BA106" s="2188">
        <f t="shared" si="232"/>
        <v>0</v>
      </c>
      <c r="BB106" s="2186">
        <f t="shared" si="213"/>
        <v>0</v>
      </c>
      <c r="BC106" s="2188">
        <f t="shared" ref="BC106:BD121" si="233">BC141+BC174+BC273+BC207+BC240</f>
        <v>0</v>
      </c>
      <c r="BD106" s="2188">
        <f t="shared" si="233"/>
        <v>0</v>
      </c>
      <c r="BE106" s="2186">
        <f t="shared" si="214"/>
        <v>0</v>
      </c>
      <c r="BF106" s="2188">
        <f t="shared" ref="BF106:BG121" si="234">BF141+BF174+BF273+BF207+BF240</f>
        <v>0</v>
      </c>
      <c r="BG106" s="2188">
        <f t="shared" si="234"/>
        <v>0</v>
      </c>
      <c r="BH106" s="2186">
        <f t="shared" si="215"/>
        <v>0</v>
      </c>
      <c r="BI106" s="2188">
        <f t="shared" ref="BI106:BJ121" si="235">BI141+BI174+BI273+BI207+BI240</f>
        <v>0</v>
      </c>
      <c r="BJ106" s="2188">
        <f t="shared" si="235"/>
        <v>0</v>
      </c>
      <c r="BK106" s="2186">
        <f t="shared" si="216"/>
        <v>0</v>
      </c>
      <c r="BL106" s="2188">
        <f t="shared" ref="BL106:BM121" si="236">BL141+BL174+BL273+BL207+BL240</f>
        <v>0</v>
      </c>
      <c r="BM106" s="2188">
        <f t="shared" si="236"/>
        <v>0</v>
      </c>
      <c r="BN106" s="2186">
        <f t="shared" si="217"/>
        <v>0</v>
      </c>
      <c r="BO106" s="2188">
        <f t="shared" ref="BO106:BP121" si="237">BO141+BO174+BO273+BO207+BO240</f>
        <v>0</v>
      </c>
      <c r="BP106" s="2188">
        <f t="shared" si="237"/>
        <v>0</v>
      </c>
      <c r="BQ106" s="2186">
        <f t="shared" si="218"/>
        <v>0</v>
      </c>
    </row>
    <row r="107" spans="3:69" s="2087" customFormat="1">
      <c r="C107" s="2189" t="s">
        <v>2222</v>
      </c>
      <c r="D107" s="2275" t="s">
        <v>2223</v>
      </c>
      <c r="E107" s="2274" t="s">
        <v>420</v>
      </c>
      <c r="F107" s="2176"/>
      <c r="G107" s="2179">
        <f t="shared" si="219"/>
        <v>0</v>
      </c>
      <c r="H107" s="2179">
        <f t="shared" si="219"/>
        <v>0</v>
      </c>
      <c r="I107" s="2178">
        <f t="shared" si="204"/>
        <v>0</v>
      </c>
      <c r="J107" s="2176"/>
      <c r="K107" s="2179">
        <f t="shared" si="206"/>
        <v>0</v>
      </c>
      <c r="L107" s="2179">
        <f t="shared" si="206"/>
        <v>0</v>
      </c>
      <c r="M107" s="2178">
        <f t="shared" si="183"/>
        <v>0</v>
      </c>
      <c r="N107" s="2179">
        <f t="shared" si="220"/>
        <v>0</v>
      </c>
      <c r="O107" s="2179">
        <f t="shared" si="220"/>
        <v>0</v>
      </c>
      <c r="P107" s="2178">
        <f t="shared" si="184"/>
        <v>0</v>
      </c>
      <c r="Q107" s="2179">
        <f t="shared" si="221"/>
        <v>0</v>
      </c>
      <c r="R107" s="2179">
        <f t="shared" si="221"/>
        <v>0</v>
      </c>
      <c r="S107" s="2180">
        <f t="shared" si="185"/>
        <v>0</v>
      </c>
      <c r="T107" s="2251">
        <f t="shared" si="222"/>
        <v>0</v>
      </c>
      <c r="U107" s="2252">
        <f t="shared" si="222"/>
        <v>0</v>
      </c>
      <c r="V107" s="2253">
        <f t="shared" si="187"/>
        <v>0</v>
      </c>
      <c r="W107" s="2187">
        <f t="shared" si="223"/>
        <v>0</v>
      </c>
      <c r="X107" s="2179">
        <f t="shared" si="223"/>
        <v>0</v>
      </c>
      <c r="Y107" s="2183">
        <f t="shared" si="188"/>
        <v>0</v>
      </c>
      <c r="Z107" s="2254">
        <f t="shared" si="224"/>
        <v>0</v>
      </c>
      <c r="AA107" s="2252">
        <f t="shared" si="224"/>
        <v>0</v>
      </c>
      <c r="AB107" s="2255">
        <f t="shared" si="190"/>
        <v>0</v>
      </c>
      <c r="AC107" s="2179">
        <f t="shared" si="225"/>
        <v>0</v>
      </c>
      <c r="AD107" s="2179">
        <f t="shared" si="225"/>
        <v>0</v>
      </c>
      <c r="AE107" s="2180">
        <f t="shared" si="191"/>
        <v>0</v>
      </c>
      <c r="AF107" s="2276"/>
      <c r="AG107" s="2114"/>
      <c r="AH107" s="2188">
        <f t="shared" si="226"/>
        <v>0</v>
      </c>
      <c r="AI107" s="2188">
        <f t="shared" si="226"/>
        <v>0</v>
      </c>
      <c r="AJ107" s="2186">
        <f t="shared" si="207"/>
        <v>0</v>
      </c>
      <c r="AK107" s="2188">
        <f t="shared" si="227"/>
        <v>0</v>
      </c>
      <c r="AL107" s="2188">
        <f t="shared" si="227"/>
        <v>0</v>
      </c>
      <c r="AM107" s="2186">
        <f t="shared" si="208"/>
        <v>0</v>
      </c>
      <c r="AN107" s="2188">
        <f t="shared" si="228"/>
        <v>0</v>
      </c>
      <c r="AO107" s="2188">
        <f t="shared" si="228"/>
        <v>0</v>
      </c>
      <c r="AP107" s="2186">
        <f t="shared" si="209"/>
        <v>0</v>
      </c>
      <c r="AQ107" s="2188">
        <f t="shared" si="229"/>
        <v>0</v>
      </c>
      <c r="AR107" s="2188">
        <f t="shared" si="229"/>
        <v>0</v>
      </c>
      <c r="AS107" s="2186">
        <f t="shared" si="210"/>
        <v>0</v>
      </c>
      <c r="AT107" s="2188">
        <f t="shared" si="230"/>
        <v>0</v>
      </c>
      <c r="AU107" s="2188">
        <f t="shared" si="230"/>
        <v>0</v>
      </c>
      <c r="AV107" s="2186">
        <f t="shared" si="211"/>
        <v>0</v>
      </c>
      <c r="AW107" s="2188">
        <f t="shared" si="231"/>
        <v>0</v>
      </c>
      <c r="AX107" s="2188">
        <f t="shared" si="231"/>
        <v>0</v>
      </c>
      <c r="AY107" s="2186">
        <f t="shared" si="212"/>
        <v>0</v>
      </c>
      <c r="AZ107" s="2188">
        <f t="shared" si="232"/>
        <v>0</v>
      </c>
      <c r="BA107" s="2188">
        <f t="shared" si="232"/>
        <v>0</v>
      </c>
      <c r="BB107" s="2186">
        <f t="shared" si="213"/>
        <v>0</v>
      </c>
      <c r="BC107" s="2188">
        <f t="shared" si="233"/>
        <v>0</v>
      </c>
      <c r="BD107" s="2188">
        <f t="shared" si="233"/>
        <v>0</v>
      </c>
      <c r="BE107" s="2186">
        <f t="shared" si="214"/>
        <v>0</v>
      </c>
      <c r="BF107" s="2188">
        <f t="shared" si="234"/>
        <v>0</v>
      </c>
      <c r="BG107" s="2188">
        <f t="shared" si="234"/>
        <v>0</v>
      </c>
      <c r="BH107" s="2186">
        <f t="shared" si="215"/>
        <v>0</v>
      </c>
      <c r="BI107" s="2188">
        <f t="shared" si="235"/>
        <v>0</v>
      </c>
      <c r="BJ107" s="2188">
        <f t="shared" si="235"/>
        <v>0</v>
      </c>
      <c r="BK107" s="2186">
        <f t="shared" si="216"/>
        <v>0</v>
      </c>
      <c r="BL107" s="2188">
        <f t="shared" si="236"/>
        <v>0</v>
      </c>
      <c r="BM107" s="2188">
        <f t="shared" si="236"/>
        <v>0</v>
      </c>
      <c r="BN107" s="2186">
        <f t="shared" si="217"/>
        <v>0</v>
      </c>
      <c r="BO107" s="2188">
        <f t="shared" si="237"/>
        <v>0</v>
      </c>
      <c r="BP107" s="2188">
        <f t="shared" si="237"/>
        <v>0</v>
      </c>
      <c r="BQ107" s="2186">
        <f t="shared" si="218"/>
        <v>0</v>
      </c>
    </row>
    <row r="108" spans="3:69" s="2087" customFormat="1">
      <c r="C108" s="2189" t="s">
        <v>2224</v>
      </c>
      <c r="D108" s="2275" t="s">
        <v>2225</v>
      </c>
      <c r="E108" s="2274" t="s">
        <v>420</v>
      </c>
      <c r="F108" s="2176"/>
      <c r="G108" s="2179">
        <f t="shared" si="219"/>
        <v>0</v>
      </c>
      <c r="H108" s="2179">
        <f t="shared" si="219"/>
        <v>0</v>
      </c>
      <c r="I108" s="2178">
        <f t="shared" si="204"/>
        <v>0</v>
      </c>
      <c r="J108" s="2176"/>
      <c r="K108" s="2179">
        <f t="shared" si="206"/>
        <v>0</v>
      </c>
      <c r="L108" s="2179">
        <f t="shared" si="206"/>
        <v>0</v>
      </c>
      <c r="M108" s="2178">
        <f t="shared" si="183"/>
        <v>0</v>
      </c>
      <c r="N108" s="2179">
        <f t="shared" si="220"/>
        <v>0</v>
      </c>
      <c r="O108" s="2179">
        <f t="shared" si="220"/>
        <v>0</v>
      </c>
      <c r="P108" s="2178">
        <f t="shared" si="184"/>
        <v>0</v>
      </c>
      <c r="Q108" s="2179">
        <f t="shared" si="221"/>
        <v>0</v>
      </c>
      <c r="R108" s="2179">
        <f t="shared" si="221"/>
        <v>0</v>
      </c>
      <c r="S108" s="2180">
        <f t="shared" si="185"/>
        <v>0</v>
      </c>
      <c r="T108" s="2251">
        <f t="shared" si="222"/>
        <v>0</v>
      </c>
      <c r="U108" s="2252">
        <f t="shared" si="222"/>
        <v>0</v>
      </c>
      <c r="V108" s="2253">
        <f t="shared" si="187"/>
        <v>0</v>
      </c>
      <c r="W108" s="2187">
        <f t="shared" si="223"/>
        <v>0</v>
      </c>
      <c r="X108" s="2179">
        <f t="shared" si="223"/>
        <v>0</v>
      </c>
      <c r="Y108" s="2183">
        <f t="shared" si="188"/>
        <v>0</v>
      </c>
      <c r="Z108" s="2254">
        <f t="shared" si="224"/>
        <v>0</v>
      </c>
      <c r="AA108" s="2252">
        <f t="shared" si="224"/>
        <v>0</v>
      </c>
      <c r="AB108" s="2255">
        <f t="shared" si="190"/>
        <v>0</v>
      </c>
      <c r="AC108" s="2179">
        <f t="shared" si="225"/>
        <v>0</v>
      </c>
      <c r="AD108" s="2179">
        <f t="shared" si="225"/>
        <v>0</v>
      </c>
      <c r="AE108" s="2180">
        <f t="shared" si="191"/>
        <v>0</v>
      </c>
      <c r="AF108" s="2185"/>
      <c r="AG108" s="2114"/>
      <c r="AH108" s="2188">
        <f t="shared" si="226"/>
        <v>0.157</v>
      </c>
      <c r="AI108" s="2188">
        <f t="shared" si="226"/>
        <v>0</v>
      </c>
      <c r="AJ108" s="2186">
        <f t="shared" si="207"/>
        <v>-0.157</v>
      </c>
      <c r="AK108" s="2188">
        <f t="shared" si="227"/>
        <v>0</v>
      </c>
      <c r="AL108" s="2188">
        <f t="shared" si="227"/>
        <v>0</v>
      </c>
      <c r="AM108" s="2186">
        <f t="shared" si="208"/>
        <v>0</v>
      </c>
      <c r="AN108" s="2188">
        <f t="shared" si="228"/>
        <v>0</v>
      </c>
      <c r="AO108" s="2188">
        <f t="shared" si="228"/>
        <v>0</v>
      </c>
      <c r="AP108" s="2186">
        <f t="shared" si="209"/>
        <v>0</v>
      </c>
      <c r="AQ108" s="2188">
        <f t="shared" si="229"/>
        <v>0</v>
      </c>
      <c r="AR108" s="2188">
        <f t="shared" si="229"/>
        <v>0</v>
      </c>
      <c r="AS108" s="2186">
        <f t="shared" si="210"/>
        <v>0</v>
      </c>
      <c r="AT108" s="2188">
        <f t="shared" si="230"/>
        <v>0</v>
      </c>
      <c r="AU108" s="2188">
        <f t="shared" si="230"/>
        <v>0</v>
      </c>
      <c r="AV108" s="2186">
        <f t="shared" si="211"/>
        <v>0</v>
      </c>
      <c r="AW108" s="2188">
        <f t="shared" si="231"/>
        <v>0</v>
      </c>
      <c r="AX108" s="2188">
        <f t="shared" si="231"/>
        <v>0</v>
      </c>
      <c r="AY108" s="2186">
        <f t="shared" si="212"/>
        <v>0</v>
      </c>
      <c r="AZ108" s="2188">
        <f t="shared" si="232"/>
        <v>0</v>
      </c>
      <c r="BA108" s="2188">
        <f t="shared" si="232"/>
        <v>0</v>
      </c>
      <c r="BB108" s="2186">
        <f t="shared" si="213"/>
        <v>0</v>
      </c>
      <c r="BC108" s="2188">
        <f t="shared" si="233"/>
        <v>0</v>
      </c>
      <c r="BD108" s="2188">
        <f t="shared" si="233"/>
        <v>0</v>
      </c>
      <c r="BE108" s="2186">
        <f t="shared" si="214"/>
        <v>0</v>
      </c>
      <c r="BF108" s="2188">
        <f t="shared" si="234"/>
        <v>0</v>
      </c>
      <c r="BG108" s="2188">
        <f t="shared" si="234"/>
        <v>0</v>
      </c>
      <c r="BH108" s="2186">
        <f t="shared" si="215"/>
        <v>0</v>
      </c>
      <c r="BI108" s="2188">
        <f t="shared" si="235"/>
        <v>0</v>
      </c>
      <c r="BJ108" s="2188">
        <f t="shared" si="235"/>
        <v>0</v>
      </c>
      <c r="BK108" s="2186">
        <f t="shared" si="216"/>
        <v>0</v>
      </c>
      <c r="BL108" s="2188">
        <f t="shared" si="236"/>
        <v>0</v>
      </c>
      <c r="BM108" s="2188">
        <f t="shared" si="236"/>
        <v>0</v>
      </c>
      <c r="BN108" s="2186">
        <f t="shared" si="217"/>
        <v>0</v>
      </c>
      <c r="BO108" s="2188">
        <f t="shared" si="237"/>
        <v>0</v>
      </c>
      <c r="BP108" s="2188">
        <f t="shared" si="237"/>
        <v>0</v>
      </c>
      <c r="BQ108" s="2186">
        <f t="shared" si="218"/>
        <v>0</v>
      </c>
    </row>
    <row r="109" spans="3:69" s="2087" customFormat="1">
      <c r="C109" s="2189" t="s">
        <v>2226</v>
      </c>
      <c r="D109" s="2275" t="s">
        <v>2227</v>
      </c>
      <c r="E109" s="2274" t="s">
        <v>420</v>
      </c>
      <c r="F109" s="2176"/>
      <c r="G109" s="2179">
        <f t="shared" si="219"/>
        <v>0</v>
      </c>
      <c r="H109" s="2179">
        <f t="shared" si="219"/>
        <v>0</v>
      </c>
      <c r="I109" s="2178">
        <f t="shared" si="204"/>
        <v>0</v>
      </c>
      <c r="J109" s="2176"/>
      <c r="K109" s="2179">
        <f t="shared" si="206"/>
        <v>0</v>
      </c>
      <c r="L109" s="2179">
        <f t="shared" si="206"/>
        <v>0</v>
      </c>
      <c r="M109" s="2178">
        <f t="shared" si="183"/>
        <v>0</v>
      </c>
      <c r="N109" s="2179">
        <f t="shared" si="220"/>
        <v>0</v>
      </c>
      <c r="O109" s="2179">
        <f t="shared" si="220"/>
        <v>0</v>
      </c>
      <c r="P109" s="2178">
        <f t="shared" si="184"/>
        <v>0</v>
      </c>
      <c r="Q109" s="2179">
        <f t="shared" si="221"/>
        <v>0</v>
      </c>
      <c r="R109" s="2179">
        <f t="shared" si="221"/>
        <v>0</v>
      </c>
      <c r="S109" s="2180">
        <f t="shared" si="185"/>
        <v>0</v>
      </c>
      <c r="T109" s="2251">
        <f t="shared" si="222"/>
        <v>0</v>
      </c>
      <c r="U109" s="2252">
        <f>(O109+R109)/2</f>
        <v>0</v>
      </c>
      <c r="V109" s="2253">
        <f t="shared" si="187"/>
        <v>0</v>
      </c>
      <c r="W109" s="2187">
        <f t="shared" si="223"/>
        <v>0</v>
      </c>
      <c r="X109" s="2179">
        <f t="shared" si="223"/>
        <v>0</v>
      </c>
      <c r="Y109" s="2183">
        <f t="shared" si="188"/>
        <v>0</v>
      </c>
      <c r="Z109" s="2254">
        <f t="shared" si="224"/>
        <v>0</v>
      </c>
      <c r="AA109" s="2252">
        <f t="shared" si="224"/>
        <v>0</v>
      </c>
      <c r="AB109" s="2255">
        <f t="shared" si="190"/>
        <v>0</v>
      </c>
      <c r="AC109" s="2179">
        <f t="shared" si="225"/>
        <v>0</v>
      </c>
      <c r="AD109" s="2179">
        <f t="shared" si="225"/>
        <v>0</v>
      </c>
      <c r="AE109" s="2180">
        <f t="shared" si="191"/>
        <v>0</v>
      </c>
      <c r="AF109" s="2185"/>
      <c r="AG109" s="2114"/>
      <c r="AH109" s="2188">
        <f t="shared" si="226"/>
        <v>6.556</v>
      </c>
      <c r="AI109" s="2188">
        <f t="shared" si="226"/>
        <v>0</v>
      </c>
      <c r="AJ109" s="2186">
        <f t="shared" si="207"/>
        <v>-6.556</v>
      </c>
      <c r="AK109" s="2188">
        <f t="shared" si="227"/>
        <v>0</v>
      </c>
      <c r="AL109" s="2188">
        <f t="shared" si="227"/>
        <v>0</v>
      </c>
      <c r="AM109" s="2186">
        <f t="shared" si="208"/>
        <v>0</v>
      </c>
      <c r="AN109" s="2188">
        <f t="shared" si="228"/>
        <v>0</v>
      </c>
      <c r="AO109" s="2188">
        <f t="shared" si="228"/>
        <v>0</v>
      </c>
      <c r="AP109" s="2186">
        <f t="shared" si="209"/>
        <v>0</v>
      </c>
      <c r="AQ109" s="2188">
        <f t="shared" si="229"/>
        <v>0</v>
      </c>
      <c r="AR109" s="2188">
        <f t="shared" si="229"/>
        <v>0</v>
      </c>
      <c r="AS109" s="2186">
        <f t="shared" si="210"/>
        <v>0</v>
      </c>
      <c r="AT109" s="2188">
        <f t="shared" si="230"/>
        <v>0</v>
      </c>
      <c r="AU109" s="2188">
        <f t="shared" si="230"/>
        <v>0</v>
      </c>
      <c r="AV109" s="2186">
        <f t="shared" si="211"/>
        <v>0</v>
      </c>
      <c r="AW109" s="2188">
        <f t="shared" si="231"/>
        <v>0</v>
      </c>
      <c r="AX109" s="2188">
        <f t="shared" si="231"/>
        <v>0</v>
      </c>
      <c r="AY109" s="2186">
        <f t="shared" si="212"/>
        <v>0</v>
      </c>
      <c r="AZ109" s="2188">
        <f t="shared" si="232"/>
        <v>0</v>
      </c>
      <c r="BA109" s="2188">
        <f t="shared" si="232"/>
        <v>0</v>
      </c>
      <c r="BB109" s="2186">
        <f t="shared" si="213"/>
        <v>0</v>
      </c>
      <c r="BC109" s="2188">
        <f t="shared" si="233"/>
        <v>0</v>
      </c>
      <c r="BD109" s="2188">
        <f t="shared" si="233"/>
        <v>0</v>
      </c>
      <c r="BE109" s="2186">
        <f t="shared" si="214"/>
        <v>0</v>
      </c>
      <c r="BF109" s="2188">
        <f t="shared" si="234"/>
        <v>0</v>
      </c>
      <c r="BG109" s="2188">
        <f t="shared" si="234"/>
        <v>0</v>
      </c>
      <c r="BH109" s="2186">
        <f t="shared" si="215"/>
        <v>0</v>
      </c>
      <c r="BI109" s="2188">
        <f t="shared" si="235"/>
        <v>0</v>
      </c>
      <c r="BJ109" s="2188">
        <f t="shared" si="235"/>
        <v>0</v>
      </c>
      <c r="BK109" s="2186">
        <f t="shared" si="216"/>
        <v>0</v>
      </c>
      <c r="BL109" s="2188">
        <f t="shared" si="236"/>
        <v>0</v>
      </c>
      <c r="BM109" s="2188">
        <f t="shared" si="236"/>
        <v>0</v>
      </c>
      <c r="BN109" s="2186">
        <f t="shared" si="217"/>
        <v>0</v>
      </c>
      <c r="BO109" s="2188">
        <f t="shared" si="237"/>
        <v>0</v>
      </c>
      <c r="BP109" s="2188">
        <f t="shared" si="237"/>
        <v>0</v>
      </c>
      <c r="BQ109" s="2186">
        <f t="shared" si="218"/>
        <v>0</v>
      </c>
    </row>
    <row r="110" spans="3:69" s="2087" customFormat="1">
      <c r="C110" s="2189" t="s">
        <v>2228</v>
      </c>
      <c r="D110" s="2275" t="s">
        <v>2229</v>
      </c>
      <c r="E110" s="2274" t="s">
        <v>420</v>
      </c>
      <c r="F110" s="2176"/>
      <c r="G110" s="2179">
        <f>G145+G178+G277+G211+G244</f>
        <v>0</v>
      </c>
      <c r="H110" s="2179">
        <f t="shared" si="219"/>
        <v>0</v>
      </c>
      <c r="I110" s="2178">
        <f t="shared" si="204"/>
        <v>0</v>
      </c>
      <c r="J110" s="2176"/>
      <c r="K110" s="2179">
        <f>(N110+Q110+W110+AC110)/4</f>
        <v>0</v>
      </c>
      <c r="L110" s="2179">
        <f t="shared" si="206"/>
        <v>0</v>
      </c>
      <c r="M110" s="2178">
        <f t="shared" si="183"/>
        <v>0</v>
      </c>
      <c r="N110" s="2179">
        <f t="shared" si="220"/>
        <v>0</v>
      </c>
      <c r="O110" s="2179">
        <f t="shared" si="220"/>
        <v>0</v>
      </c>
      <c r="P110" s="2178">
        <f t="shared" si="184"/>
        <v>0</v>
      </c>
      <c r="Q110" s="2179">
        <f t="shared" si="221"/>
        <v>0</v>
      </c>
      <c r="R110" s="2179">
        <f t="shared" si="221"/>
        <v>0</v>
      </c>
      <c r="S110" s="2180">
        <f t="shared" si="185"/>
        <v>0</v>
      </c>
      <c r="T110" s="2251">
        <f t="shared" si="222"/>
        <v>0</v>
      </c>
      <c r="U110" s="2252">
        <f>(O110+R110)/2</f>
        <v>0</v>
      </c>
      <c r="V110" s="2253">
        <f t="shared" si="187"/>
        <v>0</v>
      </c>
      <c r="W110" s="2187">
        <f t="shared" si="223"/>
        <v>0</v>
      </c>
      <c r="X110" s="2179">
        <f t="shared" si="223"/>
        <v>0</v>
      </c>
      <c r="Y110" s="2183">
        <f t="shared" si="188"/>
        <v>0</v>
      </c>
      <c r="Z110" s="2254">
        <f t="shared" si="224"/>
        <v>0</v>
      </c>
      <c r="AA110" s="2252">
        <f t="shared" si="224"/>
        <v>0</v>
      </c>
      <c r="AB110" s="2255">
        <f t="shared" si="190"/>
        <v>0</v>
      </c>
      <c r="AC110" s="2179">
        <f t="shared" si="225"/>
        <v>0</v>
      </c>
      <c r="AD110" s="2179">
        <f t="shared" si="225"/>
        <v>0</v>
      </c>
      <c r="AE110" s="2180">
        <f t="shared" si="191"/>
        <v>0</v>
      </c>
      <c r="AF110" s="2185"/>
      <c r="AG110" s="2114"/>
      <c r="AH110" s="2188">
        <f t="shared" si="226"/>
        <v>0</v>
      </c>
      <c r="AI110" s="2188">
        <f t="shared" si="226"/>
        <v>0</v>
      </c>
      <c r="AJ110" s="2186">
        <f t="shared" si="207"/>
        <v>0</v>
      </c>
      <c r="AK110" s="2188">
        <f t="shared" si="227"/>
        <v>0</v>
      </c>
      <c r="AL110" s="2188">
        <f t="shared" si="227"/>
        <v>0</v>
      </c>
      <c r="AM110" s="2186">
        <f t="shared" si="208"/>
        <v>0</v>
      </c>
      <c r="AN110" s="2188">
        <f t="shared" si="228"/>
        <v>0</v>
      </c>
      <c r="AO110" s="2188">
        <f t="shared" si="228"/>
        <v>0</v>
      </c>
      <c r="AP110" s="2186">
        <f t="shared" si="209"/>
        <v>0</v>
      </c>
      <c r="AQ110" s="2188">
        <f t="shared" si="229"/>
        <v>0</v>
      </c>
      <c r="AR110" s="2188">
        <f t="shared" si="229"/>
        <v>0</v>
      </c>
      <c r="AS110" s="2186">
        <f t="shared" si="210"/>
        <v>0</v>
      </c>
      <c r="AT110" s="2188">
        <f t="shared" si="230"/>
        <v>0</v>
      </c>
      <c r="AU110" s="2188">
        <f t="shared" si="230"/>
        <v>0</v>
      </c>
      <c r="AV110" s="2186">
        <f t="shared" si="211"/>
        <v>0</v>
      </c>
      <c r="AW110" s="2188">
        <f t="shared" si="231"/>
        <v>0</v>
      </c>
      <c r="AX110" s="2188">
        <f t="shared" si="231"/>
        <v>0</v>
      </c>
      <c r="AY110" s="2186">
        <f t="shared" si="212"/>
        <v>0</v>
      </c>
      <c r="AZ110" s="2188">
        <f t="shared" si="232"/>
        <v>0</v>
      </c>
      <c r="BA110" s="2188">
        <f t="shared" si="232"/>
        <v>0</v>
      </c>
      <c r="BB110" s="2186">
        <f t="shared" si="213"/>
        <v>0</v>
      </c>
      <c r="BC110" s="2188">
        <f t="shared" si="233"/>
        <v>0</v>
      </c>
      <c r="BD110" s="2188">
        <f t="shared" si="233"/>
        <v>0</v>
      </c>
      <c r="BE110" s="2186">
        <f t="shared" si="214"/>
        <v>0</v>
      </c>
      <c r="BF110" s="2188">
        <f t="shared" si="234"/>
        <v>0</v>
      </c>
      <c r="BG110" s="2188">
        <f t="shared" si="234"/>
        <v>0</v>
      </c>
      <c r="BH110" s="2186">
        <f t="shared" si="215"/>
        <v>0</v>
      </c>
      <c r="BI110" s="2188">
        <f t="shared" si="235"/>
        <v>0</v>
      </c>
      <c r="BJ110" s="2188">
        <f t="shared" si="235"/>
        <v>0</v>
      </c>
      <c r="BK110" s="2186">
        <f t="shared" si="216"/>
        <v>0</v>
      </c>
      <c r="BL110" s="2188">
        <f t="shared" si="236"/>
        <v>0</v>
      </c>
      <c r="BM110" s="2188">
        <f t="shared" si="236"/>
        <v>0</v>
      </c>
      <c r="BN110" s="2186">
        <f t="shared" si="217"/>
        <v>0</v>
      </c>
      <c r="BO110" s="2188">
        <f t="shared" si="237"/>
        <v>0</v>
      </c>
      <c r="BP110" s="2188">
        <f t="shared" si="237"/>
        <v>0</v>
      </c>
      <c r="BQ110" s="2186">
        <f t="shared" si="218"/>
        <v>0</v>
      </c>
    </row>
    <row r="111" spans="3:69" s="2279" customFormat="1">
      <c r="C111" s="2173" t="s">
        <v>2230</v>
      </c>
      <c r="D111" s="2174" t="s">
        <v>2231</v>
      </c>
      <c r="E111" s="2274" t="s">
        <v>240</v>
      </c>
      <c r="F111" s="2176"/>
      <c r="G111" s="2179">
        <f t="shared" ref="G111:H122" si="238">G146+G179+G278+G212+G245</f>
        <v>0</v>
      </c>
      <c r="H111" s="2179">
        <f t="shared" si="238"/>
        <v>0</v>
      </c>
      <c r="I111" s="2178">
        <f t="shared" si="204"/>
        <v>0</v>
      </c>
      <c r="J111" s="2176"/>
      <c r="K111" s="2179">
        <f t="shared" ref="K111:K171" si="239">N111+Q111+W111+AC111</f>
        <v>0</v>
      </c>
      <c r="L111" s="2179">
        <f t="shared" si="182"/>
        <v>0</v>
      </c>
      <c r="M111" s="2178">
        <f t="shared" si="183"/>
        <v>0</v>
      </c>
      <c r="N111" s="2179">
        <f t="shared" si="220"/>
        <v>0</v>
      </c>
      <c r="O111" s="2179">
        <f t="shared" si="220"/>
        <v>0</v>
      </c>
      <c r="P111" s="2178">
        <f t="shared" si="184"/>
        <v>0</v>
      </c>
      <c r="Q111" s="2179">
        <f t="shared" si="221"/>
        <v>0</v>
      </c>
      <c r="R111" s="2179">
        <f t="shared" si="221"/>
        <v>0</v>
      </c>
      <c r="S111" s="2180">
        <f t="shared" si="185"/>
        <v>0</v>
      </c>
      <c r="T111" s="2251">
        <f t="shared" si="186"/>
        <v>0</v>
      </c>
      <c r="U111" s="2252">
        <f t="shared" si="186"/>
        <v>0</v>
      </c>
      <c r="V111" s="2253">
        <f t="shared" si="187"/>
        <v>0</v>
      </c>
      <c r="W111" s="2187">
        <f t="shared" si="223"/>
        <v>0</v>
      </c>
      <c r="X111" s="2179">
        <f t="shared" si="223"/>
        <v>0</v>
      </c>
      <c r="Y111" s="2183">
        <f t="shared" si="188"/>
        <v>0</v>
      </c>
      <c r="Z111" s="2254">
        <f>T111+W111</f>
        <v>0</v>
      </c>
      <c r="AA111" s="2252">
        <f t="shared" si="189"/>
        <v>0</v>
      </c>
      <c r="AB111" s="2255">
        <f t="shared" si="190"/>
        <v>0</v>
      </c>
      <c r="AC111" s="2179">
        <f t="shared" si="225"/>
        <v>0</v>
      </c>
      <c r="AD111" s="2179">
        <f t="shared" si="225"/>
        <v>0</v>
      </c>
      <c r="AE111" s="2180">
        <f t="shared" si="191"/>
        <v>0</v>
      </c>
      <c r="AF111" s="2277"/>
      <c r="AG111" s="2278"/>
      <c r="AH111" s="2188">
        <f t="shared" si="226"/>
        <v>3.6832480000000003</v>
      </c>
      <c r="AI111" s="2188">
        <f t="shared" si="226"/>
        <v>0</v>
      </c>
      <c r="AJ111" s="2186">
        <f t="shared" si="207"/>
        <v>-3.6832480000000003</v>
      </c>
      <c r="AK111" s="2188">
        <f t="shared" si="227"/>
        <v>0</v>
      </c>
      <c r="AL111" s="2188">
        <f t="shared" si="227"/>
        <v>0</v>
      </c>
      <c r="AM111" s="2186">
        <f t="shared" si="208"/>
        <v>0</v>
      </c>
      <c r="AN111" s="2188">
        <f t="shared" si="228"/>
        <v>0</v>
      </c>
      <c r="AO111" s="2188">
        <f t="shared" si="228"/>
        <v>0</v>
      </c>
      <c r="AP111" s="2186">
        <f t="shared" si="209"/>
        <v>0</v>
      </c>
      <c r="AQ111" s="2188">
        <f t="shared" si="229"/>
        <v>0</v>
      </c>
      <c r="AR111" s="2188">
        <f t="shared" si="229"/>
        <v>0</v>
      </c>
      <c r="AS111" s="2186">
        <f t="shared" si="210"/>
        <v>0</v>
      </c>
      <c r="AT111" s="2188">
        <f t="shared" si="230"/>
        <v>0</v>
      </c>
      <c r="AU111" s="2188">
        <f t="shared" si="230"/>
        <v>0</v>
      </c>
      <c r="AV111" s="2186">
        <f t="shared" si="211"/>
        <v>0</v>
      </c>
      <c r="AW111" s="2188">
        <f t="shared" si="231"/>
        <v>0</v>
      </c>
      <c r="AX111" s="2188">
        <f t="shared" si="231"/>
        <v>0</v>
      </c>
      <c r="AY111" s="2186">
        <f t="shared" si="212"/>
        <v>0</v>
      </c>
      <c r="AZ111" s="2188">
        <f t="shared" si="232"/>
        <v>0</v>
      </c>
      <c r="BA111" s="2188">
        <f t="shared" si="232"/>
        <v>0</v>
      </c>
      <c r="BB111" s="2186">
        <f t="shared" si="213"/>
        <v>0</v>
      </c>
      <c r="BC111" s="2188">
        <f t="shared" si="233"/>
        <v>0</v>
      </c>
      <c r="BD111" s="2188">
        <f t="shared" si="233"/>
        <v>0</v>
      </c>
      <c r="BE111" s="2186">
        <f t="shared" si="214"/>
        <v>0</v>
      </c>
      <c r="BF111" s="2188">
        <f t="shared" si="234"/>
        <v>0</v>
      </c>
      <c r="BG111" s="2188">
        <f t="shared" si="234"/>
        <v>0</v>
      </c>
      <c r="BH111" s="2186">
        <f t="shared" si="215"/>
        <v>0</v>
      </c>
      <c r="BI111" s="2188">
        <f t="shared" si="235"/>
        <v>0</v>
      </c>
      <c r="BJ111" s="2188">
        <f t="shared" si="235"/>
        <v>0</v>
      </c>
      <c r="BK111" s="2186">
        <f t="shared" si="216"/>
        <v>0</v>
      </c>
      <c r="BL111" s="2188">
        <f t="shared" si="236"/>
        <v>0</v>
      </c>
      <c r="BM111" s="2188">
        <f t="shared" si="236"/>
        <v>0</v>
      </c>
      <c r="BN111" s="2186">
        <f t="shared" si="217"/>
        <v>0</v>
      </c>
      <c r="BO111" s="2188">
        <f t="shared" si="237"/>
        <v>0</v>
      </c>
      <c r="BP111" s="2188">
        <f t="shared" si="237"/>
        <v>0</v>
      </c>
      <c r="BQ111" s="2186">
        <f t="shared" si="218"/>
        <v>0</v>
      </c>
    </row>
    <row r="112" spans="3:69" s="2279" customFormat="1">
      <c r="C112" s="2189" t="s">
        <v>2232</v>
      </c>
      <c r="D112" s="2275" t="s">
        <v>2221</v>
      </c>
      <c r="E112" s="2274" t="s">
        <v>240</v>
      </c>
      <c r="F112" s="2176"/>
      <c r="G112" s="2179">
        <f t="shared" si="238"/>
        <v>0</v>
      </c>
      <c r="H112" s="2179">
        <f t="shared" si="238"/>
        <v>0</v>
      </c>
      <c r="I112" s="2178">
        <f t="shared" si="204"/>
        <v>0</v>
      </c>
      <c r="J112" s="2176"/>
      <c r="K112" s="2179">
        <f t="shared" si="239"/>
        <v>0</v>
      </c>
      <c r="L112" s="2179">
        <f t="shared" si="182"/>
        <v>0</v>
      </c>
      <c r="M112" s="2178">
        <f t="shared" si="183"/>
        <v>0</v>
      </c>
      <c r="N112" s="2179">
        <f t="shared" si="220"/>
        <v>0</v>
      </c>
      <c r="O112" s="2179">
        <f t="shared" si="220"/>
        <v>0</v>
      </c>
      <c r="P112" s="2178">
        <f t="shared" si="184"/>
        <v>0</v>
      </c>
      <c r="Q112" s="2179">
        <f t="shared" si="221"/>
        <v>0</v>
      </c>
      <c r="R112" s="2179">
        <f t="shared" si="221"/>
        <v>0</v>
      </c>
      <c r="S112" s="2180">
        <f t="shared" si="185"/>
        <v>0</v>
      </c>
      <c r="T112" s="2251">
        <f t="shared" si="186"/>
        <v>0</v>
      </c>
      <c r="U112" s="2252">
        <f t="shared" si="186"/>
        <v>0</v>
      </c>
      <c r="V112" s="2253">
        <f t="shared" si="187"/>
        <v>0</v>
      </c>
      <c r="W112" s="2187">
        <f t="shared" si="223"/>
        <v>0</v>
      </c>
      <c r="X112" s="2179">
        <f t="shared" si="223"/>
        <v>0</v>
      </c>
      <c r="Y112" s="2183">
        <f t="shared" si="188"/>
        <v>0</v>
      </c>
      <c r="Z112" s="2254">
        <f t="shared" si="189"/>
        <v>0</v>
      </c>
      <c r="AA112" s="2252">
        <f t="shared" si="189"/>
        <v>0</v>
      </c>
      <c r="AB112" s="2255">
        <f t="shared" si="190"/>
        <v>0</v>
      </c>
      <c r="AC112" s="2179">
        <f t="shared" si="225"/>
        <v>0</v>
      </c>
      <c r="AD112" s="2179">
        <f t="shared" si="225"/>
        <v>0</v>
      </c>
      <c r="AE112" s="2180">
        <f t="shared" si="191"/>
        <v>0</v>
      </c>
      <c r="AF112" s="2277"/>
      <c r="AG112" s="2278"/>
      <c r="AH112" s="2188">
        <f t="shared" si="226"/>
        <v>0</v>
      </c>
      <c r="AI112" s="2188">
        <f t="shared" si="226"/>
        <v>0</v>
      </c>
      <c r="AJ112" s="2186">
        <f t="shared" si="207"/>
        <v>0</v>
      </c>
      <c r="AK112" s="2188">
        <f t="shared" si="227"/>
        <v>0</v>
      </c>
      <c r="AL112" s="2188">
        <f t="shared" si="227"/>
        <v>0</v>
      </c>
      <c r="AM112" s="2186">
        <f t="shared" si="208"/>
        <v>0</v>
      </c>
      <c r="AN112" s="2188">
        <f t="shared" si="228"/>
        <v>0</v>
      </c>
      <c r="AO112" s="2188">
        <f t="shared" si="228"/>
        <v>0</v>
      </c>
      <c r="AP112" s="2186">
        <f t="shared" si="209"/>
        <v>0</v>
      </c>
      <c r="AQ112" s="2188">
        <f t="shared" si="229"/>
        <v>0</v>
      </c>
      <c r="AR112" s="2188">
        <f t="shared" si="229"/>
        <v>0</v>
      </c>
      <c r="AS112" s="2186">
        <f t="shared" si="210"/>
        <v>0</v>
      </c>
      <c r="AT112" s="2188">
        <f t="shared" si="230"/>
        <v>0</v>
      </c>
      <c r="AU112" s="2188">
        <f t="shared" si="230"/>
        <v>0</v>
      </c>
      <c r="AV112" s="2186">
        <f t="shared" si="211"/>
        <v>0</v>
      </c>
      <c r="AW112" s="2188">
        <f t="shared" si="231"/>
        <v>0</v>
      </c>
      <c r="AX112" s="2188">
        <f t="shared" si="231"/>
        <v>0</v>
      </c>
      <c r="AY112" s="2186">
        <f t="shared" si="212"/>
        <v>0</v>
      </c>
      <c r="AZ112" s="2188">
        <f t="shared" si="232"/>
        <v>0</v>
      </c>
      <c r="BA112" s="2188">
        <f t="shared" si="232"/>
        <v>0</v>
      </c>
      <c r="BB112" s="2186">
        <f t="shared" si="213"/>
        <v>0</v>
      </c>
      <c r="BC112" s="2188">
        <f t="shared" si="233"/>
        <v>0</v>
      </c>
      <c r="BD112" s="2188">
        <f t="shared" si="233"/>
        <v>0</v>
      </c>
      <c r="BE112" s="2186">
        <f t="shared" si="214"/>
        <v>0</v>
      </c>
      <c r="BF112" s="2188">
        <f t="shared" si="234"/>
        <v>0</v>
      </c>
      <c r="BG112" s="2188">
        <f t="shared" si="234"/>
        <v>0</v>
      </c>
      <c r="BH112" s="2186">
        <f t="shared" si="215"/>
        <v>0</v>
      </c>
      <c r="BI112" s="2188">
        <f t="shared" si="235"/>
        <v>0</v>
      </c>
      <c r="BJ112" s="2188">
        <f t="shared" si="235"/>
        <v>0</v>
      </c>
      <c r="BK112" s="2186">
        <f t="shared" si="216"/>
        <v>0</v>
      </c>
      <c r="BL112" s="2188">
        <f t="shared" si="236"/>
        <v>0</v>
      </c>
      <c r="BM112" s="2188">
        <f t="shared" si="236"/>
        <v>0</v>
      </c>
      <c r="BN112" s="2186">
        <f t="shared" si="217"/>
        <v>0</v>
      </c>
      <c r="BO112" s="2188">
        <f t="shared" si="237"/>
        <v>0</v>
      </c>
      <c r="BP112" s="2188">
        <f t="shared" si="237"/>
        <v>0</v>
      </c>
      <c r="BQ112" s="2186">
        <f t="shared" si="218"/>
        <v>0</v>
      </c>
    </row>
    <row r="113" spans="3:69" s="2279" customFormat="1">
      <c r="C113" s="2189" t="s">
        <v>2233</v>
      </c>
      <c r="D113" s="2275" t="s">
        <v>2223</v>
      </c>
      <c r="E113" s="2274" t="s">
        <v>240</v>
      </c>
      <c r="F113" s="2176"/>
      <c r="G113" s="2179">
        <f t="shared" si="238"/>
        <v>0</v>
      </c>
      <c r="H113" s="2179">
        <f t="shared" si="238"/>
        <v>0</v>
      </c>
      <c r="I113" s="2178">
        <f t="shared" si="204"/>
        <v>0</v>
      </c>
      <c r="J113" s="2176"/>
      <c r="K113" s="2179">
        <f t="shared" si="239"/>
        <v>0</v>
      </c>
      <c r="L113" s="2179">
        <f t="shared" si="182"/>
        <v>0</v>
      </c>
      <c r="M113" s="2178">
        <f t="shared" si="183"/>
        <v>0</v>
      </c>
      <c r="N113" s="2179">
        <f t="shared" si="220"/>
        <v>0</v>
      </c>
      <c r="O113" s="2179">
        <f t="shared" si="220"/>
        <v>0</v>
      </c>
      <c r="P113" s="2178">
        <f t="shared" si="184"/>
        <v>0</v>
      </c>
      <c r="Q113" s="2179">
        <f t="shared" si="221"/>
        <v>0</v>
      </c>
      <c r="R113" s="2179">
        <f t="shared" si="221"/>
        <v>0</v>
      </c>
      <c r="S113" s="2180">
        <f t="shared" si="185"/>
        <v>0</v>
      </c>
      <c r="T113" s="2251">
        <f t="shared" si="186"/>
        <v>0</v>
      </c>
      <c r="U113" s="2252">
        <f t="shared" si="186"/>
        <v>0</v>
      </c>
      <c r="V113" s="2253">
        <f t="shared" si="187"/>
        <v>0</v>
      </c>
      <c r="W113" s="2187">
        <f t="shared" si="223"/>
        <v>0</v>
      </c>
      <c r="X113" s="2179">
        <f t="shared" si="223"/>
        <v>0</v>
      </c>
      <c r="Y113" s="2183">
        <f t="shared" si="188"/>
        <v>0</v>
      </c>
      <c r="Z113" s="2254">
        <f t="shared" si="189"/>
        <v>0</v>
      </c>
      <c r="AA113" s="2252">
        <f t="shared" si="189"/>
        <v>0</v>
      </c>
      <c r="AB113" s="2255">
        <f t="shared" si="190"/>
        <v>0</v>
      </c>
      <c r="AC113" s="2179">
        <f t="shared" si="225"/>
        <v>0</v>
      </c>
      <c r="AD113" s="2179">
        <f t="shared" si="225"/>
        <v>0</v>
      </c>
      <c r="AE113" s="2180">
        <f t="shared" si="191"/>
        <v>0</v>
      </c>
      <c r="AF113" s="2277"/>
      <c r="AG113" s="2278"/>
      <c r="AH113" s="2188">
        <f t="shared" si="226"/>
        <v>0</v>
      </c>
      <c r="AI113" s="2188">
        <f t="shared" si="226"/>
        <v>0</v>
      </c>
      <c r="AJ113" s="2186">
        <f t="shared" si="207"/>
        <v>0</v>
      </c>
      <c r="AK113" s="2188">
        <f t="shared" si="227"/>
        <v>0</v>
      </c>
      <c r="AL113" s="2188">
        <f t="shared" si="227"/>
        <v>0</v>
      </c>
      <c r="AM113" s="2186">
        <f t="shared" si="208"/>
        <v>0</v>
      </c>
      <c r="AN113" s="2188">
        <f t="shared" si="228"/>
        <v>0</v>
      </c>
      <c r="AO113" s="2188">
        <f t="shared" si="228"/>
        <v>0</v>
      </c>
      <c r="AP113" s="2186">
        <f t="shared" si="209"/>
        <v>0</v>
      </c>
      <c r="AQ113" s="2188">
        <f t="shared" si="229"/>
        <v>0</v>
      </c>
      <c r="AR113" s="2188">
        <f t="shared" si="229"/>
        <v>0</v>
      </c>
      <c r="AS113" s="2186">
        <f t="shared" si="210"/>
        <v>0</v>
      </c>
      <c r="AT113" s="2188">
        <f t="shared" si="230"/>
        <v>0</v>
      </c>
      <c r="AU113" s="2188">
        <f t="shared" si="230"/>
        <v>0</v>
      </c>
      <c r="AV113" s="2186">
        <f t="shared" si="211"/>
        <v>0</v>
      </c>
      <c r="AW113" s="2188">
        <f t="shared" si="231"/>
        <v>0</v>
      </c>
      <c r="AX113" s="2188">
        <f t="shared" si="231"/>
        <v>0</v>
      </c>
      <c r="AY113" s="2186">
        <f t="shared" si="212"/>
        <v>0</v>
      </c>
      <c r="AZ113" s="2188">
        <f t="shared" si="232"/>
        <v>0</v>
      </c>
      <c r="BA113" s="2188">
        <f t="shared" si="232"/>
        <v>0</v>
      </c>
      <c r="BB113" s="2186">
        <f t="shared" si="213"/>
        <v>0</v>
      </c>
      <c r="BC113" s="2188">
        <f t="shared" si="233"/>
        <v>0</v>
      </c>
      <c r="BD113" s="2188">
        <f t="shared" si="233"/>
        <v>0</v>
      </c>
      <c r="BE113" s="2186">
        <f t="shared" si="214"/>
        <v>0</v>
      </c>
      <c r="BF113" s="2188">
        <f t="shared" si="234"/>
        <v>0</v>
      </c>
      <c r="BG113" s="2188">
        <f t="shared" si="234"/>
        <v>0</v>
      </c>
      <c r="BH113" s="2186">
        <f t="shared" si="215"/>
        <v>0</v>
      </c>
      <c r="BI113" s="2188">
        <f t="shared" si="235"/>
        <v>0</v>
      </c>
      <c r="BJ113" s="2188">
        <f t="shared" si="235"/>
        <v>0</v>
      </c>
      <c r="BK113" s="2186">
        <f t="shared" si="216"/>
        <v>0</v>
      </c>
      <c r="BL113" s="2188">
        <f t="shared" si="236"/>
        <v>0</v>
      </c>
      <c r="BM113" s="2188">
        <f t="shared" si="236"/>
        <v>0</v>
      </c>
      <c r="BN113" s="2186">
        <f t="shared" si="217"/>
        <v>0</v>
      </c>
      <c r="BO113" s="2188">
        <f t="shared" si="237"/>
        <v>0</v>
      </c>
      <c r="BP113" s="2188">
        <f t="shared" si="237"/>
        <v>0</v>
      </c>
      <c r="BQ113" s="2186">
        <f t="shared" si="218"/>
        <v>0</v>
      </c>
    </row>
    <row r="114" spans="3:69" s="2279" customFormat="1">
      <c r="C114" s="2189" t="s">
        <v>2234</v>
      </c>
      <c r="D114" s="2275" t="s">
        <v>2225</v>
      </c>
      <c r="E114" s="2274" t="s">
        <v>240</v>
      </c>
      <c r="F114" s="2176"/>
      <c r="G114" s="2179">
        <f t="shared" si="238"/>
        <v>0</v>
      </c>
      <c r="H114" s="2179">
        <f t="shared" si="238"/>
        <v>0</v>
      </c>
      <c r="I114" s="2178">
        <f t="shared" si="204"/>
        <v>0</v>
      </c>
      <c r="J114" s="2176"/>
      <c r="K114" s="2179">
        <f t="shared" si="239"/>
        <v>0</v>
      </c>
      <c r="L114" s="2179">
        <f t="shared" si="182"/>
        <v>0</v>
      </c>
      <c r="M114" s="2178">
        <f t="shared" si="183"/>
        <v>0</v>
      </c>
      <c r="N114" s="2179">
        <f t="shared" si="220"/>
        <v>0</v>
      </c>
      <c r="O114" s="2179">
        <f t="shared" si="220"/>
        <v>0</v>
      </c>
      <c r="P114" s="2178">
        <f t="shared" si="184"/>
        <v>0</v>
      </c>
      <c r="Q114" s="2179">
        <f t="shared" si="221"/>
        <v>0</v>
      </c>
      <c r="R114" s="2179">
        <f t="shared" si="221"/>
        <v>0</v>
      </c>
      <c r="S114" s="2180">
        <f t="shared" si="185"/>
        <v>0</v>
      </c>
      <c r="T114" s="2251">
        <f t="shared" si="186"/>
        <v>0</v>
      </c>
      <c r="U114" s="2252">
        <f t="shared" si="186"/>
        <v>0</v>
      </c>
      <c r="V114" s="2253">
        <f t="shared" si="187"/>
        <v>0</v>
      </c>
      <c r="W114" s="2187">
        <f t="shared" si="223"/>
        <v>0</v>
      </c>
      <c r="X114" s="2179">
        <f t="shared" si="223"/>
        <v>0</v>
      </c>
      <c r="Y114" s="2183">
        <f t="shared" si="188"/>
        <v>0</v>
      </c>
      <c r="Z114" s="2254">
        <f t="shared" si="189"/>
        <v>0</v>
      </c>
      <c r="AA114" s="2252">
        <f t="shared" si="189"/>
        <v>0</v>
      </c>
      <c r="AB114" s="2255">
        <f t="shared" si="190"/>
        <v>0</v>
      </c>
      <c r="AC114" s="2179">
        <f t="shared" si="225"/>
        <v>0</v>
      </c>
      <c r="AD114" s="2179">
        <f t="shared" si="225"/>
        <v>0</v>
      </c>
      <c r="AE114" s="2180">
        <f t="shared" si="191"/>
        <v>0</v>
      </c>
      <c r="AF114" s="2277"/>
      <c r="AG114" s="2278"/>
      <c r="AH114" s="2188">
        <f t="shared" si="226"/>
        <v>0.102423</v>
      </c>
      <c r="AI114" s="2188">
        <f t="shared" si="226"/>
        <v>0</v>
      </c>
      <c r="AJ114" s="2186">
        <f t="shared" si="207"/>
        <v>-0.102423</v>
      </c>
      <c r="AK114" s="2188">
        <f t="shared" si="227"/>
        <v>0</v>
      </c>
      <c r="AL114" s="2188">
        <f t="shared" si="227"/>
        <v>0</v>
      </c>
      <c r="AM114" s="2186">
        <f t="shared" si="208"/>
        <v>0</v>
      </c>
      <c r="AN114" s="2188">
        <f t="shared" si="228"/>
        <v>0</v>
      </c>
      <c r="AO114" s="2188">
        <f t="shared" si="228"/>
        <v>0</v>
      </c>
      <c r="AP114" s="2186">
        <f t="shared" si="209"/>
        <v>0</v>
      </c>
      <c r="AQ114" s="2188">
        <f t="shared" si="229"/>
        <v>0</v>
      </c>
      <c r="AR114" s="2188">
        <f t="shared" si="229"/>
        <v>0</v>
      </c>
      <c r="AS114" s="2186">
        <f t="shared" si="210"/>
        <v>0</v>
      </c>
      <c r="AT114" s="2188">
        <f t="shared" si="230"/>
        <v>0</v>
      </c>
      <c r="AU114" s="2188">
        <f t="shared" si="230"/>
        <v>0</v>
      </c>
      <c r="AV114" s="2186">
        <f t="shared" si="211"/>
        <v>0</v>
      </c>
      <c r="AW114" s="2188">
        <f t="shared" si="231"/>
        <v>0</v>
      </c>
      <c r="AX114" s="2188">
        <f t="shared" si="231"/>
        <v>0</v>
      </c>
      <c r="AY114" s="2186">
        <f t="shared" si="212"/>
        <v>0</v>
      </c>
      <c r="AZ114" s="2188">
        <f t="shared" si="232"/>
        <v>0</v>
      </c>
      <c r="BA114" s="2188">
        <f t="shared" si="232"/>
        <v>0</v>
      </c>
      <c r="BB114" s="2186">
        <f t="shared" si="213"/>
        <v>0</v>
      </c>
      <c r="BC114" s="2188">
        <f t="shared" si="233"/>
        <v>0</v>
      </c>
      <c r="BD114" s="2188">
        <f t="shared" si="233"/>
        <v>0</v>
      </c>
      <c r="BE114" s="2186">
        <f t="shared" si="214"/>
        <v>0</v>
      </c>
      <c r="BF114" s="2188">
        <f t="shared" si="234"/>
        <v>0</v>
      </c>
      <c r="BG114" s="2188">
        <f t="shared" si="234"/>
        <v>0</v>
      </c>
      <c r="BH114" s="2186">
        <f t="shared" si="215"/>
        <v>0</v>
      </c>
      <c r="BI114" s="2188">
        <f t="shared" si="235"/>
        <v>0</v>
      </c>
      <c r="BJ114" s="2188">
        <f t="shared" si="235"/>
        <v>0</v>
      </c>
      <c r="BK114" s="2186">
        <f t="shared" si="216"/>
        <v>0</v>
      </c>
      <c r="BL114" s="2188">
        <f t="shared" si="236"/>
        <v>0</v>
      </c>
      <c r="BM114" s="2188">
        <f t="shared" si="236"/>
        <v>0</v>
      </c>
      <c r="BN114" s="2186">
        <f t="shared" si="217"/>
        <v>0</v>
      </c>
      <c r="BO114" s="2188">
        <f t="shared" si="237"/>
        <v>0</v>
      </c>
      <c r="BP114" s="2188">
        <f t="shared" si="237"/>
        <v>0</v>
      </c>
      <c r="BQ114" s="2186">
        <f t="shared" si="218"/>
        <v>0</v>
      </c>
    </row>
    <row r="115" spans="3:69" s="2279" customFormat="1">
      <c r="C115" s="2189" t="s">
        <v>2235</v>
      </c>
      <c r="D115" s="2275" t="s">
        <v>2227</v>
      </c>
      <c r="E115" s="2274" t="s">
        <v>240</v>
      </c>
      <c r="F115" s="2176"/>
      <c r="G115" s="2179">
        <f t="shared" si="238"/>
        <v>0</v>
      </c>
      <c r="H115" s="2179">
        <f t="shared" si="238"/>
        <v>0</v>
      </c>
      <c r="I115" s="2178">
        <f t="shared" si="204"/>
        <v>0</v>
      </c>
      <c r="J115" s="2176"/>
      <c r="K115" s="2179">
        <f t="shared" si="239"/>
        <v>0</v>
      </c>
      <c r="L115" s="2179">
        <f t="shared" si="182"/>
        <v>0</v>
      </c>
      <c r="M115" s="2178">
        <f t="shared" si="183"/>
        <v>0</v>
      </c>
      <c r="N115" s="2179">
        <f t="shared" si="220"/>
        <v>0</v>
      </c>
      <c r="O115" s="2179">
        <f t="shared" si="220"/>
        <v>0</v>
      </c>
      <c r="P115" s="2178">
        <f t="shared" si="184"/>
        <v>0</v>
      </c>
      <c r="Q115" s="2179">
        <f t="shared" si="221"/>
        <v>0</v>
      </c>
      <c r="R115" s="2179">
        <f t="shared" si="221"/>
        <v>0</v>
      </c>
      <c r="S115" s="2180">
        <f t="shared" si="185"/>
        <v>0</v>
      </c>
      <c r="T115" s="2251">
        <f t="shared" si="186"/>
        <v>0</v>
      </c>
      <c r="U115" s="2252">
        <f t="shared" si="186"/>
        <v>0</v>
      </c>
      <c r="V115" s="2253">
        <f t="shared" si="187"/>
        <v>0</v>
      </c>
      <c r="W115" s="2187">
        <f t="shared" si="223"/>
        <v>0</v>
      </c>
      <c r="X115" s="2179">
        <f t="shared" si="223"/>
        <v>0</v>
      </c>
      <c r="Y115" s="2183">
        <f t="shared" si="188"/>
        <v>0</v>
      </c>
      <c r="Z115" s="2254">
        <f t="shared" si="189"/>
        <v>0</v>
      </c>
      <c r="AA115" s="2252">
        <f t="shared" si="189"/>
        <v>0</v>
      </c>
      <c r="AB115" s="2255">
        <f t="shared" si="190"/>
        <v>0</v>
      </c>
      <c r="AC115" s="2179">
        <f t="shared" si="225"/>
        <v>0</v>
      </c>
      <c r="AD115" s="2179">
        <f t="shared" si="225"/>
        <v>0</v>
      </c>
      <c r="AE115" s="2180">
        <f t="shared" si="191"/>
        <v>0</v>
      </c>
      <c r="AF115" s="2277"/>
      <c r="AG115" s="2278"/>
      <c r="AH115" s="2188">
        <f t="shared" si="226"/>
        <v>3.5808250000000004</v>
      </c>
      <c r="AI115" s="2188">
        <f t="shared" si="226"/>
        <v>0</v>
      </c>
      <c r="AJ115" s="2186">
        <f t="shared" si="207"/>
        <v>-3.5808250000000004</v>
      </c>
      <c r="AK115" s="2188">
        <f t="shared" si="227"/>
        <v>0</v>
      </c>
      <c r="AL115" s="2188">
        <f t="shared" si="227"/>
        <v>0</v>
      </c>
      <c r="AM115" s="2186">
        <f t="shared" si="208"/>
        <v>0</v>
      </c>
      <c r="AN115" s="2188">
        <f t="shared" si="228"/>
        <v>0</v>
      </c>
      <c r="AO115" s="2188">
        <f t="shared" si="228"/>
        <v>0</v>
      </c>
      <c r="AP115" s="2186">
        <f t="shared" si="209"/>
        <v>0</v>
      </c>
      <c r="AQ115" s="2188">
        <f t="shared" si="229"/>
        <v>0</v>
      </c>
      <c r="AR115" s="2188">
        <f t="shared" si="229"/>
        <v>0</v>
      </c>
      <c r="AS115" s="2186">
        <f t="shared" si="210"/>
        <v>0</v>
      </c>
      <c r="AT115" s="2188">
        <f t="shared" si="230"/>
        <v>0</v>
      </c>
      <c r="AU115" s="2188">
        <f t="shared" si="230"/>
        <v>0</v>
      </c>
      <c r="AV115" s="2186">
        <f t="shared" si="211"/>
        <v>0</v>
      </c>
      <c r="AW115" s="2188">
        <f t="shared" si="231"/>
        <v>0</v>
      </c>
      <c r="AX115" s="2188">
        <f t="shared" si="231"/>
        <v>0</v>
      </c>
      <c r="AY115" s="2186">
        <f t="shared" si="212"/>
        <v>0</v>
      </c>
      <c r="AZ115" s="2188">
        <f t="shared" si="232"/>
        <v>0</v>
      </c>
      <c r="BA115" s="2188">
        <f t="shared" si="232"/>
        <v>0</v>
      </c>
      <c r="BB115" s="2186">
        <f t="shared" si="213"/>
        <v>0</v>
      </c>
      <c r="BC115" s="2188">
        <f t="shared" si="233"/>
        <v>0</v>
      </c>
      <c r="BD115" s="2188">
        <f t="shared" si="233"/>
        <v>0</v>
      </c>
      <c r="BE115" s="2186">
        <f t="shared" si="214"/>
        <v>0</v>
      </c>
      <c r="BF115" s="2188">
        <f t="shared" si="234"/>
        <v>0</v>
      </c>
      <c r="BG115" s="2188">
        <f t="shared" si="234"/>
        <v>0</v>
      </c>
      <c r="BH115" s="2186">
        <f t="shared" si="215"/>
        <v>0</v>
      </c>
      <c r="BI115" s="2188">
        <f t="shared" si="235"/>
        <v>0</v>
      </c>
      <c r="BJ115" s="2188">
        <f t="shared" si="235"/>
        <v>0</v>
      </c>
      <c r="BK115" s="2186">
        <f t="shared" si="216"/>
        <v>0</v>
      </c>
      <c r="BL115" s="2188">
        <f t="shared" si="236"/>
        <v>0</v>
      </c>
      <c r="BM115" s="2188">
        <f t="shared" si="236"/>
        <v>0</v>
      </c>
      <c r="BN115" s="2186">
        <f t="shared" si="217"/>
        <v>0</v>
      </c>
      <c r="BO115" s="2188">
        <f t="shared" si="237"/>
        <v>0</v>
      </c>
      <c r="BP115" s="2188">
        <f t="shared" si="237"/>
        <v>0</v>
      </c>
      <c r="BQ115" s="2186">
        <f t="shared" si="218"/>
        <v>0</v>
      </c>
    </row>
    <row r="116" spans="3:69" s="2087" customFormat="1">
      <c r="C116" s="2189" t="s">
        <v>2236</v>
      </c>
      <c r="D116" s="2275" t="s">
        <v>2229</v>
      </c>
      <c r="E116" s="2274" t="s">
        <v>240</v>
      </c>
      <c r="F116" s="2176"/>
      <c r="G116" s="2179">
        <f t="shared" si="238"/>
        <v>0</v>
      </c>
      <c r="H116" s="2179">
        <f t="shared" si="238"/>
        <v>0</v>
      </c>
      <c r="I116" s="2178">
        <f t="shared" si="204"/>
        <v>0</v>
      </c>
      <c r="J116" s="2176"/>
      <c r="K116" s="2179">
        <f t="shared" si="239"/>
        <v>0</v>
      </c>
      <c r="L116" s="2179">
        <f t="shared" si="182"/>
        <v>0</v>
      </c>
      <c r="M116" s="2178">
        <f t="shared" si="183"/>
        <v>0</v>
      </c>
      <c r="N116" s="2179">
        <f t="shared" si="220"/>
        <v>0</v>
      </c>
      <c r="O116" s="2179">
        <f t="shared" si="220"/>
        <v>0</v>
      </c>
      <c r="P116" s="2178">
        <f t="shared" si="184"/>
        <v>0</v>
      </c>
      <c r="Q116" s="2179">
        <f t="shared" si="221"/>
        <v>0</v>
      </c>
      <c r="R116" s="2179">
        <f t="shared" si="221"/>
        <v>0</v>
      </c>
      <c r="S116" s="2180">
        <f t="shared" si="185"/>
        <v>0</v>
      </c>
      <c r="T116" s="2251">
        <f t="shared" si="186"/>
        <v>0</v>
      </c>
      <c r="U116" s="2252">
        <f t="shared" si="186"/>
        <v>0</v>
      </c>
      <c r="V116" s="2253">
        <f t="shared" si="187"/>
        <v>0</v>
      </c>
      <c r="W116" s="2187">
        <f t="shared" si="223"/>
        <v>0</v>
      </c>
      <c r="X116" s="2179">
        <f t="shared" si="223"/>
        <v>0</v>
      </c>
      <c r="Y116" s="2183">
        <f t="shared" si="188"/>
        <v>0</v>
      </c>
      <c r="Z116" s="2254">
        <f t="shared" si="189"/>
        <v>0</v>
      </c>
      <c r="AA116" s="2252">
        <f t="shared" si="189"/>
        <v>0</v>
      </c>
      <c r="AB116" s="2255">
        <f t="shared" si="190"/>
        <v>0</v>
      </c>
      <c r="AC116" s="2179">
        <f t="shared" si="225"/>
        <v>0</v>
      </c>
      <c r="AD116" s="2179">
        <f t="shared" si="225"/>
        <v>0</v>
      </c>
      <c r="AE116" s="2180">
        <f t="shared" si="191"/>
        <v>0</v>
      </c>
      <c r="AF116" s="2185"/>
      <c r="AG116" s="2114"/>
      <c r="AH116" s="2188">
        <f t="shared" si="226"/>
        <v>0</v>
      </c>
      <c r="AI116" s="2188">
        <f>AI151+AI184+AI283+AI217+AI250</f>
        <v>0</v>
      </c>
      <c r="AJ116" s="2186">
        <f t="shared" si="207"/>
        <v>0</v>
      </c>
      <c r="AK116" s="2188">
        <f t="shared" si="227"/>
        <v>0</v>
      </c>
      <c r="AL116" s="2188">
        <f t="shared" si="227"/>
        <v>0</v>
      </c>
      <c r="AM116" s="2186">
        <f t="shared" si="208"/>
        <v>0</v>
      </c>
      <c r="AN116" s="2188">
        <f t="shared" si="228"/>
        <v>0</v>
      </c>
      <c r="AO116" s="2188">
        <f t="shared" si="228"/>
        <v>0</v>
      </c>
      <c r="AP116" s="2186">
        <f t="shared" si="209"/>
        <v>0</v>
      </c>
      <c r="AQ116" s="2188">
        <f t="shared" si="229"/>
        <v>0</v>
      </c>
      <c r="AR116" s="2188">
        <f t="shared" si="229"/>
        <v>0</v>
      </c>
      <c r="AS116" s="2186">
        <f t="shared" si="210"/>
        <v>0</v>
      </c>
      <c r="AT116" s="2188">
        <f t="shared" si="230"/>
        <v>0</v>
      </c>
      <c r="AU116" s="2188">
        <f t="shared" si="230"/>
        <v>0</v>
      </c>
      <c r="AV116" s="2186">
        <f t="shared" si="211"/>
        <v>0</v>
      </c>
      <c r="AW116" s="2188">
        <f t="shared" si="231"/>
        <v>0</v>
      </c>
      <c r="AX116" s="2188">
        <f t="shared" si="231"/>
        <v>0</v>
      </c>
      <c r="AY116" s="2186">
        <f t="shared" si="212"/>
        <v>0</v>
      </c>
      <c r="AZ116" s="2188">
        <f t="shared" si="232"/>
        <v>0</v>
      </c>
      <c r="BA116" s="2188">
        <f t="shared" si="232"/>
        <v>0</v>
      </c>
      <c r="BB116" s="2186">
        <f t="shared" si="213"/>
        <v>0</v>
      </c>
      <c r="BC116" s="2188">
        <f t="shared" si="233"/>
        <v>0</v>
      </c>
      <c r="BD116" s="2188">
        <f t="shared" si="233"/>
        <v>0</v>
      </c>
      <c r="BE116" s="2186">
        <f t="shared" si="214"/>
        <v>0</v>
      </c>
      <c r="BF116" s="2188">
        <f t="shared" si="234"/>
        <v>0</v>
      </c>
      <c r="BG116" s="2188">
        <f t="shared" si="234"/>
        <v>0</v>
      </c>
      <c r="BH116" s="2186">
        <f t="shared" si="215"/>
        <v>0</v>
      </c>
      <c r="BI116" s="2188">
        <f t="shared" si="235"/>
        <v>0</v>
      </c>
      <c r="BJ116" s="2188">
        <f t="shared" si="235"/>
        <v>0</v>
      </c>
      <c r="BK116" s="2186">
        <f t="shared" si="216"/>
        <v>0</v>
      </c>
      <c r="BL116" s="2188">
        <f t="shared" si="236"/>
        <v>0</v>
      </c>
      <c r="BM116" s="2188">
        <f t="shared" si="236"/>
        <v>0</v>
      </c>
      <c r="BN116" s="2186">
        <f t="shared" si="217"/>
        <v>0</v>
      </c>
      <c r="BO116" s="2188">
        <f t="shared" si="237"/>
        <v>0</v>
      </c>
      <c r="BP116" s="2188">
        <f t="shared" si="237"/>
        <v>0</v>
      </c>
      <c r="BQ116" s="2186">
        <f t="shared" si="218"/>
        <v>0</v>
      </c>
    </row>
    <row r="117" spans="3:69" s="2279" customFormat="1">
      <c r="C117" s="2173" t="s">
        <v>2237</v>
      </c>
      <c r="D117" s="2263" t="s">
        <v>2238</v>
      </c>
      <c r="E117" s="2274" t="s">
        <v>240</v>
      </c>
      <c r="F117" s="2176"/>
      <c r="G117" s="2179">
        <f t="shared" si="238"/>
        <v>0</v>
      </c>
      <c r="H117" s="2179">
        <f t="shared" si="238"/>
        <v>0</v>
      </c>
      <c r="I117" s="2178">
        <f t="shared" si="204"/>
        <v>0</v>
      </c>
      <c r="J117" s="2176"/>
      <c r="K117" s="2179">
        <f t="shared" si="239"/>
        <v>411.13410855486507</v>
      </c>
      <c r="L117" s="2179">
        <f t="shared" si="182"/>
        <v>0</v>
      </c>
      <c r="M117" s="2178">
        <f t="shared" si="183"/>
        <v>-411.13410855486507</v>
      </c>
      <c r="N117" s="2179">
        <f t="shared" si="220"/>
        <v>106.12147830486499</v>
      </c>
      <c r="O117" s="2179">
        <f t="shared" si="220"/>
        <v>0</v>
      </c>
      <c r="P117" s="2178">
        <f t="shared" si="184"/>
        <v>-106.12147830486499</v>
      </c>
      <c r="Q117" s="2179">
        <f t="shared" si="221"/>
        <v>96.286180750000042</v>
      </c>
      <c r="R117" s="2179">
        <f t="shared" si="221"/>
        <v>0</v>
      </c>
      <c r="S117" s="2180">
        <f t="shared" si="185"/>
        <v>-96.286180750000042</v>
      </c>
      <c r="T117" s="2251">
        <f t="shared" si="186"/>
        <v>202.40765905486504</v>
      </c>
      <c r="U117" s="2252">
        <f t="shared" si="186"/>
        <v>0</v>
      </c>
      <c r="V117" s="2253">
        <f t="shared" si="187"/>
        <v>-202.40765905486504</v>
      </c>
      <c r="W117" s="2187">
        <f t="shared" si="223"/>
        <v>78.056813750000032</v>
      </c>
      <c r="X117" s="2179">
        <f t="shared" si="223"/>
        <v>0</v>
      </c>
      <c r="Y117" s="2183">
        <f t="shared" si="188"/>
        <v>-78.056813750000032</v>
      </c>
      <c r="Z117" s="2254">
        <f t="shared" si="189"/>
        <v>280.46447280486507</v>
      </c>
      <c r="AA117" s="2252">
        <f t="shared" si="189"/>
        <v>0</v>
      </c>
      <c r="AB117" s="2255">
        <f t="shared" si="190"/>
        <v>-280.46447280486507</v>
      </c>
      <c r="AC117" s="2179">
        <f t="shared" si="225"/>
        <v>130.66963575000003</v>
      </c>
      <c r="AD117" s="2179">
        <f t="shared" si="225"/>
        <v>0</v>
      </c>
      <c r="AE117" s="2180">
        <f t="shared" si="191"/>
        <v>-130.66963575000003</v>
      </c>
      <c r="AF117" s="2277"/>
      <c r="AG117" s="2278"/>
      <c r="AH117" s="2188">
        <f t="shared" si="226"/>
        <v>26.798797999999998</v>
      </c>
      <c r="AI117" s="2188">
        <f t="shared" si="226"/>
        <v>0</v>
      </c>
      <c r="AJ117" s="2186">
        <f t="shared" si="207"/>
        <v>-26.798797999999998</v>
      </c>
      <c r="AK117" s="2188">
        <f t="shared" si="227"/>
        <v>42.641683481288155</v>
      </c>
      <c r="AL117" s="2188">
        <f t="shared" si="227"/>
        <v>0</v>
      </c>
      <c r="AM117" s="2186">
        <f t="shared" si="208"/>
        <v>-42.641683481288155</v>
      </c>
      <c r="AN117" s="2188">
        <f t="shared" si="228"/>
        <v>36.680996823576834</v>
      </c>
      <c r="AO117" s="2188">
        <f t="shared" si="228"/>
        <v>0</v>
      </c>
      <c r="AP117" s="2186">
        <f t="shared" si="209"/>
        <v>-36.680996823576834</v>
      </c>
      <c r="AQ117" s="2188">
        <f t="shared" si="229"/>
        <v>36.404813235328461</v>
      </c>
      <c r="AR117" s="2188">
        <f t="shared" si="229"/>
        <v>0</v>
      </c>
      <c r="AS117" s="2186">
        <f t="shared" si="210"/>
        <v>-36.404813235328461</v>
      </c>
      <c r="AT117" s="2188">
        <f t="shared" si="230"/>
        <v>33.691726295914421</v>
      </c>
      <c r="AU117" s="2188">
        <f t="shared" si="230"/>
        <v>0</v>
      </c>
      <c r="AV117" s="2186">
        <f t="shared" si="211"/>
        <v>-33.691726295914421</v>
      </c>
      <c r="AW117" s="2188">
        <f t="shared" si="231"/>
        <v>26.189641218757163</v>
      </c>
      <c r="AX117" s="2188">
        <f t="shared" si="231"/>
        <v>0</v>
      </c>
      <c r="AY117" s="2186">
        <f t="shared" si="212"/>
        <v>-26.189641218757163</v>
      </c>
      <c r="AZ117" s="2188">
        <f t="shared" si="232"/>
        <v>23.348465866000598</v>
      </c>
      <c r="BA117" s="2188">
        <f t="shared" si="232"/>
        <v>0</v>
      </c>
      <c r="BB117" s="2186">
        <f t="shared" si="213"/>
        <v>-23.348465866000598</v>
      </c>
      <c r="BC117" s="2188">
        <f t="shared" si="233"/>
        <v>23.868463734078784</v>
      </c>
      <c r="BD117" s="2188">
        <f t="shared" si="233"/>
        <v>0</v>
      </c>
      <c r="BE117" s="2186">
        <f t="shared" si="214"/>
        <v>-23.868463734078784</v>
      </c>
      <c r="BF117" s="2188">
        <f t="shared" si="234"/>
        <v>30.839884149920639</v>
      </c>
      <c r="BG117" s="2188">
        <f t="shared" si="234"/>
        <v>0</v>
      </c>
      <c r="BH117" s="2186">
        <f t="shared" si="215"/>
        <v>-30.839884149920639</v>
      </c>
      <c r="BI117" s="2188">
        <f t="shared" si="235"/>
        <v>41.519675594999853</v>
      </c>
      <c r="BJ117" s="2188">
        <f t="shared" si="235"/>
        <v>0</v>
      </c>
      <c r="BK117" s="2186">
        <f t="shared" si="216"/>
        <v>-41.519675594999853</v>
      </c>
      <c r="BL117" s="2188">
        <f t="shared" si="236"/>
        <v>45.177496741637079</v>
      </c>
      <c r="BM117" s="2188">
        <f t="shared" si="236"/>
        <v>0</v>
      </c>
      <c r="BN117" s="2186">
        <f t="shared" si="217"/>
        <v>-45.177496741637079</v>
      </c>
      <c r="BO117" s="2188">
        <f t="shared" si="237"/>
        <v>43.972463413363087</v>
      </c>
      <c r="BP117" s="2188">
        <f t="shared" si="237"/>
        <v>0</v>
      </c>
      <c r="BQ117" s="2186">
        <f t="shared" si="218"/>
        <v>-43.972463413363087</v>
      </c>
    </row>
    <row r="118" spans="3:69" s="2279" customFormat="1">
      <c r="C118" s="2189" t="s">
        <v>2239</v>
      </c>
      <c r="D118" s="2275" t="s">
        <v>2221</v>
      </c>
      <c r="E118" s="2274" t="s">
        <v>240</v>
      </c>
      <c r="F118" s="2176"/>
      <c r="G118" s="2179">
        <f t="shared" si="238"/>
        <v>0</v>
      </c>
      <c r="H118" s="2179">
        <f t="shared" si="238"/>
        <v>0</v>
      </c>
      <c r="I118" s="2178">
        <f t="shared" si="204"/>
        <v>0</v>
      </c>
      <c r="J118" s="2176"/>
      <c r="K118" s="2179">
        <f t="shared" si="239"/>
        <v>0</v>
      </c>
      <c r="L118" s="2179">
        <f t="shared" si="182"/>
        <v>0</v>
      </c>
      <c r="M118" s="2178">
        <f t="shared" si="183"/>
        <v>0</v>
      </c>
      <c r="N118" s="2179">
        <f t="shared" si="220"/>
        <v>0</v>
      </c>
      <c r="O118" s="2179">
        <f t="shared" si="220"/>
        <v>0</v>
      </c>
      <c r="P118" s="2178">
        <f t="shared" si="184"/>
        <v>0</v>
      </c>
      <c r="Q118" s="2179">
        <f t="shared" si="221"/>
        <v>0</v>
      </c>
      <c r="R118" s="2179">
        <f t="shared" si="221"/>
        <v>0</v>
      </c>
      <c r="S118" s="2180">
        <f t="shared" si="185"/>
        <v>0</v>
      </c>
      <c r="T118" s="2251">
        <f t="shared" si="186"/>
        <v>0</v>
      </c>
      <c r="U118" s="2252">
        <f t="shared" si="186"/>
        <v>0</v>
      </c>
      <c r="V118" s="2253">
        <f t="shared" si="187"/>
        <v>0</v>
      </c>
      <c r="W118" s="2187">
        <f t="shared" si="223"/>
        <v>0</v>
      </c>
      <c r="X118" s="2179">
        <f t="shared" si="223"/>
        <v>0</v>
      </c>
      <c r="Y118" s="2183">
        <f t="shared" si="188"/>
        <v>0</v>
      </c>
      <c r="Z118" s="2254">
        <f t="shared" si="189"/>
        <v>0</v>
      </c>
      <c r="AA118" s="2252">
        <f t="shared" si="189"/>
        <v>0</v>
      </c>
      <c r="AB118" s="2255">
        <f t="shared" si="190"/>
        <v>0</v>
      </c>
      <c r="AC118" s="2179">
        <f t="shared" si="225"/>
        <v>0</v>
      </c>
      <c r="AD118" s="2179">
        <f t="shared" si="225"/>
        <v>0</v>
      </c>
      <c r="AE118" s="2180">
        <f t="shared" si="191"/>
        <v>0</v>
      </c>
      <c r="AF118" s="2277"/>
      <c r="AG118" s="2278"/>
      <c r="AH118" s="2188">
        <f t="shared" si="226"/>
        <v>0</v>
      </c>
      <c r="AI118" s="2188">
        <f t="shared" si="226"/>
        <v>0</v>
      </c>
      <c r="AJ118" s="2186">
        <f t="shared" si="207"/>
        <v>0</v>
      </c>
      <c r="AK118" s="2188">
        <f t="shared" si="227"/>
        <v>0</v>
      </c>
      <c r="AL118" s="2188">
        <f t="shared" si="227"/>
        <v>0</v>
      </c>
      <c r="AM118" s="2186">
        <f t="shared" si="208"/>
        <v>0</v>
      </c>
      <c r="AN118" s="2188">
        <f t="shared" si="228"/>
        <v>0</v>
      </c>
      <c r="AO118" s="2188">
        <f t="shared" si="228"/>
        <v>0</v>
      </c>
      <c r="AP118" s="2186">
        <f t="shared" si="209"/>
        <v>0</v>
      </c>
      <c r="AQ118" s="2188">
        <f t="shared" si="229"/>
        <v>0</v>
      </c>
      <c r="AR118" s="2188">
        <f t="shared" si="229"/>
        <v>0</v>
      </c>
      <c r="AS118" s="2186">
        <f t="shared" si="210"/>
        <v>0</v>
      </c>
      <c r="AT118" s="2188">
        <f t="shared" si="230"/>
        <v>0</v>
      </c>
      <c r="AU118" s="2188">
        <f t="shared" si="230"/>
        <v>0</v>
      </c>
      <c r="AV118" s="2186">
        <f t="shared" si="211"/>
        <v>0</v>
      </c>
      <c r="AW118" s="2188">
        <f t="shared" si="231"/>
        <v>0</v>
      </c>
      <c r="AX118" s="2188">
        <f t="shared" si="231"/>
        <v>0</v>
      </c>
      <c r="AY118" s="2186">
        <f t="shared" si="212"/>
        <v>0</v>
      </c>
      <c r="AZ118" s="2188">
        <f t="shared" si="232"/>
        <v>0</v>
      </c>
      <c r="BA118" s="2188">
        <f t="shared" si="232"/>
        <v>0</v>
      </c>
      <c r="BB118" s="2186">
        <f t="shared" si="213"/>
        <v>0</v>
      </c>
      <c r="BC118" s="2188">
        <f t="shared" si="233"/>
        <v>0</v>
      </c>
      <c r="BD118" s="2188">
        <f t="shared" si="233"/>
        <v>0</v>
      </c>
      <c r="BE118" s="2186">
        <f t="shared" si="214"/>
        <v>0</v>
      </c>
      <c r="BF118" s="2188">
        <f t="shared" si="234"/>
        <v>0</v>
      </c>
      <c r="BG118" s="2188">
        <f t="shared" si="234"/>
        <v>0</v>
      </c>
      <c r="BH118" s="2186">
        <f t="shared" si="215"/>
        <v>0</v>
      </c>
      <c r="BI118" s="2188">
        <f t="shared" si="235"/>
        <v>0</v>
      </c>
      <c r="BJ118" s="2188">
        <f t="shared" si="235"/>
        <v>0</v>
      </c>
      <c r="BK118" s="2186">
        <f t="shared" si="216"/>
        <v>0</v>
      </c>
      <c r="BL118" s="2188">
        <f t="shared" si="236"/>
        <v>0</v>
      </c>
      <c r="BM118" s="2188">
        <f t="shared" si="236"/>
        <v>0</v>
      </c>
      <c r="BN118" s="2186">
        <f t="shared" si="217"/>
        <v>0</v>
      </c>
      <c r="BO118" s="2188">
        <f t="shared" si="237"/>
        <v>0</v>
      </c>
      <c r="BP118" s="2188">
        <f t="shared" si="237"/>
        <v>0</v>
      </c>
      <c r="BQ118" s="2186">
        <f t="shared" si="218"/>
        <v>0</v>
      </c>
    </row>
    <row r="119" spans="3:69" s="2279" customFormat="1">
      <c r="C119" s="2189" t="s">
        <v>2240</v>
      </c>
      <c r="D119" s="2275" t="s">
        <v>2223</v>
      </c>
      <c r="E119" s="2274" t="s">
        <v>240</v>
      </c>
      <c r="F119" s="2176"/>
      <c r="G119" s="2179">
        <f t="shared" si="238"/>
        <v>0</v>
      </c>
      <c r="H119" s="2179">
        <f t="shared" si="238"/>
        <v>0</v>
      </c>
      <c r="I119" s="2178">
        <f t="shared" si="204"/>
        <v>0</v>
      </c>
      <c r="J119" s="2176"/>
      <c r="K119" s="2179">
        <f t="shared" si="239"/>
        <v>45.669785616099638</v>
      </c>
      <c r="L119" s="2179">
        <f t="shared" si="182"/>
        <v>0</v>
      </c>
      <c r="M119" s="2178">
        <f t="shared" si="183"/>
        <v>-45.669785616099638</v>
      </c>
      <c r="N119" s="2179">
        <f t="shared" si="220"/>
        <v>11.120720169255337</v>
      </c>
      <c r="O119" s="2179">
        <f t="shared" si="220"/>
        <v>0</v>
      </c>
      <c r="P119" s="2178">
        <f t="shared" si="184"/>
        <v>-11.120720169255337</v>
      </c>
      <c r="Q119" s="2179">
        <f t="shared" si="221"/>
        <v>9.2922149946597834</v>
      </c>
      <c r="R119" s="2179">
        <f t="shared" si="221"/>
        <v>0</v>
      </c>
      <c r="S119" s="2180">
        <f t="shared" si="185"/>
        <v>-9.2922149946597834</v>
      </c>
      <c r="T119" s="2251">
        <f t="shared" si="186"/>
        <v>20.412935163915122</v>
      </c>
      <c r="U119" s="2252">
        <f t="shared" si="186"/>
        <v>0</v>
      </c>
      <c r="V119" s="2253">
        <f t="shared" si="187"/>
        <v>-20.412935163915122</v>
      </c>
      <c r="W119" s="2187">
        <f t="shared" si="223"/>
        <v>9.610501281184332</v>
      </c>
      <c r="X119" s="2179">
        <f t="shared" si="223"/>
        <v>0</v>
      </c>
      <c r="Y119" s="2183">
        <f t="shared" si="188"/>
        <v>-9.610501281184332</v>
      </c>
      <c r="Z119" s="2254">
        <f t="shared" si="189"/>
        <v>30.023436445099456</v>
      </c>
      <c r="AA119" s="2252">
        <f t="shared" si="189"/>
        <v>0</v>
      </c>
      <c r="AB119" s="2255">
        <f t="shared" si="190"/>
        <v>-30.023436445099456</v>
      </c>
      <c r="AC119" s="2179">
        <f t="shared" si="225"/>
        <v>15.646349171000184</v>
      </c>
      <c r="AD119" s="2179">
        <f t="shared" si="225"/>
        <v>0</v>
      </c>
      <c r="AE119" s="2180">
        <f t="shared" si="191"/>
        <v>-15.646349171000184</v>
      </c>
      <c r="AF119" s="2277"/>
      <c r="AG119" s="2278"/>
      <c r="AH119" s="2188">
        <f t="shared" si="226"/>
        <v>2.6853119999999997</v>
      </c>
      <c r="AI119" s="2188">
        <f t="shared" si="226"/>
        <v>0</v>
      </c>
      <c r="AJ119" s="2186">
        <f t="shared" si="207"/>
        <v>-2.6853119999999997</v>
      </c>
      <c r="AK119" s="2188">
        <f t="shared" si="227"/>
        <v>4.1300093209886963</v>
      </c>
      <c r="AL119" s="2188">
        <f t="shared" si="227"/>
        <v>0</v>
      </c>
      <c r="AM119" s="2186">
        <f t="shared" si="208"/>
        <v>-4.1300093209886963</v>
      </c>
      <c r="AN119" s="2188">
        <f t="shared" si="228"/>
        <v>4.3053988482666412</v>
      </c>
      <c r="AO119" s="2188">
        <f t="shared" si="228"/>
        <v>0</v>
      </c>
      <c r="AP119" s="2186">
        <f t="shared" si="209"/>
        <v>-4.3053988482666412</v>
      </c>
      <c r="AQ119" s="2188">
        <f t="shared" si="229"/>
        <v>3.7315519391406435</v>
      </c>
      <c r="AR119" s="2188">
        <f t="shared" si="229"/>
        <v>0</v>
      </c>
      <c r="AS119" s="2186">
        <f t="shared" si="210"/>
        <v>-3.7315519391406435</v>
      </c>
      <c r="AT119" s="2188">
        <f t="shared" si="230"/>
        <v>3.7779087591183358</v>
      </c>
      <c r="AU119" s="2188">
        <f t="shared" si="230"/>
        <v>0</v>
      </c>
      <c r="AV119" s="2186">
        <f t="shared" si="211"/>
        <v>-3.7779087591183358</v>
      </c>
      <c r="AW119" s="2188">
        <f t="shared" si="231"/>
        <v>1.7827542964008047</v>
      </c>
      <c r="AX119" s="2188">
        <f t="shared" si="231"/>
        <v>0</v>
      </c>
      <c r="AY119" s="2186">
        <f t="shared" si="212"/>
        <v>-1.7827542964008047</v>
      </c>
      <c r="AZ119" s="2188">
        <f t="shared" si="232"/>
        <v>2.5867424904474174</v>
      </c>
      <c r="BA119" s="2188">
        <f t="shared" si="232"/>
        <v>0</v>
      </c>
      <c r="BB119" s="2186">
        <f t="shared" si="213"/>
        <v>-2.5867424904474174</v>
      </c>
      <c r="BC119" s="2188">
        <f t="shared" si="233"/>
        <v>3.1717676229354925</v>
      </c>
      <c r="BD119" s="2188">
        <f t="shared" si="233"/>
        <v>0</v>
      </c>
      <c r="BE119" s="2186">
        <f t="shared" si="214"/>
        <v>-3.1717676229354925</v>
      </c>
      <c r="BF119" s="2188">
        <f t="shared" si="234"/>
        <v>3.8519911678014229</v>
      </c>
      <c r="BG119" s="2188">
        <f t="shared" si="234"/>
        <v>0</v>
      </c>
      <c r="BH119" s="2186">
        <f t="shared" si="215"/>
        <v>-3.8519911678014229</v>
      </c>
      <c r="BI119" s="2188">
        <f t="shared" si="235"/>
        <v>5.0492711445771334</v>
      </c>
      <c r="BJ119" s="2188">
        <f t="shared" si="235"/>
        <v>0</v>
      </c>
      <c r="BK119" s="2186">
        <f t="shared" si="216"/>
        <v>-5.0492711445771334</v>
      </c>
      <c r="BL119" s="2188">
        <f t="shared" si="236"/>
        <v>5.2382826808988296</v>
      </c>
      <c r="BM119" s="2188">
        <f t="shared" si="236"/>
        <v>0</v>
      </c>
      <c r="BN119" s="2186">
        <f t="shared" si="217"/>
        <v>-5.2382826808988296</v>
      </c>
      <c r="BO119" s="2188">
        <f t="shared" si="237"/>
        <v>5.3587953455242197</v>
      </c>
      <c r="BP119" s="2188">
        <f t="shared" si="237"/>
        <v>0</v>
      </c>
      <c r="BQ119" s="2186">
        <f t="shared" si="218"/>
        <v>-5.3587953455242197</v>
      </c>
    </row>
    <row r="120" spans="3:69" s="2279" customFormat="1">
      <c r="C120" s="2189" t="s">
        <v>2241</v>
      </c>
      <c r="D120" s="2275" t="s">
        <v>2225</v>
      </c>
      <c r="E120" s="2274" t="s">
        <v>240</v>
      </c>
      <c r="F120" s="2176"/>
      <c r="G120" s="2179">
        <f t="shared" si="238"/>
        <v>0</v>
      </c>
      <c r="H120" s="2179">
        <f t="shared" si="238"/>
        <v>0</v>
      </c>
      <c r="I120" s="2178">
        <f t="shared" si="204"/>
        <v>0</v>
      </c>
      <c r="J120" s="2176"/>
      <c r="K120" s="2179">
        <f t="shared" si="239"/>
        <v>282.33872665111772</v>
      </c>
      <c r="L120" s="2179">
        <f t="shared" si="182"/>
        <v>0</v>
      </c>
      <c r="M120" s="2178">
        <f t="shared" si="183"/>
        <v>-282.33872665111772</v>
      </c>
      <c r="N120" s="2179">
        <f t="shared" si="220"/>
        <v>72.013541163982396</v>
      </c>
      <c r="O120" s="2179">
        <f t="shared" si="220"/>
        <v>0</v>
      </c>
      <c r="P120" s="2178">
        <f t="shared" si="184"/>
        <v>-72.013541163982396</v>
      </c>
      <c r="Q120" s="2179">
        <f t="shared" si="221"/>
        <v>67.549169705864827</v>
      </c>
      <c r="R120" s="2179">
        <f t="shared" si="221"/>
        <v>0</v>
      </c>
      <c r="S120" s="2180">
        <f t="shared" si="185"/>
        <v>-67.549169705864827</v>
      </c>
      <c r="T120" s="2251">
        <f t="shared" si="186"/>
        <v>139.56271086984722</v>
      </c>
      <c r="U120" s="2252">
        <f t="shared" si="186"/>
        <v>0</v>
      </c>
      <c r="V120" s="2253">
        <f t="shared" si="187"/>
        <v>-139.56271086984722</v>
      </c>
      <c r="W120" s="2187">
        <f t="shared" si="223"/>
        <v>53.460849360532173</v>
      </c>
      <c r="X120" s="2179">
        <f t="shared" si="223"/>
        <v>0</v>
      </c>
      <c r="Y120" s="2183">
        <f t="shared" si="188"/>
        <v>-53.460849360532173</v>
      </c>
      <c r="Z120" s="2254">
        <f t="shared" si="189"/>
        <v>193.02356023037939</v>
      </c>
      <c r="AA120" s="2252">
        <f t="shared" si="189"/>
        <v>0</v>
      </c>
      <c r="AB120" s="2255">
        <f t="shared" si="190"/>
        <v>-193.02356023037939</v>
      </c>
      <c r="AC120" s="2179">
        <f t="shared" si="225"/>
        <v>89.31516642073835</v>
      </c>
      <c r="AD120" s="2179">
        <f t="shared" si="225"/>
        <v>0</v>
      </c>
      <c r="AE120" s="2180">
        <f t="shared" si="191"/>
        <v>-89.31516642073835</v>
      </c>
      <c r="AF120" s="2277"/>
      <c r="AG120" s="2278"/>
      <c r="AH120" s="2188">
        <f t="shared" si="226"/>
        <v>16.975991</v>
      </c>
      <c r="AI120" s="2188">
        <f t="shared" si="226"/>
        <v>0</v>
      </c>
      <c r="AJ120" s="2186">
        <f t="shared" si="207"/>
        <v>-16.975991</v>
      </c>
      <c r="AK120" s="2188">
        <f t="shared" si="227"/>
        <v>30.106361663940294</v>
      </c>
      <c r="AL120" s="2188">
        <f t="shared" si="227"/>
        <v>0</v>
      </c>
      <c r="AM120" s="2186">
        <f t="shared" si="208"/>
        <v>-30.106361663940294</v>
      </c>
      <c r="AN120" s="2188">
        <f t="shared" si="228"/>
        <v>24.931188500042104</v>
      </c>
      <c r="AO120" s="2188">
        <f t="shared" si="228"/>
        <v>0</v>
      </c>
      <c r="AP120" s="2186">
        <f t="shared" si="209"/>
        <v>-24.931188500042104</v>
      </c>
      <c r="AQ120" s="2188">
        <f t="shared" si="229"/>
        <v>25.761454440439852</v>
      </c>
      <c r="AR120" s="2188">
        <f t="shared" si="229"/>
        <v>0</v>
      </c>
      <c r="AS120" s="2186">
        <f t="shared" si="210"/>
        <v>-25.761454440439852</v>
      </c>
      <c r="AT120" s="2188">
        <f t="shared" si="230"/>
        <v>23.454846485482502</v>
      </c>
      <c r="AU120" s="2188">
        <f t="shared" si="230"/>
        <v>0</v>
      </c>
      <c r="AV120" s="2186">
        <f t="shared" si="211"/>
        <v>-23.454846485482502</v>
      </c>
      <c r="AW120" s="2188">
        <f t="shared" si="231"/>
        <v>18.332868779942483</v>
      </c>
      <c r="AX120" s="2188">
        <f t="shared" si="231"/>
        <v>0</v>
      </c>
      <c r="AY120" s="2186">
        <f t="shared" si="212"/>
        <v>-18.332868779942483</v>
      </c>
      <c r="AZ120" s="2188">
        <f t="shared" si="232"/>
        <v>16.187976390501998</v>
      </c>
      <c r="BA120" s="2188">
        <f t="shared" si="232"/>
        <v>0</v>
      </c>
      <c r="BB120" s="2186">
        <f t="shared" si="213"/>
        <v>-16.187976390501998</v>
      </c>
      <c r="BC120" s="2188">
        <f t="shared" si="233"/>
        <v>16.003854752000848</v>
      </c>
      <c r="BD120" s="2188">
        <f t="shared" si="233"/>
        <v>0</v>
      </c>
      <c r="BE120" s="2186">
        <f t="shared" si="214"/>
        <v>-16.003854752000848</v>
      </c>
      <c r="BF120" s="2188">
        <f t="shared" si="234"/>
        <v>21.269018218029327</v>
      </c>
      <c r="BG120" s="2188">
        <f t="shared" si="234"/>
        <v>0</v>
      </c>
      <c r="BH120" s="2186">
        <f t="shared" si="215"/>
        <v>-21.269018218029327</v>
      </c>
      <c r="BI120" s="2188">
        <f t="shared" si="235"/>
        <v>28.259842132577436</v>
      </c>
      <c r="BJ120" s="2188">
        <f t="shared" si="235"/>
        <v>0</v>
      </c>
      <c r="BK120" s="2186">
        <f t="shared" si="216"/>
        <v>-28.259842132577436</v>
      </c>
      <c r="BL120" s="2188">
        <f t="shared" si="236"/>
        <v>31.245694827000907</v>
      </c>
      <c r="BM120" s="2188">
        <f t="shared" si="236"/>
        <v>0</v>
      </c>
      <c r="BN120" s="2186">
        <f t="shared" si="217"/>
        <v>-31.245694827000907</v>
      </c>
      <c r="BO120" s="2188">
        <f t="shared" si="237"/>
        <v>29.809629461160014</v>
      </c>
      <c r="BP120" s="2188">
        <f t="shared" si="237"/>
        <v>0</v>
      </c>
      <c r="BQ120" s="2186">
        <f t="shared" si="218"/>
        <v>-29.809629461160014</v>
      </c>
    </row>
    <row r="121" spans="3:69" s="2279" customFormat="1">
      <c r="C121" s="2189" t="s">
        <v>2242</v>
      </c>
      <c r="D121" s="2275" t="s">
        <v>2227</v>
      </c>
      <c r="E121" s="2274" t="s">
        <v>240</v>
      </c>
      <c r="F121" s="2176"/>
      <c r="G121" s="2179">
        <f t="shared" si="238"/>
        <v>0</v>
      </c>
      <c r="H121" s="2179">
        <f t="shared" si="238"/>
        <v>0</v>
      </c>
      <c r="I121" s="2178">
        <f t="shared" si="204"/>
        <v>0</v>
      </c>
      <c r="J121" s="2176"/>
      <c r="K121" s="2179">
        <f t="shared" si="239"/>
        <v>83.125596287647681</v>
      </c>
      <c r="L121" s="2179">
        <f t="shared" si="182"/>
        <v>0</v>
      </c>
      <c r="M121" s="2178">
        <f t="shared" si="183"/>
        <v>-83.125596287647681</v>
      </c>
      <c r="N121" s="2179">
        <f t="shared" si="220"/>
        <v>22.987216971627245</v>
      </c>
      <c r="O121" s="2179">
        <f t="shared" si="220"/>
        <v>0</v>
      </c>
      <c r="P121" s="2178">
        <f t="shared" si="184"/>
        <v>-22.987216971627245</v>
      </c>
      <c r="Q121" s="2179">
        <f t="shared" si="221"/>
        <v>19.444796049475425</v>
      </c>
      <c r="R121" s="2179">
        <f t="shared" si="221"/>
        <v>0</v>
      </c>
      <c r="S121" s="2180">
        <f t="shared" si="185"/>
        <v>-19.444796049475425</v>
      </c>
      <c r="T121" s="2251">
        <f t="shared" si="186"/>
        <v>42.432013021102669</v>
      </c>
      <c r="U121" s="2252">
        <f t="shared" si="186"/>
        <v>0</v>
      </c>
      <c r="V121" s="2253">
        <f t="shared" si="187"/>
        <v>-42.432013021102669</v>
      </c>
      <c r="W121" s="2187">
        <f t="shared" si="223"/>
        <v>14.985463108283517</v>
      </c>
      <c r="X121" s="2179">
        <f t="shared" si="223"/>
        <v>0</v>
      </c>
      <c r="Y121" s="2183">
        <f t="shared" si="188"/>
        <v>-14.985463108283517</v>
      </c>
      <c r="Z121" s="2254">
        <f t="shared" si="189"/>
        <v>57.417476129386188</v>
      </c>
      <c r="AA121" s="2252">
        <f t="shared" si="189"/>
        <v>0</v>
      </c>
      <c r="AB121" s="2255">
        <f t="shared" si="190"/>
        <v>-57.417476129386188</v>
      </c>
      <c r="AC121" s="2179">
        <f t="shared" si="225"/>
        <v>25.708120158261487</v>
      </c>
      <c r="AD121" s="2179">
        <f t="shared" si="225"/>
        <v>0</v>
      </c>
      <c r="AE121" s="2180">
        <f t="shared" si="191"/>
        <v>-25.708120158261487</v>
      </c>
      <c r="AF121" s="2277"/>
      <c r="AG121" s="2278"/>
      <c r="AH121" s="2188">
        <f t="shared" si="226"/>
        <v>7.1374949999999995</v>
      </c>
      <c r="AI121" s="2188">
        <f t="shared" si="226"/>
        <v>0</v>
      </c>
      <c r="AJ121" s="2186">
        <f t="shared" si="207"/>
        <v>-7.1374949999999995</v>
      </c>
      <c r="AK121" s="2188">
        <f t="shared" si="227"/>
        <v>8.4053124963591621</v>
      </c>
      <c r="AL121" s="2188">
        <f t="shared" si="227"/>
        <v>0</v>
      </c>
      <c r="AM121" s="2186">
        <f t="shared" si="208"/>
        <v>-8.4053124963591621</v>
      </c>
      <c r="AN121" s="2188">
        <f t="shared" si="228"/>
        <v>7.4444094752680821</v>
      </c>
      <c r="AO121" s="2188">
        <f t="shared" si="228"/>
        <v>0</v>
      </c>
      <c r="AP121" s="2186">
        <f t="shared" si="209"/>
        <v>-7.4444094752680821</v>
      </c>
      <c r="AQ121" s="2188">
        <f t="shared" si="229"/>
        <v>6.911806855747967</v>
      </c>
      <c r="AR121" s="2188">
        <f t="shared" si="229"/>
        <v>0</v>
      </c>
      <c r="AS121" s="2186">
        <f t="shared" si="210"/>
        <v>-6.911806855747967</v>
      </c>
      <c r="AT121" s="2188">
        <f t="shared" si="230"/>
        <v>6.4589710513135801</v>
      </c>
      <c r="AU121" s="2188">
        <f t="shared" si="230"/>
        <v>0</v>
      </c>
      <c r="AV121" s="2186">
        <f t="shared" si="211"/>
        <v>-6.4589710513135801</v>
      </c>
      <c r="AW121" s="2188">
        <f t="shared" si="231"/>
        <v>6.0740181424138759</v>
      </c>
      <c r="AX121" s="2188">
        <f t="shared" si="231"/>
        <v>0</v>
      </c>
      <c r="AY121" s="2186">
        <f t="shared" si="212"/>
        <v>-6.0740181424138759</v>
      </c>
      <c r="AZ121" s="2188">
        <f t="shared" si="232"/>
        <v>4.5737469850511827</v>
      </c>
      <c r="BA121" s="2188">
        <f t="shared" si="232"/>
        <v>0</v>
      </c>
      <c r="BB121" s="2186">
        <f t="shared" si="213"/>
        <v>-4.5737469850511827</v>
      </c>
      <c r="BC121" s="2188">
        <f t="shared" si="233"/>
        <v>4.6928413591424416</v>
      </c>
      <c r="BD121" s="2188">
        <f t="shared" si="233"/>
        <v>0</v>
      </c>
      <c r="BE121" s="2186">
        <f t="shared" si="214"/>
        <v>-4.6928413591424416</v>
      </c>
      <c r="BF121" s="2188">
        <f t="shared" si="234"/>
        <v>5.7188747640898914</v>
      </c>
      <c r="BG121" s="2188">
        <f t="shared" si="234"/>
        <v>0</v>
      </c>
      <c r="BH121" s="2186">
        <f t="shared" si="215"/>
        <v>-5.7188747640898914</v>
      </c>
      <c r="BI121" s="2188">
        <f t="shared" si="235"/>
        <v>8.2105623178452873</v>
      </c>
      <c r="BJ121" s="2188">
        <f t="shared" si="235"/>
        <v>0</v>
      </c>
      <c r="BK121" s="2186">
        <f t="shared" si="216"/>
        <v>-8.2105623178452873</v>
      </c>
      <c r="BL121" s="2188">
        <f t="shared" si="236"/>
        <v>8.6935192337373444</v>
      </c>
      <c r="BM121" s="2188">
        <f t="shared" si="236"/>
        <v>0</v>
      </c>
      <c r="BN121" s="2186">
        <f t="shared" si="217"/>
        <v>-8.6935192337373444</v>
      </c>
      <c r="BO121" s="2188">
        <f t="shared" si="237"/>
        <v>8.804038606678855</v>
      </c>
      <c r="BP121" s="2188">
        <f t="shared" si="237"/>
        <v>0</v>
      </c>
      <c r="BQ121" s="2186">
        <f t="shared" si="218"/>
        <v>-8.804038606678855</v>
      </c>
    </row>
    <row r="122" spans="3:69" s="2087" customFormat="1">
      <c r="C122" s="2189" t="s">
        <v>2243</v>
      </c>
      <c r="D122" s="2275" t="s">
        <v>2229</v>
      </c>
      <c r="E122" s="2274" t="s">
        <v>240</v>
      </c>
      <c r="F122" s="2176"/>
      <c r="G122" s="2179">
        <f t="shared" si="238"/>
        <v>0</v>
      </c>
      <c r="H122" s="2179">
        <f t="shared" si="238"/>
        <v>0</v>
      </c>
      <c r="I122" s="2178">
        <f t="shared" si="204"/>
        <v>0</v>
      </c>
      <c r="J122" s="2176"/>
      <c r="K122" s="2179">
        <f t="shared" si="239"/>
        <v>0</v>
      </c>
      <c r="L122" s="2179">
        <f t="shared" si="182"/>
        <v>0</v>
      </c>
      <c r="M122" s="2178">
        <f t="shared" si="183"/>
        <v>0</v>
      </c>
      <c r="N122" s="2179">
        <f t="shared" ref="N122:O122" si="240">N157+N190+N289+N223+N256</f>
        <v>0</v>
      </c>
      <c r="O122" s="2179">
        <f t="shared" si="240"/>
        <v>0</v>
      </c>
      <c r="P122" s="2178">
        <f t="shared" si="184"/>
        <v>0</v>
      </c>
      <c r="Q122" s="2179">
        <f t="shared" ref="Q122:R122" si="241">Q157+Q190+Q289+Q223+Q256</f>
        <v>0</v>
      </c>
      <c r="R122" s="2179">
        <f t="shared" si="241"/>
        <v>0</v>
      </c>
      <c r="S122" s="2180">
        <f t="shared" si="185"/>
        <v>0</v>
      </c>
      <c r="T122" s="2251">
        <f t="shared" si="186"/>
        <v>0</v>
      </c>
      <c r="U122" s="2252">
        <f t="shared" si="186"/>
        <v>0</v>
      </c>
      <c r="V122" s="2253">
        <f t="shared" si="187"/>
        <v>0</v>
      </c>
      <c r="W122" s="2187">
        <f t="shared" ref="W122:X122" si="242">W157+W190+W289+W223+W256</f>
        <v>0</v>
      </c>
      <c r="X122" s="2179">
        <f t="shared" si="242"/>
        <v>0</v>
      </c>
      <c r="Y122" s="2183">
        <f t="shared" si="188"/>
        <v>0</v>
      </c>
      <c r="Z122" s="2254">
        <f t="shared" si="189"/>
        <v>0</v>
      </c>
      <c r="AA122" s="2252">
        <f t="shared" si="189"/>
        <v>0</v>
      </c>
      <c r="AB122" s="2255">
        <f t="shared" si="190"/>
        <v>0</v>
      </c>
      <c r="AC122" s="2179">
        <f t="shared" ref="AC122:AD122" si="243">AC157+AC190+AC289+AC223+AC256</f>
        <v>0</v>
      </c>
      <c r="AD122" s="2179">
        <f t="shared" si="243"/>
        <v>0</v>
      </c>
      <c r="AE122" s="2180">
        <f t="shared" si="191"/>
        <v>0</v>
      </c>
      <c r="AF122" s="2185"/>
      <c r="AG122" s="2114"/>
      <c r="AH122" s="2188">
        <f t="shared" ref="AH122:AI122" si="244">AH157+AH190+AH289+AH223+AH256</f>
        <v>0</v>
      </c>
      <c r="AI122" s="2188">
        <f t="shared" si="244"/>
        <v>0</v>
      </c>
      <c r="AJ122" s="2186">
        <f t="shared" si="207"/>
        <v>0</v>
      </c>
      <c r="AK122" s="2188">
        <f t="shared" ref="AK122:AL122" si="245">AK157+AK190+AK289+AK223+AK256</f>
        <v>0</v>
      </c>
      <c r="AL122" s="2188">
        <f t="shared" si="245"/>
        <v>0</v>
      </c>
      <c r="AM122" s="2186">
        <f t="shared" si="208"/>
        <v>0</v>
      </c>
      <c r="AN122" s="2188">
        <f t="shared" ref="AN122:AO122" si="246">AN157+AN190+AN289+AN223+AN256</f>
        <v>0</v>
      </c>
      <c r="AO122" s="2188">
        <f t="shared" si="246"/>
        <v>0</v>
      </c>
      <c r="AP122" s="2186">
        <f t="shared" si="209"/>
        <v>0</v>
      </c>
      <c r="AQ122" s="2188">
        <f t="shared" ref="AQ122:AR122" si="247">AQ157+AQ190+AQ289+AQ223+AQ256</f>
        <v>0</v>
      </c>
      <c r="AR122" s="2188">
        <f t="shared" si="247"/>
        <v>0</v>
      </c>
      <c r="AS122" s="2186">
        <f t="shared" si="210"/>
        <v>0</v>
      </c>
      <c r="AT122" s="2188">
        <f t="shared" ref="AT122:AU122" si="248">AT157+AT190+AT289+AT223+AT256</f>
        <v>0</v>
      </c>
      <c r="AU122" s="2188">
        <f t="shared" si="248"/>
        <v>0</v>
      </c>
      <c r="AV122" s="2186">
        <f t="shared" si="211"/>
        <v>0</v>
      </c>
      <c r="AW122" s="2188">
        <f t="shared" ref="AW122:AX122" si="249">AW157+AW190+AW289+AW223+AW256</f>
        <v>0</v>
      </c>
      <c r="AX122" s="2188">
        <f t="shared" si="249"/>
        <v>0</v>
      </c>
      <c r="AY122" s="2186">
        <f t="shared" si="212"/>
        <v>0</v>
      </c>
      <c r="AZ122" s="2188">
        <f t="shared" ref="AZ122:BA122" si="250">AZ157+AZ190+AZ289+AZ223+AZ256</f>
        <v>0</v>
      </c>
      <c r="BA122" s="2188">
        <f t="shared" si="250"/>
        <v>0</v>
      </c>
      <c r="BB122" s="2186">
        <f t="shared" si="213"/>
        <v>0</v>
      </c>
      <c r="BC122" s="2188">
        <f t="shared" ref="BC122:BD122" si="251">BC157+BC190+BC289+BC223+BC256</f>
        <v>0</v>
      </c>
      <c r="BD122" s="2188">
        <f t="shared" si="251"/>
        <v>0</v>
      </c>
      <c r="BE122" s="2186">
        <f t="shared" si="214"/>
        <v>0</v>
      </c>
      <c r="BF122" s="2188">
        <f t="shared" ref="BF122:BG122" si="252">BF157+BF190+BF289+BF223+BF256</f>
        <v>0</v>
      </c>
      <c r="BG122" s="2188">
        <f t="shared" si="252"/>
        <v>0</v>
      </c>
      <c r="BH122" s="2186">
        <f t="shared" si="215"/>
        <v>0</v>
      </c>
      <c r="BI122" s="2188">
        <f t="shared" ref="BI122:BJ122" si="253">BI157+BI190+BI289+BI223+BI256</f>
        <v>0</v>
      </c>
      <c r="BJ122" s="2188">
        <f t="shared" si="253"/>
        <v>0</v>
      </c>
      <c r="BK122" s="2186">
        <f t="shared" si="216"/>
        <v>0</v>
      </c>
      <c r="BL122" s="2188">
        <f t="shared" ref="BL122:BM122" si="254">BL157+BL190+BL289+BL223+BL256</f>
        <v>0</v>
      </c>
      <c r="BM122" s="2188">
        <f t="shared" si="254"/>
        <v>0</v>
      </c>
      <c r="BN122" s="2186">
        <f t="shared" si="217"/>
        <v>0</v>
      </c>
      <c r="BO122" s="2188">
        <f t="shared" ref="BO122:BP122" si="255">BO157+BO190+BO289+BO223+BO256</f>
        <v>0</v>
      </c>
      <c r="BP122" s="2188">
        <f t="shared" si="255"/>
        <v>0</v>
      </c>
      <c r="BQ122" s="2186">
        <f t="shared" si="218"/>
        <v>0</v>
      </c>
    </row>
    <row r="123" spans="3:69" s="2159" customFormat="1">
      <c r="C123" s="2256" t="s">
        <v>2244</v>
      </c>
      <c r="D123" s="2257" t="s">
        <v>556</v>
      </c>
      <c r="E123" s="2120" t="s">
        <v>240</v>
      </c>
      <c r="F123" s="2162"/>
      <c r="G123" s="2163">
        <f>G125+G131</f>
        <v>0</v>
      </c>
      <c r="H123" s="2163">
        <f>H125+H131</f>
        <v>0</v>
      </c>
      <c r="I123" s="2164">
        <f>H123-G123</f>
        <v>0</v>
      </c>
      <c r="J123" s="2162"/>
      <c r="K123" s="2163">
        <f>N123+Q123+W123+AC123</f>
        <v>311.765874</v>
      </c>
      <c r="L123" s="2163">
        <f>O123+R123+X123+AD123</f>
        <v>0</v>
      </c>
      <c r="M123" s="2164">
        <f>L123-K123</f>
        <v>-311.765874</v>
      </c>
      <c r="N123" s="2163">
        <f>N125+N131</f>
        <v>83.093787999999975</v>
      </c>
      <c r="O123" s="2163">
        <f>O125+O131</f>
        <v>0</v>
      </c>
      <c r="P123" s="2164">
        <f>O123-N123</f>
        <v>-83.093787999999975</v>
      </c>
      <c r="Q123" s="2165">
        <f>Q125+Q131</f>
        <v>59.212609</v>
      </c>
      <c r="R123" s="2163">
        <f>R125+R131</f>
        <v>0</v>
      </c>
      <c r="S123" s="2166">
        <f>R123-Q123</f>
        <v>-59.212609</v>
      </c>
      <c r="T123" s="2258">
        <f>N123+Q123</f>
        <v>142.30639699999998</v>
      </c>
      <c r="U123" s="2259">
        <f>O123+R123</f>
        <v>0</v>
      </c>
      <c r="V123" s="2260">
        <f>U123-T123</f>
        <v>-142.30639699999998</v>
      </c>
      <c r="W123" s="2168">
        <f>W125+W131</f>
        <v>66.547736</v>
      </c>
      <c r="X123" s="2163">
        <f>X125+X131</f>
        <v>0</v>
      </c>
      <c r="Y123" s="2169">
        <f>X123-W123</f>
        <v>-66.547736</v>
      </c>
      <c r="Z123" s="2261">
        <f>T123+W123</f>
        <v>208.85413299999999</v>
      </c>
      <c r="AA123" s="2259">
        <f>U123+X123</f>
        <v>0</v>
      </c>
      <c r="AB123" s="2262">
        <f>AA123-Z123</f>
        <v>-208.85413299999999</v>
      </c>
      <c r="AC123" s="2165">
        <f>AC125+AC131</f>
        <v>102.91174100000001</v>
      </c>
      <c r="AD123" s="2163">
        <f>AD125+AD131</f>
        <v>0</v>
      </c>
      <c r="AE123" s="2166">
        <f>AD123-AC123</f>
        <v>-102.91174100000001</v>
      </c>
      <c r="AF123" s="2204"/>
      <c r="AG123" s="2158"/>
      <c r="AH123" s="2171">
        <f>AH125+AH131</f>
        <v>26.492362</v>
      </c>
      <c r="AI123" s="2171">
        <f>AI125+AI131</f>
        <v>0</v>
      </c>
      <c r="AJ123" s="2172">
        <f>AI123-AH123</f>
        <v>-26.492362</v>
      </c>
      <c r="AK123" s="2171">
        <f>AK125+AK131</f>
        <v>28.188816000000003</v>
      </c>
      <c r="AL123" s="2171">
        <f>AL125+AL131</f>
        <v>0</v>
      </c>
      <c r="AM123" s="2172">
        <f>AL123-AK123</f>
        <v>-28.188816000000003</v>
      </c>
      <c r="AN123" s="2171">
        <f>AN125+AN131</f>
        <v>30.074732999999995</v>
      </c>
      <c r="AO123" s="2171">
        <f>AO125+AO131</f>
        <v>0</v>
      </c>
      <c r="AP123" s="2172">
        <f>AO123-AN123</f>
        <v>-30.074732999999995</v>
      </c>
      <c r="AQ123" s="2171">
        <f>AQ125+AQ131</f>
        <v>21.406728000000001</v>
      </c>
      <c r="AR123" s="2171">
        <f>AR125+AR131</f>
        <v>0</v>
      </c>
      <c r="AS123" s="2172">
        <f>AR123-AQ123</f>
        <v>-21.406728000000001</v>
      </c>
      <c r="AT123" s="2171">
        <f>AT125+AT131</f>
        <v>21.216256000000001</v>
      </c>
      <c r="AU123" s="2171">
        <f>AU125+AU131</f>
        <v>0</v>
      </c>
      <c r="AV123" s="2172">
        <f>AU123-AT123</f>
        <v>-21.216256000000001</v>
      </c>
      <c r="AW123" s="2171">
        <f>AW125+AW131</f>
        <v>16.589625000000002</v>
      </c>
      <c r="AX123" s="2171">
        <f>AX125+AX131</f>
        <v>0</v>
      </c>
      <c r="AY123" s="2172">
        <f>AX123-AW123</f>
        <v>-16.589625000000002</v>
      </c>
      <c r="AZ123" s="2171">
        <f>AZ125+AZ131</f>
        <v>20.035665999999999</v>
      </c>
      <c r="BA123" s="2171">
        <f>BA125+BA131</f>
        <v>0</v>
      </c>
      <c r="BB123" s="2172">
        <f>BA123-AZ123</f>
        <v>-20.035665999999999</v>
      </c>
      <c r="BC123" s="2171">
        <f>BC125+BC131</f>
        <v>20.708938</v>
      </c>
      <c r="BD123" s="2171">
        <f>BD125+BD131</f>
        <v>0</v>
      </c>
      <c r="BE123" s="2172">
        <f>BD123-BC123</f>
        <v>-20.708938</v>
      </c>
      <c r="BF123" s="2171">
        <f>BF125+BF131</f>
        <v>25.803132000000002</v>
      </c>
      <c r="BG123" s="2171">
        <f>BG125+BG131</f>
        <v>0</v>
      </c>
      <c r="BH123" s="2172">
        <f>BG123-BF123</f>
        <v>-25.803132000000002</v>
      </c>
      <c r="BI123" s="2171">
        <f>BI125+BI131</f>
        <v>31.063386999999999</v>
      </c>
      <c r="BJ123" s="2171">
        <f>BJ125+BJ131</f>
        <v>0</v>
      </c>
      <c r="BK123" s="2172">
        <f>BJ123-BI123</f>
        <v>-31.063386999999999</v>
      </c>
      <c r="BL123" s="2171">
        <f>BL125+BL131</f>
        <v>32.240681000000002</v>
      </c>
      <c r="BM123" s="2171">
        <f>BM125+BM131</f>
        <v>0</v>
      </c>
      <c r="BN123" s="2172">
        <f>BM123-BL123</f>
        <v>-32.240681000000002</v>
      </c>
      <c r="BO123" s="2171">
        <f>BO125+BO131</f>
        <v>39.607673000000005</v>
      </c>
      <c r="BP123" s="2171">
        <f>BP125+BP131</f>
        <v>0</v>
      </c>
      <c r="BQ123" s="2172">
        <f>BP123-BO123</f>
        <v>-39.607673000000005</v>
      </c>
    </row>
    <row r="124" spans="3:69" s="2159" customFormat="1">
      <c r="C124" s="2256" t="s">
        <v>2245</v>
      </c>
      <c r="D124" s="2257" t="s">
        <v>2246</v>
      </c>
      <c r="E124" s="2120" t="s">
        <v>240</v>
      </c>
      <c r="F124" s="2162"/>
      <c r="G124" s="2163">
        <f>G130+G136</f>
        <v>0</v>
      </c>
      <c r="H124" s="2163">
        <f>H130+H136</f>
        <v>0</v>
      </c>
      <c r="I124" s="2164">
        <f>H124-G124</f>
        <v>0</v>
      </c>
      <c r="J124" s="2162"/>
      <c r="K124" s="2163">
        <f>N124+Q124+W124+AC124</f>
        <v>0</v>
      </c>
      <c r="L124" s="2163">
        <f>O124+R124+X124+AD124</f>
        <v>0</v>
      </c>
      <c r="M124" s="2164">
        <f>L124-K124</f>
        <v>0</v>
      </c>
      <c r="N124" s="2163">
        <f>N130+N136</f>
        <v>0</v>
      </c>
      <c r="O124" s="2163">
        <f>O130+O136</f>
        <v>0</v>
      </c>
      <c r="P124" s="2164">
        <f>O124-N124</f>
        <v>0</v>
      </c>
      <c r="Q124" s="2165">
        <f>Q130+Q136</f>
        <v>0</v>
      </c>
      <c r="R124" s="2163">
        <f>R130+R136</f>
        <v>0</v>
      </c>
      <c r="S124" s="2166">
        <f>R124-Q124</f>
        <v>0</v>
      </c>
      <c r="T124" s="2258">
        <f>N124+Q124</f>
        <v>0</v>
      </c>
      <c r="U124" s="2259">
        <f>O124+R124</f>
        <v>0</v>
      </c>
      <c r="V124" s="2260">
        <f>U124-T124</f>
        <v>0</v>
      </c>
      <c r="W124" s="2168">
        <f>W130+W136</f>
        <v>0</v>
      </c>
      <c r="X124" s="2163">
        <f>X130+X136</f>
        <v>0</v>
      </c>
      <c r="Y124" s="2169">
        <f>X124-W124</f>
        <v>0</v>
      </c>
      <c r="Z124" s="2261">
        <f>T124+W124</f>
        <v>0</v>
      </c>
      <c r="AA124" s="2259">
        <f>U124+X124</f>
        <v>0</v>
      </c>
      <c r="AB124" s="2262">
        <f>AA124-Z124</f>
        <v>0</v>
      </c>
      <c r="AC124" s="2165">
        <f>AC130+AC136</f>
        <v>0</v>
      </c>
      <c r="AD124" s="2163">
        <f>AD130+AD136</f>
        <v>0</v>
      </c>
      <c r="AE124" s="2166">
        <f>AD124-AC124</f>
        <v>0</v>
      </c>
      <c r="AF124" s="2204"/>
      <c r="AG124" s="2158"/>
      <c r="AH124" s="2171">
        <f>AH130+AH136</f>
        <v>1.662123</v>
      </c>
      <c r="AI124" s="2171">
        <f>AI130+AI136</f>
        <v>0</v>
      </c>
      <c r="AJ124" s="2172">
        <f>AI124-AH124</f>
        <v>-1.662123</v>
      </c>
      <c r="AK124" s="2171">
        <f>AK130+AK136</f>
        <v>0</v>
      </c>
      <c r="AL124" s="2171">
        <f>AL130+AL136</f>
        <v>0</v>
      </c>
      <c r="AM124" s="2172">
        <f>AL124-AK124</f>
        <v>0</v>
      </c>
      <c r="AN124" s="2171">
        <f>AN130+AN136</f>
        <v>0</v>
      </c>
      <c r="AO124" s="2171">
        <f>AO130+AO136</f>
        <v>0</v>
      </c>
      <c r="AP124" s="2172">
        <f>AO124-AN124</f>
        <v>0</v>
      </c>
      <c r="AQ124" s="2171">
        <f>AQ130+AQ136</f>
        <v>0</v>
      </c>
      <c r="AR124" s="2171">
        <f>AR130+AR136</f>
        <v>0</v>
      </c>
      <c r="AS124" s="2172">
        <f>AR124-AQ124</f>
        <v>0</v>
      </c>
      <c r="AT124" s="2171">
        <f>AT130+AT136</f>
        <v>0</v>
      </c>
      <c r="AU124" s="2171">
        <f>AU130+AU136</f>
        <v>0</v>
      </c>
      <c r="AV124" s="2172">
        <f>AU124-AT124</f>
        <v>0</v>
      </c>
      <c r="AW124" s="2171">
        <f>AW130+AW136</f>
        <v>0</v>
      </c>
      <c r="AX124" s="2171">
        <f>AX130+AX136</f>
        <v>0</v>
      </c>
      <c r="AY124" s="2172">
        <f>AX124-AW124</f>
        <v>0</v>
      </c>
      <c r="AZ124" s="2171">
        <f>AZ130+AZ136</f>
        <v>0</v>
      </c>
      <c r="BA124" s="2171">
        <f>BA130+BA136</f>
        <v>0</v>
      </c>
      <c r="BB124" s="2172">
        <f>BA124-AZ124</f>
        <v>0</v>
      </c>
      <c r="BC124" s="2171">
        <f>BC130+BC136</f>
        <v>0</v>
      </c>
      <c r="BD124" s="2171">
        <f>BD130+BD136</f>
        <v>0</v>
      </c>
      <c r="BE124" s="2172">
        <f>BD124-BC124</f>
        <v>0</v>
      </c>
      <c r="BF124" s="2171">
        <f>BF130+BF136</f>
        <v>0</v>
      </c>
      <c r="BG124" s="2171">
        <f>BG130+BG136</f>
        <v>0</v>
      </c>
      <c r="BH124" s="2172">
        <f>BG124-BF124</f>
        <v>0</v>
      </c>
      <c r="BI124" s="2171">
        <f>BI130+BI136</f>
        <v>0</v>
      </c>
      <c r="BJ124" s="2171">
        <f>BJ130+BJ136</f>
        <v>0</v>
      </c>
      <c r="BK124" s="2172">
        <f>BJ124-BI124</f>
        <v>0</v>
      </c>
      <c r="BL124" s="2171">
        <f>BL130+BL136</f>
        <v>0</v>
      </c>
      <c r="BM124" s="2171">
        <f>BM130+BM136</f>
        <v>0</v>
      </c>
      <c r="BN124" s="2172">
        <f>BM124-BL124</f>
        <v>0</v>
      </c>
      <c r="BO124" s="2171">
        <f>BO130+BO136</f>
        <v>0</v>
      </c>
      <c r="BP124" s="2171">
        <f>BP130+BP136</f>
        <v>0</v>
      </c>
      <c r="BQ124" s="2172">
        <f>BP124-BO124</f>
        <v>0</v>
      </c>
    </row>
    <row r="125" spans="3:69" s="2279" customFormat="1">
      <c r="C125" s="2173" t="s">
        <v>2247</v>
      </c>
      <c r="D125" s="2263" t="s">
        <v>2248</v>
      </c>
      <c r="E125" s="2274" t="s">
        <v>240</v>
      </c>
      <c r="F125" s="2176"/>
      <c r="G125" s="2179">
        <f t="shared" ref="G125:H130" si="256">G158+G191+G290+G224+G257</f>
        <v>0</v>
      </c>
      <c r="H125" s="2179">
        <f t="shared" si="256"/>
        <v>0</v>
      </c>
      <c r="I125" s="2178">
        <f t="shared" si="204"/>
        <v>0</v>
      </c>
      <c r="J125" s="2176"/>
      <c r="K125" s="2179">
        <f t="shared" si="239"/>
        <v>41.765442999999998</v>
      </c>
      <c r="L125" s="2179">
        <f t="shared" si="182"/>
        <v>0</v>
      </c>
      <c r="M125" s="2178">
        <f t="shared" si="183"/>
        <v>-41.765442999999998</v>
      </c>
      <c r="N125" s="2179">
        <f t="shared" ref="N125:O136" si="257">N158+N191+N290+N224+N257</f>
        <v>11.043049999999999</v>
      </c>
      <c r="O125" s="2179">
        <f t="shared" si="257"/>
        <v>0</v>
      </c>
      <c r="P125" s="2178">
        <f t="shared" si="184"/>
        <v>-11.043049999999999</v>
      </c>
      <c r="Q125" s="2179">
        <f t="shared" ref="Q125:R136" si="258">Q158+Q191+Q290+Q224+Q257</f>
        <v>7.938593</v>
      </c>
      <c r="R125" s="2179">
        <f t="shared" si="258"/>
        <v>0</v>
      </c>
      <c r="S125" s="2180">
        <f t="shared" si="185"/>
        <v>-7.938593</v>
      </c>
      <c r="T125" s="2251">
        <f t="shared" si="186"/>
        <v>18.981642999999998</v>
      </c>
      <c r="U125" s="2252">
        <f t="shared" si="186"/>
        <v>0</v>
      </c>
      <c r="V125" s="2253">
        <f t="shared" si="187"/>
        <v>-18.981642999999998</v>
      </c>
      <c r="W125" s="2187">
        <f t="shared" ref="W125:X136" si="259">W158+W191+W290+W224+W257</f>
        <v>8.9473309999999984</v>
      </c>
      <c r="X125" s="2179">
        <f t="shared" si="259"/>
        <v>0</v>
      </c>
      <c r="Y125" s="2183">
        <f t="shared" si="188"/>
        <v>-8.9473309999999984</v>
      </c>
      <c r="Z125" s="2254">
        <f t="shared" si="189"/>
        <v>27.928973999999997</v>
      </c>
      <c r="AA125" s="2252">
        <f t="shared" si="189"/>
        <v>0</v>
      </c>
      <c r="AB125" s="2255">
        <f t="shared" si="190"/>
        <v>-27.928973999999997</v>
      </c>
      <c r="AC125" s="2179">
        <f t="shared" ref="AC125:AD136" si="260">AC158+AC191+AC290+AC224+AC257</f>
        <v>13.836469000000001</v>
      </c>
      <c r="AD125" s="2179">
        <f t="shared" si="260"/>
        <v>0</v>
      </c>
      <c r="AE125" s="2180">
        <f t="shared" si="191"/>
        <v>-13.836469000000001</v>
      </c>
      <c r="AF125" s="2277"/>
      <c r="AG125" s="2278"/>
      <c r="AH125" s="2188">
        <f t="shared" ref="AH125:AI136" si="261">AH158+AH191+AH290+AH224+AH257</f>
        <v>5.2782559999999998</v>
      </c>
      <c r="AI125" s="2188">
        <f t="shared" si="261"/>
        <v>0</v>
      </c>
      <c r="AJ125" s="2186">
        <f t="shared" ref="AJ125:AJ138" si="262">AI125-AH125</f>
        <v>-5.2782559999999998</v>
      </c>
      <c r="AK125" s="2188">
        <f t="shared" ref="AK125:AL136" si="263">AK158+AK191+AK290+AK224+AK257</f>
        <v>3.394819</v>
      </c>
      <c r="AL125" s="2188">
        <f t="shared" si="263"/>
        <v>0</v>
      </c>
      <c r="AM125" s="2186">
        <f t="shared" ref="AM125:AM138" si="264">AL125-AK125</f>
        <v>-3.394819</v>
      </c>
      <c r="AN125" s="2188">
        <f t="shared" ref="AN125:AO136" si="265">AN158+AN191+AN290+AN224+AN257</f>
        <v>4.0320979999999995</v>
      </c>
      <c r="AO125" s="2188">
        <f t="shared" si="265"/>
        <v>0</v>
      </c>
      <c r="AP125" s="2186">
        <f t="shared" ref="AP125:AP138" si="266">AO125-AN125</f>
        <v>-4.0320979999999995</v>
      </c>
      <c r="AQ125" s="2188">
        <f t="shared" ref="AQ125:AR136" si="267">AQ158+AQ191+AQ290+AQ224+AQ257</f>
        <v>2.8699859999999999</v>
      </c>
      <c r="AR125" s="2188">
        <f t="shared" si="267"/>
        <v>0</v>
      </c>
      <c r="AS125" s="2186">
        <f t="shared" ref="AS125:AS138" si="268">AR125-AQ125</f>
        <v>-2.8699859999999999</v>
      </c>
      <c r="AT125" s="2188">
        <f t="shared" ref="AT125:AU136" si="269">AT158+AT191+AT290+AT224+AT257</f>
        <v>2.8444470000000002</v>
      </c>
      <c r="AU125" s="2188">
        <f t="shared" si="269"/>
        <v>0</v>
      </c>
      <c r="AV125" s="2186">
        <f t="shared" ref="AV125:AV138" si="270">AU125-AT125</f>
        <v>-2.8444470000000002</v>
      </c>
      <c r="AW125" s="2188">
        <f t="shared" ref="AW125:AX136" si="271">AW158+AW191+AW290+AW224+AW257</f>
        <v>2.2241600000000004</v>
      </c>
      <c r="AX125" s="2188">
        <f t="shared" si="271"/>
        <v>0</v>
      </c>
      <c r="AY125" s="2186">
        <f t="shared" ref="AY125:AY138" si="272">AX125-AW125</f>
        <v>-2.2241600000000004</v>
      </c>
      <c r="AZ125" s="2188">
        <f t="shared" ref="AZ125:BA136" si="273">AZ158+AZ191+AZ290+AZ224+AZ257</f>
        <v>2.6937899999999999</v>
      </c>
      <c r="BA125" s="2188">
        <f t="shared" si="273"/>
        <v>0</v>
      </c>
      <c r="BB125" s="2186">
        <f t="shared" ref="BB125:BB138" si="274">BA125-AZ125</f>
        <v>-2.6937899999999999</v>
      </c>
      <c r="BC125" s="2188">
        <f t="shared" ref="BC125:BD136" si="275">BC158+BC191+BC290+BC224+BC257</f>
        <v>2.7843139999999997</v>
      </c>
      <c r="BD125" s="2188">
        <f t="shared" si="275"/>
        <v>0</v>
      </c>
      <c r="BE125" s="2186">
        <f t="shared" ref="BE125:BE138" si="276">BD125-BC125</f>
        <v>-2.7843139999999997</v>
      </c>
      <c r="BF125" s="2188">
        <f t="shared" ref="BF125:BG136" si="277">BF158+BF191+BF290+BF224+BF257</f>
        <v>3.4692270000000001</v>
      </c>
      <c r="BG125" s="2188">
        <f t="shared" si="277"/>
        <v>0</v>
      </c>
      <c r="BH125" s="2186">
        <f t="shared" ref="BH125:BH138" si="278">BG125-BF125</f>
        <v>-3.4692270000000001</v>
      </c>
      <c r="BI125" s="2188">
        <f t="shared" ref="BI125:BJ136" si="279">BI158+BI191+BI290+BI224+BI257</f>
        <v>4.1764679999999998</v>
      </c>
      <c r="BJ125" s="2188">
        <f t="shared" si="279"/>
        <v>0</v>
      </c>
      <c r="BK125" s="2186">
        <f t="shared" ref="BK125:BK138" si="280">BJ125-BI125</f>
        <v>-4.1764679999999998</v>
      </c>
      <c r="BL125" s="2188">
        <f t="shared" ref="BL125:BM136" si="281">BL158+BL191+BL290+BL224+BL257</f>
        <v>4.3347560000000005</v>
      </c>
      <c r="BM125" s="2188">
        <f t="shared" si="281"/>
        <v>0</v>
      </c>
      <c r="BN125" s="2186">
        <f t="shared" ref="BN125:BN138" si="282">BM125-BL125</f>
        <v>-4.3347560000000005</v>
      </c>
      <c r="BO125" s="2188">
        <f t="shared" ref="BO125:BP136" si="283">BO158+BO191+BO290+BO224+BO257</f>
        <v>5.3252449999999998</v>
      </c>
      <c r="BP125" s="2188">
        <f t="shared" si="283"/>
        <v>0</v>
      </c>
      <c r="BQ125" s="2186">
        <f t="shared" ref="BQ125:BQ138" si="284">BP125-BO125</f>
        <v>-5.3252449999999998</v>
      </c>
    </row>
    <row r="126" spans="3:69" s="2279" customFormat="1">
      <c r="C126" s="2189" t="s">
        <v>2249</v>
      </c>
      <c r="D126" s="2275" t="s">
        <v>2221</v>
      </c>
      <c r="E126" s="2274" t="s">
        <v>240</v>
      </c>
      <c r="F126" s="2176"/>
      <c r="G126" s="2179">
        <f t="shared" si="256"/>
        <v>0</v>
      </c>
      <c r="H126" s="2179">
        <f t="shared" si="256"/>
        <v>0</v>
      </c>
      <c r="I126" s="2178">
        <f t="shared" si="204"/>
        <v>0</v>
      </c>
      <c r="J126" s="2176"/>
      <c r="K126" s="2179">
        <f t="shared" si="239"/>
        <v>0</v>
      </c>
      <c r="L126" s="2179">
        <f t="shared" si="182"/>
        <v>0</v>
      </c>
      <c r="M126" s="2178">
        <f t="shared" si="183"/>
        <v>0</v>
      </c>
      <c r="N126" s="2179">
        <f t="shared" si="257"/>
        <v>0</v>
      </c>
      <c r="O126" s="2179">
        <f t="shared" si="257"/>
        <v>0</v>
      </c>
      <c r="P126" s="2178">
        <f t="shared" si="184"/>
        <v>0</v>
      </c>
      <c r="Q126" s="2179">
        <f t="shared" si="258"/>
        <v>0</v>
      </c>
      <c r="R126" s="2179">
        <f t="shared" si="258"/>
        <v>0</v>
      </c>
      <c r="S126" s="2180">
        <f t="shared" si="185"/>
        <v>0</v>
      </c>
      <c r="T126" s="2251">
        <f t="shared" si="186"/>
        <v>0</v>
      </c>
      <c r="U126" s="2252">
        <f t="shared" si="186"/>
        <v>0</v>
      </c>
      <c r="V126" s="2253">
        <f t="shared" si="187"/>
        <v>0</v>
      </c>
      <c r="W126" s="2187">
        <f t="shared" si="259"/>
        <v>0</v>
      </c>
      <c r="X126" s="2179">
        <f t="shared" si="259"/>
        <v>0</v>
      </c>
      <c r="Y126" s="2183">
        <f t="shared" si="188"/>
        <v>0</v>
      </c>
      <c r="Z126" s="2254">
        <f t="shared" si="189"/>
        <v>0</v>
      </c>
      <c r="AA126" s="2252">
        <f t="shared" si="189"/>
        <v>0</v>
      </c>
      <c r="AB126" s="2255">
        <f t="shared" si="190"/>
        <v>0</v>
      </c>
      <c r="AC126" s="2179">
        <f t="shared" si="260"/>
        <v>0</v>
      </c>
      <c r="AD126" s="2179">
        <f t="shared" si="260"/>
        <v>0</v>
      </c>
      <c r="AE126" s="2180">
        <f t="shared" si="191"/>
        <v>0</v>
      </c>
      <c r="AF126" s="2277"/>
      <c r="AG126" s="2278"/>
      <c r="AH126" s="2188">
        <f t="shared" si="261"/>
        <v>0</v>
      </c>
      <c r="AI126" s="2188">
        <f t="shared" si="261"/>
        <v>0</v>
      </c>
      <c r="AJ126" s="2186">
        <f t="shared" si="262"/>
        <v>0</v>
      </c>
      <c r="AK126" s="2188">
        <f t="shared" si="263"/>
        <v>0</v>
      </c>
      <c r="AL126" s="2188">
        <f t="shared" si="263"/>
        <v>0</v>
      </c>
      <c r="AM126" s="2186">
        <f t="shared" si="264"/>
        <v>0</v>
      </c>
      <c r="AN126" s="2188">
        <f t="shared" si="265"/>
        <v>0</v>
      </c>
      <c r="AO126" s="2188">
        <f t="shared" si="265"/>
        <v>0</v>
      </c>
      <c r="AP126" s="2186">
        <f t="shared" si="266"/>
        <v>0</v>
      </c>
      <c r="AQ126" s="2188">
        <f t="shared" si="267"/>
        <v>0</v>
      </c>
      <c r="AR126" s="2188">
        <f t="shared" si="267"/>
        <v>0</v>
      </c>
      <c r="AS126" s="2186">
        <f t="shared" si="268"/>
        <v>0</v>
      </c>
      <c r="AT126" s="2188">
        <f t="shared" si="269"/>
        <v>0</v>
      </c>
      <c r="AU126" s="2188">
        <f t="shared" si="269"/>
        <v>0</v>
      </c>
      <c r="AV126" s="2186">
        <f t="shared" si="270"/>
        <v>0</v>
      </c>
      <c r="AW126" s="2188">
        <f t="shared" si="271"/>
        <v>0</v>
      </c>
      <c r="AX126" s="2188">
        <f t="shared" si="271"/>
        <v>0</v>
      </c>
      <c r="AY126" s="2186">
        <f t="shared" si="272"/>
        <v>0</v>
      </c>
      <c r="AZ126" s="2188">
        <f t="shared" si="273"/>
        <v>0</v>
      </c>
      <c r="BA126" s="2188">
        <f t="shared" si="273"/>
        <v>0</v>
      </c>
      <c r="BB126" s="2186">
        <f t="shared" si="274"/>
        <v>0</v>
      </c>
      <c r="BC126" s="2188">
        <f t="shared" si="275"/>
        <v>0</v>
      </c>
      <c r="BD126" s="2188">
        <f t="shared" si="275"/>
        <v>0</v>
      </c>
      <c r="BE126" s="2186">
        <f t="shared" si="276"/>
        <v>0</v>
      </c>
      <c r="BF126" s="2188">
        <f t="shared" si="277"/>
        <v>0</v>
      </c>
      <c r="BG126" s="2188">
        <f t="shared" si="277"/>
        <v>0</v>
      </c>
      <c r="BH126" s="2186">
        <f t="shared" si="278"/>
        <v>0</v>
      </c>
      <c r="BI126" s="2188">
        <f t="shared" si="279"/>
        <v>0</v>
      </c>
      <c r="BJ126" s="2188">
        <f t="shared" si="279"/>
        <v>0</v>
      </c>
      <c r="BK126" s="2186">
        <f t="shared" si="280"/>
        <v>0</v>
      </c>
      <c r="BL126" s="2188">
        <f t="shared" si="281"/>
        <v>0</v>
      </c>
      <c r="BM126" s="2188">
        <f t="shared" si="281"/>
        <v>0</v>
      </c>
      <c r="BN126" s="2186">
        <f t="shared" si="282"/>
        <v>0</v>
      </c>
      <c r="BO126" s="2188">
        <f t="shared" si="283"/>
        <v>0</v>
      </c>
      <c r="BP126" s="2188">
        <f t="shared" si="283"/>
        <v>0</v>
      </c>
      <c r="BQ126" s="2186">
        <f t="shared" si="284"/>
        <v>0</v>
      </c>
    </row>
    <row r="127" spans="3:69" s="2279" customFormat="1">
      <c r="C127" s="2189" t="s">
        <v>2250</v>
      </c>
      <c r="D127" s="2275" t="s">
        <v>2223</v>
      </c>
      <c r="E127" s="2274" t="s">
        <v>240</v>
      </c>
      <c r="F127" s="2176"/>
      <c r="G127" s="2179">
        <f t="shared" si="256"/>
        <v>0</v>
      </c>
      <c r="H127" s="2179">
        <f t="shared" si="256"/>
        <v>0</v>
      </c>
      <c r="I127" s="2178">
        <f t="shared" si="204"/>
        <v>0</v>
      </c>
      <c r="J127" s="2176"/>
      <c r="K127" s="2179">
        <f t="shared" si="239"/>
        <v>0</v>
      </c>
      <c r="L127" s="2179">
        <f t="shared" si="182"/>
        <v>0</v>
      </c>
      <c r="M127" s="2178">
        <f t="shared" si="183"/>
        <v>0</v>
      </c>
      <c r="N127" s="2179">
        <f t="shared" si="257"/>
        <v>0</v>
      </c>
      <c r="O127" s="2179">
        <f t="shared" si="257"/>
        <v>0</v>
      </c>
      <c r="P127" s="2178">
        <f t="shared" si="184"/>
        <v>0</v>
      </c>
      <c r="Q127" s="2179">
        <f t="shared" si="258"/>
        <v>0</v>
      </c>
      <c r="R127" s="2179">
        <f t="shared" si="258"/>
        <v>0</v>
      </c>
      <c r="S127" s="2180">
        <f t="shared" si="185"/>
        <v>0</v>
      </c>
      <c r="T127" s="2251">
        <f t="shared" si="186"/>
        <v>0</v>
      </c>
      <c r="U127" s="2252">
        <f t="shared" si="186"/>
        <v>0</v>
      </c>
      <c r="V127" s="2253">
        <f t="shared" si="187"/>
        <v>0</v>
      </c>
      <c r="W127" s="2187">
        <f t="shared" si="259"/>
        <v>0</v>
      </c>
      <c r="X127" s="2179">
        <f t="shared" si="259"/>
        <v>0</v>
      </c>
      <c r="Y127" s="2183">
        <f t="shared" si="188"/>
        <v>0</v>
      </c>
      <c r="Z127" s="2254">
        <f t="shared" si="189"/>
        <v>0</v>
      </c>
      <c r="AA127" s="2252">
        <f t="shared" si="189"/>
        <v>0</v>
      </c>
      <c r="AB127" s="2255">
        <f t="shared" si="190"/>
        <v>0</v>
      </c>
      <c r="AC127" s="2179">
        <f t="shared" si="260"/>
        <v>0</v>
      </c>
      <c r="AD127" s="2179">
        <f t="shared" si="260"/>
        <v>0</v>
      </c>
      <c r="AE127" s="2180">
        <f t="shared" si="191"/>
        <v>0</v>
      </c>
      <c r="AF127" s="2277"/>
      <c r="AG127" s="2278"/>
      <c r="AH127" s="2188">
        <f t="shared" si="261"/>
        <v>0</v>
      </c>
      <c r="AI127" s="2188">
        <f t="shared" si="261"/>
        <v>0</v>
      </c>
      <c r="AJ127" s="2186">
        <f t="shared" si="262"/>
        <v>0</v>
      </c>
      <c r="AK127" s="2188">
        <f t="shared" si="263"/>
        <v>0</v>
      </c>
      <c r="AL127" s="2188">
        <f t="shared" si="263"/>
        <v>0</v>
      </c>
      <c r="AM127" s="2186">
        <f t="shared" si="264"/>
        <v>0</v>
      </c>
      <c r="AN127" s="2188">
        <f t="shared" si="265"/>
        <v>0</v>
      </c>
      <c r="AO127" s="2188">
        <f t="shared" si="265"/>
        <v>0</v>
      </c>
      <c r="AP127" s="2186">
        <f t="shared" si="266"/>
        <v>0</v>
      </c>
      <c r="AQ127" s="2188">
        <f t="shared" si="267"/>
        <v>0</v>
      </c>
      <c r="AR127" s="2188">
        <f t="shared" si="267"/>
        <v>0</v>
      </c>
      <c r="AS127" s="2186">
        <f t="shared" si="268"/>
        <v>0</v>
      </c>
      <c r="AT127" s="2188">
        <f t="shared" si="269"/>
        <v>0</v>
      </c>
      <c r="AU127" s="2188">
        <f t="shared" si="269"/>
        <v>0</v>
      </c>
      <c r="AV127" s="2186">
        <f t="shared" si="270"/>
        <v>0</v>
      </c>
      <c r="AW127" s="2188">
        <f t="shared" si="271"/>
        <v>0</v>
      </c>
      <c r="AX127" s="2188">
        <f t="shared" si="271"/>
        <v>0</v>
      </c>
      <c r="AY127" s="2186">
        <f t="shared" si="272"/>
        <v>0</v>
      </c>
      <c r="AZ127" s="2188">
        <f t="shared" si="273"/>
        <v>0</v>
      </c>
      <c r="BA127" s="2188">
        <f t="shared" si="273"/>
        <v>0</v>
      </c>
      <c r="BB127" s="2186">
        <f t="shared" si="274"/>
        <v>0</v>
      </c>
      <c r="BC127" s="2188">
        <f t="shared" si="275"/>
        <v>0</v>
      </c>
      <c r="BD127" s="2188">
        <f t="shared" si="275"/>
        <v>0</v>
      </c>
      <c r="BE127" s="2186">
        <f t="shared" si="276"/>
        <v>0</v>
      </c>
      <c r="BF127" s="2188">
        <f t="shared" si="277"/>
        <v>0</v>
      </c>
      <c r="BG127" s="2188">
        <f t="shared" si="277"/>
        <v>0</v>
      </c>
      <c r="BH127" s="2186">
        <f t="shared" si="278"/>
        <v>0</v>
      </c>
      <c r="BI127" s="2188">
        <f t="shared" si="279"/>
        <v>0</v>
      </c>
      <c r="BJ127" s="2188">
        <f t="shared" si="279"/>
        <v>0</v>
      </c>
      <c r="BK127" s="2186">
        <f t="shared" si="280"/>
        <v>0</v>
      </c>
      <c r="BL127" s="2188">
        <f t="shared" si="281"/>
        <v>0</v>
      </c>
      <c r="BM127" s="2188">
        <f t="shared" si="281"/>
        <v>0</v>
      </c>
      <c r="BN127" s="2186">
        <f t="shared" si="282"/>
        <v>0</v>
      </c>
      <c r="BO127" s="2188">
        <f t="shared" si="283"/>
        <v>0</v>
      </c>
      <c r="BP127" s="2188">
        <f t="shared" si="283"/>
        <v>0</v>
      </c>
      <c r="BQ127" s="2186">
        <f t="shared" si="284"/>
        <v>0</v>
      </c>
    </row>
    <row r="128" spans="3:69" s="2279" customFormat="1">
      <c r="C128" s="2189" t="s">
        <v>2251</v>
      </c>
      <c r="D128" s="2275" t="s">
        <v>2225</v>
      </c>
      <c r="E128" s="2274" t="s">
        <v>240</v>
      </c>
      <c r="F128" s="2176"/>
      <c r="G128" s="2179">
        <f t="shared" si="256"/>
        <v>0</v>
      </c>
      <c r="H128" s="2179">
        <f t="shared" si="256"/>
        <v>0</v>
      </c>
      <c r="I128" s="2178">
        <f t="shared" si="204"/>
        <v>0</v>
      </c>
      <c r="J128" s="2176"/>
      <c r="K128" s="2179">
        <f t="shared" si="239"/>
        <v>29.364727999999999</v>
      </c>
      <c r="L128" s="2179">
        <f t="shared" si="182"/>
        <v>0</v>
      </c>
      <c r="M128" s="2178">
        <f t="shared" si="183"/>
        <v>-29.364727999999999</v>
      </c>
      <c r="N128" s="2179">
        <f t="shared" si="257"/>
        <v>7.1454599999999999</v>
      </c>
      <c r="O128" s="2179">
        <f t="shared" si="257"/>
        <v>0</v>
      </c>
      <c r="P128" s="2178">
        <f t="shared" si="184"/>
        <v>-7.1454599999999999</v>
      </c>
      <c r="Q128" s="2179">
        <f t="shared" si="258"/>
        <v>5.5468580000000003</v>
      </c>
      <c r="R128" s="2179">
        <f t="shared" si="258"/>
        <v>0</v>
      </c>
      <c r="S128" s="2180">
        <f t="shared" si="185"/>
        <v>-5.5468580000000003</v>
      </c>
      <c r="T128" s="2251">
        <f t="shared" si="186"/>
        <v>12.692318</v>
      </c>
      <c r="U128" s="2252">
        <f t="shared" si="186"/>
        <v>0</v>
      </c>
      <c r="V128" s="2253">
        <f t="shared" si="187"/>
        <v>-12.692318</v>
      </c>
      <c r="W128" s="2187">
        <f t="shared" si="259"/>
        <v>6.5473529999999993</v>
      </c>
      <c r="X128" s="2179">
        <f t="shared" si="259"/>
        <v>0</v>
      </c>
      <c r="Y128" s="2183">
        <f t="shared" si="188"/>
        <v>-6.5473529999999993</v>
      </c>
      <c r="Z128" s="2254">
        <f t="shared" si="189"/>
        <v>19.239671000000001</v>
      </c>
      <c r="AA128" s="2252">
        <f t="shared" si="189"/>
        <v>0</v>
      </c>
      <c r="AB128" s="2255">
        <f t="shared" si="190"/>
        <v>-19.239671000000001</v>
      </c>
      <c r="AC128" s="2179">
        <f t="shared" si="260"/>
        <v>10.125057</v>
      </c>
      <c r="AD128" s="2179">
        <f t="shared" si="260"/>
        <v>0</v>
      </c>
      <c r="AE128" s="2180">
        <f t="shared" si="191"/>
        <v>-10.125057</v>
      </c>
      <c r="AF128" s="2277"/>
      <c r="AG128" s="2278"/>
      <c r="AH128" s="2188">
        <f t="shared" si="261"/>
        <v>1.9561199999999999</v>
      </c>
      <c r="AI128" s="2188">
        <f t="shared" si="261"/>
        <v>0</v>
      </c>
      <c r="AJ128" s="2186">
        <f t="shared" si="262"/>
        <v>-1.9561199999999999</v>
      </c>
      <c r="AK128" s="2188">
        <f t="shared" si="263"/>
        <v>2.3720300000000001</v>
      </c>
      <c r="AL128" s="2188">
        <f t="shared" si="263"/>
        <v>0</v>
      </c>
      <c r="AM128" s="2186">
        <f t="shared" si="264"/>
        <v>-2.3720300000000001</v>
      </c>
      <c r="AN128" s="2188">
        <f t="shared" si="265"/>
        <v>2.81731</v>
      </c>
      <c r="AO128" s="2188">
        <f t="shared" si="265"/>
        <v>0</v>
      </c>
      <c r="AP128" s="2186">
        <f t="shared" si="266"/>
        <v>-2.81731</v>
      </c>
      <c r="AQ128" s="2188">
        <f t="shared" si="267"/>
        <v>2.0053179999999999</v>
      </c>
      <c r="AR128" s="2188">
        <f t="shared" si="267"/>
        <v>0</v>
      </c>
      <c r="AS128" s="2186">
        <f t="shared" si="268"/>
        <v>-2.0053179999999999</v>
      </c>
      <c r="AT128" s="2188">
        <f t="shared" si="269"/>
        <v>1.9874740000000002</v>
      </c>
      <c r="AU128" s="2188">
        <f t="shared" si="269"/>
        <v>0</v>
      </c>
      <c r="AV128" s="2186">
        <f t="shared" si="270"/>
        <v>-1.9874740000000002</v>
      </c>
      <c r="AW128" s="2188">
        <f t="shared" si="271"/>
        <v>1.5540660000000002</v>
      </c>
      <c r="AX128" s="2188">
        <f t="shared" si="271"/>
        <v>0</v>
      </c>
      <c r="AY128" s="2186">
        <f t="shared" si="272"/>
        <v>-1.5540660000000002</v>
      </c>
      <c r="AZ128" s="2188">
        <f t="shared" si="273"/>
        <v>1.971225</v>
      </c>
      <c r="BA128" s="2188">
        <f t="shared" si="273"/>
        <v>0</v>
      </c>
      <c r="BB128" s="2186">
        <f t="shared" si="274"/>
        <v>-1.971225</v>
      </c>
      <c r="BC128" s="2188">
        <f t="shared" si="275"/>
        <v>2.0374659999999998</v>
      </c>
      <c r="BD128" s="2188">
        <f t="shared" si="275"/>
        <v>0</v>
      </c>
      <c r="BE128" s="2186">
        <f t="shared" si="276"/>
        <v>-2.0374659999999998</v>
      </c>
      <c r="BF128" s="2188">
        <f t="shared" si="277"/>
        <v>2.538662</v>
      </c>
      <c r="BG128" s="2188">
        <f t="shared" si="277"/>
        <v>0</v>
      </c>
      <c r="BH128" s="2186">
        <f t="shared" si="278"/>
        <v>-2.538662</v>
      </c>
      <c r="BI128" s="2188">
        <f t="shared" si="279"/>
        <v>3.0561970000000001</v>
      </c>
      <c r="BJ128" s="2188">
        <f t="shared" si="279"/>
        <v>0</v>
      </c>
      <c r="BK128" s="2186">
        <f t="shared" si="280"/>
        <v>-3.0561970000000001</v>
      </c>
      <c r="BL128" s="2188">
        <f t="shared" si="281"/>
        <v>3.1720260000000002</v>
      </c>
      <c r="BM128" s="2188">
        <f t="shared" si="281"/>
        <v>0</v>
      </c>
      <c r="BN128" s="2186">
        <f t="shared" si="282"/>
        <v>-3.1720260000000002</v>
      </c>
      <c r="BO128" s="2188">
        <f t="shared" si="283"/>
        <v>3.8968340000000001</v>
      </c>
      <c r="BP128" s="2188">
        <f t="shared" si="283"/>
        <v>0</v>
      </c>
      <c r="BQ128" s="2186">
        <f t="shared" si="284"/>
        <v>-3.8968340000000001</v>
      </c>
    </row>
    <row r="129" spans="3:69" s="2279" customFormat="1">
      <c r="C129" s="2189" t="s">
        <v>2252</v>
      </c>
      <c r="D129" s="2275" t="s">
        <v>2227</v>
      </c>
      <c r="E129" s="2274" t="s">
        <v>240</v>
      </c>
      <c r="F129" s="2176"/>
      <c r="G129" s="2179">
        <f t="shared" si="256"/>
        <v>0</v>
      </c>
      <c r="H129" s="2179">
        <f t="shared" si="256"/>
        <v>0</v>
      </c>
      <c r="I129" s="2178">
        <f t="shared" si="204"/>
        <v>0</v>
      </c>
      <c r="J129" s="2176"/>
      <c r="K129" s="2179">
        <f t="shared" si="239"/>
        <v>12.400714999999998</v>
      </c>
      <c r="L129" s="2179">
        <f t="shared" si="182"/>
        <v>0</v>
      </c>
      <c r="M129" s="2178">
        <f t="shared" si="183"/>
        <v>-12.400714999999998</v>
      </c>
      <c r="N129" s="2179">
        <f t="shared" si="257"/>
        <v>3.8975899999999997</v>
      </c>
      <c r="O129" s="2179">
        <f t="shared" si="257"/>
        <v>0</v>
      </c>
      <c r="P129" s="2178">
        <f t="shared" si="184"/>
        <v>-3.8975899999999997</v>
      </c>
      <c r="Q129" s="2179">
        <f t="shared" si="258"/>
        <v>2.3917349999999997</v>
      </c>
      <c r="R129" s="2179">
        <f t="shared" si="258"/>
        <v>0</v>
      </c>
      <c r="S129" s="2180">
        <f t="shared" si="185"/>
        <v>-2.3917349999999997</v>
      </c>
      <c r="T129" s="2251">
        <f t="shared" si="186"/>
        <v>6.2893249999999998</v>
      </c>
      <c r="U129" s="2252">
        <f t="shared" si="186"/>
        <v>0</v>
      </c>
      <c r="V129" s="2253">
        <f t="shared" si="187"/>
        <v>-6.2893249999999998</v>
      </c>
      <c r="W129" s="2187">
        <f t="shared" si="259"/>
        <v>2.3999779999999999</v>
      </c>
      <c r="X129" s="2179">
        <f t="shared" si="259"/>
        <v>0</v>
      </c>
      <c r="Y129" s="2183">
        <f t="shared" si="188"/>
        <v>-2.3999779999999999</v>
      </c>
      <c r="Z129" s="2254">
        <f t="shared" si="189"/>
        <v>8.6893029999999989</v>
      </c>
      <c r="AA129" s="2252">
        <f t="shared" si="189"/>
        <v>0</v>
      </c>
      <c r="AB129" s="2255">
        <f t="shared" si="190"/>
        <v>-8.6893029999999989</v>
      </c>
      <c r="AC129" s="2179">
        <f t="shared" si="260"/>
        <v>3.7114120000000002</v>
      </c>
      <c r="AD129" s="2179">
        <f t="shared" si="260"/>
        <v>0</v>
      </c>
      <c r="AE129" s="2180">
        <f t="shared" si="191"/>
        <v>-3.7114120000000002</v>
      </c>
      <c r="AF129" s="2277"/>
      <c r="AG129" s="2278"/>
      <c r="AH129" s="2188">
        <f t="shared" si="261"/>
        <v>1.660013</v>
      </c>
      <c r="AI129" s="2188">
        <f t="shared" si="261"/>
        <v>0</v>
      </c>
      <c r="AJ129" s="2186">
        <f t="shared" si="262"/>
        <v>-1.660013</v>
      </c>
      <c r="AK129" s="2188">
        <f t="shared" si="263"/>
        <v>1.0227889999999999</v>
      </c>
      <c r="AL129" s="2188">
        <f t="shared" si="263"/>
        <v>0</v>
      </c>
      <c r="AM129" s="2186">
        <f t="shared" si="264"/>
        <v>-1.0227889999999999</v>
      </c>
      <c r="AN129" s="2188">
        <f t="shared" si="265"/>
        <v>1.214788</v>
      </c>
      <c r="AO129" s="2188">
        <f t="shared" si="265"/>
        <v>0</v>
      </c>
      <c r="AP129" s="2186">
        <f t="shared" si="266"/>
        <v>-1.214788</v>
      </c>
      <c r="AQ129" s="2188">
        <f t="shared" si="267"/>
        <v>0.86466799999999999</v>
      </c>
      <c r="AR129" s="2188">
        <f t="shared" si="267"/>
        <v>0</v>
      </c>
      <c r="AS129" s="2186">
        <f t="shared" si="268"/>
        <v>-0.86466799999999999</v>
      </c>
      <c r="AT129" s="2188">
        <f t="shared" si="269"/>
        <v>0.85697299999999998</v>
      </c>
      <c r="AU129" s="2188">
        <f t="shared" si="269"/>
        <v>0</v>
      </c>
      <c r="AV129" s="2186">
        <f t="shared" si="270"/>
        <v>-0.85697299999999998</v>
      </c>
      <c r="AW129" s="2188">
        <f t="shared" si="271"/>
        <v>0.67009399999999997</v>
      </c>
      <c r="AX129" s="2188">
        <f t="shared" si="271"/>
        <v>0</v>
      </c>
      <c r="AY129" s="2186">
        <f t="shared" si="272"/>
        <v>-0.67009399999999997</v>
      </c>
      <c r="AZ129" s="2188">
        <f t="shared" si="273"/>
        <v>0.72256500000000001</v>
      </c>
      <c r="BA129" s="2188">
        <f t="shared" si="273"/>
        <v>0</v>
      </c>
      <c r="BB129" s="2186">
        <f t="shared" si="274"/>
        <v>-0.72256500000000001</v>
      </c>
      <c r="BC129" s="2188">
        <f t="shared" si="275"/>
        <v>0.74684799999999996</v>
      </c>
      <c r="BD129" s="2188">
        <f t="shared" si="275"/>
        <v>0</v>
      </c>
      <c r="BE129" s="2186">
        <f t="shared" si="276"/>
        <v>-0.74684799999999996</v>
      </c>
      <c r="BF129" s="2188">
        <f t="shared" si="277"/>
        <v>0.93056499999999986</v>
      </c>
      <c r="BG129" s="2188">
        <f t="shared" si="277"/>
        <v>0</v>
      </c>
      <c r="BH129" s="2186">
        <f t="shared" si="278"/>
        <v>-0.93056499999999986</v>
      </c>
      <c r="BI129" s="2188">
        <f t="shared" si="279"/>
        <v>1.120271</v>
      </c>
      <c r="BJ129" s="2188">
        <f t="shared" si="279"/>
        <v>0</v>
      </c>
      <c r="BK129" s="2186">
        <f t="shared" si="280"/>
        <v>-1.120271</v>
      </c>
      <c r="BL129" s="2188">
        <f t="shared" si="281"/>
        <v>1.16273</v>
      </c>
      <c r="BM129" s="2188">
        <f t="shared" si="281"/>
        <v>0</v>
      </c>
      <c r="BN129" s="2186">
        <f t="shared" si="282"/>
        <v>-1.16273</v>
      </c>
      <c r="BO129" s="2188">
        <f t="shared" si="283"/>
        <v>1.4284109999999999</v>
      </c>
      <c r="BP129" s="2188">
        <f t="shared" si="283"/>
        <v>0</v>
      </c>
      <c r="BQ129" s="2186">
        <f t="shared" si="284"/>
        <v>-1.4284109999999999</v>
      </c>
    </row>
    <row r="130" spans="3:69" s="2087" customFormat="1">
      <c r="C130" s="2189" t="s">
        <v>2253</v>
      </c>
      <c r="D130" s="2275" t="s">
        <v>2229</v>
      </c>
      <c r="E130" s="2274" t="s">
        <v>240</v>
      </c>
      <c r="F130" s="2176"/>
      <c r="G130" s="2179">
        <f>G163+G196+G295+G229+G262</f>
        <v>0</v>
      </c>
      <c r="H130" s="2179">
        <f t="shared" si="256"/>
        <v>0</v>
      </c>
      <c r="I130" s="2178">
        <f t="shared" si="204"/>
        <v>0</v>
      </c>
      <c r="J130" s="2176"/>
      <c r="K130" s="2179">
        <f t="shared" si="239"/>
        <v>0</v>
      </c>
      <c r="L130" s="2179">
        <f t="shared" si="182"/>
        <v>0</v>
      </c>
      <c r="M130" s="2178">
        <f t="shared" si="183"/>
        <v>0</v>
      </c>
      <c r="N130" s="2179">
        <f t="shared" si="257"/>
        <v>0</v>
      </c>
      <c r="O130" s="2179">
        <f t="shared" si="257"/>
        <v>0</v>
      </c>
      <c r="P130" s="2178">
        <f t="shared" si="184"/>
        <v>0</v>
      </c>
      <c r="Q130" s="2179">
        <f t="shared" si="258"/>
        <v>0</v>
      </c>
      <c r="R130" s="2179">
        <f t="shared" si="258"/>
        <v>0</v>
      </c>
      <c r="S130" s="2180">
        <f t="shared" si="185"/>
        <v>0</v>
      </c>
      <c r="T130" s="2251">
        <f t="shared" si="186"/>
        <v>0</v>
      </c>
      <c r="U130" s="2252">
        <f t="shared" si="186"/>
        <v>0</v>
      </c>
      <c r="V130" s="2253">
        <f t="shared" si="187"/>
        <v>0</v>
      </c>
      <c r="W130" s="2187">
        <f t="shared" si="259"/>
        <v>0</v>
      </c>
      <c r="X130" s="2179">
        <f t="shared" si="259"/>
        <v>0</v>
      </c>
      <c r="Y130" s="2183">
        <f t="shared" si="188"/>
        <v>0</v>
      </c>
      <c r="Z130" s="2254">
        <f t="shared" si="189"/>
        <v>0</v>
      </c>
      <c r="AA130" s="2252">
        <f t="shared" si="189"/>
        <v>0</v>
      </c>
      <c r="AB130" s="2255">
        <f t="shared" si="190"/>
        <v>0</v>
      </c>
      <c r="AC130" s="2179">
        <f t="shared" si="260"/>
        <v>0</v>
      </c>
      <c r="AD130" s="2179">
        <f t="shared" si="260"/>
        <v>0</v>
      </c>
      <c r="AE130" s="2180">
        <f t="shared" si="191"/>
        <v>0</v>
      </c>
      <c r="AF130" s="2185"/>
      <c r="AG130" s="2114"/>
      <c r="AH130" s="2188">
        <f t="shared" si="261"/>
        <v>1.662123</v>
      </c>
      <c r="AI130" s="2188">
        <f t="shared" si="261"/>
        <v>0</v>
      </c>
      <c r="AJ130" s="2186">
        <f t="shared" si="262"/>
        <v>-1.662123</v>
      </c>
      <c r="AK130" s="2188">
        <f t="shared" si="263"/>
        <v>0</v>
      </c>
      <c r="AL130" s="2188">
        <f t="shared" si="263"/>
        <v>0</v>
      </c>
      <c r="AM130" s="2186">
        <f t="shared" si="264"/>
        <v>0</v>
      </c>
      <c r="AN130" s="2188">
        <f t="shared" si="265"/>
        <v>0</v>
      </c>
      <c r="AO130" s="2188">
        <f t="shared" si="265"/>
        <v>0</v>
      </c>
      <c r="AP130" s="2186">
        <f t="shared" si="266"/>
        <v>0</v>
      </c>
      <c r="AQ130" s="2188">
        <f t="shared" si="267"/>
        <v>0</v>
      </c>
      <c r="AR130" s="2188">
        <f t="shared" si="267"/>
        <v>0</v>
      </c>
      <c r="AS130" s="2186">
        <f t="shared" si="268"/>
        <v>0</v>
      </c>
      <c r="AT130" s="2188">
        <f t="shared" si="269"/>
        <v>0</v>
      </c>
      <c r="AU130" s="2188">
        <f t="shared" si="269"/>
        <v>0</v>
      </c>
      <c r="AV130" s="2186">
        <f t="shared" si="270"/>
        <v>0</v>
      </c>
      <c r="AW130" s="2188">
        <f t="shared" si="271"/>
        <v>0</v>
      </c>
      <c r="AX130" s="2188">
        <f t="shared" si="271"/>
        <v>0</v>
      </c>
      <c r="AY130" s="2186">
        <f t="shared" si="272"/>
        <v>0</v>
      </c>
      <c r="AZ130" s="2188">
        <f t="shared" si="273"/>
        <v>0</v>
      </c>
      <c r="BA130" s="2188">
        <f t="shared" si="273"/>
        <v>0</v>
      </c>
      <c r="BB130" s="2186">
        <f t="shared" si="274"/>
        <v>0</v>
      </c>
      <c r="BC130" s="2188">
        <f t="shared" si="275"/>
        <v>0</v>
      </c>
      <c r="BD130" s="2188">
        <f t="shared" si="275"/>
        <v>0</v>
      </c>
      <c r="BE130" s="2186">
        <f t="shared" si="276"/>
        <v>0</v>
      </c>
      <c r="BF130" s="2188">
        <f t="shared" si="277"/>
        <v>0</v>
      </c>
      <c r="BG130" s="2188">
        <f t="shared" si="277"/>
        <v>0</v>
      </c>
      <c r="BH130" s="2186">
        <f t="shared" si="278"/>
        <v>0</v>
      </c>
      <c r="BI130" s="2188">
        <f t="shared" si="279"/>
        <v>0</v>
      </c>
      <c r="BJ130" s="2188">
        <f t="shared" si="279"/>
        <v>0</v>
      </c>
      <c r="BK130" s="2186">
        <f t="shared" si="280"/>
        <v>0</v>
      </c>
      <c r="BL130" s="2188">
        <f t="shared" si="281"/>
        <v>0</v>
      </c>
      <c r="BM130" s="2188">
        <f t="shared" si="281"/>
        <v>0</v>
      </c>
      <c r="BN130" s="2186">
        <f t="shared" si="282"/>
        <v>0</v>
      </c>
      <c r="BO130" s="2188">
        <f t="shared" si="283"/>
        <v>0</v>
      </c>
      <c r="BP130" s="2188">
        <f t="shared" si="283"/>
        <v>0</v>
      </c>
      <c r="BQ130" s="2186">
        <f t="shared" si="284"/>
        <v>0</v>
      </c>
    </row>
    <row r="131" spans="3:69" s="2279" customFormat="1">
      <c r="C131" s="2173" t="s">
        <v>2254</v>
      </c>
      <c r="D131" s="2263" t="s">
        <v>2255</v>
      </c>
      <c r="E131" s="2274" t="s">
        <v>240</v>
      </c>
      <c r="F131" s="2176"/>
      <c r="G131" s="2179">
        <f t="shared" ref="G131:H136" si="285">G164+G197+G296+G230+G263</f>
        <v>0</v>
      </c>
      <c r="H131" s="2179">
        <f t="shared" si="285"/>
        <v>0</v>
      </c>
      <c r="I131" s="2178">
        <f t="shared" si="204"/>
        <v>0</v>
      </c>
      <c r="J131" s="2176"/>
      <c r="K131" s="2179">
        <f t="shared" si="239"/>
        <v>270.00043099999999</v>
      </c>
      <c r="L131" s="2179">
        <f t="shared" si="182"/>
        <v>0</v>
      </c>
      <c r="M131" s="2178">
        <f t="shared" si="183"/>
        <v>-270.00043099999999</v>
      </c>
      <c r="N131" s="2179">
        <f t="shared" si="257"/>
        <v>72.050737999999981</v>
      </c>
      <c r="O131" s="2179">
        <f t="shared" si="257"/>
        <v>0</v>
      </c>
      <c r="P131" s="2178">
        <f t="shared" si="184"/>
        <v>-72.050737999999981</v>
      </c>
      <c r="Q131" s="2179">
        <f t="shared" si="258"/>
        <v>51.274016000000003</v>
      </c>
      <c r="R131" s="2179">
        <f t="shared" si="258"/>
        <v>0</v>
      </c>
      <c r="S131" s="2180">
        <f t="shared" si="185"/>
        <v>-51.274016000000003</v>
      </c>
      <c r="T131" s="2251">
        <f t="shared" si="186"/>
        <v>123.32475399999998</v>
      </c>
      <c r="U131" s="2252">
        <f t="shared" si="186"/>
        <v>0</v>
      </c>
      <c r="V131" s="2253">
        <f t="shared" si="187"/>
        <v>-123.32475399999998</v>
      </c>
      <c r="W131" s="2187">
        <f t="shared" si="259"/>
        <v>57.600405000000002</v>
      </c>
      <c r="X131" s="2179">
        <f t="shared" si="259"/>
        <v>0</v>
      </c>
      <c r="Y131" s="2183">
        <f t="shared" si="188"/>
        <v>-57.600405000000002</v>
      </c>
      <c r="Z131" s="2254">
        <f t="shared" si="189"/>
        <v>180.92515899999998</v>
      </c>
      <c r="AA131" s="2252">
        <f t="shared" si="189"/>
        <v>0</v>
      </c>
      <c r="AB131" s="2255">
        <f t="shared" si="190"/>
        <v>-180.92515899999998</v>
      </c>
      <c r="AC131" s="2179">
        <f t="shared" si="260"/>
        <v>89.075272000000012</v>
      </c>
      <c r="AD131" s="2179">
        <f t="shared" si="260"/>
        <v>0</v>
      </c>
      <c r="AE131" s="2180">
        <f t="shared" si="191"/>
        <v>-89.075272000000012</v>
      </c>
      <c r="AF131" s="2277"/>
      <c r="AG131" s="2278"/>
      <c r="AH131" s="2188">
        <f t="shared" si="261"/>
        <v>21.214106000000001</v>
      </c>
      <c r="AI131" s="2188">
        <f t="shared" si="261"/>
        <v>0</v>
      </c>
      <c r="AJ131" s="2186">
        <f t="shared" si="262"/>
        <v>-21.214106000000001</v>
      </c>
      <c r="AK131" s="2188">
        <f t="shared" si="263"/>
        <v>24.793997000000001</v>
      </c>
      <c r="AL131" s="2188">
        <f t="shared" si="263"/>
        <v>0</v>
      </c>
      <c r="AM131" s="2186">
        <f t="shared" si="264"/>
        <v>-24.793997000000001</v>
      </c>
      <c r="AN131" s="2188">
        <f t="shared" si="265"/>
        <v>26.042634999999997</v>
      </c>
      <c r="AO131" s="2188">
        <f t="shared" si="265"/>
        <v>0</v>
      </c>
      <c r="AP131" s="2186">
        <f t="shared" si="266"/>
        <v>-26.042634999999997</v>
      </c>
      <c r="AQ131" s="2188">
        <f t="shared" si="267"/>
        <v>18.536742</v>
      </c>
      <c r="AR131" s="2188">
        <f t="shared" si="267"/>
        <v>0</v>
      </c>
      <c r="AS131" s="2186">
        <f t="shared" si="268"/>
        <v>-18.536742</v>
      </c>
      <c r="AT131" s="2188">
        <f t="shared" si="269"/>
        <v>18.371809000000002</v>
      </c>
      <c r="AU131" s="2188">
        <f t="shared" si="269"/>
        <v>0</v>
      </c>
      <c r="AV131" s="2186">
        <f t="shared" si="270"/>
        <v>-18.371809000000002</v>
      </c>
      <c r="AW131" s="2188">
        <f t="shared" si="271"/>
        <v>14.365465</v>
      </c>
      <c r="AX131" s="2188">
        <f t="shared" si="271"/>
        <v>0</v>
      </c>
      <c r="AY131" s="2186">
        <f t="shared" si="272"/>
        <v>-14.365465</v>
      </c>
      <c r="AZ131" s="2188">
        <f t="shared" si="273"/>
        <v>17.341875999999999</v>
      </c>
      <c r="BA131" s="2188">
        <f t="shared" si="273"/>
        <v>0</v>
      </c>
      <c r="BB131" s="2186">
        <f t="shared" si="274"/>
        <v>-17.341875999999999</v>
      </c>
      <c r="BC131" s="2188">
        <f t="shared" si="275"/>
        <v>17.924624000000001</v>
      </c>
      <c r="BD131" s="2188">
        <f t="shared" si="275"/>
        <v>0</v>
      </c>
      <c r="BE131" s="2186">
        <f t="shared" si="276"/>
        <v>-17.924624000000001</v>
      </c>
      <c r="BF131" s="2188">
        <f t="shared" si="277"/>
        <v>22.333905000000001</v>
      </c>
      <c r="BG131" s="2188">
        <f t="shared" si="277"/>
        <v>0</v>
      </c>
      <c r="BH131" s="2186">
        <f t="shared" si="278"/>
        <v>-22.333905000000001</v>
      </c>
      <c r="BI131" s="2188">
        <f t="shared" si="279"/>
        <v>26.886918999999999</v>
      </c>
      <c r="BJ131" s="2188">
        <f t="shared" si="279"/>
        <v>0</v>
      </c>
      <c r="BK131" s="2186">
        <f t="shared" si="280"/>
        <v>-26.886918999999999</v>
      </c>
      <c r="BL131" s="2188">
        <f t="shared" si="281"/>
        <v>27.905925000000003</v>
      </c>
      <c r="BM131" s="2188">
        <f t="shared" si="281"/>
        <v>0</v>
      </c>
      <c r="BN131" s="2186">
        <f t="shared" si="282"/>
        <v>-27.905925000000003</v>
      </c>
      <c r="BO131" s="2188">
        <f t="shared" si="283"/>
        <v>34.282428000000003</v>
      </c>
      <c r="BP131" s="2188">
        <f t="shared" si="283"/>
        <v>0</v>
      </c>
      <c r="BQ131" s="2186">
        <f t="shared" si="284"/>
        <v>-34.282428000000003</v>
      </c>
    </row>
    <row r="132" spans="3:69" s="2279" customFormat="1">
      <c r="C132" s="2189" t="s">
        <v>2256</v>
      </c>
      <c r="D132" s="2275" t="s">
        <v>2221</v>
      </c>
      <c r="E132" s="2274" t="s">
        <v>240</v>
      </c>
      <c r="F132" s="2176"/>
      <c r="G132" s="2179">
        <f t="shared" si="285"/>
        <v>0</v>
      </c>
      <c r="H132" s="2179">
        <f t="shared" si="285"/>
        <v>0</v>
      </c>
      <c r="I132" s="2178">
        <f t="shared" si="204"/>
        <v>0</v>
      </c>
      <c r="J132" s="2176"/>
      <c r="K132" s="2179">
        <f t="shared" si="239"/>
        <v>0</v>
      </c>
      <c r="L132" s="2179">
        <f t="shared" si="182"/>
        <v>0</v>
      </c>
      <c r="M132" s="2178">
        <f t="shared" si="183"/>
        <v>0</v>
      </c>
      <c r="N132" s="2179">
        <f t="shared" si="257"/>
        <v>0</v>
      </c>
      <c r="O132" s="2179">
        <f t="shared" si="257"/>
        <v>0</v>
      </c>
      <c r="P132" s="2178">
        <f t="shared" si="184"/>
        <v>0</v>
      </c>
      <c r="Q132" s="2179">
        <f t="shared" si="258"/>
        <v>0</v>
      </c>
      <c r="R132" s="2179">
        <f t="shared" si="258"/>
        <v>0</v>
      </c>
      <c r="S132" s="2180">
        <f t="shared" si="185"/>
        <v>0</v>
      </c>
      <c r="T132" s="2251">
        <f t="shared" si="186"/>
        <v>0</v>
      </c>
      <c r="U132" s="2252">
        <f t="shared" si="186"/>
        <v>0</v>
      </c>
      <c r="V132" s="2253">
        <f t="shared" si="187"/>
        <v>0</v>
      </c>
      <c r="W132" s="2187">
        <f t="shared" si="259"/>
        <v>0</v>
      </c>
      <c r="X132" s="2179">
        <f t="shared" si="259"/>
        <v>0</v>
      </c>
      <c r="Y132" s="2183">
        <f t="shared" si="188"/>
        <v>0</v>
      </c>
      <c r="Z132" s="2254">
        <f t="shared" si="189"/>
        <v>0</v>
      </c>
      <c r="AA132" s="2252">
        <f t="shared" si="189"/>
        <v>0</v>
      </c>
      <c r="AB132" s="2255">
        <f t="shared" si="190"/>
        <v>0</v>
      </c>
      <c r="AC132" s="2179">
        <f t="shared" si="260"/>
        <v>0</v>
      </c>
      <c r="AD132" s="2179">
        <f t="shared" si="260"/>
        <v>0</v>
      </c>
      <c r="AE132" s="2180">
        <f t="shared" si="191"/>
        <v>0</v>
      </c>
      <c r="AF132" s="2277"/>
      <c r="AG132" s="2278"/>
      <c r="AH132" s="2188">
        <f t="shared" si="261"/>
        <v>0</v>
      </c>
      <c r="AI132" s="2188">
        <f t="shared" si="261"/>
        <v>0</v>
      </c>
      <c r="AJ132" s="2186">
        <f t="shared" si="262"/>
        <v>0</v>
      </c>
      <c r="AK132" s="2188">
        <f t="shared" si="263"/>
        <v>0</v>
      </c>
      <c r="AL132" s="2188">
        <f t="shared" si="263"/>
        <v>0</v>
      </c>
      <c r="AM132" s="2186">
        <f t="shared" si="264"/>
        <v>0</v>
      </c>
      <c r="AN132" s="2188">
        <f t="shared" si="265"/>
        <v>0</v>
      </c>
      <c r="AO132" s="2188">
        <f t="shared" si="265"/>
        <v>0</v>
      </c>
      <c r="AP132" s="2186">
        <f t="shared" si="266"/>
        <v>0</v>
      </c>
      <c r="AQ132" s="2188">
        <f t="shared" si="267"/>
        <v>0</v>
      </c>
      <c r="AR132" s="2188">
        <f t="shared" si="267"/>
        <v>0</v>
      </c>
      <c r="AS132" s="2186">
        <f t="shared" si="268"/>
        <v>0</v>
      </c>
      <c r="AT132" s="2188">
        <f t="shared" si="269"/>
        <v>0</v>
      </c>
      <c r="AU132" s="2188">
        <f t="shared" si="269"/>
        <v>0</v>
      </c>
      <c r="AV132" s="2186">
        <f t="shared" si="270"/>
        <v>0</v>
      </c>
      <c r="AW132" s="2188">
        <f t="shared" si="271"/>
        <v>0</v>
      </c>
      <c r="AX132" s="2188">
        <f t="shared" si="271"/>
        <v>0</v>
      </c>
      <c r="AY132" s="2186">
        <f t="shared" si="272"/>
        <v>0</v>
      </c>
      <c r="AZ132" s="2188">
        <f t="shared" si="273"/>
        <v>0</v>
      </c>
      <c r="BA132" s="2188">
        <f t="shared" si="273"/>
        <v>0</v>
      </c>
      <c r="BB132" s="2186">
        <f t="shared" si="274"/>
        <v>0</v>
      </c>
      <c r="BC132" s="2188">
        <f t="shared" si="275"/>
        <v>0</v>
      </c>
      <c r="BD132" s="2188">
        <f t="shared" si="275"/>
        <v>0</v>
      </c>
      <c r="BE132" s="2186">
        <f t="shared" si="276"/>
        <v>0</v>
      </c>
      <c r="BF132" s="2188">
        <f t="shared" si="277"/>
        <v>0</v>
      </c>
      <c r="BG132" s="2188">
        <f t="shared" si="277"/>
        <v>0</v>
      </c>
      <c r="BH132" s="2186">
        <f t="shared" si="278"/>
        <v>0</v>
      </c>
      <c r="BI132" s="2188">
        <f t="shared" si="279"/>
        <v>0</v>
      </c>
      <c r="BJ132" s="2188">
        <f t="shared" si="279"/>
        <v>0</v>
      </c>
      <c r="BK132" s="2186">
        <f t="shared" si="280"/>
        <v>0</v>
      </c>
      <c r="BL132" s="2188">
        <f t="shared" si="281"/>
        <v>0</v>
      </c>
      <c r="BM132" s="2188">
        <f t="shared" si="281"/>
        <v>0</v>
      </c>
      <c r="BN132" s="2186">
        <f t="shared" si="282"/>
        <v>0</v>
      </c>
      <c r="BO132" s="2188">
        <f t="shared" si="283"/>
        <v>0</v>
      </c>
      <c r="BP132" s="2188">
        <f t="shared" si="283"/>
        <v>0</v>
      </c>
      <c r="BQ132" s="2186">
        <f t="shared" si="284"/>
        <v>0</v>
      </c>
    </row>
    <row r="133" spans="3:69" s="2279" customFormat="1">
      <c r="C133" s="2189" t="s">
        <v>2257</v>
      </c>
      <c r="D133" s="2275" t="s">
        <v>2223</v>
      </c>
      <c r="E133" s="2274" t="s">
        <v>240</v>
      </c>
      <c r="F133" s="2176"/>
      <c r="G133" s="2179">
        <f t="shared" si="285"/>
        <v>0</v>
      </c>
      <c r="H133" s="2179">
        <f t="shared" si="285"/>
        <v>0</v>
      </c>
      <c r="I133" s="2178">
        <f t="shared" si="204"/>
        <v>0</v>
      </c>
      <c r="J133" s="2176"/>
      <c r="K133" s="2179">
        <f t="shared" si="239"/>
        <v>0</v>
      </c>
      <c r="L133" s="2179">
        <f t="shared" si="182"/>
        <v>0</v>
      </c>
      <c r="M133" s="2178">
        <f t="shared" si="183"/>
        <v>0</v>
      </c>
      <c r="N133" s="2179">
        <f t="shared" si="257"/>
        <v>0</v>
      </c>
      <c r="O133" s="2179">
        <f t="shared" si="257"/>
        <v>0</v>
      </c>
      <c r="P133" s="2178">
        <f t="shared" si="184"/>
        <v>0</v>
      </c>
      <c r="Q133" s="2179">
        <f t="shared" si="258"/>
        <v>0</v>
      </c>
      <c r="R133" s="2179">
        <f t="shared" si="258"/>
        <v>0</v>
      </c>
      <c r="S133" s="2180">
        <f t="shared" si="185"/>
        <v>0</v>
      </c>
      <c r="T133" s="2251">
        <f t="shared" si="186"/>
        <v>0</v>
      </c>
      <c r="U133" s="2252">
        <f t="shared" si="186"/>
        <v>0</v>
      </c>
      <c r="V133" s="2253">
        <f t="shared" si="187"/>
        <v>0</v>
      </c>
      <c r="W133" s="2187">
        <f t="shared" si="259"/>
        <v>0</v>
      </c>
      <c r="X133" s="2179">
        <f t="shared" si="259"/>
        <v>0</v>
      </c>
      <c r="Y133" s="2183">
        <f t="shared" si="188"/>
        <v>0</v>
      </c>
      <c r="Z133" s="2254">
        <f t="shared" si="189"/>
        <v>0</v>
      </c>
      <c r="AA133" s="2252">
        <f t="shared" si="189"/>
        <v>0</v>
      </c>
      <c r="AB133" s="2255">
        <f t="shared" si="190"/>
        <v>0</v>
      </c>
      <c r="AC133" s="2179">
        <f t="shared" si="260"/>
        <v>0</v>
      </c>
      <c r="AD133" s="2179">
        <f t="shared" si="260"/>
        <v>0</v>
      </c>
      <c r="AE133" s="2180">
        <f t="shared" si="191"/>
        <v>0</v>
      </c>
      <c r="AF133" s="2277"/>
      <c r="AG133" s="2278"/>
      <c r="AH133" s="2188">
        <f t="shared" si="261"/>
        <v>0</v>
      </c>
      <c r="AI133" s="2188">
        <f t="shared" si="261"/>
        <v>0</v>
      </c>
      <c r="AJ133" s="2186">
        <f t="shared" si="262"/>
        <v>0</v>
      </c>
      <c r="AK133" s="2188">
        <f t="shared" si="263"/>
        <v>0</v>
      </c>
      <c r="AL133" s="2188">
        <f t="shared" si="263"/>
        <v>0</v>
      </c>
      <c r="AM133" s="2186">
        <f t="shared" si="264"/>
        <v>0</v>
      </c>
      <c r="AN133" s="2188">
        <f t="shared" si="265"/>
        <v>0</v>
      </c>
      <c r="AO133" s="2188">
        <f t="shared" si="265"/>
        <v>0</v>
      </c>
      <c r="AP133" s="2186">
        <f t="shared" si="266"/>
        <v>0</v>
      </c>
      <c r="AQ133" s="2188">
        <f t="shared" si="267"/>
        <v>0</v>
      </c>
      <c r="AR133" s="2188">
        <f t="shared" si="267"/>
        <v>0</v>
      </c>
      <c r="AS133" s="2186">
        <f t="shared" si="268"/>
        <v>0</v>
      </c>
      <c r="AT133" s="2188">
        <f t="shared" si="269"/>
        <v>0</v>
      </c>
      <c r="AU133" s="2188">
        <f t="shared" si="269"/>
        <v>0</v>
      </c>
      <c r="AV133" s="2186">
        <f t="shared" si="270"/>
        <v>0</v>
      </c>
      <c r="AW133" s="2188">
        <f t="shared" si="271"/>
        <v>0</v>
      </c>
      <c r="AX133" s="2188">
        <f t="shared" si="271"/>
        <v>0</v>
      </c>
      <c r="AY133" s="2186">
        <f t="shared" si="272"/>
        <v>0</v>
      </c>
      <c r="AZ133" s="2188">
        <f t="shared" si="273"/>
        <v>0</v>
      </c>
      <c r="BA133" s="2188">
        <f t="shared" si="273"/>
        <v>0</v>
      </c>
      <c r="BB133" s="2186">
        <f t="shared" si="274"/>
        <v>0</v>
      </c>
      <c r="BC133" s="2188">
        <f t="shared" si="275"/>
        <v>0</v>
      </c>
      <c r="BD133" s="2188">
        <f t="shared" si="275"/>
        <v>0</v>
      </c>
      <c r="BE133" s="2186">
        <f t="shared" si="276"/>
        <v>0</v>
      </c>
      <c r="BF133" s="2188">
        <f t="shared" si="277"/>
        <v>0</v>
      </c>
      <c r="BG133" s="2188">
        <f t="shared" si="277"/>
        <v>0</v>
      </c>
      <c r="BH133" s="2186">
        <f t="shared" si="278"/>
        <v>0</v>
      </c>
      <c r="BI133" s="2188">
        <f t="shared" si="279"/>
        <v>0</v>
      </c>
      <c r="BJ133" s="2188">
        <f t="shared" si="279"/>
        <v>0</v>
      </c>
      <c r="BK133" s="2186">
        <f t="shared" si="280"/>
        <v>0</v>
      </c>
      <c r="BL133" s="2188">
        <f t="shared" si="281"/>
        <v>0</v>
      </c>
      <c r="BM133" s="2188">
        <f t="shared" si="281"/>
        <v>0</v>
      </c>
      <c r="BN133" s="2186">
        <f t="shared" si="282"/>
        <v>0</v>
      </c>
      <c r="BO133" s="2188">
        <f t="shared" si="283"/>
        <v>0</v>
      </c>
      <c r="BP133" s="2188">
        <f t="shared" si="283"/>
        <v>0</v>
      </c>
      <c r="BQ133" s="2186">
        <f t="shared" si="284"/>
        <v>0</v>
      </c>
    </row>
    <row r="134" spans="3:69" s="2279" customFormat="1">
      <c r="C134" s="2189" t="s">
        <v>2258</v>
      </c>
      <c r="D134" s="2275" t="s">
        <v>2225</v>
      </c>
      <c r="E134" s="2274" t="s">
        <v>240</v>
      </c>
      <c r="F134" s="2176"/>
      <c r="G134" s="2179">
        <f t="shared" si="285"/>
        <v>0</v>
      </c>
      <c r="H134" s="2179">
        <f t="shared" si="285"/>
        <v>0</v>
      </c>
      <c r="I134" s="2178">
        <f t="shared" si="204"/>
        <v>0</v>
      </c>
      <c r="J134" s="2176"/>
      <c r="K134" s="2179">
        <f t="shared" si="239"/>
        <v>1.662123</v>
      </c>
      <c r="L134" s="2179">
        <f t="shared" si="182"/>
        <v>0</v>
      </c>
      <c r="M134" s="2178">
        <f t="shared" si="183"/>
        <v>-1.662123</v>
      </c>
      <c r="N134" s="2179">
        <f t="shared" si="257"/>
        <v>1.662123</v>
      </c>
      <c r="O134" s="2179">
        <f t="shared" si="257"/>
        <v>0</v>
      </c>
      <c r="P134" s="2178">
        <f t="shared" si="184"/>
        <v>-1.662123</v>
      </c>
      <c r="Q134" s="2179">
        <f t="shared" si="258"/>
        <v>0</v>
      </c>
      <c r="R134" s="2179">
        <f t="shared" si="258"/>
        <v>0</v>
      </c>
      <c r="S134" s="2180">
        <f t="shared" si="185"/>
        <v>0</v>
      </c>
      <c r="T134" s="2251">
        <f t="shared" si="186"/>
        <v>1.662123</v>
      </c>
      <c r="U134" s="2252">
        <f t="shared" si="186"/>
        <v>0</v>
      </c>
      <c r="V134" s="2253">
        <f t="shared" si="187"/>
        <v>-1.662123</v>
      </c>
      <c r="W134" s="2187">
        <f t="shared" si="259"/>
        <v>0</v>
      </c>
      <c r="X134" s="2179">
        <f t="shared" si="259"/>
        <v>0</v>
      </c>
      <c r="Y134" s="2183">
        <f t="shared" si="188"/>
        <v>0</v>
      </c>
      <c r="Z134" s="2254">
        <f t="shared" si="189"/>
        <v>1.662123</v>
      </c>
      <c r="AA134" s="2252">
        <f t="shared" si="189"/>
        <v>0</v>
      </c>
      <c r="AB134" s="2255">
        <f t="shared" si="190"/>
        <v>-1.662123</v>
      </c>
      <c r="AC134" s="2179">
        <f t="shared" si="260"/>
        <v>0</v>
      </c>
      <c r="AD134" s="2179">
        <f t="shared" si="260"/>
        <v>0</v>
      </c>
      <c r="AE134" s="2180">
        <f t="shared" si="191"/>
        <v>0</v>
      </c>
      <c r="AF134" s="2277"/>
      <c r="AG134" s="2278"/>
      <c r="AH134" s="2188">
        <f t="shared" si="261"/>
        <v>1.662123</v>
      </c>
      <c r="AI134" s="2188">
        <f t="shared" si="261"/>
        <v>0</v>
      </c>
      <c r="AJ134" s="2186">
        <f t="shared" si="262"/>
        <v>-1.662123</v>
      </c>
      <c r="AK134" s="2188">
        <f t="shared" si="263"/>
        <v>0</v>
      </c>
      <c r="AL134" s="2188">
        <f t="shared" si="263"/>
        <v>0</v>
      </c>
      <c r="AM134" s="2186">
        <f t="shared" si="264"/>
        <v>0</v>
      </c>
      <c r="AN134" s="2188">
        <f t="shared" si="265"/>
        <v>0</v>
      </c>
      <c r="AO134" s="2188">
        <f t="shared" si="265"/>
        <v>0</v>
      </c>
      <c r="AP134" s="2186">
        <f t="shared" si="266"/>
        <v>0</v>
      </c>
      <c r="AQ134" s="2188">
        <f t="shared" si="267"/>
        <v>0</v>
      </c>
      <c r="AR134" s="2188">
        <f t="shared" si="267"/>
        <v>0</v>
      </c>
      <c r="AS134" s="2186">
        <f t="shared" si="268"/>
        <v>0</v>
      </c>
      <c r="AT134" s="2188">
        <f t="shared" si="269"/>
        <v>0</v>
      </c>
      <c r="AU134" s="2188">
        <f t="shared" si="269"/>
        <v>0</v>
      </c>
      <c r="AV134" s="2186">
        <f t="shared" si="270"/>
        <v>0</v>
      </c>
      <c r="AW134" s="2188">
        <f t="shared" si="271"/>
        <v>0</v>
      </c>
      <c r="AX134" s="2188">
        <f t="shared" si="271"/>
        <v>0</v>
      </c>
      <c r="AY134" s="2186">
        <f t="shared" si="272"/>
        <v>0</v>
      </c>
      <c r="AZ134" s="2188">
        <f t="shared" si="273"/>
        <v>0</v>
      </c>
      <c r="BA134" s="2188">
        <f t="shared" si="273"/>
        <v>0</v>
      </c>
      <c r="BB134" s="2186">
        <f t="shared" si="274"/>
        <v>0</v>
      </c>
      <c r="BC134" s="2188">
        <f t="shared" si="275"/>
        <v>0</v>
      </c>
      <c r="BD134" s="2188">
        <f t="shared" si="275"/>
        <v>0</v>
      </c>
      <c r="BE134" s="2186">
        <f t="shared" si="276"/>
        <v>0</v>
      </c>
      <c r="BF134" s="2188">
        <f t="shared" si="277"/>
        <v>0</v>
      </c>
      <c r="BG134" s="2188">
        <f t="shared" si="277"/>
        <v>0</v>
      </c>
      <c r="BH134" s="2186">
        <f t="shared" si="278"/>
        <v>0</v>
      </c>
      <c r="BI134" s="2188">
        <f t="shared" si="279"/>
        <v>0</v>
      </c>
      <c r="BJ134" s="2188">
        <f t="shared" si="279"/>
        <v>0</v>
      </c>
      <c r="BK134" s="2186">
        <f t="shared" si="280"/>
        <v>0</v>
      </c>
      <c r="BL134" s="2188">
        <f t="shared" si="281"/>
        <v>0</v>
      </c>
      <c r="BM134" s="2188">
        <f t="shared" si="281"/>
        <v>0</v>
      </c>
      <c r="BN134" s="2186">
        <f t="shared" si="282"/>
        <v>0</v>
      </c>
      <c r="BO134" s="2188">
        <f t="shared" si="283"/>
        <v>0</v>
      </c>
      <c r="BP134" s="2188">
        <f t="shared" si="283"/>
        <v>0</v>
      </c>
      <c r="BQ134" s="2186">
        <f t="shared" si="284"/>
        <v>0</v>
      </c>
    </row>
    <row r="135" spans="3:69" s="2279" customFormat="1">
      <c r="C135" s="2189" t="s">
        <v>2259</v>
      </c>
      <c r="D135" s="2275" t="s">
        <v>2227</v>
      </c>
      <c r="E135" s="2274" t="s">
        <v>240</v>
      </c>
      <c r="F135" s="2176"/>
      <c r="G135" s="2179">
        <f>G168+G201+G300+G234+G267</f>
        <v>0</v>
      </c>
      <c r="H135" s="2179">
        <f t="shared" si="285"/>
        <v>0</v>
      </c>
      <c r="I135" s="2178">
        <f t="shared" si="204"/>
        <v>0</v>
      </c>
      <c r="J135" s="2176"/>
      <c r="K135" s="2179">
        <f t="shared" si="239"/>
        <v>268.33830799999998</v>
      </c>
      <c r="L135" s="2179">
        <f t="shared" si="182"/>
        <v>0</v>
      </c>
      <c r="M135" s="2178">
        <f t="shared" si="183"/>
        <v>-268.33830799999998</v>
      </c>
      <c r="N135" s="2179">
        <f>N168+N201+N300+N234+N267</f>
        <v>70.388614999999987</v>
      </c>
      <c r="O135" s="2179">
        <f t="shared" si="257"/>
        <v>0</v>
      </c>
      <c r="P135" s="2178">
        <f t="shared" si="184"/>
        <v>-70.388614999999987</v>
      </c>
      <c r="Q135" s="2179">
        <f>Q168+Q201+Q300+Q234+Q267</f>
        <v>51.274016000000003</v>
      </c>
      <c r="R135" s="2179">
        <f t="shared" si="258"/>
        <v>0</v>
      </c>
      <c r="S135" s="2180">
        <f t="shared" si="185"/>
        <v>-51.274016000000003</v>
      </c>
      <c r="T135" s="2251">
        <f t="shared" si="186"/>
        <v>121.66263099999999</v>
      </c>
      <c r="U135" s="2252">
        <f t="shared" si="186"/>
        <v>0</v>
      </c>
      <c r="V135" s="2253">
        <f t="shared" si="187"/>
        <v>-121.66263099999999</v>
      </c>
      <c r="W135" s="2187">
        <f>W168+W201+W300+W234+W267</f>
        <v>57.600405000000002</v>
      </c>
      <c r="X135" s="2179">
        <f t="shared" si="259"/>
        <v>0</v>
      </c>
      <c r="Y135" s="2183">
        <f t="shared" si="188"/>
        <v>-57.600405000000002</v>
      </c>
      <c r="Z135" s="2254">
        <f t="shared" si="189"/>
        <v>179.263036</v>
      </c>
      <c r="AA135" s="2252">
        <f t="shared" si="189"/>
        <v>0</v>
      </c>
      <c r="AB135" s="2255">
        <f t="shared" si="190"/>
        <v>-179.263036</v>
      </c>
      <c r="AC135" s="2179">
        <f>AC168+AC201+AC300+AC234+AC267</f>
        <v>89.075272000000012</v>
      </c>
      <c r="AD135" s="2179">
        <f t="shared" si="260"/>
        <v>0</v>
      </c>
      <c r="AE135" s="2180">
        <f t="shared" si="191"/>
        <v>-89.075272000000012</v>
      </c>
      <c r="AF135" s="2277"/>
      <c r="AG135" s="2278"/>
      <c r="AH135" s="2188">
        <f>AH168+AH201+AH300+AH234+AH267</f>
        <v>19.551983</v>
      </c>
      <c r="AI135" s="2188">
        <f t="shared" si="261"/>
        <v>0</v>
      </c>
      <c r="AJ135" s="2186">
        <f t="shared" si="262"/>
        <v>-19.551983</v>
      </c>
      <c r="AK135" s="2188">
        <f>AK168+AK201+AK300+AK234+AK267</f>
        <v>24.793997000000001</v>
      </c>
      <c r="AL135" s="2188">
        <f t="shared" si="263"/>
        <v>0</v>
      </c>
      <c r="AM135" s="2186">
        <f t="shared" si="264"/>
        <v>-24.793997000000001</v>
      </c>
      <c r="AN135" s="2188">
        <f>AN168+AN201+AN300+AN234+AN267</f>
        <v>26.042634999999997</v>
      </c>
      <c r="AO135" s="2188">
        <f t="shared" si="265"/>
        <v>0</v>
      </c>
      <c r="AP135" s="2186">
        <f t="shared" si="266"/>
        <v>-26.042634999999997</v>
      </c>
      <c r="AQ135" s="2188">
        <f>AQ168+AQ201+AQ300+AQ234+AQ267</f>
        <v>18.536742</v>
      </c>
      <c r="AR135" s="2188">
        <f t="shared" si="267"/>
        <v>0</v>
      </c>
      <c r="AS135" s="2186">
        <f t="shared" si="268"/>
        <v>-18.536742</v>
      </c>
      <c r="AT135" s="2188">
        <f>AT168+AT201+AT300+AT234+AT267</f>
        <v>18.371809000000002</v>
      </c>
      <c r="AU135" s="2188">
        <f t="shared" si="269"/>
        <v>0</v>
      </c>
      <c r="AV135" s="2186">
        <f t="shared" si="270"/>
        <v>-18.371809000000002</v>
      </c>
      <c r="AW135" s="2188">
        <f>AW168+AW201+AW300+AW234+AW267</f>
        <v>14.365465</v>
      </c>
      <c r="AX135" s="2188">
        <f t="shared" si="271"/>
        <v>0</v>
      </c>
      <c r="AY135" s="2186">
        <f t="shared" si="272"/>
        <v>-14.365465</v>
      </c>
      <c r="AZ135" s="2188">
        <f>AZ168+AZ201+AZ300+AZ234+AZ267</f>
        <v>17.341875999999999</v>
      </c>
      <c r="BA135" s="2188">
        <f t="shared" si="273"/>
        <v>0</v>
      </c>
      <c r="BB135" s="2186">
        <f t="shared" si="274"/>
        <v>-17.341875999999999</v>
      </c>
      <c r="BC135" s="2188">
        <f>BC168+BC201+BC300+BC234+BC267</f>
        <v>17.924624000000001</v>
      </c>
      <c r="BD135" s="2188">
        <f t="shared" si="275"/>
        <v>0</v>
      </c>
      <c r="BE135" s="2186">
        <f t="shared" si="276"/>
        <v>-17.924624000000001</v>
      </c>
      <c r="BF135" s="2188">
        <f>BF168+BF201+BF300+BF234+BF267</f>
        <v>22.333905000000001</v>
      </c>
      <c r="BG135" s="2188">
        <f t="shared" si="277"/>
        <v>0</v>
      </c>
      <c r="BH135" s="2186">
        <f t="shared" si="278"/>
        <v>-22.333905000000001</v>
      </c>
      <c r="BI135" s="2188">
        <f>BI168+BI201+BI300+BI234+BI267</f>
        <v>26.886918999999999</v>
      </c>
      <c r="BJ135" s="2188">
        <f t="shared" si="279"/>
        <v>0</v>
      </c>
      <c r="BK135" s="2186">
        <f t="shared" si="280"/>
        <v>-26.886918999999999</v>
      </c>
      <c r="BL135" s="2188">
        <f>BL168+BL201+BL300+BL234+BL267</f>
        <v>27.905925000000003</v>
      </c>
      <c r="BM135" s="2188">
        <f t="shared" si="281"/>
        <v>0</v>
      </c>
      <c r="BN135" s="2186">
        <f t="shared" si="282"/>
        <v>-27.905925000000003</v>
      </c>
      <c r="BO135" s="2188">
        <f>BO168+BO201+BO300+BO234+BO267</f>
        <v>34.282428000000003</v>
      </c>
      <c r="BP135" s="2188">
        <f t="shared" si="283"/>
        <v>0</v>
      </c>
      <c r="BQ135" s="2186">
        <f t="shared" si="284"/>
        <v>-34.282428000000003</v>
      </c>
    </row>
    <row r="136" spans="3:69" s="2279" customFormat="1">
      <c r="C136" s="2189" t="s">
        <v>2260</v>
      </c>
      <c r="D136" s="2275" t="s">
        <v>2229</v>
      </c>
      <c r="E136" s="2274" t="s">
        <v>240</v>
      </c>
      <c r="F136" s="2176"/>
      <c r="G136" s="2179">
        <f>G169+G202+G301+G235+G268</f>
        <v>0</v>
      </c>
      <c r="H136" s="2179">
        <f t="shared" si="285"/>
        <v>0</v>
      </c>
      <c r="I136" s="2178">
        <f t="shared" si="204"/>
        <v>0</v>
      </c>
      <c r="J136" s="2176"/>
      <c r="K136" s="2179">
        <f t="shared" si="239"/>
        <v>0</v>
      </c>
      <c r="L136" s="2179">
        <f t="shared" si="182"/>
        <v>0</v>
      </c>
      <c r="M136" s="2178">
        <f t="shared" si="183"/>
        <v>0</v>
      </c>
      <c r="N136" s="2179">
        <f>N169+N202+N301+N235+N268</f>
        <v>0</v>
      </c>
      <c r="O136" s="2179">
        <f t="shared" si="257"/>
        <v>0</v>
      </c>
      <c r="P136" s="2178">
        <f t="shared" si="184"/>
        <v>0</v>
      </c>
      <c r="Q136" s="2179">
        <f>Q169+Q202+Q301+Q235+Q268</f>
        <v>0</v>
      </c>
      <c r="R136" s="2179">
        <f t="shared" si="258"/>
        <v>0</v>
      </c>
      <c r="S136" s="2180">
        <f t="shared" si="185"/>
        <v>0</v>
      </c>
      <c r="T136" s="2251">
        <f t="shared" si="186"/>
        <v>0</v>
      </c>
      <c r="U136" s="2252">
        <f t="shared" si="186"/>
        <v>0</v>
      </c>
      <c r="V136" s="2253">
        <f t="shared" si="187"/>
        <v>0</v>
      </c>
      <c r="W136" s="2187">
        <f>W169+W202+W301+W235+W268</f>
        <v>0</v>
      </c>
      <c r="X136" s="2179">
        <f t="shared" si="259"/>
        <v>0</v>
      </c>
      <c r="Y136" s="2183">
        <f t="shared" si="188"/>
        <v>0</v>
      </c>
      <c r="Z136" s="2254">
        <f t="shared" si="189"/>
        <v>0</v>
      </c>
      <c r="AA136" s="2252">
        <f t="shared" si="189"/>
        <v>0</v>
      </c>
      <c r="AB136" s="2255">
        <f t="shared" si="190"/>
        <v>0</v>
      </c>
      <c r="AC136" s="2179">
        <f>AC169+AC202+AC301+AC235+AC268</f>
        <v>0</v>
      </c>
      <c r="AD136" s="2179">
        <f t="shared" si="260"/>
        <v>0</v>
      </c>
      <c r="AE136" s="2180">
        <f t="shared" si="191"/>
        <v>0</v>
      </c>
      <c r="AF136" s="2277"/>
      <c r="AG136" s="2278"/>
      <c r="AH136" s="2188">
        <f>AH169+AH202+AH301+AH235+AH268</f>
        <v>0</v>
      </c>
      <c r="AI136" s="2188">
        <f t="shared" si="261"/>
        <v>0</v>
      </c>
      <c r="AJ136" s="2186">
        <f t="shared" si="262"/>
        <v>0</v>
      </c>
      <c r="AK136" s="2188">
        <f>AK169+AK202+AK301+AK235+AK268</f>
        <v>0</v>
      </c>
      <c r="AL136" s="2188">
        <f t="shared" si="263"/>
        <v>0</v>
      </c>
      <c r="AM136" s="2186">
        <f t="shared" si="264"/>
        <v>0</v>
      </c>
      <c r="AN136" s="2188">
        <f>AN169+AN202+AN301+AN235+AN268</f>
        <v>0</v>
      </c>
      <c r="AO136" s="2188">
        <f t="shared" si="265"/>
        <v>0</v>
      </c>
      <c r="AP136" s="2186">
        <f t="shared" si="266"/>
        <v>0</v>
      </c>
      <c r="AQ136" s="2188">
        <f>AQ169+AQ202+AQ301+AQ235+AQ268</f>
        <v>0</v>
      </c>
      <c r="AR136" s="2188">
        <f t="shared" si="267"/>
        <v>0</v>
      </c>
      <c r="AS136" s="2186">
        <f t="shared" si="268"/>
        <v>0</v>
      </c>
      <c r="AT136" s="2188">
        <f>AT169+AT202+AT301+AT235+AT268</f>
        <v>0</v>
      </c>
      <c r="AU136" s="2188">
        <f t="shared" si="269"/>
        <v>0</v>
      </c>
      <c r="AV136" s="2186">
        <f t="shared" si="270"/>
        <v>0</v>
      </c>
      <c r="AW136" s="2188">
        <f>AW169+AW202+AW301+AW235+AW268</f>
        <v>0</v>
      </c>
      <c r="AX136" s="2188">
        <f t="shared" si="271"/>
        <v>0</v>
      </c>
      <c r="AY136" s="2186">
        <f t="shared" si="272"/>
        <v>0</v>
      </c>
      <c r="AZ136" s="2188">
        <f>AZ169+AZ202+AZ301+AZ235+AZ268</f>
        <v>0</v>
      </c>
      <c r="BA136" s="2188">
        <f t="shared" si="273"/>
        <v>0</v>
      </c>
      <c r="BB136" s="2186">
        <f t="shared" si="274"/>
        <v>0</v>
      </c>
      <c r="BC136" s="2188">
        <f>BC169+BC202+BC301+BC235+BC268</f>
        <v>0</v>
      </c>
      <c r="BD136" s="2188">
        <f t="shared" si="275"/>
        <v>0</v>
      </c>
      <c r="BE136" s="2186">
        <f t="shared" si="276"/>
        <v>0</v>
      </c>
      <c r="BF136" s="2188">
        <f>BF169+BF202+BF301+BF235+BF268</f>
        <v>0</v>
      </c>
      <c r="BG136" s="2188">
        <f t="shared" si="277"/>
        <v>0</v>
      </c>
      <c r="BH136" s="2186">
        <f t="shared" si="278"/>
        <v>0</v>
      </c>
      <c r="BI136" s="2188">
        <f>BI169+BI202+BI301+BI235+BI268</f>
        <v>0</v>
      </c>
      <c r="BJ136" s="2188">
        <f t="shared" si="279"/>
        <v>0</v>
      </c>
      <c r="BK136" s="2186">
        <f t="shared" si="280"/>
        <v>0</v>
      </c>
      <c r="BL136" s="2188">
        <f>BL169+BL202+BL301+BL235+BL268</f>
        <v>0</v>
      </c>
      <c r="BM136" s="2188">
        <f t="shared" si="281"/>
        <v>0</v>
      </c>
      <c r="BN136" s="2186">
        <f t="shared" si="282"/>
        <v>0</v>
      </c>
      <c r="BO136" s="2188">
        <f>BO169+BO202+BO301+BO235+BO268</f>
        <v>0</v>
      </c>
      <c r="BP136" s="2188">
        <f t="shared" si="283"/>
        <v>0</v>
      </c>
      <c r="BQ136" s="2186">
        <f t="shared" si="284"/>
        <v>0</v>
      </c>
    </row>
    <row r="137" spans="3:69" s="2159" customFormat="1">
      <c r="C137" s="2256" t="s">
        <v>2261</v>
      </c>
      <c r="D137" s="2280" t="s">
        <v>2262</v>
      </c>
      <c r="E137" s="2120" t="s">
        <v>240</v>
      </c>
      <c r="F137" s="2162"/>
      <c r="G137" s="2163">
        <f>G146+G152+G158+G164</f>
        <v>0</v>
      </c>
      <c r="H137" s="2163">
        <f>H146+H152+H158+H164</f>
        <v>0</v>
      </c>
      <c r="I137" s="2164">
        <f t="shared" si="204"/>
        <v>0</v>
      </c>
      <c r="J137" s="2162"/>
      <c r="K137" s="2163">
        <f t="shared" si="239"/>
        <v>704.33875855486508</v>
      </c>
      <c r="L137" s="2163">
        <f t="shared" si="182"/>
        <v>0</v>
      </c>
      <c r="M137" s="2164">
        <f t="shared" si="183"/>
        <v>-704.33875855486508</v>
      </c>
      <c r="N137" s="2163">
        <f>N146+N152+N158+N164</f>
        <v>171.85209230486498</v>
      </c>
      <c r="O137" s="2163">
        <f>O146+O152+O158+O164</f>
        <v>0</v>
      </c>
      <c r="P137" s="2164">
        <f t="shared" si="184"/>
        <v>-171.85209230486498</v>
      </c>
      <c r="Q137" s="2165">
        <f>Q146+Q152+Q158+Q164</f>
        <v>155.12994475000005</v>
      </c>
      <c r="R137" s="2163">
        <f>R146+R152+R158+R164</f>
        <v>0</v>
      </c>
      <c r="S137" s="2166">
        <f t="shared" si="185"/>
        <v>-155.12994475000005</v>
      </c>
      <c r="T137" s="2258">
        <f t="shared" si="186"/>
        <v>326.98203705486503</v>
      </c>
      <c r="U137" s="2259">
        <f t="shared" si="186"/>
        <v>0</v>
      </c>
      <c r="V137" s="2260">
        <f t="shared" si="187"/>
        <v>-326.98203705486503</v>
      </c>
      <c r="W137" s="2168">
        <f>W146+W152+W158+W164</f>
        <v>144.20884975000001</v>
      </c>
      <c r="X137" s="2163">
        <f>X146+X152+X158+X164</f>
        <v>0</v>
      </c>
      <c r="Y137" s="2169">
        <f t="shared" si="188"/>
        <v>-144.20884975000001</v>
      </c>
      <c r="Z137" s="2261">
        <f t="shared" si="189"/>
        <v>471.19088680486504</v>
      </c>
      <c r="AA137" s="2259">
        <f t="shared" si="189"/>
        <v>0</v>
      </c>
      <c r="AB137" s="2262">
        <f t="shared" si="190"/>
        <v>-471.19088680486504</v>
      </c>
      <c r="AC137" s="2165">
        <f>AC146+AC152+AC158+AC164</f>
        <v>233.14787175000004</v>
      </c>
      <c r="AD137" s="2163">
        <f>AD146+AD152+AD158+AD164</f>
        <v>0</v>
      </c>
      <c r="AE137" s="2166">
        <f t="shared" si="191"/>
        <v>-233.14787175000004</v>
      </c>
      <c r="AF137" s="2281"/>
      <c r="AG137" s="2158"/>
      <c r="AH137" s="2171">
        <f>AH146+AH152+AH158+AH164</f>
        <v>39.895994000000002</v>
      </c>
      <c r="AI137" s="2171">
        <f>AI146+AI152+AI158+AI164</f>
        <v>0</v>
      </c>
      <c r="AJ137" s="2172">
        <f t="shared" si="262"/>
        <v>-39.895994000000002</v>
      </c>
      <c r="AK137" s="2171">
        <f>AK146+AK152+AK158+AK164</f>
        <v>70.682659481288155</v>
      </c>
      <c r="AL137" s="2171">
        <f>AL146+AL152+AL158+AL164</f>
        <v>0</v>
      </c>
      <c r="AM137" s="2172">
        <f t="shared" si="264"/>
        <v>-70.682659481288155</v>
      </c>
      <c r="AN137" s="2171">
        <f>AN146+AN152+AN158+AN164</f>
        <v>66.618809823576825</v>
      </c>
      <c r="AO137" s="2171">
        <f>AO146+AO152+AO158+AO164</f>
        <v>0</v>
      </c>
      <c r="AP137" s="2172">
        <f t="shared" si="266"/>
        <v>-66.618809823576825</v>
      </c>
      <c r="AQ137" s="2171">
        <f>AQ146+AQ152+AQ158+AQ164</f>
        <v>57.664421235328462</v>
      </c>
      <c r="AR137" s="2171">
        <f>AR146+AR152+AR158+AR164</f>
        <v>0</v>
      </c>
      <c r="AS137" s="2172">
        <f t="shared" si="268"/>
        <v>-57.664421235328462</v>
      </c>
      <c r="AT137" s="2171">
        <f>AT146+AT152+AT158+AT164</f>
        <v>54.792782295914421</v>
      </c>
      <c r="AU137" s="2171">
        <f>AU146+AU152+AU158+AU164</f>
        <v>0</v>
      </c>
      <c r="AV137" s="2172">
        <f t="shared" si="270"/>
        <v>-54.792782295914421</v>
      </c>
      <c r="AW137" s="2171">
        <f>AW146+AW152+AW158+AW164</f>
        <v>42.672741218757167</v>
      </c>
      <c r="AX137" s="2171">
        <f>AX146+AX152+AX158+AX164</f>
        <v>0</v>
      </c>
      <c r="AY137" s="2172">
        <f t="shared" si="272"/>
        <v>-42.672741218757167</v>
      </c>
      <c r="AZ137" s="2171">
        <f>AZ146+AZ152+AZ158+AZ164</f>
        <v>43.242531866000597</v>
      </c>
      <c r="BA137" s="2171">
        <f>BA146+BA152+BA158+BA164</f>
        <v>0</v>
      </c>
      <c r="BB137" s="2172">
        <f t="shared" si="274"/>
        <v>-43.242531866000597</v>
      </c>
      <c r="BC137" s="2171">
        <f>BC146+BC152+BC158+BC164</f>
        <v>44.449121734078787</v>
      </c>
      <c r="BD137" s="2171">
        <f>BD146+BD152+BD158+BD164</f>
        <v>0</v>
      </c>
      <c r="BE137" s="2172">
        <f t="shared" si="276"/>
        <v>-44.449121734078787</v>
      </c>
      <c r="BF137" s="2171">
        <f>BF146+BF152+BF158+BF164</f>
        <v>56.517196149920636</v>
      </c>
      <c r="BG137" s="2171">
        <f>BG146+BG152+BG158+BG164</f>
        <v>0</v>
      </c>
      <c r="BH137" s="2172">
        <f t="shared" si="278"/>
        <v>-56.517196149920636</v>
      </c>
      <c r="BI137" s="2171">
        <f>BI146+BI152+BI158+BI164</f>
        <v>72.448668594999845</v>
      </c>
      <c r="BJ137" s="2171">
        <f>BJ146+BJ152+BJ158+BJ164</f>
        <v>0</v>
      </c>
      <c r="BK137" s="2172">
        <f t="shared" si="280"/>
        <v>-72.448668594999845</v>
      </c>
      <c r="BL137" s="2171">
        <f>BL146+BL152+BL158+BL164</f>
        <v>77.268870741637073</v>
      </c>
      <c r="BM137" s="2171">
        <f>BM146+BM152+BM158+BM164</f>
        <v>0</v>
      </c>
      <c r="BN137" s="2172">
        <f t="shared" si="282"/>
        <v>-77.268870741637073</v>
      </c>
      <c r="BO137" s="2171">
        <f>BO146+BO152+BO158+BO164</f>
        <v>83.430332413363089</v>
      </c>
      <c r="BP137" s="2171">
        <f>BP146+BP152+BP158+BP164</f>
        <v>0</v>
      </c>
      <c r="BQ137" s="2172">
        <f t="shared" si="284"/>
        <v>-83.430332413363089</v>
      </c>
    </row>
    <row r="138" spans="3:69" s="2087" customFormat="1">
      <c r="C138" s="2173" t="s">
        <v>2263</v>
      </c>
      <c r="D138" s="2209" t="s">
        <v>2211</v>
      </c>
      <c r="E138" s="2250" t="s">
        <v>240</v>
      </c>
      <c r="F138" s="2176"/>
      <c r="G138" s="2177"/>
      <c r="H138" s="2177"/>
      <c r="I138" s="2178">
        <f t="shared" si="204"/>
        <v>0</v>
      </c>
      <c r="J138" s="2176"/>
      <c r="K138" s="2179">
        <f t="shared" si="239"/>
        <v>0</v>
      </c>
      <c r="L138" s="2179">
        <f t="shared" si="182"/>
        <v>0</v>
      </c>
      <c r="M138" s="2178">
        <f t="shared" si="183"/>
        <v>0</v>
      </c>
      <c r="N138" s="2177"/>
      <c r="O138" s="2177"/>
      <c r="P138" s="2178">
        <f t="shared" si="184"/>
        <v>0</v>
      </c>
      <c r="Q138" s="2176"/>
      <c r="R138" s="2177"/>
      <c r="S138" s="2180">
        <f t="shared" si="185"/>
        <v>0</v>
      </c>
      <c r="T138" s="2251">
        <f t="shared" si="186"/>
        <v>0</v>
      </c>
      <c r="U138" s="2252">
        <f t="shared" si="186"/>
        <v>0</v>
      </c>
      <c r="V138" s="2253">
        <f t="shared" si="187"/>
        <v>0</v>
      </c>
      <c r="W138" s="2182"/>
      <c r="X138" s="2177"/>
      <c r="Y138" s="2183">
        <f t="shared" si="188"/>
        <v>0</v>
      </c>
      <c r="Z138" s="2254">
        <f t="shared" si="189"/>
        <v>0</v>
      </c>
      <c r="AA138" s="2252">
        <f t="shared" si="189"/>
        <v>0</v>
      </c>
      <c r="AB138" s="2255">
        <f t="shared" si="190"/>
        <v>0</v>
      </c>
      <c r="AC138" s="2176"/>
      <c r="AD138" s="2177"/>
      <c r="AE138" s="2180">
        <f t="shared" si="191"/>
        <v>0</v>
      </c>
      <c r="AF138" s="2281"/>
      <c r="AG138" s="2114"/>
      <c r="AH138" s="2177"/>
      <c r="AI138" s="2177"/>
      <c r="AJ138" s="2186">
        <f t="shared" si="262"/>
        <v>0</v>
      </c>
      <c r="AK138" s="2177"/>
      <c r="AL138" s="2177"/>
      <c r="AM138" s="2186">
        <f t="shared" si="264"/>
        <v>0</v>
      </c>
      <c r="AN138" s="2177"/>
      <c r="AO138" s="2177"/>
      <c r="AP138" s="2186">
        <f t="shared" si="266"/>
        <v>0</v>
      </c>
      <c r="AQ138" s="2177"/>
      <c r="AR138" s="2177"/>
      <c r="AS138" s="2186">
        <f t="shared" si="268"/>
        <v>0</v>
      </c>
      <c r="AT138" s="2177"/>
      <c r="AU138" s="2177"/>
      <c r="AV138" s="2186">
        <f t="shared" si="270"/>
        <v>0</v>
      </c>
      <c r="AW138" s="2177"/>
      <c r="AX138" s="2177"/>
      <c r="AY138" s="2186">
        <f t="shared" si="272"/>
        <v>0</v>
      </c>
      <c r="AZ138" s="2177"/>
      <c r="BA138" s="2177"/>
      <c r="BB138" s="2186">
        <f t="shared" si="274"/>
        <v>0</v>
      </c>
      <c r="BC138" s="2177"/>
      <c r="BD138" s="2177"/>
      <c r="BE138" s="2186">
        <f t="shared" si="276"/>
        <v>0</v>
      </c>
      <c r="BF138" s="2177"/>
      <c r="BG138" s="2177"/>
      <c r="BH138" s="2186">
        <f t="shared" si="278"/>
        <v>0</v>
      </c>
      <c r="BI138" s="2177"/>
      <c r="BJ138" s="2177"/>
      <c r="BK138" s="2186">
        <f t="shared" si="280"/>
        <v>0</v>
      </c>
      <c r="BL138" s="2177"/>
      <c r="BM138" s="2177"/>
      <c r="BN138" s="2186">
        <f t="shared" si="282"/>
        <v>0</v>
      </c>
      <c r="BO138" s="2177"/>
      <c r="BP138" s="2177"/>
      <c r="BQ138" s="2186">
        <f t="shared" si="284"/>
        <v>0</v>
      </c>
    </row>
    <row r="139" spans="3:69" s="2087" customFormat="1">
      <c r="C139" s="2173" t="s">
        <v>2264</v>
      </c>
      <c r="D139" s="2263" t="s">
        <v>2217</v>
      </c>
      <c r="E139" s="2264"/>
      <c r="F139" s="2265"/>
      <c r="G139" s="2188"/>
      <c r="H139" s="2188"/>
      <c r="I139" s="2186"/>
      <c r="J139" s="2265"/>
      <c r="K139" s="2188"/>
      <c r="L139" s="2188"/>
      <c r="M139" s="2186"/>
      <c r="N139" s="2188"/>
      <c r="O139" s="2188"/>
      <c r="P139" s="2186"/>
      <c r="Q139" s="2265"/>
      <c r="R139" s="2188"/>
      <c r="S139" s="2266"/>
      <c r="T139" s="2267"/>
      <c r="U139" s="2268"/>
      <c r="V139" s="2269"/>
      <c r="W139" s="2270"/>
      <c r="X139" s="2188"/>
      <c r="Y139" s="2271"/>
      <c r="Z139" s="2272"/>
      <c r="AA139" s="2268"/>
      <c r="AB139" s="2273"/>
      <c r="AC139" s="2265"/>
      <c r="AD139" s="2188"/>
      <c r="AE139" s="2266"/>
      <c r="AF139" s="2277"/>
      <c r="AG139" s="2114"/>
      <c r="AH139" s="2188"/>
      <c r="AI139" s="2188"/>
      <c r="AJ139" s="2186"/>
      <c r="AK139" s="2188"/>
      <c r="AL139" s="2188"/>
      <c r="AM139" s="2186"/>
      <c r="AN139" s="2188"/>
      <c r="AO139" s="2188"/>
      <c r="AP139" s="2186"/>
      <c r="AQ139" s="2188"/>
      <c r="AR139" s="2188"/>
      <c r="AS139" s="2186"/>
      <c r="AT139" s="2188"/>
      <c r="AU139" s="2188"/>
      <c r="AV139" s="2186"/>
      <c r="AW139" s="2188"/>
      <c r="AX139" s="2188"/>
      <c r="AY139" s="2186"/>
      <c r="AZ139" s="2188"/>
      <c r="BA139" s="2188"/>
      <c r="BB139" s="2186"/>
      <c r="BC139" s="2188"/>
      <c r="BD139" s="2188"/>
      <c r="BE139" s="2186"/>
      <c r="BF139" s="2188"/>
      <c r="BG139" s="2188"/>
      <c r="BH139" s="2186"/>
      <c r="BI139" s="2188"/>
      <c r="BJ139" s="2188"/>
      <c r="BK139" s="2186"/>
      <c r="BL139" s="2188"/>
      <c r="BM139" s="2188"/>
      <c r="BN139" s="2186"/>
      <c r="BO139" s="2188"/>
      <c r="BP139" s="2188"/>
      <c r="BQ139" s="2186"/>
    </row>
    <row r="140" spans="3:69" s="2087" customFormat="1">
      <c r="C140" s="2173" t="s">
        <v>2265</v>
      </c>
      <c r="D140" s="2174" t="s">
        <v>2219</v>
      </c>
      <c r="E140" s="2274" t="s">
        <v>420</v>
      </c>
      <c r="F140" s="2176"/>
      <c r="G140" s="2252">
        <f>G141+G142+G143+G144+G145</f>
        <v>0</v>
      </c>
      <c r="H140" s="2252">
        <f>H141+H142+H143+H144+H145</f>
        <v>0</v>
      </c>
      <c r="I140" s="2178">
        <f t="shared" ref="I140:I169" si="286">H140-G140</f>
        <v>0</v>
      </c>
      <c r="J140" s="2176"/>
      <c r="K140" s="2179">
        <f>(N140+Q140+W140+AC140)/4</f>
        <v>0</v>
      </c>
      <c r="L140" s="2179">
        <f>(O140+R140+X140+AD140)/4</f>
        <v>0</v>
      </c>
      <c r="M140" s="2178">
        <f t="shared" ref="M140:M169" si="287">L140-K140</f>
        <v>0</v>
      </c>
      <c r="N140" s="2252">
        <f>N141+N142+N143+N144+N145</f>
        <v>0</v>
      </c>
      <c r="O140" s="2252">
        <f>O141+O142+O143+O144+O145</f>
        <v>0</v>
      </c>
      <c r="P140" s="2178">
        <f t="shared" ref="P140:P169" si="288">O140-N140</f>
        <v>0</v>
      </c>
      <c r="Q140" s="2252">
        <f>Q141+Q142+Q143+Q144+Q145</f>
        <v>0</v>
      </c>
      <c r="R140" s="2252">
        <f>R141+R142+R143+R144+R145</f>
        <v>0</v>
      </c>
      <c r="S140" s="2180">
        <f t="shared" ref="S140:S150" si="289">R140-Q140</f>
        <v>0</v>
      </c>
      <c r="T140" s="2251">
        <f>(N140+Q140)/2</f>
        <v>0</v>
      </c>
      <c r="U140" s="2252">
        <f>(O140+R140)/2</f>
        <v>0</v>
      </c>
      <c r="V140" s="2253">
        <f t="shared" ref="V140:V169" si="290">U140-T140</f>
        <v>0</v>
      </c>
      <c r="W140" s="2282">
        <f>W141+W142+W143+W144+W145</f>
        <v>0</v>
      </c>
      <c r="X140" s="2252">
        <f>X141+X142+X143+X144+X145</f>
        <v>0</v>
      </c>
      <c r="Y140" s="2183">
        <f t="shared" ref="Y140:Y150" si="291">X140-W140</f>
        <v>0</v>
      </c>
      <c r="Z140" s="2254">
        <f>(N140+Q140+W140)/3</f>
        <v>0</v>
      </c>
      <c r="AA140" s="2252">
        <f>(O140+R140+X140)/3</f>
        <v>0</v>
      </c>
      <c r="AB140" s="2255">
        <f t="shared" ref="AB140:AB169" si="292">AA140-Z140</f>
        <v>0</v>
      </c>
      <c r="AC140" s="2252">
        <f>AC141+AC142+AC143+AC144+AC145</f>
        <v>0</v>
      </c>
      <c r="AD140" s="2252">
        <f>AD141+AD142+AD143+AD144+AD145</f>
        <v>0</v>
      </c>
      <c r="AE140" s="2180">
        <f t="shared" ref="AE140" si="293">AD140-AC140</f>
        <v>0</v>
      </c>
      <c r="AF140" s="2281"/>
      <c r="AG140" s="2114"/>
      <c r="AH140" s="2268">
        <f>AH141+AH142+AH143+AH144+AH145</f>
        <v>6.7130000000000001</v>
      </c>
      <c r="AI140" s="2268">
        <f>AI141+AI142+AI143+AI144+AI145</f>
        <v>0</v>
      </c>
      <c r="AJ140" s="2186">
        <f t="shared" ref="AJ140:AJ171" si="294">AI140-AH140</f>
        <v>-6.7130000000000001</v>
      </c>
      <c r="AK140" s="2268">
        <f>AK141+AK142+AK143+AK144+AK145</f>
        <v>0</v>
      </c>
      <c r="AL140" s="2268">
        <f>AL141+AL142+AL143+AL144+AL145</f>
        <v>0</v>
      </c>
      <c r="AM140" s="2186">
        <f t="shared" ref="AM140:AM171" si="295">AL140-AK140</f>
        <v>0</v>
      </c>
      <c r="AN140" s="2268">
        <f>AN141+AN142+AN143+AN144+AN145</f>
        <v>0</v>
      </c>
      <c r="AO140" s="2268">
        <f>AO141+AO142+AO143+AO144+AO145</f>
        <v>0</v>
      </c>
      <c r="AP140" s="2186">
        <f t="shared" ref="AP140:AP171" si="296">AO140-AN140</f>
        <v>0</v>
      </c>
      <c r="AQ140" s="2268">
        <f>AQ141+AQ142+AQ143+AQ144+AQ145</f>
        <v>0</v>
      </c>
      <c r="AR140" s="2268">
        <f>AR141+AR142+AR143+AR144+AR145</f>
        <v>0</v>
      </c>
      <c r="AS140" s="2186">
        <f t="shared" ref="AS140:AS171" si="297">AR140-AQ140</f>
        <v>0</v>
      </c>
      <c r="AT140" s="2268">
        <f>AT141+AT142+AT143+AT144+AT145</f>
        <v>0</v>
      </c>
      <c r="AU140" s="2268">
        <f>AU141+AU142+AU143+AU144+AU145</f>
        <v>0</v>
      </c>
      <c r="AV140" s="2186">
        <f t="shared" ref="AV140:AV171" si="298">AU140-AT140</f>
        <v>0</v>
      </c>
      <c r="AW140" s="2268">
        <f>AW141+AW142+AW143+AW144+AW145</f>
        <v>0</v>
      </c>
      <c r="AX140" s="2268">
        <f>AX141+AX142+AX143+AX144+AX145</f>
        <v>0</v>
      </c>
      <c r="AY140" s="2186">
        <f t="shared" ref="AY140:AY171" si="299">AX140-AW140</f>
        <v>0</v>
      </c>
      <c r="AZ140" s="2268">
        <f>AZ141+AZ142+AZ143+AZ144+AZ145</f>
        <v>0</v>
      </c>
      <c r="BA140" s="2268">
        <f>BA141+BA142+BA143+BA144+BA145</f>
        <v>0</v>
      </c>
      <c r="BB140" s="2186">
        <f t="shared" ref="BB140:BB171" si="300">BA140-AZ140</f>
        <v>0</v>
      </c>
      <c r="BC140" s="2268">
        <f>BC141+BC142+BC143+BC144+BC145</f>
        <v>0</v>
      </c>
      <c r="BD140" s="2268">
        <f>BD141+BD142+BD143+BD144+BD145</f>
        <v>0</v>
      </c>
      <c r="BE140" s="2186">
        <f t="shared" ref="BE140:BE171" si="301">BD140-BC140</f>
        <v>0</v>
      </c>
      <c r="BF140" s="2268">
        <f>BF141+BF142+BF143+BF144+BF145</f>
        <v>0</v>
      </c>
      <c r="BG140" s="2268">
        <f>BG141+BG142+BG143+BG144+BG145</f>
        <v>0</v>
      </c>
      <c r="BH140" s="2186">
        <f t="shared" ref="BH140:BH171" si="302">BG140-BF140</f>
        <v>0</v>
      </c>
      <c r="BI140" s="2268">
        <f>BI141+BI142+BI143+BI144+BI145</f>
        <v>0</v>
      </c>
      <c r="BJ140" s="2268">
        <f>BJ141+BJ142+BJ143+BJ144+BJ145</f>
        <v>0</v>
      </c>
      <c r="BK140" s="2186">
        <f t="shared" ref="BK140:BK171" si="303">BJ140-BI140</f>
        <v>0</v>
      </c>
      <c r="BL140" s="2268">
        <f>BL141+BL142+BL143+BL144+BL145</f>
        <v>0</v>
      </c>
      <c r="BM140" s="2268">
        <f>BM141+BM142+BM143+BM144+BM145</f>
        <v>0</v>
      </c>
      <c r="BN140" s="2186">
        <f t="shared" ref="BN140:BN171" si="304">BM140-BL140</f>
        <v>0</v>
      </c>
      <c r="BO140" s="2268">
        <f>BO141+BO142+BO143+BO144+BO145</f>
        <v>0</v>
      </c>
      <c r="BP140" s="2268">
        <f>BP141+BP142+BP143+BP144+BP145</f>
        <v>0</v>
      </c>
      <c r="BQ140" s="2186">
        <f t="shared" ref="BQ140:BQ171" si="305">BP140-BO140</f>
        <v>0</v>
      </c>
    </row>
    <row r="141" spans="3:69" s="2087" customFormat="1">
      <c r="C141" s="2189" t="s">
        <v>2266</v>
      </c>
      <c r="D141" s="2275" t="s">
        <v>2221</v>
      </c>
      <c r="E141" s="2274" t="s">
        <v>420</v>
      </c>
      <c r="F141" s="2176"/>
      <c r="G141" s="2177"/>
      <c r="H141" s="2177"/>
      <c r="I141" s="2178">
        <f t="shared" si="286"/>
        <v>0</v>
      </c>
      <c r="J141" s="2176"/>
      <c r="K141" s="2179">
        <f t="shared" ref="K141:L145" si="306">(N141+Q141+W141+AC141)/4</f>
        <v>0</v>
      </c>
      <c r="L141" s="2179">
        <f t="shared" si="306"/>
        <v>0</v>
      </c>
      <c r="M141" s="2178">
        <f t="shared" si="287"/>
        <v>0</v>
      </c>
      <c r="N141" s="2177"/>
      <c r="O141" s="2177"/>
      <c r="P141" s="2178">
        <f t="shared" si="288"/>
        <v>0</v>
      </c>
      <c r="Q141" s="2176"/>
      <c r="R141" s="2177"/>
      <c r="S141" s="2180">
        <f t="shared" si="289"/>
        <v>0</v>
      </c>
      <c r="T141" s="2251">
        <f>(N141+Q141)/2</f>
        <v>0</v>
      </c>
      <c r="U141" s="2252">
        <f t="shared" ref="U141:U145" si="307">(O141+R141)/2</f>
        <v>0</v>
      </c>
      <c r="V141" s="2253">
        <f t="shared" si="290"/>
        <v>0</v>
      </c>
      <c r="W141" s="2182"/>
      <c r="X141" s="2177"/>
      <c r="Y141" s="2183">
        <f t="shared" si="291"/>
        <v>0</v>
      </c>
      <c r="Z141" s="2254">
        <f t="shared" ref="Z141:AA145" si="308">(N141+Q141+W141)/3</f>
        <v>0</v>
      </c>
      <c r="AA141" s="2252">
        <f t="shared" si="308"/>
        <v>0</v>
      </c>
      <c r="AB141" s="2255">
        <f t="shared" si="292"/>
        <v>0</v>
      </c>
      <c r="AC141" s="2176"/>
      <c r="AD141" s="2177"/>
      <c r="AE141" s="2180">
        <f>AD141-AC141</f>
        <v>0</v>
      </c>
      <c r="AF141" s="2281"/>
      <c r="AG141" s="2114"/>
      <c r="AH141" s="2177"/>
      <c r="AI141" s="2177"/>
      <c r="AJ141" s="2186">
        <f t="shared" si="294"/>
        <v>0</v>
      </c>
      <c r="AK141" s="2177"/>
      <c r="AL141" s="2177"/>
      <c r="AM141" s="2186">
        <f t="shared" si="295"/>
        <v>0</v>
      </c>
      <c r="AN141" s="2177"/>
      <c r="AO141" s="2177"/>
      <c r="AP141" s="2186">
        <f t="shared" si="296"/>
        <v>0</v>
      </c>
      <c r="AQ141" s="2177"/>
      <c r="AR141" s="2177"/>
      <c r="AS141" s="2186">
        <f t="shared" si="297"/>
        <v>0</v>
      </c>
      <c r="AT141" s="2177"/>
      <c r="AU141" s="2177"/>
      <c r="AV141" s="2186">
        <f t="shared" si="298"/>
        <v>0</v>
      </c>
      <c r="AW141" s="2177"/>
      <c r="AX141" s="2177"/>
      <c r="AY141" s="2186">
        <f t="shared" si="299"/>
        <v>0</v>
      </c>
      <c r="AZ141" s="2177"/>
      <c r="BA141" s="2177"/>
      <c r="BB141" s="2186">
        <f t="shared" si="300"/>
        <v>0</v>
      </c>
      <c r="BC141" s="2177"/>
      <c r="BD141" s="2177"/>
      <c r="BE141" s="2186">
        <f t="shared" si="301"/>
        <v>0</v>
      </c>
      <c r="BF141" s="2177"/>
      <c r="BG141" s="2177"/>
      <c r="BH141" s="2186">
        <f t="shared" si="302"/>
        <v>0</v>
      </c>
      <c r="BI141" s="2177"/>
      <c r="BJ141" s="2177"/>
      <c r="BK141" s="2186">
        <f t="shared" si="303"/>
        <v>0</v>
      </c>
      <c r="BL141" s="2177"/>
      <c r="BM141" s="2177"/>
      <c r="BN141" s="2186">
        <f t="shared" si="304"/>
        <v>0</v>
      </c>
      <c r="BO141" s="2177"/>
      <c r="BP141" s="2177"/>
      <c r="BQ141" s="2186">
        <f t="shared" si="305"/>
        <v>0</v>
      </c>
    </row>
    <row r="142" spans="3:69" s="2087" customFormat="1">
      <c r="C142" s="2189" t="s">
        <v>2267</v>
      </c>
      <c r="D142" s="2275" t="s">
        <v>2223</v>
      </c>
      <c r="E142" s="2274" t="s">
        <v>420</v>
      </c>
      <c r="F142" s="2176"/>
      <c r="G142" s="2177"/>
      <c r="H142" s="2177"/>
      <c r="I142" s="2178">
        <f t="shared" si="286"/>
        <v>0</v>
      </c>
      <c r="J142" s="2176"/>
      <c r="K142" s="2179">
        <f t="shared" si="306"/>
        <v>0</v>
      </c>
      <c r="L142" s="2179">
        <f t="shared" si="306"/>
        <v>0</v>
      </c>
      <c r="M142" s="2178">
        <f t="shared" si="287"/>
        <v>0</v>
      </c>
      <c r="N142" s="2177"/>
      <c r="O142" s="2177"/>
      <c r="P142" s="2178">
        <f t="shared" si="288"/>
        <v>0</v>
      </c>
      <c r="Q142" s="2176"/>
      <c r="R142" s="2177"/>
      <c r="S142" s="2180">
        <f t="shared" si="289"/>
        <v>0</v>
      </c>
      <c r="T142" s="2251">
        <f t="shared" ref="T142:T143" si="309">(N142+Q142)/2</f>
        <v>0</v>
      </c>
      <c r="U142" s="2252">
        <f t="shared" si="307"/>
        <v>0</v>
      </c>
      <c r="V142" s="2253">
        <f t="shared" si="290"/>
        <v>0</v>
      </c>
      <c r="W142" s="2182"/>
      <c r="X142" s="2177"/>
      <c r="Y142" s="2183">
        <f t="shared" si="291"/>
        <v>0</v>
      </c>
      <c r="Z142" s="2254">
        <f t="shared" si="308"/>
        <v>0</v>
      </c>
      <c r="AA142" s="2252">
        <f t="shared" si="308"/>
        <v>0</v>
      </c>
      <c r="AB142" s="2255">
        <f t="shared" si="292"/>
        <v>0</v>
      </c>
      <c r="AC142" s="2176"/>
      <c r="AD142" s="2177"/>
      <c r="AE142" s="2180">
        <f t="shared" ref="AE142:AE169" si="310">AD142-AC142</f>
        <v>0</v>
      </c>
      <c r="AF142" s="2281"/>
      <c r="AG142" s="2114"/>
      <c r="AH142" s="2177"/>
      <c r="AI142" s="2177"/>
      <c r="AJ142" s="2186">
        <f t="shared" si="294"/>
        <v>0</v>
      </c>
      <c r="AK142" s="2177"/>
      <c r="AL142" s="2177"/>
      <c r="AM142" s="2186">
        <f t="shared" si="295"/>
        <v>0</v>
      </c>
      <c r="AN142" s="2177"/>
      <c r="AO142" s="2177"/>
      <c r="AP142" s="2186">
        <f t="shared" si="296"/>
        <v>0</v>
      </c>
      <c r="AQ142" s="2177"/>
      <c r="AR142" s="2177"/>
      <c r="AS142" s="2186">
        <f t="shared" si="297"/>
        <v>0</v>
      </c>
      <c r="AT142" s="2177"/>
      <c r="AU142" s="2177"/>
      <c r="AV142" s="2186">
        <f t="shared" si="298"/>
        <v>0</v>
      </c>
      <c r="AW142" s="2177"/>
      <c r="AX142" s="2177"/>
      <c r="AY142" s="2186">
        <f t="shared" si="299"/>
        <v>0</v>
      </c>
      <c r="AZ142" s="2177"/>
      <c r="BA142" s="2177"/>
      <c r="BB142" s="2186">
        <f t="shared" si="300"/>
        <v>0</v>
      </c>
      <c r="BC142" s="2177"/>
      <c r="BD142" s="2177"/>
      <c r="BE142" s="2186">
        <f t="shared" si="301"/>
        <v>0</v>
      </c>
      <c r="BF142" s="2177"/>
      <c r="BG142" s="2177"/>
      <c r="BH142" s="2186">
        <f t="shared" si="302"/>
        <v>0</v>
      </c>
      <c r="BI142" s="2177"/>
      <c r="BJ142" s="2177"/>
      <c r="BK142" s="2186">
        <f t="shared" si="303"/>
        <v>0</v>
      </c>
      <c r="BL142" s="2177"/>
      <c r="BM142" s="2177"/>
      <c r="BN142" s="2186">
        <f t="shared" si="304"/>
        <v>0</v>
      </c>
      <c r="BO142" s="2177"/>
      <c r="BP142" s="2177"/>
      <c r="BQ142" s="2186">
        <f t="shared" si="305"/>
        <v>0</v>
      </c>
    </row>
    <row r="143" spans="3:69" s="2087" customFormat="1">
      <c r="C143" s="2189" t="s">
        <v>2268</v>
      </c>
      <c r="D143" s="2275" t="s">
        <v>2225</v>
      </c>
      <c r="E143" s="2274" t="s">
        <v>420</v>
      </c>
      <c r="F143" s="2176"/>
      <c r="G143" s="2177"/>
      <c r="H143" s="2177"/>
      <c r="I143" s="2178">
        <f t="shared" si="286"/>
        <v>0</v>
      </c>
      <c r="J143" s="2176"/>
      <c r="K143" s="2179">
        <f t="shared" si="306"/>
        <v>0</v>
      </c>
      <c r="L143" s="2179">
        <f t="shared" si="306"/>
        <v>0</v>
      </c>
      <c r="M143" s="2178">
        <f t="shared" si="287"/>
        <v>0</v>
      </c>
      <c r="N143" s="2177"/>
      <c r="O143" s="2177"/>
      <c r="P143" s="2178">
        <f t="shared" si="288"/>
        <v>0</v>
      </c>
      <c r="Q143" s="2176"/>
      <c r="R143" s="2177"/>
      <c r="S143" s="2180">
        <f t="shared" si="289"/>
        <v>0</v>
      </c>
      <c r="T143" s="2251">
        <f t="shared" si="309"/>
        <v>0</v>
      </c>
      <c r="U143" s="2252">
        <f t="shared" si="307"/>
        <v>0</v>
      </c>
      <c r="V143" s="2253">
        <f t="shared" si="290"/>
        <v>0</v>
      </c>
      <c r="W143" s="2182"/>
      <c r="X143" s="2177"/>
      <c r="Y143" s="2183">
        <f t="shared" si="291"/>
        <v>0</v>
      </c>
      <c r="Z143" s="2254">
        <f t="shared" si="308"/>
        <v>0</v>
      </c>
      <c r="AA143" s="2252">
        <f t="shared" si="308"/>
        <v>0</v>
      </c>
      <c r="AB143" s="2255">
        <f t="shared" si="292"/>
        <v>0</v>
      </c>
      <c r="AC143" s="2176"/>
      <c r="AD143" s="2177"/>
      <c r="AE143" s="2180">
        <f t="shared" si="310"/>
        <v>0</v>
      </c>
      <c r="AF143" s="2277"/>
      <c r="AG143" s="2114"/>
      <c r="AH143" s="2177">
        <f>'01'!D20</f>
        <v>0.157</v>
      </c>
      <c r="AI143" s="2177"/>
      <c r="AJ143" s="2186">
        <f t="shared" si="294"/>
        <v>-0.157</v>
      </c>
      <c r="AK143" s="2177"/>
      <c r="AL143" s="2177"/>
      <c r="AM143" s="2186">
        <f t="shared" si="295"/>
        <v>0</v>
      </c>
      <c r="AN143" s="2177"/>
      <c r="AO143" s="2177"/>
      <c r="AP143" s="2186">
        <f t="shared" si="296"/>
        <v>0</v>
      </c>
      <c r="AQ143" s="2177"/>
      <c r="AR143" s="2177"/>
      <c r="AS143" s="2186">
        <f t="shared" si="297"/>
        <v>0</v>
      </c>
      <c r="AT143" s="2177"/>
      <c r="AU143" s="2177"/>
      <c r="AV143" s="2186">
        <f t="shared" si="298"/>
        <v>0</v>
      </c>
      <c r="AW143" s="2177"/>
      <c r="AX143" s="2177"/>
      <c r="AY143" s="2186">
        <f t="shared" si="299"/>
        <v>0</v>
      </c>
      <c r="AZ143" s="2177"/>
      <c r="BA143" s="2177"/>
      <c r="BB143" s="2186">
        <f t="shared" si="300"/>
        <v>0</v>
      </c>
      <c r="BC143" s="2177"/>
      <c r="BD143" s="2177"/>
      <c r="BE143" s="2186">
        <f t="shared" si="301"/>
        <v>0</v>
      </c>
      <c r="BF143" s="2177"/>
      <c r="BG143" s="2177"/>
      <c r="BH143" s="2186">
        <f t="shared" si="302"/>
        <v>0</v>
      </c>
      <c r="BI143" s="2177"/>
      <c r="BJ143" s="2177"/>
      <c r="BK143" s="2186">
        <f t="shared" si="303"/>
        <v>0</v>
      </c>
      <c r="BL143" s="2177"/>
      <c r="BM143" s="2177"/>
      <c r="BN143" s="2186">
        <f t="shared" si="304"/>
        <v>0</v>
      </c>
      <c r="BO143" s="2177"/>
      <c r="BP143" s="2177"/>
      <c r="BQ143" s="2186">
        <f t="shared" si="305"/>
        <v>0</v>
      </c>
    </row>
    <row r="144" spans="3:69" s="2087" customFormat="1">
      <c r="C144" s="2189" t="s">
        <v>2269</v>
      </c>
      <c r="D144" s="2275" t="s">
        <v>2227</v>
      </c>
      <c r="E144" s="2274" t="s">
        <v>420</v>
      </c>
      <c r="F144" s="2176"/>
      <c r="G144" s="2177"/>
      <c r="H144" s="2177"/>
      <c r="I144" s="2178">
        <f t="shared" si="286"/>
        <v>0</v>
      </c>
      <c r="J144" s="2176"/>
      <c r="K144" s="2179">
        <f>(N144+Q144+W144+AC144)/4</f>
        <v>0</v>
      </c>
      <c r="L144" s="2179">
        <f t="shared" si="306"/>
        <v>0</v>
      </c>
      <c r="M144" s="2178">
        <f t="shared" si="287"/>
        <v>0</v>
      </c>
      <c r="N144" s="2177"/>
      <c r="O144" s="2177"/>
      <c r="P144" s="2178">
        <f t="shared" si="288"/>
        <v>0</v>
      </c>
      <c r="Q144" s="2176"/>
      <c r="R144" s="2177"/>
      <c r="S144" s="2180">
        <f t="shared" si="289"/>
        <v>0</v>
      </c>
      <c r="T144" s="2251">
        <f>(N144+Q144)/2</f>
        <v>0</v>
      </c>
      <c r="U144" s="2252">
        <f t="shared" si="307"/>
        <v>0</v>
      </c>
      <c r="V144" s="2253">
        <f t="shared" si="290"/>
        <v>0</v>
      </c>
      <c r="W144" s="2182"/>
      <c r="X144" s="2177"/>
      <c r="Y144" s="2183">
        <f t="shared" si="291"/>
        <v>0</v>
      </c>
      <c r="Z144" s="2254">
        <f>(N144+Q144+W144)/3</f>
        <v>0</v>
      </c>
      <c r="AA144" s="2252">
        <f t="shared" si="308"/>
        <v>0</v>
      </c>
      <c r="AB144" s="2255">
        <f t="shared" si="292"/>
        <v>0</v>
      </c>
      <c r="AC144" s="2176"/>
      <c r="AD144" s="2177"/>
      <c r="AE144" s="2180">
        <f t="shared" si="310"/>
        <v>0</v>
      </c>
      <c r="AF144" s="2281"/>
      <c r="AG144" s="2114"/>
      <c r="AH144" s="2177">
        <f>'01'!D21</f>
        <v>6.556</v>
      </c>
      <c r="AI144" s="2177"/>
      <c r="AJ144" s="2186">
        <f t="shared" si="294"/>
        <v>-6.556</v>
      </c>
      <c r="AK144" s="2177"/>
      <c r="AL144" s="2177"/>
      <c r="AM144" s="2186">
        <f t="shared" si="295"/>
        <v>0</v>
      </c>
      <c r="AN144" s="2177"/>
      <c r="AO144" s="2177"/>
      <c r="AP144" s="2186">
        <f t="shared" si="296"/>
        <v>0</v>
      </c>
      <c r="AQ144" s="2177"/>
      <c r="AR144" s="2177"/>
      <c r="AS144" s="2186">
        <f t="shared" si="297"/>
        <v>0</v>
      </c>
      <c r="AT144" s="2177"/>
      <c r="AU144" s="2177"/>
      <c r="AV144" s="2186">
        <f t="shared" si="298"/>
        <v>0</v>
      </c>
      <c r="AW144" s="2177"/>
      <c r="AX144" s="2177"/>
      <c r="AY144" s="2186">
        <f t="shared" si="299"/>
        <v>0</v>
      </c>
      <c r="AZ144" s="2177"/>
      <c r="BA144" s="2177"/>
      <c r="BB144" s="2186">
        <f t="shared" si="300"/>
        <v>0</v>
      </c>
      <c r="BC144" s="2177"/>
      <c r="BD144" s="2177"/>
      <c r="BE144" s="2186">
        <f t="shared" si="301"/>
        <v>0</v>
      </c>
      <c r="BF144" s="2177"/>
      <c r="BG144" s="2177"/>
      <c r="BH144" s="2186">
        <f t="shared" si="302"/>
        <v>0</v>
      </c>
      <c r="BI144" s="2177"/>
      <c r="BJ144" s="2177"/>
      <c r="BK144" s="2186">
        <f t="shared" si="303"/>
        <v>0</v>
      </c>
      <c r="BL144" s="2177"/>
      <c r="BM144" s="2177"/>
      <c r="BN144" s="2186">
        <f t="shared" si="304"/>
        <v>0</v>
      </c>
      <c r="BO144" s="2177"/>
      <c r="BP144" s="2177"/>
      <c r="BQ144" s="2186">
        <f t="shared" si="305"/>
        <v>0</v>
      </c>
    </row>
    <row r="145" spans="3:69" s="2087" customFormat="1">
      <c r="C145" s="2194" t="s">
        <v>2270</v>
      </c>
      <c r="D145" s="2283" t="s">
        <v>2229</v>
      </c>
      <c r="E145" s="2284" t="s">
        <v>420</v>
      </c>
      <c r="F145" s="2176"/>
      <c r="G145" s="2177"/>
      <c r="H145" s="2177"/>
      <c r="I145" s="2178">
        <f t="shared" si="286"/>
        <v>0</v>
      </c>
      <c r="J145" s="2176"/>
      <c r="K145" s="2252">
        <f>(N145+Q145+W145+AC145)/4</f>
        <v>0</v>
      </c>
      <c r="L145" s="2252">
        <f t="shared" si="306"/>
        <v>0</v>
      </c>
      <c r="M145" s="2255">
        <f t="shared" si="287"/>
        <v>0</v>
      </c>
      <c r="N145" s="2177"/>
      <c r="O145" s="2177"/>
      <c r="P145" s="2178">
        <f t="shared" si="288"/>
        <v>0</v>
      </c>
      <c r="Q145" s="2176"/>
      <c r="R145" s="2177"/>
      <c r="S145" s="2180">
        <f t="shared" si="289"/>
        <v>0</v>
      </c>
      <c r="T145" s="2251">
        <f>(N145+Q145)/2</f>
        <v>0</v>
      </c>
      <c r="U145" s="2252">
        <f t="shared" si="307"/>
        <v>0</v>
      </c>
      <c r="V145" s="2253">
        <f t="shared" si="290"/>
        <v>0</v>
      </c>
      <c r="W145" s="2182"/>
      <c r="X145" s="2177"/>
      <c r="Y145" s="2183">
        <f t="shared" si="291"/>
        <v>0</v>
      </c>
      <c r="Z145" s="2254">
        <f>(N145+Q145+W145)/3</f>
        <v>0</v>
      </c>
      <c r="AA145" s="2252">
        <f t="shared" si="308"/>
        <v>0</v>
      </c>
      <c r="AB145" s="2255">
        <f t="shared" si="292"/>
        <v>0</v>
      </c>
      <c r="AC145" s="2176"/>
      <c r="AD145" s="2177"/>
      <c r="AE145" s="2180">
        <f t="shared" si="310"/>
        <v>0</v>
      </c>
      <c r="AF145" s="2281"/>
      <c r="AG145" s="2114"/>
      <c r="AH145" s="2177"/>
      <c r="AI145" s="2177"/>
      <c r="AJ145" s="2186">
        <f t="shared" si="294"/>
        <v>0</v>
      </c>
      <c r="AK145" s="2177"/>
      <c r="AL145" s="2177"/>
      <c r="AM145" s="2186">
        <f t="shared" si="295"/>
        <v>0</v>
      </c>
      <c r="AN145" s="2177"/>
      <c r="AO145" s="2177"/>
      <c r="AP145" s="2186">
        <f t="shared" si="296"/>
        <v>0</v>
      </c>
      <c r="AQ145" s="2177"/>
      <c r="AR145" s="2177"/>
      <c r="AS145" s="2186">
        <f t="shared" si="297"/>
        <v>0</v>
      </c>
      <c r="AT145" s="2177"/>
      <c r="AU145" s="2177"/>
      <c r="AV145" s="2186">
        <f t="shared" si="298"/>
        <v>0</v>
      </c>
      <c r="AW145" s="2177"/>
      <c r="AX145" s="2177"/>
      <c r="AY145" s="2186">
        <f t="shared" si="299"/>
        <v>0</v>
      </c>
      <c r="AZ145" s="2177"/>
      <c r="BA145" s="2177"/>
      <c r="BB145" s="2186">
        <f t="shared" si="300"/>
        <v>0</v>
      </c>
      <c r="BC145" s="2177"/>
      <c r="BD145" s="2177"/>
      <c r="BE145" s="2186">
        <f t="shared" si="301"/>
        <v>0</v>
      </c>
      <c r="BF145" s="2177"/>
      <c r="BG145" s="2177"/>
      <c r="BH145" s="2186">
        <f t="shared" si="302"/>
        <v>0</v>
      </c>
      <c r="BI145" s="2177"/>
      <c r="BJ145" s="2177"/>
      <c r="BK145" s="2186">
        <f t="shared" si="303"/>
        <v>0</v>
      </c>
      <c r="BL145" s="2177"/>
      <c r="BM145" s="2177"/>
      <c r="BN145" s="2186">
        <f t="shared" si="304"/>
        <v>0</v>
      </c>
      <c r="BO145" s="2177"/>
      <c r="BP145" s="2177"/>
      <c r="BQ145" s="2186">
        <f t="shared" si="305"/>
        <v>0</v>
      </c>
    </row>
    <row r="146" spans="3:69" s="2087" customFormat="1">
      <c r="C146" s="2285" t="s">
        <v>2271</v>
      </c>
      <c r="D146" s="2286" t="s">
        <v>2231</v>
      </c>
      <c r="E146" s="2284" t="s">
        <v>240</v>
      </c>
      <c r="F146" s="2176"/>
      <c r="G146" s="2252">
        <f>G147+G148+G149+G150+G151</f>
        <v>0</v>
      </c>
      <c r="H146" s="2252">
        <f>H147+H148+H149+H150+H151</f>
        <v>0</v>
      </c>
      <c r="I146" s="2178">
        <f t="shared" si="286"/>
        <v>0</v>
      </c>
      <c r="J146" s="2176"/>
      <c r="K146" s="2179">
        <f t="shared" ref="K146:L169" si="311">N146+Q146+W146+AC146</f>
        <v>0</v>
      </c>
      <c r="L146" s="2179">
        <f t="shared" si="311"/>
        <v>0</v>
      </c>
      <c r="M146" s="2178">
        <f t="shared" si="287"/>
        <v>0</v>
      </c>
      <c r="N146" s="2179">
        <f>N147+N148+N149+N150+N151</f>
        <v>0</v>
      </c>
      <c r="O146" s="2179">
        <f>O147+O148+O149+O150+O151</f>
        <v>0</v>
      </c>
      <c r="P146" s="2178">
        <f t="shared" si="288"/>
        <v>0</v>
      </c>
      <c r="Q146" s="2179">
        <f>Q147+Q148+Q149+Q150+Q151</f>
        <v>0</v>
      </c>
      <c r="R146" s="2179">
        <f>R147+R148+R149+R150+R151</f>
        <v>0</v>
      </c>
      <c r="S146" s="2180">
        <f t="shared" si="289"/>
        <v>0</v>
      </c>
      <c r="T146" s="2181">
        <f t="shared" ref="T146:U169" si="312">N146+Q146</f>
        <v>0</v>
      </c>
      <c r="U146" s="2179">
        <f t="shared" si="312"/>
        <v>0</v>
      </c>
      <c r="V146" s="2180">
        <f t="shared" si="290"/>
        <v>0</v>
      </c>
      <c r="W146" s="2187">
        <f>W147+W148+W149+W150+W151</f>
        <v>0</v>
      </c>
      <c r="X146" s="2179">
        <f>X147+X148+X149+X150+X151</f>
        <v>0</v>
      </c>
      <c r="Y146" s="2183">
        <f t="shared" si="291"/>
        <v>0</v>
      </c>
      <c r="Z146" s="2184">
        <f t="shared" ref="Z146:AA169" si="313">T146+W146</f>
        <v>0</v>
      </c>
      <c r="AA146" s="2179">
        <f t="shared" si="313"/>
        <v>0</v>
      </c>
      <c r="AB146" s="2178">
        <f t="shared" si="292"/>
        <v>0</v>
      </c>
      <c r="AC146" s="2179">
        <f>AC147+AC148+AC149+AC150+AC151</f>
        <v>0</v>
      </c>
      <c r="AD146" s="2179">
        <f>AD147+AD148+AD149+AD150+AD151</f>
        <v>0</v>
      </c>
      <c r="AE146" s="2180">
        <f t="shared" si="310"/>
        <v>0</v>
      </c>
      <c r="AF146" s="2281"/>
      <c r="AG146" s="2114"/>
      <c r="AH146" s="2188">
        <f>AH147+AH148+AH149+AH150+AH151</f>
        <v>3.6832480000000003</v>
      </c>
      <c r="AI146" s="2188">
        <f>AI147+AI148+AI149+AI150+AI151</f>
        <v>0</v>
      </c>
      <c r="AJ146" s="2186">
        <f t="shared" si="294"/>
        <v>-3.6832480000000003</v>
      </c>
      <c r="AK146" s="2188">
        <f>AK147+AK148+AK149+AK150+AK151</f>
        <v>0</v>
      </c>
      <c r="AL146" s="2188">
        <f>AL147+AL148+AL149+AL150+AL151</f>
        <v>0</v>
      </c>
      <c r="AM146" s="2186">
        <f t="shared" si="295"/>
        <v>0</v>
      </c>
      <c r="AN146" s="2188">
        <f>AN147+AN148+AN149+AN150+AN151</f>
        <v>0</v>
      </c>
      <c r="AO146" s="2188">
        <f>AO147+AO148+AO149+AO150+AO151</f>
        <v>0</v>
      </c>
      <c r="AP146" s="2186">
        <f t="shared" si="296"/>
        <v>0</v>
      </c>
      <c r="AQ146" s="2188">
        <f>AQ147+AQ148+AQ149+AQ150+AQ151</f>
        <v>0</v>
      </c>
      <c r="AR146" s="2188">
        <f>AR147+AR148+AR149+AR150+AR151</f>
        <v>0</v>
      </c>
      <c r="AS146" s="2186">
        <f t="shared" si="297"/>
        <v>0</v>
      </c>
      <c r="AT146" s="2188">
        <f>AT147+AT148+AT149+AT150+AT151</f>
        <v>0</v>
      </c>
      <c r="AU146" s="2188">
        <f>AU147+AU148+AU149+AU150+AU151</f>
        <v>0</v>
      </c>
      <c r="AV146" s="2186">
        <f t="shared" si="298"/>
        <v>0</v>
      </c>
      <c r="AW146" s="2188">
        <f>AW147+AW148+AW149+AW150+AW151</f>
        <v>0</v>
      </c>
      <c r="AX146" s="2188">
        <f>AX147+AX148+AX149+AX150+AX151</f>
        <v>0</v>
      </c>
      <c r="AY146" s="2186">
        <f t="shared" si="299"/>
        <v>0</v>
      </c>
      <c r="AZ146" s="2188">
        <f>AZ147+AZ148+AZ149+AZ150+AZ151</f>
        <v>0</v>
      </c>
      <c r="BA146" s="2188">
        <f>BA147+BA148+BA149+BA150+BA151</f>
        <v>0</v>
      </c>
      <c r="BB146" s="2186">
        <f t="shared" si="300"/>
        <v>0</v>
      </c>
      <c r="BC146" s="2188">
        <f>BC147+BC148+BC149+BC150+BC151</f>
        <v>0</v>
      </c>
      <c r="BD146" s="2188">
        <f>BD147+BD148+BD149+BD150+BD151</f>
        <v>0</v>
      </c>
      <c r="BE146" s="2186">
        <f t="shared" si="301"/>
        <v>0</v>
      </c>
      <c r="BF146" s="2188">
        <f>BF147+BF148+BF149+BF150+BF151</f>
        <v>0</v>
      </c>
      <c r="BG146" s="2188">
        <f>BG147+BG148+BG149+BG150+BG151</f>
        <v>0</v>
      </c>
      <c r="BH146" s="2186">
        <f t="shared" si="302"/>
        <v>0</v>
      </c>
      <c r="BI146" s="2188">
        <f>BI147+BI148+BI149+BI150+BI151</f>
        <v>0</v>
      </c>
      <c r="BJ146" s="2188">
        <f>BJ147+BJ148+BJ149+BJ150+BJ151</f>
        <v>0</v>
      </c>
      <c r="BK146" s="2186">
        <f t="shared" si="303"/>
        <v>0</v>
      </c>
      <c r="BL146" s="2188">
        <f>BL147+BL148+BL149+BL150+BL151</f>
        <v>0</v>
      </c>
      <c r="BM146" s="2188">
        <f>BM147+BM148+BM149+BM150+BM151</f>
        <v>0</v>
      </c>
      <c r="BN146" s="2186">
        <f t="shared" si="304"/>
        <v>0</v>
      </c>
      <c r="BO146" s="2188">
        <f>BO147+BO148+BO149+BO150+BO151</f>
        <v>0</v>
      </c>
      <c r="BP146" s="2188">
        <f>BP147+BP148+BP149+BP150+BP151</f>
        <v>0</v>
      </c>
      <c r="BQ146" s="2186">
        <f t="shared" si="305"/>
        <v>0</v>
      </c>
    </row>
    <row r="147" spans="3:69" s="2087" customFormat="1">
      <c r="C147" s="2194" t="s">
        <v>2272</v>
      </c>
      <c r="D147" s="2283" t="s">
        <v>2221</v>
      </c>
      <c r="E147" s="2284" t="s">
        <v>240</v>
      </c>
      <c r="F147" s="2176"/>
      <c r="G147" s="2177"/>
      <c r="H147" s="2177"/>
      <c r="I147" s="2178">
        <f t="shared" si="286"/>
        <v>0</v>
      </c>
      <c r="J147" s="2176"/>
      <c r="K147" s="2252">
        <f t="shared" si="311"/>
        <v>0</v>
      </c>
      <c r="L147" s="2252">
        <f t="shared" si="311"/>
        <v>0</v>
      </c>
      <c r="M147" s="2255">
        <f t="shared" si="287"/>
        <v>0</v>
      </c>
      <c r="N147" s="2177"/>
      <c r="O147" s="2177"/>
      <c r="P147" s="2178">
        <f t="shared" si="288"/>
        <v>0</v>
      </c>
      <c r="Q147" s="2176"/>
      <c r="R147" s="2176"/>
      <c r="S147" s="2180">
        <f t="shared" si="289"/>
        <v>0</v>
      </c>
      <c r="T147" s="2251">
        <f t="shared" si="312"/>
        <v>0</v>
      </c>
      <c r="U147" s="2252">
        <f t="shared" si="312"/>
        <v>0</v>
      </c>
      <c r="V147" s="2253">
        <f t="shared" si="290"/>
        <v>0</v>
      </c>
      <c r="W147" s="2182"/>
      <c r="X147" s="2177"/>
      <c r="Y147" s="2183">
        <f t="shared" si="291"/>
        <v>0</v>
      </c>
      <c r="Z147" s="2254">
        <f t="shared" si="313"/>
        <v>0</v>
      </c>
      <c r="AA147" s="2252">
        <f t="shared" si="313"/>
        <v>0</v>
      </c>
      <c r="AB147" s="2255">
        <f t="shared" si="292"/>
        <v>0</v>
      </c>
      <c r="AC147" s="2176"/>
      <c r="AD147" s="2177"/>
      <c r="AE147" s="2180">
        <f t="shared" si="310"/>
        <v>0</v>
      </c>
      <c r="AF147" s="2281"/>
      <c r="AG147" s="2114"/>
      <c r="AH147" s="2177"/>
      <c r="AI147" s="2177"/>
      <c r="AJ147" s="2186">
        <f t="shared" si="294"/>
        <v>0</v>
      </c>
      <c r="AK147" s="2177"/>
      <c r="AL147" s="2177"/>
      <c r="AM147" s="2186">
        <f t="shared" si="295"/>
        <v>0</v>
      </c>
      <c r="AN147" s="2177"/>
      <c r="AO147" s="2177"/>
      <c r="AP147" s="2186">
        <f t="shared" si="296"/>
        <v>0</v>
      </c>
      <c r="AQ147" s="2177"/>
      <c r="AR147" s="2177"/>
      <c r="AS147" s="2186">
        <f t="shared" si="297"/>
        <v>0</v>
      </c>
      <c r="AT147" s="2177"/>
      <c r="AU147" s="2177"/>
      <c r="AV147" s="2186">
        <f t="shared" si="298"/>
        <v>0</v>
      </c>
      <c r="AW147" s="2177"/>
      <c r="AX147" s="2177"/>
      <c r="AY147" s="2186">
        <f t="shared" si="299"/>
        <v>0</v>
      </c>
      <c r="AZ147" s="2177"/>
      <c r="BA147" s="2177"/>
      <c r="BB147" s="2186">
        <f t="shared" si="300"/>
        <v>0</v>
      </c>
      <c r="BC147" s="2177"/>
      <c r="BD147" s="2177"/>
      <c r="BE147" s="2186">
        <f t="shared" si="301"/>
        <v>0</v>
      </c>
      <c r="BF147" s="2177"/>
      <c r="BG147" s="2177"/>
      <c r="BH147" s="2186">
        <f t="shared" si="302"/>
        <v>0</v>
      </c>
      <c r="BI147" s="2177"/>
      <c r="BJ147" s="2177"/>
      <c r="BK147" s="2186">
        <f t="shared" si="303"/>
        <v>0</v>
      </c>
      <c r="BL147" s="2177"/>
      <c r="BM147" s="2177"/>
      <c r="BN147" s="2186">
        <f t="shared" si="304"/>
        <v>0</v>
      </c>
      <c r="BO147" s="2177"/>
      <c r="BP147" s="2177"/>
      <c r="BQ147" s="2186">
        <f t="shared" si="305"/>
        <v>0</v>
      </c>
    </row>
    <row r="148" spans="3:69" s="2087" customFormat="1">
      <c r="C148" s="2194" t="s">
        <v>2273</v>
      </c>
      <c r="D148" s="2283" t="s">
        <v>2223</v>
      </c>
      <c r="E148" s="2284" t="s">
        <v>240</v>
      </c>
      <c r="F148" s="2176"/>
      <c r="G148" s="2177"/>
      <c r="H148" s="2177"/>
      <c r="I148" s="2178">
        <f t="shared" si="286"/>
        <v>0</v>
      </c>
      <c r="J148" s="2176"/>
      <c r="K148" s="2252">
        <f t="shared" si="311"/>
        <v>0</v>
      </c>
      <c r="L148" s="2252">
        <f t="shared" si="311"/>
        <v>0</v>
      </c>
      <c r="M148" s="2255">
        <f t="shared" si="287"/>
        <v>0</v>
      </c>
      <c r="N148" s="2177"/>
      <c r="O148" s="2177"/>
      <c r="P148" s="2178">
        <f t="shared" si="288"/>
        <v>0</v>
      </c>
      <c r="Q148" s="2176"/>
      <c r="R148" s="2177"/>
      <c r="S148" s="2180">
        <f t="shared" si="289"/>
        <v>0</v>
      </c>
      <c r="T148" s="2251">
        <f t="shared" si="312"/>
        <v>0</v>
      </c>
      <c r="U148" s="2252">
        <f t="shared" si="312"/>
        <v>0</v>
      </c>
      <c r="V148" s="2253">
        <f t="shared" si="290"/>
        <v>0</v>
      </c>
      <c r="W148" s="2182"/>
      <c r="X148" s="2177"/>
      <c r="Y148" s="2183">
        <f t="shared" si="291"/>
        <v>0</v>
      </c>
      <c r="Z148" s="2254">
        <f t="shared" si="313"/>
        <v>0</v>
      </c>
      <c r="AA148" s="2252">
        <f t="shared" si="313"/>
        <v>0</v>
      </c>
      <c r="AB148" s="2255">
        <f t="shared" si="292"/>
        <v>0</v>
      </c>
      <c r="AC148" s="2176"/>
      <c r="AD148" s="2177"/>
      <c r="AE148" s="2180">
        <f t="shared" si="310"/>
        <v>0</v>
      </c>
      <c r="AF148" s="2281"/>
      <c r="AG148" s="2114"/>
      <c r="AH148" s="2177"/>
      <c r="AI148" s="2177"/>
      <c r="AJ148" s="2186">
        <f t="shared" si="294"/>
        <v>0</v>
      </c>
      <c r="AK148" s="2177"/>
      <c r="AL148" s="2177"/>
      <c r="AM148" s="2186">
        <f t="shared" si="295"/>
        <v>0</v>
      </c>
      <c r="AN148" s="2177"/>
      <c r="AO148" s="2177"/>
      <c r="AP148" s="2186">
        <f t="shared" si="296"/>
        <v>0</v>
      </c>
      <c r="AQ148" s="2177"/>
      <c r="AR148" s="2177"/>
      <c r="AS148" s="2186">
        <f t="shared" si="297"/>
        <v>0</v>
      </c>
      <c r="AT148" s="2177"/>
      <c r="AU148" s="2177"/>
      <c r="AV148" s="2186">
        <f t="shared" si="298"/>
        <v>0</v>
      </c>
      <c r="AW148" s="2177"/>
      <c r="AX148" s="2177"/>
      <c r="AY148" s="2186">
        <f t="shared" si="299"/>
        <v>0</v>
      </c>
      <c r="AZ148" s="2177"/>
      <c r="BA148" s="2177"/>
      <c r="BB148" s="2186">
        <f t="shared" si="300"/>
        <v>0</v>
      </c>
      <c r="BC148" s="2177"/>
      <c r="BD148" s="2177"/>
      <c r="BE148" s="2186">
        <f t="shared" si="301"/>
        <v>0</v>
      </c>
      <c r="BF148" s="2177"/>
      <c r="BG148" s="2177"/>
      <c r="BH148" s="2186">
        <f t="shared" si="302"/>
        <v>0</v>
      </c>
      <c r="BI148" s="2177"/>
      <c r="BJ148" s="2177"/>
      <c r="BK148" s="2186">
        <f t="shared" si="303"/>
        <v>0</v>
      </c>
      <c r="BL148" s="2177"/>
      <c r="BM148" s="2177"/>
      <c r="BN148" s="2186">
        <f t="shared" si="304"/>
        <v>0</v>
      </c>
      <c r="BO148" s="2177"/>
      <c r="BP148" s="2177"/>
      <c r="BQ148" s="2186">
        <f t="shared" si="305"/>
        <v>0</v>
      </c>
    </row>
    <row r="149" spans="3:69" s="2087" customFormat="1">
      <c r="C149" s="2194" t="s">
        <v>2274</v>
      </c>
      <c r="D149" s="2283" t="s">
        <v>2225</v>
      </c>
      <c r="E149" s="2284" t="s">
        <v>240</v>
      </c>
      <c r="F149" s="2176"/>
      <c r="G149" s="2177"/>
      <c r="H149" s="2177"/>
      <c r="I149" s="2178">
        <f t="shared" si="286"/>
        <v>0</v>
      </c>
      <c r="J149" s="2176"/>
      <c r="K149" s="2252">
        <f t="shared" si="311"/>
        <v>0</v>
      </c>
      <c r="L149" s="2252">
        <f t="shared" si="311"/>
        <v>0</v>
      </c>
      <c r="M149" s="2255">
        <f t="shared" si="287"/>
        <v>0</v>
      </c>
      <c r="N149" s="2177"/>
      <c r="O149" s="2177"/>
      <c r="P149" s="2178">
        <f t="shared" si="288"/>
        <v>0</v>
      </c>
      <c r="Q149" s="2176"/>
      <c r="R149" s="2177"/>
      <c r="S149" s="2180">
        <f t="shared" si="289"/>
        <v>0</v>
      </c>
      <c r="T149" s="2251">
        <f t="shared" si="312"/>
        <v>0</v>
      </c>
      <c r="U149" s="2252">
        <f t="shared" si="312"/>
        <v>0</v>
      </c>
      <c r="V149" s="2253">
        <f t="shared" si="290"/>
        <v>0</v>
      </c>
      <c r="W149" s="2182"/>
      <c r="X149" s="2177"/>
      <c r="Y149" s="2183">
        <f t="shared" si="291"/>
        <v>0</v>
      </c>
      <c r="Z149" s="2254">
        <f t="shared" si="313"/>
        <v>0</v>
      </c>
      <c r="AA149" s="2252">
        <f t="shared" si="313"/>
        <v>0</v>
      </c>
      <c r="AB149" s="2255">
        <f t="shared" si="292"/>
        <v>0</v>
      </c>
      <c r="AC149" s="2176"/>
      <c r="AD149" s="2177"/>
      <c r="AE149" s="2180">
        <f t="shared" si="310"/>
        <v>0</v>
      </c>
      <c r="AF149" s="2281"/>
      <c r="AG149" s="2114"/>
      <c r="AH149" s="2177">
        <f>'01'!D23/1000</f>
        <v>0.102423</v>
      </c>
      <c r="AI149" s="2177"/>
      <c r="AJ149" s="2186">
        <f t="shared" si="294"/>
        <v>-0.102423</v>
      </c>
      <c r="AK149" s="2177"/>
      <c r="AL149" s="2177"/>
      <c r="AM149" s="2186">
        <f t="shared" si="295"/>
        <v>0</v>
      </c>
      <c r="AN149" s="2177"/>
      <c r="AO149" s="2177"/>
      <c r="AP149" s="2186">
        <f t="shared" si="296"/>
        <v>0</v>
      </c>
      <c r="AQ149" s="2177"/>
      <c r="AR149" s="2177"/>
      <c r="AS149" s="2186">
        <f t="shared" si="297"/>
        <v>0</v>
      </c>
      <c r="AT149" s="2177"/>
      <c r="AU149" s="2177"/>
      <c r="AV149" s="2186">
        <f t="shared" si="298"/>
        <v>0</v>
      </c>
      <c r="AW149" s="2177"/>
      <c r="AX149" s="2177"/>
      <c r="AY149" s="2186">
        <f t="shared" si="299"/>
        <v>0</v>
      </c>
      <c r="AZ149" s="2177"/>
      <c r="BA149" s="2177"/>
      <c r="BB149" s="2186">
        <f t="shared" si="300"/>
        <v>0</v>
      </c>
      <c r="BC149" s="2177"/>
      <c r="BD149" s="2177"/>
      <c r="BE149" s="2186">
        <f t="shared" si="301"/>
        <v>0</v>
      </c>
      <c r="BF149" s="2177"/>
      <c r="BG149" s="2177"/>
      <c r="BH149" s="2186">
        <f t="shared" si="302"/>
        <v>0</v>
      </c>
      <c r="BI149" s="2177"/>
      <c r="BJ149" s="2177"/>
      <c r="BK149" s="2186">
        <f t="shared" si="303"/>
        <v>0</v>
      </c>
      <c r="BL149" s="2177"/>
      <c r="BM149" s="2177"/>
      <c r="BN149" s="2186">
        <f t="shared" si="304"/>
        <v>0</v>
      </c>
      <c r="BO149" s="2177"/>
      <c r="BP149" s="2177"/>
      <c r="BQ149" s="2186">
        <f t="shared" si="305"/>
        <v>0</v>
      </c>
    </row>
    <row r="150" spans="3:69" s="2087" customFormat="1">
      <c r="C150" s="2194" t="s">
        <v>2275</v>
      </c>
      <c r="D150" s="2283" t="s">
        <v>2227</v>
      </c>
      <c r="E150" s="2284" t="s">
        <v>240</v>
      </c>
      <c r="F150" s="2176"/>
      <c r="G150" s="2177"/>
      <c r="H150" s="2177"/>
      <c r="I150" s="2178">
        <f t="shared" si="286"/>
        <v>0</v>
      </c>
      <c r="J150" s="2176"/>
      <c r="K150" s="2252">
        <f t="shared" si="311"/>
        <v>0</v>
      </c>
      <c r="L150" s="2252">
        <f t="shared" si="311"/>
        <v>0</v>
      </c>
      <c r="M150" s="2255">
        <f t="shared" si="287"/>
        <v>0</v>
      </c>
      <c r="N150" s="2177"/>
      <c r="O150" s="2177"/>
      <c r="P150" s="2178">
        <f t="shared" si="288"/>
        <v>0</v>
      </c>
      <c r="Q150" s="2176"/>
      <c r="R150" s="2177"/>
      <c r="S150" s="2180">
        <f t="shared" si="289"/>
        <v>0</v>
      </c>
      <c r="T150" s="2251">
        <f t="shared" si="312"/>
        <v>0</v>
      </c>
      <c r="U150" s="2252">
        <f t="shared" si="312"/>
        <v>0</v>
      </c>
      <c r="V150" s="2253">
        <f t="shared" si="290"/>
        <v>0</v>
      </c>
      <c r="W150" s="2182"/>
      <c r="X150" s="2177"/>
      <c r="Y150" s="2183">
        <f t="shared" si="291"/>
        <v>0</v>
      </c>
      <c r="Z150" s="2254">
        <f t="shared" si="313"/>
        <v>0</v>
      </c>
      <c r="AA150" s="2252">
        <f t="shared" si="313"/>
        <v>0</v>
      </c>
      <c r="AB150" s="2255">
        <f t="shared" si="292"/>
        <v>0</v>
      </c>
      <c r="AC150" s="2176"/>
      <c r="AD150" s="2177"/>
      <c r="AE150" s="2180">
        <f t="shared" si="310"/>
        <v>0</v>
      </c>
      <c r="AF150" s="2281"/>
      <c r="AG150" s="2114"/>
      <c r="AH150" s="2177">
        <f>'01'!D24/1000</f>
        <v>3.5808250000000004</v>
      </c>
      <c r="AI150" s="2177"/>
      <c r="AJ150" s="2186">
        <f t="shared" si="294"/>
        <v>-3.5808250000000004</v>
      </c>
      <c r="AK150" s="2177"/>
      <c r="AL150" s="2177"/>
      <c r="AM150" s="2186">
        <f t="shared" si="295"/>
        <v>0</v>
      </c>
      <c r="AN150" s="2177"/>
      <c r="AO150" s="2177"/>
      <c r="AP150" s="2186">
        <f t="shared" si="296"/>
        <v>0</v>
      </c>
      <c r="AQ150" s="2177"/>
      <c r="AR150" s="2177"/>
      <c r="AS150" s="2186">
        <f t="shared" si="297"/>
        <v>0</v>
      </c>
      <c r="AT150" s="2177"/>
      <c r="AU150" s="2177"/>
      <c r="AV150" s="2186">
        <f t="shared" si="298"/>
        <v>0</v>
      </c>
      <c r="AW150" s="2177"/>
      <c r="AX150" s="2177"/>
      <c r="AY150" s="2186">
        <f t="shared" si="299"/>
        <v>0</v>
      </c>
      <c r="AZ150" s="2177"/>
      <c r="BA150" s="2177"/>
      <c r="BB150" s="2186">
        <f t="shared" si="300"/>
        <v>0</v>
      </c>
      <c r="BC150" s="2177"/>
      <c r="BD150" s="2177"/>
      <c r="BE150" s="2186">
        <f t="shared" si="301"/>
        <v>0</v>
      </c>
      <c r="BF150" s="2177"/>
      <c r="BG150" s="2177"/>
      <c r="BH150" s="2186">
        <f t="shared" si="302"/>
        <v>0</v>
      </c>
      <c r="BI150" s="2177"/>
      <c r="BJ150" s="2177"/>
      <c r="BK150" s="2186">
        <f t="shared" si="303"/>
        <v>0</v>
      </c>
      <c r="BL150" s="2177"/>
      <c r="BM150" s="2177"/>
      <c r="BN150" s="2186">
        <f t="shared" si="304"/>
        <v>0</v>
      </c>
      <c r="BO150" s="2177"/>
      <c r="BP150" s="2177"/>
      <c r="BQ150" s="2186">
        <f t="shared" si="305"/>
        <v>0</v>
      </c>
    </row>
    <row r="151" spans="3:69" s="2087" customFormat="1" hidden="1">
      <c r="C151" s="2194" t="s">
        <v>2276</v>
      </c>
      <c r="D151" s="2283" t="s">
        <v>2229</v>
      </c>
      <c r="E151" s="2284" t="s">
        <v>240</v>
      </c>
      <c r="F151" s="2176"/>
      <c r="G151" s="2177"/>
      <c r="H151" s="2177"/>
      <c r="I151" s="2178">
        <f t="shared" si="286"/>
        <v>0</v>
      </c>
      <c r="J151" s="2176"/>
      <c r="K151" s="2252">
        <f t="shared" si="311"/>
        <v>0</v>
      </c>
      <c r="L151" s="2252">
        <f t="shared" si="311"/>
        <v>0</v>
      </c>
      <c r="M151" s="2255">
        <f t="shared" si="287"/>
        <v>0</v>
      </c>
      <c r="N151" s="2177"/>
      <c r="O151" s="2177"/>
      <c r="P151" s="2178">
        <f t="shared" si="288"/>
        <v>0</v>
      </c>
      <c r="Q151" s="2176"/>
      <c r="R151" s="2177"/>
      <c r="S151" s="2266"/>
      <c r="T151" s="2251">
        <f t="shared" si="312"/>
        <v>0</v>
      </c>
      <c r="U151" s="2252">
        <f t="shared" si="312"/>
        <v>0</v>
      </c>
      <c r="V151" s="2253">
        <f t="shared" si="290"/>
        <v>0</v>
      </c>
      <c r="W151" s="2182"/>
      <c r="X151" s="2177"/>
      <c r="Y151" s="2271"/>
      <c r="Z151" s="2254">
        <f t="shared" si="313"/>
        <v>0</v>
      </c>
      <c r="AA151" s="2252">
        <f t="shared" si="313"/>
        <v>0</v>
      </c>
      <c r="AB151" s="2255">
        <f t="shared" si="292"/>
        <v>0</v>
      </c>
      <c r="AC151" s="2176"/>
      <c r="AD151" s="2177"/>
      <c r="AE151" s="2180">
        <f t="shared" si="310"/>
        <v>0</v>
      </c>
      <c r="AF151" s="2281"/>
      <c r="AG151" s="2114"/>
      <c r="AH151" s="2177"/>
      <c r="AI151" s="2177"/>
      <c r="AJ151" s="2186">
        <f t="shared" si="294"/>
        <v>0</v>
      </c>
      <c r="AK151" s="2177"/>
      <c r="AL151" s="2177"/>
      <c r="AM151" s="2186">
        <f t="shared" si="295"/>
        <v>0</v>
      </c>
      <c r="AN151" s="2177"/>
      <c r="AO151" s="2177"/>
      <c r="AP151" s="2186">
        <f t="shared" si="296"/>
        <v>0</v>
      </c>
      <c r="AQ151" s="2177"/>
      <c r="AR151" s="2177"/>
      <c r="AS151" s="2186">
        <f t="shared" si="297"/>
        <v>0</v>
      </c>
      <c r="AT151" s="2177"/>
      <c r="AU151" s="2177"/>
      <c r="AV151" s="2186">
        <f t="shared" si="298"/>
        <v>0</v>
      </c>
      <c r="AW151" s="2177"/>
      <c r="AX151" s="2177"/>
      <c r="AY151" s="2186">
        <f t="shared" si="299"/>
        <v>0</v>
      </c>
      <c r="AZ151" s="2177"/>
      <c r="BA151" s="2177"/>
      <c r="BB151" s="2186">
        <f t="shared" si="300"/>
        <v>0</v>
      </c>
      <c r="BC151" s="2177"/>
      <c r="BD151" s="2177"/>
      <c r="BE151" s="2186">
        <f t="shared" si="301"/>
        <v>0</v>
      </c>
      <c r="BF151" s="2177"/>
      <c r="BG151" s="2177"/>
      <c r="BH151" s="2186">
        <f t="shared" si="302"/>
        <v>0</v>
      </c>
      <c r="BI151" s="2177"/>
      <c r="BJ151" s="2177"/>
      <c r="BK151" s="2186">
        <f t="shared" si="303"/>
        <v>0</v>
      </c>
      <c r="BL151" s="2177"/>
      <c r="BM151" s="2177"/>
      <c r="BN151" s="2186">
        <f t="shared" si="304"/>
        <v>0</v>
      </c>
      <c r="BO151" s="2177"/>
      <c r="BP151" s="2177"/>
      <c r="BQ151" s="2186">
        <f t="shared" si="305"/>
        <v>0</v>
      </c>
    </row>
    <row r="152" spans="3:69" s="2087" customFormat="1">
      <c r="C152" s="2285" t="s">
        <v>2277</v>
      </c>
      <c r="D152" s="2287" t="s">
        <v>2238</v>
      </c>
      <c r="E152" s="2284" t="s">
        <v>240</v>
      </c>
      <c r="F152" s="2176"/>
      <c r="G152" s="2252">
        <f>G153+G154+G155+G156+G157</f>
        <v>0</v>
      </c>
      <c r="H152" s="2252">
        <f>H153+H154+H155+H156+H157</f>
        <v>0</v>
      </c>
      <c r="I152" s="2178">
        <f t="shared" si="286"/>
        <v>0</v>
      </c>
      <c r="J152" s="2176"/>
      <c r="K152" s="2179">
        <f t="shared" si="311"/>
        <v>392.57288455486508</v>
      </c>
      <c r="L152" s="2179">
        <f t="shared" si="311"/>
        <v>0</v>
      </c>
      <c r="M152" s="2178">
        <f t="shared" si="287"/>
        <v>-392.57288455486508</v>
      </c>
      <c r="N152" s="2179">
        <f>N153+N154+N155+N156+N157</f>
        <v>88.758304304864993</v>
      </c>
      <c r="O152" s="2179">
        <f>O153+O154+O155+O156+O157</f>
        <v>0</v>
      </c>
      <c r="P152" s="2178">
        <f t="shared" si="288"/>
        <v>-88.758304304864993</v>
      </c>
      <c r="Q152" s="2179">
        <f>Q153+Q154+Q155+Q156+Q157</f>
        <v>95.917335750000049</v>
      </c>
      <c r="R152" s="2179">
        <f>R153+R154+R155+R156+R157</f>
        <v>0</v>
      </c>
      <c r="S152" s="2180">
        <f t="shared" ref="S152:S156" si="314">R152-Q152</f>
        <v>-95.917335750000049</v>
      </c>
      <c r="T152" s="2181">
        <f t="shared" si="312"/>
        <v>184.67564005486503</v>
      </c>
      <c r="U152" s="2179">
        <f t="shared" si="312"/>
        <v>0</v>
      </c>
      <c r="V152" s="2180">
        <f t="shared" si="290"/>
        <v>-184.67564005486503</v>
      </c>
      <c r="W152" s="2187">
        <f>W153+W154+W155+W156+W157</f>
        <v>77.661113750000027</v>
      </c>
      <c r="X152" s="2179">
        <f>X153+X154+X155+X156+X157</f>
        <v>0</v>
      </c>
      <c r="Y152" s="2183">
        <f t="shared" ref="Y152:Y156" si="315">X152-W152</f>
        <v>-77.661113750000027</v>
      </c>
      <c r="Z152" s="2184">
        <f t="shared" si="313"/>
        <v>262.33675380486505</v>
      </c>
      <c r="AA152" s="2179">
        <f t="shared" si="313"/>
        <v>0</v>
      </c>
      <c r="AB152" s="2178">
        <f t="shared" si="292"/>
        <v>-262.33675380486505</v>
      </c>
      <c r="AC152" s="2179">
        <f>AC153+AC154+AC155+AC156+AC157</f>
        <v>130.23613075000003</v>
      </c>
      <c r="AD152" s="2179">
        <f>AD153+AD154+AD155+AD156+AD157</f>
        <v>0</v>
      </c>
      <c r="AE152" s="2180">
        <f t="shared" si="310"/>
        <v>-130.23613075000003</v>
      </c>
      <c r="AF152" s="2277"/>
      <c r="AG152" s="2114"/>
      <c r="AH152" s="2188">
        <f>AH153+AH154+AH155+AH156+AH157</f>
        <v>9.720384000000001</v>
      </c>
      <c r="AI152" s="2188">
        <f>AI153+AI154+AI155+AI156+AI157</f>
        <v>0</v>
      </c>
      <c r="AJ152" s="2186">
        <f t="shared" si="294"/>
        <v>-9.720384000000001</v>
      </c>
      <c r="AK152" s="2188">
        <f>AK153+AK154+AK155+AK156+AK157</f>
        <v>42.493843481288152</v>
      </c>
      <c r="AL152" s="2188">
        <f>AL153+AL154+AL155+AL156+AL157</f>
        <v>0</v>
      </c>
      <c r="AM152" s="2186">
        <f t="shared" si="295"/>
        <v>-42.493843481288152</v>
      </c>
      <c r="AN152" s="2188">
        <f>AN153+AN154+AN155+AN156+AN157</f>
        <v>36.54407682357683</v>
      </c>
      <c r="AO152" s="2188">
        <f>AO153+AO154+AO155+AO156+AO157</f>
        <v>0</v>
      </c>
      <c r="AP152" s="2186">
        <f t="shared" si="296"/>
        <v>-36.54407682357683</v>
      </c>
      <c r="AQ152" s="2188">
        <f>AQ153+AQ154+AQ155+AQ156+AQ157</f>
        <v>36.25769323532846</v>
      </c>
      <c r="AR152" s="2188">
        <f>AR153+AR154+AR155+AR156+AR157</f>
        <v>0</v>
      </c>
      <c r="AS152" s="2186">
        <f t="shared" si="297"/>
        <v>-36.25769323532846</v>
      </c>
      <c r="AT152" s="2188">
        <f>AT153+AT154+AT155+AT156+AT157</f>
        <v>33.57652629591442</v>
      </c>
      <c r="AU152" s="2188">
        <f>AU153+AU154+AU155+AU156+AU157</f>
        <v>0</v>
      </c>
      <c r="AV152" s="2186">
        <f t="shared" si="298"/>
        <v>-33.57652629591442</v>
      </c>
      <c r="AW152" s="2188">
        <f>AW153+AW154+AW155+AW156+AW157</f>
        <v>26.083116218757162</v>
      </c>
      <c r="AX152" s="2188">
        <f>AX153+AX154+AX155+AX156+AX157</f>
        <v>0</v>
      </c>
      <c r="AY152" s="2186">
        <f t="shared" si="299"/>
        <v>-26.083116218757162</v>
      </c>
      <c r="AZ152" s="2188">
        <f>AZ153+AZ154+AZ155+AZ156+AZ157</f>
        <v>23.206865866000598</v>
      </c>
      <c r="BA152" s="2188">
        <f>BA153+BA154+BA155+BA156+BA157</f>
        <v>0</v>
      </c>
      <c r="BB152" s="2186">
        <f t="shared" si="300"/>
        <v>-23.206865866000598</v>
      </c>
      <c r="BC152" s="2188">
        <f>BC153+BC154+BC155+BC156+BC157</f>
        <v>23.740183734078784</v>
      </c>
      <c r="BD152" s="2188">
        <f>BD153+BD154+BD155+BD156+BD157</f>
        <v>0</v>
      </c>
      <c r="BE152" s="2186">
        <f t="shared" si="301"/>
        <v>-23.740183734078784</v>
      </c>
      <c r="BF152" s="2188">
        <f>BF153+BF154+BF155+BF156+BF157</f>
        <v>30.714064149920638</v>
      </c>
      <c r="BG152" s="2188">
        <f>BG153+BG154+BG155+BG156+BG157</f>
        <v>0</v>
      </c>
      <c r="BH152" s="2186">
        <f t="shared" si="302"/>
        <v>-30.714064149920638</v>
      </c>
      <c r="BI152" s="2188">
        <f>BI153+BI154+BI155+BI156+BI157</f>
        <v>41.385281594999853</v>
      </c>
      <c r="BJ152" s="2188">
        <f>BJ153+BJ154+BJ155+BJ156+BJ157</f>
        <v>0</v>
      </c>
      <c r="BK152" s="2186">
        <f t="shared" si="303"/>
        <v>-41.385281594999853</v>
      </c>
      <c r="BL152" s="2188">
        <f>BL153+BL154+BL155+BL156+BL157</f>
        <v>45.028189741637078</v>
      </c>
      <c r="BM152" s="2188">
        <f>BM153+BM154+BM155+BM156+BM157</f>
        <v>0</v>
      </c>
      <c r="BN152" s="2186">
        <f t="shared" si="304"/>
        <v>-45.028189741637078</v>
      </c>
      <c r="BO152" s="2188">
        <f>BO153+BO154+BO155+BO156+BO157</f>
        <v>43.822659413363084</v>
      </c>
      <c r="BP152" s="2188">
        <f>BP153+BP154+BP155+BP156+BP157</f>
        <v>0</v>
      </c>
      <c r="BQ152" s="2186">
        <f t="shared" si="305"/>
        <v>-43.822659413363084</v>
      </c>
    </row>
    <row r="153" spans="3:69" s="2087" customFormat="1">
      <c r="C153" s="2194" t="s">
        <v>2278</v>
      </c>
      <c r="D153" s="2283" t="s">
        <v>2221</v>
      </c>
      <c r="E153" s="2284" t="s">
        <v>240</v>
      </c>
      <c r="F153" s="2176"/>
      <c r="G153" s="2177"/>
      <c r="H153" s="2177"/>
      <c r="I153" s="2178">
        <f t="shared" si="286"/>
        <v>0</v>
      </c>
      <c r="J153" s="2176"/>
      <c r="K153" s="2252">
        <f t="shared" si="311"/>
        <v>0</v>
      </c>
      <c r="L153" s="2252">
        <f t="shared" si="311"/>
        <v>0</v>
      </c>
      <c r="M153" s="2255">
        <f t="shared" si="287"/>
        <v>0</v>
      </c>
      <c r="N153" s="2177"/>
      <c r="O153" s="2177"/>
      <c r="P153" s="2178">
        <f t="shared" si="288"/>
        <v>0</v>
      </c>
      <c r="Q153" s="2176"/>
      <c r="R153" s="2177"/>
      <c r="S153" s="2180">
        <f t="shared" si="314"/>
        <v>0</v>
      </c>
      <c r="T153" s="2251">
        <f t="shared" si="312"/>
        <v>0</v>
      </c>
      <c r="U153" s="2252">
        <f t="shared" si="312"/>
        <v>0</v>
      </c>
      <c r="V153" s="2253">
        <f t="shared" si="290"/>
        <v>0</v>
      </c>
      <c r="W153" s="2182"/>
      <c r="X153" s="2177"/>
      <c r="Y153" s="2183">
        <f t="shared" si="315"/>
        <v>0</v>
      </c>
      <c r="Z153" s="2254">
        <f t="shared" si="313"/>
        <v>0</v>
      </c>
      <c r="AA153" s="2252">
        <f t="shared" si="313"/>
        <v>0</v>
      </c>
      <c r="AB153" s="2255">
        <f t="shared" si="292"/>
        <v>0</v>
      </c>
      <c r="AC153" s="2176"/>
      <c r="AD153" s="2177"/>
      <c r="AE153" s="2180">
        <f t="shared" si="310"/>
        <v>0</v>
      </c>
      <c r="AF153" s="2281"/>
      <c r="AG153" s="2114"/>
      <c r="AH153" s="2177"/>
      <c r="AI153" s="2177"/>
      <c r="AJ153" s="2186">
        <f t="shared" si="294"/>
        <v>0</v>
      </c>
      <c r="AK153" s="2177"/>
      <c r="AL153" s="2177"/>
      <c r="AM153" s="2186">
        <f t="shared" si="295"/>
        <v>0</v>
      </c>
      <c r="AN153" s="2177"/>
      <c r="AO153" s="2177"/>
      <c r="AP153" s="2186">
        <f t="shared" si="296"/>
        <v>0</v>
      </c>
      <c r="AQ153" s="2177"/>
      <c r="AR153" s="2177"/>
      <c r="AS153" s="2186">
        <f t="shared" si="297"/>
        <v>0</v>
      </c>
      <c r="AT153" s="2177"/>
      <c r="AU153" s="2177"/>
      <c r="AV153" s="2186">
        <f t="shared" si="298"/>
        <v>0</v>
      </c>
      <c r="AW153" s="2177"/>
      <c r="AX153" s="2177"/>
      <c r="AY153" s="2186">
        <f t="shared" si="299"/>
        <v>0</v>
      </c>
      <c r="AZ153" s="2177"/>
      <c r="BA153" s="2177"/>
      <c r="BB153" s="2186">
        <f t="shared" si="300"/>
        <v>0</v>
      </c>
      <c r="BC153" s="2177"/>
      <c r="BD153" s="2177"/>
      <c r="BE153" s="2186">
        <f t="shared" si="301"/>
        <v>0</v>
      </c>
      <c r="BF153" s="2177"/>
      <c r="BG153" s="2177"/>
      <c r="BH153" s="2186">
        <f t="shared" si="302"/>
        <v>0</v>
      </c>
      <c r="BI153" s="2177"/>
      <c r="BJ153" s="2177"/>
      <c r="BK153" s="2186">
        <f t="shared" si="303"/>
        <v>0</v>
      </c>
      <c r="BL153" s="2177"/>
      <c r="BM153" s="2177"/>
      <c r="BN153" s="2186">
        <f t="shared" si="304"/>
        <v>0</v>
      </c>
      <c r="BO153" s="2177"/>
      <c r="BP153" s="2177"/>
      <c r="BQ153" s="2186">
        <f t="shared" si="305"/>
        <v>0</v>
      </c>
    </row>
    <row r="154" spans="3:69" s="2087" customFormat="1">
      <c r="C154" s="2194" t="s">
        <v>2279</v>
      </c>
      <c r="D154" s="2283" t="s">
        <v>2223</v>
      </c>
      <c r="E154" s="2284" t="s">
        <v>240</v>
      </c>
      <c r="F154" s="2176"/>
      <c r="G154" s="2177"/>
      <c r="H154" s="2177"/>
      <c r="I154" s="2178">
        <f t="shared" si="286"/>
        <v>0</v>
      </c>
      <c r="J154" s="2176"/>
      <c r="K154" s="2252">
        <f t="shared" si="311"/>
        <v>45.669785616099638</v>
      </c>
      <c r="L154" s="2252">
        <f t="shared" si="311"/>
        <v>0</v>
      </c>
      <c r="M154" s="2255">
        <f t="shared" si="287"/>
        <v>-45.669785616099638</v>
      </c>
      <c r="N154" s="2177">
        <f>+AH154+AK154+AN154</f>
        <v>11.120720169255337</v>
      </c>
      <c r="O154" s="2177"/>
      <c r="P154" s="2178">
        <f t="shared" si="288"/>
        <v>-11.120720169255337</v>
      </c>
      <c r="Q154" s="2176">
        <f>AQ154+AT154+AW154</f>
        <v>9.2922149946597834</v>
      </c>
      <c r="R154" s="2177"/>
      <c r="S154" s="2180">
        <f t="shared" si="314"/>
        <v>-9.2922149946597834</v>
      </c>
      <c r="T154" s="2251">
        <f t="shared" si="312"/>
        <v>20.412935163915122</v>
      </c>
      <c r="U154" s="2252">
        <f t="shared" si="312"/>
        <v>0</v>
      </c>
      <c r="V154" s="2253">
        <f t="shared" si="290"/>
        <v>-20.412935163915122</v>
      </c>
      <c r="W154" s="2182">
        <f>AZ154+BC154+BF154</f>
        <v>9.610501281184332</v>
      </c>
      <c r="X154" s="2177"/>
      <c r="Y154" s="2183">
        <f t="shared" si="315"/>
        <v>-9.610501281184332</v>
      </c>
      <c r="Z154" s="2254">
        <f t="shared" si="313"/>
        <v>30.023436445099456</v>
      </c>
      <c r="AA154" s="2252">
        <f t="shared" si="313"/>
        <v>0</v>
      </c>
      <c r="AB154" s="2255">
        <f t="shared" si="292"/>
        <v>-30.023436445099456</v>
      </c>
      <c r="AC154" s="2176">
        <f>BI154+BL154+BO154</f>
        <v>15.646349171000184</v>
      </c>
      <c r="AD154" s="2177"/>
      <c r="AE154" s="2180">
        <f t="shared" si="310"/>
        <v>-15.646349171000184</v>
      </c>
      <c r="AF154" s="2281"/>
      <c r="AG154" s="2114"/>
      <c r="AH154" s="2177">
        <f>'01'!D12/1000</f>
        <v>2.6853119999999997</v>
      </c>
      <c r="AI154" s="2177"/>
      <c r="AJ154" s="2186">
        <f t="shared" si="294"/>
        <v>-2.6853119999999997</v>
      </c>
      <c r="AK154" s="2177">
        <v>4.1300093209886963</v>
      </c>
      <c r="AL154" s="2177"/>
      <c r="AM154" s="2186">
        <f t="shared" si="295"/>
        <v>-4.1300093209886963</v>
      </c>
      <c r="AN154" s="2177">
        <v>4.3053988482666412</v>
      </c>
      <c r="AO154" s="2177"/>
      <c r="AP154" s="2186">
        <f t="shared" si="296"/>
        <v>-4.3053988482666412</v>
      </c>
      <c r="AQ154" s="2177">
        <v>3.7315519391406435</v>
      </c>
      <c r="AR154" s="2177"/>
      <c r="AS154" s="2186">
        <f t="shared" si="297"/>
        <v>-3.7315519391406435</v>
      </c>
      <c r="AT154" s="2177">
        <v>3.7779087591183358</v>
      </c>
      <c r="AU154" s="2177"/>
      <c r="AV154" s="2186">
        <f t="shared" si="298"/>
        <v>-3.7779087591183358</v>
      </c>
      <c r="AW154" s="2177">
        <v>1.7827542964008047</v>
      </c>
      <c r="AX154" s="2177"/>
      <c r="AY154" s="2186">
        <f t="shared" si="299"/>
        <v>-1.7827542964008047</v>
      </c>
      <c r="AZ154" s="2177">
        <v>2.5867424904474174</v>
      </c>
      <c r="BA154" s="2177"/>
      <c r="BB154" s="2186">
        <f t="shared" si="300"/>
        <v>-2.5867424904474174</v>
      </c>
      <c r="BC154" s="2177">
        <v>3.1717676229354925</v>
      </c>
      <c r="BD154" s="2177"/>
      <c r="BE154" s="2186">
        <f t="shared" si="301"/>
        <v>-3.1717676229354925</v>
      </c>
      <c r="BF154" s="2177">
        <v>3.8519911678014229</v>
      </c>
      <c r="BG154" s="2177"/>
      <c r="BH154" s="2186">
        <f t="shared" si="302"/>
        <v>-3.8519911678014229</v>
      </c>
      <c r="BI154" s="2177">
        <v>5.0492711445771334</v>
      </c>
      <c r="BJ154" s="2177"/>
      <c r="BK154" s="2186">
        <f t="shared" si="303"/>
        <v>-5.0492711445771334</v>
      </c>
      <c r="BL154" s="2177">
        <v>5.2382826808988296</v>
      </c>
      <c r="BM154" s="2177"/>
      <c r="BN154" s="2186">
        <f t="shared" si="304"/>
        <v>-5.2382826808988296</v>
      </c>
      <c r="BO154" s="2177">
        <v>5.3587953455242197</v>
      </c>
      <c r="BP154" s="2177"/>
      <c r="BQ154" s="2186">
        <f t="shared" si="305"/>
        <v>-5.3587953455242197</v>
      </c>
    </row>
    <row r="155" spans="3:69" s="2087" customFormat="1">
      <c r="C155" s="2194" t="s">
        <v>2280</v>
      </c>
      <c r="D155" s="2283" t="s">
        <v>2225</v>
      </c>
      <c r="E155" s="2284" t="s">
        <v>240</v>
      </c>
      <c r="F155" s="2176"/>
      <c r="G155" s="2177"/>
      <c r="H155" s="2177"/>
      <c r="I155" s="2178">
        <f t="shared" si="286"/>
        <v>0</v>
      </c>
      <c r="J155" s="2176"/>
      <c r="K155" s="2252">
        <f t="shared" si="311"/>
        <v>263.77750265111774</v>
      </c>
      <c r="L155" s="2252">
        <f t="shared" si="311"/>
        <v>0</v>
      </c>
      <c r="M155" s="2255">
        <f t="shared" si="287"/>
        <v>-263.77750265111774</v>
      </c>
      <c r="N155" s="2177">
        <f t="shared" ref="N155:N156" si="316">+AH155+AK155+AN155</f>
        <v>54.650367163982402</v>
      </c>
      <c r="O155" s="2177"/>
      <c r="P155" s="2178">
        <f t="shared" si="288"/>
        <v>-54.650367163982402</v>
      </c>
      <c r="Q155" s="2176">
        <f t="shared" ref="Q155:Q156" si="317">AQ155+AT155+AW155</f>
        <v>67.180324705864834</v>
      </c>
      <c r="R155" s="2177"/>
      <c r="S155" s="2180">
        <f t="shared" si="314"/>
        <v>-67.180324705864834</v>
      </c>
      <c r="T155" s="2251">
        <f t="shared" si="312"/>
        <v>121.83069186984724</v>
      </c>
      <c r="U155" s="2252">
        <f t="shared" si="312"/>
        <v>0</v>
      </c>
      <c r="V155" s="2253">
        <f t="shared" si="290"/>
        <v>-121.83069186984724</v>
      </c>
      <c r="W155" s="2182">
        <f t="shared" ref="W155:W156" si="318">AZ155+BC155+BF155</f>
        <v>53.065149360532175</v>
      </c>
      <c r="X155" s="2177"/>
      <c r="Y155" s="2183">
        <f t="shared" si="315"/>
        <v>-53.065149360532175</v>
      </c>
      <c r="Z155" s="2254">
        <f t="shared" si="313"/>
        <v>174.8958412303794</v>
      </c>
      <c r="AA155" s="2252">
        <f t="shared" si="313"/>
        <v>0</v>
      </c>
      <c r="AB155" s="2255">
        <f t="shared" si="292"/>
        <v>-174.8958412303794</v>
      </c>
      <c r="AC155" s="2176">
        <f t="shared" ref="AC155:AC156" si="319">BI155+BL155+BO155</f>
        <v>88.881661420738354</v>
      </c>
      <c r="AD155" s="2177"/>
      <c r="AE155" s="2180">
        <f t="shared" si="310"/>
        <v>-88.881661420738354</v>
      </c>
      <c r="AF155" s="2281"/>
      <c r="AG155" s="2114"/>
      <c r="AH155" s="2177">
        <f>'01'!D13/1000-AH188</f>
        <v>-0.10242299999999815</v>
      </c>
      <c r="AI155" s="2177"/>
      <c r="AJ155" s="2186">
        <f t="shared" si="294"/>
        <v>0.10242299999999815</v>
      </c>
      <c r="AK155" s="2177">
        <v>29.958521663940296</v>
      </c>
      <c r="AL155" s="2177"/>
      <c r="AM155" s="2186">
        <f t="shared" si="295"/>
        <v>-29.958521663940296</v>
      </c>
      <c r="AN155" s="2177">
        <v>24.794268500042104</v>
      </c>
      <c r="AO155" s="2177"/>
      <c r="AP155" s="2186">
        <f t="shared" si="296"/>
        <v>-24.794268500042104</v>
      </c>
      <c r="AQ155" s="2177">
        <v>25.614334440439851</v>
      </c>
      <c r="AR155" s="2177"/>
      <c r="AS155" s="2186">
        <f t="shared" si="297"/>
        <v>-25.614334440439851</v>
      </c>
      <c r="AT155" s="2177">
        <v>23.339646485482501</v>
      </c>
      <c r="AU155" s="2177"/>
      <c r="AV155" s="2186">
        <f t="shared" si="298"/>
        <v>-23.339646485482501</v>
      </c>
      <c r="AW155" s="2177">
        <v>18.226343779942482</v>
      </c>
      <c r="AX155" s="2177"/>
      <c r="AY155" s="2186">
        <f t="shared" si="299"/>
        <v>-18.226343779942482</v>
      </c>
      <c r="AZ155" s="2177">
        <v>16.046376390501997</v>
      </c>
      <c r="BA155" s="2177"/>
      <c r="BB155" s="2186">
        <f t="shared" si="300"/>
        <v>-16.046376390501997</v>
      </c>
      <c r="BC155" s="2177">
        <v>15.875574752000848</v>
      </c>
      <c r="BD155" s="2177"/>
      <c r="BE155" s="2186">
        <f t="shared" si="301"/>
        <v>-15.875574752000848</v>
      </c>
      <c r="BF155" s="2177">
        <v>21.143198218029326</v>
      </c>
      <c r="BG155" s="2177"/>
      <c r="BH155" s="2186">
        <f t="shared" si="302"/>
        <v>-21.143198218029326</v>
      </c>
      <c r="BI155" s="2177">
        <v>28.125448132577436</v>
      </c>
      <c r="BJ155" s="2177"/>
      <c r="BK155" s="2186">
        <f t="shared" si="303"/>
        <v>-28.125448132577436</v>
      </c>
      <c r="BL155" s="2177">
        <v>31.096387827000907</v>
      </c>
      <c r="BM155" s="2177"/>
      <c r="BN155" s="2186">
        <f t="shared" si="304"/>
        <v>-31.096387827000907</v>
      </c>
      <c r="BO155" s="2177">
        <v>29.659825461160015</v>
      </c>
      <c r="BP155" s="2177"/>
      <c r="BQ155" s="2186">
        <f t="shared" si="305"/>
        <v>-29.659825461160015</v>
      </c>
    </row>
    <row r="156" spans="3:69" s="2087" customFormat="1">
      <c r="C156" s="2194" t="s">
        <v>2281</v>
      </c>
      <c r="D156" s="2283" t="s">
        <v>2227</v>
      </c>
      <c r="E156" s="2284" t="s">
        <v>240</v>
      </c>
      <c r="F156" s="2176"/>
      <c r="G156" s="2177"/>
      <c r="H156" s="2177"/>
      <c r="I156" s="2178">
        <f t="shared" si="286"/>
        <v>0</v>
      </c>
      <c r="J156" s="2176"/>
      <c r="K156" s="2252">
        <f t="shared" si="311"/>
        <v>83.125596287647681</v>
      </c>
      <c r="L156" s="2252">
        <f t="shared" si="311"/>
        <v>0</v>
      </c>
      <c r="M156" s="2255">
        <f t="shared" si="287"/>
        <v>-83.125596287647681</v>
      </c>
      <c r="N156" s="2177">
        <f t="shared" si="316"/>
        <v>22.987216971627245</v>
      </c>
      <c r="O156" s="2177"/>
      <c r="P156" s="2178">
        <f t="shared" si="288"/>
        <v>-22.987216971627245</v>
      </c>
      <c r="Q156" s="2176">
        <f t="shared" si="317"/>
        <v>19.444796049475425</v>
      </c>
      <c r="R156" s="2177"/>
      <c r="S156" s="2180">
        <f t="shared" si="314"/>
        <v>-19.444796049475425</v>
      </c>
      <c r="T156" s="2251">
        <f t="shared" si="312"/>
        <v>42.432013021102669</v>
      </c>
      <c r="U156" s="2252">
        <f t="shared" si="312"/>
        <v>0</v>
      </c>
      <c r="V156" s="2253">
        <f t="shared" si="290"/>
        <v>-42.432013021102669</v>
      </c>
      <c r="W156" s="2182">
        <f t="shared" si="318"/>
        <v>14.985463108283517</v>
      </c>
      <c r="X156" s="2177"/>
      <c r="Y156" s="2183">
        <f t="shared" si="315"/>
        <v>-14.985463108283517</v>
      </c>
      <c r="Z156" s="2254">
        <f t="shared" si="313"/>
        <v>57.417476129386188</v>
      </c>
      <c r="AA156" s="2252">
        <f t="shared" si="313"/>
        <v>0</v>
      </c>
      <c r="AB156" s="2255">
        <f t="shared" si="292"/>
        <v>-57.417476129386188</v>
      </c>
      <c r="AC156" s="2176">
        <f t="shared" si="319"/>
        <v>25.708120158261487</v>
      </c>
      <c r="AD156" s="2177"/>
      <c r="AE156" s="2180">
        <f t="shared" si="310"/>
        <v>-25.708120158261487</v>
      </c>
      <c r="AF156" s="2281"/>
      <c r="AG156" s="2114"/>
      <c r="AH156" s="2177">
        <f>'01'!D14/1000</f>
        <v>7.1374949999999995</v>
      </c>
      <c r="AI156" s="2177"/>
      <c r="AJ156" s="2186">
        <f t="shared" si="294"/>
        <v>-7.1374949999999995</v>
      </c>
      <c r="AK156" s="2177">
        <v>8.4053124963591621</v>
      </c>
      <c r="AL156" s="2177"/>
      <c r="AM156" s="2186">
        <f t="shared" si="295"/>
        <v>-8.4053124963591621</v>
      </c>
      <c r="AN156" s="2177">
        <v>7.4444094752680821</v>
      </c>
      <c r="AO156" s="2177"/>
      <c r="AP156" s="2186">
        <f t="shared" si="296"/>
        <v>-7.4444094752680821</v>
      </c>
      <c r="AQ156" s="2177">
        <v>6.911806855747967</v>
      </c>
      <c r="AR156" s="2177"/>
      <c r="AS156" s="2186">
        <f t="shared" si="297"/>
        <v>-6.911806855747967</v>
      </c>
      <c r="AT156" s="2177">
        <v>6.4589710513135801</v>
      </c>
      <c r="AU156" s="2177"/>
      <c r="AV156" s="2186">
        <f t="shared" si="298"/>
        <v>-6.4589710513135801</v>
      </c>
      <c r="AW156" s="2177">
        <v>6.0740181424138759</v>
      </c>
      <c r="AX156" s="2177"/>
      <c r="AY156" s="2186">
        <f t="shared" si="299"/>
        <v>-6.0740181424138759</v>
      </c>
      <c r="AZ156" s="2177">
        <v>4.5737469850511827</v>
      </c>
      <c r="BA156" s="2177"/>
      <c r="BB156" s="2186">
        <f t="shared" si="300"/>
        <v>-4.5737469850511827</v>
      </c>
      <c r="BC156" s="2177">
        <v>4.6928413591424416</v>
      </c>
      <c r="BD156" s="2177"/>
      <c r="BE156" s="2186">
        <f t="shared" si="301"/>
        <v>-4.6928413591424416</v>
      </c>
      <c r="BF156" s="2177">
        <v>5.7188747640898914</v>
      </c>
      <c r="BG156" s="2177"/>
      <c r="BH156" s="2186">
        <f t="shared" si="302"/>
        <v>-5.7188747640898914</v>
      </c>
      <c r="BI156" s="2177">
        <v>8.2105623178452873</v>
      </c>
      <c r="BJ156" s="2177"/>
      <c r="BK156" s="2186">
        <f t="shared" si="303"/>
        <v>-8.2105623178452873</v>
      </c>
      <c r="BL156" s="2177">
        <v>8.6935192337373444</v>
      </c>
      <c r="BM156" s="2177"/>
      <c r="BN156" s="2186">
        <f t="shared" si="304"/>
        <v>-8.6935192337373444</v>
      </c>
      <c r="BO156" s="2177">
        <v>8.804038606678855</v>
      </c>
      <c r="BP156" s="2177"/>
      <c r="BQ156" s="2186">
        <f t="shared" si="305"/>
        <v>-8.804038606678855</v>
      </c>
    </row>
    <row r="157" spans="3:69" s="2087" customFormat="1" hidden="1">
      <c r="C157" s="2194" t="s">
        <v>2282</v>
      </c>
      <c r="D157" s="2283" t="s">
        <v>2229</v>
      </c>
      <c r="E157" s="2284" t="s">
        <v>240</v>
      </c>
      <c r="F157" s="2176"/>
      <c r="G157" s="2177"/>
      <c r="H157" s="2177"/>
      <c r="I157" s="2178">
        <f t="shared" si="286"/>
        <v>0</v>
      </c>
      <c r="J157" s="2176"/>
      <c r="K157" s="2252">
        <f t="shared" si="311"/>
        <v>0</v>
      </c>
      <c r="L157" s="2252">
        <f t="shared" si="311"/>
        <v>0</v>
      </c>
      <c r="M157" s="2255">
        <f t="shared" si="287"/>
        <v>0</v>
      </c>
      <c r="N157" s="2177"/>
      <c r="O157" s="2177"/>
      <c r="P157" s="2178">
        <f t="shared" si="288"/>
        <v>0</v>
      </c>
      <c r="Q157" s="2176"/>
      <c r="R157" s="2177"/>
      <c r="S157" s="2266"/>
      <c r="T157" s="2251">
        <f t="shared" si="312"/>
        <v>0</v>
      </c>
      <c r="U157" s="2252">
        <f t="shared" si="312"/>
        <v>0</v>
      </c>
      <c r="V157" s="2253">
        <f t="shared" si="290"/>
        <v>0</v>
      </c>
      <c r="W157" s="2182"/>
      <c r="X157" s="2177"/>
      <c r="Y157" s="2271"/>
      <c r="Z157" s="2254">
        <f t="shared" si="313"/>
        <v>0</v>
      </c>
      <c r="AA157" s="2252">
        <f t="shared" si="313"/>
        <v>0</v>
      </c>
      <c r="AB157" s="2255">
        <f t="shared" si="292"/>
        <v>0</v>
      </c>
      <c r="AC157" s="2176"/>
      <c r="AD157" s="2177"/>
      <c r="AE157" s="2180">
        <f t="shared" si="310"/>
        <v>0</v>
      </c>
      <c r="AF157" s="2281"/>
      <c r="AG157" s="2114"/>
      <c r="AH157" s="2177"/>
      <c r="AI157" s="2177"/>
      <c r="AJ157" s="2186">
        <f t="shared" si="294"/>
        <v>0</v>
      </c>
      <c r="AK157" s="2177"/>
      <c r="AL157" s="2177"/>
      <c r="AM157" s="2186">
        <f t="shared" si="295"/>
        <v>0</v>
      </c>
      <c r="AN157" s="2177"/>
      <c r="AO157" s="2177"/>
      <c r="AP157" s="2186">
        <f t="shared" si="296"/>
        <v>0</v>
      </c>
      <c r="AQ157" s="2177"/>
      <c r="AR157" s="2177"/>
      <c r="AS157" s="2186">
        <f t="shared" si="297"/>
        <v>0</v>
      </c>
      <c r="AT157" s="2177"/>
      <c r="AU157" s="2177"/>
      <c r="AV157" s="2186">
        <f t="shared" si="298"/>
        <v>0</v>
      </c>
      <c r="AW157" s="2177"/>
      <c r="AX157" s="2177"/>
      <c r="AY157" s="2186">
        <f t="shared" si="299"/>
        <v>0</v>
      </c>
      <c r="AZ157" s="2177"/>
      <c r="BA157" s="2177"/>
      <c r="BB157" s="2186">
        <f t="shared" si="300"/>
        <v>0</v>
      </c>
      <c r="BC157" s="2177"/>
      <c r="BD157" s="2177"/>
      <c r="BE157" s="2186">
        <f t="shared" si="301"/>
        <v>0</v>
      </c>
      <c r="BF157" s="2177"/>
      <c r="BG157" s="2177"/>
      <c r="BH157" s="2186">
        <f t="shared" si="302"/>
        <v>0</v>
      </c>
      <c r="BI157" s="2177"/>
      <c r="BJ157" s="2177"/>
      <c r="BK157" s="2186">
        <f t="shared" si="303"/>
        <v>0</v>
      </c>
      <c r="BL157" s="2177"/>
      <c r="BM157" s="2177"/>
      <c r="BN157" s="2186">
        <f t="shared" si="304"/>
        <v>0</v>
      </c>
      <c r="BO157" s="2177"/>
      <c r="BP157" s="2177"/>
      <c r="BQ157" s="2186">
        <f t="shared" si="305"/>
        <v>0</v>
      </c>
    </row>
    <row r="158" spans="3:69" s="2087" customFormat="1">
      <c r="C158" s="2285" t="s">
        <v>2283</v>
      </c>
      <c r="D158" s="2287" t="s">
        <v>2248</v>
      </c>
      <c r="E158" s="2284" t="s">
        <v>240</v>
      </c>
      <c r="F158" s="2176"/>
      <c r="G158" s="2252">
        <f>G159+G160+G161+G162+G163</f>
        <v>0</v>
      </c>
      <c r="H158" s="2252">
        <f>H159+H160+H161+H162+H163</f>
        <v>0</v>
      </c>
      <c r="I158" s="2178">
        <f t="shared" si="286"/>
        <v>0</v>
      </c>
      <c r="J158" s="2176"/>
      <c r="K158" s="2179">
        <f t="shared" si="311"/>
        <v>41.765442999999998</v>
      </c>
      <c r="L158" s="2179">
        <f t="shared" si="311"/>
        <v>0</v>
      </c>
      <c r="M158" s="2178">
        <f t="shared" si="287"/>
        <v>-41.765442999999998</v>
      </c>
      <c r="N158" s="2179">
        <f>N159+N160+N161+N162+N163</f>
        <v>11.043049999999999</v>
      </c>
      <c r="O158" s="2179">
        <f>O159+O160+O161+O162+O163</f>
        <v>0</v>
      </c>
      <c r="P158" s="2178">
        <f t="shared" si="288"/>
        <v>-11.043049999999999</v>
      </c>
      <c r="Q158" s="2179">
        <f>Q159+Q160+Q161+Q162+Q163</f>
        <v>7.938593</v>
      </c>
      <c r="R158" s="2179">
        <f>R159+R160+R161+R162+R163</f>
        <v>0</v>
      </c>
      <c r="S158" s="2180">
        <f t="shared" ref="S158:S162" si="320">R158-Q158</f>
        <v>-7.938593</v>
      </c>
      <c r="T158" s="2181">
        <f t="shared" si="312"/>
        <v>18.981642999999998</v>
      </c>
      <c r="U158" s="2179">
        <f t="shared" si="312"/>
        <v>0</v>
      </c>
      <c r="V158" s="2180">
        <f t="shared" si="290"/>
        <v>-18.981642999999998</v>
      </c>
      <c r="W158" s="2187">
        <f>W159+W160+W161+W162+W163</f>
        <v>8.9473309999999984</v>
      </c>
      <c r="X158" s="2179">
        <f>X159+X160+X161+X162+X163</f>
        <v>0</v>
      </c>
      <c r="Y158" s="2183">
        <f t="shared" ref="Y158:Y162" si="321">X158-W158</f>
        <v>-8.9473309999999984</v>
      </c>
      <c r="Z158" s="2184">
        <f t="shared" si="313"/>
        <v>27.928973999999997</v>
      </c>
      <c r="AA158" s="2179">
        <f t="shared" si="313"/>
        <v>0</v>
      </c>
      <c r="AB158" s="2178">
        <f t="shared" si="292"/>
        <v>-27.928973999999997</v>
      </c>
      <c r="AC158" s="2179">
        <f>AC159+AC160+AC161+AC162+AC163</f>
        <v>13.836469000000001</v>
      </c>
      <c r="AD158" s="2179">
        <f>AD159+AD160+AD161+AD162+AD163</f>
        <v>0</v>
      </c>
      <c r="AE158" s="2180">
        <f t="shared" si="310"/>
        <v>-13.836469000000001</v>
      </c>
      <c r="AF158" s="2277"/>
      <c r="AG158" s="2114"/>
      <c r="AH158" s="2188">
        <f>AH159+AH160+AH161+AH162+AH163</f>
        <v>5.2782559999999998</v>
      </c>
      <c r="AI158" s="2188">
        <f>AI159+AI160+AI161+AI162+AI163</f>
        <v>0</v>
      </c>
      <c r="AJ158" s="2186">
        <f t="shared" si="294"/>
        <v>-5.2782559999999998</v>
      </c>
      <c r="AK158" s="2188">
        <f>AK159+AK160+AK161+AK162+AK163</f>
        <v>3.394819</v>
      </c>
      <c r="AL158" s="2188">
        <f>AL159+AL160+AL161+AL162+AL163</f>
        <v>0</v>
      </c>
      <c r="AM158" s="2186">
        <f t="shared" si="295"/>
        <v>-3.394819</v>
      </c>
      <c r="AN158" s="2188">
        <f>AN159+AN160+AN161+AN162+AN163</f>
        <v>4.0320979999999995</v>
      </c>
      <c r="AO158" s="2188">
        <f>AO159+AO160+AO161+AO162+AO163</f>
        <v>0</v>
      </c>
      <c r="AP158" s="2186">
        <f t="shared" si="296"/>
        <v>-4.0320979999999995</v>
      </c>
      <c r="AQ158" s="2188">
        <f>AQ159+AQ160+AQ161+AQ162+AQ163</f>
        <v>2.8699859999999999</v>
      </c>
      <c r="AR158" s="2188">
        <f>AR159+AR160+AR161+AR162+AR163</f>
        <v>0</v>
      </c>
      <c r="AS158" s="2186">
        <f t="shared" si="297"/>
        <v>-2.8699859999999999</v>
      </c>
      <c r="AT158" s="2188">
        <f>AT159+AT160+AT161+AT162+AT163</f>
        <v>2.8444470000000002</v>
      </c>
      <c r="AU158" s="2188">
        <f>AU159+AU160+AU161+AU162+AU163</f>
        <v>0</v>
      </c>
      <c r="AV158" s="2186">
        <f t="shared" si="298"/>
        <v>-2.8444470000000002</v>
      </c>
      <c r="AW158" s="2188">
        <f>AW159+AW160+AW161+AW162+AW163</f>
        <v>2.2241600000000004</v>
      </c>
      <c r="AX158" s="2188">
        <f>AX159+AX160+AX161+AX162+AX163</f>
        <v>0</v>
      </c>
      <c r="AY158" s="2186">
        <f t="shared" si="299"/>
        <v>-2.2241600000000004</v>
      </c>
      <c r="AZ158" s="2188">
        <f>AZ159+AZ160+AZ161+AZ162+AZ163</f>
        <v>2.6937899999999999</v>
      </c>
      <c r="BA158" s="2188">
        <f>BA159+BA160+BA161+BA162+BA163</f>
        <v>0</v>
      </c>
      <c r="BB158" s="2186">
        <f t="shared" si="300"/>
        <v>-2.6937899999999999</v>
      </c>
      <c r="BC158" s="2188">
        <f>BC159+BC160+BC161+BC162+BC163</f>
        <v>2.7843139999999997</v>
      </c>
      <c r="BD158" s="2188">
        <f>BD159+BD160+BD161+BD162+BD163</f>
        <v>0</v>
      </c>
      <c r="BE158" s="2186">
        <f t="shared" si="301"/>
        <v>-2.7843139999999997</v>
      </c>
      <c r="BF158" s="2188">
        <f>BF159+BF160+BF161+BF162+BF163</f>
        <v>3.4692270000000001</v>
      </c>
      <c r="BG158" s="2188">
        <f>BG159+BG160+BG161+BG162+BG163</f>
        <v>0</v>
      </c>
      <c r="BH158" s="2186">
        <f t="shared" si="302"/>
        <v>-3.4692270000000001</v>
      </c>
      <c r="BI158" s="2188">
        <f>BI159+BI160+BI161+BI162+BI163</f>
        <v>4.1764679999999998</v>
      </c>
      <c r="BJ158" s="2188">
        <f>BJ159+BJ160+BJ161+BJ162+BJ163</f>
        <v>0</v>
      </c>
      <c r="BK158" s="2186">
        <f t="shared" si="303"/>
        <v>-4.1764679999999998</v>
      </c>
      <c r="BL158" s="2188">
        <f>BL159+BL160+BL161+BL162+BL163</f>
        <v>4.3347560000000005</v>
      </c>
      <c r="BM158" s="2188">
        <f>BM159+BM160+BM161+BM162+BM163</f>
        <v>0</v>
      </c>
      <c r="BN158" s="2186">
        <f t="shared" si="304"/>
        <v>-4.3347560000000005</v>
      </c>
      <c r="BO158" s="2188">
        <f>BO159+BO160+BO161+BO162+BO163</f>
        <v>5.3252449999999998</v>
      </c>
      <c r="BP158" s="2188">
        <f>BP159+BP160+BP161+BP162+BP163</f>
        <v>0</v>
      </c>
      <c r="BQ158" s="2186">
        <f t="shared" si="305"/>
        <v>-5.3252449999999998</v>
      </c>
    </row>
    <row r="159" spans="3:69" s="2087" customFormat="1">
      <c r="C159" s="2194" t="s">
        <v>2284</v>
      </c>
      <c r="D159" s="2283" t="s">
        <v>2221</v>
      </c>
      <c r="E159" s="2284" t="s">
        <v>240</v>
      </c>
      <c r="F159" s="2176"/>
      <c r="G159" s="2177"/>
      <c r="H159" s="2177"/>
      <c r="I159" s="2178">
        <f t="shared" si="286"/>
        <v>0</v>
      </c>
      <c r="J159" s="2176"/>
      <c r="K159" s="2252">
        <f t="shared" si="311"/>
        <v>0</v>
      </c>
      <c r="L159" s="2252">
        <f t="shared" si="311"/>
        <v>0</v>
      </c>
      <c r="M159" s="2255">
        <f t="shared" si="287"/>
        <v>0</v>
      </c>
      <c r="N159" s="2177"/>
      <c r="O159" s="2177"/>
      <c r="P159" s="2178">
        <f t="shared" si="288"/>
        <v>0</v>
      </c>
      <c r="Q159" s="2176"/>
      <c r="R159" s="2177"/>
      <c r="S159" s="2180">
        <f t="shared" si="320"/>
        <v>0</v>
      </c>
      <c r="T159" s="2251">
        <f t="shared" si="312"/>
        <v>0</v>
      </c>
      <c r="U159" s="2252">
        <f t="shared" si="312"/>
        <v>0</v>
      </c>
      <c r="V159" s="2253">
        <f t="shared" si="290"/>
        <v>0</v>
      </c>
      <c r="W159" s="2182"/>
      <c r="X159" s="2177"/>
      <c r="Y159" s="2183">
        <f t="shared" si="321"/>
        <v>0</v>
      </c>
      <c r="Z159" s="2254">
        <f t="shared" si="313"/>
        <v>0</v>
      </c>
      <c r="AA159" s="2252">
        <f t="shared" si="313"/>
        <v>0</v>
      </c>
      <c r="AB159" s="2255">
        <f t="shared" si="292"/>
        <v>0</v>
      </c>
      <c r="AC159" s="2176"/>
      <c r="AD159" s="2177"/>
      <c r="AE159" s="2180">
        <f t="shared" si="310"/>
        <v>0</v>
      </c>
      <c r="AF159" s="2281"/>
      <c r="AG159" s="2114"/>
      <c r="AH159" s="2177"/>
      <c r="AI159" s="2177"/>
      <c r="AJ159" s="2186">
        <f t="shared" si="294"/>
        <v>0</v>
      </c>
      <c r="AK159" s="2177"/>
      <c r="AL159" s="2177"/>
      <c r="AM159" s="2186">
        <f t="shared" si="295"/>
        <v>0</v>
      </c>
      <c r="AN159" s="2177"/>
      <c r="AO159" s="2177"/>
      <c r="AP159" s="2186">
        <f t="shared" si="296"/>
        <v>0</v>
      </c>
      <c r="AQ159" s="2177"/>
      <c r="AR159" s="2177"/>
      <c r="AS159" s="2186">
        <f t="shared" si="297"/>
        <v>0</v>
      </c>
      <c r="AT159" s="2177"/>
      <c r="AU159" s="2177"/>
      <c r="AV159" s="2186">
        <f t="shared" si="298"/>
        <v>0</v>
      </c>
      <c r="AW159" s="2177"/>
      <c r="AX159" s="2177"/>
      <c r="AY159" s="2186">
        <f t="shared" si="299"/>
        <v>0</v>
      </c>
      <c r="AZ159" s="2177"/>
      <c r="BA159" s="2177"/>
      <c r="BB159" s="2186">
        <f t="shared" si="300"/>
        <v>0</v>
      </c>
      <c r="BC159" s="2177"/>
      <c r="BD159" s="2177"/>
      <c r="BE159" s="2186">
        <f t="shared" si="301"/>
        <v>0</v>
      </c>
      <c r="BF159" s="2177"/>
      <c r="BG159" s="2177"/>
      <c r="BH159" s="2186">
        <f t="shared" si="302"/>
        <v>0</v>
      </c>
      <c r="BI159" s="2177"/>
      <c r="BJ159" s="2177"/>
      <c r="BK159" s="2186">
        <f t="shared" si="303"/>
        <v>0</v>
      </c>
      <c r="BL159" s="2177"/>
      <c r="BM159" s="2177"/>
      <c r="BN159" s="2186">
        <f t="shared" si="304"/>
        <v>0</v>
      </c>
      <c r="BO159" s="2177"/>
      <c r="BP159" s="2177"/>
      <c r="BQ159" s="2186">
        <f t="shared" si="305"/>
        <v>0</v>
      </c>
    </row>
    <row r="160" spans="3:69" s="2087" customFormat="1">
      <c r="C160" s="2194" t="s">
        <v>2285</v>
      </c>
      <c r="D160" s="2283" t="s">
        <v>2223</v>
      </c>
      <c r="E160" s="2284" t="s">
        <v>240</v>
      </c>
      <c r="F160" s="2176"/>
      <c r="G160" s="2177"/>
      <c r="H160" s="2177"/>
      <c r="I160" s="2178">
        <f t="shared" si="286"/>
        <v>0</v>
      </c>
      <c r="J160" s="2176"/>
      <c r="K160" s="2252">
        <f t="shared" si="311"/>
        <v>0</v>
      </c>
      <c r="L160" s="2252">
        <f t="shared" si="311"/>
        <v>0</v>
      </c>
      <c r="M160" s="2255">
        <f t="shared" si="287"/>
        <v>0</v>
      </c>
      <c r="N160" s="2177"/>
      <c r="O160" s="2177"/>
      <c r="P160" s="2178">
        <f t="shared" si="288"/>
        <v>0</v>
      </c>
      <c r="Q160" s="2176">
        <f>AQ160+AT160+AW160</f>
        <v>0</v>
      </c>
      <c r="R160" s="2177"/>
      <c r="S160" s="2180">
        <f t="shared" si="320"/>
        <v>0</v>
      </c>
      <c r="T160" s="2251">
        <f t="shared" si="312"/>
        <v>0</v>
      </c>
      <c r="U160" s="2252">
        <f t="shared" si="312"/>
        <v>0</v>
      </c>
      <c r="V160" s="2253">
        <f t="shared" si="290"/>
        <v>0</v>
      </c>
      <c r="W160" s="2182">
        <f>AZ160+BC160+BF160</f>
        <v>0</v>
      </c>
      <c r="X160" s="2177"/>
      <c r="Y160" s="2183">
        <f t="shared" si="321"/>
        <v>0</v>
      </c>
      <c r="Z160" s="2254">
        <f t="shared" si="313"/>
        <v>0</v>
      </c>
      <c r="AA160" s="2252">
        <f t="shared" si="313"/>
        <v>0</v>
      </c>
      <c r="AB160" s="2255">
        <f t="shared" si="292"/>
        <v>0</v>
      </c>
      <c r="AC160" s="2176">
        <f>BI160+BL160+BO160</f>
        <v>0</v>
      </c>
      <c r="AD160" s="2177"/>
      <c r="AE160" s="2180">
        <f t="shared" si="310"/>
        <v>0</v>
      </c>
      <c r="AF160" s="2281"/>
      <c r="AG160" s="2114"/>
      <c r="AH160" s="2177"/>
      <c r="AI160" s="2177"/>
      <c r="AJ160" s="2186">
        <f t="shared" si="294"/>
        <v>0</v>
      </c>
      <c r="AK160" s="2177"/>
      <c r="AL160" s="2177"/>
      <c r="AM160" s="2186">
        <f t="shared" si="295"/>
        <v>0</v>
      </c>
      <c r="AN160" s="2177"/>
      <c r="AO160" s="2177"/>
      <c r="AP160" s="2186">
        <f t="shared" si="296"/>
        <v>0</v>
      </c>
      <c r="AQ160" s="2177"/>
      <c r="AR160" s="2177"/>
      <c r="AS160" s="2186">
        <f t="shared" si="297"/>
        <v>0</v>
      </c>
      <c r="AT160" s="2177"/>
      <c r="AU160" s="2177"/>
      <c r="AV160" s="2186">
        <f t="shared" si="298"/>
        <v>0</v>
      </c>
      <c r="AW160" s="2177"/>
      <c r="AX160" s="2177"/>
      <c r="AY160" s="2186">
        <f t="shared" si="299"/>
        <v>0</v>
      </c>
      <c r="AZ160" s="2177"/>
      <c r="BA160" s="2177"/>
      <c r="BB160" s="2186">
        <f t="shared" si="300"/>
        <v>0</v>
      </c>
      <c r="BC160" s="2177"/>
      <c r="BD160" s="2177"/>
      <c r="BE160" s="2186">
        <f t="shared" si="301"/>
        <v>0</v>
      </c>
      <c r="BF160" s="2177"/>
      <c r="BG160" s="2177"/>
      <c r="BH160" s="2186">
        <f t="shared" si="302"/>
        <v>0</v>
      </c>
      <c r="BI160" s="2177"/>
      <c r="BJ160" s="2177"/>
      <c r="BK160" s="2186">
        <f t="shared" si="303"/>
        <v>0</v>
      </c>
      <c r="BL160" s="2177"/>
      <c r="BM160" s="2177"/>
      <c r="BN160" s="2186">
        <f t="shared" si="304"/>
        <v>0</v>
      </c>
      <c r="BO160" s="2177"/>
      <c r="BP160" s="2177"/>
      <c r="BQ160" s="2186">
        <f t="shared" si="305"/>
        <v>0</v>
      </c>
    </row>
    <row r="161" spans="3:69" s="2087" customFormat="1">
      <c r="C161" s="2194" t="s">
        <v>2286</v>
      </c>
      <c r="D161" s="2283" t="s">
        <v>2225</v>
      </c>
      <c r="E161" s="2284" t="s">
        <v>240</v>
      </c>
      <c r="F161" s="2176"/>
      <c r="G161" s="2177"/>
      <c r="H161" s="2177"/>
      <c r="I161" s="2178">
        <f t="shared" si="286"/>
        <v>0</v>
      </c>
      <c r="J161" s="2176"/>
      <c r="K161" s="2252">
        <f t="shared" si="311"/>
        <v>29.364727999999999</v>
      </c>
      <c r="L161" s="2252">
        <f t="shared" si="311"/>
        <v>0</v>
      </c>
      <c r="M161" s="2255">
        <f t="shared" si="287"/>
        <v>-29.364727999999999</v>
      </c>
      <c r="N161" s="2177">
        <f t="shared" ref="N161:N162" si="322">+AH161+AK161+AN161</f>
        <v>7.1454599999999999</v>
      </c>
      <c r="O161" s="2177"/>
      <c r="P161" s="2178">
        <f t="shared" si="288"/>
        <v>-7.1454599999999999</v>
      </c>
      <c r="Q161" s="2176">
        <f t="shared" ref="Q161:Q162" si="323">AQ161+AT161+AW161</f>
        <v>5.5468580000000003</v>
      </c>
      <c r="R161" s="2177"/>
      <c r="S161" s="2180">
        <f t="shared" si="320"/>
        <v>-5.5468580000000003</v>
      </c>
      <c r="T161" s="2251">
        <f t="shared" si="312"/>
        <v>12.692318</v>
      </c>
      <c r="U161" s="2252">
        <f t="shared" si="312"/>
        <v>0</v>
      </c>
      <c r="V161" s="2253">
        <f t="shared" si="290"/>
        <v>-12.692318</v>
      </c>
      <c r="W161" s="2182">
        <f t="shared" ref="W161:W162" si="324">AZ161+BC161+BF161</f>
        <v>6.5473529999999993</v>
      </c>
      <c r="X161" s="2177"/>
      <c r="Y161" s="2183">
        <f t="shared" si="321"/>
        <v>-6.5473529999999993</v>
      </c>
      <c r="Z161" s="2254">
        <f t="shared" si="313"/>
        <v>19.239671000000001</v>
      </c>
      <c r="AA161" s="2252">
        <f t="shared" si="313"/>
        <v>0</v>
      </c>
      <c r="AB161" s="2255">
        <f t="shared" si="292"/>
        <v>-19.239671000000001</v>
      </c>
      <c r="AC161" s="2176">
        <f t="shared" ref="AC161:AC162" si="325">BI161+BL161+BO161</f>
        <v>10.125057</v>
      </c>
      <c r="AD161" s="2177"/>
      <c r="AE161" s="2180">
        <f t="shared" si="310"/>
        <v>-10.125057</v>
      </c>
      <c r="AF161" s="2281"/>
      <c r="AG161" s="2114"/>
      <c r="AH161" s="2177">
        <f>'01'!D15/1000</f>
        <v>1.9561199999999999</v>
      </c>
      <c r="AI161" s="2177"/>
      <c r="AJ161" s="2186">
        <f t="shared" si="294"/>
        <v>-1.9561199999999999</v>
      </c>
      <c r="AK161" s="2177">
        <v>2.3720300000000001</v>
      </c>
      <c r="AL161" s="2177"/>
      <c r="AM161" s="2186">
        <f t="shared" si="295"/>
        <v>-2.3720300000000001</v>
      </c>
      <c r="AN161" s="2177">
        <v>2.81731</v>
      </c>
      <c r="AO161" s="2177"/>
      <c r="AP161" s="2186">
        <f t="shared" si="296"/>
        <v>-2.81731</v>
      </c>
      <c r="AQ161" s="2177">
        <v>2.0053179999999999</v>
      </c>
      <c r="AR161" s="2177"/>
      <c r="AS161" s="2186">
        <f t="shared" si="297"/>
        <v>-2.0053179999999999</v>
      </c>
      <c r="AT161" s="2177">
        <v>1.9874740000000002</v>
      </c>
      <c r="AU161" s="2177"/>
      <c r="AV161" s="2186">
        <f t="shared" si="298"/>
        <v>-1.9874740000000002</v>
      </c>
      <c r="AW161" s="2177">
        <v>1.5540660000000002</v>
      </c>
      <c r="AX161" s="2177"/>
      <c r="AY161" s="2186">
        <f t="shared" si="299"/>
        <v>-1.5540660000000002</v>
      </c>
      <c r="AZ161" s="2177">
        <v>1.971225</v>
      </c>
      <c r="BA161" s="2177"/>
      <c r="BB161" s="2186">
        <f t="shared" si="300"/>
        <v>-1.971225</v>
      </c>
      <c r="BC161" s="2177">
        <v>2.0374659999999998</v>
      </c>
      <c r="BD161" s="2177"/>
      <c r="BE161" s="2186">
        <f t="shared" si="301"/>
        <v>-2.0374659999999998</v>
      </c>
      <c r="BF161" s="2177">
        <v>2.538662</v>
      </c>
      <c r="BG161" s="2177"/>
      <c r="BH161" s="2186">
        <f t="shared" si="302"/>
        <v>-2.538662</v>
      </c>
      <c r="BI161" s="2177">
        <v>3.0561970000000001</v>
      </c>
      <c r="BJ161" s="2177"/>
      <c r="BK161" s="2186">
        <f t="shared" si="303"/>
        <v>-3.0561970000000001</v>
      </c>
      <c r="BL161" s="2177">
        <v>3.1720260000000002</v>
      </c>
      <c r="BM161" s="2177"/>
      <c r="BN161" s="2186">
        <f t="shared" si="304"/>
        <v>-3.1720260000000002</v>
      </c>
      <c r="BO161" s="2177">
        <v>3.8968340000000001</v>
      </c>
      <c r="BP161" s="2177"/>
      <c r="BQ161" s="2186">
        <f t="shared" si="305"/>
        <v>-3.8968340000000001</v>
      </c>
    </row>
    <row r="162" spans="3:69" s="2087" customFormat="1">
      <c r="C162" s="2194" t="s">
        <v>2287</v>
      </c>
      <c r="D162" s="2283" t="s">
        <v>2227</v>
      </c>
      <c r="E162" s="2284" t="s">
        <v>240</v>
      </c>
      <c r="F162" s="2176"/>
      <c r="G162" s="2177"/>
      <c r="H162" s="2177"/>
      <c r="I162" s="2178">
        <f t="shared" si="286"/>
        <v>0</v>
      </c>
      <c r="J162" s="2176"/>
      <c r="K162" s="2252">
        <f t="shared" si="311"/>
        <v>12.400714999999998</v>
      </c>
      <c r="L162" s="2252">
        <f t="shared" si="311"/>
        <v>0</v>
      </c>
      <c r="M162" s="2255">
        <f t="shared" si="287"/>
        <v>-12.400714999999998</v>
      </c>
      <c r="N162" s="2177">
        <f t="shared" si="322"/>
        <v>3.8975899999999997</v>
      </c>
      <c r="O162" s="2177"/>
      <c r="P162" s="2178">
        <f t="shared" si="288"/>
        <v>-3.8975899999999997</v>
      </c>
      <c r="Q162" s="2176">
        <f t="shared" si="323"/>
        <v>2.3917349999999997</v>
      </c>
      <c r="R162" s="2177"/>
      <c r="S162" s="2180">
        <f t="shared" si="320"/>
        <v>-2.3917349999999997</v>
      </c>
      <c r="T162" s="2251">
        <f t="shared" si="312"/>
        <v>6.2893249999999998</v>
      </c>
      <c r="U162" s="2252">
        <f t="shared" si="312"/>
        <v>0</v>
      </c>
      <c r="V162" s="2253">
        <f t="shared" si="290"/>
        <v>-6.2893249999999998</v>
      </c>
      <c r="W162" s="2182">
        <f t="shared" si="324"/>
        <v>2.3999779999999999</v>
      </c>
      <c r="X162" s="2177"/>
      <c r="Y162" s="2183">
        <f t="shared" si="321"/>
        <v>-2.3999779999999999</v>
      </c>
      <c r="Z162" s="2254">
        <f t="shared" si="313"/>
        <v>8.6893029999999989</v>
      </c>
      <c r="AA162" s="2252">
        <f t="shared" si="313"/>
        <v>0</v>
      </c>
      <c r="AB162" s="2255">
        <f t="shared" si="292"/>
        <v>-8.6893029999999989</v>
      </c>
      <c r="AC162" s="2176">
        <f t="shared" si="325"/>
        <v>3.7114120000000002</v>
      </c>
      <c r="AD162" s="2177"/>
      <c r="AE162" s="2180">
        <f t="shared" si="310"/>
        <v>-3.7114120000000002</v>
      </c>
      <c r="AF162" s="2281"/>
      <c r="AG162" s="2114"/>
      <c r="AH162" s="2177">
        <f>'01'!D16/1000</f>
        <v>1.660013</v>
      </c>
      <c r="AI162" s="2177"/>
      <c r="AJ162" s="2186">
        <f t="shared" si="294"/>
        <v>-1.660013</v>
      </c>
      <c r="AK162" s="2177">
        <v>1.0227889999999999</v>
      </c>
      <c r="AL162" s="2177"/>
      <c r="AM162" s="2186">
        <f t="shared" si="295"/>
        <v>-1.0227889999999999</v>
      </c>
      <c r="AN162" s="2177">
        <v>1.214788</v>
      </c>
      <c r="AO162" s="2177"/>
      <c r="AP162" s="2186">
        <f t="shared" si="296"/>
        <v>-1.214788</v>
      </c>
      <c r="AQ162" s="2177">
        <v>0.86466799999999999</v>
      </c>
      <c r="AR162" s="2177"/>
      <c r="AS162" s="2186">
        <f t="shared" si="297"/>
        <v>-0.86466799999999999</v>
      </c>
      <c r="AT162" s="2177">
        <v>0.85697299999999998</v>
      </c>
      <c r="AU162" s="2177"/>
      <c r="AV162" s="2186">
        <f t="shared" si="298"/>
        <v>-0.85697299999999998</v>
      </c>
      <c r="AW162" s="2177">
        <v>0.67009399999999997</v>
      </c>
      <c r="AX162" s="2177"/>
      <c r="AY162" s="2186">
        <f t="shared" si="299"/>
        <v>-0.67009399999999997</v>
      </c>
      <c r="AZ162" s="2177">
        <v>0.72256500000000001</v>
      </c>
      <c r="BA162" s="2177"/>
      <c r="BB162" s="2186">
        <f t="shared" si="300"/>
        <v>-0.72256500000000001</v>
      </c>
      <c r="BC162" s="2177">
        <v>0.74684799999999996</v>
      </c>
      <c r="BD162" s="2177"/>
      <c r="BE162" s="2186">
        <f t="shared" si="301"/>
        <v>-0.74684799999999996</v>
      </c>
      <c r="BF162" s="2177">
        <v>0.93056499999999986</v>
      </c>
      <c r="BG162" s="2177"/>
      <c r="BH162" s="2186">
        <f t="shared" si="302"/>
        <v>-0.93056499999999986</v>
      </c>
      <c r="BI162" s="2177">
        <v>1.120271</v>
      </c>
      <c r="BJ162" s="2177"/>
      <c r="BK162" s="2186">
        <f t="shared" si="303"/>
        <v>-1.120271</v>
      </c>
      <c r="BL162" s="2177">
        <v>1.16273</v>
      </c>
      <c r="BM162" s="2177"/>
      <c r="BN162" s="2186">
        <f t="shared" si="304"/>
        <v>-1.16273</v>
      </c>
      <c r="BO162" s="2177">
        <v>1.4284109999999999</v>
      </c>
      <c r="BP162" s="2177"/>
      <c r="BQ162" s="2186">
        <f t="shared" si="305"/>
        <v>-1.4284109999999999</v>
      </c>
    </row>
    <row r="163" spans="3:69" s="2087" customFormat="1" hidden="1">
      <c r="C163" s="2194" t="s">
        <v>2288</v>
      </c>
      <c r="D163" s="2283" t="s">
        <v>2229</v>
      </c>
      <c r="E163" s="2284" t="s">
        <v>240</v>
      </c>
      <c r="F163" s="2176"/>
      <c r="G163" s="2177"/>
      <c r="H163" s="2177"/>
      <c r="I163" s="2178">
        <f t="shared" si="286"/>
        <v>0</v>
      </c>
      <c r="J163" s="2176"/>
      <c r="K163" s="2252">
        <f t="shared" si="311"/>
        <v>0</v>
      </c>
      <c r="L163" s="2252">
        <f t="shared" si="311"/>
        <v>0</v>
      </c>
      <c r="M163" s="2255">
        <f t="shared" si="287"/>
        <v>0</v>
      </c>
      <c r="N163" s="2177"/>
      <c r="O163" s="2177"/>
      <c r="P163" s="2178">
        <f t="shared" si="288"/>
        <v>0</v>
      </c>
      <c r="Q163" s="2176"/>
      <c r="R163" s="2177"/>
      <c r="S163" s="2266"/>
      <c r="T163" s="2251">
        <f t="shared" si="312"/>
        <v>0</v>
      </c>
      <c r="U163" s="2252">
        <f t="shared" si="312"/>
        <v>0</v>
      </c>
      <c r="V163" s="2253">
        <f t="shared" si="290"/>
        <v>0</v>
      </c>
      <c r="W163" s="2182"/>
      <c r="X163" s="2177"/>
      <c r="Y163" s="2271"/>
      <c r="Z163" s="2254">
        <f t="shared" si="313"/>
        <v>0</v>
      </c>
      <c r="AA163" s="2252">
        <f t="shared" si="313"/>
        <v>0</v>
      </c>
      <c r="AB163" s="2255">
        <f t="shared" si="292"/>
        <v>0</v>
      </c>
      <c r="AC163" s="2176"/>
      <c r="AD163" s="2177"/>
      <c r="AE163" s="2180">
        <f t="shared" si="310"/>
        <v>0</v>
      </c>
      <c r="AF163" s="2281"/>
      <c r="AG163" s="2114"/>
      <c r="AH163" s="2177">
        <f>'01'!D17/1000</f>
        <v>1.662123</v>
      </c>
      <c r="AI163" s="2177"/>
      <c r="AJ163" s="2186">
        <f t="shared" si="294"/>
        <v>-1.662123</v>
      </c>
      <c r="AK163" s="2177"/>
      <c r="AL163" s="2177"/>
      <c r="AM163" s="2186">
        <f t="shared" si="295"/>
        <v>0</v>
      </c>
      <c r="AN163" s="2177"/>
      <c r="AO163" s="2177"/>
      <c r="AP163" s="2186">
        <f t="shared" si="296"/>
        <v>0</v>
      </c>
      <c r="AQ163" s="2177"/>
      <c r="AR163" s="2177"/>
      <c r="AS163" s="2186">
        <f t="shared" si="297"/>
        <v>0</v>
      </c>
      <c r="AT163" s="2177"/>
      <c r="AU163" s="2177"/>
      <c r="AV163" s="2186">
        <f t="shared" si="298"/>
        <v>0</v>
      </c>
      <c r="AW163" s="2177"/>
      <c r="AX163" s="2177"/>
      <c r="AY163" s="2186">
        <f t="shared" si="299"/>
        <v>0</v>
      </c>
      <c r="AZ163" s="2177"/>
      <c r="BA163" s="2177"/>
      <c r="BB163" s="2186">
        <f t="shared" si="300"/>
        <v>0</v>
      </c>
      <c r="BC163" s="2177"/>
      <c r="BD163" s="2177"/>
      <c r="BE163" s="2186">
        <f t="shared" si="301"/>
        <v>0</v>
      </c>
      <c r="BF163" s="2177"/>
      <c r="BG163" s="2177"/>
      <c r="BH163" s="2186">
        <f t="shared" si="302"/>
        <v>0</v>
      </c>
      <c r="BI163" s="2177"/>
      <c r="BJ163" s="2177"/>
      <c r="BK163" s="2186">
        <f t="shared" si="303"/>
        <v>0</v>
      </c>
      <c r="BL163" s="2177"/>
      <c r="BM163" s="2177"/>
      <c r="BN163" s="2186">
        <f t="shared" si="304"/>
        <v>0</v>
      </c>
      <c r="BO163" s="2177"/>
      <c r="BP163" s="2177"/>
      <c r="BQ163" s="2186">
        <f t="shared" si="305"/>
        <v>0</v>
      </c>
    </row>
    <row r="164" spans="3:69" s="2087" customFormat="1">
      <c r="C164" s="2285" t="s">
        <v>2289</v>
      </c>
      <c r="D164" s="2287" t="s">
        <v>2255</v>
      </c>
      <c r="E164" s="2284" t="s">
        <v>240</v>
      </c>
      <c r="F164" s="2176"/>
      <c r="G164" s="2252">
        <f>G165+G166+G167+G168+G169</f>
        <v>0</v>
      </c>
      <c r="H164" s="2252">
        <f>H165+H166+H167+H168+H169</f>
        <v>0</v>
      </c>
      <c r="I164" s="2178">
        <f t="shared" si="286"/>
        <v>0</v>
      </c>
      <c r="J164" s="2176"/>
      <c r="K164" s="2179">
        <f t="shared" si="311"/>
        <v>270.00043099999999</v>
      </c>
      <c r="L164" s="2179">
        <f t="shared" si="311"/>
        <v>0</v>
      </c>
      <c r="M164" s="2178">
        <f t="shared" si="287"/>
        <v>-270.00043099999999</v>
      </c>
      <c r="N164" s="2179">
        <f>N165+N166+N167+N168+N169</f>
        <v>72.050737999999981</v>
      </c>
      <c r="O164" s="2179">
        <f>O165+O166+O167+O168+O169</f>
        <v>0</v>
      </c>
      <c r="P164" s="2178">
        <f t="shared" si="288"/>
        <v>-72.050737999999981</v>
      </c>
      <c r="Q164" s="2179">
        <f>Q165+Q166+Q167+Q168+Q169</f>
        <v>51.274016000000003</v>
      </c>
      <c r="R164" s="2179">
        <f>R165+R166+R167+R168+R169</f>
        <v>0</v>
      </c>
      <c r="S164" s="2180">
        <f t="shared" ref="S164:S168" si="326">R164-Q164</f>
        <v>-51.274016000000003</v>
      </c>
      <c r="T164" s="2181">
        <f t="shared" si="312"/>
        <v>123.32475399999998</v>
      </c>
      <c r="U164" s="2179">
        <f t="shared" si="312"/>
        <v>0</v>
      </c>
      <c r="V164" s="2180">
        <f t="shared" si="290"/>
        <v>-123.32475399999998</v>
      </c>
      <c r="W164" s="2187">
        <f>W165+W166+W167+W168+W169</f>
        <v>57.600405000000002</v>
      </c>
      <c r="X164" s="2179">
        <f>X165+X166+X167+X168+X169</f>
        <v>0</v>
      </c>
      <c r="Y164" s="2183">
        <f t="shared" ref="Y164:Y168" si="327">X164-W164</f>
        <v>-57.600405000000002</v>
      </c>
      <c r="Z164" s="2184">
        <f t="shared" si="313"/>
        <v>180.92515899999998</v>
      </c>
      <c r="AA164" s="2179">
        <f t="shared" si="313"/>
        <v>0</v>
      </c>
      <c r="AB164" s="2178">
        <f t="shared" si="292"/>
        <v>-180.92515899999998</v>
      </c>
      <c r="AC164" s="2179">
        <f>AC165+AC166+AC167+AC168+AC169</f>
        <v>89.075272000000012</v>
      </c>
      <c r="AD164" s="2179">
        <f>AD165+AD166+AD167+AD168+AD169</f>
        <v>0</v>
      </c>
      <c r="AE164" s="2180">
        <f t="shared" si="310"/>
        <v>-89.075272000000012</v>
      </c>
      <c r="AF164" s="2277"/>
      <c r="AG164" s="2114"/>
      <c r="AH164" s="2188">
        <f>AH165+AH166+AH167+AH168+AH169</f>
        <v>21.214106000000001</v>
      </c>
      <c r="AI164" s="2188">
        <f>AI165+AI166+AI167+AI168+AI169</f>
        <v>0</v>
      </c>
      <c r="AJ164" s="2186">
        <f t="shared" si="294"/>
        <v>-21.214106000000001</v>
      </c>
      <c r="AK164" s="2188">
        <f>AK165+AK166+AK167+AK168+AK169</f>
        <v>24.793997000000001</v>
      </c>
      <c r="AL164" s="2188">
        <f>AL165+AL166+AL167+AL168+AL169</f>
        <v>0</v>
      </c>
      <c r="AM164" s="2186">
        <f t="shared" si="295"/>
        <v>-24.793997000000001</v>
      </c>
      <c r="AN164" s="2188">
        <f>AN165+AN166+AN167+AN168+AN169</f>
        <v>26.042634999999997</v>
      </c>
      <c r="AO164" s="2188">
        <f>AO165+AO166+AO167+AO168+AO169</f>
        <v>0</v>
      </c>
      <c r="AP164" s="2186">
        <f t="shared" si="296"/>
        <v>-26.042634999999997</v>
      </c>
      <c r="AQ164" s="2188">
        <f>AQ165+AQ166+AQ167+AQ168+AQ169</f>
        <v>18.536742</v>
      </c>
      <c r="AR164" s="2188">
        <f>AR165+AR166+AR167+AR168+AR169</f>
        <v>0</v>
      </c>
      <c r="AS164" s="2186">
        <f t="shared" si="297"/>
        <v>-18.536742</v>
      </c>
      <c r="AT164" s="2188">
        <f>AT165+AT166+AT167+AT168+AT169</f>
        <v>18.371809000000002</v>
      </c>
      <c r="AU164" s="2188">
        <f>AU165+AU166+AU167+AU168+AU169</f>
        <v>0</v>
      </c>
      <c r="AV164" s="2186">
        <f t="shared" si="298"/>
        <v>-18.371809000000002</v>
      </c>
      <c r="AW164" s="2188">
        <f>AW165+AW166+AW167+AW168+AW169</f>
        <v>14.365465</v>
      </c>
      <c r="AX164" s="2188">
        <f>AX165+AX166+AX167+AX168+AX169</f>
        <v>0</v>
      </c>
      <c r="AY164" s="2186">
        <f t="shared" si="299"/>
        <v>-14.365465</v>
      </c>
      <c r="AZ164" s="2188">
        <f>AZ165+AZ166+AZ167+AZ168+AZ169</f>
        <v>17.341875999999999</v>
      </c>
      <c r="BA164" s="2188">
        <f>BA165+BA166+BA167+BA168+BA169</f>
        <v>0</v>
      </c>
      <c r="BB164" s="2186">
        <f t="shared" si="300"/>
        <v>-17.341875999999999</v>
      </c>
      <c r="BC164" s="2188">
        <f>BC165+BC166+BC167+BC168+BC169</f>
        <v>17.924624000000001</v>
      </c>
      <c r="BD164" s="2188">
        <f>BD165+BD166+BD167+BD168+BD169</f>
        <v>0</v>
      </c>
      <c r="BE164" s="2186">
        <f t="shared" si="301"/>
        <v>-17.924624000000001</v>
      </c>
      <c r="BF164" s="2188">
        <f>BF165+BF166+BF167+BF168+BF169</f>
        <v>22.333905000000001</v>
      </c>
      <c r="BG164" s="2188">
        <f>BG165+BG166+BG167+BG168+BG169</f>
        <v>0</v>
      </c>
      <c r="BH164" s="2186">
        <f t="shared" si="302"/>
        <v>-22.333905000000001</v>
      </c>
      <c r="BI164" s="2188">
        <f>BI165+BI166+BI167+BI168+BI169</f>
        <v>26.886918999999999</v>
      </c>
      <c r="BJ164" s="2188">
        <f>BJ165+BJ166+BJ167+BJ168+BJ169</f>
        <v>0</v>
      </c>
      <c r="BK164" s="2186">
        <f t="shared" si="303"/>
        <v>-26.886918999999999</v>
      </c>
      <c r="BL164" s="2188">
        <f>BL165+BL166+BL167+BL168+BL169</f>
        <v>27.905925000000003</v>
      </c>
      <c r="BM164" s="2188">
        <f>BM165+BM166+BM167+BM168+BM169</f>
        <v>0</v>
      </c>
      <c r="BN164" s="2186">
        <f t="shared" si="304"/>
        <v>-27.905925000000003</v>
      </c>
      <c r="BO164" s="2188">
        <f>BO165+BO166+BO167+BO168+BO169</f>
        <v>34.282428000000003</v>
      </c>
      <c r="BP164" s="2188">
        <f>BP165+BP166+BP167+BP168+BP169</f>
        <v>0</v>
      </c>
      <c r="BQ164" s="2186">
        <f t="shared" si="305"/>
        <v>-34.282428000000003</v>
      </c>
    </row>
    <row r="165" spans="3:69" s="2087" customFormat="1">
      <c r="C165" s="2194" t="s">
        <v>2290</v>
      </c>
      <c r="D165" s="2283" t="s">
        <v>2221</v>
      </c>
      <c r="E165" s="2284" t="s">
        <v>240</v>
      </c>
      <c r="F165" s="2176"/>
      <c r="G165" s="2177"/>
      <c r="H165" s="2177"/>
      <c r="I165" s="2178">
        <f t="shared" si="286"/>
        <v>0</v>
      </c>
      <c r="J165" s="2176"/>
      <c r="K165" s="2252">
        <f t="shared" si="311"/>
        <v>0</v>
      </c>
      <c r="L165" s="2252">
        <f t="shared" si="311"/>
        <v>0</v>
      </c>
      <c r="M165" s="2255">
        <f t="shared" si="287"/>
        <v>0</v>
      </c>
      <c r="N165" s="2177"/>
      <c r="O165" s="2177"/>
      <c r="P165" s="2178">
        <f t="shared" si="288"/>
        <v>0</v>
      </c>
      <c r="Q165" s="2176"/>
      <c r="R165" s="2177"/>
      <c r="S165" s="2180">
        <f t="shared" si="326"/>
        <v>0</v>
      </c>
      <c r="T165" s="2251">
        <f t="shared" si="312"/>
        <v>0</v>
      </c>
      <c r="U165" s="2252">
        <f t="shared" si="312"/>
        <v>0</v>
      </c>
      <c r="V165" s="2253">
        <f t="shared" si="290"/>
        <v>0</v>
      </c>
      <c r="W165" s="2182"/>
      <c r="X165" s="2177"/>
      <c r="Y165" s="2183">
        <f t="shared" si="327"/>
        <v>0</v>
      </c>
      <c r="Z165" s="2254">
        <f t="shared" si="313"/>
        <v>0</v>
      </c>
      <c r="AA165" s="2252">
        <f t="shared" si="313"/>
        <v>0</v>
      </c>
      <c r="AB165" s="2255">
        <f t="shared" si="292"/>
        <v>0</v>
      </c>
      <c r="AC165" s="2176"/>
      <c r="AD165" s="2177"/>
      <c r="AE165" s="2180">
        <f t="shared" si="310"/>
        <v>0</v>
      </c>
      <c r="AF165" s="2281"/>
      <c r="AG165" s="2114"/>
      <c r="AH165" s="2177"/>
      <c r="AI165" s="2177"/>
      <c r="AJ165" s="2186">
        <f t="shared" si="294"/>
        <v>0</v>
      </c>
      <c r="AK165" s="2177"/>
      <c r="AL165" s="2177"/>
      <c r="AM165" s="2186">
        <f t="shared" si="295"/>
        <v>0</v>
      </c>
      <c r="AN165" s="2177"/>
      <c r="AO165" s="2177"/>
      <c r="AP165" s="2186">
        <f t="shared" si="296"/>
        <v>0</v>
      </c>
      <c r="AQ165" s="2177"/>
      <c r="AR165" s="2177"/>
      <c r="AS165" s="2186">
        <f t="shared" si="297"/>
        <v>0</v>
      </c>
      <c r="AT165" s="2177"/>
      <c r="AU165" s="2177"/>
      <c r="AV165" s="2186">
        <f t="shared" si="298"/>
        <v>0</v>
      </c>
      <c r="AW165" s="2177"/>
      <c r="AX165" s="2177"/>
      <c r="AY165" s="2186">
        <f t="shared" si="299"/>
        <v>0</v>
      </c>
      <c r="AZ165" s="2177"/>
      <c r="BA165" s="2177"/>
      <c r="BB165" s="2186">
        <f t="shared" si="300"/>
        <v>0</v>
      </c>
      <c r="BC165" s="2177"/>
      <c r="BD165" s="2177"/>
      <c r="BE165" s="2186">
        <f t="shared" si="301"/>
        <v>0</v>
      </c>
      <c r="BF165" s="2177"/>
      <c r="BG165" s="2177"/>
      <c r="BH165" s="2186">
        <f t="shared" si="302"/>
        <v>0</v>
      </c>
      <c r="BI165" s="2177"/>
      <c r="BJ165" s="2177"/>
      <c r="BK165" s="2186">
        <f t="shared" si="303"/>
        <v>0</v>
      </c>
      <c r="BL165" s="2177"/>
      <c r="BM165" s="2177"/>
      <c r="BN165" s="2186">
        <f t="shared" si="304"/>
        <v>0</v>
      </c>
      <c r="BO165" s="2177"/>
      <c r="BP165" s="2177"/>
      <c r="BQ165" s="2186">
        <f t="shared" si="305"/>
        <v>0</v>
      </c>
    </row>
    <row r="166" spans="3:69" s="2087" customFormat="1">
      <c r="C166" s="2194" t="s">
        <v>2291</v>
      </c>
      <c r="D166" s="2283" t="s">
        <v>2223</v>
      </c>
      <c r="E166" s="2284" t="s">
        <v>240</v>
      </c>
      <c r="F166" s="2176"/>
      <c r="G166" s="2177"/>
      <c r="H166" s="2177"/>
      <c r="I166" s="2178">
        <f t="shared" si="286"/>
        <v>0</v>
      </c>
      <c r="J166" s="2176"/>
      <c r="K166" s="2252">
        <f t="shared" si="311"/>
        <v>0</v>
      </c>
      <c r="L166" s="2252">
        <f t="shared" si="311"/>
        <v>0</v>
      </c>
      <c r="M166" s="2255">
        <f t="shared" si="287"/>
        <v>0</v>
      </c>
      <c r="N166" s="2177"/>
      <c r="O166" s="2177"/>
      <c r="P166" s="2178">
        <f t="shared" si="288"/>
        <v>0</v>
      </c>
      <c r="Q166" s="2176">
        <f>AQ166+AT166+AW166</f>
        <v>0</v>
      </c>
      <c r="R166" s="2177"/>
      <c r="S166" s="2180">
        <f t="shared" si="326"/>
        <v>0</v>
      </c>
      <c r="T166" s="2251">
        <f t="shared" si="312"/>
        <v>0</v>
      </c>
      <c r="U166" s="2252">
        <f t="shared" si="312"/>
        <v>0</v>
      </c>
      <c r="V166" s="2253">
        <f t="shared" si="290"/>
        <v>0</v>
      </c>
      <c r="W166" s="2182">
        <f>AZ166+BC166+BF166</f>
        <v>0</v>
      </c>
      <c r="X166" s="2177"/>
      <c r="Y166" s="2183">
        <f t="shared" si="327"/>
        <v>0</v>
      </c>
      <c r="Z166" s="2254">
        <f t="shared" si="313"/>
        <v>0</v>
      </c>
      <c r="AA166" s="2252">
        <f t="shared" si="313"/>
        <v>0</v>
      </c>
      <c r="AB166" s="2255">
        <f t="shared" si="292"/>
        <v>0</v>
      </c>
      <c r="AC166" s="2176">
        <f>BI166+BL166+BO166</f>
        <v>0</v>
      </c>
      <c r="AD166" s="2177"/>
      <c r="AE166" s="2180">
        <f t="shared" si="310"/>
        <v>0</v>
      </c>
      <c r="AF166" s="2281"/>
      <c r="AG166" s="2114"/>
      <c r="AH166" s="2177"/>
      <c r="AI166" s="2177"/>
      <c r="AJ166" s="2186">
        <f t="shared" si="294"/>
        <v>0</v>
      </c>
      <c r="AK166" s="2177"/>
      <c r="AL166" s="2177"/>
      <c r="AM166" s="2186">
        <f t="shared" si="295"/>
        <v>0</v>
      </c>
      <c r="AN166" s="2177"/>
      <c r="AO166" s="2177"/>
      <c r="AP166" s="2186">
        <f t="shared" si="296"/>
        <v>0</v>
      </c>
      <c r="AQ166" s="2177"/>
      <c r="AR166" s="2177"/>
      <c r="AS166" s="2186">
        <f t="shared" si="297"/>
        <v>0</v>
      </c>
      <c r="AT166" s="2177"/>
      <c r="AU166" s="2177"/>
      <c r="AV166" s="2186">
        <f t="shared" si="298"/>
        <v>0</v>
      </c>
      <c r="AW166" s="2177"/>
      <c r="AX166" s="2177"/>
      <c r="AY166" s="2186">
        <f t="shared" si="299"/>
        <v>0</v>
      </c>
      <c r="AZ166" s="2177"/>
      <c r="BA166" s="2177"/>
      <c r="BB166" s="2186">
        <f t="shared" si="300"/>
        <v>0</v>
      </c>
      <c r="BC166" s="2177"/>
      <c r="BD166" s="2177"/>
      <c r="BE166" s="2186">
        <f t="shared" si="301"/>
        <v>0</v>
      </c>
      <c r="BF166" s="2177"/>
      <c r="BG166" s="2177"/>
      <c r="BH166" s="2186">
        <f t="shared" si="302"/>
        <v>0</v>
      </c>
      <c r="BI166" s="2177"/>
      <c r="BJ166" s="2177"/>
      <c r="BK166" s="2186">
        <f t="shared" si="303"/>
        <v>0</v>
      </c>
      <c r="BL166" s="2177"/>
      <c r="BM166" s="2177"/>
      <c r="BN166" s="2186">
        <f t="shared" si="304"/>
        <v>0</v>
      </c>
      <c r="BO166" s="2177"/>
      <c r="BP166" s="2177"/>
      <c r="BQ166" s="2186">
        <f t="shared" si="305"/>
        <v>0</v>
      </c>
    </row>
    <row r="167" spans="3:69" s="2087" customFormat="1">
      <c r="C167" s="2194" t="s">
        <v>2292</v>
      </c>
      <c r="D167" s="2283" t="s">
        <v>2225</v>
      </c>
      <c r="E167" s="2284" t="s">
        <v>240</v>
      </c>
      <c r="F167" s="2176"/>
      <c r="G167" s="2177"/>
      <c r="H167" s="2177"/>
      <c r="I167" s="2178">
        <f t="shared" si="286"/>
        <v>0</v>
      </c>
      <c r="J167" s="2176"/>
      <c r="K167" s="2252">
        <f t="shared" si="311"/>
        <v>1.662123</v>
      </c>
      <c r="L167" s="2252">
        <f t="shared" si="311"/>
        <v>0</v>
      </c>
      <c r="M167" s="2255">
        <f t="shared" si="287"/>
        <v>-1.662123</v>
      </c>
      <c r="N167" s="2177">
        <f t="shared" ref="N167:N168" si="328">+AH167+AK167+AN167</f>
        <v>1.662123</v>
      </c>
      <c r="O167" s="2177"/>
      <c r="P167" s="2178">
        <f t="shared" si="288"/>
        <v>-1.662123</v>
      </c>
      <c r="Q167" s="2176">
        <f t="shared" ref="Q167:Q168" si="329">AQ167+AT167+AW167</f>
        <v>0</v>
      </c>
      <c r="R167" s="2177"/>
      <c r="S167" s="2180">
        <f t="shared" si="326"/>
        <v>0</v>
      </c>
      <c r="T167" s="2251">
        <f t="shared" si="312"/>
        <v>1.662123</v>
      </c>
      <c r="U167" s="2252">
        <f t="shared" si="312"/>
        <v>0</v>
      </c>
      <c r="V167" s="2253">
        <f t="shared" si="290"/>
        <v>-1.662123</v>
      </c>
      <c r="W167" s="2182">
        <f t="shared" ref="W167:W168" si="330">AZ167+BC167+BF167</f>
        <v>0</v>
      </c>
      <c r="X167" s="2177"/>
      <c r="Y167" s="2183">
        <f t="shared" si="327"/>
        <v>0</v>
      </c>
      <c r="Z167" s="2254">
        <f t="shared" si="313"/>
        <v>1.662123</v>
      </c>
      <c r="AA167" s="2252">
        <f t="shared" si="313"/>
        <v>0</v>
      </c>
      <c r="AB167" s="2255">
        <f t="shared" si="292"/>
        <v>-1.662123</v>
      </c>
      <c r="AC167" s="2176">
        <f t="shared" ref="AC167:AC168" si="331">BI167+BL167+BO167</f>
        <v>0</v>
      </c>
      <c r="AD167" s="2177"/>
      <c r="AE167" s="2180">
        <f t="shared" si="310"/>
        <v>0</v>
      </c>
      <c r="AF167" s="2281"/>
      <c r="AG167" s="2114"/>
      <c r="AH167" s="2177">
        <f>'01'!D17/1000</f>
        <v>1.662123</v>
      </c>
      <c r="AI167" s="2177"/>
      <c r="AJ167" s="2186">
        <f t="shared" si="294"/>
        <v>-1.662123</v>
      </c>
      <c r="AK167" s="2177">
        <v>0</v>
      </c>
      <c r="AL167" s="2177"/>
      <c r="AM167" s="2186">
        <f t="shared" si="295"/>
        <v>0</v>
      </c>
      <c r="AN167" s="2177">
        <v>0</v>
      </c>
      <c r="AO167" s="2177"/>
      <c r="AP167" s="2186">
        <f t="shared" si="296"/>
        <v>0</v>
      </c>
      <c r="AQ167" s="2177">
        <v>0</v>
      </c>
      <c r="AR167" s="2177"/>
      <c r="AS167" s="2186">
        <f t="shared" si="297"/>
        <v>0</v>
      </c>
      <c r="AT167" s="2177">
        <v>0</v>
      </c>
      <c r="AU167" s="2177"/>
      <c r="AV167" s="2186">
        <f t="shared" si="298"/>
        <v>0</v>
      </c>
      <c r="AW167" s="2177">
        <v>0</v>
      </c>
      <c r="AX167" s="2177"/>
      <c r="AY167" s="2186">
        <f t="shared" si="299"/>
        <v>0</v>
      </c>
      <c r="AZ167" s="2177">
        <v>0</v>
      </c>
      <c r="BA167" s="2177"/>
      <c r="BB167" s="2186">
        <f t="shared" si="300"/>
        <v>0</v>
      </c>
      <c r="BC167" s="2177">
        <v>0</v>
      </c>
      <c r="BD167" s="2177"/>
      <c r="BE167" s="2186">
        <f t="shared" si="301"/>
        <v>0</v>
      </c>
      <c r="BF167" s="2177">
        <v>0</v>
      </c>
      <c r="BG167" s="2177"/>
      <c r="BH167" s="2186">
        <f t="shared" si="302"/>
        <v>0</v>
      </c>
      <c r="BI167" s="2177">
        <v>0</v>
      </c>
      <c r="BJ167" s="2177"/>
      <c r="BK167" s="2186">
        <f t="shared" si="303"/>
        <v>0</v>
      </c>
      <c r="BL167" s="2177">
        <v>0</v>
      </c>
      <c r="BM167" s="2177"/>
      <c r="BN167" s="2186">
        <f t="shared" si="304"/>
        <v>0</v>
      </c>
      <c r="BO167" s="2177">
        <v>0</v>
      </c>
      <c r="BP167" s="2177"/>
      <c r="BQ167" s="2186">
        <f t="shared" si="305"/>
        <v>0</v>
      </c>
    </row>
    <row r="168" spans="3:69" s="2087" customFormat="1">
      <c r="C168" s="2194" t="s">
        <v>2293</v>
      </c>
      <c r="D168" s="2283" t="s">
        <v>2227</v>
      </c>
      <c r="E168" s="2284" t="s">
        <v>240</v>
      </c>
      <c r="F168" s="2176"/>
      <c r="G168" s="2177"/>
      <c r="H168" s="2177"/>
      <c r="I168" s="2178">
        <f t="shared" si="286"/>
        <v>0</v>
      </c>
      <c r="J168" s="2176"/>
      <c r="K168" s="2252">
        <f t="shared" si="311"/>
        <v>268.33830799999998</v>
      </c>
      <c r="L168" s="2252">
        <f t="shared" si="311"/>
        <v>0</v>
      </c>
      <c r="M168" s="2255">
        <f t="shared" si="287"/>
        <v>-268.33830799999998</v>
      </c>
      <c r="N168" s="2177">
        <f t="shared" si="328"/>
        <v>70.388614999999987</v>
      </c>
      <c r="O168" s="2177"/>
      <c r="P168" s="2178">
        <f t="shared" si="288"/>
        <v>-70.388614999999987</v>
      </c>
      <c r="Q168" s="2176">
        <f t="shared" si="329"/>
        <v>51.274016000000003</v>
      </c>
      <c r="R168" s="2177"/>
      <c r="S168" s="2180">
        <f t="shared" si="326"/>
        <v>-51.274016000000003</v>
      </c>
      <c r="T168" s="2251">
        <f t="shared" si="312"/>
        <v>121.66263099999999</v>
      </c>
      <c r="U168" s="2252">
        <f t="shared" si="312"/>
        <v>0</v>
      </c>
      <c r="V168" s="2253">
        <f t="shared" si="290"/>
        <v>-121.66263099999999</v>
      </c>
      <c r="W168" s="2182">
        <f t="shared" si="330"/>
        <v>57.600405000000002</v>
      </c>
      <c r="X168" s="2177"/>
      <c r="Y168" s="2183">
        <f t="shared" si="327"/>
        <v>-57.600405000000002</v>
      </c>
      <c r="Z168" s="2254">
        <f t="shared" si="313"/>
        <v>179.263036</v>
      </c>
      <c r="AA168" s="2252">
        <f t="shared" si="313"/>
        <v>0</v>
      </c>
      <c r="AB168" s="2255">
        <f t="shared" si="292"/>
        <v>-179.263036</v>
      </c>
      <c r="AC168" s="2176">
        <f t="shared" si="331"/>
        <v>89.075272000000012</v>
      </c>
      <c r="AD168" s="2177"/>
      <c r="AE168" s="2180">
        <f t="shared" si="310"/>
        <v>-89.075272000000012</v>
      </c>
      <c r="AF168" s="2281"/>
      <c r="AG168" s="2114"/>
      <c r="AH168" s="2177">
        <f>'01'!D18/1000</f>
        <v>19.551983</v>
      </c>
      <c r="AI168" s="2177"/>
      <c r="AJ168" s="2186">
        <f t="shared" si="294"/>
        <v>-19.551983</v>
      </c>
      <c r="AK168" s="2177">
        <v>24.793997000000001</v>
      </c>
      <c r="AL168" s="2177"/>
      <c r="AM168" s="2186">
        <f t="shared" si="295"/>
        <v>-24.793997000000001</v>
      </c>
      <c r="AN168" s="2177">
        <v>26.042634999999997</v>
      </c>
      <c r="AO168" s="2177"/>
      <c r="AP168" s="2186">
        <f t="shared" si="296"/>
        <v>-26.042634999999997</v>
      </c>
      <c r="AQ168" s="2177">
        <v>18.536742</v>
      </c>
      <c r="AR168" s="2177"/>
      <c r="AS168" s="2186">
        <f t="shared" si="297"/>
        <v>-18.536742</v>
      </c>
      <c r="AT168" s="2177">
        <v>18.371809000000002</v>
      </c>
      <c r="AU168" s="2177"/>
      <c r="AV168" s="2186">
        <f t="shared" si="298"/>
        <v>-18.371809000000002</v>
      </c>
      <c r="AW168" s="2177">
        <v>14.365465</v>
      </c>
      <c r="AX168" s="2177"/>
      <c r="AY168" s="2186">
        <f t="shared" si="299"/>
        <v>-14.365465</v>
      </c>
      <c r="AZ168" s="2177">
        <v>17.341875999999999</v>
      </c>
      <c r="BA168" s="2177"/>
      <c r="BB168" s="2186">
        <f t="shared" si="300"/>
        <v>-17.341875999999999</v>
      </c>
      <c r="BC168" s="2177">
        <v>17.924624000000001</v>
      </c>
      <c r="BD168" s="2177"/>
      <c r="BE168" s="2186">
        <f t="shared" si="301"/>
        <v>-17.924624000000001</v>
      </c>
      <c r="BF168" s="2177">
        <v>22.333905000000001</v>
      </c>
      <c r="BG168" s="2177"/>
      <c r="BH168" s="2186">
        <f t="shared" si="302"/>
        <v>-22.333905000000001</v>
      </c>
      <c r="BI168" s="2177">
        <v>26.886918999999999</v>
      </c>
      <c r="BJ168" s="2177"/>
      <c r="BK168" s="2186">
        <f t="shared" si="303"/>
        <v>-26.886918999999999</v>
      </c>
      <c r="BL168" s="2177">
        <v>27.905925000000003</v>
      </c>
      <c r="BM168" s="2177"/>
      <c r="BN168" s="2186">
        <f t="shared" si="304"/>
        <v>-27.905925000000003</v>
      </c>
      <c r="BO168" s="2177">
        <v>34.282428000000003</v>
      </c>
      <c r="BP168" s="2177"/>
      <c r="BQ168" s="2186">
        <f t="shared" si="305"/>
        <v>-34.282428000000003</v>
      </c>
    </row>
    <row r="169" spans="3:69" s="2087" customFormat="1" hidden="1">
      <c r="C169" s="2194" t="s">
        <v>2294</v>
      </c>
      <c r="D169" s="2283" t="s">
        <v>2229</v>
      </c>
      <c r="E169" s="2284" t="s">
        <v>240</v>
      </c>
      <c r="F169" s="2176"/>
      <c r="G169" s="2177"/>
      <c r="H169" s="2177"/>
      <c r="I169" s="2178">
        <f t="shared" si="286"/>
        <v>0</v>
      </c>
      <c r="J169" s="2176"/>
      <c r="K169" s="2252">
        <f t="shared" si="311"/>
        <v>0</v>
      </c>
      <c r="L169" s="2252">
        <f t="shared" si="311"/>
        <v>0</v>
      </c>
      <c r="M169" s="2255">
        <f t="shared" si="287"/>
        <v>0</v>
      </c>
      <c r="N169" s="2177"/>
      <c r="O169" s="2177"/>
      <c r="P169" s="2178">
        <f t="shared" si="288"/>
        <v>0</v>
      </c>
      <c r="Q169" s="2176"/>
      <c r="R169" s="2177"/>
      <c r="S169" s="2266"/>
      <c r="T169" s="2251">
        <f t="shared" si="312"/>
        <v>0</v>
      </c>
      <c r="U169" s="2252">
        <f t="shared" si="312"/>
        <v>0</v>
      </c>
      <c r="V169" s="2253">
        <f t="shared" si="290"/>
        <v>0</v>
      </c>
      <c r="W169" s="2182"/>
      <c r="X169" s="2177"/>
      <c r="Y169" s="2271"/>
      <c r="Z169" s="2254">
        <f t="shared" si="313"/>
        <v>0</v>
      </c>
      <c r="AA169" s="2252">
        <f t="shared" si="313"/>
        <v>0</v>
      </c>
      <c r="AB169" s="2255">
        <f t="shared" si="292"/>
        <v>0</v>
      </c>
      <c r="AC169" s="2176"/>
      <c r="AD169" s="2177"/>
      <c r="AE169" s="2180">
        <f t="shared" si="310"/>
        <v>0</v>
      </c>
      <c r="AF169" s="2281"/>
      <c r="AG169" s="2114"/>
      <c r="AH169" s="2177"/>
      <c r="AI169" s="2177"/>
      <c r="AJ169" s="2186">
        <f t="shared" si="294"/>
        <v>0</v>
      </c>
      <c r="AK169" s="2177"/>
      <c r="AL169" s="2177"/>
      <c r="AM169" s="2186">
        <f t="shared" si="295"/>
        <v>0</v>
      </c>
      <c r="AN169" s="2177"/>
      <c r="AO169" s="2177"/>
      <c r="AP169" s="2186">
        <f t="shared" si="296"/>
        <v>0</v>
      </c>
      <c r="AQ169" s="2177"/>
      <c r="AR169" s="2177"/>
      <c r="AS169" s="2186">
        <f t="shared" si="297"/>
        <v>0</v>
      </c>
      <c r="AT169" s="2177"/>
      <c r="AU169" s="2177"/>
      <c r="AV169" s="2186">
        <f t="shared" si="298"/>
        <v>0</v>
      </c>
      <c r="AW169" s="2177"/>
      <c r="AX169" s="2177"/>
      <c r="AY169" s="2186">
        <f t="shared" si="299"/>
        <v>0</v>
      </c>
      <c r="AZ169" s="2177"/>
      <c r="BA169" s="2177"/>
      <c r="BB169" s="2186">
        <f t="shared" si="300"/>
        <v>0</v>
      </c>
      <c r="BC169" s="2177"/>
      <c r="BD169" s="2177"/>
      <c r="BE169" s="2186">
        <f t="shared" si="301"/>
        <v>0</v>
      </c>
      <c r="BF169" s="2177"/>
      <c r="BG169" s="2177"/>
      <c r="BH169" s="2186">
        <f t="shared" si="302"/>
        <v>0</v>
      </c>
      <c r="BI169" s="2177"/>
      <c r="BJ169" s="2177"/>
      <c r="BK169" s="2186">
        <f t="shared" si="303"/>
        <v>0</v>
      </c>
      <c r="BL169" s="2177"/>
      <c r="BM169" s="2177"/>
      <c r="BN169" s="2186">
        <f t="shared" si="304"/>
        <v>0</v>
      </c>
      <c r="BO169" s="2177"/>
      <c r="BP169" s="2177"/>
      <c r="BQ169" s="2186">
        <f t="shared" si="305"/>
        <v>0</v>
      </c>
    </row>
    <row r="170" spans="3:69" s="2159" customFormat="1">
      <c r="C170" s="2256" t="s">
        <v>2295</v>
      </c>
      <c r="D170" s="2280" t="s">
        <v>1821</v>
      </c>
      <c r="E170" s="2120" t="s">
        <v>240</v>
      </c>
      <c r="F170" s="2162"/>
      <c r="G170" s="2163">
        <f>G179+G185+G191+G197</f>
        <v>0</v>
      </c>
      <c r="H170" s="2163">
        <f>H179+H185+H191+H197</f>
        <v>0</v>
      </c>
      <c r="I170" s="2164">
        <f t="shared" si="204"/>
        <v>0</v>
      </c>
      <c r="J170" s="2162"/>
      <c r="K170" s="2259">
        <f t="shared" si="239"/>
        <v>18.561223999999999</v>
      </c>
      <c r="L170" s="2259">
        <f t="shared" si="182"/>
        <v>0</v>
      </c>
      <c r="M170" s="2262">
        <f t="shared" si="183"/>
        <v>-18.561223999999999</v>
      </c>
      <c r="N170" s="2163">
        <f>N179+N185+N191+N197</f>
        <v>17.363173999999997</v>
      </c>
      <c r="O170" s="2163">
        <f>O179+O185+O191+O197</f>
        <v>0</v>
      </c>
      <c r="P170" s="2164">
        <f t="shared" si="184"/>
        <v>-17.363173999999997</v>
      </c>
      <c r="Q170" s="2165">
        <f>Q179+Q185+Q191+Q197</f>
        <v>0.36884499999999998</v>
      </c>
      <c r="R170" s="2163">
        <f>R179+R185+R191+R197</f>
        <v>0</v>
      </c>
      <c r="S170" s="2166">
        <f t="shared" si="185"/>
        <v>-0.36884499999999998</v>
      </c>
      <c r="T170" s="2258">
        <f t="shared" si="186"/>
        <v>17.732018999999998</v>
      </c>
      <c r="U170" s="2259">
        <f t="shared" si="186"/>
        <v>0</v>
      </c>
      <c r="V170" s="2260">
        <f t="shared" si="187"/>
        <v>-17.732018999999998</v>
      </c>
      <c r="W170" s="2168">
        <f>W179+W185+W191+W197</f>
        <v>0.39570000000000005</v>
      </c>
      <c r="X170" s="2163">
        <f>X179+X185+X191+X197</f>
        <v>0</v>
      </c>
      <c r="Y170" s="2169">
        <f t="shared" si="188"/>
        <v>-0.39570000000000005</v>
      </c>
      <c r="Z170" s="2261">
        <f t="shared" si="189"/>
        <v>18.127718999999999</v>
      </c>
      <c r="AA170" s="2259">
        <f t="shared" si="189"/>
        <v>0</v>
      </c>
      <c r="AB170" s="2262">
        <f t="shared" si="190"/>
        <v>-18.127718999999999</v>
      </c>
      <c r="AC170" s="2165">
        <f>AC179+AC185+AC191+AC197</f>
        <v>0.43350499999999997</v>
      </c>
      <c r="AD170" s="2163">
        <f>AD179+AD185+AD191+AD197</f>
        <v>0</v>
      </c>
      <c r="AE170" s="2166">
        <f t="shared" si="191"/>
        <v>-0.43350499999999997</v>
      </c>
      <c r="AF170" s="2281"/>
      <c r="AG170" s="2158"/>
      <c r="AH170" s="2171">
        <f>AH179+AH185+AH191+AH197</f>
        <v>17.078413999999999</v>
      </c>
      <c r="AI170" s="2171">
        <f>AI179+AI185+AI191+AI197</f>
        <v>0</v>
      </c>
      <c r="AJ170" s="2172">
        <f t="shared" si="294"/>
        <v>-17.078413999999999</v>
      </c>
      <c r="AK170" s="2171">
        <f>AK179+AK185+AK191+AK197</f>
        <v>0.14784</v>
      </c>
      <c r="AL170" s="2171">
        <f>AL179+AL185+AL191+AL197</f>
        <v>0</v>
      </c>
      <c r="AM170" s="2172">
        <f t="shared" si="295"/>
        <v>-0.14784</v>
      </c>
      <c r="AN170" s="2171">
        <f>AN179+AN185+AN191+AN197</f>
        <v>0.13691999999999999</v>
      </c>
      <c r="AO170" s="2171">
        <f>AO179+AO185+AO191+AO197</f>
        <v>0</v>
      </c>
      <c r="AP170" s="2172">
        <f t="shared" si="296"/>
        <v>-0.13691999999999999</v>
      </c>
      <c r="AQ170" s="2171">
        <f>AQ179+AQ185+AQ191+AQ197</f>
        <v>0.14712</v>
      </c>
      <c r="AR170" s="2171">
        <f>AR179+AR185+AR191+AR197</f>
        <v>0</v>
      </c>
      <c r="AS170" s="2172">
        <f t="shared" si="297"/>
        <v>-0.14712</v>
      </c>
      <c r="AT170" s="2171">
        <f>AT179+AT185+AT191+AT197</f>
        <v>0.1152</v>
      </c>
      <c r="AU170" s="2171">
        <f>AU179+AU185+AU191+AU197</f>
        <v>0</v>
      </c>
      <c r="AV170" s="2172">
        <f t="shared" si="298"/>
        <v>-0.1152</v>
      </c>
      <c r="AW170" s="2171">
        <f>AW179+AW185+AW191+AW197</f>
        <v>0.10652499999999999</v>
      </c>
      <c r="AX170" s="2171">
        <f>AX179+AX185+AX191+AX197</f>
        <v>0</v>
      </c>
      <c r="AY170" s="2172">
        <f t="shared" si="299"/>
        <v>-0.10652499999999999</v>
      </c>
      <c r="AZ170" s="2171">
        <f>AZ179+AZ185+AZ191+AZ197</f>
        <v>0.1416</v>
      </c>
      <c r="BA170" s="2171">
        <f>BA179+BA185+BA191+BA197</f>
        <v>0</v>
      </c>
      <c r="BB170" s="2172">
        <f t="shared" si="300"/>
        <v>-0.1416</v>
      </c>
      <c r="BC170" s="2171">
        <f>BC179+BC185+BC191+BC197</f>
        <v>0.12828000000000001</v>
      </c>
      <c r="BD170" s="2171">
        <f>BD179+BD185+BD191+BD197</f>
        <v>0</v>
      </c>
      <c r="BE170" s="2172">
        <f t="shared" si="301"/>
        <v>-0.12828000000000001</v>
      </c>
      <c r="BF170" s="2171">
        <f>BF179+BF185+BF191+BF197</f>
        <v>0.12582000000000002</v>
      </c>
      <c r="BG170" s="2171">
        <f>BG179+BG185+BG191+BG197</f>
        <v>0</v>
      </c>
      <c r="BH170" s="2172">
        <f t="shared" si="302"/>
        <v>-0.12582000000000002</v>
      </c>
      <c r="BI170" s="2171">
        <f>BI179+BI185+BI191+BI197</f>
        <v>0.13439399999999999</v>
      </c>
      <c r="BJ170" s="2171">
        <f>BJ179+BJ185+BJ191+BJ197</f>
        <v>0</v>
      </c>
      <c r="BK170" s="2172">
        <f t="shared" si="303"/>
        <v>-0.13439399999999999</v>
      </c>
      <c r="BL170" s="2171">
        <f>BL179+BL185+BL191+BL197</f>
        <v>0.14930700000000002</v>
      </c>
      <c r="BM170" s="2171">
        <f>BM179+BM185+BM191+BM197</f>
        <v>0</v>
      </c>
      <c r="BN170" s="2172">
        <f t="shared" si="304"/>
        <v>-0.14930700000000002</v>
      </c>
      <c r="BO170" s="2171">
        <f>BO179+BO185+BO191+BO197</f>
        <v>0.14980399999999999</v>
      </c>
      <c r="BP170" s="2171">
        <f>BP179+BP185+BP191+BP197</f>
        <v>0</v>
      </c>
      <c r="BQ170" s="2172">
        <f t="shared" si="305"/>
        <v>-0.14980399999999999</v>
      </c>
    </row>
    <row r="171" spans="3:69" s="2087" customFormat="1">
      <c r="C171" s="2173" t="s">
        <v>2296</v>
      </c>
      <c r="D171" s="2209" t="s">
        <v>2211</v>
      </c>
      <c r="E171" s="2250" t="s">
        <v>240</v>
      </c>
      <c r="F171" s="2176"/>
      <c r="G171" s="2177"/>
      <c r="H171" s="2177"/>
      <c r="I171" s="2178">
        <f t="shared" si="204"/>
        <v>0</v>
      </c>
      <c r="J171" s="2176"/>
      <c r="K171" s="2252">
        <f t="shared" si="239"/>
        <v>0</v>
      </c>
      <c r="L171" s="2252">
        <f t="shared" si="182"/>
        <v>0</v>
      </c>
      <c r="M171" s="2255">
        <f t="shared" si="183"/>
        <v>0</v>
      </c>
      <c r="N171" s="2177"/>
      <c r="O171" s="2177"/>
      <c r="P171" s="2178">
        <f t="shared" si="184"/>
        <v>0</v>
      </c>
      <c r="Q171" s="2176"/>
      <c r="R171" s="2177"/>
      <c r="S171" s="2180">
        <f t="shared" si="185"/>
        <v>0</v>
      </c>
      <c r="T171" s="2251">
        <f t="shared" si="186"/>
        <v>0</v>
      </c>
      <c r="U171" s="2252">
        <f t="shared" si="186"/>
        <v>0</v>
      </c>
      <c r="V171" s="2253">
        <f t="shared" si="187"/>
        <v>0</v>
      </c>
      <c r="W171" s="2182"/>
      <c r="X171" s="2177"/>
      <c r="Y171" s="2183">
        <f t="shared" si="188"/>
        <v>0</v>
      </c>
      <c r="Z171" s="2254">
        <f t="shared" si="189"/>
        <v>0</v>
      </c>
      <c r="AA171" s="2252">
        <f t="shared" si="189"/>
        <v>0</v>
      </c>
      <c r="AB171" s="2255">
        <f t="shared" si="190"/>
        <v>0</v>
      </c>
      <c r="AC171" s="2176"/>
      <c r="AD171" s="2177"/>
      <c r="AE171" s="2180">
        <f t="shared" si="191"/>
        <v>0</v>
      </c>
      <c r="AF171" s="2281"/>
      <c r="AG171" s="2114"/>
      <c r="AH171" s="2177"/>
      <c r="AI171" s="2177"/>
      <c r="AJ171" s="2186">
        <f t="shared" si="294"/>
        <v>0</v>
      </c>
      <c r="AK171" s="2177"/>
      <c r="AL171" s="2177"/>
      <c r="AM171" s="2186">
        <f t="shared" si="295"/>
        <v>0</v>
      </c>
      <c r="AN171" s="2177"/>
      <c r="AO171" s="2177"/>
      <c r="AP171" s="2186">
        <f t="shared" si="296"/>
        <v>0</v>
      </c>
      <c r="AQ171" s="2177"/>
      <c r="AR171" s="2177"/>
      <c r="AS171" s="2186">
        <f t="shared" si="297"/>
        <v>0</v>
      </c>
      <c r="AT171" s="2177"/>
      <c r="AU171" s="2177"/>
      <c r="AV171" s="2186">
        <f t="shared" si="298"/>
        <v>0</v>
      </c>
      <c r="AW171" s="2177"/>
      <c r="AX171" s="2177"/>
      <c r="AY171" s="2186">
        <f t="shared" si="299"/>
        <v>0</v>
      </c>
      <c r="AZ171" s="2177"/>
      <c r="BA171" s="2177"/>
      <c r="BB171" s="2186">
        <f t="shared" si="300"/>
        <v>0</v>
      </c>
      <c r="BC171" s="2177"/>
      <c r="BD171" s="2177"/>
      <c r="BE171" s="2186">
        <f t="shared" si="301"/>
        <v>0</v>
      </c>
      <c r="BF171" s="2177"/>
      <c r="BG171" s="2177"/>
      <c r="BH171" s="2186">
        <f t="shared" si="302"/>
        <v>0</v>
      </c>
      <c r="BI171" s="2177"/>
      <c r="BJ171" s="2177"/>
      <c r="BK171" s="2186">
        <f t="shared" si="303"/>
        <v>0</v>
      </c>
      <c r="BL171" s="2177"/>
      <c r="BM171" s="2177"/>
      <c r="BN171" s="2186">
        <f t="shared" si="304"/>
        <v>0</v>
      </c>
      <c r="BO171" s="2177"/>
      <c r="BP171" s="2177"/>
      <c r="BQ171" s="2186">
        <f t="shared" si="305"/>
        <v>0</v>
      </c>
    </row>
    <row r="172" spans="3:69" s="2087" customFormat="1">
      <c r="C172" s="2173" t="s">
        <v>2297</v>
      </c>
      <c r="D172" s="2263" t="s">
        <v>2217</v>
      </c>
      <c r="E172" s="2264"/>
      <c r="F172" s="2265"/>
      <c r="G172" s="2188"/>
      <c r="H172" s="2188"/>
      <c r="I172" s="2186"/>
      <c r="J172" s="2265"/>
      <c r="K172" s="2268"/>
      <c r="L172" s="2268"/>
      <c r="M172" s="2273"/>
      <c r="N172" s="2188"/>
      <c r="O172" s="2188"/>
      <c r="P172" s="2186"/>
      <c r="Q172" s="2265"/>
      <c r="R172" s="2188"/>
      <c r="S172" s="2266"/>
      <c r="T172" s="2267"/>
      <c r="U172" s="2268"/>
      <c r="V172" s="2269"/>
      <c r="W172" s="2270"/>
      <c r="X172" s="2188"/>
      <c r="Y172" s="2271"/>
      <c r="Z172" s="2272"/>
      <c r="AA172" s="2268"/>
      <c r="AB172" s="2273"/>
      <c r="AC172" s="2265"/>
      <c r="AD172" s="2188"/>
      <c r="AE172" s="2266"/>
      <c r="AF172" s="2277"/>
      <c r="AG172" s="2114"/>
      <c r="AH172" s="2188"/>
      <c r="AI172" s="2188"/>
      <c r="AJ172" s="2186"/>
      <c r="AK172" s="2188"/>
      <c r="AL172" s="2188"/>
      <c r="AM172" s="2186"/>
      <c r="AN172" s="2188"/>
      <c r="AO172" s="2188"/>
      <c r="AP172" s="2186"/>
      <c r="AQ172" s="2188"/>
      <c r="AR172" s="2188"/>
      <c r="AS172" s="2186"/>
      <c r="AT172" s="2188"/>
      <c r="AU172" s="2188"/>
      <c r="AV172" s="2186"/>
      <c r="AW172" s="2188"/>
      <c r="AX172" s="2188"/>
      <c r="AY172" s="2186"/>
      <c r="AZ172" s="2188"/>
      <c r="BA172" s="2188"/>
      <c r="BB172" s="2186"/>
      <c r="BC172" s="2188"/>
      <c r="BD172" s="2188"/>
      <c r="BE172" s="2186"/>
      <c r="BF172" s="2188"/>
      <c r="BG172" s="2188"/>
      <c r="BH172" s="2186"/>
      <c r="BI172" s="2188"/>
      <c r="BJ172" s="2188"/>
      <c r="BK172" s="2186"/>
      <c r="BL172" s="2188"/>
      <c r="BM172" s="2188"/>
      <c r="BN172" s="2186"/>
      <c r="BO172" s="2188"/>
      <c r="BP172" s="2188"/>
      <c r="BQ172" s="2186"/>
    </row>
    <row r="173" spans="3:69" s="2087" customFormat="1">
      <c r="C173" s="2173" t="s">
        <v>2298</v>
      </c>
      <c r="D173" s="2174" t="s">
        <v>2219</v>
      </c>
      <c r="E173" s="2274" t="s">
        <v>420</v>
      </c>
      <c r="F173" s="2176"/>
      <c r="G173" s="2252">
        <f>G174+G175+G176+G177+G178</f>
        <v>0</v>
      </c>
      <c r="H173" s="2252">
        <f>H174+H175+H176+H177+H178</f>
        <v>0</v>
      </c>
      <c r="I173" s="2178">
        <f t="shared" ref="I173:I204" si="332">H173-G173</f>
        <v>0</v>
      </c>
      <c r="J173" s="2176"/>
      <c r="K173" s="2179">
        <f>(N173+Q173+W173+AC173)/4</f>
        <v>0</v>
      </c>
      <c r="L173" s="2179">
        <f>(O173+R173+X173+AD173)/4</f>
        <v>0</v>
      </c>
      <c r="M173" s="2178">
        <f t="shared" ref="M173:M204" si="333">L173-K173</f>
        <v>0</v>
      </c>
      <c r="N173" s="2179">
        <f>N174+N175+N176+N177+N178</f>
        <v>0</v>
      </c>
      <c r="O173" s="2179">
        <f>O174+O175+O176+O177+O178</f>
        <v>0</v>
      </c>
      <c r="P173" s="2178">
        <f t="shared" ref="P173:P204" si="334">O173-N173</f>
        <v>0</v>
      </c>
      <c r="Q173" s="2179">
        <f>Q174+Q175+Q176+Q177+Q178</f>
        <v>0</v>
      </c>
      <c r="R173" s="2179">
        <f>R174+R175+R176+R177+R178</f>
        <v>0</v>
      </c>
      <c r="S173" s="2180">
        <f t="shared" ref="S173:S183" si="335">R173-Q173</f>
        <v>0</v>
      </c>
      <c r="T173" s="2181">
        <f>(N173+Q173)/2</f>
        <v>0</v>
      </c>
      <c r="U173" s="2179">
        <f>(O173+R173)/2</f>
        <v>0</v>
      </c>
      <c r="V173" s="2180">
        <f t="shared" ref="V173:V204" si="336">U173-T173</f>
        <v>0</v>
      </c>
      <c r="W173" s="2187">
        <f>W174+W175+W176+W177+W178</f>
        <v>0</v>
      </c>
      <c r="X173" s="2179">
        <f>X174+X175+X176+X177+X178</f>
        <v>0</v>
      </c>
      <c r="Y173" s="2183">
        <f t="shared" ref="Y173:Y183" si="337">X173-W173</f>
        <v>0</v>
      </c>
      <c r="Z173" s="2184">
        <f>(N173+Q173+W173)/3</f>
        <v>0</v>
      </c>
      <c r="AA173" s="2179">
        <f>(O173+R173+X173)/3</f>
        <v>0</v>
      </c>
      <c r="AB173" s="2178">
        <f t="shared" ref="AB173:AB204" si="338">AA173-Z173</f>
        <v>0</v>
      </c>
      <c r="AC173" s="2179">
        <f>AC174+AC175+AC176+AC177+AC178</f>
        <v>0</v>
      </c>
      <c r="AD173" s="2179">
        <f>AD174+AD175+AD176+AD177+AD178</f>
        <v>0</v>
      </c>
      <c r="AE173" s="2180">
        <f t="shared" ref="AE173" si="339">AD173-AC173</f>
        <v>0</v>
      </c>
      <c r="AF173" s="2281"/>
      <c r="AG173" s="2114"/>
      <c r="AH173" s="2188">
        <f>AH174+AH175+AH176+AH177+AH178</f>
        <v>0</v>
      </c>
      <c r="AI173" s="2188">
        <f>AI174+AI175+AI176+AI177+AI178</f>
        <v>0</v>
      </c>
      <c r="AJ173" s="2186">
        <f t="shared" ref="AJ173:AJ204" si="340">AI173-AH173</f>
        <v>0</v>
      </c>
      <c r="AK173" s="2188">
        <f>AK174+AK175+AK176+AK177+AK178</f>
        <v>0</v>
      </c>
      <c r="AL173" s="2188">
        <f>AL174+AL175+AL176+AL177+AL178</f>
        <v>0</v>
      </c>
      <c r="AM173" s="2186">
        <f t="shared" ref="AM173:AM204" si="341">AL173-AK173</f>
        <v>0</v>
      </c>
      <c r="AN173" s="2188">
        <f>AN174+AN175+AN176+AN177+AN178</f>
        <v>0</v>
      </c>
      <c r="AO173" s="2188">
        <f>AO174+AO175+AO176+AO177+AO178</f>
        <v>0</v>
      </c>
      <c r="AP173" s="2186">
        <f t="shared" ref="AP173:AP204" si="342">AO173-AN173</f>
        <v>0</v>
      </c>
      <c r="AQ173" s="2188">
        <f>AQ174+AQ175+AQ176+AQ177+AQ178</f>
        <v>0</v>
      </c>
      <c r="AR173" s="2188">
        <f>AR174+AR175+AR176+AR177+AR178</f>
        <v>0</v>
      </c>
      <c r="AS173" s="2186">
        <f t="shared" ref="AS173:AS204" si="343">AR173-AQ173</f>
        <v>0</v>
      </c>
      <c r="AT173" s="2188">
        <f>AT174+AT175+AT176+AT177+AT178</f>
        <v>0</v>
      </c>
      <c r="AU173" s="2188">
        <f>AU174+AU175+AU176+AU177+AU178</f>
        <v>0</v>
      </c>
      <c r="AV173" s="2186">
        <f t="shared" ref="AV173:AV204" si="344">AU173-AT173</f>
        <v>0</v>
      </c>
      <c r="AW173" s="2188">
        <f>AW174+AW175+AW176+AW177+AW178</f>
        <v>0</v>
      </c>
      <c r="AX173" s="2188">
        <f>AX174+AX175+AX176+AX177+AX178</f>
        <v>0</v>
      </c>
      <c r="AY173" s="2186">
        <f t="shared" ref="AY173:AY204" si="345">AX173-AW173</f>
        <v>0</v>
      </c>
      <c r="AZ173" s="2188">
        <f>AZ174+AZ175+AZ176+AZ177+AZ178</f>
        <v>0</v>
      </c>
      <c r="BA173" s="2188">
        <f>BA174+BA175+BA176+BA177+BA178</f>
        <v>0</v>
      </c>
      <c r="BB173" s="2186">
        <f t="shared" ref="BB173:BB204" si="346">BA173-AZ173</f>
        <v>0</v>
      </c>
      <c r="BC173" s="2188">
        <f>BC174+BC175+BC176+BC177+BC178</f>
        <v>0</v>
      </c>
      <c r="BD173" s="2188">
        <f>BD174+BD175+BD176+BD177+BD178</f>
        <v>0</v>
      </c>
      <c r="BE173" s="2186">
        <f t="shared" ref="BE173:BE204" si="347">BD173-BC173</f>
        <v>0</v>
      </c>
      <c r="BF173" s="2188">
        <f>BF174+BF175+BF176+BF177+BF178</f>
        <v>0</v>
      </c>
      <c r="BG173" s="2188">
        <f>BG174+BG175+BG176+BG177+BG178</f>
        <v>0</v>
      </c>
      <c r="BH173" s="2186">
        <f t="shared" ref="BH173:BH204" si="348">BG173-BF173</f>
        <v>0</v>
      </c>
      <c r="BI173" s="2188">
        <f>BI174+BI175+BI176+BI177+BI178</f>
        <v>0</v>
      </c>
      <c r="BJ173" s="2188">
        <f>BJ174+BJ175+BJ176+BJ177+BJ178</f>
        <v>0</v>
      </c>
      <c r="BK173" s="2186">
        <f t="shared" ref="BK173:BK204" si="349">BJ173-BI173</f>
        <v>0</v>
      </c>
      <c r="BL173" s="2188">
        <f>BL174+BL175+BL176+BL177+BL178</f>
        <v>0</v>
      </c>
      <c r="BM173" s="2188">
        <f>BM174+BM175+BM176+BM177+BM178</f>
        <v>0</v>
      </c>
      <c r="BN173" s="2186">
        <f t="shared" ref="BN173:BN204" si="350">BM173-BL173</f>
        <v>0</v>
      </c>
      <c r="BO173" s="2188">
        <f>BO174+BO175+BO176+BO177+BO178</f>
        <v>0</v>
      </c>
      <c r="BP173" s="2188">
        <f>BP174+BP175+BP176+BP177+BP178</f>
        <v>0</v>
      </c>
      <c r="BQ173" s="2186">
        <f t="shared" ref="BQ173:BQ204" si="351">BP173-BO173</f>
        <v>0</v>
      </c>
    </row>
    <row r="174" spans="3:69" s="2087" customFormat="1">
      <c r="C174" s="2189" t="s">
        <v>2299</v>
      </c>
      <c r="D174" s="2275" t="s">
        <v>2221</v>
      </c>
      <c r="E174" s="2274" t="s">
        <v>420</v>
      </c>
      <c r="F174" s="2176"/>
      <c r="G174" s="2177"/>
      <c r="H174" s="2177"/>
      <c r="I174" s="2178">
        <f t="shared" si="332"/>
        <v>0</v>
      </c>
      <c r="J174" s="2176"/>
      <c r="K174" s="2252">
        <f t="shared" ref="K174:L178" si="352">(N174+Q174+W174+AC174)/4</f>
        <v>0</v>
      </c>
      <c r="L174" s="2252">
        <f t="shared" si="352"/>
        <v>0</v>
      </c>
      <c r="M174" s="2255">
        <f t="shared" si="333"/>
        <v>0</v>
      </c>
      <c r="N174" s="2177"/>
      <c r="O174" s="2177"/>
      <c r="P174" s="2178">
        <f t="shared" si="334"/>
        <v>0</v>
      </c>
      <c r="Q174" s="2176"/>
      <c r="R174" s="2177"/>
      <c r="S174" s="2180">
        <f t="shared" si="335"/>
        <v>0</v>
      </c>
      <c r="T174" s="2251">
        <f>(N174+Q174)/2</f>
        <v>0</v>
      </c>
      <c r="U174" s="2252">
        <f t="shared" ref="U174:U178" si="353">(O174+R174)/2</f>
        <v>0</v>
      </c>
      <c r="V174" s="2253">
        <f t="shared" si="336"/>
        <v>0</v>
      </c>
      <c r="W174" s="2182"/>
      <c r="X174" s="2177"/>
      <c r="Y174" s="2183">
        <f t="shared" si="337"/>
        <v>0</v>
      </c>
      <c r="Z174" s="2254">
        <f t="shared" ref="Z174:AA178" si="354">(N174+Q174+W174)/3</f>
        <v>0</v>
      </c>
      <c r="AA174" s="2252">
        <f t="shared" si="354"/>
        <v>0</v>
      </c>
      <c r="AB174" s="2255">
        <f t="shared" si="338"/>
        <v>0</v>
      </c>
      <c r="AC174" s="2176"/>
      <c r="AD174" s="2177"/>
      <c r="AE174" s="2180">
        <f>AD174-AC174</f>
        <v>0</v>
      </c>
      <c r="AF174" s="2281"/>
      <c r="AG174" s="2114"/>
      <c r="AH174" s="2177"/>
      <c r="AI174" s="2177"/>
      <c r="AJ174" s="2186">
        <f t="shared" si="340"/>
        <v>0</v>
      </c>
      <c r="AK174" s="2177"/>
      <c r="AL174" s="2177"/>
      <c r="AM174" s="2186">
        <f t="shared" si="341"/>
        <v>0</v>
      </c>
      <c r="AN174" s="2177"/>
      <c r="AO174" s="2177"/>
      <c r="AP174" s="2186">
        <f t="shared" si="342"/>
        <v>0</v>
      </c>
      <c r="AQ174" s="2177"/>
      <c r="AR174" s="2177"/>
      <c r="AS174" s="2186">
        <f t="shared" si="343"/>
        <v>0</v>
      </c>
      <c r="AT174" s="2177"/>
      <c r="AU174" s="2177"/>
      <c r="AV174" s="2186">
        <f t="shared" si="344"/>
        <v>0</v>
      </c>
      <c r="AW174" s="2177"/>
      <c r="AX174" s="2177"/>
      <c r="AY174" s="2186">
        <f t="shared" si="345"/>
        <v>0</v>
      </c>
      <c r="AZ174" s="2177"/>
      <c r="BA174" s="2177"/>
      <c r="BB174" s="2186">
        <f t="shared" si="346"/>
        <v>0</v>
      </c>
      <c r="BC174" s="2177"/>
      <c r="BD174" s="2177"/>
      <c r="BE174" s="2186">
        <f t="shared" si="347"/>
        <v>0</v>
      </c>
      <c r="BF174" s="2177"/>
      <c r="BG174" s="2177"/>
      <c r="BH174" s="2186">
        <f t="shared" si="348"/>
        <v>0</v>
      </c>
      <c r="BI174" s="2177"/>
      <c r="BJ174" s="2177"/>
      <c r="BK174" s="2186">
        <f t="shared" si="349"/>
        <v>0</v>
      </c>
      <c r="BL174" s="2177"/>
      <c r="BM174" s="2177"/>
      <c r="BN174" s="2186">
        <f t="shared" si="350"/>
        <v>0</v>
      </c>
      <c r="BO174" s="2177"/>
      <c r="BP174" s="2177"/>
      <c r="BQ174" s="2186">
        <f t="shared" si="351"/>
        <v>0</v>
      </c>
    </row>
    <row r="175" spans="3:69" s="2087" customFormat="1">
      <c r="C175" s="2194" t="s">
        <v>2300</v>
      </c>
      <c r="D175" s="2283" t="s">
        <v>2223</v>
      </c>
      <c r="E175" s="2284" t="s">
        <v>420</v>
      </c>
      <c r="F175" s="2176"/>
      <c r="G175" s="2177"/>
      <c r="H175" s="2177"/>
      <c r="I175" s="2178">
        <f t="shared" si="332"/>
        <v>0</v>
      </c>
      <c r="J175" s="2176"/>
      <c r="K175" s="2252">
        <f t="shared" si="352"/>
        <v>0</v>
      </c>
      <c r="L175" s="2252">
        <f t="shared" si="352"/>
        <v>0</v>
      </c>
      <c r="M175" s="2255">
        <f t="shared" si="333"/>
        <v>0</v>
      </c>
      <c r="N175" s="2177"/>
      <c r="O175" s="2177"/>
      <c r="P175" s="2178">
        <f t="shared" si="334"/>
        <v>0</v>
      </c>
      <c r="Q175" s="2176"/>
      <c r="R175" s="2177"/>
      <c r="S175" s="2180">
        <f t="shared" si="335"/>
        <v>0</v>
      </c>
      <c r="T175" s="2251">
        <f t="shared" ref="T175:T176" si="355">(N175+Q175)/2</f>
        <v>0</v>
      </c>
      <c r="U175" s="2252">
        <f t="shared" si="353"/>
        <v>0</v>
      </c>
      <c r="V175" s="2253">
        <f t="shared" si="336"/>
        <v>0</v>
      </c>
      <c r="W175" s="2182"/>
      <c r="X175" s="2177"/>
      <c r="Y175" s="2183">
        <f t="shared" si="337"/>
        <v>0</v>
      </c>
      <c r="Z175" s="2254">
        <f t="shared" si="354"/>
        <v>0</v>
      </c>
      <c r="AA175" s="2252">
        <f t="shared" si="354"/>
        <v>0</v>
      </c>
      <c r="AB175" s="2255">
        <f t="shared" si="338"/>
        <v>0</v>
      </c>
      <c r="AC175" s="2176"/>
      <c r="AD175" s="2177"/>
      <c r="AE175" s="2180">
        <f t="shared" ref="AE175:AE206" si="356">AD175-AC175</f>
        <v>0</v>
      </c>
      <c r="AF175" s="2281"/>
      <c r="AG175" s="2114"/>
      <c r="AH175" s="2177"/>
      <c r="AI175" s="2177"/>
      <c r="AJ175" s="2186">
        <f t="shared" si="340"/>
        <v>0</v>
      </c>
      <c r="AK175" s="2177"/>
      <c r="AL175" s="2177"/>
      <c r="AM175" s="2186">
        <f t="shared" si="341"/>
        <v>0</v>
      </c>
      <c r="AN175" s="2177"/>
      <c r="AO175" s="2177"/>
      <c r="AP175" s="2186">
        <f t="shared" si="342"/>
        <v>0</v>
      </c>
      <c r="AQ175" s="2177"/>
      <c r="AR175" s="2177"/>
      <c r="AS175" s="2186">
        <f t="shared" si="343"/>
        <v>0</v>
      </c>
      <c r="AT175" s="2177"/>
      <c r="AU175" s="2177"/>
      <c r="AV175" s="2186">
        <f t="shared" si="344"/>
        <v>0</v>
      </c>
      <c r="AW175" s="2177"/>
      <c r="AX175" s="2177"/>
      <c r="AY175" s="2186">
        <f t="shared" si="345"/>
        <v>0</v>
      </c>
      <c r="AZ175" s="2177"/>
      <c r="BA175" s="2177"/>
      <c r="BB175" s="2186">
        <f t="shared" si="346"/>
        <v>0</v>
      </c>
      <c r="BC175" s="2177"/>
      <c r="BD175" s="2177"/>
      <c r="BE175" s="2186">
        <f t="shared" si="347"/>
        <v>0</v>
      </c>
      <c r="BF175" s="2177"/>
      <c r="BG175" s="2177"/>
      <c r="BH175" s="2186">
        <f t="shared" si="348"/>
        <v>0</v>
      </c>
      <c r="BI175" s="2177"/>
      <c r="BJ175" s="2177"/>
      <c r="BK175" s="2186">
        <f t="shared" si="349"/>
        <v>0</v>
      </c>
      <c r="BL175" s="2177"/>
      <c r="BM175" s="2177"/>
      <c r="BN175" s="2186">
        <f t="shared" si="350"/>
        <v>0</v>
      </c>
      <c r="BO175" s="2177"/>
      <c r="BP175" s="2177"/>
      <c r="BQ175" s="2186">
        <f t="shared" si="351"/>
        <v>0</v>
      </c>
    </row>
    <row r="176" spans="3:69" s="2087" customFormat="1">
      <c r="C176" s="2194" t="s">
        <v>2301</v>
      </c>
      <c r="D176" s="2283" t="s">
        <v>2225</v>
      </c>
      <c r="E176" s="2284" t="s">
        <v>420</v>
      </c>
      <c r="F176" s="2176"/>
      <c r="G176" s="2177"/>
      <c r="H176" s="2177"/>
      <c r="I176" s="2178">
        <f t="shared" si="332"/>
        <v>0</v>
      </c>
      <c r="J176" s="2176"/>
      <c r="K176" s="2252">
        <f t="shared" si="352"/>
        <v>0</v>
      </c>
      <c r="L176" s="2252">
        <f t="shared" si="352"/>
        <v>0</v>
      </c>
      <c r="M176" s="2255">
        <f t="shared" si="333"/>
        <v>0</v>
      </c>
      <c r="N176" s="2177"/>
      <c r="O176" s="2177"/>
      <c r="P176" s="2178">
        <f t="shared" si="334"/>
        <v>0</v>
      </c>
      <c r="Q176" s="2176"/>
      <c r="R176" s="2177"/>
      <c r="S176" s="2180">
        <f t="shared" si="335"/>
        <v>0</v>
      </c>
      <c r="T176" s="2251">
        <f t="shared" si="355"/>
        <v>0</v>
      </c>
      <c r="U176" s="2252">
        <f t="shared" si="353"/>
        <v>0</v>
      </c>
      <c r="V176" s="2253">
        <f t="shared" si="336"/>
        <v>0</v>
      </c>
      <c r="W176" s="2182"/>
      <c r="X176" s="2177"/>
      <c r="Y176" s="2183">
        <f t="shared" si="337"/>
        <v>0</v>
      </c>
      <c r="Z176" s="2254">
        <f t="shared" si="354"/>
        <v>0</v>
      </c>
      <c r="AA176" s="2252">
        <f t="shared" si="354"/>
        <v>0</v>
      </c>
      <c r="AB176" s="2255">
        <f t="shared" si="338"/>
        <v>0</v>
      </c>
      <c r="AC176" s="2176"/>
      <c r="AD176" s="2177"/>
      <c r="AE176" s="2180">
        <f t="shared" si="356"/>
        <v>0</v>
      </c>
      <c r="AF176" s="2277"/>
      <c r="AG176" s="2114"/>
      <c r="AH176" s="2177"/>
      <c r="AI176" s="2177"/>
      <c r="AJ176" s="2186">
        <f t="shared" si="340"/>
        <v>0</v>
      </c>
      <c r="AK176" s="2177"/>
      <c r="AL176" s="2177"/>
      <c r="AM176" s="2186">
        <f t="shared" si="341"/>
        <v>0</v>
      </c>
      <c r="AN176" s="2177"/>
      <c r="AO176" s="2177"/>
      <c r="AP176" s="2186">
        <f t="shared" si="342"/>
        <v>0</v>
      </c>
      <c r="AQ176" s="2177"/>
      <c r="AR176" s="2177"/>
      <c r="AS176" s="2186">
        <f t="shared" si="343"/>
        <v>0</v>
      </c>
      <c r="AT176" s="2177"/>
      <c r="AU176" s="2177"/>
      <c r="AV176" s="2186">
        <f t="shared" si="344"/>
        <v>0</v>
      </c>
      <c r="AW176" s="2177"/>
      <c r="AX176" s="2177"/>
      <c r="AY176" s="2186">
        <f t="shared" si="345"/>
        <v>0</v>
      </c>
      <c r="AZ176" s="2177"/>
      <c r="BA176" s="2177"/>
      <c r="BB176" s="2186">
        <f t="shared" si="346"/>
        <v>0</v>
      </c>
      <c r="BC176" s="2177"/>
      <c r="BD176" s="2177"/>
      <c r="BE176" s="2186">
        <f t="shared" si="347"/>
        <v>0</v>
      </c>
      <c r="BF176" s="2177"/>
      <c r="BG176" s="2177"/>
      <c r="BH176" s="2186">
        <f t="shared" si="348"/>
        <v>0</v>
      </c>
      <c r="BI176" s="2177"/>
      <c r="BJ176" s="2177"/>
      <c r="BK176" s="2186">
        <f t="shared" si="349"/>
        <v>0</v>
      </c>
      <c r="BL176" s="2177"/>
      <c r="BM176" s="2177"/>
      <c r="BN176" s="2186">
        <f t="shared" si="350"/>
        <v>0</v>
      </c>
      <c r="BO176" s="2177"/>
      <c r="BP176" s="2177"/>
      <c r="BQ176" s="2186">
        <f t="shared" si="351"/>
        <v>0</v>
      </c>
    </row>
    <row r="177" spans="3:71" s="2087" customFormat="1">
      <c r="C177" s="2194" t="s">
        <v>2302</v>
      </c>
      <c r="D177" s="2283" t="s">
        <v>2227</v>
      </c>
      <c r="E177" s="2284" t="s">
        <v>420</v>
      </c>
      <c r="F177" s="2176"/>
      <c r="G177" s="2177"/>
      <c r="H177" s="2177"/>
      <c r="I177" s="2178">
        <f t="shared" si="332"/>
        <v>0</v>
      </c>
      <c r="J177" s="2176"/>
      <c r="K177" s="2252">
        <f>(N177+Q177+W177+AC177)/4</f>
        <v>0</v>
      </c>
      <c r="L177" s="2252">
        <f t="shared" si="352"/>
        <v>0</v>
      </c>
      <c r="M177" s="2255">
        <f t="shared" si="333"/>
        <v>0</v>
      </c>
      <c r="N177" s="2177"/>
      <c r="O177" s="2177"/>
      <c r="P177" s="2178">
        <f t="shared" si="334"/>
        <v>0</v>
      </c>
      <c r="Q177" s="2176"/>
      <c r="R177" s="2177"/>
      <c r="S177" s="2180">
        <f t="shared" si="335"/>
        <v>0</v>
      </c>
      <c r="T177" s="2251">
        <f>(N177+Q177)/2</f>
        <v>0</v>
      </c>
      <c r="U177" s="2252">
        <f t="shared" si="353"/>
        <v>0</v>
      </c>
      <c r="V177" s="2253">
        <f t="shared" si="336"/>
        <v>0</v>
      </c>
      <c r="W177" s="2182"/>
      <c r="X177" s="2177"/>
      <c r="Y177" s="2183">
        <f t="shared" si="337"/>
        <v>0</v>
      </c>
      <c r="Z177" s="2254">
        <f>(N177+Q177+W177)/3</f>
        <v>0</v>
      </c>
      <c r="AA177" s="2252">
        <f t="shared" si="354"/>
        <v>0</v>
      </c>
      <c r="AB177" s="2255">
        <f t="shared" si="338"/>
        <v>0</v>
      </c>
      <c r="AC177" s="2176"/>
      <c r="AD177" s="2177"/>
      <c r="AE177" s="2180">
        <f t="shared" si="356"/>
        <v>0</v>
      </c>
      <c r="AF177" s="2281"/>
      <c r="AG177" s="2114"/>
      <c r="AH177" s="2177"/>
      <c r="AI177" s="2177"/>
      <c r="AJ177" s="2186">
        <f t="shared" si="340"/>
        <v>0</v>
      </c>
      <c r="AK177" s="2177"/>
      <c r="AL177" s="2177"/>
      <c r="AM177" s="2186">
        <f t="shared" si="341"/>
        <v>0</v>
      </c>
      <c r="AN177" s="2177"/>
      <c r="AO177" s="2177"/>
      <c r="AP177" s="2186">
        <f t="shared" si="342"/>
        <v>0</v>
      </c>
      <c r="AQ177" s="2177"/>
      <c r="AR177" s="2177"/>
      <c r="AS177" s="2186">
        <f t="shared" si="343"/>
        <v>0</v>
      </c>
      <c r="AT177" s="2177"/>
      <c r="AU177" s="2177"/>
      <c r="AV177" s="2186">
        <f t="shared" si="344"/>
        <v>0</v>
      </c>
      <c r="AW177" s="2177"/>
      <c r="AX177" s="2177"/>
      <c r="AY177" s="2186">
        <f t="shared" si="345"/>
        <v>0</v>
      </c>
      <c r="AZ177" s="2177"/>
      <c r="BA177" s="2177"/>
      <c r="BB177" s="2186">
        <f t="shared" si="346"/>
        <v>0</v>
      </c>
      <c r="BC177" s="2177"/>
      <c r="BD177" s="2177"/>
      <c r="BE177" s="2186">
        <f t="shared" si="347"/>
        <v>0</v>
      </c>
      <c r="BF177" s="2177"/>
      <c r="BG177" s="2177"/>
      <c r="BH177" s="2186">
        <f t="shared" si="348"/>
        <v>0</v>
      </c>
      <c r="BI177" s="2177"/>
      <c r="BJ177" s="2177"/>
      <c r="BK177" s="2186">
        <f t="shared" si="349"/>
        <v>0</v>
      </c>
      <c r="BL177" s="2177"/>
      <c r="BM177" s="2177"/>
      <c r="BN177" s="2186">
        <f t="shared" si="350"/>
        <v>0</v>
      </c>
      <c r="BO177" s="2177"/>
      <c r="BP177" s="2177"/>
      <c r="BQ177" s="2186">
        <f t="shared" si="351"/>
        <v>0</v>
      </c>
    </row>
    <row r="178" spans="3:71" s="2087" customFormat="1" hidden="1">
      <c r="C178" s="2194" t="s">
        <v>2303</v>
      </c>
      <c r="D178" s="2283" t="s">
        <v>2229</v>
      </c>
      <c r="E178" s="2284" t="s">
        <v>420</v>
      </c>
      <c r="F178" s="2176"/>
      <c r="G178" s="2177"/>
      <c r="H178" s="2177"/>
      <c r="I178" s="2178">
        <f t="shared" si="332"/>
        <v>0</v>
      </c>
      <c r="J178" s="2176"/>
      <c r="K178" s="2252">
        <f>(N178+Q178+W178+AC178)/4</f>
        <v>0</v>
      </c>
      <c r="L178" s="2252">
        <f t="shared" si="352"/>
        <v>0</v>
      </c>
      <c r="M178" s="2255">
        <f t="shared" si="333"/>
        <v>0</v>
      </c>
      <c r="N178" s="2177"/>
      <c r="O178" s="2177"/>
      <c r="P178" s="2178">
        <f t="shared" si="334"/>
        <v>0</v>
      </c>
      <c r="Q178" s="2176"/>
      <c r="R178" s="2177"/>
      <c r="S178" s="2180">
        <f t="shared" si="335"/>
        <v>0</v>
      </c>
      <c r="T178" s="2251">
        <f>(N178+Q178)/2</f>
        <v>0</v>
      </c>
      <c r="U178" s="2252">
        <f t="shared" si="353"/>
        <v>0</v>
      </c>
      <c r="V178" s="2253">
        <f t="shared" si="336"/>
        <v>0</v>
      </c>
      <c r="W178" s="2182"/>
      <c r="X178" s="2177"/>
      <c r="Y178" s="2183">
        <f t="shared" si="337"/>
        <v>0</v>
      </c>
      <c r="Z178" s="2254">
        <f>(N178+Q178+W178)/3</f>
        <v>0</v>
      </c>
      <c r="AA178" s="2252">
        <f t="shared" si="354"/>
        <v>0</v>
      </c>
      <c r="AB178" s="2255">
        <f t="shared" si="338"/>
        <v>0</v>
      </c>
      <c r="AC178" s="2176"/>
      <c r="AD178" s="2177"/>
      <c r="AE178" s="2180">
        <f t="shared" si="356"/>
        <v>0</v>
      </c>
      <c r="AF178" s="2281"/>
      <c r="AG178" s="2114"/>
      <c r="AH178" s="2177"/>
      <c r="AI178" s="2177"/>
      <c r="AJ178" s="2186">
        <f t="shared" si="340"/>
        <v>0</v>
      </c>
      <c r="AK178" s="2177"/>
      <c r="AL178" s="2177"/>
      <c r="AM178" s="2186">
        <f t="shared" si="341"/>
        <v>0</v>
      </c>
      <c r="AN178" s="2177"/>
      <c r="AO178" s="2177"/>
      <c r="AP178" s="2186">
        <f t="shared" si="342"/>
        <v>0</v>
      </c>
      <c r="AQ178" s="2177"/>
      <c r="AR178" s="2177"/>
      <c r="AS178" s="2186">
        <f t="shared" si="343"/>
        <v>0</v>
      </c>
      <c r="AT178" s="2177"/>
      <c r="AU178" s="2177"/>
      <c r="AV178" s="2186">
        <f t="shared" si="344"/>
        <v>0</v>
      </c>
      <c r="AW178" s="2177"/>
      <c r="AX178" s="2177"/>
      <c r="AY178" s="2186">
        <f t="shared" si="345"/>
        <v>0</v>
      </c>
      <c r="AZ178" s="2177"/>
      <c r="BA178" s="2177"/>
      <c r="BB178" s="2186">
        <f t="shared" si="346"/>
        <v>0</v>
      </c>
      <c r="BC178" s="2177"/>
      <c r="BD178" s="2177"/>
      <c r="BE178" s="2186">
        <f t="shared" si="347"/>
        <v>0</v>
      </c>
      <c r="BF178" s="2177"/>
      <c r="BG178" s="2177"/>
      <c r="BH178" s="2186">
        <f t="shared" si="348"/>
        <v>0</v>
      </c>
      <c r="BI178" s="2177"/>
      <c r="BJ178" s="2177"/>
      <c r="BK178" s="2186">
        <f t="shared" si="349"/>
        <v>0</v>
      </c>
      <c r="BL178" s="2177"/>
      <c r="BM178" s="2177"/>
      <c r="BN178" s="2186">
        <f t="shared" si="350"/>
        <v>0</v>
      </c>
      <c r="BO178" s="2177"/>
      <c r="BP178" s="2177"/>
      <c r="BQ178" s="2186">
        <f t="shared" si="351"/>
        <v>0</v>
      </c>
    </row>
    <row r="179" spans="3:71" s="2087" customFormat="1">
      <c r="C179" s="2285" t="s">
        <v>2304</v>
      </c>
      <c r="D179" s="2286" t="s">
        <v>2231</v>
      </c>
      <c r="E179" s="2284" t="s">
        <v>240</v>
      </c>
      <c r="F179" s="2176"/>
      <c r="G179" s="2252">
        <f>G180+G181+G182+G183+G184</f>
        <v>0</v>
      </c>
      <c r="H179" s="2252">
        <f>H180+H181+H182+H183+H184</f>
        <v>0</v>
      </c>
      <c r="I179" s="2178">
        <f t="shared" si="332"/>
        <v>0</v>
      </c>
      <c r="J179" s="2176"/>
      <c r="K179" s="2179">
        <f t="shared" ref="K179:L194" si="357">N179+Q179+W179+AC179</f>
        <v>0</v>
      </c>
      <c r="L179" s="2179">
        <f t="shared" si="357"/>
        <v>0</v>
      </c>
      <c r="M179" s="2178">
        <f t="shared" si="333"/>
        <v>0</v>
      </c>
      <c r="N179" s="2179">
        <f>N180+N181+N182+N183+N184</f>
        <v>0</v>
      </c>
      <c r="O179" s="2179">
        <f>O180+O181+O182+O183+O184</f>
        <v>0</v>
      </c>
      <c r="P179" s="2178">
        <f t="shared" si="334"/>
        <v>0</v>
      </c>
      <c r="Q179" s="2179">
        <f>Q180+Q181+Q182+Q183+Q184</f>
        <v>0</v>
      </c>
      <c r="R179" s="2179">
        <f>R180+R181+R182+R183+R184</f>
        <v>0</v>
      </c>
      <c r="S179" s="2180">
        <f t="shared" si="335"/>
        <v>0</v>
      </c>
      <c r="T179" s="2181">
        <f t="shared" ref="T179:U194" si="358">N179+Q179</f>
        <v>0</v>
      </c>
      <c r="U179" s="2179">
        <f t="shared" si="358"/>
        <v>0</v>
      </c>
      <c r="V179" s="2180">
        <f t="shared" si="336"/>
        <v>0</v>
      </c>
      <c r="W179" s="2187">
        <f>W180+W181+W182+W183+W184</f>
        <v>0</v>
      </c>
      <c r="X179" s="2179">
        <f>X180+X181+X182+X183+X184</f>
        <v>0</v>
      </c>
      <c r="Y179" s="2183">
        <f t="shared" si="337"/>
        <v>0</v>
      </c>
      <c r="Z179" s="2184">
        <f t="shared" ref="Z179:AA194" si="359">T179+W179</f>
        <v>0</v>
      </c>
      <c r="AA179" s="2179">
        <f t="shared" si="359"/>
        <v>0</v>
      </c>
      <c r="AB179" s="2178">
        <f t="shared" si="338"/>
        <v>0</v>
      </c>
      <c r="AC179" s="2179">
        <f>AC180+AC181+AC182+AC183+AC184</f>
        <v>0</v>
      </c>
      <c r="AD179" s="2179">
        <f>AD180+AD181+AD182+AD183+AD184</f>
        <v>0</v>
      </c>
      <c r="AE179" s="2180">
        <f t="shared" si="356"/>
        <v>0</v>
      </c>
      <c r="AF179" s="2281"/>
      <c r="AG179" s="2114"/>
      <c r="AH179" s="2188">
        <f>AH180+AH181+AH182+AH183+AH184</f>
        <v>0</v>
      </c>
      <c r="AI179" s="2188">
        <f>AI180+AI181+AI182+AI183+AI184</f>
        <v>0</v>
      </c>
      <c r="AJ179" s="2186">
        <f t="shared" si="340"/>
        <v>0</v>
      </c>
      <c r="AK179" s="2188">
        <f>AK180+AK181+AK182+AK183+AK184</f>
        <v>0</v>
      </c>
      <c r="AL179" s="2188">
        <f>AL180+AL181+AL182+AL183+AL184</f>
        <v>0</v>
      </c>
      <c r="AM179" s="2186">
        <f t="shared" si="341"/>
        <v>0</v>
      </c>
      <c r="AN179" s="2188">
        <f>AN180+AN181+AN182+AN183+AN184</f>
        <v>0</v>
      </c>
      <c r="AO179" s="2188">
        <f>AO180+AO181+AO182+AO183+AO184</f>
        <v>0</v>
      </c>
      <c r="AP179" s="2186">
        <f t="shared" si="342"/>
        <v>0</v>
      </c>
      <c r="AQ179" s="2188">
        <f>AQ180+AQ181+AQ182+AQ183+AQ184</f>
        <v>0</v>
      </c>
      <c r="AR179" s="2188">
        <f>AR180+AR181+AR182+AR183+AR184</f>
        <v>0</v>
      </c>
      <c r="AS179" s="2186">
        <f t="shared" si="343"/>
        <v>0</v>
      </c>
      <c r="AT179" s="2188">
        <f>AT180+AT181+AT182+AT183+AT184</f>
        <v>0</v>
      </c>
      <c r="AU179" s="2188">
        <f>AU180+AU181+AU182+AU183+AU184</f>
        <v>0</v>
      </c>
      <c r="AV179" s="2186">
        <f t="shared" si="344"/>
        <v>0</v>
      </c>
      <c r="AW179" s="2188">
        <f>AW180+AW181+AW182+AW183+AW184</f>
        <v>0</v>
      </c>
      <c r="AX179" s="2188">
        <f>AX180+AX181+AX182+AX183+AX184</f>
        <v>0</v>
      </c>
      <c r="AY179" s="2186">
        <f t="shared" si="345"/>
        <v>0</v>
      </c>
      <c r="AZ179" s="2188">
        <f>AZ180+AZ181+AZ182+AZ183+AZ184</f>
        <v>0</v>
      </c>
      <c r="BA179" s="2188">
        <f>BA180+BA181+BA182+BA183+BA184</f>
        <v>0</v>
      </c>
      <c r="BB179" s="2186">
        <f t="shared" si="346"/>
        <v>0</v>
      </c>
      <c r="BC179" s="2188">
        <f>BC180+BC181+BC182+BC183+BC184</f>
        <v>0</v>
      </c>
      <c r="BD179" s="2188">
        <f>BD180+BD181+BD182+BD183+BD184</f>
        <v>0</v>
      </c>
      <c r="BE179" s="2186">
        <f t="shared" si="347"/>
        <v>0</v>
      </c>
      <c r="BF179" s="2188">
        <f>BF180+BF181+BF182+BF183+BF184</f>
        <v>0</v>
      </c>
      <c r="BG179" s="2188">
        <f>BG180+BG181+BG182+BG183+BG184</f>
        <v>0</v>
      </c>
      <c r="BH179" s="2186">
        <f t="shared" si="348"/>
        <v>0</v>
      </c>
      <c r="BI179" s="2188">
        <f>BI180+BI181+BI182+BI183+BI184</f>
        <v>0</v>
      </c>
      <c r="BJ179" s="2188">
        <f>BJ180+BJ181+BJ182+BJ183+BJ184</f>
        <v>0</v>
      </c>
      <c r="BK179" s="2186">
        <f t="shared" si="349"/>
        <v>0</v>
      </c>
      <c r="BL179" s="2188">
        <f>BL180+BL181+BL182+BL183+BL184</f>
        <v>0</v>
      </c>
      <c r="BM179" s="2188">
        <f>BM180+BM181+BM182+BM183+BM184</f>
        <v>0</v>
      </c>
      <c r="BN179" s="2186">
        <f t="shared" si="350"/>
        <v>0</v>
      </c>
      <c r="BO179" s="2188">
        <f>BO180+BO181+BO182+BO183+BO184</f>
        <v>0</v>
      </c>
      <c r="BP179" s="2188">
        <f>BP180+BP181+BP182+BP183+BP184</f>
        <v>0</v>
      </c>
      <c r="BQ179" s="2186">
        <f t="shared" si="351"/>
        <v>0</v>
      </c>
    </row>
    <row r="180" spans="3:71" s="2087" customFormat="1">
      <c r="C180" s="2194" t="s">
        <v>2305</v>
      </c>
      <c r="D180" s="2283" t="s">
        <v>2221</v>
      </c>
      <c r="E180" s="2284" t="s">
        <v>240</v>
      </c>
      <c r="F180" s="2176"/>
      <c r="G180" s="2177"/>
      <c r="H180" s="2177"/>
      <c r="I180" s="2178">
        <f t="shared" si="332"/>
        <v>0</v>
      </c>
      <c r="J180" s="2176"/>
      <c r="K180" s="2252">
        <f t="shared" si="357"/>
        <v>0</v>
      </c>
      <c r="L180" s="2252">
        <f t="shared" si="357"/>
        <v>0</v>
      </c>
      <c r="M180" s="2255">
        <f t="shared" si="333"/>
        <v>0</v>
      </c>
      <c r="N180" s="2177"/>
      <c r="O180" s="2177"/>
      <c r="P180" s="2178">
        <f t="shared" si="334"/>
        <v>0</v>
      </c>
      <c r="Q180" s="2176"/>
      <c r="R180" s="2176"/>
      <c r="S180" s="2180">
        <f t="shared" si="335"/>
        <v>0</v>
      </c>
      <c r="T180" s="2251">
        <f t="shared" si="358"/>
        <v>0</v>
      </c>
      <c r="U180" s="2252">
        <f t="shared" si="358"/>
        <v>0</v>
      </c>
      <c r="V180" s="2253">
        <f t="shared" si="336"/>
        <v>0</v>
      </c>
      <c r="W180" s="2182"/>
      <c r="X180" s="2177"/>
      <c r="Y180" s="2183">
        <f t="shared" si="337"/>
        <v>0</v>
      </c>
      <c r="Z180" s="2254">
        <f t="shared" si="359"/>
        <v>0</v>
      </c>
      <c r="AA180" s="2252">
        <f t="shared" si="359"/>
        <v>0</v>
      </c>
      <c r="AB180" s="2255">
        <f t="shared" si="338"/>
        <v>0</v>
      </c>
      <c r="AC180" s="2176"/>
      <c r="AD180" s="2177"/>
      <c r="AE180" s="2180">
        <f t="shared" si="356"/>
        <v>0</v>
      </c>
      <c r="AF180" s="2281"/>
      <c r="AG180" s="2114"/>
      <c r="AH180" s="2177"/>
      <c r="AI180" s="2177"/>
      <c r="AJ180" s="2186">
        <f t="shared" si="340"/>
        <v>0</v>
      </c>
      <c r="AK180" s="2177"/>
      <c r="AL180" s="2177"/>
      <c r="AM180" s="2186">
        <f t="shared" si="341"/>
        <v>0</v>
      </c>
      <c r="AN180" s="2177"/>
      <c r="AO180" s="2177"/>
      <c r="AP180" s="2186">
        <f t="shared" si="342"/>
        <v>0</v>
      </c>
      <c r="AQ180" s="2177"/>
      <c r="AR180" s="2177"/>
      <c r="AS180" s="2186">
        <f t="shared" si="343"/>
        <v>0</v>
      </c>
      <c r="AT180" s="2177"/>
      <c r="AU180" s="2177"/>
      <c r="AV180" s="2186">
        <f t="shared" si="344"/>
        <v>0</v>
      </c>
      <c r="AW180" s="2177"/>
      <c r="AX180" s="2177"/>
      <c r="AY180" s="2186">
        <f t="shared" si="345"/>
        <v>0</v>
      </c>
      <c r="AZ180" s="2177"/>
      <c r="BA180" s="2177"/>
      <c r="BB180" s="2186">
        <f t="shared" si="346"/>
        <v>0</v>
      </c>
      <c r="BC180" s="2177"/>
      <c r="BD180" s="2177"/>
      <c r="BE180" s="2186">
        <f t="shared" si="347"/>
        <v>0</v>
      </c>
      <c r="BF180" s="2177"/>
      <c r="BG180" s="2177"/>
      <c r="BH180" s="2186">
        <f t="shared" si="348"/>
        <v>0</v>
      </c>
      <c r="BI180" s="2177"/>
      <c r="BJ180" s="2177"/>
      <c r="BK180" s="2186">
        <f t="shared" si="349"/>
        <v>0</v>
      </c>
      <c r="BL180" s="2177"/>
      <c r="BM180" s="2177"/>
      <c r="BN180" s="2186">
        <f t="shared" si="350"/>
        <v>0</v>
      </c>
      <c r="BO180" s="2177"/>
      <c r="BP180" s="2177"/>
      <c r="BQ180" s="2186">
        <f t="shared" si="351"/>
        <v>0</v>
      </c>
    </row>
    <row r="181" spans="3:71" s="2087" customFormat="1">
      <c r="C181" s="2194" t="s">
        <v>2306</v>
      </c>
      <c r="D181" s="2283" t="s">
        <v>2223</v>
      </c>
      <c r="E181" s="2284" t="s">
        <v>240</v>
      </c>
      <c r="F181" s="2176"/>
      <c r="G181" s="2177"/>
      <c r="H181" s="2177"/>
      <c r="I181" s="2178">
        <f t="shared" si="332"/>
        <v>0</v>
      </c>
      <c r="J181" s="2176"/>
      <c r="K181" s="2252">
        <f t="shared" si="357"/>
        <v>0</v>
      </c>
      <c r="L181" s="2252">
        <f t="shared" si="357"/>
        <v>0</v>
      </c>
      <c r="M181" s="2255">
        <f t="shared" si="333"/>
        <v>0</v>
      </c>
      <c r="N181" s="2177"/>
      <c r="O181" s="2177"/>
      <c r="P181" s="2178">
        <f t="shared" si="334"/>
        <v>0</v>
      </c>
      <c r="Q181" s="2176"/>
      <c r="R181" s="2177"/>
      <c r="S181" s="2180">
        <f t="shared" si="335"/>
        <v>0</v>
      </c>
      <c r="T181" s="2251">
        <f t="shared" si="358"/>
        <v>0</v>
      </c>
      <c r="U181" s="2252">
        <f t="shared" si="358"/>
        <v>0</v>
      </c>
      <c r="V181" s="2253">
        <f t="shared" si="336"/>
        <v>0</v>
      </c>
      <c r="W181" s="2182"/>
      <c r="X181" s="2177"/>
      <c r="Y181" s="2183">
        <f t="shared" si="337"/>
        <v>0</v>
      </c>
      <c r="Z181" s="2254">
        <f t="shared" si="359"/>
        <v>0</v>
      </c>
      <c r="AA181" s="2252">
        <f t="shared" si="359"/>
        <v>0</v>
      </c>
      <c r="AB181" s="2255">
        <f t="shared" si="338"/>
        <v>0</v>
      </c>
      <c r="AC181" s="2176"/>
      <c r="AD181" s="2177"/>
      <c r="AE181" s="2180">
        <f t="shared" si="356"/>
        <v>0</v>
      </c>
      <c r="AF181" s="2281"/>
      <c r="AG181" s="2114"/>
      <c r="AH181" s="2177"/>
      <c r="AI181" s="2177"/>
      <c r="AJ181" s="2186">
        <f t="shared" si="340"/>
        <v>0</v>
      </c>
      <c r="AK181" s="2177"/>
      <c r="AL181" s="2177"/>
      <c r="AM181" s="2186">
        <f t="shared" si="341"/>
        <v>0</v>
      </c>
      <c r="AN181" s="2177"/>
      <c r="AO181" s="2177"/>
      <c r="AP181" s="2186">
        <f t="shared" si="342"/>
        <v>0</v>
      </c>
      <c r="AQ181" s="2177"/>
      <c r="AR181" s="2177"/>
      <c r="AS181" s="2186">
        <f t="shared" si="343"/>
        <v>0</v>
      </c>
      <c r="AT181" s="2177"/>
      <c r="AU181" s="2177"/>
      <c r="AV181" s="2186">
        <f t="shared" si="344"/>
        <v>0</v>
      </c>
      <c r="AW181" s="2177"/>
      <c r="AX181" s="2177"/>
      <c r="AY181" s="2186">
        <f t="shared" si="345"/>
        <v>0</v>
      </c>
      <c r="AZ181" s="2177"/>
      <c r="BA181" s="2177"/>
      <c r="BB181" s="2186">
        <f t="shared" si="346"/>
        <v>0</v>
      </c>
      <c r="BC181" s="2177"/>
      <c r="BD181" s="2177"/>
      <c r="BE181" s="2186">
        <f t="shared" si="347"/>
        <v>0</v>
      </c>
      <c r="BF181" s="2177"/>
      <c r="BG181" s="2177"/>
      <c r="BH181" s="2186">
        <f t="shared" si="348"/>
        <v>0</v>
      </c>
      <c r="BI181" s="2177"/>
      <c r="BJ181" s="2177"/>
      <c r="BK181" s="2186">
        <f t="shared" si="349"/>
        <v>0</v>
      </c>
      <c r="BL181" s="2177"/>
      <c r="BM181" s="2177"/>
      <c r="BN181" s="2186">
        <f t="shared" si="350"/>
        <v>0</v>
      </c>
      <c r="BO181" s="2177"/>
      <c r="BP181" s="2177"/>
      <c r="BQ181" s="2186">
        <f t="shared" si="351"/>
        <v>0</v>
      </c>
    </row>
    <row r="182" spans="3:71" s="2087" customFormat="1">
      <c r="C182" s="2194" t="s">
        <v>2307</v>
      </c>
      <c r="D182" s="2283" t="s">
        <v>2225</v>
      </c>
      <c r="E182" s="2284" t="s">
        <v>240</v>
      </c>
      <c r="F182" s="2176"/>
      <c r="G182" s="2177"/>
      <c r="H182" s="2177"/>
      <c r="I182" s="2178">
        <f t="shared" si="332"/>
        <v>0</v>
      </c>
      <c r="J182" s="2176"/>
      <c r="K182" s="2252">
        <f t="shared" si="357"/>
        <v>0</v>
      </c>
      <c r="L182" s="2252">
        <f t="shared" si="357"/>
        <v>0</v>
      </c>
      <c r="M182" s="2255">
        <f t="shared" si="333"/>
        <v>0</v>
      </c>
      <c r="N182" s="2177"/>
      <c r="O182" s="2177"/>
      <c r="P182" s="2178">
        <f t="shared" si="334"/>
        <v>0</v>
      </c>
      <c r="Q182" s="2176"/>
      <c r="R182" s="2177"/>
      <c r="S182" s="2180">
        <f t="shared" si="335"/>
        <v>0</v>
      </c>
      <c r="T182" s="2251">
        <f t="shared" si="358"/>
        <v>0</v>
      </c>
      <c r="U182" s="2252">
        <f t="shared" si="358"/>
        <v>0</v>
      </c>
      <c r="V182" s="2253">
        <f t="shared" si="336"/>
        <v>0</v>
      </c>
      <c r="W182" s="2182"/>
      <c r="X182" s="2177"/>
      <c r="Y182" s="2183">
        <f t="shared" si="337"/>
        <v>0</v>
      </c>
      <c r="Z182" s="2254">
        <f t="shared" si="359"/>
        <v>0</v>
      </c>
      <c r="AA182" s="2252">
        <f t="shared" si="359"/>
        <v>0</v>
      </c>
      <c r="AB182" s="2255">
        <f t="shared" si="338"/>
        <v>0</v>
      </c>
      <c r="AC182" s="2176"/>
      <c r="AD182" s="2177"/>
      <c r="AE182" s="2180">
        <f t="shared" si="356"/>
        <v>0</v>
      </c>
      <c r="AF182" s="2281"/>
      <c r="AG182" s="2114"/>
      <c r="AH182" s="2177"/>
      <c r="AI182" s="2177"/>
      <c r="AJ182" s="2186">
        <f t="shared" si="340"/>
        <v>0</v>
      </c>
      <c r="AK182" s="2177"/>
      <c r="AL182" s="2177"/>
      <c r="AM182" s="2186">
        <f t="shared" si="341"/>
        <v>0</v>
      </c>
      <c r="AN182" s="2177"/>
      <c r="AO182" s="2177"/>
      <c r="AP182" s="2186">
        <f t="shared" si="342"/>
        <v>0</v>
      </c>
      <c r="AQ182" s="2177"/>
      <c r="AR182" s="2177"/>
      <c r="AS182" s="2186">
        <f t="shared" si="343"/>
        <v>0</v>
      </c>
      <c r="AT182" s="2177"/>
      <c r="AU182" s="2177"/>
      <c r="AV182" s="2186">
        <f t="shared" si="344"/>
        <v>0</v>
      </c>
      <c r="AW182" s="2177"/>
      <c r="AX182" s="2177"/>
      <c r="AY182" s="2186">
        <f t="shared" si="345"/>
        <v>0</v>
      </c>
      <c r="AZ182" s="2177"/>
      <c r="BA182" s="2177"/>
      <c r="BB182" s="2186">
        <f t="shared" si="346"/>
        <v>0</v>
      </c>
      <c r="BC182" s="2177"/>
      <c r="BD182" s="2177"/>
      <c r="BE182" s="2186">
        <f t="shared" si="347"/>
        <v>0</v>
      </c>
      <c r="BF182" s="2177"/>
      <c r="BG182" s="2177"/>
      <c r="BH182" s="2186">
        <f t="shared" si="348"/>
        <v>0</v>
      </c>
      <c r="BI182" s="2177"/>
      <c r="BJ182" s="2177"/>
      <c r="BK182" s="2186">
        <f t="shared" si="349"/>
        <v>0</v>
      </c>
      <c r="BL182" s="2177"/>
      <c r="BM182" s="2177"/>
      <c r="BN182" s="2186">
        <f t="shared" si="350"/>
        <v>0</v>
      </c>
      <c r="BO182" s="2177"/>
      <c r="BP182" s="2177"/>
      <c r="BQ182" s="2186">
        <f t="shared" si="351"/>
        <v>0</v>
      </c>
    </row>
    <row r="183" spans="3:71" s="2087" customFormat="1">
      <c r="C183" s="2194" t="s">
        <v>2308</v>
      </c>
      <c r="D183" s="2283" t="s">
        <v>2227</v>
      </c>
      <c r="E183" s="2284" t="s">
        <v>240</v>
      </c>
      <c r="F183" s="2176"/>
      <c r="G183" s="2177"/>
      <c r="H183" s="2177"/>
      <c r="I183" s="2178">
        <f t="shared" si="332"/>
        <v>0</v>
      </c>
      <c r="J183" s="2176"/>
      <c r="K183" s="2252">
        <f t="shared" si="357"/>
        <v>0</v>
      </c>
      <c r="L183" s="2252">
        <f t="shared" si="357"/>
        <v>0</v>
      </c>
      <c r="M183" s="2255">
        <f t="shared" si="333"/>
        <v>0</v>
      </c>
      <c r="N183" s="2177"/>
      <c r="O183" s="2177"/>
      <c r="P183" s="2178">
        <f t="shared" si="334"/>
        <v>0</v>
      </c>
      <c r="Q183" s="2176"/>
      <c r="R183" s="2177"/>
      <c r="S183" s="2180">
        <f t="shared" si="335"/>
        <v>0</v>
      </c>
      <c r="T183" s="2251">
        <f t="shared" si="358"/>
        <v>0</v>
      </c>
      <c r="U183" s="2252">
        <f t="shared" si="358"/>
        <v>0</v>
      </c>
      <c r="V183" s="2253">
        <f t="shared" si="336"/>
        <v>0</v>
      </c>
      <c r="W183" s="2182"/>
      <c r="X183" s="2177"/>
      <c r="Y183" s="2183">
        <f t="shared" si="337"/>
        <v>0</v>
      </c>
      <c r="Z183" s="2254">
        <f t="shared" si="359"/>
        <v>0</v>
      </c>
      <c r="AA183" s="2252">
        <f t="shared" si="359"/>
        <v>0</v>
      </c>
      <c r="AB183" s="2255">
        <f t="shared" si="338"/>
        <v>0</v>
      </c>
      <c r="AC183" s="2176"/>
      <c r="AD183" s="2177"/>
      <c r="AE183" s="2180">
        <f t="shared" si="356"/>
        <v>0</v>
      </c>
      <c r="AF183" s="2281"/>
      <c r="AG183" s="2114"/>
      <c r="AH183" s="2177"/>
      <c r="AI183" s="2177"/>
      <c r="AJ183" s="2186">
        <f t="shared" si="340"/>
        <v>0</v>
      </c>
      <c r="AK183" s="2177"/>
      <c r="AL183" s="2177"/>
      <c r="AM183" s="2186">
        <f t="shared" si="341"/>
        <v>0</v>
      </c>
      <c r="AN183" s="2177"/>
      <c r="AO183" s="2177"/>
      <c r="AP183" s="2186">
        <f t="shared" si="342"/>
        <v>0</v>
      </c>
      <c r="AQ183" s="2177"/>
      <c r="AR183" s="2177"/>
      <c r="AS183" s="2186">
        <f t="shared" si="343"/>
        <v>0</v>
      </c>
      <c r="AT183" s="2177"/>
      <c r="AU183" s="2177"/>
      <c r="AV183" s="2186">
        <f t="shared" si="344"/>
        <v>0</v>
      </c>
      <c r="AW183" s="2177"/>
      <c r="AX183" s="2177"/>
      <c r="AY183" s="2186">
        <f t="shared" si="345"/>
        <v>0</v>
      </c>
      <c r="AZ183" s="2177"/>
      <c r="BA183" s="2177"/>
      <c r="BB183" s="2186">
        <f t="shared" si="346"/>
        <v>0</v>
      </c>
      <c r="BC183" s="2177"/>
      <c r="BD183" s="2177"/>
      <c r="BE183" s="2186">
        <f t="shared" si="347"/>
        <v>0</v>
      </c>
      <c r="BF183" s="2177"/>
      <c r="BG183" s="2177"/>
      <c r="BH183" s="2186">
        <f t="shared" si="348"/>
        <v>0</v>
      </c>
      <c r="BI183" s="2177"/>
      <c r="BJ183" s="2177"/>
      <c r="BK183" s="2186">
        <f t="shared" si="349"/>
        <v>0</v>
      </c>
      <c r="BL183" s="2177"/>
      <c r="BM183" s="2177"/>
      <c r="BN183" s="2186">
        <f t="shared" si="350"/>
        <v>0</v>
      </c>
      <c r="BO183" s="2177"/>
      <c r="BP183" s="2177"/>
      <c r="BQ183" s="2186">
        <f t="shared" si="351"/>
        <v>0</v>
      </c>
    </row>
    <row r="184" spans="3:71" s="2087" customFormat="1" hidden="1">
      <c r="C184" s="2194" t="s">
        <v>2309</v>
      </c>
      <c r="D184" s="2283" t="s">
        <v>2229</v>
      </c>
      <c r="E184" s="2284" t="s">
        <v>240</v>
      </c>
      <c r="F184" s="2176"/>
      <c r="G184" s="2177"/>
      <c r="H184" s="2177"/>
      <c r="I184" s="2178">
        <f t="shared" si="332"/>
        <v>0</v>
      </c>
      <c r="J184" s="2176"/>
      <c r="K184" s="2252">
        <f t="shared" si="357"/>
        <v>0</v>
      </c>
      <c r="L184" s="2252">
        <f t="shared" si="357"/>
        <v>0</v>
      </c>
      <c r="M184" s="2255">
        <f t="shared" si="333"/>
        <v>0</v>
      </c>
      <c r="N184" s="2177"/>
      <c r="O184" s="2177"/>
      <c r="P184" s="2178">
        <f t="shared" si="334"/>
        <v>0</v>
      </c>
      <c r="Q184" s="2176"/>
      <c r="R184" s="2177"/>
      <c r="S184" s="2266"/>
      <c r="T184" s="2251">
        <f t="shared" si="358"/>
        <v>0</v>
      </c>
      <c r="U184" s="2252">
        <f t="shared" si="358"/>
        <v>0</v>
      </c>
      <c r="V184" s="2253">
        <f t="shared" si="336"/>
        <v>0</v>
      </c>
      <c r="W184" s="2182"/>
      <c r="X184" s="2177"/>
      <c r="Y184" s="2271"/>
      <c r="Z184" s="2254">
        <f t="shared" si="359"/>
        <v>0</v>
      </c>
      <c r="AA184" s="2252">
        <f t="shared" si="359"/>
        <v>0</v>
      </c>
      <c r="AB184" s="2255">
        <f t="shared" si="338"/>
        <v>0</v>
      </c>
      <c r="AC184" s="2176"/>
      <c r="AD184" s="2177"/>
      <c r="AE184" s="2180">
        <f t="shared" si="356"/>
        <v>0</v>
      </c>
      <c r="AF184" s="2281"/>
      <c r="AG184" s="2114"/>
      <c r="AH184" s="2177"/>
      <c r="AI184" s="2177"/>
      <c r="AJ184" s="2186">
        <f t="shared" si="340"/>
        <v>0</v>
      </c>
      <c r="AK184" s="2177"/>
      <c r="AL184" s="2177"/>
      <c r="AM184" s="2186">
        <f t="shared" si="341"/>
        <v>0</v>
      </c>
      <c r="AN184" s="2177"/>
      <c r="AO184" s="2177"/>
      <c r="AP184" s="2186">
        <f t="shared" si="342"/>
        <v>0</v>
      </c>
      <c r="AQ184" s="2177"/>
      <c r="AR184" s="2177"/>
      <c r="AS184" s="2186">
        <f t="shared" si="343"/>
        <v>0</v>
      </c>
      <c r="AT184" s="2177"/>
      <c r="AU184" s="2177"/>
      <c r="AV184" s="2186">
        <f t="shared" si="344"/>
        <v>0</v>
      </c>
      <c r="AW184" s="2177"/>
      <c r="AX184" s="2177"/>
      <c r="AY184" s="2186">
        <f t="shared" si="345"/>
        <v>0</v>
      </c>
      <c r="AZ184" s="2177"/>
      <c r="BA184" s="2177"/>
      <c r="BB184" s="2186">
        <f t="shared" si="346"/>
        <v>0</v>
      </c>
      <c r="BC184" s="2177"/>
      <c r="BD184" s="2177"/>
      <c r="BE184" s="2186">
        <f t="shared" si="347"/>
        <v>0</v>
      </c>
      <c r="BF184" s="2177"/>
      <c r="BG184" s="2177"/>
      <c r="BH184" s="2186">
        <f t="shared" si="348"/>
        <v>0</v>
      </c>
      <c r="BI184" s="2177"/>
      <c r="BJ184" s="2177"/>
      <c r="BK184" s="2186">
        <f t="shared" si="349"/>
        <v>0</v>
      </c>
      <c r="BL184" s="2177"/>
      <c r="BM184" s="2177"/>
      <c r="BN184" s="2186">
        <f t="shared" si="350"/>
        <v>0</v>
      </c>
      <c r="BO184" s="2177"/>
      <c r="BP184" s="2177"/>
      <c r="BQ184" s="2186">
        <f t="shared" si="351"/>
        <v>0</v>
      </c>
    </row>
    <row r="185" spans="3:71" s="2087" customFormat="1">
      <c r="C185" s="2285" t="s">
        <v>2310</v>
      </c>
      <c r="D185" s="2287" t="s">
        <v>2238</v>
      </c>
      <c r="E185" s="2284" t="s">
        <v>240</v>
      </c>
      <c r="F185" s="2176"/>
      <c r="G185" s="2252">
        <f>G186+G187+G188+G189+G190</f>
        <v>0</v>
      </c>
      <c r="H185" s="2252">
        <f>H186+H187+H188+H189+H190</f>
        <v>0</v>
      </c>
      <c r="I185" s="2178">
        <f t="shared" si="332"/>
        <v>0</v>
      </c>
      <c r="J185" s="2176"/>
      <c r="K185" s="2179">
        <f t="shared" si="357"/>
        <v>18.561223999999999</v>
      </c>
      <c r="L185" s="2179">
        <f t="shared" si="357"/>
        <v>0</v>
      </c>
      <c r="M185" s="2178">
        <f t="shared" si="333"/>
        <v>-18.561223999999999</v>
      </c>
      <c r="N185" s="2179">
        <f>N186+N187+N188+N189+N190</f>
        <v>17.363173999999997</v>
      </c>
      <c r="O185" s="2179">
        <f>O186+O187+O188+O189+O190</f>
        <v>0</v>
      </c>
      <c r="P185" s="2178">
        <f t="shared" si="334"/>
        <v>-17.363173999999997</v>
      </c>
      <c r="Q185" s="2179">
        <f>Q186+Q187+Q188+Q189+Q190</f>
        <v>0.36884499999999998</v>
      </c>
      <c r="R185" s="2179">
        <f>R186+R187+R188+R189+R190</f>
        <v>0</v>
      </c>
      <c r="S185" s="2180">
        <f t="shared" ref="S185:S189" si="360">R185-Q185</f>
        <v>-0.36884499999999998</v>
      </c>
      <c r="T185" s="2181">
        <f t="shared" si="358"/>
        <v>17.732018999999998</v>
      </c>
      <c r="U185" s="2179">
        <f t="shared" si="358"/>
        <v>0</v>
      </c>
      <c r="V185" s="2180">
        <f t="shared" si="336"/>
        <v>-17.732018999999998</v>
      </c>
      <c r="W185" s="2187">
        <f>W186+W187+W188+W189+W190</f>
        <v>0.39570000000000005</v>
      </c>
      <c r="X185" s="2179">
        <f>X186+X187+X188+X189+X190</f>
        <v>0</v>
      </c>
      <c r="Y185" s="2183">
        <f t="shared" ref="Y185:Y189" si="361">X185-W185</f>
        <v>-0.39570000000000005</v>
      </c>
      <c r="Z185" s="2184">
        <f t="shared" si="359"/>
        <v>18.127718999999999</v>
      </c>
      <c r="AA185" s="2179">
        <f t="shared" si="359"/>
        <v>0</v>
      </c>
      <c r="AB185" s="2178">
        <f t="shared" si="338"/>
        <v>-18.127718999999999</v>
      </c>
      <c r="AC185" s="2179">
        <f>AC186+AC187+AC188+AC189+AC190</f>
        <v>0.43350499999999997</v>
      </c>
      <c r="AD185" s="2179">
        <f>AD186+AD187+AD188+AD189+AD190</f>
        <v>0</v>
      </c>
      <c r="AE185" s="2180">
        <f t="shared" si="356"/>
        <v>-0.43350499999999997</v>
      </c>
      <c r="AF185" s="2277"/>
      <c r="AG185" s="2114"/>
      <c r="AH185" s="2188">
        <f>AH186+AH187+AH188+AH189+AH190</f>
        <v>17.078413999999999</v>
      </c>
      <c r="AI185" s="2188">
        <f>AI186+AI187+AI188+AI189+AI190</f>
        <v>0</v>
      </c>
      <c r="AJ185" s="2186">
        <f t="shared" si="340"/>
        <v>-17.078413999999999</v>
      </c>
      <c r="AK185" s="2188">
        <f>AK186+AK187+AK188+AK189+AK190</f>
        <v>0.14784</v>
      </c>
      <c r="AL185" s="2188">
        <f>AL186+AL187+AL188+AL189+AL190</f>
        <v>0</v>
      </c>
      <c r="AM185" s="2186">
        <f t="shared" si="341"/>
        <v>-0.14784</v>
      </c>
      <c r="AN185" s="2188">
        <f>AN186+AN187+AN188+AN189+AN190</f>
        <v>0.13691999999999999</v>
      </c>
      <c r="AO185" s="2188">
        <f>AO186+AO187+AO188+AO189+AO190</f>
        <v>0</v>
      </c>
      <c r="AP185" s="2186">
        <f t="shared" si="342"/>
        <v>-0.13691999999999999</v>
      </c>
      <c r="AQ185" s="2188">
        <f>AQ186+AQ187+AQ188+AQ189+AQ190</f>
        <v>0.14712</v>
      </c>
      <c r="AR185" s="2188">
        <f>AR186+AR187+AR188+AR189+AR190</f>
        <v>0</v>
      </c>
      <c r="AS185" s="2186">
        <f t="shared" si="343"/>
        <v>-0.14712</v>
      </c>
      <c r="AT185" s="2188">
        <f>AT186+AT187+AT188+AT189+AT190</f>
        <v>0.1152</v>
      </c>
      <c r="AU185" s="2188">
        <f>AU186+AU187+AU188+AU189+AU190</f>
        <v>0</v>
      </c>
      <c r="AV185" s="2186">
        <f t="shared" si="344"/>
        <v>-0.1152</v>
      </c>
      <c r="AW185" s="2188">
        <f>AW186+AW187+AW188+AW189+AW190</f>
        <v>0.10652499999999999</v>
      </c>
      <c r="AX185" s="2188">
        <f>AX186+AX187+AX188+AX189+AX190</f>
        <v>0</v>
      </c>
      <c r="AY185" s="2186">
        <f t="shared" si="345"/>
        <v>-0.10652499999999999</v>
      </c>
      <c r="AZ185" s="2188">
        <f>AZ186+AZ187+AZ188+AZ189+AZ190</f>
        <v>0.1416</v>
      </c>
      <c r="BA185" s="2188">
        <f>BA186+BA187+BA188+BA189+BA190</f>
        <v>0</v>
      </c>
      <c r="BB185" s="2186">
        <f t="shared" si="346"/>
        <v>-0.1416</v>
      </c>
      <c r="BC185" s="2188">
        <f>BC186+BC187+BC188+BC189+BC190</f>
        <v>0.12828000000000001</v>
      </c>
      <c r="BD185" s="2188">
        <f>BD186+BD187+BD188+BD189+BD190</f>
        <v>0</v>
      </c>
      <c r="BE185" s="2186">
        <f t="shared" si="347"/>
        <v>-0.12828000000000001</v>
      </c>
      <c r="BF185" s="2188">
        <f>BF186+BF187+BF188+BF189+BF190</f>
        <v>0.12582000000000002</v>
      </c>
      <c r="BG185" s="2188">
        <f>BG186+BG187+BG188+BG189+BG190</f>
        <v>0</v>
      </c>
      <c r="BH185" s="2186">
        <f t="shared" si="348"/>
        <v>-0.12582000000000002</v>
      </c>
      <c r="BI185" s="2188">
        <f>BI186+BI187+BI188+BI189+BI190</f>
        <v>0.13439399999999999</v>
      </c>
      <c r="BJ185" s="2188">
        <f>BJ186+BJ187+BJ188+BJ189+BJ190</f>
        <v>0</v>
      </c>
      <c r="BK185" s="2186">
        <f t="shared" si="349"/>
        <v>-0.13439399999999999</v>
      </c>
      <c r="BL185" s="2188">
        <f>BL186+BL187+BL188+BL189+BL190</f>
        <v>0.14930700000000002</v>
      </c>
      <c r="BM185" s="2188">
        <f>BM186+BM187+BM188+BM189+BM190</f>
        <v>0</v>
      </c>
      <c r="BN185" s="2186">
        <f t="shared" si="350"/>
        <v>-0.14930700000000002</v>
      </c>
      <c r="BO185" s="2188">
        <f>BO186+BO187+BO188+BO189+BO190</f>
        <v>0.14980399999999999</v>
      </c>
      <c r="BP185" s="2188">
        <f>BP186+BP187+BP188+BP189+BP190</f>
        <v>0</v>
      </c>
      <c r="BQ185" s="2186">
        <f t="shared" si="351"/>
        <v>-0.14980399999999999</v>
      </c>
    </row>
    <row r="186" spans="3:71" s="2087" customFormat="1">
      <c r="C186" s="2194" t="s">
        <v>2311</v>
      </c>
      <c r="D186" s="2283" t="s">
        <v>2221</v>
      </c>
      <c r="E186" s="2284" t="s">
        <v>240</v>
      </c>
      <c r="F186" s="2176"/>
      <c r="G186" s="2177"/>
      <c r="H186" s="2177"/>
      <c r="I186" s="2178">
        <f t="shared" si="332"/>
        <v>0</v>
      </c>
      <c r="J186" s="2176"/>
      <c r="K186" s="2252">
        <f t="shared" si="357"/>
        <v>0</v>
      </c>
      <c r="L186" s="2252">
        <f t="shared" si="357"/>
        <v>0</v>
      </c>
      <c r="M186" s="2255">
        <f t="shared" si="333"/>
        <v>0</v>
      </c>
      <c r="N186" s="2177"/>
      <c r="O186" s="2177"/>
      <c r="P186" s="2178">
        <f t="shared" si="334"/>
        <v>0</v>
      </c>
      <c r="Q186" s="2176"/>
      <c r="R186" s="2177"/>
      <c r="S186" s="2180">
        <f t="shared" si="360"/>
        <v>0</v>
      </c>
      <c r="T186" s="2251">
        <f t="shared" si="358"/>
        <v>0</v>
      </c>
      <c r="U186" s="2252">
        <f t="shared" si="358"/>
        <v>0</v>
      </c>
      <c r="V186" s="2253">
        <f t="shared" si="336"/>
        <v>0</v>
      </c>
      <c r="W186" s="2182"/>
      <c r="X186" s="2177"/>
      <c r="Y186" s="2183">
        <f t="shared" si="361"/>
        <v>0</v>
      </c>
      <c r="Z186" s="2254">
        <f t="shared" si="359"/>
        <v>0</v>
      </c>
      <c r="AA186" s="2252">
        <f t="shared" si="359"/>
        <v>0</v>
      </c>
      <c r="AB186" s="2255">
        <f t="shared" si="338"/>
        <v>0</v>
      </c>
      <c r="AC186" s="2176"/>
      <c r="AD186" s="2177"/>
      <c r="AE186" s="2180">
        <f t="shared" si="356"/>
        <v>0</v>
      </c>
      <c r="AF186" s="2281"/>
      <c r="AG186" s="2114"/>
      <c r="AH186" s="2177"/>
      <c r="AI186" s="2177"/>
      <c r="AJ186" s="2186">
        <f t="shared" si="340"/>
        <v>0</v>
      </c>
      <c r="AK186" s="2177"/>
      <c r="AL186" s="2177"/>
      <c r="AM186" s="2186">
        <f t="shared" si="341"/>
        <v>0</v>
      </c>
      <c r="AN186" s="2177"/>
      <c r="AO186" s="2177"/>
      <c r="AP186" s="2186">
        <f t="shared" si="342"/>
        <v>0</v>
      </c>
      <c r="AQ186" s="2177"/>
      <c r="AR186" s="2177"/>
      <c r="AS186" s="2186">
        <f t="shared" si="343"/>
        <v>0</v>
      </c>
      <c r="AT186" s="2177"/>
      <c r="AU186" s="2177"/>
      <c r="AV186" s="2186">
        <f t="shared" si="344"/>
        <v>0</v>
      </c>
      <c r="AW186" s="2177"/>
      <c r="AX186" s="2177"/>
      <c r="AY186" s="2186">
        <f t="shared" si="345"/>
        <v>0</v>
      </c>
      <c r="AZ186" s="2177"/>
      <c r="BA186" s="2177"/>
      <c r="BB186" s="2186">
        <f t="shared" si="346"/>
        <v>0</v>
      </c>
      <c r="BC186" s="2177"/>
      <c r="BD186" s="2177"/>
      <c r="BE186" s="2186">
        <f t="shared" si="347"/>
        <v>0</v>
      </c>
      <c r="BF186" s="2177"/>
      <c r="BG186" s="2177"/>
      <c r="BH186" s="2186">
        <f t="shared" si="348"/>
        <v>0</v>
      </c>
      <c r="BI186" s="2177"/>
      <c r="BJ186" s="2177"/>
      <c r="BK186" s="2186">
        <f t="shared" si="349"/>
        <v>0</v>
      </c>
      <c r="BL186" s="2177"/>
      <c r="BM186" s="2177"/>
      <c r="BN186" s="2186">
        <f t="shared" si="350"/>
        <v>0</v>
      </c>
      <c r="BO186" s="2177"/>
      <c r="BP186" s="2177"/>
      <c r="BQ186" s="2186">
        <f t="shared" si="351"/>
        <v>0</v>
      </c>
    </row>
    <row r="187" spans="3:71" s="2087" customFormat="1">
      <c r="C187" s="2194" t="s">
        <v>2312</v>
      </c>
      <c r="D187" s="2283" t="s">
        <v>2223</v>
      </c>
      <c r="E187" s="2284" t="s">
        <v>240</v>
      </c>
      <c r="F187" s="2176"/>
      <c r="G187" s="2177"/>
      <c r="H187" s="2177"/>
      <c r="I187" s="2178">
        <f t="shared" si="332"/>
        <v>0</v>
      </c>
      <c r="J187" s="2176"/>
      <c r="K187" s="2252">
        <f t="shared" si="357"/>
        <v>0</v>
      </c>
      <c r="L187" s="2252">
        <f t="shared" si="357"/>
        <v>0</v>
      </c>
      <c r="M187" s="2255">
        <f t="shared" si="333"/>
        <v>0</v>
      </c>
      <c r="N187" s="2177"/>
      <c r="O187" s="2177"/>
      <c r="P187" s="2178">
        <f t="shared" si="334"/>
        <v>0</v>
      </c>
      <c r="Q187" s="2176">
        <f>AQ187+AT187+AW187</f>
        <v>0</v>
      </c>
      <c r="R187" s="2177"/>
      <c r="S187" s="2180">
        <f t="shared" si="360"/>
        <v>0</v>
      </c>
      <c r="T187" s="2251">
        <f t="shared" si="358"/>
        <v>0</v>
      </c>
      <c r="U187" s="2252">
        <f t="shared" si="358"/>
        <v>0</v>
      </c>
      <c r="V187" s="2253">
        <f t="shared" si="336"/>
        <v>0</v>
      </c>
      <c r="W187" s="2182">
        <f>AZ187+BC187+BF187</f>
        <v>0</v>
      </c>
      <c r="X187" s="2177"/>
      <c r="Y187" s="2183">
        <f t="shared" si="361"/>
        <v>0</v>
      </c>
      <c r="Z187" s="2254">
        <f t="shared" si="359"/>
        <v>0</v>
      </c>
      <c r="AA187" s="2252">
        <f t="shared" si="359"/>
        <v>0</v>
      </c>
      <c r="AB187" s="2255">
        <f t="shared" si="338"/>
        <v>0</v>
      </c>
      <c r="AC187" s="2176">
        <f>BI187+BL187+BO187</f>
        <v>0</v>
      </c>
      <c r="AD187" s="2177"/>
      <c r="AE187" s="2180">
        <f t="shared" si="356"/>
        <v>0</v>
      </c>
      <c r="AF187" s="2281"/>
      <c r="AG187" s="2114"/>
      <c r="AH187" s="2177"/>
      <c r="AI187" s="2177"/>
      <c r="AJ187" s="2186">
        <f t="shared" si="340"/>
        <v>0</v>
      </c>
      <c r="AK187" s="2177"/>
      <c r="AL187" s="2177"/>
      <c r="AM187" s="2186">
        <f t="shared" si="341"/>
        <v>0</v>
      </c>
      <c r="AN187" s="2177"/>
      <c r="AO187" s="2177"/>
      <c r="AP187" s="2186">
        <f t="shared" si="342"/>
        <v>0</v>
      </c>
      <c r="AQ187" s="2177"/>
      <c r="AR187" s="2177"/>
      <c r="AS187" s="2186">
        <f t="shared" si="343"/>
        <v>0</v>
      </c>
      <c r="AT187" s="2177"/>
      <c r="AU187" s="2177"/>
      <c r="AV187" s="2186">
        <f t="shared" si="344"/>
        <v>0</v>
      </c>
      <c r="AW187" s="2177"/>
      <c r="AX187" s="2177"/>
      <c r="AY187" s="2186">
        <f t="shared" si="345"/>
        <v>0</v>
      </c>
      <c r="AZ187" s="2177"/>
      <c r="BA187" s="2177"/>
      <c r="BB187" s="2186">
        <f t="shared" si="346"/>
        <v>0</v>
      </c>
      <c r="BC187" s="2177"/>
      <c r="BD187" s="2177"/>
      <c r="BE187" s="2186">
        <f t="shared" si="347"/>
        <v>0</v>
      </c>
      <c r="BF187" s="2177"/>
      <c r="BG187" s="2177"/>
      <c r="BH187" s="2186">
        <f t="shared" si="348"/>
        <v>0</v>
      </c>
      <c r="BI187" s="2177"/>
      <c r="BJ187" s="2177"/>
      <c r="BK187" s="2186">
        <f t="shared" si="349"/>
        <v>0</v>
      </c>
      <c r="BL187" s="2177"/>
      <c r="BM187" s="2177"/>
      <c r="BN187" s="2186">
        <f t="shared" si="350"/>
        <v>0</v>
      </c>
      <c r="BO187" s="2177"/>
      <c r="BP187" s="2177"/>
      <c r="BQ187" s="2186">
        <f t="shared" si="351"/>
        <v>0</v>
      </c>
    </row>
    <row r="188" spans="3:71" s="2087" customFormat="1">
      <c r="C188" s="2194" t="s">
        <v>2313</v>
      </c>
      <c r="D188" s="2283" t="s">
        <v>2225</v>
      </c>
      <c r="E188" s="2284" t="s">
        <v>240</v>
      </c>
      <c r="F188" s="2176"/>
      <c r="G188" s="2177"/>
      <c r="H188" s="2177"/>
      <c r="I188" s="2178">
        <f t="shared" si="332"/>
        <v>0</v>
      </c>
      <c r="J188" s="2176"/>
      <c r="K188" s="2252">
        <f t="shared" si="357"/>
        <v>18.561223999999999</v>
      </c>
      <c r="L188" s="2252">
        <f t="shared" si="357"/>
        <v>0</v>
      </c>
      <c r="M188" s="2255">
        <f t="shared" si="333"/>
        <v>-18.561223999999999</v>
      </c>
      <c r="N188" s="2177">
        <f t="shared" ref="N188" si="362">+AH188+AK188+AN188</f>
        <v>17.363173999999997</v>
      </c>
      <c r="O188" s="2177"/>
      <c r="P188" s="2178">
        <f t="shared" si="334"/>
        <v>-17.363173999999997</v>
      </c>
      <c r="Q188" s="2176">
        <f t="shared" ref="Q188:Q189" si="363">AQ188+AT188+AW188</f>
        <v>0.36884499999999998</v>
      </c>
      <c r="R188" s="2177"/>
      <c r="S188" s="2180">
        <f t="shared" si="360"/>
        <v>-0.36884499999999998</v>
      </c>
      <c r="T188" s="2251">
        <f t="shared" si="358"/>
        <v>17.732018999999998</v>
      </c>
      <c r="U188" s="2252">
        <f t="shared" si="358"/>
        <v>0</v>
      </c>
      <c r="V188" s="2253">
        <f t="shared" si="336"/>
        <v>-17.732018999999998</v>
      </c>
      <c r="W188" s="2182">
        <f t="shared" ref="W188:W189" si="364">AZ188+BC188+BF188</f>
        <v>0.39570000000000005</v>
      </c>
      <c r="X188" s="2177"/>
      <c r="Y188" s="2183">
        <f t="shared" si="361"/>
        <v>-0.39570000000000005</v>
      </c>
      <c r="Z188" s="2254">
        <f t="shared" si="359"/>
        <v>18.127718999999999</v>
      </c>
      <c r="AA188" s="2252">
        <f t="shared" si="359"/>
        <v>0</v>
      </c>
      <c r="AB188" s="2255">
        <f t="shared" si="338"/>
        <v>-18.127718999999999</v>
      </c>
      <c r="AC188" s="2176">
        <f t="shared" ref="AC188:AC189" si="365">BI188+BL188+BO188</f>
        <v>0.43350499999999997</v>
      </c>
      <c r="AD188" s="2177"/>
      <c r="AE188" s="2180">
        <f t="shared" si="356"/>
        <v>-0.43350499999999997</v>
      </c>
      <c r="AF188" s="2281"/>
      <c r="AG188" s="2114"/>
      <c r="AH188" s="2177">
        <f>'Шаблон 46 ГП'!F298/1000000</f>
        <v>17.078413999999999</v>
      </c>
      <c r="AI188" s="2177"/>
      <c r="AJ188" s="2186">
        <f t="shared" si="340"/>
        <v>-17.078413999999999</v>
      </c>
      <c r="AK188" s="2177">
        <v>0.14784</v>
      </c>
      <c r="AL188" s="2177"/>
      <c r="AM188" s="2186">
        <f t="shared" si="341"/>
        <v>-0.14784</v>
      </c>
      <c r="AN188" s="2177">
        <v>0.13691999999999999</v>
      </c>
      <c r="AO188" s="2177"/>
      <c r="AP188" s="2186">
        <f t="shared" si="342"/>
        <v>-0.13691999999999999</v>
      </c>
      <c r="AQ188" s="2177">
        <v>0.14712</v>
      </c>
      <c r="AR188" s="2177"/>
      <c r="AS188" s="2186">
        <f t="shared" si="343"/>
        <v>-0.14712</v>
      </c>
      <c r="AT188" s="2177">
        <v>0.1152</v>
      </c>
      <c r="AU188" s="2177"/>
      <c r="AV188" s="2186">
        <f t="shared" si="344"/>
        <v>-0.1152</v>
      </c>
      <c r="AW188" s="2177">
        <v>0.10652499999999999</v>
      </c>
      <c r="AX188" s="2177"/>
      <c r="AY188" s="2186">
        <f t="shared" si="345"/>
        <v>-0.10652499999999999</v>
      </c>
      <c r="AZ188" s="2177">
        <v>0.1416</v>
      </c>
      <c r="BA188" s="2177"/>
      <c r="BB188" s="2186">
        <f t="shared" si="346"/>
        <v>-0.1416</v>
      </c>
      <c r="BC188" s="2177">
        <v>0.12828000000000001</v>
      </c>
      <c r="BD188" s="2177"/>
      <c r="BE188" s="2186">
        <f t="shared" si="347"/>
        <v>-0.12828000000000001</v>
      </c>
      <c r="BF188" s="2177">
        <v>0.12582000000000002</v>
      </c>
      <c r="BG188" s="2177"/>
      <c r="BH188" s="2186">
        <f t="shared" si="348"/>
        <v>-0.12582000000000002</v>
      </c>
      <c r="BI188" s="2177">
        <v>0.13439399999999999</v>
      </c>
      <c r="BJ188" s="2177"/>
      <c r="BK188" s="2186">
        <f t="shared" si="349"/>
        <v>-0.13439399999999999</v>
      </c>
      <c r="BL188" s="2177">
        <v>0.14930700000000002</v>
      </c>
      <c r="BM188" s="2177"/>
      <c r="BN188" s="2186">
        <f t="shared" si="350"/>
        <v>-0.14930700000000002</v>
      </c>
      <c r="BO188" s="2177">
        <v>0.14980399999999999</v>
      </c>
      <c r="BP188" s="2177"/>
      <c r="BQ188" s="2186">
        <f t="shared" si="351"/>
        <v>-0.14980399999999999</v>
      </c>
      <c r="BS188" s="2288"/>
    </row>
    <row r="189" spans="3:71" s="2087" customFormat="1">
      <c r="C189" s="2194" t="s">
        <v>2314</v>
      </c>
      <c r="D189" s="2283" t="s">
        <v>2227</v>
      </c>
      <c r="E189" s="2284" t="s">
        <v>240</v>
      </c>
      <c r="F189" s="2176"/>
      <c r="G189" s="2177"/>
      <c r="H189" s="2177"/>
      <c r="I189" s="2178">
        <f t="shared" si="332"/>
        <v>0</v>
      </c>
      <c r="J189" s="2176"/>
      <c r="K189" s="2252">
        <f t="shared" si="357"/>
        <v>0</v>
      </c>
      <c r="L189" s="2252">
        <f t="shared" si="357"/>
        <v>0</v>
      </c>
      <c r="M189" s="2255">
        <f t="shared" si="333"/>
        <v>0</v>
      </c>
      <c r="N189" s="2177"/>
      <c r="O189" s="2177"/>
      <c r="P189" s="2178">
        <f t="shared" si="334"/>
        <v>0</v>
      </c>
      <c r="Q189" s="2176">
        <f t="shared" si="363"/>
        <v>0</v>
      </c>
      <c r="R189" s="2177"/>
      <c r="S189" s="2180">
        <f t="shared" si="360"/>
        <v>0</v>
      </c>
      <c r="T189" s="2251">
        <f t="shared" si="358"/>
        <v>0</v>
      </c>
      <c r="U189" s="2252">
        <f t="shared" si="358"/>
        <v>0</v>
      </c>
      <c r="V189" s="2253">
        <f t="shared" si="336"/>
        <v>0</v>
      </c>
      <c r="W189" s="2182">
        <f t="shared" si="364"/>
        <v>0</v>
      </c>
      <c r="X189" s="2177"/>
      <c r="Y189" s="2183">
        <f t="shared" si="361"/>
        <v>0</v>
      </c>
      <c r="Z189" s="2254">
        <f t="shared" si="359"/>
        <v>0</v>
      </c>
      <c r="AA189" s="2252">
        <f t="shared" si="359"/>
        <v>0</v>
      </c>
      <c r="AB189" s="2255">
        <f t="shared" si="338"/>
        <v>0</v>
      </c>
      <c r="AC189" s="2176">
        <f t="shared" si="365"/>
        <v>0</v>
      </c>
      <c r="AD189" s="2177"/>
      <c r="AE189" s="2180">
        <f t="shared" si="356"/>
        <v>0</v>
      </c>
      <c r="AF189" s="2281"/>
      <c r="AG189" s="2114"/>
      <c r="AH189" s="2177"/>
      <c r="AI189" s="2177"/>
      <c r="AJ189" s="2186">
        <f t="shared" si="340"/>
        <v>0</v>
      </c>
      <c r="AK189" s="2177"/>
      <c r="AL189" s="2177"/>
      <c r="AM189" s="2186">
        <f t="shared" si="341"/>
        <v>0</v>
      </c>
      <c r="AN189" s="2177"/>
      <c r="AO189" s="2177"/>
      <c r="AP189" s="2186">
        <f t="shared" si="342"/>
        <v>0</v>
      </c>
      <c r="AQ189" s="2177"/>
      <c r="AR189" s="2177"/>
      <c r="AS189" s="2186">
        <f t="shared" si="343"/>
        <v>0</v>
      </c>
      <c r="AT189" s="2177"/>
      <c r="AU189" s="2177"/>
      <c r="AV189" s="2186">
        <f t="shared" si="344"/>
        <v>0</v>
      </c>
      <c r="AW189" s="2177"/>
      <c r="AX189" s="2177"/>
      <c r="AY189" s="2186">
        <f t="shared" si="345"/>
        <v>0</v>
      </c>
      <c r="AZ189" s="2177"/>
      <c r="BA189" s="2177"/>
      <c r="BB189" s="2186">
        <f t="shared" si="346"/>
        <v>0</v>
      </c>
      <c r="BC189" s="2177"/>
      <c r="BD189" s="2177"/>
      <c r="BE189" s="2186">
        <f t="shared" si="347"/>
        <v>0</v>
      </c>
      <c r="BF189" s="2177"/>
      <c r="BG189" s="2177"/>
      <c r="BH189" s="2186">
        <f t="shared" si="348"/>
        <v>0</v>
      </c>
      <c r="BI189" s="2177"/>
      <c r="BJ189" s="2177"/>
      <c r="BK189" s="2186">
        <f t="shared" si="349"/>
        <v>0</v>
      </c>
      <c r="BL189" s="2177"/>
      <c r="BM189" s="2177"/>
      <c r="BN189" s="2186">
        <f t="shared" si="350"/>
        <v>0</v>
      </c>
      <c r="BO189" s="2177"/>
      <c r="BP189" s="2177"/>
      <c r="BQ189" s="2186">
        <f t="shared" si="351"/>
        <v>0</v>
      </c>
    </row>
    <row r="190" spans="3:71" s="2087" customFormat="1" hidden="1">
      <c r="C190" s="2194" t="s">
        <v>2315</v>
      </c>
      <c r="D190" s="2283" t="s">
        <v>2229</v>
      </c>
      <c r="E190" s="2284" t="s">
        <v>240</v>
      </c>
      <c r="F190" s="2176"/>
      <c r="G190" s="2177"/>
      <c r="H190" s="2177"/>
      <c r="I190" s="2178">
        <f t="shared" si="332"/>
        <v>0</v>
      </c>
      <c r="J190" s="2176"/>
      <c r="K190" s="2252">
        <f t="shared" si="357"/>
        <v>0</v>
      </c>
      <c r="L190" s="2252">
        <f t="shared" si="357"/>
        <v>0</v>
      </c>
      <c r="M190" s="2255">
        <f t="shared" si="333"/>
        <v>0</v>
      </c>
      <c r="N190" s="2177"/>
      <c r="O190" s="2177"/>
      <c r="P190" s="2178">
        <f t="shared" si="334"/>
        <v>0</v>
      </c>
      <c r="Q190" s="2176"/>
      <c r="R190" s="2177"/>
      <c r="S190" s="2266"/>
      <c r="T190" s="2251">
        <f t="shared" si="358"/>
        <v>0</v>
      </c>
      <c r="U190" s="2252">
        <f t="shared" si="358"/>
        <v>0</v>
      </c>
      <c r="V190" s="2253">
        <f t="shared" si="336"/>
        <v>0</v>
      </c>
      <c r="W190" s="2182"/>
      <c r="X190" s="2177"/>
      <c r="Y190" s="2271"/>
      <c r="Z190" s="2254">
        <f t="shared" si="359"/>
        <v>0</v>
      </c>
      <c r="AA190" s="2252">
        <f t="shared" si="359"/>
        <v>0</v>
      </c>
      <c r="AB190" s="2255">
        <f t="shared" si="338"/>
        <v>0</v>
      </c>
      <c r="AC190" s="2176"/>
      <c r="AD190" s="2177"/>
      <c r="AE190" s="2180">
        <f t="shared" si="356"/>
        <v>0</v>
      </c>
      <c r="AF190" s="2281"/>
      <c r="AG190" s="2114"/>
      <c r="AH190" s="2177"/>
      <c r="AI190" s="2177"/>
      <c r="AJ190" s="2186">
        <f t="shared" si="340"/>
        <v>0</v>
      </c>
      <c r="AK190" s="2177"/>
      <c r="AL190" s="2177"/>
      <c r="AM190" s="2186">
        <f t="shared" si="341"/>
        <v>0</v>
      </c>
      <c r="AN190" s="2177"/>
      <c r="AO190" s="2177"/>
      <c r="AP190" s="2186">
        <f t="shared" si="342"/>
        <v>0</v>
      </c>
      <c r="AQ190" s="2177"/>
      <c r="AR190" s="2177"/>
      <c r="AS190" s="2186">
        <f t="shared" si="343"/>
        <v>0</v>
      </c>
      <c r="AT190" s="2177"/>
      <c r="AU190" s="2177"/>
      <c r="AV190" s="2186">
        <f t="shared" si="344"/>
        <v>0</v>
      </c>
      <c r="AW190" s="2177"/>
      <c r="AX190" s="2177"/>
      <c r="AY190" s="2186">
        <f t="shared" si="345"/>
        <v>0</v>
      </c>
      <c r="AZ190" s="2177"/>
      <c r="BA190" s="2177"/>
      <c r="BB190" s="2186">
        <f t="shared" si="346"/>
        <v>0</v>
      </c>
      <c r="BC190" s="2177"/>
      <c r="BD190" s="2177"/>
      <c r="BE190" s="2186">
        <f t="shared" si="347"/>
        <v>0</v>
      </c>
      <c r="BF190" s="2177"/>
      <c r="BG190" s="2177"/>
      <c r="BH190" s="2186">
        <f t="shared" si="348"/>
        <v>0</v>
      </c>
      <c r="BI190" s="2177"/>
      <c r="BJ190" s="2177"/>
      <c r="BK190" s="2186">
        <f t="shared" si="349"/>
        <v>0</v>
      </c>
      <c r="BL190" s="2177"/>
      <c r="BM190" s="2177"/>
      <c r="BN190" s="2186">
        <f t="shared" si="350"/>
        <v>0</v>
      </c>
      <c r="BO190" s="2177"/>
      <c r="BP190" s="2177"/>
      <c r="BQ190" s="2186">
        <f t="shared" si="351"/>
        <v>0</v>
      </c>
    </row>
    <row r="191" spans="3:71" s="2087" customFormat="1">
      <c r="C191" s="2285" t="s">
        <v>2316</v>
      </c>
      <c r="D191" s="2287" t="s">
        <v>2248</v>
      </c>
      <c r="E191" s="2284" t="s">
        <v>240</v>
      </c>
      <c r="F191" s="2176"/>
      <c r="G191" s="2252">
        <f>G192+G193+G194+G195+G196</f>
        <v>0</v>
      </c>
      <c r="H191" s="2252">
        <f>H192+H193+H194+H195+H196</f>
        <v>0</v>
      </c>
      <c r="I191" s="2178">
        <f t="shared" si="332"/>
        <v>0</v>
      </c>
      <c r="J191" s="2176"/>
      <c r="K191" s="2179">
        <f t="shared" si="357"/>
        <v>0</v>
      </c>
      <c r="L191" s="2179">
        <f t="shared" si="357"/>
        <v>0</v>
      </c>
      <c r="M191" s="2178">
        <f t="shared" si="333"/>
        <v>0</v>
      </c>
      <c r="N191" s="2179">
        <f>N192+N193+N194+N195+N196</f>
        <v>0</v>
      </c>
      <c r="O191" s="2179">
        <f>O192+O193+O194+O195+O196</f>
        <v>0</v>
      </c>
      <c r="P191" s="2178">
        <f t="shared" si="334"/>
        <v>0</v>
      </c>
      <c r="Q191" s="2179">
        <f>Q192+Q193+Q194+Q195+Q196</f>
        <v>0</v>
      </c>
      <c r="R191" s="2179">
        <f>R192+R193+R194+R195+R196</f>
        <v>0</v>
      </c>
      <c r="S191" s="2180">
        <f t="shared" ref="S191:S195" si="366">R191-Q191</f>
        <v>0</v>
      </c>
      <c r="T191" s="2181">
        <f t="shared" si="358"/>
        <v>0</v>
      </c>
      <c r="U191" s="2179">
        <f t="shared" si="358"/>
        <v>0</v>
      </c>
      <c r="V191" s="2180">
        <f t="shared" si="336"/>
        <v>0</v>
      </c>
      <c r="W191" s="2187">
        <f>W192+W193+W194+W195+W196</f>
        <v>0</v>
      </c>
      <c r="X191" s="2179">
        <f>X192+X193+X194+X195+X196</f>
        <v>0</v>
      </c>
      <c r="Y191" s="2183">
        <f t="shared" ref="Y191:Y195" si="367">X191-W191</f>
        <v>0</v>
      </c>
      <c r="Z191" s="2184">
        <f t="shared" si="359"/>
        <v>0</v>
      </c>
      <c r="AA191" s="2179">
        <f t="shared" si="359"/>
        <v>0</v>
      </c>
      <c r="AB191" s="2178">
        <f t="shared" si="338"/>
        <v>0</v>
      </c>
      <c r="AC191" s="2179">
        <f>AC192+AC193+AC194+AC195+AC196</f>
        <v>0</v>
      </c>
      <c r="AD191" s="2179">
        <f>AD192+AD193+AD194+AD195+AD196</f>
        <v>0</v>
      </c>
      <c r="AE191" s="2180">
        <f t="shared" si="356"/>
        <v>0</v>
      </c>
      <c r="AF191" s="2277"/>
      <c r="AG191" s="2114"/>
      <c r="AH191" s="2188">
        <f>AH192+AH193+AH194+AH195+AH196</f>
        <v>0</v>
      </c>
      <c r="AI191" s="2188">
        <f>AI192+AI193+AI194+AI195+AI196</f>
        <v>0</v>
      </c>
      <c r="AJ191" s="2186">
        <f t="shared" si="340"/>
        <v>0</v>
      </c>
      <c r="AK191" s="2188">
        <f>AK192+AK193+AK194+AK195+AK196</f>
        <v>0</v>
      </c>
      <c r="AL191" s="2188">
        <f>AL192+AL193+AL194+AL195+AL196</f>
        <v>0</v>
      </c>
      <c r="AM191" s="2186">
        <f t="shared" si="341"/>
        <v>0</v>
      </c>
      <c r="AN191" s="2188">
        <f>AN192+AN193+AN194+AN195+AN196</f>
        <v>0</v>
      </c>
      <c r="AO191" s="2188">
        <f>AO192+AO193+AO194+AO195+AO196</f>
        <v>0</v>
      </c>
      <c r="AP191" s="2186">
        <f t="shared" si="342"/>
        <v>0</v>
      </c>
      <c r="AQ191" s="2188">
        <f>AQ192+AQ193+AQ194+AQ195+AQ196</f>
        <v>0</v>
      </c>
      <c r="AR191" s="2188">
        <f>AR192+AR193+AR194+AR195+AR196</f>
        <v>0</v>
      </c>
      <c r="AS191" s="2186">
        <f t="shared" si="343"/>
        <v>0</v>
      </c>
      <c r="AT191" s="2188">
        <f>AT192+AT193+AT194+AT195+AT196</f>
        <v>0</v>
      </c>
      <c r="AU191" s="2188">
        <f>AU192+AU193+AU194+AU195+AU196</f>
        <v>0</v>
      </c>
      <c r="AV191" s="2186">
        <f t="shared" si="344"/>
        <v>0</v>
      </c>
      <c r="AW191" s="2188">
        <f>AW192+AW193+AW194+AW195+AW196</f>
        <v>0</v>
      </c>
      <c r="AX191" s="2188">
        <f>AX192+AX193+AX194+AX195+AX196</f>
        <v>0</v>
      </c>
      <c r="AY191" s="2186">
        <f t="shared" si="345"/>
        <v>0</v>
      </c>
      <c r="AZ191" s="2188">
        <f>AZ192+AZ193+AZ194+AZ195+AZ196</f>
        <v>0</v>
      </c>
      <c r="BA191" s="2188">
        <f>BA192+BA193+BA194+BA195+BA196</f>
        <v>0</v>
      </c>
      <c r="BB191" s="2186">
        <f t="shared" si="346"/>
        <v>0</v>
      </c>
      <c r="BC191" s="2188">
        <f>BC192+BC193+BC194+BC195+BC196</f>
        <v>0</v>
      </c>
      <c r="BD191" s="2188">
        <f>BD192+BD193+BD194+BD195+BD196</f>
        <v>0</v>
      </c>
      <c r="BE191" s="2186">
        <f t="shared" si="347"/>
        <v>0</v>
      </c>
      <c r="BF191" s="2188">
        <f>BF192+BF193+BF194+BF195+BF196</f>
        <v>0</v>
      </c>
      <c r="BG191" s="2188">
        <f>BG192+BG193+BG194+BG195+BG196</f>
        <v>0</v>
      </c>
      <c r="BH191" s="2186">
        <f t="shared" si="348"/>
        <v>0</v>
      </c>
      <c r="BI191" s="2188">
        <f>BI192+BI193+BI194+BI195+BI196</f>
        <v>0</v>
      </c>
      <c r="BJ191" s="2188">
        <f>BJ192+BJ193+BJ194+BJ195+BJ196</f>
        <v>0</v>
      </c>
      <c r="BK191" s="2186">
        <f t="shared" si="349"/>
        <v>0</v>
      </c>
      <c r="BL191" s="2188">
        <f>BL192+BL193+BL194+BL195+BL196</f>
        <v>0</v>
      </c>
      <c r="BM191" s="2188">
        <f>BM192+BM193+BM194+BM195+BM196</f>
        <v>0</v>
      </c>
      <c r="BN191" s="2186">
        <f t="shared" si="350"/>
        <v>0</v>
      </c>
      <c r="BO191" s="2188">
        <f>BO192+BO193+BO194+BO195+BO196</f>
        <v>0</v>
      </c>
      <c r="BP191" s="2188">
        <f>BP192+BP193+BP194+BP195+BP196</f>
        <v>0</v>
      </c>
      <c r="BQ191" s="2186">
        <f t="shared" si="351"/>
        <v>0</v>
      </c>
    </row>
    <row r="192" spans="3:71" s="2087" customFormat="1">
      <c r="C192" s="2194" t="s">
        <v>2317</v>
      </c>
      <c r="D192" s="2283" t="s">
        <v>2221</v>
      </c>
      <c r="E192" s="2284" t="s">
        <v>240</v>
      </c>
      <c r="F192" s="2176"/>
      <c r="G192" s="2177"/>
      <c r="H192" s="2177"/>
      <c r="I192" s="2178">
        <f t="shared" si="332"/>
        <v>0</v>
      </c>
      <c r="J192" s="2176"/>
      <c r="K192" s="2252">
        <f t="shared" si="357"/>
        <v>0</v>
      </c>
      <c r="L192" s="2252">
        <f t="shared" si="357"/>
        <v>0</v>
      </c>
      <c r="M192" s="2255">
        <f t="shared" si="333"/>
        <v>0</v>
      </c>
      <c r="N192" s="2177"/>
      <c r="O192" s="2177"/>
      <c r="P192" s="2178">
        <f t="shared" si="334"/>
        <v>0</v>
      </c>
      <c r="Q192" s="2176"/>
      <c r="R192" s="2177"/>
      <c r="S192" s="2180">
        <f t="shared" si="366"/>
        <v>0</v>
      </c>
      <c r="T192" s="2251">
        <f t="shared" si="358"/>
        <v>0</v>
      </c>
      <c r="U192" s="2252">
        <f t="shared" si="358"/>
        <v>0</v>
      </c>
      <c r="V192" s="2253">
        <f t="shared" si="336"/>
        <v>0</v>
      </c>
      <c r="W192" s="2182"/>
      <c r="X192" s="2177"/>
      <c r="Y192" s="2183">
        <f t="shared" si="367"/>
        <v>0</v>
      </c>
      <c r="Z192" s="2254">
        <f t="shared" si="359"/>
        <v>0</v>
      </c>
      <c r="AA192" s="2252">
        <f t="shared" si="359"/>
        <v>0</v>
      </c>
      <c r="AB192" s="2255">
        <f t="shared" si="338"/>
        <v>0</v>
      </c>
      <c r="AC192" s="2176"/>
      <c r="AD192" s="2177"/>
      <c r="AE192" s="2180">
        <f t="shared" si="356"/>
        <v>0</v>
      </c>
      <c r="AF192" s="2281"/>
      <c r="AG192" s="2114"/>
      <c r="AH192" s="2177"/>
      <c r="AI192" s="2177"/>
      <c r="AJ192" s="2186">
        <f t="shared" si="340"/>
        <v>0</v>
      </c>
      <c r="AK192" s="2177"/>
      <c r="AL192" s="2177"/>
      <c r="AM192" s="2186">
        <f t="shared" si="341"/>
        <v>0</v>
      </c>
      <c r="AN192" s="2177"/>
      <c r="AO192" s="2177"/>
      <c r="AP192" s="2186">
        <f t="shared" si="342"/>
        <v>0</v>
      </c>
      <c r="AQ192" s="2177"/>
      <c r="AR192" s="2177"/>
      <c r="AS192" s="2186">
        <f t="shared" si="343"/>
        <v>0</v>
      </c>
      <c r="AT192" s="2177"/>
      <c r="AU192" s="2177"/>
      <c r="AV192" s="2186">
        <f t="shared" si="344"/>
        <v>0</v>
      </c>
      <c r="AW192" s="2177"/>
      <c r="AX192" s="2177"/>
      <c r="AY192" s="2186">
        <f t="shared" si="345"/>
        <v>0</v>
      </c>
      <c r="AZ192" s="2177"/>
      <c r="BA192" s="2177"/>
      <c r="BB192" s="2186">
        <f t="shared" si="346"/>
        <v>0</v>
      </c>
      <c r="BC192" s="2177"/>
      <c r="BD192" s="2177"/>
      <c r="BE192" s="2186">
        <f t="shared" si="347"/>
        <v>0</v>
      </c>
      <c r="BF192" s="2177"/>
      <c r="BG192" s="2177"/>
      <c r="BH192" s="2186">
        <f t="shared" si="348"/>
        <v>0</v>
      </c>
      <c r="BI192" s="2177"/>
      <c r="BJ192" s="2177"/>
      <c r="BK192" s="2186">
        <f t="shared" si="349"/>
        <v>0</v>
      </c>
      <c r="BL192" s="2177"/>
      <c r="BM192" s="2177"/>
      <c r="BN192" s="2186">
        <f t="shared" si="350"/>
        <v>0</v>
      </c>
      <c r="BO192" s="2177"/>
      <c r="BP192" s="2177"/>
      <c r="BQ192" s="2186">
        <f t="shared" si="351"/>
        <v>0</v>
      </c>
    </row>
    <row r="193" spans="3:69" s="2087" customFormat="1">
      <c r="C193" s="2194" t="s">
        <v>2318</v>
      </c>
      <c r="D193" s="2283" t="s">
        <v>2223</v>
      </c>
      <c r="E193" s="2284" t="s">
        <v>240</v>
      </c>
      <c r="F193" s="2176"/>
      <c r="G193" s="2177"/>
      <c r="H193" s="2177"/>
      <c r="I193" s="2178">
        <f t="shared" si="332"/>
        <v>0</v>
      </c>
      <c r="J193" s="2176"/>
      <c r="K193" s="2252">
        <f t="shared" si="357"/>
        <v>0</v>
      </c>
      <c r="L193" s="2252">
        <f t="shared" si="357"/>
        <v>0</v>
      </c>
      <c r="M193" s="2255">
        <f t="shared" si="333"/>
        <v>0</v>
      </c>
      <c r="N193" s="2177"/>
      <c r="O193" s="2177"/>
      <c r="P193" s="2178">
        <f t="shared" si="334"/>
        <v>0</v>
      </c>
      <c r="Q193" s="2176"/>
      <c r="R193" s="2177"/>
      <c r="S193" s="2180">
        <f t="shared" si="366"/>
        <v>0</v>
      </c>
      <c r="T193" s="2251">
        <f t="shared" si="358"/>
        <v>0</v>
      </c>
      <c r="U193" s="2252">
        <f t="shared" si="358"/>
        <v>0</v>
      </c>
      <c r="V193" s="2253">
        <f t="shared" si="336"/>
        <v>0</v>
      </c>
      <c r="W193" s="2182"/>
      <c r="X193" s="2177"/>
      <c r="Y193" s="2183">
        <f t="shared" si="367"/>
        <v>0</v>
      </c>
      <c r="Z193" s="2254">
        <f t="shared" si="359"/>
        <v>0</v>
      </c>
      <c r="AA193" s="2252">
        <f t="shared" si="359"/>
        <v>0</v>
      </c>
      <c r="AB193" s="2255">
        <f t="shared" si="338"/>
        <v>0</v>
      </c>
      <c r="AC193" s="2176"/>
      <c r="AD193" s="2177"/>
      <c r="AE193" s="2180">
        <f t="shared" si="356"/>
        <v>0</v>
      </c>
      <c r="AF193" s="2281"/>
      <c r="AG193" s="2114"/>
      <c r="AH193" s="2177"/>
      <c r="AI193" s="2177"/>
      <c r="AJ193" s="2186">
        <f t="shared" si="340"/>
        <v>0</v>
      </c>
      <c r="AK193" s="2177"/>
      <c r="AL193" s="2177"/>
      <c r="AM193" s="2186">
        <f t="shared" si="341"/>
        <v>0</v>
      </c>
      <c r="AN193" s="2177"/>
      <c r="AO193" s="2177"/>
      <c r="AP193" s="2186">
        <f t="shared" si="342"/>
        <v>0</v>
      </c>
      <c r="AQ193" s="2177"/>
      <c r="AR193" s="2177"/>
      <c r="AS193" s="2186">
        <f t="shared" si="343"/>
        <v>0</v>
      </c>
      <c r="AT193" s="2177"/>
      <c r="AU193" s="2177"/>
      <c r="AV193" s="2186">
        <f t="shared" si="344"/>
        <v>0</v>
      </c>
      <c r="AW193" s="2177"/>
      <c r="AX193" s="2177"/>
      <c r="AY193" s="2186">
        <f t="shared" si="345"/>
        <v>0</v>
      </c>
      <c r="AZ193" s="2177"/>
      <c r="BA193" s="2177"/>
      <c r="BB193" s="2186">
        <f t="shared" si="346"/>
        <v>0</v>
      </c>
      <c r="BC193" s="2177"/>
      <c r="BD193" s="2177"/>
      <c r="BE193" s="2186">
        <f t="shared" si="347"/>
        <v>0</v>
      </c>
      <c r="BF193" s="2177"/>
      <c r="BG193" s="2177"/>
      <c r="BH193" s="2186">
        <f t="shared" si="348"/>
        <v>0</v>
      </c>
      <c r="BI193" s="2177"/>
      <c r="BJ193" s="2177"/>
      <c r="BK193" s="2186">
        <f t="shared" si="349"/>
        <v>0</v>
      </c>
      <c r="BL193" s="2177"/>
      <c r="BM193" s="2177"/>
      <c r="BN193" s="2186">
        <f t="shared" si="350"/>
        <v>0</v>
      </c>
      <c r="BO193" s="2177"/>
      <c r="BP193" s="2177"/>
      <c r="BQ193" s="2186">
        <f t="shared" si="351"/>
        <v>0</v>
      </c>
    </row>
    <row r="194" spans="3:69" s="2087" customFormat="1">
      <c r="C194" s="2194" t="s">
        <v>2319</v>
      </c>
      <c r="D194" s="2283" t="s">
        <v>2225</v>
      </c>
      <c r="E194" s="2284" t="s">
        <v>240</v>
      </c>
      <c r="F194" s="2176"/>
      <c r="G194" s="2177"/>
      <c r="H194" s="2177"/>
      <c r="I194" s="2178">
        <f t="shared" si="332"/>
        <v>0</v>
      </c>
      <c r="J194" s="2176"/>
      <c r="K194" s="2252">
        <f t="shared" si="357"/>
        <v>0</v>
      </c>
      <c r="L194" s="2252">
        <f t="shared" si="357"/>
        <v>0</v>
      </c>
      <c r="M194" s="2255">
        <f t="shared" si="333"/>
        <v>0</v>
      </c>
      <c r="N194" s="2177"/>
      <c r="O194" s="2177"/>
      <c r="P194" s="2178">
        <f t="shared" si="334"/>
        <v>0</v>
      </c>
      <c r="Q194" s="2176"/>
      <c r="R194" s="2177"/>
      <c r="S194" s="2180">
        <f t="shared" si="366"/>
        <v>0</v>
      </c>
      <c r="T194" s="2251">
        <f t="shared" si="358"/>
        <v>0</v>
      </c>
      <c r="U194" s="2252">
        <f t="shared" si="358"/>
        <v>0</v>
      </c>
      <c r="V194" s="2253">
        <f t="shared" si="336"/>
        <v>0</v>
      </c>
      <c r="W194" s="2182"/>
      <c r="X194" s="2177"/>
      <c r="Y194" s="2183">
        <f t="shared" si="367"/>
        <v>0</v>
      </c>
      <c r="Z194" s="2254">
        <f t="shared" si="359"/>
        <v>0</v>
      </c>
      <c r="AA194" s="2252">
        <f t="shared" si="359"/>
        <v>0</v>
      </c>
      <c r="AB194" s="2255">
        <f t="shared" si="338"/>
        <v>0</v>
      </c>
      <c r="AC194" s="2176"/>
      <c r="AD194" s="2177"/>
      <c r="AE194" s="2180">
        <f t="shared" si="356"/>
        <v>0</v>
      </c>
      <c r="AF194" s="2281"/>
      <c r="AG194" s="2114"/>
      <c r="AH194" s="2177"/>
      <c r="AI194" s="2177"/>
      <c r="AJ194" s="2186">
        <f t="shared" si="340"/>
        <v>0</v>
      </c>
      <c r="AK194" s="2177"/>
      <c r="AL194" s="2177"/>
      <c r="AM194" s="2186">
        <f t="shared" si="341"/>
        <v>0</v>
      </c>
      <c r="AN194" s="2177"/>
      <c r="AO194" s="2177"/>
      <c r="AP194" s="2186">
        <f t="shared" si="342"/>
        <v>0</v>
      </c>
      <c r="AQ194" s="2177"/>
      <c r="AR194" s="2177"/>
      <c r="AS194" s="2186">
        <f t="shared" si="343"/>
        <v>0</v>
      </c>
      <c r="AT194" s="2177"/>
      <c r="AU194" s="2177"/>
      <c r="AV194" s="2186">
        <f t="shared" si="344"/>
        <v>0</v>
      </c>
      <c r="AW194" s="2177"/>
      <c r="AX194" s="2177"/>
      <c r="AY194" s="2186">
        <f t="shared" si="345"/>
        <v>0</v>
      </c>
      <c r="AZ194" s="2177"/>
      <c r="BA194" s="2177"/>
      <c r="BB194" s="2186">
        <f t="shared" si="346"/>
        <v>0</v>
      </c>
      <c r="BC194" s="2177"/>
      <c r="BD194" s="2177"/>
      <c r="BE194" s="2186">
        <f t="shared" si="347"/>
        <v>0</v>
      </c>
      <c r="BF194" s="2177"/>
      <c r="BG194" s="2177"/>
      <c r="BH194" s="2186">
        <f t="shared" si="348"/>
        <v>0</v>
      </c>
      <c r="BI194" s="2177"/>
      <c r="BJ194" s="2177"/>
      <c r="BK194" s="2186">
        <f t="shared" si="349"/>
        <v>0</v>
      </c>
      <c r="BL194" s="2177"/>
      <c r="BM194" s="2177"/>
      <c r="BN194" s="2186">
        <f t="shared" si="350"/>
        <v>0</v>
      </c>
      <c r="BO194" s="2177"/>
      <c r="BP194" s="2177"/>
      <c r="BQ194" s="2186">
        <f t="shared" si="351"/>
        <v>0</v>
      </c>
    </row>
    <row r="195" spans="3:69" s="2087" customFormat="1">
      <c r="C195" s="2194" t="s">
        <v>2320</v>
      </c>
      <c r="D195" s="2283" t="s">
        <v>2227</v>
      </c>
      <c r="E195" s="2284" t="s">
        <v>240</v>
      </c>
      <c r="F195" s="2176"/>
      <c r="G195" s="2177"/>
      <c r="H195" s="2177"/>
      <c r="I195" s="2178">
        <f t="shared" si="332"/>
        <v>0</v>
      </c>
      <c r="J195" s="2176"/>
      <c r="K195" s="2252">
        <f t="shared" ref="K195:L204" si="368">N195+Q195+W195+AC195</f>
        <v>0</v>
      </c>
      <c r="L195" s="2252">
        <f t="shared" si="368"/>
        <v>0</v>
      </c>
      <c r="M195" s="2255">
        <f t="shared" si="333"/>
        <v>0</v>
      </c>
      <c r="N195" s="2177"/>
      <c r="O195" s="2177"/>
      <c r="P195" s="2178">
        <f t="shared" si="334"/>
        <v>0</v>
      </c>
      <c r="Q195" s="2176"/>
      <c r="R195" s="2177"/>
      <c r="S195" s="2180">
        <f t="shared" si="366"/>
        <v>0</v>
      </c>
      <c r="T195" s="2251">
        <f t="shared" ref="T195:U204" si="369">N195+Q195</f>
        <v>0</v>
      </c>
      <c r="U195" s="2252">
        <f t="shared" si="369"/>
        <v>0</v>
      </c>
      <c r="V195" s="2253">
        <f t="shared" si="336"/>
        <v>0</v>
      </c>
      <c r="W195" s="2182"/>
      <c r="X195" s="2177"/>
      <c r="Y195" s="2183">
        <f t="shared" si="367"/>
        <v>0</v>
      </c>
      <c r="Z195" s="2254">
        <f t="shared" ref="Z195:AA204" si="370">T195+W195</f>
        <v>0</v>
      </c>
      <c r="AA195" s="2252">
        <f t="shared" si="370"/>
        <v>0</v>
      </c>
      <c r="AB195" s="2255">
        <f t="shared" si="338"/>
        <v>0</v>
      </c>
      <c r="AC195" s="2176"/>
      <c r="AD195" s="2177"/>
      <c r="AE195" s="2180">
        <f t="shared" si="356"/>
        <v>0</v>
      </c>
      <c r="AF195" s="2281"/>
      <c r="AG195" s="2114"/>
      <c r="AH195" s="2177"/>
      <c r="AI195" s="2177"/>
      <c r="AJ195" s="2186">
        <f t="shared" si="340"/>
        <v>0</v>
      </c>
      <c r="AK195" s="2177"/>
      <c r="AL195" s="2177"/>
      <c r="AM195" s="2186">
        <f t="shared" si="341"/>
        <v>0</v>
      </c>
      <c r="AN195" s="2177"/>
      <c r="AO195" s="2177"/>
      <c r="AP195" s="2186">
        <f t="shared" si="342"/>
        <v>0</v>
      </c>
      <c r="AQ195" s="2177"/>
      <c r="AR195" s="2177"/>
      <c r="AS195" s="2186">
        <f t="shared" si="343"/>
        <v>0</v>
      </c>
      <c r="AT195" s="2177"/>
      <c r="AU195" s="2177"/>
      <c r="AV195" s="2186">
        <f t="shared" si="344"/>
        <v>0</v>
      </c>
      <c r="AW195" s="2177"/>
      <c r="AX195" s="2177"/>
      <c r="AY195" s="2186">
        <f t="shared" si="345"/>
        <v>0</v>
      </c>
      <c r="AZ195" s="2177"/>
      <c r="BA195" s="2177"/>
      <c r="BB195" s="2186">
        <f t="shared" si="346"/>
        <v>0</v>
      </c>
      <c r="BC195" s="2177"/>
      <c r="BD195" s="2177"/>
      <c r="BE195" s="2186">
        <f t="shared" si="347"/>
        <v>0</v>
      </c>
      <c r="BF195" s="2177"/>
      <c r="BG195" s="2177"/>
      <c r="BH195" s="2186">
        <f t="shared" si="348"/>
        <v>0</v>
      </c>
      <c r="BI195" s="2177"/>
      <c r="BJ195" s="2177"/>
      <c r="BK195" s="2186">
        <f t="shared" si="349"/>
        <v>0</v>
      </c>
      <c r="BL195" s="2177"/>
      <c r="BM195" s="2177"/>
      <c r="BN195" s="2186">
        <f t="shared" si="350"/>
        <v>0</v>
      </c>
      <c r="BO195" s="2177"/>
      <c r="BP195" s="2177"/>
      <c r="BQ195" s="2186">
        <f t="shared" si="351"/>
        <v>0</v>
      </c>
    </row>
    <row r="196" spans="3:69" s="2087" customFormat="1" hidden="1">
      <c r="C196" s="2194" t="s">
        <v>2321</v>
      </c>
      <c r="D196" s="2283" t="s">
        <v>2229</v>
      </c>
      <c r="E196" s="2284" t="s">
        <v>240</v>
      </c>
      <c r="F196" s="2176"/>
      <c r="G196" s="2177"/>
      <c r="H196" s="2177"/>
      <c r="I196" s="2178">
        <f t="shared" si="332"/>
        <v>0</v>
      </c>
      <c r="J196" s="2176"/>
      <c r="K196" s="2252">
        <f t="shared" si="368"/>
        <v>0</v>
      </c>
      <c r="L196" s="2252">
        <f t="shared" si="368"/>
        <v>0</v>
      </c>
      <c r="M196" s="2255">
        <f t="shared" si="333"/>
        <v>0</v>
      </c>
      <c r="N196" s="2177"/>
      <c r="O196" s="2177"/>
      <c r="P196" s="2178">
        <f t="shared" si="334"/>
        <v>0</v>
      </c>
      <c r="Q196" s="2176"/>
      <c r="R196" s="2177"/>
      <c r="S196" s="2266"/>
      <c r="T196" s="2251">
        <f t="shared" si="369"/>
        <v>0</v>
      </c>
      <c r="U196" s="2252">
        <f t="shared" si="369"/>
        <v>0</v>
      </c>
      <c r="V196" s="2253">
        <f t="shared" si="336"/>
        <v>0</v>
      </c>
      <c r="W196" s="2182"/>
      <c r="X196" s="2177"/>
      <c r="Y196" s="2271"/>
      <c r="Z196" s="2254">
        <f t="shared" si="370"/>
        <v>0</v>
      </c>
      <c r="AA196" s="2252">
        <f t="shared" si="370"/>
        <v>0</v>
      </c>
      <c r="AB196" s="2255">
        <f t="shared" si="338"/>
        <v>0</v>
      </c>
      <c r="AC196" s="2176"/>
      <c r="AD196" s="2177"/>
      <c r="AE196" s="2180">
        <f t="shared" si="356"/>
        <v>0</v>
      </c>
      <c r="AF196" s="2281"/>
      <c r="AG196" s="2114"/>
      <c r="AH196" s="2177"/>
      <c r="AI196" s="2177"/>
      <c r="AJ196" s="2186">
        <f t="shared" si="340"/>
        <v>0</v>
      </c>
      <c r="AK196" s="2177"/>
      <c r="AL196" s="2177"/>
      <c r="AM196" s="2186">
        <f t="shared" si="341"/>
        <v>0</v>
      </c>
      <c r="AN196" s="2177"/>
      <c r="AO196" s="2177"/>
      <c r="AP196" s="2186">
        <f t="shared" si="342"/>
        <v>0</v>
      </c>
      <c r="AQ196" s="2177"/>
      <c r="AR196" s="2177"/>
      <c r="AS196" s="2186">
        <f t="shared" si="343"/>
        <v>0</v>
      </c>
      <c r="AT196" s="2177"/>
      <c r="AU196" s="2177"/>
      <c r="AV196" s="2186">
        <f t="shared" si="344"/>
        <v>0</v>
      </c>
      <c r="AW196" s="2177"/>
      <c r="AX196" s="2177"/>
      <c r="AY196" s="2186">
        <f t="shared" si="345"/>
        <v>0</v>
      </c>
      <c r="AZ196" s="2177"/>
      <c r="BA196" s="2177"/>
      <c r="BB196" s="2186">
        <f t="shared" si="346"/>
        <v>0</v>
      </c>
      <c r="BC196" s="2177"/>
      <c r="BD196" s="2177"/>
      <c r="BE196" s="2186">
        <f t="shared" si="347"/>
        <v>0</v>
      </c>
      <c r="BF196" s="2177"/>
      <c r="BG196" s="2177"/>
      <c r="BH196" s="2186">
        <f t="shared" si="348"/>
        <v>0</v>
      </c>
      <c r="BI196" s="2177"/>
      <c r="BJ196" s="2177"/>
      <c r="BK196" s="2186">
        <f t="shared" si="349"/>
        <v>0</v>
      </c>
      <c r="BL196" s="2177"/>
      <c r="BM196" s="2177"/>
      <c r="BN196" s="2186">
        <f t="shared" si="350"/>
        <v>0</v>
      </c>
      <c r="BO196" s="2177"/>
      <c r="BP196" s="2177"/>
      <c r="BQ196" s="2186">
        <f t="shared" si="351"/>
        <v>0</v>
      </c>
    </row>
    <row r="197" spans="3:69" s="2087" customFormat="1">
      <c r="C197" s="2285" t="s">
        <v>2322</v>
      </c>
      <c r="D197" s="2287" t="s">
        <v>2255</v>
      </c>
      <c r="E197" s="2284" t="s">
        <v>240</v>
      </c>
      <c r="F197" s="2176"/>
      <c r="G197" s="2252">
        <f>G198+G199+G200+G201+G202</f>
        <v>0</v>
      </c>
      <c r="H197" s="2252">
        <f>H198+H199+H200+H201+H202</f>
        <v>0</v>
      </c>
      <c r="I197" s="2178">
        <f t="shared" si="332"/>
        <v>0</v>
      </c>
      <c r="J197" s="2176"/>
      <c r="K197" s="2179">
        <f t="shared" si="368"/>
        <v>0</v>
      </c>
      <c r="L197" s="2179">
        <f t="shared" si="368"/>
        <v>0</v>
      </c>
      <c r="M197" s="2178">
        <f t="shared" si="333"/>
        <v>0</v>
      </c>
      <c r="N197" s="2179">
        <f>N198+N199+N200+N201+N202</f>
        <v>0</v>
      </c>
      <c r="O197" s="2179">
        <f>O198+O199+O200+O201+O202</f>
        <v>0</v>
      </c>
      <c r="P197" s="2178">
        <f t="shared" si="334"/>
        <v>0</v>
      </c>
      <c r="Q197" s="2179">
        <f>Q198+Q199+Q200+Q201+Q202</f>
        <v>0</v>
      </c>
      <c r="R197" s="2179">
        <f>R198+R199+R200+R201+R202</f>
        <v>0</v>
      </c>
      <c r="S197" s="2180">
        <f t="shared" ref="S197:S204" si="371">R197-Q197</f>
        <v>0</v>
      </c>
      <c r="T197" s="2181">
        <f t="shared" si="369"/>
        <v>0</v>
      </c>
      <c r="U197" s="2179">
        <f t="shared" si="369"/>
        <v>0</v>
      </c>
      <c r="V197" s="2180">
        <f t="shared" si="336"/>
        <v>0</v>
      </c>
      <c r="W197" s="2187">
        <f>W198+W199+W200+W201+W202</f>
        <v>0</v>
      </c>
      <c r="X197" s="2179">
        <f>X198+X199+X200+X201+X202</f>
        <v>0</v>
      </c>
      <c r="Y197" s="2183">
        <f t="shared" ref="Y197:Y204" si="372">X197-W197</f>
        <v>0</v>
      </c>
      <c r="Z197" s="2184">
        <f t="shared" si="370"/>
        <v>0</v>
      </c>
      <c r="AA197" s="2179">
        <f t="shared" si="370"/>
        <v>0</v>
      </c>
      <c r="AB197" s="2178">
        <f t="shared" si="338"/>
        <v>0</v>
      </c>
      <c r="AC197" s="2179">
        <f>AC198+AC199+AC200+AC201+AC202</f>
        <v>0</v>
      </c>
      <c r="AD197" s="2179">
        <f>AD198+AD199+AD200+AD201+AD202</f>
        <v>0</v>
      </c>
      <c r="AE197" s="2180">
        <f t="shared" si="356"/>
        <v>0</v>
      </c>
      <c r="AF197" s="2277"/>
      <c r="AG197" s="2114"/>
      <c r="AH197" s="2188">
        <f>AH198+AH199+AH200+AH201+AH202</f>
        <v>0</v>
      </c>
      <c r="AI197" s="2188">
        <f>AI198+AI199+AI200+AI201+AI202</f>
        <v>0</v>
      </c>
      <c r="AJ197" s="2186">
        <f t="shared" si="340"/>
        <v>0</v>
      </c>
      <c r="AK197" s="2188">
        <f>AK198+AK199+AK200+AK201+AK202</f>
        <v>0</v>
      </c>
      <c r="AL197" s="2188">
        <f>AL198+AL199+AL200+AL201+AL202</f>
        <v>0</v>
      </c>
      <c r="AM197" s="2186">
        <f t="shared" si="341"/>
        <v>0</v>
      </c>
      <c r="AN197" s="2188">
        <f>AN198+AN199+AN200+AN201+AN202</f>
        <v>0</v>
      </c>
      <c r="AO197" s="2188">
        <f>AO198+AO199+AO200+AO201+AO202</f>
        <v>0</v>
      </c>
      <c r="AP197" s="2186">
        <f t="shared" si="342"/>
        <v>0</v>
      </c>
      <c r="AQ197" s="2188">
        <f>AQ198+AQ199+AQ200+AQ201+AQ202</f>
        <v>0</v>
      </c>
      <c r="AR197" s="2188">
        <f>AR198+AR199+AR200+AR201+AR202</f>
        <v>0</v>
      </c>
      <c r="AS197" s="2186">
        <f t="shared" si="343"/>
        <v>0</v>
      </c>
      <c r="AT197" s="2188">
        <f>AT198+AT199+AT200+AT201+AT202</f>
        <v>0</v>
      </c>
      <c r="AU197" s="2188">
        <f>AU198+AU199+AU200+AU201+AU202</f>
        <v>0</v>
      </c>
      <c r="AV197" s="2186">
        <f t="shared" si="344"/>
        <v>0</v>
      </c>
      <c r="AW197" s="2188">
        <f>AW198+AW199+AW200+AW201+AW202</f>
        <v>0</v>
      </c>
      <c r="AX197" s="2188">
        <f>AX198+AX199+AX200+AX201+AX202</f>
        <v>0</v>
      </c>
      <c r="AY197" s="2186">
        <f t="shared" si="345"/>
        <v>0</v>
      </c>
      <c r="AZ197" s="2188">
        <f>AZ198+AZ199+AZ200+AZ201+AZ202</f>
        <v>0</v>
      </c>
      <c r="BA197" s="2188">
        <f>BA198+BA199+BA200+BA201+BA202</f>
        <v>0</v>
      </c>
      <c r="BB197" s="2186">
        <f t="shared" si="346"/>
        <v>0</v>
      </c>
      <c r="BC197" s="2188">
        <f>BC198+BC199+BC200+BC201+BC202</f>
        <v>0</v>
      </c>
      <c r="BD197" s="2188">
        <f>BD198+BD199+BD200+BD201+BD202</f>
        <v>0</v>
      </c>
      <c r="BE197" s="2186">
        <f t="shared" si="347"/>
        <v>0</v>
      </c>
      <c r="BF197" s="2188">
        <f>BF198+BF199+BF200+BF201+BF202</f>
        <v>0</v>
      </c>
      <c r="BG197" s="2188">
        <f>BG198+BG199+BG200+BG201+BG202</f>
        <v>0</v>
      </c>
      <c r="BH197" s="2186">
        <f t="shared" si="348"/>
        <v>0</v>
      </c>
      <c r="BI197" s="2188">
        <f>BI198+BI199+BI200+BI201+BI202</f>
        <v>0</v>
      </c>
      <c r="BJ197" s="2188">
        <f>BJ198+BJ199+BJ200+BJ201+BJ202</f>
        <v>0</v>
      </c>
      <c r="BK197" s="2186">
        <f t="shared" si="349"/>
        <v>0</v>
      </c>
      <c r="BL197" s="2188">
        <f>BL198+BL199+BL200+BL201+BL202</f>
        <v>0</v>
      </c>
      <c r="BM197" s="2188">
        <f>BM198+BM199+BM200+BM201+BM202</f>
        <v>0</v>
      </c>
      <c r="BN197" s="2186">
        <f t="shared" si="350"/>
        <v>0</v>
      </c>
      <c r="BO197" s="2188">
        <f>BO198+BO199+BO200+BO201+BO202</f>
        <v>0</v>
      </c>
      <c r="BP197" s="2188">
        <f>BP198+BP199+BP200+BP201+BP202</f>
        <v>0</v>
      </c>
      <c r="BQ197" s="2186">
        <f t="shared" si="351"/>
        <v>0</v>
      </c>
    </row>
    <row r="198" spans="3:69" s="2087" customFormat="1">
      <c r="C198" s="2194" t="s">
        <v>2323</v>
      </c>
      <c r="D198" s="2283" t="s">
        <v>2221</v>
      </c>
      <c r="E198" s="2284" t="s">
        <v>240</v>
      </c>
      <c r="F198" s="2176"/>
      <c r="G198" s="2177"/>
      <c r="H198" s="2177"/>
      <c r="I198" s="2178">
        <f t="shared" si="332"/>
        <v>0</v>
      </c>
      <c r="J198" s="2176"/>
      <c r="K198" s="2252">
        <f t="shared" si="368"/>
        <v>0</v>
      </c>
      <c r="L198" s="2252">
        <f t="shared" si="368"/>
        <v>0</v>
      </c>
      <c r="M198" s="2255">
        <f t="shared" si="333"/>
        <v>0</v>
      </c>
      <c r="N198" s="2177"/>
      <c r="O198" s="2177"/>
      <c r="P198" s="2178">
        <f t="shared" si="334"/>
        <v>0</v>
      </c>
      <c r="Q198" s="2176"/>
      <c r="R198" s="2177"/>
      <c r="S198" s="2180">
        <f t="shared" si="371"/>
        <v>0</v>
      </c>
      <c r="T198" s="2251">
        <f t="shared" si="369"/>
        <v>0</v>
      </c>
      <c r="U198" s="2252">
        <f t="shared" si="369"/>
        <v>0</v>
      </c>
      <c r="V198" s="2253">
        <f t="shared" si="336"/>
        <v>0</v>
      </c>
      <c r="W198" s="2182"/>
      <c r="X198" s="2177"/>
      <c r="Y198" s="2183">
        <f t="shared" si="372"/>
        <v>0</v>
      </c>
      <c r="Z198" s="2254">
        <f t="shared" si="370"/>
        <v>0</v>
      </c>
      <c r="AA198" s="2252">
        <f t="shared" si="370"/>
        <v>0</v>
      </c>
      <c r="AB198" s="2255">
        <f t="shared" si="338"/>
        <v>0</v>
      </c>
      <c r="AC198" s="2176"/>
      <c r="AD198" s="2177"/>
      <c r="AE198" s="2180">
        <f t="shared" si="356"/>
        <v>0</v>
      </c>
      <c r="AF198" s="2281"/>
      <c r="AG198" s="2114"/>
      <c r="AH198" s="2177"/>
      <c r="AI198" s="2177"/>
      <c r="AJ198" s="2186">
        <f t="shared" si="340"/>
        <v>0</v>
      </c>
      <c r="AK198" s="2177"/>
      <c r="AL198" s="2177"/>
      <c r="AM198" s="2186">
        <f t="shared" si="341"/>
        <v>0</v>
      </c>
      <c r="AN198" s="2177"/>
      <c r="AO198" s="2177"/>
      <c r="AP198" s="2186">
        <f t="shared" si="342"/>
        <v>0</v>
      </c>
      <c r="AQ198" s="2177"/>
      <c r="AR198" s="2177"/>
      <c r="AS198" s="2186">
        <f t="shared" si="343"/>
        <v>0</v>
      </c>
      <c r="AT198" s="2177"/>
      <c r="AU198" s="2177"/>
      <c r="AV198" s="2186">
        <f t="shared" si="344"/>
        <v>0</v>
      </c>
      <c r="AW198" s="2177"/>
      <c r="AX198" s="2177"/>
      <c r="AY198" s="2186">
        <f t="shared" si="345"/>
        <v>0</v>
      </c>
      <c r="AZ198" s="2177"/>
      <c r="BA198" s="2177"/>
      <c r="BB198" s="2186">
        <f t="shared" si="346"/>
        <v>0</v>
      </c>
      <c r="BC198" s="2177"/>
      <c r="BD198" s="2177"/>
      <c r="BE198" s="2186">
        <f t="shared" si="347"/>
        <v>0</v>
      </c>
      <c r="BF198" s="2177"/>
      <c r="BG198" s="2177"/>
      <c r="BH198" s="2186">
        <f t="shared" si="348"/>
        <v>0</v>
      </c>
      <c r="BI198" s="2177"/>
      <c r="BJ198" s="2177"/>
      <c r="BK198" s="2186">
        <f t="shared" si="349"/>
        <v>0</v>
      </c>
      <c r="BL198" s="2177"/>
      <c r="BM198" s="2177"/>
      <c r="BN198" s="2186">
        <f t="shared" si="350"/>
        <v>0</v>
      </c>
      <c r="BO198" s="2177"/>
      <c r="BP198" s="2177"/>
      <c r="BQ198" s="2186">
        <f t="shared" si="351"/>
        <v>0</v>
      </c>
    </row>
    <row r="199" spans="3:69" s="2087" customFormat="1">
      <c r="C199" s="2194" t="s">
        <v>2324</v>
      </c>
      <c r="D199" s="2283" t="s">
        <v>2223</v>
      </c>
      <c r="E199" s="2284" t="s">
        <v>240</v>
      </c>
      <c r="F199" s="2176"/>
      <c r="G199" s="2177"/>
      <c r="H199" s="2177"/>
      <c r="I199" s="2178">
        <f t="shared" si="332"/>
        <v>0</v>
      </c>
      <c r="J199" s="2176"/>
      <c r="K199" s="2252">
        <f t="shared" si="368"/>
        <v>0</v>
      </c>
      <c r="L199" s="2252">
        <f t="shared" si="368"/>
        <v>0</v>
      </c>
      <c r="M199" s="2255">
        <f t="shared" si="333"/>
        <v>0</v>
      </c>
      <c r="N199" s="2177"/>
      <c r="O199" s="2177"/>
      <c r="P199" s="2178">
        <f t="shared" si="334"/>
        <v>0</v>
      </c>
      <c r="Q199" s="2176"/>
      <c r="R199" s="2177"/>
      <c r="S199" s="2180">
        <f t="shared" si="371"/>
        <v>0</v>
      </c>
      <c r="T199" s="2251">
        <f t="shared" si="369"/>
        <v>0</v>
      </c>
      <c r="U199" s="2252">
        <f t="shared" si="369"/>
        <v>0</v>
      </c>
      <c r="V199" s="2253">
        <f t="shared" si="336"/>
        <v>0</v>
      </c>
      <c r="W199" s="2182"/>
      <c r="X199" s="2177"/>
      <c r="Y199" s="2183">
        <f t="shared" si="372"/>
        <v>0</v>
      </c>
      <c r="Z199" s="2254">
        <f t="shared" si="370"/>
        <v>0</v>
      </c>
      <c r="AA199" s="2252">
        <f t="shared" si="370"/>
        <v>0</v>
      </c>
      <c r="AB199" s="2255">
        <f t="shared" si="338"/>
        <v>0</v>
      </c>
      <c r="AC199" s="2176"/>
      <c r="AD199" s="2177"/>
      <c r="AE199" s="2180">
        <f t="shared" si="356"/>
        <v>0</v>
      </c>
      <c r="AF199" s="2281"/>
      <c r="AG199" s="2114"/>
      <c r="AH199" s="2177"/>
      <c r="AI199" s="2177"/>
      <c r="AJ199" s="2186">
        <f t="shared" si="340"/>
        <v>0</v>
      </c>
      <c r="AK199" s="2177"/>
      <c r="AL199" s="2177"/>
      <c r="AM199" s="2186">
        <f t="shared" si="341"/>
        <v>0</v>
      </c>
      <c r="AN199" s="2177"/>
      <c r="AO199" s="2177"/>
      <c r="AP199" s="2186">
        <f t="shared" si="342"/>
        <v>0</v>
      </c>
      <c r="AQ199" s="2177"/>
      <c r="AR199" s="2177"/>
      <c r="AS199" s="2186">
        <f t="shared" si="343"/>
        <v>0</v>
      </c>
      <c r="AT199" s="2177"/>
      <c r="AU199" s="2177"/>
      <c r="AV199" s="2186">
        <f t="shared" si="344"/>
        <v>0</v>
      </c>
      <c r="AW199" s="2177"/>
      <c r="AX199" s="2177"/>
      <c r="AY199" s="2186">
        <f t="shared" si="345"/>
        <v>0</v>
      </c>
      <c r="AZ199" s="2177"/>
      <c r="BA199" s="2177"/>
      <c r="BB199" s="2186">
        <f t="shared" si="346"/>
        <v>0</v>
      </c>
      <c r="BC199" s="2177"/>
      <c r="BD199" s="2177"/>
      <c r="BE199" s="2186">
        <f t="shared" si="347"/>
        <v>0</v>
      </c>
      <c r="BF199" s="2177"/>
      <c r="BG199" s="2177"/>
      <c r="BH199" s="2186">
        <f t="shared" si="348"/>
        <v>0</v>
      </c>
      <c r="BI199" s="2177"/>
      <c r="BJ199" s="2177"/>
      <c r="BK199" s="2186">
        <f t="shared" si="349"/>
        <v>0</v>
      </c>
      <c r="BL199" s="2177"/>
      <c r="BM199" s="2177"/>
      <c r="BN199" s="2186">
        <f t="shared" si="350"/>
        <v>0</v>
      </c>
      <c r="BO199" s="2177"/>
      <c r="BP199" s="2177"/>
      <c r="BQ199" s="2186">
        <f t="shared" si="351"/>
        <v>0</v>
      </c>
    </row>
    <row r="200" spans="3:69" s="2087" customFormat="1">
      <c r="C200" s="2194" t="s">
        <v>2325</v>
      </c>
      <c r="D200" s="2283" t="s">
        <v>2225</v>
      </c>
      <c r="E200" s="2284" t="s">
        <v>240</v>
      </c>
      <c r="F200" s="2176"/>
      <c r="G200" s="2177"/>
      <c r="H200" s="2177"/>
      <c r="I200" s="2178">
        <f t="shared" si="332"/>
        <v>0</v>
      </c>
      <c r="J200" s="2176"/>
      <c r="K200" s="2252">
        <f t="shared" si="368"/>
        <v>0</v>
      </c>
      <c r="L200" s="2252">
        <f t="shared" si="368"/>
        <v>0</v>
      </c>
      <c r="M200" s="2255">
        <f t="shared" si="333"/>
        <v>0</v>
      </c>
      <c r="N200" s="2177"/>
      <c r="O200" s="2177"/>
      <c r="P200" s="2178">
        <f t="shared" si="334"/>
        <v>0</v>
      </c>
      <c r="Q200" s="2176"/>
      <c r="R200" s="2177"/>
      <c r="S200" s="2180">
        <f t="shared" si="371"/>
        <v>0</v>
      </c>
      <c r="T200" s="2251">
        <f t="shared" si="369"/>
        <v>0</v>
      </c>
      <c r="U200" s="2252">
        <f t="shared" si="369"/>
        <v>0</v>
      </c>
      <c r="V200" s="2253">
        <f t="shared" si="336"/>
        <v>0</v>
      </c>
      <c r="W200" s="2182"/>
      <c r="X200" s="2177"/>
      <c r="Y200" s="2183">
        <f t="shared" si="372"/>
        <v>0</v>
      </c>
      <c r="Z200" s="2254">
        <f t="shared" si="370"/>
        <v>0</v>
      </c>
      <c r="AA200" s="2252">
        <f t="shared" si="370"/>
        <v>0</v>
      </c>
      <c r="AB200" s="2255">
        <f t="shared" si="338"/>
        <v>0</v>
      </c>
      <c r="AC200" s="2176"/>
      <c r="AD200" s="2177"/>
      <c r="AE200" s="2180">
        <f t="shared" si="356"/>
        <v>0</v>
      </c>
      <c r="AF200" s="2281"/>
      <c r="AG200" s="2114"/>
      <c r="AH200" s="2177"/>
      <c r="AI200" s="2177"/>
      <c r="AJ200" s="2186">
        <f t="shared" si="340"/>
        <v>0</v>
      </c>
      <c r="AK200" s="2177"/>
      <c r="AL200" s="2177"/>
      <c r="AM200" s="2186">
        <f t="shared" si="341"/>
        <v>0</v>
      </c>
      <c r="AN200" s="2177"/>
      <c r="AO200" s="2177"/>
      <c r="AP200" s="2186">
        <f t="shared" si="342"/>
        <v>0</v>
      </c>
      <c r="AQ200" s="2177"/>
      <c r="AR200" s="2177"/>
      <c r="AS200" s="2186">
        <f t="shared" si="343"/>
        <v>0</v>
      </c>
      <c r="AT200" s="2177"/>
      <c r="AU200" s="2177"/>
      <c r="AV200" s="2186">
        <f t="shared" si="344"/>
        <v>0</v>
      </c>
      <c r="AW200" s="2177"/>
      <c r="AX200" s="2177"/>
      <c r="AY200" s="2186">
        <f t="shared" si="345"/>
        <v>0</v>
      </c>
      <c r="AZ200" s="2177"/>
      <c r="BA200" s="2177"/>
      <c r="BB200" s="2186">
        <f t="shared" si="346"/>
        <v>0</v>
      </c>
      <c r="BC200" s="2177"/>
      <c r="BD200" s="2177"/>
      <c r="BE200" s="2186">
        <f t="shared" si="347"/>
        <v>0</v>
      </c>
      <c r="BF200" s="2177"/>
      <c r="BG200" s="2177"/>
      <c r="BH200" s="2186">
        <f t="shared" si="348"/>
        <v>0</v>
      </c>
      <c r="BI200" s="2177"/>
      <c r="BJ200" s="2177"/>
      <c r="BK200" s="2186">
        <f t="shared" si="349"/>
        <v>0</v>
      </c>
      <c r="BL200" s="2177"/>
      <c r="BM200" s="2177"/>
      <c r="BN200" s="2186">
        <f t="shared" si="350"/>
        <v>0</v>
      </c>
      <c r="BO200" s="2177"/>
      <c r="BP200" s="2177"/>
      <c r="BQ200" s="2186">
        <f t="shared" si="351"/>
        <v>0</v>
      </c>
    </row>
    <row r="201" spans="3:69" s="2087" customFormat="1">
      <c r="C201" s="2194" t="s">
        <v>2326</v>
      </c>
      <c r="D201" s="2283" t="s">
        <v>2227</v>
      </c>
      <c r="E201" s="2284" t="s">
        <v>240</v>
      </c>
      <c r="F201" s="2176"/>
      <c r="G201" s="2177"/>
      <c r="H201" s="2177"/>
      <c r="I201" s="2178">
        <f t="shared" si="332"/>
        <v>0</v>
      </c>
      <c r="J201" s="2176"/>
      <c r="K201" s="2252">
        <f t="shared" si="368"/>
        <v>0</v>
      </c>
      <c r="L201" s="2252">
        <f t="shared" si="368"/>
        <v>0</v>
      </c>
      <c r="M201" s="2255">
        <f t="shared" si="333"/>
        <v>0</v>
      </c>
      <c r="N201" s="2177"/>
      <c r="O201" s="2177"/>
      <c r="P201" s="2178">
        <f t="shared" si="334"/>
        <v>0</v>
      </c>
      <c r="Q201" s="2176"/>
      <c r="R201" s="2177"/>
      <c r="S201" s="2180">
        <f t="shared" si="371"/>
        <v>0</v>
      </c>
      <c r="T201" s="2251">
        <f t="shared" si="369"/>
        <v>0</v>
      </c>
      <c r="U201" s="2252">
        <f t="shared" si="369"/>
        <v>0</v>
      </c>
      <c r="V201" s="2253">
        <f t="shared" si="336"/>
        <v>0</v>
      </c>
      <c r="W201" s="2182"/>
      <c r="X201" s="2177"/>
      <c r="Y201" s="2183">
        <f t="shared" si="372"/>
        <v>0</v>
      </c>
      <c r="Z201" s="2254">
        <f t="shared" si="370"/>
        <v>0</v>
      </c>
      <c r="AA201" s="2252">
        <f t="shared" si="370"/>
        <v>0</v>
      </c>
      <c r="AB201" s="2255">
        <f t="shared" si="338"/>
        <v>0</v>
      </c>
      <c r="AC201" s="2176"/>
      <c r="AD201" s="2177"/>
      <c r="AE201" s="2180">
        <f t="shared" si="356"/>
        <v>0</v>
      </c>
      <c r="AF201" s="2281"/>
      <c r="AG201" s="2114"/>
      <c r="AH201" s="2177"/>
      <c r="AI201" s="2177"/>
      <c r="AJ201" s="2186">
        <f t="shared" si="340"/>
        <v>0</v>
      </c>
      <c r="AK201" s="2177"/>
      <c r="AL201" s="2177"/>
      <c r="AM201" s="2186">
        <f t="shared" si="341"/>
        <v>0</v>
      </c>
      <c r="AN201" s="2177"/>
      <c r="AO201" s="2177"/>
      <c r="AP201" s="2186">
        <f t="shared" si="342"/>
        <v>0</v>
      </c>
      <c r="AQ201" s="2177"/>
      <c r="AR201" s="2177"/>
      <c r="AS201" s="2186">
        <f t="shared" si="343"/>
        <v>0</v>
      </c>
      <c r="AT201" s="2177"/>
      <c r="AU201" s="2177"/>
      <c r="AV201" s="2186">
        <f t="shared" si="344"/>
        <v>0</v>
      </c>
      <c r="AW201" s="2177"/>
      <c r="AX201" s="2177"/>
      <c r="AY201" s="2186">
        <f t="shared" si="345"/>
        <v>0</v>
      </c>
      <c r="AZ201" s="2177"/>
      <c r="BA201" s="2177"/>
      <c r="BB201" s="2186">
        <f t="shared" si="346"/>
        <v>0</v>
      </c>
      <c r="BC201" s="2177"/>
      <c r="BD201" s="2177"/>
      <c r="BE201" s="2186">
        <f t="shared" si="347"/>
        <v>0</v>
      </c>
      <c r="BF201" s="2177"/>
      <c r="BG201" s="2177"/>
      <c r="BH201" s="2186">
        <f t="shared" si="348"/>
        <v>0</v>
      </c>
      <c r="BI201" s="2177"/>
      <c r="BJ201" s="2177"/>
      <c r="BK201" s="2186">
        <f t="shared" si="349"/>
        <v>0</v>
      </c>
      <c r="BL201" s="2177"/>
      <c r="BM201" s="2177"/>
      <c r="BN201" s="2186">
        <f t="shared" si="350"/>
        <v>0</v>
      </c>
      <c r="BO201" s="2177"/>
      <c r="BP201" s="2177"/>
      <c r="BQ201" s="2186">
        <f t="shared" si="351"/>
        <v>0</v>
      </c>
    </row>
    <row r="202" spans="3:69" s="2087" customFormat="1" hidden="1">
      <c r="C202" s="2194" t="s">
        <v>2327</v>
      </c>
      <c r="D202" s="2283" t="s">
        <v>2229</v>
      </c>
      <c r="E202" s="2284" t="s">
        <v>240</v>
      </c>
      <c r="F202" s="2176"/>
      <c r="G202" s="2177"/>
      <c r="H202" s="2177"/>
      <c r="I202" s="2178">
        <f t="shared" si="332"/>
        <v>0</v>
      </c>
      <c r="J202" s="2176"/>
      <c r="K202" s="2252">
        <f t="shared" si="368"/>
        <v>0</v>
      </c>
      <c r="L202" s="2252">
        <f t="shared" si="368"/>
        <v>0</v>
      </c>
      <c r="M202" s="2255">
        <f t="shared" si="333"/>
        <v>0</v>
      </c>
      <c r="N202" s="2177"/>
      <c r="O202" s="2177"/>
      <c r="P202" s="2178">
        <f t="shared" si="334"/>
        <v>0</v>
      </c>
      <c r="Q202" s="2176"/>
      <c r="R202" s="2177"/>
      <c r="S202" s="2266"/>
      <c r="T202" s="2251">
        <f t="shared" si="369"/>
        <v>0</v>
      </c>
      <c r="U202" s="2252">
        <f t="shared" si="369"/>
        <v>0</v>
      </c>
      <c r="V202" s="2253">
        <f t="shared" si="336"/>
        <v>0</v>
      </c>
      <c r="W202" s="2182"/>
      <c r="X202" s="2177"/>
      <c r="Y202" s="2271"/>
      <c r="Z202" s="2254">
        <f t="shared" si="370"/>
        <v>0</v>
      </c>
      <c r="AA202" s="2252">
        <f t="shared" si="370"/>
        <v>0</v>
      </c>
      <c r="AB202" s="2255">
        <f t="shared" si="338"/>
        <v>0</v>
      </c>
      <c r="AC202" s="2176"/>
      <c r="AD202" s="2177"/>
      <c r="AE202" s="2180">
        <f t="shared" si="356"/>
        <v>0</v>
      </c>
      <c r="AF202" s="2281"/>
      <c r="AG202" s="2114"/>
      <c r="AH202" s="2177"/>
      <c r="AI202" s="2177"/>
      <c r="AJ202" s="2186">
        <f t="shared" si="340"/>
        <v>0</v>
      </c>
      <c r="AK202" s="2177"/>
      <c r="AL202" s="2177"/>
      <c r="AM202" s="2186">
        <f t="shared" si="341"/>
        <v>0</v>
      </c>
      <c r="AN202" s="2177"/>
      <c r="AO202" s="2177"/>
      <c r="AP202" s="2186">
        <f t="shared" si="342"/>
        <v>0</v>
      </c>
      <c r="AQ202" s="2177"/>
      <c r="AR202" s="2177"/>
      <c r="AS202" s="2186">
        <f t="shared" si="343"/>
        <v>0</v>
      </c>
      <c r="AT202" s="2177"/>
      <c r="AU202" s="2177"/>
      <c r="AV202" s="2186">
        <f t="shared" si="344"/>
        <v>0</v>
      </c>
      <c r="AW202" s="2177"/>
      <c r="AX202" s="2177"/>
      <c r="AY202" s="2186">
        <f t="shared" si="345"/>
        <v>0</v>
      </c>
      <c r="AZ202" s="2177"/>
      <c r="BA202" s="2177"/>
      <c r="BB202" s="2186">
        <f t="shared" si="346"/>
        <v>0</v>
      </c>
      <c r="BC202" s="2177"/>
      <c r="BD202" s="2177"/>
      <c r="BE202" s="2186">
        <f t="shared" si="347"/>
        <v>0</v>
      </c>
      <c r="BF202" s="2177"/>
      <c r="BG202" s="2177"/>
      <c r="BH202" s="2186">
        <f t="shared" si="348"/>
        <v>0</v>
      </c>
      <c r="BI202" s="2177"/>
      <c r="BJ202" s="2177"/>
      <c r="BK202" s="2186">
        <f t="shared" si="349"/>
        <v>0</v>
      </c>
      <c r="BL202" s="2177"/>
      <c r="BM202" s="2177"/>
      <c r="BN202" s="2186">
        <f t="shared" si="350"/>
        <v>0</v>
      </c>
      <c r="BO202" s="2177"/>
      <c r="BP202" s="2177"/>
      <c r="BQ202" s="2186">
        <f t="shared" si="351"/>
        <v>0</v>
      </c>
    </row>
    <row r="203" spans="3:69" s="2159" customFormat="1" hidden="1">
      <c r="C203" s="2256" t="s">
        <v>2328</v>
      </c>
      <c r="D203" s="2280" t="s">
        <v>2096</v>
      </c>
      <c r="E203" s="2120" t="s">
        <v>240</v>
      </c>
      <c r="F203" s="2162"/>
      <c r="G203" s="2163">
        <f>G212+G218+G224+G230</f>
        <v>0</v>
      </c>
      <c r="H203" s="2163">
        <f>H212+H218+H224+H230</f>
        <v>0</v>
      </c>
      <c r="I203" s="2164">
        <f t="shared" si="332"/>
        <v>0</v>
      </c>
      <c r="J203" s="2162"/>
      <c r="K203" s="2259">
        <f t="shared" si="368"/>
        <v>0</v>
      </c>
      <c r="L203" s="2259">
        <f t="shared" si="368"/>
        <v>0</v>
      </c>
      <c r="M203" s="2262">
        <f t="shared" si="333"/>
        <v>0</v>
      </c>
      <c r="N203" s="2163">
        <f>N212+N218+N224+N230</f>
        <v>0</v>
      </c>
      <c r="O203" s="2163">
        <f>O212+O218+O224+O230</f>
        <v>0</v>
      </c>
      <c r="P203" s="2164">
        <f t="shared" si="334"/>
        <v>0</v>
      </c>
      <c r="Q203" s="2165">
        <f>Q212+Q218+Q224+Q230</f>
        <v>0</v>
      </c>
      <c r="R203" s="2163">
        <f>R212+R218+R224+R230</f>
        <v>0</v>
      </c>
      <c r="S203" s="2166">
        <f t="shared" si="371"/>
        <v>0</v>
      </c>
      <c r="T203" s="2258">
        <f t="shared" si="369"/>
        <v>0</v>
      </c>
      <c r="U203" s="2259">
        <f t="shared" si="369"/>
        <v>0</v>
      </c>
      <c r="V203" s="2260">
        <f t="shared" si="336"/>
        <v>0</v>
      </c>
      <c r="W203" s="2168">
        <f>W212+W218+W224+W230</f>
        <v>0</v>
      </c>
      <c r="X203" s="2163">
        <f>X212+X218+X224+X230</f>
        <v>0</v>
      </c>
      <c r="Y203" s="2169">
        <f t="shared" si="372"/>
        <v>0</v>
      </c>
      <c r="Z203" s="2261">
        <f t="shared" si="370"/>
        <v>0</v>
      </c>
      <c r="AA203" s="2259">
        <f t="shared" si="370"/>
        <v>0</v>
      </c>
      <c r="AB203" s="2262">
        <f t="shared" si="338"/>
        <v>0</v>
      </c>
      <c r="AC203" s="2165">
        <f>AC212+AC218+AC224+AC230</f>
        <v>0</v>
      </c>
      <c r="AD203" s="2163">
        <f>AD212+AD218+AD224+AD230</f>
        <v>0</v>
      </c>
      <c r="AE203" s="2166">
        <f t="shared" si="356"/>
        <v>0</v>
      </c>
      <c r="AF203" s="2281"/>
      <c r="AG203" s="2158"/>
      <c r="AH203" s="2171">
        <f>AH212+AH218+AH224+AH230</f>
        <v>0</v>
      </c>
      <c r="AI203" s="2171">
        <f>AI212+AI218+AI224+AI230</f>
        <v>0</v>
      </c>
      <c r="AJ203" s="2172">
        <f t="shared" si="340"/>
        <v>0</v>
      </c>
      <c r="AK203" s="2171">
        <f>AK212+AK218+AK224+AK230</f>
        <v>0</v>
      </c>
      <c r="AL203" s="2171">
        <f>AL212+AL218+AL224+AL230</f>
        <v>0</v>
      </c>
      <c r="AM203" s="2172">
        <f t="shared" si="341"/>
        <v>0</v>
      </c>
      <c r="AN203" s="2171">
        <f>AN212+AN218+AN224+AN230</f>
        <v>0</v>
      </c>
      <c r="AO203" s="2171">
        <f>AO212+AO218+AO224+AO230</f>
        <v>0</v>
      </c>
      <c r="AP203" s="2172">
        <f t="shared" si="342"/>
        <v>0</v>
      </c>
      <c r="AQ203" s="2171">
        <f>AQ212+AQ218+AQ224+AQ230</f>
        <v>0</v>
      </c>
      <c r="AR203" s="2171">
        <f>AR212+AR218+AR224+AR230</f>
        <v>0</v>
      </c>
      <c r="AS203" s="2172">
        <f t="shared" si="343"/>
        <v>0</v>
      </c>
      <c r="AT203" s="2171">
        <f>AT212+AT218+AT224+AT230</f>
        <v>0</v>
      </c>
      <c r="AU203" s="2171">
        <f>AU212+AU218+AU224+AU230</f>
        <v>0</v>
      </c>
      <c r="AV203" s="2172">
        <f t="shared" si="344"/>
        <v>0</v>
      </c>
      <c r="AW203" s="2171">
        <f>AW212+AW218+AW224+AW230</f>
        <v>0</v>
      </c>
      <c r="AX203" s="2171">
        <f>AX212+AX218+AX224+AX230</f>
        <v>0</v>
      </c>
      <c r="AY203" s="2172">
        <f t="shared" si="345"/>
        <v>0</v>
      </c>
      <c r="AZ203" s="2171">
        <f>AZ212+AZ218+AZ224+AZ230</f>
        <v>0</v>
      </c>
      <c r="BA203" s="2171">
        <f>BA212+BA218+BA224+BA230</f>
        <v>0</v>
      </c>
      <c r="BB203" s="2172">
        <f t="shared" si="346"/>
        <v>0</v>
      </c>
      <c r="BC203" s="2171">
        <f>BC212+BC218+BC224+BC230</f>
        <v>0</v>
      </c>
      <c r="BD203" s="2171">
        <f>BD212+BD218+BD224+BD230</f>
        <v>0</v>
      </c>
      <c r="BE203" s="2172">
        <f t="shared" si="347"/>
        <v>0</v>
      </c>
      <c r="BF203" s="2171">
        <f>BF212+BF218+BF224+BF230</f>
        <v>0</v>
      </c>
      <c r="BG203" s="2171">
        <f>BG212+BG218+BG224+BG230</f>
        <v>0</v>
      </c>
      <c r="BH203" s="2172">
        <f t="shared" si="348"/>
        <v>0</v>
      </c>
      <c r="BI203" s="2171">
        <f>BI212+BI218+BI224+BI230</f>
        <v>0</v>
      </c>
      <c r="BJ203" s="2171">
        <f>BJ212+BJ218+BJ224+BJ230</f>
        <v>0</v>
      </c>
      <c r="BK203" s="2172">
        <f t="shared" si="349"/>
        <v>0</v>
      </c>
      <c r="BL203" s="2171">
        <f>BL212+BL218+BL224+BL230</f>
        <v>0</v>
      </c>
      <c r="BM203" s="2171">
        <f>BM212+BM218+BM224+BM230</f>
        <v>0</v>
      </c>
      <c r="BN203" s="2172">
        <f t="shared" si="350"/>
        <v>0</v>
      </c>
      <c r="BO203" s="2171">
        <f>BO212+BO218+BO224+BO230</f>
        <v>0</v>
      </c>
      <c r="BP203" s="2171">
        <f>BP212+BP218+BP224+BP230</f>
        <v>0</v>
      </c>
      <c r="BQ203" s="2172">
        <f t="shared" si="351"/>
        <v>0</v>
      </c>
    </row>
    <row r="204" spans="3:69" s="2087" customFormat="1" hidden="1">
      <c r="C204" s="2173" t="s">
        <v>2329</v>
      </c>
      <c r="D204" s="2209" t="s">
        <v>2211</v>
      </c>
      <c r="E204" s="2250" t="s">
        <v>240</v>
      </c>
      <c r="F204" s="2176"/>
      <c r="G204" s="2177"/>
      <c r="H204" s="2177"/>
      <c r="I204" s="2178">
        <f t="shared" si="332"/>
        <v>0</v>
      </c>
      <c r="J204" s="2176"/>
      <c r="K204" s="2252">
        <f t="shared" si="368"/>
        <v>0</v>
      </c>
      <c r="L204" s="2252">
        <f t="shared" si="368"/>
        <v>0</v>
      </c>
      <c r="M204" s="2255">
        <f t="shared" si="333"/>
        <v>0</v>
      </c>
      <c r="N204" s="2177"/>
      <c r="O204" s="2177"/>
      <c r="P204" s="2178">
        <f t="shared" si="334"/>
        <v>0</v>
      </c>
      <c r="Q204" s="2176"/>
      <c r="R204" s="2177"/>
      <c r="S204" s="2180">
        <f t="shared" si="371"/>
        <v>0</v>
      </c>
      <c r="T204" s="2251">
        <f t="shared" si="369"/>
        <v>0</v>
      </c>
      <c r="U204" s="2252">
        <f t="shared" si="369"/>
        <v>0</v>
      </c>
      <c r="V204" s="2253">
        <f t="shared" si="336"/>
        <v>0</v>
      </c>
      <c r="W204" s="2182"/>
      <c r="X204" s="2177"/>
      <c r="Y204" s="2183">
        <f t="shared" si="372"/>
        <v>0</v>
      </c>
      <c r="Z204" s="2254">
        <f t="shared" si="370"/>
        <v>0</v>
      </c>
      <c r="AA204" s="2252">
        <f t="shared" si="370"/>
        <v>0</v>
      </c>
      <c r="AB204" s="2255">
        <f t="shared" si="338"/>
        <v>0</v>
      </c>
      <c r="AC204" s="2176"/>
      <c r="AD204" s="2177"/>
      <c r="AE204" s="2180">
        <f t="shared" si="356"/>
        <v>0</v>
      </c>
      <c r="AF204" s="2281"/>
      <c r="AG204" s="2114"/>
      <c r="AH204" s="2177"/>
      <c r="AI204" s="2177"/>
      <c r="AJ204" s="2186">
        <f t="shared" si="340"/>
        <v>0</v>
      </c>
      <c r="AK204" s="2177"/>
      <c r="AL204" s="2177"/>
      <c r="AM204" s="2186">
        <f t="shared" si="341"/>
        <v>0</v>
      </c>
      <c r="AN204" s="2177"/>
      <c r="AO204" s="2177"/>
      <c r="AP204" s="2186">
        <f t="shared" si="342"/>
        <v>0</v>
      </c>
      <c r="AQ204" s="2177"/>
      <c r="AR204" s="2177"/>
      <c r="AS204" s="2186">
        <f t="shared" si="343"/>
        <v>0</v>
      </c>
      <c r="AT204" s="2177"/>
      <c r="AU204" s="2177"/>
      <c r="AV204" s="2186">
        <f t="shared" si="344"/>
        <v>0</v>
      </c>
      <c r="AW204" s="2177"/>
      <c r="AX204" s="2177"/>
      <c r="AY204" s="2186">
        <f t="shared" si="345"/>
        <v>0</v>
      </c>
      <c r="AZ204" s="2177"/>
      <c r="BA204" s="2177"/>
      <c r="BB204" s="2186">
        <f t="shared" si="346"/>
        <v>0</v>
      </c>
      <c r="BC204" s="2177"/>
      <c r="BD204" s="2177"/>
      <c r="BE204" s="2186">
        <f t="shared" si="347"/>
        <v>0</v>
      </c>
      <c r="BF204" s="2177"/>
      <c r="BG204" s="2177"/>
      <c r="BH204" s="2186">
        <f t="shared" si="348"/>
        <v>0</v>
      </c>
      <c r="BI204" s="2177"/>
      <c r="BJ204" s="2177"/>
      <c r="BK204" s="2186">
        <f t="shared" si="349"/>
        <v>0</v>
      </c>
      <c r="BL204" s="2177"/>
      <c r="BM204" s="2177"/>
      <c r="BN204" s="2186">
        <f t="shared" si="350"/>
        <v>0</v>
      </c>
      <c r="BO204" s="2177"/>
      <c r="BP204" s="2177"/>
      <c r="BQ204" s="2186">
        <f t="shared" si="351"/>
        <v>0</v>
      </c>
    </row>
    <row r="205" spans="3:69" s="2087" customFormat="1" hidden="1">
      <c r="C205" s="2173" t="s">
        <v>2330</v>
      </c>
      <c r="D205" s="2263" t="s">
        <v>2217</v>
      </c>
      <c r="E205" s="2264"/>
      <c r="F205" s="2265"/>
      <c r="G205" s="2188"/>
      <c r="H205" s="2188"/>
      <c r="I205" s="2186"/>
      <c r="J205" s="2265"/>
      <c r="K205" s="2268"/>
      <c r="L205" s="2268"/>
      <c r="M205" s="2273"/>
      <c r="N205" s="2188"/>
      <c r="O205" s="2188"/>
      <c r="P205" s="2186"/>
      <c r="Q205" s="2265"/>
      <c r="R205" s="2188"/>
      <c r="S205" s="2266"/>
      <c r="T205" s="2267"/>
      <c r="U205" s="2268"/>
      <c r="V205" s="2269"/>
      <c r="W205" s="2270"/>
      <c r="X205" s="2188"/>
      <c r="Y205" s="2271"/>
      <c r="Z205" s="2272"/>
      <c r="AA205" s="2268"/>
      <c r="AB205" s="2273"/>
      <c r="AC205" s="2265"/>
      <c r="AD205" s="2188"/>
      <c r="AE205" s="2180">
        <f t="shared" si="356"/>
        <v>0</v>
      </c>
      <c r="AF205" s="2277"/>
      <c r="AG205" s="2114"/>
      <c r="AH205" s="2188"/>
      <c r="AI205" s="2188"/>
      <c r="AJ205" s="2186"/>
      <c r="AK205" s="2188"/>
      <c r="AL205" s="2188"/>
      <c r="AM205" s="2186"/>
      <c r="AN205" s="2188"/>
      <c r="AO205" s="2188"/>
      <c r="AP205" s="2186"/>
      <c r="AQ205" s="2188"/>
      <c r="AR205" s="2188"/>
      <c r="AS205" s="2186"/>
      <c r="AT205" s="2188"/>
      <c r="AU205" s="2188"/>
      <c r="AV205" s="2186"/>
      <c r="AW205" s="2188"/>
      <c r="AX205" s="2188"/>
      <c r="AY205" s="2186"/>
      <c r="AZ205" s="2188"/>
      <c r="BA205" s="2188"/>
      <c r="BB205" s="2186"/>
      <c r="BC205" s="2188"/>
      <c r="BD205" s="2188"/>
      <c r="BE205" s="2186"/>
      <c r="BF205" s="2188"/>
      <c r="BG205" s="2188"/>
      <c r="BH205" s="2186"/>
      <c r="BI205" s="2188"/>
      <c r="BJ205" s="2188"/>
      <c r="BK205" s="2186"/>
      <c r="BL205" s="2188"/>
      <c r="BM205" s="2188"/>
      <c r="BN205" s="2186"/>
      <c r="BO205" s="2188"/>
      <c r="BP205" s="2188"/>
      <c r="BQ205" s="2186"/>
    </row>
    <row r="206" spans="3:69" s="2087" customFormat="1" hidden="1">
      <c r="C206" s="2173" t="s">
        <v>2331</v>
      </c>
      <c r="D206" s="2174" t="s">
        <v>2219</v>
      </c>
      <c r="E206" s="2274" t="s">
        <v>420</v>
      </c>
      <c r="F206" s="2176"/>
      <c r="G206" s="2252">
        <f>G207+G208+G209+G210+G211</f>
        <v>0</v>
      </c>
      <c r="H206" s="2252">
        <f>H207+H208+H209+H210+H211</f>
        <v>0</v>
      </c>
      <c r="I206" s="2178">
        <f t="shared" ref="I206:I237" si="373">H206-G206</f>
        <v>0</v>
      </c>
      <c r="J206" s="2176"/>
      <c r="K206" s="2179">
        <f>(N206+Q206+W206+AC206)/4</f>
        <v>0</v>
      </c>
      <c r="L206" s="2179">
        <f>(O206+R206+X206+AD206)/4</f>
        <v>0</v>
      </c>
      <c r="M206" s="2178">
        <f t="shared" ref="M206:M237" si="374">L206-K206</f>
        <v>0</v>
      </c>
      <c r="N206" s="2179">
        <f>N207+N208+N209+N210+N211</f>
        <v>0</v>
      </c>
      <c r="O206" s="2179">
        <f>O207+O208+O209+O210+O211</f>
        <v>0</v>
      </c>
      <c r="P206" s="2178">
        <f t="shared" ref="P206:P237" si="375">O206-N206</f>
        <v>0</v>
      </c>
      <c r="Q206" s="2179">
        <f>Q207+Q208+Q209+Q210+Q211</f>
        <v>0</v>
      </c>
      <c r="R206" s="2179">
        <f>R207+R208+R209+R210+R211</f>
        <v>0</v>
      </c>
      <c r="S206" s="2180">
        <f t="shared" ref="S206:S216" si="376">R206-Q206</f>
        <v>0</v>
      </c>
      <c r="T206" s="2181">
        <f>(N206+Q206)/2</f>
        <v>0</v>
      </c>
      <c r="U206" s="2179">
        <f>(O206+R206)/2</f>
        <v>0</v>
      </c>
      <c r="V206" s="2180">
        <f t="shared" ref="V206:V237" si="377">U206-T206</f>
        <v>0</v>
      </c>
      <c r="W206" s="2187">
        <f>W207+W208+W209+W210+W211</f>
        <v>0</v>
      </c>
      <c r="X206" s="2179">
        <f>X207+X208+X209+X210+X211</f>
        <v>0</v>
      </c>
      <c r="Y206" s="2183">
        <f t="shared" ref="Y206:Y216" si="378">X206-W206</f>
        <v>0</v>
      </c>
      <c r="Z206" s="2184">
        <f>(N206+Q206+W206)/3</f>
        <v>0</v>
      </c>
      <c r="AA206" s="2179">
        <f>(O206+R206+X206)/3</f>
        <v>0</v>
      </c>
      <c r="AB206" s="2178">
        <f t="shared" ref="AB206:AB237" si="379">AA206-Z206</f>
        <v>0</v>
      </c>
      <c r="AC206" s="2179">
        <f>AC207+AC208+AC209+AC210+AC211</f>
        <v>0</v>
      </c>
      <c r="AD206" s="2179">
        <f>AD207+AD208+AD209+AD210+AD211</f>
        <v>0</v>
      </c>
      <c r="AE206" s="2180">
        <f t="shared" si="356"/>
        <v>0</v>
      </c>
      <c r="AF206" s="2281"/>
      <c r="AG206" s="2114"/>
      <c r="AH206" s="2188">
        <f>AH207+AH208+AH209+AH210+AH211</f>
        <v>0</v>
      </c>
      <c r="AI206" s="2188">
        <f>AI207+AI208+AI209+AI210+AI211</f>
        <v>0</v>
      </c>
      <c r="AJ206" s="2186">
        <f t="shared" ref="AJ206:AJ237" si="380">AI206-AH206</f>
        <v>0</v>
      </c>
      <c r="AK206" s="2188">
        <f>AK207+AK208+AK209+AK210+AK211</f>
        <v>0</v>
      </c>
      <c r="AL206" s="2188">
        <f>AL207+AL208+AL209+AL210+AL211</f>
        <v>0</v>
      </c>
      <c r="AM206" s="2186">
        <f t="shared" ref="AM206:AM237" si="381">AL206-AK206</f>
        <v>0</v>
      </c>
      <c r="AN206" s="2188">
        <f>AN207+AN208+AN209+AN210+AN211</f>
        <v>0</v>
      </c>
      <c r="AO206" s="2188">
        <f>AO207+AO208+AO209+AO210+AO211</f>
        <v>0</v>
      </c>
      <c r="AP206" s="2186">
        <f t="shared" ref="AP206:AP237" si="382">AO206-AN206</f>
        <v>0</v>
      </c>
      <c r="AQ206" s="2188">
        <f>AQ207+AQ208+AQ209+AQ210+AQ211</f>
        <v>0</v>
      </c>
      <c r="AR206" s="2188">
        <f>AR207+AR208+AR209+AR210+AR211</f>
        <v>0</v>
      </c>
      <c r="AS206" s="2186">
        <f t="shared" ref="AS206:AS237" si="383">AR206-AQ206</f>
        <v>0</v>
      </c>
      <c r="AT206" s="2188">
        <f>AT207+AT208+AT209+AT210+AT211</f>
        <v>0</v>
      </c>
      <c r="AU206" s="2188">
        <f>AU207+AU208+AU209+AU210+AU211</f>
        <v>0</v>
      </c>
      <c r="AV206" s="2186">
        <f t="shared" ref="AV206:AV237" si="384">AU206-AT206</f>
        <v>0</v>
      </c>
      <c r="AW206" s="2188">
        <f>AW207+AW208+AW209+AW210+AW211</f>
        <v>0</v>
      </c>
      <c r="AX206" s="2188">
        <f>AX207+AX208+AX209+AX210+AX211</f>
        <v>0</v>
      </c>
      <c r="AY206" s="2186">
        <f t="shared" ref="AY206:AY237" si="385">AX206-AW206</f>
        <v>0</v>
      </c>
      <c r="AZ206" s="2188">
        <f>AZ207+AZ208+AZ209+AZ210+AZ211</f>
        <v>0</v>
      </c>
      <c r="BA206" s="2188">
        <f>BA207+BA208+BA209+BA210+BA211</f>
        <v>0</v>
      </c>
      <c r="BB206" s="2186">
        <f t="shared" ref="BB206:BB237" si="386">BA206-AZ206</f>
        <v>0</v>
      </c>
      <c r="BC206" s="2188">
        <f>BC207+BC208+BC209+BC210+BC211</f>
        <v>0</v>
      </c>
      <c r="BD206" s="2188">
        <f>BD207+BD208+BD209+BD210+BD211</f>
        <v>0</v>
      </c>
      <c r="BE206" s="2186">
        <f t="shared" ref="BE206:BE237" si="387">BD206-BC206</f>
        <v>0</v>
      </c>
      <c r="BF206" s="2188">
        <f>BF207+BF208+BF209+BF210+BF211</f>
        <v>0</v>
      </c>
      <c r="BG206" s="2188">
        <f>BG207+BG208+BG209+BG210+BG211</f>
        <v>0</v>
      </c>
      <c r="BH206" s="2186">
        <f t="shared" ref="BH206:BH237" si="388">BG206-BF206</f>
        <v>0</v>
      </c>
      <c r="BI206" s="2188">
        <f>BI207+BI208+BI209+BI210+BI211</f>
        <v>0</v>
      </c>
      <c r="BJ206" s="2188">
        <f>BJ207+BJ208+BJ209+BJ210+BJ211</f>
        <v>0</v>
      </c>
      <c r="BK206" s="2186">
        <f t="shared" ref="BK206:BK237" si="389">BJ206-BI206</f>
        <v>0</v>
      </c>
      <c r="BL206" s="2188">
        <f>BL207+BL208+BL209+BL210+BL211</f>
        <v>0</v>
      </c>
      <c r="BM206" s="2188">
        <f>BM207+BM208+BM209+BM210+BM211</f>
        <v>0</v>
      </c>
      <c r="BN206" s="2186">
        <f t="shared" ref="BN206:BN237" si="390">BM206-BL206</f>
        <v>0</v>
      </c>
      <c r="BO206" s="2188">
        <f>BO207+BO208+BO209+BO210+BO211</f>
        <v>0</v>
      </c>
      <c r="BP206" s="2188">
        <f>BP207+BP208+BP209+BP210+BP211</f>
        <v>0</v>
      </c>
      <c r="BQ206" s="2186">
        <f t="shared" ref="BQ206:BQ237" si="391">BP206-BO206</f>
        <v>0</v>
      </c>
    </row>
    <row r="207" spans="3:69" s="2087" customFormat="1" hidden="1">
      <c r="C207" s="2189" t="s">
        <v>2332</v>
      </c>
      <c r="D207" s="2275" t="s">
        <v>2221</v>
      </c>
      <c r="E207" s="2274" t="s">
        <v>420</v>
      </c>
      <c r="F207" s="2176"/>
      <c r="G207" s="2177"/>
      <c r="H207" s="2177"/>
      <c r="I207" s="2178">
        <f t="shared" si="373"/>
        <v>0</v>
      </c>
      <c r="J207" s="2176"/>
      <c r="K207" s="2252">
        <f t="shared" ref="K207:L211" si="392">(N207+Q207+W207+AC207)/4</f>
        <v>0</v>
      </c>
      <c r="L207" s="2252">
        <f t="shared" si="392"/>
        <v>0</v>
      </c>
      <c r="M207" s="2255">
        <f t="shared" si="374"/>
        <v>0</v>
      </c>
      <c r="N207" s="2177"/>
      <c r="O207" s="2177"/>
      <c r="P207" s="2178">
        <f t="shared" si="375"/>
        <v>0</v>
      </c>
      <c r="Q207" s="2176"/>
      <c r="R207" s="2177"/>
      <c r="S207" s="2180">
        <f t="shared" si="376"/>
        <v>0</v>
      </c>
      <c r="T207" s="2251">
        <f>(N207+Q207)/2</f>
        <v>0</v>
      </c>
      <c r="U207" s="2252">
        <f t="shared" ref="U207:U211" si="393">(O207+R207)/2</f>
        <v>0</v>
      </c>
      <c r="V207" s="2253">
        <f t="shared" si="377"/>
        <v>0</v>
      </c>
      <c r="W207" s="2182"/>
      <c r="X207" s="2177"/>
      <c r="Y207" s="2183">
        <f t="shared" si="378"/>
        <v>0</v>
      </c>
      <c r="Z207" s="2254">
        <f t="shared" ref="Z207:AA211" si="394">(N207+Q207+W207)/3</f>
        <v>0</v>
      </c>
      <c r="AA207" s="2252">
        <f t="shared" si="394"/>
        <v>0</v>
      </c>
      <c r="AB207" s="2255">
        <f t="shared" si="379"/>
        <v>0</v>
      </c>
      <c r="AC207" s="2176"/>
      <c r="AD207" s="2177"/>
      <c r="AE207" s="2180">
        <f>AD207-AC207</f>
        <v>0</v>
      </c>
      <c r="AF207" s="2281"/>
      <c r="AG207" s="2114"/>
      <c r="AH207" s="2177"/>
      <c r="AI207" s="2177"/>
      <c r="AJ207" s="2186">
        <f t="shared" si="380"/>
        <v>0</v>
      </c>
      <c r="AK207" s="2177"/>
      <c r="AL207" s="2177"/>
      <c r="AM207" s="2186">
        <f t="shared" si="381"/>
        <v>0</v>
      </c>
      <c r="AN207" s="2177"/>
      <c r="AO207" s="2177"/>
      <c r="AP207" s="2186">
        <f t="shared" si="382"/>
        <v>0</v>
      </c>
      <c r="AQ207" s="2177"/>
      <c r="AR207" s="2177"/>
      <c r="AS207" s="2186">
        <f t="shared" si="383"/>
        <v>0</v>
      </c>
      <c r="AT207" s="2177"/>
      <c r="AU207" s="2177"/>
      <c r="AV207" s="2186">
        <f t="shared" si="384"/>
        <v>0</v>
      </c>
      <c r="AW207" s="2177"/>
      <c r="AX207" s="2177"/>
      <c r="AY207" s="2186">
        <f t="shared" si="385"/>
        <v>0</v>
      </c>
      <c r="AZ207" s="2177"/>
      <c r="BA207" s="2177"/>
      <c r="BB207" s="2186">
        <f t="shared" si="386"/>
        <v>0</v>
      </c>
      <c r="BC207" s="2177"/>
      <c r="BD207" s="2177"/>
      <c r="BE207" s="2186">
        <f t="shared" si="387"/>
        <v>0</v>
      </c>
      <c r="BF207" s="2177"/>
      <c r="BG207" s="2177"/>
      <c r="BH207" s="2186">
        <f t="shared" si="388"/>
        <v>0</v>
      </c>
      <c r="BI207" s="2177"/>
      <c r="BJ207" s="2177"/>
      <c r="BK207" s="2186">
        <f t="shared" si="389"/>
        <v>0</v>
      </c>
      <c r="BL207" s="2177"/>
      <c r="BM207" s="2177"/>
      <c r="BN207" s="2186">
        <f t="shared" si="390"/>
        <v>0</v>
      </c>
      <c r="BO207" s="2177"/>
      <c r="BP207" s="2177"/>
      <c r="BQ207" s="2186">
        <f t="shared" si="391"/>
        <v>0</v>
      </c>
    </row>
    <row r="208" spans="3:69" s="2087" customFormat="1" hidden="1">
      <c r="C208" s="2194" t="s">
        <v>2333</v>
      </c>
      <c r="D208" s="2283" t="s">
        <v>2223</v>
      </c>
      <c r="E208" s="2284" t="s">
        <v>420</v>
      </c>
      <c r="F208" s="2176"/>
      <c r="G208" s="2177"/>
      <c r="H208" s="2177"/>
      <c r="I208" s="2178">
        <f t="shared" si="373"/>
        <v>0</v>
      </c>
      <c r="J208" s="2176"/>
      <c r="K208" s="2252">
        <f t="shared" si="392"/>
        <v>0</v>
      </c>
      <c r="L208" s="2252">
        <f t="shared" si="392"/>
        <v>0</v>
      </c>
      <c r="M208" s="2255">
        <f t="shared" si="374"/>
        <v>0</v>
      </c>
      <c r="N208" s="2177"/>
      <c r="O208" s="2177"/>
      <c r="P208" s="2178">
        <f t="shared" si="375"/>
        <v>0</v>
      </c>
      <c r="Q208" s="2176"/>
      <c r="R208" s="2177"/>
      <c r="S208" s="2180">
        <f t="shared" si="376"/>
        <v>0</v>
      </c>
      <c r="T208" s="2251">
        <f t="shared" ref="T208:T209" si="395">(N208+Q208)/2</f>
        <v>0</v>
      </c>
      <c r="U208" s="2252">
        <f t="shared" si="393"/>
        <v>0</v>
      </c>
      <c r="V208" s="2253">
        <f t="shared" si="377"/>
        <v>0</v>
      </c>
      <c r="W208" s="2182"/>
      <c r="X208" s="2177"/>
      <c r="Y208" s="2183">
        <f t="shared" si="378"/>
        <v>0</v>
      </c>
      <c r="Z208" s="2254">
        <f t="shared" si="394"/>
        <v>0</v>
      </c>
      <c r="AA208" s="2252">
        <f t="shared" si="394"/>
        <v>0</v>
      </c>
      <c r="AB208" s="2255">
        <f t="shared" si="379"/>
        <v>0</v>
      </c>
      <c r="AC208" s="2176"/>
      <c r="AD208" s="2177"/>
      <c r="AE208" s="2180">
        <f t="shared" ref="AE208:AE237" si="396">AD208-AC208</f>
        <v>0</v>
      </c>
      <c r="AF208" s="2281"/>
      <c r="AG208" s="2114"/>
      <c r="AH208" s="2177"/>
      <c r="AI208" s="2177"/>
      <c r="AJ208" s="2186">
        <f t="shared" si="380"/>
        <v>0</v>
      </c>
      <c r="AK208" s="2177"/>
      <c r="AL208" s="2177"/>
      <c r="AM208" s="2186">
        <f t="shared" si="381"/>
        <v>0</v>
      </c>
      <c r="AN208" s="2177"/>
      <c r="AO208" s="2177"/>
      <c r="AP208" s="2186">
        <f t="shared" si="382"/>
        <v>0</v>
      </c>
      <c r="AQ208" s="2177"/>
      <c r="AR208" s="2177"/>
      <c r="AS208" s="2186">
        <f t="shared" si="383"/>
        <v>0</v>
      </c>
      <c r="AT208" s="2177"/>
      <c r="AU208" s="2177"/>
      <c r="AV208" s="2186">
        <f t="shared" si="384"/>
        <v>0</v>
      </c>
      <c r="AW208" s="2177"/>
      <c r="AX208" s="2177"/>
      <c r="AY208" s="2186">
        <f t="shared" si="385"/>
        <v>0</v>
      </c>
      <c r="AZ208" s="2177"/>
      <c r="BA208" s="2177"/>
      <c r="BB208" s="2186">
        <f t="shared" si="386"/>
        <v>0</v>
      </c>
      <c r="BC208" s="2177"/>
      <c r="BD208" s="2177"/>
      <c r="BE208" s="2186">
        <f t="shared" si="387"/>
        <v>0</v>
      </c>
      <c r="BF208" s="2177"/>
      <c r="BG208" s="2177"/>
      <c r="BH208" s="2186">
        <f t="shared" si="388"/>
        <v>0</v>
      </c>
      <c r="BI208" s="2177"/>
      <c r="BJ208" s="2177"/>
      <c r="BK208" s="2186">
        <f t="shared" si="389"/>
        <v>0</v>
      </c>
      <c r="BL208" s="2177"/>
      <c r="BM208" s="2177"/>
      <c r="BN208" s="2186">
        <f t="shared" si="390"/>
        <v>0</v>
      </c>
      <c r="BO208" s="2177"/>
      <c r="BP208" s="2177"/>
      <c r="BQ208" s="2186">
        <f t="shared" si="391"/>
        <v>0</v>
      </c>
    </row>
    <row r="209" spans="3:69" s="2087" customFormat="1" hidden="1">
      <c r="C209" s="2194" t="s">
        <v>2334</v>
      </c>
      <c r="D209" s="2283" t="s">
        <v>2225</v>
      </c>
      <c r="E209" s="2284" t="s">
        <v>420</v>
      </c>
      <c r="F209" s="2176"/>
      <c r="G209" s="2177"/>
      <c r="H209" s="2177"/>
      <c r="I209" s="2178">
        <f t="shared" si="373"/>
        <v>0</v>
      </c>
      <c r="J209" s="2176"/>
      <c r="K209" s="2252">
        <f t="shared" si="392"/>
        <v>0</v>
      </c>
      <c r="L209" s="2252">
        <f t="shared" si="392"/>
        <v>0</v>
      </c>
      <c r="M209" s="2255">
        <f t="shared" si="374"/>
        <v>0</v>
      </c>
      <c r="N209" s="2177"/>
      <c r="O209" s="2177"/>
      <c r="P209" s="2178">
        <f t="shared" si="375"/>
        <v>0</v>
      </c>
      <c r="Q209" s="2176"/>
      <c r="R209" s="2177"/>
      <c r="S209" s="2180">
        <f t="shared" si="376"/>
        <v>0</v>
      </c>
      <c r="T209" s="2251">
        <f t="shared" si="395"/>
        <v>0</v>
      </c>
      <c r="U209" s="2252">
        <f t="shared" si="393"/>
        <v>0</v>
      </c>
      <c r="V209" s="2253">
        <f t="shared" si="377"/>
        <v>0</v>
      </c>
      <c r="W209" s="2182"/>
      <c r="X209" s="2177"/>
      <c r="Y209" s="2183">
        <f t="shared" si="378"/>
        <v>0</v>
      </c>
      <c r="Z209" s="2254">
        <f t="shared" si="394"/>
        <v>0</v>
      </c>
      <c r="AA209" s="2252">
        <f t="shared" si="394"/>
        <v>0</v>
      </c>
      <c r="AB209" s="2255">
        <f t="shared" si="379"/>
        <v>0</v>
      </c>
      <c r="AC209" s="2176"/>
      <c r="AD209" s="2177"/>
      <c r="AE209" s="2180">
        <f t="shared" si="396"/>
        <v>0</v>
      </c>
      <c r="AF209" s="2277"/>
      <c r="AG209" s="2114"/>
      <c r="AH209" s="2177"/>
      <c r="AI209" s="2177"/>
      <c r="AJ209" s="2186">
        <f t="shared" si="380"/>
        <v>0</v>
      </c>
      <c r="AK209" s="2177"/>
      <c r="AL209" s="2177"/>
      <c r="AM209" s="2186">
        <f t="shared" si="381"/>
        <v>0</v>
      </c>
      <c r="AN209" s="2177"/>
      <c r="AO209" s="2177"/>
      <c r="AP209" s="2186">
        <f t="shared" si="382"/>
        <v>0</v>
      </c>
      <c r="AQ209" s="2177"/>
      <c r="AR209" s="2177"/>
      <c r="AS209" s="2186">
        <f t="shared" si="383"/>
        <v>0</v>
      </c>
      <c r="AT209" s="2177"/>
      <c r="AU209" s="2177"/>
      <c r="AV209" s="2186">
        <f t="shared" si="384"/>
        <v>0</v>
      </c>
      <c r="AW209" s="2177"/>
      <c r="AX209" s="2177"/>
      <c r="AY209" s="2186">
        <f t="shared" si="385"/>
        <v>0</v>
      </c>
      <c r="AZ209" s="2177"/>
      <c r="BA209" s="2177"/>
      <c r="BB209" s="2186">
        <f t="shared" si="386"/>
        <v>0</v>
      </c>
      <c r="BC209" s="2177"/>
      <c r="BD209" s="2177"/>
      <c r="BE209" s="2186">
        <f t="shared" si="387"/>
        <v>0</v>
      </c>
      <c r="BF209" s="2177"/>
      <c r="BG209" s="2177"/>
      <c r="BH209" s="2186">
        <f t="shared" si="388"/>
        <v>0</v>
      </c>
      <c r="BI209" s="2177"/>
      <c r="BJ209" s="2177"/>
      <c r="BK209" s="2186">
        <f t="shared" si="389"/>
        <v>0</v>
      </c>
      <c r="BL209" s="2177"/>
      <c r="BM209" s="2177"/>
      <c r="BN209" s="2186">
        <f t="shared" si="390"/>
        <v>0</v>
      </c>
      <c r="BO209" s="2177"/>
      <c r="BP209" s="2177"/>
      <c r="BQ209" s="2186">
        <f t="shared" si="391"/>
        <v>0</v>
      </c>
    </row>
    <row r="210" spans="3:69" s="2087" customFormat="1" hidden="1">
      <c r="C210" s="2194" t="s">
        <v>2335</v>
      </c>
      <c r="D210" s="2283" t="s">
        <v>2227</v>
      </c>
      <c r="E210" s="2284" t="s">
        <v>420</v>
      </c>
      <c r="F210" s="2176"/>
      <c r="G210" s="2177"/>
      <c r="H210" s="2177"/>
      <c r="I210" s="2178">
        <f t="shared" si="373"/>
        <v>0</v>
      </c>
      <c r="J210" s="2176"/>
      <c r="K210" s="2252">
        <f>(N210+Q210+W210+AC210)/4</f>
        <v>0</v>
      </c>
      <c r="L210" s="2252">
        <f t="shared" si="392"/>
        <v>0</v>
      </c>
      <c r="M210" s="2255">
        <f t="shared" si="374"/>
        <v>0</v>
      </c>
      <c r="N210" s="2177"/>
      <c r="O210" s="2177"/>
      <c r="P210" s="2178">
        <f t="shared" si="375"/>
        <v>0</v>
      </c>
      <c r="Q210" s="2176"/>
      <c r="R210" s="2177"/>
      <c r="S210" s="2180">
        <f t="shared" si="376"/>
        <v>0</v>
      </c>
      <c r="T210" s="2251">
        <f>(N210+Q210)/2</f>
        <v>0</v>
      </c>
      <c r="U210" s="2252">
        <f t="shared" si="393"/>
        <v>0</v>
      </c>
      <c r="V210" s="2253">
        <f t="shared" si="377"/>
        <v>0</v>
      </c>
      <c r="W210" s="2182"/>
      <c r="X210" s="2177"/>
      <c r="Y210" s="2183">
        <f t="shared" si="378"/>
        <v>0</v>
      </c>
      <c r="Z210" s="2254">
        <f>(N210+Q210+W210)/3</f>
        <v>0</v>
      </c>
      <c r="AA210" s="2252">
        <f t="shared" si="394"/>
        <v>0</v>
      </c>
      <c r="AB210" s="2255">
        <f t="shared" si="379"/>
        <v>0</v>
      </c>
      <c r="AC210" s="2176"/>
      <c r="AD210" s="2177"/>
      <c r="AE210" s="2180">
        <f t="shared" si="396"/>
        <v>0</v>
      </c>
      <c r="AF210" s="2281"/>
      <c r="AG210" s="2114"/>
      <c r="AH210" s="2177"/>
      <c r="AI210" s="2177"/>
      <c r="AJ210" s="2186">
        <f t="shared" si="380"/>
        <v>0</v>
      </c>
      <c r="AK210" s="2177"/>
      <c r="AL210" s="2177"/>
      <c r="AM210" s="2186">
        <f t="shared" si="381"/>
        <v>0</v>
      </c>
      <c r="AN210" s="2177"/>
      <c r="AO210" s="2177"/>
      <c r="AP210" s="2186">
        <f t="shared" si="382"/>
        <v>0</v>
      </c>
      <c r="AQ210" s="2177"/>
      <c r="AR210" s="2177"/>
      <c r="AS210" s="2186">
        <f t="shared" si="383"/>
        <v>0</v>
      </c>
      <c r="AT210" s="2177"/>
      <c r="AU210" s="2177"/>
      <c r="AV210" s="2186">
        <f t="shared" si="384"/>
        <v>0</v>
      </c>
      <c r="AW210" s="2177"/>
      <c r="AX210" s="2177"/>
      <c r="AY210" s="2186">
        <f t="shared" si="385"/>
        <v>0</v>
      </c>
      <c r="AZ210" s="2177"/>
      <c r="BA210" s="2177"/>
      <c r="BB210" s="2186">
        <f t="shared" si="386"/>
        <v>0</v>
      </c>
      <c r="BC210" s="2177"/>
      <c r="BD210" s="2177"/>
      <c r="BE210" s="2186">
        <f t="shared" si="387"/>
        <v>0</v>
      </c>
      <c r="BF210" s="2177"/>
      <c r="BG210" s="2177"/>
      <c r="BH210" s="2186">
        <f t="shared" si="388"/>
        <v>0</v>
      </c>
      <c r="BI210" s="2177"/>
      <c r="BJ210" s="2177"/>
      <c r="BK210" s="2186">
        <f t="shared" si="389"/>
        <v>0</v>
      </c>
      <c r="BL210" s="2177"/>
      <c r="BM210" s="2177"/>
      <c r="BN210" s="2186">
        <f t="shared" si="390"/>
        <v>0</v>
      </c>
      <c r="BO210" s="2177"/>
      <c r="BP210" s="2177"/>
      <c r="BQ210" s="2186">
        <f t="shared" si="391"/>
        <v>0</v>
      </c>
    </row>
    <row r="211" spans="3:69" s="2087" customFormat="1" hidden="1">
      <c r="C211" s="2194" t="s">
        <v>2336</v>
      </c>
      <c r="D211" s="2283" t="s">
        <v>2229</v>
      </c>
      <c r="E211" s="2284" t="s">
        <v>420</v>
      </c>
      <c r="F211" s="2176"/>
      <c r="G211" s="2177"/>
      <c r="H211" s="2177"/>
      <c r="I211" s="2178">
        <f t="shared" si="373"/>
        <v>0</v>
      </c>
      <c r="J211" s="2176"/>
      <c r="K211" s="2252">
        <f>(N211+Q211+W211+AC211)/4</f>
        <v>0</v>
      </c>
      <c r="L211" s="2252">
        <f t="shared" si="392"/>
        <v>0</v>
      </c>
      <c r="M211" s="2255">
        <f t="shared" si="374"/>
        <v>0</v>
      </c>
      <c r="N211" s="2177"/>
      <c r="O211" s="2177"/>
      <c r="P211" s="2178">
        <f t="shared" si="375"/>
        <v>0</v>
      </c>
      <c r="Q211" s="2176"/>
      <c r="R211" s="2177"/>
      <c r="S211" s="2180">
        <f t="shared" si="376"/>
        <v>0</v>
      </c>
      <c r="T211" s="2251">
        <f>(N211+Q211)/2</f>
        <v>0</v>
      </c>
      <c r="U211" s="2252">
        <f t="shared" si="393"/>
        <v>0</v>
      </c>
      <c r="V211" s="2253">
        <f t="shared" si="377"/>
        <v>0</v>
      </c>
      <c r="W211" s="2182"/>
      <c r="X211" s="2177"/>
      <c r="Y211" s="2183">
        <f t="shared" si="378"/>
        <v>0</v>
      </c>
      <c r="Z211" s="2254">
        <f>(N211+Q211+W211)/3</f>
        <v>0</v>
      </c>
      <c r="AA211" s="2252">
        <f t="shared" si="394"/>
        <v>0</v>
      </c>
      <c r="AB211" s="2255">
        <f t="shared" si="379"/>
        <v>0</v>
      </c>
      <c r="AC211" s="2176"/>
      <c r="AD211" s="2177"/>
      <c r="AE211" s="2180">
        <f t="shared" si="396"/>
        <v>0</v>
      </c>
      <c r="AF211" s="2281"/>
      <c r="AG211" s="2114"/>
      <c r="AH211" s="2177"/>
      <c r="AI211" s="2177"/>
      <c r="AJ211" s="2186">
        <f t="shared" si="380"/>
        <v>0</v>
      </c>
      <c r="AK211" s="2177"/>
      <c r="AL211" s="2177"/>
      <c r="AM211" s="2186">
        <f t="shared" si="381"/>
        <v>0</v>
      </c>
      <c r="AN211" s="2177"/>
      <c r="AO211" s="2177"/>
      <c r="AP211" s="2186">
        <f t="shared" si="382"/>
        <v>0</v>
      </c>
      <c r="AQ211" s="2177"/>
      <c r="AR211" s="2177"/>
      <c r="AS211" s="2186">
        <f t="shared" si="383"/>
        <v>0</v>
      </c>
      <c r="AT211" s="2177"/>
      <c r="AU211" s="2177"/>
      <c r="AV211" s="2186">
        <f t="shared" si="384"/>
        <v>0</v>
      </c>
      <c r="AW211" s="2177"/>
      <c r="AX211" s="2177"/>
      <c r="AY211" s="2186">
        <f t="shared" si="385"/>
        <v>0</v>
      </c>
      <c r="AZ211" s="2177"/>
      <c r="BA211" s="2177"/>
      <c r="BB211" s="2186">
        <f t="shared" si="386"/>
        <v>0</v>
      </c>
      <c r="BC211" s="2177"/>
      <c r="BD211" s="2177"/>
      <c r="BE211" s="2186">
        <f t="shared" si="387"/>
        <v>0</v>
      </c>
      <c r="BF211" s="2177"/>
      <c r="BG211" s="2177"/>
      <c r="BH211" s="2186">
        <f t="shared" si="388"/>
        <v>0</v>
      </c>
      <c r="BI211" s="2177"/>
      <c r="BJ211" s="2177"/>
      <c r="BK211" s="2186">
        <f t="shared" si="389"/>
        <v>0</v>
      </c>
      <c r="BL211" s="2177"/>
      <c r="BM211" s="2177"/>
      <c r="BN211" s="2186">
        <f t="shared" si="390"/>
        <v>0</v>
      </c>
      <c r="BO211" s="2177"/>
      <c r="BP211" s="2177"/>
      <c r="BQ211" s="2186">
        <f t="shared" si="391"/>
        <v>0</v>
      </c>
    </row>
    <row r="212" spans="3:69" s="2087" customFormat="1" hidden="1">
      <c r="C212" s="2285" t="s">
        <v>2337</v>
      </c>
      <c r="D212" s="2286" t="s">
        <v>2231</v>
      </c>
      <c r="E212" s="2284" t="s">
        <v>240</v>
      </c>
      <c r="F212" s="2176"/>
      <c r="G212" s="2252">
        <f>G213+G214+G215+G216+G217</f>
        <v>0</v>
      </c>
      <c r="H212" s="2252">
        <f>H213+H214+H215+H216+H217</f>
        <v>0</v>
      </c>
      <c r="I212" s="2178">
        <f t="shared" si="373"/>
        <v>0</v>
      </c>
      <c r="J212" s="2176"/>
      <c r="K212" s="2179">
        <f t="shared" ref="K212:L235" si="397">N212+Q212+W212+AC212</f>
        <v>0</v>
      </c>
      <c r="L212" s="2179">
        <f t="shared" si="397"/>
        <v>0</v>
      </c>
      <c r="M212" s="2178">
        <f t="shared" si="374"/>
        <v>0</v>
      </c>
      <c r="N212" s="2179">
        <f>N213+N214+N215+N216+N217</f>
        <v>0</v>
      </c>
      <c r="O212" s="2179">
        <f>O213+O214+O215+O216+O217</f>
        <v>0</v>
      </c>
      <c r="P212" s="2178">
        <f t="shared" si="375"/>
        <v>0</v>
      </c>
      <c r="Q212" s="2179">
        <f>Q213+Q214+Q215+Q216+Q217</f>
        <v>0</v>
      </c>
      <c r="R212" s="2179">
        <f>R213+R214+R215+R216+R217</f>
        <v>0</v>
      </c>
      <c r="S212" s="2180">
        <f t="shared" si="376"/>
        <v>0</v>
      </c>
      <c r="T212" s="2181">
        <f t="shared" ref="T212:U235" si="398">N212+Q212</f>
        <v>0</v>
      </c>
      <c r="U212" s="2179">
        <f t="shared" si="398"/>
        <v>0</v>
      </c>
      <c r="V212" s="2180">
        <f t="shared" si="377"/>
        <v>0</v>
      </c>
      <c r="W212" s="2187">
        <f>W213+W214+W215+W216+W217</f>
        <v>0</v>
      </c>
      <c r="X212" s="2179">
        <f>X213+X214+X215+X216+X217</f>
        <v>0</v>
      </c>
      <c r="Y212" s="2183">
        <f t="shared" si="378"/>
        <v>0</v>
      </c>
      <c r="Z212" s="2184">
        <f t="shared" ref="Z212:AA235" si="399">T212+W212</f>
        <v>0</v>
      </c>
      <c r="AA212" s="2179">
        <f t="shared" si="399"/>
        <v>0</v>
      </c>
      <c r="AB212" s="2178">
        <f t="shared" si="379"/>
        <v>0</v>
      </c>
      <c r="AC212" s="2179">
        <f>AC213+AC214+AC215+AC216+AC217</f>
        <v>0</v>
      </c>
      <c r="AD212" s="2179">
        <f>AD213+AD214+AD215+AD216+AD217</f>
        <v>0</v>
      </c>
      <c r="AE212" s="2180">
        <f t="shared" si="396"/>
        <v>0</v>
      </c>
      <c r="AF212" s="2281"/>
      <c r="AG212" s="2114"/>
      <c r="AH212" s="2188">
        <f>AH213+AH214+AH215+AH216+AH217</f>
        <v>0</v>
      </c>
      <c r="AI212" s="2188">
        <f>AI213+AI214+AI215+AI216+AI217</f>
        <v>0</v>
      </c>
      <c r="AJ212" s="2186">
        <f t="shared" si="380"/>
        <v>0</v>
      </c>
      <c r="AK212" s="2188">
        <f>AK213+AK214+AK215+AK216+AK217</f>
        <v>0</v>
      </c>
      <c r="AL212" s="2188">
        <f>AL213+AL214+AL215+AL216+AL217</f>
        <v>0</v>
      </c>
      <c r="AM212" s="2186">
        <f t="shared" si="381"/>
        <v>0</v>
      </c>
      <c r="AN212" s="2188">
        <f>AN213+AN214+AN215+AN216+AN217</f>
        <v>0</v>
      </c>
      <c r="AO212" s="2188">
        <f>AO213+AO214+AO215+AO216+AO217</f>
        <v>0</v>
      </c>
      <c r="AP212" s="2186">
        <f t="shared" si="382"/>
        <v>0</v>
      </c>
      <c r="AQ212" s="2188">
        <f>AQ213+AQ214+AQ215+AQ216+AQ217</f>
        <v>0</v>
      </c>
      <c r="AR212" s="2188">
        <f>AR213+AR214+AR215+AR216+AR217</f>
        <v>0</v>
      </c>
      <c r="AS212" s="2186">
        <f t="shared" si="383"/>
        <v>0</v>
      </c>
      <c r="AT212" s="2188">
        <f>AT213+AT214+AT215+AT216+AT217</f>
        <v>0</v>
      </c>
      <c r="AU212" s="2188">
        <f>AU213+AU214+AU215+AU216+AU217</f>
        <v>0</v>
      </c>
      <c r="AV212" s="2186">
        <f t="shared" si="384"/>
        <v>0</v>
      </c>
      <c r="AW212" s="2188">
        <f>AW213+AW214+AW215+AW216+AW217</f>
        <v>0</v>
      </c>
      <c r="AX212" s="2188">
        <f>AX213+AX214+AX215+AX216+AX217</f>
        <v>0</v>
      </c>
      <c r="AY212" s="2186">
        <f t="shared" si="385"/>
        <v>0</v>
      </c>
      <c r="AZ212" s="2188">
        <f>AZ213+AZ214+AZ215+AZ216+AZ217</f>
        <v>0</v>
      </c>
      <c r="BA212" s="2188">
        <f>BA213+BA214+BA215+BA216+BA217</f>
        <v>0</v>
      </c>
      <c r="BB212" s="2186">
        <f t="shared" si="386"/>
        <v>0</v>
      </c>
      <c r="BC212" s="2188">
        <f>BC213+BC214+BC215+BC216+BC217</f>
        <v>0</v>
      </c>
      <c r="BD212" s="2188">
        <f>BD213+BD214+BD215+BD216+BD217</f>
        <v>0</v>
      </c>
      <c r="BE212" s="2186">
        <f t="shared" si="387"/>
        <v>0</v>
      </c>
      <c r="BF212" s="2188">
        <f>BF213+BF214+BF215+BF216+BF217</f>
        <v>0</v>
      </c>
      <c r="BG212" s="2188">
        <f>BG213+BG214+BG215+BG216+BG217</f>
        <v>0</v>
      </c>
      <c r="BH212" s="2186">
        <f t="shared" si="388"/>
        <v>0</v>
      </c>
      <c r="BI212" s="2188">
        <f>BI213+BI214+BI215+BI216+BI217</f>
        <v>0</v>
      </c>
      <c r="BJ212" s="2188">
        <f>BJ213+BJ214+BJ215+BJ216+BJ217</f>
        <v>0</v>
      </c>
      <c r="BK212" s="2186">
        <f t="shared" si="389"/>
        <v>0</v>
      </c>
      <c r="BL212" s="2188">
        <f>BL213+BL214+BL215+BL216+BL217</f>
        <v>0</v>
      </c>
      <c r="BM212" s="2188">
        <f>BM213+BM214+BM215+BM216+BM217</f>
        <v>0</v>
      </c>
      <c r="BN212" s="2186">
        <f t="shared" si="390"/>
        <v>0</v>
      </c>
      <c r="BO212" s="2188">
        <f>BO213+BO214+BO215+BO216+BO217</f>
        <v>0</v>
      </c>
      <c r="BP212" s="2188">
        <f>BP213+BP214+BP215+BP216+BP217</f>
        <v>0</v>
      </c>
      <c r="BQ212" s="2186">
        <f t="shared" si="391"/>
        <v>0</v>
      </c>
    </row>
    <row r="213" spans="3:69" s="2087" customFormat="1" hidden="1">
      <c r="C213" s="2194" t="s">
        <v>2338</v>
      </c>
      <c r="D213" s="2283" t="s">
        <v>2221</v>
      </c>
      <c r="E213" s="2284" t="s">
        <v>240</v>
      </c>
      <c r="F213" s="2176"/>
      <c r="G213" s="2177"/>
      <c r="H213" s="2177"/>
      <c r="I213" s="2178">
        <f t="shared" si="373"/>
        <v>0</v>
      </c>
      <c r="J213" s="2176"/>
      <c r="K213" s="2252">
        <f t="shared" si="397"/>
        <v>0</v>
      </c>
      <c r="L213" s="2252">
        <f t="shared" si="397"/>
        <v>0</v>
      </c>
      <c r="M213" s="2255">
        <f t="shared" si="374"/>
        <v>0</v>
      </c>
      <c r="N213" s="2177"/>
      <c r="O213" s="2177"/>
      <c r="P213" s="2178">
        <f t="shared" si="375"/>
        <v>0</v>
      </c>
      <c r="Q213" s="2176"/>
      <c r="R213" s="2176"/>
      <c r="S213" s="2180">
        <f t="shared" si="376"/>
        <v>0</v>
      </c>
      <c r="T213" s="2251">
        <f t="shared" si="398"/>
        <v>0</v>
      </c>
      <c r="U213" s="2252">
        <f t="shared" si="398"/>
        <v>0</v>
      </c>
      <c r="V213" s="2253">
        <f t="shared" si="377"/>
        <v>0</v>
      </c>
      <c r="W213" s="2182"/>
      <c r="X213" s="2177"/>
      <c r="Y213" s="2183">
        <f t="shared" si="378"/>
        <v>0</v>
      </c>
      <c r="Z213" s="2254">
        <f t="shared" si="399"/>
        <v>0</v>
      </c>
      <c r="AA213" s="2252">
        <f t="shared" si="399"/>
        <v>0</v>
      </c>
      <c r="AB213" s="2255">
        <f t="shared" si="379"/>
        <v>0</v>
      </c>
      <c r="AC213" s="2176"/>
      <c r="AD213" s="2177"/>
      <c r="AE213" s="2180">
        <f t="shared" si="396"/>
        <v>0</v>
      </c>
      <c r="AF213" s="2281"/>
      <c r="AG213" s="2114"/>
      <c r="AH213" s="2177"/>
      <c r="AI213" s="2177"/>
      <c r="AJ213" s="2186">
        <f t="shared" si="380"/>
        <v>0</v>
      </c>
      <c r="AK213" s="2177"/>
      <c r="AL213" s="2177"/>
      <c r="AM213" s="2186">
        <f t="shared" si="381"/>
        <v>0</v>
      </c>
      <c r="AN213" s="2177"/>
      <c r="AO213" s="2177"/>
      <c r="AP213" s="2186">
        <f t="shared" si="382"/>
        <v>0</v>
      </c>
      <c r="AQ213" s="2177"/>
      <c r="AR213" s="2177"/>
      <c r="AS213" s="2186">
        <f t="shared" si="383"/>
        <v>0</v>
      </c>
      <c r="AT213" s="2177"/>
      <c r="AU213" s="2177"/>
      <c r="AV213" s="2186">
        <f t="shared" si="384"/>
        <v>0</v>
      </c>
      <c r="AW213" s="2177"/>
      <c r="AX213" s="2177"/>
      <c r="AY213" s="2186">
        <f t="shared" si="385"/>
        <v>0</v>
      </c>
      <c r="AZ213" s="2177"/>
      <c r="BA213" s="2177"/>
      <c r="BB213" s="2186">
        <f t="shared" si="386"/>
        <v>0</v>
      </c>
      <c r="BC213" s="2177"/>
      <c r="BD213" s="2177"/>
      <c r="BE213" s="2186">
        <f t="shared" si="387"/>
        <v>0</v>
      </c>
      <c r="BF213" s="2177"/>
      <c r="BG213" s="2177"/>
      <c r="BH213" s="2186">
        <f t="shared" si="388"/>
        <v>0</v>
      </c>
      <c r="BI213" s="2177"/>
      <c r="BJ213" s="2177"/>
      <c r="BK213" s="2186">
        <f t="shared" si="389"/>
        <v>0</v>
      </c>
      <c r="BL213" s="2177"/>
      <c r="BM213" s="2177"/>
      <c r="BN213" s="2186">
        <f t="shared" si="390"/>
        <v>0</v>
      </c>
      <c r="BO213" s="2177"/>
      <c r="BP213" s="2177"/>
      <c r="BQ213" s="2186">
        <f t="shared" si="391"/>
        <v>0</v>
      </c>
    </row>
    <row r="214" spans="3:69" s="2087" customFormat="1" hidden="1">
      <c r="C214" s="2194" t="s">
        <v>2339</v>
      </c>
      <c r="D214" s="2283" t="s">
        <v>2223</v>
      </c>
      <c r="E214" s="2284" t="s">
        <v>240</v>
      </c>
      <c r="F214" s="2176"/>
      <c r="G214" s="2177"/>
      <c r="H214" s="2177"/>
      <c r="I214" s="2178">
        <f t="shared" si="373"/>
        <v>0</v>
      </c>
      <c r="J214" s="2176"/>
      <c r="K214" s="2252">
        <f t="shared" si="397"/>
        <v>0</v>
      </c>
      <c r="L214" s="2252">
        <f t="shared" si="397"/>
        <v>0</v>
      </c>
      <c r="M214" s="2255">
        <f t="shared" si="374"/>
        <v>0</v>
      </c>
      <c r="N214" s="2177"/>
      <c r="O214" s="2177"/>
      <c r="P214" s="2178">
        <f t="shared" si="375"/>
        <v>0</v>
      </c>
      <c r="Q214" s="2176"/>
      <c r="R214" s="2177"/>
      <c r="S214" s="2180">
        <f t="shared" si="376"/>
        <v>0</v>
      </c>
      <c r="T214" s="2251">
        <f t="shared" si="398"/>
        <v>0</v>
      </c>
      <c r="U214" s="2252">
        <f t="shared" si="398"/>
        <v>0</v>
      </c>
      <c r="V214" s="2253">
        <f t="shared" si="377"/>
        <v>0</v>
      </c>
      <c r="W214" s="2182"/>
      <c r="X214" s="2177"/>
      <c r="Y214" s="2183">
        <f t="shared" si="378"/>
        <v>0</v>
      </c>
      <c r="Z214" s="2254">
        <f t="shared" si="399"/>
        <v>0</v>
      </c>
      <c r="AA214" s="2252">
        <f t="shared" si="399"/>
        <v>0</v>
      </c>
      <c r="AB214" s="2255">
        <f t="shared" si="379"/>
        <v>0</v>
      </c>
      <c r="AC214" s="2176"/>
      <c r="AD214" s="2177"/>
      <c r="AE214" s="2180">
        <f t="shared" si="396"/>
        <v>0</v>
      </c>
      <c r="AF214" s="2281"/>
      <c r="AG214" s="2114"/>
      <c r="AH214" s="2177"/>
      <c r="AI214" s="2177"/>
      <c r="AJ214" s="2186">
        <f t="shared" si="380"/>
        <v>0</v>
      </c>
      <c r="AK214" s="2177"/>
      <c r="AL214" s="2177"/>
      <c r="AM214" s="2186">
        <f t="shared" si="381"/>
        <v>0</v>
      </c>
      <c r="AN214" s="2177"/>
      <c r="AO214" s="2177"/>
      <c r="AP214" s="2186">
        <f t="shared" si="382"/>
        <v>0</v>
      </c>
      <c r="AQ214" s="2177"/>
      <c r="AR214" s="2177"/>
      <c r="AS214" s="2186">
        <f t="shared" si="383"/>
        <v>0</v>
      </c>
      <c r="AT214" s="2177"/>
      <c r="AU214" s="2177"/>
      <c r="AV214" s="2186">
        <f t="shared" si="384"/>
        <v>0</v>
      </c>
      <c r="AW214" s="2177"/>
      <c r="AX214" s="2177"/>
      <c r="AY214" s="2186">
        <f t="shared" si="385"/>
        <v>0</v>
      </c>
      <c r="AZ214" s="2177"/>
      <c r="BA214" s="2177"/>
      <c r="BB214" s="2186">
        <f t="shared" si="386"/>
        <v>0</v>
      </c>
      <c r="BC214" s="2177"/>
      <c r="BD214" s="2177"/>
      <c r="BE214" s="2186">
        <f t="shared" si="387"/>
        <v>0</v>
      </c>
      <c r="BF214" s="2177"/>
      <c r="BG214" s="2177"/>
      <c r="BH214" s="2186">
        <f t="shared" si="388"/>
        <v>0</v>
      </c>
      <c r="BI214" s="2177"/>
      <c r="BJ214" s="2177"/>
      <c r="BK214" s="2186">
        <f t="shared" si="389"/>
        <v>0</v>
      </c>
      <c r="BL214" s="2177"/>
      <c r="BM214" s="2177"/>
      <c r="BN214" s="2186">
        <f t="shared" si="390"/>
        <v>0</v>
      </c>
      <c r="BO214" s="2177"/>
      <c r="BP214" s="2177"/>
      <c r="BQ214" s="2186">
        <f t="shared" si="391"/>
        <v>0</v>
      </c>
    </row>
    <row r="215" spans="3:69" s="2087" customFormat="1" hidden="1">
      <c r="C215" s="2194" t="s">
        <v>2340</v>
      </c>
      <c r="D215" s="2283" t="s">
        <v>2225</v>
      </c>
      <c r="E215" s="2284" t="s">
        <v>240</v>
      </c>
      <c r="F215" s="2176"/>
      <c r="G215" s="2177"/>
      <c r="H215" s="2177"/>
      <c r="I215" s="2178">
        <f t="shared" si="373"/>
        <v>0</v>
      </c>
      <c r="J215" s="2176"/>
      <c r="K215" s="2252">
        <f t="shared" si="397"/>
        <v>0</v>
      </c>
      <c r="L215" s="2252">
        <f t="shared" si="397"/>
        <v>0</v>
      </c>
      <c r="M215" s="2255">
        <f t="shared" si="374"/>
        <v>0</v>
      </c>
      <c r="N215" s="2177"/>
      <c r="O215" s="2177"/>
      <c r="P215" s="2178">
        <f t="shared" si="375"/>
        <v>0</v>
      </c>
      <c r="Q215" s="2176"/>
      <c r="R215" s="2177"/>
      <c r="S215" s="2180">
        <f t="shared" si="376"/>
        <v>0</v>
      </c>
      <c r="T215" s="2251">
        <f t="shared" si="398"/>
        <v>0</v>
      </c>
      <c r="U215" s="2252">
        <f t="shared" si="398"/>
        <v>0</v>
      </c>
      <c r="V215" s="2253">
        <f t="shared" si="377"/>
        <v>0</v>
      </c>
      <c r="W215" s="2182"/>
      <c r="X215" s="2177"/>
      <c r="Y215" s="2183">
        <f t="shared" si="378"/>
        <v>0</v>
      </c>
      <c r="Z215" s="2254">
        <f t="shared" si="399"/>
        <v>0</v>
      </c>
      <c r="AA215" s="2252">
        <f t="shared" si="399"/>
        <v>0</v>
      </c>
      <c r="AB215" s="2255">
        <f t="shared" si="379"/>
        <v>0</v>
      </c>
      <c r="AC215" s="2176"/>
      <c r="AD215" s="2177"/>
      <c r="AE215" s="2180">
        <f t="shared" si="396"/>
        <v>0</v>
      </c>
      <c r="AF215" s="2281"/>
      <c r="AG215" s="2114"/>
      <c r="AH215" s="2177"/>
      <c r="AI215" s="2177"/>
      <c r="AJ215" s="2186">
        <f t="shared" si="380"/>
        <v>0</v>
      </c>
      <c r="AK215" s="2177"/>
      <c r="AL215" s="2177"/>
      <c r="AM215" s="2186">
        <f t="shared" si="381"/>
        <v>0</v>
      </c>
      <c r="AN215" s="2177"/>
      <c r="AO215" s="2177"/>
      <c r="AP215" s="2186">
        <f t="shared" si="382"/>
        <v>0</v>
      </c>
      <c r="AQ215" s="2177"/>
      <c r="AR215" s="2177"/>
      <c r="AS215" s="2186">
        <f t="shared" si="383"/>
        <v>0</v>
      </c>
      <c r="AT215" s="2177"/>
      <c r="AU215" s="2177"/>
      <c r="AV215" s="2186">
        <f t="shared" si="384"/>
        <v>0</v>
      </c>
      <c r="AW215" s="2177"/>
      <c r="AX215" s="2177"/>
      <c r="AY215" s="2186">
        <f t="shared" si="385"/>
        <v>0</v>
      </c>
      <c r="AZ215" s="2177"/>
      <c r="BA215" s="2177"/>
      <c r="BB215" s="2186">
        <f t="shared" si="386"/>
        <v>0</v>
      </c>
      <c r="BC215" s="2177"/>
      <c r="BD215" s="2177"/>
      <c r="BE215" s="2186">
        <f t="shared" si="387"/>
        <v>0</v>
      </c>
      <c r="BF215" s="2177"/>
      <c r="BG215" s="2177"/>
      <c r="BH215" s="2186">
        <f t="shared" si="388"/>
        <v>0</v>
      </c>
      <c r="BI215" s="2177"/>
      <c r="BJ215" s="2177"/>
      <c r="BK215" s="2186">
        <f t="shared" si="389"/>
        <v>0</v>
      </c>
      <c r="BL215" s="2177"/>
      <c r="BM215" s="2177"/>
      <c r="BN215" s="2186">
        <f t="shared" si="390"/>
        <v>0</v>
      </c>
      <c r="BO215" s="2177"/>
      <c r="BP215" s="2177"/>
      <c r="BQ215" s="2186">
        <f t="shared" si="391"/>
        <v>0</v>
      </c>
    </row>
    <row r="216" spans="3:69" s="2087" customFormat="1" hidden="1">
      <c r="C216" s="2194" t="s">
        <v>2341</v>
      </c>
      <c r="D216" s="2283" t="s">
        <v>2227</v>
      </c>
      <c r="E216" s="2284" t="s">
        <v>240</v>
      </c>
      <c r="F216" s="2176"/>
      <c r="G216" s="2177"/>
      <c r="H216" s="2177"/>
      <c r="I216" s="2178">
        <f t="shared" si="373"/>
        <v>0</v>
      </c>
      <c r="J216" s="2176"/>
      <c r="K216" s="2252">
        <f t="shared" si="397"/>
        <v>0</v>
      </c>
      <c r="L216" s="2252">
        <f t="shared" si="397"/>
        <v>0</v>
      </c>
      <c r="M216" s="2255">
        <f t="shared" si="374"/>
        <v>0</v>
      </c>
      <c r="N216" s="2177"/>
      <c r="O216" s="2177"/>
      <c r="P216" s="2178">
        <f t="shared" si="375"/>
        <v>0</v>
      </c>
      <c r="Q216" s="2176"/>
      <c r="R216" s="2177"/>
      <c r="S216" s="2180">
        <f t="shared" si="376"/>
        <v>0</v>
      </c>
      <c r="T216" s="2251">
        <f t="shared" si="398"/>
        <v>0</v>
      </c>
      <c r="U216" s="2252">
        <f t="shared" si="398"/>
        <v>0</v>
      </c>
      <c r="V216" s="2253">
        <f t="shared" si="377"/>
        <v>0</v>
      </c>
      <c r="W216" s="2182"/>
      <c r="X216" s="2177"/>
      <c r="Y216" s="2183">
        <f t="shared" si="378"/>
        <v>0</v>
      </c>
      <c r="Z216" s="2254">
        <f t="shared" si="399"/>
        <v>0</v>
      </c>
      <c r="AA216" s="2252">
        <f t="shared" si="399"/>
        <v>0</v>
      </c>
      <c r="AB216" s="2255">
        <f t="shared" si="379"/>
        <v>0</v>
      </c>
      <c r="AC216" s="2176"/>
      <c r="AD216" s="2177"/>
      <c r="AE216" s="2180">
        <f t="shared" si="396"/>
        <v>0</v>
      </c>
      <c r="AF216" s="2281"/>
      <c r="AG216" s="2114"/>
      <c r="AH216" s="2177"/>
      <c r="AI216" s="2177"/>
      <c r="AJ216" s="2186">
        <f t="shared" si="380"/>
        <v>0</v>
      </c>
      <c r="AK216" s="2177"/>
      <c r="AL216" s="2177"/>
      <c r="AM216" s="2186">
        <f t="shared" si="381"/>
        <v>0</v>
      </c>
      <c r="AN216" s="2177"/>
      <c r="AO216" s="2177"/>
      <c r="AP216" s="2186">
        <f t="shared" si="382"/>
        <v>0</v>
      </c>
      <c r="AQ216" s="2177"/>
      <c r="AR216" s="2177"/>
      <c r="AS216" s="2186">
        <f t="shared" si="383"/>
        <v>0</v>
      </c>
      <c r="AT216" s="2177"/>
      <c r="AU216" s="2177"/>
      <c r="AV216" s="2186">
        <f t="shared" si="384"/>
        <v>0</v>
      </c>
      <c r="AW216" s="2177"/>
      <c r="AX216" s="2177"/>
      <c r="AY216" s="2186">
        <f t="shared" si="385"/>
        <v>0</v>
      </c>
      <c r="AZ216" s="2177"/>
      <c r="BA216" s="2177"/>
      <c r="BB216" s="2186">
        <f t="shared" si="386"/>
        <v>0</v>
      </c>
      <c r="BC216" s="2177"/>
      <c r="BD216" s="2177"/>
      <c r="BE216" s="2186">
        <f t="shared" si="387"/>
        <v>0</v>
      </c>
      <c r="BF216" s="2177"/>
      <c r="BG216" s="2177"/>
      <c r="BH216" s="2186">
        <f t="shared" si="388"/>
        <v>0</v>
      </c>
      <c r="BI216" s="2177"/>
      <c r="BJ216" s="2177"/>
      <c r="BK216" s="2186">
        <f t="shared" si="389"/>
        <v>0</v>
      </c>
      <c r="BL216" s="2177"/>
      <c r="BM216" s="2177"/>
      <c r="BN216" s="2186">
        <f t="shared" si="390"/>
        <v>0</v>
      </c>
      <c r="BO216" s="2177"/>
      <c r="BP216" s="2177"/>
      <c r="BQ216" s="2186">
        <f t="shared" si="391"/>
        <v>0</v>
      </c>
    </row>
    <row r="217" spans="3:69" s="2087" customFormat="1" hidden="1">
      <c r="C217" s="2194" t="s">
        <v>2342</v>
      </c>
      <c r="D217" s="2283" t="s">
        <v>2229</v>
      </c>
      <c r="E217" s="2284" t="s">
        <v>240</v>
      </c>
      <c r="F217" s="2176"/>
      <c r="G217" s="2177"/>
      <c r="H217" s="2177"/>
      <c r="I217" s="2178">
        <f t="shared" si="373"/>
        <v>0</v>
      </c>
      <c r="J217" s="2176"/>
      <c r="K217" s="2252">
        <f t="shared" si="397"/>
        <v>0</v>
      </c>
      <c r="L217" s="2252">
        <f t="shared" si="397"/>
        <v>0</v>
      </c>
      <c r="M217" s="2255">
        <f t="shared" si="374"/>
        <v>0</v>
      </c>
      <c r="N217" s="2177"/>
      <c r="O217" s="2177"/>
      <c r="P217" s="2178">
        <f t="shared" si="375"/>
        <v>0</v>
      </c>
      <c r="Q217" s="2176"/>
      <c r="R217" s="2177"/>
      <c r="S217" s="2266"/>
      <c r="T217" s="2251">
        <f t="shared" si="398"/>
        <v>0</v>
      </c>
      <c r="U217" s="2252">
        <f t="shared" si="398"/>
        <v>0</v>
      </c>
      <c r="V217" s="2253">
        <f t="shared" si="377"/>
        <v>0</v>
      </c>
      <c r="W217" s="2182"/>
      <c r="X217" s="2177"/>
      <c r="Y217" s="2271"/>
      <c r="Z217" s="2254">
        <f t="shared" si="399"/>
        <v>0</v>
      </c>
      <c r="AA217" s="2252">
        <f t="shared" si="399"/>
        <v>0</v>
      </c>
      <c r="AB217" s="2255">
        <f t="shared" si="379"/>
        <v>0</v>
      </c>
      <c r="AC217" s="2176"/>
      <c r="AD217" s="2177"/>
      <c r="AE217" s="2180">
        <f t="shared" si="396"/>
        <v>0</v>
      </c>
      <c r="AF217" s="2281"/>
      <c r="AG217" s="2114"/>
      <c r="AH217" s="2177"/>
      <c r="AI217" s="2177"/>
      <c r="AJ217" s="2186">
        <f t="shared" si="380"/>
        <v>0</v>
      </c>
      <c r="AK217" s="2177"/>
      <c r="AL217" s="2177"/>
      <c r="AM217" s="2186">
        <f t="shared" si="381"/>
        <v>0</v>
      </c>
      <c r="AN217" s="2177"/>
      <c r="AO217" s="2177"/>
      <c r="AP217" s="2186">
        <f t="shared" si="382"/>
        <v>0</v>
      </c>
      <c r="AQ217" s="2177"/>
      <c r="AR217" s="2177"/>
      <c r="AS217" s="2186">
        <f t="shared" si="383"/>
        <v>0</v>
      </c>
      <c r="AT217" s="2177"/>
      <c r="AU217" s="2177"/>
      <c r="AV217" s="2186">
        <f t="shared" si="384"/>
        <v>0</v>
      </c>
      <c r="AW217" s="2177"/>
      <c r="AX217" s="2177"/>
      <c r="AY217" s="2186">
        <f t="shared" si="385"/>
        <v>0</v>
      </c>
      <c r="AZ217" s="2177"/>
      <c r="BA217" s="2177"/>
      <c r="BB217" s="2186">
        <f t="shared" si="386"/>
        <v>0</v>
      </c>
      <c r="BC217" s="2177"/>
      <c r="BD217" s="2177"/>
      <c r="BE217" s="2186">
        <f t="shared" si="387"/>
        <v>0</v>
      </c>
      <c r="BF217" s="2177"/>
      <c r="BG217" s="2177"/>
      <c r="BH217" s="2186">
        <f t="shared" si="388"/>
        <v>0</v>
      </c>
      <c r="BI217" s="2177"/>
      <c r="BJ217" s="2177"/>
      <c r="BK217" s="2186">
        <f t="shared" si="389"/>
        <v>0</v>
      </c>
      <c r="BL217" s="2177"/>
      <c r="BM217" s="2177"/>
      <c r="BN217" s="2186">
        <f t="shared" si="390"/>
        <v>0</v>
      </c>
      <c r="BO217" s="2177"/>
      <c r="BP217" s="2177"/>
      <c r="BQ217" s="2186">
        <f t="shared" si="391"/>
        <v>0</v>
      </c>
    </row>
    <row r="218" spans="3:69" s="2087" customFormat="1" hidden="1">
      <c r="C218" s="2285" t="s">
        <v>2343</v>
      </c>
      <c r="D218" s="2287" t="s">
        <v>2238</v>
      </c>
      <c r="E218" s="2284" t="s">
        <v>240</v>
      </c>
      <c r="F218" s="2176"/>
      <c r="G218" s="2252">
        <f>G219+G220+G221+G222+G223</f>
        <v>0</v>
      </c>
      <c r="H218" s="2252">
        <f>H219+H220+H221+H222+H223</f>
        <v>0</v>
      </c>
      <c r="I218" s="2178">
        <f t="shared" si="373"/>
        <v>0</v>
      </c>
      <c r="J218" s="2176"/>
      <c r="K218" s="2179">
        <f t="shared" si="397"/>
        <v>0</v>
      </c>
      <c r="L218" s="2179">
        <f t="shared" si="397"/>
        <v>0</v>
      </c>
      <c r="M218" s="2178">
        <f t="shared" si="374"/>
        <v>0</v>
      </c>
      <c r="N218" s="2179">
        <f>N219+N220+N221+N222+N223</f>
        <v>0</v>
      </c>
      <c r="O218" s="2179">
        <f>O219+O220+O221+O222+O223</f>
        <v>0</v>
      </c>
      <c r="P218" s="2178">
        <f t="shared" si="375"/>
        <v>0</v>
      </c>
      <c r="Q218" s="2179">
        <f>Q219+Q220+Q221+Q222+Q223</f>
        <v>0</v>
      </c>
      <c r="R218" s="2179">
        <f>R219+R220+R221+R222+R223</f>
        <v>0</v>
      </c>
      <c r="S218" s="2180">
        <f t="shared" ref="S218:S222" si="400">R218-Q218</f>
        <v>0</v>
      </c>
      <c r="T218" s="2181">
        <f t="shared" si="398"/>
        <v>0</v>
      </c>
      <c r="U218" s="2179">
        <f t="shared" si="398"/>
        <v>0</v>
      </c>
      <c r="V218" s="2180">
        <f t="shared" si="377"/>
        <v>0</v>
      </c>
      <c r="W218" s="2187">
        <f>W219+W220+W221+W222+W223</f>
        <v>0</v>
      </c>
      <c r="X218" s="2179">
        <f>X219+X220+X221+X222+X223</f>
        <v>0</v>
      </c>
      <c r="Y218" s="2183">
        <f t="shared" ref="Y218:Y222" si="401">X218-W218</f>
        <v>0</v>
      </c>
      <c r="Z218" s="2184">
        <f t="shared" si="399"/>
        <v>0</v>
      </c>
      <c r="AA218" s="2179">
        <f t="shared" si="399"/>
        <v>0</v>
      </c>
      <c r="AB218" s="2178">
        <f t="shared" si="379"/>
        <v>0</v>
      </c>
      <c r="AC218" s="2179">
        <f>AC219+AC220+AC221+AC222+AC223</f>
        <v>0</v>
      </c>
      <c r="AD218" s="2179">
        <f>AD219+AD220+AD221+AD222+AD223</f>
        <v>0</v>
      </c>
      <c r="AE218" s="2180">
        <f t="shared" si="396"/>
        <v>0</v>
      </c>
      <c r="AF218" s="2277"/>
      <c r="AG218" s="2114"/>
      <c r="AH218" s="2188">
        <f>AH219+AH220+AH221+AH222+AH223</f>
        <v>0</v>
      </c>
      <c r="AI218" s="2188">
        <f>AI219+AI220+AI221+AI222+AI223</f>
        <v>0</v>
      </c>
      <c r="AJ218" s="2186">
        <f t="shared" si="380"/>
        <v>0</v>
      </c>
      <c r="AK218" s="2188">
        <f>AK219+AK220+AK221+AK222+AK223</f>
        <v>0</v>
      </c>
      <c r="AL218" s="2188">
        <f>AL219+AL220+AL221+AL222+AL223</f>
        <v>0</v>
      </c>
      <c r="AM218" s="2186">
        <f t="shared" si="381"/>
        <v>0</v>
      </c>
      <c r="AN218" s="2188">
        <f>AN219+AN220+AN221+AN222+AN223</f>
        <v>0</v>
      </c>
      <c r="AO218" s="2188">
        <f>AO219+AO220+AO221+AO222+AO223</f>
        <v>0</v>
      </c>
      <c r="AP218" s="2186">
        <f t="shared" si="382"/>
        <v>0</v>
      </c>
      <c r="AQ218" s="2188">
        <f>AQ219+AQ220+AQ221+AQ222+AQ223</f>
        <v>0</v>
      </c>
      <c r="AR218" s="2188">
        <f>AR219+AR220+AR221+AR222+AR223</f>
        <v>0</v>
      </c>
      <c r="AS218" s="2186">
        <f t="shared" si="383"/>
        <v>0</v>
      </c>
      <c r="AT218" s="2188">
        <f>AT219+AT220+AT221+AT222+AT223</f>
        <v>0</v>
      </c>
      <c r="AU218" s="2188">
        <f>AU219+AU220+AU221+AU222+AU223</f>
        <v>0</v>
      </c>
      <c r="AV218" s="2186">
        <f t="shared" si="384"/>
        <v>0</v>
      </c>
      <c r="AW218" s="2188">
        <f>AW219+AW220+AW221+AW222+AW223</f>
        <v>0</v>
      </c>
      <c r="AX218" s="2188">
        <f>AX219+AX220+AX221+AX222+AX223</f>
        <v>0</v>
      </c>
      <c r="AY218" s="2186">
        <f t="shared" si="385"/>
        <v>0</v>
      </c>
      <c r="AZ218" s="2188">
        <f>AZ219+AZ220+AZ221+AZ222+AZ223</f>
        <v>0</v>
      </c>
      <c r="BA218" s="2188">
        <f>BA219+BA220+BA221+BA222+BA223</f>
        <v>0</v>
      </c>
      <c r="BB218" s="2186">
        <f t="shared" si="386"/>
        <v>0</v>
      </c>
      <c r="BC218" s="2188">
        <f>BC219+BC220+BC221+BC222+BC223</f>
        <v>0</v>
      </c>
      <c r="BD218" s="2188">
        <f>BD219+BD220+BD221+BD222+BD223</f>
        <v>0</v>
      </c>
      <c r="BE218" s="2186">
        <f t="shared" si="387"/>
        <v>0</v>
      </c>
      <c r="BF218" s="2188">
        <f>BF219+BF220+BF221+BF222+BF223</f>
        <v>0</v>
      </c>
      <c r="BG218" s="2188">
        <f>BG219+BG220+BG221+BG222+BG223</f>
        <v>0</v>
      </c>
      <c r="BH218" s="2186">
        <f t="shared" si="388"/>
        <v>0</v>
      </c>
      <c r="BI218" s="2188">
        <f>BI219+BI220+BI221+BI222+BI223</f>
        <v>0</v>
      </c>
      <c r="BJ218" s="2188">
        <f>BJ219+BJ220+BJ221+BJ222+BJ223</f>
        <v>0</v>
      </c>
      <c r="BK218" s="2186">
        <f t="shared" si="389"/>
        <v>0</v>
      </c>
      <c r="BL218" s="2188">
        <f>BL219+BL220+BL221+BL222+BL223</f>
        <v>0</v>
      </c>
      <c r="BM218" s="2188">
        <f>BM219+BM220+BM221+BM222+BM223</f>
        <v>0</v>
      </c>
      <c r="BN218" s="2186">
        <f t="shared" si="390"/>
        <v>0</v>
      </c>
      <c r="BO218" s="2188">
        <f>BO219+BO220+BO221+BO222+BO223</f>
        <v>0</v>
      </c>
      <c r="BP218" s="2188">
        <f>BP219+BP220+BP221+BP222+BP223</f>
        <v>0</v>
      </c>
      <c r="BQ218" s="2186">
        <f t="shared" si="391"/>
        <v>0</v>
      </c>
    </row>
    <row r="219" spans="3:69" s="2087" customFormat="1" hidden="1">
      <c r="C219" s="2194" t="s">
        <v>2344</v>
      </c>
      <c r="D219" s="2283" t="s">
        <v>2221</v>
      </c>
      <c r="E219" s="2284" t="s">
        <v>240</v>
      </c>
      <c r="F219" s="2176"/>
      <c r="G219" s="2177"/>
      <c r="H219" s="2177"/>
      <c r="I219" s="2178">
        <f t="shared" si="373"/>
        <v>0</v>
      </c>
      <c r="J219" s="2176"/>
      <c r="K219" s="2252">
        <f t="shared" si="397"/>
        <v>0</v>
      </c>
      <c r="L219" s="2252">
        <f t="shared" si="397"/>
        <v>0</v>
      </c>
      <c r="M219" s="2255">
        <f t="shared" si="374"/>
        <v>0</v>
      </c>
      <c r="N219" s="2177"/>
      <c r="O219" s="2177"/>
      <c r="P219" s="2178">
        <f t="shared" si="375"/>
        <v>0</v>
      </c>
      <c r="Q219" s="2176"/>
      <c r="R219" s="2177"/>
      <c r="S219" s="2180">
        <f t="shared" si="400"/>
        <v>0</v>
      </c>
      <c r="T219" s="2251">
        <f t="shared" si="398"/>
        <v>0</v>
      </c>
      <c r="U219" s="2252">
        <f t="shared" si="398"/>
        <v>0</v>
      </c>
      <c r="V219" s="2253">
        <f t="shared" si="377"/>
        <v>0</v>
      </c>
      <c r="W219" s="2182"/>
      <c r="X219" s="2177"/>
      <c r="Y219" s="2183">
        <f t="shared" si="401"/>
        <v>0</v>
      </c>
      <c r="Z219" s="2254">
        <f t="shared" si="399"/>
        <v>0</v>
      </c>
      <c r="AA219" s="2252">
        <f t="shared" si="399"/>
        <v>0</v>
      </c>
      <c r="AB219" s="2255">
        <f t="shared" si="379"/>
        <v>0</v>
      </c>
      <c r="AC219" s="2176"/>
      <c r="AD219" s="2177"/>
      <c r="AE219" s="2180">
        <f t="shared" si="396"/>
        <v>0</v>
      </c>
      <c r="AF219" s="2281"/>
      <c r="AG219" s="2114"/>
      <c r="AH219" s="2177"/>
      <c r="AI219" s="2177"/>
      <c r="AJ219" s="2186">
        <f t="shared" si="380"/>
        <v>0</v>
      </c>
      <c r="AK219" s="2177"/>
      <c r="AL219" s="2177"/>
      <c r="AM219" s="2186">
        <f t="shared" si="381"/>
        <v>0</v>
      </c>
      <c r="AN219" s="2177"/>
      <c r="AO219" s="2177"/>
      <c r="AP219" s="2186">
        <f t="shared" si="382"/>
        <v>0</v>
      </c>
      <c r="AQ219" s="2177"/>
      <c r="AR219" s="2177"/>
      <c r="AS219" s="2186">
        <f t="shared" si="383"/>
        <v>0</v>
      </c>
      <c r="AT219" s="2177"/>
      <c r="AU219" s="2177"/>
      <c r="AV219" s="2186">
        <f t="shared" si="384"/>
        <v>0</v>
      </c>
      <c r="AW219" s="2177"/>
      <c r="AX219" s="2177"/>
      <c r="AY219" s="2186">
        <f t="shared" si="385"/>
        <v>0</v>
      </c>
      <c r="AZ219" s="2177"/>
      <c r="BA219" s="2177"/>
      <c r="BB219" s="2186">
        <f t="shared" si="386"/>
        <v>0</v>
      </c>
      <c r="BC219" s="2177"/>
      <c r="BD219" s="2177"/>
      <c r="BE219" s="2186">
        <f t="shared" si="387"/>
        <v>0</v>
      </c>
      <c r="BF219" s="2177"/>
      <c r="BG219" s="2177"/>
      <c r="BH219" s="2186">
        <f t="shared" si="388"/>
        <v>0</v>
      </c>
      <c r="BI219" s="2177"/>
      <c r="BJ219" s="2177"/>
      <c r="BK219" s="2186">
        <f t="shared" si="389"/>
        <v>0</v>
      </c>
      <c r="BL219" s="2177"/>
      <c r="BM219" s="2177"/>
      <c r="BN219" s="2186">
        <f t="shared" si="390"/>
        <v>0</v>
      </c>
      <c r="BO219" s="2177"/>
      <c r="BP219" s="2177"/>
      <c r="BQ219" s="2186">
        <f t="shared" si="391"/>
        <v>0</v>
      </c>
    </row>
    <row r="220" spans="3:69" s="2087" customFormat="1" hidden="1">
      <c r="C220" s="2194" t="s">
        <v>2345</v>
      </c>
      <c r="D220" s="2283" t="s">
        <v>2223</v>
      </c>
      <c r="E220" s="2284" t="s">
        <v>240</v>
      </c>
      <c r="F220" s="2176"/>
      <c r="G220" s="2177"/>
      <c r="H220" s="2177"/>
      <c r="I220" s="2178">
        <f t="shared" si="373"/>
        <v>0</v>
      </c>
      <c r="J220" s="2176"/>
      <c r="K220" s="2252">
        <f t="shared" si="397"/>
        <v>0</v>
      </c>
      <c r="L220" s="2252">
        <f t="shared" si="397"/>
        <v>0</v>
      </c>
      <c r="M220" s="2255">
        <f t="shared" si="374"/>
        <v>0</v>
      </c>
      <c r="N220" s="2177"/>
      <c r="O220" s="2177"/>
      <c r="P220" s="2178">
        <f t="shared" si="375"/>
        <v>0</v>
      </c>
      <c r="Q220" s="2176"/>
      <c r="R220" s="2177"/>
      <c r="S220" s="2180">
        <f t="shared" si="400"/>
        <v>0</v>
      </c>
      <c r="T220" s="2251">
        <f t="shared" si="398"/>
        <v>0</v>
      </c>
      <c r="U220" s="2252">
        <f t="shared" si="398"/>
        <v>0</v>
      </c>
      <c r="V220" s="2253">
        <f t="shared" si="377"/>
        <v>0</v>
      </c>
      <c r="W220" s="2182"/>
      <c r="X220" s="2177"/>
      <c r="Y220" s="2183">
        <f t="shared" si="401"/>
        <v>0</v>
      </c>
      <c r="Z220" s="2254">
        <f t="shared" si="399"/>
        <v>0</v>
      </c>
      <c r="AA220" s="2252">
        <f t="shared" si="399"/>
        <v>0</v>
      </c>
      <c r="AB220" s="2255">
        <f t="shared" si="379"/>
        <v>0</v>
      </c>
      <c r="AC220" s="2176"/>
      <c r="AD220" s="2177"/>
      <c r="AE220" s="2180">
        <f t="shared" si="396"/>
        <v>0</v>
      </c>
      <c r="AF220" s="2281"/>
      <c r="AG220" s="2114"/>
      <c r="AH220" s="2177"/>
      <c r="AI220" s="2177"/>
      <c r="AJ220" s="2186">
        <f t="shared" si="380"/>
        <v>0</v>
      </c>
      <c r="AK220" s="2177"/>
      <c r="AL220" s="2177"/>
      <c r="AM220" s="2186">
        <f t="shared" si="381"/>
        <v>0</v>
      </c>
      <c r="AN220" s="2177"/>
      <c r="AO220" s="2177"/>
      <c r="AP220" s="2186">
        <f t="shared" si="382"/>
        <v>0</v>
      </c>
      <c r="AQ220" s="2177"/>
      <c r="AR220" s="2177"/>
      <c r="AS220" s="2186">
        <f t="shared" si="383"/>
        <v>0</v>
      </c>
      <c r="AT220" s="2177"/>
      <c r="AU220" s="2177"/>
      <c r="AV220" s="2186">
        <f t="shared" si="384"/>
        <v>0</v>
      </c>
      <c r="AW220" s="2177"/>
      <c r="AX220" s="2177"/>
      <c r="AY220" s="2186">
        <f t="shared" si="385"/>
        <v>0</v>
      </c>
      <c r="AZ220" s="2177"/>
      <c r="BA220" s="2177"/>
      <c r="BB220" s="2186">
        <f t="shared" si="386"/>
        <v>0</v>
      </c>
      <c r="BC220" s="2177"/>
      <c r="BD220" s="2177"/>
      <c r="BE220" s="2186">
        <f t="shared" si="387"/>
        <v>0</v>
      </c>
      <c r="BF220" s="2177"/>
      <c r="BG220" s="2177"/>
      <c r="BH220" s="2186">
        <f t="shared" si="388"/>
        <v>0</v>
      </c>
      <c r="BI220" s="2177"/>
      <c r="BJ220" s="2177"/>
      <c r="BK220" s="2186">
        <f t="shared" si="389"/>
        <v>0</v>
      </c>
      <c r="BL220" s="2177"/>
      <c r="BM220" s="2177"/>
      <c r="BN220" s="2186">
        <f t="shared" si="390"/>
        <v>0</v>
      </c>
      <c r="BO220" s="2177"/>
      <c r="BP220" s="2177"/>
      <c r="BQ220" s="2186">
        <f t="shared" si="391"/>
        <v>0</v>
      </c>
    </row>
    <row r="221" spans="3:69" s="2087" customFormat="1" hidden="1">
      <c r="C221" s="2194" t="s">
        <v>2346</v>
      </c>
      <c r="D221" s="2283" t="s">
        <v>2225</v>
      </c>
      <c r="E221" s="2284" t="s">
        <v>240</v>
      </c>
      <c r="F221" s="2176"/>
      <c r="G221" s="2177"/>
      <c r="H221" s="2177"/>
      <c r="I221" s="2178">
        <f t="shared" si="373"/>
        <v>0</v>
      </c>
      <c r="J221" s="2176"/>
      <c r="K221" s="2252">
        <f t="shared" si="397"/>
        <v>0</v>
      </c>
      <c r="L221" s="2252">
        <f t="shared" si="397"/>
        <v>0</v>
      </c>
      <c r="M221" s="2255">
        <f t="shared" si="374"/>
        <v>0</v>
      </c>
      <c r="N221" s="2177"/>
      <c r="O221" s="2177"/>
      <c r="P221" s="2178">
        <f t="shared" si="375"/>
        <v>0</v>
      </c>
      <c r="Q221" s="2176"/>
      <c r="R221" s="2177"/>
      <c r="S221" s="2180">
        <f t="shared" si="400"/>
        <v>0</v>
      </c>
      <c r="T221" s="2251">
        <f t="shared" si="398"/>
        <v>0</v>
      </c>
      <c r="U221" s="2252">
        <f t="shared" si="398"/>
        <v>0</v>
      </c>
      <c r="V221" s="2253">
        <f t="shared" si="377"/>
        <v>0</v>
      </c>
      <c r="W221" s="2182"/>
      <c r="X221" s="2177"/>
      <c r="Y221" s="2183">
        <f t="shared" si="401"/>
        <v>0</v>
      </c>
      <c r="Z221" s="2254">
        <f t="shared" si="399"/>
        <v>0</v>
      </c>
      <c r="AA221" s="2252">
        <f t="shared" si="399"/>
        <v>0</v>
      </c>
      <c r="AB221" s="2255">
        <f t="shared" si="379"/>
        <v>0</v>
      </c>
      <c r="AC221" s="2176"/>
      <c r="AD221" s="2177"/>
      <c r="AE221" s="2180">
        <f t="shared" si="396"/>
        <v>0</v>
      </c>
      <c r="AF221" s="2281"/>
      <c r="AG221" s="2114"/>
      <c r="AH221" s="2177"/>
      <c r="AI221" s="2177"/>
      <c r="AJ221" s="2186">
        <f t="shared" si="380"/>
        <v>0</v>
      </c>
      <c r="AK221" s="2177"/>
      <c r="AL221" s="2177"/>
      <c r="AM221" s="2186">
        <f t="shared" si="381"/>
        <v>0</v>
      </c>
      <c r="AN221" s="2177"/>
      <c r="AO221" s="2177"/>
      <c r="AP221" s="2186">
        <f t="shared" si="382"/>
        <v>0</v>
      </c>
      <c r="AQ221" s="2177"/>
      <c r="AR221" s="2177"/>
      <c r="AS221" s="2186">
        <f t="shared" si="383"/>
        <v>0</v>
      </c>
      <c r="AT221" s="2177"/>
      <c r="AU221" s="2177"/>
      <c r="AV221" s="2186">
        <f t="shared" si="384"/>
        <v>0</v>
      </c>
      <c r="AW221" s="2177"/>
      <c r="AX221" s="2177"/>
      <c r="AY221" s="2186">
        <f t="shared" si="385"/>
        <v>0</v>
      </c>
      <c r="AZ221" s="2177"/>
      <c r="BA221" s="2177"/>
      <c r="BB221" s="2186">
        <f t="shared" si="386"/>
        <v>0</v>
      </c>
      <c r="BC221" s="2177"/>
      <c r="BD221" s="2177"/>
      <c r="BE221" s="2186">
        <f t="shared" si="387"/>
        <v>0</v>
      </c>
      <c r="BF221" s="2177"/>
      <c r="BG221" s="2177"/>
      <c r="BH221" s="2186">
        <f t="shared" si="388"/>
        <v>0</v>
      </c>
      <c r="BI221" s="2177"/>
      <c r="BJ221" s="2177"/>
      <c r="BK221" s="2186">
        <f t="shared" si="389"/>
        <v>0</v>
      </c>
      <c r="BL221" s="2177"/>
      <c r="BM221" s="2177"/>
      <c r="BN221" s="2186">
        <f t="shared" si="390"/>
        <v>0</v>
      </c>
      <c r="BO221" s="2177"/>
      <c r="BP221" s="2177"/>
      <c r="BQ221" s="2186">
        <f t="shared" si="391"/>
        <v>0</v>
      </c>
    </row>
    <row r="222" spans="3:69" s="2087" customFormat="1" hidden="1">
      <c r="C222" s="2194" t="s">
        <v>2347</v>
      </c>
      <c r="D222" s="2283" t="s">
        <v>2227</v>
      </c>
      <c r="E222" s="2284" t="s">
        <v>240</v>
      </c>
      <c r="F222" s="2176"/>
      <c r="G222" s="2177"/>
      <c r="H222" s="2177"/>
      <c r="I222" s="2178">
        <f t="shared" si="373"/>
        <v>0</v>
      </c>
      <c r="J222" s="2176"/>
      <c r="K222" s="2252">
        <f t="shared" si="397"/>
        <v>0</v>
      </c>
      <c r="L222" s="2252">
        <f t="shared" si="397"/>
        <v>0</v>
      </c>
      <c r="M222" s="2255">
        <f t="shared" si="374"/>
        <v>0</v>
      </c>
      <c r="N222" s="2177"/>
      <c r="O222" s="2177"/>
      <c r="P222" s="2178">
        <f t="shared" si="375"/>
        <v>0</v>
      </c>
      <c r="Q222" s="2176"/>
      <c r="R222" s="2177"/>
      <c r="S222" s="2180">
        <f t="shared" si="400"/>
        <v>0</v>
      </c>
      <c r="T222" s="2251">
        <f t="shared" si="398"/>
        <v>0</v>
      </c>
      <c r="U222" s="2252">
        <f t="shared" si="398"/>
        <v>0</v>
      </c>
      <c r="V222" s="2253">
        <f t="shared" si="377"/>
        <v>0</v>
      </c>
      <c r="W222" s="2182"/>
      <c r="X222" s="2177"/>
      <c r="Y222" s="2183">
        <f t="shared" si="401"/>
        <v>0</v>
      </c>
      <c r="Z222" s="2254">
        <f t="shared" si="399"/>
        <v>0</v>
      </c>
      <c r="AA222" s="2252">
        <f t="shared" si="399"/>
        <v>0</v>
      </c>
      <c r="AB222" s="2255">
        <f t="shared" si="379"/>
        <v>0</v>
      </c>
      <c r="AC222" s="2176"/>
      <c r="AD222" s="2177"/>
      <c r="AE222" s="2180">
        <f t="shared" si="396"/>
        <v>0</v>
      </c>
      <c r="AF222" s="2281"/>
      <c r="AG222" s="2114"/>
      <c r="AH222" s="2177"/>
      <c r="AI222" s="2177"/>
      <c r="AJ222" s="2186">
        <f t="shared" si="380"/>
        <v>0</v>
      </c>
      <c r="AK222" s="2177"/>
      <c r="AL222" s="2177"/>
      <c r="AM222" s="2186">
        <f t="shared" si="381"/>
        <v>0</v>
      </c>
      <c r="AN222" s="2177"/>
      <c r="AO222" s="2177"/>
      <c r="AP222" s="2186">
        <f t="shared" si="382"/>
        <v>0</v>
      </c>
      <c r="AQ222" s="2177"/>
      <c r="AR222" s="2177"/>
      <c r="AS222" s="2186">
        <f t="shared" si="383"/>
        <v>0</v>
      </c>
      <c r="AT222" s="2177"/>
      <c r="AU222" s="2177"/>
      <c r="AV222" s="2186">
        <f t="shared" si="384"/>
        <v>0</v>
      </c>
      <c r="AW222" s="2177"/>
      <c r="AX222" s="2177"/>
      <c r="AY222" s="2186">
        <f t="shared" si="385"/>
        <v>0</v>
      </c>
      <c r="AZ222" s="2177"/>
      <c r="BA222" s="2177"/>
      <c r="BB222" s="2186">
        <f t="shared" si="386"/>
        <v>0</v>
      </c>
      <c r="BC222" s="2177"/>
      <c r="BD222" s="2177"/>
      <c r="BE222" s="2186">
        <f t="shared" si="387"/>
        <v>0</v>
      </c>
      <c r="BF222" s="2177"/>
      <c r="BG222" s="2177"/>
      <c r="BH222" s="2186">
        <f t="shared" si="388"/>
        <v>0</v>
      </c>
      <c r="BI222" s="2177"/>
      <c r="BJ222" s="2177"/>
      <c r="BK222" s="2186">
        <f t="shared" si="389"/>
        <v>0</v>
      </c>
      <c r="BL222" s="2177"/>
      <c r="BM222" s="2177"/>
      <c r="BN222" s="2186">
        <f t="shared" si="390"/>
        <v>0</v>
      </c>
      <c r="BO222" s="2177"/>
      <c r="BP222" s="2177"/>
      <c r="BQ222" s="2186">
        <f t="shared" si="391"/>
        <v>0</v>
      </c>
    </row>
    <row r="223" spans="3:69" s="2087" customFormat="1" hidden="1">
      <c r="C223" s="2194" t="s">
        <v>2348</v>
      </c>
      <c r="D223" s="2283" t="s">
        <v>2229</v>
      </c>
      <c r="E223" s="2284" t="s">
        <v>240</v>
      </c>
      <c r="F223" s="2176"/>
      <c r="G223" s="2177"/>
      <c r="H223" s="2177"/>
      <c r="I223" s="2178">
        <f t="shared" si="373"/>
        <v>0</v>
      </c>
      <c r="J223" s="2176"/>
      <c r="K223" s="2252">
        <f t="shared" si="397"/>
        <v>0</v>
      </c>
      <c r="L223" s="2252">
        <f t="shared" si="397"/>
        <v>0</v>
      </c>
      <c r="M223" s="2255">
        <f t="shared" si="374"/>
        <v>0</v>
      </c>
      <c r="N223" s="2177"/>
      <c r="O223" s="2177"/>
      <c r="P223" s="2178">
        <f t="shared" si="375"/>
        <v>0</v>
      </c>
      <c r="Q223" s="2176"/>
      <c r="R223" s="2177"/>
      <c r="S223" s="2266"/>
      <c r="T223" s="2251">
        <f t="shared" si="398"/>
        <v>0</v>
      </c>
      <c r="U223" s="2252">
        <f t="shared" si="398"/>
        <v>0</v>
      </c>
      <c r="V223" s="2253">
        <f t="shared" si="377"/>
        <v>0</v>
      </c>
      <c r="W223" s="2182"/>
      <c r="X223" s="2177"/>
      <c r="Y223" s="2271"/>
      <c r="Z223" s="2254">
        <f t="shared" si="399"/>
        <v>0</v>
      </c>
      <c r="AA223" s="2252">
        <f t="shared" si="399"/>
        <v>0</v>
      </c>
      <c r="AB223" s="2255">
        <f t="shared" si="379"/>
        <v>0</v>
      </c>
      <c r="AC223" s="2176"/>
      <c r="AD223" s="2177"/>
      <c r="AE223" s="2180">
        <f t="shared" si="396"/>
        <v>0</v>
      </c>
      <c r="AF223" s="2281"/>
      <c r="AG223" s="2114"/>
      <c r="AH223" s="2177"/>
      <c r="AI223" s="2177"/>
      <c r="AJ223" s="2186">
        <f t="shared" si="380"/>
        <v>0</v>
      </c>
      <c r="AK223" s="2177"/>
      <c r="AL223" s="2177"/>
      <c r="AM223" s="2186">
        <f t="shared" si="381"/>
        <v>0</v>
      </c>
      <c r="AN223" s="2177"/>
      <c r="AO223" s="2177"/>
      <c r="AP223" s="2186">
        <f t="shared" si="382"/>
        <v>0</v>
      </c>
      <c r="AQ223" s="2177"/>
      <c r="AR223" s="2177"/>
      <c r="AS223" s="2186">
        <f t="shared" si="383"/>
        <v>0</v>
      </c>
      <c r="AT223" s="2177"/>
      <c r="AU223" s="2177"/>
      <c r="AV223" s="2186">
        <f t="shared" si="384"/>
        <v>0</v>
      </c>
      <c r="AW223" s="2177"/>
      <c r="AX223" s="2177"/>
      <c r="AY223" s="2186">
        <f t="shared" si="385"/>
        <v>0</v>
      </c>
      <c r="AZ223" s="2177"/>
      <c r="BA223" s="2177"/>
      <c r="BB223" s="2186">
        <f t="shared" si="386"/>
        <v>0</v>
      </c>
      <c r="BC223" s="2177"/>
      <c r="BD223" s="2177"/>
      <c r="BE223" s="2186">
        <f t="shared" si="387"/>
        <v>0</v>
      </c>
      <c r="BF223" s="2177"/>
      <c r="BG223" s="2177"/>
      <c r="BH223" s="2186">
        <f t="shared" si="388"/>
        <v>0</v>
      </c>
      <c r="BI223" s="2177"/>
      <c r="BJ223" s="2177"/>
      <c r="BK223" s="2186">
        <f t="shared" si="389"/>
        <v>0</v>
      </c>
      <c r="BL223" s="2177"/>
      <c r="BM223" s="2177"/>
      <c r="BN223" s="2186">
        <f t="shared" si="390"/>
        <v>0</v>
      </c>
      <c r="BO223" s="2177"/>
      <c r="BP223" s="2177"/>
      <c r="BQ223" s="2186">
        <f t="shared" si="391"/>
        <v>0</v>
      </c>
    </row>
    <row r="224" spans="3:69" s="2087" customFormat="1" hidden="1">
      <c r="C224" s="2285" t="s">
        <v>2349</v>
      </c>
      <c r="D224" s="2287" t="s">
        <v>2248</v>
      </c>
      <c r="E224" s="2284" t="s">
        <v>240</v>
      </c>
      <c r="F224" s="2176"/>
      <c r="G224" s="2252">
        <f>G225+G226+G227+G228+G229</f>
        <v>0</v>
      </c>
      <c r="H224" s="2252">
        <f>H225+H226+H227+H228+H229</f>
        <v>0</v>
      </c>
      <c r="I224" s="2178">
        <f t="shared" si="373"/>
        <v>0</v>
      </c>
      <c r="J224" s="2176"/>
      <c r="K224" s="2179">
        <f t="shared" si="397"/>
        <v>0</v>
      </c>
      <c r="L224" s="2179">
        <f t="shared" si="397"/>
        <v>0</v>
      </c>
      <c r="M224" s="2178">
        <f t="shared" si="374"/>
        <v>0</v>
      </c>
      <c r="N224" s="2179">
        <f>N225+N226+N227+N228+N229</f>
        <v>0</v>
      </c>
      <c r="O224" s="2179">
        <f>O225+O226+O227+O228+O229</f>
        <v>0</v>
      </c>
      <c r="P224" s="2178">
        <f t="shared" si="375"/>
        <v>0</v>
      </c>
      <c r="Q224" s="2179">
        <f>Q225+Q226+Q227+Q228+Q229</f>
        <v>0</v>
      </c>
      <c r="R224" s="2179">
        <f>R225+R226+R227+R228+R229</f>
        <v>0</v>
      </c>
      <c r="S224" s="2180">
        <f t="shared" ref="S224:S228" si="402">R224-Q224</f>
        <v>0</v>
      </c>
      <c r="T224" s="2181">
        <f t="shared" si="398"/>
        <v>0</v>
      </c>
      <c r="U224" s="2179">
        <f t="shared" si="398"/>
        <v>0</v>
      </c>
      <c r="V224" s="2180">
        <f t="shared" si="377"/>
        <v>0</v>
      </c>
      <c r="W224" s="2187">
        <f>W225+W226+W227+W228+W229</f>
        <v>0</v>
      </c>
      <c r="X224" s="2179">
        <f>X225+X226+X227+X228+X229</f>
        <v>0</v>
      </c>
      <c r="Y224" s="2183">
        <f t="shared" ref="Y224:Y228" si="403">X224-W224</f>
        <v>0</v>
      </c>
      <c r="Z224" s="2184">
        <f t="shared" si="399"/>
        <v>0</v>
      </c>
      <c r="AA224" s="2179">
        <f t="shared" si="399"/>
        <v>0</v>
      </c>
      <c r="AB224" s="2178">
        <f t="shared" si="379"/>
        <v>0</v>
      </c>
      <c r="AC224" s="2179">
        <f>AC225+AC226+AC227+AC228+AC229</f>
        <v>0</v>
      </c>
      <c r="AD224" s="2179">
        <f>AD225+AD226+AD227+AD228+AD229</f>
        <v>0</v>
      </c>
      <c r="AE224" s="2180">
        <f t="shared" si="396"/>
        <v>0</v>
      </c>
      <c r="AF224" s="2277"/>
      <c r="AG224" s="2114"/>
      <c r="AH224" s="2188">
        <f>AH225+AH226+AH227+AH228+AH229</f>
        <v>0</v>
      </c>
      <c r="AI224" s="2188">
        <f>AI225+AI226+AI227+AI228+AI229</f>
        <v>0</v>
      </c>
      <c r="AJ224" s="2186">
        <f t="shared" si="380"/>
        <v>0</v>
      </c>
      <c r="AK224" s="2188">
        <f>AK225+AK226+AK227+AK228+AK229</f>
        <v>0</v>
      </c>
      <c r="AL224" s="2188">
        <f>AL225+AL226+AL227+AL228+AL229</f>
        <v>0</v>
      </c>
      <c r="AM224" s="2186">
        <f t="shared" si="381"/>
        <v>0</v>
      </c>
      <c r="AN224" s="2188">
        <f>AN225+AN226+AN227+AN228+AN229</f>
        <v>0</v>
      </c>
      <c r="AO224" s="2188">
        <f>AO225+AO226+AO227+AO228+AO229</f>
        <v>0</v>
      </c>
      <c r="AP224" s="2186">
        <f t="shared" si="382"/>
        <v>0</v>
      </c>
      <c r="AQ224" s="2188">
        <f>AQ225+AQ226+AQ227+AQ228+AQ229</f>
        <v>0</v>
      </c>
      <c r="AR224" s="2188">
        <f>AR225+AR226+AR227+AR228+AR229</f>
        <v>0</v>
      </c>
      <c r="AS224" s="2186">
        <f t="shared" si="383"/>
        <v>0</v>
      </c>
      <c r="AT224" s="2188">
        <f>AT225+AT226+AT227+AT228+AT229</f>
        <v>0</v>
      </c>
      <c r="AU224" s="2188">
        <f>AU225+AU226+AU227+AU228+AU229</f>
        <v>0</v>
      </c>
      <c r="AV224" s="2186">
        <f t="shared" si="384"/>
        <v>0</v>
      </c>
      <c r="AW224" s="2188">
        <f>AW225+AW226+AW227+AW228+AW229</f>
        <v>0</v>
      </c>
      <c r="AX224" s="2188">
        <f>AX225+AX226+AX227+AX228+AX229</f>
        <v>0</v>
      </c>
      <c r="AY224" s="2186">
        <f t="shared" si="385"/>
        <v>0</v>
      </c>
      <c r="AZ224" s="2188">
        <f>AZ225+AZ226+AZ227+AZ228+AZ229</f>
        <v>0</v>
      </c>
      <c r="BA224" s="2188">
        <f>BA225+BA226+BA227+BA228+BA229</f>
        <v>0</v>
      </c>
      <c r="BB224" s="2186">
        <f t="shared" si="386"/>
        <v>0</v>
      </c>
      <c r="BC224" s="2188">
        <f>BC225+BC226+BC227+BC228+BC229</f>
        <v>0</v>
      </c>
      <c r="BD224" s="2188">
        <f>BD225+BD226+BD227+BD228+BD229</f>
        <v>0</v>
      </c>
      <c r="BE224" s="2186">
        <f t="shared" si="387"/>
        <v>0</v>
      </c>
      <c r="BF224" s="2188">
        <f>BF225+BF226+BF227+BF228+BF229</f>
        <v>0</v>
      </c>
      <c r="BG224" s="2188">
        <f>BG225+BG226+BG227+BG228+BG229</f>
        <v>0</v>
      </c>
      <c r="BH224" s="2186">
        <f t="shared" si="388"/>
        <v>0</v>
      </c>
      <c r="BI224" s="2188">
        <f>BI225+BI226+BI227+BI228+BI229</f>
        <v>0</v>
      </c>
      <c r="BJ224" s="2188">
        <f>BJ225+BJ226+BJ227+BJ228+BJ229</f>
        <v>0</v>
      </c>
      <c r="BK224" s="2186">
        <f t="shared" si="389"/>
        <v>0</v>
      </c>
      <c r="BL224" s="2188">
        <f>BL225+BL226+BL227+BL228+BL229</f>
        <v>0</v>
      </c>
      <c r="BM224" s="2188">
        <f>BM225+BM226+BM227+BM228+BM229</f>
        <v>0</v>
      </c>
      <c r="BN224" s="2186">
        <f t="shared" si="390"/>
        <v>0</v>
      </c>
      <c r="BO224" s="2188">
        <f>BO225+BO226+BO227+BO228+BO229</f>
        <v>0</v>
      </c>
      <c r="BP224" s="2188">
        <f>BP225+BP226+BP227+BP228+BP229</f>
        <v>0</v>
      </c>
      <c r="BQ224" s="2186">
        <f t="shared" si="391"/>
        <v>0</v>
      </c>
    </row>
    <row r="225" spans="3:69" s="2087" customFormat="1" hidden="1">
      <c r="C225" s="2194" t="s">
        <v>2350</v>
      </c>
      <c r="D225" s="2283" t="s">
        <v>2221</v>
      </c>
      <c r="E225" s="2284" t="s">
        <v>240</v>
      </c>
      <c r="F225" s="2176"/>
      <c r="G225" s="2177"/>
      <c r="H225" s="2177"/>
      <c r="I225" s="2178">
        <f t="shared" si="373"/>
        <v>0</v>
      </c>
      <c r="J225" s="2176"/>
      <c r="K225" s="2252">
        <f t="shared" si="397"/>
        <v>0</v>
      </c>
      <c r="L225" s="2252">
        <f t="shared" si="397"/>
        <v>0</v>
      </c>
      <c r="M225" s="2255">
        <f t="shared" si="374"/>
        <v>0</v>
      </c>
      <c r="N225" s="2177"/>
      <c r="O225" s="2177"/>
      <c r="P225" s="2178">
        <f t="shared" si="375"/>
        <v>0</v>
      </c>
      <c r="Q225" s="2176"/>
      <c r="R225" s="2177"/>
      <c r="S225" s="2180">
        <f t="shared" si="402"/>
        <v>0</v>
      </c>
      <c r="T225" s="2251">
        <f t="shared" si="398"/>
        <v>0</v>
      </c>
      <c r="U225" s="2252">
        <f t="shared" si="398"/>
        <v>0</v>
      </c>
      <c r="V225" s="2253">
        <f t="shared" si="377"/>
        <v>0</v>
      </c>
      <c r="W225" s="2182"/>
      <c r="X225" s="2177"/>
      <c r="Y225" s="2183">
        <f t="shared" si="403"/>
        <v>0</v>
      </c>
      <c r="Z225" s="2254">
        <f t="shared" si="399"/>
        <v>0</v>
      </c>
      <c r="AA225" s="2252">
        <f t="shared" si="399"/>
        <v>0</v>
      </c>
      <c r="AB225" s="2255">
        <f t="shared" si="379"/>
        <v>0</v>
      </c>
      <c r="AC225" s="2176"/>
      <c r="AD225" s="2177"/>
      <c r="AE225" s="2180">
        <f t="shared" si="396"/>
        <v>0</v>
      </c>
      <c r="AF225" s="2281"/>
      <c r="AG225" s="2114"/>
      <c r="AH225" s="2177"/>
      <c r="AI225" s="2177"/>
      <c r="AJ225" s="2186">
        <f t="shared" si="380"/>
        <v>0</v>
      </c>
      <c r="AK225" s="2177"/>
      <c r="AL225" s="2177"/>
      <c r="AM225" s="2186">
        <f t="shared" si="381"/>
        <v>0</v>
      </c>
      <c r="AN225" s="2177"/>
      <c r="AO225" s="2177"/>
      <c r="AP225" s="2186">
        <f t="shared" si="382"/>
        <v>0</v>
      </c>
      <c r="AQ225" s="2177"/>
      <c r="AR225" s="2177"/>
      <c r="AS225" s="2186">
        <f t="shared" si="383"/>
        <v>0</v>
      </c>
      <c r="AT225" s="2177"/>
      <c r="AU225" s="2177"/>
      <c r="AV225" s="2186">
        <f t="shared" si="384"/>
        <v>0</v>
      </c>
      <c r="AW225" s="2177"/>
      <c r="AX225" s="2177"/>
      <c r="AY225" s="2186">
        <f t="shared" si="385"/>
        <v>0</v>
      </c>
      <c r="AZ225" s="2177"/>
      <c r="BA225" s="2177"/>
      <c r="BB225" s="2186">
        <f t="shared" si="386"/>
        <v>0</v>
      </c>
      <c r="BC225" s="2177"/>
      <c r="BD225" s="2177"/>
      <c r="BE225" s="2186">
        <f t="shared" si="387"/>
        <v>0</v>
      </c>
      <c r="BF225" s="2177"/>
      <c r="BG225" s="2177"/>
      <c r="BH225" s="2186">
        <f t="shared" si="388"/>
        <v>0</v>
      </c>
      <c r="BI225" s="2177"/>
      <c r="BJ225" s="2177"/>
      <c r="BK225" s="2186">
        <f t="shared" si="389"/>
        <v>0</v>
      </c>
      <c r="BL225" s="2177"/>
      <c r="BM225" s="2177"/>
      <c r="BN225" s="2186">
        <f t="shared" si="390"/>
        <v>0</v>
      </c>
      <c r="BO225" s="2177"/>
      <c r="BP225" s="2177"/>
      <c r="BQ225" s="2186">
        <f t="shared" si="391"/>
        <v>0</v>
      </c>
    </row>
    <row r="226" spans="3:69" s="2087" customFormat="1" hidden="1">
      <c r="C226" s="2194" t="s">
        <v>2351</v>
      </c>
      <c r="D226" s="2283" t="s">
        <v>2223</v>
      </c>
      <c r="E226" s="2284" t="s">
        <v>240</v>
      </c>
      <c r="F226" s="2176"/>
      <c r="G226" s="2177"/>
      <c r="H226" s="2177"/>
      <c r="I226" s="2178">
        <f t="shared" si="373"/>
        <v>0</v>
      </c>
      <c r="J226" s="2176"/>
      <c r="K226" s="2252">
        <f t="shared" si="397"/>
        <v>0</v>
      </c>
      <c r="L226" s="2252">
        <f t="shared" si="397"/>
        <v>0</v>
      </c>
      <c r="M226" s="2255">
        <f t="shared" si="374"/>
        <v>0</v>
      </c>
      <c r="N226" s="2177"/>
      <c r="O226" s="2177"/>
      <c r="P226" s="2178">
        <f t="shared" si="375"/>
        <v>0</v>
      </c>
      <c r="Q226" s="2176"/>
      <c r="R226" s="2177"/>
      <c r="S226" s="2180">
        <f t="shared" si="402"/>
        <v>0</v>
      </c>
      <c r="T226" s="2251">
        <f t="shared" si="398"/>
        <v>0</v>
      </c>
      <c r="U226" s="2252">
        <f t="shared" si="398"/>
        <v>0</v>
      </c>
      <c r="V226" s="2253">
        <f t="shared" si="377"/>
        <v>0</v>
      </c>
      <c r="W226" s="2182"/>
      <c r="X226" s="2177"/>
      <c r="Y226" s="2183">
        <f t="shared" si="403"/>
        <v>0</v>
      </c>
      <c r="Z226" s="2254">
        <f t="shared" si="399"/>
        <v>0</v>
      </c>
      <c r="AA226" s="2252">
        <f t="shared" si="399"/>
        <v>0</v>
      </c>
      <c r="AB226" s="2255">
        <f t="shared" si="379"/>
        <v>0</v>
      </c>
      <c r="AC226" s="2176"/>
      <c r="AD226" s="2177"/>
      <c r="AE226" s="2180">
        <f t="shared" si="396"/>
        <v>0</v>
      </c>
      <c r="AF226" s="2281"/>
      <c r="AG226" s="2114"/>
      <c r="AH226" s="2177"/>
      <c r="AI226" s="2177"/>
      <c r="AJ226" s="2186">
        <f t="shared" si="380"/>
        <v>0</v>
      </c>
      <c r="AK226" s="2177"/>
      <c r="AL226" s="2177"/>
      <c r="AM226" s="2186">
        <f t="shared" si="381"/>
        <v>0</v>
      </c>
      <c r="AN226" s="2177"/>
      <c r="AO226" s="2177"/>
      <c r="AP226" s="2186">
        <f t="shared" si="382"/>
        <v>0</v>
      </c>
      <c r="AQ226" s="2177"/>
      <c r="AR226" s="2177"/>
      <c r="AS226" s="2186">
        <f t="shared" si="383"/>
        <v>0</v>
      </c>
      <c r="AT226" s="2177"/>
      <c r="AU226" s="2177"/>
      <c r="AV226" s="2186">
        <f t="shared" si="384"/>
        <v>0</v>
      </c>
      <c r="AW226" s="2177"/>
      <c r="AX226" s="2177"/>
      <c r="AY226" s="2186">
        <f t="shared" si="385"/>
        <v>0</v>
      </c>
      <c r="AZ226" s="2177"/>
      <c r="BA226" s="2177"/>
      <c r="BB226" s="2186">
        <f t="shared" si="386"/>
        <v>0</v>
      </c>
      <c r="BC226" s="2177"/>
      <c r="BD226" s="2177"/>
      <c r="BE226" s="2186">
        <f t="shared" si="387"/>
        <v>0</v>
      </c>
      <c r="BF226" s="2177"/>
      <c r="BG226" s="2177"/>
      <c r="BH226" s="2186">
        <f t="shared" si="388"/>
        <v>0</v>
      </c>
      <c r="BI226" s="2177"/>
      <c r="BJ226" s="2177"/>
      <c r="BK226" s="2186">
        <f t="shared" si="389"/>
        <v>0</v>
      </c>
      <c r="BL226" s="2177"/>
      <c r="BM226" s="2177"/>
      <c r="BN226" s="2186">
        <f t="shared" si="390"/>
        <v>0</v>
      </c>
      <c r="BO226" s="2177"/>
      <c r="BP226" s="2177"/>
      <c r="BQ226" s="2186">
        <f t="shared" si="391"/>
        <v>0</v>
      </c>
    </row>
    <row r="227" spans="3:69" s="2087" customFormat="1" hidden="1">
      <c r="C227" s="2194" t="s">
        <v>2352</v>
      </c>
      <c r="D227" s="2283" t="s">
        <v>2225</v>
      </c>
      <c r="E227" s="2284" t="s">
        <v>240</v>
      </c>
      <c r="F227" s="2176"/>
      <c r="G227" s="2177"/>
      <c r="H227" s="2177"/>
      <c r="I227" s="2178">
        <f t="shared" si="373"/>
        <v>0</v>
      </c>
      <c r="J227" s="2176"/>
      <c r="K227" s="2252">
        <f t="shared" si="397"/>
        <v>0</v>
      </c>
      <c r="L227" s="2252">
        <f t="shared" si="397"/>
        <v>0</v>
      </c>
      <c r="M227" s="2255">
        <f t="shared" si="374"/>
        <v>0</v>
      </c>
      <c r="N227" s="2177"/>
      <c r="O227" s="2177"/>
      <c r="P227" s="2178">
        <f t="shared" si="375"/>
        <v>0</v>
      </c>
      <c r="Q227" s="2176"/>
      <c r="R227" s="2177"/>
      <c r="S227" s="2180">
        <f t="shared" si="402"/>
        <v>0</v>
      </c>
      <c r="T227" s="2251">
        <f t="shared" si="398"/>
        <v>0</v>
      </c>
      <c r="U227" s="2252">
        <f t="shared" si="398"/>
        <v>0</v>
      </c>
      <c r="V227" s="2253">
        <f t="shared" si="377"/>
        <v>0</v>
      </c>
      <c r="W227" s="2182"/>
      <c r="X227" s="2177"/>
      <c r="Y227" s="2183">
        <f t="shared" si="403"/>
        <v>0</v>
      </c>
      <c r="Z227" s="2254">
        <f t="shared" si="399"/>
        <v>0</v>
      </c>
      <c r="AA227" s="2252">
        <f t="shared" si="399"/>
        <v>0</v>
      </c>
      <c r="AB227" s="2255">
        <f t="shared" si="379"/>
        <v>0</v>
      </c>
      <c r="AC227" s="2176"/>
      <c r="AD227" s="2177"/>
      <c r="AE227" s="2180">
        <f t="shared" si="396"/>
        <v>0</v>
      </c>
      <c r="AF227" s="2281"/>
      <c r="AG227" s="2114"/>
      <c r="AH227" s="2177"/>
      <c r="AI227" s="2177"/>
      <c r="AJ227" s="2186">
        <f t="shared" si="380"/>
        <v>0</v>
      </c>
      <c r="AK227" s="2177"/>
      <c r="AL227" s="2177"/>
      <c r="AM227" s="2186">
        <f t="shared" si="381"/>
        <v>0</v>
      </c>
      <c r="AN227" s="2177"/>
      <c r="AO227" s="2177"/>
      <c r="AP227" s="2186">
        <f t="shared" si="382"/>
        <v>0</v>
      </c>
      <c r="AQ227" s="2177"/>
      <c r="AR227" s="2177"/>
      <c r="AS227" s="2186">
        <f t="shared" si="383"/>
        <v>0</v>
      </c>
      <c r="AT227" s="2177"/>
      <c r="AU227" s="2177"/>
      <c r="AV227" s="2186">
        <f t="shared" si="384"/>
        <v>0</v>
      </c>
      <c r="AW227" s="2177"/>
      <c r="AX227" s="2177"/>
      <c r="AY227" s="2186">
        <f t="shared" si="385"/>
        <v>0</v>
      </c>
      <c r="AZ227" s="2177"/>
      <c r="BA227" s="2177"/>
      <c r="BB227" s="2186">
        <f t="shared" si="386"/>
        <v>0</v>
      </c>
      <c r="BC227" s="2177"/>
      <c r="BD227" s="2177"/>
      <c r="BE227" s="2186">
        <f t="shared" si="387"/>
        <v>0</v>
      </c>
      <c r="BF227" s="2177"/>
      <c r="BG227" s="2177"/>
      <c r="BH227" s="2186">
        <f t="shared" si="388"/>
        <v>0</v>
      </c>
      <c r="BI227" s="2177"/>
      <c r="BJ227" s="2177"/>
      <c r="BK227" s="2186">
        <f t="shared" si="389"/>
        <v>0</v>
      </c>
      <c r="BL227" s="2177"/>
      <c r="BM227" s="2177"/>
      <c r="BN227" s="2186">
        <f t="shared" si="390"/>
        <v>0</v>
      </c>
      <c r="BO227" s="2177"/>
      <c r="BP227" s="2177"/>
      <c r="BQ227" s="2186">
        <f t="shared" si="391"/>
        <v>0</v>
      </c>
    </row>
    <row r="228" spans="3:69" s="2087" customFormat="1" hidden="1">
      <c r="C228" s="2194" t="s">
        <v>2353</v>
      </c>
      <c r="D228" s="2283" t="s">
        <v>2227</v>
      </c>
      <c r="E228" s="2284" t="s">
        <v>240</v>
      </c>
      <c r="F228" s="2176"/>
      <c r="G228" s="2177"/>
      <c r="H228" s="2177"/>
      <c r="I228" s="2178">
        <f t="shared" si="373"/>
        <v>0</v>
      </c>
      <c r="J228" s="2176"/>
      <c r="K228" s="2252">
        <f t="shared" si="397"/>
        <v>0</v>
      </c>
      <c r="L228" s="2252">
        <f t="shared" si="397"/>
        <v>0</v>
      </c>
      <c r="M228" s="2255">
        <f t="shared" si="374"/>
        <v>0</v>
      </c>
      <c r="N228" s="2177"/>
      <c r="O228" s="2177"/>
      <c r="P228" s="2178">
        <f t="shared" si="375"/>
        <v>0</v>
      </c>
      <c r="Q228" s="2176"/>
      <c r="R228" s="2177"/>
      <c r="S228" s="2180">
        <f t="shared" si="402"/>
        <v>0</v>
      </c>
      <c r="T228" s="2251">
        <f t="shared" si="398"/>
        <v>0</v>
      </c>
      <c r="U228" s="2252">
        <f t="shared" si="398"/>
        <v>0</v>
      </c>
      <c r="V228" s="2253">
        <f t="shared" si="377"/>
        <v>0</v>
      </c>
      <c r="W228" s="2182"/>
      <c r="X228" s="2177"/>
      <c r="Y228" s="2183">
        <f t="shared" si="403"/>
        <v>0</v>
      </c>
      <c r="Z228" s="2254">
        <f t="shared" si="399"/>
        <v>0</v>
      </c>
      <c r="AA228" s="2252">
        <f t="shared" si="399"/>
        <v>0</v>
      </c>
      <c r="AB228" s="2255">
        <f t="shared" si="379"/>
        <v>0</v>
      </c>
      <c r="AC228" s="2176"/>
      <c r="AD228" s="2177"/>
      <c r="AE228" s="2180">
        <f t="shared" si="396"/>
        <v>0</v>
      </c>
      <c r="AF228" s="2281"/>
      <c r="AG228" s="2114"/>
      <c r="AH228" s="2177"/>
      <c r="AI228" s="2177"/>
      <c r="AJ228" s="2186">
        <f t="shared" si="380"/>
        <v>0</v>
      </c>
      <c r="AK228" s="2177"/>
      <c r="AL228" s="2177"/>
      <c r="AM228" s="2186">
        <f t="shared" si="381"/>
        <v>0</v>
      </c>
      <c r="AN228" s="2177"/>
      <c r="AO228" s="2177"/>
      <c r="AP228" s="2186">
        <f t="shared" si="382"/>
        <v>0</v>
      </c>
      <c r="AQ228" s="2177"/>
      <c r="AR228" s="2177"/>
      <c r="AS228" s="2186">
        <f t="shared" si="383"/>
        <v>0</v>
      </c>
      <c r="AT228" s="2177"/>
      <c r="AU228" s="2177"/>
      <c r="AV228" s="2186">
        <f t="shared" si="384"/>
        <v>0</v>
      </c>
      <c r="AW228" s="2177"/>
      <c r="AX228" s="2177"/>
      <c r="AY228" s="2186">
        <f t="shared" si="385"/>
        <v>0</v>
      </c>
      <c r="AZ228" s="2177"/>
      <c r="BA228" s="2177"/>
      <c r="BB228" s="2186">
        <f t="shared" si="386"/>
        <v>0</v>
      </c>
      <c r="BC228" s="2177"/>
      <c r="BD228" s="2177"/>
      <c r="BE228" s="2186">
        <f t="shared" si="387"/>
        <v>0</v>
      </c>
      <c r="BF228" s="2177"/>
      <c r="BG228" s="2177"/>
      <c r="BH228" s="2186">
        <f t="shared" si="388"/>
        <v>0</v>
      </c>
      <c r="BI228" s="2177"/>
      <c r="BJ228" s="2177"/>
      <c r="BK228" s="2186">
        <f t="shared" si="389"/>
        <v>0</v>
      </c>
      <c r="BL228" s="2177"/>
      <c r="BM228" s="2177"/>
      <c r="BN228" s="2186">
        <f t="shared" si="390"/>
        <v>0</v>
      </c>
      <c r="BO228" s="2177"/>
      <c r="BP228" s="2177"/>
      <c r="BQ228" s="2186">
        <f t="shared" si="391"/>
        <v>0</v>
      </c>
    </row>
    <row r="229" spans="3:69" s="2087" customFormat="1" hidden="1">
      <c r="C229" s="2194" t="s">
        <v>2354</v>
      </c>
      <c r="D229" s="2283" t="s">
        <v>2229</v>
      </c>
      <c r="E229" s="2284" t="s">
        <v>240</v>
      </c>
      <c r="F229" s="2176"/>
      <c r="G229" s="2177"/>
      <c r="H229" s="2177"/>
      <c r="I229" s="2178">
        <f t="shared" si="373"/>
        <v>0</v>
      </c>
      <c r="J229" s="2176"/>
      <c r="K229" s="2252">
        <f t="shared" si="397"/>
        <v>0</v>
      </c>
      <c r="L229" s="2252">
        <f t="shared" si="397"/>
        <v>0</v>
      </c>
      <c r="M229" s="2255">
        <f t="shared" si="374"/>
        <v>0</v>
      </c>
      <c r="N229" s="2177"/>
      <c r="O229" s="2177"/>
      <c r="P229" s="2178">
        <f t="shared" si="375"/>
        <v>0</v>
      </c>
      <c r="Q229" s="2176"/>
      <c r="R229" s="2177"/>
      <c r="S229" s="2266"/>
      <c r="T229" s="2251">
        <f t="shared" si="398"/>
        <v>0</v>
      </c>
      <c r="U229" s="2252">
        <f t="shared" si="398"/>
        <v>0</v>
      </c>
      <c r="V229" s="2253">
        <f t="shared" si="377"/>
        <v>0</v>
      </c>
      <c r="W229" s="2182"/>
      <c r="X229" s="2177"/>
      <c r="Y229" s="2271"/>
      <c r="Z229" s="2254">
        <f t="shared" si="399"/>
        <v>0</v>
      </c>
      <c r="AA229" s="2252">
        <f t="shared" si="399"/>
        <v>0</v>
      </c>
      <c r="AB229" s="2255">
        <f t="shared" si="379"/>
        <v>0</v>
      </c>
      <c r="AC229" s="2176"/>
      <c r="AD229" s="2177"/>
      <c r="AE229" s="2180">
        <f t="shared" si="396"/>
        <v>0</v>
      </c>
      <c r="AF229" s="2281"/>
      <c r="AG229" s="2114"/>
      <c r="AH229" s="2177"/>
      <c r="AI229" s="2177"/>
      <c r="AJ229" s="2186">
        <f t="shared" si="380"/>
        <v>0</v>
      </c>
      <c r="AK229" s="2177"/>
      <c r="AL229" s="2177"/>
      <c r="AM229" s="2186">
        <f t="shared" si="381"/>
        <v>0</v>
      </c>
      <c r="AN229" s="2177"/>
      <c r="AO229" s="2177"/>
      <c r="AP229" s="2186">
        <f t="shared" si="382"/>
        <v>0</v>
      </c>
      <c r="AQ229" s="2177"/>
      <c r="AR229" s="2177"/>
      <c r="AS229" s="2186">
        <f t="shared" si="383"/>
        <v>0</v>
      </c>
      <c r="AT229" s="2177"/>
      <c r="AU229" s="2177"/>
      <c r="AV229" s="2186">
        <f t="shared" si="384"/>
        <v>0</v>
      </c>
      <c r="AW229" s="2177"/>
      <c r="AX229" s="2177"/>
      <c r="AY229" s="2186">
        <f t="shared" si="385"/>
        <v>0</v>
      </c>
      <c r="AZ229" s="2177"/>
      <c r="BA229" s="2177"/>
      <c r="BB229" s="2186">
        <f t="shared" si="386"/>
        <v>0</v>
      </c>
      <c r="BC229" s="2177"/>
      <c r="BD229" s="2177"/>
      <c r="BE229" s="2186">
        <f t="shared" si="387"/>
        <v>0</v>
      </c>
      <c r="BF229" s="2177"/>
      <c r="BG229" s="2177"/>
      <c r="BH229" s="2186">
        <f t="shared" si="388"/>
        <v>0</v>
      </c>
      <c r="BI229" s="2177"/>
      <c r="BJ229" s="2177"/>
      <c r="BK229" s="2186">
        <f t="shared" si="389"/>
        <v>0</v>
      </c>
      <c r="BL229" s="2177"/>
      <c r="BM229" s="2177"/>
      <c r="BN229" s="2186">
        <f t="shared" si="390"/>
        <v>0</v>
      </c>
      <c r="BO229" s="2177"/>
      <c r="BP229" s="2177"/>
      <c r="BQ229" s="2186">
        <f t="shared" si="391"/>
        <v>0</v>
      </c>
    </row>
    <row r="230" spans="3:69" s="2087" customFormat="1" hidden="1">
      <c r="C230" s="2285" t="s">
        <v>2355</v>
      </c>
      <c r="D230" s="2287" t="s">
        <v>2255</v>
      </c>
      <c r="E230" s="2284" t="s">
        <v>240</v>
      </c>
      <c r="F230" s="2176"/>
      <c r="G230" s="2252">
        <f>G231+G232+G233+G234+G235</f>
        <v>0</v>
      </c>
      <c r="H230" s="2252">
        <f>H231+H232+H233+H234+H235</f>
        <v>0</v>
      </c>
      <c r="I230" s="2178">
        <f t="shared" si="373"/>
        <v>0</v>
      </c>
      <c r="J230" s="2176"/>
      <c r="K230" s="2179">
        <f t="shared" si="397"/>
        <v>0</v>
      </c>
      <c r="L230" s="2179">
        <f t="shared" si="397"/>
        <v>0</v>
      </c>
      <c r="M230" s="2178">
        <f t="shared" si="374"/>
        <v>0</v>
      </c>
      <c r="N230" s="2179">
        <f>N231+N232+N233+N234+N235</f>
        <v>0</v>
      </c>
      <c r="O230" s="2179">
        <f>O231+O232+O233+O234+O235</f>
        <v>0</v>
      </c>
      <c r="P230" s="2178">
        <f t="shared" si="375"/>
        <v>0</v>
      </c>
      <c r="Q230" s="2179">
        <f>Q231+Q232+Q233+Q234+Q235</f>
        <v>0</v>
      </c>
      <c r="R230" s="2179">
        <f>R231+R232+R233+R234+R235</f>
        <v>0</v>
      </c>
      <c r="S230" s="2180">
        <f t="shared" ref="S230:S234" si="404">R230-Q230</f>
        <v>0</v>
      </c>
      <c r="T230" s="2181">
        <f t="shared" si="398"/>
        <v>0</v>
      </c>
      <c r="U230" s="2179">
        <f t="shared" si="398"/>
        <v>0</v>
      </c>
      <c r="V230" s="2180">
        <f t="shared" si="377"/>
        <v>0</v>
      </c>
      <c r="W230" s="2187">
        <f>W231+W232+W233+W234+W235</f>
        <v>0</v>
      </c>
      <c r="X230" s="2179">
        <f>X231+X232+X233+X234+X235</f>
        <v>0</v>
      </c>
      <c r="Y230" s="2183">
        <f t="shared" ref="Y230:Y234" si="405">X230-W230</f>
        <v>0</v>
      </c>
      <c r="Z230" s="2184">
        <f t="shared" si="399"/>
        <v>0</v>
      </c>
      <c r="AA230" s="2179">
        <f t="shared" si="399"/>
        <v>0</v>
      </c>
      <c r="AB230" s="2178">
        <f t="shared" si="379"/>
        <v>0</v>
      </c>
      <c r="AC230" s="2179">
        <f>AC231+AC232+AC233+AC234+AC235</f>
        <v>0</v>
      </c>
      <c r="AD230" s="2179">
        <f>AD231+AD232+AD233+AD234+AD235</f>
        <v>0</v>
      </c>
      <c r="AE230" s="2180">
        <f t="shared" si="396"/>
        <v>0</v>
      </c>
      <c r="AF230" s="2277"/>
      <c r="AG230" s="2114"/>
      <c r="AH230" s="2188">
        <f>AH231+AH232+AH233+AH234+AH235</f>
        <v>0</v>
      </c>
      <c r="AI230" s="2188">
        <f>AI231+AI232+AI233+AI234+AI235</f>
        <v>0</v>
      </c>
      <c r="AJ230" s="2186">
        <f t="shared" si="380"/>
        <v>0</v>
      </c>
      <c r="AK230" s="2188">
        <f>AK231+AK232+AK233+AK234+AK235</f>
        <v>0</v>
      </c>
      <c r="AL230" s="2188">
        <f>AL231+AL232+AL233+AL234+AL235</f>
        <v>0</v>
      </c>
      <c r="AM230" s="2186">
        <f t="shared" si="381"/>
        <v>0</v>
      </c>
      <c r="AN230" s="2188">
        <f>AN231+AN232+AN233+AN234+AN235</f>
        <v>0</v>
      </c>
      <c r="AO230" s="2188">
        <f>AO231+AO232+AO233+AO234+AO235</f>
        <v>0</v>
      </c>
      <c r="AP230" s="2186">
        <f t="shared" si="382"/>
        <v>0</v>
      </c>
      <c r="AQ230" s="2188">
        <f>AQ231+AQ232+AQ233+AQ234+AQ235</f>
        <v>0</v>
      </c>
      <c r="AR230" s="2188">
        <f>AR231+AR232+AR233+AR234+AR235</f>
        <v>0</v>
      </c>
      <c r="AS230" s="2186">
        <f t="shared" si="383"/>
        <v>0</v>
      </c>
      <c r="AT230" s="2188">
        <f>AT231+AT232+AT233+AT234+AT235</f>
        <v>0</v>
      </c>
      <c r="AU230" s="2188">
        <f>AU231+AU232+AU233+AU234+AU235</f>
        <v>0</v>
      </c>
      <c r="AV230" s="2186">
        <f t="shared" si="384"/>
        <v>0</v>
      </c>
      <c r="AW230" s="2188">
        <f>AW231+AW232+AW233+AW234+AW235</f>
        <v>0</v>
      </c>
      <c r="AX230" s="2188">
        <f>AX231+AX232+AX233+AX234+AX235</f>
        <v>0</v>
      </c>
      <c r="AY230" s="2186">
        <f t="shared" si="385"/>
        <v>0</v>
      </c>
      <c r="AZ230" s="2188">
        <f>AZ231+AZ232+AZ233+AZ234+AZ235</f>
        <v>0</v>
      </c>
      <c r="BA230" s="2188">
        <f>BA231+BA232+BA233+BA234+BA235</f>
        <v>0</v>
      </c>
      <c r="BB230" s="2186">
        <f t="shared" si="386"/>
        <v>0</v>
      </c>
      <c r="BC230" s="2188">
        <f>BC231+BC232+BC233+BC234+BC235</f>
        <v>0</v>
      </c>
      <c r="BD230" s="2188">
        <f>BD231+BD232+BD233+BD234+BD235</f>
        <v>0</v>
      </c>
      <c r="BE230" s="2186">
        <f t="shared" si="387"/>
        <v>0</v>
      </c>
      <c r="BF230" s="2188">
        <f>BF231+BF232+BF233+BF234+BF235</f>
        <v>0</v>
      </c>
      <c r="BG230" s="2188">
        <f>BG231+BG232+BG233+BG234+BG235</f>
        <v>0</v>
      </c>
      <c r="BH230" s="2186">
        <f t="shared" si="388"/>
        <v>0</v>
      </c>
      <c r="BI230" s="2188">
        <f>BI231+BI232+BI233+BI234+BI235</f>
        <v>0</v>
      </c>
      <c r="BJ230" s="2188">
        <f>BJ231+BJ232+BJ233+BJ234+BJ235</f>
        <v>0</v>
      </c>
      <c r="BK230" s="2186">
        <f t="shared" si="389"/>
        <v>0</v>
      </c>
      <c r="BL230" s="2188">
        <f>BL231+BL232+BL233+BL234+BL235</f>
        <v>0</v>
      </c>
      <c r="BM230" s="2188">
        <f>BM231+BM232+BM233+BM234+BM235</f>
        <v>0</v>
      </c>
      <c r="BN230" s="2186">
        <f t="shared" si="390"/>
        <v>0</v>
      </c>
      <c r="BO230" s="2188">
        <f>BO231+BO232+BO233+BO234+BO235</f>
        <v>0</v>
      </c>
      <c r="BP230" s="2188">
        <f>BP231+BP232+BP233+BP234+BP235</f>
        <v>0</v>
      </c>
      <c r="BQ230" s="2186">
        <f t="shared" si="391"/>
        <v>0</v>
      </c>
    </row>
    <row r="231" spans="3:69" s="2087" customFormat="1" hidden="1">
      <c r="C231" s="2194" t="s">
        <v>2356</v>
      </c>
      <c r="D231" s="2283" t="s">
        <v>2221</v>
      </c>
      <c r="E231" s="2284" t="s">
        <v>240</v>
      </c>
      <c r="F231" s="2176"/>
      <c r="G231" s="2177"/>
      <c r="H231" s="2177"/>
      <c r="I231" s="2178">
        <f t="shared" si="373"/>
        <v>0</v>
      </c>
      <c r="J231" s="2176"/>
      <c r="K231" s="2252">
        <f t="shared" si="397"/>
        <v>0</v>
      </c>
      <c r="L231" s="2252">
        <f t="shared" si="397"/>
        <v>0</v>
      </c>
      <c r="M231" s="2255">
        <f t="shared" si="374"/>
        <v>0</v>
      </c>
      <c r="N231" s="2177"/>
      <c r="O231" s="2177"/>
      <c r="P231" s="2178">
        <f t="shared" si="375"/>
        <v>0</v>
      </c>
      <c r="Q231" s="2176"/>
      <c r="R231" s="2177"/>
      <c r="S231" s="2180">
        <f t="shared" si="404"/>
        <v>0</v>
      </c>
      <c r="T231" s="2251">
        <f t="shared" si="398"/>
        <v>0</v>
      </c>
      <c r="U231" s="2252">
        <f t="shared" si="398"/>
        <v>0</v>
      </c>
      <c r="V231" s="2253">
        <f t="shared" si="377"/>
        <v>0</v>
      </c>
      <c r="W231" s="2182"/>
      <c r="X231" s="2177"/>
      <c r="Y231" s="2183">
        <f t="shared" si="405"/>
        <v>0</v>
      </c>
      <c r="Z231" s="2254">
        <f t="shared" si="399"/>
        <v>0</v>
      </c>
      <c r="AA231" s="2252">
        <f t="shared" si="399"/>
        <v>0</v>
      </c>
      <c r="AB231" s="2255">
        <f t="shared" si="379"/>
        <v>0</v>
      </c>
      <c r="AC231" s="2176"/>
      <c r="AD231" s="2177"/>
      <c r="AE231" s="2180">
        <f t="shared" si="396"/>
        <v>0</v>
      </c>
      <c r="AF231" s="2281"/>
      <c r="AG231" s="2114"/>
      <c r="AH231" s="2177"/>
      <c r="AI231" s="2177"/>
      <c r="AJ231" s="2186">
        <f t="shared" si="380"/>
        <v>0</v>
      </c>
      <c r="AK231" s="2177"/>
      <c r="AL231" s="2177"/>
      <c r="AM231" s="2186">
        <f t="shared" si="381"/>
        <v>0</v>
      </c>
      <c r="AN231" s="2177"/>
      <c r="AO231" s="2177"/>
      <c r="AP231" s="2186">
        <f t="shared" si="382"/>
        <v>0</v>
      </c>
      <c r="AQ231" s="2177"/>
      <c r="AR231" s="2177"/>
      <c r="AS231" s="2186">
        <f t="shared" si="383"/>
        <v>0</v>
      </c>
      <c r="AT231" s="2177"/>
      <c r="AU231" s="2177"/>
      <c r="AV231" s="2186">
        <f t="shared" si="384"/>
        <v>0</v>
      </c>
      <c r="AW231" s="2177"/>
      <c r="AX231" s="2177"/>
      <c r="AY231" s="2186">
        <f t="shared" si="385"/>
        <v>0</v>
      </c>
      <c r="AZ231" s="2177"/>
      <c r="BA231" s="2177"/>
      <c r="BB231" s="2186">
        <f t="shared" si="386"/>
        <v>0</v>
      </c>
      <c r="BC231" s="2177"/>
      <c r="BD231" s="2177"/>
      <c r="BE231" s="2186">
        <f t="shared" si="387"/>
        <v>0</v>
      </c>
      <c r="BF231" s="2177"/>
      <c r="BG231" s="2177"/>
      <c r="BH231" s="2186">
        <f t="shared" si="388"/>
        <v>0</v>
      </c>
      <c r="BI231" s="2177"/>
      <c r="BJ231" s="2177"/>
      <c r="BK231" s="2186">
        <f t="shared" si="389"/>
        <v>0</v>
      </c>
      <c r="BL231" s="2177"/>
      <c r="BM231" s="2177"/>
      <c r="BN231" s="2186">
        <f t="shared" si="390"/>
        <v>0</v>
      </c>
      <c r="BO231" s="2177"/>
      <c r="BP231" s="2177"/>
      <c r="BQ231" s="2186">
        <f t="shared" si="391"/>
        <v>0</v>
      </c>
    </row>
    <row r="232" spans="3:69" s="2087" customFormat="1" hidden="1">
      <c r="C232" s="2194" t="s">
        <v>2357</v>
      </c>
      <c r="D232" s="2283" t="s">
        <v>2223</v>
      </c>
      <c r="E232" s="2284" t="s">
        <v>240</v>
      </c>
      <c r="F232" s="2176"/>
      <c r="G232" s="2177"/>
      <c r="H232" s="2177"/>
      <c r="I232" s="2178">
        <f t="shared" si="373"/>
        <v>0</v>
      </c>
      <c r="J232" s="2176"/>
      <c r="K232" s="2252">
        <f t="shared" si="397"/>
        <v>0</v>
      </c>
      <c r="L232" s="2252">
        <f t="shared" si="397"/>
        <v>0</v>
      </c>
      <c r="M232" s="2255">
        <f t="shared" si="374"/>
        <v>0</v>
      </c>
      <c r="N232" s="2177"/>
      <c r="O232" s="2177"/>
      <c r="P232" s="2178">
        <f t="shared" si="375"/>
        <v>0</v>
      </c>
      <c r="Q232" s="2176"/>
      <c r="R232" s="2177"/>
      <c r="S232" s="2180">
        <f t="shared" si="404"/>
        <v>0</v>
      </c>
      <c r="T232" s="2251">
        <f t="shared" si="398"/>
        <v>0</v>
      </c>
      <c r="U232" s="2252">
        <f t="shared" si="398"/>
        <v>0</v>
      </c>
      <c r="V232" s="2253">
        <f t="shared" si="377"/>
        <v>0</v>
      </c>
      <c r="W232" s="2182"/>
      <c r="X232" s="2177"/>
      <c r="Y232" s="2183">
        <f t="shared" si="405"/>
        <v>0</v>
      </c>
      <c r="Z232" s="2254">
        <f t="shared" si="399"/>
        <v>0</v>
      </c>
      <c r="AA232" s="2252">
        <f t="shared" si="399"/>
        <v>0</v>
      </c>
      <c r="AB232" s="2255">
        <f t="shared" si="379"/>
        <v>0</v>
      </c>
      <c r="AC232" s="2176"/>
      <c r="AD232" s="2177"/>
      <c r="AE232" s="2180">
        <f t="shared" si="396"/>
        <v>0</v>
      </c>
      <c r="AF232" s="2281"/>
      <c r="AG232" s="2114"/>
      <c r="AH232" s="2177"/>
      <c r="AI232" s="2177"/>
      <c r="AJ232" s="2186">
        <f t="shared" si="380"/>
        <v>0</v>
      </c>
      <c r="AK232" s="2177"/>
      <c r="AL232" s="2177"/>
      <c r="AM232" s="2186">
        <f t="shared" si="381"/>
        <v>0</v>
      </c>
      <c r="AN232" s="2177"/>
      <c r="AO232" s="2177"/>
      <c r="AP232" s="2186">
        <f t="shared" si="382"/>
        <v>0</v>
      </c>
      <c r="AQ232" s="2177"/>
      <c r="AR232" s="2177"/>
      <c r="AS232" s="2186">
        <f t="shared" si="383"/>
        <v>0</v>
      </c>
      <c r="AT232" s="2177"/>
      <c r="AU232" s="2177"/>
      <c r="AV232" s="2186">
        <f t="shared" si="384"/>
        <v>0</v>
      </c>
      <c r="AW232" s="2177"/>
      <c r="AX232" s="2177"/>
      <c r="AY232" s="2186">
        <f t="shared" si="385"/>
        <v>0</v>
      </c>
      <c r="AZ232" s="2177"/>
      <c r="BA232" s="2177"/>
      <c r="BB232" s="2186">
        <f t="shared" si="386"/>
        <v>0</v>
      </c>
      <c r="BC232" s="2177"/>
      <c r="BD232" s="2177"/>
      <c r="BE232" s="2186">
        <f t="shared" si="387"/>
        <v>0</v>
      </c>
      <c r="BF232" s="2177"/>
      <c r="BG232" s="2177"/>
      <c r="BH232" s="2186">
        <f t="shared" si="388"/>
        <v>0</v>
      </c>
      <c r="BI232" s="2177"/>
      <c r="BJ232" s="2177"/>
      <c r="BK232" s="2186">
        <f t="shared" si="389"/>
        <v>0</v>
      </c>
      <c r="BL232" s="2177"/>
      <c r="BM232" s="2177"/>
      <c r="BN232" s="2186">
        <f t="shared" si="390"/>
        <v>0</v>
      </c>
      <c r="BO232" s="2177"/>
      <c r="BP232" s="2177"/>
      <c r="BQ232" s="2186">
        <f t="shared" si="391"/>
        <v>0</v>
      </c>
    </row>
    <row r="233" spans="3:69" s="2087" customFormat="1" hidden="1">
      <c r="C233" s="2194" t="s">
        <v>2358</v>
      </c>
      <c r="D233" s="2283" t="s">
        <v>2225</v>
      </c>
      <c r="E233" s="2284" t="s">
        <v>240</v>
      </c>
      <c r="F233" s="2176"/>
      <c r="G233" s="2177"/>
      <c r="H233" s="2177"/>
      <c r="I233" s="2178">
        <f t="shared" si="373"/>
        <v>0</v>
      </c>
      <c r="J233" s="2176"/>
      <c r="K233" s="2252">
        <f t="shared" si="397"/>
        <v>0</v>
      </c>
      <c r="L233" s="2252">
        <f t="shared" si="397"/>
        <v>0</v>
      </c>
      <c r="M233" s="2255">
        <f t="shared" si="374"/>
        <v>0</v>
      </c>
      <c r="N233" s="2177"/>
      <c r="O233" s="2177"/>
      <c r="P233" s="2178">
        <f t="shared" si="375"/>
        <v>0</v>
      </c>
      <c r="Q233" s="2176"/>
      <c r="R233" s="2177"/>
      <c r="S233" s="2180">
        <f t="shared" si="404"/>
        <v>0</v>
      </c>
      <c r="T233" s="2251">
        <f t="shared" si="398"/>
        <v>0</v>
      </c>
      <c r="U233" s="2252">
        <f t="shared" si="398"/>
        <v>0</v>
      </c>
      <c r="V233" s="2253">
        <f t="shared" si="377"/>
        <v>0</v>
      </c>
      <c r="W233" s="2182"/>
      <c r="X233" s="2177"/>
      <c r="Y233" s="2183">
        <f t="shared" si="405"/>
        <v>0</v>
      </c>
      <c r="Z233" s="2254">
        <f t="shared" si="399"/>
        <v>0</v>
      </c>
      <c r="AA233" s="2252">
        <f t="shared" si="399"/>
        <v>0</v>
      </c>
      <c r="AB233" s="2255">
        <f t="shared" si="379"/>
        <v>0</v>
      </c>
      <c r="AC233" s="2176"/>
      <c r="AD233" s="2177"/>
      <c r="AE233" s="2180">
        <f t="shared" si="396"/>
        <v>0</v>
      </c>
      <c r="AF233" s="2281"/>
      <c r="AG233" s="2114"/>
      <c r="AH233" s="2177"/>
      <c r="AI233" s="2177"/>
      <c r="AJ233" s="2186">
        <f t="shared" si="380"/>
        <v>0</v>
      </c>
      <c r="AK233" s="2177"/>
      <c r="AL233" s="2177"/>
      <c r="AM233" s="2186">
        <f t="shared" si="381"/>
        <v>0</v>
      </c>
      <c r="AN233" s="2177"/>
      <c r="AO233" s="2177"/>
      <c r="AP233" s="2186">
        <f t="shared" si="382"/>
        <v>0</v>
      </c>
      <c r="AQ233" s="2177"/>
      <c r="AR233" s="2177"/>
      <c r="AS233" s="2186">
        <f t="shared" si="383"/>
        <v>0</v>
      </c>
      <c r="AT233" s="2177"/>
      <c r="AU233" s="2177"/>
      <c r="AV233" s="2186">
        <f t="shared" si="384"/>
        <v>0</v>
      </c>
      <c r="AW233" s="2177"/>
      <c r="AX233" s="2177"/>
      <c r="AY233" s="2186">
        <f t="shared" si="385"/>
        <v>0</v>
      </c>
      <c r="AZ233" s="2177"/>
      <c r="BA233" s="2177"/>
      <c r="BB233" s="2186">
        <f t="shared" si="386"/>
        <v>0</v>
      </c>
      <c r="BC233" s="2177"/>
      <c r="BD233" s="2177"/>
      <c r="BE233" s="2186">
        <f t="shared" si="387"/>
        <v>0</v>
      </c>
      <c r="BF233" s="2177"/>
      <c r="BG233" s="2177"/>
      <c r="BH233" s="2186">
        <f t="shared" si="388"/>
        <v>0</v>
      </c>
      <c r="BI233" s="2177"/>
      <c r="BJ233" s="2177"/>
      <c r="BK233" s="2186">
        <f t="shared" si="389"/>
        <v>0</v>
      </c>
      <c r="BL233" s="2177"/>
      <c r="BM233" s="2177"/>
      <c r="BN233" s="2186">
        <f t="shared" si="390"/>
        <v>0</v>
      </c>
      <c r="BO233" s="2177"/>
      <c r="BP233" s="2177"/>
      <c r="BQ233" s="2186">
        <f t="shared" si="391"/>
        <v>0</v>
      </c>
    </row>
    <row r="234" spans="3:69" s="2087" customFormat="1" hidden="1">
      <c r="C234" s="2194" t="s">
        <v>2359</v>
      </c>
      <c r="D234" s="2283" t="s">
        <v>2227</v>
      </c>
      <c r="E234" s="2284" t="s">
        <v>240</v>
      </c>
      <c r="F234" s="2176"/>
      <c r="G234" s="2177"/>
      <c r="H234" s="2177"/>
      <c r="I234" s="2178">
        <f t="shared" si="373"/>
        <v>0</v>
      </c>
      <c r="J234" s="2176"/>
      <c r="K234" s="2252">
        <f t="shared" si="397"/>
        <v>0</v>
      </c>
      <c r="L234" s="2252">
        <f t="shared" si="397"/>
        <v>0</v>
      </c>
      <c r="M234" s="2255">
        <f t="shared" si="374"/>
        <v>0</v>
      </c>
      <c r="N234" s="2177"/>
      <c r="O234" s="2177"/>
      <c r="P234" s="2178">
        <f t="shared" si="375"/>
        <v>0</v>
      </c>
      <c r="Q234" s="2176"/>
      <c r="R234" s="2177"/>
      <c r="S234" s="2180">
        <f t="shared" si="404"/>
        <v>0</v>
      </c>
      <c r="T234" s="2251">
        <f t="shared" si="398"/>
        <v>0</v>
      </c>
      <c r="U234" s="2252">
        <f t="shared" si="398"/>
        <v>0</v>
      </c>
      <c r="V234" s="2253">
        <f t="shared" si="377"/>
        <v>0</v>
      </c>
      <c r="W234" s="2182"/>
      <c r="X234" s="2177"/>
      <c r="Y234" s="2183">
        <f t="shared" si="405"/>
        <v>0</v>
      </c>
      <c r="Z234" s="2254">
        <f t="shared" si="399"/>
        <v>0</v>
      </c>
      <c r="AA234" s="2252">
        <f t="shared" si="399"/>
        <v>0</v>
      </c>
      <c r="AB234" s="2255">
        <f t="shared" si="379"/>
        <v>0</v>
      </c>
      <c r="AC234" s="2176"/>
      <c r="AD234" s="2177"/>
      <c r="AE234" s="2180">
        <f t="shared" si="396"/>
        <v>0</v>
      </c>
      <c r="AF234" s="2281"/>
      <c r="AG234" s="2114"/>
      <c r="AH234" s="2177"/>
      <c r="AI234" s="2177"/>
      <c r="AJ234" s="2186">
        <f t="shared" si="380"/>
        <v>0</v>
      </c>
      <c r="AK234" s="2177"/>
      <c r="AL234" s="2177"/>
      <c r="AM234" s="2186">
        <f t="shared" si="381"/>
        <v>0</v>
      </c>
      <c r="AN234" s="2177"/>
      <c r="AO234" s="2177"/>
      <c r="AP234" s="2186">
        <f t="shared" si="382"/>
        <v>0</v>
      </c>
      <c r="AQ234" s="2177"/>
      <c r="AR234" s="2177"/>
      <c r="AS234" s="2186">
        <f t="shared" si="383"/>
        <v>0</v>
      </c>
      <c r="AT234" s="2177"/>
      <c r="AU234" s="2177"/>
      <c r="AV234" s="2186">
        <f t="shared" si="384"/>
        <v>0</v>
      </c>
      <c r="AW234" s="2177"/>
      <c r="AX234" s="2177"/>
      <c r="AY234" s="2186">
        <f t="shared" si="385"/>
        <v>0</v>
      </c>
      <c r="AZ234" s="2177"/>
      <c r="BA234" s="2177"/>
      <c r="BB234" s="2186">
        <f t="shared" si="386"/>
        <v>0</v>
      </c>
      <c r="BC234" s="2177"/>
      <c r="BD234" s="2177"/>
      <c r="BE234" s="2186">
        <f t="shared" si="387"/>
        <v>0</v>
      </c>
      <c r="BF234" s="2177"/>
      <c r="BG234" s="2177"/>
      <c r="BH234" s="2186">
        <f t="shared" si="388"/>
        <v>0</v>
      </c>
      <c r="BI234" s="2177"/>
      <c r="BJ234" s="2177"/>
      <c r="BK234" s="2186">
        <f t="shared" si="389"/>
        <v>0</v>
      </c>
      <c r="BL234" s="2177"/>
      <c r="BM234" s="2177"/>
      <c r="BN234" s="2186">
        <f t="shared" si="390"/>
        <v>0</v>
      </c>
      <c r="BO234" s="2177"/>
      <c r="BP234" s="2177"/>
      <c r="BQ234" s="2186">
        <f t="shared" si="391"/>
        <v>0</v>
      </c>
    </row>
    <row r="235" spans="3:69" s="2087" customFormat="1" hidden="1">
      <c r="C235" s="2194" t="s">
        <v>2360</v>
      </c>
      <c r="D235" s="2283" t="s">
        <v>2229</v>
      </c>
      <c r="E235" s="2284" t="s">
        <v>240</v>
      </c>
      <c r="F235" s="2176"/>
      <c r="G235" s="2177"/>
      <c r="H235" s="2177"/>
      <c r="I235" s="2178">
        <f t="shared" si="373"/>
        <v>0</v>
      </c>
      <c r="J235" s="2176"/>
      <c r="K235" s="2252">
        <f t="shared" si="397"/>
        <v>0</v>
      </c>
      <c r="L235" s="2252">
        <f t="shared" si="397"/>
        <v>0</v>
      </c>
      <c r="M235" s="2255">
        <f t="shared" si="374"/>
        <v>0</v>
      </c>
      <c r="N235" s="2177"/>
      <c r="O235" s="2177"/>
      <c r="P235" s="2178">
        <f t="shared" si="375"/>
        <v>0</v>
      </c>
      <c r="Q235" s="2176"/>
      <c r="R235" s="2177"/>
      <c r="S235" s="2266"/>
      <c r="T235" s="2251">
        <f t="shared" si="398"/>
        <v>0</v>
      </c>
      <c r="U235" s="2252">
        <f t="shared" si="398"/>
        <v>0</v>
      </c>
      <c r="V235" s="2253">
        <f t="shared" si="377"/>
        <v>0</v>
      </c>
      <c r="W235" s="2182"/>
      <c r="X235" s="2177"/>
      <c r="Y235" s="2271"/>
      <c r="Z235" s="2254">
        <f t="shared" si="399"/>
        <v>0</v>
      </c>
      <c r="AA235" s="2252">
        <f t="shared" si="399"/>
        <v>0</v>
      </c>
      <c r="AB235" s="2255">
        <f t="shared" si="379"/>
        <v>0</v>
      </c>
      <c r="AC235" s="2176"/>
      <c r="AD235" s="2177"/>
      <c r="AE235" s="2180">
        <f t="shared" si="396"/>
        <v>0</v>
      </c>
      <c r="AF235" s="2281"/>
      <c r="AG235" s="2114"/>
      <c r="AH235" s="2177"/>
      <c r="AI235" s="2177"/>
      <c r="AJ235" s="2186">
        <f t="shared" si="380"/>
        <v>0</v>
      </c>
      <c r="AK235" s="2177"/>
      <c r="AL235" s="2177"/>
      <c r="AM235" s="2186">
        <f t="shared" si="381"/>
        <v>0</v>
      </c>
      <c r="AN235" s="2177"/>
      <c r="AO235" s="2177"/>
      <c r="AP235" s="2186">
        <f t="shared" si="382"/>
        <v>0</v>
      </c>
      <c r="AQ235" s="2177"/>
      <c r="AR235" s="2177"/>
      <c r="AS235" s="2186">
        <f t="shared" si="383"/>
        <v>0</v>
      </c>
      <c r="AT235" s="2177"/>
      <c r="AU235" s="2177"/>
      <c r="AV235" s="2186">
        <f t="shared" si="384"/>
        <v>0</v>
      </c>
      <c r="AW235" s="2177"/>
      <c r="AX235" s="2177"/>
      <c r="AY235" s="2186">
        <f t="shared" si="385"/>
        <v>0</v>
      </c>
      <c r="AZ235" s="2177"/>
      <c r="BA235" s="2177"/>
      <c r="BB235" s="2186">
        <f t="shared" si="386"/>
        <v>0</v>
      </c>
      <c r="BC235" s="2177"/>
      <c r="BD235" s="2177"/>
      <c r="BE235" s="2186">
        <f t="shared" si="387"/>
        <v>0</v>
      </c>
      <c r="BF235" s="2177"/>
      <c r="BG235" s="2177"/>
      <c r="BH235" s="2186">
        <f t="shared" si="388"/>
        <v>0</v>
      </c>
      <c r="BI235" s="2177"/>
      <c r="BJ235" s="2177"/>
      <c r="BK235" s="2186">
        <f t="shared" si="389"/>
        <v>0</v>
      </c>
      <c r="BL235" s="2177"/>
      <c r="BM235" s="2177"/>
      <c r="BN235" s="2186">
        <f t="shared" si="390"/>
        <v>0</v>
      </c>
      <c r="BO235" s="2177"/>
      <c r="BP235" s="2177"/>
      <c r="BQ235" s="2186">
        <f t="shared" si="391"/>
        <v>0</v>
      </c>
    </row>
    <row r="236" spans="3:69" s="2159" customFormat="1" hidden="1">
      <c r="C236" s="2256" t="s">
        <v>2361</v>
      </c>
      <c r="D236" s="2280" t="s">
        <v>2098</v>
      </c>
      <c r="E236" s="2120" t="s">
        <v>240</v>
      </c>
      <c r="F236" s="2162"/>
      <c r="G236" s="2163">
        <f>G245+G251+G257+G263</f>
        <v>0</v>
      </c>
      <c r="H236" s="2163">
        <f>H245+H251+H257+H263</f>
        <v>0</v>
      </c>
      <c r="I236" s="2164">
        <f t="shared" si="373"/>
        <v>0</v>
      </c>
      <c r="J236" s="2162"/>
      <c r="K236" s="2259">
        <f t="shared" ref="K236:L237" si="406">N236+Q236+W236+AC236</f>
        <v>0</v>
      </c>
      <c r="L236" s="2259">
        <f t="shared" si="406"/>
        <v>0</v>
      </c>
      <c r="M236" s="2262">
        <f t="shared" si="374"/>
        <v>0</v>
      </c>
      <c r="N236" s="2163">
        <f>N245+N251+N257+N263</f>
        <v>0</v>
      </c>
      <c r="O236" s="2163">
        <f>O245+O251+O257+O263</f>
        <v>0</v>
      </c>
      <c r="P236" s="2164">
        <f t="shared" si="375"/>
        <v>0</v>
      </c>
      <c r="Q236" s="2165">
        <f>Q245+Q251+Q257+Q263</f>
        <v>0</v>
      </c>
      <c r="R236" s="2163">
        <f>R245+R251+R257+R263</f>
        <v>0</v>
      </c>
      <c r="S236" s="2166">
        <f t="shared" ref="S236:S237" si="407">R236-Q236</f>
        <v>0</v>
      </c>
      <c r="T236" s="2258">
        <f t="shared" ref="T236:U237" si="408">N236+Q236</f>
        <v>0</v>
      </c>
      <c r="U236" s="2259">
        <f t="shared" si="408"/>
        <v>0</v>
      </c>
      <c r="V236" s="2260">
        <f t="shared" si="377"/>
        <v>0</v>
      </c>
      <c r="W236" s="2168">
        <f>W245+W251+W257+W263</f>
        <v>0</v>
      </c>
      <c r="X236" s="2163">
        <f>X245+X251+X257+X263</f>
        <v>0</v>
      </c>
      <c r="Y236" s="2169">
        <f t="shared" ref="Y236:Y237" si="409">X236-W236</f>
        <v>0</v>
      </c>
      <c r="Z236" s="2261">
        <f t="shared" ref="Z236:AA237" si="410">T236+W236</f>
        <v>0</v>
      </c>
      <c r="AA236" s="2259">
        <f t="shared" si="410"/>
        <v>0</v>
      </c>
      <c r="AB236" s="2262">
        <f t="shared" si="379"/>
        <v>0</v>
      </c>
      <c r="AC236" s="2165">
        <f>AC245+AC251+AC257+AC263</f>
        <v>0</v>
      </c>
      <c r="AD236" s="2163">
        <f>AD245+AD251+AD257+AD263</f>
        <v>0</v>
      </c>
      <c r="AE236" s="2166">
        <f t="shared" si="396"/>
        <v>0</v>
      </c>
      <c r="AF236" s="2281"/>
      <c r="AG236" s="2158"/>
      <c r="AH236" s="2171">
        <f>AH245+AH251+AH257+AH263</f>
        <v>0</v>
      </c>
      <c r="AI236" s="2171">
        <f>AI245+AI251+AI257+AI263</f>
        <v>0</v>
      </c>
      <c r="AJ236" s="2172">
        <f t="shared" si="380"/>
        <v>0</v>
      </c>
      <c r="AK236" s="2171">
        <f>AK245+AK251+AK257+AK263</f>
        <v>0</v>
      </c>
      <c r="AL236" s="2171">
        <f>AL245+AL251+AL257+AL263</f>
        <v>0</v>
      </c>
      <c r="AM236" s="2172">
        <f t="shared" si="381"/>
        <v>0</v>
      </c>
      <c r="AN236" s="2171">
        <f>AN245+AN251+AN257+AN263</f>
        <v>0</v>
      </c>
      <c r="AO236" s="2171">
        <f>AO245+AO251+AO257+AO263</f>
        <v>0</v>
      </c>
      <c r="AP236" s="2172">
        <f t="shared" si="382"/>
        <v>0</v>
      </c>
      <c r="AQ236" s="2171">
        <f>AQ245+AQ251+AQ257+AQ263</f>
        <v>0</v>
      </c>
      <c r="AR236" s="2171">
        <f>AR245+AR251+AR257+AR263</f>
        <v>0</v>
      </c>
      <c r="AS236" s="2172">
        <f t="shared" si="383"/>
        <v>0</v>
      </c>
      <c r="AT236" s="2171">
        <f>AT245+AT251+AT257+AT263</f>
        <v>0</v>
      </c>
      <c r="AU236" s="2171">
        <f>AU245+AU251+AU257+AU263</f>
        <v>0</v>
      </c>
      <c r="AV236" s="2172">
        <f t="shared" si="384"/>
        <v>0</v>
      </c>
      <c r="AW236" s="2171">
        <f>AW245+AW251+AW257+AW263</f>
        <v>0</v>
      </c>
      <c r="AX236" s="2171">
        <f>AX245+AX251+AX257+AX263</f>
        <v>0</v>
      </c>
      <c r="AY236" s="2172">
        <f t="shared" si="385"/>
        <v>0</v>
      </c>
      <c r="AZ236" s="2171">
        <f>AZ245+AZ251+AZ257+AZ263</f>
        <v>0</v>
      </c>
      <c r="BA236" s="2171">
        <f>BA245+BA251+BA257+BA263</f>
        <v>0</v>
      </c>
      <c r="BB236" s="2172">
        <f t="shared" si="386"/>
        <v>0</v>
      </c>
      <c r="BC236" s="2171">
        <f>BC245+BC251+BC257+BC263</f>
        <v>0</v>
      </c>
      <c r="BD236" s="2171">
        <f>BD245+BD251+BD257+BD263</f>
        <v>0</v>
      </c>
      <c r="BE236" s="2172">
        <f t="shared" si="387"/>
        <v>0</v>
      </c>
      <c r="BF236" s="2171">
        <f>BF245+BF251+BF257+BF263</f>
        <v>0</v>
      </c>
      <c r="BG236" s="2171">
        <f>BG245+BG251+BG257+BG263</f>
        <v>0</v>
      </c>
      <c r="BH236" s="2172">
        <f t="shared" si="388"/>
        <v>0</v>
      </c>
      <c r="BI236" s="2171">
        <f>BI245+BI251+BI257+BI263</f>
        <v>0</v>
      </c>
      <c r="BJ236" s="2171">
        <f>BJ245+BJ251+BJ257+BJ263</f>
        <v>0</v>
      </c>
      <c r="BK236" s="2172">
        <f t="shared" si="389"/>
        <v>0</v>
      </c>
      <c r="BL236" s="2171">
        <f>BL245+BL251+BL257+BL263</f>
        <v>0</v>
      </c>
      <c r="BM236" s="2171">
        <f>BM245+BM251+BM257+BM263</f>
        <v>0</v>
      </c>
      <c r="BN236" s="2172">
        <f t="shared" si="390"/>
        <v>0</v>
      </c>
      <c r="BO236" s="2171">
        <f>BO245+BO251+BO257+BO263</f>
        <v>0</v>
      </c>
      <c r="BP236" s="2171">
        <f>BP245+BP251+BP257+BP263</f>
        <v>0</v>
      </c>
      <c r="BQ236" s="2172">
        <f t="shared" si="391"/>
        <v>0</v>
      </c>
    </row>
    <row r="237" spans="3:69" s="2087" customFormat="1" hidden="1">
      <c r="C237" s="2285" t="s">
        <v>2362</v>
      </c>
      <c r="D237" s="2289" t="s">
        <v>2211</v>
      </c>
      <c r="E237" s="2290" t="s">
        <v>240</v>
      </c>
      <c r="F237" s="2176"/>
      <c r="G237" s="2177"/>
      <c r="H237" s="2177"/>
      <c r="I237" s="2178">
        <f t="shared" si="373"/>
        <v>0</v>
      </c>
      <c r="J237" s="2176"/>
      <c r="K237" s="2252">
        <f t="shared" si="406"/>
        <v>0</v>
      </c>
      <c r="L237" s="2252">
        <f t="shared" si="406"/>
        <v>0</v>
      </c>
      <c r="M237" s="2255">
        <f t="shared" si="374"/>
        <v>0</v>
      </c>
      <c r="N237" s="2177"/>
      <c r="O237" s="2177"/>
      <c r="P237" s="2178">
        <f t="shared" si="375"/>
        <v>0</v>
      </c>
      <c r="Q237" s="2176"/>
      <c r="R237" s="2177"/>
      <c r="S237" s="2180">
        <f t="shared" si="407"/>
        <v>0</v>
      </c>
      <c r="T237" s="2251">
        <f t="shared" si="408"/>
        <v>0</v>
      </c>
      <c r="U237" s="2252">
        <f t="shared" si="408"/>
        <v>0</v>
      </c>
      <c r="V237" s="2253">
        <f t="shared" si="377"/>
        <v>0</v>
      </c>
      <c r="W237" s="2182"/>
      <c r="X237" s="2177"/>
      <c r="Y237" s="2183">
        <f t="shared" si="409"/>
        <v>0</v>
      </c>
      <c r="Z237" s="2254">
        <f t="shared" si="410"/>
        <v>0</v>
      </c>
      <c r="AA237" s="2252">
        <f t="shared" si="410"/>
        <v>0</v>
      </c>
      <c r="AB237" s="2255">
        <f t="shared" si="379"/>
        <v>0</v>
      </c>
      <c r="AC237" s="2176"/>
      <c r="AD237" s="2177"/>
      <c r="AE237" s="2180">
        <f t="shared" si="396"/>
        <v>0</v>
      </c>
      <c r="AF237" s="2281"/>
      <c r="AG237" s="2114"/>
      <c r="AH237" s="2177"/>
      <c r="AI237" s="2177"/>
      <c r="AJ237" s="2186">
        <f t="shared" si="380"/>
        <v>0</v>
      </c>
      <c r="AK237" s="2177"/>
      <c r="AL237" s="2177"/>
      <c r="AM237" s="2186">
        <f t="shared" si="381"/>
        <v>0</v>
      </c>
      <c r="AN237" s="2177"/>
      <c r="AO237" s="2177"/>
      <c r="AP237" s="2186">
        <f t="shared" si="382"/>
        <v>0</v>
      </c>
      <c r="AQ237" s="2177"/>
      <c r="AR237" s="2177"/>
      <c r="AS237" s="2186">
        <f t="shared" si="383"/>
        <v>0</v>
      </c>
      <c r="AT237" s="2177"/>
      <c r="AU237" s="2177"/>
      <c r="AV237" s="2186">
        <f t="shared" si="384"/>
        <v>0</v>
      </c>
      <c r="AW237" s="2177"/>
      <c r="AX237" s="2177"/>
      <c r="AY237" s="2186">
        <f t="shared" si="385"/>
        <v>0</v>
      </c>
      <c r="AZ237" s="2177"/>
      <c r="BA237" s="2177"/>
      <c r="BB237" s="2186">
        <f t="shared" si="386"/>
        <v>0</v>
      </c>
      <c r="BC237" s="2177"/>
      <c r="BD237" s="2177"/>
      <c r="BE237" s="2186">
        <f t="shared" si="387"/>
        <v>0</v>
      </c>
      <c r="BF237" s="2177"/>
      <c r="BG237" s="2177"/>
      <c r="BH237" s="2186">
        <f t="shared" si="388"/>
        <v>0</v>
      </c>
      <c r="BI237" s="2177"/>
      <c r="BJ237" s="2177"/>
      <c r="BK237" s="2186">
        <f t="shared" si="389"/>
        <v>0</v>
      </c>
      <c r="BL237" s="2177"/>
      <c r="BM237" s="2177"/>
      <c r="BN237" s="2186">
        <f t="shared" si="390"/>
        <v>0</v>
      </c>
      <c r="BO237" s="2177"/>
      <c r="BP237" s="2177"/>
      <c r="BQ237" s="2186">
        <f t="shared" si="391"/>
        <v>0</v>
      </c>
    </row>
    <row r="238" spans="3:69" s="2087" customFormat="1" hidden="1">
      <c r="C238" s="2285" t="s">
        <v>2363</v>
      </c>
      <c r="D238" s="2287" t="s">
        <v>2217</v>
      </c>
      <c r="E238" s="2291"/>
      <c r="F238" s="2265"/>
      <c r="G238" s="2188"/>
      <c r="H238" s="2188"/>
      <c r="I238" s="2186"/>
      <c r="J238" s="2265"/>
      <c r="K238" s="2268"/>
      <c r="L238" s="2268"/>
      <c r="M238" s="2273"/>
      <c r="N238" s="2188"/>
      <c r="O238" s="2188"/>
      <c r="P238" s="2186"/>
      <c r="Q238" s="2265"/>
      <c r="R238" s="2188"/>
      <c r="S238" s="2266"/>
      <c r="T238" s="2267"/>
      <c r="U238" s="2268"/>
      <c r="V238" s="2269"/>
      <c r="W238" s="2270"/>
      <c r="X238" s="2188"/>
      <c r="Y238" s="2271"/>
      <c r="Z238" s="2272"/>
      <c r="AA238" s="2268"/>
      <c r="AB238" s="2273"/>
      <c r="AC238" s="2265"/>
      <c r="AD238" s="2188"/>
      <c r="AE238" s="2266"/>
      <c r="AF238" s="2277"/>
      <c r="AG238" s="2114"/>
      <c r="AH238" s="2188"/>
      <c r="AI238" s="2188"/>
      <c r="AJ238" s="2186"/>
      <c r="AK238" s="2188"/>
      <c r="AL238" s="2188"/>
      <c r="AM238" s="2186"/>
      <c r="AN238" s="2188"/>
      <c r="AO238" s="2188"/>
      <c r="AP238" s="2186"/>
      <c r="AQ238" s="2188"/>
      <c r="AR238" s="2188"/>
      <c r="AS238" s="2186"/>
      <c r="AT238" s="2188"/>
      <c r="AU238" s="2188"/>
      <c r="AV238" s="2186"/>
      <c r="AW238" s="2188"/>
      <c r="AX238" s="2188"/>
      <c r="AY238" s="2186"/>
      <c r="AZ238" s="2188"/>
      <c r="BA238" s="2188"/>
      <c r="BB238" s="2186"/>
      <c r="BC238" s="2188"/>
      <c r="BD238" s="2188"/>
      <c r="BE238" s="2186"/>
      <c r="BF238" s="2188"/>
      <c r="BG238" s="2188"/>
      <c r="BH238" s="2186"/>
      <c r="BI238" s="2188"/>
      <c r="BJ238" s="2188"/>
      <c r="BK238" s="2186"/>
      <c r="BL238" s="2188"/>
      <c r="BM238" s="2188"/>
      <c r="BN238" s="2186"/>
      <c r="BO238" s="2188"/>
      <c r="BP238" s="2188"/>
      <c r="BQ238" s="2186"/>
    </row>
    <row r="239" spans="3:69" s="2087" customFormat="1" hidden="1">
      <c r="C239" s="2285" t="s">
        <v>2364</v>
      </c>
      <c r="D239" s="2286" t="s">
        <v>2219</v>
      </c>
      <c r="E239" s="2284" t="s">
        <v>420</v>
      </c>
      <c r="F239" s="2176"/>
      <c r="G239" s="2252">
        <f>G240+G241+G242+G243+G244</f>
        <v>0</v>
      </c>
      <c r="H239" s="2252">
        <f>H240+H241+H242+H243+H244</f>
        <v>0</v>
      </c>
      <c r="I239" s="2178">
        <f t="shared" ref="I239:I270" si="411">H239-G239</f>
        <v>0</v>
      </c>
      <c r="J239" s="2176"/>
      <c r="K239" s="2179">
        <f>(N239+Q239+W239+AC239)/4</f>
        <v>0</v>
      </c>
      <c r="L239" s="2179">
        <f>(O239+R239+X239+AD239)/4</f>
        <v>0</v>
      </c>
      <c r="M239" s="2178">
        <f t="shared" ref="M239:M270" si="412">L239-K239</f>
        <v>0</v>
      </c>
      <c r="N239" s="2179">
        <f>N240+N241+N242+N243+N244</f>
        <v>0</v>
      </c>
      <c r="O239" s="2179">
        <f>O240+O241+O242+O243+O244</f>
        <v>0</v>
      </c>
      <c r="P239" s="2178">
        <f t="shared" ref="P239:P270" si="413">O239-N239</f>
        <v>0</v>
      </c>
      <c r="Q239" s="2179">
        <f>Q240+Q241+Q242+Q243+Q244</f>
        <v>0</v>
      </c>
      <c r="R239" s="2179">
        <f>R240+R241+R242+R243+R244</f>
        <v>0</v>
      </c>
      <c r="S239" s="2180">
        <f t="shared" ref="S239:S249" si="414">R239-Q239</f>
        <v>0</v>
      </c>
      <c r="T239" s="2181">
        <f>(N239+Q239)/2</f>
        <v>0</v>
      </c>
      <c r="U239" s="2179">
        <f>(O239+R239)/2</f>
        <v>0</v>
      </c>
      <c r="V239" s="2180">
        <f t="shared" ref="V239:V270" si="415">U239-T239</f>
        <v>0</v>
      </c>
      <c r="W239" s="2187">
        <f>W240+W241+W242+W243+W244</f>
        <v>0</v>
      </c>
      <c r="X239" s="2179">
        <f>X240+X241+X242+X243+X244</f>
        <v>0</v>
      </c>
      <c r="Y239" s="2183">
        <f t="shared" ref="Y239:Y249" si="416">X239-W239</f>
        <v>0</v>
      </c>
      <c r="Z239" s="2184">
        <f>(N239+Q239+W239)/3</f>
        <v>0</v>
      </c>
      <c r="AA239" s="2179">
        <f>(O239+R239+X239)/3</f>
        <v>0</v>
      </c>
      <c r="AB239" s="2178">
        <f t="shared" ref="AB239:AB270" si="417">AA239-Z239</f>
        <v>0</v>
      </c>
      <c r="AC239" s="2179">
        <f>AC240+AC241+AC242+AC243+AC244</f>
        <v>0</v>
      </c>
      <c r="AD239" s="2179">
        <f>AD240+AD241+AD242+AD243+AD244</f>
        <v>0</v>
      </c>
      <c r="AE239" s="2180">
        <f t="shared" ref="AE239" si="418">AD239-AC239</f>
        <v>0</v>
      </c>
      <c r="AF239" s="2281"/>
      <c r="AG239" s="2114"/>
      <c r="AH239" s="2188">
        <f>AH240+AH241+AH242+AH243+AH244</f>
        <v>0</v>
      </c>
      <c r="AI239" s="2188">
        <f>AI240+AI241+AI242+AI243+AI244</f>
        <v>0</v>
      </c>
      <c r="AJ239" s="2186">
        <f t="shared" ref="AJ239:AJ270" si="419">AI239-AH239</f>
        <v>0</v>
      </c>
      <c r="AK239" s="2188">
        <f>AK240+AK241+AK242+AK243+AK244</f>
        <v>0</v>
      </c>
      <c r="AL239" s="2188">
        <f>AL240+AL241+AL242+AL243+AL244</f>
        <v>0</v>
      </c>
      <c r="AM239" s="2186">
        <f t="shared" ref="AM239:AM270" si="420">AL239-AK239</f>
        <v>0</v>
      </c>
      <c r="AN239" s="2188">
        <f>AN240+AN241+AN242+AN243+AN244</f>
        <v>0</v>
      </c>
      <c r="AO239" s="2188">
        <f>AO240+AO241+AO242+AO243+AO244</f>
        <v>0</v>
      </c>
      <c r="AP239" s="2186">
        <f t="shared" ref="AP239:AP270" si="421">AO239-AN239</f>
        <v>0</v>
      </c>
      <c r="AQ239" s="2188">
        <f>AQ240+AQ241+AQ242+AQ243+AQ244</f>
        <v>0</v>
      </c>
      <c r="AR239" s="2188">
        <f>AR240+AR241+AR242+AR243+AR244</f>
        <v>0</v>
      </c>
      <c r="AS239" s="2186">
        <f t="shared" ref="AS239:AS270" si="422">AR239-AQ239</f>
        <v>0</v>
      </c>
      <c r="AT239" s="2188">
        <f>AT240+AT241+AT242+AT243+AT244</f>
        <v>0</v>
      </c>
      <c r="AU239" s="2188">
        <f>AU240+AU241+AU242+AU243+AU244</f>
        <v>0</v>
      </c>
      <c r="AV239" s="2186">
        <f t="shared" ref="AV239:AV270" si="423">AU239-AT239</f>
        <v>0</v>
      </c>
      <c r="AW239" s="2188">
        <f>AW240+AW241+AW242+AW243+AW244</f>
        <v>0</v>
      </c>
      <c r="AX239" s="2188">
        <f>AX240+AX241+AX242+AX243+AX244</f>
        <v>0</v>
      </c>
      <c r="AY239" s="2186">
        <f t="shared" ref="AY239:AY270" si="424">AX239-AW239</f>
        <v>0</v>
      </c>
      <c r="AZ239" s="2188">
        <f>AZ240+AZ241+AZ242+AZ243+AZ244</f>
        <v>0</v>
      </c>
      <c r="BA239" s="2188">
        <f>BA240+BA241+BA242+BA243+BA244</f>
        <v>0</v>
      </c>
      <c r="BB239" s="2186">
        <f t="shared" ref="BB239:BB270" si="425">BA239-AZ239</f>
        <v>0</v>
      </c>
      <c r="BC239" s="2188">
        <f>BC240+BC241+BC242+BC243+BC244</f>
        <v>0</v>
      </c>
      <c r="BD239" s="2188">
        <f>BD240+BD241+BD242+BD243+BD244</f>
        <v>0</v>
      </c>
      <c r="BE239" s="2186">
        <f t="shared" ref="BE239:BE270" si="426">BD239-BC239</f>
        <v>0</v>
      </c>
      <c r="BF239" s="2188">
        <f>BF240+BF241+BF242+BF243+BF244</f>
        <v>0</v>
      </c>
      <c r="BG239" s="2188">
        <f>BG240+BG241+BG242+BG243+BG244</f>
        <v>0</v>
      </c>
      <c r="BH239" s="2186">
        <f t="shared" ref="BH239:BH270" si="427">BG239-BF239</f>
        <v>0</v>
      </c>
      <c r="BI239" s="2188">
        <f>BI240+BI241+BI242+BI243+BI244</f>
        <v>0</v>
      </c>
      <c r="BJ239" s="2188">
        <f>BJ240+BJ241+BJ242+BJ243+BJ244</f>
        <v>0</v>
      </c>
      <c r="BK239" s="2186">
        <f t="shared" ref="BK239:BK270" si="428">BJ239-BI239</f>
        <v>0</v>
      </c>
      <c r="BL239" s="2188">
        <f>BL240+BL241+BL242+BL243+BL244</f>
        <v>0</v>
      </c>
      <c r="BM239" s="2188">
        <f>BM240+BM241+BM242+BM243+BM244</f>
        <v>0</v>
      </c>
      <c r="BN239" s="2186">
        <f t="shared" ref="BN239:BN270" si="429">BM239-BL239</f>
        <v>0</v>
      </c>
      <c r="BO239" s="2188">
        <f>BO240+BO241+BO242+BO243+BO244</f>
        <v>0</v>
      </c>
      <c r="BP239" s="2188">
        <f>BP240+BP241+BP242+BP243+BP244</f>
        <v>0</v>
      </c>
      <c r="BQ239" s="2186">
        <f t="shared" ref="BQ239:BQ270" si="430">BP239-BO239</f>
        <v>0</v>
      </c>
    </row>
    <row r="240" spans="3:69" s="2087" customFormat="1" hidden="1">
      <c r="C240" s="2194" t="s">
        <v>2365</v>
      </c>
      <c r="D240" s="2283" t="s">
        <v>2221</v>
      </c>
      <c r="E240" s="2284" t="s">
        <v>420</v>
      </c>
      <c r="F240" s="2176"/>
      <c r="G240" s="2177"/>
      <c r="H240" s="2177"/>
      <c r="I240" s="2178">
        <f t="shared" si="411"/>
        <v>0</v>
      </c>
      <c r="J240" s="2176"/>
      <c r="K240" s="2252">
        <f t="shared" ref="K240:L244" si="431">(N240+Q240+W240+AC240)/4</f>
        <v>0</v>
      </c>
      <c r="L240" s="2252">
        <f t="shared" si="431"/>
        <v>0</v>
      </c>
      <c r="M240" s="2255">
        <f t="shared" si="412"/>
        <v>0</v>
      </c>
      <c r="N240" s="2177"/>
      <c r="O240" s="2177"/>
      <c r="P240" s="2178">
        <f t="shared" si="413"/>
        <v>0</v>
      </c>
      <c r="Q240" s="2176"/>
      <c r="R240" s="2177"/>
      <c r="S240" s="2180">
        <f t="shared" si="414"/>
        <v>0</v>
      </c>
      <c r="T240" s="2251">
        <f>(N240+Q240)/2</f>
        <v>0</v>
      </c>
      <c r="U240" s="2252">
        <f t="shared" ref="U240:U244" si="432">(O240+R240)/2</f>
        <v>0</v>
      </c>
      <c r="V240" s="2253">
        <f t="shared" si="415"/>
        <v>0</v>
      </c>
      <c r="W240" s="2182"/>
      <c r="X240" s="2177"/>
      <c r="Y240" s="2183">
        <f t="shared" si="416"/>
        <v>0</v>
      </c>
      <c r="Z240" s="2254">
        <f t="shared" ref="Z240:AA244" si="433">(N240+Q240+W240)/3</f>
        <v>0</v>
      </c>
      <c r="AA240" s="2252">
        <f t="shared" si="433"/>
        <v>0</v>
      </c>
      <c r="AB240" s="2255">
        <f t="shared" si="417"/>
        <v>0</v>
      </c>
      <c r="AC240" s="2176"/>
      <c r="AD240" s="2177"/>
      <c r="AE240" s="2180">
        <f>AD240-AC240</f>
        <v>0</v>
      </c>
      <c r="AF240" s="2281"/>
      <c r="AG240" s="2114"/>
      <c r="AH240" s="2177"/>
      <c r="AI240" s="2177"/>
      <c r="AJ240" s="2186">
        <f t="shared" si="419"/>
        <v>0</v>
      </c>
      <c r="AK240" s="2177"/>
      <c r="AL240" s="2177"/>
      <c r="AM240" s="2186">
        <f t="shared" si="420"/>
        <v>0</v>
      </c>
      <c r="AN240" s="2177"/>
      <c r="AO240" s="2177"/>
      <c r="AP240" s="2186">
        <f t="shared" si="421"/>
        <v>0</v>
      </c>
      <c r="AQ240" s="2177"/>
      <c r="AR240" s="2177"/>
      <c r="AS240" s="2186">
        <f t="shared" si="422"/>
        <v>0</v>
      </c>
      <c r="AT240" s="2177"/>
      <c r="AU240" s="2177"/>
      <c r="AV240" s="2186">
        <f t="shared" si="423"/>
        <v>0</v>
      </c>
      <c r="AW240" s="2177"/>
      <c r="AX240" s="2177"/>
      <c r="AY240" s="2186">
        <f t="shared" si="424"/>
        <v>0</v>
      </c>
      <c r="AZ240" s="2177"/>
      <c r="BA240" s="2177"/>
      <c r="BB240" s="2186">
        <f t="shared" si="425"/>
        <v>0</v>
      </c>
      <c r="BC240" s="2177"/>
      <c r="BD240" s="2177"/>
      <c r="BE240" s="2186">
        <f t="shared" si="426"/>
        <v>0</v>
      </c>
      <c r="BF240" s="2177"/>
      <c r="BG240" s="2177"/>
      <c r="BH240" s="2186">
        <f t="shared" si="427"/>
        <v>0</v>
      </c>
      <c r="BI240" s="2177"/>
      <c r="BJ240" s="2177"/>
      <c r="BK240" s="2186">
        <f t="shared" si="428"/>
        <v>0</v>
      </c>
      <c r="BL240" s="2177"/>
      <c r="BM240" s="2177"/>
      <c r="BN240" s="2186">
        <f t="shared" si="429"/>
        <v>0</v>
      </c>
      <c r="BO240" s="2177"/>
      <c r="BP240" s="2177"/>
      <c r="BQ240" s="2186">
        <f t="shared" si="430"/>
        <v>0</v>
      </c>
    </row>
    <row r="241" spans="3:69" s="2087" customFormat="1" hidden="1">
      <c r="C241" s="2194" t="s">
        <v>2366</v>
      </c>
      <c r="D241" s="2283" t="s">
        <v>2223</v>
      </c>
      <c r="E241" s="2284" t="s">
        <v>420</v>
      </c>
      <c r="F241" s="2176"/>
      <c r="G241" s="2177"/>
      <c r="H241" s="2177"/>
      <c r="I241" s="2178">
        <f t="shared" si="411"/>
        <v>0</v>
      </c>
      <c r="J241" s="2176"/>
      <c r="K241" s="2252">
        <f t="shared" si="431"/>
        <v>0</v>
      </c>
      <c r="L241" s="2252">
        <f t="shared" si="431"/>
        <v>0</v>
      </c>
      <c r="M241" s="2255">
        <f t="shared" si="412"/>
        <v>0</v>
      </c>
      <c r="N241" s="2177"/>
      <c r="O241" s="2177"/>
      <c r="P241" s="2178">
        <f t="shared" si="413"/>
        <v>0</v>
      </c>
      <c r="Q241" s="2176"/>
      <c r="R241" s="2177"/>
      <c r="S241" s="2180">
        <f t="shared" si="414"/>
        <v>0</v>
      </c>
      <c r="T241" s="2251">
        <f t="shared" ref="T241:T242" si="434">(N241+Q241)/2</f>
        <v>0</v>
      </c>
      <c r="U241" s="2252">
        <f t="shared" si="432"/>
        <v>0</v>
      </c>
      <c r="V241" s="2253">
        <f t="shared" si="415"/>
        <v>0</v>
      </c>
      <c r="W241" s="2182"/>
      <c r="X241" s="2177"/>
      <c r="Y241" s="2183">
        <f t="shared" si="416"/>
        <v>0</v>
      </c>
      <c r="Z241" s="2254">
        <f t="shared" si="433"/>
        <v>0</v>
      </c>
      <c r="AA241" s="2252">
        <f t="shared" si="433"/>
        <v>0</v>
      </c>
      <c r="AB241" s="2255">
        <f t="shared" si="417"/>
        <v>0</v>
      </c>
      <c r="AC241" s="2176"/>
      <c r="AD241" s="2177"/>
      <c r="AE241" s="2180">
        <f t="shared" ref="AE241:AE270" si="435">AD241-AC241</f>
        <v>0</v>
      </c>
      <c r="AF241" s="2281"/>
      <c r="AG241" s="2114"/>
      <c r="AH241" s="2177"/>
      <c r="AI241" s="2177"/>
      <c r="AJ241" s="2186">
        <f t="shared" si="419"/>
        <v>0</v>
      </c>
      <c r="AK241" s="2177"/>
      <c r="AL241" s="2177"/>
      <c r="AM241" s="2186">
        <f t="shared" si="420"/>
        <v>0</v>
      </c>
      <c r="AN241" s="2177"/>
      <c r="AO241" s="2177"/>
      <c r="AP241" s="2186">
        <f t="shared" si="421"/>
        <v>0</v>
      </c>
      <c r="AQ241" s="2177"/>
      <c r="AR241" s="2177"/>
      <c r="AS241" s="2186">
        <f t="shared" si="422"/>
        <v>0</v>
      </c>
      <c r="AT241" s="2177"/>
      <c r="AU241" s="2177"/>
      <c r="AV241" s="2186">
        <f t="shared" si="423"/>
        <v>0</v>
      </c>
      <c r="AW241" s="2177"/>
      <c r="AX241" s="2177"/>
      <c r="AY241" s="2186">
        <f t="shared" si="424"/>
        <v>0</v>
      </c>
      <c r="AZ241" s="2177"/>
      <c r="BA241" s="2177"/>
      <c r="BB241" s="2186">
        <f t="shared" si="425"/>
        <v>0</v>
      </c>
      <c r="BC241" s="2177"/>
      <c r="BD241" s="2177"/>
      <c r="BE241" s="2186">
        <f t="shared" si="426"/>
        <v>0</v>
      </c>
      <c r="BF241" s="2177"/>
      <c r="BG241" s="2177"/>
      <c r="BH241" s="2186">
        <f t="shared" si="427"/>
        <v>0</v>
      </c>
      <c r="BI241" s="2177"/>
      <c r="BJ241" s="2177"/>
      <c r="BK241" s="2186">
        <f t="shared" si="428"/>
        <v>0</v>
      </c>
      <c r="BL241" s="2177"/>
      <c r="BM241" s="2177"/>
      <c r="BN241" s="2186">
        <f t="shared" si="429"/>
        <v>0</v>
      </c>
      <c r="BO241" s="2177"/>
      <c r="BP241" s="2177"/>
      <c r="BQ241" s="2186">
        <f t="shared" si="430"/>
        <v>0</v>
      </c>
    </row>
    <row r="242" spans="3:69" s="2087" customFormat="1" hidden="1">
      <c r="C242" s="2194" t="s">
        <v>2367</v>
      </c>
      <c r="D242" s="2283" t="s">
        <v>2225</v>
      </c>
      <c r="E242" s="2284" t="s">
        <v>420</v>
      </c>
      <c r="F242" s="2176"/>
      <c r="G242" s="2177"/>
      <c r="H242" s="2177"/>
      <c r="I242" s="2178">
        <f t="shared" si="411"/>
        <v>0</v>
      </c>
      <c r="J242" s="2176"/>
      <c r="K242" s="2252">
        <f t="shared" si="431"/>
        <v>0</v>
      </c>
      <c r="L242" s="2252">
        <f t="shared" si="431"/>
        <v>0</v>
      </c>
      <c r="M242" s="2255">
        <f t="shared" si="412"/>
        <v>0</v>
      </c>
      <c r="N242" s="2177"/>
      <c r="O242" s="2177"/>
      <c r="P242" s="2178">
        <f t="shared" si="413"/>
        <v>0</v>
      </c>
      <c r="Q242" s="2176"/>
      <c r="R242" s="2177"/>
      <c r="S242" s="2180">
        <f t="shared" si="414"/>
        <v>0</v>
      </c>
      <c r="T242" s="2251">
        <f t="shared" si="434"/>
        <v>0</v>
      </c>
      <c r="U242" s="2252">
        <f t="shared" si="432"/>
        <v>0</v>
      </c>
      <c r="V242" s="2253">
        <f t="shared" si="415"/>
        <v>0</v>
      </c>
      <c r="W242" s="2182"/>
      <c r="X242" s="2177"/>
      <c r="Y242" s="2183">
        <f t="shared" si="416"/>
        <v>0</v>
      </c>
      <c r="Z242" s="2254">
        <f t="shared" si="433"/>
        <v>0</v>
      </c>
      <c r="AA242" s="2252">
        <f t="shared" si="433"/>
        <v>0</v>
      </c>
      <c r="AB242" s="2255">
        <f t="shared" si="417"/>
        <v>0</v>
      </c>
      <c r="AC242" s="2176"/>
      <c r="AD242" s="2177"/>
      <c r="AE242" s="2180">
        <f t="shared" si="435"/>
        <v>0</v>
      </c>
      <c r="AF242" s="2277"/>
      <c r="AG242" s="2114"/>
      <c r="AH242" s="2177"/>
      <c r="AI242" s="2177"/>
      <c r="AJ242" s="2186">
        <f t="shared" si="419"/>
        <v>0</v>
      </c>
      <c r="AK242" s="2177"/>
      <c r="AL242" s="2177"/>
      <c r="AM242" s="2186">
        <f t="shared" si="420"/>
        <v>0</v>
      </c>
      <c r="AN242" s="2177"/>
      <c r="AO242" s="2177"/>
      <c r="AP242" s="2186">
        <f t="shared" si="421"/>
        <v>0</v>
      </c>
      <c r="AQ242" s="2177"/>
      <c r="AR242" s="2177"/>
      <c r="AS242" s="2186">
        <f t="shared" si="422"/>
        <v>0</v>
      </c>
      <c r="AT242" s="2177"/>
      <c r="AU242" s="2177"/>
      <c r="AV242" s="2186">
        <f t="shared" si="423"/>
        <v>0</v>
      </c>
      <c r="AW242" s="2177"/>
      <c r="AX242" s="2177"/>
      <c r="AY242" s="2186">
        <f t="shared" si="424"/>
        <v>0</v>
      </c>
      <c r="AZ242" s="2177"/>
      <c r="BA242" s="2177"/>
      <c r="BB242" s="2186">
        <f t="shared" si="425"/>
        <v>0</v>
      </c>
      <c r="BC242" s="2177"/>
      <c r="BD242" s="2177"/>
      <c r="BE242" s="2186">
        <f t="shared" si="426"/>
        <v>0</v>
      </c>
      <c r="BF242" s="2177"/>
      <c r="BG242" s="2177"/>
      <c r="BH242" s="2186">
        <f t="shared" si="427"/>
        <v>0</v>
      </c>
      <c r="BI242" s="2177"/>
      <c r="BJ242" s="2177"/>
      <c r="BK242" s="2186">
        <f t="shared" si="428"/>
        <v>0</v>
      </c>
      <c r="BL242" s="2177"/>
      <c r="BM242" s="2177"/>
      <c r="BN242" s="2186">
        <f t="shared" si="429"/>
        <v>0</v>
      </c>
      <c r="BO242" s="2177"/>
      <c r="BP242" s="2177"/>
      <c r="BQ242" s="2186">
        <f t="shared" si="430"/>
        <v>0</v>
      </c>
    </row>
    <row r="243" spans="3:69" s="2087" customFormat="1" hidden="1">
      <c r="C243" s="2194" t="s">
        <v>2368</v>
      </c>
      <c r="D243" s="2283" t="s">
        <v>2227</v>
      </c>
      <c r="E243" s="2284" t="s">
        <v>420</v>
      </c>
      <c r="F243" s="2176"/>
      <c r="G243" s="2177"/>
      <c r="H243" s="2177"/>
      <c r="I243" s="2178">
        <f t="shared" si="411"/>
        <v>0</v>
      </c>
      <c r="J243" s="2176"/>
      <c r="K243" s="2252">
        <f>(N243+Q243+W243+AC243)/4</f>
        <v>0</v>
      </c>
      <c r="L243" s="2252">
        <f t="shared" si="431"/>
        <v>0</v>
      </c>
      <c r="M243" s="2255">
        <f t="shared" si="412"/>
        <v>0</v>
      </c>
      <c r="N243" s="2177"/>
      <c r="O243" s="2177"/>
      <c r="P243" s="2178">
        <f t="shared" si="413"/>
        <v>0</v>
      </c>
      <c r="Q243" s="2176"/>
      <c r="R243" s="2177"/>
      <c r="S243" s="2180">
        <f t="shared" si="414"/>
        <v>0</v>
      </c>
      <c r="T243" s="2251">
        <f>(N243+Q243)/2</f>
        <v>0</v>
      </c>
      <c r="U243" s="2252">
        <f t="shared" si="432"/>
        <v>0</v>
      </c>
      <c r="V243" s="2253">
        <f t="shared" si="415"/>
        <v>0</v>
      </c>
      <c r="W243" s="2182"/>
      <c r="X243" s="2177"/>
      <c r="Y243" s="2183">
        <f t="shared" si="416"/>
        <v>0</v>
      </c>
      <c r="Z243" s="2254">
        <f>(N243+Q243+W243)/3</f>
        <v>0</v>
      </c>
      <c r="AA243" s="2252">
        <f t="shared" si="433"/>
        <v>0</v>
      </c>
      <c r="AB243" s="2255">
        <f t="shared" si="417"/>
        <v>0</v>
      </c>
      <c r="AC243" s="2176"/>
      <c r="AD243" s="2177"/>
      <c r="AE243" s="2180">
        <f t="shared" si="435"/>
        <v>0</v>
      </c>
      <c r="AF243" s="2281"/>
      <c r="AG243" s="2114"/>
      <c r="AH243" s="2177"/>
      <c r="AI243" s="2177"/>
      <c r="AJ243" s="2186">
        <f t="shared" si="419"/>
        <v>0</v>
      </c>
      <c r="AK243" s="2177"/>
      <c r="AL243" s="2177"/>
      <c r="AM243" s="2186">
        <f t="shared" si="420"/>
        <v>0</v>
      </c>
      <c r="AN243" s="2177"/>
      <c r="AO243" s="2177"/>
      <c r="AP243" s="2186">
        <f t="shared" si="421"/>
        <v>0</v>
      </c>
      <c r="AQ243" s="2177"/>
      <c r="AR243" s="2177"/>
      <c r="AS243" s="2186">
        <f t="shared" si="422"/>
        <v>0</v>
      </c>
      <c r="AT243" s="2177"/>
      <c r="AU243" s="2177"/>
      <c r="AV243" s="2186">
        <f t="shared" si="423"/>
        <v>0</v>
      </c>
      <c r="AW243" s="2177"/>
      <c r="AX243" s="2177"/>
      <c r="AY243" s="2186">
        <f t="shared" si="424"/>
        <v>0</v>
      </c>
      <c r="AZ243" s="2177"/>
      <c r="BA243" s="2177"/>
      <c r="BB243" s="2186">
        <f t="shared" si="425"/>
        <v>0</v>
      </c>
      <c r="BC243" s="2177"/>
      <c r="BD243" s="2177"/>
      <c r="BE243" s="2186">
        <f t="shared" si="426"/>
        <v>0</v>
      </c>
      <c r="BF243" s="2177"/>
      <c r="BG243" s="2177"/>
      <c r="BH243" s="2186">
        <f t="shared" si="427"/>
        <v>0</v>
      </c>
      <c r="BI243" s="2177"/>
      <c r="BJ243" s="2177"/>
      <c r="BK243" s="2186">
        <f t="shared" si="428"/>
        <v>0</v>
      </c>
      <c r="BL243" s="2177"/>
      <c r="BM243" s="2177"/>
      <c r="BN243" s="2186">
        <f t="shared" si="429"/>
        <v>0</v>
      </c>
      <c r="BO243" s="2177"/>
      <c r="BP243" s="2177"/>
      <c r="BQ243" s="2186">
        <f t="shared" si="430"/>
        <v>0</v>
      </c>
    </row>
    <row r="244" spans="3:69" s="2087" customFormat="1" hidden="1">
      <c r="C244" s="2194" t="s">
        <v>2369</v>
      </c>
      <c r="D244" s="2283" t="s">
        <v>2229</v>
      </c>
      <c r="E244" s="2284" t="s">
        <v>420</v>
      </c>
      <c r="F244" s="2176"/>
      <c r="G244" s="2177"/>
      <c r="H244" s="2177"/>
      <c r="I244" s="2178">
        <f t="shared" si="411"/>
        <v>0</v>
      </c>
      <c r="J244" s="2176"/>
      <c r="K244" s="2252">
        <f>(N244+Q244+W244+AC244)/4</f>
        <v>0</v>
      </c>
      <c r="L244" s="2252">
        <f t="shared" si="431"/>
        <v>0</v>
      </c>
      <c r="M244" s="2255">
        <f t="shared" si="412"/>
        <v>0</v>
      </c>
      <c r="N244" s="2177"/>
      <c r="O244" s="2177"/>
      <c r="P244" s="2178">
        <f t="shared" si="413"/>
        <v>0</v>
      </c>
      <c r="Q244" s="2176"/>
      <c r="R244" s="2177"/>
      <c r="S244" s="2180">
        <f t="shared" si="414"/>
        <v>0</v>
      </c>
      <c r="T244" s="2251">
        <f>(N244+Q244)/2</f>
        <v>0</v>
      </c>
      <c r="U244" s="2252">
        <f t="shared" si="432"/>
        <v>0</v>
      </c>
      <c r="V244" s="2253">
        <f t="shared" si="415"/>
        <v>0</v>
      </c>
      <c r="W244" s="2182"/>
      <c r="X244" s="2177"/>
      <c r="Y244" s="2183">
        <f t="shared" si="416"/>
        <v>0</v>
      </c>
      <c r="Z244" s="2254">
        <f>(N244+Q244+W244)/3</f>
        <v>0</v>
      </c>
      <c r="AA244" s="2252">
        <f t="shared" si="433"/>
        <v>0</v>
      </c>
      <c r="AB244" s="2255">
        <f t="shared" si="417"/>
        <v>0</v>
      </c>
      <c r="AC244" s="2176"/>
      <c r="AD244" s="2177"/>
      <c r="AE244" s="2180">
        <f t="shared" si="435"/>
        <v>0</v>
      </c>
      <c r="AF244" s="2281"/>
      <c r="AG244" s="2114"/>
      <c r="AH244" s="2177"/>
      <c r="AI244" s="2177"/>
      <c r="AJ244" s="2186">
        <f t="shared" si="419"/>
        <v>0</v>
      </c>
      <c r="AK244" s="2177"/>
      <c r="AL244" s="2177"/>
      <c r="AM244" s="2186">
        <f t="shared" si="420"/>
        <v>0</v>
      </c>
      <c r="AN244" s="2177"/>
      <c r="AO244" s="2177"/>
      <c r="AP244" s="2186">
        <f t="shared" si="421"/>
        <v>0</v>
      </c>
      <c r="AQ244" s="2177"/>
      <c r="AR244" s="2177"/>
      <c r="AS244" s="2186">
        <f t="shared" si="422"/>
        <v>0</v>
      </c>
      <c r="AT244" s="2177"/>
      <c r="AU244" s="2177"/>
      <c r="AV244" s="2186">
        <f t="shared" si="423"/>
        <v>0</v>
      </c>
      <c r="AW244" s="2177"/>
      <c r="AX244" s="2177"/>
      <c r="AY244" s="2186">
        <f t="shared" si="424"/>
        <v>0</v>
      </c>
      <c r="AZ244" s="2177"/>
      <c r="BA244" s="2177"/>
      <c r="BB244" s="2186">
        <f t="shared" si="425"/>
        <v>0</v>
      </c>
      <c r="BC244" s="2177"/>
      <c r="BD244" s="2177"/>
      <c r="BE244" s="2186">
        <f t="shared" si="426"/>
        <v>0</v>
      </c>
      <c r="BF244" s="2177"/>
      <c r="BG244" s="2177"/>
      <c r="BH244" s="2186">
        <f t="shared" si="427"/>
        <v>0</v>
      </c>
      <c r="BI244" s="2177"/>
      <c r="BJ244" s="2177"/>
      <c r="BK244" s="2186">
        <f t="shared" si="428"/>
        <v>0</v>
      </c>
      <c r="BL244" s="2177"/>
      <c r="BM244" s="2177"/>
      <c r="BN244" s="2186">
        <f t="shared" si="429"/>
        <v>0</v>
      </c>
      <c r="BO244" s="2177"/>
      <c r="BP244" s="2177"/>
      <c r="BQ244" s="2186">
        <f t="shared" si="430"/>
        <v>0</v>
      </c>
    </row>
    <row r="245" spans="3:69" s="2087" customFormat="1" hidden="1">
      <c r="C245" s="2285" t="s">
        <v>2370</v>
      </c>
      <c r="D245" s="2286" t="s">
        <v>2231</v>
      </c>
      <c r="E245" s="2284" t="s">
        <v>240</v>
      </c>
      <c r="F245" s="2176"/>
      <c r="G245" s="2252">
        <f>G246+G247+G248+G249+G250</f>
        <v>0</v>
      </c>
      <c r="H245" s="2252">
        <f>H246+H247+H248+H249+H250</f>
        <v>0</v>
      </c>
      <c r="I245" s="2178">
        <f t="shared" si="411"/>
        <v>0</v>
      </c>
      <c r="J245" s="2176"/>
      <c r="K245" s="2179">
        <f t="shared" ref="K245:L268" si="436">N245+Q245+W245+AC245</f>
        <v>0</v>
      </c>
      <c r="L245" s="2179">
        <f t="shared" si="436"/>
        <v>0</v>
      </c>
      <c r="M245" s="2178">
        <f t="shared" si="412"/>
        <v>0</v>
      </c>
      <c r="N245" s="2179">
        <f>N246+N247+N248+N249+N250</f>
        <v>0</v>
      </c>
      <c r="O245" s="2179">
        <f>O246+O247+O248+O249+O250</f>
        <v>0</v>
      </c>
      <c r="P245" s="2178">
        <f t="shared" si="413"/>
        <v>0</v>
      </c>
      <c r="Q245" s="2179">
        <f>Q246+Q247+Q248+Q249+Q250</f>
        <v>0</v>
      </c>
      <c r="R245" s="2179">
        <f>R246+R247+R248+R249+R250</f>
        <v>0</v>
      </c>
      <c r="S245" s="2180">
        <f t="shared" si="414"/>
        <v>0</v>
      </c>
      <c r="T245" s="2181">
        <f t="shared" ref="T245:U268" si="437">N245+Q245</f>
        <v>0</v>
      </c>
      <c r="U245" s="2179">
        <f t="shared" si="437"/>
        <v>0</v>
      </c>
      <c r="V245" s="2180">
        <f t="shared" si="415"/>
        <v>0</v>
      </c>
      <c r="W245" s="2187">
        <f>W246+W247+W248+W249+W250</f>
        <v>0</v>
      </c>
      <c r="X245" s="2179">
        <f>X246+X247+X248+X249+X250</f>
        <v>0</v>
      </c>
      <c r="Y245" s="2183">
        <f t="shared" si="416"/>
        <v>0</v>
      </c>
      <c r="Z245" s="2184">
        <f t="shared" ref="Z245:AA268" si="438">T245+W245</f>
        <v>0</v>
      </c>
      <c r="AA245" s="2179">
        <f t="shared" si="438"/>
        <v>0</v>
      </c>
      <c r="AB245" s="2178">
        <f t="shared" si="417"/>
        <v>0</v>
      </c>
      <c r="AC245" s="2179">
        <f>AC246+AC247+AC248+AC249+AC250</f>
        <v>0</v>
      </c>
      <c r="AD245" s="2179">
        <f>AD246+AD247+AD248+AD249+AD250</f>
        <v>0</v>
      </c>
      <c r="AE245" s="2180">
        <f t="shared" si="435"/>
        <v>0</v>
      </c>
      <c r="AF245" s="2281"/>
      <c r="AG245" s="2114"/>
      <c r="AH245" s="2188">
        <f>AH246+AH247+AH248+AH249+AH250</f>
        <v>0</v>
      </c>
      <c r="AI245" s="2188">
        <f>AI246+AI247+AI248+AI249+AI250</f>
        <v>0</v>
      </c>
      <c r="AJ245" s="2186">
        <f t="shared" si="419"/>
        <v>0</v>
      </c>
      <c r="AK245" s="2188">
        <f>AK246+AK247+AK248+AK249+AK250</f>
        <v>0</v>
      </c>
      <c r="AL245" s="2188">
        <f>AL246+AL247+AL248+AL249+AL250</f>
        <v>0</v>
      </c>
      <c r="AM245" s="2186">
        <f t="shared" si="420"/>
        <v>0</v>
      </c>
      <c r="AN245" s="2188">
        <f>AN246+AN247+AN248+AN249+AN250</f>
        <v>0</v>
      </c>
      <c r="AO245" s="2188">
        <f>AO246+AO247+AO248+AO249+AO250</f>
        <v>0</v>
      </c>
      <c r="AP245" s="2186">
        <f t="shared" si="421"/>
        <v>0</v>
      </c>
      <c r="AQ245" s="2188">
        <f>AQ246+AQ247+AQ248+AQ249+AQ250</f>
        <v>0</v>
      </c>
      <c r="AR245" s="2188">
        <f>AR246+AR247+AR248+AR249+AR250</f>
        <v>0</v>
      </c>
      <c r="AS245" s="2186">
        <f t="shared" si="422"/>
        <v>0</v>
      </c>
      <c r="AT245" s="2188">
        <f>AT246+AT247+AT248+AT249+AT250</f>
        <v>0</v>
      </c>
      <c r="AU245" s="2188">
        <f>AU246+AU247+AU248+AU249+AU250</f>
        <v>0</v>
      </c>
      <c r="AV245" s="2186">
        <f t="shared" si="423"/>
        <v>0</v>
      </c>
      <c r="AW245" s="2188">
        <f>AW246+AW247+AW248+AW249+AW250</f>
        <v>0</v>
      </c>
      <c r="AX245" s="2188">
        <f>AX246+AX247+AX248+AX249+AX250</f>
        <v>0</v>
      </c>
      <c r="AY245" s="2186">
        <f t="shared" si="424"/>
        <v>0</v>
      </c>
      <c r="AZ245" s="2188">
        <f>AZ246+AZ247+AZ248+AZ249+AZ250</f>
        <v>0</v>
      </c>
      <c r="BA245" s="2188">
        <f>BA246+BA247+BA248+BA249+BA250</f>
        <v>0</v>
      </c>
      <c r="BB245" s="2186">
        <f t="shared" si="425"/>
        <v>0</v>
      </c>
      <c r="BC245" s="2188">
        <f>BC246+BC247+BC248+BC249+BC250</f>
        <v>0</v>
      </c>
      <c r="BD245" s="2188">
        <f>BD246+BD247+BD248+BD249+BD250</f>
        <v>0</v>
      </c>
      <c r="BE245" s="2186">
        <f t="shared" si="426"/>
        <v>0</v>
      </c>
      <c r="BF245" s="2188">
        <f>BF246+BF247+BF248+BF249+BF250</f>
        <v>0</v>
      </c>
      <c r="BG245" s="2188">
        <f>BG246+BG247+BG248+BG249+BG250</f>
        <v>0</v>
      </c>
      <c r="BH245" s="2186">
        <f t="shared" si="427"/>
        <v>0</v>
      </c>
      <c r="BI245" s="2188">
        <f>BI246+BI247+BI248+BI249+BI250</f>
        <v>0</v>
      </c>
      <c r="BJ245" s="2188">
        <f>BJ246+BJ247+BJ248+BJ249+BJ250</f>
        <v>0</v>
      </c>
      <c r="BK245" s="2186">
        <f t="shared" si="428"/>
        <v>0</v>
      </c>
      <c r="BL245" s="2188">
        <f>BL246+BL247+BL248+BL249+BL250</f>
        <v>0</v>
      </c>
      <c r="BM245" s="2188">
        <f>BM246+BM247+BM248+BM249+BM250</f>
        <v>0</v>
      </c>
      <c r="BN245" s="2186">
        <f t="shared" si="429"/>
        <v>0</v>
      </c>
      <c r="BO245" s="2188">
        <f>BO246+BO247+BO248+BO249+BO250</f>
        <v>0</v>
      </c>
      <c r="BP245" s="2188">
        <f>BP246+BP247+BP248+BP249+BP250</f>
        <v>0</v>
      </c>
      <c r="BQ245" s="2186">
        <f t="shared" si="430"/>
        <v>0</v>
      </c>
    </row>
    <row r="246" spans="3:69" s="2087" customFormat="1" hidden="1">
      <c r="C246" s="2194" t="s">
        <v>2371</v>
      </c>
      <c r="D246" s="2283" t="s">
        <v>2221</v>
      </c>
      <c r="E246" s="2284" t="s">
        <v>240</v>
      </c>
      <c r="F246" s="2176"/>
      <c r="G246" s="2177"/>
      <c r="H246" s="2177"/>
      <c r="I246" s="2178">
        <f t="shared" si="411"/>
        <v>0</v>
      </c>
      <c r="J246" s="2176"/>
      <c r="K246" s="2252">
        <f t="shared" si="436"/>
        <v>0</v>
      </c>
      <c r="L246" s="2252">
        <f t="shared" si="436"/>
        <v>0</v>
      </c>
      <c r="M246" s="2255">
        <f t="shared" si="412"/>
        <v>0</v>
      </c>
      <c r="N246" s="2177"/>
      <c r="O246" s="2177"/>
      <c r="P246" s="2178">
        <f t="shared" si="413"/>
        <v>0</v>
      </c>
      <c r="Q246" s="2176"/>
      <c r="R246" s="2176"/>
      <c r="S246" s="2180">
        <f t="shared" si="414"/>
        <v>0</v>
      </c>
      <c r="T246" s="2251">
        <f t="shared" si="437"/>
        <v>0</v>
      </c>
      <c r="U246" s="2252">
        <f t="shared" si="437"/>
        <v>0</v>
      </c>
      <c r="V246" s="2253">
        <f t="shared" si="415"/>
        <v>0</v>
      </c>
      <c r="W246" s="2182"/>
      <c r="X246" s="2177"/>
      <c r="Y246" s="2183">
        <f t="shared" si="416"/>
        <v>0</v>
      </c>
      <c r="Z246" s="2254">
        <f t="shared" si="438"/>
        <v>0</v>
      </c>
      <c r="AA246" s="2252">
        <f t="shared" si="438"/>
        <v>0</v>
      </c>
      <c r="AB246" s="2255">
        <f t="shared" si="417"/>
        <v>0</v>
      </c>
      <c r="AC246" s="2176"/>
      <c r="AD246" s="2177"/>
      <c r="AE246" s="2180">
        <f t="shared" si="435"/>
        <v>0</v>
      </c>
      <c r="AF246" s="2281"/>
      <c r="AG246" s="2114"/>
      <c r="AH246" s="2177"/>
      <c r="AI246" s="2177"/>
      <c r="AJ246" s="2186">
        <f t="shared" si="419"/>
        <v>0</v>
      </c>
      <c r="AK246" s="2177"/>
      <c r="AL246" s="2177"/>
      <c r="AM246" s="2186">
        <f t="shared" si="420"/>
        <v>0</v>
      </c>
      <c r="AN246" s="2177"/>
      <c r="AO246" s="2177"/>
      <c r="AP246" s="2186">
        <f t="shared" si="421"/>
        <v>0</v>
      </c>
      <c r="AQ246" s="2177"/>
      <c r="AR246" s="2177"/>
      <c r="AS246" s="2186">
        <f t="shared" si="422"/>
        <v>0</v>
      </c>
      <c r="AT246" s="2177"/>
      <c r="AU246" s="2177"/>
      <c r="AV246" s="2186">
        <f t="shared" si="423"/>
        <v>0</v>
      </c>
      <c r="AW246" s="2177"/>
      <c r="AX246" s="2177"/>
      <c r="AY246" s="2186">
        <f t="shared" si="424"/>
        <v>0</v>
      </c>
      <c r="AZ246" s="2177"/>
      <c r="BA246" s="2177"/>
      <c r="BB246" s="2186">
        <f t="shared" si="425"/>
        <v>0</v>
      </c>
      <c r="BC246" s="2177"/>
      <c r="BD246" s="2177"/>
      <c r="BE246" s="2186">
        <f t="shared" si="426"/>
        <v>0</v>
      </c>
      <c r="BF246" s="2177"/>
      <c r="BG246" s="2177"/>
      <c r="BH246" s="2186">
        <f t="shared" si="427"/>
        <v>0</v>
      </c>
      <c r="BI246" s="2177"/>
      <c r="BJ246" s="2177"/>
      <c r="BK246" s="2186">
        <f t="shared" si="428"/>
        <v>0</v>
      </c>
      <c r="BL246" s="2177"/>
      <c r="BM246" s="2177"/>
      <c r="BN246" s="2186">
        <f t="shared" si="429"/>
        <v>0</v>
      </c>
      <c r="BO246" s="2177"/>
      <c r="BP246" s="2177"/>
      <c r="BQ246" s="2186">
        <f t="shared" si="430"/>
        <v>0</v>
      </c>
    </row>
    <row r="247" spans="3:69" s="2087" customFormat="1" hidden="1">
      <c r="C247" s="2194" t="s">
        <v>2372</v>
      </c>
      <c r="D247" s="2283" t="s">
        <v>2223</v>
      </c>
      <c r="E247" s="2284" t="s">
        <v>240</v>
      </c>
      <c r="F247" s="2176"/>
      <c r="G247" s="2177"/>
      <c r="H247" s="2177"/>
      <c r="I247" s="2178">
        <f t="shared" si="411"/>
        <v>0</v>
      </c>
      <c r="J247" s="2176"/>
      <c r="K247" s="2252">
        <f t="shared" si="436"/>
        <v>0</v>
      </c>
      <c r="L247" s="2252">
        <f t="shared" si="436"/>
        <v>0</v>
      </c>
      <c r="M247" s="2255">
        <f t="shared" si="412"/>
        <v>0</v>
      </c>
      <c r="N247" s="2177"/>
      <c r="O247" s="2177"/>
      <c r="P247" s="2178">
        <f t="shared" si="413"/>
        <v>0</v>
      </c>
      <c r="Q247" s="2176"/>
      <c r="R247" s="2177"/>
      <c r="S247" s="2180">
        <f t="shared" si="414"/>
        <v>0</v>
      </c>
      <c r="T247" s="2251">
        <f t="shared" si="437"/>
        <v>0</v>
      </c>
      <c r="U247" s="2252">
        <f t="shared" si="437"/>
        <v>0</v>
      </c>
      <c r="V247" s="2253">
        <f t="shared" si="415"/>
        <v>0</v>
      </c>
      <c r="W247" s="2182"/>
      <c r="X247" s="2177"/>
      <c r="Y247" s="2183">
        <f t="shared" si="416"/>
        <v>0</v>
      </c>
      <c r="Z247" s="2254">
        <f t="shared" si="438"/>
        <v>0</v>
      </c>
      <c r="AA247" s="2252">
        <f t="shared" si="438"/>
        <v>0</v>
      </c>
      <c r="AB247" s="2255">
        <f t="shared" si="417"/>
        <v>0</v>
      </c>
      <c r="AC247" s="2176"/>
      <c r="AD247" s="2177"/>
      <c r="AE247" s="2180">
        <f t="shared" si="435"/>
        <v>0</v>
      </c>
      <c r="AF247" s="2281"/>
      <c r="AG247" s="2114"/>
      <c r="AH247" s="2177"/>
      <c r="AI247" s="2177"/>
      <c r="AJ247" s="2186">
        <f t="shared" si="419"/>
        <v>0</v>
      </c>
      <c r="AK247" s="2177"/>
      <c r="AL247" s="2177"/>
      <c r="AM247" s="2186">
        <f t="shared" si="420"/>
        <v>0</v>
      </c>
      <c r="AN247" s="2177"/>
      <c r="AO247" s="2177"/>
      <c r="AP247" s="2186">
        <f t="shared" si="421"/>
        <v>0</v>
      </c>
      <c r="AQ247" s="2177"/>
      <c r="AR247" s="2177"/>
      <c r="AS247" s="2186">
        <f t="shared" si="422"/>
        <v>0</v>
      </c>
      <c r="AT247" s="2177"/>
      <c r="AU247" s="2177"/>
      <c r="AV247" s="2186">
        <f t="shared" si="423"/>
        <v>0</v>
      </c>
      <c r="AW247" s="2177"/>
      <c r="AX247" s="2177"/>
      <c r="AY247" s="2186">
        <f t="shared" si="424"/>
        <v>0</v>
      </c>
      <c r="AZ247" s="2177"/>
      <c r="BA247" s="2177"/>
      <c r="BB247" s="2186">
        <f t="shared" si="425"/>
        <v>0</v>
      </c>
      <c r="BC247" s="2177"/>
      <c r="BD247" s="2177"/>
      <c r="BE247" s="2186">
        <f t="shared" si="426"/>
        <v>0</v>
      </c>
      <c r="BF247" s="2177"/>
      <c r="BG247" s="2177"/>
      <c r="BH247" s="2186">
        <f t="shared" si="427"/>
        <v>0</v>
      </c>
      <c r="BI247" s="2177"/>
      <c r="BJ247" s="2177"/>
      <c r="BK247" s="2186">
        <f t="shared" si="428"/>
        <v>0</v>
      </c>
      <c r="BL247" s="2177"/>
      <c r="BM247" s="2177"/>
      <c r="BN247" s="2186">
        <f t="shared" si="429"/>
        <v>0</v>
      </c>
      <c r="BO247" s="2177"/>
      <c r="BP247" s="2177"/>
      <c r="BQ247" s="2186">
        <f t="shared" si="430"/>
        <v>0</v>
      </c>
    </row>
    <row r="248" spans="3:69" s="2087" customFormat="1" hidden="1">
      <c r="C248" s="2194" t="s">
        <v>2373</v>
      </c>
      <c r="D248" s="2283" t="s">
        <v>2225</v>
      </c>
      <c r="E248" s="2284" t="s">
        <v>240</v>
      </c>
      <c r="F248" s="2176"/>
      <c r="G248" s="2177"/>
      <c r="H248" s="2177"/>
      <c r="I248" s="2178">
        <f t="shared" si="411"/>
        <v>0</v>
      </c>
      <c r="J248" s="2176"/>
      <c r="K248" s="2252">
        <f t="shared" si="436"/>
        <v>0</v>
      </c>
      <c r="L248" s="2252">
        <f t="shared" si="436"/>
        <v>0</v>
      </c>
      <c r="M248" s="2255">
        <f t="shared" si="412"/>
        <v>0</v>
      </c>
      <c r="N248" s="2177"/>
      <c r="O248" s="2177"/>
      <c r="P248" s="2178">
        <f t="shared" si="413"/>
        <v>0</v>
      </c>
      <c r="Q248" s="2176"/>
      <c r="R248" s="2177"/>
      <c r="S248" s="2180">
        <f t="shared" si="414"/>
        <v>0</v>
      </c>
      <c r="T248" s="2251">
        <f t="shared" si="437"/>
        <v>0</v>
      </c>
      <c r="U248" s="2252">
        <f t="shared" si="437"/>
        <v>0</v>
      </c>
      <c r="V248" s="2253">
        <f t="shared" si="415"/>
        <v>0</v>
      </c>
      <c r="W248" s="2182"/>
      <c r="X248" s="2177"/>
      <c r="Y248" s="2183">
        <f t="shared" si="416"/>
        <v>0</v>
      </c>
      <c r="Z248" s="2254">
        <f t="shared" si="438"/>
        <v>0</v>
      </c>
      <c r="AA248" s="2252">
        <f t="shared" si="438"/>
        <v>0</v>
      </c>
      <c r="AB248" s="2255">
        <f t="shared" si="417"/>
        <v>0</v>
      </c>
      <c r="AC248" s="2176"/>
      <c r="AD248" s="2177"/>
      <c r="AE248" s="2180">
        <f t="shared" si="435"/>
        <v>0</v>
      </c>
      <c r="AF248" s="2281"/>
      <c r="AG248" s="2114"/>
      <c r="AH248" s="2177"/>
      <c r="AI248" s="2177"/>
      <c r="AJ248" s="2186">
        <f t="shared" si="419"/>
        <v>0</v>
      </c>
      <c r="AK248" s="2177"/>
      <c r="AL248" s="2177"/>
      <c r="AM248" s="2186">
        <f t="shared" si="420"/>
        <v>0</v>
      </c>
      <c r="AN248" s="2177"/>
      <c r="AO248" s="2177"/>
      <c r="AP248" s="2186">
        <f t="shared" si="421"/>
        <v>0</v>
      </c>
      <c r="AQ248" s="2177"/>
      <c r="AR248" s="2177"/>
      <c r="AS248" s="2186">
        <f t="shared" si="422"/>
        <v>0</v>
      </c>
      <c r="AT248" s="2177"/>
      <c r="AU248" s="2177"/>
      <c r="AV248" s="2186">
        <f t="shared" si="423"/>
        <v>0</v>
      </c>
      <c r="AW248" s="2177"/>
      <c r="AX248" s="2177"/>
      <c r="AY248" s="2186">
        <f t="shared" si="424"/>
        <v>0</v>
      </c>
      <c r="AZ248" s="2177"/>
      <c r="BA248" s="2177"/>
      <c r="BB248" s="2186">
        <f t="shared" si="425"/>
        <v>0</v>
      </c>
      <c r="BC248" s="2177"/>
      <c r="BD248" s="2177"/>
      <c r="BE248" s="2186">
        <f t="shared" si="426"/>
        <v>0</v>
      </c>
      <c r="BF248" s="2177"/>
      <c r="BG248" s="2177"/>
      <c r="BH248" s="2186">
        <f t="shared" si="427"/>
        <v>0</v>
      </c>
      <c r="BI248" s="2177"/>
      <c r="BJ248" s="2177"/>
      <c r="BK248" s="2186">
        <f t="shared" si="428"/>
        <v>0</v>
      </c>
      <c r="BL248" s="2177"/>
      <c r="BM248" s="2177"/>
      <c r="BN248" s="2186">
        <f t="shared" si="429"/>
        <v>0</v>
      </c>
      <c r="BO248" s="2177"/>
      <c r="BP248" s="2177"/>
      <c r="BQ248" s="2186">
        <f t="shared" si="430"/>
        <v>0</v>
      </c>
    </row>
    <row r="249" spans="3:69" s="2087" customFormat="1" hidden="1">
      <c r="C249" s="2194" t="s">
        <v>2374</v>
      </c>
      <c r="D249" s="2283" t="s">
        <v>2227</v>
      </c>
      <c r="E249" s="2284" t="s">
        <v>240</v>
      </c>
      <c r="F249" s="2176"/>
      <c r="G249" s="2177"/>
      <c r="H249" s="2177"/>
      <c r="I249" s="2178">
        <f t="shared" si="411"/>
        <v>0</v>
      </c>
      <c r="J249" s="2176"/>
      <c r="K249" s="2252">
        <f t="shared" si="436"/>
        <v>0</v>
      </c>
      <c r="L249" s="2252">
        <f t="shared" si="436"/>
        <v>0</v>
      </c>
      <c r="M249" s="2255">
        <f t="shared" si="412"/>
        <v>0</v>
      </c>
      <c r="N249" s="2177"/>
      <c r="O249" s="2177"/>
      <c r="P249" s="2178">
        <f t="shared" si="413"/>
        <v>0</v>
      </c>
      <c r="Q249" s="2176"/>
      <c r="R249" s="2177"/>
      <c r="S249" s="2180">
        <f t="shared" si="414"/>
        <v>0</v>
      </c>
      <c r="T249" s="2251">
        <f t="shared" si="437"/>
        <v>0</v>
      </c>
      <c r="U249" s="2252">
        <f t="shared" si="437"/>
        <v>0</v>
      </c>
      <c r="V249" s="2253">
        <f t="shared" si="415"/>
        <v>0</v>
      </c>
      <c r="W249" s="2182"/>
      <c r="X249" s="2177"/>
      <c r="Y249" s="2183">
        <f t="shared" si="416"/>
        <v>0</v>
      </c>
      <c r="Z249" s="2254">
        <f t="shared" si="438"/>
        <v>0</v>
      </c>
      <c r="AA249" s="2252">
        <f t="shared" si="438"/>
        <v>0</v>
      </c>
      <c r="AB249" s="2255">
        <f t="shared" si="417"/>
        <v>0</v>
      </c>
      <c r="AC249" s="2176"/>
      <c r="AD249" s="2177"/>
      <c r="AE249" s="2180">
        <f t="shared" si="435"/>
        <v>0</v>
      </c>
      <c r="AF249" s="2281"/>
      <c r="AG249" s="2114"/>
      <c r="AH249" s="2177"/>
      <c r="AI249" s="2177"/>
      <c r="AJ249" s="2186">
        <f t="shared" si="419"/>
        <v>0</v>
      </c>
      <c r="AK249" s="2177"/>
      <c r="AL249" s="2177"/>
      <c r="AM249" s="2186">
        <f t="shared" si="420"/>
        <v>0</v>
      </c>
      <c r="AN249" s="2177"/>
      <c r="AO249" s="2177"/>
      <c r="AP249" s="2186">
        <f t="shared" si="421"/>
        <v>0</v>
      </c>
      <c r="AQ249" s="2177"/>
      <c r="AR249" s="2177"/>
      <c r="AS249" s="2186">
        <f t="shared" si="422"/>
        <v>0</v>
      </c>
      <c r="AT249" s="2177"/>
      <c r="AU249" s="2177"/>
      <c r="AV249" s="2186">
        <f t="shared" si="423"/>
        <v>0</v>
      </c>
      <c r="AW249" s="2177"/>
      <c r="AX249" s="2177"/>
      <c r="AY249" s="2186">
        <f t="shared" si="424"/>
        <v>0</v>
      </c>
      <c r="AZ249" s="2177"/>
      <c r="BA249" s="2177"/>
      <c r="BB249" s="2186">
        <f t="shared" si="425"/>
        <v>0</v>
      </c>
      <c r="BC249" s="2177"/>
      <c r="BD249" s="2177"/>
      <c r="BE249" s="2186">
        <f t="shared" si="426"/>
        <v>0</v>
      </c>
      <c r="BF249" s="2177"/>
      <c r="BG249" s="2177"/>
      <c r="BH249" s="2186">
        <f t="shared" si="427"/>
        <v>0</v>
      </c>
      <c r="BI249" s="2177"/>
      <c r="BJ249" s="2177"/>
      <c r="BK249" s="2186">
        <f t="shared" si="428"/>
        <v>0</v>
      </c>
      <c r="BL249" s="2177"/>
      <c r="BM249" s="2177"/>
      <c r="BN249" s="2186">
        <f t="shared" si="429"/>
        <v>0</v>
      </c>
      <c r="BO249" s="2177"/>
      <c r="BP249" s="2177"/>
      <c r="BQ249" s="2186">
        <f t="shared" si="430"/>
        <v>0</v>
      </c>
    </row>
    <row r="250" spans="3:69" s="2087" customFormat="1" hidden="1">
      <c r="C250" s="2194" t="s">
        <v>2375</v>
      </c>
      <c r="D250" s="2283" t="s">
        <v>2229</v>
      </c>
      <c r="E250" s="2284" t="s">
        <v>240</v>
      </c>
      <c r="F250" s="2176"/>
      <c r="G250" s="2177"/>
      <c r="H250" s="2177"/>
      <c r="I250" s="2178">
        <f t="shared" si="411"/>
        <v>0</v>
      </c>
      <c r="J250" s="2176"/>
      <c r="K250" s="2252">
        <f t="shared" si="436"/>
        <v>0</v>
      </c>
      <c r="L250" s="2252">
        <f t="shared" si="436"/>
        <v>0</v>
      </c>
      <c r="M250" s="2255">
        <f t="shared" si="412"/>
        <v>0</v>
      </c>
      <c r="N250" s="2177"/>
      <c r="O250" s="2177"/>
      <c r="P250" s="2178">
        <f t="shared" si="413"/>
        <v>0</v>
      </c>
      <c r="Q250" s="2176"/>
      <c r="R250" s="2177"/>
      <c r="S250" s="2266"/>
      <c r="T250" s="2251">
        <f t="shared" si="437"/>
        <v>0</v>
      </c>
      <c r="U250" s="2252">
        <f t="shared" si="437"/>
        <v>0</v>
      </c>
      <c r="V250" s="2253">
        <f t="shared" si="415"/>
        <v>0</v>
      </c>
      <c r="W250" s="2182"/>
      <c r="X250" s="2177"/>
      <c r="Y250" s="2271"/>
      <c r="Z250" s="2254">
        <f t="shared" si="438"/>
        <v>0</v>
      </c>
      <c r="AA250" s="2252">
        <f t="shared" si="438"/>
        <v>0</v>
      </c>
      <c r="AB250" s="2255">
        <f t="shared" si="417"/>
        <v>0</v>
      </c>
      <c r="AC250" s="2176"/>
      <c r="AD250" s="2177"/>
      <c r="AE250" s="2180">
        <f t="shared" si="435"/>
        <v>0</v>
      </c>
      <c r="AF250" s="2281"/>
      <c r="AG250" s="2114"/>
      <c r="AH250" s="2177"/>
      <c r="AI250" s="2177"/>
      <c r="AJ250" s="2186">
        <f t="shared" si="419"/>
        <v>0</v>
      </c>
      <c r="AK250" s="2177"/>
      <c r="AL250" s="2177"/>
      <c r="AM250" s="2186">
        <f t="shared" si="420"/>
        <v>0</v>
      </c>
      <c r="AN250" s="2177"/>
      <c r="AO250" s="2177"/>
      <c r="AP250" s="2186">
        <f t="shared" si="421"/>
        <v>0</v>
      </c>
      <c r="AQ250" s="2177"/>
      <c r="AR250" s="2177"/>
      <c r="AS250" s="2186">
        <f t="shared" si="422"/>
        <v>0</v>
      </c>
      <c r="AT250" s="2177"/>
      <c r="AU250" s="2177"/>
      <c r="AV250" s="2186">
        <f t="shared" si="423"/>
        <v>0</v>
      </c>
      <c r="AW250" s="2177"/>
      <c r="AX250" s="2177"/>
      <c r="AY250" s="2186">
        <f t="shared" si="424"/>
        <v>0</v>
      </c>
      <c r="AZ250" s="2177"/>
      <c r="BA250" s="2177"/>
      <c r="BB250" s="2186">
        <f t="shared" si="425"/>
        <v>0</v>
      </c>
      <c r="BC250" s="2177"/>
      <c r="BD250" s="2177"/>
      <c r="BE250" s="2186">
        <f t="shared" si="426"/>
        <v>0</v>
      </c>
      <c r="BF250" s="2177"/>
      <c r="BG250" s="2177"/>
      <c r="BH250" s="2186">
        <f t="shared" si="427"/>
        <v>0</v>
      </c>
      <c r="BI250" s="2177"/>
      <c r="BJ250" s="2177"/>
      <c r="BK250" s="2186">
        <f t="shared" si="428"/>
        <v>0</v>
      </c>
      <c r="BL250" s="2177"/>
      <c r="BM250" s="2177"/>
      <c r="BN250" s="2186">
        <f t="shared" si="429"/>
        <v>0</v>
      </c>
      <c r="BO250" s="2177"/>
      <c r="BP250" s="2177"/>
      <c r="BQ250" s="2186">
        <f t="shared" si="430"/>
        <v>0</v>
      </c>
    </row>
    <row r="251" spans="3:69" s="2087" customFormat="1" hidden="1">
      <c r="C251" s="2285" t="s">
        <v>2376</v>
      </c>
      <c r="D251" s="2287" t="s">
        <v>2238</v>
      </c>
      <c r="E251" s="2284" t="s">
        <v>240</v>
      </c>
      <c r="F251" s="2176"/>
      <c r="G251" s="2252">
        <f>G252+G253+G254+G255+G256</f>
        <v>0</v>
      </c>
      <c r="H251" s="2252">
        <f>H252+H253+H254+H255+H256</f>
        <v>0</v>
      </c>
      <c r="I251" s="2178">
        <f t="shared" si="411"/>
        <v>0</v>
      </c>
      <c r="J251" s="2176"/>
      <c r="K251" s="2179">
        <f t="shared" si="436"/>
        <v>0</v>
      </c>
      <c r="L251" s="2179">
        <f t="shared" si="436"/>
        <v>0</v>
      </c>
      <c r="M251" s="2178">
        <f t="shared" si="412"/>
        <v>0</v>
      </c>
      <c r="N251" s="2179">
        <f>N252+N253+N254+N255+N256</f>
        <v>0</v>
      </c>
      <c r="O251" s="2179">
        <f>O252+O253+O254+O255+O256</f>
        <v>0</v>
      </c>
      <c r="P251" s="2178">
        <f t="shared" si="413"/>
        <v>0</v>
      </c>
      <c r="Q251" s="2179">
        <f>Q252+Q253+Q254+Q255+Q256</f>
        <v>0</v>
      </c>
      <c r="R251" s="2179">
        <f>R252+R253+R254+R255+R256</f>
        <v>0</v>
      </c>
      <c r="S251" s="2180">
        <f t="shared" ref="S251:S255" si="439">R251-Q251</f>
        <v>0</v>
      </c>
      <c r="T251" s="2181">
        <f t="shared" si="437"/>
        <v>0</v>
      </c>
      <c r="U251" s="2179">
        <f t="shared" si="437"/>
        <v>0</v>
      </c>
      <c r="V251" s="2180">
        <f t="shared" si="415"/>
        <v>0</v>
      </c>
      <c r="W251" s="2187">
        <f>W252+W253+W254+W255+W256</f>
        <v>0</v>
      </c>
      <c r="X251" s="2179">
        <f>X252+X253+X254+X255+X256</f>
        <v>0</v>
      </c>
      <c r="Y251" s="2183">
        <f t="shared" ref="Y251:Y255" si="440">X251-W251</f>
        <v>0</v>
      </c>
      <c r="Z251" s="2184">
        <f t="shared" si="438"/>
        <v>0</v>
      </c>
      <c r="AA251" s="2179">
        <f t="shared" si="438"/>
        <v>0</v>
      </c>
      <c r="AB251" s="2178">
        <f t="shared" si="417"/>
        <v>0</v>
      </c>
      <c r="AC251" s="2179">
        <f>AC252+AC253+AC254+AC255+AC256</f>
        <v>0</v>
      </c>
      <c r="AD251" s="2179">
        <f>AD252+AD253+AD254+AD255+AD256</f>
        <v>0</v>
      </c>
      <c r="AE251" s="2180">
        <f t="shared" si="435"/>
        <v>0</v>
      </c>
      <c r="AF251" s="2277"/>
      <c r="AG251" s="2114"/>
      <c r="AH251" s="2188">
        <f>AH252+AH253+AH254+AH255+AH256</f>
        <v>0</v>
      </c>
      <c r="AI251" s="2188">
        <f>AI252+AI253+AI254+AI255+AI256</f>
        <v>0</v>
      </c>
      <c r="AJ251" s="2186">
        <f t="shared" si="419"/>
        <v>0</v>
      </c>
      <c r="AK251" s="2188">
        <f>AK252+AK253+AK254+AK255+AK256</f>
        <v>0</v>
      </c>
      <c r="AL251" s="2188">
        <f>AL252+AL253+AL254+AL255+AL256</f>
        <v>0</v>
      </c>
      <c r="AM251" s="2186">
        <f t="shared" si="420"/>
        <v>0</v>
      </c>
      <c r="AN251" s="2188">
        <f>AN252+AN253+AN254+AN255+AN256</f>
        <v>0</v>
      </c>
      <c r="AO251" s="2188">
        <f>AO252+AO253+AO254+AO255+AO256</f>
        <v>0</v>
      </c>
      <c r="AP251" s="2186">
        <f t="shared" si="421"/>
        <v>0</v>
      </c>
      <c r="AQ251" s="2188">
        <f>AQ252+AQ253+AQ254+AQ255+AQ256</f>
        <v>0</v>
      </c>
      <c r="AR251" s="2188">
        <f>AR252+AR253+AR254+AR255+AR256</f>
        <v>0</v>
      </c>
      <c r="AS251" s="2186">
        <f t="shared" si="422"/>
        <v>0</v>
      </c>
      <c r="AT251" s="2188">
        <f>AT252+AT253+AT254+AT255+AT256</f>
        <v>0</v>
      </c>
      <c r="AU251" s="2188">
        <f>AU252+AU253+AU254+AU255+AU256</f>
        <v>0</v>
      </c>
      <c r="AV251" s="2186">
        <f t="shared" si="423"/>
        <v>0</v>
      </c>
      <c r="AW251" s="2188">
        <f>AW252+AW253+AW254+AW255+AW256</f>
        <v>0</v>
      </c>
      <c r="AX251" s="2188">
        <f>AX252+AX253+AX254+AX255+AX256</f>
        <v>0</v>
      </c>
      <c r="AY251" s="2186">
        <f t="shared" si="424"/>
        <v>0</v>
      </c>
      <c r="AZ251" s="2188">
        <f>AZ252+AZ253+AZ254+AZ255+AZ256</f>
        <v>0</v>
      </c>
      <c r="BA251" s="2188">
        <f>BA252+BA253+BA254+BA255+BA256</f>
        <v>0</v>
      </c>
      <c r="BB251" s="2186">
        <f t="shared" si="425"/>
        <v>0</v>
      </c>
      <c r="BC251" s="2188">
        <f>BC252+BC253+BC254+BC255+BC256</f>
        <v>0</v>
      </c>
      <c r="BD251" s="2188">
        <f>BD252+BD253+BD254+BD255+BD256</f>
        <v>0</v>
      </c>
      <c r="BE251" s="2186">
        <f t="shared" si="426"/>
        <v>0</v>
      </c>
      <c r="BF251" s="2188">
        <f>BF252+BF253+BF254+BF255+BF256</f>
        <v>0</v>
      </c>
      <c r="BG251" s="2188">
        <f>BG252+BG253+BG254+BG255+BG256</f>
        <v>0</v>
      </c>
      <c r="BH251" s="2186">
        <f t="shared" si="427"/>
        <v>0</v>
      </c>
      <c r="BI251" s="2188">
        <f>BI252+BI253+BI254+BI255+BI256</f>
        <v>0</v>
      </c>
      <c r="BJ251" s="2188">
        <f>BJ252+BJ253+BJ254+BJ255+BJ256</f>
        <v>0</v>
      </c>
      <c r="BK251" s="2186">
        <f t="shared" si="428"/>
        <v>0</v>
      </c>
      <c r="BL251" s="2188">
        <f>BL252+BL253+BL254+BL255+BL256</f>
        <v>0</v>
      </c>
      <c r="BM251" s="2188">
        <f>BM252+BM253+BM254+BM255+BM256</f>
        <v>0</v>
      </c>
      <c r="BN251" s="2186">
        <f t="shared" si="429"/>
        <v>0</v>
      </c>
      <c r="BO251" s="2188">
        <f>BO252+BO253+BO254+BO255+BO256</f>
        <v>0</v>
      </c>
      <c r="BP251" s="2188">
        <f>BP252+BP253+BP254+BP255+BP256</f>
        <v>0</v>
      </c>
      <c r="BQ251" s="2186">
        <f t="shared" si="430"/>
        <v>0</v>
      </c>
    </row>
    <row r="252" spans="3:69" s="2087" customFormat="1" hidden="1">
      <c r="C252" s="2194" t="s">
        <v>2377</v>
      </c>
      <c r="D252" s="2283" t="s">
        <v>2221</v>
      </c>
      <c r="E252" s="2284" t="s">
        <v>240</v>
      </c>
      <c r="F252" s="2176"/>
      <c r="G252" s="2177"/>
      <c r="H252" s="2177"/>
      <c r="I252" s="2178">
        <f t="shared" si="411"/>
        <v>0</v>
      </c>
      <c r="J252" s="2176"/>
      <c r="K252" s="2252">
        <f t="shared" si="436"/>
        <v>0</v>
      </c>
      <c r="L252" s="2252">
        <f t="shared" si="436"/>
        <v>0</v>
      </c>
      <c r="M252" s="2255">
        <f t="shared" si="412"/>
        <v>0</v>
      </c>
      <c r="N252" s="2177"/>
      <c r="O252" s="2177"/>
      <c r="P252" s="2178">
        <f t="shared" si="413"/>
        <v>0</v>
      </c>
      <c r="Q252" s="2176"/>
      <c r="R252" s="2177"/>
      <c r="S252" s="2180">
        <f t="shared" si="439"/>
        <v>0</v>
      </c>
      <c r="T252" s="2251">
        <f t="shared" si="437"/>
        <v>0</v>
      </c>
      <c r="U252" s="2252">
        <f t="shared" si="437"/>
        <v>0</v>
      </c>
      <c r="V252" s="2253">
        <f t="shared" si="415"/>
        <v>0</v>
      </c>
      <c r="W252" s="2182"/>
      <c r="X252" s="2177"/>
      <c r="Y252" s="2183">
        <f t="shared" si="440"/>
        <v>0</v>
      </c>
      <c r="Z252" s="2254">
        <f t="shared" si="438"/>
        <v>0</v>
      </c>
      <c r="AA252" s="2252">
        <f t="shared" si="438"/>
        <v>0</v>
      </c>
      <c r="AB252" s="2255">
        <f t="shared" si="417"/>
        <v>0</v>
      </c>
      <c r="AC252" s="2176"/>
      <c r="AD252" s="2177"/>
      <c r="AE252" s="2180">
        <f t="shared" si="435"/>
        <v>0</v>
      </c>
      <c r="AF252" s="2281"/>
      <c r="AG252" s="2114"/>
      <c r="AH252" s="2177"/>
      <c r="AI252" s="2177"/>
      <c r="AJ252" s="2186">
        <f t="shared" si="419"/>
        <v>0</v>
      </c>
      <c r="AK252" s="2177"/>
      <c r="AL252" s="2177"/>
      <c r="AM252" s="2186">
        <f t="shared" si="420"/>
        <v>0</v>
      </c>
      <c r="AN252" s="2177"/>
      <c r="AO252" s="2177"/>
      <c r="AP252" s="2186">
        <f t="shared" si="421"/>
        <v>0</v>
      </c>
      <c r="AQ252" s="2177"/>
      <c r="AR252" s="2177"/>
      <c r="AS252" s="2186">
        <f t="shared" si="422"/>
        <v>0</v>
      </c>
      <c r="AT252" s="2177"/>
      <c r="AU252" s="2177"/>
      <c r="AV252" s="2186">
        <f t="shared" si="423"/>
        <v>0</v>
      </c>
      <c r="AW252" s="2177"/>
      <c r="AX252" s="2177"/>
      <c r="AY252" s="2186">
        <f t="shared" si="424"/>
        <v>0</v>
      </c>
      <c r="AZ252" s="2177"/>
      <c r="BA252" s="2177"/>
      <c r="BB252" s="2186">
        <f t="shared" si="425"/>
        <v>0</v>
      </c>
      <c r="BC252" s="2177"/>
      <c r="BD252" s="2177"/>
      <c r="BE252" s="2186">
        <f t="shared" si="426"/>
        <v>0</v>
      </c>
      <c r="BF252" s="2177"/>
      <c r="BG252" s="2177"/>
      <c r="BH252" s="2186">
        <f t="shared" si="427"/>
        <v>0</v>
      </c>
      <c r="BI252" s="2177"/>
      <c r="BJ252" s="2177"/>
      <c r="BK252" s="2186">
        <f t="shared" si="428"/>
        <v>0</v>
      </c>
      <c r="BL252" s="2177"/>
      <c r="BM252" s="2177"/>
      <c r="BN252" s="2186">
        <f t="shared" si="429"/>
        <v>0</v>
      </c>
      <c r="BO252" s="2177"/>
      <c r="BP252" s="2177"/>
      <c r="BQ252" s="2186">
        <f t="shared" si="430"/>
        <v>0</v>
      </c>
    </row>
    <row r="253" spans="3:69" s="2087" customFormat="1" hidden="1">
      <c r="C253" s="2194" t="s">
        <v>2378</v>
      </c>
      <c r="D253" s="2283" t="s">
        <v>2223</v>
      </c>
      <c r="E253" s="2284" t="s">
        <v>240</v>
      </c>
      <c r="F253" s="2176"/>
      <c r="G253" s="2177"/>
      <c r="H253" s="2177"/>
      <c r="I253" s="2178">
        <f t="shared" si="411"/>
        <v>0</v>
      </c>
      <c r="J253" s="2176"/>
      <c r="K253" s="2252">
        <f t="shared" si="436"/>
        <v>0</v>
      </c>
      <c r="L253" s="2252">
        <f t="shared" si="436"/>
        <v>0</v>
      </c>
      <c r="M253" s="2255">
        <f t="shared" si="412"/>
        <v>0</v>
      </c>
      <c r="N253" s="2177"/>
      <c r="O253" s="2177"/>
      <c r="P253" s="2178">
        <f t="shared" si="413"/>
        <v>0</v>
      </c>
      <c r="Q253" s="2176"/>
      <c r="R253" s="2177"/>
      <c r="S253" s="2180">
        <f t="shared" si="439"/>
        <v>0</v>
      </c>
      <c r="T253" s="2251">
        <f t="shared" si="437"/>
        <v>0</v>
      </c>
      <c r="U253" s="2252">
        <f t="shared" si="437"/>
        <v>0</v>
      </c>
      <c r="V253" s="2253">
        <f t="shared" si="415"/>
        <v>0</v>
      </c>
      <c r="W253" s="2182"/>
      <c r="X253" s="2177"/>
      <c r="Y253" s="2183">
        <f t="shared" si="440"/>
        <v>0</v>
      </c>
      <c r="Z253" s="2254">
        <f t="shared" si="438"/>
        <v>0</v>
      </c>
      <c r="AA253" s="2252">
        <f t="shared" si="438"/>
        <v>0</v>
      </c>
      <c r="AB253" s="2255">
        <f t="shared" si="417"/>
        <v>0</v>
      </c>
      <c r="AC253" s="2176"/>
      <c r="AD253" s="2177"/>
      <c r="AE253" s="2180">
        <f t="shared" si="435"/>
        <v>0</v>
      </c>
      <c r="AF253" s="2281"/>
      <c r="AG253" s="2114"/>
      <c r="AH253" s="2177"/>
      <c r="AI253" s="2177"/>
      <c r="AJ253" s="2186">
        <f t="shared" si="419"/>
        <v>0</v>
      </c>
      <c r="AK253" s="2177"/>
      <c r="AL253" s="2177"/>
      <c r="AM253" s="2186">
        <f t="shared" si="420"/>
        <v>0</v>
      </c>
      <c r="AN253" s="2177"/>
      <c r="AO253" s="2177"/>
      <c r="AP253" s="2186">
        <f t="shared" si="421"/>
        <v>0</v>
      </c>
      <c r="AQ253" s="2177"/>
      <c r="AR253" s="2177"/>
      <c r="AS253" s="2186">
        <f t="shared" si="422"/>
        <v>0</v>
      </c>
      <c r="AT253" s="2177"/>
      <c r="AU253" s="2177"/>
      <c r="AV253" s="2186">
        <f t="shared" si="423"/>
        <v>0</v>
      </c>
      <c r="AW253" s="2177"/>
      <c r="AX253" s="2177"/>
      <c r="AY253" s="2186">
        <f t="shared" si="424"/>
        <v>0</v>
      </c>
      <c r="AZ253" s="2177"/>
      <c r="BA253" s="2177"/>
      <c r="BB253" s="2186">
        <f t="shared" si="425"/>
        <v>0</v>
      </c>
      <c r="BC253" s="2177"/>
      <c r="BD253" s="2177"/>
      <c r="BE253" s="2186">
        <f t="shared" si="426"/>
        <v>0</v>
      </c>
      <c r="BF253" s="2177"/>
      <c r="BG253" s="2177"/>
      <c r="BH253" s="2186">
        <f t="shared" si="427"/>
        <v>0</v>
      </c>
      <c r="BI253" s="2177"/>
      <c r="BJ253" s="2177"/>
      <c r="BK253" s="2186">
        <f t="shared" si="428"/>
        <v>0</v>
      </c>
      <c r="BL253" s="2177"/>
      <c r="BM253" s="2177"/>
      <c r="BN253" s="2186">
        <f t="shared" si="429"/>
        <v>0</v>
      </c>
      <c r="BO253" s="2177"/>
      <c r="BP253" s="2177"/>
      <c r="BQ253" s="2186">
        <f t="shared" si="430"/>
        <v>0</v>
      </c>
    </row>
    <row r="254" spans="3:69" s="2087" customFormat="1" hidden="1">
      <c r="C254" s="2194" t="s">
        <v>2379</v>
      </c>
      <c r="D254" s="2283" t="s">
        <v>2225</v>
      </c>
      <c r="E254" s="2284" t="s">
        <v>240</v>
      </c>
      <c r="F254" s="2176"/>
      <c r="G254" s="2177"/>
      <c r="H254" s="2177"/>
      <c r="I254" s="2178">
        <f t="shared" si="411"/>
        <v>0</v>
      </c>
      <c r="J254" s="2176"/>
      <c r="K254" s="2252">
        <f t="shared" si="436"/>
        <v>0</v>
      </c>
      <c r="L254" s="2252">
        <f t="shared" si="436"/>
        <v>0</v>
      </c>
      <c r="M254" s="2255">
        <f t="shared" si="412"/>
        <v>0</v>
      </c>
      <c r="N254" s="2177"/>
      <c r="O254" s="2177"/>
      <c r="P254" s="2178">
        <f t="shared" si="413"/>
        <v>0</v>
      </c>
      <c r="Q254" s="2176"/>
      <c r="R254" s="2177"/>
      <c r="S254" s="2180">
        <f t="shared" si="439"/>
        <v>0</v>
      </c>
      <c r="T254" s="2251">
        <f t="shared" si="437"/>
        <v>0</v>
      </c>
      <c r="U254" s="2252">
        <f t="shared" si="437"/>
        <v>0</v>
      </c>
      <c r="V254" s="2253">
        <f t="shared" si="415"/>
        <v>0</v>
      </c>
      <c r="W254" s="2182"/>
      <c r="X254" s="2177"/>
      <c r="Y254" s="2183">
        <f t="shared" si="440"/>
        <v>0</v>
      </c>
      <c r="Z254" s="2254">
        <f t="shared" si="438"/>
        <v>0</v>
      </c>
      <c r="AA254" s="2252">
        <f t="shared" si="438"/>
        <v>0</v>
      </c>
      <c r="AB254" s="2255">
        <f t="shared" si="417"/>
        <v>0</v>
      </c>
      <c r="AC254" s="2176"/>
      <c r="AD254" s="2177"/>
      <c r="AE254" s="2180">
        <f t="shared" si="435"/>
        <v>0</v>
      </c>
      <c r="AF254" s="2281"/>
      <c r="AG254" s="2114"/>
      <c r="AH254" s="2177"/>
      <c r="AI254" s="2177"/>
      <c r="AJ254" s="2186">
        <f t="shared" si="419"/>
        <v>0</v>
      </c>
      <c r="AK254" s="2177"/>
      <c r="AL254" s="2177"/>
      <c r="AM254" s="2186">
        <f t="shared" si="420"/>
        <v>0</v>
      </c>
      <c r="AN254" s="2177"/>
      <c r="AO254" s="2177"/>
      <c r="AP254" s="2186">
        <f t="shared" si="421"/>
        <v>0</v>
      </c>
      <c r="AQ254" s="2177"/>
      <c r="AR254" s="2177"/>
      <c r="AS254" s="2186">
        <f t="shared" si="422"/>
        <v>0</v>
      </c>
      <c r="AT254" s="2177"/>
      <c r="AU254" s="2177"/>
      <c r="AV254" s="2186">
        <f t="shared" si="423"/>
        <v>0</v>
      </c>
      <c r="AW254" s="2177"/>
      <c r="AX254" s="2177"/>
      <c r="AY254" s="2186">
        <f t="shared" si="424"/>
        <v>0</v>
      </c>
      <c r="AZ254" s="2177"/>
      <c r="BA254" s="2177"/>
      <c r="BB254" s="2186">
        <f t="shared" si="425"/>
        <v>0</v>
      </c>
      <c r="BC254" s="2177"/>
      <c r="BD254" s="2177"/>
      <c r="BE254" s="2186">
        <f t="shared" si="426"/>
        <v>0</v>
      </c>
      <c r="BF254" s="2177"/>
      <c r="BG254" s="2177"/>
      <c r="BH254" s="2186">
        <f t="shared" si="427"/>
        <v>0</v>
      </c>
      <c r="BI254" s="2177"/>
      <c r="BJ254" s="2177"/>
      <c r="BK254" s="2186">
        <f t="shared" si="428"/>
        <v>0</v>
      </c>
      <c r="BL254" s="2177"/>
      <c r="BM254" s="2177"/>
      <c r="BN254" s="2186">
        <f t="shared" si="429"/>
        <v>0</v>
      </c>
      <c r="BO254" s="2177"/>
      <c r="BP254" s="2177"/>
      <c r="BQ254" s="2186">
        <f t="shared" si="430"/>
        <v>0</v>
      </c>
    </row>
    <row r="255" spans="3:69" s="2087" customFormat="1" hidden="1">
      <c r="C255" s="2194" t="s">
        <v>2380</v>
      </c>
      <c r="D255" s="2283" t="s">
        <v>2227</v>
      </c>
      <c r="E255" s="2284" t="s">
        <v>240</v>
      </c>
      <c r="F255" s="2176"/>
      <c r="G255" s="2177"/>
      <c r="H255" s="2177"/>
      <c r="I255" s="2178">
        <f t="shared" si="411"/>
        <v>0</v>
      </c>
      <c r="J255" s="2176"/>
      <c r="K255" s="2252">
        <f t="shared" si="436"/>
        <v>0</v>
      </c>
      <c r="L255" s="2252">
        <f t="shared" si="436"/>
        <v>0</v>
      </c>
      <c r="M255" s="2255">
        <f t="shared" si="412"/>
        <v>0</v>
      </c>
      <c r="N255" s="2177"/>
      <c r="O255" s="2177"/>
      <c r="P255" s="2178">
        <f t="shared" si="413"/>
        <v>0</v>
      </c>
      <c r="Q255" s="2176"/>
      <c r="R255" s="2177"/>
      <c r="S255" s="2180">
        <f t="shared" si="439"/>
        <v>0</v>
      </c>
      <c r="T255" s="2251">
        <f t="shared" si="437"/>
        <v>0</v>
      </c>
      <c r="U255" s="2252">
        <f t="shared" si="437"/>
        <v>0</v>
      </c>
      <c r="V255" s="2253">
        <f t="shared" si="415"/>
        <v>0</v>
      </c>
      <c r="W255" s="2182"/>
      <c r="X255" s="2177"/>
      <c r="Y255" s="2183">
        <f t="shared" si="440"/>
        <v>0</v>
      </c>
      <c r="Z255" s="2254">
        <f t="shared" si="438"/>
        <v>0</v>
      </c>
      <c r="AA255" s="2252">
        <f t="shared" si="438"/>
        <v>0</v>
      </c>
      <c r="AB255" s="2255">
        <f t="shared" si="417"/>
        <v>0</v>
      </c>
      <c r="AC255" s="2176"/>
      <c r="AD255" s="2177"/>
      <c r="AE255" s="2180">
        <f t="shared" si="435"/>
        <v>0</v>
      </c>
      <c r="AF255" s="2281"/>
      <c r="AG255" s="2114"/>
      <c r="AH255" s="2177"/>
      <c r="AI255" s="2177"/>
      <c r="AJ255" s="2186">
        <f t="shared" si="419"/>
        <v>0</v>
      </c>
      <c r="AK255" s="2177"/>
      <c r="AL255" s="2177"/>
      <c r="AM255" s="2186">
        <f t="shared" si="420"/>
        <v>0</v>
      </c>
      <c r="AN255" s="2177"/>
      <c r="AO255" s="2177"/>
      <c r="AP255" s="2186">
        <f t="shared" si="421"/>
        <v>0</v>
      </c>
      <c r="AQ255" s="2177"/>
      <c r="AR255" s="2177"/>
      <c r="AS255" s="2186">
        <f t="shared" si="422"/>
        <v>0</v>
      </c>
      <c r="AT255" s="2177"/>
      <c r="AU255" s="2177"/>
      <c r="AV255" s="2186">
        <f t="shared" si="423"/>
        <v>0</v>
      </c>
      <c r="AW255" s="2177"/>
      <c r="AX255" s="2177"/>
      <c r="AY255" s="2186">
        <f t="shared" si="424"/>
        <v>0</v>
      </c>
      <c r="AZ255" s="2177"/>
      <c r="BA255" s="2177"/>
      <c r="BB255" s="2186">
        <f t="shared" si="425"/>
        <v>0</v>
      </c>
      <c r="BC255" s="2177"/>
      <c r="BD255" s="2177"/>
      <c r="BE255" s="2186">
        <f t="shared" si="426"/>
        <v>0</v>
      </c>
      <c r="BF255" s="2177"/>
      <c r="BG255" s="2177"/>
      <c r="BH255" s="2186">
        <f t="shared" si="427"/>
        <v>0</v>
      </c>
      <c r="BI255" s="2177"/>
      <c r="BJ255" s="2177"/>
      <c r="BK255" s="2186">
        <f t="shared" si="428"/>
        <v>0</v>
      </c>
      <c r="BL255" s="2177"/>
      <c r="BM255" s="2177"/>
      <c r="BN255" s="2186">
        <f t="shared" si="429"/>
        <v>0</v>
      </c>
      <c r="BO255" s="2177"/>
      <c r="BP255" s="2177"/>
      <c r="BQ255" s="2186">
        <f t="shared" si="430"/>
        <v>0</v>
      </c>
    </row>
    <row r="256" spans="3:69" s="2087" customFormat="1" hidden="1">
      <c r="C256" s="2194" t="s">
        <v>2381</v>
      </c>
      <c r="D256" s="2283" t="s">
        <v>2229</v>
      </c>
      <c r="E256" s="2284" t="s">
        <v>240</v>
      </c>
      <c r="F256" s="2176"/>
      <c r="G256" s="2177"/>
      <c r="H256" s="2177"/>
      <c r="I256" s="2178">
        <f t="shared" si="411"/>
        <v>0</v>
      </c>
      <c r="J256" s="2176"/>
      <c r="K256" s="2252">
        <f t="shared" si="436"/>
        <v>0</v>
      </c>
      <c r="L256" s="2252">
        <f t="shared" si="436"/>
        <v>0</v>
      </c>
      <c r="M256" s="2255">
        <f t="shared" si="412"/>
        <v>0</v>
      </c>
      <c r="N256" s="2177"/>
      <c r="O256" s="2177"/>
      <c r="P256" s="2178">
        <f t="shared" si="413"/>
        <v>0</v>
      </c>
      <c r="Q256" s="2176"/>
      <c r="R256" s="2177"/>
      <c r="S256" s="2266"/>
      <c r="T256" s="2251">
        <f t="shared" si="437"/>
        <v>0</v>
      </c>
      <c r="U256" s="2252">
        <f t="shared" si="437"/>
        <v>0</v>
      </c>
      <c r="V256" s="2253">
        <f t="shared" si="415"/>
        <v>0</v>
      </c>
      <c r="W256" s="2182"/>
      <c r="X256" s="2177"/>
      <c r="Y256" s="2271"/>
      <c r="Z256" s="2254">
        <f t="shared" si="438"/>
        <v>0</v>
      </c>
      <c r="AA256" s="2252">
        <f t="shared" si="438"/>
        <v>0</v>
      </c>
      <c r="AB256" s="2255">
        <f t="shared" si="417"/>
        <v>0</v>
      </c>
      <c r="AC256" s="2176"/>
      <c r="AD256" s="2177"/>
      <c r="AE256" s="2180">
        <f t="shared" si="435"/>
        <v>0</v>
      </c>
      <c r="AF256" s="2281"/>
      <c r="AG256" s="2114"/>
      <c r="AH256" s="2177"/>
      <c r="AI256" s="2177"/>
      <c r="AJ256" s="2186">
        <f t="shared" si="419"/>
        <v>0</v>
      </c>
      <c r="AK256" s="2177"/>
      <c r="AL256" s="2177"/>
      <c r="AM256" s="2186">
        <f t="shared" si="420"/>
        <v>0</v>
      </c>
      <c r="AN256" s="2177"/>
      <c r="AO256" s="2177"/>
      <c r="AP256" s="2186">
        <f t="shared" si="421"/>
        <v>0</v>
      </c>
      <c r="AQ256" s="2177"/>
      <c r="AR256" s="2177"/>
      <c r="AS256" s="2186">
        <f t="shared" si="422"/>
        <v>0</v>
      </c>
      <c r="AT256" s="2177"/>
      <c r="AU256" s="2177"/>
      <c r="AV256" s="2186">
        <f t="shared" si="423"/>
        <v>0</v>
      </c>
      <c r="AW256" s="2177"/>
      <c r="AX256" s="2177"/>
      <c r="AY256" s="2186">
        <f t="shared" si="424"/>
        <v>0</v>
      </c>
      <c r="AZ256" s="2177"/>
      <c r="BA256" s="2177"/>
      <c r="BB256" s="2186">
        <f t="shared" si="425"/>
        <v>0</v>
      </c>
      <c r="BC256" s="2177"/>
      <c r="BD256" s="2177"/>
      <c r="BE256" s="2186">
        <f t="shared" si="426"/>
        <v>0</v>
      </c>
      <c r="BF256" s="2177"/>
      <c r="BG256" s="2177"/>
      <c r="BH256" s="2186">
        <f t="shared" si="427"/>
        <v>0</v>
      </c>
      <c r="BI256" s="2177"/>
      <c r="BJ256" s="2177"/>
      <c r="BK256" s="2186">
        <f t="shared" si="428"/>
        <v>0</v>
      </c>
      <c r="BL256" s="2177"/>
      <c r="BM256" s="2177"/>
      <c r="BN256" s="2186">
        <f t="shared" si="429"/>
        <v>0</v>
      </c>
      <c r="BO256" s="2177"/>
      <c r="BP256" s="2177"/>
      <c r="BQ256" s="2186">
        <f t="shared" si="430"/>
        <v>0</v>
      </c>
    </row>
    <row r="257" spans="3:69" s="2087" customFormat="1" hidden="1">
      <c r="C257" s="2285" t="s">
        <v>2382</v>
      </c>
      <c r="D257" s="2287" t="s">
        <v>2248</v>
      </c>
      <c r="E257" s="2284" t="s">
        <v>240</v>
      </c>
      <c r="F257" s="2176"/>
      <c r="G257" s="2252">
        <f>G258+G259+G260+G261+G262</f>
        <v>0</v>
      </c>
      <c r="H257" s="2252">
        <f>H258+H259+H260+H261+H262</f>
        <v>0</v>
      </c>
      <c r="I257" s="2178">
        <f t="shared" si="411"/>
        <v>0</v>
      </c>
      <c r="J257" s="2176"/>
      <c r="K257" s="2179">
        <f t="shared" si="436"/>
        <v>0</v>
      </c>
      <c r="L257" s="2179">
        <f t="shared" si="436"/>
        <v>0</v>
      </c>
      <c r="M257" s="2178">
        <f t="shared" si="412"/>
        <v>0</v>
      </c>
      <c r="N257" s="2179">
        <f>N258+N259+N260+N261+N262</f>
        <v>0</v>
      </c>
      <c r="O257" s="2179">
        <f>O258+O259+O260+O261+O262</f>
        <v>0</v>
      </c>
      <c r="P257" s="2178">
        <f t="shared" si="413"/>
        <v>0</v>
      </c>
      <c r="Q257" s="2179">
        <f>Q258+Q259+Q260+Q261+Q262</f>
        <v>0</v>
      </c>
      <c r="R257" s="2179">
        <f>R258+R259+R260+R261+R262</f>
        <v>0</v>
      </c>
      <c r="S257" s="2180">
        <f t="shared" ref="S257:S261" si="441">R257-Q257</f>
        <v>0</v>
      </c>
      <c r="T257" s="2181">
        <f t="shared" si="437"/>
        <v>0</v>
      </c>
      <c r="U257" s="2179">
        <f t="shared" si="437"/>
        <v>0</v>
      </c>
      <c r="V257" s="2180">
        <f t="shared" si="415"/>
        <v>0</v>
      </c>
      <c r="W257" s="2187">
        <f>W258+W259+W260+W261+W262</f>
        <v>0</v>
      </c>
      <c r="X257" s="2179">
        <f>X258+X259+X260+X261+X262</f>
        <v>0</v>
      </c>
      <c r="Y257" s="2183">
        <f t="shared" ref="Y257:Y261" si="442">X257-W257</f>
        <v>0</v>
      </c>
      <c r="Z257" s="2184">
        <f t="shared" si="438"/>
        <v>0</v>
      </c>
      <c r="AA257" s="2179">
        <f t="shared" si="438"/>
        <v>0</v>
      </c>
      <c r="AB257" s="2178">
        <f t="shared" si="417"/>
        <v>0</v>
      </c>
      <c r="AC257" s="2179">
        <f>AC258+AC259+AC260+AC261+AC262</f>
        <v>0</v>
      </c>
      <c r="AD257" s="2179">
        <f>AD258+AD259+AD260+AD261+AD262</f>
        <v>0</v>
      </c>
      <c r="AE257" s="2180">
        <f t="shared" si="435"/>
        <v>0</v>
      </c>
      <c r="AF257" s="2277"/>
      <c r="AG257" s="2114"/>
      <c r="AH257" s="2188">
        <f>AH258+AH259+AH260+AH261+AH262</f>
        <v>0</v>
      </c>
      <c r="AI257" s="2188">
        <f>AI258+AI259+AI260+AI261+AI262</f>
        <v>0</v>
      </c>
      <c r="AJ257" s="2186">
        <f t="shared" si="419"/>
        <v>0</v>
      </c>
      <c r="AK257" s="2188">
        <f>AK258+AK259+AK260+AK261+AK262</f>
        <v>0</v>
      </c>
      <c r="AL257" s="2188">
        <f>AL258+AL259+AL260+AL261+AL262</f>
        <v>0</v>
      </c>
      <c r="AM257" s="2186">
        <f t="shared" si="420"/>
        <v>0</v>
      </c>
      <c r="AN257" s="2188">
        <f>AN258+AN259+AN260+AN261+AN262</f>
        <v>0</v>
      </c>
      <c r="AO257" s="2188">
        <f>AO258+AO259+AO260+AO261+AO262</f>
        <v>0</v>
      </c>
      <c r="AP257" s="2186">
        <f t="shared" si="421"/>
        <v>0</v>
      </c>
      <c r="AQ257" s="2188">
        <f>AQ258+AQ259+AQ260+AQ261+AQ262</f>
        <v>0</v>
      </c>
      <c r="AR257" s="2188">
        <f>AR258+AR259+AR260+AR261+AR262</f>
        <v>0</v>
      </c>
      <c r="AS257" s="2186">
        <f t="shared" si="422"/>
        <v>0</v>
      </c>
      <c r="AT257" s="2188">
        <f>AT258+AT259+AT260+AT261+AT262</f>
        <v>0</v>
      </c>
      <c r="AU257" s="2188">
        <f>AU258+AU259+AU260+AU261+AU262</f>
        <v>0</v>
      </c>
      <c r="AV257" s="2186">
        <f t="shared" si="423"/>
        <v>0</v>
      </c>
      <c r="AW257" s="2188">
        <f>AW258+AW259+AW260+AW261+AW262</f>
        <v>0</v>
      </c>
      <c r="AX257" s="2188">
        <f>AX258+AX259+AX260+AX261+AX262</f>
        <v>0</v>
      </c>
      <c r="AY257" s="2186">
        <f t="shared" si="424"/>
        <v>0</v>
      </c>
      <c r="AZ257" s="2188">
        <f>AZ258+AZ259+AZ260+AZ261+AZ262</f>
        <v>0</v>
      </c>
      <c r="BA257" s="2188">
        <f>BA258+BA259+BA260+BA261+BA262</f>
        <v>0</v>
      </c>
      <c r="BB257" s="2186">
        <f t="shared" si="425"/>
        <v>0</v>
      </c>
      <c r="BC257" s="2188">
        <f>BC258+BC259+BC260+BC261+BC262</f>
        <v>0</v>
      </c>
      <c r="BD257" s="2188">
        <f>BD258+BD259+BD260+BD261+BD262</f>
        <v>0</v>
      </c>
      <c r="BE257" s="2186">
        <f t="shared" si="426"/>
        <v>0</v>
      </c>
      <c r="BF257" s="2188">
        <f>BF258+BF259+BF260+BF261+BF262</f>
        <v>0</v>
      </c>
      <c r="BG257" s="2188">
        <f>BG258+BG259+BG260+BG261+BG262</f>
        <v>0</v>
      </c>
      <c r="BH257" s="2186">
        <f t="shared" si="427"/>
        <v>0</v>
      </c>
      <c r="BI257" s="2188">
        <f>BI258+BI259+BI260+BI261+BI262</f>
        <v>0</v>
      </c>
      <c r="BJ257" s="2188">
        <f>BJ258+BJ259+BJ260+BJ261+BJ262</f>
        <v>0</v>
      </c>
      <c r="BK257" s="2186">
        <f t="shared" si="428"/>
        <v>0</v>
      </c>
      <c r="BL257" s="2188">
        <f>BL258+BL259+BL260+BL261+BL262</f>
        <v>0</v>
      </c>
      <c r="BM257" s="2188">
        <f>BM258+BM259+BM260+BM261+BM262</f>
        <v>0</v>
      </c>
      <c r="BN257" s="2186">
        <f t="shared" si="429"/>
        <v>0</v>
      </c>
      <c r="BO257" s="2188">
        <f>BO258+BO259+BO260+BO261+BO262</f>
        <v>0</v>
      </c>
      <c r="BP257" s="2188">
        <f>BP258+BP259+BP260+BP261+BP262</f>
        <v>0</v>
      </c>
      <c r="BQ257" s="2186">
        <f t="shared" si="430"/>
        <v>0</v>
      </c>
    </row>
    <row r="258" spans="3:69" s="2087" customFormat="1" hidden="1">
      <c r="C258" s="2194" t="s">
        <v>2383</v>
      </c>
      <c r="D258" s="2283" t="s">
        <v>2221</v>
      </c>
      <c r="E258" s="2284" t="s">
        <v>240</v>
      </c>
      <c r="F258" s="2176"/>
      <c r="G258" s="2268"/>
      <c r="H258" s="2268"/>
      <c r="I258" s="2178">
        <f t="shared" si="411"/>
        <v>0</v>
      </c>
      <c r="J258" s="2176"/>
      <c r="K258" s="2252">
        <f t="shared" si="436"/>
        <v>0</v>
      </c>
      <c r="L258" s="2252">
        <f t="shared" si="436"/>
        <v>0</v>
      </c>
      <c r="M258" s="2255">
        <f t="shared" si="412"/>
        <v>0</v>
      </c>
      <c r="N258" s="2177"/>
      <c r="O258" s="2177"/>
      <c r="P258" s="2178">
        <f t="shared" si="413"/>
        <v>0</v>
      </c>
      <c r="Q258" s="2176"/>
      <c r="R258" s="2177"/>
      <c r="S258" s="2180">
        <f t="shared" si="441"/>
        <v>0</v>
      </c>
      <c r="T258" s="2251">
        <f t="shared" si="437"/>
        <v>0</v>
      </c>
      <c r="U258" s="2252">
        <f t="shared" si="437"/>
        <v>0</v>
      </c>
      <c r="V258" s="2253">
        <f t="shared" si="415"/>
        <v>0</v>
      </c>
      <c r="W258" s="2182"/>
      <c r="X258" s="2177"/>
      <c r="Y258" s="2183">
        <f t="shared" si="442"/>
        <v>0</v>
      </c>
      <c r="Z258" s="2254">
        <f t="shared" si="438"/>
        <v>0</v>
      </c>
      <c r="AA258" s="2252">
        <f t="shared" si="438"/>
        <v>0</v>
      </c>
      <c r="AB258" s="2255">
        <f t="shared" si="417"/>
        <v>0</v>
      </c>
      <c r="AC258" s="2176"/>
      <c r="AD258" s="2177"/>
      <c r="AE258" s="2180">
        <f t="shared" si="435"/>
        <v>0</v>
      </c>
      <c r="AF258" s="2281"/>
      <c r="AG258" s="2114"/>
      <c r="AH258" s="2177"/>
      <c r="AI258" s="2177"/>
      <c r="AJ258" s="2186">
        <f t="shared" si="419"/>
        <v>0</v>
      </c>
      <c r="AK258" s="2177"/>
      <c r="AL258" s="2177"/>
      <c r="AM258" s="2186">
        <f t="shared" si="420"/>
        <v>0</v>
      </c>
      <c r="AN258" s="2177"/>
      <c r="AO258" s="2177"/>
      <c r="AP258" s="2186">
        <f t="shared" si="421"/>
        <v>0</v>
      </c>
      <c r="AQ258" s="2177"/>
      <c r="AR258" s="2177"/>
      <c r="AS258" s="2186">
        <f t="shared" si="422"/>
        <v>0</v>
      </c>
      <c r="AT258" s="2177"/>
      <c r="AU258" s="2177"/>
      <c r="AV258" s="2186">
        <f t="shared" si="423"/>
        <v>0</v>
      </c>
      <c r="AW258" s="2177"/>
      <c r="AX258" s="2177"/>
      <c r="AY258" s="2186">
        <f t="shared" si="424"/>
        <v>0</v>
      </c>
      <c r="AZ258" s="2177"/>
      <c r="BA258" s="2177"/>
      <c r="BB258" s="2186">
        <f t="shared" si="425"/>
        <v>0</v>
      </c>
      <c r="BC258" s="2177"/>
      <c r="BD258" s="2177"/>
      <c r="BE258" s="2186">
        <f t="shared" si="426"/>
        <v>0</v>
      </c>
      <c r="BF258" s="2177"/>
      <c r="BG258" s="2177"/>
      <c r="BH258" s="2186">
        <f t="shared" si="427"/>
        <v>0</v>
      </c>
      <c r="BI258" s="2177"/>
      <c r="BJ258" s="2177"/>
      <c r="BK258" s="2186">
        <f t="shared" si="428"/>
        <v>0</v>
      </c>
      <c r="BL258" s="2177"/>
      <c r="BM258" s="2177"/>
      <c r="BN258" s="2186">
        <f t="shared" si="429"/>
        <v>0</v>
      </c>
      <c r="BO258" s="2177"/>
      <c r="BP258" s="2177"/>
      <c r="BQ258" s="2186">
        <f t="shared" si="430"/>
        <v>0</v>
      </c>
    </row>
    <row r="259" spans="3:69" s="2087" customFormat="1" hidden="1">
      <c r="C259" s="2194" t="s">
        <v>2384</v>
      </c>
      <c r="D259" s="2283" t="s">
        <v>2223</v>
      </c>
      <c r="E259" s="2284" t="s">
        <v>240</v>
      </c>
      <c r="F259" s="2176"/>
      <c r="G259" s="2177"/>
      <c r="H259" s="2177"/>
      <c r="I259" s="2178">
        <f t="shared" si="411"/>
        <v>0</v>
      </c>
      <c r="J259" s="2176"/>
      <c r="K259" s="2252">
        <f t="shared" si="436"/>
        <v>0</v>
      </c>
      <c r="L259" s="2252">
        <f t="shared" si="436"/>
        <v>0</v>
      </c>
      <c r="M259" s="2255">
        <f t="shared" si="412"/>
        <v>0</v>
      </c>
      <c r="N259" s="2177"/>
      <c r="O259" s="2177"/>
      <c r="P259" s="2178">
        <f t="shared" si="413"/>
        <v>0</v>
      </c>
      <c r="Q259" s="2176"/>
      <c r="R259" s="2177"/>
      <c r="S259" s="2180">
        <f t="shared" si="441"/>
        <v>0</v>
      </c>
      <c r="T259" s="2251">
        <f t="shared" si="437"/>
        <v>0</v>
      </c>
      <c r="U259" s="2252">
        <f t="shared" si="437"/>
        <v>0</v>
      </c>
      <c r="V259" s="2253">
        <f t="shared" si="415"/>
        <v>0</v>
      </c>
      <c r="W259" s="2182"/>
      <c r="X259" s="2177"/>
      <c r="Y259" s="2183">
        <f t="shared" si="442"/>
        <v>0</v>
      </c>
      <c r="Z259" s="2254">
        <f t="shared" si="438"/>
        <v>0</v>
      </c>
      <c r="AA259" s="2252">
        <f t="shared" si="438"/>
        <v>0</v>
      </c>
      <c r="AB259" s="2255">
        <f t="shared" si="417"/>
        <v>0</v>
      </c>
      <c r="AC259" s="2176"/>
      <c r="AD259" s="2177"/>
      <c r="AE259" s="2180">
        <f t="shared" si="435"/>
        <v>0</v>
      </c>
      <c r="AF259" s="2281"/>
      <c r="AG259" s="2114"/>
      <c r="AH259" s="2177"/>
      <c r="AI259" s="2177"/>
      <c r="AJ259" s="2186">
        <f t="shared" si="419"/>
        <v>0</v>
      </c>
      <c r="AK259" s="2177"/>
      <c r="AL259" s="2177"/>
      <c r="AM259" s="2186">
        <f t="shared" si="420"/>
        <v>0</v>
      </c>
      <c r="AN259" s="2177"/>
      <c r="AO259" s="2177"/>
      <c r="AP259" s="2186">
        <f t="shared" si="421"/>
        <v>0</v>
      </c>
      <c r="AQ259" s="2177"/>
      <c r="AR259" s="2177"/>
      <c r="AS259" s="2186">
        <f t="shared" si="422"/>
        <v>0</v>
      </c>
      <c r="AT259" s="2177"/>
      <c r="AU259" s="2177"/>
      <c r="AV259" s="2186">
        <f t="shared" si="423"/>
        <v>0</v>
      </c>
      <c r="AW259" s="2177"/>
      <c r="AX259" s="2177"/>
      <c r="AY259" s="2186">
        <f t="shared" si="424"/>
        <v>0</v>
      </c>
      <c r="AZ259" s="2177"/>
      <c r="BA259" s="2177"/>
      <c r="BB259" s="2186">
        <f t="shared" si="425"/>
        <v>0</v>
      </c>
      <c r="BC259" s="2177"/>
      <c r="BD259" s="2177"/>
      <c r="BE259" s="2186">
        <f t="shared" si="426"/>
        <v>0</v>
      </c>
      <c r="BF259" s="2177"/>
      <c r="BG259" s="2177"/>
      <c r="BH259" s="2186">
        <f t="shared" si="427"/>
        <v>0</v>
      </c>
      <c r="BI259" s="2177"/>
      <c r="BJ259" s="2177"/>
      <c r="BK259" s="2186">
        <f t="shared" si="428"/>
        <v>0</v>
      </c>
      <c r="BL259" s="2177"/>
      <c r="BM259" s="2177"/>
      <c r="BN259" s="2186">
        <f t="shared" si="429"/>
        <v>0</v>
      </c>
      <c r="BO259" s="2177"/>
      <c r="BP259" s="2177"/>
      <c r="BQ259" s="2186">
        <f t="shared" si="430"/>
        <v>0</v>
      </c>
    </row>
    <row r="260" spans="3:69" s="2087" customFormat="1" hidden="1">
      <c r="C260" s="2194" t="s">
        <v>2385</v>
      </c>
      <c r="D260" s="2283" t="s">
        <v>2225</v>
      </c>
      <c r="E260" s="2284" t="s">
        <v>240</v>
      </c>
      <c r="F260" s="2176"/>
      <c r="G260" s="2177"/>
      <c r="H260" s="2177"/>
      <c r="I260" s="2178">
        <f t="shared" si="411"/>
        <v>0</v>
      </c>
      <c r="J260" s="2176"/>
      <c r="K260" s="2252">
        <f t="shared" si="436"/>
        <v>0</v>
      </c>
      <c r="L260" s="2252">
        <f t="shared" si="436"/>
        <v>0</v>
      </c>
      <c r="M260" s="2255">
        <f t="shared" si="412"/>
        <v>0</v>
      </c>
      <c r="N260" s="2177"/>
      <c r="O260" s="2177"/>
      <c r="P260" s="2178">
        <f t="shared" si="413"/>
        <v>0</v>
      </c>
      <c r="Q260" s="2176"/>
      <c r="R260" s="2177"/>
      <c r="S260" s="2180">
        <f t="shared" si="441"/>
        <v>0</v>
      </c>
      <c r="T260" s="2251">
        <f t="shared" si="437"/>
        <v>0</v>
      </c>
      <c r="U260" s="2252">
        <f t="shared" si="437"/>
        <v>0</v>
      </c>
      <c r="V260" s="2253">
        <f t="shared" si="415"/>
        <v>0</v>
      </c>
      <c r="W260" s="2182"/>
      <c r="X260" s="2177"/>
      <c r="Y260" s="2183">
        <f t="shared" si="442"/>
        <v>0</v>
      </c>
      <c r="Z260" s="2254">
        <f t="shared" si="438"/>
        <v>0</v>
      </c>
      <c r="AA260" s="2252">
        <f t="shared" si="438"/>
        <v>0</v>
      </c>
      <c r="AB260" s="2255">
        <f t="shared" si="417"/>
        <v>0</v>
      </c>
      <c r="AC260" s="2176"/>
      <c r="AD260" s="2177"/>
      <c r="AE260" s="2180">
        <f t="shared" si="435"/>
        <v>0</v>
      </c>
      <c r="AF260" s="2281"/>
      <c r="AG260" s="2114"/>
      <c r="AH260" s="2177"/>
      <c r="AI260" s="2177"/>
      <c r="AJ260" s="2186">
        <f t="shared" si="419"/>
        <v>0</v>
      </c>
      <c r="AK260" s="2177"/>
      <c r="AL260" s="2177"/>
      <c r="AM260" s="2186">
        <f t="shared" si="420"/>
        <v>0</v>
      </c>
      <c r="AN260" s="2177"/>
      <c r="AO260" s="2177"/>
      <c r="AP260" s="2186">
        <f t="shared" si="421"/>
        <v>0</v>
      </c>
      <c r="AQ260" s="2177"/>
      <c r="AR260" s="2177"/>
      <c r="AS260" s="2186">
        <f t="shared" si="422"/>
        <v>0</v>
      </c>
      <c r="AT260" s="2177"/>
      <c r="AU260" s="2177"/>
      <c r="AV260" s="2186">
        <f t="shared" si="423"/>
        <v>0</v>
      </c>
      <c r="AW260" s="2177"/>
      <c r="AX260" s="2177"/>
      <c r="AY260" s="2186">
        <f t="shared" si="424"/>
        <v>0</v>
      </c>
      <c r="AZ260" s="2177"/>
      <c r="BA260" s="2177"/>
      <c r="BB260" s="2186">
        <f t="shared" si="425"/>
        <v>0</v>
      </c>
      <c r="BC260" s="2177"/>
      <c r="BD260" s="2177"/>
      <c r="BE260" s="2186">
        <f t="shared" si="426"/>
        <v>0</v>
      </c>
      <c r="BF260" s="2177"/>
      <c r="BG260" s="2177"/>
      <c r="BH260" s="2186">
        <f t="shared" si="427"/>
        <v>0</v>
      </c>
      <c r="BI260" s="2177"/>
      <c r="BJ260" s="2177"/>
      <c r="BK260" s="2186">
        <f t="shared" si="428"/>
        <v>0</v>
      </c>
      <c r="BL260" s="2177"/>
      <c r="BM260" s="2177"/>
      <c r="BN260" s="2186">
        <f t="shared" si="429"/>
        <v>0</v>
      </c>
      <c r="BO260" s="2177"/>
      <c r="BP260" s="2177"/>
      <c r="BQ260" s="2186">
        <f t="shared" si="430"/>
        <v>0</v>
      </c>
    </row>
    <row r="261" spans="3:69" s="2087" customFormat="1" hidden="1">
      <c r="C261" s="2194" t="s">
        <v>2386</v>
      </c>
      <c r="D261" s="2283" t="s">
        <v>2227</v>
      </c>
      <c r="E261" s="2284" t="s">
        <v>240</v>
      </c>
      <c r="F261" s="2176"/>
      <c r="G261" s="2177"/>
      <c r="H261" s="2177"/>
      <c r="I261" s="2178">
        <f t="shared" si="411"/>
        <v>0</v>
      </c>
      <c r="J261" s="2176"/>
      <c r="K261" s="2252">
        <f t="shared" si="436"/>
        <v>0</v>
      </c>
      <c r="L261" s="2252">
        <f t="shared" si="436"/>
        <v>0</v>
      </c>
      <c r="M261" s="2255">
        <f t="shared" si="412"/>
        <v>0</v>
      </c>
      <c r="N261" s="2177"/>
      <c r="O261" s="2177"/>
      <c r="P261" s="2178">
        <f t="shared" si="413"/>
        <v>0</v>
      </c>
      <c r="Q261" s="2176"/>
      <c r="R261" s="2177"/>
      <c r="S261" s="2180">
        <f t="shared" si="441"/>
        <v>0</v>
      </c>
      <c r="T261" s="2251">
        <f t="shared" si="437"/>
        <v>0</v>
      </c>
      <c r="U261" s="2252">
        <f t="shared" si="437"/>
        <v>0</v>
      </c>
      <c r="V261" s="2253">
        <f t="shared" si="415"/>
        <v>0</v>
      </c>
      <c r="W261" s="2182"/>
      <c r="X261" s="2177"/>
      <c r="Y261" s="2183">
        <f t="shared" si="442"/>
        <v>0</v>
      </c>
      <c r="Z261" s="2254">
        <f t="shared" si="438"/>
        <v>0</v>
      </c>
      <c r="AA261" s="2252">
        <f t="shared" si="438"/>
        <v>0</v>
      </c>
      <c r="AB261" s="2255">
        <f t="shared" si="417"/>
        <v>0</v>
      </c>
      <c r="AC261" s="2176"/>
      <c r="AD261" s="2177"/>
      <c r="AE261" s="2180">
        <f t="shared" si="435"/>
        <v>0</v>
      </c>
      <c r="AF261" s="2281"/>
      <c r="AG261" s="2114"/>
      <c r="AH261" s="2177"/>
      <c r="AI261" s="2177"/>
      <c r="AJ261" s="2186">
        <f t="shared" si="419"/>
        <v>0</v>
      </c>
      <c r="AK261" s="2177"/>
      <c r="AL261" s="2177"/>
      <c r="AM261" s="2186">
        <f t="shared" si="420"/>
        <v>0</v>
      </c>
      <c r="AN261" s="2177"/>
      <c r="AO261" s="2177"/>
      <c r="AP261" s="2186">
        <f t="shared" si="421"/>
        <v>0</v>
      </c>
      <c r="AQ261" s="2177"/>
      <c r="AR261" s="2177"/>
      <c r="AS261" s="2186">
        <f t="shared" si="422"/>
        <v>0</v>
      </c>
      <c r="AT261" s="2177"/>
      <c r="AU261" s="2177"/>
      <c r="AV261" s="2186">
        <f t="shared" si="423"/>
        <v>0</v>
      </c>
      <c r="AW261" s="2177"/>
      <c r="AX261" s="2177"/>
      <c r="AY261" s="2186">
        <f t="shared" si="424"/>
        <v>0</v>
      </c>
      <c r="AZ261" s="2177"/>
      <c r="BA261" s="2177"/>
      <c r="BB261" s="2186">
        <f t="shared" si="425"/>
        <v>0</v>
      </c>
      <c r="BC261" s="2177"/>
      <c r="BD261" s="2177"/>
      <c r="BE261" s="2186">
        <f t="shared" si="426"/>
        <v>0</v>
      </c>
      <c r="BF261" s="2177"/>
      <c r="BG261" s="2177"/>
      <c r="BH261" s="2186">
        <f t="shared" si="427"/>
        <v>0</v>
      </c>
      <c r="BI261" s="2177"/>
      <c r="BJ261" s="2177"/>
      <c r="BK261" s="2186">
        <f t="shared" si="428"/>
        <v>0</v>
      </c>
      <c r="BL261" s="2177"/>
      <c r="BM261" s="2177"/>
      <c r="BN261" s="2186">
        <f t="shared" si="429"/>
        <v>0</v>
      </c>
      <c r="BO261" s="2177"/>
      <c r="BP261" s="2177"/>
      <c r="BQ261" s="2186">
        <f t="shared" si="430"/>
        <v>0</v>
      </c>
    </row>
    <row r="262" spans="3:69" s="2087" customFormat="1" hidden="1">
      <c r="C262" s="2194" t="s">
        <v>2387</v>
      </c>
      <c r="D262" s="2283" t="s">
        <v>2229</v>
      </c>
      <c r="E262" s="2284" t="s">
        <v>240</v>
      </c>
      <c r="F262" s="2176"/>
      <c r="G262" s="2177"/>
      <c r="H262" s="2177"/>
      <c r="I262" s="2178">
        <f t="shared" si="411"/>
        <v>0</v>
      </c>
      <c r="J262" s="2176"/>
      <c r="K262" s="2252">
        <f t="shared" si="436"/>
        <v>0</v>
      </c>
      <c r="L262" s="2252">
        <f t="shared" si="436"/>
        <v>0</v>
      </c>
      <c r="M262" s="2255">
        <f t="shared" si="412"/>
        <v>0</v>
      </c>
      <c r="N262" s="2177"/>
      <c r="O262" s="2177"/>
      <c r="P262" s="2178">
        <f t="shared" si="413"/>
        <v>0</v>
      </c>
      <c r="Q262" s="2176"/>
      <c r="R262" s="2177"/>
      <c r="S262" s="2266"/>
      <c r="T262" s="2251">
        <f t="shared" si="437"/>
        <v>0</v>
      </c>
      <c r="U262" s="2252">
        <f t="shared" si="437"/>
        <v>0</v>
      </c>
      <c r="V262" s="2253">
        <f t="shared" si="415"/>
        <v>0</v>
      </c>
      <c r="W262" s="2182"/>
      <c r="X262" s="2177"/>
      <c r="Y262" s="2271"/>
      <c r="Z262" s="2254">
        <f t="shared" si="438"/>
        <v>0</v>
      </c>
      <c r="AA262" s="2252">
        <f t="shared" si="438"/>
        <v>0</v>
      </c>
      <c r="AB262" s="2255">
        <f t="shared" si="417"/>
        <v>0</v>
      </c>
      <c r="AC262" s="2176"/>
      <c r="AD262" s="2177"/>
      <c r="AE262" s="2180">
        <f t="shared" si="435"/>
        <v>0</v>
      </c>
      <c r="AF262" s="2281"/>
      <c r="AG262" s="2114"/>
      <c r="AH262" s="2177"/>
      <c r="AI262" s="2177"/>
      <c r="AJ262" s="2186">
        <f t="shared" si="419"/>
        <v>0</v>
      </c>
      <c r="AK262" s="2177"/>
      <c r="AL262" s="2177"/>
      <c r="AM262" s="2186">
        <f t="shared" si="420"/>
        <v>0</v>
      </c>
      <c r="AN262" s="2177"/>
      <c r="AO262" s="2177"/>
      <c r="AP262" s="2186">
        <f t="shared" si="421"/>
        <v>0</v>
      </c>
      <c r="AQ262" s="2177"/>
      <c r="AR262" s="2177"/>
      <c r="AS262" s="2186">
        <f t="shared" si="422"/>
        <v>0</v>
      </c>
      <c r="AT262" s="2177"/>
      <c r="AU262" s="2177"/>
      <c r="AV262" s="2186">
        <f t="shared" si="423"/>
        <v>0</v>
      </c>
      <c r="AW262" s="2177"/>
      <c r="AX262" s="2177"/>
      <c r="AY262" s="2186">
        <f t="shared" si="424"/>
        <v>0</v>
      </c>
      <c r="AZ262" s="2177"/>
      <c r="BA262" s="2177"/>
      <c r="BB262" s="2186">
        <f t="shared" si="425"/>
        <v>0</v>
      </c>
      <c r="BC262" s="2177"/>
      <c r="BD262" s="2177"/>
      <c r="BE262" s="2186">
        <f t="shared" si="426"/>
        <v>0</v>
      </c>
      <c r="BF262" s="2177"/>
      <c r="BG262" s="2177"/>
      <c r="BH262" s="2186">
        <f t="shared" si="427"/>
        <v>0</v>
      </c>
      <c r="BI262" s="2177"/>
      <c r="BJ262" s="2177"/>
      <c r="BK262" s="2186">
        <f t="shared" si="428"/>
        <v>0</v>
      </c>
      <c r="BL262" s="2177"/>
      <c r="BM262" s="2177"/>
      <c r="BN262" s="2186">
        <f t="shared" si="429"/>
        <v>0</v>
      </c>
      <c r="BO262" s="2177"/>
      <c r="BP262" s="2177"/>
      <c r="BQ262" s="2186">
        <f t="shared" si="430"/>
        <v>0</v>
      </c>
    </row>
    <row r="263" spans="3:69" s="2087" customFormat="1" hidden="1">
      <c r="C263" s="2285" t="s">
        <v>2388</v>
      </c>
      <c r="D263" s="2287" t="s">
        <v>2255</v>
      </c>
      <c r="E263" s="2284" t="s">
        <v>240</v>
      </c>
      <c r="F263" s="2176"/>
      <c r="G263" s="2252">
        <f>G264+G265+G266+G267+G268</f>
        <v>0</v>
      </c>
      <c r="H263" s="2252">
        <f>H264+H265+H266+H267+H268</f>
        <v>0</v>
      </c>
      <c r="I263" s="2178">
        <f t="shared" si="411"/>
        <v>0</v>
      </c>
      <c r="J263" s="2176"/>
      <c r="K263" s="2179">
        <f t="shared" si="436"/>
        <v>0</v>
      </c>
      <c r="L263" s="2179">
        <f t="shared" si="436"/>
        <v>0</v>
      </c>
      <c r="M263" s="2178">
        <f t="shared" si="412"/>
        <v>0</v>
      </c>
      <c r="N263" s="2179">
        <f>N264+N265+N266+N267+N268</f>
        <v>0</v>
      </c>
      <c r="O263" s="2179">
        <f>O264+O265+O266+O267+O268</f>
        <v>0</v>
      </c>
      <c r="P263" s="2178">
        <f t="shared" si="413"/>
        <v>0</v>
      </c>
      <c r="Q263" s="2179">
        <f>Q264+Q265+Q266+Q267+Q268</f>
        <v>0</v>
      </c>
      <c r="R263" s="2179">
        <f>R264+R265+R266+R267+R268</f>
        <v>0</v>
      </c>
      <c r="S263" s="2180">
        <f t="shared" ref="S263:S267" si="443">R263-Q263</f>
        <v>0</v>
      </c>
      <c r="T263" s="2181">
        <f t="shared" si="437"/>
        <v>0</v>
      </c>
      <c r="U263" s="2179">
        <f t="shared" si="437"/>
        <v>0</v>
      </c>
      <c r="V263" s="2180">
        <f t="shared" si="415"/>
        <v>0</v>
      </c>
      <c r="W263" s="2187">
        <f>W264+W265+W266+W267+W268</f>
        <v>0</v>
      </c>
      <c r="X263" s="2179">
        <f>X264+X265+X266+X267+X268</f>
        <v>0</v>
      </c>
      <c r="Y263" s="2183">
        <f t="shared" ref="Y263:Y267" si="444">X263-W263</f>
        <v>0</v>
      </c>
      <c r="Z263" s="2184">
        <f t="shared" si="438"/>
        <v>0</v>
      </c>
      <c r="AA263" s="2179">
        <f t="shared" si="438"/>
        <v>0</v>
      </c>
      <c r="AB263" s="2178">
        <f t="shared" si="417"/>
        <v>0</v>
      </c>
      <c r="AC263" s="2179">
        <f>AC264+AC265+AC266+AC267+AC268</f>
        <v>0</v>
      </c>
      <c r="AD263" s="2179">
        <f>AD264+AD265+AD266+AD267+AD268</f>
        <v>0</v>
      </c>
      <c r="AE263" s="2180">
        <f t="shared" si="435"/>
        <v>0</v>
      </c>
      <c r="AF263" s="2277"/>
      <c r="AG263" s="2114"/>
      <c r="AH263" s="2188">
        <f>AH264+AH265+AH266+AH267+AH268</f>
        <v>0</v>
      </c>
      <c r="AI263" s="2188">
        <f>AI264+AI265+AI266+AI267+AI268</f>
        <v>0</v>
      </c>
      <c r="AJ263" s="2186">
        <f t="shared" si="419"/>
        <v>0</v>
      </c>
      <c r="AK263" s="2188">
        <f>AK264+AK265+AK266+AK267+AK268</f>
        <v>0</v>
      </c>
      <c r="AL263" s="2188">
        <f>AL264+AL265+AL266+AL267+AL268</f>
        <v>0</v>
      </c>
      <c r="AM263" s="2186">
        <f t="shared" si="420"/>
        <v>0</v>
      </c>
      <c r="AN263" s="2188">
        <f>AN264+AN265+AN266+AN267+AN268</f>
        <v>0</v>
      </c>
      <c r="AO263" s="2188">
        <f>AO264+AO265+AO266+AO267+AO268</f>
        <v>0</v>
      </c>
      <c r="AP263" s="2186">
        <f t="shared" si="421"/>
        <v>0</v>
      </c>
      <c r="AQ263" s="2188">
        <f>AQ264+AQ265+AQ266+AQ267+AQ268</f>
        <v>0</v>
      </c>
      <c r="AR263" s="2188">
        <f>AR264+AR265+AR266+AR267+AR268</f>
        <v>0</v>
      </c>
      <c r="AS263" s="2186">
        <f t="shared" si="422"/>
        <v>0</v>
      </c>
      <c r="AT263" s="2188">
        <f>AT264+AT265+AT266+AT267+AT268</f>
        <v>0</v>
      </c>
      <c r="AU263" s="2188">
        <f>AU264+AU265+AU266+AU267+AU268</f>
        <v>0</v>
      </c>
      <c r="AV263" s="2186">
        <f t="shared" si="423"/>
        <v>0</v>
      </c>
      <c r="AW263" s="2188">
        <f>AW264+AW265+AW266+AW267+AW268</f>
        <v>0</v>
      </c>
      <c r="AX263" s="2188">
        <f>AX264+AX265+AX266+AX267+AX268</f>
        <v>0</v>
      </c>
      <c r="AY263" s="2186">
        <f t="shared" si="424"/>
        <v>0</v>
      </c>
      <c r="AZ263" s="2188">
        <f>AZ264+AZ265+AZ266+AZ267+AZ268</f>
        <v>0</v>
      </c>
      <c r="BA263" s="2188">
        <f>BA264+BA265+BA266+BA267+BA268</f>
        <v>0</v>
      </c>
      <c r="BB263" s="2186">
        <f t="shared" si="425"/>
        <v>0</v>
      </c>
      <c r="BC263" s="2188">
        <f>BC264+BC265+BC266+BC267+BC268</f>
        <v>0</v>
      </c>
      <c r="BD263" s="2188">
        <f>BD264+BD265+BD266+BD267+BD268</f>
        <v>0</v>
      </c>
      <c r="BE263" s="2186">
        <f t="shared" si="426"/>
        <v>0</v>
      </c>
      <c r="BF263" s="2188">
        <f>BF264+BF265+BF266+BF267+BF268</f>
        <v>0</v>
      </c>
      <c r="BG263" s="2188">
        <f>BG264+BG265+BG266+BG267+BG268</f>
        <v>0</v>
      </c>
      <c r="BH263" s="2186">
        <f t="shared" si="427"/>
        <v>0</v>
      </c>
      <c r="BI263" s="2188">
        <f>BI264+BI265+BI266+BI267+BI268</f>
        <v>0</v>
      </c>
      <c r="BJ263" s="2188">
        <f>BJ264+BJ265+BJ266+BJ267+BJ268</f>
        <v>0</v>
      </c>
      <c r="BK263" s="2186">
        <f t="shared" si="428"/>
        <v>0</v>
      </c>
      <c r="BL263" s="2188">
        <f>BL264+BL265+BL266+BL267+BL268</f>
        <v>0</v>
      </c>
      <c r="BM263" s="2188">
        <f>BM264+BM265+BM266+BM267+BM268</f>
        <v>0</v>
      </c>
      <c r="BN263" s="2186">
        <f t="shared" si="429"/>
        <v>0</v>
      </c>
      <c r="BO263" s="2188">
        <f>BO264+BO265+BO266+BO267+BO268</f>
        <v>0</v>
      </c>
      <c r="BP263" s="2188">
        <f>BP264+BP265+BP266+BP267+BP268</f>
        <v>0</v>
      </c>
      <c r="BQ263" s="2186">
        <f t="shared" si="430"/>
        <v>0</v>
      </c>
    </row>
    <row r="264" spans="3:69" s="2087" customFormat="1" hidden="1">
      <c r="C264" s="2194" t="s">
        <v>2389</v>
      </c>
      <c r="D264" s="2283" t="s">
        <v>2221</v>
      </c>
      <c r="E264" s="2284" t="s">
        <v>240</v>
      </c>
      <c r="F264" s="2176"/>
      <c r="G264" s="2177"/>
      <c r="H264" s="2177"/>
      <c r="I264" s="2178">
        <f t="shared" si="411"/>
        <v>0</v>
      </c>
      <c r="J264" s="2176"/>
      <c r="K264" s="2252">
        <f t="shared" si="436"/>
        <v>0</v>
      </c>
      <c r="L264" s="2252">
        <f t="shared" si="436"/>
        <v>0</v>
      </c>
      <c r="M264" s="2255">
        <f t="shared" si="412"/>
        <v>0</v>
      </c>
      <c r="N264" s="2177"/>
      <c r="O264" s="2177"/>
      <c r="P264" s="2178">
        <f t="shared" si="413"/>
        <v>0</v>
      </c>
      <c r="Q264" s="2176"/>
      <c r="R264" s="2177"/>
      <c r="S264" s="2180">
        <f t="shared" si="443"/>
        <v>0</v>
      </c>
      <c r="T264" s="2251">
        <f t="shared" si="437"/>
        <v>0</v>
      </c>
      <c r="U264" s="2252">
        <f t="shared" si="437"/>
        <v>0</v>
      </c>
      <c r="V264" s="2253">
        <f t="shared" si="415"/>
        <v>0</v>
      </c>
      <c r="W264" s="2182"/>
      <c r="X264" s="2177"/>
      <c r="Y264" s="2183">
        <f t="shared" si="444"/>
        <v>0</v>
      </c>
      <c r="Z264" s="2254">
        <f t="shared" si="438"/>
        <v>0</v>
      </c>
      <c r="AA264" s="2252">
        <f t="shared" si="438"/>
        <v>0</v>
      </c>
      <c r="AB264" s="2255">
        <f t="shared" si="417"/>
        <v>0</v>
      </c>
      <c r="AC264" s="2176"/>
      <c r="AD264" s="2177"/>
      <c r="AE264" s="2180">
        <f t="shared" si="435"/>
        <v>0</v>
      </c>
      <c r="AF264" s="2281"/>
      <c r="AG264" s="2114"/>
      <c r="AH264" s="2177"/>
      <c r="AI264" s="2177"/>
      <c r="AJ264" s="2186">
        <f t="shared" si="419"/>
        <v>0</v>
      </c>
      <c r="AK264" s="2177"/>
      <c r="AL264" s="2177"/>
      <c r="AM264" s="2186">
        <f t="shared" si="420"/>
        <v>0</v>
      </c>
      <c r="AN264" s="2177"/>
      <c r="AO264" s="2177"/>
      <c r="AP264" s="2186">
        <f t="shared" si="421"/>
        <v>0</v>
      </c>
      <c r="AQ264" s="2177"/>
      <c r="AR264" s="2177"/>
      <c r="AS264" s="2186">
        <f t="shared" si="422"/>
        <v>0</v>
      </c>
      <c r="AT264" s="2177"/>
      <c r="AU264" s="2177"/>
      <c r="AV264" s="2186">
        <f t="shared" si="423"/>
        <v>0</v>
      </c>
      <c r="AW264" s="2177"/>
      <c r="AX264" s="2177"/>
      <c r="AY264" s="2186">
        <f t="shared" si="424"/>
        <v>0</v>
      </c>
      <c r="AZ264" s="2177"/>
      <c r="BA264" s="2177"/>
      <c r="BB264" s="2186">
        <f t="shared" si="425"/>
        <v>0</v>
      </c>
      <c r="BC264" s="2177"/>
      <c r="BD264" s="2177"/>
      <c r="BE264" s="2186">
        <f t="shared" si="426"/>
        <v>0</v>
      </c>
      <c r="BF264" s="2177"/>
      <c r="BG264" s="2177"/>
      <c r="BH264" s="2186">
        <f t="shared" si="427"/>
        <v>0</v>
      </c>
      <c r="BI264" s="2177"/>
      <c r="BJ264" s="2177"/>
      <c r="BK264" s="2186">
        <f t="shared" si="428"/>
        <v>0</v>
      </c>
      <c r="BL264" s="2177"/>
      <c r="BM264" s="2177"/>
      <c r="BN264" s="2186">
        <f t="shared" si="429"/>
        <v>0</v>
      </c>
      <c r="BO264" s="2177"/>
      <c r="BP264" s="2177"/>
      <c r="BQ264" s="2186">
        <f t="shared" si="430"/>
        <v>0</v>
      </c>
    </row>
    <row r="265" spans="3:69" s="2087" customFormat="1" hidden="1">
      <c r="C265" s="2194" t="s">
        <v>2390</v>
      </c>
      <c r="D265" s="2283" t="s">
        <v>2223</v>
      </c>
      <c r="E265" s="2284" t="s">
        <v>240</v>
      </c>
      <c r="F265" s="2176"/>
      <c r="G265" s="2177"/>
      <c r="H265" s="2177"/>
      <c r="I265" s="2178">
        <f t="shared" si="411"/>
        <v>0</v>
      </c>
      <c r="J265" s="2176"/>
      <c r="K265" s="2252">
        <f t="shared" si="436"/>
        <v>0</v>
      </c>
      <c r="L265" s="2252">
        <f t="shared" si="436"/>
        <v>0</v>
      </c>
      <c r="M265" s="2255">
        <f t="shared" si="412"/>
        <v>0</v>
      </c>
      <c r="N265" s="2177"/>
      <c r="O265" s="2177"/>
      <c r="P265" s="2178">
        <f t="shared" si="413"/>
        <v>0</v>
      </c>
      <c r="Q265" s="2176"/>
      <c r="R265" s="2177"/>
      <c r="S265" s="2180">
        <f t="shared" si="443"/>
        <v>0</v>
      </c>
      <c r="T265" s="2251">
        <f t="shared" si="437"/>
        <v>0</v>
      </c>
      <c r="U265" s="2252">
        <f t="shared" si="437"/>
        <v>0</v>
      </c>
      <c r="V265" s="2253">
        <f t="shared" si="415"/>
        <v>0</v>
      </c>
      <c r="W265" s="2182"/>
      <c r="X265" s="2177"/>
      <c r="Y265" s="2183">
        <f t="shared" si="444"/>
        <v>0</v>
      </c>
      <c r="Z265" s="2254">
        <f t="shared" si="438"/>
        <v>0</v>
      </c>
      <c r="AA265" s="2252">
        <f t="shared" si="438"/>
        <v>0</v>
      </c>
      <c r="AB265" s="2255">
        <f t="shared" si="417"/>
        <v>0</v>
      </c>
      <c r="AC265" s="2176"/>
      <c r="AD265" s="2177"/>
      <c r="AE265" s="2180">
        <f t="shared" si="435"/>
        <v>0</v>
      </c>
      <c r="AF265" s="2281"/>
      <c r="AG265" s="2114"/>
      <c r="AH265" s="2177"/>
      <c r="AI265" s="2177"/>
      <c r="AJ265" s="2186">
        <f t="shared" si="419"/>
        <v>0</v>
      </c>
      <c r="AK265" s="2177"/>
      <c r="AL265" s="2177"/>
      <c r="AM265" s="2186">
        <f t="shared" si="420"/>
        <v>0</v>
      </c>
      <c r="AN265" s="2177"/>
      <c r="AO265" s="2177"/>
      <c r="AP265" s="2186">
        <f t="shared" si="421"/>
        <v>0</v>
      </c>
      <c r="AQ265" s="2177"/>
      <c r="AR265" s="2177"/>
      <c r="AS265" s="2186">
        <f t="shared" si="422"/>
        <v>0</v>
      </c>
      <c r="AT265" s="2177"/>
      <c r="AU265" s="2177"/>
      <c r="AV265" s="2186">
        <f t="shared" si="423"/>
        <v>0</v>
      </c>
      <c r="AW265" s="2177"/>
      <c r="AX265" s="2177"/>
      <c r="AY265" s="2186">
        <f t="shared" si="424"/>
        <v>0</v>
      </c>
      <c r="AZ265" s="2177"/>
      <c r="BA265" s="2177"/>
      <c r="BB265" s="2186">
        <f t="shared" si="425"/>
        <v>0</v>
      </c>
      <c r="BC265" s="2177"/>
      <c r="BD265" s="2177"/>
      <c r="BE265" s="2186">
        <f t="shared" si="426"/>
        <v>0</v>
      </c>
      <c r="BF265" s="2177"/>
      <c r="BG265" s="2177"/>
      <c r="BH265" s="2186">
        <f t="shared" si="427"/>
        <v>0</v>
      </c>
      <c r="BI265" s="2177"/>
      <c r="BJ265" s="2177"/>
      <c r="BK265" s="2186">
        <f t="shared" si="428"/>
        <v>0</v>
      </c>
      <c r="BL265" s="2177"/>
      <c r="BM265" s="2177"/>
      <c r="BN265" s="2186">
        <f t="shared" si="429"/>
        <v>0</v>
      </c>
      <c r="BO265" s="2177"/>
      <c r="BP265" s="2177"/>
      <c r="BQ265" s="2186">
        <f t="shared" si="430"/>
        <v>0</v>
      </c>
    </row>
    <row r="266" spans="3:69" s="2087" customFormat="1" hidden="1">
      <c r="C266" s="2194" t="s">
        <v>2391</v>
      </c>
      <c r="D266" s="2283" t="s">
        <v>2225</v>
      </c>
      <c r="E266" s="2284" t="s">
        <v>240</v>
      </c>
      <c r="F266" s="2176"/>
      <c r="G266" s="2177"/>
      <c r="H266" s="2177"/>
      <c r="I266" s="2178">
        <f t="shared" si="411"/>
        <v>0</v>
      </c>
      <c r="J266" s="2176"/>
      <c r="K266" s="2252">
        <f t="shared" si="436"/>
        <v>0</v>
      </c>
      <c r="L266" s="2252">
        <f t="shared" si="436"/>
        <v>0</v>
      </c>
      <c r="M266" s="2255">
        <f t="shared" si="412"/>
        <v>0</v>
      </c>
      <c r="N266" s="2177"/>
      <c r="O266" s="2177"/>
      <c r="P266" s="2178">
        <f t="shared" si="413"/>
        <v>0</v>
      </c>
      <c r="Q266" s="2176"/>
      <c r="R266" s="2177"/>
      <c r="S266" s="2180">
        <f t="shared" si="443"/>
        <v>0</v>
      </c>
      <c r="T266" s="2251">
        <f t="shared" si="437"/>
        <v>0</v>
      </c>
      <c r="U266" s="2252">
        <f t="shared" si="437"/>
        <v>0</v>
      </c>
      <c r="V266" s="2253">
        <f t="shared" si="415"/>
        <v>0</v>
      </c>
      <c r="W266" s="2182"/>
      <c r="X266" s="2177"/>
      <c r="Y266" s="2183">
        <f t="shared" si="444"/>
        <v>0</v>
      </c>
      <c r="Z266" s="2254">
        <f t="shared" si="438"/>
        <v>0</v>
      </c>
      <c r="AA266" s="2252">
        <f t="shared" si="438"/>
        <v>0</v>
      </c>
      <c r="AB266" s="2255">
        <f t="shared" si="417"/>
        <v>0</v>
      </c>
      <c r="AC266" s="2176"/>
      <c r="AD266" s="2177"/>
      <c r="AE266" s="2180">
        <f t="shared" si="435"/>
        <v>0</v>
      </c>
      <c r="AF266" s="2281"/>
      <c r="AG266" s="2114"/>
      <c r="AH266" s="2177"/>
      <c r="AI266" s="2177"/>
      <c r="AJ266" s="2186">
        <f t="shared" si="419"/>
        <v>0</v>
      </c>
      <c r="AK266" s="2177"/>
      <c r="AL266" s="2177"/>
      <c r="AM266" s="2186">
        <f t="shared" si="420"/>
        <v>0</v>
      </c>
      <c r="AN266" s="2177"/>
      <c r="AO266" s="2177"/>
      <c r="AP266" s="2186">
        <f t="shared" si="421"/>
        <v>0</v>
      </c>
      <c r="AQ266" s="2177"/>
      <c r="AR266" s="2177"/>
      <c r="AS266" s="2186">
        <f t="shared" si="422"/>
        <v>0</v>
      </c>
      <c r="AT266" s="2177"/>
      <c r="AU266" s="2177"/>
      <c r="AV266" s="2186">
        <f t="shared" si="423"/>
        <v>0</v>
      </c>
      <c r="AW266" s="2177"/>
      <c r="AX266" s="2177"/>
      <c r="AY266" s="2186">
        <f t="shared" si="424"/>
        <v>0</v>
      </c>
      <c r="AZ266" s="2177"/>
      <c r="BA266" s="2177"/>
      <c r="BB266" s="2186">
        <f t="shared" si="425"/>
        <v>0</v>
      </c>
      <c r="BC266" s="2177"/>
      <c r="BD266" s="2177"/>
      <c r="BE266" s="2186">
        <f t="shared" si="426"/>
        <v>0</v>
      </c>
      <c r="BF266" s="2177"/>
      <c r="BG266" s="2177"/>
      <c r="BH266" s="2186">
        <f t="shared" si="427"/>
        <v>0</v>
      </c>
      <c r="BI266" s="2177"/>
      <c r="BJ266" s="2177"/>
      <c r="BK266" s="2186">
        <f t="shared" si="428"/>
        <v>0</v>
      </c>
      <c r="BL266" s="2177"/>
      <c r="BM266" s="2177"/>
      <c r="BN266" s="2186">
        <f t="shared" si="429"/>
        <v>0</v>
      </c>
      <c r="BO266" s="2177"/>
      <c r="BP266" s="2177"/>
      <c r="BQ266" s="2186">
        <f t="shared" si="430"/>
        <v>0</v>
      </c>
    </row>
    <row r="267" spans="3:69" s="2087" customFormat="1" hidden="1">
      <c r="C267" s="2194" t="s">
        <v>2392</v>
      </c>
      <c r="D267" s="2283" t="s">
        <v>2227</v>
      </c>
      <c r="E267" s="2284" t="s">
        <v>240</v>
      </c>
      <c r="F267" s="2176"/>
      <c r="G267" s="2177"/>
      <c r="H267" s="2177"/>
      <c r="I267" s="2178">
        <f t="shared" si="411"/>
        <v>0</v>
      </c>
      <c r="J267" s="2176"/>
      <c r="K267" s="2252">
        <f t="shared" si="436"/>
        <v>0</v>
      </c>
      <c r="L267" s="2252">
        <f t="shared" si="436"/>
        <v>0</v>
      </c>
      <c r="M267" s="2255">
        <f t="shared" si="412"/>
        <v>0</v>
      </c>
      <c r="N267" s="2177"/>
      <c r="O267" s="2177"/>
      <c r="P267" s="2178">
        <f t="shared" si="413"/>
        <v>0</v>
      </c>
      <c r="Q267" s="2176"/>
      <c r="R267" s="2177"/>
      <c r="S267" s="2180">
        <f t="shared" si="443"/>
        <v>0</v>
      </c>
      <c r="T267" s="2251">
        <f t="shared" si="437"/>
        <v>0</v>
      </c>
      <c r="U267" s="2252">
        <f t="shared" si="437"/>
        <v>0</v>
      </c>
      <c r="V267" s="2253">
        <f t="shared" si="415"/>
        <v>0</v>
      </c>
      <c r="W267" s="2182"/>
      <c r="X267" s="2177"/>
      <c r="Y267" s="2183">
        <f t="shared" si="444"/>
        <v>0</v>
      </c>
      <c r="Z267" s="2254">
        <f t="shared" si="438"/>
        <v>0</v>
      </c>
      <c r="AA267" s="2252">
        <f t="shared" si="438"/>
        <v>0</v>
      </c>
      <c r="AB267" s="2255">
        <f t="shared" si="417"/>
        <v>0</v>
      </c>
      <c r="AC267" s="2176"/>
      <c r="AD267" s="2177"/>
      <c r="AE267" s="2180">
        <f t="shared" si="435"/>
        <v>0</v>
      </c>
      <c r="AF267" s="2281"/>
      <c r="AG267" s="2114"/>
      <c r="AH267" s="2177"/>
      <c r="AI267" s="2177"/>
      <c r="AJ267" s="2186">
        <f t="shared" si="419"/>
        <v>0</v>
      </c>
      <c r="AK267" s="2177"/>
      <c r="AL267" s="2177"/>
      <c r="AM267" s="2186">
        <f t="shared" si="420"/>
        <v>0</v>
      </c>
      <c r="AN267" s="2177"/>
      <c r="AO267" s="2177"/>
      <c r="AP267" s="2186">
        <f t="shared" si="421"/>
        <v>0</v>
      </c>
      <c r="AQ267" s="2177"/>
      <c r="AR267" s="2177"/>
      <c r="AS267" s="2186">
        <f t="shared" si="422"/>
        <v>0</v>
      </c>
      <c r="AT267" s="2177"/>
      <c r="AU267" s="2177"/>
      <c r="AV267" s="2186">
        <f t="shared" si="423"/>
        <v>0</v>
      </c>
      <c r="AW267" s="2177"/>
      <c r="AX267" s="2177"/>
      <c r="AY267" s="2186">
        <f t="shared" si="424"/>
        <v>0</v>
      </c>
      <c r="AZ267" s="2177"/>
      <c r="BA267" s="2177"/>
      <c r="BB267" s="2186">
        <f t="shared" si="425"/>
        <v>0</v>
      </c>
      <c r="BC267" s="2177"/>
      <c r="BD267" s="2177"/>
      <c r="BE267" s="2186">
        <f t="shared" si="426"/>
        <v>0</v>
      </c>
      <c r="BF267" s="2177"/>
      <c r="BG267" s="2177"/>
      <c r="BH267" s="2186">
        <f t="shared" si="427"/>
        <v>0</v>
      </c>
      <c r="BI267" s="2177"/>
      <c r="BJ267" s="2177"/>
      <c r="BK267" s="2186">
        <f t="shared" si="428"/>
        <v>0</v>
      </c>
      <c r="BL267" s="2177"/>
      <c r="BM267" s="2177"/>
      <c r="BN267" s="2186">
        <f t="shared" si="429"/>
        <v>0</v>
      </c>
      <c r="BO267" s="2177"/>
      <c r="BP267" s="2177"/>
      <c r="BQ267" s="2186">
        <f t="shared" si="430"/>
        <v>0</v>
      </c>
    </row>
    <row r="268" spans="3:69" s="2087" customFormat="1" hidden="1">
      <c r="C268" s="2194" t="s">
        <v>2393</v>
      </c>
      <c r="D268" s="2283" t="s">
        <v>2229</v>
      </c>
      <c r="E268" s="2284" t="s">
        <v>240</v>
      </c>
      <c r="F268" s="2176"/>
      <c r="G268" s="2177"/>
      <c r="H268" s="2177"/>
      <c r="I268" s="2178">
        <f t="shared" si="411"/>
        <v>0</v>
      </c>
      <c r="J268" s="2176"/>
      <c r="K268" s="2252">
        <f t="shared" si="436"/>
        <v>0</v>
      </c>
      <c r="L268" s="2252">
        <f t="shared" si="436"/>
        <v>0</v>
      </c>
      <c r="M268" s="2255">
        <f t="shared" si="412"/>
        <v>0</v>
      </c>
      <c r="N268" s="2177"/>
      <c r="O268" s="2177"/>
      <c r="P268" s="2178">
        <f t="shared" si="413"/>
        <v>0</v>
      </c>
      <c r="Q268" s="2176"/>
      <c r="R268" s="2177"/>
      <c r="S268" s="2266"/>
      <c r="T268" s="2251">
        <f t="shared" si="437"/>
        <v>0</v>
      </c>
      <c r="U268" s="2252">
        <f t="shared" si="437"/>
        <v>0</v>
      </c>
      <c r="V268" s="2253">
        <f t="shared" si="415"/>
        <v>0</v>
      </c>
      <c r="W268" s="2182"/>
      <c r="X268" s="2177"/>
      <c r="Y268" s="2271"/>
      <c r="Z268" s="2254">
        <f t="shared" si="438"/>
        <v>0</v>
      </c>
      <c r="AA268" s="2252">
        <f t="shared" si="438"/>
        <v>0</v>
      </c>
      <c r="AB268" s="2255">
        <f t="shared" si="417"/>
        <v>0</v>
      </c>
      <c r="AC268" s="2176"/>
      <c r="AD268" s="2177"/>
      <c r="AE268" s="2180">
        <f t="shared" si="435"/>
        <v>0</v>
      </c>
      <c r="AF268" s="2281"/>
      <c r="AG268" s="2114"/>
      <c r="AH268" s="2177"/>
      <c r="AI268" s="2177"/>
      <c r="AJ268" s="2186">
        <f t="shared" si="419"/>
        <v>0</v>
      </c>
      <c r="AK268" s="2177"/>
      <c r="AL268" s="2177"/>
      <c r="AM268" s="2186">
        <f t="shared" si="420"/>
        <v>0</v>
      </c>
      <c r="AN268" s="2177"/>
      <c r="AO268" s="2177"/>
      <c r="AP268" s="2186">
        <f t="shared" si="421"/>
        <v>0</v>
      </c>
      <c r="AQ268" s="2177"/>
      <c r="AR268" s="2177"/>
      <c r="AS268" s="2186">
        <f t="shared" si="422"/>
        <v>0</v>
      </c>
      <c r="AT268" s="2177"/>
      <c r="AU268" s="2177"/>
      <c r="AV268" s="2186">
        <f t="shared" si="423"/>
        <v>0</v>
      </c>
      <c r="AW268" s="2177"/>
      <c r="AX268" s="2177"/>
      <c r="AY268" s="2186">
        <f t="shared" si="424"/>
        <v>0</v>
      </c>
      <c r="AZ268" s="2177"/>
      <c r="BA268" s="2177"/>
      <c r="BB268" s="2186">
        <f t="shared" si="425"/>
        <v>0</v>
      </c>
      <c r="BC268" s="2177"/>
      <c r="BD268" s="2177"/>
      <c r="BE268" s="2186">
        <f t="shared" si="426"/>
        <v>0</v>
      </c>
      <c r="BF268" s="2177"/>
      <c r="BG268" s="2177"/>
      <c r="BH268" s="2186">
        <f t="shared" si="427"/>
        <v>0</v>
      </c>
      <c r="BI268" s="2177"/>
      <c r="BJ268" s="2177"/>
      <c r="BK268" s="2186">
        <f t="shared" si="428"/>
        <v>0</v>
      </c>
      <c r="BL268" s="2177"/>
      <c r="BM268" s="2177"/>
      <c r="BN268" s="2186">
        <f t="shared" si="429"/>
        <v>0</v>
      </c>
      <c r="BO268" s="2177"/>
      <c r="BP268" s="2177"/>
      <c r="BQ268" s="2186">
        <f t="shared" si="430"/>
        <v>0</v>
      </c>
    </row>
    <row r="269" spans="3:69" s="2159" customFormat="1" hidden="1">
      <c r="C269" s="2256" t="s">
        <v>2394</v>
      </c>
      <c r="D269" s="2280" t="s">
        <v>2395</v>
      </c>
      <c r="E269" s="2120" t="s">
        <v>240</v>
      </c>
      <c r="F269" s="2162"/>
      <c r="G269" s="2163">
        <f>G278+G284+G290+G296</f>
        <v>0</v>
      </c>
      <c r="H269" s="2163">
        <f>H278+H284+H290+H296</f>
        <v>0</v>
      </c>
      <c r="I269" s="2164">
        <f t="shared" si="411"/>
        <v>0</v>
      </c>
      <c r="J269" s="2162"/>
      <c r="K269" s="2259">
        <f t="shared" ref="K269:L314" si="445">N269+Q269+W269+AC269</f>
        <v>0</v>
      </c>
      <c r="L269" s="2259">
        <f t="shared" si="445"/>
        <v>0</v>
      </c>
      <c r="M269" s="2262">
        <f t="shared" si="412"/>
        <v>0</v>
      </c>
      <c r="N269" s="2163">
        <f>N278+N284+N290+N296</f>
        <v>0</v>
      </c>
      <c r="O269" s="2163">
        <f>O278+O284+O290+O296</f>
        <v>0</v>
      </c>
      <c r="P269" s="2164">
        <f t="shared" si="413"/>
        <v>0</v>
      </c>
      <c r="Q269" s="2165">
        <f>Q278+Q284+Q290+Q296</f>
        <v>0</v>
      </c>
      <c r="R269" s="2163">
        <f>R278+R284+R290+R296</f>
        <v>0</v>
      </c>
      <c r="S269" s="2166">
        <f t="shared" ref="S269:S270" si="446">R269-Q269</f>
        <v>0</v>
      </c>
      <c r="T269" s="2258">
        <f t="shared" ref="T269:U270" si="447">N269+Q269</f>
        <v>0</v>
      </c>
      <c r="U269" s="2259">
        <f t="shared" si="447"/>
        <v>0</v>
      </c>
      <c r="V269" s="2260">
        <f t="shared" si="415"/>
        <v>0</v>
      </c>
      <c r="W269" s="2168">
        <f>W278+W284+W290+W296</f>
        <v>0</v>
      </c>
      <c r="X269" s="2163">
        <f>X278+X284+X290+X296</f>
        <v>0</v>
      </c>
      <c r="Y269" s="2169">
        <f t="shared" ref="Y269:Y270" si="448">X269-W269</f>
        <v>0</v>
      </c>
      <c r="Z269" s="2261">
        <f t="shared" ref="Z269:AA270" si="449">T269+W269</f>
        <v>0</v>
      </c>
      <c r="AA269" s="2259">
        <f t="shared" si="449"/>
        <v>0</v>
      </c>
      <c r="AB269" s="2262">
        <f t="shared" si="417"/>
        <v>0</v>
      </c>
      <c r="AC269" s="2165">
        <f>AC278+AC284+AC290+AC296</f>
        <v>0</v>
      </c>
      <c r="AD269" s="2163">
        <f>AD278+AD284+AD290+AD296</f>
        <v>0</v>
      </c>
      <c r="AE269" s="2166">
        <f t="shared" si="435"/>
        <v>0</v>
      </c>
      <c r="AF269" s="2281"/>
      <c r="AG269" s="2158"/>
      <c r="AH269" s="2171">
        <f>AH278+AH284+AH290+AH296</f>
        <v>0</v>
      </c>
      <c r="AI269" s="2171">
        <f>AI278+AI284+AI290+AI296</f>
        <v>0</v>
      </c>
      <c r="AJ269" s="2172">
        <f t="shared" si="419"/>
        <v>0</v>
      </c>
      <c r="AK269" s="2171">
        <f>AK278+AK284+AK290+AK296</f>
        <v>0</v>
      </c>
      <c r="AL269" s="2171">
        <f>AL278+AL284+AL290+AL296</f>
        <v>0</v>
      </c>
      <c r="AM269" s="2172">
        <f t="shared" si="420"/>
        <v>0</v>
      </c>
      <c r="AN269" s="2171">
        <f>AN278+AN284+AN290+AN296</f>
        <v>0</v>
      </c>
      <c r="AO269" s="2171">
        <f>AO278+AO284+AO290+AO296</f>
        <v>0</v>
      </c>
      <c r="AP269" s="2172">
        <f t="shared" si="421"/>
        <v>0</v>
      </c>
      <c r="AQ269" s="2171">
        <f>AQ278+AQ284+AQ290+AQ296</f>
        <v>0</v>
      </c>
      <c r="AR269" s="2171">
        <f>AR278+AR284+AR290+AR296</f>
        <v>0</v>
      </c>
      <c r="AS269" s="2172">
        <f t="shared" si="422"/>
        <v>0</v>
      </c>
      <c r="AT269" s="2171">
        <f>AT278+AT284+AT290+AT296</f>
        <v>0</v>
      </c>
      <c r="AU269" s="2171">
        <f>AU278+AU284+AU290+AU296</f>
        <v>0</v>
      </c>
      <c r="AV269" s="2172">
        <f t="shared" si="423"/>
        <v>0</v>
      </c>
      <c r="AW269" s="2171">
        <f>AW278+AW284+AW290+AW296</f>
        <v>0</v>
      </c>
      <c r="AX269" s="2171">
        <f>AX278+AX284+AX290+AX296</f>
        <v>0</v>
      </c>
      <c r="AY269" s="2172">
        <f t="shared" si="424"/>
        <v>0</v>
      </c>
      <c r="AZ269" s="2171">
        <f>AZ278+AZ284+AZ290+AZ296</f>
        <v>0</v>
      </c>
      <c r="BA269" s="2171">
        <f>BA278+BA284+BA290+BA296</f>
        <v>0</v>
      </c>
      <c r="BB269" s="2172">
        <f t="shared" si="425"/>
        <v>0</v>
      </c>
      <c r="BC269" s="2171">
        <f>BC278+BC284+BC290+BC296</f>
        <v>0</v>
      </c>
      <c r="BD269" s="2171">
        <f>BD278+BD284+BD290+BD296</f>
        <v>0</v>
      </c>
      <c r="BE269" s="2172">
        <f t="shared" si="426"/>
        <v>0</v>
      </c>
      <c r="BF269" s="2171">
        <f>BF278+BF284+BF290+BF296</f>
        <v>0</v>
      </c>
      <c r="BG269" s="2171">
        <f>BG278+BG284+BG290+BG296</f>
        <v>0</v>
      </c>
      <c r="BH269" s="2172">
        <f t="shared" si="427"/>
        <v>0</v>
      </c>
      <c r="BI269" s="2171">
        <f>BI278+BI284+BI290+BI296</f>
        <v>0</v>
      </c>
      <c r="BJ269" s="2171">
        <f>BJ278+BJ284+BJ290+BJ296</f>
        <v>0</v>
      </c>
      <c r="BK269" s="2172">
        <f t="shared" si="428"/>
        <v>0</v>
      </c>
      <c r="BL269" s="2171">
        <f>BL278+BL284+BL290+BL296</f>
        <v>0</v>
      </c>
      <c r="BM269" s="2171">
        <f>BM278+BM284+BM290+BM296</f>
        <v>0</v>
      </c>
      <c r="BN269" s="2172">
        <f t="shared" si="429"/>
        <v>0</v>
      </c>
      <c r="BO269" s="2171">
        <f>BO278+BO284+BO290+BO296</f>
        <v>0</v>
      </c>
      <c r="BP269" s="2171">
        <f>BP278+BP284+BP290+BP296</f>
        <v>0</v>
      </c>
      <c r="BQ269" s="2172">
        <f t="shared" si="430"/>
        <v>0</v>
      </c>
    </row>
    <row r="270" spans="3:69" s="2087" customFormat="1" hidden="1">
      <c r="C270" s="2285" t="s">
        <v>2396</v>
      </c>
      <c r="D270" s="2289" t="s">
        <v>2211</v>
      </c>
      <c r="E270" s="2290" t="s">
        <v>240</v>
      </c>
      <c r="F270" s="2176"/>
      <c r="G270" s="2177"/>
      <c r="H270" s="2177"/>
      <c r="I270" s="2178">
        <f t="shared" si="411"/>
        <v>0</v>
      </c>
      <c r="J270" s="2176"/>
      <c r="K270" s="2252">
        <f t="shared" si="445"/>
        <v>0</v>
      </c>
      <c r="L270" s="2252">
        <f t="shared" si="445"/>
        <v>0</v>
      </c>
      <c r="M270" s="2255">
        <f t="shared" si="412"/>
        <v>0</v>
      </c>
      <c r="N270" s="2177"/>
      <c r="O270" s="2177"/>
      <c r="P270" s="2178">
        <f t="shared" si="413"/>
        <v>0</v>
      </c>
      <c r="Q270" s="2176"/>
      <c r="R270" s="2177"/>
      <c r="S270" s="2180">
        <f t="shared" si="446"/>
        <v>0</v>
      </c>
      <c r="T270" s="2251">
        <f t="shared" si="447"/>
        <v>0</v>
      </c>
      <c r="U270" s="2252">
        <f t="shared" si="447"/>
        <v>0</v>
      </c>
      <c r="V270" s="2253">
        <f t="shared" si="415"/>
        <v>0</v>
      </c>
      <c r="W270" s="2182"/>
      <c r="X270" s="2177"/>
      <c r="Y270" s="2183">
        <f t="shared" si="448"/>
        <v>0</v>
      </c>
      <c r="Z270" s="2254">
        <f t="shared" si="449"/>
        <v>0</v>
      </c>
      <c r="AA270" s="2252">
        <f t="shared" si="449"/>
        <v>0</v>
      </c>
      <c r="AB270" s="2255">
        <f t="shared" si="417"/>
        <v>0</v>
      </c>
      <c r="AC270" s="2176"/>
      <c r="AD270" s="2177"/>
      <c r="AE270" s="2180">
        <f t="shared" si="435"/>
        <v>0</v>
      </c>
      <c r="AF270" s="2281"/>
      <c r="AG270" s="2114"/>
      <c r="AH270" s="2177"/>
      <c r="AI270" s="2177"/>
      <c r="AJ270" s="2186">
        <f t="shared" si="419"/>
        <v>0</v>
      </c>
      <c r="AK270" s="2177"/>
      <c r="AL270" s="2177"/>
      <c r="AM270" s="2186">
        <f t="shared" si="420"/>
        <v>0</v>
      </c>
      <c r="AN270" s="2177"/>
      <c r="AO270" s="2177"/>
      <c r="AP270" s="2186">
        <f t="shared" si="421"/>
        <v>0</v>
      </c>
      <c r="AQ270" s="2177"/>
      <c r="AR270" s="2177"/>
      <c r="AS270" s="2186">
        <f t="shared" si="422"/>
        <v>0</v>
      </c>
      <c r="AT270" s="2177"/>
      <c r="AU270" s="2177"/>
      <c r="AV270" s="2186">
        <f t="shared" si="423"/>
        <v>0</v>
      </c>
      <c r="AW270" s="2177"/>
      <c r="AX270" s="2177"/>
      <c r="AY270" s="2186">
        <f t="shared" si="424"/>
        <v>0</v>
      </c>
      <c r="AZ270" s="2177"/>
      <c r="BA270" s="2177"/>
      <c r="BB270" s="2186">
        <f t="shared" si="425"/>
        <v>0</v>
      </c>
      <c r="BC270" s="2177"/>
      <c r="BD270" s="2177"/>
      <c r="BE270" s="2186">
        <f t="shared" si="426"/>
        <v>0</v>
      </c>
      <c r="BF270" s="2177"/>
      <c r="BG270" s="2177"/>
      <c r="BH270" s="2186">
        <f t="shared" si="427"/>
        <v>0</v>
      </c>
      <c r="BI270" s="2177"/>
      <c r="BJ270" s="2177"/>
      <c r="BK270" s="2186">
        <f t="shared" si="428"/>
        <v>0</v>
      </c>
      <c r="BL270" s="2177"/>
      <c r="BM270" s="2177"/>
      <c r="BN270" s="2186">
        <f t="shared" si="429"/>
        <v>0</v>
      </c>
      <c r="BO270" s="2177"/>
      <c r="BP270" s="2177"/>
      <c r="BQ270" s="2186">
        <f t="shared" si="430"/>
        <v>0</v>
      </c>
    </row>
    <row r="271" spans="3:69" s="2087" customFormat="1" hidden="1">
      <c r="C271" s="2285" t="s">
        <v>2397</v>
      </c>
      <c r="D271" s="2287" t="s">
        <v>2217</v>
      </c>
      <c r="E271" s="2291"/>
      <c r="F271" s="2265"/>
      <c r="G271" s="2188"/>
      <c r="H271" s="2188"/>
      <c r="I271" s="2186"/>
      <c r="J271" s="2265"/>
      <c r="K271" s="2268"/>
      <c r="L271" s="2268"/>
      <c r="M271" s="2273"/>
      <c r="N271" s="2188"/>
      <c r="O271" s="2188"/>
      <c r="P271" s="2186"/>
      <c r="Q271" s="2265"/>
      <c r="R271" s="2188"/>
      <c r="S271" s="2266"/>
      <c r="T271" s="2267"/>
      <c r="U271" s="2268"/>
      <c r="V271" s="2269"/>
      <c r="W271" s="2270"/>
      <c r="X271" s="2188"/>
      <c r="Y271" s="2271"/>
      <c r="Z271" s="2272"/>
      <c r="AA271" s="2268"/>
      <c r="AB271" s="2273"/>
      <c r="AC271" s="2265"/>
      <c r="AD271" s="2188"/>
      <c r="AE271" s="2266"/>
      <c r="AF271" s="2277"/>
      <c r="AG271" s="2114"/>
      <c r="AH271" s="2188"/>
      <c r="AI271" s="2188"/>
      <c r="AJ271" s="2186"/>
      <c r="AK271" s="2188"/>
      <c r="AL271" s="2188"/>
      <c r="AM271" s="2186"/>
      <c r="AN271" s="2188"/>
      <c r="AO271" s="2188"/>
      <c r="AP271" s="2186"/>
      <c r="AQ271" s="2188"/>
      <c r="AR271" s="2188"/>
      <c r="AS271" s="2186"/>
      <c r="AT271" s="2188"/>
      <c r="AU271" s="2188"/>
      <c r="AV271" s="2186"/>
      <c r="AW271" s="2188"/>
      <c r="AX271" s="2188"/>
      <c r="AY271" s="2186"/>
      <c r="AZ271" s="2188"/>
      <c r="BA271" s="2188"/>
      <c r="BB271" s="2186"/>
      <c r="BC271" s="2188"/>
      <c r="BD271" s="2188"/>
      <c r="BE271" s="2186"/>
      <c r="BF271" s="2188"/>
      <c r="BG271" s="2188"/>
      <c r="BH271" s="2186"/>
      <c r="BI271" s="2188"/>
      <c r="BJ271" s="2188"/>
      <c r="BK271" s="2186"/>
      <c r="BL271" s="2188"/>
      <c r="BM271" s="2188"/>
      <c r="BN271" s="2186"/>
      <c r="BO271" s="2188"/>
      <c r="BP271" s="2188"/>
      <c r="BQ271" s="2186"/>
    </row>
    <row r="272" spans="3:69" s="2087" customFormat="1" hidden="1">
      <c r="C272" s="2285" t="s">
        <v>2398</v>
      </c>
      <c r="D272" s="2286" t="s">
        <v>2219</v>
      </c>
      <c r="E272" s="2284" t="s">
        <v>420</v>
      </c>
      <c r="F272" s="2176"/>
      <c r="G272" s="2252">
        <f>G273+G274+G275+G276+G277</f>
        <v>0</v>
      </c>
      <c r="H272" s="2252">
        <f>H273+H274+H275+H276+H277</f>
        <v>0</v>
      </c>
      <c r="I272" s="2178">
        <f t="shared" ref="I272:I335" si="450">H272-G272</f>
        <v>0</v>
      </c>
      <c r="J272" s="2176"/>
      <c r="K272" s="2179">
        <f>(N272+Q272+W272+AC272)/4</f>
        <v>0</v>
      </c>
      <c r="L272" s="2179">
        <f>(O272+R272+X272+AD272)/4</f>
        <v>0</v>
      </c>
      <c r="M272" s="2178">
        <f t="shared" ref="M272:M335" si="451">L272-K272</f>
        <v>0</v>
      </c>
      <c r="N272" s="2179">
        <f>N273+N274+N275+N276+N277</f>
        <v>0</v>
      </c>
      <c r="O272" s="2179">
        <f>O273+O274+O275+O276+O277</f>
        <v>0</v>
      </c>
      <c r="P272" s="2178">
        <f t="shared" ref="P272:P335" si="452">O272-N272</f>
        <v>0</v>
      </c>
      <c r="Q272" s="2179">
        <f>Q273+Q274+Q275+Q276+Q277</f>
        <v>0</v>
      </c>
      <c r="R272" s="2179">
        <f>R273+R274+R275+R276+R277</f>
        <v>0</v>
      </c>
      <c r="S272" s="2180">
        <f t="shared" ref="S272:S282" si="453">R272-Q272</f>
        <v>0</v>
      </c>
      <c r="T272" s="2181">
        <f>(N272+Q272)/2</f>
        <v>0</v>
      </c>
      <c r="U272" s="2179">
        <f>(O272+R272)/2</f>
        <v>0</v>
      </c>
      <c r="V272" s="2180">
        <f t="shared" ref="V272:V335" si="454">U272-T272</f>
        <v>0</v>
      </c>
      <c r="W272" s="2187">
        <f>W273+W274+W275+W276+W277</f>
        <v>0</v>
      </c>
      <c r="X272" s="2179">
        <f>X273+X274+X275+X276+X277</f>
        <v>0</v>
      </c>
      <c r="Y272" s="2183">
        <f t="shared" ref="Y272:Y282" si="455">X272-W272</f>
        <v>0</v>
      </c>
      <c r="Z272" s="2184">
        <f>(N272+Q272+W272)/3</f>
        <v>0</v>
      </c>
      <c r="AA272" s="2179">
        <f>(O272+R272+X272)/3</f>
        <v>0</v>
      </c>
      <c r="AB272" s="2178">
        <f t="shared" ref="AB272:AB335" si="456">AA272-Z272</f>
        <v>0</v>
      </c>
      <c r="AC272" s="2179">
        <f>AC273+AC274+AC275+AC276+AC277</f>
        <v>0</v>
      </c>
      <c r="AD272" s="2179">
        <f>AD273+AD274+AD275+AD276+AD277</f>
        <v>0</v>
      </c>
      <c r="AE272" s="2180">
        <f t="shared" ref="AE272" si="457">AD272-AC272</f>
        <v>0</v>
      </c>
      <c r="AF272" s="2281"/>
      <c r="AG272" s="2114"/>
      <c r="AH272" s="2188">
        <f>AH273+AH274+AH275+AH276+AH277</f>
        <v>0</v>
      </c>
      <c r="AI272" s="2188">
        <f>AI273+AI274+AI275+AI276+AI277</f>
        <v>0</v>
      </c>
      <c r="AJ272" s="2186">
        <f t="shared" ref="AJ272:AJ335" si="458">AI272-AH272</f>
        <v>0</v>
      </c>
      <c r="AK272" s="2188">
        <f>AK273+AK274+AK275+AK276+AK277</f>
        <v>0</v>
      </c>
      <c r="AL272" s="2188">
        <f>AL273+AL274+AL275+AL276+AL277</f>
        <v>0</v>
      </c>
      <c r="AM272" s="2186">
        <f t="shared" ref="AM272:AM335" si="459">AL272-AK272</f>
        <v>0</v>
      </c>
      <c r="AN272" s="2188">
        <f>AN273+AN274+AN275+AN276+AN277</f>
        <v>0</v>
      </c>
      <c r="AO272" s="2188">
        <f>AO273+AO274+AO275+AO276+AO277</f>
        <v>0</v>
      </c>
      <c r="AP272" s="2186">
        <f t="shared" ref="AP272:AP335" si="460">AO272-AN272</f>
        <v>0</v>
      </c>
      <c r="AQ272" s="2188">
        <f>AQ273+AQ274+AQ275+AQ276+AQ277</f>
        <v>0</v>
      </c>
      <c r="AR272" s="2188">
        <f>AR273+AR274+AR275+AR276+AR277</f>
        <v>0</v>
      </c>
      <c r="AS272" s="2186">
        <f t="shared" ref="AS272:AS335" si="461">AR272-AQ272</f>
        <v>0</v>
      </c>
      <c r="AT272" s="2188">
        <f>AT273+AT274+AT275+AT276+AT277</f>
        <v>0</v>
      </c>
      <c r="AU272" s="2188">
        <f>AU273+AU274+AU275+AU276+AU277</f>
        <v>0</v>
      </c>
      <c r="AV272" s="2186">
        <f t="shared" ref="AV272:AV335" si="462">AU272-AT272</f>
        <v>0</v>
      </c>
      <c r="AW272" s="2188">
        <f>AW273+AW274+AW275+AW276+AW277</f>
        <v>0</v>
      </c>
      <c r="AX272" s="2188">
        <f>AX273+AX274+AX275+AX276+AX277</f>
        <v>0</v>
      </c>
      <c r="AY272" s="2186">
        <f t="shared" ref="AY272:AY335" si="463">AX272-AW272</f>
        <v>0</v>
      </c>
      <c r="AZ272" s="2188">
        <f>AZ273+AZ274+AZ275+AZ276+AZ277</f>
        <v>0</v>
      </c>
      <c r="BA272" s="2188">
        <f>BA273+BA274+BA275+BA276+BA277</f>
        <v>0</v>
      </c>
      <c r="BB272" s="2186">
        <f t="shared" ref="BB272:BB335" si="464">BA272-AZ272</f>
        <v>0</v>
      </c>
      <c r="BC272" s="2188">
        <f>BC273+BC274+BC275+BC276+BC277</f>
        <v>0</v>
      </c>
      <c r="BD272" s="2188">
        <f>BD273+BD274+BD275+BD276+BD277</f>
        <v>0</v>
      </c>
      <c r="BE272" s="2186">
        <f t="shared" ref="BE272:BE335" si="465">BD272-BC272</f>
        <v>0</v>
      </c>
      <c r="BF272" s="2188">
        <f>BF273+BF274+BF275+BF276+BF277</f>
        <v>0</v>
      </c>
      <c r="BG272" s="2188">
        <f>BG273+BG274+BG275+BG276+BG277</f>
        <v>0</v>
      </c>
      <c r="BH272" s="2186">
        <f t="shared" ref="BH272:BH335" si="466">BG272-BF272</f>
        <v>0</v>
      </c>
      <c r="BI272" s="2188">
        <f>BI273+BI274+BI275+BI276+BI277</f>
        <v>0</v>
      </c>
      <c r="BJ272" s="2188">
        <f>BJ273+BJ274+BJ275+BJ276+BJ277</f>
        <v>0</v>
      </c>
      <c r="BK272" s="2186">
        <f t="shared" ref="BK272:BK335" si="467">BJ272-BI272</f>
        <v>0</v>
      </c>
      <c r="BL272" s="2188">
        <f>BL273+BL274+BL275+BL276+BL277</f>
        <v>0</v>
      </c>
      <c r="BM272" s="2188">
        <f>BM273+BM274+BM275+BM276+BM277</f>
        <v>0</v>
      </c>
      <c r="BN272" s="2186">
        <f t="shared" ref="BN272:BN335" si="468">BM272-BL272</f>
        <v>0</v>
      </c>
      <c r="BO272" s="2188">
        <f>BO273+BO274+BO275+BO276+BO277</f>
        <v>0</v>
      </c>
      <c r="BP272" s="2188">
        <f>BP273+BP274+BP275+BP276+BP277</f>
        <v>0</v>
      </c>
      <c r="BQ272" s="2186">
        <f t="shared" ref="BQ272:BQ335" si="469">BP272-BO272</f>
        <v>0</v>
      </c>
    </row>
    <row r="273" spans="3:69" s="2087" customFormat="1" hidden="1">
      <c r="C273" s="2194" t="s">
        <v>2399</v>
      </c>
      <c r="D273" s="2283" t="s">
        <v>2221</v>
      </c>
      <c r="E273" s="2284" t="s">
        <v>420</v>
      </c>
      <c r="F273" s="2176"/>
      <c r="G273" s="2177"/>
      <c r="H273" s="2177"/>
      <c r="I273" s="2178">
        <f t="shared" si="450"/>
        <v>0</v>
      </c>
      <c r="J273" s="2176"/>
      <c r="K273" s="2252">
        <f t="shared" ref="K273:L277" si="470">(N273+Q273+W273+AC273)/4</f>
        <v>0</v>
      </c>
      <c r="L273" s="2252">
        <f t="shared" si="470"/>
        <v>0</v>
      </c>
      <c r="M273" s="2255">
        <f t="shared" si="451"/>
        <v>0</v>
      </c>
      <c r="N273" s="2177"/>
      <c r="O273" s="2177"/>
      <c r="P273" s="2178">
        <f t="shared" si="452"/>
        <v>0</v>
      </c>
      <c r="Q273" s="2176"/>
      <c r="R273" s="2177"/>
      <c r="S273" s="2180">
        <f t="shared" si="453"/>
        <v>0</v>
      </c>
      <c r="T273" s="2251">
        <f>(N273+Q273)/2</f>
        <v>0</v>
      </c>
      <c r="U273" s="2252">
        <f t="shared" ref="U273:U277" si="471">(O273+R273)/2</f>
        <v>0</v>
      </c>
      <c r="V273" s="2253">
        <f t="shared" si="454"/>
        <v>0</v>
      </c>
      <c r="W273" s="2182"/>
      <c r="X273" s="2177"/>
      <c r="Y273" s="2183">
        <f t="shared" si="455"/>
        <v>0</v>
      </c>
      <c r="Z273" s="2254">
        <f t="shared" ref="Z273:AA277" si="472">(N273+Q273+W273)/3</f>
        <v>0</v>
      </c>
      <c r="AA273" s="2252">
        <f t="shared" si="472"/>
        <v>0</v>
      </c>
      <c r="AB273" s="2255">
        <f t="shared" si="456"/>
        <v>0</v>
      </c>
      <c r="AC273" s="2176"/>
      <c r="AD273" s="2177"/>
      <c r="AE273" s="2180">
        <f>AD273-AC273</f>
        <v>0</v>
      </c>
      <c r="AF273" s="2281"/>
      <c r="AG273" s="2114"/>
      <c r="AH273" s="2177"/>
      <c r="AI273" s="2177"/>
      <c r="AJ273" s="2186">
        <f t="shared" si="458"/>
        <v>0</v>
      </c>
      <c r="AK273" s="2177"/>
      <c r="AL273" s="2177"/>
      <c r="AM273" s="2186">
        <f t="shared" si="459"/>
        <v>0</v>
      </c>
      <c r="AN273" s="2177"/>
      <c r="AO273" s="2177"/>
      <c r="AP273" s="2186">
        <f t="shared" si="460"/>
        <v>0</v>
      </c>
      <c r="AQ273" s="2177"/>
      <c r="AR273" s="2177"/>
      <c r="AS273" s="2186">
        <f t="shared" si="461"/>
        <v>0</v>
      </c>
      <c r="AT273" s="2177"/>
      <c r="AU273" s="2177"/>
      <c r="AV273" s="2186">
        <f t="shared" si="462"/>
        <v>0</v>
      </c>
      <c r="AW273" s="2177"/>
      <c r="AX273" s="2177"/>
      <c r="AY273" s="2186">
        <f t="shared" si="463"/>
        <v>0</v>
      </c>
      <c r="AZ273" s="2177"/>
      <c r="BA273" s="2177"/>
      <c r="BB273" s="2186">
        <f t="shared" si="464"/>
        <v>0</v>
      </c>
      <c r="BC273" s="2177"/>
      <c r="BD273" s="2177"/>
      <c r="BE273" s="2186">
        <f t="shared" si="465"/>
        <v>0</v>
      </c>
      <c r="BF273" s="2177"/>
      <c r="BG273" s="2177"/>
      <c r="BH273" s="2186">
        <f t="shared" si="466"/>
        <v>0</v>
      </c>
      <c r="BI273" s="2177"/>
      <c r="BJ273" s="2177"/>
      <c r="BK273" s="2186">
        <f t="shared" si="467"/>
        <v>0</v>
      </c>
      <c r="BL273" s="2177"/>
      <c r="BM273" s="2177"/>
      <c r="BN273" s="2186">
        <f t="shared" si="468"/>
        <v>0</v>
      </c>
      <c r="BO273" s="2177"/>
      <c r="BP273" s="2177"/>
      <c r="BQ273" s="2186">
        <f t="shared" si="469"/>
        <v>0</v>
      </c>
    </row>
    <row r="274" spans="3:69" s="2087" customFormat="1" hidden="1">
      <c r="C274" s="2194" t="s">
        <v>2400</v>
      </c>
      <c r="D274" s="2283" t="s">
        <v>2223</v>
      </c>
      <c r="E274" s="2284" t="s">
        <v>420</v>
      </c>
      <c r="F274" s="2176"/>
      <c r="G274" s="2177"/>
      <c r="H274" s="2177"/>
      <c r="I274" s="2178">
        <f t="shared" si="450"/>
        <v>0</v>
      </c>
      <c r="J274" s="2176"/>
      <c r="K274" s="2252">
        <f t="shared" si="470"/>
        <v>0</v>
      </c>
      <c r="L274" s="2252">
        <f t="shared" si="470"/>
        <v>0</v>
      </c>
      <c r="M274" s="2255">
        <f t="shared" si="451"/>
        <v>0</v>
      </c>
      <c r="N274" s="2177"/>
      <c r="O274" s="2177"/>
      <c r="P274" s="2178">
        <f t="shared" si="452"/>
        <v>0</v>
      </c>
      <c r="Q274" s="2176"/>
      <c r="R274" s="2177"/>
      <c r="S274" s="2180">
        <f t="shared" si="453"/>
        <v>0</v>
      </c>
      <c r="T274" s="2251">
        <f t="shared" ref="T274:T275" si="473">(N274+Q274)/2</f>
        <v>0</v>
      </c>
      <c r="U274" s="2252">
        <f t="shared" si="471"/>
        <v>0</v>
      </c>
      <c r="V274" s="2253">
        <f t="shared" si="454"/>
        <v>0</v>
      </c>
      <c r="W274" s="2182"/>
      <c r="X274" s="2177"/>
      <c r="Y274" s="2183">
        <f t="shared" si="455"/>
        <v>0</v>
      </c>
      <c r="Z274" s="2254">
        <f t="shared" si="472"/>
        <v>0</v>
      </c>
      <c r="AA274" s="2252">
        <f t="shared" si="472"/>
        <v>0</v>
      </c>
      <c r="AB274" s="2255">
        <f t="shared" si="456"/>
        <v>0</v>
      </c>
      <c r="AC274" s="2176"/>
      <c r="AD274" s="2177"/>
      <c r="AE274" s="2180">
        <f t="shared" ref="AE274:AE337" si="474">AD274-AC274</f>
        <v>0</v>
      </c>
      <c r="AF274" s="2281"/>
      <c r="AG274" s="2114"/>
      <c r="AH274" s="2177"/>
      <c r="AI274" s="2177"/>
      <c r="AJ274" s="2186">
        <f t="shared" si="458"/>
        <v>0</v>
      </c>
      <c r="AK274" s="2177"/>
      <c r="AL274" s="2177"/>
      <c r="AM274" s="2186">
        <f t="shared" si="459"/>
        <v>0</v>
      </c>
      <c r="AN274" s="2177"/>
      <c r="AO274" s="2177"/>
      <c r="AP274" s="2186">
        <f t="shared" si="460"/>
        <v>0</v>
      </c>
      <c r="AQ274" s="2177"/>
      <c r="AR274" s="2177"/>
      <c r="AS274" s="2186">
        <f t="shared" si="461"/>
        <v>0</v>
      </c>
      <c r="AT274" s="2177"/>
      <c r="AU274" s="2177"/>
      <c r="AV274" s="2186">
        <f t="shared" si="462"/>
        <v>0</v>
      </c>
      <c r="AW274" s="2177"/>
      <c r="AX274" s="2177"/>
      <c r="AY274" s="2186">
        <f t="shared" si="463"/>
        <v>0</v>
      </c>
      <c r="AZ274" s="2177"/>
      <c r="BA274" s="2177"/>
      <c r="BB274" s="2186">
        <f t="shared" si="464"/>
        <v>0</v>
      </c>
      <c r="BC274" s="2177"/>
      <c r="BD274" s="2177"/>
      <c r="BE274" s="2186">
        <f t="shared" si="465"/>
        <v>0</v>
      </c>
      <c r="BF274" s="2177"/>
      <c r="BG274" s="2177"/>
      <c r="BH274" s="2186">
        <f t="shared" si="466"/>
        <v>0</v>
      </c>
      <c r="BI274" s="2177"/>
      <c r="BJ274" s="2177"/>
      <c r="BK274" s="2186">
        <f t="shared" si="467"/>
        <v>0</v>
      </c>
      <c r="BL274" s="2177"/>
      <c r="BM274" s="2177"/>
      <c r="BN274" s="2186">
        <f t="shared" si="468"/>
        <v>0</v>
      </c>
      <c r="BO274" s="2177"/>
      <c r="BP274" s="2177"/>
      <c r="BQ274" s="2186">
        <f t="shared" si="469"/>
        <v>0</v>
      </c>
    </row>
    <row r="275" spans="3:69" s="2087" customFormat="1" hidden="1">
      <c r="C275" s="2194" t="s">
        <v>2401</v>
      </c>
      <c r="D275" s="2283" t="s">
        <v>2225</v>
      </c>
      <c r="E275" s="2284" t="s">
        <v>420</v>
      </c>
      <c r="F275" s="2176"/>
      <c r="G275" s="2177"/>
      <c r="H275" s="2177"/>
      <c r="I275" s="2178">
        <f t="shared" si="450"/>
        <v>0</v>
      </c>
      <c r="J275" s="2176"/>
      <c r="K275" s="2252">
        <f t="shared" si="470"/>
        <v>0</v>
      </c>
      <c r="L275" s="2252">
        <f t="shared" si="470"/>
        <v>0</v>
      </c>
      <c r="M275" s="2255">
        <f t="shared" si="451"/>
        <v>0</v>
      </c>
      <c r="N275" s="2177"/>
      <c r="O275" s="2177"/>
      <c r="P275" s="2178">
        <f t="shared" si="452"/>
        <v>0</v>
      </c>
      <c r="Q275" s="2176"/>
      <c r="R275" s="2177"/>
      <c r="S275" s="2180">
        <f t="shared" si="453"/>
        <v>0</v>
      </c>
      <c r="T275" s="2251">
        <f t="shared" si="473"/>
        <v>0</v>
      </c>
      <c r="U275" s="2252">
        <f t="shared" si="471"/>
        <v>0</v>
      </c>
      <c r="V275" s="2253">
        <f t="shared" si="454"/>
        <v>0</v>
      </c>
      <c r="W275" s="2182"/>
      <c r="X275" s="2177"/>
      <c r="Y275" s="2183">
        <f t="shared" si="455"/>
        <v>0</v>
      </c>
      <c r="Z275" s="2254">
        <f t="shared" si="472"/>
        <v>0</v>
      </c>
      <c r="AA275" s="2252">
        <f t="shared" si="472"/>
        <v>0</v>
      </c>
      <c r="AB275" s="2255">
        <f t="shared" si="456"/>
        <v>0</v>
      </c>
      <c r="AC275" s="2176"/>
      <c r="AD275" s="2177"/>
      <c r="AE275" s="2180">
        <f t="shared" si="474"/>
        <v>0</v>
      </c>
      <c r="AF275" s="2277"/>
      <c r="AG275" s="2114"/>
      <c r="AH275" s="2177"/>
      <c r="AI275" s="2177"/>
      <c r="AJ275" s="2186">
        <f t="shared" si="458"/>
        <v>0</v>
      </c>
      <c r="AK275" s="2177"/>
      <c r="AL275" s="2177"/>
      <c r="AM275" s="2186">
        <f t="shared" si="459"/>
        <v>0</v>
      </c>
      <c r="AN275" s="2177"/>
      <c r="AO275" s="2177"/>
      <c r="AP275" s="2186">
        <f t="shared" si="460"/>
        <v>0</v>
      </c>
      <c r="AQ275" s="2177"/>
      <c r="AR275" s="2177"/>
      <c r="AS275" s="2186">
        <f t="shared" si="461"/>
        <v>0</v>
      </c>
      <c r="AT275" s="2177"/>
      <c r="AU275" s="2177"/>
      <c r="AV275" s="2186">
        <f t="shared" si="462"/>
        <v>0</v>
      </c>
      <c r="AW275" s="2177"/>
      <c r="AX275" s="2177"/>
      <c r="AY275" s="2186">
        <f t="shared" si="463"/>
        <v>0</v>
      </c>
      <c r="AZ275" s="2177"/>
      <c r="BA275" s="2177"/>
      <c r="BB275" s="2186">
        <f t="shared" si="464"/>
        <v>0</v>
      </c>
      <c r="BC275" s="2177"/>
      <c r="BD275" s="2177"/>
      <c r="BE275" s="2186">
        <f t="shared" si="465"/>
        <v>0</v>
      </c>
      <c r="BF275" s="2177"/>
      <c r="BG275" s="2177"/>
      <c r="BH275" s="2186">
        <f t="shared" si="466"/>
        <v>0</v>
      </c>
      <c r="BI275" s="2177"/>
      <c r="BJ275" s="2177"/>
      <c r="BK275" s="2186">
        <f t="shared" si="467"/>
        <v>0</v>
      </c>
      <c r="BL275" s="2177"/>
      <c r="BM275" s="2177"/>
      <c r="BN275" s="2186">
        <f t="shared" si="468"/>
        <v>0</v>
      </c>
      <c r="BO275" s="2177"/>
      <c r="BP275" s="2177"/>
      <c r="BQ275" s="2186">
        <f t="shared" si="469"/>
        <v>0</v>
      </c>
    </row>
    <row r="276" spans="3:69" s="2087" customFormat="1" hidden="1">
      <c r="C276" s="2194" t="s">
        <v>2402</v>
      </c>
      <c r="D276" s="2283" t="s">
        <v>2227</v>
      </c>
      <c r="E276" s="2284" t="s">
        <v>420</v>
      </c>
      <c r="F276" s="2176"/>
      <c r="G276" s="2177"/>
      <c r="H276" s="2177"/>
      <c r="I276" s="2178">
        <f t="shared" si="450"/>
        <v>0</v>
      </c>
      <c r="J276" s="2176"/>
      <c r="K276" s="2252">
        <f>(N276+Q276+W276+AC276)/4</f>
        <v>0</v>
      </c>
      <c r="L276" s="2252">
        <f t="shared" si="470"/>
        <v>0</v>
      </c>
      <c r="M276" s="2255">
        <f t="shared" si="451"/>
        <v>0</v>
      </c>
      <c r="N276" s="2177"/>
      <c r="O276" s="2177"/>
      <c r="P276" s="2178">
        <f t="shared" si="452"/>
        <v>0</v>
      </c>
      <c r="Q276" s="2176"/>
      <c r="R276" s="2177"/>
      <c r="S276" s="2180">
        <f t="shared" si="453"/>
        <v>0</v>
      </c>
      <c r="T276" s="2251">
        <f>(N276+Q276)/2</f>
        <v>0</v>
      </c>
      <c r="U276" s="2252">
        <f t="shared" si="471"/>
        <v>0</v>
      </c>
      <c r="V276" s="2253">
        <f t="shared" si="454"/>
        <v>0</v>
      </c>
      <c r="W276" s="2182"/>
      <c r="X276" s="2177"/>
      <c r="Y276" s="2183">
        <f t="shared" si="455"/>
        <v>0</v>
      </c>
      <c r="Z276" s="2254">
        <f>(N276+Q276+W276)/3</f>
        <v>0</v>
      </c>
      <c r="AA276" s="2252">
        <f t="shared" si="472"/>
        <v>0</v>
      </c>
      <c r="AB276" s="2255">
        <f t="shared" si="456"/>
        <v>0</v>
      </c>
      <c r="AC276" s="2176"/>
      <c r="AD276" s="2177"/>
      <c r="AE276" s="2180">
        <f t="shared" si="474"/>
        <v>0</v>
      </c>
      <c r="AF276" s="2281"/>
      <c r="AG276" s="2114"/>
      <c r="AH276" s="2177"/>
      <c r="AI276" s="2177"/>
      <c r="AJ276" s="2186">
        <f t="shared" si="458"/>
        <v>0</v>
      </c>
      <c r="AK276" s="2177"/>
      <c r="AL276" s="2177"/>
      <c r="AM276" s="2186">
        <f t="shared" si="459"/>
        <v>0</v>
      </c>
      <c r="AN276" s="2177"/>
      <c r="AO276" s="2177"/>
      <c r="AP276" s="2186">
        <f t="shared" si="460"/>
        <v>0</v>
      </c>
      <c r="AQ276" s="2177"/>
      <c r="AR276" s="2177"/>
      <c r="AS276" s="2186">
        <f t="shared" si="461"/>
        <v>0</v>
      </c>
      <c r="AT276" s="2177"/>
      <c r="AU276" s="2177"/>
      <c r="AV276" s="2186">
        <f t="shared" si="462"/>
        <v>0</v>
      </c>
      <c r="AW276" s="2177"/>
      <c r="AX276" s="2177"/>
      <c r="AY276" s="2186">
        <f t="shared" si="463"/>
        <v>0</v>
      </c>
      <c r="AZ276" s="2177"/>
      <c r="BA276" s="2177"/>
      <c r="BB276" s="2186">
        <f t="shared" si="464"/>
        <v>0</v>
      </c>
      <c r="BC276" s="2177"/>
      <c r="BD276" s="2177"/>
      <c r="BE276" s="2186">
        <f t="shared" si="465"/>
        <v>0</v>
      </c>
      <c r="BF276" s="2177"/>
      <c r="BG276" s="2177"/>
      <c r="BH276" s="2186">
        <f t="shared" si="466"/>
        <v>0</v>
      </c>
      <c r="BI276" s="2177"/>
      <c r="BJ276" s="2177"/>
      <c r="BK276" s="2186">
        <f t="shared" si="467"/>
        <v>0</v>
      </c>
      <c r="BL276" s="2177"/>
      <c r="BM276" s="2177"/>
      <c r="BN276" s="2186">
        <f t="shared" si="468"/>
        <v>0</v>
      </c>
      <c r="BO276" s="2177"/>
      <c r="BP276" s="2177"/>
      <c r="BQ276" s="2186">
        <f t="shared" si="469"/>
        <v>0</v>
      </c>
    </row>
    <row r="277" spans="3:69" s="2087" customFormat="1" hidden="1">
      <c r="C277" s="2194" t="s">
        <v>2403</v>
      </c>
      <c r="D277" s="2283" t="s">
        <v>2229</v>
      </c>
      <c r="E277" s="2284" t="s">
        <v>420</v>
      </c>
      <c r="F277" s="2176"/>
      <c r="G277" s="2177"/>
      <c r="H277" s="2177"/>
      <c r="I277" s="2178">
        <f t="shared" si="450"/>
        <v>0</v>
      </c>
      <c r="J277" s="2176"/>
      <c r="K277" s="2252">
        <f>(N277+Q277+W277+AC277)/4</f>
        <v>0</v>
      </c>
      <c r="L277" s="2252">
        <f t="shared" si="470"/>
        <v>0</v>
      </c>
      <c r="M277" s="2255">
        <f t="shared" si="451"/>
        <v>0</v>
      </c>
      <c r="N277" s="2177"/>
      <c r="O277" s="2177"/>
      <c r="P277" s="2178">
        <f t="shared" si="452"/>
        <v>0</v>
      </c>
      <c r="Q277" s="2176"/>
      <c r="R277" s="2177"/>
      <c r="S277" s="2180">
        <f t="shared" si="453"/>
        <v>0</v>
      </c>
      <c r="T277" s="2251">
        <f>(N277+Q277)/2</f>
        <v>0</v>
      </c>
      <c r="U277" s="2252">
        <f t="shared" si="471"/>
        <v>0</v>
      </c>
      <c r="V277" s="2253">
        <f t="shared" si="454"/>
        <v>0</v>
      </c>
      <c r="W277" s="2182"/>
      <c r="X277" s="2177"/>
      <c r="Y277" s="2183">
        <f t="shared" si="455"/>
        <v>0</v>
      </c>
      <c r="Z277" s="2254">
        <f>(N277+Q277+W277)/3</f>
        <v>0</v>
      </c>
      <c r="AA277" s="2252">
        <f t="shared" si="472"/>
        <v>0</v>
      </c>
      <c r="AB277" s="2255">
        <f t="shared" si="456"/>
        <v>0</v>
      </c>
      <c r="AC277" s="2176"/>
      <c r="AD277" s="2177"/>
      <c r="AE277" s="2180">
        <f t="shared" si="474"/>
        <v>0</v>
      </c>
      <c r="AF277" s="2281"/>
      <c r="AG277" s="2114"/>
      <c r="AH277" s="2177"/>
      <c r="AI277" s="2177"/>
      <c r="AJ277" s="2186">
        <f t="shared" si="458"/>
        <v>0</v>
      </c>
      <c r="AK277" s="2177"/>
      <c r="AL277" s="2177"/>
      <c r="AM277" s="2186">
        <f t="shared" si="459"/>
        <v>0</v>
      </c>
      <c r="AN277" s="2177"/>
      <c r="AO277" s="2177"/>
      <c r="AP277" s="2186">
        <f t="shared" si="460"/>
        <v>0</v>
      </c>
      <c r="AQ277" s="2177"/>
      <c r="AR277" s="2177"/>
      <c r="AS277" s="2186">
        <f t="shared" si="461"/>
        <v>0</v>
      </c>
      <c r="AT277" s="2177"/>
      <c r="AU277" s="2177"/>
      <c r="AV277" s="2186">
        <f t="shared" si="462"/>
        <v>0</v>
      </c>
      <c r="AW277" s="2177"/>
      <c r="AX277" s="2177"/>
      <c r="AY277" s="2186">
        <f t="shared" si="463"/>
        <v>0</v>
      </c>
      <c r="AZ277" s="2177"/>
      <c r="BA277" s="2177"/>
      <c r="BB277" s="2186">
        <f t="shared" si="464"/>
        <v>0</v>
      </c>
      <c r="BC277" s="2177"/>
      <c r="BD277" s="2177"/>
      <c r="BE277" s="2186">
        <f t="shared" si="465"/>
        <v>0</v>
      </c>
      <c r="BF277" s="2177"/>
      <c r="BG277" s="2177"/>
      <c r="BH277" s="2186">
        <f t="shared" si="466"/>
        <v>0</v>
      </c>
      <c r="BI277" s="2177"/>
      <c r="BJ277" s="2177"/>
      <c r="BK277" s="2186">
        <f t="shared" si="467"/>
        <v>0</v>
      </c>
      <c r="BL277" s="2177"/>
      <c r="BM277" s="2177"/>
      <c r="BN277" s="2186">
        <f t="shared" si="468"/>
        <v>0</v>
      </c>
      <c r="BO277" s="2177"/>
      <c r="BP277" s="2177"/>
      <c r="BQ277" s="2186">
        <f t="shared" si="469"/>
        <v>0</v>
      </c>
    </row>
    <row r="278" spans="3:69" s="2087" customFormat="1" hidden="1">
      <c r="C278" s="2285" t="s">
        <v>2404</v>
      </c>
      <c r="D278" s="2286" t="s">
        <v>2231</v>
      </c>
      <c r="E278" s="2284" t="s">
        <v>240</v>
      </c>
      <c r="F278" s="2176"/>
      <c r="G278" s="2252">
        <f>G279+G280+G281+G282+G283</f>
        <v>0</v>
      </c>
      <c r="H278" s="2252">
        <f>H279+H280+H281+H282+H283</f>
        <v>0</v>
      </c>
      <c r="I278" s="2178">
        <f t="shared" si="450"/>
        <v>0</v>
      </c>
      <c r="J278" s="2176"/>
      <c r="K278" s="2179">
        <f t="shared" ref="K278:L301" si="475">N278+Q278+W278+AC278</f>
        <v>0</v>
      </c>
      <c r="L278" s="2179">
        <f t="shared" si="475"/>
        <v>0</v>
      </c>
      <c r="M278" s="2178">
        <f t="shared" si="451"/>
        <v>0</v>
      </c>
      <c r="N278" s="2179">
        <f>N279+N280+N281+N282+N283</f>
        <v>0</v>
      </c>
      <c r="O278" s="2179">
        <f>O279+O280+O281+O282+O283</f>
        <v>0</v>
      </c>
      <c r="P278" s="2178">
        <f t="shared" si="452"/>
        <v>0</v>
      </c>
      <c r="Q278" s="2179">
        <f>Q279+Q280+Q281+Q282+Q283</f>
        <v>0</v>
      </c>
      <c r="R278" s="2179">
        <f>R279+R280+R281+R282+R283</f>
        <v>0</v>
      </c>
      <c r="S278" s="2180">
        <f t="shared" si="453"/>
        <v>0</v>
      </c>
      <c r="T278" s="2181">
        <f t="shared" ref="T278:U301" si="476">N278+Q278</f>
        <v>0</v>
      </c>
      <c r="U278" s="2179">
        <f t="shared" si="476"/>
        <v>0</v>
      </c>
      <c r="V278" s="2180">
        <f t="shared" si="454"/>
        <v>0</v>
      </c>
      <c r="W278" s="2187">
        <f>W279+W280+W281+W282+W283</f>
        <v>0</v>
      </c>
      <c r="X278" s="2179">
        <f>X279+X280+X281+X282+X283</f>
        <v>0</v>
      </c>
      <c r="Y278" s="2183">
        <f t="shared" si="455"/>
        <v>0</v>
      </c>
      <c r="Z278" s="2184">
        <f t="shared" ref="Z278:AA301" si="477">T278+W278</f>
        <v>0</v>
      </c>
      <c r="AA278" s="2179">
        <f t="shared" si="477"/>
        <v>0</v>
      </c>
      <c r="AB278" s="2178">
        <f t="shared" si="456"/>
        <v>0</v>
      </c>
      <c r="AC278" s="2179">
        <f>AC279+AC280+AC281+AC282+AC283</f>
        <v>0</v>
      </c>
      <c r="AD278" s="2179">
        <f>AD279+AD280+AD281+AD282+AD283</f>
        <v>0</v>
      </c>
      <c r="AE278" s="2180">
        <f t="shared" si="474"/>
        <v>0</v>
      </c>
      <c r="AF278" s="2281"/>
      <c r="AG278" s="2114"/>
      <c r="AH278" s="2188">
        <f>AH279+AH280+AH281+AH282+AH283</f>
        <v>0</v>
      </c>
      <c r="AI278" s="2188">
        <f>AI279+AI280+AI281+AI282+AI283</f>
        <v>0</v>
      </c>
      <c r="AJ278" s="2186">
        <f t="shared" si="458"/>
        <v>0</v>
      </c>
      <c r="AK278" s="2188">
        <f>AK279+AK280+AK281+AK282+AK283</f>
        <v>0</v>
      </c>
      <c r="AL278" s="2188">
        <f>AL279+AL280+AL281+AL282+AL283</f>
        <v>0</v>
      </c>
      <c r="AM278" s="2186">
        <f t="shared" si="459"/>
        <v>0</v>
      </c>
      <c r="AN278" s="2188">
        <f>AN279+AN280+AN281+AN282+AN283</f>
        <v>0</v>
      </c>
      <c r="AO278" s="2188">
        <f>AO279+AO280+AO281+AO282+AO283</f>
        <v>0</v>
      </c>
      <c r="AP278" s="2186">
        <f t="shared" si="460"/>
        <v>0</v>
      </c>
      <c r="AQ278" s="2188">
        <f>AQ279+AQ280+AQ281+AQ282+AQ283</f>
        <v>0</v>
      </c>
      <c r="AR278" s="2188">
        <f>AR279+AR280+AR281+AR282+AR283</f>
        <v>0</v>
      </c>
      <c r="AS278" s="2186">
        <f t="shared" si="461"/>
        <v>0</v>
      </c>
      <c r="AT278" s="2188">
        <f>AT279+AT280+AT281+AT282+AT283</f>
        <v>0</v>
      </c>
      <c r="AU278" s="2188">
        <f>AU279+AU280+AU281+AU282+AU283</f>
        <v>0</v>
      </c>
      <c r="AV278" s="2186">
        <f t="shared" si="462"/>
        <v>0</v>
      </c>
      <c r="AW278" s="2188">
        <f>AW279+AW280+AW281+AW282+AW283</f>
        <v>0</v>
      </c>
      <c r="AX278" s="2188">
        <f>AX279+AX280+AX281+AX282+AX283</f>
        <v>0</v>
      </c>
      <c r="AY278" s="2186">
        <f t="shared" si="463"/>
        <v>0</v>
      </c>
      <c r="AZ278" s="2188">
        <f>AZ279+AZ280+AZ281+AZ282+AZ283</f>
        <v>0</v>
      </c>
      <c r="BA278" s="2188">
        <f>BA279+BA280+BA281+BA282+BA283</f>
        <v>0</v>
      </c>
      <c r="BB278" s="2186">
        <f t="shared" si="464"/>
        <v>0</v>
      </c>
      <c r="BC278" s="2188">
        <f>BC279+BC280+BC281+BC282+BC283</f>
        <v>0</v>
      </c>
      <c r="BD278" s="2188">
        <f>BD279+BD280+BD281+BD282+BD283</f>
        <v>0</v>
      </c>
      <c r="BE278" s="2186">
        <f t="shared" si="465"/>
        <v>0</v>
      </c>
      <c r="BF278" s="2188">
        <f>BF279+BF280+BF281+BF282+BF283</f>
        <v>0</v>
      </c>
      <c r="BG278" s="2188">
        <f>BG279+BG280+BG281+BG282+BG283</f>
        <v>0</v>
      </c>
      <c r="BH278" s="2186">
        <f t="shared" si="466"/>
        <v>0</v>
      </c>
      <c r="BI278" s="2188">
        <f>BI279+BI280+BI281+BI282+BI283</f>
        <v>0</v>
      </c>
      <c r="BJ278" s="2188">
        <f>BJ279+BJ280+BJ281+BJ282+BJ283</f>
        <v>0</v>
      </c>
      <c r="BK278" s="2186">
        <f t="shared" si="467"/>
        <v>0</v>
      </c>
      <c r="BL278" s="2188">
        <f>BL279+BL280+BL281+BL282+BL283</f>
        <v>0</v>
      </c>
      <c r="BM278" s="2188">
        <f>BM279+BM280+BM281+BM282+BM283</f>
        <v>0</v>
      </c>
      <c r="BN278" s="2186">
        <f t="shared" si="468"/>
        <v>0</v>
      </c>
      <c r="BO278" s="2188">
        <f>BO279+BO280+BO281+BO282+BO283</f>
        <v>0</v>
      </c>
      <c r="BP278" s="2188">
        <f>BP279+BP280+BP281+BP282+BP283</f>
        <v>0</v>
      </c>
      <c r="BQ278" s="2186">
        <f t="shared" si="469"/>
        <v>0</v>
      </c>
    </row>
    <row r="279" spans="3:69" s="2087" customFormat="1" hidden="1">
      <c r="C279" s="2194" t="s">
        <v>2405</v>
      </c>
      <c r="D279" s="2283" t="s">
        <v>2221</v>
      </c>
      <c r="E279" s="2284" t="s">
        <v>240</v>
      </c>
      <c r="F279" s="2176"/>
      <c r="G279" s="2177"/>
      <c r="H279" s="2177"/>
      <c r="I279" s="2178">
        <f t="shared" si="450"/>
        <v>0</v>
      </c>
      <c r="J279" s="2176"/>
      <c r="K279" s="2252">
        <f t="shared" si="475"/>
        <v>0</v>
      </c>
      <c r="L279" s="2252">
        <f t="shared" si="475"/>
        <v>0</v>
      </c>
      <c r="M279" s="2255">
        <f t="shared" si="451"/>
        <v>0</v>
      </c>
      <c r="N279" s="2177"/>
      <c r="O279" s="2177"/>
      <c r="P279" s="2178">
        <f t="shared" si="452"/>
        <v>0</v>
      </c>
      <c r="Q279" s="2176"/>
      <c r="R279" s="2176"/>
      <c r="S279" s="2180">
        <f t="shared" si="453"/>
        <v>0</v>
      </c>
      <c r="T279" s="2251">
        <f t="shared" si="476"/>
        <v>0</v>
      </c>
      <c r="U279" s="2252">
        <f t="shared" si="476"/>
        <v>0</v>
      </c>
      <c r="V279" s="2253">
        <f t="shared" si="454"/>
        <v>0</v>
      </c>
      <c r="W279" s="2182"/>
      <c r="X279" s="2177"/>
      <c r="Y279" s="2183">
        <f t="shared" si="455"/>
        <v>0</v>
      </c>
      <c r="Z279" s="2254">
        <f t="shared" si="477"/>
        <v>0</v>
      </c>
      <c r="AA279" s="2252">
        <f t="shared" si="477"/>
        <v>0</v>
      </c>
      <c r="AB279" s="2255">
        <f t="shared" si="456"/>
        <v>0</v>
      </c>
      <c r="AC279" s="2176"/>
      <c r="AD279" s="2177"/>
      <c r="AE279" s="2180">
        <f t="shared" si="474"/>
        <v>0</v>
      </c>
      <c r="AF279" s="2281"/>
      <c r="AG279" s="2114"/>
      <c r="AH279" s="2177"/>
      <c r="AI279" s="2177"/>
      <c r="AJ279" s="2186">
        <f t="shared" si="458"/>
        <v>0</v>
      </c>
      <c r="AK279" s="2177"/>
      <c r="AL279" s="2177"/>
      <c r="AM279" s="2186">
        <f t="shared" si="459"/>
        <v>0</v>
      </c>
      <c r="AN279" s="2177"/>
      <c r="AO279" s="2177"/>
      <c r="AP279" s="2186">
        <f t="shared" si="460"/>
        <v>0</v>
      </c>
      <c r="AQ279" s="2177"/>
      <c r="AR279" s="2177"/>
      <c r="AS279" s="2186">
        <f t="shared" si="461"/>
        <v>0</v>
      </c>
      <c r="AT279" s="2177"/>
      <c r="AU279" s="2177"/>
      <c r="AV279" s="2186">
        <f t="shared" si="462"/>
        <v>0</v>
      </c>
      <c r="AW279" s="2177"/>
      <c r="AX279" s="2177"/>
      <c r="AY279" s="2186">
        <f t="shared" si="463"/>
        <v>0</v>
      </c>
      <c r="AZ279" s="2177"/>
      <c r="BA279" s="2177"/>
      <c r="BB279" s="2186">
        <f t="shared" si="464"/>
        <v>0</v>
      </c>
      <c r="BC279" s="2177"/>
      <c r="BD279" s="2177"/>
      <c r="BE279" s="2186">
        <f t="shared" si="465"/>
        <v>0</v>
      </c>
      <c r="BF279" s="2177"/>
      <c r="BG279" s="2177"/>
      <c r="BH279" s="2186">
        <f t="shared" si="466"/>
        <v>0</v>
      </c>
      <c r="BI279" s="2177"/>
      <c r="BJ279" s="2177"/>
      <c r="BK279" s="2186">
        <f t="shared" si="467"/>
        <v>0</v>
      </c>
      <c r="BL279" s="2177"/>
      <c r="BM279" s="2177"/>
      <c r="BN279" s="2186">
        <f t="shared" si="468"/>
        <v>0</v>
      </c>
      <c r="BO279" s="2177"/>
      <c r="BP279" s="2177"/>
      <c r="BQ279" s="2186">
        <f t="shared" si="469"/>
        <v>0</v>
      </c>
    </row>
    <row r="280" spans="3:69" s="2087" customFormat="1" hidden="1">
      <c r="C280" s="2194" t="s">
        <v>2406</v>
      </c>
      <c r="D280" s="2283" t="s">
        <v>2223</v>
      </c>
      <c r="E280" s="2284" t="s">
        <v>240</v>
      </c>
      <c r="F280" s="2176"/>
      <c r="G280" s="2177"/>
      <c r="H280" s="2177"/>
      <c r="I280" s="2178">
        <f t="shared" si="450"/>
        <v>0</v>
      </c>
      <c r="J280" s="2176"/>
      <c r="K280" s="2252">
        <f t="shared" si="475"/>
        <v>0</v>
      </c>
      <c r="L280" s="2252">
        <f t="shared" si="475"/>
        <v>0</v>
      </c>
      <c r="M280" s="2255">
        <f t="shared" si="451"/>
        <v>0</v>
      </c>
      <c r="N280" s="2177"/>
      <c r="O280" s="2177"/>
      <c r="P280" s="2178">
        <f t="shared" si="452"/>
        <v>0</v>
      </c>
      <c r="Q280" s="2176"/>
      <c r="R280" s="2177"/>
      <c r="S280" s="2180">
        <f t="shared" si="453"/>
        <v>0</v>
      </c>
      <c r="T280" s="2251">
        <f t="shared" si="476"/>
        <v>0</v>
      </c>
      <c r="U280" s="2252">
        <f t="shared" si="476"/>
        <v>0</v>
      </c>
      <c r="V280" s="2253">
        <f t="shared" si="454"/>
        <v>0</v>
      </c>
      <c r="W280" s="2182"/>
      <c r="X280" s="2177"/>
      <c r="Y280" s="2183">
        <f t="shared" si="455"/>
        <v>0</v>
      </c>
      <c r="Z280" s="2254">
        <f t="shared" si="477"/>
        <v>0</v>
      </c>
      <c r="AA280" s="2252">
        <f t="shared" si="477"/>
        <v>0</v>
      </c>
      <c r="AB280" s="2255">
        <f t="shared" si="456"/>
        <v>0</v>
      </c>
      <c r="AC280" s="2176"/>
      <c r="AD280" s="2177"/>
      <c r="AE280" s="2180">
        <f t="shared" si="474"/>
        <v>0</v>
      </c>
      <c r="AF280" s="2281"/>
      <c r="AG280" s="2114"/>
      <c r="AH280" s="2177"/>
      <c r="AI280" s="2177"/>
      <c r="AJ280" s="2186">
        <f t="shared" si="458"/>
        <v>0</v>
      </c>
      <c r="AK280" s="2177"/>
      <c r="AL280" s="2177"/>
      <c r="AM280" s="2186">
        <f t="shared" si="459"/>
        <v>0</v>
      </c>
      <c r="AN280" s="2177"/>
      <c r="AO280" s="2177"/>
      <c r="AP280" s="2186">
        <f t="shared" si="460"/>
        <v>0</v>
      </c>
      <c r="AQ280" s="2177"/>
      <c r="AR280" s="2177"/>
      <c r="AS280" s="2186">
        <f t="shared" si="461"/>
        <v>0</v>
      </c>
      <c r="AT280" s="2177"/>
      <c r="AU280" s="2177"/>
      <c r="AV280" s="2186">
        <f t="shared" si="462"/>
        <v>0</v>
      </c>
      <c r="AW280" s="2177"/>
      <c r="AX280" s="2177"/>
      <c r="AY280" s="2186">
        <f t="shared" si="463"/>
        <v>0</v>
      </c>
      <c r="AZ280" s="2177"/>
      <c r="BA280" s="2177"/>
      <c r="BB280" s="2186">
        <f t="shared" si="464"/>
        <v>0</v>
      </c>
      <c r="BC280" s="2177"/>
      <c r="BD280" s="2177"/>
      <c r="BE280" s="2186">
        <f t="shared" si="465"/>
        <v>0</v>
      </c>
      <c r="BF280" s="2177"/>
      <c r="BG280" s="2177"/>
      <c r="BH280" s="2186">
        <f t="shared" si="466"/>
        <v>0</v>
      </c>
      <c r="BI280" s="2177"/>
      <c r="BJ280" s="2177"/>
      <c r="BK280" s="2186">
        <f t="shared" si="467"/>
        <v>0</v>
      </c>
      <c r="BL280" s="2177"/>
      <c r="BM280" s="2177"/>
      <c r="BN280" s="2186">
        <f t="shared" si="468"/>
        <v>0</v>
      </c>
      <c r="BO280" s="2177"/>
      <c r="BP280" s="2177"/>
      <c r="BQ280" s="2186">
        <f t="shared" si="469"/>
        <v>0</v>
      </c>
    </row>
    <row r="281" spans="3:69" s="2087" customFormat="1" hidden="1">
      <c r="C281" s="2194" t="s">
        <v>2407</v>
      </c>
      <c r="D281" s="2283" t="s">
        <v>2225</v>
      </c>
      <c r="E281" s="2284" t="s">
        <v>240</v>
      </c>
      <c r="F281" s="2176"/>
      <c r="G281" s="2177"/>
      <c r="H281" s="2177"/>
      <c r="I281" s="2178">
        <f t="shared" si="450"/>
        <v>0</v>
      </c>
      <c r="J281" s="2176"/>
      <c r="K281" s="2252">
        <f t="shared" si="475"/>
        <v>0</v>
      </c>
      <c r="L281" s="2252">
        <f t="shared" si="475"/>
        <v>0</v>
      </c>
      <c r="M281" s="2255">
        <f t="shared" si="451"/>
        <v>0</v>
      </c>
      <c r="N281" s="2177"/>
      <c r="O281" s="2177"/>
      <c r="P281" s="2178">
        <f t="shared" si="452"/>
        <v>0</v>
      </c>
      <c r="Q281" s="2176"/>
      <c r="R281" s="2177"/>
      <c r="S281" s="2180">
        <f t="shared" si="453"/>
        <v>0</v>
      </c>
      <c r="T281" s="2251">
        <f t="shared" si="476"/>
        <v>0</v>
      </c>
      <c r="U281" s="2252">
        <f t="shared" si="476"/>
        <v>0</v>
      </c>
      <c r="V281" s="2253">
        <f t="shared" si="454"/>
        <v>0</v>
      </c>
      <c r="W281" s="2182"/>
      <c r="X281" s="2177"/>
      <c r="Y281" s="2183">
        <f t="shared" si="455"/>
        <v>0</v>
      </c>
      <c r="Z281" s="2254">
        <f t="shared" si="477"/>
        <v>0</v>
      </c>
      <c r="AA281" s="2252">
        <f t="shared" si="477"/>
        <v>0</v>
      </c>
      <c r="AB281" s="2255">
        <f t="shared" si="456"/>
        <v>0</v>
      </c>
      <c r="AC281" s="2176"/>
      <c r="AD281" s="2177"/>
      <c r="AE281" s="2180">
        <f t="shared" si="474"/>
        <v>0</v>
      </c>
      <c r="AF281" s="2281"/>
      <c r="AG281" s="2114"/>
      <c r="AH281" s="2177"/>
      <c r="AI281" s="2177"/>
      <c r="AJ281" s="2186">
        <f t="shared" si="458"/>
        <v>0</v>
      </c>
      <c r="AK281" s="2177"/>
      <c r="AL281" s="2177"/>
      <c r="AM281" s="2186">
        <f t="shared" si="459"/>
        <v>0</v>
      </c>
      <c r="AN281" s="2177"/>
      <c r="AO281" s="2177"/>
      <c r="AP281" s="2186">
        <f t="shared" si="460"/>
        <v>0</v>
      </c>
      <c r="AQ281" s="2177"/>
      <c r="AR281" s="2177"/>
      <c r="AS281" s="2186">
        <f t="shared" si="461"/>
        <v>0</v>
      </c>
      <c r="AT281" s="2177"/>
      <c r="AU281" s="2177"/>
      <c r="AV281" s="2186">
        <f t="shared" si="462"/>
        <v>0</v>
      </c>
      <c r="AW281" s="2177"/>
      <c r="AX281" s="2177"/>
      <c r="AY281" s="2186">
        <f t="shared" si="463"/>
        <v>0</v>
      </c>
      <c r="AZ281" s="2177"/>
      <c r="BA281" s="2177"/>
      <c r="BB281" s="2186">
        <f t="shared" si="464"/>
        <v>0</v>
      </c>
      <c r="BC281" s="2177"/>
      <c r="BD281" s="2177"/>
      <c r="BE281" s="2186">
        <f t="shared" si="465"/>
        <v>0</v>
      </c>
      <c r="BF281" s="2177"/>
      <c r="BG281" s="2177"/>
      <c r="BH281" s="2186">
        <f t="shared" si="466"/>
        <v>0</v>
      </c>
      <c r="BI281" s="2177"/>
      <c r="BJ281" s="2177"/>
      <c r="BK281" s="2186">
        <f t="shared" si="467"/>
        <v>0</v>
      </c>
      <c r="BL281" s="2177"/>
      <c r="BM281" s="2177"/>
      <c r="BN281" s="2186">
        <f t="shared" si="468"/>
        <v>0</v>
      </c>
      <c r="BO281" s="2177"/>
      <c r="BP281" s="2177"/>
      <c r="BQ281" s="2186">
        <f t="shared" si="469"/>
        <v>0</v>
      </c>
    </row>
    <row r="282" spans="3:69" s="2087" customFormat="1" hidden="1">
      <c r="C282" s="2194" t="s">
        <v>2408</v>
      </c>
      <c r="D282" s="2283" t="s">
        <v>2227</v>
      </c>
      <c r="E282" s="2284" t="s">
        <v>240</v>
      </c>
      <c r="F282" s="2176"/>
      <c r="G282" s="2177"/>
      <c r="H282" s="2177"/>
      <c r="I282" s="2178">
        <f t="shared" si="450"/>
        <v>0</v>
      </c>
      <c r="J282" s="2176"/>
      <c r="K282" s="2252">
        <f t="shared" si="475"/>
        <v>0</v>
      </c>
      <c r="L282" s="2252">
        <f t="shared" si="475"/>
        <v>0</v>
      </c>
      <c r="M282" s="2255">
        <f t="shared" si="451"/>
        <v>0</v>
      </c>
      <c r="N282" s="2177"/>
      <c r="O282" s="2177"/>
      <c r="P282" s="2178">
        <f t="shared" si="452"/>
        <v>0</v>
      </c>
      <c r="Q282" s="2176"/>
      <c r="R282" s="2177"/>
      <c r="S282" s="2180">
        <f t="shared" si="453"/>
        <v>0</v>
      </c>
      <c r="T282" s="2251">
        <f t="shared" si="476"/>
        <v>0</v>
      </c>
      <c r="U282" s="2252">
        <f t="shared" si="476"/>
        <v>0</v>
      </c>
      <c r="V282" s="2253">
        <f t="shared" si="454"/>
        <v>0</v>
      </c>
      <c r="W282" s="2182"/>
      <c r="X282" s="2177"/>
      <c r="Y282" s="2183">
        <f t="shared" si="455"/>
        <v>0</v>
      </c>
      <c r="Z282" s="2254">
        <f t="shared" si="477"/>
        <v>0</v>
      </c>
      <c r="AA282" s="2252">
        <f t="shared" si="477"/>
        <v>0</v>
      </c>
      <c r="AB282" s="2255">
        <f t="shared" si="456"/>
        <v>0</v>
      </c>
      <c r="AC282" s="2176"/>
      <c r="AD282" s="2177"/>
      <c r="AE282" s="2180">
        <f t="shared" si="474"/>
        <v>0</v>
      </c>
      <c r="AF282" s="2281"/>
      <c r="AG282" s="2114"/>
      <c r="AH282" s="2177"/>
      <c r="AI282" s="2177"/>
      <c r="AJ282" s="2186">
        <f t="shared" si="458"/>
        <v>0</v>
      </c>
      <c r="AK282" s="2177"/>
      <c r="AL282" s="2177"/>
      <c r="AM282" s="2186">
        <f t="shared" si="459"/>
        <v>0</v>
      </c>
      <c r="AN282" s="2177"/>
      <c r="AO282" s="2177"/>
      <c r="AP282" s="2186">
        <f t="shared" si="460"/>
        <v>0</v>
      </c>
      <c r="AQ282" s="2177"/>
      <c r="AR282" s="2177"/>
      <c r="AS282" s="2186">
        <f t="shared" si="461"/>
        <v>0</v>
      </c>
      <c r="AT282" s="2177"/>
      <c r="AU282" s="2177"/>
      <c r="AV282" s="2186">
        <f t="shared" si="462"/>
        <v>0</v>
      </c>
      <c r="AW282" s="2177"/>
      <c r="AX282" s="2177"/>
      <c r="AY282" s="2186">
        <f t="shared" si="463"/>
        <v>0</v>
      </c>
      <c r="AZ282" s="2177"/>
      <c r="BA282" s="2177"/>
      <c r="BB282" s="2186">
        <f t="shared" si="464"/>
        <v>0</v>
      </c>
      <c r="BC282" s="2177"/>
      <c r="BD282" s="2177"/>
      <c r="BE282" s="2186">
        <f t="shared" si="465"/>
        <v>0</v>
      </c>
      <c r="BF282" s="2177"/>
      <c r="BG282" s="2177"/>
      <c r="BH282" s="2186">
        <f t="shared" si="466"/>
        <v>0</v>
      </c>
      <c r="BI282" s="2177"/>
      <c r="BJ282" s="2177"/>
      <c r="BK282" s="2186">
        <f t="shared" si="467"/>
        <v>0</v>
      </c>
      <c r="BL282" s="2177"/>
      <c r="BM282" s="2177"/>
      <c r="BN282" s="2186">
        <f t="shared" si="468"/>
        <v>0</v>
      </c>
      <c r="BO282" s="2177"/>
      <c r="BP282" s="2177"/>
      <c r="BQ282" s="2186">
        <f t="shared" si="469"/>
        <v>0</v>
      </c>
    </row>
    <row r="283" spans="3:69" s="2087" customFormat="1" hidden="1">
      <c r="C283" s="2194" t="s">
        <v>2409</v>
      </c>
      <c r="D283" s="2283" t="s">
        <v>2229</v>
      </c>
      <c r="E283" s="2284" t="s">
        <v>240</v>
      </c>
      <c r="F283" s="2176"/>
      <c r="G283" s="2177"/>
      <c r="H283" s="2177"/>
      <c r="I283" s="2178">
        <f t="shared" si="450"/>
        <v>0</v>
      </c>
      <c r="J283" s="2176"/>
      <c r="K283" s="2252">
        <f t="shared" si="475"/>
        <v>0</v>
      </c>
      <c r="L283" s="2252">
        <f t="shared" si="475"/>
        <v>0</v>
      </c>
      <c r="M283" s="2255">
        <f t="shared" si="451"/>
        <v>0</v>
      </c>
      <c r="N283" s="2177"/>
      <c r="O283" s="2177"/>
      <c r="P283" s="2178">
        <f t="shared" si="452"/>
        <v>0</v>
      </c>
      <c r="Q283" s="2176"/>
      <c r="R283" s="2177"/>
      <c r="S283" s="2266"/>
      <c r="T283" s="2251">
        <f t="shared" si="476"/>
        <v>0</v>
      </c>
      <c r="U283" s="2252">
        <f t="shared" si="476"/>
        <v>0</v>
      </c>
      <c r="V283" s="2253">
        <f t="shared" si="454"/>
        <v>0</v>
      </c>
      <c r="W283" s="2182"/>
      <c r="X283" s="2177"/>
      <c r="Y283" s="2271"/>
      <c r="Z283" s="2254">
        <f t="shared" si="477"/>
        <v>0</v>
      </c>
      <c r="AA283" s="2252">
        <f t="shared" si="477"/>
        <v>0</v>
      </c>
      <c r="AB283" s="2255">
        <f t="shared" si="456"/>
        <v>0</v>
      </c>
      <c r="AC283" s="2176"/>
      <c r="AD283" s="2177"/>
      <c r="AE283" s="2180">
        <f t="shared" si="474"/>
        <v>0</v>
      </c>
      <c r="AF283" s="2281"/>
      <c r="AG283" s="2114"/>
      <c r="AH283" s="2177"/>
      <c r="AI283" s="2177"/>
      <c r="AJ283" s="2186">
        <f t="shared" si="458"/>
        <v>0</v>
      </c>
      <c r="AK283" s="2177"/>
      <c r="AL283" s="2177"/>
      <c r="AM283" s="2186">
        <f t="shared" si="459"/>
        <v>0</v>
      </c>
      <c r="AN283" s="2177"/>
      <c r="AO283" s="2177"/>
      <c r="AP283" s="2186">
        <f t="shared" si="460"/>
        <v>0</v>
      </c>
      <c r="AQ283" s="2177"/>
      <c r="AR283" s="2177"/>
      <c r="AS283" s="2186">
        <f t="shared" si="461"/>
        <v>0</v>
      </c>
      <c r="AT283" s="2177"/>
      <c r="AU283" s="2177"/>
      <c r="AV283" s="2186">
        <f t="shared" si="462"/>
        <v>0</v>
      </c>
      <c r="AW283" s="2177"/>
      <c r="AX283" s="2177"/>
      <c r="AY283" s="2186">
        <f t="shared" si="463"/>
        <v>0</v>
      </c>
      <c r="AZ283" s="2177"/>
      <c r="BA283" s="2177"/>
      <c r="BB283" s="2186">
        <f t="shared" si="464"/>
        <v>0</v>
      </c>
      <c r="BC283" s="2177"/>
      <c r="BD283" s="2177"/>
      <c r="BE283" s="2186">
        <f t="shared" si="465"/>
        <v>0</v>
      </c>
      <c r="BF283" s="2177"/>
      <c r="BG283" s="2177"/>
      <c r="BH283" s="2186">
        <f t="shared" si="466"/>
        <v>0</v>
      </c>
      <c r="BI283" s="2177"/>
      <c r="BJ283" s="2177"/>
      <c r="BK283" s="2186">
        <f t="shared" si="467"/>
        <v>0</v>
      </c>
      <c r="BL283" s="2177"/>
      <c r="BM283" s="2177"/>
      <c r="BN283" s="2186">
        <f t="shared" si="468"/>
        <v>0</v>
      </c>
      <c r="BO283" s="2177"/>
      <c r="BP283" s="2177"/>
      <c r="BQ283" s="2186">
        <f t="shared" si="469"/>
        <v>0</v>
      </c>
    </row>
    <row r="284" spans="3:69" s="2087" customFormat="1" hidden="1">
      <c r="C284" s="2285" t="s">
        <v>2410</v>
      </c>
      <c r="D284" s="2287" t="s">
        <v>2238</v>
      </c>
      <c r="E284" s="2284" t="s">
        <v>240</v>
      </c>
      <c r="F284" s="2176"/>
      <c r="G284" s="2252">
        <f>G285+G286+G287+G288+G289</f>
        <v>0</v>
      </c>
      <c r="H284" s="2252">
        <f>H285+H286+H287+H288+H289</f>
        <v>0</v>
      </c>
      <c r="I284" s="2178">
        <f t="shared" si="450"/>
        <v>0</v>
      </c>
      <c r="J284" s="2176"/>
      <c r="K284" s="2179">
        <f t="shared" si="475"/>
        <v>0</v>
      </c>
      <c r="L284" s="2179">
        <f t="shared" si="475"/>
        <v>0</v>
      </c>
      <c r="M284" s="2178">
        <f t="shared" si="451"/>
        <v>0</v>
      </c>
      <c r="N284" s="2179">
        <f>N285+N286+N287+N288+N289</f>
        <v>0</v>
      </c>
      <c r="O284" s="2179">
        <f>O285+O286+O287+O288+O289</f>
        <v>0</v>
      </c>
      <c r="P284" s="2178">
        <f t="shared" si="452"/>
        <v>0</v>
      </c>
      <c r="Q284" s="2179">
        <f>Q285+Q286+Q287+Q288+Q289</f>
        <v>0</v>
      </c>
      <c r="R284" s="2179">
        <f>R285+R286+R287+R288+R289</f>
        <v>0</v>
      </c>
      <c r="S284" s="2180">
        <f t="shared" ref="S284:S288" si="478">R284-Q284</f>
        <v>0</v>
      </c>
      <c r="T284" s="2181">
        <f t="shared" si="476"/>
        <v>0</v>
      </c>
      <c r="U284" s="2179">
        <f t="shared" si="476"/>
        <v>0</v>
      </c>
      <c r="V284" s="2180">
        <f t="shared" si="454"/>
        <v>0</v>
      </c>
      <c r="W284" s="2187">
        <f>W285+W286+W287+W288+W289</f>
        <v>0</v>
      </c>
      <c r="X284" s="2179">
        <f>X285+X286+X287+X288+X289</f>
        <v>0</v>
      </c>
      <c r="Y284" s="2183">
        <f t="shared" ref="Y284:Y288" si="479">X284-W284</f>
        <v>0</v>
      </c>
      <c r="Z284" s="2184">
        <f t="shared" si="477"/>
        <v>0</v>
      </c>
      <c r="AA284" s="2179">
        <f t="shared" si="477"/>
        <v>0</v>
      </c>
      <c r="AB284" s="2178">
        <f t="shared" si="456"/>
        <v>0</v>
      </c>
      <c r="AC284" s="2179">
        <f>AC285+AC286+AC287+AC288+AC289</f>
        <v>0</v>
      </c>
      <c r="AD284" s="2179">
        <f>AD285+AD286+AD287+AD288+AD289</f>
        <v>0</v>
      </c>
      <c r="AE284" s="2180">
        <f t="shared" si="474"/>
        <v>0</v>
      </c>
      <c r="AF284" s="2277"/>
      <c r="AG284" s="2114"/>
      <c r="AH284" s="2188">
        <f>AH285+AH286+AH287+AH288+AH289</f>
        <v>0</v>
      </c>
      <c r="AI284" s="2188">
        <f>AI285+AI286+AI287+AI288+AI289</f>
        <v>0</v>
      </c>
      <c r="AJ284" s="2186">
        <f t="shared" si="458"/>
        <v>0</v>
      </c>
      <c r="AK284" s="2188">
        <f>AK285+AK286+AK287+AK288+AK289</f>
        <v>0</v>
      </c>
      <c r="AL284" s="2188">
        <f>AL285+AL286+AL287+AL288+AL289</f>
        <v>0</v>
      </c>
      <c r="AM284" s="2186">
        <f t="shared" si="459"/>
        <v>0</v>
      </c>
      <c r="AN284" s="2188">
        <f>AN285+AN286+AN287+AN288+AN289</f>
        <v>0</v>
      </c>
      <c r="AO284" s="2188">
        <f>AO285+AO286+AO287+AO288+AO289</f>
        <v>0</v>
      </c>
      <c r="AP284" s="2186">
        <f t="shared" si="460"/>
        <v>0</v>
      </c>
      <c r="AQ284" s="2188">
        <f>AQ285+AQ286+AQ287+AQ288+AQ289</f>
        <v>0</v>
      </c>
      <c r="AR284" s="2188">
        <f>AR285+AR286+AR287+AR288+AR289</f>
        <v>0</v>
      </c>
      <c r="AS284" s="2186">
        <f t="shared" si="461"/>
        <v>0</v>
      </c>
      <c r="AT284" s="2188">
        <f>AT285+AT286+AT287+AT288+AT289</f>
        <v>0</v>
      </c>
      <c r="AU284" s="2188">
        <f>AU285+AU286+AU287+AU288+AU289</f>
        <v>0</v>
      </c>
      <c r="AV284" s="2186">
        <f t="shared" si="462"/>
        <v>0</v>
      </c>
      <c r="AW284" s="2188">
        <f>AW285+AW286+AW287+AW288+AW289</f>
        <v>0</v>
      </c>
      <c r="AX284" s="2188">
        <f>AX285+AX286+AX287+AX288+AX289</f>
        <v>0</v>
      </c>
      <c r="AY284" s="2186">
        <f t="shared" si="463"/>
        <v>0</v>
      </c>
      <c r="AZ284" s="2188">
        <f>AZ285+AZ286+AZ287+AZ288+AZ289</f>
        <v>0</v>
      </c>
      <c r="BA284" s="2188">
        <f>BA285+BA286+BA287+BA288+BA289</f>
        <v>0</v>
      </c>
      <c r="BB284" s="2186">
        <f t="shared" si="464"/>
        <v>0</v>
      </c>
      <c r="BC284" s="2188">
        <f>BC285+BC286+BC287+BC288+BC289</f>
        <v>0</v>
      </c>
      <c r="BD284" s="2188">
        <f>BD285+BD286+BD287+BD288+BD289</f>
        <v>0</v>
      </c>
      <c r="BE284" s="2186">
        <f t="shared" si="465"/>
        <v>0</v>
      </c>
      <c r="BF284" s="2188">
        <f>BF285+BF286+BF287+BF288+BF289</f>
        <v>0</v>
      </c>
      <c r="BG284" s="2188">
        <f>BG285+BG286+BG287+BG288+BG289</f>
        <v>0</v>
      </c>
      <c r="BH284" s="2186">
        <f t="shared" si="466"/>
        <v>0</v>
      </c>
      <c r="BI284" s="2188">
        <f>BI285+BI286+BI287+BI288+BI289</f>
        <v>0</v>
      </c>
      <c r="BJ284" s="2188">
        <f>BJ285+BJ286+BJ287+BJ288+BJ289</f>
        <v>0</v>
      </c>
      <c r="BK284" s="2186">
        <f t="shared" si="467"/>
        <v>0</v>
      </c>
      <c r="BL284" s="2188">
        <f>BL285+BL286+BL287+BL288+BL289</f>
        <v>0</v>
      </c>
      <c r="BM284" s="2188">
        <f>BM285+BM286+BM287+BM288+BM289</f>
        <v>0</v>
      </c>
      <c r="BN284" s="2186">
        <f t="shared" si="468"/>
        <v>0</v>
      </c>
      <c r="BO284" s="2188">
        <f>BO285+BO286+BO287+BO288+BO289</f>
        <v>0</v>
      </c>
      <c r="BP284" s="2188">
        <f>BP285+BP286+BP287+BP288+BP289</f>
        <v>0</v>
      </c>
      <c r="BQ284" s="2186">
        <f t="shared" si="469"/>
        <v>0</v>
      </c>
    </row>
    <row r="285" spans="3:69" s="2087" customFormat="1" hidden="1">
      <c r="C285" s="2194" t="s">
        <v>2411</v>
      </c>
      <c r="D285" s="2283" t="s">
        <v>2221</v>
      </c>
      <c r="E285" s="2284" t="s">
        <v>240</v>
      </c>
      <c r="F285" s="2176"/>
      <c r="G285" s="2177"/>
      <c r="H285" s="2177"/>
      <c r="I285" s="2178">
        <f t="shared" si="450"/>
        <v>0</v>
      </c>
      <c r="J285" s="2176"/>
      <c r="K285" s="2252">
        <f t="shared" si="475"/>
        <v>0</v>
      </c>
      <c r="L285" s="2252">
        <f t="shared" si="475"/>
        <v>0</v>
      </c>
      <c r="M285" s="2255">
        <f t="shared" si="451"/>
        <v>0</v>
      </c>
      <c r="N285" s="2177"/>
      <c r="O285" s="2177"/>
      <c r="P285" s="2178">
        <f t="shared" si="452"/>
        <v>0</v>
      </c>
      <c r="Q285" s="2176"/>
      <c r="R285" s="2177"/>
      <c r="S285" s="2180">
        <f t="shared" si="478"/>
        <v>0</v>
      </c>
      <c r="T285" s="2251">
        <f t="shared" si="476"/>
        <v>0</v>
      </c>
      <c r="U285" s="2252">
        <f t="shared" si="476"/>
        <v>0</v>
      </c>
      <c r="V285" s="2253">
        <f t="shared" si="454"/>
        <v>0</v>
      </c>
      <c r="W285" s="2182"/>
      <c r="X285" s="2177"/>
      <c r="Y285" s="2183">
        <f t="shared" si="479"/>
        <v>0</v>
      </c>
      <c r="Z285" s="2254">
        <f t="shared" si="477"/>
        <v>0</v>
      </c>
      <c r="AA285" s="2252">
        <f t="shared" si="477"/>
        <v>0</v>
      </c>
      <c r="AB285" s="2255">
        <f t="shared" si="456"/>
        <v>0</v>
      </c>
      <c r="AC285" s="2176"/>
      <c r="AD285" s="2177"/>
      <c r="AE285" s="2180">
        <f t="shared" si="474"/>
        <v>0</v>
      </c>
      <c r="AF285" s="2281"/>
      <c r="AG285" s="2114"/>
      <c r="AH285" s="2177"/>
      <c r="AI285" s="2177"/>
      <c r="AJ285" s="2186">
        <f t="shared" si="458"/>
        <v>0</v>
      </c>
      <c r="AK285" s="2177"/>
      <c r="AL285" s="2177"/>
      <c r="AM285" s="2186">
        <f t="shared" si="459"/>
        <v>0</v>
      </c>
      <c r="AN285" s="2177"/>
      <c r="AO285" s="2177"/>
      <c r="AP285" s="2186">
        <f t="shared" si="460"/>
        <v>0</v>
      </c>
      <c r="AQ285" s="2177"/>
      <c r="AR285" s="2177"/>
      <c r="AS285" s="2186">
        <f t="shared" si="461"/>
        <v>0</v>
      </c>
      <c r="AT285" s="2177"/>
      <c r="AU285" s="2177"/>
      <c r="AV285" s="2186">
        <f t="shared" si="462"/>
        <v>0</v>
      </c>
      <c r="AW285" s="2177"/>
      <c r="AX285" s="2177"/>
      <c r="AY285" s="2186">
        <f t="shared" si="463"/>
        <v>0</v>
      </c>
      <c r="AZ285" s="2177"/>
      <c r="BA285" s="2177"/>
      <c r="BB285" s="2186">
        <f t="shared" si="464"/>
        <v>0</v>
      </c>
      <c r="BC285" s="2177"/>
      <c r="BD285" s="2177"/>
      <c r="BE285" s="2186">
        <f t="shared" si="465"/>
        <v>0</v>
      </c>
      <c r="BF285" s="2177"/>
      <c r="BG285" s="2177"/>
      <c r="BH285" s="2186">
        <f t="shared" si="466"/>
        <v>0</v>
      </c>
      <c r="BI285" s="2177"/>
      <c r="BJ285" s="2177"/>
      <c r="BK285" s="2186">
        <f t="shared" si="467"/>
        <v>0</v>
      </c>
      <c r="BL285" s="2177"/>
      <c r="BM285" s="2177"/>
      <c r="BN285" s="2186">
        <f t="shared" si="468"/>
        <v>0</v>
      </c>
      <c r="BO285" s="2177"/>
      <c r="BP285" s="2177"/>
      <c r="BQ285" s="2186">
        <f t="shared" si="469"/>
        <v>0</v>
      </c>
    </row>
    <row r="286" spans="3:69" s="2087" customFormat="1" hidden="1">
      <c r="C286" s="2194" t="s">
        <v>2412</v>
      </c>
      <c r="D286" s="2283" t="s">
        <v>2223</v>
      </c>
      <c r="E286" s="2284" t="s">
        <v>240</v>
      </c>
      <c r="F286" s="2176"/>
      <c r="G286" s="2177"/>
      <c r="H286" s="2177"/>
      <c r="I286" s="2178">
        <f t="shared" si="450"/>
        <v>0</v>
      </c>
      <c r="J286" s="2176"/>
      <c r="K286" s="2252">
        <f t="shared" si="475"/>
        <v>0</v>
      </c>
      <c r="L286" s="2252">
        <f t="shared" si="475"/>
        <v>0</v>
      </c>
      <c r="M286" s="2255">
        <f t="shared" si="451"/>
        <v>0</v>
      </c>
      <c r="N286" s="2177"/>
      <c r="O286" s="2177"/>
      <c r="P286" s="2178">
        <f t="shared" si="452"/>
        <v>0</v>
      </c>
      <c r="Q286" s="2176"/>
      <c r="R286" s="2177"/>
      <c r="S286" s="2180">
        <f t="shared" si="478"/>
        <v>0</v>
      </c>
      <c r="T286" s="2251">
        <f t="shared" si="476"/>
        <v>0</v>
      </c>
      <c r="U286" s="2252">
        <f t="shared" si="476"/>
        <v>0</v>
      </c>
      <c r="V286" s="2253">
        <f t="shared" si="454"/>
        <v>0</v>
      </c>
      <c r="W286" s="2182"/>
      <c r="X286" s="2177"/>
      <c r="Y286" s="2183">
        <f t="shared" si="479"/>
        <v>0</v>
      </c>
      <c r="Z286" s="2254">
        <f t="shared" si="477"/>
        <v>0</v>
      </c>
      <c r="AA286" s="2252">
        <f t="shared" si="477"/>
        <v>0</v>
      </c>
      <c r="AB286" s="2255">
        <f t="shared" si="456"/>
        <v>0</v>
      </c>
      <c r="AC286" s="2176"/>
      <c r="AD286" s="2177"/>
      <c r="AE286" s="2180">
        <f t="shared" si="474"/>
        <v>0</v>
      </c>
      <c r="AF286" s="2281"/>
      <c r="AG286" s="2114"/>
      <c r="AH286" s="2177"/>
      <c r="AI286" s="2177"/>
      <c r="AJ286" s="2186">
        <f t="shared" si="458"/>
        <v>0</v>
      </c>
      <c r="AK286" s="2177"/>
      <c r="AL286" s="2177"/>
      <c r="AM286" s="2186">
        <f t="shared" si="459"/>
        <v>0</v>
      </c>
      <c r="AN286" s="2177"/>
      <c r="AO286" s="2177"/>
      <c r="AP286" s="2186">
        <f t="shared" si="460"/>
        <v>0</v>
      </c>
      <c r="AQ286" s="2177"/>
      <c r="AR286" s="2177"/>
      <c r="AS286" s="2186">
        <f t="shared" si="461"/>
        <v>0</v>
      </c>
      <c r="AT286" s="2177"/>
      <c r="AU286" s="2177"/>
      <c r="AV286" s="2186">
        <f t="shared" si="462"/>
        <v>0</v>
      </c>
      <c r="AW286" s="2177"/>
      <c r="AX286" s="2177"/>
      <c r="AY286" s="2186">
        <f t="shared" si="463"/>
        <v>0</v>
      </c>
      <c r="AZ286" s="2177"/>
      <c r="BA286" s="2177"/>
      <c r="BB286" s="2186">
        <f t="shared" si="464"/>
        <v>0</v>
      </c>
      <c r="BC286" s="2177"/>
      <c r="BD286" s="2177"/>
      <c r="BE286" s="2186">
        <f t="shared" si="465"/>
        <v>0</v>
      </c>
      <c r="BF286" s="2177"/>
      <c r="BG286" s="2177"/>
      <c r="BH286" s="2186">
        <f t="shared" si="466"/>
        <v>0</v>
      </c>
      <c r="BI286" s="2177"/>
      <c r="BJ286" s="2177"/>
      <c r="BK286" s="2186">
        <f t="shared" si="467"/>
        <v>0</v>
      </c>
      <c r="BL286" s="2177"/>
      <c r="BM286" s="2177"/>
      <c r="BN286" s="2186">
        <f t="shared" si="468"/>
        <v>0</v>
      </c>
      <c r="BO286" s="2177"/>
      <c r="BP286" s="2177"/>
      <c r="BQ286" s="2186">
        <f t="shared" si="469"/>
        <v>0</v>
      </c>
    </row>
    <row r="287" spans="3:69" s="2087" customFormat="1" hidden="1">
      <c r="C287" s="2194" t="s">
        <v>2413</v>
      </c>
      <c r="D287" s="2283" t="s">
        <v>2225</v>
      </c>
      <c r="E287" s="2284" t="s">
        <v>240</v>
      </c>
      <c r="F287" s="2176"/>
      <c r="G287" s="2177"/>
      <c r="H287" s="2177"/>
      <c r="I287" s="2178">
        <f t="shared" si="450"/>
        <v>0</v>
      </c>
      <c r="J287" s="2176"/>
      <c r="K287" s="2252">
        <f t="shared" si="475"/>
        <v>0</v>
      </c>
      <c r="L287" s="2252">
        <f t="shared" si="475"/>
        <v>0</v>
      </c>
      <c r="M287" s="2255">
        <f t="shared" si="451"/>
        <v>0</v>
      </c>
      <c r="N287" s="2177"/>
      <c r="O287" s="2177"/>
      <c r="P287" s="2178">
        <f t="shared" si="452"/>
        <v>0</v>
      </c>
      <c r="Q287" s="2176"/>
      <c r="R287" s="2177"/>
      <c r="S287" s="2180">
        <f t="shared" si="478"/>
        <v>0</v>
      </c>
      <c r="T287" s="2251">
        <f t="shared" si="476"/>
        <v>0</v>
      </c>
      <c r="U287" s="2252">
        <f t="shared" si="476"/>
        <v>0</v>
      </c>
      <c r="V287" s="2253">
        <f t="shared" si="454"/>
        <v>0</v>
      </c>
      <c r="W287" s="2182"/>
      <c r="X287" s="2177"/>
      <c r="Y287" s="2183">
        <f t="shared" si="479"/>
        <v>0</v>
      </c>
      <c r="Z287" s="2254">
        <f t="shared" si="477"/>
        <v>0</v>
      </c>
      <c r="AA287" s="2252">
        <f t="shared" si="477"/>
        <v>0</v>
      </c>
      <c r="AB287" s="2255">
        <f t="shared" si="456"/>
        <v>0</v>
      </c>
      <c r="AC287" s="2176"/>
      <c r="AD287" s="2177"/>
      <c r="AE287" s="2180">
        <f t="shared" si="474"/>
        <v>0</v>
      </c>
      <c r="AF287" s="2281"/>
      <c r="AG287" s="2114"/>
      <c r="AH287" s="2177"/>
      <c r="AI287" s="2177"/>
      <c r="AJ287" s="2186">
        <f t="shared" si="458"/>
        <v>0</v>
      </c>
      <c r="AK287" s="2177"/>
      <c r="AL287" s="2177"/>
      <c r="AM287" s="2186">
        <f t="shared" si="459"/>
        <v>0</v>
      </c>
      <c r="AN287" s="2177"/>
      <c r="AO287" s="2177"/>
      <c r="AP287" s="2186">
        <f t="shared" si="460"/>
        <v>0</v>
      </c>
      <c r="AQ287" s="2177"/>
      <c r="AR287" s="2177"/>
      <c r="AS287" s="2186">
        <f t="shared" si="461"/>
        <v>0</v>
      </c>
      <c r="AT287" s="2177"/>
      <c r="AU287" s="2177"/>
      <c r="AV287" s="2186">
        <f t="shared" si="462"/>
        <v>0</v>
      </c>
      <c r="AW287" s="2177"/>
      <c r="AX287" s="2177"/>
      <c r="AY287" s="2186">
        <f t="shared" si="463"/>
        <v>0</v>
      </c>
      <c r="AZ287" s="2177"/>
      <c r="BA287" s="2177"/>
      <c r="BB287" s="2186">
        <f t="shared" si="464"/>
        <v>0</v>
      </c>
      <c r="BC287" s="2177"/>
      <c r="BD287" s="2177"/>
      <c r="BE287" s="2186">
        <f t="shared" si="465"/>
        <v>0</v>
      </c>
      <c r="BF287" s="2177"/>
      <c r="BG287" s="2177"/>
      <c r="BH287" s="2186">
        <f t="shared" si="466"/>
        <v>0</v>
      </c>
      <c r="BI287" s="2177"/>
      <c r="BJ287" s="2177"/>
      <c r="BK287" s="2186">
        <f t="shared" si="467"/>
        <v>0</v>
      </c>
      <c r="BL287" s="2177"/>
      <c r="BM287" s="2177"/>
      <c r="BN287" s="2186">
        <f t="shared" si="468"/>
        <v>0</v>
      </c>
      <c r="BO287" s="2177"/>
      <c r="BP287" s="2177"/>
      <c r="BQ287" s="2186">
        <f t="shared" si="469"/>
        <v>0</v>
      </c>
    </row>
    <row r="288" spans="3:69" s="2087" customFormat="1" hidden="1">
      <c r="C288" s="2194" t="s">
        <v>2414</v>
      </c>
      <c r="D288" s="2283" t="s">
        <v>2227</v>
      </c>
      <c r="E288" s="2284" t="s">
        <v>240</v>
      </c>
      <c r="F288" s="2176"/>
      <c r="G288" s="2177"/>
      <c r="H288" s="2177"/>
      <c r="I288" s="2178">
        <f t="shared" si="450"/>
        <v>0</v>
      </c>
      <c r="J288" s="2176"/>
      <c r="K288" s="2252">
        <f t="shared" si="475"/>
        <v>0</v>
      </c>
      <c r="L288" s="2252">
        <f t="shared" si="475"/>
        <v>0</v>
      </c>
      <c r="M288" s="2255">
        <f t="shared" si="451"/>
        <v>0</v>
      </c>
      <c r="N288" s="2177"/>
      <c r="O288" s="2177"/>
      <c r="P288" s="2178">
        <f t="shared" si="452"/>
        <v>0</v>
      </c>
      <c r="Q288" s="2176"/>
      <c r="R288" s="2177"/>
      <c r="S288" s="2180">
        <f t="shared" si="478"/>
        <v>0</v>
      </c>
      <c r="T288" s="2251">
        <f t="shared" si="476"/>
        <v>0</v>
      </c>
      <c r="U288" s="2252">
        <f t="shared" si="476"/>
        <v>0</v>
      </c>
      <c r="V288" s="2253">
        <f t="shared" si="454"/>
        <v>0</v>
      </c>
      <c r="W288" s="2182"/>
      <c r="X288" s="2177"/>
      <c r="Y288" s="2183">
        <f t="shared" si="479"/>
        <v>0</v>
      </c>
      <c r="Z288" s="2254">
        <f t="shared" si="477"/>
        <v>0</v>
      </c>
      <c r="AA288" s="2252">
        <f t="shared" si="477"/>
        <v>0</v>
      </c>
      <c r="AB288" s="2255">
        <f t="shared" si="456"/>
        <v>0</v>
      </c>
      <c r="AC288" s="2176"/>
      <c r="AD288" s="2177"/>
      <c r="AE288" s="2180">
        <f t="shared" si="474"/>
        <v>0</v>
      </c>
      <c r="AF288" s="2281"/>
      <c r="AG288" s="2114"/>
      <c r="AH288" s="2177"/>
      <c r="AI288" s="2177"/>
      <c r="AJ288" s="2186">
        <f t="shared" si="458"/>
        <v>0</v>
      </c>
      <c r="AK288" s="2177"/>
      <c r="AL288" s="2177"/>
      <c r="AM288" s="2186">
        <f t="shared" si="459"/>
        <v>0</v>
      </c>
      <c r="AN288" s="2177"/>
      <c r="AO288" s="2177"/>
      <c r="AP288" s="2186">
        <f t="shared" si="460"/>
        <v>0</v>
      </c>
      <c r="AQ288" s="2177"/>
      <c r="AR288" s="2177"/>
      <c r="AS288" s="2186">
        <f t="shared" si="461"/>
        <v>0</v>
      </c>
      <c r="AT288" s="2177"/>
      <c r="AU288" s="2177"/>
      <c r="AV288" s="2186">
        <f t="shared" si="462"/>
        <v>0</v>
      </c>
      <c r="AW288" s="2177"/>
      <c r="AX288" s="2177"/>
      <c r="AY288" s="2186">
        <f t="shared" si="463"/>
        <v>0</v>
      </c>
      <c r="AZ288" s="2177"/>
      <c r="BA288" s="2177"/>
      <c r="BB288" s="2186">
        <f t="shared" si="464"/>
        <v>0</v>
      </c>
      <c r="BC288" s="2177"/>
      <c r="BD288" s="2177"/>
      <c r="BE288" s="2186">
        <f t="shared" si="465"/>
        <v>0</v>
      </c>
      <c r="BF288" s="2177"/>
      <c r="BG288" s="2177"/>
      <c r="BH288" s="2186">
        <f t="shared" si="466"/>
        <v>0</v>
      </c>
      <c r="BI288" s="2177"/>
      <c r="BJ288" s="2177"/>
      <c r="BK288" s="2186">
        <f t="shared" si="467"/>
        <v>0</v>
      </c>
      <c r="BL288" s="2177"/>
      <c r="BM288" s="2177"/>
      <c r="BN288" s="2186">
        <f t="shared" si="468"/>
        <v>0</v>
      </c>
      <c r="BO288" s="2177"/>
      <c r="BP288" s="2177"/>
      <c r="BQ288" s="2186">
        <f t="shared" si="469"/>
        <v>0</v>
      </c>
    </row>
    <row r="289" spans="3:69" s="2087" customFormat="1" hidden="1">
      <c r="C289" s="2194" t="s">
        <v>2415</v>
      </c>
      <c r="D289" s="2283" t="s">
        <v>2229</v>
      </c>
      <c r="E289" s="2284" t="s">
        <v>240</v>
      </c>
      <c r="F289" s="2176"/>
      <c r="G289" s="2177"/>
      <c r="H289" s="2177"/>
      <c r="I289" s="2178">
        <f t="shared" si="450"/>
        <v>0</v>
      </c>
      <c r="J289" s="2176"/>
      <c r="K289" s="2252">
        <f t="shared" si="475"/>
        <v>0</v>
      </c>
      <c r="L289" s="2252">
        <f t="shared" si="475"/>
        <v>0</v>
      </c>
      <c r="M289" s="2255">
        <f t="shared" si="451"/>
        <v>0</v>
      </c>
      <c r="N289" s="2177"/>
      <c r="O289" s="2177"/>
      <c r="P289" s="2178">
        <f t="shared" si="452"/>
        <v>0</v>
      </c>
      <c r="Q289" s="2176"/>
      <c r="R289" s="2177"/>
      <c r="S289" s="2266"/>
      <c r="T289" s="2251">
        <f t="shared" si="476"/>
        <v>0</v>
      </c>
      <c r="U289" s="2252">
        <f t="shared" si="476"/>
        <v>0</v>
      </c>
      <c r="V289" s="2253">
        <f t="shared" si="454"/>
        <v>0</v>
      </c>
      <c r="W289" s="2182"/>
      <c r="X289" s="2177"/>
      <c r="Y289" s="2271"/>
      <c r="Z289" s="2254">
        <f t="shared" si="477"/>
        <v>0</v>
      </c>
      <c r="AA289" s="2252">
        <f t="shared" si="477"/>
        <v>0</v>
      </c>
      <c r="AB289" s="2255">
        <f t="shared" si="456"/>
        <v>0</v>
      </c>
      <c r="AC289" s="2176"/>
      <c r="AD289" s="2177"/>
      <c r="AE289" s="2180">
        <f t="shared" si="474"/>
        <v>0</v>
      </c>
      <c r="AF289" s="2281"/>
      <c r="AG289" s="2114"/>
      <c r="AH289" s="2177"/>
      <c r="AI289" s="2177"/>
      <c r="AJ289" s="2186">
        <f t="shared" si="458"/>
        <v>0</v>
      </c>
      <c r="AK289" s="2177"/>
      <c r="AL289" s="2177"/>
      <c r="AM289" s="2186">
        <f t="shared" si="459"/>
        <v>0</v>
      </c>
      <c r="AN289" s="2177"/>
      <c r="AO289" s="2177"/>
      <c r="AP289" s="2186">
        <f t="shared" si="460"/>
        <v>0</v>
      </c>
      <c r="AQ289" s="2177"/>
      <c r="AR289" s="2177"/>
      <c r="AS289" s="2186">
        <f t="shared" si="461"/>
        <v>0</v>
      </c>
      <c r="AT289" s="2177"/>
      <c r="AU289" s="2177"/>
      <c r="AV289" s="2186">
        <f t="shared" si="462"/>
        <v>0</v>
      </c>
      <c r="AW289" s="2177"/>
      <c r="AX289" s="2177"/>
      <c r="AY289" s="2186">
        <f t="shared" si="463"/>
        <v>0</v>
      </c>
      <c r="AZ289" s="2177"/>
      <c r="BA289" s="2177"/>
      <c r="BB289" s="2186">
        <f t="shared" si="464"/>
        <v>0</v>
      </c>
      <c r="BC289" s="2177"/>
      <c r="BD289" s="2177"/>
      <c r="BE289" s="2186">
        <f t="shared" si="465"/>
        <v>0</v>
      </c>
      <c r="BF289" s="2177"/>
      <c r="BG289" s="2177"/>
      <c r="BH289" s="2186">
        <f t="shared" si="466"/>
        <v>0</v>
      </c>
      <c r="BI289" s="2177"/>
      <c r="BJ289" s="2177"/>
      <c r="BK289" s="2186">
        <f t="shared" si="467"/>
        <v>0</v>
      </c>
      <c r="BL289" s="2177"/>
      <c r="BM289" s="2177"/>
      <c r="BN289" s="2186">
        <f t="shared" si="468"/>
        <v>0</v>
      </c>
      <c r="BO289" s="2177"/>
      <c r="BP289" s="2177"/>
      <c r="BQ289" s="2186">
        <f t="shared" si="469"/>
        <v>0</v>
      </c>
    </row>
    <row r="290" spans="3:69" s="2087" customFormat="1" hidden="1">
      <c r="C290" s="2285" t="s">
        <v>2416</v>
      </c>
      <c r="D290" s="2287" t="s">
        <v>2248</v>
      </c>
      <c r="E290" s="2284" t="s">
        <v>240</v>
      </c>
      <c r="F290" s="2176"/>
      <c r="G290" s="2252">
        <f>G291+G292+G293+G294+G295</f>
        <v>0</v>
      </c>
      <c r="H290" s="2252">
        <f>H291+H292+H293+H294+H295</f>
        <v>0</v>
      </c>
      <c r="I290" s="2178">
        <f t="shared" si="450"/>
        <v>0</v>
      </c>
      <c r="J290" s="2176"/>
      <c r="K290" s="2179">
        <f t="shared" si="475"/>
        <v>0</v>
      </c>
      <c r="L290" s="2179">
        <f t="shared" si="475"/>
        <v>0</v>
      </c>
      <c r="M290" s="2178">
        <f t="shared" si="451"/>
        <v>0</v>
      </c>
      <c r="N290" s="2179">
        <f>N291+N292+N293+N294+N295</f>
        <v>0</v>
      </c>
      <c r="O290" s="2179">
        <f>O291+O292+O293+O294+O295</f>
        <v>0</v>
      </c>
      <c r="P290" s="2178">
        <f t="shared" si="452"/>
        <v>0</v>
      </c>
      <c r="Q290" s="2179">
        <f>Q291+Q292+Q293+Q294+Q295</f>
        <v>0</v>
      </c>
      <c r="R290" s="2179">
        <f>R291+R292+R293+R294+R295</f>
        <v>0</v>
      </c>
      <c r="S290" s="2180">
        <f t="shared" ref="S290:S294" si="480">R290-Q290</f>
        <v>0</v>
      </c>
      <c r="T290" s="2181">
        <f t="shared" si="476"/>
        <v>0</v>
      </c>
      <c r="U290" s="2179">
        <f t="shared" si="476"/>
        <v>0</v>
      </c>
      <c r="V290" s="2180">
        <f t="shared" si="454"/>
        <v>0</v>
      </c>
      <c r="W290" s="2187">
        <f>W291+W292+W293+W294+W295</f>
        <v>0</v>
      </c>
      <c r="X290" s="2179">
        <f>X291+X292+X293+X294+X295</f>
        <v>0</v>
      </c>
      <c r="Y290" s="2183">
        <f t="shared" ref="Y290:Y294" si="481">X290-W290</f>
        <v>0</v>
      </c>
      <c r="Z290" s="2184">
        <f t="shared" si="477"/>
        <v>0</v>
      </c>
      <c r="AA290" s="2179">
        <f t="shared" si="477"/>
        <v>0</v>
      </c>
      <c r="AB290" s="2178">
        <f t="shared" si="456"/>
        <v>0</v>
      </c>
      <c r="AC290" s="2179">
        <f>AC291+AC292+AC293+AC294+AC295</f>
        <v>0</v>
      </c>
      <c r="AD290" s="2179">
        <f>AD291+AD292+AD293+AD294+AD295</f>
        <v>0</v>
      </c>
      <c r="AE290" s="2180">
        <f t="shared" si="474"/>
        <v>0</v>
      </c>
      <c r="AF290" s="2277"/>
      <c r="AG290" s="2114"/>
      <c r="AH290" s="2188">
        <f>AH291+AH292+AH293+AH294+AH295</f>
        <v>0</v>
      </c>
      <c r="AI290" s="2188">
        <f>AI291+AI292+AI293+AI294+AI295</f>
        <v>0</v>
      </c>
      <c r="AJ290" s="2186">
        <f t="shared" si="458"/>
        <v>0</v>
      </c>
      <c r="AK290" s="2188">
        <f>AK291+AK292+AK293+AK294+AK295</f>
        <v>0</v>
      </c>
      <c r="AL290" s="2188">
        <f>AL291+AL292+AL293+AL294+AL295</f>
        <v>0</v>
      </c>
      <c r="AM290" s="2186">
        <f t="shared" si="459"/>
        <v>0</v>
      </c>
      <c r="AN290" s="2188">
        <f>AN291+AN292+AN293+AN294+AN295</f>
        <v>0</v>
      </c>
      <c r="AO290" s="2188">
        <f>AO291+AO292+AO293+AO294+AO295</f>
        <v>0</v>
      </c>
      <c r="AP290" s="2186">
        <f t="shared" si="460"/>
        <v>0</v>
      </c>
      <c r="AQ290" s="2188">
        <f>AQ291+AQ292+AQ293+AQ294+AQ295</f>
        <v>0</v>
      </c>
      <c r="AR290" s="2188">
        <f>AR291+AR292+AR293+AR294+AR295</f>
        <v>0</v>
      </c>
      <c r="AS290" s="2186">
        <f t="shared" si="461"/>
        <v>0</v>
      </c>
      <c r="AT290" s="2188">
        <f>AT291+AT292+AT293+AT294+AT295</f>
        <v>0</v>
      </c>
      <c r="AU290" s="2188">
        <f>AU291+AU292+AU293+AU294+AU295</f>
        <v>0</v>
      </c>
      <c r="AV290" s="2186">
        <f t="shared" si="462"/>
        <v>0</v>
      </c>
      <c r="AW290" s="2188">
        <f>AW291+AW292+AW293+AW294+AW295</f>
        <v>0</v>
      </c>
      <c r="AX290" s="2188">
        <f>AX291+AX292+AX293+AX294+AX295</f>
        <v>0</v>
      </c>
      <c r="AY290" s="2186">
        <f t="shared" si="463"/>
        <v>0</v>
      </c>
      <c r="AZ290" s="2188">
        <f>AZ291+AZ292+AZ293+AZ294+AZ295</f>
        <v>0</v>
      </c>
      <c r="BA290" s="2188">
        <f>BA291+BA292+BA293+BA294+BA295</f>
        <v>0</v>
      </c>
      <c r="BB290" s="2186">
        <f t="shared" si="464"/>
        <v>0</v>
      </c>
      <c r="BC290" s="2188">
        <f>BC291+BC292+BC293+BC294+BC295</f>
        <v>0</v>
      </c>
      <c r="BD290" s="2188">
        <f>BD291+BD292+BD293+BD294+BD295</f>
        <v>0</v>
      </c>
      <c r="BE290" s="2186">
        <f t="shared" si="465"/>
        <v>0</v>
      </c>
      <c r="BF290" s="2188">
        <f>BF291+BF292+BF293+BF294+BF295</f>
        <v>0</v>
      </c>
      <c r="BG290" s="2188">
        <f>BG291+BG292+BG293+BG294+BG295</f>
        <v>0</v>
      </c>
      <c r="BH290" s="2186">
        <f t="shared" si="466"/>
        <v>0</v>
      </c>
      <c r="BI290" s="2188">
        <f>BI291+BI292+BI293+BI294+BI295</f>
        <v>0</v>
      </c>
      <c r="BJ290" s="2188">
        <f>BJ291+BJ292+BJ293+BJ294+BJ295</f>
        <v>0</v>
      </c>
      <c r="BK290" s="2186">
        <f t="shared" si="467"/>
        <v>0</v>
      </c>
      <c r="BL290" s="2188">
        <f>BL291+BL292+BL293+BL294+BL295</f>
        <v>0</v>
      </c>
      <c r="BM290" s="2188">
        <f>BM291+BM292+BM293+BM294+BM295</f>
        <v>0</v>
      </c>
      <c r="BN290" s="2186">
        <f t="shared" si="468"/>
        <v>0</v>
      </c>
      <c r="BO290" s="2188">
        <f>BO291+BO292+BO293+BO294+BO295</f>
        <v>0</v>
      </c>
      <c r="BP290" s="2188">
        <f>BP291+BP292+BP293+BP294+BP295</f>
        <v>0</v>
      </c>
      <c r="BQ290" s="2186">
        <f t="shared" si="469"/>
        <v>0</v>
      </c>
    </row>
    <row r="291" spans="3:69" s="2087" customFormat="1" hidden="1">
      <c r="C291" s="2194" t="s">
        <v>2417</v>
      </c>
      <c r="D291" s="2283" t="s">
        <v>2221</v>
      </c>
      <c r="E291" s="2284" t="s">
        <v>240</v>
      </c>
      <c r="F291" s="2176"/>
      <c r="G291" s="2177"/>
      <c r="H291" s="2177"/>
      <c r="I291" s="2178">
        <f t="shared" si="450"/>
        <v>0</v>
      </c>
      <c r="J291" s="2176"/>
      <c r="K291" s="2252">
        <f t="shared" si="475"/>
        <v>0</v>
      </c>
      <c r="L291" s="2252">
        <f t="shared" si="475"/>
        <v>0</v>
      </c>
      <c r="M291" s="2255">
        <f t="shared" si="451"/>
        <v>0</v>
      </c>
      <c r="N291" s="2177"/>
      <c r="O291" s="2177"/>
      <c r="P291" s="2178">
        <f t="shared" si="452"/>
        <v>0</v>
      </c>
      <c r="Q291" s="2176"/>
      <c r="R291" s="2177"/>
      <c r="S291" s="2180">
        <f t="shared" si="480"/>
        <v>0</v>
      </c>
      <c r="T291" s="2251">
        <f t="shared" si="476"/>
        <v>0</v>
      </c>
      <c r="U291" s="2252">
        <f t="shared" si="476"/>
        <v>0</v>
      </c>
      <c r="V291" s="2253">
        <f t="shared" si="454"/>
        <v>0</v>
      </c>
      <c r="W291" s="2182"/>
      <c r="X291" s="2177"/>
      <c r="Y291" s="2183">
        <f t="shared" si="481"/>
        <v>0</v>
      </c>
      <c r="Z291" s="2254">
        <f t="shared" si="477"/>
        <v>0</v>
      </c>
      <c r="AA291" s="2252">
        <f t="shared" si="477"/>
        <v>0</v>
      </c>
      <c r="AB291" s="2255">
        <f t="shared" si="456"/>
        <v>0</v>
      </c>
      <c r="AC291" s="2176"/>
      <c r="AD291" s="2177"/>
      <c r="AE291" s="2180">
        <f t="shared" si="474"/>
        <v>0</v>
      </c>
      <c r="AF291" s="2281"/>
      <c r="AG291" s="2114"/>
      <c r="AH291" s="2177"/>
      <c r="AI291" s="2177"/>
      <c r="AJ291" s="2186">
        <f t="shared" si="458"/>
        <v>0</v>
      </c>
      <c r="AK291" s="2177"/>
      <c r="AL291" s="2177"/>
      <c r="AM291" s="2186">
        <f t="shared" si="459"/>
        <v>0</v>
      </c>
      <c r="AN291" s="2177"/>
      <c r="AO291" s="2177"/>
      <c r="AP291" s="2186">
        <f t="shared" si="460"/>
        <v>0</v>
      </c>
      <c r="AQ291" s="2177"/>
      <c r="AR291" s="2177"/>
      <c r="AS291" s="2186">
        <f t="shared" si="461"/>
        <v>0</v>
      </c>
      <c r="AT291" s="2177"/>
      <c r="AU291" s="2177"/>
      <c r="AV291" s="2186">
        <f t="shared" si="462"/>
        <v>0</v>
      </c>
      <c r="AW291" s="2177"/>
      <c r="AX291" s="2177"/>
      <c r="AY291" s="2186">
        <f t="shared" si="463"/>
        <v>0</v>
      </c>
      <c r="AZ291" s="2177"/>
      <c r="BA291" s="2177"/>
      <c r="BB291" s="2186">
        <f t="shared" si="464"/>
        <v>0</v>
      </c>
      <c r="BC291" s="2177"/>
      <c r="BD291" s="2177"/>
      <c r="BE291" s="2186">
        <f t="shared" si="465"/>
        <v>0</v>
      </c>
      <c r="BF291" s="2177"/>
      <c r="BG291" s="2177"/>
      <c r="BH291" s="2186">
        <f t="shared" si="466"/>
        <v>0</v>
      </c>
      <c r="BI291" s="2177"/>
      <c r="BJ291" s="2177"/>
      <c r="BK291" s="2186">
        <f t="shared" si="467"/>
        <v>0</v>
      </c>
      <c r="BL291" s="2177"/>
      <c r="BM291" s="2177"/>
      <c r="BN291" s="2186">
        <f t="shared" si="468"/>
        <v>0</v>
      </c>
      <c r="BO291" s="2177"/>
      <c r="BP291" s="2177"/>
      <c r="BQ291" s="2186">
        <f t="shared" si="469"/>
        <v>0</v>
      </c>
    </row>
    <row r="292" spans="3:69" s="2087" customFormat="1" hidden="1">
      <c r="C292" s="2194" t="s">
        <v>2418</v>
      </c>
      <c r="D292" s="2283" t="s">
        <v>2223</v>
      </c>
      <c r="E292" s="2284" t="s">
        <v>240</v>
      </c>
      <c r="F292" s="2176"/>
      <c r="G292" s="2177"/>
      <c r="H292" s="2177"/>
      <c r="I292" s="2178">
        <f t="shared" si="450"/>
        <v>0</v>
      </c>
      <c r="J292" s="2176"/>
      <c r="K292" s="2252">
        <f t="shared" si="475"/>
        <v>0</v>
      </c>
      <c r="L292" s="2252">
        <f t="shared" si="475"/>
        <v>0</v>
      </c>
      <c r="M292" s="2255">
        <f t="shared" si="451"/>
        <v>0</v>
      </c>
      <c r="N292" s="2177"/>
      <c r="O292" s="2177"/>
      <c r="P292" s="2178">
        <f t="shared" si="452"/>
        <v>0</v>
      </c>
      <c r="Q292" s="2176"/>
      <c r="R292" s="2177"/>
      <c r="S292" s="2180">
        <f t="shared" si="480"/>
        <v>0</v>
      </c>
      <c r="T292" s="2251">
        <f t="shared" si="476"/>
        <v>0</v>
      </c>
      <c r="U292" s="2252">
        <f t="shared" si="476"/>
        <v>0</v>
      </c>
      <c r="V292" s="2253">
        <f t="shared" si="454"/>
        <v>0</v>
      </c>
      <c r="W292" s="2182"/>
      <c r="X292" s="2177"/>
      <c r="Y292" s="2183">
        <f t="shared" si="481"/>
        <v>0</v>
      </c>
      <c r="Z292" s="2254">
        <f t="shared" si="477"/>
        <v>0</v>
      </c>
      <c r="AA292" s="2252">
        <f t="shared" si="477"/>
        <v>0</v>
      </c>
      <c r="AB292" s="2255">
        <f t="shared" si="456"/>
        <v>0</v>
      </c>
      <c r="AC292" s="2176"/>
      <c r="AD292" s="2177"/>
      <c r="AE292" s="2180">
        <f t="shared" si="474"/>
        <v>0</v>
      </c>
      <c r="AF292" s="2281"/>
      <c r="AG292" s="2114"/>
      <c r="AH292" s="2177"/>
      <c r="AI292" s="2177"/>
      <c r="AJ292" s="2186">
        <f t="shared" si="458"/>
        <v>0</v>
      </c>
      <c r="AK292" s="2177"/>
      <c r="AL292" s="2177"/>
      <c r="AM292" s="2186">
        <f t="shared" si="459"/>
        <v>0</v>
      </c>
      <c r="AN292" s="2177"/>
      <c r="AO292" s="2177"/>
      <c r="AP292" s="2186">
        <f t="shared" si="460"/>
        <v>0</v>
      </c>
      <c r="AQ292" s="2177"/>
      <c r="AR292" s="2177"/>
      <c r="AS292" s="2186">
        <f t="shared" si="461"/>
        <v>0</v>
      </c>
      <c r="AT292" s="2177"/>
      <c r="AU292" s="2177"/>
      <c r="AV292" s="2186">
        <f t="shared" si="462"/>
        <v>0</v>
      </c>
      <c r="AW292" s="2177"/>
      <c r="AX292" s="2177"/>
      <c r="AY292" s="2186">
        <f t="shared" si="463"/>
        <v>0</v>
      </c>
      <c r="AZ292" s="2177"/>
      <c r="BA292" s="2177"/>
      <c r="BB292" s="2186">
        <f t="shared" si="464"/>
        <v>0</v>
      </c>
      <c r="BC292" s="2177"/>
      <c r="BD292" s="2177"/>
      <c r="BE292" s="2186">
        <f t="shared" si="465"/>
        <v>0</v>
      </c>
      <c r="BF292" s="2177"/>
      <c r="BG292" s="2177"/>
      <c r="BH292" s="2186">
        <f t="shared" si="466"/>
        <v>0</v>
      </c>
      <c r="BI292" s="2177"/>
      <c r="BJ292" s="2177"/>
      <c r="BK292" s="2186">
        <f t="shared" si="467"/>
        <v>0</v>
      </c>
      <c r="BL292" s="2177"/>
      <c r="BM292" s="2177"/>
      <c r="BN292" s="2186">
        <f t="shared" si="468"/>
        <v>0</v>
      </c>
      <c r="BO292" s="2177"/>
      <c r="BP292" s="2177"/>
      <c r="BQ292" s="2186">
        <f t="shared" si="469"/>
        <v>0</v>
      </c>
    </row>
    <row r="293" spans="3:69" s="2087" customFormat="1" hidden="1">
      <c r="C293" s="2194" t="s">
        <v>2419</v>
      </c>
      <c r="D293" s="2283" t="s">
        <v>2225</v>
      </c>
      <c r="E293" s="2284" t="s">
        <v>240</v>
      </c>
      <c r="F293" s="2176"/>
      <c r="G293" s="2177"/>
      <c r="H293" s="2177"/>
      <c r="I293" s="2178">
        <f t="shared" si="450"/>
        <v>0</v>
      </c>
      <c r="J293" s="2176"/>
      <c r="K293" s="2252">
        <f t="shared" si="475"/>
        <v>0</v>
      </c>
      <c r="L293" s="2252">
        <f t="shared" si="475"/>
        <v>0</v>
      </c>
      <c r="M293" s="2255">
        <f t="shared" si="451"/>
        <v>0</v>
      </c>
      <c r="N293" s="2177"/>
      <c r="O293" s="2177"/>
      <c r="P293" s="2178">
        <f t="shared" si="452"/>
        <v>0</v>
      </c>
      <c r="Q293" s="2176"/>
      <c r="R293" s="2177"/>
      <c r="S293" s="2180">
        <f t="shared" si="480"/>
        <v>0</v>
      </c>
      <c r="T293" s="2251">
        <f t="shared" si="476"/>
        <v>0</v>
      </c>
      <c r="U293" s="2252">
        <f t="shared" si="476"/>
        <v>0</v>
      </c>
      <c r="V293" s="2253">
        <f t="shared" si="454"/>
        <v>0</v>
      </c>
      <c r="W293" s="2182"/>
      <c r="X293" s="2177"/>
      <c r="Y293" s="2183">
        <f t="shared" si="481"/>
        <v>0</v>
      </c>
      <c r="Z293" s="2254">
        <f t="shared" si="477"/>
        <v>0</v>
      </c>
      <c r="AA293" s="2252">
        <f t="shared" si="477"/>
        <v>0</v>
      </c>
      <c r="AB293" s="2255">
        <f t="shared" si="456"/>
        <v>0</v>
      </c>
      <c r="AC293" s="2176"/>
      <c r="AD293" s="2177"/>
      <c r="AE293" s="2180">
        <f t="shared" si="474"/>
        <v>0</v>
      </c>
      <c r="AF293" s="2281"/>
      <c r="AG293" s="2114"/>
      <c r="AH293" s="2177"/>
      <c r="AI293" s="2177"/>
      <c r="AJ293" s="2186">
        <f t="shared" si="458"/>
        <v>0</v>
      </c>
      <c r="AK293" s="2177"/>
      <c r="AL293" s="2177"/>
      <c r="AM293" s="2186">
        <f t="shared" si="459"/>
        <v>0</v>
      </c>
      <c r="AN293" s="2177"/>
      <c r="AO293" s="2177"/>
      <c r="AP293" s="2186">
        <f t="shared" si="460"/>
        <v>0</v>
      </c>
      <c r="AQ293" s="2177"/>
      <c r="AR293" s="2177"/>
      <c r="AS293" s="2186">
        <f t="shared" si="461"/>
        <v>0</v>
      </c>
      <c r="AT293" s="2177"/>
      <c r="AU293" s="2177"/>
      <c r="AV293" s="2186">
        <f t="shared" si="462"/>
        <v>0</v>
      </c>
      <c r="AW293" s="2177"/>
      <c r="AX293" s="2177"/>
      <c r="AY293" s="2186">
        <f t="shared" si="463"/>
        <v>0</v>
      </c>
      <c r="AZ293" s="2177"/>
      <c r="BA293" s="2177"/>
      <c r="BB293" s="2186">
        <f t="shared" si="464"/>
        <v>0</v>
      </c>
      <c r="BC293" s="2177"/>
      <c r="BD293" s="2177"/>
      <c r="BE293" s="2186">
        <f t="shared" si="465"/>
        <v>0</v>
      </c>
      <c r="BF293" s="2177"/>
      <c r="BG293" s="2177"/>
      <c r="BH293" s="2186">
        <f t="shared" si="466"/>
        <v>0</v>
      </c>
      <c r="BI293" s="2177"/>
      <c r="BJ293" s="2177"/>
      <c r="BK293" s="2186">
        <f t="shared" si="467"/>
        <v>0</v>
      </c>
      <c r="BL293" s="2177"/>
      <c r="BM293" s="2177"/>
      <c r="BN293" s="2186">
        <f t="shared" si="468"/>
        <v>0</v>
      </c>
      <c r="BO293" s="2177"/>
      <c r="BP293" s="2177"/>
      <c r="BQ293" s="2186">
        <f t="shared" si="469"/>
        <v>0</v>
      </c>
    </row>
    <row r="294" spans="3:69" s="2087" customFormat="1" hidden="1">
      <c r="C294" s="2194" t="s">
        <v>2420</v>
      </c>
      <c r="D294" s="2283" t="s">
        <v>2227</v>
      </c>
      <c r="E294" s="2284" t="s">
        <v>240</v>
      </c>
      <c r="F294" s="2176"/>
      <c r="G294" s="2177"/>
      <c r="H294" s="2177"/>
      <c r="I294" s="2178">
        <f t="shared" si="450"/>
        <v>0</v>
      </c>
      <c r="J294" s="2176"/>
      <c r="K294" s="2252">
        <f t="shared" si="475"/>
        <v>0</v>
      </c>
      <c r="L294" s="2252">
        <f t="shared" si="475"/>
        <v>0</v>
      </c>
      <c r="M294" s="2255">
        <f t="shared" si="451"/>
        <v>0</v>
      </c>
      <c r="N294" s="2177"/>
      <c r="O294" s="2177"/>
      <c r="P294" s="2178">
        <f t="shared" si="452"/>
        <v>0</v>
      </c>
      <c r="Q294" s="2176"/>
      <c r="R294" s="2177"/>
      <c r="S294" s="2180">
        <f t="shared" si="480"/>
        <v>0</v>
      </c>
      <c r="T294" s="2251">
        <f t="shared" si="476"/>
        <v>0</v>
      </c>
      <c r="U294" s="2252">
        <f t="shared" si="476"/>
        <v>0</v>
      </c>
      <c r="V294" s="2253">
        <f t="shared" si="454"/>
        <v>0</v>
      </c>
      <c r="W294" s="2182"/>
      <c r="X294" s="2177"/>
      <c r="Y294" s="2183">
        <f t="shared" si="481"/>
        <v>0</v>
      </c>
      <c r="Z294" s="2254">
        <f t="shared" si="477"/>
        <v>0</v>
      </c>
      <c r="AA294" s="2252">
        <f t="shared" si="477"/>
        <v>0</v>
      </c>
      <c r="AB294" s="2255">
        <f t="shared" si="456"/>
        <v>0</v>
      </c>
      <c r="AC294" s="2176"/>
      <c r="AD294" s="2177"/>
      <c r="AE294" s="2180">
        <f t="shared" si="474"/>
        <v>0</v>
      </c>
      <c r="AF294" s="2281"/>
      <c r="AG294" s="2114"/>
      <c r="AH294" s="2177"/>
      <c r="AI294" s="2177"/>
      <c r="AJ294" s="2186">
        <f t="shared" si="458"/>
        <v>0</v>
      </c>
      <c r="AK294" s="2177"/>
      <c r="AL294" s="2177"/>
      <c r="AM294" s="2186">
        <f t="shared" si="459"/>
        <v>0</v>
      </c>
      <c r="AN294" s="2177"/>
      <c r="AO294" s="2177"/>
      <c r="AP294" s="2186">
        <f t="shared" si="460"/>
        <v>0</v>
      </c>
      <c r="AQ294" s="2177"/>
      <c r="AR294" s="2177"/>
      <c r="AS294" s="2186">
        <f t="shared" si="461"/>
        <v>0</v>
      </c>
      <c r="AT294" s="2177"/>
      <c r="AU294" s="2177"/>
      <c r="AV294" s="2186">
        <f t="shared" si="462"/>
        <v>0</v>
      </c>
      <c r="AW294" s="2177"/>
      <c r="AX294" s="2177"/>
      <c r="AY294" s="2186">
        <f t="shared" si="463"/>
        <v>0</v>
      </c>
      <c r="AZ294" s="2177"/>
      <c r="BA294" s="2177"/>
      <c r="BB294" s="2186">
        <f t="shared" si="464"/>
        <v>0</v>
      </c>
      <c r="BC294" s="2177"/>
      <c r="BD294" s="2177"/>
      <c r="BE294" s="2186">
        <f t="shared" si="465"/>
        <v>0</v>
      </c>
      <c r="BF294" s="2177"/>
      <c r="BG294" s="2177"/>
      <c r="BH294" s="2186">
        <f t="shared" si="466"/>
        <v>0</v>
      </c>
      <c r="BI294" s="2177"/>
      <c r="BJ294" s="2177"/>
      <c r="BK294" s="2186">
        <f t="shared" si="467"/>
        <v>0</v>
      </c>
      <c r="BL294" s="2177"/>
      <c r="BM294" s="2177"/>
      <c r="BN294" s="2186">
        <f t="shared" si="468"/>
        <v>0</v>
      </c>
      <c r="BO294" s="2177"/>
      <c r="BP294" s="2177"/>
      <c r="BQ294" s="2186">
        <f t="shared" si="469"/>
        <v>0</v>
      </c>
    </row>
    <row r="295" spans="3:69" s="2087" customFormat="1" hidden="1">
      <c r="C295" s="2194" t="s">
        <v>2421</v>
      </c>
      <c r="D295" s="2283" t="s">
        <v>2229</v>
      </c>
      <c r="E295" s="2284" t="s">
        <v>240</v>
      </c>
      <c r="F295" s="2176"/>
      <c r="G295" s="2177"/>
      <c r="H295" s="2177"/>
      <c r="I295" s="2178">
        <f t="shared" si="450"/>
        <v>0</v>
      </c>
      <c r="J295" s="2176"/>
      <c r="K295" s="2252">
        <f t="shared" si="475"/>
        <v>0</v>
      </c>
      <c r="L295" s="2252">
        <f t="shared" si="475"/>
        <v>0</v>
      </c>
      <c r="M295" s="2255">
        <f t="shared" si="451"/>
        <v>0</v>
      </c>
      <c r="N295" s="2177"/>
      <c r="O295" s="2177"/>
      <c r="P295" s="2178">
        <f t="shared" si="452"/>
        <v>0</v>
      </c>
      <c r="Q295" s="2176"/>
      <c r="R295" s="2177"/>
      <c r="S295" s="2266"/>
      <c r="T295" s="2251">
        <f t="shared" si="476"/>
        <v>0</v>
      </c>
      <c r="U295" s="2252">
        <f t="shared" si="476"/>
        <v>0</v>
      </c>
      <c r="V295" s="2253">
        <f t="shared" si="454"/>
        <v>0</v>
      </c>
      <c r="W295" s="2182"/>
      <c r="X295" s="2177"/>
      <c r="Y295" s="2271"/>
      <c r="Z295" s="2254">
        <f t="shared" si="477"/>
        <v>0</v>
      </c>
      <c r="AA295" s="2252">
        <f t="shared" si="477"/>
        <v>0</v>
      </c>
      <c r="AB295" s="2255">
        <f t="shared" si="456"/>
        <v>0</v>
      </c>
      <c r="AC295" s="2176"/>
      <c r="AD295" s="2177"/>
      <c r="AE295" s="2180">
        <f t="shared" si="474"/>
        <v>0</v>
      </c>
      <c r="AF295" s="2281"/>
      <c r="AG295" s="2114"/>
      <c r="AH295" s="2177"/>
      <c r="AI295" s="2177"/>
      <c r="AJ295" s="2186">
        <f t="shared" si="458"/>
        <v>0</v>
      </c>
      <c r="AK295" s="2177"/>
      <c r="AL295" s="2177"/>
      <c r="AM295" s="2186">
        <f t="shared" si="459"/>
        <v>0</v>
      </c>
      <c r="AN295" s="2177"/>
      <c r="AO295" s="2177"/>
      <c r="AP295" s="2186">
        <f t="shared" si="460"/>
        <v>0</v>
      </c>
      <c r="AQ295" s="2177"/>
      <c r="AR295" s="2177"/>
      <c r="AS295" s="2186">
        <f t="shared" si="461"/>
        <v>0</v>
      </c>
      <c r="AT295" s="2177"/>
      <c r="AU295" s="2177"/>
      <c r="AV295" s="2186">
        <f t="shared" si="462"/>
        <v>0</v>
      </c>
      <c r="AW295" s="2177"/>
      <c r="AX295" s="2177"/>
      <c r="AY295" s="2186">
        <f t="shared" si="463"/>
        <v>0</v>
      </c>
      <c r="AZ295" s="2177"/>
      <c r="BA295" s="2177"/>
      <c r="BB295" s="2186">
        <f t="shared" si="464"/>
        <v>0</v>
      </c>
      <c r="BC295" s="2177"/>
      <c r="BD295" s="2177"/>
      <c r="BE295" s="2186">
        <f t="shared" si="465"/>
        <v>0</v>
      </c>
      <c r="BF295" s="2177"/>
      <c r="BG295" s="2177"/>
      <c r="BH295" s="2186">
        <f t="shared" si="466"/>
        <v>0</v>
      </c>
      <c r="BI295" s="2177"/>
      <c r="BJ295" s="2177"/>
      <c r="BK295" s="2186">
        <f t="shared" si="467"/>
        <v>0</v>
      </c>
      <c r="BL295" s="2177"/>
      <c r="BM295" s="2177"/>
      <c r="BN295" s="2186">
        <f t="shared" si="468"/>
        <v>0</v>
      </c>
      <c r="BO295" s="2177"/>
      <c r="BP295" s="2177"/>
      <c r="BQ295" s="2186">
        <f t="shared" si="469"/>
        <v>0</v>
      </c>
    </row>
    <row r="296" spans="3:69" s="2087" customFormat="1" hidden="1">
      <c r="C296" s="2285" t="s">
        <v>2422</v>
      </c>
      <c r="D296" s="2287" t="s">
        <v>2255</v>
      </c>
      <c r="E296" s="2284" t="s">
        <v>240</v>
      </c>
      <c r="F296" s="2176"/>
      <c r="G296" s="2252">
        <f>G297+G298+G299+G300+G301</f>
        <v>0</v>
      </c>
      <c r="H296" s="2252">
        <f>H297+H298+H299+H300+H301</f>
        <v>0</v>
      </c>
      <c r="I296" s="2178">
        <f t="shared" si="450"/>
        <v>0</v>
      </c>
      <c r="J296" s="2176"/>
      <c r="K296" s="2179">
        <f t="shared" si="475"/>
        <v>0</v>
      </c>
      <c r="L296" s="2179">
        <f t="shared" si="475"/>
        <v>0</v>
      </c>
      <c r="M296" s="2178">
        <f t="shared" si="451"/>
        <v>0</v>
      </c>
      <c r="N296" s="2179">
        <f>N297+N298+N299+N300+N301</f>
        <v>0</v>
      </c>
      <c r="O296" s="2179">
        <f>O297+O298+O299+O300+O301</f>
        <v>0</v>
      </c>
      <c r="P296" s="2178">
        <f t="shared" si="452"/>
        <v>0</v>
      </c>
      <c r="Q296" s="2179">
        <f>Q297+Q298+Q299+Q300+Q301</f>
        <v>0</v>
      </c>
      <c r="R296" s="2179">
        <f>R297+R298+R299+R300+R301</f>
        <v>0</v>
      </c>
      <c r="S296" s="2180">
        <f t="shared" ref="S296:S300" si="482">R296-Q296</f>
        <v>0</v>
      </c>
      <c r="T296" s="2181">
        <f t="shared" si="476"/>
        <v>0</v>
      </c>
      <c r="U296" s="2179">
        <f t="shared" si="476"/>
        <v>0</v>
      </c>
      <c r="V296" s="2180">
        <f t="shared" si="454"/>
        <v>0</v>
      </c>
      <c r="W296" s="2187">
        <f>W297+W298+W299+W300+W301</f>
        <v>0</v>
      </c>
      <c r="X296" s="2179">
        <f>X297+X298+X299+X300+X301</f>
        <v>0</v>
      </c>
      <c r="Y296" s="2183">
        <f t="shared" ref="Y296:Y300" si="483">X296-W296</f>
        <v>0</v>
      </c>
      <c r="Z296" s="2184">
        <f t="shared" si="477"/>
        <v>0</v>
      </c>
      <c r="AA296" s="2179">
        <f t="shared" si="477"/>
        <v>0</v>
      </c>
      <c r="AB296" s="2178">
        <f t="shared" si="456"/>
        <v>0</v>
      </c>
      <c r="AC296" s="2179">
        <f>AC297+AC298+AC299+AC300+AC301</f>
        <v>0</v>
      </c>
      <c r="AD296" s="2179">
        <f>AD297+AD298+AD299+AD300+AD301</f>
        <v>0</v>
      </c>
      <c r="AE296" s="2180">
        <f t="shared" si="474"/>
        <v>0</v>
      </c>
      <c r="AF296" s="2277"/>
      <c r="AG296" s="2114"/>
      <c r="AH296" s="2188">
        <f>AH297+AH298+AH299+AH300+AH301</f>
        <v>0</v>
      </c>
      <c r="AI296" s="2188">
        <f>AI297+AI298+AI299+AI300+AI301</f>
        <v>0</v>
      </c>
      <c r="AJ296" s="2186">
        <f t="shared" si="458"/>
        <v>0</v>
      </c>
      <c r="AK296" s="2188">
        <f>AK297+AK298+AK299+AK300+AK301</f>
        <v>0</v>
      </c>
      <c r="AL296" s="2188">
        <f>AL297+AL298+AL299+AL300+AL301</f>
        <v>0</v>
      </c>
      <c r="AM296" s="2186">
        <f t="shared" si="459"/>
        <v>0</v>
      </c>
      <c r="AN296" s="2188">
        <f>AN297+AN298+AN299+AN300+AN301</f>
        <v>0</v>
      </c>
      <c r="AO296" s="2188">
        <f>AO297+AO298+AO299+AO300+AO301</f>
        <v>0</v>
      </c>
      <c r="AP296" s="2186">
        <f t="shared" si="460"/>
        <v>0</v>
      </c>
      <c r="AQ296" s="2188">
        <f>AQ297+AQ298+AQ299+AQ300+AQ301</f>
        <v>0</v>
      </c>
      <c r="AR296" s="2188">
        <f>AR297+AR298+AR299+AR300+AR301</f>
        <v>0</v>
      </c>
      <c r="AS296" s="2186">
        <f t="shared" si="461"/>
        <v>0</v>
      </c>
      <c r="AT296" s="2188">
        <f>AT297+AT298+AT299+AT300+AT301</f>
        <v>0</v>
      </c>
      <c r="AU296" s="2188">
        <f>AU297+AU298+AU299+AU300+AU301</f>
        <v>0</v>
      </c>
      <c r="AV296" s="2186">
        <f t="shared" si="462"/>
        <v>0</v>
      </c>
      <c r="AW296" s="2188">
        <f>AW297+AW298+AW299+AW300+AW301</f>
        <v>0</v>
      </c>
      <c r="AX296" s="2188">
        <f>AX297+AX298+AX299+AX300+AX301</f>
        <v>0</v>
      </c>
      <c r="AY296" s="2186">
        <f t="shared" si="463"/>
        <v>0</v>
      </c>
      <c r="AZ296" s="2188">
        <f>AZ297+AZ298+AZ299+AZ300+AZ301</f>
        <v>0</v>
      </c>
      <c r="BA296" s="2188">
        <f>BA297+BA298+BA299+BA300+BA301</f>
        <v>0</v>
      </c>
      <c r="BB296" s="2186">
        <f t="shared" si="464"/>
        <v>0</v>
      </c>
      <c r="BC296" s="2188">
        <f>BC297+BC298+BC299+BC300+BC301</f>
        <v>0</v>
      </c>
      <c r="BD296" s="2188">
        <f>BD297+BD298+BD299+BD300+BD301</f>
        <v>0</v>
      </c>
      <c r="BE296" s="2186">
        <f t="shared" si="465"/>
        <v>0</v>
      </c>
      <c r="BF296" s="2188">
        <f>BF297+BF298+BF299+BF300+BF301</f>
        <v>0</v>
      </c>
      <c r="BG296" s="2188">
        <f>BG297+BG298+BG299+BG300+BG301</f>
        <v>0</v>
      </c>
      <c r="BH296" s="2186">
        <f t="shared" si="466"/>
        <v>0</v>
      </c>
      <c r="BI296" s="2188">
        <f>BI297+BI298+BI299+BI300+BI301</f>
        <v>0</v>
      </c>
      <c r="BJ296" s="2188">
        <f>BJ297+BJ298+BJ299+BJ300+BJ301</f>
        <v>0</v>
      </c>
      <c r="BK296" s="2186">
        <f t="shared" si="467"/>
        <v>0</v>
      </c>
      <c r="BL296" s="2188">
        <f>BL297+BL298+BL299+BL300+BL301</f>
        <v>0</v>
      </c>
      <c r="BM296" s="2188">
        <f>BM297+BM298+BM299+BM300+BM301</f>
        <v>0</v>
      </c>
      <c r="BN296" s="2186">
        <f t="shared" si="468"/>
        <v>0</v>
      </c>
      <c r="BO296" s="2188">
        <f>BO297+BO298+BO299+BO300+BO301</f>
        <v>0</v>
      </c>
      <c r="BP296" s="2188">
        <f>BP297+BP298+BP299+BP300+BP301</f>
        <v>0</v>
      </c>
      <c r="BQ296" s="2186">
        <f t="shared" si="469"/>
        <v>0</v>
      </c>
    </row>
    <row r="297" spans="3:69" s="2087" customFormat="1" hidden="1">
      <c r="C297" s="2194" t="s">
        <v>2423</v>
      </c>
      <c r="D297" s="2283" t="s">
        <v>2221</v>
      </c>
      <c r="E297" s="2284" t="s">
        <v>240</v>
      </c>
      <c r="F297" s="2176"/>
      <c r="G297" s="2177"/>
      <c r="H297" s="2177"/>
      <c r="I297" s="2178">
        <f t="shared" si="450"/>
        <v>0</v>
      </c>
      <c r="J297" s="2176"/>
      <c r="K297" s="2252">
        <f t="shared" si="475"/>
        <v>0</v>
      </c>
      <c r="L297" s="2252">
        <f t="shared" si="475"/>
        <v>0</v>
      </c>
      <c r="M297" s="2255">
        <f t="shared" si="451"/>
        <v>0</v>
      </c>
      <c r="N297" s="2177"/>
      <c r="O297" s="2177"/>
      <c r="P297" s="2178">
        <f t="shared" si="452"/>
        <v>0</v>
      </c>
      <c r="Q297" s="2176"/>
      <c r="R297" s="2177"/>
      <c r="S297" s="2180">
        <f t="shared" si="482"/>
        <v>0</v>
      </c>
      <c r="T297" s="2251">
        <f t="shared" si="476"/>
        <v>0</v>
      </c>
      <c r="U297" s="2252">
        <f t="shared" si="476"/>
        <v>0</v>
      </c>
      <c r="V297" s="2253">
        <f t="shared" si="454"/>
        <v>0</v>
      </c>
      <c r="W297" s="2182"/>
      <c r="X297" s="2177"/>
      <c r="Y297" s="2183">
        <f t="shared" si="483"/>
        <v>0</v>
      </c>
      <c r="Z297" s="2254">
        <f t="shared" si="477"/>
        <v>0</v>
      </c>
      <c r="AA297" s="2252">
        <f t="shared" si="477"/>
        <v>0</v>
      </c>
      <c r="AB297" s="2255">
        <f t="shared" si="456"/>
        <v>0</v>
      </c>
      <c r="AC297" s="2176"/>
      <c r="AD297" s="2177"/>
      <c r="AE297" s="2180">
        <f t="shared" si="474"/>
        <v>0</v>
      </c>
      <c r="AF297" s="2281"/>
      <c r="AG297" s="2114"/>
      <c r="AH297" s="2177"/>
      <c r="AI297" s="2177"/>
      <c r="AJ297" s="2186">
        <f t="shared" si="458"/>
        <v>0</v>
      </c>
      <c r="AK297" s="2177"/>
      <c r="AL297" s="2177"/>
      <c r="AM297" s="2186">
        <f t="shared" si="459"/>
        <v>0</v>
      </c>
      <c r="AN297" s="2177"/>
      <c r="AO297" s="2177"/>
      <c r="AP297" s="2186">
        <f t="shared" si="460"/>
        <v>0</v>
      </c>
      <c r="AQ297" s="2177"/>
      <c r="AR297" s="2177"/>
      <c r="AS297" s="2186">
        <f t="shared" si="461"/>
        <v>0</v>
      </c>
      <c r="AT297" s="2177"/>
      <c r="AU297" s="2177"/>
      <c r="AV297" s="2186">
        <f t="shared" si="462"/>
        <v>0</v>
      </c>
      <c r="AW297" s="2177"/>
      <c r="AX297" s="2177"/>
      <c r="AY297" s="2186">
        <f t="shared" si="463"/>
        <v>0</v>
      </c>
      <c r="AZ297" s="2177"/>
      <c r="BA297" s="2177"/>
      <c r="BB297" s="2186">
        <f t="shared" si="464"/>
        <v>0</v>
      </c>
      <c r="BC297" s="2177"/>
      <c r="BD297" s="2177"/>
      <c r="BE297" s="2186">
        <f t="shared" si="465"/>
        <v>0</v>
      </c>
      <c r="BF297" s="2177"/>
      <c r="BG297" s="2177"/>
      <c r="BH297" s="2186">
        <f t="shared" si="466"/>
        <v>0</v>
      </c>
      <c r="BI297" s="2177"/>
      <c r="BJ297" s="2177"/>
      <c r="BK297" s="2186">
        <f t="shared" si="467"/>
        <v>0</v>
      </c>
      <c r="BL297" s="2177"/>
      <c r="BM297" s="2177"/>
      <c r="BN297" s="2186">
        <f t="shared" si="468"/>
        <v>0</v>
      </c>
      <c r="BO297" s="2177"/>
      <c r="BP297" s="2177"/>
      <c r="BQ297" s="2186">
        <f t="shared" si="469"/>
        <v>0</v>
      </c>
    </row>
    <row r="298" spans="3:69" s="2087" customFormat="1" hidden="1">
      <c r="C298" s="2194" t="s">
        <v>2424</v>
      </c>
      <c r="D298" s="2283" t="s">
        <v>2223</v>
      </c>
      <c r="E298" s="2284" t="s">
        <v>240</v>
      </c>
      <c r="F298" s="2176"/>
      <c r="G298" s="2177"/>
      <c r="H298" s="2177"/>
      <c r="I298" s="2178">
        <f t="shared" si="450"/>
        <v>0</v>
      </c>
      <c r="J298" s="2176"/>
      <c r="K298" s="2252">
        <f t="shared" si="475"/>
        <v>0</v>
      </c>
      <c r="L298" s="2252">
        <f t="shared" si="475"/>
        <v>0</v>
      </c>
      <c r="M298" s="2255">
        <f t="shared" si="451"/>
        <v>0</v>
      </c>
      <c r="N298" s="2177"/>
      <c r="O298" s="2177"/>
      <c r="P298" s="2178">
        <f t="shared" si="452"/>
        <v>0</v>
      </c>
      <c r="Q298" s="2176"/>
      <c r="R298" s="2177"/>
      <c r="S298" s="2180">
        <f t="shared" si="482"/>
        <v>0</v>
      </c>
      <c r="T298" s="2251">
        <f t="shared" si="476"/>
        <v>0</v>
      </c>
      <c r="U298" s="2252">
        <f t="shared" si="476"/>
        <v>0</v>
      </c>
      <c r="V298" s="2253">
        <f t="shared" si="454"/>
        <v>0</v>
      </c>
      <c r="W298" s="2182"/>
      <c r="X298" s="2177"/>
      <c r="Y298" s="2183">
        <f t="shared" si="483"/>
        <v>0</v>
      </c>
      <c r="Z298" s="2254">
        <f t="shared" si="477"/>
        <v>0</v>
      </c>
      <c r="AA298" s="2252">
        <f t="shared" si="477"/>
        <v>0</v>
      </c>
      <c r="AB298" s="2255">
        <f t="shared" si="456"/>
        <v>0</v>
      </c>
      <c r="AC298" s="2176"/>
      <c r="AD298" s="2177"/>
      <c r="AE298" s="2180">
        <f t="shared" si="474"/>
        <v>0</v>
      </c>
      <c r="AF298" s="2281"/>
      <c r="AG298" s="2114"/>
      <c r="AH298" s="2177"/>
      <c r="AI298" s="2177"/>
      <c r="AJ298" s="2186">
        <f t="shared" si="458"/>
        <v>0</v>
      </c>
      <c r="AK298" s="2177"/>
      <c r="AL298" s="2177"/>
      <c r="AM298" s="2186">
        <f t="shared" si="459"/>
        <v>0</v>
      </c>
      <c r="AN298" s="2177"/>
      <c r="AO298" s="2177"/>
      <c r="AP298" s="2186">
        <f t="shared" si="460"/>
        <v>0</v>
      </c>
      <c r="AQ298" s="2177"/>
      <c r="AR298" s="2177"/>
      <c r="AS298" s="2186">
        <f t="shared" si="461"/>
        <v>0</v>
      </c>
      <c r="AT298" s="2177"/>
      <c r="AU298" s="2177"/>
      <c r="AV298" s="2186">
        <f t="shared" si="462"/>
        <v>0</v>
      </c>
      <c r="AW298" s="2177"/>
      <c r="AX298" s="2177"/>
      <c r="AY298" s="2186">
        <f t="shared" si="463"/>
        <v>0</v>
      </c>
      <c r="AZ298" s="2177"/>
      <c r="BA298" s="2177"/>
      <c r="BB298" s="2186">
        <f t="shared" si="464"/>
        <v>0</v>
      </c>
      <c r="BC298" s="2177"/>
      <c r="BD298" s="2177"/>
      <c r="BE298" s="2186">
        <f t="shared" si="465"/>
        <v>0</v>
      </c>
      <c r="BF298" s="2177"/>
      <c r="BG298" s="2177"/>
      <c r="BH298" s="2186">
        <f t="shared" si="466"/>
        <v>0</v>
      </c>
      <c r="BI298" s="2177"/>
      <c r="BJ298" s="2177"/>
      <c r="BK298" s="2186">
        <f t="shared" si="467"/>
        <v>0</v>
      </c>
      <c r="BL298" s="2177"/>
      <c r="BM298" s="2177"/>
      <c r="BN298" s="2186">
        <f t="shared" si="468"/>
        <v>0</v>
      </c>
      <c r="BO298" s="2177"/>
      <c r="BP298" s="2177"/>
      <c r="BQ298" s="2186">
        <f t="shared" si="469"/>
        <v>0</v>
      </c>
    </row>
    <row r="299" spans="3:69" s="2087" customFormat="1" hidden="1">
      <c r="C299" s="2194" t="s">
        <v>2425</v>
      </c>
      <c r="D299" s="2283" t="s">
        <v>2225</v>
      </c>
      <c r="E299" s="2284" t="s">
        <v>240</v>
      </c>
      <c r="F299" s="2176"/>
      <c r="G299" s="2177"/>
      <c r="H299" s="2177"/>
      <c r="I299" s="2178">
        <f t="shared" si="450"/>
        <v>0</v>
      </c>
      <c r="J299" s="2176"/>
      <c r="K299" s="2252">
        <f t="shared" si="475"/>
        <v>0</v>
      </c>
      <c r="L299" s="2252">
        <f t="shared" si="475"/>
        <v>0</v>
      </c>
      <c r="M299" s="2255">
        <f t="shared" si="451"/>
        <v>0</v>
      </c>
      <c r="N299" s="2177"/>
      <c r="O299" s="2177"/>
      <c r="P299" s="2178">
        <f t="shared" si="452"/>
        <v>0</v>
      </c>
      <c r="Q299" s="2176"/>
      <c r="R299" s="2177"/>
      <c r="S299" s="2180">
        <f t="shared" si="482"/>
        <v>0</v>
      </c>
      <c r="T299" s="2251">
        <f t="shared" si="476"/>
        <v>0</v>
      </c>
      <c r="U299" s="2252">
        <f t="shared" si="476"/>
        <v>0</v>
      </c>
      <c r="V299" s="2253">
        <f t="shared" si="454"/>
        <v>0</v>
      </c>
      <c r="W299" s="2182"/>
      <c r="X299" s="2177"/>
      <c r="Y299" s="2183">
        <f t="shared" si="483"/>
        <v>0</v>
      </c>
      <c r="Z299" s="2254">
        <f t="shared" si="477"/>
        <v>0</v>
      </c>
      <c r="AA299" s="2252">
        <f t="shared" si="477"/>
        <v>0</v>
      </c>
      <c r="AB299" s="2255">
        <f t="shared" si="456"/>
        <v>0</v>
      </c>
      <c r="AC299" s="2176"/>
      <c r="AD299" s="2177"/>
      <c r="AE299" s="2180">
        <f t="shared" si="474"/>
        <v>0</v>
      </c>
      <c r="AF299" s="2281"/>
      <c r="AG299" s="2114"/>
      <c r="AH299" s="2177"/>
      <c r="AI299" s="2177"/>
      <c r="AJ299" s="2186">
        <f t="shared" si="458"/>
        <v>0</v>
      </c>
      <c r="AK299" s="2177"/>
      <c r="AL299" s="2177"/>
      <c r="AM299" s="2186">
        <f t="shared" si="459"/>
        <v>0</v>
      </c>
      <c r="AN299" s="2177"/>
      <c r="AO299" s="2177"/>
      <c r="AP299" s="2186">
        <f t="shared" si="460"/>
        <v>0</v>
      </c>
      <c r="AQ299" s="2177"/>
      <c r="AR299" s="2177"/>
      <c r="AS299" s="2186">
        <f t="shared" si="461"/>
        <v>0</v>
      </c>
      <c r="AT299" s="2177"/>
      <c r="AU299" s="2177"/>
      <c r="AV299" s="2186">
        <f t="shared" si="462"/>
        <v>0</v>
      </c>
      <c r="AW299" s="2177"/>
      <c r="AX299" s="2177"/>
      <c r="AY299" s="2186">
        <f t="shared" si="463"/>
        <v>0</v>
      </c>
      <c r="AZ299" s="2177"/>
      <c r="BA299" s="2177"/>
      <c r="BB299" s="2186">
        <f t="shared" si="464"/>
        <v>0</v>
      </c>
      <c r="BC299" s="2177"/>
      <c r="BD299" s="2177"/>
      <c r="BE299" s="2186">
        <f t="shared" si="465"/>
        <v>0</v>
      </c>
      <c r="BF299" s="2177"/>
      <c r="BG299" s="2177"/>
      <c r="BH299" s="2186">
        <f t="shared" si="466"/>
        <v>0</v>
      </c>
      <c r="BI299" s="2177"/>
      <c r="BJ299" s="2177"/>
      <c r="BK299" s="2186">
        <f t="shared" si="467"/>
        <v>0</v>
      </c>
      <c r="BL299" s="2177"/>
      <c r="BM299" s="2177"/>
      <c r="BN299" s="2186">
        <f t="shared" si="468"/>
        <v>0</v>
      </c>
      <c r="BO299" s="2177"/>
      <c r="BP299" s="2177"/>
      <c r="BQ299" s="2186">
        <f t="shared" si="469"/>
        <v>0</v>
      </c>
    </row>
    <row r="300" spans="3:69" s="2087" customFormat="1" hidden="1">
      <c r="C300" s="2194" t="s">
        <v>2426</v>
      </c>
      <c r="D300" s="2283" t="s">
        <v>2227</v>
      </c>
      <c r="E300" s="2284" t="s">
        <v>240</v>
      </c>
      <c r="F300" s="2176"/>
      <c r="G300" s="2177"/>
      <c r="H300" s="2177"/>
      <c r="I300" s="2178">
        <f t="shared" si="450"/>
        <v>0</v>
      </c>
      <c r="J300" s="2176"/>
      <c r="K300" s="2252">
        <f t="shared" si="475"/>
        <v>0</v>
      </c>
      <c r="L300" s="2252">
        <f t="shared" si="475"/>
        <v>0</v>
      </c>
      <c r="M300" s="2255">
        <f t="shared" si="451"/>
        <v>0</v>
      </c>
      <c r="N300" s="2177"/>
      <c r="O300" s="2177"/>
      <c r="P300" s="2178">
        <f t="shared" si="452"/>
        <v>0</v>
      </c>
      <c r="Q300" s="2176"/>
      <c r="R300" s="2177"/>
      <c r="S300" s="2180">
        <f t="shared" si="482"/>
        <v>0</v>
      </c>
      <c r="T300" s="2251">
        <f t="shared" si="476"/>
        <v>0</v>
      </c>
      <c r="U300" s="2252">
        <f t="shared" si="476"/>
        <v>0</v>
      </c>
      <c r="V300" s="2253">
        <f t="shared" si="454"/>
        <v>0</v>
      </c>
      <c r="W300" s="2182"/>
      <c r="X300" s="2177"/>
      <c r="Y300" s="2183">
        <f t="shared" si="483"/>
        <v>0</v>
      </c>
      <c r="Z300" s="2254">
        <f t="shared" si="477"/>
        <v>0</v>
      </c>
      <c r="AA300" s="2252">
        <f t="shared" si="477"/>
        <v>0</v>
      </c>
      <c r="AB300" s="2255">
        <f t="shared" si="456"/>
        <v>0</v>
      </c>
      <c r="AC300" s="2176"/>
      <c r="AD300" s="2177"/>
      <c r="AE300" s="2180">
        <f t="shared" si="474"/>
        <v>0</v>
      </c>
      <c r="AF300" s="2281"/>
      <c r="AG300" s="2114"/>
      <c r="AH300" s="2177"/>
      <c r="AI300" s="2177"/>
      <c r="AJ300" s="2186">
        <f t="shared" si="458"/>
        <v>0</v>
      </c>
      <c r="AK300" s="2177"/>
      <c r="AL300" s="2177"/>
      <c r="AM300" s="2186">
        <f t="shared" si="459"/>
        <v>0</v>
      </c>
      <c r="AN300" s="2177"/>
      <c r="AO300" s="2177"/>
      <c r="AP300" s="2186">
        <f t="shared" si="460"/>
        <v>0</v>
      </c>
      <c r="AQ300" s="2177"/>
      <c r="AR300" s="2177"/>
      <c r="AS300" s="2186">
        <f t="shared" si="461"/>
        <v>0</v>
      </c>
      <c r="AT300" s="2177"/>
      <c r="AU300" s="2177"/>
      <c r="AV300" s="2186">
        <f t="shared" si="462"/>
        <v>0</v>
      </c>
      <c r="AW300" s="2177"/>
      <c r="AX300" s="2177"/>
      <c r="AY300" s="2186">
        <f t="shared" si="463"/>
        <v>0</v>
      </c>
      <c r="AZ300" s="2177"/>
      <c r="BA300" s="2177"/>
      <c r="BB300" s="2186">
        <f t="shared" si="464"/>
        <v>0</v>
      </c>
      <c r="BC300" s="2177"/>
      <c r="BD300" s="2177"/>
      <c r="BE300" s="2186">
        <f t="shared" si="465"/>
        <v>0</v>
      </c>
      <c r="BF300" s="2177"/>
      <c r="BG300" s="2177"/>
      <c r="BH300" s="2186">
        <f t="shared" si="466"/>
        <v>0</v>
      </c>
      <c r="BI300" s="2177"/>
      <c r="BJ300" s="2177"/>
      <c r="BK300" s="2186">
        <f t="shared" si="467"/>
        <v>0</v>
      </c>
      <c r="BL300" s="2177"/>
      <c r="BM300" s="2177"/>
      <c r="BN300" s="2186">
        <f t="shared" si="468"/>
        <v>0</v>
      </c>
      <c r="BO300" s="2177"/>
      <c r="BP300" s="2177"/>
      <c r="BQ300" s="2186">
        <f t="shared" si="469"/>
        <v>0</v>
      </c>
    </row>
    <row r="301" spans="3:69" s="2087" customFormat="1" hidden="1">
      <c r="C301" s="2194" t="s">
        <v>2427</v>
      </c>
      <c r="D301" s="2283" t="s">
        <v>2229</v>
      </c>
      <c r="E301" s="2284" t="s">
        <v>240</v>
      </c>
      <c r="F301" s="2176"/>
      <c r="G301" s="2177"/>
      <c r="H301" s="2177"/>
      <c r="I301" s="2178">
        <f t="shared" si="450"/>
        <v>0</v>
      </c>
      <c r="J301" s="2176"/>
      <c r="K301" s="2252">
        <f t="shared" si="475"/>
        <v>0</v>
      </c>
      <c r="L301" s="2252">
        <f t="shared" si="475"/>
        <v>0</v>
      </c>
      <c r="M301" s="2255">
        <f t="shared" si="451"/>
        <v>0</v>
      </c>
      <c r="N301" s="2177"/>
      <c r="O301" s="2177"/>
      <c r="P301" s="2178">
        <f t="shared" si="452"/>
        <v>0</v>
      </c>
      <c r="Q301" s="2176"/>
      <c r="R301" s="2177"/>
      <c r="S301" s="2266"/>
      <c r="T301" s="2251">
        <f t="shared" si="476"/>
        <v>0</v>
      </c>
      <c r="U301" s="2252">
        <f t="shared" si="476"/>
        <v>0</v>
      </c>
      <c r="V301" s="2253">
        <f t="shared" si="454"/>
        <v>0</v>
      </c>
      <c r="W301" s="2182"/>
      <c r="X301" s="2177"/>
      <c r="Y301" s="2271"/>
      <c r="Z301" s="2254">
        <f t="shared" si="477"/>
        <v>0</v>
      </c>
      <c r="AA301" s="2252">
        <f t="shared" si="477"/>
        <v>0</v>
      </c>
      <c r="AB301" s="2255">
        <f t="shared" si="456"/>
        <v>0</v>
      </c>
      <c r="AC301" s="2176"/>
      <c r="AD301" s="2177"/>
      <c r="AE301" s="2180">
        <f t="shared" si="474"/>
        <v>0</v>
      </c>
      <c r="AF301" s="2281"/>
      <c r="AG301" s="2114"/>
      <c r="AH301" s="2177"/>
      <c r="AI301" s="2177"/>
      <c r="AJ301" s="2186">
        <f t="shared" si="458"/>
        <v>0</v>
      </c>
      <c r="AK301" s="2177"/>
      <c r="AL301" s="2177"/>
      <c r="AM301" s="2186">
        <f t="shared" si="459"/>
        <v>0</v>
      </c>
      <c r="AN301" s="2177"/>
      <c r="AO301" s="2177"/>
      <c r="AP301" s="2186">
        <f t="shared" si="460"/>
        <v>0</v>
      </c>
      <c r="AQ301" s="2177"/>
      <c r="AR301" s="2177"/>
      <c r="AS301" s="2186">
        <f t="shared" si="461"/>
        <v>0</v>
      </c>
      <c r="AT301" s="2177"/>
      <c r="AU301" s="2177"/>
      <c r="AV301" s="2186">
        <f t="shared" si="462"/>
        <v>0</v>
      </c>
      <c r="AW301" s="2177"/>
      <c r="AX301" s="2177"/>
      <c r="AY301" s="2186">
        <f t="shared" si="463"/>
        <v>0</v>
      </c>
      <c r="AZ301" s="2177"/>
      <c r="BA301" s="2177"/>
      <c r="BB301" s="2186">
        <f t="shared" si="464"/>
        <v>0</v>
      </c>
      <c r="BC301" s="2177"/>
      <c r="BD301" s="2177"/>
      <c r="BE301" s="2186">
        <f t="shared" si="465"/>
        <v>0</v>
      </c>
      <c r="BF301" s="2177"/>
      <c r="BG301" s="2177"/>
      <c r="BH301" s="2186">
        <f t="shared" si="466"/>
        <v>0</v>
      </c>
      <c r="BI301" s="2177"/>
      <c r="BJ301" s="2177"/>
      <c r="BK301" s="2186">
        <f t="shared" si="467"/>
        <v>0</v>
      </c>
      <c r="BL301" s="2177"/>
      <c r="BM301" s="2177"/>
      <c r="BN301" s="2186">
        <f t="shared" si="468"/>
        <v>0</v>
      </c>
      <c r="BO301" s="2177"/>
      <c r="BP301" s="2177"/>
      <c r="BQ301" s="2186">
        <f t="shared" si="469"/>
        <v>0</v>
      </c>
    </row>
    <row r="302" spans="3:69" s="2159" customFormat="1" hidden="1" collapsed="1">
      <c r="C302" s="2232" t="s">
        <v>2428</v>
      </c>
      <c r="D302" s="2233" t="s">
        <v>2429</v>
      </c>
      <c r="E302" s="2234" t="s">
        <v>240</v>
      </c>
      <c r="F302" s="2235"/>
      <c r="G302" s="2236">
        <f>G310+G318+G326+G342+G334</f>
        <v>0</v>
      </c>
      <c r="H302" s="2236">
        <f>H310+H318+H326+H342+H334</f>
        <v>0</v>
      </c>
      <c r="I302" s="2164">
        <f t="shared" si="450"/>
        <v>0</v>
      </c>
      <c r="J302" s="2235"/>
      <c r="K302" s="2240">
        <f t="shared" si="445"/>
        <v>0</v>
      </c>
      <c r="L302" s="2240">
        <f t="shared" si="445"/>
        <v>0</v>
      </c>
      <c r="M302" s="2245">
        <f t="shared" si="451"/>
        <v>0</v>
      </c>
      <c r="N302" s="2236">
        <f>N310+N318+N326+N342+N334</f>
        <v>0</v>
      </c>
      <c r="O302" s="2236">
        <f>O310+O318+O326+O342+O334</f>
        <v>0</v>
      </c>
      <c r="P302" s="2237">
        <f t="shared" si="452"/>
        <v>0</v>
      </c>
      <c r="Q302" s="2236">
        <f>Q310+Q318+Q326+Q342+Q334</f>
        <v>0</v>
      </c>
      <c r="R302" s="2236">
        <f>R310+R318+R326+R342+R334</f>
        <v>0</v>
      </c>
      <c r="S302" s="2238">
        <f t="shared" ref="S302:S364" si="484">R302-Q302</f>
        <v>0</v>
      </c>
      <c r="T302" s="2239">
        <f t="shared" ref="T302:U317" si="485">N302+Q302</f>
        <v>0</v>
      </c>
      <c r="U302" s="2240">
        <f t="shared" si="485"/>
        <v>0</v>
      </c>
      <c r="V302" s="2241">
        <f t="shared" si="454"/>
        <v>0</v>
      </c>
      <c r="W302" s="2242">
        <f>W310+W318+W326+W342+W334</f>
        <v>0</v>
      </c>
      <c r="X302" s="2236">
        <f>X310+X318+X326+X342+X334</f>
        <v>0</v>
      </c>
      <c r="Y302" s="2243">
        <f t="shared" ref="Y302:Y364" si="486">X302-W302</f>
        <v>0</v>
      </c>
      <c r="Z302" s="2244">
        <f t="shared" ref="Z302:AA317" si="487">T302+W302</f>
        <v>0</v>
      </c>
      <c r="AA302" s="2240">
        <f t="shared" si="487"/>
        <v>0</v>
      </c>
      <c r="AB302" s="2245">
        <f t="shared" si="456"/>
        <v>0</v>
      </c>
      <c r="AC302" s="2236">
        <f>AC310+AC318+AC326+AC342+AC334</f>
        <v>0</v>
      </c>
      <c r="AD302" s="2236">
        <f>AD310+AD318+AD326+AD342+AD334</f>
        <v>0</v>
      </c>
      <c r="AE302" s="2238">
        <f t="shared" si="474"/>
        <v>0</v>
      </c>
      <c r="AF302" s="2246"/>
      <c r="AG302" s="2247"/>
      <c r="AH302" s="2248">
        <f>AH310+AH318+AH326+AH342+AH334</f>
        <v>0</v>
      </c>
      <c r="AI302" s="2248">
        <f>AI310+AI318+AI326+AI342+AI334</f>
        <v>0</v>
      </c>
      <c r="AJ302" s="2249">
        <f t="shared" si="458"/>
        <v>0</v>
      </c>
      <c r="AK302" s="2248">
        <f>AK310+AK318+AK326+AK342+AK334</f>
        <v>0</v>
      </c>
      <c r="AL302" s="2248">
        <f>AL310+AL318+AL326+AL342+AL334</f>
        <v>0</v>
      </c>
      <c r="AM302" s="2249">
        <f t="shared" si="459"/>
        <v>0</v>
      </c>
      <c r="AN302" s="2248">
        <f>AN310+AN318+AN326+AN342+AN334</f>
        <v>0</v>
      </c>
      <c r="AO302" s="2248">
        <f>AO310+AO318+AO326+AO342+AO334</f>
        <v>0</v>
      </c>
      <c r="AP302" s="2249">
        <f t="shared" si="460"/>
        <v>0</v>
      </c>
      <c r="AQ302" s="2248">
        <f>AQ310+AQ318+AQ326+AQ342+AQ334</f>
        <v>0</v>
      </c>
      <c r="AR302" s="2248">
        <f>AR310+AR318+AR326+AR342+AR334</f>
        <v>0</v>
      </c>
      <c r="AS302" s="2249">
        <f t="shared" si="461"/>
        <v>0</v>
      </c>
      <c r="AT302" s="2248">
        <f>AT310+AT318+AT326+AT342+AT334</f>
        <v>0</v>
      </c>
      <c r="AU302" s="2248">
        <f>AU310+AU318+AU326+AU342+AU334</f>
        <v>0</v>
      </c>
      <c r="AV302" s="2249">
        <f t="shared" si="462"/>
        <v>0</v>
      </c>
      <c r="AW302" s="2248">
        <f>AW310+AW318+AW326+AW342+AW334</f>
        <v>0</v>
      </c>
      <c r="AX302" s="2248">
        <f>AX310+AX318+AX326+AX342+AX334</f>
        <v>0</v>
      </c>
      <c r="AY302" s="2249">
        <f t="shared" si="463"/>
        <v>0</v>
      </c>
      <c r="AZ302" s="2248">
        <f>AZ310+AZ318+AZ326+AZ342+AZ334</f>
        <v>0</v>
      </c>
      <c r="BA302" s="2248">
        <f>BA310+BA318+BA326+BA342+BA334</f>
        <v>0</v>
      </c>
      <c r="BB302" s="2249">
        <f t="shared" si="464"/>
        <v>0</v>
      </c>
      <c r="BC302" s="2248">
        <f>BC310+BC318+BC326+BC342+BC334</f>
        <v>0</v>
      </c>
      <c r="BD302" s="2248">
        <f>BD310+BD318+BD326+BD342+BD334</f>
        <v>0</v>
      </c>
      <c r="BE302" s="2249">
        <f t="shared" si="465"/>
        <v>0</v>
      </c>
      <c r="BF302" s="2248">
        <f>BF310+BF318+BF326+BF342+BF334</f>
        <v>0</v>
      </c>
      <c r="BG302" s="2248">
        <f>BG310+BG318+BG326+BG342+BG334</f>
        <v>0</v>
      </c>
      <c r="BH302" s="2249">
        <f t="shared" si="466"/>
        <v>0</v>
      </c>
      <c r="BI302" s="2248">
        <f>BI310+BI318+BI326+BI342+BI334</f>
        <v>0</v>
      </c>
      <c r="BJ302" s="2248">
        <f>BJ310+BJ318+BJ326+BJ342+BJ334</f>
        <v>0</v>
      </c>
      <c r="BK302" s="2249">
        <f t="shared" si="467"/>
        <v>0</v>
      </c>
      <c r="BL302" s="2248">
        <f>BL310+BL318+BL326+BL342+BL334</f>
        <v>0</v>
      </c>
      <c r="BM302" s="2248">
        <f>BM310+BM318+BM326+BM342+BM334</f>
        <v>0</v>
      </c>
      <c r="BN302" s="2249">
        <f t="shared" si="468"/>
        <v>0</v>
      </c>
      <c r="BO302" s="2248">
        <f>BO310+BO318+BO326+BO342+BO334</f>
        <v>0</v>
      </c>
      <c r="BP302" s="2248">
        <f>BP310+BP318+BP326+BP342+BP334</f>
        <v>0</v>
      </c>
      <c r="BQ302" s="2249">
        <f t="shared" si="469"/>
        <v>0</v>
      </c>
    </row>
    <row r="303" spans="3:69" s="2279" customFormat="1" hidden="1">
      <c r="C303" s="2285" t="s">
        <v>2430</v>
      </c>
      <c r="D303" s="2289" t="s">
        <v>2211</v>
      </c>
      <c r="E303" s="2290" t="s">
        <v>240</v>
      </c>
      <c r="F303" s="2176"/>
      <c r="G303" s="2179">
        <f>G311+G319+G327+G343+G335</f>
        <v>0</v>
      </c>
      <c r="H303" s="2179">
        <f>H311+H319+H327+H343+H335</f>
        <v>0</v>
      </c>
      <c r="I303" s="2178">
        <f t="shared" si="450"/>
        <v>0</v>
      </c>
      <c r="J303" s="2176"/>
      <c r="K303" s="2252">
        <f t="shared" si="445"/>
        <v>0</v>
      </c>
      <c r="L303" s="2252">
        <f t="shared" si="445"/>
        <v>0</v>
      </c>
      <c r="M303" s="2255">
        <f t="shared" si="451"/>
        <v>0</v>
      </c>
      <c r="N303" s="2179">
        <f>N311+N319+N327+N343+N335</f>
        <v>0</v>
      </c>
      <c r="O303" s="2179">
        <f>O311+O319+O327+O343+O335</f>
        <v>0</v>
      </c>
      <c r="P303" s="2178">
        <f t="shared" si="452"/>
        <v>0</v>
      </c>
      <c r="Q303" s="2184">
        <f>Q311+Q319+Q327+Q343+Q335</f>
        <v>0</v>
      </c>
      <c r="R303" s="2184">
        <f>R311+R319+R327+R343+R335</f>
        <v>0</v>
      </c>
      <c r="S303" s="2180">
        <f t="shared" si="484"/>
        <v>0</v>
      </c>
      <c r="T303" s="2251">
        <f t="shared" si="485"/>
        <v>0</v>
      </c>
      <c r="U303" s="2252">
        <f t="shared" si="485"/>
        <v>0</v>
      </c>
      <c r="V303" s="2253">
        <f t="shared" si="454"/>
        <v>0</v>
      </c>
      <c r="W303" s="2187">
        <f>W311+W319+W327+W343+W335</f>
        <v>0</v>
      </c>
      <c r="X303" s="2184">
        <f>X311+X319+X327+X343+X335</f>
        <v>0</v>
      </c>
      <c r="Y303" s="2183">
        <f t="shared" si="486"/>
        <v>0</v>
      </c>
      <c r="Z303" s="2254">
        <f t="shared" si="487"/>
        <v>0</v>
      </c>
      <c r="AA303" s="2252">
        <f t="shared" si="487"/>
        <v>0</v>
      </c>
      <c r="AB303" s="2255">
        <f t="shared" si="456"/>
        <v>0</v>
      </c>
      <c r="AC303" s="2184">
        <f>AC311+AC319+AC327+AC343+AC335</f>
        <v>0</v>
      </c>
      <c r="AD303" s="2184">
        <f>AD311+AD319+AD327+AD343+AD335</f>
        <v>0</v>
      </c>
      <c r="AE303" s="2180">
        <f t="shared" si="474"/>
        <v>0</v>
      </c>
      <c r="AF303" s="2281"/>
      <c r="AG303" s="2278"/>
      <c r="AH303" s="2188">
        <f>AH311+AH319+AH327+AH343+AH335</f>
        <v>0</v>
      </c>
      <c r="AI303" s="2188">
        <f>AI311+AI319+AI327+AI343+AI335</f>
        <v>0</v>
      </c>
      <c r="AJ303" s="2186">
        <f t="shared" si="458"/>
        <v>0</v>
      </c>
      <c r="AK303" s="2188">
        <f>AK311+AK319+AK327+AK343+AK335</f>
        <v>0</v>
      </c>
      <c r="AL303" s="2188">
        <f>AL311+AL319+AL327+AL343+AL335</f>
        <v>0</v>
      </c>
      <c r="AM303" s="2186">
        <f t="shared" si="459"/>
        <v>0</v>
      </c>
      <c r="AN303" s="2188">
        <f>AN311+AN319+AN327+AN343+AN335</f>
        <v>0</v>
      </c>
      <c r="AO303" s="2188">
        <f>AO311+AO319+AO327+AO343+AO335</f>
        <v>0</v>
      </c>
      <c r="AP303" s="2186">
        <f t="shared" si="460"/>
        <v>0</v>
      </c>
      <c r="AQ303" s="2188">
        <f>AQ311+AQ319+AQ327+AQ343+AQ335</f>
        <v>0</v>
      </c>
      <c r="AR303" s="2188">
        <f>AR311+AR319+AR327+AR343+AR335</f>
        <v>0</v>
      </c>
      <c r="AS303" s="2186">
        <f t="shared" si="461"/>
        <v>0</v>
      </c>
      <c r="AT303" s="2188">
        <f>AT311+AT319+AT327+AT343+AT335</f>
        <v>0</v>
      </c>
      <c r="AU303" s="2188">
        <f>AU311+AU319+AU327+AU343+AU335</f>
        <v>0</v>
      </c>
      <c r="AV303" s="2186">
        <f t="shared" si="462"/>
        <v>0</v>
      </c>
      <c r="AW303" s="2188">
        <f>AW311+AW319+AW327+AW343+AW335</f>
        <v>0</v>
      </c>
      <c r="AX303" s="2188">
        <f>AX311+AX319+AX327+AX343+AX335</f>
        <v>0</v>
      </c>
      <c r="AY303" s="2186">
        <f t="shared" si="463"/>
        <v>0</v>
      </c>
      <c r="AZ303" s="2188">
        <f>AZ311+AZ319+AZ327+AZ343+AZ335</f>
        <v>0</v>
      </c>
      <c r="BA303" s="2188">
        <f>BA311+BA319+BA327+BA343+BA335</f>
        <v>0</v>
      </c>
      <c r="BB303" s="2186">
        <f t="shared" si="464"/>
        <v>0</v>
      </c>
      <c r="BC303" s="2188">
        <f>BC311+BC319+BC327+BC343+BC335</f>
        <v>0</v>
      </c>
      <c r="BD303" s="2188">
        <f>BD311+BD319+BD327+BD343+BD335</f>
        <v>0</v>
      </c>
      <c r="BE303" s="2186">
        <f t="shared" si="465"/>
        <v>0</v>
      </c>
      <c r="BF303" s="2188">
        <f>BF311+BF319+BF327+BF343+BF335</f>
        <v>0</v>
      </c>
      <c r="BG303" s="2188">
        <f>BG311+BG319+BG327+BG343+BG335</f>
        <v>0</v>
      </c>
      <c r="BH303" s="2186">
        <f t="shared" si="466"/>
        <v>0</v>
      </c>
      <c r="BI303" s="2188">
        <f>BI311+BI319+BI327+BI343+BI335</f>
        <v>0</v>
      </c>
      <c r="BJ303" s="2188">
        <f>BJ311+BJ319+BJ327+BJ343+BJ335</f>
        <v>0</v>
      </c>
      <c r="BK303" s="2186">
        <f t="shared" si="467"/>
        <v>0</v>
      </c>
      <c r="BL303" s="2188">
        <f>BL311+BL319+BL327+BL343+BL335</f>
        <v>0</v>
      </c>
      <c r="BM303" s="2188">
        <f>BM311+BM319+BM327+BM343+BM335</f>
        <v>0</v>
      </c>
      <c r="BN303" s="2186">
        <f t="shared" si="468"/>
        <v>0</v>
      </c>
      <c r="BO303" s="2188">
        <f>BO311+BO319+BO327+BO343+BO335</f>
        <v>0</v>
      </c>
      <c r="BP303" s="2188">
        <f>BP311+BP319+BP327+BP343+BP335</f>
        <v>0</v>
      </c>
      <c r="BQ303" s="2186">
        <f t="shared" si="469"/>
        <v>0</v>
      </c>
    </row>
    <row r="304" spans="3:69" s="2279" customFormat="1" ht="22.5" hidden="1">
      <c r="C304" s="2285" t="s">
        <v>2431</v>
      </c>
      <c r="D304" s="2287" t="s">
        <v>2432</v>
      </c>
      <c r="E304" s="2290" t="s">
        <v>420</v>
      </c>
      <c r="F304" s="2176"/>
      <c r="G304" s="2252">
        <f>G312+G320+G328+G344+G336+G313+G321+G329+G337+G345</f>
        <v>0</v>
      </c>
      <c r="H304" s="2252">
        <f>H312+H320+H328+H344+H336+H313+H321+H329+H337+H345</f>
        <v>0</v>
      </c>
      <c r="I304" s="2178">
        <f t="shared" si="450"/>
        <v>0</v>
      </c>
      <c r="J304" s="2176"/>
      <c r="K304" s="2179">
        <f>(N304+Q304+W304+AC304)/4</f>
        <v>0</v>
      </c>
      <c r="L304" s="2179">
        <f>(O304+R304+X304+AD304)/4</f>
        <v>0</v>
      </c>
      <c r="M304" s="2178">
        <f t="shared" si="451"/>
        <v>0</v>
      </c>
      <c r="N304" s="2179">
        <f>N312+N320+N328+N344+N336+N313+N321+N329+N337+N345</f>
        <v>0</v>
      </c>
      <c r="O304" s="2179">
        <f>O312+O320+O328+O344+O336+O313+O321+O329+O337+O345</f>
        <v>0</v>
      </c>
      <c r="P304" s="2178">
        <f t="shared" si="452"/>
        <v>0</v>
      </c>
      <c r="Q304" s="2179">
        <f>Q312+Q320+Q328+Q344+Q336+Q313+Q321+Q329+Q337+Q345</f>
        <v>0</v>
      </c>
      <c r="R304" s="2179">
        <f>R312+R320+R328+R344+R336+R313+R321+R329+R337+R345</f>
        <v>0</v>
      </c>
      <c r="S304" s="2178">
        <f t="shared" si="484"/>
        <v>0</v>
      </c>
      <c r="T304" s="2181">
        <f>(N304+Q304)/2</f>
        <v>0</v>
      </c>
      <c r="U304" s="2179">
        <f>(O304+R304)/2</f>
        <v>0</v>
      </c>
      <c r="V304" s="2180">
        <f t="shared" si="454"/>
        <v>0</v>
      </c>
      <c r="W304" s="2187">
        <f>W312+W320+W328+W344+W336+W313+W321+W329+W337+W345</f>
        <v>0</v>
      </c>
      <c r="X304" s="2179">
        <f>X312+X320+X328+X344+X336+X313+X321+X329+X337+X345</f>
        <v>0</v>
      </c>
      <c r="Y304" s="2183">
        <f t="shared" si="486"/>
        <v>0</v>
      </c>
      <c r="Z304" s="2184">
        <f>(N304+Q304+W304)/3</f>
        <v>0</v>
      </c>
      <c r="AA304" s="2179">
        <f>(O304+R304+X304)/3</f>
        <v>0</v>
      </c>
      <c r="AB304" s="2178">
        <f t="shared" si="456"/>
        <v>0</v>
      </c>
      <c r="AC304" s="2179">
        <f>AC312+AC320+AC328+AC344+AC336+AC313+AC321+AC329+AC337+AC345</f>
        <v>0</v>
      </c>
      <c r="AD304" s="2179">
        <f>AD312+AD320+AD328+AD344+AD336+AD313+AD321+AD329+AD337+AD345</f>
        <v>0</v>
      </c>
      <c r="AE304" s="2178">
        <f t="shared" si="474"/>
        <v>0</v>
      </c>
      <c r="AF304" s="2281"/>
      <c r="AG304" s="2278"/>
      <c r="AH304" s="2188">
        <f>AH312+AH320+AH328+AH344+AH336+AH313+AH321+AH329+AH337+AH345</f>
        <v>0</v>
      </c>
      <c r="AI304" s="2188">
        <f>AI312+AI320+AI328+AI344+AI336+AI313+AI321+AI329+AI337+AI345</f>
        <v>0</v>
      </c>
      <c r="AJ304" s="2186">
        <f t="shared" si="458"/>
        <v>0</v>
      </c>
      <c r="AK304" s="2188">
        <f>AK312+AK320+AK328+AK344+AK336+AK313+AK321+AK329+AK337+AK345</f>
        <v>0</v>
      </c>
      <c r="AL304" s="2188">
        <f>AL312+AL320+AL328+AL344+AL336+AL313+AL321+AL329+AL337+AL345</f>
        <v>0</v>
      </c>
      <c r="AM304" s="2186">
        <f t="shared" si="459"/>
        <v>0</v>
      </c>
      <c r="AN304" s="2188">
        <f>AN312+AN320+AN328+AN344+AN336+AN313+AN321+AN329+AN337+AN345</f>
        <v>0</v>
      </c>
      <c r="AO304" s="2188">
        <f>AO312+AO320+AO328+AO344+AO336+AO313+AO321+AO329+AO337+AO345</f>
        <v>0</v>
      </c>
      <c r="AP304" s="2186">
        <f t="shared" si="460"/>
        <v>0</v>
      </c>
      <c r="AQ304" s="2188">
        <f>AQ312+AQ320+AQ328+AQ344+AQ336+AQ313+AQ321+AQ329+AQ337+AQ345</f>
        <v>0</v>
      </c>
      <c r="AR304" s="2188">
        <f>AR312+AR320+AR328+AR344+AR336+AR313+AR321+AR329+AR337+AR345</f>
        <v>0</v>
      </c>
      <c r="AS304" s="2186">
        <f t="shared" si="461"/>
        <v>0</v>
      </c>
      <c r="AT304" s="2188">
        <f>AT312+AT320+AT328+AT344+AT336+AT313+AT321+AT329+AT337+AT345</f>
        <v>0</v>
      </c>
      <c r="AU304" s="2188">
        <f>AU312+AU320+AU328+AU344+AU336+AU313+AU321+AU329+AU337+AU345</f>
        <v>0</v>
      </c>
      <c r="AV304" s="2186">
        <f t="shared" si="462"/>
        <v>0</v>
      </c>
      <c r="AW304" s="2188">
        <f>AW312+AW320+AW328+AW344+AW336+AW313+AW321+AW329+AW337+AW345</f>
        <v>0</v>
      </c>
      <c r="AX304" s="2188">
        <f>AX312+AX320+AX328+AX344+AX336+AX313+AX321+AX329+AX337+AX345</f>
        <v>0</v>
      </c>
      <c r="AY304" s="2186">
        <f t="shared" si="463"/>
        <v>0</v>
      </c>
      <c r="AZ304" s="2188">
        <f>AZ312+AZ320+AZ328+AZ344+AZ336+AZ313+AZ321+AZ329+AZ337+AZ345</f>
        <v>0</v>
      </c>
      <c r="BA304" s="2188">
        <f>BA312+BA320+BA328+BA344+BA336+BA313+BA321+BA329+BA337+BA345</f>
        <v>0</v>
      </c>
      <c r="BB304" s="2186">
        <f t="shared" si="464"/>
        <v>0</v>
      </c>
      <c r="BC304" s="2188">
        <f>BC312+BC320+BC328+BC344+BC336+BC313+BC321+BC329+BC337+BC345</f>
        <v>0</v>
      </c>
      <c r="BD304" s="2188">
        <f>BD312+BD320+BD328+BD344+BD336+BD313+BD321+BD329+BD337+BD345</f>
        <v>0</v>
      </c>
      <c r="BE304" s="2186">
        <f t="shared" si="465"/>
        <v>0</v>
      </c>
      <c r="BF304" s="2188">
        <f>BF312+BF320+BF328+BF344+BF336+BF313+BF321+BF329+BF337+BF345</f>
        <v>0</v>
      </c>
      <c r="BG304" s="2188">
        <f>BG312+BG320+BG328+BG344+BG336+BG313+BG321+BG329+BG337+BG345</f>
        <v>0</v>
      </c>
      <c r="BH304" s="2186">
        <f t="shared" si="466"/>
        <v>0</v>
      </c>
      <c r="BI304" s="2188">
        <f>BI312+BI320+BI328+BI344+BI336+BI313+BI321+BI329+BI337+BI345</f>
        <v>0</v>
      </c>
      <c r="BJ304" s="2188">
        <f>BJ312+BJ320+BJ328+BJ344+BJ336+BJ313+BJ321+BJ329+BJ337+BJ345</f>
        <v>0</v>
      </c>
      <c r="BK304" s="2186">
        <f t="shared" si="467"/>
        <v>0</v>
      </c>
      <c r="BL304" s="2188">
        <f>BL312+BL320+BL328+BL344+BL336+BL313+BL321+BL329+BL337+BL345</f>
        <v>0</v>
      </c>
      <c r="BM304" s="2188">
        <f>BM312+BM320+BM328+BM344+BM336+BM313+BM321+BM329+BM337+BM345</f>
        <v>0</v>
      </c>
      <c r="BN304" s="2186">
        <f t="shared" si="468"/>
        <v>0</v>
      </c>
      <c r="BO304" s="2188">
        <f>BO312+BO320+BO328+BO344+BO336+BO313+BO321+BO329+BO337+BO345</f>
        <v>0</v>
      </c>
      <c r="BP304" s="2188">
        <f>BP312+BP320+BP328+BP344+BP336+BP313+BP321+BP329+BP337+BP345</f>
        <v>0</v>
      </c>
      <c r="BQ304" s="2186">
        <f t="shared" si="469"/>
        <v>0</v>
      </c>
    </row>
    <row r="305" spans="3:69" s="2279" customFormat="1" hidden="1">
      <c r="C305" s="2285" t="s">
        <v>2433</v>
      </c>
      <c r="D305" s="2287" t="s">
        <v>2434</v>
      </c>
      <c r="E305" s="2284" t="s">
        <v>420</v>
      </c>
      <c r="F305" s="2176"/>
      <c r="G305" s="2252">
        <f>G313+G321+G329+G337+G345</f>
        <v>0</v>
      </c>
      <c r="H305" s="2252">
        <f>H313+H321+H329+H337+H345</f>
        <v>0</v>
      </c>
      <c r="I305" s="2178">
        <f t="shared" si="450"/>
        <v>0</v>
      </c>
      <c r="J305" s="2176"/>
      <c r="K305" s="2179">
        <f>(N305+Q305+W305+AC305)/4</f>
        <v>0</v>
      </c>
      <c r="L305" s="2179">
        <f>(O305+R305+X305+AD305)/4</f>
        <v>0</v>
      </c>
      <c r="M305" s="2178">
        <f t="shared" si="451"/>
        <v>0</v>
      </c>
      <c r="N305" s="2179">
        <f>N313+N321+N329+N337+N345</f>
        <v>0</v>
      </c>
      <c r="O305" s="2179">
        <f>O313+O321+O329+O337+O345</f>
        <v>0</v>
      </c>
      <c r="P305" s="2178">
        <f t="shared" si="452"/>
        <v>0</v>
      </c>
      <c r="Q305" s="2179">
        <f>Q313+Q321+Q329+Q337+Q345</f>
        <v>0</v>
      </c>
      <c r="R305" s="2179">
        <f>R313+R321+R329+R337+R345</f>
        <v>0</v>
      </c>
      <c r="S305" s="2178">
        <f t="shared" si="484"/>
        <v>0</v>
      </c>
      <c r="T305" s="2181">
        <f>(N305+Q305)/2</f>
        <v>0</v>
      </c>
      <c r="U305" s="2179">
        <f>(O305+R305)/2</f>
        <v>0</v>
      </c>
      <c r="V305" s="2180">
        <f t="shared" si="454"/>
        <v>0</v>
      </c>
      <c r="W305" s="2187">
        <f>W313+W321+W329+W337+W345</f>
        <v>0</v>
      </c>
      <c r="X305" s="2179">
        <f>X313+X321+X329+X337+X345</f>
        <v>0</v>
      </c>
      <c r="Y305" s="2183">
        <f t="shared" si="486"/>
        <v>0</v>
      </c>
      <c r="Z305" s="2184">
        <f>(N305+Q305+W305)/3</f>
        <v>0</v>
      </c>
      <c r="AA305" s="2179">
        <f>(O305+R305+X305)/3</f>
        <v>0</v>
      </c>
      <c r="AB305" s="2178">
        <f t="shared" si="456"/>
        <v>0</v>
      </c>
      <c r="AC305" s="2179">
        <f>AC313+AC321+AC329+AC337+AC345</f>
        <v>0</v>
      </c>
      <c r="AD305" s="2179">
        <f>AD313+AD321+AD329+AD337+AD345</f>
        <v>0</v>
      </c>
      <c r="AE305" s="2178">
        <f t="shared" si="474"/>
        <v>0</v>
      </c>
      <c r="AF305" s="2281"/>
      <c r="AG305" s="2278"/>
      <c r="AH305" s="2188">
        <f>AH313+AH321+AH329+AH337+AH345</f>
        <v>0</v>
      </c>
      <c r="AI305" s="2188">
        <f>AI313+AI321+AI329+AI337+AI345</f>
        <v>0</v>
      </c>
      <c r="AJ305" s="2186">
        <f t="shared" si="458"/>
        <v>0</v>
      </c>
      <c r="AK305" s="2188">
        <f>AK313+AK321+AK329+AK337+AK345</f>
        <v>0</v>
      </c>
      <c r="AL305" s="2188">
        <f>AL313+AL321+AL329+AL337+AL345</f>
        <v>0</v>
      </c>
      <c r="AM305" s="2186">
        <f t="shared" si="459"/>
        <v>0</v>
      </c>
      <c r="AN305" s="2188">
        <f>AN313+AN321+AN329+AN337+AN345</f>
        <v>0</v>
      </c>
      <c r="AO305" s="2188">
        <f>AO313+AO321+AO329+AO337+AO345</f>
        <v>0</v>
      </c>
      <c r="AP305" s="2186">
        <f t="shared" si="460"/>
        <v>0</v>
      </c>
      <c r="AQ305" s="2188">
        <f>AQ313+AQ321+AQ329+AQ337+AQ345</f>
        <v>0</v>
      </c>
      <c r="AR305" s="2188">
        <f>AR313+AR321+AR329+AR337+AR345</f>
        <v>0</v>
      </c>
      <c r="AS305" s="2186">
        <f t="shared" si="461"/>
        <v>0</v>
      </c>
      <c r="AT305" s="2188">
        <f>AT313+AT321+AT329+AT337+AT345</f>
        <v>0</v>
      </c>
      <c r="AU305" s="2188">
        <f>AU313+AU321+AU329+AU337+AU345</f>
        <v>0</v>
      </c>
      <c r="AV305" s="2186">
        <f t="shared" si="462"/>
        <v>0</v>
      </c>
      <c r="AW305" s="2188">
        <f>AW313+AW321+AW329+AW337+AW345</f>
        <v>0</v>
      </c>
      <c r="AX305" s="2188">
        <f>AX313+AX321+AX329+AX337+AX345</f>
        <v>0</v>
      </c>
      <c r="AY305" s="2186">
        <f t="shared" si="463"/>
        <v>0</v>
      </c>
      <c r="AZ305" s="2188">
        <f>AZ313+AZ321+AZ329+AZ337+AZ345</f>
        <v>0</v>
      </c>
      <c r="BA305" s="2188">
        <f>BA313+BA321+BA329+BA337+BA345</f>
        <v>0</v>
      </c>
      <c r="BB305" s="2186">
        <f t="shared" si="464"/>
        <v>0</v>
      </c>
      <c r="BC305" s="2188">
        <f>BC313+BC321+BC329+BC337+BC345</f>
        <v>0</v>
      </c>
      <c r="BD305" s="2188">
        <f>BD313+BD321+BD329+BD337+BD345</f>
        <v>0</v>
      </c>
      <c r="BE305" s="2186">
        <f t="shared" si="465"/>
        <v>0</v>
      </c>
      <c r="BF305" s="2188">
        <f>BF313+BF321+BF329+BF337+BF345</f>
        <v>0</v>
      </c>
      <c r="BG305" s="2188">
        <f>BG313+BG321+BG329+BG337+BG345</f>
        <v>0</v>
      </c>
      <c r="BH305" s="2186">
        <f t="shared" si="466"/>
        <v>0</v>
      </c>
      <c r="BI305" s="2188">
        <f>BI313+BI321+BI329+BI337+BI345</f>
        <v>0</v>
      </c>
      <c r="BJ305" s="2188">
        <f>BJ313+BJ321+BJ329+BJ337+BJ345</f>
        <v>0</v>
      </c>
      <c r="BK305" s="2186">
        <f t="shared" si="467"/>
        <v>0</v>
      </c>
      <c r="BL305" s="2188">
        <f>BL313+BL321+BL329+BL337+BL345</f>
        <v>0</v>
      </c>
      <c r="BM305" s="2188">
        <f>BM313+BM321+BM329+BM337+BM345</f>
        <v>0</v>
      </c>
      <c r="BN305" s="2186">
        <f t="shared" si="468"/>
        <v>0</v>
      </c>
      <c r="BO305" s="2188">
        <f>BO313+BO321+BO329+BO337+BO345</f>
        <v>0</v>
      </c>
      <c r="BP305" s="2188">
        <f>BP313+BP321+BP329+BP337+BP345</f>
        <v>0</v>
      </c>
      <c r="BQ305" s="2186">
        <f t="shared" si="469"/>
        <v>0</v>
      </c>
    </row>
    <row r="306" spans="3:69" s="2279" customFormat="1" hidden="1">
      <c r="C306" s="2285" t="s">
        <v>2435</v>
      </c>
      <c r="D306" s="2292" t="s">
        <v>2436</v>
      </c>
      <c r="E306" s="2290" t="s">
        <v>240</v>
      </c>
      <c r="F306" s="2176"/>
      <c r="G306" s="2252">
        <f>G314+G322+G330+G346+G338+G315+G323+G331+G339+G347</f>
        <v>0</v>
      </c>
      <c r="H306" s="2252">
        <f>H314+H322+H330+H346+H338+H315+H323+H331+H339+H347</f>
        <v>0</v>
      </c>
      <c r="I306" s="2178">
        <f t="shared" si="450"/>
        <v>0</v>
      </c>
      <c r="J306" s="2176"/>
      <c r="K306" s="2179">
        <f t="shared" si="445"/>
        <v>0</v>
      </c>
      <c r="L306" s="2179">
        <f t="shared" si="445"/>
        <v>0</v>
      </c>
      <c r="M306" s="2178">
        <f t="shared" si="451"/>
        <v>0</v>
      </c>
      <c r="N306" s="2179">
        <f>N314+N322+N330+N346+N338+N315+N323+N331+N339+N347</f>
        <v>0</v>
      </c>
      <c r="O306" s="2179">
        <f>O314+O322+O330+O346+O338+O315+O323+O331+O339+O347</f>
        <v>0</v>
      </c>
      <c r="P306" s="2178">
        <f t="shared" si="452"/>
        <v>0</v>
      </c>
      <c r="Q306" s="2179">
        <f>Q314+Q322+Q330+Q346+Q338+Q315+Q323+Q331+Q339+Q347</f>
        <v>0</v>
      </c>
      <c r="R306" s="2179">
        <f>R314+R322+R330+R346+R338+R315+R323+R331+R339+R347</f>
        <v>0</v>
      </c>
      <c r="S306" s="2178">
        <f t="shared" si="484"/>
        <v>0</v>
      </c>
      <c r="T306" s="2181">
        <f t="shared" si="485"/>
        <v>0</v>
      </c>
      <c r="U306" s="2179">
        <f t="shared" si="485"/>
        <v>0</v>
      </c>
      <c r="V306" s="2180">
        <f t="shared" si="454"/>
        <v>0</v>
      </c>
      <c r="W306" s="2187">
        <f>W314+W322+W330+W346+W338+W315+W323+W331+W339+W347</f>
        <v>0</v>
      </c>
      <c r="X306" s="2179">
        <f>X314+X322+X330+X346+X338+X315+X323+X331+X339+X347</f>
        <v>0</v>
      </c>
      <c r="Y306" s="2183">
        <f t="shared" si="486"/>
        <v>0</v>
      </c>
      <c r="Z306" s="2184">
        <f>T306+W306</f>
        <v>0</v>
      </c>
      <c r="AA306" s="2179">
        <f t="shared" si="487"/>
        <v>0</v>
      </c>
      <c r="AB306" s="2178">
        <f t="shared" si="456"/>
        <v>0</v>
      </c>
      <c r="AC306" s="2179">
        <f>AC314+AC322+AC330+AC346+AC338+AC315+AC323+AC331+AC339+AC347</f>
        <v>0</v>
      </c>
      <c r="AD306" s="2179">
        <f>AD314+AD322+AD330+AD346+AD338+AD315+AD323+AD331+AD339+AD347</f>
        <v>0</v>
      </c>
      <c r="AE306" s="2178">
        <f t="shared" si="474"/>
        <v>0</v>
      </c>
      <c r="AF306" s="2281"/>
      <c r="AG306" s="2278"/>
      <c r="AH306" s="2188">
        <f>AH314+AH322+AH330+AH346+AH338+AH315+AH323+AH331+AH339+AH347</f>
        <v>0</v>
      </c>
      <c r="AI306" s="2188">
        <f>AI314+AI322+AI330+AI346+AI338+AI315+AI323+AI331+AI339+AI347</f>
        <v>0</v>
      </c>
      <c r="AJ306" s="2186">
        <f t="shared" si="458"/>
        <v>0</v>
      </c>
      <c r="AK306" s="2188">
        <f>AK314+AK322+AK330+AK346+AK338+AK315+AK323+AK331+AK339+AK347</f>
        <v>0</v>
      </c>
      <c r="AL306" s="2188">
        <f>AL314+AL322+AL330+AL346+AL338+AL315+AL323+AL331+AL339+AL347</f>
        <v>0</v>
      </c>
      <c r="AM306" s="2186">
        <f t="shared" si="459"/>
        <v>0</v>
      </c>
      <c r="AN306" s="2188">
        <f>AN314+AN322+AN330+AN346+AN338+AN315+AN323+AN331+AN339+AN347</f>
        <v>0</v>
      </c>
      <c r="AO306" s="2188">
        <f>AO314+AO322+AO330+AO346+AO338+AO315+AO323+AO331+AO339+AO347</f>
        <v>0</v>
      </c>
      <c r="AP306" s="2186">
        <f t="shared" si="460"/>
        <v>0</v>
      </c>
      <c r="AQ306" s="2188">
        <f>AQ314+AQ322+AQ330+AQ346+AQ338+AQ315+AQ323+AQ331+AQ339+AQ347</f>
        <v>0</v>
      </c>
      <c r="AR306" s="2188">
        <f>AR314+AR322+AR330+AR346+AR338+AR315+AR323+AR331+AR339+AR347</f>
        <v>0</v>
      </c>
      <c r="AS306" s="2186">
        <f t="shared" si="461"/>
        <v>0</v>
      </c>
      <c r="AT306" s="2188">
        <f>AT314+AT322+AT330+AT346+AT338+AT315+AT323+AT331+AT339+AT347</f>
        <v>0</v>
      </c>
      <c r="AU306" s="2188">
        <f>AU314+AU322+AU330+AU346+AU338+AU315+AU323+AU331+AU339+AU347</f>
        <v>0</v>
      </c>
      <c r="AV306" s="2186">
        <f t="shared" si="462"/>
        <v>0</v>
      </c>
      <c r="AW306" s="2188">
        <f>AW314+AW322+AW330+AW346+AW338+AW315+AW323+AW331+AW339+AW347</f>
        <v>0</v>
      </c>
      <c r="AX306" s="2188">
        <f>AX314+AX322+AX330+AX346+AX338+AX315+AX323+AX331+AX339+AX347</f>
        <v>0</v>
      </c>
      <c r="AY306" s="2186">
        <f t="shared" si="463"/>
        <v>0</v>
      </c>
      <c r="AZ306" s="2188">
        <f>AZ314+AZ322+AZ330+AZ346+AZ338+AZ315+AZ323+AZ331+AZ339+AZ347</f>
        <v>0</v>
      </c>
      <c r="BA306" s="2188">
        <f>BA314+BA322+BA330+BA346+BA338+BA315+BA323+BA331+BA339+BA347</f>
        <v>0</v>
      </c>
      <c r="BB306" s="2186">
        <f t="shared" si="464"/>
        <v>0</v>
      </c>
      <c r="BC306" s="2188">
        <f>BC314+BC322+BC330+BC346+BC338+BC315+BC323+BC331+BC339+BC347</f>
        <v>0</v>
      </c>
      <c r="BD306" s="2188">
        <f>BD314+BD322+BD330+BD346+BD338+BD315+BD323+BD331+BD339+BD347</f>
        <v>0</v>
      </c>
      <c r="BE306" s="2186">
        <f t="shared" si="465"/>
        <v>0</v>
      </c>
      <c r="BF306" s="2188">
        <f>BF314+BF322+BF330+BF346+BF338+BF315+BF323+BF331+BF339+BF347</f>
        <v>0</v>
      </c>
      <c r="BG306" s="2188">
        <f>BG314+BG322+BG330+BG346+BG338+BG315+BG323+BG331+BG339+BG347</f>
        <v>0</v>
      </c>
      <c r="BH306" s="2186">
        <f t="shared" si="466"/>
        <v>0</v>
      </c>
      <c r="BI306" s="2188">
        <f>BI314+BI322+BI330+BI346+BI338+BI315+BI323+BI331+BI339+BI347</f>
        <v>0</v>
      </c>
      <c r="BJ306" s="2188">
        <f>BJ314+BJ322+BJ330+BJ346+BJ338+BJ315+BJ323+BJ331+BJ339+BJ347</f>
        <v>0</v>
      </c>
      <c r="BK306" s="2186">
        <f t="shared" si="467"/>
        <v>0</v>
      </c>
      <c r="BL306" s="2188">
        <f>BL314+BL322+BL330+BL346+BL338+BL315+BL323+BL331+BL339+BL347</f>
        <v>0</v>
      </c>
      <c r="BM306" s="2188">
        <f>BM314+BM322+BM330+BM346+BM338+BM315+BM323+BM331+BM339+BM347</f>
        <v>0</v>
      </c>
      <c r="BN306" s="2186">
        <f t="shared" si="468"/>
        <v>0</v>
      </c>
      <c r="BO306" s="2188">
        <f>BO314+BO322+BO330+BO346+BO338+BO315+BO323+BO331+BO339+BO347</f>
        <v>0</v>
      </c>
      <c r="BP306" s="2188">
        <f>BP314+BP322+BP330+BP346+BP338+BP315+BP323+BP331+BP339+BP347</f>
        <v>0</v>
      </c>
      <c r="BQ306" s="2186">
        <f t="shared" si="469"/>
        <v>0</v>
      </c>
    </row>
    <row r="307" spans="3:69" s="2279" customFormat="1" hidden="1">
      <c r="C307" s="2285" t="s">
        <v>2437</v>
      </c>
      <c r="D307" s="2287" t="s">
        <v>2434</v>
      </c>
      <c r="E307" s="2284" t="s">
        <v>240</v>
      </c>
      <c r="F307" s="2176"/>
      <c r="G307" s="2252">
        <f>G315+G323+G331+G339+G347</f>
        <v>0</v>
      </c>
      <c r="H307" s="2252">
        <f>H315+H323+H331+H339+H347</f>
        <v>0</v>
      </c>
      <c r="I307" s="2178">
        <f t="shared" si="450"/>
        <v>0</v>
      </c>
      <c r="J307" s="2176"/>
      <c r="K307" s="2179">
        <f t="shared" si="445"/>
        <v>0</v>
      </c>
      <c r="L307" s="2179">
        <f t="shared" si="445"/>
        <v>0</v>
      </c>
      <c r="M307" s="2178">
        <f t="shared" si="451"/>
        <v>0</v>
      </c>
      <c r="N307" s="2179">
        <f>N315+N323+N331+N339+N347</f>
        <v>0</v>
      </c>
      <c r="O307" s="2179">
        <f>O315+O323+O331+O339+O347</f>
        <v>0</v>
      </c>
      <c r="P307" s="2178">
        <f t="shared" si="452"/>
        <v>0</v>
      </c>
      <c r="Q307" s="2179">
        <f>Q315+Q323+Q331+Q339+Q347</f>
        <v>0</v>
      </c>
      <c r="R307" s="2179">
        <f>R315+R323+R331+R339+R347</f>
        <v>0</v>
      </c>
      <c r="S307" s="2178">
        <f t="shared" si="484"/>
        <v>0</v>
      </c>
      <c r="T307" s="2181">
        <f t="shared" si="485"/>
        <v>0</v>
      </c>
      <c r="U307" s="2179">
        <f t="shared" si="485"/>
        <v>0</v>
      </c>
      <c r="V307" s="2180">
        <f t="shared" si="454"/>
        <v>0</v>
      </c>
      <c r="W307" s="2187">
        <f>W315+W323+W331+W339+W347</f>
        <v>0</v>
      </c>
      <c r="X307" s="2179">
        <f>X315+X323+X331+X339+X347</f>
        <v>0</v>
      </c>
      <c r="Y307" s="2183">
        <f t="shared" si="486"/>
        <v>0</v>
      </c>
      <c r="Z307" s="2184">
        <f t="shared" ref="Z307:Z309" si="488">T307+W307</f>
        <v>0</v>
      </c>
      <c r="AA307" s="2179">
        <f t="shared" si="487"/>
        <v>0</v>
      </c>
      <c r="AB307" s="2178">
        <f t="shared" si="456"/>
        <v>0</v>
      </c>
      <c r="AC307" s="2179">
        <f>AC315+AC323+AC331+AC339+AC347</f>
        <v>0</v>
      </c>
      <c r="AD307" s="2179">
        <f>AD315+AD323+AD331+AD339+AD347</f>
        <v>0</v>
      </c>
      <c r="AE307" s="2178">
        <f t="shared" si="474"/>
        <v>0</v>
      </c>
      <c r="AF307" s="2281"/>
      <c r="AG307" s="2278"/>
      <c r="AH307" s="2188">
        <f>AH315+AH323+AH331+AH339+AH347</f>
        <v>0</v>
      </c>
      <c r="AI307" s="2188">
        <f>AI315+AI323+AI331+AI339+AI347</f>
        <v>0</v>
      </c>
      <c r="AJ307" s="2186">
        <f t="shared" si="458"/>
        <v>0</v>
      </c>
      <c r="AK307" s="2188">
        <f>AK315+AK323+AK331+AK339+AK347</f>
        <v>0</v>
      </c>
      <c r="AL307" s="2188">
        <f>AL315+AL323+AL331+AL339+AL347</f>
        <v>0</v>
      </c>
      <c r="AM307" s="2186">
        <f t="shared" si="459"/>
        <v>0</v>
      </c>
      <c r="AN307" s="2188">
        <f>AN315+AN323+AN331+AN339+AN347</f>
        <v>0</v>
      </c>
      <c r="AO307" s="2188">
        <f>AO315+AO323+AO331+AO339+AO347</f>
        <v>0</v>
      </c>
      <c r="AP307" s="2186">
        <f t="shared" si="460"/>
        <v>0</v>
      </c>
      <c r="AQ307" s="2188">
        <f>AQ315+AQ323+AQ331+AQ339+AQ347</f>
        <v>0</v>
      </c>
      <c r="AR307" s="2188">
        <f>AR315+AR323+AR331+AR339+AR347</f>
        <v>0</v>
      </c>
      <c r="AS307" s="2186">
        <f t="shared" si="461"/>
        <v>0</v>
      </c>
      <c r="AT307" s="2188">
        <f>AT315+AT323+AT331+AT339+AT347</f>
        <v>0</v>
      </c>
      <c r="AU307" s="2188">
        <f>AU315+AU323+AU331+AU339+AU347</f>
        <v>0</v>
      </c>
      <c r="AV307" s="2186">
        <f t="shared" si="462"/>
        <v>0</v>
      </c>
      <c r="AW307" s="2188">
        <f>AW315+AW323+AW331+AW339+AW347</f>
        <v>0</v>
      </c>
      <c r="AX307" s="2188">
        <f>AX315+AX323+AX331+AX339+AX347</f>
        <v>0</v>
      </c>
      <c r="AY307" s="2186">
        <f t="shared" si="463"/>
        <v>0</v>
      </c>
      <c r="AZ307" s="2188">
        <f>AZ315+AZ323+AZ331+AZ339+AZ347</f>
        <v>0</v>
      </c>
      <c r="BA307" s="2188">
        <f>BA315+BA323+BA331+BA339+BA347</f>
        <v>0</v>
      </c>
      <c r="BB307" s="2186">
        <f t="shared" si="464"/>
        <v>0</v>
      </c>
      <c r="BC307" s="2188">
        <f>BC315+BC323+BC331+BC339+BC347</f>
        <v>0</v>
      </c>
      <c r="BD307" s="2188">
        <f>BD315+BD323+BD331+BD339+BD347</f>
        <v>0</v>
      </c>
      <c r="BE307" s="2186">
        <f t="shared" si="465"/>
        <v>0</v>
      </c>
      <c r="BF307" s="2188">
        <f>BF315+BF323+BF331+BF339+BF347</f>
        <v>0</v>
      </c>
      <c r="BG307" s="2188">
        <f>BG315+BG323+BG331+BG339+BG347</f>
        <v>0</v>
      </c>
      <c r="BH307" s="2186">
        <f t="shared" si="466"/>
        <v>0</v>
      </c>
      <c r="BI307" s="2188">
        <f>BI315+BI323+BI331+BI339+BI347</f>
        <v>0</v>
      </c>
      <c r="BJ307" s="2188">
        <f>BJ315+BJ323+BJ331+BJ339+BJ347</f>
        <v>0</v>
      </c>
      <c r="BK307" s="2186">
        <f t="shared" si="467"/>
        <v>0</v>
      </c>
      <c r="BL307" s="2188">
        <f>BL315+BL323+BL331+BL339+BL347</f>
        <v>0</v>
      </c>
      <c r="BM307" s="2188">
        <f>BM315+BM323+BM331+BM339+BM347</f>
        <v>0</v>
      </c>
      <c r="BN307" s="2186">
        <f t="shared" si="468"/>
        <v>0</v>
      </c>
      <c r="BO307" s="2188">
        <f>BO315+BO323+BO331+BO339+BO347</f>
        <v>0</v>
      </c>
      <c r="BP307" s="2188">
        <f>BP315+BP323+BP331+BP339+BP347</f>
        <v>0</v>
      </c>
      <c r="BQ307" s="2186">
        <f t="shared" si="469"/>
        <v>0</v>
      </c>
    </row>
    <row r="308" spans="3:69" s="2279" customFormat="1" hidden="1">
      <c r="C308" s="2285" t="s">
        <v>2438</v>
      </c>
      <c r="D308" s="2292" t="s">
        <v>2439</v>
      </c>
      <c r="E308" s="2290" t="s">
        <v>240</v>
      </c>
      <c r="F308" s="2176"/>
      <c r="G308" s="2252">
        <f>G316+G324+G332+G348+G340+G317+G325+G333+G341+G349</f>
        <v>0</v>
      </c>
      <c r="H308" s="2252">
        <f>H316+H324+H332+H348+H340+H317+H325+H333+H341+H349</f>
        <v>0</v>
      </c>
      <c r="I308" s="2178">
        <f t="shared" si="450"/>
        <v>0</v>
      </c>
      <c r="J308" s="2176"/>
      <c r="K308" s="2179">
        <f t="shared" si="445"/>
        <v>0</v>
      </c>
      <c r="L308" s="2179">
        <f t="shared" si="445"/>
        <v>0</v>
      </c>
      <c r="M308" s="2178">
        <f t="shared" si="451"/>
        <v>0</v>
      </c>
      <c r="N308" s="2179">
        <f>N316+N324+N332+N348+N340+N317+N325+N333+N341+N349</f>
        <v>0</v>
      </c>
      <c r="O308" s="2179">
        <f>O316+O324+O332+O348+O340+O317+O325+O333+O341+O349</f>
        <v>0</v>
      </c>
      <c r="P308" s="2178">
        <f t="shared" si="452"/>
        <v>0</v>
      </c>
      <c r="Q308" s="2179">
        <f>Q316+Q324+Q332+Q348+Q340+Q317+Q325+Q333+Q341+Q349</f>
        <v>0</v>
      </c>
      <c r="R308" s="2179">
        <f>R316+R324+R332+R348+R340+R317+R325+R333+R341+R349</f>
        <v>0</v>
      </c>
      <c r="S308" s="2178">
        <f t="shared" si="484"/>
        <v>0</v>
      </c>
      <c r="T308" s="2181">
        <f t="shared" si="485"/>
        <v>0</v>
      </c>
      <c r="U308" s="2179">
        <f t="shared" si="485"/>
        <v>0</v>
      </c>
      <c r="V308" s="2180">
        <f t="shared" si="454"/>
        <v>0</v>
      </c>
      <c r="W308" s="2187">
        <f>W316+W324+W332+W348+W340+W317+W325+W333+W341+W349</f>
        <v>0</v>
      </c>
      <c r="X308" s="2179">
        <f>X316+X324+X332+X348+X340+X317+X325+X333+X341+X349</f>
        <v>0</v>
      </c>
      <c r="Y308" s="2183">
        <f t="shared" si="486"/>
        <v>0</v>
      </c>
      <c r="Z308" s="2184">
        <f t="shared" si="488"/>
        <v>0</v>
      </c>
      <c r="AA308" s="2179">
        <f t="shared" si="487"/>
        <v>0</v>
      </c>
      <c r="AB308" s="2178">
        <f t="shared" si="456"/>
        <v>0</v>
      </c>
      <c r="AC308" s="2179">
        <f>AC316+AC324+AC332+AC348+AC340+AC317+AC325+AC333+AC341+AC349</f>
        <v>0</v>
      </c>
      <c r="AD308" s="2179">
        <f>AD316+AD324+AD332+AD348+AD340+AD317+AD325+AD333+AD341+AD349</f>
        <v>0</v>
      </c>
      <c r="AE308" s="2178">
        <f t="shared" si="474"/>
        <v>0</v>
      </c>
      <c r="AF308" s="2281"/>
      <c r="AG308" s="2278"/>
      <c r="AH308" s="2188">
        <f>AH316+AH324+AH332+AH348+AH340+AH317+AH325+AH333+AH341+AH349</f>
        <v>0</v>
      </c>
      <c r="AI308" s="2188">
        <f>AI316+AI324+AI332+AI348+AI340+AI317+AI325+AI333+AI341+AI349</f>
        <v>0</v>
      </c>
      <c r="AJ308" s="2186">
        <f t="shared" si="458"/>
        <v>0</v>
      </c>
      <c r="AK308" s="2188">
        <f>AK316+AK324+AK332+AK348+AK340+AK317+AK325+AK333+AK341+AK349</f>
        <v>0</v>
      </c>
      <c r="AL308" s="2188">
        <f>AL316+AL324+AL332+AL348+AL340+AL317+AL325+AL333+AL341+AL349</f>
        <v>0</v>
      </c>
      <c r="AM308" s="2186">
        <f t="shared" si="459"/>
        <v>0</v>
      </c>
      <c r="AN308" s="2188">
        <f>AN316+AN324+AN332+AN348+AN340+AN317+AN325+AN333+AN341+AN349</f>
        <v>0</v>
      </c>
      <c r="AO308" s="2188">
        <f>AO316+AO324+AO332+AO348+AO340+AO317+AO325+AO333+AO341+AO349</f>
        <v>0</v>
      </c>
      <c r="AP308" s="2186">
        <f t="shared" si="460"/>
        <v>0</v>
      </c>
      <c r="AQ308" s="2188">
        <f>AQ316+AQ324+AQ332+AQ348+AQ340+AQ317+AQ325+AQ333+AQ341+AQ349</f>
        <v>0</v>
      </c>
      <c r="AR308" s="2188">
        <f>AR316+AR324+AR332+AR348+AR340+AR317+AR325+AR333+AR341+AR349</f>
        <v>0</v>
      </c>
      <c r="AS308" s="2186">
        <f t="shared" si="461"/>
        <v>0</v>
      </c>
      <c r="AT308" s="2188">
        <f>AT316+AT324+AT332+AT348+AT340+AT317+AT325+AT333+AT341+AT349</f>
        <v>0</v>
      </c>
      <c r="AU308" s="2188">
        <f>AU316+AU324+AU332+AU348+AU340+AU317+AU325+AU333+AU341+AU349</f>
        <v>0</v>
      </c>
      <c r="AV308" s="2186">
        <f t="shared" si="462"/>
        <v>0</v>
      </c>
      <c r="AW308" s="2188">
        <f>AW316+AW324+AW332+AW348+AW340+AW317+AW325+AW333+AW341+AW349</f>
        <v>0</v>
      </c>
      <c r="AX308" s="2188">
        <f>AX316+AX324+AX332+AX348+AX340+AX317+AX325+AX333+AX341+AX349</f>
        <v>0</v>
      </c>
      <c r="AY308" s="2186">
        <f t="shared" si="463"/>
        <v>0</v>
      </c>
      <c r="AZ308" s="2188">
        <f>AZ316+AZ324+AZ332+AZ348+AZ340+AZ317+AZ325+AZ333+AZ341+AZ349</f>
        <v>0</v>
      </c>
      <c r="BA308" s="2188">
        <f>BA316+BA324+BA332+BA348+BA340+BA317+BA325+BA333+BA341+BA349</f>
        <v>0</v>
      </c>
      <c r="BB308" s="2186">
        <f t="shared" si="464"/>
        <v>0</v>
      </c>
      <c r="BC308" s="2188">
        <f>BC316+BC324+BC332+BC348+BC340+BC317+BC325+BC333+BC341+BC349</f>
        <v>0</v>
      </c>
      <c r="BD308" s="2188">
        <f>BD316+BD324+BD332+BD348+BD340+BD317+BD325+BD333+BD341+BD349</f>
        <v>0</v>
      </c>
      <c r="BE308" s="2186">
        <f t="shared" si="465"/>
        <v>0</v>
      </c>
      <c r="BF308" s="2188">
        <f>BF316+BF324+BF332+BF348+BF340+BF317+BF325+BF333+BF341+BF349</f>
        <v>0</v>
      </c>
      <c r="BG308" s="2188">
        <f>BG316+BG324+BG332+BG348+BG340+BG317+BG325+BG333+BG341+BG349</f>
        <v>0</v>
      </c>
      <c r="BH308" s="2186">
        <f t="shared" si="466"/>
        <v>0</v>
      </c>
      <c r="BI308" s="2188">
        <f>BI316+BI324+BI332+BI348+BI340+BI317+BI325+BI333+BI341+BI349</f>
        <v>0</v>
      </c>
      <c r="BJ308" s="2188">
        <f>BJ316+BJ324+BJ332+BJ348+BJ340+BJ317+BJ325+BJ333+BJ341+BJ349</f>
        <v>0</v>
      </c>
      <c r="BK308" s="2186">
        <f t="shared" si="467"/>
        <v>0</v>
      </c>
      <c r="BL308" s="2188">
        <f>BL316+BL324+BL332+BL348+BL340+BL317+BL325+BL333+BL341+BL349</f>
        <v>0</v>
      </c>
      <c r="BM308" s="2188">
        <f>BM316+BM324+BM332+BM348+BM340+BM317+BM325+BM333+BM341+BM349</f>
        <v>0</v>
      </c>
      <c r="BN308" s="2186">
        <f t="shared" si="468"/>
        <v>0</v>
      </c>
      <c r="BO308" s="2188">
        <f>BO316+BO324+BO332+BO348+BO340+BO317+BO325+BO333+BO341+BO349</f>
        <v>0</v>
      </c>
      <c r="BP308" s="2188">
        <f>BP316+BP324+BP332+BP348+BP340+BP317+BP325+BP333+BP341+BP349</f>
        <v>0</v>
      </c>
      <c r="BQ308" s="2186">
        <f t="shared" si="469"/>
        <v>0</v>
      </c>
    </row>
    <row r="309" spans="3:69" s="2279" customFormat="1" hidden="1">
      <c r="C309" s="2285" t="s">
        <v>2440</v>
      </c>
      <c r="D309" s="2287" t="s">
        <v>2434</v>
      </c>
      <c r="E309" s="2284" t="s">
        <v>240</v>
      </c>
      <c r="F309" s="2176"/>
      <c r="G309" s="2252">
        <f>G317+G325+G333+G341+G349</f>
        <v>0</v>
      </c>
      <c r="H309" s="2252">
        <f>H317+H325+H333+H341+H349</f>
        <v>0</v>
      </c>
      <c r="I309" s="2178">
        <f t="shared" si="450"/>
        <v>0</v>
      </c>
      <c r="J309" s="2176"/>
      <c r="K309" s="2179">
        <f t="shared" si="445"/>
        <v>0</v>
      </c>
      <c r="L309" s="2179">
        <f t="shared" si="445"/>
        <v>0</v>
      </c>
      <c r="M309" s="2178">
        <f t="shared" si="451"/>
        <v>0</v>
      </c>
      <c r="N309" s="2179">
        <f>N317+N325+N333+N341+N349</f>
        <v>0</v>
      </c>
      <c r="O309" s="2179">
        <f>O317+O325+O333+O341+O349</f>
        <v>0</v>
      </c>
      <c r="P309" s="2178">
        <f t="shared" si="452"/>
        <v>0</v>
      </c>
      <c r="Q309" s="2179">
        <f>Q317+Q325+Q333+Q341+Q349</f>
        <v>0</v>
      </c>
      <c r="R309" s="2179">
        <f>R317+R325+R333+R341+R349</f>
        <v>0</v>
      </c>
      <c r="S309" s="2178">
        <f t="shared" si="484"/>
        <v>0</v>
      </c>
      <c r="T309" s="2181">
        <f t="shared" si="485"/>
        <v>0</v>
      </c>
      <c r="U309" s="2179">
        <f t="shared" si="485"/>
        <v>0</v>
      </c>
      <c r="V309" s="2180">
        <f t="shared" si="454"/>
        <v>0</v>
      </c>
      <c r="W309" s="2187">
        <f>W317+W325+W333+W341+W349</f>
        <v>0</v>
      </c>
      <c r="X309" s="2179">
        <f>X317+X325+X333+X341+X349</f>
        <v>0</v>
      </c>
      <c r="Y309" s="2183">
        <f t="shared" si="486"/>
        <v>0</v>
      </c>
      <c r="Z309" s="2184">
        <f t="shared" si="488"/>
        <v>0</v>
      </c>
      <c r="AA309" s="2179">
        <f t="shared" si="487"/>
        <v>0</v>
      </c>
      <c r="AB309" s="2178">
        <f t="shared" si="456"/>
        <v>0</v>
      </c>
      <c r="AC309" s="2179">
        <f>AC317+AC325+AC333+AC341+AC349</f>
        <v>0</v>
      </c>
      <c r="AD309" s="2179">
        <f>AD317+AD325+AD333+AD341+AD349</f>
        <v>0</v>
      </c>
      <c r="AE309" s="2178">
        <f t="shared" si="474"/>
        <v>0</v>
      </c>
      <c r="AF309" s="2281"/>
      <c r="AG309" s="2278"/>
      <c r="AH309" s="2188">
        <f>AH317+AH325+AH333+AH341+AH349</f>
        <v>0</v>
      </c>
      <c r="AI309" s="2188">
        <f>AI317+AI325+AI333+AI341+AI349</f>
        <v>0</v>
      </c>
      <c r="AJ309" s="2186">
        <f t="shared" si="458"/>
        <v>0</v>
      </c>
      <c r="AK309" s="2188">
        <f>AK317+AK325+AK333+AK341+AK349</f>
        <v>0</v>
      </c>
      <c r="AL309" s="2188">
        <f>AL317+AL325+AL333+AL341+AL349</f>
        <v>0</v>
      </c>
      <c r="AM309" s="2186">
        <f t="shared" si="459"/>
        <v>0</v>
      </c>
      <c r="AN309" s="2188">
        <f>AN317+AN325+AN333+AN341+AN349</f>
        <v>0</v>
      </c>
      <c r="AO309" s="2188">
        <f>AO317+AO325+AO333+AO341+AO349</f>
        <v>0</v>
      </c>
      <c r="AP309" s="2186">
        <f t="shared" si="460"/>
        <v>0</v>
      </c>
      <c r="AQ309" s="2188">
        <f>AQ317+AQ325+AQ333+AQ341+AQ349</f>
        <v>0</v>
      </c>
      <c r="AR309" s="2188">
        <f>AR317+AR325+AR333+AR341+AR349</f>
        <v>0</v>
      </c>
      <c r="AS309" s="2186">
        <f t="shared" si="461"/>
        <v>0</v>
      </c>
      <c r="AT309" s="2188">
        <f>AT317+AT325+AT333+AT341+AT349</f>
        <v>0</v>
      </c>
      <c r="AU309" s="2188">
        <f>AU317+AU325+AU333+AU341+AU349</f>
        <v>0</v>
      </c>
      <c r="AV309" s="2186">
        <f t="shared" si="462"/>
        <v>0</v>
      </c>
      <c r="AW309" s="2188">
        <f>AW317+AW325+AW333+AW341+AW349</f>
        <v>0</v>
      </c>
      <c r="AX309" s="2188">
        <f>AX317+AX325+AX333+AX341+AX349</f>
        <v>0</v>
      </c>
      <c r="AY309" s="2186">
        <f t="shared" si="463"/>
        <v>0</v>
      </c>
      <c r="AZ309" s="2188">
        <f>AZ317+AZ325+AZ333+AZ341+AZ349</f>
        <v>0</v>
      </c>
      <c r="BA309" s="2188">
        <f>BA317+BA325+BA333+BA341+BA349</f>
        <v>0</v>
      </c>
      <c r="BB309" s="2186">
        <f t="shared" si="464"/>
        <v>0</v>
      </c>
      <c r="BC309" s="2188">
        <f>BC317+BC325+BC333+BC341+BC349</f>
        <v>0</v>
      </c>
      <c r="BD309" s="2188">
        <f>BD317+BD325+BD333+BD341+BD349</f>
        <v>0</v>
      </c>
      <c r="BE309" s="2186">
        <f t="shared" si="465"/>
        <v>0</v>
      </c>
      <c r="BF309" s="2188">
        <f>BF317+BF325+BF333+BF341+BF349</f>
        <v>0</v>
      </c>
      <c r="BG309" s="2188">
        <f>BG317+BG325+BG333+BG341+BG349</f>
        <v>0</v>
      </c>
      <c r="BH309" s="2186">
        <f t="shared" si="466"/>
        <v>0</v>
      </c>
      <c r="BI309" s="2188">
        <f>BI317+BI325+BI333+BI341+BI349</f>
        <v>0</v>
      </c>
      <c r="BJ309" s="2188">
        <f>BJ317+BJ325+BJ333+BJ341+BJ349</f>
        <v>0</v>
      </c>
      <c r="BK309" s="2186">
        <f t="shared" si="467"/>
        <v>0</v>
      </c>
      <c r="BL309" s="2188">
        <f>BL317+BL325+BL333+BL341+BL349</f>
        <v>0</v>
      </c>
      <c r="BM309" s="2188">
        <f>BM317+BM325+BM333+BM341+BM349</f>
        <v>0</v>
      </c>
      <c r="BN309" s="2186">
        <f t="shared" si="468"/>
        <v>0</v>
      </c>
      <c r="BO309" s="2188">
        <f>BO317+BO325+BO333+BO341+BO349</f>
        <v>0</v>
      </c>
      <c r="BP309" s="2188">
        <f>BP317+BP325+BP333+BP341+BP349</f>
        <v>0</v>
      </c>
      <c r="BQ309" s="2186">
        <f t="shared" si="469"/>
        <v>0</v>
      </c>
    </row>
    <row r="310" spans="3:69" s="2159" customFormat="1" hidden="1">
      <c r="C310" s="2293" t="s">
        <v>2441</v>
      </c>
      <c r="D310" s="2294" t="s">
        <v>2092</v>
      </c>
      <c r="E310" s="2295" t="s">
        <v>240</v>
      </c>
      <c r="F310" s="2162"/>
      <c r="G310" s="2259">
        <f>G314+G316+G315+G317</f>
        <v>0</v>
      </c>
      <c r="H310" s="2259">
        <f>H314+H316+H315+H317</f>
        <v>0</v>
      </c>
      <c r="I310" s="2164">
        <f t="shared" si="450"/>
        <v>0</v>
      </c>
      <c r="J310" s="2162"/>
      <c r="K310" s="2163">
        <f t="shared" si="445"/>
        <v>0</v>
      </c>
      <c r="L310" s="2163">
        <f t="shared" si="445"/>
        <v>0</v>
      </c>
      <c r="M310" s="2164">
        <f t="shared" si="451"/>
        <v>0</v>
      </c>
      <c r="N310" s="2163">
        <f>N314+N316+N315+N317</f>
        <v>0</v>
      </c>
      <c r="O310" s="2163">
        <f>O314+O316+O315+O317</f>
        <v>0</v>
      </c>
      <c r="P310" s="2164">
        <f t="shared" si="452"/>
        <v>0</v>
      </c>
      <c r="Q310" s="2163">
        <f>Q314+Q316+Q315+Q317</f>
        <v>0</v>
      </c>
      <c r="R310" s="2163">
        <f>R314+R316+R315+R317</f>
        <v>0</v>
      </c>
      <c r="S310" s="2164">
        <f t="shared" si="484"/>
        <v>0</v>
      </c>
      <c r="T310" s="2167">
        <f t="shared" si="485"/>
        <v>0</v>
      </c>
      <c r="U310" s="2163">
        <f t="shared" si="485"/>
        <v>0</v>
      </c>
      <c r="V310" s="2166">
        <f t="shared" si="454"/>
        <v>0</v>
      </c>
      <c r="W310" s="2168">
        <f>W314+W316+W315+W317</f>
        <v>0</v>
      </c>
      <c r="X310" s="2163">
        <f>X314+X316+X315+X317</f>
        <v>0</v>
      </c>
      <c r="Y310" s="2169">
        <f t="shared" si="486"/>
        <v>0</v>
      </c>
      <c r="Z310" s="2165">
        <f t="shared" si="487"/>
        <v>0</v>
      </c>
      <c r="AA310" s="2163">
        <f t="shared" si="487"/>
        <v>0</v>
      </c>
      <c r="AB310" s="2164">
        <f t="shared" si="456"/>
        <v>0</v>
      </c>
      <c r="AC310" s="2163">
        <f>AC314+AC316+AC315+AC317</f>
        <v>0</v>
      </c>
      <c r="AD310" s="2163">
        <f>AD314+AD316+AD315+AD317</f>
        <v>0</v>
      </c>
      <c r="AE310" s="2164">
        <f t="shared" si="474"/>
        <v>0</v>
      </c>
      <c r="AF310" s="2281"/>
      <c r="AG310" s="2158"/>
      <c r="AH310" s="2171">
        <f>AH314+AH316+AH315+AH317</f>
        <v>0</v>
      </c>
      <c r="AI310" s="2171">
        <f>AI314+AI316+AI315+AI317</f>
        <v>0</v>
      </c>
      <c r="AJ310" s="2172">
        <f t="shared" si="458"/>
        <v>0</v>
      </c>
      <c r="AK310" s="2171">
        <f>AK314+AK316+AK315+AK317</f>
        <v>0</v>
      </c>
      <c r="AL310" s="2171">
        <f>AL314+AL316+AL315+AL317</f>
        <v>0</v>
      </c>
      <c r="AM310" s="2172">
        <f t="shared" si="459"/>
        <v>0</v>
      </c>
      <c r="AN310" s="2171">
        <f>AN314+AN316+AN315+AN317</f>
        <v>0</v>
      </c>
      <c r="AO310" s="2171">
        <f>AO314+AO316+AO315+AO317</f>
        <v>0</v>
      </c>
      <c r="AP310" s="2172">
        <f t="shared" si="460"/>
        <v>0</v>
      </c>
      <c r="AQ310" s="2171">
        <f>AQ314+AQ316+AQ315+AQ317</f>
        <v>0</v>
      </c>
      <c r="AR310" s="2171">
        <f>AR314+AR316+AR315+AR317</f>
        <v>0</v>
      </c>
      <c r="AS310" s="2172">
        <f t="shared" si="461"/>
        <v>0</v>
      </c>
      <c r="AT310" s="2171">
        <f>AT314+AT316+AT315+AT317</f>
        <v>0</v>
      </c>
      <c r="AU310" s="2171">
        <f>AU314+AU316+AU315+AU317</f>
        <v>0</v>
      </c>
      <c r="AV310" s="2172">
        <f t="shared" si="462"/>
        <v>0</v>
      </c>
      <c r="AW310" s="2171">
        <f>AW314+AW316+AW315+AW317</f>
        <v>0</v>
      </c>
      <c r="AX310" s="2171">
        <f>AX314+AX316+AX315+AX317</f>
        <v>0</v>
      </c>
      <c r="AY310" s="2172">
        <f t="shared" si="463"/>
        <v>0</v>
      </c>
      <c r="AZ310" s="2171">
        <f>AZ314+AZ316+AZ315+AZ317</f>
        <v>0</v>
      </c>
      <c r="BA310" s="2171">
        <f>BA314+BA316+BA315+BA317</f>
        <v>0</v>
      </c>
      <c r="BB310" s="2172">
        <f t="shared" si="464"/>
        <v>0</v>
      </c>
      <c r="BC310" s="2171">
        <f>BC314+BC316+BC315+BC317</f>
        <v>0</v>
      </c>
      <c r="BD310" s="2171">
        <f>BD314+BD316+BD315+BD317</f>
        <v>0</v>
      </c>
      <c r="BE310" s="2172">
        <f t="shared" si="465"/>
        <v>0</v>
      </c>
      <c r="BF310" s="2171">
        <f>BF314+BF316+BF315+BF317</f>
        <v>0</v>
      </c>
      <c r="BG310" s="2171">
        <f>BG314+BG316+BG315+BG317</f>
        <v>0</v>
      </c>
      <c r="BH310" s="2172">
        <f t="shared" si="466"/>
        <v>0</v>
      </c>
      <c r="BI310" s="2171">
        <f>BI314+BI316+BI315+BI317</f>
        <v>0</v>
      </c>
      <c r="BJ310" s="2171">
        <f>BJ314+BJ316+BJ315+BJ317</f>
        <v>0</v>
      </c>
      <c r="BK310" s="2172">
        <f t="shared" si="467"/>
        <v>0</v>
      </c>
      <c r="BL310" s="2171">
        <f>BL314+BL316+BL315+BL317</f>
        <v>0</v>
      </c>
      <c r="BM310" s="2171">
        <f>BM314+BM316+BM315+BM317</f>
        <v>0</v>
      </c>
      <c r="BN310" s="2172">
        <f t="shared" si="468"/>
        <v>0</v>
      </c>
      <c r="BO310" s="2171">
        <f>BO314+BO316+BO315+BO317</f>
        <v>0</v>
      </c>
      <c r="BP310" s="2171">
        <f>BP314+BP316+BP315+BP317</f>
        <v>0</v>
      </c>
      <c r="BQ310" s="2172">
        <f t="shared" si="469"/>
        <v>0</v>
      </c>
    </row>
    <row r="311" spans="3:69" s="2087" customFormat="1" hidden="1">
      <c r="C311" s="2285" t="s">
        <v>2442</v>
      </c>
      <c r="D311" s="2296" t="s">
        <v>2211</v>
      </c>
      <c r="E311" s="2284" t="s">
        <v>240</v>
      </c>
      <c r="F311" s="2176"/>
      <c r="G311" s="2177"/>
      <c r="H311" s="2177"/>
      <c r="I311" s="2178">
        <f t="shared" si="450"/>
        <v>0</v>
      </c>
      <c r="J311" s="2176"/>
      <c r="K311" s="2252">
        <f t="shared" si="445"/>
        <v>0</v>
      </c>
      <c r="L311" s="2252">
        <f t="shared" si="445"/>
        <v>0</v>
      </c>
      <c r="M311" s="2255">
        <f t="shared" si="451"/>
        <v>0</v>
      </c>
      <c r="N311" s="2177"/>
      <c r="O311" s="2177"/>
      <c r="P311" s="2178">
        <f t="shared" si="452"/>
        <v>0</v>
      </c>
      <c r="Q311" s="2177"/>
      <c r="R311" s="2177"/>
      <c r="S311" s="2178">
        <f t="shared" si="484"/>
        <v>0</v>
      </c>
      <c r="T311" s="2251">
        <f t="shared" si="485"/>
        <v>0</v>
      </c>
      <c r="U311" s="2252">
        <f t="shared" si="485"/>
        <v>0</v>
      </c>
      <c r="V311" s="2253">
        <f t="shared" si="454"/>
        <v>0</v>
      </c>
      <c r="W311" s="2182"/>
      <c r="X311" s="2177"/>
      <c r="Y311" s="2183">
        <f t="shared" si="486"/>
        <v>0</v>
      </c>
      <c r="Z311" s="2254">
        <f t="shared" si="487"/>
        <v>0</v>
      </c>
      <c r="AA311" s="2252">
        <f t="shared" si="487"/>
        <v>0</v>
      </c>
      <c r="AB311" s="2255">
        <f t="shared" si="456"/>
        <v>0</v>
      </c>
      <c r="AC311" s="2177"/>
      <c r="AD311" s="2177"/>
      <c r="AE311" s="2178">
        <f t="shared" si="474"/>
        <v>0</v>
      </c>
      <c r="AF311" s="2281"/>
      <c r="AG311" s="2114"/>
      <c r="AH311" s="2177"/>
      <c r="AI311" s="2177"/>
      <c r="AJ311" s="2186">
        <f t="shared" si="458"/>
        <v>0</v>
      </c>
      <c r="AK311" s="2177"/>
      <c r="AL311" s="2177"/>
      <c r="AM311" s="2186">
        <f t="shared" si="459"/>
        <v>0</v>
      </c>
      <c r="AN311" s="2177"/>
      <c r="AO311" s="2177"/>
      <c r="AP311" s="2186">
        <f t="shared" si="460"/>
        <v>0</v>
      </c>
      <c r="AQ311" s="2177"/>
      <c r="AR311" s="2177"/>
      <c r="AS311" s="2186">
        <f t="shared" si="461"/>
        <v>0</v>
      </c>
      <c r="AT311" s="2177"/>
      <c r="AU311" s="2177"/>
      <c r="AV311" s="2186">
        <f t="shared" si="462"/>
        <v>0</v>
      </c>
      <c r="AW311" s="2177"/>
      <c r="AX311" s="2177"/>
      <c r="AY311" s="2186">
        <f t="shared" si="463"/>
        <v>0</v>
      </c>
      <c r="AZ311" s="2177"/>
      <c r="BA311" s="2177"/>
      <c r="BB311" s="2186">
        <f t="shared" si="464"/>
        <v>0</v>
      </c>
      <c r="BC311" s="2177"/>
      <c r="BD311" s="2177"/>
      <c r="BE311" s="2186">
        <f t="shared" si="465"/>
        <v>0</v>
      </c>
      <c r="BF311" s="2177"/>
      <c r="BG311" s="2177"/>
      <c r="BH311" s="2186">
        <f t="shared" si="466"/>
        <v>0</v>
      </c>
      <c r="BI311" s="2177"/>
      <c r="BJ311" s="2177"/>
      <c r="BK311" s="2186">
        <f t="shared" si="467"/>
        <v>0</v>
      </c>
      <c r="BL311" s="2177"/>
      <c r="BM311" s="2177"/>
      <c r="BN311" s="2186">
        <f t="shared" si="468"/>
        <v>0</v>
      </c>
      <c r="BO311" s="2177"/>
      <c r="BP311" s="2177"/>
      <c r="BQ311" s="2186">
        <f t="shared" si="469"/>
        <v>0</v>
      </c>
    </row>
    <row r="312" spans="3:69" s="2087" customFormat="1" hidden="1">
      <c r="C312" s="2285" t="s">
        <v>2443</v>
      </c>
      <c r="D312" s="2292" t="s">
        <v>2432</v>
      </c>
      <c r="E312" s="2284" t="s">
        <v>420</v>
      </c>
      <c r="F312" s="2176"/>
      <c r="G312" s="2177"/>
      <c r="H312" s="2177"/>
      <c r="I312" s="2178">
        <f t="shared" si="450"/>
        <v>0</v>
      </c>
      <c r="J312" s="2176"/>
      <c r="K312" s="2252">
        <f>(N312+Q312+W312+AC312)/4</f>
        <v>0</v>
      </c>
      <c r="L312" s="2252">
        <f>(O312+R312+X312+AD312)/4</f>
        <v>0</v>
      </c>
      <c r="M312" s="2255">
        <f t="shared" si="451"/>
        <v>0</v>
      </c>
      <c r="N312" s="2177"/>
      <c r="O312" s="2177"/>
      <c r="P312" s="2178">
        <f t="shared" si="452"/>
        <v>0</v>
      </c>
      <c r="Q312" s="2177"/>
      <c r="R312" s="2177"/>
      <c r="S312" s="2178">
        <f t="shared" si="484"/>
        <v>0</v>
      </c>
      <c r="T312" s="2251">
        <f>(N312+Q312)/2</f>
        <v>0</v>
      </c>
      <c r="U312" s="2252">
        <f>(O312+R312)/2</f>
        <v>0</v>
      </c>
      <c r="V312" s="2253">
        <f t="shared" si="454"/>
        <v>0</v>
      </c>
      <c r="W312" s="2182"/>
      <c r="X312" s="2177"/>
      <c r="Y312" s="2183">
        <f t="shared" si="486"/>
        <v>0</v>
      </c>
      <c r="Z312" s="2254">
        <f>(N312+Q312+W312)/3</f>
        <v>0</v>
      </c>
      <c r="AA312" s="2252">
        <f>(O312+R312+X312)/3</f>
        <v>0</v>
      </c>
      <c r="AB312" s="2255">
        <f t="shared" si="456"/>
        <v>0</v>
      </c>
      <c r="AC312" s="2177"/>
      <c r="AD312" s="2177"/>
      <c r="AE312" s="2178">
        <f t="shared" si="474"/>
        <v>0</v>
      </c>
      <c r="AF312" s="2281"/>
      <c r="AG312" s="2114"/>
      <c r="AH312" s="2177"/>
      <c r="AI312" s="2177"/>
      <c r="AJ312" s="2186">
        <f t="shared" si="458"/>
        <v>0</v>
      </c>
      <c r="AK312" s="2177"/>
      <c r="AL312" s="2177"/>
      <c r="AM312" s="2186">
        <f t="shared" si="459"/>
        <v>0</v>
      </c>
      <c r="AN312" s="2177"/>
      <c r="AO312" s="2177"/>
      <c r="AP312" s="2186">
        <f t="shared" si="460"/>
        <v>0</v>
      </c>
      <c r="AQ312" s="2177"/>
      <c r="AR312" s="2177"/>
      <c r="AS312" s="2186">
        <f t="shared" si="461"/>
        <v>0</v>
      </c>
      <c r="AT312" s="2177"/>
      <c r="AU312" s="2177"/>
      <c r="AV312" s="2186">
        <f t="shared" si="462"/>
        <v>0</v>
      </c>
      <c r="AW312" s="2177"/>
      <c r="AX312" s="2177"/>
      <c r="AY312" s="2186">
        <f t="shared" si="463"/>
        <v>0</v>
      </c>
      <c r="AZ312" s="2177"/>
      <c r="BA312" s="2177"/>
      <c r="BB312" s="2186">
        <f t="shared" si="464"/>
        <v>0</v>
      </c>
      <c r="BC312" s="2177"/>
      <c r="BD312" s="2177"/>
      <c r="BE312" s="2186">
        <f t="shared" si="465"/>
        <v>0</v>
      </c>
      <c r="BF312" s="2177"/>
      <c r="BG312" s="2177"/>
      <c r="BH312" s="2186">
        <f t="shared" si="466"/>
        <v>0</v>
      </c>
      <c r="BI312" s="2177"/>
      <c r="BJ312" s="2177"/>
      <c r="BK312" s="2186">
        <f t="shared" si="467"/>
        <v>0</v>
      </c>
      <c r="BL312" s="2177"/>
      <c r="BM312" s="2177"/>
      <c r="BN312" s="2186">
        <f t="shared" si="468"/>
        <v>0</v>
      </c>
      <c r="BO312" s="2177"/>
      <c r="BP312" s="2177"/>
      <c r="BQ312" s="2186">
        <f t="shared" si="469"/>
        <v>0</v>
      </c>
    </row>
    <row r="313" spans="3:69" s="2279" customFormat="1" hidden="1">
      <c r="C313" s="2285" t="s">
        <v>2444</v>
      </c>
      <c r="D313" s="2287" t="s">
        <v>2229</v>
      </c>
      <c r="E313" s="2284" t="s">
        <v>420</v>
      </c>
      <c r="F313" s="2176"/>
      <c r="G313" s="2177"/>
      <c r="H313" s="2177"/>
      <c r="I313" s="2178">
        <f t="shared" si="450"/>
        <v>0</v>
      </c>
      <c r="J313" s="2176"/>
      <c r="K313" s="2252">
        <f>(N313+Q313+W313+AC313)/4</f>
        <v>0</v>
      </c>
      <c r="L313" s="2252">
        <f>(O313+R313+X313+AD313)/4</f>
        <v>0</v>
      </c>
      <c r="M313" s="2255">
        <f t="shared" si="451"/>
        <v>0</v>
      </c>
      <c r="N313" s="2177"/>
      <c r="O313" s="2177"/>
      <c r="P313" s="2178">
        <f t="shared" si="452"/>
        <v>0</v>
      </c>
      <c r="Q313" s="2177"/>
      <c r="R313" s="2177"/>
      <c r="S313" s="2178">
        <f t="shared" si="484"/>
        <v>0</v>
      </c>
      <c r="T313" s="2251">
        <f>(N313+Q313)/2</f>
        <v>0</v>
      </c>
      <c r="U313" s="2252">
        <f>(O313+R313)/2</f>
        <v>0</v>
      </c>
      <c r="V313" s="2253">
        <f t="shared" si="454"/>
        <v>0</v>
      </c>
      <c r="W313" s="2182"/>
      <c r="X313" s="2177"/>
      <c r="Y313" s="2183">
        <f t="shared" si="486"/>
        <v>0</v>
      </c>
      <c r="Z313" s="2254">
        <f>(N313+Q313+W313)/3</f>
        <v>0</v>
      </c>
      <c r="AA313" s="2252">
        <f>(O313+R313+X313)/3</f>
        <v>0</v>
      </c>
      <c r="AB313" s="2255">
        <f t="shared" si="456"/>
        <v>0</v>
      </c>
      <c r="AC313" s="2177"/>
      <c r="AD313" s="2177"/>
      <c r="AE313" s="2178">
        <f t="shared" si="474"/>
        <v>0</v>
      </c>
      <c r="AF313" s="2281"/>
      <c r="AG313" s="2278"/>
      <c r="AH313" s="2177"/>
      <c r="AI313" s="2177"/>
      <c r="AJ313" s="2186">
        <f t="shared" si="458"/>
        <v>0</v>
      </c>
      <c r="AK313" s="2177"/>
      <c r="AL313" s="2177"/>
      <c r="AM313" s="2186">
        <f t="shared" si="459"/>
        <v>0</v>
      </c>
      <c r="AN313" s="2177"/>
      <c r="AO313" s="2177"/>
      <c r="AP313" s="2186">
        <f t="shared" si="460"/>
        <v>0</v>
      </c>
      <c r="AQ313" s="2177"/>
      <c r="AR313" s="2177"/>
      <c r="AS313" s="2186">
        <f t="shared" si="461"/>
        <v>0</v>
      </c>
      <c r="AT313" s="2177"/>
      <c r="AU313" s="2177"/>
      <c r="AV313" s="2186">
        <f t="shared" si="462"/>
        <v>0</v>
      </c>
      <c r="AW313" s="2177"/>
      <c r="AX313" s="2177"/>
      <c r="AY313" s="2186">
        <f t="shared" si="463"/>
        <v>0</v>
      </c>
      <c r="AZ313" s="2177"/>
      <c r="BA313" s="2177"/>
      <c r="BB313" s="2186">
        <f t="shared" si="464"/>
        <v>0</v>
      </c>
      <c r="BC313" s="2177"/>
      <c r="BD313" s="2177"/>
      <c r="BE313" s="2186">
        <f t="shared" si="465"/>
        <v>0</v>
      </c>
      <c r="BF313" s="2177"/>
      <c r="BG313" s="2177"/>
      <c r="BH313" s="2186">
        <f t="shared" si="466"/>
        <v>0</v>
      </c>
      <c r="BI313" s="2177"/>
      <c r="BJ313" s="2177"/>
      <c r="BK313" s="2186">
        <f t="shared" si="467"/>
        <v>0</v>
      </c>
      <c r="BL313" s="2177"/>
      <c r="BM313" s="2177"/>
      <c r="BN313" s="2186">
        <f t="shared" si="468"/>
        <v>0</v>
      </c>
      <c r="BO313" s="2177"/>
      <c r="BP313" s="2177"/>
      <c r="BQ313" s="2186">
        <f t="shared" si="469"/>
        <v>0</v>
      </c>
    </row>
    <row r="314" spans="3:69" s="2087" customFormat="1" hidden="1">
      <c r="C314" s="2285" t="s">
        <v>2445</v>
      </c>
      <c r="D314" s="2292" t="s">
        <v>2436</v>
      </c>
      <c r="E314" s="2284" t="s">
        <v>240</v>
      </c>
      <c r="F314" s="2176"/>
      <c r="G314" s="2177"/>
      <c r="H314" s="2177"/>
      <c r="I314" s="2178">
        <f t="shared" si="450"/>
        <v>0</v>
      </c>
      <c r="J314" s="2176"/>
      <c r="K314" s="2252">
        <f t="shared" si="445"/>
        <v>0</v>
      </c>
      <c r="L314" s="2252">
        <f t="shared" si="445"/>
        <v>0</v>
      </c>
      <c r="M314" s="2255">
        <f t="shared" si="451"/>
        <v>0</v>
      </c>
      <c r="N314" s="2177"/>
      <c r="O314" s="2177"/>
      <c r="P314" s="2178">
        <f t="shared" si="452"/>
        <v>0</v>
      </c>
      <c r="Q314" s="2177"/>
      <c r="R314" s="2177"/>
      <c r="S314" s="2178">
        <f t="shared" si="484"/>
        <v>0</v>
      </c>
      <c r="T314" s="2251">
        <f t="shared" si="485"/>
        <v>0</v>
      </c>
      <c r="U314" s="2252">
        <f t="shared" si="485"/>
        <v>0</v>
      </c>
      <c r="V314" s="2253">
        <f t="shared" si="454"/>
        <v>0</v>
      </c>
      <c r="W314" s="2182"/>
      <c r="X314" s="2177"/>
      <c r="Y314" s="2183">
        <f t="shared" si="486"/>
        <v>0</v>
      </c>
      <c r="Z314" s="2254">
        <f t="shared" si="487"/>
        <v>0</v>
      </c>
      <c r="AA314" s="2252">
        <f t="shared" si="487"/>
        <v>0</v>
      </c>
      <c r="AB314" s="2255">
        <f t="shared" si="456"/>
        <v>0</v>
      </c>
      <c r="AC314" s="2177"/>
      <c r="AD314" s="2177"/>
      <c r="AE314" s="2178">
        <f t="shared" si="474"/>
        <v>0</v>
      </c>
      <c r="AF314" s="2281"/>
      <c r="AG314" s="2114"/>
      <c r="AH314" s="2177"/>
      <c r="AI314" s="2177"/>
      <c r="AJ314" s="2186">
        <f t="shared" si="458"/>
        <v>0</v>
      </c>
      <c r="AK314" s="2177"/>
      <c r="AL314" s="2177"/>
      <c r="AM314" s="2186">
        <f t="shared" si="459"/>
        <v>0</v>
      </c>
      <c r="AN314" s="2177"/>
      <c r="AO314" s="2177"/>
      <c r="AP314" s="2186">
        <f t="shared" si="460"/>
        <v>0</v>
      </c>
      <c r="AQ314" s="2177"/>
      <c r="AR314" s="2177"/>
      <c r="AS314" s="2186">
        <f t="shared" si="461"/>
        <v>0</v>
      </c>
      <c r="AT314" s="2177"/>
      <c r="AU314" s="2177"/>
      <c r="AV314" s="2186">
        <f t="shared" si="462"/>
        <v>0</v>
      </c>
      <c r="AW314" s="2177"/>
      <c r="AX314" s="2177"/>
      <c r="AY314" s="2186">
        <f t="shared" si="463"/>
        <v>0</v>
      </c>
      <c r="AZ314" s="2177"/>
      <c r="BA314" s="2177"/>
      <c r="BB314" s="2186">
        <f t="shared" si="464"/>
        <v>0</v>
      </c>
      <c r="BC314" s="2177"/>
      <c r="BD314" s="2177"/>
      <c r="BE314" s="2186">
        <f t="shared" si="465"/>
        <v>0</v>
      </c>
      <c r="BF314" s="2177"/>
      <c r="BG314" s="2177"/>
      <c r="BH314" s="2186">
        <f t="shared" si="466"/>
        <v>0</v>
      </c>
      <c r="BI314" s="2177"/>
      <c r="BJ314" s="2177"/>
      <c r="BK314" s="2186">
        <f t="shared" si="467"/>
        <v>0</v>
      </c>
      <c r="BL314" s="2177"/>
      <c r="BM314" s="2177"/>
      <c r="BN314" s="2186">
        <f t="shared" si="468"/>
        <v>0</v>
      </c>
      <c r="BO314" s="2177"/>
      <c r="BP314" s="2177"/>
      <c r="BQ314" s="2186">
        <f t="shared" si="469"/>
        <v>0</v>
      </c>
    </row>
    <row r="315" spans="3:69" s="2087" customFormat="1" hidden="1">
      <c r="C315" s="2285" t="s">
        <v>2446</v>
      </c>
      <c r="D315" s="2287" t="s">
        <v>2229</v>
      </c>
      <c r="E315" s="2284" t="s">
        <v>240</v>
      </c>
      <c r="F315" s="2176"/>
      <c r="G315" s="2177"/>
      <c r="H315" s="2177"/>
      <c r="I315" s="2178">
        <f t="shared" si="450"/>
        <v>0</v>
      </c>
      <c r="J315" s="2176"/>
      <c r="K315" s="2252">
        <f t="shared" ref="K315:L319" si="489">N315+Q315+W315+AC315</f>
        <v>0</v>
      </c>
      <c r="L315" s="2252">
        <f t="shared" si="489"/>
        <v>0</v>
      </c>
      <c r="M315" s="2255">
        <f t="shared" si="451"/>
        <v>0</v>
      </c>
      <c r="N315" s="2177"/>
      <c r="O315" s="2177"/>
      <c r="P315" s="2178">
        <f t="shared" si="452"/>
        <v>0</v>
      </c>
      <c r="Q315" s="2177"/>
      <c r="R315" s="2177"/>
      <c r="S315" s="2178">
        <f t="shared" si="484"/>
        <v>0</v>
      </c>
      <c r="T315" s="2251">
        <f t="shared" si="485"/>
        <v>0</v>
      </c>
      <c r="U315" s="2252">
        <f t="shared" si="485"/>
        <v>0</v>
      </c>
      <c r="V315" s="2253">
        <f t="shared" si="454"/>
        <v>0</v>
      </c>
      <c r="W315" s="2182"/>
      <c r="X315" s="2177"/>
      <c r="Y315" s="2183">
        <f t="shared" si="486"/>
        <v>0</v>
      </c>
      <c r="Z315" s="2254">
        <f t="shared" si="487"/>
        <v>0</v>
      </c>
      <c r="AA315" s="2252">
        <f t="shared" si="487"/>
        <v>0</v>
      </c>
      <c r="AB315" s="2255">
        <f t="shared" si="456"/>
        <v>0</v>
      </c>
      <c r="AC315" s="2177"/>
      <c r="AD315" s="2177"/>
      <c r="AE315" s="2178">
        <f t="shared" si="474"/>
        <v>0</v>
      </c>
      <c r="AF315" s="2281"/>
      <c r="AG315" s="2114"/>
      <c r="AH315" s="2177"/>
      <c r="AI315" s="2177"/>
      <c r="AJ315" s="2186">
        <f t="shared" si="458"/>
        <v>0</v>
      </c>
      <c r="AK315" s="2177"/>
      <c r="AL315" s="2177"/>
      <c r="AM315" s="2186">
        <f t="shared" si="459"/>
        <v>0</v>
      </c>
      <c r="AN315" s="2177"/>
      <c r="AO315" s="2177"/>
      <c r="AP315" s="2186">
        <f t="shared" si="460"/>
        <v>0</v>
      </c>
      <c r="AQ315" s="2177"/>
      <c r="AR315" s="2177"/>
      <c r="AS315" s="2186">
        <f t="shared" si="461"/>
        <v>0</v>
      </c>
      <c r="AT315" s="2177"/>
      <c r="AU315" s="2177"/>
      <c r="AV315" s="2186">
        <f t="shared" si="462"/>
        <v>0</v>
      </c>
      <c r="AW315" s="2177"/>
      <c r="AX315" s="2177"/>
      <c r="AY315" s="2186">
        <f t="shared" si="463"/>
        <v>0</v>
      </c>
      <c r="AZ315" s="2177"/>
      <c r="BA315" s="2177"/>
      <c r="BB315" s="2186">
        <f t="shared" si="464"/>
        <v>0</v>
      </c>
      <c r="BC315" s="2177"/>
      <c r="BD315" s="2177"/>
      <c r="BE315" s="2186">
        <f t="shared" si="465"/>
        <v>0</v>
      </c>
      <c r="BF315" s="2177"/>
      <c r="BG315" s="2177"/>
      <c r="BH315" s="2186">
        <f t="shared" si="466"/>
        <v>0</v>
      </c>
      <c r="BI315" s="2177"/>
      <c r="BJ315" s="2177"/>
      <c r="BK315" s="2186">
        <f t="shared" si="467"/>
        <v>0</v>
      </c>
      <c r="BL315" s="2177"/>
      <c r="BM315" s="2177"/>
      <c r="BN315" s="2186">
        <f t="shared" si="468"/>
        <v>0</v>
      </c>
      <c r="BO315" s="2177"/>
      <c r="BP315" s="2177"/>
      <c r="BQ315" s="2186">
        <f t="shared" si="469"/>
        <v>0</v>
      </c>
    </row>
    <row r="316" spans="3:69" s="2087" customFormat="1" hidden="1">
      <c r="C316" s="2285" t="s">
        <v>2447</v>
      </c>
      <c r="D316" s="2292" t="s">
        <v>2439</v>
      </c>
      <c r="E316" s="2284" t="s">
        <v>240</v>
      </c>
      <c r="F316" s="2176"/>
      <c r="G316" s="2177"/>
      <c r="H316" s="2177"/>
      <c r="I316" s="2178">
        <f t="shared" si="450"/>
        <v>0</v>
      </c>
      <c r="J316" s="2176"/>
      <c r="K316" s="2252">
        <f t="shared" si="489"/>
        <v>0</v>
      </c>
      <c r="L316" s="2252">
        <f t="shared" si="489"/>
        <v>0</v>
      </c>
      <c r="M316" s="2255">
        <f t="shared" si="451"/>
        <v>0</v>
      </c>
      <c r="N316" s="2177"/>
      <c r="O316" s="2177"/>
      <c r="P316" s="2178">
        <f t="shared" si="452"/>
        <v>0</v>
      </c>
      <c r="Q316" s="2177"/>
      <c r="R316" s="2177"/>
      <c r="S316" s="2178">
        <f t="shared" si="484"/>
        <v>0</v>
      </c>
      <c r="T316" s="2251">
        <f t="shared" si="485"/>
        <v>0</v>
      </c>
      <c r="U316" s="2252">
        <f t="shared" si="485"/>
        <v>0</v>
      </c>
      <c r="V316" s="2253">
        <f t="shared" si="454"/>
        <v>0</v>
      </c>
      <c r="W316" s="2182"/>
      <c r="X316" s="2177"/>
      <c r="Y316" s="2183">
        <f t="shared" si="486"/>
        <v>0</v>
      </c>
      <c r="Z316" s="2254">
        <f t="shared" si="487"/>
        <v>0</v>
      </c>
      <c r="AA316" s="2252">
        <f t="shared" si="487"/>
        <v>0</v>
      </c>
      <c r="AB316" s="2255">
        <f t="shared" si="456"/>
        <v>0</v>
      </c>
      <c r="AC316" s="2177"/>
      <c r="AD316" s="2177"/>
      <c r="AE316" s="2178">
        <f t="shared" si="474"/>
        <v>0</v>
      </c>
      <c r="AF316" s="2281"/>
      <c r="AG316" s="2114"/>
      <c r="AH316" s="2177"/>
      <c r="AI316" s="2177"/>
      <c r="AJ316" s="2186">
        <f t="shared" si="458"/>
        <v>0</v>
      </c>
      <c r="AK316" s="2177"/>
      <c r="AL316" s="2177"/>
      <c r="AM316" s="2186">
        <f t="shared" si="459"/>
        <v>0</v>
      </c>
      <c r="AN316" s="2177"/>
      <c r="AO316" s="2177"/>
      <c r="AP316" s="2186">
        <f t="shared" si="460"/>
        <v>0</v>
      </c>
      <c r="AQ316" s="2177"/>
      <c r="AR316" s="2177"/>
      <c r="AS316" s="2186">
        <f t="shared" si="461"/>
        <v>0</v>
      </c>
      <c r="AT316" s="2177"/>
      <c r="AU316" s="2177"/>
      <c r="AV316" s="2186">
        <f t="shared" si="462"/>
        <v>0</v>
      </c>
      <c r="AW316" s="2177"/>
      <c r="AX316" s="2177"/>
      <c r="AY316" s="2186">
        <f t="shared" si="463"/>
        <v>0</v>
      </c>
      <c r="AZ316" s="2177"/>
      <c r="BA316" s="2177"/>
      <c r="BB316" s="2186">
        <f t="shared" si="464"/>
        <v>0</v>
      </c>
      <c r="BC316" s="2177"/>
      <c r="BD316" s="2177"/>
      <c r="BE316" s="2186">
        <f t="shared" si="465"/>
        <v>0</v>
      </c>
      <c r="BF316" s="2177"/>
      <c r="BG316" s="2177"/>
      <c r="BH316" s="2186">
        <f t="shared" si="466"/>
        <v>0</v>
      </c>
      <c r="BI316" s="2177"/>
      <c r="BJ316" s="2177"/>
      <c r="BK316" s="2186">
        <f t="shared" si="467"/>
        <v>0</v>
      </c>
      <c r="BL316" s="2177"/>
      <c r="BM316" s="2177"/>
      <c r="BN316" s="2186">
        <f t="shared" si="468"/>
        <v>0</v>
      </c>
      <c r="BO316" s="2177"/>
      <c r="BP316" s="2177"/>
      <c r="BQ316" s="2186">
        <f t="shared" si="469"/>
        <v>0</v>
      </c>
    </row>
    <row r="317" spans="3:69" s="2087" customFormat="1" hidden="1">
      <c r="C317" s="2285" t="s">
        <v>2448</v>
      </c>
      <c r="D317" s="2287" t="s">
        <v>2229</v>
      </c>
      <c r="E317" s="2284" t="s">
        <v>240</v>
      </c>
      <c r="F317" s="2176"/>
      <c r="G317" s="2177"/>
      <c r="H317" s="2177"/>
      <c r="I317" s="2178">
        <f t="shared" si="450"/>
        <v>0</v>
      </c>
      <c r="J317" s="2176"/>
      <c r="K317" s="2252">
        <f t="shared" si="489"/>
        <v>0</v>
      </c>
      <c r="L317" s="2252">
        <f t="shared" si="489"/>
        <v>0</v>
      </c>
      <c r="M317" s="2255">
        <f t="shared" si="451"/>
        <v>0</v>
      </c>
      <c r="N317" s="2177"/>
      <c r="O317" s="2177"/>
      <c r="P317" s="2178">
        <f t="shared" si="452"/>
        <v>0</v>
      </c>
      <c r="Q317" s="2177"/>
      <c r="R317" s="2177"/>
      <c r="S317" s="2178">
        <f t="shared" si="484"/>
        <v>0</v>
      </c>
      <c r="T317" s="2251">
        <f t="shared" si="485"/>
        <v>0</v>
      </c>
      <c r="U317" s="2252">
        <f t="shared" si="485"/>
        <v>0</v>
      </c>
      <c r="V317" s="2253">
        <f t="shared" si="454"/>
        <v>0</v>
      </c>
      <c r="W317" s="2182"/>
      <c r="X317" s="2177"/>
      <c r="Y317" s="2183">
        <f t="shared" si="486"/>
        <v>0</v>
      </c>
      <c r="Z317" s="2254">
        <f t="shared" si="487"/>
        <v>0</v>
      </c>
      <c r="AA317" s="2252">
        <f t="shared" si="487"/>
        <v>0</v>
      </c>
      <c r="AB317" s="2255">
        <f t="shared" si="456"/>
        <v>0</v>
      </c>
      <c r="AC317" s="2177"/>
      <c r="AD317" s="2177"/>
      <c r="AE317" s="2178">
        <f t="shared" si="474"/>
        <v>0</v>
      </c>
      <c r="AF317" s="2281"/>
      <c r="AG317" s="2114"/>
      <c r="AH317" s="2177"/>
      <c r="AI317" s="2177"/>
      <c r="AJ317" s="2186">
        <f t="shared" si="458"/>
        <v>0</v>
      </c>
      <c r="AK317" s="2177"/>
      <c r="AL317" s="2177"/>
      <c r="AM317" s="2186">
        <f t="shared" si="459"/>
        <v>0</v>
      </c>
      <c r="AN317" s="2177"/>
      <c r="AO317" s="2177"/>
      <c r="AP317" s="2186">
        <f t="shared" si="460"/>
        <v>0</v>
      </c>
      <c r="AQ317" s="2177"/>
      <c r="AR317" s="2177"/>
      <c r="AS317" s="2186">
        <f t="shared" si="461"/>
        <v>0</v>
      </c>
      <c r="AT317" s="2177"/>
      <c r="AU317" s="2177"/>
      <c r="AV317" s="2186">
        <f t="shared" si="462"/>
        <v>0</v>
      </c>
      <c r="AW317" s="2177"/>
      <c r="AX317" s="2177"/>
      <c r="AY317" s="2186">
        <f t="shared" si="463"/>
        <v>0</v>
      </c>
      <c r="AZ317" s="2177"/>
      <c r="BA317" s="2177"/>
      <c r="BB317" s="2186">
        <f t="shared" si="464"/>
        <v>0</v>
      </c>
      <c r="BC317" s="2177"/>
      <c r="BD317" s="2177"/>
      <c r="BE317" s="2186">
        <f t="shared" si="465"/>
        <v>0</v>
      </c>
      <c r="BF317" s="2177"/>
      <c r="BG317" s="2177"/>
      <c r="BH317" s="2186">
        <f t="shared" si="466"/>
        <v>0</v>
      </c>
      <c r="BI317" s="2177"/>
      <c r="BJ317" s="2177"/>
      <c r="BK317" s="2186">
        <f t="shared" si="467"/>
        <v>0</v>
      </c>
      <c r="BL317" s="2177"/>
      <c r="BM317" s="2177"/>
      <c r="BN317" s="2186">
        <f t="shared" si="468"/>
        <v>0</v>
      </c>
      <c r="BO317" s="2177"/>
      <c r="BP317" s="2177"/>
      <c r="BQ317" s="2186">
        <f t="shared" si="469"/>
        <v>0</v>
      </c>
    </row>
    <row r="318" spans="3:69" s="2159" customFormat="1" hidden="1">
      <c r="C318" s="2256" t="s">
        <v>2449</v>
      </c>
      <c r="D318" s="2294" t="s">
        <v>2094</v>
      </c>
      <c r="E318" s="2297" t="s">
        <v>240</v>
      </c>
      <c r="F318" s="2162"/>
      <c r="G318" s="2259">
        <f>G322+G324+G323+G325</f>
        <v>0</v>
      </c>
      <c r="H318" s="2259">
        <f>H322+H324+H323+H325</f>
        <v>0</v>
      </c>
      <c r="I318" s="2164">
        <f t="shared" si="450"/>
        <v>0</v>
      </c>
      <c r="J318" s="2162"/>
      <c r="K318" s="2163">
        <f t="shared" si="489"/>
        <v>0</v>
      </c>
      <c r="L318" s="2163">
        <f t="shared" si="489"/>
        <v>0</v>
      </c>
      <c r="M318" s="2164">
        <f t="shared" si="451"/>
        <v>0</v>
      </c>
      <c r="N318" s="2163">
        <f>N322+N324+N323+N325</f>
        <v>0</v>
      </c>
      <c r="O318" s="2163">
        <f>O322+O324+O323+O325</f>
        <v>0</v>
      </c>
      <c r="P318" s="2164">
        <f t="shared" si="452"/>
        <v>0</v>
      </c>
      <c r="Q318" s="2163">
        <f>Q322+Q324+Q323+Q325</f>
        <v>0</v>
      </c>
      <c r="R318" s="2163">
        <f>R322+R324+R323+R325</f>
        <v>0</v>
      </c>
      <c r="S318" s="2164">
        <f t="shared" si="484"/>
        <v>0</v>
      </c>
      <c r="T318" s="2167">
        <f t="shared" ref="T318:U319" si="490">N318+Q318</f>
        <v>0</v>
      </c>
      <c r="U318" s="2163">
        <f t="shared" si="490"/>
        <v>0</v>
      </c>
      <c r="V318" s="2166">
        <f t="shared" si="454"/>
        <v>0</v>
      </c>
      <c r="W318" s="2168">
        <f>W322+W324+W323+W325</f>
        <v>0</v>
      </c>
      <c r="X318" s="2163">
        <f>X322+X324+X323+X325</f>
        <v>0</v>
      </c>
      <c r="Y318" s="2169">
        <f t="shared" si="486"/>
        <v>0</v>
      </c>
      <c r="Z318" s="2165">
        <f t="shared" ref="Z318:AA319" si="491">T318+W318</f>
        <v>0</v>
      </c>
      <c r="AA318" s="2163">
        <f t="shared" si="491"/>
        <v>0</v>
      </c>
      <c r="AB318" s="2164">
        <f t="shared" si="456"/>
        <v>0</v>
      </c>
      <c r="AC318" s="2163">
        <f>AC322+AC324+AC323+AC325</f>
        <v>0</v>
      </c>
      <c r="AD318" s="2163">
        <f>AD322+AD324+AD323+AD325</f>
        <v>0</v>
      </c>
      <c r="AE318" s="2164">
        <f t="shared" si="474"/>
        <v>0</v>
      </c>
      <c r="AF318" s="2281"/>
      <c r="AG318" s="2158"/>
      <c r="AH318" s="2171">
        <f>AH322+AH324+AH323+AH325</f>
        <v>0</v>
      </c>
      <c r="AI318" s="2171">
        <f>AI322+AI324+AI323+AI325</f>
        <v>0</v>
      </c>
      <c r="AJ318" s="2172">
        <f t="shared" si="458"/>
        <v>0</v>
      </c>
      <c r="AK318" s="2171">
        <f>AK322+AK324+AK323+AK325</f>
        <v>0</v>
      </c>
      <c r="AL318" s="2171">
        <f>AL322+AL324+AL323+AL325</f>
        <v>0</v>
      </c>
      <c r="AM318" s="2172">
        <f t="shared" si="459"/>
        <v>0</v>
      </c>
      <c r="AN318" s="2171">
        <f>AN322+AN324+AN323+AN325</f>
        <v>0</v>
      </c>
      <c r="AO318" s="2171">
        <f>AO322+AO324+AO323+AO325</f>
        <v>0</v>
      </c>
      <c r="AP318" s="2172">
        <f t="shared" si="460"/>
        <v>0</v>
      </c>
      <c r="AQ318" s="2171">
        <f>AQ322+AQ324+AQ323+AQ325</f>
        <v>0</v>
      </c>
      <c r="AR318" s="2171">
        <f>AR322+AR324+AR323+AR325</f>
        <v>0</v>
      </c>
      <c r="AS318" s="2172">
        <f t="shared" si="461"/>
        <v>0</v>
      </c>
      <c r="AT318" s="2171">
        <f>AT322+AT324+AT323+AT325</f>
        <v>0</v>
      </c>
      <c r="AU318" s="2171">
        <f>AU322+AU324+AU323+AU325</f>
        <v>0</v>
      </c>
      <c r="AV318" s="2172">
        <f t="shared" si="462"/>
        <v>0</v>
      </c>
      <c r="AW318" s="2171">
        <f>AW322+AW324+AW323+AW325</f>
        <v>0</v>
      </c>
      <c r="AX318" s="2171">
        <f>AX322+AX324+AX323+AX325</f>
        <v>0</v>
      </c>
      <c r="AY318" s="2172">
        <f t="shared" si="463"/>
        <v>0</v>
      </c>
      <c r="AZ318" s="2171">
        <f>AZ322+AZ324+AZ323+AZ325</f>
        <v>0</v>
      </c>
      <c r="BA318" s="2171">
        <f>BA322+BA324+BA323+BA325</f>
        <v>0</v>
      </c>
      <c r="BB318" s="2172">
        <f t="shared" si="464"/>
        <v>0</v>
      </c>
      <c r="BC318" s="2171">
        <f>BC322+BC324+BC323+BC325</f>
        <v>0</v>
      </c>
      <c r="BD318" s="2171">
        <f>BD322+BD324+BD323+BD325</f>
        <v>0</v>
      </c>
      <c r="BE318" s="2172">
        <f t="shared" si="465"/>
        <v>0</v>
      </c>
      <c r="BF318" s="2171">
        <f>BF322+BF324+BF323+BF325</f>
        <v>0</v>
      </c>
      <c r="BG318" s="2171">
        <f>BG322+BG324+BG323+BG325</f>
        <v>0</v>
      </c>
      <c r="BH318" s="2172">
        <f t="shared" si="466"/>
        <v>0</v>
      </c>
      <c r="BI318" s="2171">
        <f>BI322+BI324+BI323+BI325</f>
        <v>0</v>
      </c>
      <c r="BJ318" s="2171">
        <f>BJ322+BJ324+BJ323+BJ325</f>
        <v>0</v>
      </c>
      <c r="BK318" s="2172">
        <f t="shared" si="467"/>
        <v>0</v>
      </c>
      <c r="BL318" s="2171">
        <f>BL322+BL324+BL323+BL325</f>
        <v>0</v>
      </c>
      <c r="BM318" s="2171">
        <f>BM322+BM324+BM323+BM325</f>
        <v>0</v>
      </c>
      <c r="BN318" s="2172">
        <f t="shared" si="468"/>
        <v>0</v>
      </c>
      <c r="BO318" s="2171">
        <f>BO322+BO324+BO323+BO325</f>
        <v>0</v>
      </c>
      <c r="BP318" s="2171">
        <f>BP322+BP324+BP323+BP325</f>
        <v>0</v>
      </c>
      <c r="BQ318" s="2172">
        <f t="shared" si="469"/>
        <v>0</v>
      </c>
    </row>
    <row r="319" spans="3:69" s="2087" customFormat="1" hidden="1">
      <c r="C319" s="2285" t="s">
        <v>2450</v>
      </c>
      <c r="D319" s="2296" t="s">
        <v>2211</v>
      </c>
      <c r="E319" s="2284" t="s">
        <v>240</v>
      </c>
      <c r="F319" s="2176"/>
      <c r="G319" s="2177"/>
      <c r="H319" s="2177"/>
      <c r="I319" s="2178">
        <f t="shared" si="450"/>
        <v>0</v>
      </c>
      <c r="J319" s="2176"/>
      <c r="K319" s="2252">
        <f t="shared" si="489"/>
        <v>0</v>
      </c>
      <c r="L319" s="2252">
        <f t="shared" si="489"/>
        <v>0</v>
      </c>
      <c r="M319" s="2255">
        <f t="shared" si="451"/>
        <v>0</v>
      </c>
      <c r="N319" s="2177"/>
      <c r="O319" s="2177"/>
      <c r="P319" s="2178">
        <f t="shared" si="452"/>
        <v>0</v>
      </c>
      <c r="Q319" s="2177"/>
      <c r="R319" s="2177"/>
      <c r="S319" s="2178">
        <f t="shared" si="484"/>
        <v>0</v>
      </c>
      <c r="T319" s="2251">
        <f t="shared" si="490"/>
        <v>0</v>
      </c>
      <c r="U319" s="2252">
        <f t="shared" si="490"/>
        <v>0</v>
      </c>
      <c r="V319" s="2253">
        <f t="shared" si="454"/>
        <v>0</v>
      </c>
      <c r="W319" s="2182"/>
      <c r="X319" s="2177"/>
      <c r="Y319" s="2183">
        <f t="shared" si="486"/>
        <v>0</v>
      </c>
      <c r="Z319" s="2254">
        <f t="shared" si="491"/>
        <v>0</v>
      </c>
      <c r="AA319" s="2252">
        <f t="shared" si="491"/>
        <v>0</v>
      </c>
      <c r="AB319" s="2255">
        <f t="shared" si="456"/>
        <v>0</v>
      </c>
      <c r="AC319" s="2177"/>
      <c r="AD319" s="2177"/>
      <c r="AE319" s="2178">
        <f t="shared" si="474"/>
        <v>0</v>
      </c>
      <c r="AF319" s="2281"/>
      <c r="AG319" s="2114"/>
      <c r="AH319" s="2177"/>
      <c r="AI319" s="2177"/>
      <c r="AJ319" s="2186">
        <f t="shared" si="458"/>
        <v>0</v>
      </c>
      <c r="AK319" s="2177"/>
      <c r="AL319" s="2177"/>
      <c r="AM319" s="2186">
        <f t="shared" si="459"/>
        <v>0</v>
      </c>
      <c r="AN319" s="2177"/>
      <c r="AO319" s="2177"/>
      <c r="AP319" s="2186">
        <f t="shared" si="460"/>
        <v>0</v>
      </c>
      <c r="AQ319" s="2177"/>
      <c r="AR319" s="2177"/>
      <c r="AS319" s="2186">
        <f t="shared" si="461"/>
        <v>0</v>
      </c>
      <c r="AT319" s="2177"/>
      <c r="AU319" s="2177"/>
      <c r="AV319" s="2186">
        <f t="shared" si="462"/>
        <v>0</v>
      </c>
      <c r="AW319" s="2177"/>
      <c r="AX319" s="2177"/>
      <c r="AY319" s="2186">
        <f t="shared" si="463"/>
        <v>0</v>
      </c>
      <c r="AZ319" s="2177"/>
      <c r="BA319" s="2177"/>
      <c r="BB319" s="2186">
        <f t="shared" si="464"/>
        <v>0</v>
      </c>
      <c r="BC319" s="2177"/>
      <c r="BD319" s="2177"/>
      <c r="BE319" s="2186">
        <f t="shared" si="465"/>
        <v>0</v>
      </c>
      <c r="BF319" s="2177"/>
      <c r="BG319" s="2177"/>
      <c r="BH319" s="2186">
        <f t="shared" si="466"/>
        <v>0</v>
      </c>
      <c r="BI319" s="2177"/>
      <c r="BJ319" s="2177"/>
      <c r="BK319" s="2186">
        <f t="shared" si="467"/>
        <v>0</v>
      </c>
      <c r="BL319" s="2177"/>
      <c r="BM319" s="2177"/>
      <c r="BN319" s="2186">
        <f t="shared" si="468"/>
        <v>0</v>
      </c>
      <c r="BO319" s="2177"/>
      <c r="BP319" s="2177"/>
      <c r="BQ319" s="2186">
        <f t="shared" si="469"/>
        <v>0</v>
      </c>
    </row>
    <row r="320" spans="3:69" s="2087" customFormat="1" hidden="1">
      <c r="C320" s="2285" t="s">
        <v>2451</v>
      </c>
      <c r="D320" s="2292" t="s">
        <v>2432</v>
      </c>
      <c r="E320" s="2284" t="s">
        <v>420</v>
      </c>
      <c r="F320" s="2176"/>
      <c r="G320" s="2177"/>
      <c r="H320" s="2177"/>
      <c r="I320" s="2178">
        <f t="shared" si="450"/>
        <v>0</v>
      </c>
      <c r="J320" s="2176"/>
      <c r="K320" s="2252">
        <f>(N320+Q320+W320+AC320)/4</f>
        <v>0</v>
      </c>
      <c r="L320" s="2252">
        <f>(O320+R320+X320+AD320)/4</f>
        <v>0</v>
      </c>
      <c r="M320" s="2255">
        <f t="shared" si="451"/>
        <v>0</v>
      </c>
      <c r="N320" s="2177"/>
      <c r="O320" s="2177"/>
      <c r="P320" s="2178">
        <f t="shared" si="452"/>
        <v>0</v>
      </c>
      <c r="Q320" s="2177"/>
      <c r="R320" s="2177"/>
      <c r="S320" s="2178">
        <f t="shared" si="484"/>
        <v>0</v>
      </c>
      <c r="T320" s="2251">
        <f>(N320+Q320)/2</f>
        <v>0</v>
      </c>
      <c r="U320" s="2252">
        <f>(O320+R320)/2</f>
        <v>0</v>
      </c>
      <c r="V320" s="2253">
        <f t="shared" si="454"/>
        <v>0</v>
      </c>
      <c r="W320" s="2182"/>
      <c r="X320" s="2177"/>
      <c r="Y320" s="2183">
        <f t="shared" si="486"/>
        <v>0</v>
      </c>
      <c r="Z320" s="2254">
        <f>(N320+Q320+W320)/3</f>
        <v>0</v>
      </c>
      <c r="AA320" s="2252">
        <f>(O320+R320+X320)/3</f>
        <v>0</v>
      </c>
      <c r="AB320" s="2255">
        <f t="shared" si="456"/>
        <v>0</v>
      </c>
      <c r="AC320" s="2177"/>
      <c r="AD320" s="2177"/>
      <c r="AE320" s="2178">
        <f t="shared" si="474"/>
        <v>0</v>
      </c>
      <c r="AF320" s="2281"/>
      <c r="AG320" s="2114"/>
      <c r="AH320" s="2177"/>
      <c r="AI320" s="2177"/>
      <c r="AJ320" s="2186">
        <f t="shared" si="458"/>
        <v>0</v>
      </c>
      <c r="AK320" s="2177"/>
      <c r="AL320" s="2177"/>
      <c r="AM320" s="2186">
        <f t="shared" si="459"/>
        <v>0</v>
      </c>
      <c r="AN320" s="2177"/>
      <c r="AO320" s="2177"/>
      <c r="AP320" s="2186">
        <f t="shared" si="460"/>
        <v>0</v>
      </c>
      <c r="AQ320" s="2177"/>
      <c r="AR320" s="2177"/>
      <c r="AS320" s="2186">
        <f t="shared" si="461"/>
        <v>0</v>
      </c>
      <c r="AT320" s="2177"/>
      <c r="AU320" s="2177"/>
      <c r="AV320" s="2186">
        <f t="shared" si="462"/>
        <v>0</v>
      </c>
      <c r="AW320" s="2177"/>
      <c r="AX320" s="2177"/>
      <c r="AY320" s="2186">
        <f t="shared" si="463"/>
        <v>0</v>
      </c>
      <c r="AZ320" s="2177"/>
      <c r="BA320" s="2177"/>
      <c r="BB320" s="2186">
        <f t="shared" si="464"/>
        <v>0</v>
      </c>
      <c r="BC320" s="2177"/>
      <c r="BD320" s="2177"/>
      <c r="BE320" s="2186">
        <f t="shared" si="465"/>
        <v>0</v>
      </c>
      <c r="BF320" s="2177"/>
      <c r="BG320" s="2177"/>
      <c r="BH320" s="2186">
        <f t="shared" si="466"/>
        <v>0</v>
      </c>
      <c r="BI320" s="2177"/>
      <c r="BJ320" s="2177"/>
      <c r="BK320" s="2186">
        <f t="shared" si="467"/>
        <v>0</v>
      </c>
      <c r="BL320" s="2177"/>
      <c r="BM320" s="2177"/>
      <c r="BN320" s="2186">
        <f t="shared" si="468"/>
        <v>0</v>
      </c>
      <c r="BO320" s="2177"/>
      <c r="BP320" s="2177"/>
      <c r="BQ320" s="2186">
        <f t="shared" si="469"/>
        <v>0</v>
      </c>
    </row>
    <row r="321" spans="3:69" s="2087" customFormat="1" hidden="1">
      <c r="C321" s="2285" t="s">
        <v>2452</v>
      </c>
      <c r="D321" s="2287" t="s">
        <v>2229</v>
      </c>
      <c r="E321" s="2284" t="s">
        <v>420</v>
      </c>
      <c r="F321" s="2176"/>
      <c r="G321" s="2177"/>
      <c r="H321" s="2177"/>
      <c r="I321" s="2178">
        <f t="shared" si="450"/>
        <v>0</v>
      </c>
      <c r="J321" s="2176"/>
      <c r="K321" s="2252">
        <f>(N321+Q321+W321+AC321)/4</f>
        <v>0</v>
      </c>
      <c r="L321" s="2252">
        <f>(O321+R321+X321+AD321)/4</f>
        <v>0</v>
      </c>
      <c r="M321" s="2255">
        <f t="shared" si="451"/>
        <v>0</v>
      </c>
      <c r="N321" s="2177"/>
      <c r="O321" s="2177"/>
      <c r="P321" s="2178">
        <f t="shared" si="452"/>
        <v>0</v>
      </c>
      <c r="Q321" s="2177"/>
      <c r="R321" s="2177"/>
      <c r="S321" s="2178">
        <f t="shared" si="484"/>
        <v>0</v>
      </c>
      <c r="T321" s="2251">
        <f>(N321+Q321)/2</f>
        <v>0</v>
      </c>
      <c r="U321" s="2252">
        <f>(O321+R321)/2</f>
        <v>0</v>
      </c>
      <c r="V321" s="2253">
        <f t="shared" si="454"/>
        <v>0</v>
      </c>
      <c r="W321" s="2182"/>
      <c r="X321" s="2177"/>
      <c r="Y321" s="2183">
        <f t="shared" si="486"/>
        <v>0</v>
      </c>
      <c r="Z321" s="2254">
        <f>(N321+Q321+W321)/3</f>
        <v>0</v>
      </c>
      <c r="AA321" s="2252">
        <f>(O321+R321+X321)/3</f>
        <v>0</v>
      </c>
      <c r="AB321" s="2255">
        <f t="shared" si="456"/>
        <v>0</v>
      </c>
      <c r="AC321" s="2177"/>
      <c r="AD321" s="2177"/>
      <c r="AE321" s="2178">
        <f t="shared" si="474"/>
        <v>0</v>
      </c>
      <c r="AF321" s="2281"/>
      <c r="AG321" s="2114"/>
      <c r="AH321" s="2177"/>
      <c r="AI321" s="2177"/>
      <c r="AJ321" s="2186">
        <f t="shared" si="458"/>
        <v>0</v>
      </c>
      <c r="AK321" s="2177"/>
      <c r="AL321" s="2177"/>
      <c r="AM321" s="2186">
        <f t="shared" si="459"/>
        <v>0</v>
      </c>
      <c r="AN321" s="2177"/>
      <c r="AO321" s="2177"/>
      <c r="AP321" s="2186">
        <f t="shared" si="460"/>
        <v>0</v>
      </c>
      <c r="AQ321" s="2177"/>
      <c r="AR321" s="2177"/>
      <c r="AS321" s="2186">
        <f t="shared" si="461"/>
        <v>0</v>
      </c>
      <c r="AT321" s="2177"/>
      <c r="AU321" s="2177"/>
      <c r="AV321" s="2186">
        <f t="shared" si="462"/>
        <v>0</v>
      </c>
      <c r="AW321" s="2177"/>
      <c r="AX321" s="2177"/>
      <c r="AY321" s="2186">
        <f t="shared" si="463"/>
        <v>0</v>
      </c>
      <c r="AZ321" s="2177"/>
      <c r="BA321" s="2177"/>
      <c r="BB321" s="2186">
        <f t="shared" si="464"/>
        <v>0</v>
      </c>
      <c r="BC321" s="2177"/>
      <c r="BD321" s="2177"/>
      <c r="BE321" s="2186">
        <f t="shared" si="465"/>
        <v>0</v>
      </c>
      <c r="BF321" s="2177"/>
      <c r="BG321" s="2177"/>
      <c r="BH321" s="2186">
        <f t="shared" si="466"/>
        <v>0</v>
      </c>
      <c r="BI321" s="2177"/>
      <c r="BJ321" s="2177"/>
      <c r="BK321" s="2186">
        <f t="shared" si="467"/>
        <v>0</v>
      </c>
      <c r="BL321" s="2177"/>
      <c r="BM321" s="2177"/>
      <c r="BN321" s="2186">
        <f t="shared" si="468"/>
        <v>0</v>
      </c>
      <c r="BO321" s="2177"/>
      <c r="BP321" s="2177"/>
      <c r="BQ321" s="2186">
        <f t="shared" si="469"/>
        <v>0</v>
      </c>
    </row>
    <row r="322" spans="3:69" s="2087" customFormat="1" hidden="1">
      <c r="C322" s="2285" t="s">
        <v>2453</v>
      </c>
      <c r="D322" s="2292" t="s">
        <v>2436</v>
      </c>
      <c r="E322" s="2284" t="s">
        <v>240</v>
      </c>
      <c r="F322" s="2176"/>
      <c r="G322" s="2177"/>
      <c r="H322" s="2177"/>
      <c r="I322" s="2178">
        <f t="shared" si="450"/>
        <v>0</v>
      </c>
      <c r="J322" s="2176"/>
      <c r="K322" s="2252">
        <f t="shared" ref="K322:L327" si="492">N322+Q322+W322+AC322</f>
        <v>0</v>
      </c>
      <c r="L322" s="2252">
        <f t="shared" si="492"/>
        <v>0</v>
      </c>
      <c r="M322" s="2255">
        <f t="shared" si="451"/>
        <v>0</v>
      </c>
      <c r="N322" s="2177"/>
      <c r="O322" s="2177"/>
      <c r="P322" s="2178">
        <f t="shared" si="452"/>
        <v>0</v>
      </c>
      <c r="Q322" s="2177"/>
      <c r="R322" s="2177"/>
      <c r="S322" s="2178">
        <f t="shared" si="484"/>
        <v>0</v>
      </c>
      <c r="T322" s="2251">
        <f t="shared" ref="T322:U327" si="493">N322+Q322</f>
        <v>0</v>
      </c>
      <c r="U322" s="2252">
        <f t="shared" si="493"/>
        <v>0</v>
      </c>
      <c r="V322" s="2253">
        <f t="shared" si="454"/>
        <v>0</v>
      </c>
      <c r="W322" s="2182"/>
      <c r="X322" s="2177"/>
      <c r="Y322" s="2183">
        <f t="shared" si="486"/>
        <v>0</v>
      </c>
      <c r="Z322" s="2254">
        <f t="shared" ref="Z322:AA327" si="494">T322+W322</f>
        <v>0</v>
      </c>
      <c r="AA322" s="2252">
        <f t="shared" si="494"/>
        <v>0</v>
      </c>
      <c r="AB322" s="2255">
        <f t="shared" si="456"/>
        <v>0</v>
      </c>
      <c r="AC322" s="2177"/>
      <c r="AD322" s="2177"/>
      <c r="AE322" s="2178">
        <f t="shared" si="474"/>
        <v>0</v>
      </c>
      <c r="AF322" s="2281"/>
      <c r="AG322" s="2114"/>
      <c r="AH322" s="2177"/>
      <c r="AI322" s="2177"/>
      <c r="AJ322" s="2186">
        <f t="shared" si="458"/>
        <v>0</v>
      </c>
      <c r="AK322" s="2177"/>
      <c r="AL322" s="2177"/>
      <c r="AM322" s="2186">
        <f t="shared" si="459"/>
        <v>0</v>
      </c>
      <c r="AN322" s="2177"/>
      <c r="AO322" s="2177"/>
      <c r="AP322" s="2186">
        <f t="shared" si="460"/>
        <v>0</v>
      </c>
      <c r="AQ322" s="2177"/>
      <c r="AR322" s="2177"/>
      <c r="AS322" s="2186">
        <f t="shared" si="461"/>
        <v>0</v>
      </c>
      <c r="AT322" s="2177"/>
      <c r="AU322" s="2177"/>
      <c r="AV322" s="2186">
        <f t="shared" si="462"/>
        <v>0</v>
      </c>
      <c r="AW322" s="2177"/>
      <c r="AX322" s="2177"/>
      <c r="AY322" s="2186">
        <f t="shared" si="463"/>
        <v>0</v>
      </c>
      <c r="AZ322" s="2177"/>
      <c r="BA322" s="2177"/>
      <c r="BB322" s="2186">
        <f t="shared" si="464"/>
        <v>0</v>
      </c>
      <c r="BC322" s="2177"/>
      <c r="BD322" s="2177"/>
      <c r="BE322" s="2186">
        <f t="shared" si="465"/>
        <v>0</v>
      </c>
      <c r="BF322" s="2177"/>
      <c r="BG322" s="2177"/>
      <c r="BH322" s="2186">
        <f t="shared" si="466"/>
        <v>0</v>
      </c>
      <c r="BI322" s="2177"/>
      <c r="BJ322" s="2177"/>
      <c r="BK322" s="2186">
        <f t="shared" si="467"/>
        <v>0</v>
      </c>
      <c r="BL322" s="2177"/>
      <c r="BM322" s="2177"/>
      <c r="BN322" s="2186">
        <f t="shared" si="468"/>
        <v>0</v>
      </c>
      <c r="BO322" s="2177"/>
      <c r="BP322" s="2177"/>
      <c r="BQ322" s="2186">
        <f t="shared" si="469"/>
        <v>0</v>
      </c>
    </row>
    <row r="323" spans="3:69" s="2087" customFormat="1" hidden="1">
      <c r="C323" s="2285" t="s">
        <v>2454</v>
      </c>
      <c r="D323" s="2287" t="s">
        <v>2229</v>
      </c>
      <c r="E323" s="2284" t="s">
        <v>240</v>
      </c>
      <c r="F323" s="2176"/>
      <c r="G323" s="2177"/>
      <c r="H323" s="2177"/>
      <c r="I323" s="2178">
        <f t="shared" si="450"/>
        <v>0</v>
      </c>
      <c r="J323" s="2176"/>
      <c r="K323" s="2252">
        <f t="shared" si="492"/>
        <v>0</v>
      </c>
      <c r="L323" s="2252">
        <f t="shared" si="492"/>
        <v>0</v>
      </c>
      <c r="M323" s="2255">
        <f t="shared" si="451"/>
        <v>0</v>
      </c>
      <c r="N323" s="2177"/>
      <c r="O323" s="2177"/>
      <c r="P323" s="2178">
        <f t="shared" si="452"/>
        <v>0</v>
      </c>
      <c r="Q323" s="2177"/>
      <c r="R323" s="2177"/>
      <c r="S323" s="2178">
        <f t="shared" si="484"/>
        <v>0</v>
      </c>
      <c r="T323" s="2251">
        <f t="shared" si="493"/>
        <v>0</v>
      </c>
      <c r="U323" s="2252">
        <f t="shared" si="493"/>
        <v>0</v>
      </c>
      <c r="V323" s="2253">
        <f t="shared" si="454"/>
        <v>0</v>
      </c>
      <c r="W323" s="2182"/>
      <c r="X323" s="2177"/>
      <c r="Y323" s="2183">
        <f t="shared" si="486"/>
        <v>0</v>
      </c>
      <c r="Z323" s="2254">
        <f t="shared" si="494"/>
        <v>0</v>
      </c>
      <c r="AA323" s="2252">
        <f t="shared" si="494"/>
        <v>0</v>
      </c>
      <c r="AB323" s="2255">
        <f t="shared" si="456"/>
        <v>0</v>
      </c>
      <c r="AC323" s="2177"/>
      <c r="AD323" s="2177"/>
      <c r="AE323" s="2178">
        <f t="shared" si="474"/>
        <v>0</v>
      </c>
      <c r="AF323" s="2281"/>
      <c r="AG323" s="2114"/>
      <c r="AH323" s="2177"/>
      <c r="AI323" s="2177"/>
      <c r="AJ323" s="2186">
        <f t="shared" si="458"/>
        <v>0</v>
      </c>
      <c r="AK323" s="2177"/>
      <c r="AL323" s="2177"/>
      <c r="AM323" s="2186">
        <f t="shared" si="459"/>
        <v>0</v>
      </c>
      <c r="AN323" s="2177"/>
      <c r="AO323" s="2177"/>
      <c r="AP323" s="2186">
        <f t="shared" si="460"/>
        <v>0</v>
      </c>
      <c r="AQ323" s="2177"/>
      <c r="AR323" s="2177"/>
      <c r="AS323" s="2186">
        <f t="shared" si="461"/>
        <v>0</v>
      </c>
      <c r="AT323" s="2177"/>
      <c r="AU323" s="2177"/>
      <c r="AV323" s="2186">
        <f t="shared" si="462"/>
        <v>0</v>
      </c>
      <c r="AW323" s="2177"/>
      <c r="AX323" s="2177"/>
      <c r="AY323" s="2186">
        <f t="shared" si="463"/>
        <v>0</v>
      </c>
      <c r="AZ323" s="2177"/>
      <c r="BA323" s="2177"/>
      <c r="BB323" s="2186">
        <f t="shared" si="464"/>
        <v>0</v>
      </c>
      <c r="BC323" s="2177"/>
      <c r="BD323" s="2177"/>
      <c r="BE323" s="2186">
        <f t="shared" si="465"/>
        <v>0</v>
      </c>
      <c r="BF323" s="2177"/>
      <c r="BG323" s="2177"/>
      <c r="BH323" s="2186">
        <f t="shared" si="466"/>
        <v>0</v>
      </c>
      <c r="BI323" s="2177"/>
      <c r="BJ323" s="2177"/>
      <c r="BK323" s="2186">
        <f t="shared" si="467"/>
        <v>0</v>
      </c>
      <c r="BL323" s="2177"/>
      <c r="BM323" s="2177"/>
      <c r="BN323" s="2186">
        <f t="shared" si="468"/>
        <v>0</v>
      </c>
      <c r="BO323" s="2177"/>
      <c r="BP323" s="2177"/>
      <c r="BQ323" s="2186">
        <f t="shared" si="469"/>
        <v>0</v>
      </c>
    </row>
    <row r="324" spans="3:69" s="2087" customFormat="1" hidden="1">
      <c r="C324" s="2285" t="s">
        <v>2455</v>
      </c>
      <c r="D324" s="2292" t="s">
        <v>2439</v>
      </c>
      <c r="E324" s="2284" t="s">
        <v>240</v>
      </c>
      <c r="F324" s="2176"/>
      <c r="G324" s="2177"/>
      <c r="H324" s="2177"/>
      <c r="I324" s="2178">
        <f t="shared" si="450"/>
        <v>0</v>
      </c>
      <c r="J324" s="2176"/>
      <c r="K324" s="2252">
        <f t="shared" si="492"/>
        <v>0</v>
      </c>
      <c r="L324" s="2252">
        <f t="shared" si="492"/>
        <v>0</v>
      </c>
      <c r="M324" s="2255">
        <f t="shared" si="451"/>
        <v>0</v>
      </c>
      <c r="N324" s="2177"/>
      <c r="O324" s="2177"/>
      <c r="P324" s="2178">
        <f t="shared" si="452"/>
        <v>0</v>
      </c>
      <c r="Q324" s="2177"/>
      <c r="R324" s="2177"/>
      <c r="S324" s="2178">
        <f t="shared" si="484"/>
        <v>0</v>
      </c>
      <c r="T324" s="2251">
        <f t="shared" si="493"/>
        <v>0</v>
      </c>
      <c r="U324" s="2252">
        <f t="shared" si="493"/>
        <v>0</v>
      </c>
      <c r="V324" s="2253">
        <f t="shared" si="454"/>
        <v>0</v>
      </c>
      <c r="W324" s="2182"/>
      <c r="X324" s="2177"/>
      <c r="Y324" s="2183">
        <f t="shared" si="486"/>
        <v>0</v>
      </c>
      <c r="Z324" s="2254">
        <f t="shared" si="494"/>
        <v>0</v>
      </c>
      <c r="AA324" s="2252">
        <f t="shared" si="494"/>
        <v>0</v>
      </c>
      <c r="AB324" s="2255">
        <f t="shared" si="456"/>
        <v>0</v>
      </c>
      <c r="AC324" s="2177"/>
      <c r="AD324" s="2177"/>
      <c r="AE324" s="2178">
        <f t="shared" si="474"/>
        <v>0</v>
      </c>
      <c r="AF324" s="2281"/>
      <c r="AG324" s="2114"/>
      <c r="AH324" s="2177"/>
      <c r="AI324" s="2177"/>
      <c r="AJ324" s="2186">
        <f t="shared" si="458"/>
        <v>0</v>
      </c>
      <c r="AK324" s="2177"/>
      <c r="AL324" s="2177"/>
      <c r="AM324" s="2186">
        <f t="shared" si="459"/>
        <v>0</v>
      </c>
      <c r="AN324" s="2177"/>
      <c r="AO324" s="2177"/>
      <c r="AP324" s="2186">
        <f t="shared" si="460"/>
        <v>0</v>
      </c>
      <c r="AQ324" s="2177"/>
      <c r="AR324" s="2177"/>
      <c r="AS324" s="2186">
        <f t="shared" si="461"/>
        <v>0</v>
      </c>
      <c r="AT324" s="2177"/>
      <c r="AU324" s="2177"/>
      <c r="AV324" s="2186">
        <f t="shared" si="462"/>
        <v>0</v>
      </c>
      <c r="AW324" s="2177"/>
      <c r="AX324" s="2177"/>
      <c r="AY324" s="2186">
        <f t="shared" si="463"/>
        <v>0</v>
      </c>
      <c r="AZ324" s="2177"/>
      <c r="BA324" s="2177"/>
      <c r="BB324" s="2186">
        <f t="shared" si="464"/>
        <v>0</v>
      </c>
      <c r="BC324" s="2177"/>
      <c r="BD324" s="2177"/>
      <c r="BE324" s="2186">
        <f t="shared" si="465"/>
        <v>0</v>
      </c>
      <c r="BF324" s="2177"/>
      <c r="BG324" s="2177"/>
      <c r="BH324" s="2186">
        <f t="shared" si="466"/>
        <v>0</v>
      </c>
      <c r="BI324" s="2177"/>
      <c r="BJ324" s="2177"/>
      <c r="BK324" s="2186">
        <f t="shared" si="467"/>
        <v>0</v>
      </c>
      <c r="BL324" s="2177"/>
      <c r="BM324" s="2177"/>
      <c r="BN324" s="2186">
        <f t="shared" si="468"/>
        <v>0</v>
      </c>
      <c r="BO324" s="2177"/>
      <c r="BP324" s="2177"/>
      <c r="BQ324" s="2186">
        <f t="shared" si="469"/>
        <v>0</v>
      </c>
    </row>
    <row r="325" spans="3:69" s="2087" customFormat="1" hidden="1">
      <c r="C325" s="2285" t="s">
        <v>2456</v>
      </c>
      <c r="D325" s="2287" t="s">
        <v>2229</v>
      </c>
      <c r="E325" s="2284" t="s">
        <v>240</v>
      </c>
      <c r="F325" s="2176"/>
      <c r="G325" s="2177"/>
      <c r="H325" s="2177"/>
      <c r="I325" s="2178">
        <f t="shared" si="450"/>
        <v>0</v>
      </c>
      <c r="J325" s="2176"/>
      <c r="K325" s="2252">
        <f t="shared" si="492"/>
        <v>0</v>
      </c>
      <c r="L325" s="2252">
        <f t="shared" si="492"/>
        <v>0</v>
      </c>
      <c r="M325" s="2255">
        <f t="shared" si="451"/>
        <v>0</v>
      </c>
      <c r="N325" s="2177"/>
      <c r="O325" s="2177"/>
      <c r="P325" s="2178">
        <f t="shared" si="452"/>
        <v>0</v>
      </c>
      <c r="Q325" s="2177"/>
      <c r="R325" s="2177"/>
      <c r="S325" s="2178">
        <f t="shared" si="484"/>
        <v>0</v>
      </c>
      <c r="T325" s="2251">
        <f t="shared" si="493"/>
        <v>0</v>
      </c>
      <c r="U325" s="2252">
        <f t="shared" si="493"/>
        <v>0</v>
      </c>
      <c r="V325" s="2253">
        <f t="shared" si="454"/>
        <v>0</v>
      </c>
      <c r="W325" s="2182"/>
      <c r="X325" s="2177"/>
      <c r="Y325" s="2183">
        <f t="shared" si="486"/>
        <v>0</v>
      </c>
      <c r="Z325" s="2254">
        <f t="shared" si="494"/>
        <v>0</v>
      </c>
      <c r="AA325" s="2252">
        <f t="shared" si="494"/>
        <v>0</v>
      </c>
      <c r="AB325" s="2255">
        <f t="shared" si="456"/>
        <v>0</v>
      </c>
      <c r="AC325" s="2177"/>
      <c r="AD325" s="2177"/>
      <c r="AE325" s="2178">
        <f t="shared" si="474"/>
        <v>0</v>
      </c>
      <c r="AF325" s="2281"/>
      <c r="AG325" s="2114"/>
      <c r="AH325" s="2177"/>
      <c r="AI325" s="2177"/>
      <c r="AJ325" s="2186">
        <f t="shared" si="458"/>
        <v>0</v>
      </c>
      <c r="AK325" s="2177"/>
      <c r="AL325" s="2177"/>
      <c r="AM325" s="2186">
        <f t="shared" si="459"/>
        <v>0</v>
      </c>
      <c r="AN325" s="2177"/>
      <c r="AO325" s="2177"/>
      <c r="AP325" s="2186">
        <f t="shared" si="460"/>
        <v>0</v>
      </c>
      <c r="AQ325" s="2177"/>
      <c r="AR325" s="2177"/>
      <c r="AS325" s="2186">
        <f t="shared" si="461"/>
        <v>0</v>
      </c>
      <c r="AT325" s="2177"/>
      <c r="AU325" s="2177"/>
      <c r="AV325" s="2186">
        <f t="shared" si="462"/>
        <v>0</v>
      </c>
      <c r="AW325" s="2177"/>
      <c r="AX325" s="2177"/>
      <c r="AY325" s="2186">
        <f t="shared" si="463"/>
        <v>0</v>
      </c>
      <c r="AZ325" s="2177"/>
      <c r="BA325" s="2177"/>
      <c r="BB325" s="2186">
        <f t="shared" si="464"/>
        <v>0</v>
      </c>
      <c r="BC325" s="2177"/>
      <c r="BD325" s="2177"/>
      <c r="BE325" s="2186">
        <f t="shared" si="465"/>
        <v>0</v>
      </c>
      <c r="BF325" s="2177"/>
      <c r="BG325" s="2177"/>
      <c r="BH325" s="2186">
        <f t="shared" si="466"/>
        <v>0</v>
      </c>
      <c r="BI325" s="2177"/>
      <c r="BJ325" s="2177"/>
      <c r="BK325" s="2186">
        <f t="shared" si="467"/>
        <v>0</v>
      </c>
      <c r="BL325" s="2177"/>
      <c r="BM325" s="2177"/>
      <c r="BN325" s="2186">
        <f t="shared" si="468"/>
        <v>0</v>
      </c>
      <c r="BO325" s="2177"/>
      <c r="BP325" s="2177"/>
      <c r="BQ325" s="2186">
        <f t="shared" si="469"/>
        <v>0</v>
      </c>
    </row>
    <row r="326" spans="3:69" s="2159" customFormat="1" hidden="1">
      <c r="C326" s="2256" t="s">
        <v>2457</v>
      </c>
      <c r="D326" s="2294" t="s">
        <v>2096</v>
      </c>
      <c r="E326" s="2297" t="s">
        <v>240</v>
      </c>
      <c r="F326" s="2162"/>
      <c r="G326" s="2259">
        <f>G330+G332+G331+G333</f>
        <v>0</v>
      </c>
      <c r="H326" s="2259">
        <f>H330+H332+H331+H333</f>
        <v>0</v>
      </c>
      <c r="I326" s="2164">
        <f t="shared" si="450"/>
        <v>0</v>
      </c>
      <c r="J326" s="2162"/>
      <c r="K326" s="2163">
        <f t="shared" si="492"/>
        <v>0</v>
      </c>
      <c r="L326" s="2163">
        <f t="shared" si="492"/>
        <v>0</v>
      </c>
      <c r="M326" s="2164">
        <f t="shared" si="451"/>
        <v>0</v>
      </c>
      <c r="N326" s="2163">
        <f>N330+N332+N331+N333</f>
        <v>0</v>
      </c>
      <c r="O326" s="2163">
        <f>O330+O332+O331+O333</f>
        <v>0</v>
      </c>
      <c r="P326" s="2164">
        <f t="shared" si="452"/>
        <v>0</v>
      </c>
      <c r="Q326" s="2163">
        <f>Q330+Q332+Q331+Q333</f>
        <v>0</v>
      </c>
      <c r="R326" s="2163">
        <f>R330+R332+R331+R333</f>
        <v>0</v>
      </c>
      <c r="S326" s="2164">
        <f t="shared" si="484"/>
        <v>0</v>
      </c>
      <c r="T326" s="2167">
        <f t="shared" si="493"/>
        <v>0</v>
      </c>
      <c r="U326" s="2163">
        <f t="shared" si="493"/>
        <v>0</v>
      </c>
      <c r="V326" s="2166">
        <f t="shared" si="454"/>
        <v>0</v>
      </c>
      <c r="W326" s="2168">
        <f>W330+W332+W331+W333</f>
        <v>0</v>
      </c>
      <c r="X326" s="2163">
        <f>X330+X332+X331+X333</f>
        <v>0</v>
      </c>
      <c r="Y326" s="2169">
        <f t="shared" si="486"/>
        <v>0</v>
      </c>
      <c r="Z326" s="2165">
        <f t="shared" si="494"/>
        <v>0</v>
      </c>
      <c r="AA326" s="2163">
        <f t="shared" si="494"/>
        <v>0</v>
      </c>
      <c r="AB326" s="2164">
        <f t="shared" si="456"/>
        <v>0</v>
      </c>
      <c r="AC326" s="2163">
        <f>AC330+AC332+AC331+AC333</f>
        <v>0</v>
      </c>
      <c r="AD326" s="2163">
        <f>AD330+AD332+AD331+AD333</f>
        <v>0</v>
      </c>
      <c r="AE326" s="2164">
        <f t="shared" si="474"/>
        <v>0</v>
      </c>
      <c r="AF326" s="2281"/>
      <c r="AG326" s="2158"/>
      <c r="AH326" s="2171">
        <f>AH330+AH332+AH331+AH333</f>
        <v>0</v>
      </c>
      <c r="AI326" s="2171">
        <f>AI330+AI332+AI331+AI333</f>
        <v>0</v>
      </c>
      <c r="AJ326" s="2172">
        <f t="shared" si="458"/>
        <v>0</v>
      </c>
      <c r="AK326" s="2171">
        <f>AK330+AK332+AK331+AK333</f>
        <v>0</v>
      </c>
      <c r="AL326" s="2171">
        <f>AL330+AL332+AL331+AL333</f>
        <v>0</v>
      </c>
      <c r="AM326" s="2172">
        <f t="shared" si="459"/>
        <v>0</v>
      </c>
      <c r="AN326" s="2171">
        <f>AN330+AN332+AN331+AN333</f>
        <v>0</v>
      </c>
      <c r="AO326" s="2171">
        <f>AO330+AO332+AO331+AO333</f>
        <v>0</v>
      </c>
      <c r="AP326" s="2172">
        <f t="shared" si="460"/>
        <v>0</v>
      </c>
      <c r="AQ326" s="2171">
        <f>AQ330+AQ332+AQ331+AQ333</f>
        <v>0</v>
      </c>
      <c r="AR326" s="2171">
        <f>AR330+AR332+AR331+AR333</f>
        <v>0</v>
      </c>
      <c r="AS326" s="2172">
        <f t="shared" si="461"/>
        <v>0</v>
      </c>
      <c r="AT326" s="2171">
        <f>AT330+AT332+AT331+AT333</f>
        <v>0</v>
      </c>
      <c r="AU326" s="2171">
        <f>AU330+AU332+AU331+AU333</f>
        <v>0</v>
      </c>
      <c r="AV326" s="2172">
        <f t="shared" si="462"/>
        <v>0</v>
      </c>
      <c r="AW326" s="2171">
        <f>AW330+AW332+AW331+AW333</f>
        <v>0</v>
      </c>
      <c r="AX326" s="2171">
        <f>AX330+AX332+AX331+AX333</f>
        <v>0</v>
      </c>
      <c r="AY326" s="2172">
        <f t="shared" si="463"/>
        <v>0</v>
      </c>
      <c r="AZ326" s="2171">
        <f>AZ330+AZ332+AZ331+AZ333</f>
        <v>0</v>
      </c>
      <c r="BA326" s="2171">
        <f>BA330+BA332+BA331+BA333</f>
        <v>0</v>
      </c>
      <c r="BB326" s="2172">
        <f t="shared" si="464"/>
        <v>0</v>
      </c>
      <c r="BC326" s="2171">
        <f>BC330+BC332+BC331+BC333</f>
        <v>0</v>
      </c>
      <c r="BD326" s="2171">
        <f>BD330+BD332+BD331+BD333</f>
        <v>0</v>
      </c>
      <c r="BE326" s="2172">
        <f t="shared" si="465"/>
        <v>0</v>
      </c>
      <c r="BF326" s="2171">
        <f>BF330+BF332+BF331+BF333</f>
        <v>0</v>
      </c>
      <c r="BG326" s="2171">
        <f>BG330+BG332+BG331+BG333</f>
        <v>0</v>
      </c>
      <c r="BH326" s="2172">
        <f t="shared" si="466"/>
        <v>0</v>
      </c>
      <c r="BI326" s="2171">
        <f>BI330+BI332+BI331+BI333</f>
        <v>0</v>
      </c>
      <c r="BJ326" s="2171">
        <f>BJ330+BJ332+BJ331+BJ333</f>
        <v>0</v>
      </c>
      <c r="BK326" s="2172">
        <f t="shared" si="467"/>
        <v>0</v>
      </c>
      <c r="BL326" s="2171">
        <f>BL330+BL332+BL331+BL333</f>
        <v>0</v>
      </c>
      <c r="BM326" s="2171">
        <f>BM330+BM332+BM331+BM333</f>
        <v>0</v>
      </c>
      <c r="BN326" s="2172">
        <f t="shared" si="468"/>
        <v>0</v>
      </c>
      <c r="BO326" s="2171">
        <f>BO330+BO332+BO331+BO333</f>
        <v>0</v>
      </c>
      <c r="BP326" s="2171">
        <f>BP330+BP332+BP331+BP333</f>
        <v>0</v>
      </c>
      <c r="BQ326" s="2172">
        <f t="shared" si="469"/>
        <v>0</v>
      </c>
    </row>
    <row r="327" spans="3:69" s="2087" customFormat="1" hidden="1">
      <c r="C327" s="2285" t="s">
        <v>2458</v>
      </c>
      <c r="D327" s="2296" t="s">
        <v>2211</v>
      </c>
      <c r="E327" s="2284" t="s">
        <v>240</v>
      </c>
      <c r="F327" s="2176"/>
      <c r="G327" s="2177"/>
      <c r="H327" s="2177"/>
      <c r="I327" s="2178">
        <f t="shared" si="450"/>
        <v>0</v>
      </c>
      <c r="J327" s="2176"/>
      <c r="K327" s="2252">
        <f t="shared" si="492"/>
        <v>0</v>
      </c>
      <c r="L327" s="2252">
        <f t="shared" si="492"/>
        <v>0</v>
      </c>
      <c r="M327" s="2255">
        <f t="shared" si="451"/>
        <v>0</v>
      </c>
      <c r="N327" s="2177"/>
      <c r="O327" s="2177"/>
      <c r="P327" s="2178">
        <f t="shared" si="452"/>
        <v>0</v>
      </c>
      <c r="Q327" s="2177"/>
      <c r="R327" s="2177"/>
      <c r="S327" s="2178">
        <f t="shared" si="484"/>
        <v>0</v>
      </c>
      <c r="T327" s="2251">
        <f t="shared" si="493"/>
        <v>0</v>
      </c>
      <c r="U327" s="2252">
        <f t="shared" si="493"/>
        <v>0</v>
      </c>
      <c r="V327" s="2253">
        <f t="shared" si="454"/>
        <v>0</v>
      </c>
      <c r="W327" s="2182"/>
      <c r="X327" s="2177"/>
      <c r="Y327" s="2183">
        <f t="shared" si="486"/>
        <v>0</v>
      </c>
      <c r="Z327" s="2254">
        <f t="shared" si="494"/>
        <v>0</v>
      </c>
      <c r="AA327" s="2252">
        <f t="shared" si="494"/>
        <v>0</v>
      </c>
      <c r="AB327" s="2255">
        <f t="shared" si="456"/>
        <v>0</v>
      </c>
      <c r="AC327" s="2177"/>
      <c r="AD327" s="2177"/>
      <c r="AE327" s="2178">
        <f t="shared" si="474"/>
        <v>0</v>
      </c>
      <c r="AF327" s="2281"/>
      <c r="AG327" s="2114"/>
      <c r="AH327" s="2177"/>
      <c r="AI327" s="2177"/>
      <c r="AJ327" s="2186">
        <f t="shared" si="458"/>
        <v>0</v>
      </c>
      <c r="AK327" s="2177"/>
      <c r="AL327" s="2177"/>
      <c r="AM327" s="2186">
        <f t="shared" si="459"/>
        <v>0</v>
      </c>
      <c r="AN327" s="2177"/>
      <c r="AO327" s="2177"/>
      <c r="AP327" s="2186">
        <f t="shared" si="460"/>
        <v>0</v>
      </c>
      <c r="AQ327" s="2177"/>
      <c r="AR327" s="2177"/>
      <c r="AS327" s="2186">
        <f t="shared" si="461"/>
        <v>0</v>
      </c>
      <c r="AT327" s="2177"/>
      <c r="AU327" s="2177"/>
      <c r="AV327" s="2186">
        <f t="shared" si="462"/>
        <v>0</v>
      </c>
      <c r="AW327" s="2177"/>
      <c r="AX327" s="2177"/>
      <c r="AY327" s="2186">
        <f t="shared" si="463"/>
        <v>0</v>
      </c>
      <c r="AZ327" s="2177"/>
      <c r="BA327" s="2177"/>
      <c r="BB327" s="2186">
        <f t="shared" si="464"/>
        <v>0</v>
      </c>
      <c r="BC327" s="2177"/>
      <c r="BD327" s="2177"/>
      <c r="BE327" s="2186">
        <f t="shared" si="465"/>
        <v>0</v>
      </c>
      <c r="BF327" s="2177"/>
      <c r="BG327" s="2177"/>
      <c r="BH327" s="2186">
        <f t="shared" si="466"/>
        <v>0</v>
      </c>
      <c r="BI327" s="2177"/>
      <c r="BJ327" s="2177"/>
      <c r="BK327" s="2186">
        <f t="shared" si="467"/>
        <v>0</v>
      </c>
      <c r="BL327" s="2177"/>
      <c r="BM327" s="2177"/>
      <c r="BN327" s="2186">
        <f t="shared" si="468"/>
        <v>0</v>
      </c>
      <c r="BO327" s="2177"/>
      <c r="BP327" s="2177"/>
      <c r="BQ327" s="2186">
        <f t="shared" si="469"/>
        <v>0</v>
      </c>
    </row>
    <row r="328" spans="3:69" s="2087" customFormat="1" hidden="1">
      <c r="C328" s="2285" t="s">
        <v>2459</v>
      </c>
      <c r="D328" s="2292" t="s">
        <v>2432</v>
      </c>
      <c r="E328" s="2284" t="s">
        <v>420</v>
      </c>
      <c r="F328" s="2176"/>
      <c r="G328" s="2177"/>
      <c r="H328" s="2177"/>
      <c r="I328" s="2178">
        <f t="shared" si="450"/>
        <v>0</v>
      </c>
      <c r="J328" s="2176"/>
      <c r="K328" s="2252">
        <f>(N328+Q328+W328+AC328)/4</f>
        <v>0</v>
      </c>
      <c r="L328" s="2252">
        <f>(O328+R328+X328+AD328)/4</f>
        <v>0</v>
      </c>
      <c r="M328" s="2255">
        <f t="shared" si="451"/>
        <v>0</v>
      </c>
      <c r="N328" s="2177"/>
      <c r="O328" s="2177"/>
      <c r="P328" s="2178">
        <f t="shared" si="452"/>
        <v>0</v>
      </c>
      <c r="Q328" s="2177"/>
      <c r="R328" s="2177"/>
      <c r="S328" s="2178">
        <f t="shared" si="484"/>
        <v>0</v>
      </c>
      <c r="T328" s="2251">
        <f>(N328+Q328)/2</f>
        <v>0</v>
      </c>
      <c r="U328" s="2252">
        <f>(O328+R328)/2</f>
        <v>0</v>
      </c>
      <c r="V328" s="2253">
        <f t="shared" si="454"/>
        <v>0</v>
      </c>
      <c r="W328" s="2182"/>
      <c r="X328" s="2177"/>
      <c r="Y328" s="2183">
        <f t="shared" si="486"/>
        <v>0</v>
      </c>
      <c r="Z328" s="2254">
        <f>(N328+Q328+W328)/3</f>
        <v>0</v>
      </c>
      <c r="AA328" s="2252">
        <f>(O328+R328+X328)/3</f>
        <v>0</v>
      </c>
      <c r="AB328" s="2255">
        <f t="shared" si="456"/>
        <v>0</v>
      </c>
      <c r="AC328" s="2177"/>
      <c r="AD328" s="2177"/>
      <c r="AE328" s="2178">
        <f t="shared" si="474"/>
        <v>0</v>
      </c>
      <c r="AF328" s="2281"/>
      <c r="AG328" s="2114"/>
      <c r="AH328" s="2177"/>
      <c r="AI328" s="2177"/>
      <c r="AJ328" s="2186">
        <f t="shared" si="458"/>
        <v>0</v>
      </c>
      <c r="AK328" s="2177"/>
      <c r="AL328" s="2177"/>
      <c r="AM328" s="2186">
        <f t="shared" si="459"/>
        <v>0</v>
      </c>
      <c r="AN328" s="2177"/>
      <c r="AO328" s="2177"/>
      <c r="AP328" s="2186">
        <f t="shared" si="460"/>
        <v>0</v>
      </c>
      <c r="AQ328" s="2177"/>
      <c r="AR328" s="2177"/>
      <c r="AS328" s="2186">
        <f t="shared" si="461"/>
        <v>0</v>
      </c>
      <c r="AT328" s="2177"/>
      <c r="AU328" s="2177"/>
      <c r="AV328" s="2186">
        <f t="shared" si="462"/>
        <v>0</v>
      </c>
      <c r="AW328" s="2177"/>
      <c r="AX328" s="2177"/>
      <c r="AY328" s="2186">
        <f t="shared" si="463"/>
        <v>0</v>
      </c>
      <c r="AZ328" s="2177"/>
      <c r="BA328" s="2177"/>
      <c r="BB328" s="2186">
        <f t="shared" si="464"/>
        <v>0</v>
      </c>
      <c r="BC328" s="2177"/>
      <c r="BD328" s="2177"/>
      <c r="BE328" s="2186">
        <f t="shared" si="465"/>
        <v>0</v>
      </c>
      <c r="BF328" s="2177"/>
      <c r="BG328" s="2177"/>
      <c r="BH328" s="2186">
        <f t="shared" si="466"/>
        <v>0</v>
      </c>
      <c r="BI328" s="2177"/>
      <c r="BJ328" s="2177"/>
      <c r="BK328" s="2186">
        <f t="shared" si="467"/>
        <v>0</v>
      </c>
      <c r="BL328" s="2177"/>
      <c r="BM328" s="2177"/>
      <c r="BN328" s="2186">
        <f t="shared" si="468"/>
        <v>0</v>
      </c>
      <c r="BO328" s="2177"/>
      <c r="BP328" s="2177"/>
      <c r="BQ328" s="2186">
        <f t="shared" si="469"/>
        <v>0</v>
      </c>
    </row>
    <row r="329" spans="3:69" s="2087" customFormat="1" hidden="1">
      <c r="C329" s="2285" t="s">
        <v>2460</v>
      </c>
      <c r="D329" s="2287" t="s">
        <v>2229</v>
      </c>
      <c r="E329" s="2284" t="s">
        <v>420</v>
      </c>
      <c r="F329" s="2176"/>
      <c r="G329" s="2177"/>
      <c r="H329" s="2177"/>
      <c r="I329" s="2178">
        <f t="shared" si="450"/>
        <v>0</v>
      </c>
      <c r="J329" s="2176"/>
      <c r="K329" s="2252">
        <f>(N329+Q329+W329+AC329)/4</f>
        <v>0</v>
      </c>
      <c r="L329" s="2252">
        <f>(O329+R329+X329+AD329)/4</f>
        <v>0</v>
      </c>
      <c r="M329" s="2255">
        <f t="shared" si="451"/>
        <v>0</v>
      </c>
      <c r="N329" s="2177"/>
      <c r="O329" s="2177"/>
      <c r="P329" s="2178">
        <f t="shared" si="452"/>
        <v>0</v>
      </c>
      <c r="Q329" s="2177"/>
      <c r="R329" s="2177"/>
      <c r="S329" s="2178">
        <f t="shared" si="484"/>
        <v>0</v>
      </c>
      <c r="T329" s="2251">
        <f>(N329+Q329)/2</f>
        <v>0</v>
      </c>
      <c r="U329" s="2252">
        <f>(O329+R329)/2</f>
        <v>0</v>
      </c>
      <c r="V329" s="2253">
        <f t="shared" si="454"/>
        <v>0</v>
      </c>
      <c r="W329" s="2182"/>
      <c r="X329" s="2177"/>
      <c r="Y329" s="2183">
        <f t="shared" si="486"/>
        <v>0</v>
      </c>
      <c r="Z329" s="2254">
        <f>(N329+Q329+W329)/3</f>
        <v>0</v>
      </c>
      <c r="AA329" s="2252">
        <f>(O329+R329+X329)/3</f>
        <v>0</v>
      </c>
      <c r="AB329" s="2255">
        <f t="shared" si="456"/>
        <v>0</v>
      </c>
      <c r="AC329" s="2177"/>
      <c r="AD329" s="2177"/>
      <c r="AE329" s="2178">
        <f t="shared" si="474"/>
        <v>0</v>
      </c>
      <c r="AF329" s="2281"/>
      <c r="AG329" s="2114"/>
      <c r="AH329" s="2177"/>
      <c r="AI329" s="2177"/>
      <c r="AJ329" s="2186">
        <f t="shared" si="458"/>
        <v>0</v>
      </c>
      <c r="AK329" s="2177"/>
      <c r="AL329" s="2177"/>
      <c r="AM329" s="2186">
        <f t="shared" si="459"/>
        <v>0</v>
      </c>
      <c r="AN329" s="2177"/>
      <c r="AO329" s="2177"/>
      <c r="AP329" s="2186">
        <f t="shared" si="460"/>
        <v>0</v>
      </c>
      <c r="AQ329" s="2177"/>
      <c r="AR329" s="2177"/>
      <c r="AS329" s="2186">
        <f t="shared" si="461"/>
        <v>0</v>
      </c>
      <c r="AT329" s="2177"/>
      <c r="AU329" s="2177"/>
      <c r="AV329" s="2186">
        <f t="shared" si="462"/>
        <v>0</v>
      </c>
      <c r="AW329" s="2177"/>
      <c r="AX329" s="2177"/>
      <c r="AY329" s="2186">
        <f t="shared" si="463"/>
        <v>0</v>
      </c>
      <c r="AZ329" s="2177"/>
      <c r="BA329" s="2177"/>
      <c r="BB329" s="2186">
        <f t="shared" si="464"/>
        <v>0</v>
      </c>
      <c r="BC329" s="2177"/>
      <c r="BD329" s="2177"/>
      <c r="BE329" s="2186">
        <f t="shared" si="465"/>
        <v>0</v>
      </c>
      <c r="BF329" s="2177"/>
      <c r="BG329" s="2177"/>
      <c r="BH329" s="2186">
        <f t="shared" si="466"/>
        <v>0</v>
      </c>
      <c r="BI329" s="2177"/>
      <c r="BJ329" s="2177"/>
      <c r="BK329" s="2186">
        <f t="shared" si="467"/>
        <v>0</v>
      </c>
      <c r="BL329" s="2177"/>
      <c r="BM329" s="2177"/>
      <c r="BN329" s="2186">
        <f t="shared" si="468"/>
        <v>0</v>
      </c>
      <c r="BO329" s="2177"/>
      <c r="BP329" s="2177"/>
      <c r="BQ329" s="2186">
        <f t="shared" si="469"/>
        <v>0</v>
      </c>
    </row>
    <row r="330" spans="3:69" s="2087" customFormat="1" hidden="1">
      <c r="C330" s="2285" t="s">
        <v>2461</v>
      </c>
      <c r="D330" s="2292" t="s">
        <v>2436</v>
      </c>
      <c r="E330" s="2284" t="s">
        <v>240</v>
      </c>
      <c r="F330" s="2176"/>
      <c r="G330" s="2177"/>
      <c r="H330" s="2177"/>
      <c r="I330" s="2178">
        <f t="shared" si="450"/>
        <v>0</v>
      </c>
      <c r="J330" s="2176"/>
      <c r="K330" s="2252">
        <f t="shared" ref="K330:L335" si="495">N330+Q330+W330+AC330</f>
        <v>0</v>
      </c>
      <c r="L330" s="2252">
        <f t="shared" si="495"/>
        <v>0</v>
      </c>
      <c r="M330" s="2255">
        <f t="shared" si="451"/>
        <v>0</v>
      </c>
      <c r="N330" s="2177"/>
      <c r="O330" s="2177"/>
      <c r="P330" s="2178">
        <f t="shared" si="452"/>
        <v>0</v>
      </c>
      <c r="Q330" s="2177"/>
      <c r="R330" s="2177"/>
      <c r="S330" s="2178">
        <f t="shared" si="484"/>
        <v>0</v>
      </c>
      <c r="T330" s="2251">
        <f t="shared" ref="T330:U335" si="496">N330+Q330</f>
        <v>0</v>
      </c>
      <c r="U330" s="2252">
        <f t="shared" si="496"/>
        <v>0</v>
      </c>
      <c r="V330" s="2253">
        <f t="shared" si="454"/>
        <v>0</v>
      </c>
      <c r="W330" s="2182"/>
      <c r="X330" s="2177"/>
      <c r="Y330" s="2183">
        <f t="shared" si="486"/>
        <v>0</v>
      </c>
      <c r="Z330" s="2254">
        <f t="shared" ref="Z330:AA335" si="497">T330+W330</f>
        <v>0</v>
      </c>
      <c r="AA330" s="2252">
        <f t="shared" si="497"/>
        <v>0</v>
      </c>
      <c r="AB330" s="2255">
        <f t="shared" si="456"/>
        <v>0</v>
      </c>
      <c r="AC330" s="2177"/>
      <c r="AD330" s="2177"/>
      <c r="AE330" s="2178">
        <f t="shared" si="474"/>
        <v>0</v>
      </c>
      <c r="AF330" s="2281"/>
      <c r="AG330" s="2114"/>
      <c r="AH330" s="2177"/>
      <c r="AI330" s="2177"/>
      <c r="AJ330" s="2186">
        <f t="shared" si="458"/>
        <v>0</v>
      </c>
      <c r="AK330" s="2177"/>
      <c r="AL330" s="2177"/>
      <c r="AM330" s="2186">
        <f t="shared" si="459"/>
        <v>0</v>
      </c>
      <c r="AN330" s="2177"/>
      <c r="AO330" s="2177"/>
      <c r="AP330" s="2186">
        <f t="shared" si="460"/>
        <v>0</v>
      </c>
      <c r="AQ330" s="2177"/>
      <c r="AR330" s="2177"/>
      <c r="AS330" s="2186">
        <f t="shared" si="461"/>
        <v>0</v>
      </c>
      <c r="AT330" s="2177"/>
      <c r="AU330" s="2177"/>
      <c r="AV330" s="2186">
        <f t="shared" si="462"/>
        <v>0</v>
      </c>
      <c r="AW330" s="2177"/>
      <c r="AX330" s="2177"/>
      <c r="AY330" s="2186">
        <f t="shared" si="463"/>
        <v>0</v>
      </c>
      <c r="AZ330" s="2177"/>
      <c r="BA330" s="2177"/>
      <c r="BB330" s="2186">
        <f t="shared" si="464"/>
        <v>0</v>
      </c>
      <c r="BC330" s="2177"/>
      <c r="BD330" s="2177"/>
      <c r="BE330" s="2186">
        <f t="shared" si="465"/>
        <v>0</v>
      </c>
      <c r="BF330" s="2177"/>
      <c r="BG330" s="2177"/>
      <c r="BH330" s="2186">
        <f t="shared" si="466"/>
        <v>0</v>
      </c>
      <c r="BI330" s="2177"/>
      <c r="BJ330" s="2177"/>
      <c r="BK330" s="2186">
        <f t="shared" si="467"/>
        <v>0</v>
      </c>
      <c r="BL330" s="2177"/>
      <c r="BM330" s="2177"/>
      <c r="BN330" s="2186">
        <f t="shared" si="468"/>
        <v>0</v>
      </c>
      <c r="BO330" s="2177"/>
      <c r="BP330" s="2177"/>
      <c r="BQ330" s="2186">
        <f t="shared" si="469"/>
        <v>0</v>
      </c>
    </row>
    <row r="331" spans="3:69" s="2087" customFormat="1" hidden="1">
      <c r="C331" s="2285" t="s">
        <v>2462</v>
      </c>
      <c r="D331" s="2287" t="s">
        <v>2229</v>
      </c>
      <c r="E331" s="2284" t="s">
        <v>240</v>
      </c>
      <c r="F331" s="2176"/>
      <c r="G331" s="2177"/>
      <c r="H331" s="2177"/>
      <c r="I331" s="2178">
        <f t="shared" si="450"/>
        <v>0</v>
      </c>
      <c r="J331" s="2176"/>
      <c r="K331" s="2252">
        <f t="shared" si="495"/>
        <v>0</v>
      </c>
      <c r="L331" s="2252">
        <f t="shared" si="495"/>
        <v>0</v>
      </c>
      <c r="M331" s="2255">
        <f t="shared" si="451"/>
        <v>0</v>
      </c>
      <c r="N331" s="2177"/>
      <c r="O331" s="2177"/>
      <c r="P331" s="2178">
        <f t="shared" si="452"/>
        <v>0</v>
      </c>
      <c r="Q331" s="2177"/>
      <c r="R331" s="2177"/>
      <c r="S331" s="2178">
        <f t="shared" si="484"/>
        <v>0</v>
      </c>
      <c r="T331" s="2251">
        <f t="shared" si="496"/>
        <v>0</v>
      </c>
      <c r="U331" s="2252">
        <f t="shared" si="496"/>
        <v>0</v>
      </c>
      <c r="V331" s="2253">
        <f t="shared" si="454"/>
        <v>0</v>
      </c>
      <c r="W331" s="2182"/>
      <c r="X331" s="2177"/>
      <c r="Y331" s="2183">
        <f t="shared" si="486"/>
        <v>0</v>
      </c>
      <c r="Z331" s="2254">
        <f t="shared" si="497"/>
        <v>0</v>
      </c>
      <c r="AA331" s="2252">
        <f t="shared" si="497"/>
        <v>0</v>
      </c>
      <c r="AB331" s="2255">
        <f t="shared" si="456"/>
        <v>0</v>
      </c>
      <c r="AC331" s="2177"/>
      <c r="AD331" s="2177"/>
      <c r="AE331" s="2178">
        <f t="shared" si="474"/>
        <v>0</v>
      </c>
      <c r="AF331" s="2281"/>
      <c r="AG331" s="2114"/>
      <c r="AH331" s="2177"/>
      <c r="AI331" s="2177"/>
      <c r="AJ331" s="2186">
        <f t="shared" si="458"/>
        <v>0</v>
      </c>
      <c r="AK331" s="2177"/>
      <c r="AL331" s="2177"/>
      <c r="AM331" s="2186">
        <f t="shared" si="459"/>
        <v>0</v>
      </c>
      <c r="AN331" s="2177"/>
      <c r="AO331" s="2177"/>
      <c r="AP331" s="2186">
        <f t="shared" si="460"/>
        <v>0</v>
      </c>
      <c r="AQ331" s="2177"/>
      <c r="AR331" s="2177"/>
      <c r="AS331" s="2186">
        <f t="shared" si="461"/>
        <v>0</v>
      </c>
      <c r="AT331" s="2177"/>
      <c r="AU331" s="2177"/>
      <c r="AV331" s="2186">
        <f t="shared" si="462"/>
        <v>0</v>
      </c>
      <c r="AW331" s="2177"/>
      <c r="AX331" s="2177"/>
      <c r="AY331" s="2186">
        <f t="shared" si="463"/>
        <v>0</v>
      </c>
      <c r="AZ331" s="2177"/>
      <c r="BA331" s="2177"/>
      <c r="BB331" s="2186">
        <f t="shared" si="464"/>
        <v>0</v>
      </c>
      <c r="BC331" s="2177"/>
      <c r="BD331" s="2177"/>
      <c r="BE331" s="2186">
        <f t="shared" si="465"/>
        <v>0</v>
      </c>
      <c r="BF331" s="2177"/>
      <c r="BG331" s="2177"/>
      <c r="BH331" s="2186">
        <f t="shared" si="466"/>
        <v>0</v>
      </c>
      <c r="BI331" s="2177"/>
      <c r="BJ331" s="2177"/>
      <c r="BK331" s="2186">
        <f t="shared" si="467"/>
        <v>0</v>
      </c>
      <c r="BL331" s="2177"/>
      <c r="BM331" s="2177"/>
      <c r="BN331" s="2186">
        <f t="shared" si="468"/>
        <v>0</v>
      </c>
      <c r="BO331" s="2177"/>
      <c r="BP331" s="2177"/>
      <c r="BQ331" s="2186">
        <f t="shared" si="469"/>
        <v>0</v>
      </c>
    </row>
    <row r="332" spans="3:69" s="2087" customFormat="1" hidden="1">
      <c r="C332" s="2285" t="s">
        <v>2463</v>
      </c>
      <c r="D332" s="2292" t="s">
        <v>2439</v>
      </c>
      <c r="E332" s="2284" t="s">
        <v>240</v>
      </c>
      <c r="F332" s="2176"/>
      <c r="G332" s="2177"/>
      <c r="H332" s="2177"/>
      <c r="I332" s="2178">
        <f t="shared" si="450"/>
        <v>0</v>
      </c>
      <c r="J332" s="2176"/>
      <c r="K332" s="2252">
        <f t="shared" si="495"/>
        <v>0</v>
      </c>
      <c r="L332" s="2252">
        <f t="shared" si="495"/>
        <v>0</v>
      </c>
      <c r="M332" s="2255">
        <f t="shared" si="451"/>
        <v>0</v>
      </c>
      <c r="N332" s="2177"/>
      <c r="O332" s="2177"/>
      <c r="P332" s="2178">
        <f t="shared" si="452"/>
        <v>0</v>
      </c>
      <c r="Q332" s="2177"/>
      <c r="R332" s="2177"/>
      <c r="S332" s="2178">
        <f t="shared" si="484"/>
        <v>0</v>
      </c>
      <c r="T332" s="2251">
        <f t="shared" si="496"/>
        <v>0</v>
      </c>
      <c r="U332" s="2252">
        <f t="shared" si="496"/>
        <v>0</v>
      </c>
      <c r="V332" s="2253">
        <f t="shared" si="454"/>
        <v>0</v>
      </c>
      <c r="W332" s="2182"/>
      <c r="X332" s="2177"/>
      <c r="Y332" s="2183">
        <f t="shared" si="486"/>
        <v>0</v>
      </c>
      <c r="Z332" s="2254">
        <f t="shared" si="497"/>
        <v>0</v>
      </c>
      <c r="AA332" s="2252">
        <f t="shared" si="497"/>
        <v>0</v>
      </c>
      <c r="AB332" s="2255">
        <f t="shared" si="456"/>
        <v>0</v>
      </c>
      <c r="AC332" s="2177"/>
      <c r="AD332" s="2177"/>
      <c r="AE332" s="2178">
        <f t="shared" si="474"/>
        <v>0</v>
      </c>
      <c r="AF332" s="2281"/>
      <c r="AG332" s="2114"/>
      <c r="AH332" s="2177"/>
      <c r="AI332" s="2177"/>
      <c r="AJ332" s="2186">
        <f t="shared" si="458"/>
        <v>0</v>
      </c>
      <c r="AK332" s="2177"/>
      <c r="AL332" s="2177"/>
      <c r="AM332" s="2186">
        <f t="shared" si="459"/>
        <v>0</v>
      </c>
      <c r="AN332" s="2177"/>
      <c r="AO332" s="2177"/>
      <c r="AP332" s="2186">
        <f t="shared" si="460"/>
        <v>0</v>
      </c>
      <c r="AQ332" s="2177"/>
      <c r="AR332" s="2177"/>
      <c r="AS332" s="2186">
        <f t="shared" si="461"/>
        <v>0</v>
      </c>
      <c r="AT332" s="2177"/>
      <c r="AU332" s="2177"/>
      <c r="AV332" s="2186">
        <f t="shared" si="462"/>
        <v>0</v>
      </c>
      <c r="AW332" s="2177"/>
      <c r="AX332" s="2177"/>
      <c r="AY332" s="2186">
        <f t="shared" si="463"/>
        <v>0</v>
      </c>
      <c r="AZ332" s="2177"/>
      <c r="BA332" s="2177"/>
      <c r="BB332" s="2186">
        <f t="shared" si="464"/>
        <v>0</v>
      </c>
      <c r="BC332" s="2177"/>
      <c r="BD332" s="2177"/>
      <c r="BE332" s="2186">
        <f t="shared" si="465"/>
        <v>0</v>
      </c>
      <c r="BF332" s="2177"/>
      <c r="BG332" s="2177"/>
      <c r="BH332" s="2186">
        <f t="shared" si="466"/>
        <v>0</v>
      </c>
      <c r="BI332" s="2177"/>
      <c r="BJ332" s="2177"/>
      <c r="BK332" s="2186">
        <f t="shared" si="467"/>
        <v>0</v>
      </c>
      <c r="BL332" s="2177"/>
      <c r="BM332" s="2177"/>
      <c r="BN332" s="2186">
        <f t="shared" si="468"/>
        <v>0</v>
      </c>
      <c r="BO332" s="2177"/>
      <c r="BP332" s="2177"/>
      <c r="BQ332" s="2186">
        <f t="shared" si="469"/>
        <v>0</v>
      </c>
    </row>
    <row r="333" spans="3:69" s="2087" customFormat="1" hidden="1">
      <c r="C333" s="2285" t="s">
        <v>2464</v>
      </c>
      <c r="D333" s="2287" t="s">
        <v>2229</v>
      </c>
      <c r="E333" s="2284" t="s">
        <v>240</v>
      </c>
      <c r="F333" s="2176"/>
      <c r="G333" s="2177"/>
      <c r="H333" s="2177"/>
      <c r="I333" s="2178">
        <f t="shared" si="450"/>
        <v>0</v>
      </c>
      <c r="J333" s="2176"/>
      <c r="K333" s="2252">
        <f t="shared" si="495"/>
        <v>0</v>
      </c>
      <c r="L333" s="2252">
        <f t="shared" si="495"/>
        <v>0</v>
      </c>
      <c r="M333" s="2255">
        <f t="shared" si="451"/>
        <v>0</v>
      </c>
      <c r="N333" s="2177"/>
      <c r="O333" s="2177"/>
      <c r="P333" s="2178">
        <f t="shared" si="452"/>
        <v>0</v>
      </c>
      <c r="Q333" s="2177"/>
      <c r="R333" s="2177"/>
      <c r="S333" s="2178">
        <f t="shared" si="484"/>
        <v>0</v>
      </c>
      <c r="T333" s="2251">
        <f t="shared" si="496"/>
        <v>0</v>
      </c>
      <c r="U333" s="2252">
        <f t="shared" si="496"/>
        <v>0</v>
      </c>
      <c r="V333" s="2253">
        <f t="shared" si="454"/>
        <v>0</v>
      </c>
      <c r="W333" s="2182"/>
      <c r="X333" s="2177"/>
      <c r="Y333" s="2183">
        <f t="shared" si="486"/>
        <v>0</v>
      </c>
      <c r="Z333" s="2254">
        <f t="shared" si="497"/>
        <v>0</v>
      </c>
      <c r="AA333" s="2252">
        <f t="shared" si="497"/>
        <v>0</v>
      </c>
      <c r="AB333" s="2255">
        <f t="shared" si="456"/>
        <v>0</v>
      </c>
      <c r="AC333" s="2177"/>
      <c r="AD333" s="2177"/>
      <c r="AE333" s="2178">
        <f t="shared" si="474"/>
        <v>0</v>
      </c>
      <c r="AF333" s="2281"/>
      <c r="AG333" s="2114"/>
      <c r="AH333" s="2177"/>
      <c r="AI333" s="2177"/>
      <c r="AJ333" s="2186">
        <f t="shared" si="458"/>
        <v>0</v>
      </c>
      <c r="AK333" s="2177"/>
      <c r="AL333" s="2177"/>
      <c r="AM333" s="2186">
        <f t="shared" si="459"/>
        <v>0</v>
      </c>
      <c r="AN333" s="2177"/>
      <c r="AO333" s="2177"/>
      <c r="AP333" s="2186">
        <f t="shared" si="460"/>
        <v>0</v>
      </c>
      <c r="AQ333" s="2177"/>
      <c r="AR333" s="2177"/>
      <c r="AS333" s="2186">
        <f t="shared" si="461"/>
        <v>0</v>
      </c>
      <c r="AT333" s="2177"/>
      <c r="AU333" s="2177"/>
      <c r="AV333" s="2186">
        <f t="shared" si="462"/>
        <v>0</v>
      </c>
      <c r="AW333" s="2177"/>
      <c r="AX333" s="2177"/>
      <c r="AY333" s="2186">
        <f t="shared" si="463"/>
        <v>0</v>
      </c>
      <c r="AZ333" s="2177"/>
      <c r="BA333" s="2177"/>
      <c r="BB333" s="2186">
        <f t="shared" si="464"/>
        <v>0</v>
      </c>
      <c r="BC333" s="2177"/>
      <c r="BD333" s="2177"/>
      <c r="BE333" s="2186">
        <f t="shared" si="465"/>
        <v>0</v>
      </c>
      <c r="BF333" s="2177"/>
      <c r="BG333" s="2177"/>
      <c r="BH333" s="2186">
        <f t="shared" si="466"/>
        <v>0</v>
      </c>
      <c r="BI333" s="2177"/>
      <c r="BJ333" s="2177"/>
      <c r="BK333" s="2186">
        <f t="shared" si="467"/>
        <v>0</v>
      </c>
      <c r="BL333" s="2177"/>
      <c r="BM333" s="2177"/>
      <c r="BN333" s="2186">
        <f t="shared" si="468"/>
        <v>0</v>
      </c>
      <c r="BO333" s="2177"/>
      <c r="BP333" s="2177"/>
      <c r="BQ333" s="2186">
        <f t="shared" si="469"/>
        <v>0</v>
      </c>
    </row>
    <row r="334" spans="3:69" s="2159" customFormat="1" hidden="1">
      <c r="C334" s="2256" t="s">
        <v>2465</v>
      </c>
      <c r="D334" s="2294" t="s">
        <v>2098</v>
      </c>
      <c r="E334" s="2297" t="s">
        <v>240</v>
      </c>
      <c r="F334" s="2162"/>
      <c r="G334" s="2259">
        <f>G338+G340+G339+G341</f>
        <v>0</v>
      </c>
      <c r="H334" s="2259">
        <f>H338+H340+H339+H341</f>
        <v>0</v>
      </c>
      <c r="I334" s="2164">
        <f t="shared" si="450"/>
        <v>0</v>
      </c>
      <c r="J334" s="2162"/>
      <c r="K334" s="2163">
        <f t="shared" si="495"/>
        <v>0</v>
      </c>
      <c r="L334" s="2163">
        <f t="shared" si="495"/>
        <v>0</v>
      </c>
      <c r="M334" s="2164">
        <f t="shared" si="451"/>
        <v>0</v>
      </c>
      <c r="N334" s="2163">
        <f>N338+N340+N339+N341</f>
        <v>0</v>
      </c>
      <c r="O334" s="2163">
        <f>O338+O340+O339+O341</f>
        <v>0</v>
      </c>
      <c r="P334" s="2164">
        <f t="shared" si="452"/>
        <v>0</v>
      </c>
      <c r="Q334" s="2163">
        <f>Q338+Q340+Q339+Q341</f>
        <v>0</v>
      </c>
      <c r="R334" s="2163">
        <f>R338+R340+R339+R341</f>
        <v>0</v>
      </c>
      <c r="S334" s="2164">
        <f t="shared" si="484"/>
        <v>0</v>
      </c>
      <c r="T334" s="2167">
        <f t="shared" si="496"/>
        <v>0</v>
      </c>
      <c r="U334" s="2163">
        <f t="shared" si="496"/>
        <v>0</v>
      </c>
      <c r="V334" s="2166">
        <f t="shared" si="454"/>
        <v>0</v>
      </c>
      <c r="W334" s="2168">
        <f>W338+W340+W339+W341</f>
        <v>0</v>
      </c>
      <c r="X334" s="2163">
        <f>X338+X340+X339+X341</f>
        <v>0</v>
      </c>
      <c r="Y334" s="2169">
        <f t="shared" si="486"/>
        <v>0</v>
      </c>
      <c r="Z334" s="2165">
        <f t="shared" si="497"/>
        <v>0</v>
      </c>
      <c r="AA334" s="2163">
        <f t="shared" si="497"/>
        <v>0</v>
      </c>
      <c r="AB334" s="2164">
        <f t="shared" si="456"/>
        <v>0</v>
      </c>
      <c r="AC334" s="2163">
        <f>AC338+AC340+AC339+AC341</f>
        <v>0</v>
      </c>
      <c r="AD334" s="2163">
        <f>AD338+AD340+AD339+AD341</f>
        <v>0</v>
      </c>
      <c r="AE334" s="2164">
        <f t="shared" si="474"/>
        <v>0</v>
      </c>
      <c r="AF334" s="2281"/>
      <c r="AG334" s="2158"/>
      <c r="AH334" s="2171">
        <f>AH338+AH340+AH339+AH341</f>
        <v>0</v>
      </c>
      <c r="AI334" s="2171">
        <f>AI338+AI340+AI339+AI341</f>
        <v>0</v>
      </c>
      <c r="AJ334" s="2172">
        <f t="shared" si="458"/>
        <v>0</v>
      </c>
      <c r="AK334" s="2171">
        <f>AK338+AK340+AK339+AK341</f>
        <v>0</v>
      </c>
      <c r="AL334" s="2171">
        <f>AL338+AL340+AL339+AL341</f>
        <v>0</v>
      </c>
      <c r="AM334" s="2172">
        <f t="shared" si="459"/>
        <v>0</v>
      </c>
      <c r="AN334" s="2171">
        <f>AN338+AN340+AN339+AN341</f>
        <v>0</v>
      </c>
      <c r="AO334" s="2171">
        <f>AO338+AO340+AO339+AO341</f>
        <v>0</v>
      </c>
      <c r="AP334" s="2172">
        <f t="shared" si="460"/>
        <v>0</v>
      </c>
      <c r="AQ334" s="2171">
        <f>AQ338+AQ340+AQ339+AQ341</f>
        <v>0</v>
      </c>
      <c r="AR334" s="2171">
        <f>AR338+AR340+AR339+AR341</f>
        <v>0</v>
      </c>
      <c r="AS334" s="2172">
        <f t="shared" si="461"/>
        <v>0</v>
      </c>
      <c r="AT334" s="2171">
        <f>AT338+AT340+AT339+AT341</f>
        <v>0</v>
      </c>
      <c r="AU334" s="2171">
        <f>AU338+AU340+AU339+AU341</f>
        <v>0</v>
      </c>
      <c r="AV334" s="2172">
        <f t="shared" si="462"/>
        <v>0</v>
      </c>
      <c r="AW334" s="2171">
        <f>AW338+AW340+AW339+AW341</f>
        <v>0</v>
      </c>
      <c r="AX334" s="2171">
        <f>AX338+AX340+AX339+AX341</f>
        <v>0</v>
      </c>
      <c r="AY334" s="2172">
        <f t="shared" si="463"/>
        <v>0</v>
      </c>
      <c r="AZ334" s="2171">
        <f>AZ338+AZ340+AZ339+AZ341</f>
        <v>0</v>
      </c>
      <c r="BA334" s="2171">
        <f>BA338+BA340+BA339+BA341</f>
        <v>0</v>
      </c>
      <c r="BB334" s="2172">
        <f t="shared" si="464"/>
        <v>0</v>
      </c>
      <c r="BC334" s="2171">
        <f>BC338+BC340+BC339+BC341</f>
        <v>0</v>
      </c>
      <c r="BD334" s="2171">
        <f>BD338+BD340+BD339+BD341</f>
        <v>0</v>
      </c>
      <c r="BE334" s="2172">
        <f t="shared" si="465"/>
        <v>0</v>
      </c>
      <c r="BF334" s="2171">
        <f>BF338+BF340+BF339+BF341</f>
        <v>0</v>
      </c>
      <c r="BG334" s="2171">
        <f>BG338+BG340+BG339+BG341</f>
        <v>0</v>
      </c>
      <c r="BH334" s="2172">
        <f t="shared" si="466"/>
        <v>0</v>
      </c>
      <c r="BI334" s="2171">
        <f>BI338+BI340+BI339+BI341</f>
        <v>0</v>
      </c>
      <c r="BJ334" s="2171">
        <f>BJ338+BJ340+BJ339+BJ341</f>
        <v>0</v>
      </c>
      <c r="BK334" s="2172">
        <f t="shared" si="467"/>
        <v>0</v>
      </c>
      <c r="BL334" s="2171">
        <f>BL338+BL340+BL339+BL341</f>
        <v>0</v>
      </c>
      <c r="BM334" s="2171">
        <f>BM338+BM340+BM339+BM341</f>
        <v>0</v>
      </c>
      <c r="BN334" s="2172">
        <f t="shared" si="468"/>
        <v>0</v>
      </c>
      <c r="BO334" s="2171">
        <f>BO338+BO340+BO339+BO341</f>
        <v>0</v>
      </c>
      <c r="BP334" s="2171">
        <f>BP338+BP340+BP339+BP341</f>
        <v>0</v>
      </c>
      <c r="BQ334" s="2172">
        <f t="shared" si="469"/>
        <v>0</v>
      </c>
    </row>
    <row r="335" spans="3:69" s="2087" customFormat="1" hidden="1">
      <c r="C335" s="2285" t="s">
        <v>2466</v>
      </c>
      <c r="D335" s="2296" t="s">
        <v>2211</v>
      </c>
      <c r="E335" s="2284" t="s">
        <v>240</v>
      </c>
      <c r="F335" s="2176"/>
      <c r="G335" s="2177"/>
      <c r="H335" s="2177"/>
      <c r="I335" s="2178">
        <f t="shared" si="450"/>
        <v>0</v>
      </c>
      <c r="J335" s="2176"/>
      <c r="K335" s="2252">
        <f t="shared" si="495"/>
        <v>0</v>
      </c>
      <c r="L335" s="2252">
        <f t="shared" si="495"/>
        <v>0</v>
      </c>
      <c r="M335" s="2255">
        <f t="shared" si="451"/>
        <v>0</v>
      </c>
      <c r="N335" s="2177"/>
      <c r="O335" s="2177"/>
      <c r="P335" s="2178">
        <f t="shared" si="452"/>
        <v>0</v>
      </c>
      <c r="Q335" s="2177"/>
      <c r="R335" s="2177"/>
      <c r="S335" s="2178">
        <f t="shared" si="484"/>
        <v>0</v>
      </c>
      <c r="T335" s="2251">
        <f t="shared" si="496"/>
        <v>0</v>
      </c>
      <c r="U335" s="2252">
        <f t="shared" si="496"/>
        <v>0</v>
      </c>
      <c r="V335" s="2253">
        <f t="shared" si="454"/>
        <v>0</v>
      </c>
      <c r="W335" s="2182"/>
      <c r="X335" s="2177"/>
      <c r="Y335" s="2183">
        <f t="shared" si="486"/>
        <v>0</v>
      </c>
      <c r="Z335" s="2254">
        <f t="shared" si="497"/>
        <v>0</v>
      </c>
      <c r="AA335" s="2252">
        <f t="shared" si="497"/>
        <v>0</v>
      </c>
      <c r="AB335" s="2255">
        <f t="shared" si="456"/>
        <v>0</v>
      </c>
      <c r="AC335" s="2177"/>
      <c r="AD335" s="2177"/>
      <c r="AE335" s="2178">
        <f t="shared" si="474"/>
        <v>0</v>
      </c>
      <c r="AF335" s="2281"/>
      <c r="AG335" s="2114"/>
      <c r="AH335" s="2177"/>
      <c r="AI335" s="2177"/>
      <c r="AJ335" s="2186">
        <f t="shared" si="458"/>
        <v>0</v>
      </c>
      <c r="AK335" s="2177"/>
      <c r="AL335" s="2177"/>
      <c r="AM335" s="2186">
        <f t="shared" si="459"/>
        <v>0</v>
      </c>
      <c r="AN335" s="2177"/>
      <c r="AO335" s="2177"/>
      <c r="AP335" s="2186">
        <f t="shared" si="460"/>
        <v>0</v>
      </c>
      <c r="AQ335" s="2177"/>
      <c r="AR335" s="2177"/>
      <c r="AS335" s="2186">
        <f t="shared" si="461"/>
        <v>0</v>
      </c>
      <c r="AT335" s="2177"/>
      <c r="AU335" s="2177"/>
      <c r="AV335" s="2186">
        <f t="shared" si="462"/>
        <v>0</v>
      </c>
      <c r="AW335" s="2177"/>
      <c r="AX335" s="2177"/>
      <c r="AY335" s="2186">
        <f t="shared" si="463"/>
        <v>0</v>
      </c>
      <c r="AZ335" s="2177"/>
      <c r="BA335" s="2177"/>
      <c r="BB335" s="2186">
        <f t="shared" si="464"/>
        <v>0</v>
      </c>
      <c r="BC335" s="2177"/>
      <c r="BD335" s="2177"/>
      <c r="BE335" s="2186">
        <f t="shared" si="465"/>
        <v>0</v>
      </c>
      <c r="BF335" s="2177"/>
      <c r="BG335" s="2177"/>
      <c r="BH335" s="2186">
        <f t="shared" si="466"/>
        <v>0</v>
      </c>
      <c r="BI335" s="2177"/>
      <c r="BJ335" s="2177"/>
      <c r="BK335" s="2186">
        <f t="shared" si="467"/>
        <v>0</v>
      </c>
      <c r="BL335" s="2177"/>
      <c r="BM335" s="2177"/>
      <c r="BN335" s="2186">
        <f t="shared" si="468"/>
        <v>0</v>
      </c>
      <c r="BO335" s="2177"/>
      <c r="BP335" s="2177"/>
      <c r="BQ335" s="2186">
        <f t="shared" si="469"/>
        <v>0</v>
      </c>
    </row>
    <row r="336" spans="3:69" s="2087" customFormat="1" hidden="1">
      <c r="C336" s="2285" t="s">
        <v>2467</v>
      </c>
      <c r="D336" s="2292" t="s">
        <v>2432</v>
      </c>
      <c r="E336" s="2284" t="s">
        <v>420</v>
      </c>
      <c r="F336" s="2176"/>
      <c r="G336" s="2177"/>
      <c r="H336" s="2177"/>
      <c r="I336" s="2178">
        <f t="shared" ref="I336:I349" si="498">H336-G336</f>
        <v>0</v>
      </c>
      <c r="J336" s="2176"/>
      <c r="K336" s="2252">
        <f>(N336+Q336+W336+AC336)/4</f>
        <v>0</v>
      </c>
      <c r="L336" s="2252">
        <f>(O336+R336+X336+AD336)/4</f>
        <v>0</v>
      </c>
      <c r="M336" s="2255">
        <f t="shared" ref="M336:M349" si="499">L336-K336</f>
        <v>0</v>
      </c>
      <c r="N336" s="2177"/>
      <c r="O336" s="2177"/>
      <c r="P336" s="2178">
        <f t="shared" ref="P336:P364" si="500">O336-N336</f>
        <v>0</v>
      </c>
      <c r="Q336" s="2177"/>
      <c r="R336" s="2177"/>
      <c r="S336" s="2178">
        <f t="shared" si="484"/>
        <v>0</v>
      </c>
      <c r="T336" s="2251">
        <f>(N336+Q336)/2</f>
        <v>0</v>
      </c>
      <c r="U336" s="2252">
        <f>(O336+R336)/2</f>
        <v>0</v>
      </c>
      <c r="V336" s="2253">
        <f t="shared" ref="V336:V349" si="501">U336-T336</f>
        <v>0</v>
      </c>
      <c r="W336" s="2182"/>
      <c r="X336" s="2177"/>
      <c r="Y336" s="2183">
        <f t="shared" si="486"/>
        <v>0</v>
      </c>
      <c r="Z336" s="2254">
        <f>(N336+Q336+W336)/3</f>
        <v>0</v>
      </c>
      <c r="AA336" s="2252">
        <f>(O336+R336+X336)/3</f>
        <v>0</v>
      </c>
      <c r="AB336" s="2255">
        <f t="shared" ref="AB336:AB349" si="502">AA336-Z336</f>
        <v>0</v>
      </c>
      <c r="AC336" s="2177"/>
      <c r="AD336" s="2177"/>
      <c r="AE336" s="2178">
        <f t="shared" si="474"/>
        <v>0</v>
      </c>
      <c r="AF336" s="2281"/>
      <c r="AG336" s="2114"/>
      <c r="AH336" s="2177"/>
      <c r="AI336" s="2177"/>
      <c r="AJ336" s="2186">
        <f t="shared" ref="AJ336:AJ349" si="503">AI336-AH336</f>
        <v>0</v>
      </c>
      <c r="AK336" s="2177"/>
      <c r="AL336" s="2177"/>
      <c r="AM336" s="2186">
        <f t="shared" ref="AM336:AM349" si="504">AL336-AK336</f>
        <v>0</v>
      </c>
      <c r="AN336" s="2177"/>
      <c r="AO336" s="2177"/>
      <c r="AP336" s="2186">
        <f t="shared" ref="AP336:AP349" si="505">AO336-AN336</f>
        <v>0</v>
      </c>
      <c r="AQ336" s="2177"/>
      <c r="AR336" s="2177"/>
      <c r="AS336" s="2186">
        <f t="shared" ref="AS336:AS349" si="506">AR336-AQ336</f>
        <v>0</v>
      </c>
      <c r="AT336" s="2177"/>
      <c r="AU336" s="2177"/>
      <c r="AV336" s="2186">
        <f t="shared" ref="AV336:AV349" si="507">AU336-AT336</f>
        <v>0</v>
      </c>
      <c r="AW336" s="2177"/>
      <c r="AX336" s="2177"/>
      <c r="AY336" s="2186">
        <f t="shared" ref="AY336:AY349" si="508">AX336-AW336</f>
        <v>0</v>
      </c>
      <c r="AZ336" s="2177"/>
      <c r="BA336" s="2177"/>
      <c r="BB336" s="2186">
        <f t="shared" ref="BB336:BB349" si="509">BA336-AZ336</f>
        <v>0</v>
      </c>
      <c r="BC336" s="2177"/>
      <c r="BD336" s="2177"/>
      <c r="BE336" s="2186">
        <f t="shared" ref="BE336:BE349" si="510">BD336-BC336</f>
        <v>0</v>
      </c>
      <c r="BF336" s="2177"/>
      <c r="BG336" s="2177"/>
      <c r="BH336" s="2186">
        <f t="shared" ref="BH336:BH349" si="511">BG336-BF336</f>
        <v>0</v>
      </c>
      <c r="BI336" s="2177"/>
      <c r="BJ336" s="2177"/>
      <c r="BK336" s="2186">
        <f t="shared" ref="BK336:BK349" si="512">BJ336-BI336</f>
        <v>0</v>
      </c>
      <c r="BL336" s="2177"/>
      <c r="BM336" s="2177"/>
      <c r="BN336" s="2186">
        <f t="shared" ref="BN336:BN349" si="513">BM336-BL336</f>
        <v>0</v>
      </c>
      <c r="BO336" s="2177"/>
      <c r="BP336" s="2177"/>
      <c r="BQ336" s="2186">
        <f t="shared" ref="BQ336:BQ349" si="514">BP336-BO336</f>
        <v>0</v>
      </c>
    </row>
    <row r="337" spans="3:69" s="2087" customFormat="1" hidden="1">
      <c r="C337" s="2285" t="s">
        <v>2468</v>
      </c>
      <c r="D337" s="2287" t="s">
        <v>2229</v>
      </c>
      <c r="E337" s="2284" t="s">
        <v>420</v>
      </c>
      <c r="F337" s="2176"/>
      <c r="G337" s="2177"/>
      <c r="H337" s="2177"/>
      <c r="I337" s="2178">
        <f t="shared" si="498"/>
        <v>0</v>
      </c>
      <c r="J337" s="2176"/>
      <c r="K337" s="2252">
        <f>(N337+Q337+W337+AC337)/4</f>
        <v>0</v>
      </c>
      <c r="L337" s="2252">
        <f>(O337+R337+X337+AD337)/4</f>
        <v>0</v>
      </c>
      <c r="M337" s="2255">
        <f t="shared" si="499"/>
        <v>0</v>
      </c>
      <c r="N337" s="2177"/>
      <c r="O337" s="2177"/>
      <c r="P337" s="2178">
        <f t="shared" si="500"/>
        <v>0</v>
      </c>
      <c r="Q337" s="2177"/>
      <c r="R337" s="2177"/>
      <c r="S337" s="2178">
        <f t="shared" si="484"/>
        <v>0</v>
      </c>
      <c r="T337" s="2251">
        <f>(N337+Q337)/2</f>
        <v>0</v>
      </c>
      <c r="U337" s="2252">
        <f>(O337+R337)/2</f>
        <v>0</v>
      </c>
      <c r="V337" s="2253">
        <f t="shared" si="501"/>
        <v>0</v>
      </c>
      <c r="W337" s="2182"/>
      <c r="X337" s="2177"/>
      <c r="Y337" s="2183">
        <f t="shared" si="486"/>
        <v>0</v>
      </c>
      <c r="Z337" s="2254">
        <f>(N337+Q337+W337)/3</f>
        <v>0</v>
      </c>
      <c r="AA337" s="2252">
        <f>(O337+R337+X337)/3</f>
        <v>0</v>
      </c>
      <c r="AB337" s="2255">
        <f t="shared" si="502"/>
        <v>0</v>
      </c>
      <c r="AC337" s="2177"/>
      <c r="AD337" s="2177"/>
      <c r="AE337" s="2178">
        <f t="shared" si="474"/>
        <v>0</v>
      </c>
      <c r="AF337" s="2281"/>
      <c r="AG337" s="2114"/>
      <c r="AH337" s="2177"/>
      <c r="AI337" s="2177"/>
      <c r="AJ337" s="2186">
        <f t="shared" si="503"/>
        <v>0</v>
      </c>
      <c r="AK337" s="2177"/>
      <c r="AL337" s="2177"/>
      <c r="AM337" s="2186">
        <f t="shared" si="504"/>
        <v>0</v>
      </c>
      <c r="AN337" s="2177"/>
      <c r="AO337" s="2177"/>
      <c r="AP337" s="2186">
        <f t="shared" si="505"/>
        <v>0</v>
      </c>
      <c r="AQ337" s="2177"/>
      <c r="AR337" s="2177"/>
      <c r="AS337" s="2186">
        <f t="shared" si="506"/>
        <v>0</v>
      </c>
      <c r="AT337" s="2177"/>
      <c r="AU337" s="2177"/>
      <c r="AV337" s="2186">
        <f t="shared" si="507"/>
        <v>0</v>
      </c>
      <c r="AW337" s="2177"/>
      <c r="AX337" s="2177"/>
      <c r="AY337" s="2186">
        <f t="shared" si="508"/>
        <v>0</v>
      </c>
      <c r="AZ337" s="2177"/>
      <c r="BA337" s="2177"/>
      <c r="BB337" s="2186">
        <f t="shared" si="509"/>
        <v>0</v>
      </c>
      <c r="BC337" s="2177"/>
      <c r="BD337" s="2177"/>
      <c r="BE337" s="2186">
        <f t="shared" si="510"/>
        <v>0</v>
      </c>
      <c r="BF337" s="2177"/>
      <c r="BG337" s="2177"/>
      <c r="BH337" s="2186">
        <f t="shared" si="511"/>
        <v>0</v>
      </c>
      <c r="BI337" s="2177"/>
      <c r="BJ337" s="2177"/>
      <c r="BK337" s="2186">
        <f t="shared" si="512"/>
        <v>0</v>
      </c>
      <c r="BL337" s="2177"/>
      <c r="BM337" s="2177"/>
      <c r="BN337" s="2186">
        <f t="shared" si="513"/>
        <v>0</v>
      </c>
      <c r="BO337" s="2177"/>
      <c r="BP337" s="2177"/>
      <c r="BQ337" s="2186">
        <f t="shared" si="514"/>
        <v>0</v>
      </c>
    </row>
    <row r="338" spans="3:69" s="2087" customFormat="1" hidden="1">
      <c r="C338" s="2285" t="s">
        <v>2469</v>
      </c>
      <c r="D338" s="2292" t="s">
        <v>2436</v>
      </c>
      <c r="E338" s="2284" t="s">
        <v>240</v>
      </c>
      <c r="F338" s="2176"/>
      <c r="G338" s="2177"/>
      <c r="H338" s="2177"/>
      <c r="I338" s="2178">
        <f t="shared" si="498"/>
        <v>0</v>
      </c>
      <c r="J338" s="2176"/>
      <c r="K338" s="2252">
        <f t="shared" ref="K338:L343" si="515">N338+Q338+W338+AC338</f>
        <v>0</v>
      </c>
      <c r="L338" s="2252">
        <f t="shared" si="515"/>
        <v>0</v>
      </c>
      <c r="M338" s="2255">
        <f t="shared" si="499"/>
        <v>0</v>
      </c>
      <c r="N338" s="2177"/>
      <c r="O338" s="2177"/>
      <c r="P338" s="2178">
        <f t="shared" si="500"/>
        <v>0</v>
      </c>
      <c r="Q338" s="2177"/>
      <c r="R338" s="2177"/>
      <c r="S338" s="2178">
        <f t="shared" si="484"/>
        <v>0</v>
      </c>
      <c r="T338" s="2251">
        <f t="shared" ref="T338:U343" si="516">N338+Q338</f>
        <v>0</v>
      </c>
      <c r="U338" s="2252">
        <f t="shared" si="516"/>
        <v>0</v>
      </c>
      <c r="V338" s="2253">
        <f t="shared" si="501"/>
        <v>0</v>
      </c>
      <c r="W338" s="2182"/>
      <c r="X338" s="2177"/>
      <c r="Y338" s="2183">
        <f t="shared" si="486"/>
        <v>0</v>
      </c>
      <c r="Z338" s="2254">
        <f t="shared" ref="Z338:AA343" si="517">T338+W338</f>
        <v>0</v>
      </c>
      <c r="AA338" s="2252">
        <f t="shared" si="517"/>
        <v>0</v>
      </c>
      <c r="AB338" s="2255">
        <f t="shared" si="502"/>
        <v>0</v>
      </c>
      <c r="AC338" s="2177"/>
      <c r="AD338" s="2177"/>
      <c r="AE338" s="2178">
        <f t="shared" ref="AE338:AE364" si="518">AD338-AC338</f>
        <v>0</v>
      </c>
      <c r="AF338" s="2281"/>
      <c r="AG338" s="2114"/>
      <c r="AH338" s="2177"/>
      <c r="AI338" s="2177"/>
      <c r="AJ338" s="2186">
        <f t="shared" si="503"/>
        <v>0</v>
      </c>
      <c r="AK338" s="2177"/>
      <c r="AL338" s="2177"/>
      <c r="AM338" s="2186">
        <f t="shared" si="504"/>
        <v>0</v>
      </c>
      <c r="AN338" s="2177"/>
      <c r="AO338" s="2177"/>
      <c r="AP338" s="2186">
        <f t="shared" si="505"/>
        <v>0</v>
      </c>
      <c r="AQ338" s="2177"/>
      <c r="AR338" s="2177"/>
      <c r="AS338" s="2186">
        <f t="shared" si="506"/>
        <v>0</v>
      </c>
      <c r="AT338" s="2177"/>
      <c r="AU338" s="2177"/>
      <c r="AV338" s="2186">
        <f t="shared" si="507"/>
        <v>0</v>
      </c>
      <c r="AW338" s="2177"/>
      <c r="AX338" s="2177"/>
      <c r="AY338" s="2186">
        <f t="shared" si="508"/>
        <v>0</v>
      </c>
      <c r="AZ338" s="2177"/>
      <c r="BA338" s="2177"/>
      <c r="BB338" s="2186">
        <f t="shared" si="509"/>
        <v>0</v>
      </c>
      <c r="BC338" s="2177"/>
      <c r="BD338" s="2177"/>
      <c r="BE338" s="2186">
        <f t="shared" si="510"/>
        <v>0</v>
      </c>
      <c r="BF338" s="2177"/>
      <c r="BG338" s="2177"/>
      <c r="BH338" s="2186">
        <f t="shared" si="511"/>
        <v>0</v>
      </c>
      <c r="BI338" s="2177"/>
      <c r="BJ338" s="2177"/>
      <c r="BK338" s="2186">
        <f t="shared" si="512"/>
        <v>0</v>
      </c>
      <c r="BL338" s="2177"/>
      <c r="BM338" s="2177"/>
      <c r="BN338" s="2186">
        <f t="shared" si="513"/>
        <v>0</v>
      </c>
      <c r="BO338" s="2177"/>
      <c r="BP338" s="2177"/>
      <c r="BQ338" s="2186">
        <f t="shared" si="514"/>
        <v>0</v>
      </c>
    </row>
    <row r="339" spans="3:69" s="2087" customFormat="1" hidden="1">
      <c r="C339" s="2285" t="s">
        <v>2470</v>
      </c>
      <c r="D339" s="2287" t="s">
        <v>2229</v>
      </c>
      <c r="E339" s="2284" t="s">
        <v>240</v>
      </c>
      <c r="F339" s="2176"/>
      <c r="G339" s="2177"/>
      <c r="H339" s="2177"/>
      <c r="I339" s="2178">
        <f t="shared" si="498"/>
        <v>0</v>
      </c>
      <c r="J339" s="2176"/>
      <c r="K339" s="2252">
        <f t="shared" si="515"/>
        <v>0</v>
      </c>
      <c r="L339" s="2252">
        <f t="shared" si="515"/>
        <v>0</v>
      </c>
      <c r="M339" s="2255">
        <f t="shared" si="499"/>
        <v>0</v>
      </c>
      <c r="N339" s="2177"/>
      <c r="O339" s="2177"/>
      <c r="P339" s="2178">
        <f t="shared" si="500"/>
        <v>0</v>
      </c>
      <c r="Q339" s="2177"/>
      <c r="R339" s="2177"/>
      <c r="S339" s="2178">
        <f t="shared" si="484"/>
        <v>0</v>
      </c>
      <c r="T339" s="2251">
        <f t="shared" si="516"/>
        <v>0</v>
      </c>
      <c r="U339" s="2252">
        <f t="shared" si="516"/>
        <v>0</v>
      </c>
      <c r="V339" s="2253">
        <f t="shared" si="501"/>
        <v>0</v>
      </c>
      <c r="W339" s="2182"/>
      <c r="X339" s="2177"/>
      <c r="Y339" s="2183">
        <f t="shared" si="486"/>
        <v>0</v>
      </c>
      <c r="Z339" s="2254">
        <f t="shared" si="517"/>
        <v>0</v>
      </c>
      <c r="AA339" s="2252">
        <f t="shared" si="517"/>
        <v>0</v>
      </c>
      <c r="AB339" s="2255">
        <f t="shared" si="502"/>
        <v>0</v>
      </c>
      <c r="AC339" s="2177"/>
      <c r="AD339" s="2177"/>
      <c r="AE339" s="2178">
        <f t="shared" si="518"/>
        <v>0</v>
      </c>
      <c r="AF339" s="2281"/>
      <c r="AG339" s="2114"/>
      <c r="AH339" s="2177"/>
      <c r="AI339" s="2177"/>
      <c r="AJ339" s="2186">
        <f t="shared" si="503"/>
        <v>0</v>
      </c>
      <c r="AK339" s="2177"/>
      <c r="AL339" s="2177"/>
      <c r="AM339" s="2186">
        <f t="shared" si="504"/>
        <v>0</v>
      </c>
      <c r="AN339" s="2177"/>
      <c r="AO339" s="2177"/>
      <c r="AP339" s="2186">
        <f t="shared" si="505"/>
        <v>0</v>
      </c>
      <c r="AQ339" s="2177"/>
      <c r="AR339" s="2177"/>
      <c r="AS339" s="2186">
        <f t="shared" si="506"/>
        <v>0</v>
      </c>
      <c r="AT339" s="2177"/>
      <c r="AU339" s="2177"/>
      <c r="AV339" s="2186">
        <f t="shared" si="507"/>
        <v>0</v>
      </c>
      <c r="AW339" s="2177"/>
      <c r="AX339" s="2177"/>
      <c r="AY339" s="2186">
        <f t="shared" si="508"/>
        <v>0</v>
      </c>
      <c r="AZ339" s="2177"/>
      <c r="BA339" s="2177"/>
      <c r="BB339" s="2186">
        <f t="shared" si="509"/>
        <v>0</v>
      </c>
      <c r="BC339" s="2177"/>
      <c r="BD339" s="2177"/>
      <c r="BE339" s="2186">
        <f t="shared" si="510"/>
        <v>0</v>
      </c>
      <c r="BF339" s="2177"/>
      <c r="BG339" s="2177"/>
      <c r="BH339" s="2186">
        <f t="shared" si="511"/>
        <v>0</v>
      </c>
      <c r="BI339" s="2177"/>
      <c r="BJ339" s="2177"/>
      <c r="BK339" s="2186">
        <f t="shared" si="512"/>
        <v>0</v>
      </c>
      <c r="BL339" s="2177"/>
      <c r="BM339" s="2177"/>
      <c r="BN339" s="2186">
        <f t="shared" si="513"/>
        <v>0</v>
      </c>
      <c r="BO339" s="2177"/>
      <c r="BP339" s="2177"/>
      <c r="BQ339" s="2186">
        <f t="shared" si="514"/>
        <v>0</v>
      </c>
    </row>
    <row r="340" spans="3:69" s="2087" customFormat="1" hidden="1">
      <c r="C340" s="2285" t="s">
        <v>2471</v>
      </c>
      <c r="D340" s="2292" t="s">
        <v>2439</v>
      </c>
      <c r="E340" s="2284" t="s">
        <v>240</v>
      </c>
      <c r="F340" s="2176"/>
      <c r="G340" s="2177"/>
      <c r="H340" s="2177"/>
      <c r="I340" s="2178">
        <f t="shared" si="498"/>
        <v>0</v>
      </c>
      <c r="J340" s="2176"/>
      <c r="K340" s="2252">
        <f t="shared" si="515"/>
        <v>0</v>
      </c>
      <c r="L340" s="2252">
        <f t="shared" si="515"/>
        <v>0</v>
      </c>
      <c r="M340" s="2255">
        <f t="shared" si="499"/>
        <v>0</v>
      </c>
      <c r="N340" s="2177"/>
      <c r="O340" s="2177"/>
      <c r="P340" s="2178">
        <f t="shared" si="500"/>
        <v>0</v>
      </c>
      <c r="Q340" s="2177"/>
      <c r="R340" s="2177"/>
      <c r="S340" s="2178">
        <f t="shared" si="484"/>
        <v>0</v>
      </c>
      <c r="T340" s="2251">
        <f t="shared" si="516"/>
        <v>0</v>
      </c>
      <c r="U340" s="2252">
        <f t="shared" si="516"/>
        <v>0</v>
      </c>
      <c r="V340" s="2253">
        <f t="shared" si="501"/>
        <v>0</v>
      </c>
      <c r="W340" s="2182"/>
      <c r="X340" s="2177"/>
      <c r="Y340" s="2183">
        <f t="shared" si="486"/>
        <v>0</v>
      </c>
      <c r="Z340" s="2254">
        <f t="shared" si="517"/>
        <v>0</v>
      </c>
      <c r="AA340" s="2252">
        <f t="shared" si="517"/>
        <v>0</v>
      </c>
      <c r="AB340" s="2255">
        <f t="shared" si="502"/>
        <v>0</v>
      </c>
      <c r="AC340" s="2177"/>
      <c r="AD340" s="2177"/>
      <c r="AE340" s="2178">
        <f t="shared" si="518"/>
        <v>0</v>
      </c>
      <c r="AF340" s="2281"/>
      <c r="AG340" s="2114"/>
      <c r="AH340" s="2177"/>
      <c r="AI340" s="2177"/>
      <c r="AJ340" s="2186">
        <f t="shared" si="503"/>
        <v>0</v>
      </c>
      <c r="AK340" s="2177"/>
      <c r="AL340" s="2177"/>
      <c r="AM340" s="2186">
        <f t="shared" si="504"/>
        <v>0</v>
      </c>
      <c r="AN340" s="2177"/>
      <c r="AO340" s="2177"/>
      <c r="AP340" s="2186">
        <f t="shared" si="505"/>
        <v>0</v>
      </c>
      <c r="AQ340" s="2177"/>
      <c r="AR340" s="2177"/>
      <c r="AS340" s="2186">
        <f t="shared" si="506"/>
        <v>0</v>
      </c>
      <c r="AT340" s="2177"/>
      <c r="AU340" s="2177"/>
      <c r="AV340" s="2186">
        <f t="shared" si="507"/>
        <v>0</v>
      </c>
      <c r="AW340" s="2177"/>
      <c r="AX340" s="2177"/>
      <c r="AY340" s="2186">
        <f t="shared" si="508"/>
        <v>0</v>
      </c>
      <c r="AZ340" s="2177"/>
      <c r="BA340" s="2177"/>
      <c r="BB340" s="2186">
        <f t="shared" si="509"/>
        <v>0</v>
      </c>
      <c r="BC340" s="2177"/>
      <c r="BD340" s="2177"/>
      <c r="BE340" s="2186">
        <f t="shared" si="510"/>
        <v>0</v>
      </c>
      <c r="BF340" s="2177"/>
      <c r="BG340" s="2177"/>
      <c r="BH340" s="2186">
        <f t="shared" si="511"/>
        <v>0</v>
      </c>
      <c r="BI340" s="2177"/>
      <c r="BJ340" s="2177"/>
      <c r="BK340" s="2186">
        <f t="shared" si="512"/>
        <v>0</v>
      </c>
      <c r="BL340" s="2177"/>
      <c r="BM340" s="2177"/>
      <c r="BN340" s="2186">
        <f t="shared" si="513"/>
        <v>0</v>
      </c>
      <c r="BO340" s="2177"/>
      <c r="BP340" s="2177"/>
      <c r="BQ340" s="2186">
        <f t="shared" si="514"/>
        <v>0</v>
      </c>
    </row>
    <row r="341" spans="3:69" s="2087" customFormat="1" hidden="1">
      <c r="C341" s="2285" t="s">
        <v>2472</v>
      </c>
      <c r="D341" s="2287" t="s">
        <v>2229</v>
      </c>
      <c r="E341" s="2284" t="s">
        <v>240</v>
      </c>
      <c r="F341" s="2176"/>
      <c r="G341" s="2177"/>
      <c r="H341" s="2177"/>
      <c r="I341" s="2178">
        <f t="shared" si="498"/>
        <v>0</v>
      </c>
      <c r="J341" s="2176"/>
      <c r="K341" s="2252">
        <f t="shared" si="515"/>
        <v>0</v>
      </c>
      <c r="L341" s="2252">
        <f t="shared" si="515"/>
        <v>0</v>
      </c>
      <c r="M341" s="2255">
        <f t="shared" si="499"/>
        <v>0</v>
      </c>
      <c r="N341" s="2177"/>
      <c r="O341" s="2177"/>
      <c r="P341" s="2178">
        <f t="shared" si="500"/>
        <v>0</v>
      </c>
      <c r="Q341" s="2177"/>
      <c r="R341" s="2177"/>
      <c r="S341" s="2178">
        <f t="shared" si="484"/>
        <v>0</v>
      </c>
      <c r="T341" s="2251">
        <f t="shared" si="516"/>
        <v>0</v>
      </c>
      <c r="U341" s="2252">
        <f t="shared" si="516"/>
        <v>0</v>
      </c>
      <c r="V341" s="2253">
        <f t="shared" si="501"/>
        <v>0</v>
      </c>
      <c r="W341" s="2182"/>
      <c r="X341" s="2177"/>
      <c r="Y341" s="2183">
        <f t="shared" si="486"/>
        <v>0</v>
      </c>
      <c r="Z341" s="2254">
        <f t="shared" si="517"/>
        <v>0</v>
      </c>
      <c r="AA341" s="2252">
        <f t="shared" si="517"/>
        <v>0</v>
      </c>
      <c r="AB341" s="2255">
        <f t="shared" si="502"/>
        <v>0</v>
      </c>
      <c r="AC341" s="2177"/>
      <c r="AD341" s="2177"/>
      <c r="AE341" s="2178">
        <f t="shared" si="518"/>
        <v>0</v>
      </c>
      <c r="AF341" s="2281"/>
      <c r="AG341" s="2114"/>
      <c r="AH341" s="2177"/>
      <c r="AI341" s="2177"/>
      <c r="AJ341" s="2186">
        <f t="shared" si="503"/>
        <v>0</v>
      </c>
      <c r="AK341" s="2177"/>
      <c r="AL341" s="2177"/>
      <c r="AM341" s="2186">
        <f t="shared" si="504"/>
        <v>0</v>
      </c>
      <c r="AN341" s="2177"/>
      <c r="AO341" s="2177"/>
      <c r="AP341" s="2186">
        <f t="shared" si="505"/>
        <v>0</v>
      </c>
      <c r="AQ341" s="2177"/>
      <c r="AR341" s="2177"/>
      <c r="AS341" s="2186">
        <f t="shared" si="506"/>
        <v>0</v>
      </c>
      <c r="AT341" s="2177"/>
      <c r="AU341" s="2177"/>
      <c r="AV341" s="2186">
        <f t="shared" si="507"/>
        <v>0</v>
      </c>
      <c r="AW341" s="2177"/>
      <c r="AX341" s="2177"/>
      <c r="AY341" s="2186">
        <f t="shared" si="508"/>
        <v>0</v>
      </c>
      <c r="AZ341" s="2177"/>
      <c r="BA341" s="2177"/>
      <c r="BB341" s="2186">
        <f t="shared" si="509"/>
        <v>0</v>
      </c>
      <c r="BC341" s="2177"/>
      <c r="BD341" s="2177"/>
      <c r="BE341" s="2186">
        <f t="shared" si="510"/>
        <v>0</v>
      </c>
      <c r="BF341" s="2177"/>
      <c r="BG341" s="2177"/>
      <c r="BH341" s="2186">
        <f t="shared" si="511"/>
        <v>0</v>
      </c>
      <c r="BI341" s="2177"/>
      <c r="BJ341" s="2177"/>
      <c r="BK341" s="2186">
        <f t="shared" si="512"/>
        <v>0</v>
      </c>
      <c r="BL341" s="2177"/>
      <c r="BM341" s="2177"/>
      <c r="BN341" s="2186">
        <f t="shared" si="513"/>
        <v>0</v>
      </c>
      <c r="BO341" s="2177"/>
      <c r="BP341" s="2177"/>
      <c r="BQ341" s="2186">
        <f t="shared" si="514"/>
        <v>0</v>
      </c>
    </row>
    <row r="342" spans="3:69" s="2159" customFormat="1" hidden="1">
      <c r="C342" s="2256" t="s">
        <v>2473</v>
      </c>
      <c r="D342" s="2294" t="s">
        <v>2395</v>
      </c>
      <c r="E342" s="2297" t="s">
        <v>240</v>
      </c>
      <c r="F342" s="2162"/>
      <c r="G342" s="2259">
        <f>G346+G348+G347+G349</f>
        <v>0</v>
      </c>
      <c r="H342" s="2259">
        <f>H346+H348+H347+H349</f>
        <v>0</v>
      </c>
      <c r="I342" s="2164">
        <f t="shared" si="498"/>
        <v>0</v>
      </c>
      <c r="J342" s="2162"/>
      <c r="K342" s="2163">
        <f t="shared" si="515"/>
        <v>0</v>
      </c>
      <c r="L342" s="2163">
        <f t="shared" si="515"/>
        <v>0</v>
      </c>
      <c r="M342" s="2164">
        <f t="shared" si="499"/>
        <v>0</v>
      </c>
      <c r="N342" s="2163">
        <f>N346+N348+N347+N349</f>
        <v>0</v>
      </c>
      <c r="O342" s="2163">
        <f>O346+O348+O347+O349</f>
        <v>0</v>
      </c>
      <c r="P342" s="2164">
        <f t="shared" si="500"/>
        <v>0</v>
      </c>
      <c r="Q342" s="2163">
        <f>Q346+Q348+Q347+Q349</f>
        <v>0</v>
      </c>
      <c r="R342" s="2163">
        <f>R346+R348+R347+R349</f>
        <v>0</v>
      </c>
      <c r="S342" s="2164">
        <f t="shared" si="484"/>
        <v>0</v>
      </c>
      <c r="T342" s="2167">
        <f t="shared" si="516"/>
        <v>0</v>
      </c>
      <c r="U342" s="2163">
        <f t="shared" si="516"/>
        <v>0</v>
      </c>
      <c r="V342" s="2166">
        <f t="shared" si="501"/>
        <v>0</v>
      </c>
      <c r="W342" s="2168">
        <f>W346+W348+W347+W349</f>
        <v>0</v>
      </c>
      <c r="X342" s="2163">
        <f>X346+X348+X347+X349</f>
        <v>0</v>
      </c>
      <c r="Y342" s="2169">
        <f t="shared" si="486"/>
        <v>0</v>
      </c>
      <c r="Z342" s="2165">
        <f t="shared" si="517"/>
        <v>0</v>
      </c>
      <c r="AA342" s="2163">
        <f t="shared" si="517"/>
        <v>0</v>
      </c>
      <c r="AB342" s="2164">
        <f t="shared" si="502"/>
        <v>0</v>
      </c>
      <c r="AC342" s="2163">
        <f>AC346+AC348+AC347+AC349</f>
        <v>0</v>
      </c>
      <c r="AD342" s="2163">
        <f>AD346+AD348+AD347+AD349</f>
        <v>0</v>
      </c>
      <c r="AE342" s="2164">
        <f t="shared" si="518"/>
        <v>0</v>
      </c>
      <c r="AF342" s="2281"/>
      <c r="AG342" s="2158"/>
      <c r="AH342" s="2171">
        <f>AH346+AH348+AH347+AH349</f>
        <v>0</v>
      </c>
      <c r="AI342" s="2171">
        <f>AI346+AI348+AI347+AI349</f>
        <v>0</v>
      </c>
      <c r="AJ342" s="2172">
        <f t="shared" si="503"/>
        <v>0</v>
      </c>
      <c r="AK342" s="2171">
        <f>AK346+AK348+AK347+AK349</f>
        <v>0</v>
      </c>
      <c r="AL342" s="2171">
        <f>AL346+AL348+AL347+AL349</f>
        <v>0</v>
      </c>
      <c r="AM342" s="2172">
        <f t="shared" si="504"/>
        <v>0</v>
      </c>
      <c r="AN342" s="2171">
        <f>AN346+AN348+AN347+AN349</f>
        <v>0</v>
      </c>
      <c r="AO342" s="2171">
        <f>AO346+AO348+AO347+AO349</f>
        <v>0</v>
      </c>
      <c r="AP342" s="2172">
        <f t="shared" si="505"/>
        <v>0</v>
      </c>
      <c r="AQ342" s="2171">
        <f>AQ346+AQ348+AQ347+AQ349</f>
        <v>0</v>
      </c>
      <c r="AR342" s="2171">
        <f>AR346+AR348+AR347+AR349</f>
        <v>0</v>
      </c>
      <c r="AS342" s="2172">
        <f t="shared" si="506"/>
        <v>0</v>
      </c>
      <c r="AT342" s="2171">
        <f>AT346+AT348+AT347+AT349</f>
        <v>0</v>
      </c>
      <c r="AU342" s="2171">
        <f>AU346+AU348+AU347+AU349</f>
        <v>0</v>
      </c>
      <c r="AV342" s="2172">
        <f t="shared" si="507"/>
        <v>0</v>
      </c>
      <c r="AW342" s="2171">
        <f>AW346+AW348+AW347+AW349</f>
        <v>0</v>
      </c>
      <c r="AX342" s="2171">
        <f>AX346+AX348+AX347+AX349</f>
        <v>0</v>
      </c>
      <c r="AY342" s="2172">
        <f t="shared" si="508"/>
        <v>0</v>
      </c>
      <c r="AZ342" s="2171">
        <f>AZ346+AZ348+AZ347+AZ349</f>
        <v>0</v>
      </c>
      <c r="BA342" s="2171">
        <f>BA346+BA348+BA347+BA349</f>
        <v>0</v>
      </c>
      <c r="BB342" s="2172">
        <f t="shared" si="509"/>
        <v>0</v>
      </c>
      <c r="BC342" s="2171">
        <f>BC346+BC348+BC347+BC349</f>
        <v>0</v>
      </c>
      <c r="BD342" s="2171">
        <f>BD346+BD348+BD347+BD349</f>
        <v>0</v>
      </c>
      <c r="BE342" s="2172">
        <f t="shared" si="510"/>
        <v>0</v>
      </c>
      <c r="BF342" s="2171">
        <f>BF346+BF348+BF347+BF349</f>
        <v>0</v>
      </c>
      <c r="BG342" s="2171">
        <f>BG346+BG348+BG347+BG349</f>
        <v>0</v>
      </c>
      <c r="BH342" s="2172">
        <f t="shared" si="511"/>
        <v>0</v>
      </c>
      <c r="BI342" s="2171">
        <f>BI346+BI348+BI347+BI349</f>
        <v>0</v>
      </c>
      <c r="BJ342" s="2171">
        <f>BJ346+BJ348+BJ347+BJ349</f>
        <v>0</v>
      </c>
      <c r="BK342" s="2172">
        <f t="shared" si="512"/>
        <v>0</v>
      </c>
      <c r="BL342" s="2171">
        <f>BL346+BL348+BL347+BL349</f>
        <v>0</v>
      </c>
      <c r="BM342" s="2171">
        <f>BM346+BM348+BM347+BM349</f>
        <v>0</v>
      </c>
      <c r="BN342" s="2172">
        <f t="shared" si="513"/>
        <v>0</v>
      </c>
      <c r="BO342" s="2171">
        <f>BO346+BO348+BO347+BO349</f>
        <v>0</v>
      </c>
      <c r="BP342" s="2171">
        <f>BP346+BP348+BP347+BP349</f>
        <v>0</v>
      </c>
      <c r="BQ342" s="2172">
        <f t="shared" si="514"/>
        <v>0</v>
      </c>
    </row>
    <row r="343" spans="3:69" s="2087" customFormat="1" hidden="1">
      <c r="C343" s="2285" t="s">
        <v>2474</v>
      </c>
      <c r="D343" s="2296" t="s">
        <v>2211</v>
      </c>
      <c r="E343" s="2284" t="s">
        <v>240</v>
      </c>
      <c r="F343" s="2176"/>
      <c r="G343" s="2177"/>
      <c r="H343" s="2177"/>
      <c r="I343" s="2178">
        <f t="shared" si="498"/>
        <v>0</v>
      </c>
      <c r="J343" s="2176"/>
      <c r="K343" s="2252">
        <f t="shared" si="515"/>
        <v>0</v>
      </c>
      <c r="L343" s="2252">
        <f t="shared" si="515"/>
        <v>0</v>
      </c>
      <c r="M343" s="2255">
        <f t="shared" si="499"/>
        <v>0</v>
      </c>
      <c r="N343" s="2177"/>
      <c r="O343" s="2177"/>
      <c r="P343" s="2178">
        <f t="shared" si="500"/>
        <v>0</v>
      </c>
      <c r="Q343" s="2177"/>
      <c r="R343" s="2177"/>
      <c r="S343" s="2178">
        <f t="shared" si="484"/>
        <v>0</v>
      </c>
      <c r="T343" s="2251">
        <f t="shared" si="516"/>
        <v>0</v>
      </c>
      <c r="U343" s="2252">
        <f t="shared" si="516"/>
        <v>0</v>
      </c>
      <c r="V343" s="2253">
        <f t="shared" si="501"/>
        <v>0</v>
      </c>
      <c r="W343" s="2182"/>
      <c r="X343" s="2177"/>
      <c r="Y343" s="2183">
        <f t="shared" si="486"/>
        <v>0</v>
      </c>
      <c r="Z343" s="2254">
        <f t="shared" si="517"/>
        <v>0</v>
      </c>
      <c r="AA343" s="2252">
        <f t="shared" si="517"/>
        <v>0</v>
      </c>
      <c r="AB343" s="2255">
        <f t="shared" si="502"/>
        <v>0</v>
      </c>
      <c r="AC343" s="2177"/>
      <c r="AD343" s="2177"/>
      <c r="AE343" s="2178">
        <f t="shared" si="518"/>
        <v>0</v>
      </c>
      <c r="AF343" s="2281"/>
      <c r="AG343" s="2114"/>
      <c r="AH343" s="2177"/>
      <c r="AI343" s="2177"/>
      <c r="AJ343" s="2186">
        <f t="shared" si="503"/>
        <v>0</v>
      </c>
      <c r="AK343" s="2177"/>
      <c r="AL343" s="2177"/>
      <c r="AM343" s="2186">
        <f t="shared" si="504"/>
        <v>0</v>
      </c>
      <c r="AN343" s="2177"/>
      <c r="AO343" s="2177"/>
      <c r="AP343" s="2186">
        <f t="shared" si="505"/>
        <v>0</v>
      </c>
      <c r="AQ343" s="2177"/>
      <c r="AR343" s="2177"/>
      <c r="AS343" s="2186">
        <f t="shared" si="506"/>
        <v>0</v>
      </c>
      <c r="AT343" s="2177"/>
      <c r="AU343" s="2177"/>
      <c r="AV343" s="2186">
        <f t="shared" si="507"/>
        <v>0</v>
      </c>
      <c r="AW343" s="2177"/>
      <c r="AX343" s="2177"/>
      <c r="AY343" s="2186">
        <f t="shared" si="508"/>
        <v>0</v>
      </c>
      <c r="AZ343" s="2177"/>
      <c r="BA343" s="2177"/>
      <c r="BB343" s="2186">
        <f t="shared" si="509"/>
        <v>0</v>
      </c>
      <c r="BC343" s="2177"/>
      <c r="BD343" s="2177"/>
      <c r="BE343" s="2186">
        <f t="shared" si="510"/>
        <v>0</v>
      </c>
      <c r="BF343" s="2177"/>
      <c r="BG343" s="2177"/>
      <c r="BH343" s="2186">
        <f t="shared" si="511"/>
        <v>0</v>
      </c>
      <c r="BI343" s="2177"/>
      <c r="BJ343" s="2177"/>
      <c r="BK343" s="2186">
        <f t="shared" si="512"/>
        <v>0</v>
      </c>
      <c r="BL343" s="2177"/>
      <c r="BM343" s="2177"/>
      <c r="BN343" s="2186">
        <f t="shared" si="513"/>
        <v>0</v>
      </c>
      <c r="BO343" s="2177"/>
      <c r="BP343" s="2177"/>
      <c r="BQ343" s="2186">
        <f t="shared" si="514"/>
        <v>0</v>
      </c>
    </row>
    <row r="344" spans="3:69" s="2087" customFormat="1" hidden="1">
      <c r="C344" s="2285" t="s">
        <v>2475</v>
      </c>
      <c r="D344" s="2292" t="s">
        <v>2432</v>
      </c>
      <c r="E344" s="2284" t="s">
        <v>420</v>
      </c>
      <c r="F344" s="2176"/>
      <c r="G344" s="2177"/>
      <c r="H344" s="2177"/>
      <c r="I344" s="2178">
        <f t="shared" si="498"/>
        <v>0</v>
      </c>
      <c r="J344" s="2176"/>
      <c r="K344" s="2252">
        <f>(N344+Q344+W344+AC344)/4</f>
        <v>0</v>
      </c>
      <c r="L344" s="2252">
        <f>(O344+R344+X344+AD344)/4</f>
        <v>0</v>
      </c>
      <c r="M344" s="2255">
        <f t="shared" si="499"/>
        <v>0</v>
      </c>
      <c r="N344" s="2177"/>
      <c r="O344" s="2177"/>
      <c r="P344" s="2178">
        <f t="shared" si="500"/>
        <v>0</v>
      </c>
      <c r="Q344" s="2177"/>
      <c r="R344" s="2177"/>
      <c r="S344" s="2178">
        <f t="shared" si="484"/>
        <v>0</v>
      </c>
      <c r="T344" s="2251">
        <f>(N344+Q344)/2</f>
        <v>0</v>
      </c>
      <c r="U344" s="2252">
        <f>(O344+R344)/2</f>
        <v>0</v>
      </c>
      <c r="V344" s="2253">
        <f t="shared" si="501"/>
        <v>0</v>
      </c>
      <c r="W344" s="2182"/>
      <c r="X344" s="2177"/>
      <c r="Y344" s="2183">
        <f t="shared" si="486"/>
        <v>0</v>
      </c>
      <c r="Z344" s="2254">
        <f>(N344+Q344+W344)/3</f>
        <v>0</v>
      </c>
      <c r="AA344" s="2252">
        <f>(O344+R344+X344)/3</f>
        <v>0</v>
      </c>
      <c r="AB344" s="2255">
        <f t="shared" si="502"/>
        <v>0</v>
      </c>
      <c r="AC344" s="2177"/>
      <c r="AD344" s="2177"/>
      <c r="AE344" s="2178">
        <f t="shared" si="518"/>
        <v>0</v>
      </c>
      <c r="AF344" s="2281"/>
      <c r="AG344" s="2114"/>
      <c r="AH344" s="2177"/>
      <c r="AI344" s="2177"/>
      <c r="AJ344" s="2186">
        <f t="shared" si="503"/>
        <v>0</v>
      </c>
      <c r="AK344" s="2177"/>
      <c r="AL344" s="2177"/>
      <c r="AM344" s="2186">
        <f t="shared" si="504"/>
        <v>0</v>
      </c>
      <c r="AN344" s="2177"/>
      <c r="AO344" s="2177"/>
      <c r="AP344" s="2186">
        <f t="shared" si="505"/>
        <v>0</v>
      </c>
      <c r="AQ344" s="2177"/>
      <c r="AR344" s="2177"/>
      <c r="AS344" s="2186">
        <f t="shared" si="506"/>
        <v>0</v>
      </c>
      <c r="AT344" s="2177"/>
      <c r="AU344" s="2177"/>
      <c r="AV344" s="2186">
        <f t="shared" si="507"/>
        <v>0</v>
      </c>
      <c r="AW344" s="2177"/>
      <c r="AX344" s="2177"/>
      <c r="AY344" s="2186">
        <f t="shared" si="508"/>
        <v>0</v>
      </c>
      <c r="AZ344" s="2177"/>
      <c r="BA344" s="2177"/>
      <c r="BB344" s="2186">
        <f t="shared" si="509"/>
        <v>0</v>
      </c>
      <c r="BC344" s="2177"/>
      <c r="BD344" s="2177"/>
      <c r="BE344" s="2186">
        <f t="shared" si="510"/>
        <v>0</v>
      </c>
      <c r="BF344" s="2177"/>
      <c r="BG344" s="2177"/>
      <c r="BH344" s="2186">
        <f t="shared" si="511"/>
        <v>0</v>
      </c>
      <c r="BI344" s="2177"/>
      <c r="BJ344" s="2177"/>
      <c r="BK344" s="2186">
        <f t="shared" si="512"/>
        <v>0</v>
      </c>
      <c r="BL344" s="2177"/>
      <c r="BM344" s="2177"/>
      <c r="BN344" s="2186">
        <f t="shared" si="513"/>
        <v>0</v>
      </c>
      <c r="BO344" s="2177"/>
      <c r="BP344" s="2177"/>
      <c r="BQ344" s="2186">
        <f t="shared" si="514"/>
        <v>0</v>
      </c>
    </row>
    <row r="345" spans="3:69" s="2087" customFormat="1" hidden="1">
      <c r="C345" s="2285" t="s">
        <v>2476</v>
      </c>
      <c r="D345" s="2287" t="s">
        <v>2229</v>
      </c>
      <c r="E345" s="2284" t="s">
        <v>420</v>
      </c>
      <c r="F345" s="2176"/>
      <c r="G345" s="2177"/>
      <c r="H345" s="2177"/>
      <c r="I345" s="2178">
        <f t="shared" si="498"/>
        <v>0</v>
      </c>
      <c r="J345" s="2176"/>
      <c r="K345" s="2252">
        <f>(N345+Q345+W345+AC345)/4</f>
        <v>0</v>
      </c>
      <c r="L345" s="2252">
        <f>(O345+R345+X345+AD345)/4</f>
        <v>0</v>
      </c>
      <c r="M345" s="2255">
        <f t="shared" si="499"/>
        <v>0</v>
      </c>
      <c r="N345" s="2177"/>
      <c r="O345" s="2177"/>
      <c r="P345" s="2178">
        <f t="shared" si="500"/>
        <v>0</v>
      </c>
      <c r="Q345" s="2177"/>
      <c r="R345" s="2177"/>
      <c r="S345" s="2178">
        <f t="shared" si="484"/>
        <v>0</v>
      </c>
      <c r="T345" s="2251">
        <f>(N345+Q345)/2</f>
        <v>0</v>
      </c>
      <c r="U345" s="2252">
        <f>(O345+R345)/2</f>
        <v>0</v>
      </c>
      <c r="V345" s="2253">
        <f t="shared" si="501"/>
        <v>0</v>
      </c>
      <c r="W345" s="2182"/>
      <c r="X345" s="2177"/>
      <c r="Y345" s="2183">
        <f t="shared" si="486"/>
        <v>0</v>
      </c>
      <c r="Z345" s="2254">
        <f>(N345+Q345+W345)/3</f>
        <v>0</v>
      </c>
      <c r="AA345" s="2252">
        <f>(O345+R345+X345)/3</f>
        <v>0</v>
      </c>
      <c r="AB345" s="2255">
        <f t="shared" si="502"/>
        <v>0</v>
      </c>
      <c r="AC345" s="2177"/>
      <c r="AD345" s="2177"/>
      <c r="AE345" s="2178">
        <f t="shared" si="518"/>
        <v>0</v>
      </c>
      <c r="AF345" s="2281"/>
      <c r="AG345" s="2114"/>
      <c r="AH345" s="2177"/>
      <c r="AI345" s="2177"/>
      <c r="AJ345" s="2186">
        <f t="shared" si="503"/>
        <v>0</v>
      </c>
      <c r="AK345" s="2177"/>
      <c r="AL345" s="2177"/>
      <c r="AM345" s="2186">
        <f t="shared" si="504"/>
        <v>0</v>
      </c>
      <c r="AN345" s="2177"/>
      <c r="AO345" s="2177"/>
      <c r="AP345" s="2186">
        <f t="shared" si="505"/>
        <v>0</v>
      </c>
      <c r="AQ345" s="2177"/>
      <c r="AR345" s="2177"/>
      <c r="AS345" s="2186">
        <f t="shared" si="506"/>
        <v>0</v>
      </c>
      <c r="AT345" s="2177"/>
      <c r="AU345" s="2177"/>
      <c r="AV345" s="2186">
        <f t="shared" si="507"/>
        <v>0</v>
      </c>
      <c r="AW345" s="2177"/>
      <c r="AX345" s="2177"/>
      <c r="AY345" s="2186">
        <f t="shared" si="508"/>
        <v>0</v>
      </c>
      <c r="AZ345" s="2177"/>
      <c r="BA345" s="2177"/>
      <c r="BB345" s="2186">
        <f t="shared" si="509"/>
        <v>0</v>
      </c>
      <c r="BC345" s="2177"/>
      <c r="BD345" s="2177"/>
      <c r="BE345" s="2186">
        <f t="shared" si="510"/>
        <v>0</v>
      </c>
      <c r="BF345" s="2177"/>
      <c r="BG345" s="2177"/>
      <c r="BH345" s="2186">
        <f t="shared" si="511"/>
        <v>0</v>
      </c>
      <c r="BI345" s="2177"/>
      <c r="BJ345" s="2177"/>
      <c r="BK345" s="2186">
        <f t="shared" si="512"/>
        <v>0</v>
      </c>
      <c r="BL345" s="2177"/>
      <c r="BM345" s="2177"/>
      <c r="BN345" s="2186">
        <f t="shared" si="513"/>
        <v>0</v>
      </c>
      <c r="BO345" s="2177"/>
      <c r="BP345" s="2177"/>
      <c r="BQ345" s="2186">
        <f t="shared" si="514"/>
        <v>0</v>
      </c>
    </row>
    <row r="346" spans="3:69" s="2087" customFormat="1" hidden="1">
      <c r="C346" s="2285" t="s">
        <v>2477</v>
      </c>
      <c r="D346" s="2292" t="s">
        <v>2436</v>
      </c>
      <c r="E346" s="2284" t="s">
        <v>240</v>
      </c>
      <c r="F346" s="2176"/>
      <c r="G346" s="2177"/>
      <c r="H346" s="2177"/>
      <c r="I346" s="2178">
        <f t="shared" si="498"/>
        <v>0</v>
      </c>
      <c r="J346" s="2176"/>
      <c r="K346" s="2252">
        <f t="shared" ref="K346:L349" si="519">N346+Q346+W346+AC346</f>
        <v>0</v>
      </c>
      <c r="L346" s="2252">
        <f t="shared" si="519"/>
        <v>0</v>
      </c>
      <c r="M346" s="2255">
        <f t="shared" si="499"/>
        <v>0</v>
      </c>
      <c r="N346" s="2177"/>
      <c r="O346" s="2177"/>
      <c r="P346" s="2178">
        <f t="shared" si="500"/>
        <v>0</v>
      </c>
      <c r="Q346" s="2177"/>
      <c r="R346" s="2177"/>
      <c r="S346" s="2178">
        <f t="shared" si="484"/>
        <v>0</v>
      </c>
      <c r="T346" s="2251">
        <f t="shared" ref="T346:U361" si="520">N346+Q346</f>
        <v>0</v>
      </c>
      <c r="U346" s="2252">
        <f t="shared" si="520"/>
        <v>0</v>
      </c>
      <c r="V346" s="2253">
        <f t="shared" si="501"/>
        <v>0</v>
      </c>
      <c r="W346" s="2182"/>
      <c r="X346" s="2177"/>
      <c r="Y346" s="2183">
        <f t="shared" si="486"/>
        <v>0</v>
      </c>
      <c r="Z346" s="2254">
        <f t="shared" ref="Z346:AA349" si="521">T346+W346</f>
        <v>0</v>
      </c>
      <c r="AA346" s="2252">
        <f t="shared" si="521"/>
        <v>0</v>
      </c>
      <c r="AB346" s="2255">
        <f t="shared" si="502"/>
        <v>0</v>
      </c>
      <c r="AC346" s="2177"/>
      <c r="AD346" s="2177"/>
      <c r="AE346" s="2178">
        <f t="shared" si="518"/>
        <v>0</v>
      </c>
      <c r="AF346" s="2281"/>
      <c r="AG346" s="2114"/>
      <c r="AH346" s="2177"/>
      <c r="AI346" s="2177"/>
      <c r="AJ346" s="2186">
        <f t="shared" si="503"/>
        <v>0</v>
      </c>
      <c r="AK346" s="2177"/>
      <c r="AL346" s="2177"/>
      <c r="AM346" s="2186">
        <f t="shared" si="504"/>
        <v>0</v>
      </c>
      <c r="AN346" s="2177"/>
      <c r="AO346" s="2177"/>
      <c r="AP346" s="2186">
        <f t="shared" si="505"/>
        <v>0</v>
      </c>
      <c r="AQ346" s="2177"/>
      <c r="AR346" s="2177"/>
      <c r="AS346" s="2186">
        <f t="shared" si="506"/>
        <v>0</v>
      </c>
      <c r="AT346" s="2177"/>
      <c r="AU346" s="2177"/>
      <c r="AV346" s="2186">
        <f t="shared" si="507"/>
        <v>0</v>
      </c>
      <c r="AW346" s="2177"/>
      <c r="AX346" s="2177"/>
      <c r="AY346" s="2186">
        <f t="shared" si="508"/>
        <v>0</v>
      </c>
      <c r="AZ346" s="2177"/>
      <c r="BA346" s="2177"/>
      <c r="BB346" s="2186">
        <f t="shared" si="509"/>
        <v>0</v>
      </c>
      <c r="BC346" s="2177"/>
      <c r="BD346" s="2177"/>
      <c r="BE346" s="2186">
        <f t="shared" si="510"/>
        <v>0</v>
      </c>
      <c r="BF346" s="2177"/>
      <c r="BG346" s="2177"/>
      <c r="BH346" s="2186">
        <f t="shared" si="511"/>
        <v>0</v>
      </c>
      <c r="BI346" s="2177"/>
      <c r="BJ346" s="2177"/>
      <c r="BK346" s="2186">
        <f t="shared" si="512"/>
        <v>0</v>
      </c>
      <c r="BL346" s="2177"/>
      <c r="BM346" s="2177"/>
      <c r="BN346" s="2186">
        <f t="shared" si="513"/>
        <v>0</v>
      </c>
      <c r="BO346" s="2177"/>
      <c r="BP346" s="2177"/>
      <c r="BQ346" s="2186">
        <f t="shared" si="514"/>
        <v>0</v>
      </c>
    </row>
    <row r="347" spans="3:69" s="2087" customFormat="1" hidden="1">
      <c r="C347" s="2285" t="s">
        <v>2478</v>
      </c>
      <c r="D347" s="2287" t="s">
        <v>2229</v>
      </c>
      <c r="E347" s="2284" t="s">
        <v>240</v>
      </c>
      <c r="F347" s="2176"/>
      <c r="G347" s="2177"/>
      <c r="H347" s="2177"/>
      <c r="I347" s="2178">
        <f t="shared" si="498"/>
        <v>0</v>
      </c>
      <c r="J347" s="2176"/>
      <c r="K347" s="2252">
        <f t="shared" si="519"/>
        <v>0</v>
      </c>
      <c r="L347" s="2252">
        <f t="shared" si="519"/>
        <v>0</v>
      </c>
      <c r="M347" s="2255">
        <f t="shared" si="499"/>
        <v>0</v>
      </c>
      <c r="N347" s="2177"/>
      <c r="O347" s="2177"/>
      <c r="P347" s="2178">
        <f t="shared" si="500"/>
        <v>0</v>
      </c>
      <c r="Q347" s="2177"/>
      <c r="R347" s="2177"/>
      <c r="S347" s="2178">
        <f t="shared" si="484"/>
        <v>0</v>
      </c>
      <c r="T347" s="2251">
        <f t="shared" si="520"/>
        <v>0</v>
      </c>
      <c r="U347" s="2252">
        <f t="shared" si="520"/>
        <v>0</v>
      </c>
      <c r="V347" s="2253">
        <f t="shared" si="501"/>
        <v>0</v>
      </c>
      <c r="W347" s="2182"/>
      <c r="X347" s="2177"/>
      <c r="Y347" s="2183">
        <f t="shared" si="486"/>
        <v>0</v>
      </c>
      <c r="Z347" s="2254">
        <f t="shared" si="521"/>
        <v>0</v>
      </c>
      <c r="AA347" s="2252">
        <f t="shared" si="521"/>
        <v>0</v>
      </c>
      <c r="AB347" s="2255">
        <f t="shared" si="502"/>
        <v>0</v>
      </c>
      <c r="AC347" s="2177"/>
      <c r="AD347" s="2177"/>
      <c r="AE347" s="2178">
        <f t="shared" si="518"/>
        <v>0</v>
      </c>
      <c r="AF347" s="2281"/>
      <c r="AG347" s="2114"/>
      <c r="AH347" s="2177"/>
      <c r="AI347" s="2177"/>
      <c r="AJ347" s="2186">
        <f t="shared" si="503"/>
        <v>0</v>
      </c>
      <c r="AK347" s="2177"/>
      <c r="AL347" s="2177"/>
      <c r="AM347" s="2186">
        <f t="shared" si="504"/>
        <v>0</v>
      </c>
      <c r="AN347" s="2177"/>
      <c r="AO347" s="2177"/>
      <c r="AP347" s="2186">
        <f t="shared" si="505"/>
        <v>0</v>
      </c>
      <c r="AQ347" s="2177"/>
      <c r="AR347" s="2177"/>
      <c r="AS347" s="2186">
        <f t="shared" si="506"/>
        <v>0</v>
      </c>
      <c r="AT347" s="2177"/>
      <c r="AU347" s="2177"/>
      <c r="AV347" s="2186">
        <f t="shared" si="507"/>
        <v>0</v>
      </c>
      <c r="AW347" s="2177"/>
      <c r="AX347" s="2177"/>
      <c r="AY347" s="2186">
        <f t="shared" si="508"/>
        <v>0</v>
      </c>
      <c r="AZ347" s="2177"/>
      <c r="BA347" s="2177"/>
      <c r="BB347" s="2186">
        <f t="shared" si="509"/>
        <v>0</v>
      </c>
      <c r="BC347" s="2177"/>
      <c r="BD347" s="2177"/>
      <c r="BE347" s="2186">
        <f t="shared" si="510"/>
        <v>0</v>
      </c>
      <c r="BF347" s="2177"/>
      <c r="BG347" s="2177"/>
      <c r="BH347" s="2186">
        <f t="shared" si="511"/>
        <v>0</v>
      </c>
      <c r="BI347" s="2177"/>
      <c r="BJ347" s="2177"/>
      <c r="BK347" s="2186">
        <f t="shared" si="512"/>
        <v>0</v>
      </c>
      <c r="BL347" s="2177"/>
      <c r="BM347" s="2177"/>
      <c r="BN347" s="2186">
        <f t="shared" si="513"/>
        <v>0</v>
      </c>
      <c r="BO347" s="2177"/>
      <c r="BP347" s="2177"/>
      <c r="BQ347" s="2186">
        <f t="shared" si="514"/>
        <v>0</v>
      </c>
    </row>
    <row r="348" spans="3:69" s="2087" customFormat="1" hidden="1">
      <c r="C348" s="2285" t="s">
        <v>2479</v>
      </c>
      <c r="D348" s="2292" t="s">
        <v>2439</v>
      </c>
      <c r="E348" s="2284" t="s">
        <v>240</v>
      </c>
      <c r="F348" s="2176"/>
      <c r="G348" s="2177"/>
      <c r="H348" s="2177"/>
      <c r="I348" s="2178">
        <f t="shared" si="498"/>
        <v>0</v>
      </c>
      <c r="J348" s="2176"/>
      <c r="K348" s="2252">
        <f t="shared" si="519"/>
        <v>0</v>
      </c>
      <c r="L348" s="2252">
        <f t="shared" si="519"/>
        <v>0</v>
      </c>
      <c r="M348" s="2255">
        <f t="shared" si="499"/>
        <v>0</v>
      </c>
      <c r="N348" s="2177"/>
      <c r="O348" s="2177"/>
      <c r="P348" s="2178">
        <f t="shared" si="500"/>
        <v>0</v>
      </c>
      <c r="Q348" s="2177"/>
      <c r="R348" s="2177"/>
      <c r="S348" s="2178">
        <f t="shared" si="484"/>
        <v>0</v>
      </c>
      <c r="T348" s="2251">
        <f t="shared" si="520"/>
        <v>0</v>
      </c>
      <c r="U348" s="2252">
        <f t="shared" si="520"/>
        <v>0</v>
      </c>
      <c r="V348" s="2253">
        <f t="shared" si="501"/>
        <v>0</v>
      </c>
      <c r="W348" s="2182"/>
      <c r="X348" s="2177"/>
      <c r="Y348" s="2183">
        <f t="shared" si="486"/>
        <v>0</v>
      </c>
      <c r="Z348" s="2254">
        <f t="shared" si="521"/>
        <v>0</v>
      </c>
      <c r="AA348" s="2252">
        <f t="shared" si="521"/>
        <v>0</v>
      </c>
      <c r="AB348" s="2255">
        <f t="shared" si="502"/>
        <v>0</v>
      </c>
      <c r="AC348" s="2177"/>
      <c r="AD348" s="2177"/>
      <c r="AE348" s="2178">
        <f t="shared" si="518"/>
        <v>0</v>
      </c>
      <c r="AF348" s="2281"/>
      <c r="AG348" s="2114"/>
      <c r="AH348" s="2177"/>
      <c r="AI348" s="2177"/>
      <c r="AJ348" s="2186">
        <f t="shared" si="503"/>
        <v>0</v>
      </c>
      <c r="AK348" s="2177"/>
      <c r="AL348" s="2177"/>
      <c r="AM348" s="2186">
        <f t="shared" si="504"/>
        <v>0</v>
      </c>
      <c r="AN348" s="2177"/>
      <c r="AO348" s="2177"/>
      <c r="AP348" s="2186">
        <f t="shared" si="505"/>
        <v>0</v>
      </c>
      <c r="AQ348" s="2177"/>
      <c r="AR348" s="2177"/>
      <c r="AS348" s="2186">
        <f t="shared" si="506"/>
        <v>0</v>
      </c>
      <c r="AT348" s="2177"/>
      <c r="AU348" s="2177"/>
      <c r="AV348" s="2186">
        <f t="shared" si="507"/>
        <v>0</v>
      </c>
      <c r="AW348" s="2177"/>
      <c r="AX348" s="2177"/>
      <c r="AY348" s="2186">
        <f t="shared" si="508"/>
        <v>0</v>
      </c>
      <c r="AZ348" s="2177"/>
      <c r="BA348" s="2177"/>
      <c r="BB348" s="2186">
        <f t="shared" si="509"/>
        <v>0</v>
      </c>
      <c r="BC348" s="2177"/>
      <c r="BD348" s="2177"/>
      <c r="BE348" s="2186">
        <f t="shared" si="510"/>
        <v>0</v>
      </c>
      <c r="BF348" s="2177"/>
      <c r="BG348" s="2177"/>
      <c r="BH348" s="2186">
        <f t="shared" si="511"/>
        <v>0</v>
      </c>
      <c r="BI348" s="2177"/>
      <c r="BJ348" s="2177"/>
      <c r="BK348" s="2186">
        <f t="shared" si="512"/>
        <v>0</v>
      </c>
      <c r="BL348" s="2177"/>
      <c r="BM348" s="2177"/>
      <c r="BN348" s="2186">
        <f t="shared" si="513"/>
        <v>0</v>
      </c>
      <c r="BO348" s="2177"/>
      <c r="BP348" s="2177"/>
      <c r="BQ348" s="2186">
        <f t="shared" si="514"/>
        <v>0</v>
      </c>
    </row>
    <row r="349" spans="3:69" s="2087" customFormat="1" hidden="1">
      <c r="C349" s="2285" t="s">
        <v>2480</v>
      </c>
      <c r="D349" s="2287" t="s">
        <v>2229</v>
      </c>
      <c r="E349" s="2284" t="s">
        <v>240</v>
      </c>
      <c r="F349" s="2176"/>
      <c r="G349" s="2177"/>
      <c r="H349" s="2177"/>
      <c r="I349" s="2178">
        <f t="shared" si="498"/>
        <v>0</v>
      </c>
      <c r="J349" s="2176"/>
      <c r="K349" s="2252">
        <f t="shared" si="519"/>
        <v>0</v>
      </c>
      <c r="L349" s="2252">
        <f t="shared" si="519"/>
        <v>0</v>
      </c>
      <c r="M349" s="2255">
        <f t="shared" si="499"/>
        <v>0</v>
      </c>
      <c r="N349" s="2177"/>
      <c r="O349" s="2177"/>
      <c r="P349" s="2178">
        <f t="shared" si="500"/>
        <v>0</v>
      </c>
      <c r="Q349" s="2177"/>
      <c r="R349" s="2177"/>
      <c r="S349" s="2178">
        <f t="shared" si="484"/>
        <v>0</v>
      </c>
      <c r="T349" s="2251">
        <f t="shared" si="520"/>
        <v>0</v>
      </c>
      <c r="U349" s="2252">
        <f t="shared" si="520"/>
        <v>0</v>
      </c>
      <c r="V349" s="2253">
        <f t="shared" si="501"/>
        <v>0</v>
      </c>
      <c r="W349" s="2182"/>
      <c r="X349" s="2177"/>
      <c r="Y349" s="2183">
        <f t="shared" si="486"/>
        <v>0</v>
      </c>
      <c r="Z349" s="2254">
        <f t="shared" si="521"/>
        <v>0</v>
      </c>
      <c r="AA349" s="2252">
        <f t="shared" si="521"/>
        <v>0</v>
      </c>
      <c r="AB349" s="2255">
        <f t="shared" si="502"/>
        <v>0</v>
      </c>
      <c r="AC349" s="2177"/>
      <c r="AD349" s="2177"/>
      <c r="AE349" s="2178">
        <f t="shared" si="518"/>
        <v>0</v>
      </c>
      <c r="AF349" s="2281"/>
      <c r="AG349" s="2114"/>
      <c r="AH349" s="2177"/>
      <c r="AI349" s="2177"/>
      <c r="AJ349" s="2186">
        <f t="shared" si="503"/>
        <v>0</v>
      </c>
      <c r="AK349" s="2177"/>
      <c r="AL349" s="2177"/>
      <c r="AM349" s="2186">
        <f t="shared" si="504"/>
        <v>0</v>
      </c>
      <c r="AN349" s="2177"/>
      <c r="AO349" s="2177"/>
      <c r="AP349" s="2186">
        <f t="shared" si="505"/>
        <v>0</v>
      </c>
      <c r="AQ349" s="2177"/>
      <c r="AR349" s="2177"/>
      <c r="AS349" s="2186">
        <f t="shared" si="506"/>
        <v>0</v>
      </c>
      <c r="AT349" s="2177"/>
      <c r="AU349" s="2177"/>
      <c r="AV349" s="2186">
        <f t="shared" si="507"/>
        <v>0</v>
      </c>
      <c r="AW349" s="2177"/>
      <c r="AX349" s="2177"/>
      <c r="AY349" s="2186">
        <f t="shared" si="508"/>
        <v>0</v>
      </c>
      <c r="AZ349" s="2177"/>
      <c r="BA349" s="2177"/>
      <c r="BB349" s="2186">
        <f t="shared" si="509"/>
        <v>0</v>
      </c>
      <c r="BC349" s="2177"/>
      <c r="BD349" s="2177"/>
      <c r="BE349" s="2186">
        <f t="shared" si="510"/>
        <v>0</v>
      </c>
      <c r="BF349" s="2177"/>
      <c r="BG349" s="2177"/>
      <c r="BH349" s="2186">
        <f t="shared" si="511"/>
        <v>0</v>
      </c>
      <c r="BI349" s="2177"/>
      <c r="BJ349" s="2177"/>
      <c r="BK349" s="2186">
        <f t="shared" si="512"/>
        <v>0</v>
      </c>
      <c r="BL349" s="2177"/>
      <c r="BM349" s="2177"/>
      <c r="BN349" s="2186">
        <f t="shared" si="513"/>
        <v>0</v>
      </c>
      <c r="BO349" s="2177"/>
      <c r="BP349" s="2177"/>
      <c r="BQ349" s="2186">
        <f t="shared" si="514"/>
        <v>0</v>
      </c>
    </row>
    <row r="350" spans="3:69" s="2087" customFormat="1" hidden="1">
      <c r="C350" s="2173" t="s">
        <v>2481</v>
      </c>
      <c r="D350" s="2298" t="s">
        <v>2482</v>
      </c>
      <c r="E350" s="2250" t="s">
        <v>2483</v>
      </c>
      <c r="F350" s="2299"/>
      <c r="G350" s="2300">
        <f>G351+G354+G357+G360+G363</f>
        <v>0</v>
      </c>
      <c r="H350" s="2300">
        <f>H351+H354+H357+H360+H363</f>
        <v>0</v>
      </c>
      <c r="I350" s="2301">
        <f>H350-G350</f>
        <v>0</v>
      </c>
      <c r="J350" s="2302"/>
      <c r="K350" s="2300">
        <f>K351+K354+K357+K360+K363</f>
        <v>0</v>
      </c>
      <c r="L350" s="2300">
        <f>L351+L354+L357+L360+L363</f>
        <v>0</v>
      </c>
      <c r="M350" s="2303">
        <f>L350-K350</f>
        <v>0</v>
      </c>
      <c r="N350" s="2300">
        <f>N351+N354+N357+N360+N363</f>
        <v>0</v>
      </c>
      <c r="O350" s="2300">
        <f>O351+O354+O357+O360+O363</f>
        <v>0</v>
      </c>
      <c r="P350" s="2303">
        <f>O350-N350</f>
        <v>0</v>
      </c>
      <c r="Q350" s="2300">
        <f>Q351+Q354+Q357+Q360+Q363</f>
        <v>0</v>
      </c>
      <c r="R350" s="2300">
        <f>R351+R354+R357+R360+R363</f>
        <v>0</v>
      </c>
      <c r="S350" s="2301">
        <f t="shared" si="484"/>
        <v>0</v>
      </c>
      <c r="T350" s="2304">
        <f t="shared" si="520"/>
        <v>0</v>
      </c>
      <c r="U350" s="2300">
        <f t="shared" si="520"/>
        <v>0</v>
      </c>
      <c r="V350" s="2301">
        <f>U350-T350</f>
        <v>0</v>
      </c>
      <c r="W350" s="2305">
        <f>W351+W354+W357+W360+W363</f>
        <v>0</v>
      </c>
      <c r="X350" s="2300">
        <f>X351+X354+X357+X360+X363</f>
        <v>0</v>
      </c>
      <c r="Y350" s="2306">
        <f t="shared" si="486"/>
        <v>0</v>
      </c>
      <c r="Z350" s="2307">
        <f>T350+W350</f>
        <v>0</v>
      </c>
      <c r="AA350" s="2300">
        <f>U350+X350</f>
        <v>0</v>
      </c>
      <c r="AB350" s="2303">
        <f>AA350-Z350</f>
        <v>0</v>
      </c>
      <c r="AC350" s="2300">
        <f>AC351+AC354+AC357+AC360+AC363</f>
        <v>0</v>
      </c>
      <c r="AD350" s="2300">
        <f>AD351+AD354+AD357+AD360+AD363</f>
        <v>0</v>
      </c>
      <c r="AE350" s="2180">
        <f t="shared" si="518"/>
        <v>0</v>
      </c>
      <c r="AF350" s="2308"/>
      <c r="AG350" s="2114"/>
      <c r="AH350" s="2309">
        <f>AH351+AH354+AH357+AH360+AH363</f>
        <v>0</v>
      </c>
      <c r="AI350" s="2309">
        <f>AI351+AI354+AI357+AI360+AI363</f>
        <v>0</v>
      </c>
      <c r="AJ350" s="2310">
        <f>AI350-AH350</f>
        <v>0</v>
      </c>
      <c r="AK350" s="2309">
        <f>AK351+AK354+AK357+AK360+AK363</f>
        <v>0</v>
      </c>
      <c r="AL350" s="2309">
        <f>AL351+AL354+AL357+AL360+AL363</f>
        <v>0</v>
      </c>
      <c r="AM350" s="2310">
        <f>AL350-AK350</f>
        <v>0</v>
      </c>
      <c r="AN350" s="2309">
        <f>AN351+AN354+AN357+AN360+AN363</f>
        <v>0</v>
      </c>
      <c r="AO350" s="2309">
        <f>AO351+AO354+AO357+AO360+AO363</f>
        <v>0</v>
      </c>
      <c r="AP350" s="2310">
        <f>AO350-AN350</f>
        <v>0</v>
      </c>
      <c r="AQ350" s="2309">
        <f>AQ351+AQ354+AQ357+AQ360+AQ363</f>
        <v>0</v>
      </c>
      <c r="AR350" s="2309">
        <f>AR351+AR354+AR357+AR360+AR363</f>
        <v>0</v>
      </c>
      <c r="AS350" s="2310">
        <f>AR350-AQ350</f>
        <v>0</v>
      </c>
      <c r="AT350" s="2309">
        <f>AT351+AT354+AT357+AT360+AT363</f>
        <v>0</v>
      </c>
      <c r="AU350" s="2309">
        <f>AU351+AU354+AU357+AU360+AU363</f>
        <v>0</v>
      </c>
      <c r="AV350" s="2310">
        <f>AU350-AT350</f>
        <v>0</v>
      </c>
      <c r="AW350" s="2309">
        <f>AW351+AW354+AW357+AW360+AW363</f>
        <v>0</v>
      </c>
      <c r="AX350" s="2309">
        <f>AX351+AX354+AX357+AX360+AX363</f>
        <v>0</v>
      </c>
      <c r="AY350" s="2310">
        <f>AX350-AW350</f>
        <v>0</v>
      </c>
      <c r="AZ350" s="2309">
        <f>AZ351+AZ354+AZ357+AZ360+AZ363</f>
        <v>0</v>
      </c>
      <c r="BA350" s="2309">
        <f>BA351+BA354+BA357+BA360+BA363</f>
        <v>0</v>
      </c>
      <c r="BB350" s="2310">
        <f>BA350-AZ350</f>
        <v>0</v>
      </c>
      <c r="BC350" s="2309">
        <f>BC351+BC354+BC357+BC360+BC363</f>
        <v>0</v>
      </c>
      <c r="BD350" s="2309">
        <f>BD351+BD354+BD357+BD360+BD363</f>
        <v>0</v>
      </c>
      <c r="BE350" s="2310">
        <f>BD350-BC350</f>
        <v>0</v>
      </c>
      <c r="BF350" s="2309">
        <f>BF351+BF354+BF357+BF360+BF363</f>
        <v>0</v>
      </c>
      <c r="BG350" s="2309">
        <f>BG351+BG354+BG357+BG360+BG363</f>
        <v>0</v>
      </c>
      <c r="BH350" s="2310">
        <f>BG350-BF350</f>
        <v>0</v>
      </c>
      <c r="BI350" s="2309">
        <f>BI351+BI354+BI357+BI360+BI363</f>
        <v>0</v>
      </c>
      <c r="BJ350" s="2309">
        <f>BJ351+BJ354+BJ357+BJ360+BJ363</f>
        <v>0</v>
      </c>
      <c r="BK350" s="2310">
        <f>BJ350-BI350</f>
        <v>0</v>
      </c>
      <c r="BL350" s="2309">
        <f>BL351+BL354+BL357+BL360+BL363</f>
        <v>0</v>
      </c>
      <c r="BM350" s="2309">
        <f>BM351+BM354+BM357+BM360+BM363</f>
        <v>0</v>
      </c>
      <c r="BN350" s="2310">
        <f>BM350-BL350</f>
        <v>0</v>
      </c>
      <c r="BO350" s="2309">
        <f>BO351+BO354+BO357+BO360+BO363</f>
        <v>0</v>
      </c>
      <c r="BP350" s="2309">
        <f>BP351+BP354+BP357+BP360+BP363</f>
        <v>0</v>
      </c>
      <c r="BQ350" s="2310">
        <f>BP350-BO350</f>
        <v>0</v>
      </c>
    </row>
    <row r="351" spans="3:69" s="2087" customFormat="1" hidden="1">
      <c r="C351" s="2173" t="s">
        <v>2484</v>
      </c>
      <c r="D351" s="2311" t="s">
        <v>2485</v>
      </c>
      <c r="E351" s="2250" t="s">
        <v>2483</v>
      </c>
      <c r="F351" s="2216"/>
      <c r="G351" s="2312"/>
      <c r="H351" s="2312"/>
      <c r="I351" s="2301">
        <f>H351-G351</f>
        <v>0</v>
      </c>
      <c r="J351" s="2313"/>
      <c r="K351" s="2300">
        <f>N351+Q351+W351+AC351</f>
        <v>0</v>
      </c>
      <c r="L351" s="2300">
        <f>O351+R351+X351+AD351</f>
        <v>0</v>
      </c>
      <c r="M351" s="2303">
        <f t="shared" ref="M351:M364" si="522">L351-K351</f>
        <v>0</v>
      </c>
      <c r="N351" s="2312"/>
      <c r="O351" s="2312"/>
      <c r="P351" s="2303">
        <f t="shared" si="500"/>
        <v>0</v>
      </c>
      <c r="Q351" s="2312"/>
      <c r="R351" s="2312"/>
      <c r="S351" s="2301">
        <f t="shared" si="484"/>
        <v>0</v>
      </c>
      <c r="T351" s="2304">
        <f t="shared" si="520"/>
        <v>0</v>
      </c>
      <c r="U351" s="2300">
        <f t="shared" si="520"/>
        <v>0</v>
      </c>
      <c r="V351" s="2301">
        <f t="shared" ref="V351:V364" si="523">U351-T351</f>
        <v>0</v>
      </c>
      <c r="W351" s="2314"/>
      <c r="X351" s="2312"/>
      <c r="Y351" s="2306">
        <f t="shared" si="486"/>
        <v>0</v>
      </c>
      <c r="Z351" s="2307">
        <f>T351+W351</f>
        <v>0</v>
      </c>
      <c r="AA351" s="2300">
        <f>U351+X351</f>
        <v>0</v>
      </c>
      <c r="AB351" s="2303">
        <f t="shared" ref="AB351:AB364" si="524">AA351-Z351</f>
        <v>0</v>
      </c>
      <c r="AC351" s="2312"/>
      <c r="AD351" s="2312"/>
      <c r="AE351" s="2180">
        <f t="shared" si="518"/>
        <v>0</v>
      </c>
      <c r="AF351" s="2276"/>
      <c r="AG351" s="2114"/>
      <c r="AH351" s="2312"/>
      <c r="AI351" s="2312"/>
      <c r="AJ351" s="2310">
        <f t="shared" ref="AJ351:AJ352" si="525">AI351-AH351</f>
        <v>0</v>
      </c>
      <c r="AK351" s="2312"/>
      <c r="AL351" s="2312"/>
      <c r="AM351" s="2310">
        <f t="shared" ref="AM351:AM352" si="526">AL351-AK351</f>
        <v>0</v>
      </c>
      <c r="AN351" s="2312"/>
      <c r="AO351" s="2312"/>
      <c r="AP351" s="2310">
        <f t="shared" ref="AP351:AP352" si="527">AO351-AN351</f>
        <v>0</v>
      </c>
      <c r="AQ351" s="2312"/>
      <c r="AR351" s="2312"/>
      <c r="AS351" s="2310">
        <f t="shared" ref="AS351:AS352" si="528">AR351-AQ351</f>
        <v>0</v>
      </c>
      <c r="AT351" s="2312"/>
      <c r="AU351" s="2312"/>
      <c r="AV351" s="2310">
        <f t="shared" ref="AV351:AV352" si="529">AU351-AT351</f>
        <v>0</v>
      </c>
      <c r="AW351" s="2312"/>
      <c r="AX351" s="2312"/>
      <c r="AY351" s="2310">
        <f t="shared" ref="AY351:AY352" si="530">AX351-AW351</f>
        <v>0</v>
      </c>
      <c r="AZ351" s="2312"/>
      <c r="BA351" s="2312"/>
      <c r="BB351" s="2310">
        <f t="shared" ref="BB351:BB352" si="531">BA351-AZ351</f>
        <v>0</v>
      </c>
      <c r="BC351" s="2312"/>
      <c r="BD351" s="2312"/>
      <c r="BE351" s="2310">
        <f t="shared" ref="BE351:BE352" si="532">BD351-BC351</f>
        <v>0</v>
      </c>
      <c r="BF351" s="2312"/>
      <c r="BG351" s="2312"/>
      <c r="BH351" s="2310">
        <f t="shared" ref="BH351:BH352" si="533">BG351-BF351</f>
        <v>0</v>
      </c>
      <c r="BI351" s="2312"/>
      <c r="BJ351" s="2312"/>
      <c r="BK351" s="2310">
        <f t="shared" ref="BK351:BK352" si="534">BJ351-BI351</f>
        <v>0</v>
      </c>
      <c r="BL351" s="2312"/>
      <c r="BM351" s="2312"/>
      <c r="BN351" s="2310">
        <f t="shared" ref="BN351:BN352" si="535">BM351-BL351</f>
        <v>0</v>
      </c>
      <c r="BO351" s="2312"/>
      <c r="BP351" s="2312"/>
      <c r="BQ351" s="2310">
        <f t="shared" ref="BQ351:BQ352" si="536">BP351-BO351</f>
        <v>0</v>
      </c>
    </row>
    <row r="352" spans="3:69" s="2087" customFormat="1" hidden="1">
      <c r="C352" s="2173" t="s">
        <v>2486</v>
      </c>
      <c r="D352" s="2223" t="s">
        <v>2211</v>
      </c>
      <c r="E352" s="2250" t="s">
        <v>2483</v>
      </c>
      <c r="F352" s="2216"/>
      <c r="G352" s="2312"/>
      <c r="H352" s="2312"/>
      <c r="I352" s="2301">
        <f t="shared" ref="I352:I365" si="537">H352-G352</f>
        <v>0</v>
      </c>
      <c r="J352" s="2313"/>
      <c r="K352" s="2300">
        <f t="shared" ref="K352:L364" si="538">N352+Q352+W352+AC352</f>
        <v>0</v>
      </c>
      <c r="L352" s="2300">
        <f t="shared" si="538"/>
        <v>0</v>
      </c>
      <c r="M352" s="2303">
        <f t="shared" si="522"/>
        <v>0</v>
      </c>
      <c r="N352" s="2312"/>
      <c r="O352" s="2312"/>
      <c r="P352" s="2303">
        <f t="shared" si="500"/>
        <v>0</v>
      </c>
      <c r="Q352" s="2312"/>
      <c r="R352" s="2312"/>
      <c r="S352" s="2301">
        <f t="shared" si="484"/>
        <v>0</v>
      </c>
      <c r="T352" s="2304">
        <f t="shared" si="520"/>
        <v>0</v>
      </c>
      <c r="U352" s="2300">
        <f t="shared" si="520"/>
        <v>0</v>
      </c>
      <c r="V352" s="2301">
        <f t="shared" si="523"/>
        <v>0</v>
      </c>
      <c r="W352" s="2314"/>
      <c r="X352" s="2312"/>
      <c r="Y352" s="2306">
        <f t="shared" si="486"/>
        <v>0</v>
      </c>
      <c r="Z352" s="2307">
        <f t="shared" ref="Z352:AA364" si="539">T352+W352</f>
        <v>0</v>
      </c>
      <c r="AA352" s="2300">
        <f t="shared" si="539"/>
        <v>0</v>
      </c>
      <c r="AB352" s="2303">
        <f t="shared" si="524"/>
        <v>0</v>
      </c>
      <c r="AC352" s="2312"/>
      <c r="AD352" s="2312"/>
      <c r="AE352" s="2180">
        <f t="shared" si="518"/>
        <v>0</v>
      </c>
      <c r="AF352" s="2276"/>
      <c r="AG352" s="2114"/>
      <c r="AH352" s="2312"/>
      <c r="AI352" s="2312"/>
      <c r="AJ352" s="2310">
        <f t="shared" si="525"/>
        <v>0</v>
      </c>
      <c r="AK352" s="2312"/>
      <c r="AL352" s="2312"/>
      <c r="AM352" s="2310">
        <f t="shared" si="526"/>
        <v>0</v>
      </c>
      <c r="AN352" s="2312"/>
      <c r="AO352" s="2312"/>
      <c r="AP352" s="2310">
        <f t="shared" si="527"/>
        <v>0</v>
      </c>
      <c r="AQ352" s="2312"/>
      <c r="AR352" s="2312"/>
      <c r="AS352" s="2310">
        <f t="shared" si="528"/>
        <v>0</v>
      </c>
      <c r="AT352" s="2312"/>
      <c r="AU352" s="2312"/>
      <c r="AV352" s="2310">
        <f t="shared" si="529"/>
        <v>0</v>
      </c>
      <c r="AW352" s="2312"/>
      <c r="AX352" s="2312"/>
      <c r="AY352" s="2310">
        <f t="shared" si="530"/>
        <v>0</v>
      </c>
      <c r="AZ352" s="2312"/>
      <c r="BA352" s="2312"/>
      <c r="BB352" s="2310">
        <f t="shared" si="531"/>
        <v>0</v>
      </c>
      <c r="BC352" s="2312"/>
      <c r="BD352" s="2312"/>
      <c r="BE352" s="2310">
        <f t="shared" si="532"/>
        <v>0</v>
      </c>
      <c r="BF352" s="2312"/>
      <c r="BG352" s="2312"/>
      <c r="BH352" s="2310">
        <f t="shared" si="533"/>
        <v>0</v>
      </c>
      <c r="BI352" s="2312"/>
      <c r="BJ352" s="2312"/>
      <c r="BK352" s="2310">
        <f t="shared" si="534"/>
        <v>0</v>
      </c>
      <c r="BL352" s="2312"/>
      <c r="BM352" s="2312"/>
      <c r="BN352" s="2310">
        <f t="shared" si="535"/>
        <v>0</v>
      </c>
      <c r="BO352" s="2312"/>
      <c r="BP352" s="2312"/>
      <c r="BQ352" s="2310">
        <f t="shared" si="536"/>
        <v>0</v>
      </c>
    </row>
    <row r="353" spans="3:69" s="2087" customFormat="1" hidden="1">
      <c r="C353" s="2173" t="s">
        <v>2487</v>
      </c>
      <c r="D353" s="2315" t="s">
        <v>2488</v>
      </c>
      <c r="E353" s="2250" t="s">
        <v>2483</v>
      </c>
      <c r="F353" s="2216"/>
      <c r="G353" s="2312"/>
      <c r="H353" s="2312"/>
      <c r="I353" s="2301">
        <f t="shared" si="537"/>
        <v>0</v>
      </c>
      <c r="J353" s="2313"/>
      <c r="K353" s="2300">
        <f>N353+Q353+W353+AC353</f>
        <v>0</v>
      </c>
      <c r="L353" s="2300">
        <f>O353+R353+X353+AD353</f>
        <v>0</v>
      </c>
      <c r="M353" s="2303">
        <f>L353-K353</f>
        <v>0</v>
      </c>
      <c r="N353" s="2312"/>
      <c r="O353" s="2312"/>
      <c r="P353" s="2303">
        <f>O353-N353</f>
        <v>0</v>
      </c>
      <c r="Q353" s="2312"/>
      <c r="R353" s="2312"/>
      <c r="S353" s="2303">
        <f>R353-Q353</f>
        <v>0</v>
      </c>
      <c r="T353" s="2304">
        <f>N353+Q353</f>
        <v>0</v>
      </c>
      <c r="U353" s="2300">
        <f>O353+R353</f>
        <v>0</v>
      </c>
      <c r="V353" s="2301">
        <f>U353-T353</f>
        <v>0</v>
      </c>
      <c r="W353" s="2314"/>
      <c r="X353" s="2312"/>
      <c r="Y353" s="2306">
        <f>X353-W353</f>
        <v>0</v>
      </c>
      <c r="Z353" s="2307">
        <f>T353+W353</f>
        <v>0</v>
      </c>
      <c r="AA353" s="2300">
        <f>U353+X353</f>
        <v>0</v>
      </c>
      <c r="AB353" s="2303">
        <f t="shared" si="524"/>
        <v>0</v>
      </c>
      <c r="AC353" s="2312"/>
      <c r="AD353" s="2312"/>
      <c r="AE353" s="2178">
        <f>AD353-AC353</f>
        <v>0</v>
      </c>
      <c r="AF353" s="2276"/>
      <c r="AG353" s="2114"/>
      <c r="AH353" s="2312"/>
      <c r="AI353" s="2312"/>
      <c r="AJ353" s="2310">
        <f>AI353-AH353</f>
        <v>0</v>
      </c>
      <c r="AK353" s="2312"/>
      <c r="AL353" s="2312"/>
      <c r="AM353" s="2310">
        <f>AL353-AK353</f>
        <v>0</v>
      </c>
      <c r="AN353" s="2312"/>
      <c r="AO353" s="2312"/>
      <c r="AP353" s="2310">
        <f>AO353-AN353</f>
        <v>0</v>
      </c>
      <c r="AQ353" s="2312"/>
      <c r="AR353" s="2312"/>
      <c r="AS353" s="2310">
        <f>AR353-AQ353</f>
        <v>0</v>
      </c>
      <c r="AT353" s="2312"/>
      <c r="AU353" s="2312"/>
      <c r="AV353" s="2310">
        <f>AU353-AT353</f>
        <v>0</v>
      </c>
      <c r="AW353" s="2312"/>
      <c r="AX353" s="2312"/>
      <c r="AY353" s="2310">
        <f>AX353-AW353</f>
        <v>0</v>
      </c>
      <c r="AZ353" s="2312"/>
      <c r="BA353" s="2312"/>
      <c r="BB353" s="2310">
        <f>BA353-AZ353</f>
        <v>0</v>
      </c>
      <c r="BC353" s="2312"/>
      <c r="BD353" s="2312"/>
      <c r="BE353" s="2310">
        <f>BD353-BC353</f>
        <v>0</v>
      </c>
      <c r="BF353" s="2312"/>
      <c r="BG353" s="2312"/>
      <c r="BH353" s="2310">
        <f>BG353-BF353</f>
        <v>0</v>
      </c>
      <c r="BI353" s="2312"/>
      <c r="BJ353" s="2312"/>
      <c r="BK353" s="2310">
        <f>BJ353-BI353</f>
        <v>0</v>
      </c>
      <c r="BL353" s="2312"/>
      <c r="BM353" s="2312"/>
      <c r="BN353" s="2310">
        <f>BM353-BL353</f>
        <v>0</v>
      </c>
      <c r="BO353" s="2312"/>
      <c r="BP353" s="2312"/>
      <c r="BQ353" s="2310">
        <f>BP353-BO353</f>
        <v>0</v>
      </c>
    </row>
    <row r="354" spans="3:69" s="2087" customFormat="1" hidden="1">
      <c r="C354" s="2173" t="s">
        <v>2489</v>
      </c>
      <c r="D354" s="2311" t="s">
        <v>2490</v>
      </c>
      <c r="E354" s="2250" t="s">
        <v>2483</v>
      </c>
      <c r="F354" s="2216"/>
      <c r="G354" s="2312"/>
      <c r="H354" s="2312"/>
      <c r="I354" s="2301">
        <f t="shared" si="537"/>
        <v>0</v>
      </c>
      <c r="J354" s="2313"/>
      <c r="K354" s="2300">
        <f t="shared" si="538"/>
        <v>0</v>
      </c>
      <c r="L354" s="2300">
        <f t="shared" si="538"/>
        <v>0</v>
      </c>
      <c r="M354" s="2303">
        <f t="shared" si="522"/>
        <v>0</v>
      </c>
      <c r="N354" s="2312"/>
      <c r="O354" s="2312"/>
      <c r="P354" s="2303">
        <f t="shared" si="500"/>
        <v>0</v>
      </c>
      <c r="Q354" s="2312"/>
      <c r="R354" s="2312"/>
      <c r="S354" s="2301">
        <f t="shared" si="484"/>
        <v>0</v>
      </c>
      <c r="T354" s="2304">
        <f t="shared" si="520"/>
        <v>0</v>
      </c>
      <c r="U354" s="2300">
        <f t="shared" si="520"/>
        <v>0</v>
      </c>
      <c r="V354" s="2301">
        <f t="shared" si="523"/>
        <v>0</v>
      </c>
      <c r="W354" s="2314"/>
      <c r="X354" s="2312"/>
      <c r="Y354" s="2306">
        <f t="shared" si="486"/>
        <v>0</v>
      </c>
      <c r="Z354" s="2307">
        <f t="shared" si="539"/>
        <v>0</v>
      </c>
      <c r="AA354" s="2300">
        <f t="shared" si="539"/>
        <v>0</v>
      </c>
      <c r="AB354" s="2303">
        <f t="shared" si="524"/>
        <v>0</v>
      </c>
      <c r="AC354" s="2312"/>
      <c r="AD354" s="2312"/>
      <c r="AE354" s="2180">
        <f t="shared" si="518"/>
        <v>0</v>
      </c>
      <c r="AF354" s="2276"/>
      <c r="AG354" s="2114"/>
      <c r="AH354" s="2312"/>
      <c r="AI354" s="2312"/>
      <c r="AJ354" s="2310">
        <f t="shared" ref="AJ354:AJ355" si="540">AI354-AH354</f>
        <v>0</v>
      </c>
      <c r="AK354" s="2312"/>
      <c r="AL354" s="2312"/>
      <c r="AM354" s="2310">
        <f t="shared" ref="AM354:AM355" si="541">AL354-AK354</f>
        <v>0</v>
      </c>
      <c r="AN354" s="2312"/>
      <c r="AO354" s="2312"/>
      <c r="AP354" s="2310">
        <f t="shared" ref="AP354:AP355" si="542">AO354-AN354</f>
        <v>0</v>
      </c>
      <c r="AQ354" s="2312"/>
      <c r="AR354" s="2312"/>
      <c r="AS354" s="2310">
        <f t="shared" ref="AS354:AS355" si="543">AR354-AQ354</f>
        <v>0</v>
      </c>
      <c r="AT354" s="2312"/>
      <c r="AU354" s="2312"/>
      <c r="AV354" s="2310">
        <f t="shared" ref="AV354:AV355" si="544">AU354-AT354</f>
        <v>0</v>
      </c>
      <c r="AW354" s="2312"/>
      <c r="AX354" s="2312"/>
      <c r="AY354" s="2310">
        <f t="shared" ref="AY354:AY355" si="545">AX354-AW354</f>
        <v>0</v>
      </c>
      <c r="AZ354" s="2312"/>
      <c r="BA354" s="2312"/>
      <c r="BB354" s="2310">
        <f t="shared" ref="BB354:BB355" si="546">BA354-AZ354</f>
        <v>0</v>
      </c>
      <c r="BC354" s="2312"/>
      <c r="BD354" s="2312"/>
      <c r="BE354" s="2310">
        <f t="shared" ref="BE354:BE355" si="547">BD354-BC354</f>
        <v>0</v>
      </c>
      <c r="BF354" s="2312"/>
      <c r="BG354" s="2312"/>
      <c r="BH354" s="2310">
        <f t="shared" ref="BH354:BH355" si="548">BG354-BF354</f>
        <v>0</v>
      </c>
      <c r="BI354" s="2312"/>
      <c r="BJ354" s="2312"/>
      <c r="BK354" s="2310">
        <f t="shared" ref="BK354:BK355" si="549">BJ354-BI354</f>
        <v>0</v>
      </c>
      <c r="BL354" s="2312"/>
      <c r="BM354" s="2312"/>
      <c r="BN354" s="2310">
        <f t="shared" ref="BN354:BN355" si="550">BM354-BL354</f>
        <v>0</v>
      </c>
      <c r="BO354" s="2312"/>
      <c r="BP354" s="2312"/>
      <c r="BQ354" s="2310">
        <f t="shared" ref="BQ354:BQ355" si="551">BP354-BO354</f>
        <v>0</v>
      </c>
    </row>
    <row r="355" spans="3:69" s="2087" customFormat="1" hidden="1">
      <c r="C355" s="2173" t="s">
        <v>2491</v>
      </c>
      <c r="D355" s="2223" t="s">
        <v>2211</v>
      </c>
      <c r="E355" s="2250" t="s">
        <v>2483</v>
      </c>
      <c r="F355" s="2216"/>
      <c r="G355" s="2312"/>
      <c r="H355" s="2312"/>
      <c r="I355" s="2301">
        <f t="shared" si="537"/>
        <v>0</v>
      </c>
      <c r="J355" s="2313"/>
      <c r="K355" s="2300">
        <f t="shared" si="538"/>
        <v>0</v>
      </c>
      <c r="L355" s="2300">
        <f t="shared" si="538"/>
        <v>0</v>
      </c>
      <c r="M355" s="2303">
        <f t="shared" si="522"/>
        <v>0</v>
      </c>
      <c r="N355" s="2312"/>
      <c r="O355" s="2312"/>
      <c r="P355" s="2303">
        <f t="shared" si="500"/>
        <v>0</v>
      </c>
      <c r="Q355" s="2312"/>
      <c r="R355" s="2312"/>
      <c r="S355" s="2301">
        <f t="shared" si="484"/>
        <v>0</v>
      </c>
      <c r="T355" s="2304">
        <f t="shared" si="520"/>
        <v>0</v>
      </c>
      <c r="U355" s="2300">
        <f t="shared" si="520"/>
        <v>0</v>
      </c>
      <c r="V355" s="2301">
        <f t="shared" si="523"/>
        <v>0</v>
      </c>
      <c r="W355" s="2314"/>
      <c r="X355" s="2312"/>
      <c r="Y355" s="2306">
        <f t="shared" si="486"/>
        <v>0</v>
      </c>
      <c r="Z355" s="2307">
        <f t="shared" si="539"/>
        <v>0</v>
      </c>
      <c r="AA355" s="2300">
        <f t="shared" si="539"/>
        <v>0</v>
      </c>
      <c r="AB355" s="2303">
        <f t="shared" si="524"/>
        <v>0</v>
      </c>
      <c r="AC355" s="2312"/>
      <c r="AD355" s="2312"/>
      <c r="AE355" s="2180">
        <f t="shared" si="518"/>
        <v>0</v>
      </c>
      <c r="AF355" s="2276"/>
      <c r="AG355" s="2114"/>
      <c r="AH355" s="2312"/>
      <c r="AI355" s="2312"/>
      <c r="AJ355" s="2310">
        <f t="shared" si="540"/>
        <v>0</v>
      </c>
      <c r="AK355" s="2312"/>
      <c r="AL355" s="2312"/>
      <c r="AM355" s="2310">
        <f t="shared" si="541"/>
        <v>0</v>
      </c>
      <c r="AN355" s="2312"/>
      <c r="AO355" s="2312"/>
      <c r="AP355" s="2310">
        <f t="shared" si="542"/>
        <v>0</v>
      </c>
      <c r="AQ355" s="2312"/>
      <c r="AR355" s="2312"/>
      <c r="AS355" s="2310">
        <f t="shared" si="543"/>
        <v>0</v>
      </c>
      <c r="AT355" s="2312"/>
      <c r="AU355" s="2312"/>
      <c r="AV355" s="2310">
        <f t="shared" si="544"/>
        <v>0</v>
      </c>
      <c r="AW355" s="2312"/>
      <c r="AX355" s="2312"/>
      <c r="AY355" s="2310">
        <f t="shared" si="545"/>
        <v>0</v>
      </c>
      <c r="AZ355" s="2312"/>
      <c r="BA355" s="2312"/>
      <c r="BB355" s="2310">
        <f t="shared" si="546"/>
        <v>0</v>
      </c>
      <c r="BC355" s="2312"/>
      <c r="BD355" s="2312"/>
      <c r="BE355" s="2310">
        <f t="shared" si="547"/>
        <v>0</v>
      </c>
      <c r="BF355" s="2312"/>
      <c r="BG355" s="2312"/>
      <c r="BH355" s="2310">
        <f t="shared" si="548"/>
        <v>0</v>
      </c>
      <c r="BI355" s="2312"/>
      <c r="BJ355" s="2312"/>
      <c r="BK355" s="2310">
        <f t="shared" si="549"/>
        <v>0</v>
      </c>
      <c r="BL355" s="2312"/>
      <c r="BM355" s="2312"/>
      <c r="BN355" s="2310">
        <f t="shared" si="550"/>
        <v>0</v>
      </c>
      <c r="BO355" s="2312"/>
      <c r="BP355" s="2312"/>
      <c r="BQ355" s="2310">
        <f t="shared" si="551"/>
        <v>0</v>
      </c>
    </row>
    <row r="356" spans="3:69" s="2087" customFormat="1" hidden="1">
      <c r="C356" s="2173" t="s">
        <v>2492</v>
      </c>
      <c r="D356" s="2315" t="s">
        <v>2488</v>
      </c>
      <c r="E356" s="2250" t="s">
        <v>2483</v>
      </c>
      <c r="F356" s="2216"/>
      <c r="G356" s="2312"/>
      <c r="H356" s="2312"/>
      <c r="I356" s="2301">
        <f t="shared" si="537"/>
        <v>0</v>
      </c>
      <c r="J356" s="2313"/>
      <c r="K356" s="2300">
        <f>N356+Q356+W356+AC356</f>
        <v>0</v>
      </c>
      <c r="L356" s="2300">
        <f>O356+R356+X356+AD356</f>
        <v>0</v>
      </c>
      <c r="M356" s="2303">
        <f>L356-K356</f>
        <v>0</v>
      </c>
      <c r="N356" s="2312"/>
      <c r="O356" s="2312"/>
      <c r="P356" s="2303">
        <f>O356-N356</f>
        <v>0</v>
      </c>
      <c r="Q356" s="2312"/>
      <c r="R356" s="2312"/>
      <c r="S356" s="2303">
        <f>R356-Q356</f>
        <v>0</v>
      </c>
      <c r="T356" s="2304">
        <f>N356+Q356</f>
        <v>0</v>
      </c>
      <c r="U356" s="2300">
        <f>O356+R356</f>
        <v>0</v>
      </c>
      <c r="V356" s="2301">
        <f>U356-T356</f>
        <v>0</v>
      </c>
      <c r="W356" s="2314"/>
      <c r="X356" s="2312"/>
      <c r="Y356" s="2306">
        <f>X356-W356</f>
        <v>0</v>
      </c>
      <c r="Z356" s="2307">
        <f>T356+W356</f>
        <v>0</v>
      </c>
      <c r="AA356" s="2300">
        <f>U356+X356</f>
        <v>0</v>
      </c>
      <c r="AB356" s="2303">
        <f>AA356-Z356</f>
        <v>0</v>
      </c>
      <c r="AC356" s="2312"/>
      <c r="AD356" s="2312"/>
      <c r="AE356" s="2178">
        <f>AD356-AC356</f>
        <v>0</v>
      </c>
      <c r="AF356" s="2276"/>
      <c r="AG356" s="2114"/>
      <c r="AH356" s="2312"/>
      <c r="AI356" s="2312"/>
      <c r="AJ356" s="2310">
        <f>AI356-AH356</f>
        <v>0</v>
      </c>
      <c r="AK356" s="2312"/>
      <c r="AL356" s="2312"/>
      <c r="AM356" s="2310">
        <f>AL356-AK356</f>
        <v>0</v>
      </c>
      <c r="AN356" s="2312"/>
      <c r="AO356" s="2312"/>
      <c r="AP356" s="2310">
        <f>AO356-AN356</f>
        <v>0</v>
      </c>
      <c r="AQ356" s="2312"/>
      <c r="AR356" s="2312"/>
      <c r="AS356" s="2310">
        <f>AR356-AQ356</f>
        <v>0</v>
      </c>
      <c r="AT356" s="2312"/>
      <c r="AU356" s="2312"/>
      <c r="AV356" s="2310">
        <f>AU356-AT356</f>
        <v>0</v>
      </c>
      <c r="AW356" s="2312"/>
      <c r="AX356" s="2312"/>
      <c r="AY356" s="2310">
        <f>AX356-AW356</f>
        <v>0</v>
      </c>
      <c r="AZ356" s="2312"/>
      <c r="BA356" s="2312"/>
      <c r="BB356" s="2310">
        <f>BA356-AZ356</f>
        <v>0</v>
      </c>
      <c r="BC356" s="2312"/>
      <c r="BD356" s="2312"/>
      <c r="BE356" s="2310">
        <f>BD356-BC356</f>
        <v>0</v>
      </c>
      <c r="BF356" s="2312"/>
      <c r="BG356" s="2312"/>
      <c r="BH356" s="2310">
        <f>BG356-BF356</f>
        <v>0</v>
      </c>
      <c r="BI356" s="2312"/>
      <c r="BJ356" s="2312"/>
      <c r="BK356" s="2310">
        <f>BJ356-BI356</f>
        <v>0</v>
      </c>
      <c r="BL356" s="2312"/>
      <c r="BM356" s="2312"/>
      <c r="BN356" s="2310">
        <f>BM356-BL356</f>
        <v>0</v>
      </c>
      <c r="BO356" s="2312"/>
      <c r="BP356" s="2312"/>
      <c r="BQ356" s="2310">
        <f>BP356-BO356</f>
        <v>0</v>
      </c>
    </row>
    <row r="357" spans="3:69" s="2087" customFormat="1" hidden="1">
      <c r="C357" s="2173" t="s">
        <v>2493</v>
      </c>
      <c r="D357" s="2311" t="s">
        <v>2494</v>
      </c>
      <c r="E357" s="2250" t="s">
        <v>2483</v>
      </c>
      <c r="F357" s="2216"/>
      <c r="G357" s="2312"/>
      <c r="H357" s="2312"/>
      <c r="I357" s="2301">
        <f t="shared" si="537"/>
        <v>0</v>
      </c>
      <c r="J357" s="2313"/>
      <c r="K357" s="2300">
        <f t="shared" si="538"/>
        <v>0</v>
      </c>
      <c r="L357" s="2300">
        <f t="shared" si="538"/>
        <v>0</v>
      </c>
      <c r="M357" s="2303">
        <f t="shared" si="522"/>
        <v>0</v>
      </c>
      <c r="N357" s="2312"/>
      <c r="O357" s="2312"/>
      <c r="P357" s="2303">
        <f t="shared" si="500"/>
        <v>0</v>
      </c>
      <c r="Q357" s="2312"/>
      <c r="R357" s="2312"/>
      <c r="S357" s="2301">
        <f t="shared" si="484"/>
        <v>0</v>
      </c>
      <c r="T357" s="2304">
        <f t="shared" si="520"/>
        <v>0</v>
      </c>
      <c r="U357" s="2300">
        <f t="shared" si="520"/>
        <v>0</v>
      </c>
      <c r="V357" s="2301">
        <f t="shared" si="523"/>
        <v>0</v>
      </c>
      <c r="W357" s="2314"/>
      <c r="X357" s="2312"/>
      <c r="Y357" s="2306">
        <f t="shared" si="486"/>
        <v>0</v>
      </c>
      <c r="Z357" s="2307">
        <f t="shared" si="539"/>
        <v>0</v>
      </c>
      <c r="AA357" s="2300">
        <f t="shared" si="539"/>
        <v>0</v>
      </c>
      <c r="AB357" s="2303">
        <f t="shared" si="524"/>
        <v>0</v>
      </c>
      <c r="AC357" s="2312"/>
      <c r="AD357" s="2312"/>
      <c r="AE357" s="2180">
        <f t="shared" si="518"/>
        <v>0</v>
      </c>
      <c r="AF357" s="2276"/>
      <c r="AG357" s="2114"/>
      <c r="AH357" s="2312"/>
      <c r="AI357" s="2312"/>
      <c r="AJ357" s="2310">
        <f t="shared" ref="AJ357:AJ358" si="552">AI357-AH357</f>
        <v>0</v>
      </c>
      <c r="AK357" s="2312"/>
      <c r="AL357" s="2312"/>
      <c r="AM357" s="2310">
        <f t="shared" ref="AM357:AM358" si="553">AL357-AK357</f>
        <v>0</v>
      </c>
      <c r="AN357" s="2312"/>
      <c r="AO357" s="2312"/>
      <c r="AP357" s="2310">
        <f t="shared" ref="AP357:AP358" si="554">AO357-AN357</f>
        <v>0</v>
      </c>
      <c r="AQ357" s="2312"/>
      <c r="AR357" s="2312"/>
      <c r="AS357" s="2310">
        <f t="shared" ref="AS357:AS358" si="555">AR357-AQ357</f>
        <v>0</v>
      </c>
      <c r="AT357" s="2312"/>
      <c r="AU357" s="2312"/>
      <c r="AV357" s="2310">
        <f t="shared" ref="AV357:AV358" si="556">AU357-AT357</f>
        <v>0</v>
      </c>
      <c r="AW357" s="2312"/>
      <c r="AX357" s="2312"/>
      <c r="AY357" s="2310">
        <f t="shared" ref="AY357:AY358" si="557">AX357-AW357</f>
        <v>0</v>
      </c>
      <c r="AZ357" s="2312"/>
      <c r="BA357" s="2312"/>
      <c r="BB357" s="2310">
        <f t="shared" ref="BB357:BB358" si="558">BA357-AZ357</f>
        <v>0</v>
      </c>
      <c r="BC357" s="2312"/>
      <c r="BD357" s="2312"/>
      <c r="BE357" s="2310">
        <f t="shared" ref="BE357:BE358" si="559">BD357-BC357</f>
        <v>0</v>
      </c>
      <c r="BF357" s="2312"/>
      <c r="BG357" s="2312"/>
      <c r="BH357" s="2310">
        <f t="shared" ref="BH357:BH358" si="560">BG357-BF357</f>
        <v>0</v>
      </c>
      <c r="BI357" s="2312"/>
      <c r="BJ357" s="2312"/>
      <c r="BK357" s="2310">
        <f t="shared" ref="BK357:BK358" si="561">BJ357-BI357</f>
        <v>0</v>
      </c>
      <c r="BL357" s="2312"/>
      <c r="BM357" s="2312"/>
      <c r="BN357" s="2310">
        <f t="shared" ref="BN357:BN358" si="562">BM357-BL357</f>
        <v>0</v>
      </c>
      <c r="BO357" s="2312"/>
      <c r="BP357" s="2312"/>
      <c r="BQ357" s="2310">
        <f t="shared" ref="BQ357:BQ358" si="563">BP357-BO357</f>
        <v>0</v>
      </c>
    </row>
    <row r="358" spans="3:69" s="2087" customFormat="1" hidden="1">
      <c r="C358" s="2173" t="s">
        <v>2495</v>
      </c>
      <c r="D358" s="2223" t="s">
        <v>2211</v>
      </c>
      <c r="E358" s="2250" t="s">
        <v>2483</v>
      </c>
      <c r="F358" s="2216"/>
      <c r="G358" s="2312"/>
      <c r="H358" s="2312"/>
      <c r="I358" s="2301">
        <f t="shared" si="537"/>
        <v>0</v>
      </c>
      <c r="J358" s="2313"/>
      <c r="K358" s="2300">
        <f t="shared" si="538"/>
        <v>0</v>
      </c>
      <c r="L358" s="2300">
        <f t="shared" si="538"/>
        <v>0</v>
      </c>
      <c r="M358" s="2303">
        <f t="shared" si="522"/>
        <v>0</v>
      </c>
      <c r="N358" s="2312"/>
      <c r="O358" s="2312"/>
      <c r="P358" s="2303">
        <f t="shared" si="500"/>
        <v>0</v>
      </c>
      <c r="Q358" s="2312"/>
      <c r="R358" s="2312"/>
      <c r="S358" s="2301">
        <f t="shared" si="484"/>
        <v>0</v>
      </c>
      <c r="T358" s="2304">
        <f t="shared" si="520"/>
        <v>0</v>
      </c>
      <c r="U358" s="2300">
        <f t="shared" si="520"/>
        <v>0</v>
      </c>
      <c r="V358" s="2301">
        <f t="shared" si="523"/>
        <v>0</v>
      </c>
      <c r="W358" s="2314"/>
      <c r="X358" s="2312"/>
      <c r="Y358" s="2306">
        <f t="shared" si="486"/>
        <v>0</v>
      </c>
      <c r="Z358" s="2307">
        <f t="shared" si="539"/>
        <v>0</v>
      </c>
      <c r="AA358" s="2300">
        <f t="shared" si="539"/>
        <v>0</v>
      </c>
      <c r="AB358" s="2303">
        <f t="shared" si="524"/>
        <v>0</v>
      </c>
      <c r="AC358" s="2312"/>
      <c r="AD358" s="2312"/>
      <c r="AE358" s="2180">
        <f t="shared" si="518"/>
        <v>0</v>
      </c>
      <c r="AF358" s="2276"/>
      <c r="AG358" s="2114"/>
      <c r="AH358" s="2312"/>
      <c r="AI358" s="2312"/>
      <c r="AJ358" s="2310">
        <f t="shared" si="552"/>
        <v>0</v>
      </c>
      <c r="AK358" s="2312"/>
      <c r="AL358" s="2312"/>
      <c r="AM358" s="2310">
        <f t="shared" si="553"/>
        <v>0</v>
      </c>
      <c r="AN358" s="2312"/>
      <c r="AO358" s="2312"/>
      <c r="AP358" s="2310">
        <f t="shared" si="554"/>
        <v>0</v>
      </c>
      <c r="AQ358" s="2312"/>
      <c r="AR358" s="2312"/>
      <c r="AS358" s="2310">
        <f t="shared" si="555"/>
        <v>0</v>
      </c>
      <c r="AT358" s="2312"/>
      <c r="AU358" s="2312"/>
      <c r="AV358" s="2310">
        <f t="shared" si="556"/>
        <v>0</v>
      </c>
      <c r="AW358" s="2312"/>
      <c r="AX358" s="2312"/>
      <c r="AY358" s="2310">
        <f t="shared" si="557"/>
        <v>0</v>
      </c>
      <c r="AZ358" s="2312"/>
      <c r="BA358" s="2312"/>
      <c r="BB358" s="2310">
        <f t="shared" si="558"/>
        <v>0</v>
      </c>
      <c r="BC358" s="2312"/>
      <c r="BD358" s="2312"/>
      <c r="BE358" s="2310">
        <f t="shared" si="559"/>
        <v>0</v>
      </c>
      <c r="BF358" s="2312"/>
      <c r="BG358" s="2312"/>
      <c r="BH358" s="2310">
        <f t="shared" si="560"/>
        <v>0</v>
      </c>
      <c r="BI358" s="2312"/>
      <c r="BJ358" s="2312"/>
      <c r="BK358" s="2310">
        <f t="shared" si="561"/>
        <v>0</v>
      </c>
      <c r="BL358" s="2312"/>
      <c r="BM358" s="2312"/>
      <c r="BN358" s="2310">
        <f t="shared" si="562"/>
        <v>0</v>
      </c>
      <c r="BO358" s="2312"/>
      <c r="BP358" s="2312"/>
      <c r="BQ358" s="2310">
        <f t="shared" si="563"/>
        <v>0</v>
      </c>
    </row>
    <row r="359" spans="3:69" s="2087" customFormat="1" hidden="1">
      <c r="C359" s="2173" t="s">
        <v>2496</v>
      </c>
      <c r="D359" s="2315" t="s">
        <v>2488</v>
      </c>
      <c r="E359" s="2250" t="s">
        <v>2483</v>
      </c>
      <c r="F359" s="2216"/>
      <c r="G359" s="2312"/>
      <c r="H359" s="2312"/>
      <c r="I359" s="2301">
        <f t="shared" si="537"/>
        <v>0</v>
      </c>
      <c r="J359" s="2313"/>
      <c r="K359" s="2300">
        <f>N359+Q359+W359+AC359</f>
        <v>0</v>
      </c>
      <c r="L359" s="2300">
        <f>O359+R359+X359+AD359</f>
        <v>0</v>
      </c>
      <c r="M359" s="2303">
        <f>L359-K359</f>
        <v>0</v>
      </c>
      <c r="N359" s="2312"/>
      <c r="O359" s="2312"/>
      <c r="P359" s="2303">
        <f>O359-N359</f>
        <v>0</v>
      </c>
      <c r="Q359" s="2312"/>
      <c r="R359" s="2312"/>
      <c r="S359" s="2303">
        <f>R359-Q359</f>
        <v>0</v>
      </c>
      <c r="T359" s="2304">
        <f>N359+Q359</f>
        <v>0</v>
      </c>
      <c r="U359" s="2300">
        <f>O359+R359</f>
        <v>0</v>
      </c>
      <c r="V359" s="2301">
        <f>U359-T359</f>
        <v>0</v>
      </c>
      <c r="W359" s="2314"/>
      <c r="X359" s="2312"/>
      <c r="Y359" s="2306">
        <f>X359-W359</f>
        <v>0</v>
      </c>
      <c r="Z359" s="2307">
        <f>T359+W359</f>
        <v>0</v>
      </c>
      <c r="AA359" s="2300">
        <f>U359+X359</f>
        <v>0</v>
      </c>
      <c r="AB359" s="2303">
        <f>AA359-Z359</f>
        <v>0</v>
      </c>
      <c r="AC359" s="2312"/>
      <c r="AD359" s="2312"/>
      <c r="AE359" s="2178">
        <f>AD359-AC359</f>
        <v>0</v>
      </c>
      <c r="AF359" s="2276"/>
      <c r="AG359" s="2114"/>
      <c r="AH359" s="2312"/>
      <c r="AI359" s="2312"/>
      <c r="AJ359" s="2310">
        <f>AI359-AH359</f>
        <v>0</v>
      </c>
      <c r="AK359" s="2312"/>
      <c r="AL359" s="2312"/>
      <c r="AM359" s="2310">
        <f>AL359-AK359</f>
        <v>0</v>
      </c>
      <c r="AN359" s="2312"/>
      <c r="AO359" s="2312"/>
      <c r="AP359" s="2310">
        <f>AO359-AN359</f>
        <v>0</v>
      </c>
      <c r="AQ359" s="2312"/>
      <c r="AR359" s="2312"/>
      <c r="AS359" s="2310">
        <f>AR359-AQ359</f>
        <v>0</v>
      </c>
      <c r="AT359" s="2312"/>
      <c r="AU359" s="2312"/>
      <c r="AV359" s="2310">
        <f>AU359-AT359</f>
        <v>0</v>
      </c>
      <c r="AW359" s="2312"/>
      <c r="AX359" s="2312"/>
      <c r="AY359" s="2310">
        <f>AX359-AW359</f>
        <v>0</v>
      </c>
      <c r="AZ359" s="2312"/>
      <c r="BA359" s="2312"/>
      <c r="BB359" s="2310">
        <f>BA359-AZ359</f>
        <v>0</v>
      </c>
      <c r="BC359" s="2312"/>
      <c r="BD359" s="2312"/>
      <c r="BE359" s="2310">
        <f>BD359-BC359</f>
        <v>0</v>
      </c>
      <c r="BF359" s="2312"/>
      <c r="BG359" s="2312"/>
      <c r="BH359" s="2310">
        <f>BG359-BF359</f>
        <v>0</v>
      </c>
      <c r="BI359" s="2312"/>
      <c r="BJ359" s="2312"/>
      <c r="BK359" s="2310">
        <f>BJ359-BI359</f>
        <v>0</v>
      </c>
      <c r="BL359" s="2312"/>
      <c r="BM359" s="2312"/>
      <c r="BN359" s="2310">
        <f>BM359-BL359</f>
        <v>0</v>
      </c>
      <c r="BO359" s="2312"/>
      <c r="BP359" s="2312"/>
      <c r="BQ359" s="2310">
        <f>BP359-BO359</f>
        <v>0</v>
      </c>
    </row>
    <row r="360" spans="3:69" s="2087" customFormat="1" hidden="1">
      <c r="C360" s="2173" t="s">
        <v>2497</v>
      </c>
      <c r="D360" s="2311" t="s">
        <v>2498</v>
      </c>
      <c r="E360" s="2250" t="s">
        <v>2483</v>
      </c>
      <c r="F360" s="2216"/>
      <c r="G360" s="2312"/>
      <c r="H360" s="2312"/>
      <c r="I360" s="2301">
        <f t="shared" si="537"/>
        <v>0</v>
      </c>
      <c r="J360" s="2313"/>
      <c r="K360" s="2300">
        <f t="shared" si="538"/>
        <v>0</v>
      </c>
      <c r="L360" s="2300">
        <f t="shared" si="538"/>
        <v>0</v>
      </c>
      <c r="M360" s="2303">
        <f t="shared" si="522"/>
        <v>0</v>
      </c>
      <c r="N360" s="2312"/>
      <c r="O360" s="2312"/>
      <c r="P360" s="2303">
        <f t="shared" si="500"/>
        <v>0</v>
      </c>
      <c r="Q360" s="2312"/>
      <c r="R360" s="2312"/>
      <c r="S360" s="2301">
        <f t="shared" si="484"/>
        <v>0</v>
      </c>
      <c r="T360" s="2304">
        <f t="shared" si="520"/>
        <v>0</v>
      </c>
      <c r="U360" s="2300">
        <f t="shared" si="520"/>
        <v>0</v>
      </c>
      <c r="V360" s="2301">
        <f t="shared" si="523"/>
        <v>0</v>
      </c>
      <c r="W360" s="2314"/>
      <c r="X360" s="2312"/>
      <c r="Y360" s="2306">
        <f t="shared" si="486"/>
        <v>0</v>
      </c>
      <c r="Z360" s="2307">
        <f t="shared" si="539"/>
        <v>0</v>
      </c>
      <c r="AA360" s="2300">
        <f t="shared" si="539"/>
        <v>0</v>
      </c>
      <c r="AB360" s="2303">
        <f t="shared" si="524"/>
        <v>0</v>
      </c>
      <c r="AC360" s="2312"/>
      <c r="AD360" s="2312"/>
      <c r="AE360" s="2180">
        <f t="shared" si="518"/>
        <v>0</v>
      </c>
      <c r="AF360" s="2276"/>
      <c r="AG360" s="2114"/>
      <c r="AH360" s="2312"/>
      <c r="AI360" s="2312"/>
      <c r="AJ360" s="2310">
        <f t="shared" ref="AJ360:AJ361" si="564">AI360-AH360</f>
        <v>0</v>
      </c>
      <c r="AK360" s="2312"/>
      <c r="AL360" s="2312"/>
      <c r="AM360" s="2310">
        <f t="shared" ref="AM360:AM361" si="565">AL360-AK360</f>
        <v>0</v>
      </c>
      <c r="AN360" s="2312"/>
      <c r="AO360" s="2312"/>
      <c r="AP360" s="2310">
        <f t="shared" ref="AP360:AP361" si="566">AO360-AN360</f>
        <v>0</v>
      </c>
      <c r="AQ360" s="2312"/>
      <c r="AR360" s="2312"/>
      <c r="AS360" s="2310">
        <f t="shared" ref="AS360:AS361" si="567">AR360-AQ360</f>
        <v>0</v>
      </c>
      <c r="AT360" s="2312"/>
      <c r="AU360" s="2312"/>
      <c r="AV360" s="2310">
        <f t="shared" ref="AV360:AV361" si="568">AU360-AT360</f>
        <v>0</v>
      </c>
      <c r="AW360" s="2312"/>
      <c r="AX360" s="2312"/>
      <c r="AY360" s="2310">
        <f t="shared" ref="AY360:AY361" si="569">AX360-AW360</f>
        <v>0</v>
      </c>
      <c r="AZ360" s="2312"/>
      <c r="BA360" s="2312"/>
      <c r="BB360" s="2310">
        <f t="shared" ref="BB360:BB361" si="570">BA360-AZ360</f>
        <v>0</v>
      </c>
      <c r="BC360" s="2312"/>
      <c r="BD360" s="2312"/>
      <c r="BE360" s="2310">
        <f t="shared" ref="BE360:BE361" si="571">BD360-BC360</f>
        <v>0</v>
      </c>
      <c r="BF360" s="2312"/>
      <c r="BG360" s="2312"/>
      <c r="BH360" s="2310">
        <f t="shared" ref="BH360:BH361" si="572">BG360-BF360</f>
        <v>0</v>
      </c>
      <c r="BI360" s="2312"/>
      <c r="BJ360" s="2312"/>
      <c r="BK360" s="2310">
        <f t="shared" ref="BK360:BK361" si="573">BJ360-BI360</f>
        <v>0</v>
      </c>
      <c r="BL360" s="2312"/>
      <c r="BM360" s="2312"/>
      <c r="BN360" s="2310">
        <f t="shared" ref="BN360:BN361" si="574">BM360-BL360</f>
        <v>0</v>
      </c>
      <c r="BO360" s="2312"/>
      <c r="BP360" s="2312"/>
      <c r="BQ360" s="2310">
        <f t="shared" ref="BQ360:BQ361" si="575">BP360-BO360</f>
        <v>0</v>
      </c>
    </row>
    <row r="361" spans="3:69" s="2087" customFormat="1" hidden="1">
      <c r="C361" s="2173" t="s">
        <v>2499</v>
      </c>
      <c r="D361" s="2223" t="s">
        <v>2211</v>
      </c>
      <c r="E361" s="2250" t="s">
        <v>2483</v>
      </c>
      <c r="F361" s="2216"/>
      <c r="G361" s="2312"/>
      <c r="H361" s="2312"/>
      <c r="I361" s="2301">
        <f t="shared" si="537"/>
        <v>0</v>
      </c>
      <c r="J361" s="2313"/>
      <c r="K361" s="2300">
        <f t="shared" si="538"/>
        <v>0</v>
      </c>
      <c r="L361" s="2300">
        <f t="shared" si="538"/>
        <v>0</v>
      </c>
      <c r="M361" s="2303">
        <f t="shared" si="522"/>
        <v>0</v>
      </c>
      <c r="N361" s="2312"/>
      <c r="O361" s="2312"/>
      <c r="P361" s="2303">
        <f t="shared" si="500"/>
        <v>0</v>
      </c>
      <c r="Q361" s="2312"/>
      <c r="R361" s="2312"/>
      <c r="S361" s="2301">
        <f t="shared" si="484"/>
        <v>0</v>
      </c>
      <c r="T361" s="2304">
        <f t="shared" si="520"/>
        <v>0</v>
      </c>
      <c r="U361" s="2300">
        <f t="shared" si="520"/>
        <v>0</v>
      </c>
      <c r="V361" s="2301">
        <f t="shared" si="523"/>
        <v>0</v>
      </c>
      <c r="W361" s="2314"/>
      <c r="X361" s="2312"/>
      <c r="Y361" s="2306">
        <f t="shared" si="486"/>
        <v>0</v>
      </c>
      <c r="Z361" s="2307">
        <f t="shared" si="539"/>
        <v>0</v>
      </c>
      <c r="AA361" s="2300">
        <f t="shared" si="539"/>
        <v>0</v>
      </c>
      <c r="AB361" s="2303">
        <f t="shared" si="524"/>
        <v>0</v>
      </c>
      <c r="AC361" s="2312"/>
      <c r="AD361" s="2312"/>
      <c r="AE361" s="2180">
        <f t="shared" si="518"/>
        <v>0</v>
      </c>
      <c r="AF361" s="2276"/>
      <c r="AG361" s="2114"/>
      <c r="AH361" s="2312"/>
      <c r="AI361" s="2312"/>
      <c r="AJ361" s="2310">
        <f t="shared" si="564"/>
        <v>0</v>
      </c>
      <c r="AK361" s="2312"/>
      <c r="AL361" s="2312"/>
      <c r="AM361" s="2310">
        <f t="shared" si="565"/>
        <v>0</v>
      </c>
      <c r="AN361" s="2312"/>
      <c r="AO361" s="2312"/>
      <c r="AP361" s="2310">
        <f t="shared" si="566"/>
        <v>0</v>
      </c>
      <c r="AQ361" s="2312"/>
      <c r="AR361" s="2312"/>
      <c r="AS361" s="2310">
        <f t="shared" si="567"/>
        <v>0</v>
      </c>
      <c r="AT361" s="2312"/>
      <c r="AU361" s="2312"/>
      <c r="AV361" s="2310">
        <f t="shared" si="568"/>
        <v>0</v>
      </c>
      <c r="AW361" s="2312"/>
      <c r="AX361" s="2312"/>
      <c r="AY361" s="2310">
        <f t="shared" si="569"/>
        <v>0</v>
      </c>
      <c r="AZ361" s="2312"/>
      <c r="BA361" s="2312"/>
      <c r="BB361" s="2310">
        <f t="shared" si="570"/>
        <v>0</v>
      </c>
      <c r="BC361" s="2312"/>
      <c r="BD361" s="2312"/>
      <c r="BE361" s="2310">
        <f t="shared" si="571"/>
        <v>0</v>
      </c>
      <c r="BF361" s="2312"/>
      <c r="BG361" s="2312"/>
      <c r="BH361" s="2310">
        <f t="shared" si="572"/>
        <v>0</v>
      </c>
      <c r="BI361" s="2312"/>
      <c r="BJ361" s="2312"/>
      <c r="BK361" s="2310">
        <f t="shared" si="573"/>
        <v>0</v>
      </c>
      <c r="BL361" s="2312"/>
      <c r="BM361" s="2312"/>
      <c r="BN361" s="2310">
        <f t="shared" si="574"/>
        <v>0</v>
      </c>
      <c r="BO361" s="2312"/>
      <c r="BP361" s="2312"/>
      <c r="BQ361" s="2310">
        <f t="shared" si="575"/>
        <v>0</v>
      </c>
    </row>
    <row r="362" spans="3:69" s="2087" customFormat="1" hidden="1">
      <c r="C362" s="2173" t="s">
        <v>2500</v>
      </c>
      <c r="D362" s="2315" t="s">
        <v>2488</v>
      </c>
      <c r="E362" s="2250" t="s">
        <v>2483</v>
      </c>
      <c r="F362" s="2216"/>
      <c r="G362" s="2312"/>
      <c r="H362" s="2312"/>
      <c r="I362" s="2301">
        <f t="shared" si="537"/>
        <v>0</v>
      </c>
      <c r="J362" s="2313"/>
      <c r="K362" s="2300">
        <f>N362+Q362+W362+AC362</f>
        <v>0</v>
      </c>
      <c r="L362" s="2300">
        <f>O362+R362+X362+AD362</f>
        <v>0</v>
      </c>
      <c r="M362" s="2303">
        <f>L362-K362</f>
        <v>0</v>
      </c>
      <c r="N362" s="2312"/>
      <c r="O362" s="2312"/>
      <c r="P362" s="2303">
        <f>O362-N362</f>
        <v>0</v>
      </c>
      <c r="Q362" s="2312"/>
      <c r="R362" s="2312"/>
      <c r="S362" s="2303">
        <f>R362-Q362</f>
        <v>0</v>
      </c>
      <c r="T362" s="2304">
        <f>N362+Q362</f>
        <v>0</v>
      </c>
      <c r="U362" s="2300">
        <f>O362+R362</f>
        <v>0</v>
      </c>
      <c r="V362" s="2301">
        <f>U362-T362</f>
        <v>0</v>
      </c>
      <c r="W362" s="2314"/>
      <c r="X362" s="2312"/>
      <c r="Y362" s="2306">
        <f>X362-W362</f>
        <v>0</v>
      </c>
      <c r="Z362" s="2307">
        <f>T362+W362</f>
        <v>0</v>
      </c>
      <c r="AA362" s="2300">
        <f>U362+X362</f>
        <v>0</v>
      </c>
      <c r="AB362" s="2303">
        <f>AA362-Z362</f>
        <v>0</v>
      </c>
      <c r="AC362" s="2312"/>
      <c r="AD362" s="2312"/>
      <c r="AE362" s="2178">
        <f>AD362-AC362</f>
        <v>0</v>
      </c>
      <c r="AF362" s="2276"/>
      <c r="AG362" s="2114"/>
      <c r="AH362" s="2312"/>
      <c r="AI362" s="2312"/>
      <c r="AJ362" s="2310">
        <f>AI362-AH362</f>
        <v>0</v>
      </c>
      <c r="AK362" s="2312"/>
      <c r="AL362" s="2312"/>
      <c r="AM362" s="2310">
        <f>AL362-AK362</f>
        <v>0</v>
      </c>
      <c r="AN362" s="2312"/>
      <c r="AO362" s="2312"/>
      <c r="AP362" s="2310">
        <f>AO362-AN362</f>
        <v>0</v>
      </c>
      <c r="AQ362" s="2312"/>
      <c r="AR362" s="2312"/>
      <c r="AS362" s="2310">
        <f>AR362-AQ362</f>
        <v>0</v>
      </c>
      <c r="AT362" s="2312"/>
      <c r="AU362" s="2312"/>
      <c r="AV362" s="2310">
        <f>AU362-AT362</f>
        <v>0</v>
      </c>
      <c r="AW362" s="2312"/>
      <c r="AX362" s="2312"/>
      <c r="AY362" s="2310">
        <f>AX362-AW362</f>
        <v>0</v>
      </c>
      <c r="AZ362" s="2312"/>
      <c r="BA362" s="2312"/>
      <c r="BB362" s="2310">
        <f>BA362-AZ362</f>
        <v>0</v>
      </c>
      <c r="BC362" s="2312"/>
      <c r="BD362" s="2312"/>
      <c r="BE362" s="2310">
        <f>BD362-BC362</f>
        <v>0</v>
      </c>
      <c r="BF362" s="2312"/>
      <c r="BG362" s="2312"/>
      <c r="BH362" s="2310">
        <f>BG362-BF362</f>
        <v>0</v>
      </c>
      <c r="BI362" s="2312"/>
      <c r="BJ362" s="2312"/>
      <c r="BK362" s="2310">
        <f>BJ362-BI362</f>
        <v>0</v>
      </c>
      <c r="BL362" s="2312"/>
      <c r="BM362" s="2312"/>
      <c r="BN362" s="2310">
        <f>BM362-BL362</f>
        <v>0</v>
      </c>
      <c r="BO362" s="2312"/>
      <c r="BP362" s="2312"/>
      <c r="BQ362" s="2310">
        <f>BP362-BO362</f>
        <v>0</v>
      </c>
    </row>
    <row r="363" spans="3:69" s="2087" customFormat="1" hidden="1">
      <c r="C363" s="2173" t="s">
        <v>2501</v>
      </c>
      <c r="D363" s="2311" t="s">
        <v>2502</v>
      </c>
      <c r="E363" s="2250" t="s">
        <v>2483</v>
      </c>
      <c r="F363" s="2216"/>
      <c r="G363" s="2312"/>
      <c r="H363" s="2312"/>
      <c r="I363" s="2301">
        <f t="shared" si="537"/>
        <v>0</v>
      </c>
      <c r="J363" s="2313"/>
      <c r="K363" s="2300">
        <f t="shared" si="538"/>
        <v>0</v>
      </c>
      <c r="L363" s="2300">
        <f t="shared" si="538"/>
        <v>0</v>
      </c>
      <c r="M363" s="2303">
        <f t="shared" si="522"/>
        <v>0</v>
      </c>
      <c r="N363" s="2312"/>
      <c r="O363" s="2312"/>
      <c r="P363" s="2303">
        <f t="shared" si="500"/>
        <v>0</v>
      </c>
      <c r="Q363" s="2312"/>
      <c r="R363" s="2312"/>
      <c r="S363" s="2301">
        <f t="shared" si="484"/>
        <v>0</v>
      </c>
      <c r="T363" s="2304">
        <f t="shared" ref="T363:U364" si="576">N363+Q363</f>
        <v>0</v>
      </c>
      <c r="U363" s="2300">
        <f t="shared" si="576"/>
        <v>0</v>
      </c>
      <c r="V363" s="2301">
        <f t="shared" si="523"/>
        <v>0</v>
      </c>
      <c r="W363" s="2314"/>
      <c r="X363" s="2312"/>
      <c r="Y363" s="2306">
        <f t="shared" si="486"/>
        <v>0</v>
      </c>
      <c r="Z363" s="2307">
        <f t="shared" si="539"/>
        <v>0</v>
      </c>
      <c r="AA363" s="2300">
        <f t="shared" si="539"/>
        <v>0</v>
      </c>
      <c r="AB363" s="2303">
        <f t="shared" si="524"/>
        <v>0</v>
      </c>
      <c r="AC363" s="2312"/>
      <c r="AD363" s="2312"/>
      <c r="AE363" s="2180">
        <f t="shared" si="518"/>
        <v>0</v>
      </c>
      <c r="AF363" s="2276"/>
      <c r="AG363" s="2114"/>
      <c r="AH363" s="2312"/>
      <c r="AI363" s="2312"/>
      <c r="AJ363" s="2310">
        <f t="shared" ref="AJ363:AJ364" si="577">AI363-AH363</f>
        <v>0</v>
      </c>
      <c r="AK363" s="2312"/>
      <c r="AL363" s="2312"/>
      <c r="AM363" s="2310">
        <f t="shared" ref="AM363:AM364" si="578">AL363-AK363</f>
        <v>0</v>
      </c>
      <c r="AN363" s="2312"/>
      <c r="AO363" s="2312"/>
      <c r="AP363" s="2310">
        <f t="shared" ref="AP363:AP364" si="579">AO363-AN363</f>
        <v>0</v>
      </c>
      <c r="AQ363" s="2312"/>
      <c r="AR363" s="2312"/>
      <c r="AS363" s="2310">
        <f t="shared" ref="AS363:AS364" si="580">AR363-AQ363</f>
        <v>0</v>
      </c>
      <c r="AT363" s="2312"/>
      <c r="AU363" s="2312"/>
      <c r="AV363" s="2310">
        <f t="shared" ref="AV363:AV364" si="581">AU363-AT363</f>
        <v>0</v>
      </c>
      <c r="AW363" s="2312"/>
      <c r="AX363" s="2312"/>
      <c r="AY363" s="2310">
        <f t="shared" ref="AY363:AY364" si="582">AX363-AW363</f>
        <v>0</v>
      </c>
      <c r="AZ363" s="2312"/>
      <c r="BA363" s="2312"/>
      <c r="BB363" s="2310">
        <f t="shared" ref="BB363:BB364" si="583">BA363-AZ363</f>
        <v>0</v>
      </c>
      <c r="BC363" s="2312"/>
      <c r="BD363" s="2312"/>
      <c r="BE363" s="2310">
        <f t="shared" ref="BE363:BE364" si="584">BD363-BC363</f>
        <v>0</v>
      </c>
      <c r="BF363" s="2312"/>
      <c r="BG363" s="2312"/>
      <c r="BH363" s="2310">
        <f t="shared" ref="BH363:BH364" si="585">BG363-BF363</f>
        <v>0</v>
      </c>
      <c r="BI363" s="2312"/>
      <c r="BJ363" s="2312"/>
      <c r="BK363" s="2310">
        <f t="shared" ref="BK363:BK364" si="586">BJ363-BI363</f>
        <v>0</v>
      </c>
      <c r="BL363" s="2312"/>
      <c r="BM363" s="2312"/>
      <c r="BN363" s="2310">
        <f t="shared" ref="BN363:BN364" si="587">BM363-BL363</f>
        <v>0</v>
      </c>
      <c r="BO363" s="2312"/>
      <c r="BP363" s="2312"/>
      <c r="BQ363" s="2310">
        <f t="shared" ref="BQ363:BQ364" si="588">BP363-BO363</f>
        <v>0</v>
      </c>
    </row>
    <row r="364" spans="3:69" s="2087" customFormat="1" hidden="1">
      <c r="C364" s="2173" t="s">
        <v>2503</v>
      </c>
      <c r="D364" s="2223" t="s">
        <v>2211</v>
      </c>
      <c r="E364" s="2250" t="s">
        <v>2483</v>
      </c>
      <c r="F364" s="2216"/>
      <c r="G364" s="2316"/>
      <c r="H364" s="2316"/>
      <c r="I364" s="2301">
        <f t="shared" si="537"/>
        <v>0</v>
      </c>
      <c r="J364" s="2313"/>
      <c r="K364" s="2300">
        <f t="shared" si="538"/>
        <v>0</v>
      </c>
      <c r="L364" s="2300">
        <f t="shared" si="538"/>
        <v>0</v>
      </c>
      <c r="M364" s="2303">
        <f t="shared" si="522"/>
        <v>0</v>
      </c>
      <c r="N364" s="2316"/>
      <c r="O364" s="2316"/>
      <c r="P364" s="2303">
        <f t="shared" si="500"/>
        <v>0</v>
      </c>
      <c r="Q364" s="2316"/>
      <c r="R364" s="2316"/>
      <c r="S364" s="2301">
        <f t="shared" si="484"/>
        <v>0</v>
      </c>
      <c r="T364" s="2304">
        <f t="shared" si="576"/>
        <v>0</v>
      </c>
      <c r="U364" s="2300">
        <f t="shared" si="576"/>
        <v>0</v>
      </c>
      <c r="V364" s="2301">
        <f t="shared" si="523"/>
        <v>0</v>
      </c>
      <c r="W364" s="2317"/>
      <c r="X364" s="2316"/>
      <c r="Y364" s="2306">
        <f t="shared" si="486"/>
        <v>0</v>
      </c>
      <c r="Z364" s="2307">
        <f t="shared" si="539"/>
        <v>0</v>
      </c>
      <c r="AA364" s="2300">
        <f t="shared" si="539"/>
        <v>0</v>
      </c>
      <c r="AB364" s="2303">
        <f t="shared" si="524"/>
        <v>0</v>
      </c>
      <c r="AC364" s="2316"/>
      <c r="AD364" s="2316"/>
      <c r="AE364" s="2180">
        <f t="shared" si="518"/>
        <v>0</v>
      </c>
      <c r="AF364" s="2276"/>
      <c r="AG364" s="2114"/>
      <c r="AH364" s="2316"/>
      <c r="AI364" s="2316"/>
      <c r="AJ364" s="2310">
        <f t="shared" si="577"/>
        <v>0</v>
      </c>
      <c r="AK364" s="2316"/>
      <c r="AL364" s="2316"/>
      <c r="AM364" s="2310">
        <f t="shared" si="578"/>
        <v>0</v>
      </c>
      <c r="AN364" s="2316"/>
      <c r="AO364" s="2316"/>
      <c r="AP364" s="2310">
        <f t="shared" si="579"/>
        <v>0</v>
      </c>
      <c r="AQ364" s="2316"/>
      <c r="AR364" s="2316"/>
      <c r="AS364" s="2310">
        <f t="shared" si="580"/>
        <v>0</v>
      </c>
      <c r="AT364" s="2316"/>
      <c r="AU364" s="2316"/>
      <c r="AV364" s="2310">
        <f t="shared" si="581"/>
        <v>0</v>
      </c>
      <c r="AW364" s="2316"/>
      <c r="AX364" s="2316"/>
      <c r="AY364" s="2310">
        <f t="shared" si="582"/>
        <v>0</v>
      </c>
      <c r="AZ364" s="2316"/>
      <c r="BA364" s="2316"/>
      <c r="BB364" s="2310">
        <f t="shared" si="583"/>
        <v>0</v>
      </c>
      <c r="BC364" s="2316"/>
      <c r="BD364" s="2316"/>
      <c r="BE364" s="2310">
        <f t="shared" si="584"/>
        <v>0</v>
      </c>
      <c r="BF364" s="2316"/>
      <c r="BG364" s="2316"/>
      <c r="BH364" s="2310">
        <f t="shared" si="585"/>
        <v>0</v>
      </c>
      <c r="BI364" s="2316"/>
      <c r="BJ364" s="2316"/>
      <c r="BK364" s="2310">
        <f t="shared" si="586"/>
        <v>0</v>
      </c>
      <c r="BL364" s="2316"/>
      <c r="BM364" s="2316"/>
      <c r="BN364" s="2310">
        <f t="shared" si="587"/>
        <v>0</v>
      </c>
      <c r="BO364" s="2316"/>
      <c r="BP364" s="2316"/>
      <c r="BQ364" s="2310">
        <f t="shared" si="588"/>
        <v>0</v>
      </c>
    </row>
    <row r="365" spans="3:69" s="2087" customFormat="1" hidden="1">
      <c r="C365" s="2173" t="s">
        <v>2504</v>
      </c>
      <c r="D365" s="2315" t="s">
        <v>2488</v>
      </c>
      <c r="E365" s="2250" t="s">
        <v>2483</v>
      </c>
      <c r="F365" s="2216"/>
      <c r="G365" s="2316"/>
      <c r="H365" s="2316"/>
      <c r="I365" s="2301">
        <f t="shared" si="537"/>
        <v>0</v>
      </c>
      <c r="J365" s="2313"/>
      <c r="K365" s="2300">
        <f>N365+Q365+W365+AC365</f>
        <v>0</v>
      </c>
      <c r="L365" s="2300">
        <f>O365+R365+X365+AD365</f>
        <v>0</v>
      </c>
      <c r="M365" s="2303">
        <f>L365-K365</f>
        <v>0</v>
      </c>
      <c r="N365" s="2316"/>
      <c r="O365" s="2316"/>
      <c r="P365" s="2303">
        <f>O365-N365</f>
        <v>0</v>
      </c>
      <c r="Q365" s="2316"/>
      <c r="R365" s="2316"/>
      <c r="S365" s="2303">
        <f>R365-Q365</f>
        <v>0</v>
      </c>
      <c r="T365" s="2304">
        <f>N365+Q365</f>
        <v>0</v>
      </c>
      <c r="U365" s="2300">
        <f>O365+R365</f>
        <v>0</v>
      </c>
      <c r="V365" s="2301">
        <f>U365-T365</f>
        <v>0</v>
      </c>
      <c r="W365" s="2317"/>
      <c r="X365" s="2316"/>
      <c r="Y365" s="2306">
        <f>X365-W365</f>
        <v>0</v>
      </c>
      <c r="Z365" s="2307">
        <f>T365+W365</f>
        <v>0</v>
      </c>
      <c r="AA365" s="2300">
        <f>U365+X365</f>
        <v>0</v>
      </c>
      <c r="AB365" s="2303">
        <f>AA365-Z365</f>
        <v>0</v>
      </c>
      <c r="AC365" s="2316"/>
      <c r="AD365" s="2316"/>
      <c r="AE365" s="2178">
        <f>AD365-AC365</f>
        <v>0</v>
      </c>
      <c r="AF365" s="2276"/>
      <c r="AG365" s="2114"/>
      <c r="AH365" s="2316"/>
      <c r="AI365" s="2316"/>
      <c r="AJ365" s="2310">
        <f>AI365-AH365</f>
        <v>0</v>
      </c>
      <c r="AK365" s="2316"/>
      <c r="AL365" s="2316"/>
      <c r="AM365" s="2310">
        <f>AL365-AK365</f>
        <v>0</v>
      </c>
      <c r="AN365" s="2316"/>
      <c r="AO365" s="2316"/>
      <c r="AP365" s="2310">
        <f>AO365-AN365</f>
        <v>0</v>
      </c>
      <c r="AQ365" s="2316"/>
      <c r="AR365" s="2316"/>
      <c r="AS365" s="2310">
        <f>AR365-AQ365</f>
        <v>0</v>
      </c>
      <c r="AT365" s="2316"/>
      <c r="AU365" s="2316"/>
      <c r="AV365" s="2310">
        <f>AU365-AT365</f>
        <v>0</v>
      </c>
      <c r="AW365" s="2316"/>
      <c r="AX365" s="2316"/>
      <c r="AY365" s="2310">
        <f>AX365-AW365</f>
        <v>0</v>
      </c>
      <c r="AZ365" s="2316"/>
      <c r="BA365" s="2316"/>
      <c r="BB365" s="2310">
        <f>BA365-AZ365</f>
        <v>0</v>
      </c>
      <c r="BC365" s="2316"/>
      <c r="BD365" s="2316"/>
      <c r="BE365" s="2310">
        <f>BD365-BC365</f>
        <v>0</v>
      </c>
      <c r="BF365" s="2316"/>
      <c r="BG365" s="2316"/>
      <c r="BH365" s="2310">
        <f>BG365-BF365</f>
        <v>0</v>
      </c>
      <c r="BI365" s="2316"/>
      <c r="BJ365" s="2316"/>
      <c r="BK365" s="2310">
        <f>BJ365-BI365</f>
        <v>0</v>
      </c>
      <c r="BL365" s="2316"/>
      <c r="BM365" s="2316"/>
      <c r="BN365" s="2310">
        <f>BM365-BL365</f>
        <v>0</v>
      </c>
      <c r="BO365" s="2316"/>
      <c r="BP365" s="2316"/>
      <c r="BQ365" s="2310">
        <f>BP365-BO365</f>
        <v>0</v>
      </c>
    </row>
    <row r="366" spans="3:69" s="2159" customFormat="1">
      <c r="C366" s="2147" t="s">
        <v>428</v>
      </c>
      <c r="D366" s="2148" t="s">
        <v>2133</v>
      </c>
      <c r="E366" s="2149"/>
      <c r="F366" s="2150"/>
      <c r="G366" s="2151"/>
      <c r="H366" s="2151"/>
      <c r="I366" s="2152"/>
      <c r="J366" s="2150"/>
      <c r="K366" s="2151"/>
      <c r="L366" s="2151"/>
      <c r="M366" s="2152"/>
      <c r="N366" s="2151"/>
      <c r="O366" s="2151"/>
      <c r="P366" s="2152"/>
      <c r="Q366" s="2150"/>
      <c r="R366" s="2151"/>
      <c r="S366" s="2153"/>
      <c r="T366" s="2154"/>
      <c r="U366" s="2151"/>
      <c r="V366" s="2153"/>
      <c r="W366" s="2155"/>
      <c r="X366" s="2151"/>
      <c r="Y366" s="2156"/>
      <c r="Z366" s="2150"/>
      <c r="AA366" s="2151"/>
      <c r="AB366" s="2152"/>
      <c r="AC366" s="2150"/>
      <c r="AD366" s="2151"/>
      <c r="AE366" s="2153"/>
      <c r="AF366" s="2157"/>
      <c r="AG366" s="2158"/>
      <c r="AH366" s="2151"/>
      <c r="AI366" s="2151"/>
      <c r="AJ366" s="2152"/>
      <c r="AK366" s="2151"/>
      <c r="AL366" s="2151"/>
      <c r="AM366" s="2152"/>
      <c r="AN366" s="2151"/>
      <c r="AO366" s="2151"/>
      <c r="AP366" s="2152"/>
      <c r="AQ366" s="2151"/>
      <c r="AR366" s="2151"/>
      <c r="AS366" s="2152"/>
      <c r="AT366" s="2151"/>
      <c r="AU366" s="2151"/>
      <c r="AV366" s="2152"/>
      <c r="AW366" s="2151"/>
      <c r="AX366" s="2151"/>
      <c r="AY366" s="2152"/>
      <c r="AZ366" s="2151"/>
      <c r="BA366" s="2151"/>
      <c r="BB366" s="2152"/>
      <c r="BC366" s="2151"/>
      <c r="BD366" s="2151"/>
      <c r="BE366" s="2152"/>
      <c r="BF366" s="2151"/>
      <c r="BG366" s="2151"/>
      <c r="BH366" s="2152"/>
      <c r="BI366" s="2151"/>
      <c r="BJ366" s="2151"/>
      <c r="BK366" s="2152"/>
      <c r="BL366" s="2151"/>
      <c r="BM366" s="2151"/>
      <c r="BN366" s="2152"/>
      <c r="BO366" s="2151"/>
      <c r="BP366" s="2151"/>
      <c r="BQ366" s="2152"/>
    </row>
    <row r="367" spans="3:69" s="2159" customFormat="1">
      <c r="C367" s="2318" t="s">
        <v>2505</v>
      </c>
      <c r="D367" s="2202" t="s">
        <v>2506</v>
      </c>
      <c r="E367" s="2319"/>
      <c r="F367" s="2320"/>
      <c r="G367" s="2171"/>
      <c r="H367" s="2171"/>
      <c r="I367" s="2172"/>
      <c r="J367" s="2320"/>
      <c r="K367" s="2321"/>
      <c r="L367" s="2321"/>
      <c r="M367" s="2322"/>
      <c r="N367" s="2171"/>
      <c r="O367" s="2171"/>
      <c r="P367" s="2172"/>
      <c r="Q367" s="2320"/>
      <c r="R367" s="2171"/>
      <c r="S367" s="2323"/>
      <c r="T367" s="2324"/>
      <c r="U367" s="2321"/>
      <c r="V367" s="2325"/>
      <c r="W367" s="2326"/>
      <c r="X367" s="2171"/>
      <c r="Y367" s="2327"/>
      <c r="Z367" s="2328"/>
      <c r="AA367" s="2321"/>
      <c r="AB367" s="2322"/>
      <c r="AC367" s="2320"/>
      <c r="AD367" s="2171"/>
      <c r="AE367" s="2323"/>
      <c r="AF367" s="2281"/>
      <c r="AG367" s="2158"/>
      <c r="AH367" s="2171"/>
      <c r="AI367" s="2171"/>
      <c r="AJ367" s="2172"/>
      <c r="AK367" s="2171"/>
      <c r="AL367" s="2171"/>
      <c r="AM367" s="2172"/>
      <c r="AN367" s="2171"/>
      <c r="AO367" s="2171"/>
      <c r="AP367" s="2172"/>
      <c r="AQ367" s="2171"/>
      <c r="AR367" s="2171"/>
      <c r="AS367" s="2172"/>
      <c r="AT367" s="2171"/>
      <c r="AU367" s="2171"/>
      <c r="AV367" s="2172"/>
      <c r="AW367" s="2171"/>
      <c r="AX367" s="2171"/>
      <c r="AY367" s="2172"/>
      <c r="AZ367" s="2171"/>
      <c r="BA367" s="2171"/>
      <c r="BB367" s="2172"/>
      <c r="BC367" s="2171"/>
      <c r="BD367" s="2171"/>
      <c r="BE367" s="2172"/>
      <c r="BF367" s="2171"/>
      <c r="BG367" s="2171"/>
      <c r="BH367" s="2172"/>
      <c r="BI367" s="2171"/>
      <c r="BJ367" s="2171"/>
      <c r="BK367" s="2172"/>
      <c r="BL367" s="2171"/>
      <c r="BM367" s="2171"/>
      <c r="BN367" s="2172"/>
      <c r="BO367" s="2171"/>
      <c r="BP367" s="2171"/>
      <c r="BQ367" s="2172"/>
    </row>
    <row r="368" spans="3:69" s="2207" customFormat="1" ht="22.5">
      <c r="C368" s="2329" t="s">
        <v>2507</v>
      </c>
      <c r="D368" s="2330" t="s">
        <v>2217</v>
      </c>
      <c r="E368" s="2217"/>
      <c r="F368" s="2320"/>
      <c r="G368" s="2171"/>
      <c r="H368" s="2171"/>
      <c r="I368" s="2172"/>
      <c r="J368" s="2320"/>
      <c r="K368" s="2321"/>
      <c r="L368" s="2321"/>
      <c r="M368" s="2322"/>
      <c r="N368" s="2171"/>
      <c r="O368" s="2171"/>
      <c r="P368" s="2172"/>
      <c r="Q368" s="2320"/>
      <c r="R368" s="2171"/>
      <c r="S368" s="2323"/>
      <c r="T368" s="2324"/>
      <c r="U368" s="2321"/>
      <c r="V368" s="2325"/>
      <c r="W368" s="2326"/>
      <c r="X368" s="2171"/>
      <c r="Y368" s="2327"/>
      <c r="Z368" s="2328"/>
      <c r="AA368" s="2321"/>
      <c r="AB368" s="2322"/>
      <c r="AC368" s="2320"/>
      <c r="AD368" s="2171"/>
      <c r="AE368" s="2323"/>
      <c r="AF368" s="2281"/>
      <c r="AG368" s="2158"/>
      <c r="AH368" s="2171"/>
      <c r="AI368" s="2171"/>
      <c r="AJ368" s="2172"/>
      <c r="AK368" s="2171"/>
      <c r="AL368" s="2171"/>
      <c r="AM368" s="2172"/>
      <c r="AN368" s="2171"/>
      <c r="AO368" s="2171"/>
      <c r="AP368" s="2172"/>
      <c r="AQ368" s="2171"/>
      <c r="AR368" s="2171"/>
      <c r="AS368" s="2172"/>
      <c r="AT368" s="2171"/>
      <c r="AU368" s="2171"/>
      <c r="AV368" s="2172"/>
      <c r="AW368" s="2171"/>
      <c r="AX368" s="2171"/>
      <c r="AY368" s="2172"/>
      <c r="AZ368" s="2171"/>
      <c r="BA368" s="2171"/>
      <c r="BB368" s="2172"/>
      <c r="BC368" s="2171"/>
      <c r="BD368" s="2171"/>
      <c r="BE368" s="2172"/>
      <c r="BF368" s="2171"/>
      <c r="BG368" s="2171"/>
      <c r="BH368" s="2172"/>
      <c r="BI368" s="2171"/>
      <c r="BJ368" s="2171"/>
      <c r="BK368" s="2172"/>
      <c r="BL368" s="2171"/>
      <c r="BM368" s="2171"/>
      <c r="BN368" s="2172"/>
      <c r="BO368" s="2171"/>
      <c r="BP368" s="2171"/>
      <c r="BQ368" s="2172"/>
    </row>
    <row r="369" spans="3:69">
      <c r="C369" s="2331" t="s">
        <v>2508</v>
      </c>
      <c r="D369" s="2289" t="s">
        <v>2509</v>
      </c>
      <c r="E369" s="2332"/>
      <c r="F369" s="2265"/>
      <c r="G369" s="2188"/>
      <c r="H369" s="2188"/>
      <c r="I369" s="2186"/>
      <c r="J369" s="2265"/>
      <c r="K369" s="2268"/>
      <c r="L369" s="2268"/>
      <c r="M369" s="2273"/>
      <c r="N369" s="2188"/>
      <c r="O369" s="2188"/>
      <c r="P369" s="2186"/>
      <c r="Q369" s="2265"/>
      <c r="R369" s="2188"/>
      <c r="S369" s="2266"/>
      <c r="T369" s="2267"/>
      <c r="U369" s="2268"/>
      <c r="V369" s="2269"/>
      <c r="W369" s="2270"/>
      <c r="X369" s="2188"/>
      <c r="Y369" s="2271"/>
      <c r="Z369" s="2272"/>
      <c r="AA369" s="2268"/>
      <c r="AB369" s="2273"/>
      <c r="AC369" s="2265"/>
      <c r="AD369" s="2188"/>
      <c r="AE369" s="2266"/>
      <c r="AF369" s="2281"/>
      <c r="AG369" s="2114"/>
      <c r="AH369" s="2188"/>
      <c r="AI369" s="2188"/>
      <c r="AJ369" s="2186"/>
      <c r="AK369" s="2188"/>
      <c r="AL369" s="2188"/>
      <c r="AM369" s="2186"/>
      <c r="AN369" s="2188"/>
      <c r="AO369" s="2188"/>
      <c r="AP369" s="2186"/>
      <c r="AQ369" s="2188"/>
      <c r="AR369" s="2188"/>
      <c r="AS369" s="2186"/>
      <c r="AT369" s="2188"/>
      <c r="AU369" s="2188"/>
      <c r="AV369" s="2186"/>
      <c r="AW369" s="2188"/>
      <c r="AX369" s="2188"/>
      <c r="AY369" s="2186"/>
      <c r="AZ369" s="2188"/>
      <c r="BA369" s="2188"/>
      <c r="BB369" s="2186"/>
      <c r="BC369" s="2188"/>
      <c r="BD369" s="2188"/>
      <c r="BE369" s="2186"/>
      <c r="BF369" s="2188"/>
      <c r="BG369" s="2188"/>
      <c r="BH369" s="2186"/>
      <c r="BI369" s="2188"/>
      <c r="BJ369" s="2188"/>
      <c r="BK369" s="2186"/>
      <c r="BL369" s="2188"/>
      <c r="BM369" s="2188"/>
      <c r="BN369" s="2186"/>
      <c r="BO369" s="2188"/>
      <c r="BP369" s="2188"/>
      <c r="BQ369" s="2186"/>
    </row>
    <row r="370" spans="3:69">
      <c r="C370" s="2333" t="s">
        <v>2510</v>
      </c>
      <c r="D370" s="2334" t="s">
        <v>2221</v>
      </c>
      <c r="E370" s="2335" t="s">
        <v>2511</v>
      </c>
      <c r="F370" s="2176"/>
      <c r="G370" s="2179">
        <f t="shared" ref="G370:H374" si="589">IFERROR(G446/G106/12*1000,0)</f>
        <v>0</v>
      </c>
      <c r="H370" s="2179">
        <f t="shared" si="589"/>
        <v>0</v>
      </c>
      <c r="I370" s="2178">
        <f>H370-G370</f>
        <v>0</v>
      </c>
      <c r="J370" s="2176"/>
      <c r="K370" s="2252">
        <f t="shared" ref="K370:L374" si="590">IFERROR(K446/K106/12*1000,0)</f>
        <v>0</v>
      </c>
      <c r="L370" s="2252">
        <f t="shared" si="590"/>
        <v>0</v>
      </c>
      <c r="M370" s="2255">
        <f>L370-K370</f>
        <v>0</v>
      </c>
      <c r="N370" s="2177"/>
      <c r="O370" s="2177"/>
      <c r="P370" s="2178">
        <f>O370-N370</f>
        <v>0</v>
      </c>
      <c r="Q370" s="2176"/>
      <c r="R370" s="2176"/>
      <c r="S370" s="2180">
        <f>R370-Q370</f>
        <v>0</v>
      </c>
      <c r="T370" s="2251">
        <f>Q370</f>
        <v>0</v>
      </c>
      <c r="U370" s="2252">
        <f>R370</f>
        <v>0</v>
      </c>
      <c r="V370" s="2253">
        <f>U370-T370</f>
        <v>0</v>
      </c>
      <c r="W370" s="2182"/>
      <c r="X370" s="2176"/>
      <c r="Y370" s="2183">
        <f>X370-W370</f>
        <v>0</v>
      </c>
      <c r="Z370" s="2254">
        <f t="shared" ref="Z370:AA374" si="591">IFERROR(Z446/Z106/9*1000,0)</f>
        <v>0</v>
      </c>
      <c r="AA370" s="2252">
        <f t="shared" si="591"/>
        <v>0</v>
      </c>
      <c r="AB370" s="2255">
        <f>AA370-Z370</f>
        <v>0</v>
      </c>
      <c r="AC370" s="2176"/>
      <c r="AD370" s="2176"/>
      <c r="AE370" s="2180">
        <f>AD370-AC370</f>
        <v>0</v>
      </c>
      <c r="AF370" s="2281"/>
      <c r="AG370" s="2145"/>
      <c r="AH370" s="2177"/>
      <c r="AI370" s="2177"/>
      <c r="AJ370" s="2186">
        <f>AI370-AH370</f>
        <v>0</v>
      </c>
      <c r="AK370" s="2177"/>
      <c r="AL370" s="2177"/>
      <c r="AM370" s="2186">
        <f>AL370-AK370</f>
        <v>0</v>
      </c>
      <c r="AN370" s="2177"/>
      <c r="AO370" s="2177"/>
      <c r="AP370" s="2186">
        <f>AO370-AN370</f>
        <v>0</v>
      </c>
      <c r="AQ370" s="2177"/>
      <c r="AR370" s="2177"/>
      <c r="AS370" s="2186">
        <f>AR370-AQ370</f>
        <v>0</v>
      </c>
      <c r="AT370" s="2177"/>
      <c r="AU370" s="2177"/>
      <c r="AV370" s="2186">
        <f>AU370-AT370</f>
        <v>0</v>
      </c>
      <c r="AW370" s="2177"/>
      <c r="AX370" s="2177"/>
      <c r="AY370" s="2186">
        <f>AX370-AW370</f>
        <v>0</v>
      </c>
      <c r="AZ370" s="2177"/>
      <c r="BA370" s="2177"/>
      <c r="BB370" s="2186">
        <f>BA370-AZ370</f>
        <v>0</v>
      </c>
      <c r="BC370" s="2177"/>
      <c r="BD370" s="2177"/>
      <c r="BE370" s="2186">
        <f>BD370-BC370</f>
        <v>0</v>
      </c>
      <c r="BF370" s="2177"/>
      <c r="BG370" s="2177"/>
      <c r="BH370" s="2186">
        <f>BG370-BF370</f>
        <v>0</v>
      </c>
      <c r="BI370" s="2177"/>
      <c r="BJ370" s="2177"/>
      <c r="BK370" s="2186">
        <f>BJ370-BI370</f>
        <v>0</v>
      </c>
      <c r="BL370" s="2177"/>
      <c r="BM370" s="2177"/>
      <c r="BN370" s="2186">
        <f>BM370-BL370</f>
        <v>0</v>
      </c>
      <c r="BO370" s="2177"/>
      <c r="BP370" s="2177"/>
      <c r="BQ370" s="2186">
        <f>BP370-BO370</f>
        <v>0</v>
      </c>
    </row>
    <row r="371" spans="3:69">
      <c r="C371" s="2333" t="s">
        <v>2512</v>
      </c>
      <c r="D371" s="2334" t="s">
        <v>2223</v>
      </c>
      <c r="E371" s="2335" t="s">
        <v>2511</v>
      </c>
      <c r="F371" s="2176"/>
      <c r="G371" s="2179">
        <f t="shared" si="589"/>
        <v>0</v>
      </c>
      <c r="H371" s="2179">
        <f t="shared" si="589"/>
        <v>0</v>
      </c>
      <c r="I371" s="2178">
        <f t="shared" ref="I371:I373" si="592">H371-G371</f>
        <v>0</v>
      </c>
      <c r="J371" s="2176"/>
      <c r="K371" s="2252">
        <f t="shared" si="590"/>
        <v>0</v>
      </c>
      <c r="L371" s="2252">
        <f t="shared" si="590"/>
        <v>0</v>
      </c>
      <c r="M371" s="2255">
        <f t="shared" ref="M371:M373" si="593">L371-K371</f>
        <v>0</v>
      </c>
      <c r="N371" s="2177"/>
      <c r="O371" s="2177"/>
      <c r="P371" s="2178">
        <f t="shared" ref="P371:P389" si="594">O371-N371</f>
        <v>0</v>
      </c>
      <c r="Q371" s="2176"/>
      <c r="R371" s="2176"/>
      <c r="S371" s="2180">
        <f t="shared" ref="S371:S389" si="595">R371-Q371</f>
        <v>0</v>
      </c>
      <c r="T371" s="2251">
        <f>Q371</f>
        <v>0</v>
      </c>
      <c r="U371" s="2252">
        <f>R371</f>
        <v>0</v>
      </c>
      <c r="V371" s="2253">
        <f>U371-T371</f>
        <v>0</v>
      </c>
      <c r="W371" s="2182"/>
      <c r="X371" s="2176"/>
      <c r="Y371" s="2183">
        <f t="shared" ref="Y371:Y389" si="596">X371-W371</f>
        <v>0</v>
      </c>
      <c r="Z371" s="2254">
        <f t="shared" si="591"/>
        <v>0</v>
      </c>
      <c r="AA371" s="2252">
        <f t="shared" si="591"/>
        <v>0</v>
      </c>
      <c r="AB371" s="2255">
        <f t="shared" ref="AB371:AB373" si="597">AA371-Z371</f>
        <v>0</v>
      </c>
      <c r="AC371" s="2176"/>
      <c r="AD371" s="2176"/>
      <c r="AE371" s="2180">
        <f t="shared" ref="AE371:AE389" si="598">AD371-AC371</f>
        <v>0</v>
      </c>
      <c r="AF371" s="2281"/>
      <c r="AG371" s="2145"/>
      <c r="AH371" s="2177"/>
      <c r="AI371" s="2177"/>
      <c r="AJ371" s="2186">
        <f t="shared" ref="AJ371:AJ374" si="599">AI371-AH371</f>
        <v>0</v>
      </c>
      <c r="AK371" s="2177"/>
      <c r="AL371" s="2177"/>
      <c r="AM371" s="2186">
        <f t="shared" ref="AM371:AM374" si="600">AL371-AK371</f>
        <v>0</v>
      </c>
      <c r="AN371" s="2177"/>
      <c r="AO371" s="2177"/>
      <c r="AP371" s="2186">
        <f t="shared" ref="AP371:AP374" si="601">AO371-AN371</f>
        <v>0</v>
      </c>
      <c r="AQ371" s="2177"/>
      <c r="AR371" s="2177"/>
      <c r="AS371" s="2186">
        <f t="shared" ref="AS371:AS374" si="602">AR371-AQ371</f>
        <v>0</v>
      </c>
      <c r="AT371" s="2177"/>
      <c r="AU371" s="2177"/>
      <c r="AV371" s="2186">
        <f t="shared" ref="AV371:AV374" si="603">AU371-AT371</f>
        <v>0</v>
      </c>
      <c r="AW371" s="2177"/>
      <c r="AX371" s="2177"/>
      <c r="AY371" s="2186">
        <f t="shared" ref="AY371:AY374" si="604">AX371-AW371</f>
        <v>0</v>
      </c>
      <c r="AZ371" s="2177"/>
      <c r="BA371" s="2177"/>
      <c r="BB371" s="2186">
        <f t="shared" ref="BB371:BB374" si="605">BA371-AZ371</f>
        <v>0</v>
      </c>
      <c r="BC371" s="2177"/>
      <c r="BD371" s="2177"/>
      <c r="BE371" s="2186">
        <f t="shared" ref="BE371:BE374" si="606">BD371-BC371</f>
        <v>0</v>
      </c>
      <c r="BF371" s="2177"/>
      <c r="BG371" s="2177"/>
      <c r="BH371" s="2186">
        <f t="shared" ref="BH371:BH374" si="607">BG371-BF371</f>
        <v>0</v>
      </c>
      <c r="BI371" s="2177"/>
      <c r="BJ371" s="2177"/>
      <c r="BK371" s="2186">
        <f t="shared" ref="BK371:BK374" si="608">BJ371-BI371</f>
        <v>0</v>
      </c>
      <c r="BL371" s="2177"/>
      <c r="BM371" s="2177"/>
      <c r="BN371" s="2186">
        <f t="shared" ref="BN371:BN374" si="609">BM371-BL371</f>
        <v>0</v>
      </c>
      <c r="BO371" s="2177"/>
      <c r="BP371" s="2177"/>
      <c r="BQ371" s="2186">
        <f t="shared" ref="BQ371:BQ374" si="610">BP371-BO371</f>
        <v>0</v>
      </c>
    </row>
    <row r="372" spans="3:69">
      <c r="C372" s="2333" t="s">
        <v>2513</v>
      </c>
      <c r="D372" s="2334" t="s">
        <v>2225</v>
      </c>
      <c r="E372" s="2335" t="s">
        <v>2511</v>
      </c>
      <c r="F372" s="2176"/>
      <c r="G372" s="2179">
        <f t="shared" si="589"/>
        <v>0</v>
      </c>
      <c r="H372" s="2179">
        <f t="shared" si="589"/>
        <v>0</v>
      </c>
      <c r="I372" s="2178">
        <f t="shared" si="592"/>
        <v>0</v>
      </c>
      <c r="J372" s="2176"/>
      <c r="K372" s="2252">
        <f t="shared" si="590"/>
        <v>0</v>
      </c>
      <c r="L372" s="2252">
        <f t="shared" si="590"/>
        <v>0</v>
      </c>
      <c r="M372" s="2255">
        <f t="shared" si="593"/>
        <v>0</v>
      </c>
      <c r="N372" s="2177"/>
      <c r="O372" s="2177"/>
      <c r="P372" s="2178">
        <f t="shared" si="594"/>
        <v>0</v>
      </c>
      <c r="Q372" s="2176"/>
      <c r="R372" s="2176"/>
      <c r="S372" s="2180">
        <f t="shared" si="595"/>
        <v>0</v>
      </c>
      <c r="T372" s="2251">
        <f t="shared" ref="T372:U389" si="611">Q372</f>
        <v>0</v>
      </c>
      <c r="U372" s="2252">
        <f t="shared" si="611"/>
        <v>0</v>
      </c>
      <c r="V372" s="2253">
        <f t="shared" ref="V372:V389" si="612">U372-T372</f>
        <v>0</v>
      </c>
      <c r="W372" s="2182"/>
      <c r="X372" s="2176"/>
      <c r="Y372" s="2183">
        <f t="shared" si="596"/>
        <v>0</v>
      </c>
      <c r="Z372" s="2254">
        <f t="shared" si="591"/>
        <v>0</v>
      </c>
      <c r="AA372" s="2252">
        <f t="shared" si="591"/>
        <v>0</v>
      </c>
      <c r="AB372" s="2255">
        <f t="shared" si="597"/>
        <v>0</v>
      </c>
      <c r="AC372" s="2176"/>
      <c r="AD372" s="2176"/>
      <c r="AE372" s="2180">
        <f t="shared" si="598"/>
        <v>0</v>
      </c>
      <c r="AF372" s="2281"/>
      <c r="AG372" s="2145"/>
      <c r="AH372" s="2177">
        <f>'01'!E20</f>
        <v>2799142.66</v>
      </c>
      <c r="AI372" s="2177"/>
      <c r="AJ372" s="2186">
        <f t="shared" si="599"/>
        <v>-2799142.66</v>
      </c>
      <c r="AK372" s="2177"/>
      <c r="AL372" s="2177"/>
      <c r="AM372" s="2186">
        <f t="shared" si="600"/>
        <v>0</v>
      </c>
      <c r="AN372" s="2177"/>
      <c r="AO372" s="2177"/>
      <c r="AP372" s="2186">
        <f t="shared" si="601"/>
        <v>0</v>
      </c>
      <c r="AQ372" s="2177"/>
      <c r="AR372" s="2177"/>
      <c r="AS372" s="2186">
        <f t="shared" si="602"/>
        <v>0</v>
      </c>
      <c r="AT372" s="2177"/>
      <c r="AU372" s="2177"/>
      <c r="AV372" s="2186">
        <f t="shared" si="603"/>
        <v>0</v>
      </c>
      <c r="AW372" s="2177"/>
      <c r="AX372" s="2177"/>
      <c r="AY372" s="2186">
        <f t="shared" si="604"/>
        <v>0</v>
      </c>
      <c r="AZ372" s="2177"/>
      <c r="BA372" s="2177"/>
      <c r="BB372" s="2186">
        <f t="shared" si="605"/>
        <v>0</v>
      </c>
      <c r="BC372" s="2177"/>
      <c r="BD372" s="2177"/>
      <c r="BE372" s="2186">
        <f t="shared" si="606"/>
        <v>0</v>
      </c>
      <c r="BF372" s="2177"/>
      <c r="BG372" s="2177"/>
      <c r="BH372" s="2186">
        <f t="shared" si="607"/>
        <v>0</v>
      </c>
      <c r="BI372" s="2177"/>
      <c r="BJ372" s="2177"/>
      <c r="BK372" s="2186">
        <f t="shared" si="608"/>
        <v>0</v>
      </c>
      <c r="BL372" s="2177"/>
      <c r="BM372" s="2177"/>
      <c r="BN372" s="2186">
        <f t="shared" si="609"/>
        <v>0</v>
      </c>
      <c r="BO372" s="2177"/>
      <c r="BP372" s="2177"/>
      <c r="BQ372" s="2186">
        <f t="shared" si="610"/>
        <v>0</v>
      </c>
    </row>
    <row r="373" spans="3:69">
      <c r="C373" s="2333" t="s">
        <v>2514</v>
      </c>
      <c r="D373" s="2334" t="s">
        <v>2227</v>
      </c>
      <c r="E373" s="2335" t="s">
        <v>2511</v>
      </c>
      <c r="F373" s="2176"/>
      <c r="G373" s="2179">
        <f t="shared" si="589"/>
        <v>0</v>
      </c>
      <c r="H373" s="2179">
        <f t="shared" si="589"/>
        <v>0</v>
      </c>
      <c r="I373" s="2178">
        <f t="shared" si="592"/>
        <v>0</v>
      </c>
      <c r="J373" s="2176"/>
      <c r="K373" s="2252">
        <f t="shared" si="590"/>
        <v>0</v>
      </c>
      <c r="L373" s="2252">
        <f t="shared" si="590"/>
        <v>0</v>
      </c>
      <c r="M373" s="2255">
        <f t="shared" si="593"/>
        <v>0</v>
      </c>
      <c r="N373" s="2177"/>
      <c r="O373" s="2177"/>
      <c r="P373" s="2178">
        <f t="shared" si="594"/>
        <v>0</v>
      </c>
      <c r="Q373" s="2176"/>
      <c r="R373" s="2176"/>
      <c r="S373" s="2180">
        <f t="shared" si="595"/>
        <v>0</v>
      </c>
      <c r="T373" s="2251">
        <f t="shared" si="611"/>
        <v>0</v>
      </c>
      <c r="U373" s="2252">
        <f t="shared" si="611"/>
        <v>0</v>
      </c>
      <c r="V373" s="2253">
        <f t="shared" si="612"/>
        <v>0</v>
      </c>
      <c r="W373" s="2182"/>
      <c r="X373" s="2176"/>
      <c r="Y373" s="2183">
        <f t="shared" si="596"/>
        <v>0</v>
      </c>
      <c r="Z373" s="2254">
        <f t="shared" si="591"/>
        <v>0</v>
      </c>
      <c r="AA373" s="2252">
        <f t="shared" si="591"/>
        <v>0</v>
      </c>
      <c r="AB373" s="2255">
        <f t="shared" si="597"/>
        <v>0</v>
      </c>
      <c r="AC373" s="2176"/>
      <c r="AD373" s="2176"/>
      <c r="AE373" s="2180">
        <f t="shared" si="598"/>
        <v>0</v>
      </c>
      <c r="AF373" s="2281"/>
      <c r="AG373" s="2145"/>
      <c r="AH373" s="2177">
        <f>'01'!E21</f>
        <v>1025799.1099999999</v>
      </c>
      <c r="AI373" s="2177"/>
      <c r="AJ373" s="2186">
        <f t="shared" si="599"/>
        <v>-1025799.1099999999</v>
      </c>
      <c r="AK373" s="2177"/>
      <c r="AL373" s="2177"/>
      <c r="AM373" s="2186">
        <f t="shared" si="600"/>
        <v>0</v>
      </c>
      <c r="AN373" s="2177"/>
      <c r="AO373" s="2177"/>
      <c r="AP373" s="2186">
        <f t="shared" si="601"/>
        <v>0</v>
      </c>
      <c r="AQ373" s="2177"/>
      <c r="AR373" s="2177"/>
      <c r="AS373" s="2186">
        <f t="shared" si="602"/>
        <v>0</v>
      </c>
      <c r="AT373" s="2177"/>
      <c r="AU373" s="2177"/>
      <c r="AV373" s="2186">
        <f t="shared" si="603"/>
        <v>0</v>
      </c>
      <c r="AW373" s="2177"/>
      <c r="AX373" s="2177"/>
      <c r="AY373" s="2186">
        <f t="shared" si="604"/>
        <v>0</v>
      </c>
      <c r="AZ373" s="2177"/>
      <c r="BA373" s="2177"/>
      <c r="BB373" s="2186">
        <f t="shared" si="605"/>
        <v>0</v>
      </c>
      <c r="BC373" s="2177"/>
      <c r="BD373" s="2177"/>
      <c r="BE373" s="2186">
        <f t="shared" si="606"/>
        <v>0</v>
      </c>
      <c r="BF373" s="2177"/>
      <c r="BG373" s="2177"/>
      <c r="BH373" s="2186">
        <f t="shared" si="607"/>
        <v>0</v>
      </c>
      <c r="BI373" s="2177"/>
      <c r="BJ373" s="2177"/>
      <c r="BK373" s="2186">
        <f t="shared" si="608"/>
        <v>0</v>
      </c>
      <c r="BL373" s="2177"/>
      <c r="BM373" s="2177"/>
      <c r="BN373" s="2186">
        <f t="shared" si="609"/>
        <v>0</v>
      </c>
      <c r="BO373" s="2177"/>
      <c r="BP373" s="2177"/>
      <c r="BQ373" s="2186">
        <f t="shared" si="610"/>
        <v>0</v>
      </c>
    </row>
    <row r="374" spans="3:69">
      <c r="C374" s="2333" t="s">
        <v>2515</v>
      </c>
      <c r="D374" s="2334" t="s">
        <v>2229</v>
      </c>
      <c r="E374" s="2335" t="s">
        <v>2511</v>
      </c>
      <c r="F374" s="2176"/>
      <c r="G374" s="2336">
        <f t="shared" si="589"/>
        <v>0</v>
      </c>
      <c r="H374" s="2336">
        <f>IFERROR(H450/H110/12*1000,0)</f>
        <v>0</v>
      </c>
      <c r="I374" s="2337">
        <f>H374-G374</f>
        <v>0</v>
      </c>
      <c r="J374" s="2338"/>
      <c r="K374" s="2339">
        <f t="shared" si="590"/>
        <v>0</v>
      </c>
      <c r="L374" s="2339">
        <f t="shared" si="590"/>
        <v>0</v>
      </c>
      <c r="M374" s="2337">
        <f>L374-K374</f>
        <v>0</v>
      </c>
      <c r="N374" s="2339">
        <f>IFERROR(N450/N110/3*1000,0)</f>
        <v>0</v>
      </c>
      <c r="O374" s="2339">
        <f>IFERROR(O450/O110/3*1000,0)</f>
        <v>0</v>
      </c>
      <c r="P374" s="2337">
        <f t="shared" si="594"/>
        <v>0</v>
      </c>
      <c r="Q374" s="2339">
        <f>IFERROR(Q450/Q110/3*1000,0)</f>
        <v>0</v>
      </c>
      <c r="R374" s="2339">
        <f>IFERROR(R450/R110/3*1000,0)</f>
        <v>0</v>
      </c>
      <c r="S374" s="2337">
        <f>R374-Q374</f>
        <v>0</v>
      </c>
      <c r="T374" s="2340">
        <f>Q374</f>
        <v>0</v>
      </c>
      <c r="U374" s="2339">
        <f>R374</f>
        <v>0</v>
      </c>
      <c r="V374" s="2341">
        <f>U374-T374</f>
        <v>0</v>
      </c>
      <c r="W374" s="2342">
        <f>IFERROR(W450/W110/3*1000,0)</f>
        <v>0</v>
      </c>
      <c r="X374" s="2339">
        <f>IFERROR(X450/X110/3*1000,0)</f>
        <v>0</v>
      </c>
      <c r="Y374" s="2343">
        <f>X374-W374</f>
        <v>0</v>
      </c>
      <c r="Z374" s="2344">
        <f t="shared" si="591"/>
        <v>0</v>
      </c>
      <c r="AA374" s="2339">
        <f t="shared" si="591"/>
        <v>0</v>
      </c>
      <c r="AB374" s="2337">
        <f>AA374-Z374</f>
        <v>0</v>
      </c>
      <c r="AC374" s="2339">
        <f>IFERROR(AC450/AC110/3*1000,0)</f>
        <v>0</v>
      </c>
      <c r="AD374" s="2339">
        <f>IFERROR(AD450/AD110/3*1000,0)</f>
        <v>0</v>
      </c>
      <c r="AE374" s="2337">
        <f>AD374-AC374</f>
        <v>0</v>
      </c>
      <c r="AF374" s="2281"/>
      <c r="AG374" s="2145"/>
      <c r="AH374" s="2345">
        <f>IFERROR(AH450/AH110/3*1000,0)</f>
        <v>0</v>
      </c>
      <c r="AI374" s="2345">
        <f>IFERROR(AI450/AI110/3*1000,0)</f>
        <v>0</v>
      </c>
      <c r="AJ374" s="2346">
        <f t="shared" si="599"/>
        <v>0</v>
      </c>
      <c r="AK374" s="2345">
        <f>IFERROR(AK450/AK110/3*1000,0)</f>
        <v>0</v>
      </c>
      <c r="AL374" s="2345">
        <f>IFERROR(AL450/AL110/3*1000,0)</f>
        <v>0</v>
      </c>
      <c r="AM374" s="2346">
        <f t="shared" si="600"/>
        <v>0</v>
      </c>
      <c r="AN374" s="2345">
        <f>IFERROR(AN450/AN110/3*1000,0)</f>
        <v>0</v>
      </c>
      <c r="AO374" s="2345">
        <f>IFERROR(AO450/AO110/3*1000,0)</f>
        <v>0</v>
      </c>
      <c r="AP374" s="2346">
        <f t="shared" si="601"/>
        <v>0</v>
      </c>
      <c r="AQ374" s="2345">
        <f>IFERROR(AQ450/AQ110/3*1000,0)</f>
        <v>0</v>
      </c>
      <c r="AR374" s="2345">
        <f>IFERROR(AR450/AR110/3*1000,0)</f>
        <v>0</v>
      </c>
      <c r="AS374" s="2346">
        <f t="shared" si="602"/>
        <v>0</v>
      </c>
      <c r="AT374" s="2345">
        <f>IFERROR(AT450/AT110/3*1000,0)</f>
        <v>0</v>
      </c>
      <c r="AU374" s="2345">
        <f>IFERROR(AU450/AU110/3*1000,0)</f>
        <v>0</v>
      </c>
      <c r="AV374" s="2346">
        <f t="shared" si="603"/>
        <v>0</v>
      </c>
      <c r="AW374" s="2345">
        <f>IFERROR(AW450/AW110/3*1000,0)</f>
        <v>0</v>
      </c>
      <c r="AX374" s="2345">
        <f>IFERROR(AX450/AX110/3*1000,0)</f>
        <v>0</v>
      </c>
      <c r="AY374" s="2346">
        <f t="shared" si="604"/>
        <v>0</v>
      </c>
      <c r="AZ374" s="2345">
        <f>IFERROR(AZ450/AZ110/3*1000,0)</f>
        <v>0</v>
      </c>
      <c r="BA374" s="2345">
        <f>IFERROR(BA450/BA110/3*1000,0)</f>
        <v>0</v>
      </c>
      <c r="BB374" s="2346">
        <f t="shared" si="605"/>
        <v>0</v>
      </c>
      <c r="BC374" s="2345">
        <f>IFERROR(BC450/BC110/3*1000,0)</f>
        <v>0</v>
      </c>
      <c r="BD374" s="2345">
        <f>IFERROR(BD450/BD110/3*1000,0)</f>
        <v>0</v>
      </c>
      <c r="BE374" s="2346">
        <f t="shared" si="606"/>
        <v>0</v>
      </c>
      <c r="BF374" s="2345">
        <f>IFERROR(BF450/BF110/3*1000,0)</f>
        <v>0</v>
      </c>
      <c r="BG374" s="2345">
        <f>IFERROR(BG450/BG110/3*1000,0)</f>
        <v>0</v>
      </c>
      <c r="BH374" s="2346">
        <f t="shared" si="607"/>
        <v>0</v>
      </c>
      <c r="BI374" s="2345">
        <f>IFERROR(BI450/BI110/3*1000,0)</f>
        <v>0</v>
      </c>
      <c r="BJ374" s="2345">
        <f>IFERROR(BJ450/BJ110/3*1000,0)</f>
        <v>0</v>
      </c>
      <c r="BK374" s="2346">
        <f t="shared" si="608"/>
        <v>0</v>
      </c>
      <c r="BL374" s="2345">
        <f>IFERROR(BL450/BL110/3*1000,0)</f>
        <v>0</v>
      </c>
      <c r="BM374" s="2345">
        <f>IFERROR(BM450/BM110/3*1000,0)</f>
        <v>0</v>
      </c>
      <c r="BN374" s="2346">
        <f t="shared" si="609"/>
        <v>0</v>
      </c>
      <c r="BO374" s="2345">
        <f>IFERROR(BO450/BO110/3*1000,0)</f>
        <v>0</v>
      </c>
      <c r="BP374" s="2345">
        <f>IFERROR(BP450/BP110/3*1000,0)</f>
        <v>0</v>
      </c>
      <c r="BQ374" s="2346">
        <f t="shared" si="610"/>
        <v>0</v>
      </c>
    </row>
    <row r="375" spans="3:69" s="2087" customFormat="1">
      <c r="C375" s="2331" t="s">
        <v>2516</v>
      </c>
      <c r="D375" s="2289" t="s">
        <v>2517</v>
      </c>
      <c r="E375" s="2332"/>
      <c r="F375" s="2265"/>
      <c r="G375" s="2188"/>
      <c r="H375" s="2188"/>
      <c r="I375" s="2186"/>
      <c r="J375" s="2265"/>
      <c r="K375" s="2268"/>
      <c r="L375" s="2268"/>
      <c r="M375" s="2273"/>
      <c r="N375" s="2188"/>
      <c r="O375" s="2188"/>
      <c r="P375" s="2186"/>
      <c r="Q375" s="2265"/>
      <c r="R375" s="2188"/>
      <c r="S375" s="2266"/>
      <c r="T375" s="2267"/>
      <c r="U375" s="2268"/>
      <c r="V375" s="2269"/>
      <c r="W375" s="2270"/>
      <c r="X375" s="2188"/>
      <c r="Y375" s="2271"/>
      <c r="Z375" s="2272"/>
      <c r="AA375" s="2268"/>
      <c r="AB375" s="2273"/>
      <c r="AC375" s="2265"/>
      <c r="AD375" s="2188"/>
      <c r="AE375" s="2266"/>
      <c r="AF375" s="2281"/>
      <c r="AG375" s="2114"/>
      <c r="AH375" s="2188"/>
      <c r="AI375" s="2188"/>
      <c r="AJ375" s="2186"/>
      <c r="AK375" s="2188"/>
      <c r="AL375" s="2188"/>
      <c r="AM375" s="2186"/>
      <c r="AN375" s="2188"/>
      <c r="AO375" s="2188"/>
      <c r="AP375" s="2186"/>
      <c r="AQ375" s="2188"/>
      <c r="AR375" s="2188"/>
      <c r="AS375" s="2186"/>
      <c r="AT375" s="2188"/>
      <c r="AU375" s="2188"/>
      <c r="AV375" s="2186"/>
      <c r="AW375" s="2188"/>
      <c r="AX375" s="2188"/>
      <c r="AY375" s="2186"/>
      <c r="AZ375" s="2188"/>
      <c r="BA375" s="2188"/>
      <c r="BB375" s="2186"/>
      <c r="BC375" s="2188"/>
      <c r="BD375" s="2188"/>
      <c r="BE375" s="2186"/>
      <c r="BF375" s="2188"/>
      <c r="BG375" s="2188"/>
      <c r="BH375" s="2186"/>
      <c r="BI375" s="2188"/>
      <c r="BJ375" s="2188"/>
      <c r="BK375" s="2186"/>
      <c r="BL375" s="2188"/>
      <c r="BM375" s="2188"/>
      <c r="BN375" s="2186"/>
      <c r="BO375" s="2188"/>
      <c r="BP375" s="2188"/>
      <c r="BQ375" s="2186"/>
    </row>
    <row r="376" spans="3:69">
      <c r="C376" s="2333" t="s">
        <v>2518</v>
      </c>
      <c r="D376" s="2334" t="s">
        <v>2221</v>
      </c>
      <c r="E376" s="2347" t="s">
        <v>2519</v>
      </c>
      <c r="F376" s="2176"/>
      <c r="G376" s="2179">
        <f t="shared" ref="G376:H380" si="613">IFERROR(G452/G112,0)</f>
        <v>0</v>
      </c>
      <c r="H376" s="2179">
        <f t="shared" si="613"/>
        <v>0</v>
      </c>
      <c r="I376" s="2178">
        <f>H376-G376</f>
        <v>0</v>
      </c>
      <c r="J376" s="2176"/>
      <c r="K376" s="2252">
        <f t="shared" ref="K376:L380" si="614">IFERROR(K452/K112,0)</f>
        <v>0</v>
      </c>
      <c r="L376" s="2252">
        <f t="shared" si="614"/>
        <v>0</v>
      </c>
      <c r="M376" s="2255">
        <f>L376-K376</f>
        <v>0</v>
      </c>
      <c r="N376" s="2177"/>
      <c r="O376" s="2177"/>
      <c r="P376" s="2178">
        <f t="shared" si="594"/>
        <v>0</v>
      </c>
      <c r="Q376" s="2176"/>
      <c r="R376" s="2176"/>
      <c r="S376" s="2180">
        <f t="shared" si="595"/>
        <v>0</v>
      </c>
      <c r="T376" s="2251">
        <f t="shared" si="611"/>
        <v>0</v>
      </c>
      <c r="U376" s="2252">
        <f t="shared" si="611"/>
        <v>0</v>
      </c>
      <c r="V376" s="2253">
        <f t="shared" si="612"/>
        <v>0</v>
      </c>
      <c r="W376" s="2182"/>
      <c r="X376" s="2177"/>
      <c r="Y376" s="2183">
        <f t="shared" si="596"/>
        <v>0</v>
      </c>
      <c r="Z376" s="2254">
        <f t="shared" ref="Z376:AA380" si="615">IFERROR(Z452/Z112,0)</f>
        <v>0</v>
      </c>
      <c r="AA376" s="2252">
        <f t="shared" si="615"/>
        <v>0</v>
      </c>
      <c r="AB376" s="2255">
        <f>AA376-Z376</f>
        <v>0</v>
      </c>
      <c r="AC376" s="2176"/>
      <c r="AD376" s="2176"/>
      <c r="AE376" s="2180">
        <f t="shared" si="598"/>
        <v>0</v>
      </c>
      <c r="AF376" s="2281"/>
      <c r="AG376" s="2145"/>
      <c r="AH376" s="2177"/>
      <c r="AI376" s="2177"/>
      <c r="AJ376" s="2186">
        <f t="shared" ref="AJ376:AJ379" si="616">AI376-AH376</f>
        <v>0</v>
      </c>
      <c r="AK376" s="2177"/>
      <c r="AL376" s="2177"/>
      <c r="AM376" s="2186">
        <f t="shared" ref="AM376:AM379" si="617">AL376-AK376</f>
        <v>0</v>
      </c>
      <c r="AN376" s="2177"/>
      <c r="AO376" s="2177"/>
      <c r="AP376" s="2186">
        <f t="shared" ref="AP376:AP379" si="618">AO376-AN376</f>
        <v>0</v>
      </c>
      <c r="AQ376" s="2177"/>
      <c r="AR376" s="2177"/>
      <c r="AS376" s="2186">
        <f t="shared" ref="AS376:AS379" si="619">AR376-AQ376</f>
        <v>0</v>
      </c>
      <c r="AT376" s="2177"/>
      <c r="AU376" s="2177"/>
      <c r="AV376" s="2186">
        <f t="shared" ref="AV376:AV379" si="620">AU376-AT376</f>
        <v>0</v>
      </c>
      <c r="AW376" s="2177"/>
      <c r="AX376" s="2177"/>
      <c r="AY376" s="2186">
        <f t="shared" ref="AY376:AY379" si="621">AX376-AW376</f>
        <v>0</v>
      </c>
      <c r="AZ376" s="2177"/>
      <c r="BA376" s="2177"/>
      <c r="BB376" s="2186">
        <f t="shared" ref="BB376:BB379" si="622">BA376-AZ376</f>
        <v>0</v>
      </c>
      <c r="BC376" s="2177"/>
      <c r="BD376" s="2177"/>
      <c r="BE376" s="2186">
        <f t="shared" ref="BE376:BE379" si="623">BD376-BC376</f>
        <v>0</v>
      </c>
      <c r="BF376" s="2177"/>
      <c r="BG376" s="2177"/>
      <c r="BH376" s="2186">
        <f t="shared" ref="BH376:BH379" si="624">BG376-BF376</f>
        <v>0</v>
      </c>
      <c r="BI376" s="2177"/>
      <c r="BJ376" s="2177"/>
      <c r="BK376" s="2186">
        <f t="shared" ref="BK376:BK379" si="625">BJ376-BI376</f>
        <v>0</v>
      </c>
      <c r="BL376" s="2177"/>
      <c r="BM376" s="2177"/>
      <c r="BN376" s="2186">
        <f t="shared" ref="BN376:BN379" si="626">BM376-BL376</f>
        <v>0</v>
      </c>
      <c r="BO376" s="2177"/>
      <c r="BP376" s="2177"/>
      <c r="BQ376" s="2186">
        <f t="shared" ref="BQ376:BQ379" si="627">BP376-BO376</f>
        <v>0</v>
      </c>
    </row>
    <row r="377" spans="3:69">
      <c r="C377" s="2333" t="s">
        <v>2520</v>
      </c>
      <c r="D377" s="2334" t="s">
        <v>2223</v>
      </c>
      <c r="E377" s="2347" t="s">
        <v>2519</v>
      </c>
      <c r="F377" s="2176"/>
      <c r="G377" s="2179">
        <f t="shared" si="613"/>
        <v>0</v>
      </c>
      <c r="H377" s="2179">
        <f t="shared" si="613"/>
        <v>0</v>
      </c>
      <c r="I377" s="2178">
        <f t="shared" ref="I377:I379" si="628">H377-G377</f>
        <v>0</v>
      </c>
      <c r="J377" s="2176"/>
      <c r="K377" s="2252">
        <f t="shared" si="614"/>
        <v>0</v>
      </c>
      <c r="L377" s="2252">
        <f t="shared" si="614"/>
        <v>0</v>
      </c>
      <c r="M377" s="2255">
        <f t="shared" ref="M377:M390" si="629">L377-K377</f>
        <v>0</v>
      </c>
      <c r="N377" s="2177"/>
      <c r="O377" s="2177"/>
      <c r="P377" s="2178">
        <f t="shared" si="594"/>
        <v>0</v>
      </c>
      <c r="Q377" s="2176"/>
      <c r="R377" s="2176"/>
      <c r="S377" s="2180">
        <f t="shared" si="595"/>
        <v>0</v>
      </c>
      <c r="T377" s="2251">
        <f t="shared" si="611"/>
        <v>0</v>
      </c>
      <c r="U377" s="2252">
        <f t="shared" si="611"/>
        <v>0</v>
      </c>
      <c r="V377" s="2253">
        <f t="shared" si="612"/>
        <v>0</v>
      </c>
      <c r="W377" s="2182"/>
      <c r="X377" s="2177"/>
      <c r="Y377" s="2183">
        <f t="shared" si="596"/>
        <v>0</v>
      </c>
      <c r="Z377" s="2254">
        <f t="shared" si="615"/>
        <v>0</v>
      </c>
      <c r="AA377" s="2252">
        <f t="shared" si="615"/>
        <v>0</v>
      </c>
      <c r="AB377" s="2255">
        <f t="shared" ref="AB377:AB379" si="630">AA377-Z377</f>
        <v>0</v>
      </c>
      <c r="AC377" s="2176"/>
      <c r="AD377" s="2176"/>
      <c r="AE377" s="2180">
        <f t="shared" si="598"/>
        <v>0</v>
      </c>
      <c r="AF377" s="2281"/>
      <c r="AG377" s="2145"/>
      <c r="AH377" s="2177"/>
      <c r="AI377" s="2177"/>
      <c r="AJ377" s="2186">
        <f t="shared" si="616"/>
        <v>0</v>
      </c>
      <c r="AK377" s="2177"/>
      <c r="AL377" s="2177"/>
      <c r="AM377" s="2186">
        <f t="shared" si="617"/>
        <v>0</v>
      </c>
      <c r="AN377" s="2177"/>
      <c r="AO377" s="2177"/>
      <c r="AP377" s="2186">
        <f t="shared" si="618"/>
        <v>0</v>
      </c>
      <c r="AQ377" s="2177"/>
      <c r="AR377" s="2177"/>
      <c r="AS377" s="2186">
        <f t="shared" si="619"/>
        <v>0</v>
      </c>
      <c r="AT377" s="2177"/>
      <c r="AU377" s="2177"/>
      <c r="AV377" s="2186">
        <f t="shared" si="620"/>
        <v>0</v>
      </c>
      <c r="AW377" s="2177"/>
      <c r="AX377" s="2177"/>
      <c r="AY377" s="2186">
        <f t="shared" si="621"/>
        <v>0</v>
      </c>
      <c r="AZ377" s="2177"/>
      <c r="BA377" s="2177"/>
      <c r="BB377" s="2186">
        <f t="shared" si="622"/>
        <v>0</v>
      </c>
      <c r="BC377" s="2177"/>
      <c r="BD377" s="2177"/>
      <c r="BE377" s="2186">
        <f t="shared" si="623"/>
        <v>0</v>
      </c>
      <c r="BF377" s="2177"/>
      <c r="BG377" s="2177"/>
      <c r="BH377" s="2186">
        <f t="shared" si="624"/>
        <v>0</v>
      </c>
      <c r="BI377" s="2177"/>
      <c r="BJ377" s="2177"/>
      <c r="BK377" s="2186">
        <f t="shared" si="625"/>
        <v>0</v>
      </c>
      <c r="BL377" s="2177"/>
      <c r="BM377" s="2177"/>
      <c r="BN377" s="2186">
        <f t="shared" si="626"/>
        <v>0</v>
      </c>
      <c r="BO377" s="2177"/>
      <c r="BP377" s="2177"/>
      <c r="BQ377" s="2186">
        <f t="shared" si="627"/>
        <v>0</v>
      </c>
    </row>
    <row r="378" spans="3:69">
      <c r="C378" s="2333" t="s">
        <v>2521</v>
      </c>
      <c r="D378" s="2334" t="s">
        <v>2225</v>
      </c>
      <c r="E378" s="2347" t="s">
        <v>2519</v>
      </c>
      <c r="F378" s="2176"/>
      <c r="G378" s="2179">
        <f t="shared" si="613"/>
        <v>0</v>
      </c>
      <c r="H378" s="2179">
        <f t="shared" si="613"/>
        <v>0</v>
      </c>
      <c r="I378" s="2178">
        <f t="shared" si="628"/>
        <v>0</v>
      </c>
      <c r="J378" s="2176"/>
      <c r="K378" s="2252">
        <f t="shared" si="614"/>
        <v>0</v>
      </c>
      <c r="L378" s="2252">
        <f t="shared" si="614"/>
        <v>0</v>
      </c>
      <c r="M378" s="2255">
        <f t="shared" si="629"/>
        <v>0</v>
      </c>
      <c r="N378" s="2177"/>
      <c r="O378" s="2177"/>
      <c r="P378" s="2178">
        <f t="shared" si="594"/>
        <v>0</v>
      </c>
      <c r="Q378" s="2176"/>
      <c r="R378" s="2176"/>
      <c r="S378" s="2180">
        <f t="shared" si="595"/>
        <v>0</v>
      </c>
      <c r="T378" s="2251">
        <f t="shared" si="611"/>
        <v>0</v>
      </c>
      <c r="U378" s="2252">
        <f t="shared" si="611"/>
        <v>0</v>
      </c>
      <c r="V378" s="2253">
        <f t="shared" si="612"/>
        <v>0</v>
      </c>
      <c r="W378" s="2182"/>
      <c r="X378" s="2177"/>
      <c r="Y378" s="2183">
        <f t="shared" si="596"/>
        <v>0</v>
      </c>
      <c r="Z378" s="2254">
        <f t="shared" si="615"/>
        <v>0</v>
      </c>
      <c r="AA378" s="2252">
        <f t="shared" si="615"/>
        <v>0</v>
      </c>
      <c r="AB378" s="2255">
        <f t="shared" si="630"/>
        <v>0</v>
      </c>
      <c r="AC378" s="2176"/>
      <c r="AD378" s="2176"/>
      <c r="AE378" s="2180">
        <f t="shared" si="598"/>
        <v>0</v>
      </c>
      <c r="AF378" s="2281"/>
      <c r="AG378" s="2145"/>
      <c r="AH378" s="2177">
        <f>'01'!E23</f>
        <v>333.05</v>
      </c>
      <c r="AI378" s="2177"/>
      <c r="AJ378" s="2186">
        <f t="shared" si="616"/>
        <v>-333.05</v>
      </c>
      <c r="AK378" s="2177"/>
      <c r="AL378" s="2177"/>
      <c r="AM378" s="2186">
        <f t="shared" si="617"/>
        <v>0</v>
      </c>
      <c r="AN378" s="2177"/>
      <c r="AO378" s="2177"/>
      <c r="AP378" s="2186">
        <f t="shared" si="618"/>
        <v>0</v>
      </c>
      <c r="AQ378" s="2177"/>
      <c r="AR378" s="2177"/>
      <c r="AS378" s="2186">
        <f t="shared" si="619"/>
        <v>0</v>
      </c>
      <c r="AT378" s="2177"/>
      <c r="AU378" s="2177"/>
      <c r="AV378" s="2186">
        <f t="shared" si="620"/>
        <v>0</v>
      </c>
      <c r="AW378" s="2177"/>
      <c r="AX378" s="2177"/>
      <c r="AY378" s="2186">
        <f t="shared" si="621"/>
        <v>0</v>
      </c>
      <c r="AZ378" s="2177"/>
      <c r="BA378" s="2177"/>
      <c r="BB378" s="2186">
        <f t="shared" si="622"/>
        <v>0</v>
      </c>
      <c r="BC378" s="2177"/>
      <c r="BD378" s="2177"/>
      <c r="BE378" s="2186">
        <f t="shared" si="623"/>
        <v>0</v>
      </c>
      <c r="BF378" s="2177"/>
      <c r="BG378" s="2177"/>
      <c r="BH378" s="2186">
        <f t="shared" si="624"/>
        <v>0</v>
      </c>
      <c r="BI378" s="2177"/>
      <c r="BJ378" s="2177"/>
      <c r="BK378" s="2186">
        <f t="shared" si="625"/>
        <v>0</v>
      </c>
      <c r="BL378" s="2177"/>
      <c r="BM378" s="2177"/>
      <c r="BN378" s="2186">
        <f t="shared" si="626"/>
        <v>0</v>
      </c>
      <c r="BO378" s="2177"/>
      <c r="BP378" s="2177"/>
      <c r="BQ378" s="2186">
        <f t="shared" si="627"/>
        <v>0</v>
      </c>
    </row>
    <row r="379" spans="3:69">
      <c r="C379" s="2333" t="s">
        <v>2522</v>
      </c>
      <c r="D379" s="2334" t="s">
        <v>2227</v>
      </c>
      <c r="E379" s="2347" t="s">
        <v>2519</v>
      </c>
      <c r="F379" s="2176"/>
      <c r="G379" s="2179">
        <f t="shared" si="613"/>
        <v>0</v>
      </c>
      <c r="H379" s="2179">
        <f t="shared" si="613"/>
        <v>0</v>
      </c>
      <c r="I379" s="2178">
        <f t="shared" si="628"/>
        <v>0</v>
      </c>
      <c r="J379" s="2176"/>
      <c r="K379" s="2252">
        <f t="shared" si="614"/>
        <v>0</v>
      </c>
      <c r="L379" s="2252">
        <f t="shared" si="614"/>
        <v>0</v>
      </c>
      <c r="M379" s="2255">
        <f t="shared" si="629"/>
        <v>0</v>
      </c>
      <c r="N379" s="2177"/>
      <c r="O379" s="2177"/>
      <c r="P379" s="2178">
        <f t="shared" si="594"/>
        <v>0</v>
      </c>
      <c r="Q379" s="2176"/>
      <c r="R379" s="2176"/>
      <c r="S379" s="2180">
        <f t="shared" si="595"/>
        <v>0</v>
      </c>
      <c r="T379" s="2251">
        <f t="shared" si="611"/>
        <v>0</v>
      </c>
      <c r="U379" s="2252">
        <f t="shared" si="611"/>
        <v>0</v>
      </c>
      <c r="V379" s="2253">
        <f t="shared" si="612"/>
        <v>0</v>
      </c>
      <c r="W379" s="2182"/>
      <c r="X379" s="2177"/>
      <c r="Y379" s="2183">
        <f t="shared" si="596"/>
        <v>0</v>
      </c>
      <c r="Z379" s="2254">
        <f t="shared" si="615"/>
        <v>0</v>
      </c>
      <c r="AA379" s="2252">
        <f t="shared" si="615"/>
        <v>0</v>
      </c>
      <c r="AB379" s="2255">
        <f t="shared" si="630"/>
        <v>0</v>
      </c>
      <c r="AC379" s="2176"/>
      <c r="AD379" s="2176"/>
      <c r="AE379" s="2180">
        <f t="shared" si="598"/>
        <v>0</v>
      </c>
      <c r="AF379" s="2281"/>
      <c r="AG379" s="2145"/>
      <c r="AH379" s="2177">
        <f>'01'!E24</f>
        <v>705.67000000000007</v>
      </c>
      <c r="AI379" s="2177"/>
      <c r="AJ379" s="2186">
        <f t="shared" si="616"/>
        <v>-705.67000000000007</v>
      </c>
      <c r="AK379" s="2177"/>
      <c r="AL379" s="2177"/>
      <c r="AM379" s="2186">
        <f t="shared" si="617"/>
        <v>0</v>
      </c>
      <c r="AN379" s="2177"/>
      <c r="AO379" s="2177"/>
      <c r="AP379" s="2186">
        <f t="shared" si="618"/>
        <v>0</v>
      </c>
      <c r="AQ379" s="2177"/>
      <c r="AR379" s="2177"/>
      <c r="AS379" s="2186">
        <f t="shared" si="619"/>
        <v>0</v>
      </c>
      <c r="AT379" s="2177"/>
      <c r="AU379" s="2177"/>
      <c r="AV379" s="2186">
        <f t="shared" si="620"/>
        <v>0</v>
      </c>
      <c r="AW379" s="2177"/>
      <c r="AX379" s="2177"/>
      <c r="AY379" s="2186">
        <f t="shared" si="621"/>
        <v>0</v>
      </c>
      <c r="AZ379" s="2177"/>
      <c r="BA379" s="2177"/>
      <c r="BB379" s="2186">
        <f t="shared" si="622"/>
        <v>0</v>
      </c>
      <c r="BC379" s="2177"/>
      <c r="BD379" s="2177"/>
      <c r="BE379" s="2186">
        <f t="shared" si="623"/>
        <v>0</v>
      </c>
      <c r="BF379" s="2177"/>
      <c r="BG379" s="2177"/>
      <c r="BH379" s="2186">
        <f t="shared" si="624"/>
        <v>0</v>
      </c>
      <c r="BI379" s="2177"/>
      <c r="BJ379" s="2177"/>
      <c r="BK379" s="2186">
        <f t="shared" si="625"/>
        <v>0</v>
      </c>
      <c r="BL379" s="2177"/>
      <c r="BM379" s="2177"/>
      <c r="BN379" s="2186">
        <f t="shared" si="626"/>
        <v>0</v>
      </c>
      <c r="BO379" s="2177"/>
      <c r="BP379" s="2177"/>
      <c r="BQ379" s="2186">
        <f t="shared" si="627"/>
        <v>0</v>
      </c>
    </row>
    <row r="380" spans="3:69">
      <c r="C380" s="2333" t="s">
        <v>2523</v>
      </c>
      <c r="D380" s="2334" t="s">
        <v>2229</v>
      </c>
      <c r="E380" s="2347" t="s">
        <v>2519</v>
      </c>
      <c r="F380" s="2176"/>
      <c r="G380" s="2336">
        <f t="shared" si="613"/>
        <v>0</v>
      </c>
      <c r="H380" s="2336">
        <f t="shared" si="613"/>
        <v>0</v>
      </c>
      <c r="I380" s="2337">
        <f>H380-G380</f>
        <v>0</v>
      </c>
      <c r="J380" s="2338"/>
      <c r="K380" s="2339">
        <f t="shared" si="614"/>
        <v>0</v>
      </c>
      <c r="L380" s="2339">
        <f t="shared" si="614"/>
        <v>0</v>
      </c>
      <c r="M380" s="2337">
        <f t="shared" si="629"/>
        <v>0</v>
      </c>
      <c r="N380" s="2339">
        <f>IFERROR(N456/N116,0)</f>
        <v>0</v>
      </c>
      <c r="O380" s="2339">
        <f>IFERROR(O456/O116,0)</f>
        <v>0</v>
      </c>
      <c r="P380" s="2337">
        <f>O380-N380</f>
        <v>0</v>
      </c>
      <c r="Q380" s="2339">
        <f>IFERROR(Q456/Q116,0)</f>
        <v>0</v>
      </c>
      <c r="R380" s="2339">
        <f>IFERROR(R456/R116,0)</f>
        <v>0</v>
      </c>
      <c r="S380" s="2337">
        <f>R380-Q380</f>
        <v>0</v>
      </c>
      <c r="T380" s="2340">
        <f>Q380</f>
        <v>0</v>
      </c>
      <c r="U380" s="2339">
        <f>R380</f>
        <v>0</v>
      </c>
      <c r="V380" s="2341">
        <f>U380-T380</f>
        <v>0</v>
      </c>
      <c r="W380" s="2342">
        <f>IFERROR(W456/W116,0)</f>
        <v>0</v>
      </c>
      <c r="X380" s="2339">
        <f>IFERROR(X456/X116,0)</f>
        <v>0</v>
      </c>
      <c r="Y380" s="2343">
        <f>X380-W380</f>
        <v>0</v>
      </c>
      <c r="Z380" s="2344">
        <f t="shared" si="615"/>
        <v>0</v>
      </c>
      <c r="AA380" s="2339">
        <f t="shared" si="615"/>
        <v>0</v>
      </c>
      <c r="AB380" s="2337">
        <f>AA380-Z380</f>
        <v>0</v>
      </c>
      <c r="AC380" s="2339">
        <f>IFERROR(AC456/AC116,0)</f>
        <v>0</v>
      </c>
      <c r="AD380" s="2339">
        <f>IFERROR(AD456/AD116,0)</f>
        <v>0</v>
      </c>
      <c r="AE380" s="2337">
        <f>AD380-AC380</f>
        <v>0</v>
      </c>
      <c r="AF380" s="2281"/>
      <c r="AG380" s="2145"/>
      <c r="AH380" s="2345">
        <f>IFERROR(AH456/AH116,0)</f>
        <v>0</v>
      </c>
      <c r="AI380" s="2345">
        <f>IFERROR(AI456/AI116,0)</f>
        <v>0</v>
      </c>
      <c r="AJ380" s="2346">
        <f>AI380-AH380</f>
        <v>0</v>
      </c>
      <c r="AK380" s="2345">
        <f>IFERROR(AK456/AK116,0)</f>
        <v>0</v>
      </c>
      <c r="AL380" s="2345">
        <f>IFERROR(AL456/AL116,0)</f>
        <v>0</v>
      </c>
      <c r="AM380" s="2346">
        <f>AL380-AK380</f>
        <v>0</v>
      </c>
      <c r="AN380" s="2345">
        <f>IFERROR(AN456/AN116,0)</f>
        <v>0</v>
      </c>
      <c r="AO380" s="2345">
        <f>IFERROR(AO456/AO116,0)</f>
        <v>0</v>
      </c>
      <c r="AP380" s="2346">
        <f>AO380-AN380</f>
        <v>0</v>
      </c>
      <c r="AQ380" s="2345">
        <f>IFERROR(AQ456/AQ116,0)</f>
        <v>0</v>
      </c>
      <c r="AR380" s="2345">
        <f>IFERROR(AR456/AR116,0)</f>
        <v>0</v>
      </c>
      <c r="AS380" s="2346">
        <f>AR380-AQ380</f>
        <v>0</v>
      </c>
      <c r="AT380" s="2345">
        <f>IFERROR(AT456/AT116,0)</f>
        <v>0</v>
      </c>
      <c r="AU380" s="2345">
        <f>IFERROR(AU456/AU116,0)</f>
        <v>0</v>
      </c>
      <c r="AV380" s="2346">
        <f>AU380-AT380</f>
        <v>0</v>
      </c>
      <c r="AW380" s="2345">
        <f>IFERROR(AW456/AW116,0)</f>
        <v>0</v>
      </c>
      <c r="AX380" s="2345">
        <f>IFERROR(AX456/AX116,0)</f>
        <v>0</v>
      </c>
      <c r="AY380" s="2346">
        <f>AX380-AW380</f>
        <v>0</v>
      </c>
      <c r="AZ380" s="2345">
        <f>IFERROR(AZ456/AZ116,0)</f>
        <v>0</v>
      </c>
      <c r="BA380" s="2345">
        <f>IFERROR(BA456/BA116,0)</f>
        <v>0</v>
      </c>
      <c r="BB380" s="2346">
        <f>BA380-AZ380</f>
        <v>0</v>
      </c>
      <c r="BC380" s="2345">
        <f>IFERROR(BC456/BC116,0)</f>
        <v>0</v>
      </c>
      <c r="BD380" s="2345">
        <f>IFERROR(BD456/BD116,0)</f>
        <v>0</v>
      </c>
      <c r="BE380" s="2346">
        <f>BD380-BC380</f>
        <v>0</v>
      </c>
      <c r="BF380" s="2345">
        <f>IFERROR(BF456/BF116,0)</f>
        <v>0</v>
      </c>
      <c r="BG380" s="2345">
        <f>IFERROR(BG456/BG116,0)</f>
        <v>0</v>
      </c>
      <c r="BH380" s="2346">
        <f>BG380-BF380</f>
        <v>0</v>
      </c>
      <c r="BI380" s="2345">
        <f>IFERROR(BI456/BI116,0)</f>
        <v>0</v>
      </c>
      <c r="BJ380" s="2345">
        <f>IFERROR(BJ456/BJ116,0)</f>
        <v>0</v>
      </c>
      <c r="BK380" s="2346">
        <f>BJ380-BI380</f>
        <v>0</v>
      </c>
      <c r="BL380" s="2345">
        <f>IFERROR(BL456/BL116,0)</f>
        <v>0</v>
      </c>
      <c r="BM380" s="2345">
        <f>IFERROR(BM456/BM116,0)</f>
        <v>0</v>
      </c>
      <c r="BN380" s="2346">
        <f>BM380-BL380</f>
        <v>0</v>
      </c>
      <c r="BO380" s="2345">
        <f>IFERROR(BO456/BO116,0)</f>
        <v>0</v>
      </c>
      <c r="BP380" s="2345">
        <f>IFERROR(BP456/BP116,0)</f>
        <v>0</v>
      </c>
      <c r="BQ380" s="2346">
        <f>BP380-BO380</f>
        <v>0</v>
      </c>
    </row>
    <row r="381" spans="3:69" s="2159" customFormat="1" ht="22.5">
      <c r="C381" s="2318" t="s">
        <v>2524</v>
      </c>
      <c r="D381" s="2330" t="s">
        <v>2238</v>
      </c>
      <c r="E381" s="2319"/>
      <c r="F381" s="2320"/>
      <c r="G381" s="2171"/>
      <c r="H381" s="2171"/>
      <c r="I381" s="2172"/>
      <c r="J381" s="2320"/>
      <c r="K381" s="2321"/>
      <c r="L381" s="2321"/>
      <c r="M381" s="2322"/>
      <c r="N381" s="2171"/>
      <c r="O381" s="2171"/>
      <c r="P381" s="2172"/>
      <c r="Q381" s="2320"/>
      <c r="R381" s="2171"/>
      <c r="S381" s="2323"/>
      <c r="T381" s="2324"/>
      <c r="U381" s="2321"/>
      <c r="V381" s="2325"/>
      <c r="W381" s="2326"/>
      <c r="X381" s="2171"/>
      <c r="Y381" s="2327"/>
      <c r="Z381" s="2328"/>
      <c r="AA381" s="2321"/>
      <c r="AB381" s="2322"/>
      <c r="AC381" s="2320"/>
      <c r="AD381" s="2171"/>
      <c r="AE381" s="2323"/>
      <c r="AF381" s="2281"/>
      <c r="AG381" s="2158"/>
      <c r="AH381" s="2171"/>
      <c r="AI381" s="2171"/>
      <c r="AJ381" s="2172"/>
      <c r="AK381" s="2171"/>
      <c r="AL381" s="2171"/>
      <c r="AM381" s="2172"/>
      <c r="AN381" s="2171"/>
      <c r="AO381" s="2171"/>
      <c r="AP381" s="2172"/>
      <c r="AQ381" s="2171"/>
      <c r="AR381" s="2171"/>
      <c r="AS381" s="2172"/>
      <c r="AT381" s="2171"/>
      <c r="AU381" s="2171"/>
      <c r="AV381" s="2172"/>
      <c r="AW381" s="2171"/>
      <c r="AX381" s="2171"/>
      <c r="AY381" s="2172"/>
      <c r="AZ381" s="2171"/>
      <c r="BA381" s="2171"/>
      <c r="BB381" s="2172"/>
      <c r="BC381" s="2171"/>
      <c r="BD381" s="2171"/>
      <c r="BE381" s="2172"/>
      <c r="BF381" s="2171"/>
      <c r="BG381" s="2171"/>
      <c r="BH381" s="2172"/>
      <c r="BI381" s="2171"/>
      <c r="BJ381" s="2171"/>
      <c r="BK381" s="2172"/>
      <c r="BL381" s="2171"/>
      <c r="BM381" s="2171"/>
      <c r="BN381" s="2172"/>
      <c r="BO381" s="2171"/>
      <c r="BP381" s="2171"/>
      <c r="BQ381" s="2172"/>
    </row>
    <row r="382" spans="3:69">
      <c r="C382" s="2333" t="s">
        <v>2525</v>
      </c>
      <c r="D382" s="2334" t="s">
        <v>2221</v>
      </c>
      <c r="E382" s="2347" t="s">
        <v>2519</v>
      </c>
      <c r="F382" s="2176"/>
      <c r="G382" s="2179">
        <f t="shared" ref="G382:H386" si="631">IFERROR(G458/G118,0)</f>
        <v>0</v>
      </c>
      <c r="H382" s="2179">
        <f t="shared" si="631"/>
        <v>0</v>
      </c>
      <c r="I382" s="2178">
        <f t="shared" ref="I382:I389" si="632">H382-G382</f>
        <v>0</v>
      </c>
      <c r="J382" s="2176"/>
      <c r="K382" s="2252">
        <f t="shared" ref="K382:L386" si="633">IFERROR(K458/K118,0)</f>
        <v>0</v>
      </c>
      <c r="L382" s="2252">
        <f t="shared" si="633"/>
        <v>0</v>
      </c>
      <c r="M382" s="2255">
        <f t="shared" si="629"/>
        <v>0</v>
      </c>
      <c r="N382" s="2177">
        <v>1273.1200000000001</v>
      </c>
      <c r="O382" s="2177"/>
      <c r="P382" s="2178">
        <f t="shared" si="594"/>
        <v>-1273.1200000000001</v>
      </c>
      <c r="Q382" s="2176">
        <v>1273.1200000000001</v>
      </c>
      <c r="R382" s="2177"/>
      <c r="S382" s="2180">
        <f t="shared" si="595"/>
        <v>-1273.1200000000001</v>
      </c>
      <c r="T382" s="2251">
        <f t="shared" si="611"/>
        <v>1273.1200000000001</v>
      </c>
      <c r="U382" s="2252">
        <f t="shared" si="611"/>
        <v>0</v>
      </c>
      <c r="V382" s="2253">
        <f t="shared" si="612"/>
        <v>-1273.1200000000001</v>
      </c>
      <c r="W382" s="2182">
        <v>1412.71</v>
      </c>
      <c r="X382" s="2177"/>
      <c r="Y382" s="2183">
        <f t="shared" si="596"/>
        <v>-1412.71</v>
      </c>
      <c r="Z382" s="2254">
        <f t="shared" ref="Z382:AA386" si="634">IFERROR(Z458/Z118,0)</f>
        <v>0</v>
      </c>
      <c r="AA382" s="2252">
        <f t="shared" si="634"/>
        <v>0</v>
      </c>
      <c r="AB382" s="2255">
        <f t="shared" ref="AB382:AB389" si="635">AA382-Z382</f>
        <v>0</v>
      </c>
      <c r="AC382" s="2176">
        <v>1412.71</v>
      </c>
      <c r="AD382" s="2177"/>
      <c r="AE382" s="2180">
        <f t="shared" si="598"/>
        <v>-1412.71</v>
      </c>
      <c r="AF382" s="2281"/>
      <c r="AG382" s="2145"/>
      <c r="AH382" s="2177"/>
      <c r="AI382" s="2177"/>
      <c r="AJ382" s="2186">
        <f t="shared" ref="AJ382:AJ385" si="636">AI382-AH382</f>
        <v>0</v>
      </c>
      <c r="AK382" s="2177">
        <v>1273.1200000000001</v>
      </c>
      <c r="AL382" s="2177"/>
      <c r="AM382" s="2186">
        <f t="shared" ref="AM382:AM385" si="637">AL382-AK382</f>
        <v>-1273.1200000000001</v>
      </c>
      <c r="AN382" s="2177">
        <v>1273.1200000000001</v>
      </c>
      <c r="AO382" s="2177"/>
      <c r="AP382" s="2186">
        <f t="shared" ref="AP382:AP385" si="638">AO382-AN382</f>
        <v>-1273.1200000000001</v>
      </c>
      <c r="AQ382" s="2177">
        <v>1273.1200000000001</v>
      </c>
      <c r="AR382" s="2177"/>
      <c r="AS382" s="2186">
        <f t="shared" ref="AS382:AS385" si="639">AR382-AQ382</f>
        <v>-1273.1200000000001</v>
      </c>
      <c r="AT382" s="2177">
        <v>1273.1200000000001</v>
      </c>
      <c r="AU382" s="2177"/>
      <c r="AV382" s="2186">
        <f t="shared" ref="AV382:AV385" si="640">AU382-AT382</f>
        <v>-1273.1200000000001</v>
      </c>
      <c r="AW382" s="2177">
        <v>1273.1200000000001</v>
      </c>
      <c r="AX382" s="2177"/>
      <c r="AY382" s="2186">
        <f t="shared" ref="AY382:AY385" si="641">AX382-AW382</f>
        <v>-1273.1200000000001</v>
      </c>
      <c r="AZ382" s="2177">
        <v>1412.71</v>
      </c>
      <c r="BA382" s="2177"/>
      <c r="BB382" s="2186">
        <f t="shared" ref="BB382:BB385" si="642">BA382-AZ382</f>
        <v>-1412.71</v>
      </c>
      <c r="BC382" s="2177">
        <v>1412.71</v>
      </c>
      <c r="BD382" s="2177"/>
      <c r="BE382" s="2186">
        <f t="shared" ref="BE382:BE385" si="643">BD382-BC382</f>
        <v>-1412.71</v>
      </c>
      <c r="BF382" s="2177">
        <v>1412.71</v>
      </c>
      <c r="BG382" s="2177"/>
      <c r="BH382" s="2186">
        <f t="shared" ref="BH382:BH385" si="644">BG382-BF382</f>
        <v>-1412.71</v>
      </c>
      <c r="BI382" s="2177">
        <v>1412.71</v>
      </c>
      <c r="BJ382" s="2177"/>
      <c r="BK382" s="2186">
        <f t="shared" ref="BK382:BK385" si="645">BJ382-BI382</f>
        <v>-1412.71</v>
      </c>
      <c r="BL382" s="2177">
        <v>1412.71</v>
      </c>
      <c r="BM382" s="2177"/>
      <c r="BN382" s="2186">
        <f t="shared" ref="BN382:BN385" si="646">BM382-BL382</f>
        <v>-1412.71</v>
      </c>
      <c r="BO382" s="2177">
        <v>1412.71</v>
      </c>
      <c r="BP382" s="2177"/>
      <c r="BQ382" s="2186">
        <f t="shared" ref="BQ382:BQ385" si="647">BP382-BO382</f>
        <v>-1412.71</v>
      </c>
    </row>
    <row r="383" spans="3:69">
      <c r="C383" s="2333" t="s">
        <v>2526</v>
      </c>
      <c r="D383" s="2334" t="s">
        <v>2223</v>
      </c>
      <c r="E383" s="2347" t="s">
        <v>2519</v>
      </c>
      <c r="F383" s="2176"/>
      <c r="G383" s="2179">
        <f t="shared" si="631"/>
        <v>0</v>
      </c>
      <c r="H383" s="2179">
        <f t="shared" si="631"/>
        <v>0</v>
      </c>
      <c r="I383" s="2178">
        <f t="shared" si="632"/>
        <v>0</v>
      </c>
      <c r="J383" s="2176"/>
      <c r="K383" s="2252">
        <f t="shared" si="633"/>
        <v>2205.6519652595948</v>
      </c>
      <c r="L383" s="2252">
        <f t="shared" si="633"/>
        <v>0</v>
      </c>
      <c r="M383" s="2255">
        <f t="shared" si="629"/>
        <v>-2205.6519652595948</v>
      </c>
      <c r="N383" s="2177">
        <v>2079.71</v>
      </c>
      <c r="O383" s="2177"/>
      <c r="P383" s="2178">
        <f t="shared" si="594"/>
        <v>-2079.71</v>
      </c>
      <c r="Q383" s="2176">
        <v>2079.71</v>
      </c>
      <c r="R383" s="2177"/>
      <c r="S383" s="2180">
        <f t="shared" si="595"/>
        <v>-2079.71</v>
      </c>
      <c r="T383" s="2251">
        <f t="shared" si="611"/>
        <v>2079.71</v>
      </c>
      <c r="U383" s="2252">
        <f t="shared" si="611"/>
        <v>0</v>
      </c>
      <c r="V383" s="2253">
        <f t="shared" si="612"/>
        <v>-2079.71</v>
      </c>
      <c r="W383" s="2182">
        <v>2307.44</v>
      </c>
      <c r="X383" s="2177"/>
      <c r="Y383" s="2183">
        <f t="shared" si="596"/>
        <v>-2307.44</v>
      </c>
      <c r="Z383" s="2254">
        <f t="shared" si="634"/>
        <v>2152.6063675016399</v>
      </c>
      <c r="AA383" s="2252">
        <f t="shared" si="634"/>
        <v>0</v>
      </c>
      <c r="AB383" s="2255">
        <f t="shared" si="635"/>
        <v>-2152.6063675016399</v>
      </c>
      <c r="AC383" s="2176">
        <v>2307.44</v>
      </c>
      <c r="AD383" s="2177"/>
      <c r="AE383" s="2180">
        <f t="shared" si="598"/>
        <v>-2307.44</v>
      </c>
      <c r="AF383" s="2281"/>
      <c r="AG383" s="2145"/>
      <c r="AH383" s="2177">
        <f>'01'!E12</f>
        <v>4069.7</v>
      </c>
      <c r="AI383" s="2177"/>
      <c r="AJ383" s="2186">
        <f t="shared" si="636"/>
        <v>-4069.7</v>
      </c>
      <c r="AK383" s="2177">
        <v>2079.71</v>
      </c>
      <c r="AL383" s="2177"/>
      <c r="AM383" s="2186">
        <f t="shared" si="637"/>
        <v>-2079.71</v>
      </c>
      <c r="AN383" s="2177">
        <v>2079.71</v>
      </c>
      <c r="AO383" s="2177"/>
      <c r="AP383" s="2186">
        <f t="shared" si="638"/>
        <v>-2079.71</v>
      </c>
      <c r="AQ383" s="2177">
        <v>2079.71</v>
      </c>
      <c r="AR383" s="2177"/>
      <c r="AS383" s="2186">
        <f t="shared" si="639"/>
        <v>-2079.71</v>
      </c>
      <c r="AT383" s="2177">
        <v>2079.71</v>
      </c>
      <c r="AU383" s="2177"/>
      <c r="AV383" s="2186">
        <f t="shared" si="640"/>
        <v>-2079.71</v>
      </c>
      <c r="AW383" s="2177">
        <v>2079.71</v>
      </c>
      <c r="AX383" s="2177"/>
      <c r="AY383" s="2186">
        <f t="shared" si="641"/>
        <v>-2079.71</v>
      </c>
      <c r="AZ383" s="2177">
        <v>2307.44</v>
      </c>
      <c r="BA383" s="2177"/>
      <c r="BB383" s="2186">
        <f t="shared" si="642"/>
        <v>-2307.44</v>
      </c>
      <c r="BC383" s="2177">
        <v>2307.44</v>
      </c>
      <c r="BD383" s="2177"/>
      <c r="BE383" s="2186">
        <f t="shared" si="643"/>
        <v>-2307.44</v>
      </c>
      <c r="BF383" s="2177">
        <v>2307.44</v>
      </c>
      <c r="BG383" s="2177"/>
      <c r="BH383" s="2186">
        <f t="shared" si="644"/>
        <v>-2307.44</v>
      </c>
      <c r="BI383" s="2177">
        <v>2307.44</v>
      </c>
      <c r="BJ383" s="2177"/>
      <c r="BK383" s="2186">
        <f t="shared" si="645"/>
        <v>-2307.44</v>
      </c>
      <c r="BL383" s="2177">
        <v>2307.44</v>
      </c>
      <c r="BM383" s="2177"/>
      <c r="BN383" s="2186">
        <f t="shared" si="646"/>
        <v>-2307.44</v>
      </c>
      <c r="BO383" s="2177">
        <v>2307.44</v>
      </c>
      <c r="BP383" s="2177"/>
      <c r="BQ383" s="2186">
        <f t="shared" si="647"/>
        <v>-2307.44</v>
      </c>
    </row>
    <row r="384" spans="3:69">
      <c r="C384" s="2333" t="s">
        <v>2527</v>
      </c>
      <c r="D384" s="2334" t="s">
        <v>2225</v>
      </c>
      <c r="E384" s="2347" t="s">
        <v>2519</v>
      </c>
      <c r="F384" s="2176"/>
      <c r="G384" s="2179">
        <f t="shared" si="631"/>
        <v>0</v>
      </c>
      <c r="H384" s="2179">
        <f t="shared" si="631"/>
        <v>0</v>
      </c>
      <c r="I384" s="2178">
        <f t="shared" si="632"/>
        <v>0</v>
      </c>
      <c r="J384" s="2176"/>
      <c r="K384" s="2252">
        <f t="shared" si="633"/>
        <v>2351.8339975440717</v>
      </c>
      <c r="L384" s="2252">
        <f t="shared" si="633"/>
        <v>0</v>
      </c>
      <c r="M384" s="2255">
        <f t="shared" si="629"/>
        <v>-2351.8339975440717</v>
      </c>
      <c r="N384" s="2177">
        <v>2228.4</v>
      </c>
      <c r="O384" s="2177"/>
      <c r="P384" s="2178">
        <f t="shared" si="594"/>
        <v>-2228.4</v>
      </c>
      <c r="Q384" s="2176">
        <v>2228.4</v>
      </c>
      <c r="R384" s="2177"/>
      <c r="S384" s="2180">
        <f t="shared" si="595"/>
        <v>-2228.4</v>
      </c>
      <c r="T384" s="2251">
        <f t="shared" si="611"/>
        <v>2228.4</v>
      </c>
      <c r="U384" s="2252">
        <f t="shared" si="611"/>
        <v>0</v>
      </c>
      <c r="V384" s="2253">
        <f t="shared" si="612"/>
        <v>-2228.4</v>
      </c>
      <c r="W384" s="2182">
        <v>2472.4899999999998</v>
      </c>
      <c r="X384" s="2177"/>
      <c r="Y384" s="2183">
        <f t="shared" si="596"/>
        <v>-2472.4899999999998</v>
      </c>
      <c r="Z384" s="2254">
        <f t="shared" si="634"/>
        <v>2296.0044867519678</v>
      </c>
      <c r="AA384" s="2252">
        <f t="shared" si="634"/>
        <v>0</v>
      </c>
      <c r="AB384" s="2255">
        <f t="shared" si="635"/>
        <v>-2296.0044867519678</v>
      </c>
      <c r="AC384" s="2176">
        <v>2472.4899999999998</v>
      </c>
      <c r="AD384" s="2177"/>
      <c r="AE384" s="2180">
        <f t="shared" si="598"/>
        <v>-2472.4899999999998</v>
      </c>
      <c r="AF384" s="2281"/>
      <c r="AG384" s="2145"/>
      <c r="AH384" s="2177">
        <f>'01'!E13</f>
        <v>4360.62</v>
      </c>
      <c r="AI384" s="2177"/>
      <c r="AJ384" s="2186">
        <f t="shared" si="636"/>
        <v>-4360.62</v>
      </c>
      <c r="AK384" s="2177">
        <v>2228.4</v>
      </c>
      <c r="AL384" s="2177"/>
      <c r="AM384" s="2186">
        <f t="shared" si="637"/>
        <v>-2228.4</v>
      </c>
      <c r="AN384" s="2177">
        <v>2228.4</v>
      </c>
      <c r="AO384" s="2177"/>
      <c r="AP384" s="2186">
        <f t="shared" si="638"/>
        <v>-2228.4</v>
      </c>
      <c r="AQ384" s="2177">
        <v>2228.4</v>
      </c>
      <c r="AR384" s="2177"/>
      <c r="AS384" s="2186">
        <f t="shared" si="639"/>
        <v>-2228.4</v>
      </c>
      <c r="AT384" s="2177">
        <v>2228.4</v>
      </c>
      <c r="AU384" s="2177"/>
      <c r="AV384" s="2186">
        <f t="shared" si="640"/>
        <v>-2228.4</v>
      </c>
      <c r="AW384" s="2177">
        <v>2228.4</v>
      </c>
      <c r="AX384" s="2177"/>
      <c r="AY384" s="2186">
        <f t="shared" si="641"/>
        <v>-2228.4</v>
      </c>
      <c r="AZ384" s="2177">
        <v>2472.4899999999998</v>
      </c>
      <c r="BA384" s="2177"/>
      <c r="BB384" s="2186">
        <f t="shared" si="642"/>
        <v>-2472.4899999999998</v>
      </c>
      <c r="BC384" s="2177">
        <v>2472.4899999999998</v>
      </c>
      <c r="BD384" s="2177"/>
      <c r="BE384" s="2186">
        <f t="shared" si="643"/>
        <v>-2472.4899999999998</v>
      </c>
      <c r="BF384" s="2177">
        <v>2472.4899999999998</v>
      </c>
      <c r="BG384" s="2177"/>
      <c r="BH384" s="2186">
        <f t="shared" si="644"/>
        <v>-2472.4899999999998</v>
      </c>
      <c r="BI384" s="2177">
        <v>2472.4899999999998</v>
      </c>
      <c r="BJ384" s="2177"/>
      <c r="BK384" s="2186">
        <f t="shared" si="645"/>
        <v>-2472.4899999999998</v>
      </c>
      <c r="BL384" s="2177">
        <v>2472.4899999999998</v>
      </c>
      <c r="BM384" s="2177"/>
      <c r="BN384" s="2186">
        <f t="shared" si="646"/>
        <v>-2472.4899999999998</v>
      </c>
      <c r="BO384" s="2177">
        <v>2472.4899999999998</v>
      </c>
      <c r="BP384" s="2177"/>
      <c r="BQ384" s="2186">
        <f t="shared" si="647"/>
        <v>-2472.4899999999998</v>
      </c>
    </row>
    <row r="385" spans="3:69">
      <c r="C385" s="2333" t="s">
        <v>2528</v>
      </c>
      <c r="D385" s="2334" t="s">
        <v>2227</v>
      </c>
      <c r="E385" s="2347" t="s">
        <v>2519</v>
      </c>
      <c r="F385" s="2176"/>
      <c r="G385" s="2179">
        <f t="shared" si="631"/>
        <v>0</v>
      </c>
      <c r="H385" s="2179">
        <f t="shared" si="631"/>
        <v>0</v>
      </c>
      <c r="I385" s="2178">
        <f t="shared" si="632"/>
        <v>0</v>
      </c>
      <c r="J385" s="2176"/>
      <c r="K385" s="2252">
        <f t="shared" si="633"/>
        <v>2476.942936662721</v>
      </c>
      <c r="L385" s="2252">
        <f t="shared" si="633"/>
        <v>0</v>
      </c>
      <c r="M385" s="2255">
        <f t="shared" si="629"/>
        <v>-2476.942936662721</v>
      </c>
      <c r="N385" s="2177">
        <v>2350.91</v>
      </c>
      <c r="O385" s="2177"/>
      <c r="P385" s="2178">
        <f t="shared" si="594"/>
        <v>-2350.91</v>
      </c>
      <c r="Q385" s="2176">
        <v>2350.91</v>
      </c>
      <c r="R385" s="2177"/>
      <c r="S385" s="2180">
        <f t="shared" si="595"/>
        <v>-2350.91</v>
      </c>
      <c r="T385" s="2251">
        <f t="shared" si="611"/>
        <v>2350.91</v>
      </c>
      <c r="U385" s="2252">
        <f t="shared" si="611"/>
        <v>0</v>
      </c>
      <c r="V385" s="2253">
        <f t="shared" si="612"/>
        <v>-2350.91</v>
      </c>
      <c r="W385" s="2182">
        <v>2608.36</v>
      </c>
      <c r="X385" s="2177"/>
      <c r="Y385" s="2183">
        <f t="shared" si="596"/>
        <v>-2608.36</v>
      </c>
      <c r="Z385" s="2254">
        <f t="shared" si="634"/>
        <v>2418.1022163303355</v>
      </c>
      <c r="AA385" s="2252">
        <f t="shared" si="634"/>
        <v>0</v>
      </c>
      <c r="AB385" s="2255">
        <f t="shared" si="635"/>
        <v>-2418.1022163303355</v>
      </c>
      <c r="AC385" s="2176">
        <v>2608.36</v>
      </c>
      <c r="AD385" s="2177"/>
      <c r="AE385" s="2180">
        <f t="shared" si="598"/>
        <v>-2608.36</v>
      </c>
      <c r="AF385" s="2281"/>
      <c r="AG385" s="2145"/>
      <c r="AH385" s="2177">
        <f>'01'!E14</f>
        <v>4600.3</v>
      </c>
      <c r="AI385" s="2177"/>
      <c r="AJ385" s="2186">
        <f t="shared" si="636"/>
        <v>-4600.3</v>
      </c>
      <c r="AK385" s="2177">
        <v>2350.91</v>
      </c>
      <c r="AL385" s="2177"/>
      <c r="AM385" s="2186">
        <f t="shared" si="637"/>
        <v>-2350.91</v>
      </c>
      <c r="AN385" s="2177">
        <v>2350.91</v>
      </c>
      <c r="AO385" s="2177"/>
      <c r="AP385" s="2186">
        <f t="shared" si="638"/>
        <v>-2350.91</v>
      </c>
      <c r="AQ385" s="2177">
        <v>2350.91</v>
      </c>
      <c r="AR385" s="2177"/>
      <c r="AS385" s="2186">
        <f t="shared" si="639"/>
        <v>-2350.91</v>
      </c>
      <c r="AT385" s="2177">
        <v>2350.91</v>
      </c>
      <c r="AU385" s="2177"/>
      <c r="AV385" s="2186">
        <f t="shared" si="640"/>
        <v>-2350.91</v>
      </c>
      <c r="AW385" s="2177">
        <v>2350.91</v>
      </c>
      <c r="AX385" s="2177"/>
      <c r="AY385" s="2186">
        <f t="shared" si="641"/>
        <v>-2350.91</v>
      </c>
      <c r="AZ385" s="2177">
        <v>2608.36</v>
      </c>
      <c r="BA385" s="2177"/>
      <c r="BB385" s="2186">
        <f t="shared" si="642"/>
        <v>-2608.36</v>
      </c>
      <c r="BC385" s="2177">
        <v>2608.36</v>
      </c>
      <c r="BD385" s="2177"/>
      <c r="BE385" s="2186">
        <f t="shared" si="643"/>
        <v>-2608.36</v>
      </c>
      <c r="BF385" s="2177">
        <v>2608.36</v>
      </c>
      <c r="BG385" s="2177"/>
      <c r="BH385" s="2186">
        <f t="shared" si="644"/>
        <v>-2608.36</v>
      </c>
      <c r="BI385" s="2177">
        <v>2608.36</v>
      </c>
      <c r="BJ385" s="2177"/>
      <c r="BK385" s="2186">
        <f t="shared" si="645"/>
        <v>-2608.36</v>
      </c>
      <c r="BL385" s="2177">
        <v>2608.36</v>
      </c>
      <c r="BM385" s="2177"/>
      <c r="BN385" s="2186">
        <f t="shared" si="646"/>
        <v>-2608.36</v>
      </c>
      <c r="BO385" s="2177">
        <v>2608.36</v>
      </c>
      <c r="BP385" s="2177"/>
      <c r="BQ385" s="2186">
        <f t="shared" si="647"/>
        <v>-2608.36</v>
      </c>
    </row>
    <row r="386" spans="3:69">
      <c r="C386" s="2333" t="s">
        <v>2529</v>
      </c>
      <c r="D386" s="2334" t="s">
        <v>2229</v>
      </c>
      <c r="E386" s="2347" t="s">
        <v>2519</v>
      </c>
      <c r="F386" s="2176"/>
      <c r="G386" s="2336">
        <f t="shared" si="631"/>
        <v>0</v>
      </c>
      <c r="H386" s="2336">
        <f t="shared" si="631"/>
        <v>0</v>
      </c>
      <c r="I386" s="2337">
        <f>H386-G386</f>
        <v>0</v>
      </c>
      <c r="J386" s="2338"/>
      <c r="K386" s="2339">
        <f t="shared" si="633"/>
        <v>0</v>
      </c>
      <c r="L386" s="2339">
        <f t="shared" si="633"/>
        <v>0</v>
      </c>
      <c r="M386" s="2337">
        <f t="shared" si="629"/>
        <v>0</v>
      </c>
      <c r="N386" s="2339">
        <f>IFERROR(N462/N122,0)</f>
        <v>0</v>
      </c>
      <c r="O386" s="2339">
        <f>IFERROR(O462/O122,0)</f>
        <v>0</v>
      </c>
      <c r="P386" s="2337">
        <f>O386-N386</f>
        <v>0</v>
      </c>
      <c r="Q386" s="2339">
        <f>IFERROR(Q462/Q122,0)</f>
        <v>0</v>
      </c>
      <c r="R386" s="2339">
        <f>IFERROR(R462/R122,0)</f>
        <v>0</v>
      </c>
      <c r="S386" s="2337">
        <f>R386-Q386</f>
        <v>0</v>
      </c>
      <c r="T386" s="2340">
        <f>Q386</f>
        <v>0</v>
      </c>
      <c r="U386" s="2339">
        <f>R386</f>
        <v>0</v>
      </c>
      <c r="V386" s="2341">
        <f>U386-T386</f>
        <v>0</v>
      </c>
      <c r="W386" s="2342">
        <f>IFERROR(W462/W122,0)</f>
        <v>0</v>
      </c>
      <c r="X386" s="2339">
        <f>IFERROR(X462/X122,0)</f>
        <v>0</v>
      </c>
      <c r="Y386" s="2343">
        <f>X386-W386</f>
        <v>0</v>
      </c>
      <c r="Z386" s="2344">
        <f t="shared" si="634"/>
        <v>0</v>
      </c>
      <c r="AA386" s="2339">
        <f t="shared" si="634"/>
        <v>0</v>
      </c>
      <c r="AB386" s="2337">
        <f>AA386-Z386</f>
        <v>0</v>
      </c>
      <c r="AC386" s="2339">
        <f>IFERROR(AC462/AC122,0)</f>
        <v>0</v>
      </c>
      <c r="AD386" s="2339">
        <f>IFERROR(AD462/AD122,0)</f>
        <v>0</v>
      </c>
      <c r="AE386" s="2337">
        <f>AD386-AC386</f>
        <v>0</v>
      </c>
      <c r="AF386" s="2281"/>
      <c r="AG386" s="2145"/>
      <c r="AH386" s="2345">
        <f>IFERROR(AH462/AH122,0)</f>
        <v>0</v>
      </c>
      <c r="AI386" s="2345">
        <f>IFERROR(AI462/AI122,0)</f>
        <v>0</v>
      </c>
      <c r="AJ386" s="2346">
        <f>AI386-AH386</f>
        <v>0</v>
      </c>
      <c r="AK386" s="2345">
        <f>IFERROR(AK462/AK122,0)</f>
        <v>0</v>
      </c>
      <c r="AL386" s="2345">
        <f>IFERROR(AL462/AL122,0)</f>
        <v>0</v>
      </c>
      <c r="AM386" s="2346">
        <f>AL386-AK386</f>
        <v>0</v>
      </c>
      <c r="AN386" s="2345">
        <f>IFERROR(AN462/AN122,0)</f>
        <v>0</v>
      </c>
      <c r="AO386" s="2345">
        <f>IFERROR(AO462/AO122,0)</f>
        <v>0</v>
      </c>
      <c r="AP386" s="2346">
        <f>AO386-AN386</f>
        <v>0</v>
      </c>
      <c r="AQ386" s="2345">
        <f>IFERROR(AQ462/AQ122,0)</f>
        <v>0</v>
      </c>
      <c r="AR386" s="2345">
        <f>IFERROR(AR462/AR122,0)</f>
        <v>0</v>
      </c>
      <c r="AS386" s="2346">
        <f>AR386-AQ386</f>
        <v>0</v>
      </c>
      <c r="AT386" s="2345">
        <f>IFERROR(AT462/AT122,0)</f>
        <v>0</v>
      </c>
      <c r="AU386" s="2345">
        <f>IFERROR(AU462/AU122,0)</f>
        <v>0</v>
      </c>
      <c r="AV386" s="2346">
        <f>AU386-AT386</f>
        <v>0</v>
      </c>
      <c r="AW386" s="2345">
        <f>IFERROR(AW462/AW122,0)</f>
        <v>0</v>
      </c>
      <c r="AX386" s="2345">
        <f>IFERROR(AX462/AX122,0)</f>
        <v>0</v>
      </c>
      <c r="AY386" s="2346">
        <f>AX386-AW386</f>
        <v>0</v>
      </c>
      <c r="AZ386" s="2345">
        <f>IFERROR(AZ462/AZ122,0)</f>
        <v>0</v>
      </c>
      <c r="BA386" s="2345">
        <f>IFERROR(BA462/BA122,0)</f>
        <v>0</v>
      </c>
      <c r="BB386" s="2346">
        <f>BA386-AZ386</f>
        <v>0</v>
      </c>
      <c r="BC386" s="2345">
        <f>IFERROR(BC462/BC122,0)</f>
        <v>0</v>
      </c>
      <c r="BD386" s="2345">
        <f>IFERROR(BD462/BD122,0)</f>
        <v>0</v>
      </c>
      <c r="BE386" s="2346">
        <f>BD386-BC386</f>
        <v>0</v>
      </c>
      <c r="BF386" s="2345">
        <f>IFERROR(BF462/BF122,0)</f>
        <v>0</v>
      </c>
      <c r="BG386" s="2345">
        <f>IFERROR(BG462/BG122,0)</f>
        <v>0</v>
      </c>
      <c r="BH386" s="2346">
        <f>BG386-BF386</f>
        <v>0</v>
      </c>
      <c r="BI386" s="2345">
        <f>IFERROR(BI462/BI122,0)</f>
        <v>0</v>
      </c>
      <c r="BJ386" s="2345">
        <f>IFERROR(BJ462/BJ122,0)</f>
        <v>0</v>
      </c>
      <c r="BK386" s="2346">
        <f>BJ386-BI386</f>
        <v>0</v>
      </c>
      <c r="BL386" s="2345">
        <f>IFERROR(BL462/BL122,0)</f>
        <v>0</v>
      </c>
      <c r="BM386" s="2345">
        <f>IFERROR(BM462/BM122,0)</f>
        <v>0</v>
      </c>
      <c r="BN386" s="2346">
        <f>BM386-BL386</f>
        <v>0</v>
      </c>
      <c r="BO386" s="2345">
        <f>IFERROR(BO462/BO122,0)</f>
        <v>0</v>
      </c>
      <c r="BP386" s="2345">
        <f>IFERROR(BP462/BP122,0)</f>
        <v>0</v>
      </c>
      <c r="BQ386" s="2346">
        <f>BP386-BO386</f>
        <v>0</v>
      </c>
    </row>
    <row r="387" spans="3:69" s="2207" customFormat="1">
      <c r="C387" s="2318" t="s">
        <v>2530</v>
      </c>
      <c r="D387" s="2330" t="s">
        <v>2248</v>
      </c>
      <c r="E387" s="2205" t="s">
        <v>2519</v>
      </c>
      <c r="F387" s="2162"/>
      <c r="G387" s="2163">
        <f>IFERROR(G465/G125,0)</f>
        <v>0</v>
      </c>
      <c r="H387" s="2163">
        <f>IFERROR(H465/H125,0)</f>
        <v>0</v>
      </c>
      <c r="I387" s="2164">
        <f t="shared" si="632"/>
        <v>0</v>
      </c>
      <c r="J387" s="2162"/>
      <c r="K387" s="2259">
        <f>IFERROR(K465/K125,0)</f>
        <v>886.63230739776907</v>
      </c>
      <c r="L387" s="2259">
        <f>IFERROR(L465/L125,0)</f>
        <v>0</v>
      </c>
      <c r="M387" s="2262">
        <f t="shared" si="629"/>
        <v>-886.63230739776907</v>
      </c>
      <c r="N387" s="2218">
        <v>296.06</v>
      </c>
      <c r="O387" s="2218"/>
      <c r="P387" s="2164">
        <f t="shared" si="594"/>
        <v>-296.06</v>
      </c>
      <c r="Q387" s="2162">
        <v>296.06</v>
      </c>
      <c r="R387" s="2218"/>
      <c r="S387" s="2166">
        <f t="shared" si="595"/>
        <v>-296.06</v>
      </c>
      <c r="T387" s="2258">
        <f t="shared" si="611"/>
        <v>296.06</v>
      </c>
      <c r="U387" s="2259">
        <f t="shared" si="611"/>
        <v>0</v>
      </c>
      <c r="V387" s="2260">
        <f t="shared" si="612"/>
        <v>-296.06</v>
      </c>
      <c r="W387" s="2220">
        <v>1378.6499999999999</v>
      </c>
      <c r="X387" s="2218"/>
      <c r="Y387" s="2169">
        <f t="shared" si="596"/>
        <v>-1378.6499999999999</v>
      </c>
      <c r="Z387" s="2261">
        <f>IFERROR(Z465/Z125,0)</f>
        <v>642.87872192261705</v>
      </c>
      <c r="AA387" s="2259">
        <f>IFERROR(AA465/AA125,0)</f>
        <v>0</v>
      </c>
      <c r="AB387" s="2262">
        <f t="shared" si="635"/>
        <v>-642.87872192261705</v>
      </c>
      <c r="AC387" s="2162">
        <v>1378.6499999999999</v>
      </c>
      <c r="AD387" s="2218"/>
      <c r="AE387" s="2166">
        <f t="shared" si="598"/>
        <v>-1378.6499999999999</v>
      </c>
      <c r="AF387" s="2281"/>
      <c r="AG387" s="2206"/>
      <c r="AH387" s="2218">
        <f>'01'!E16</f>
        <v>0</v>
      </c>
      <c r="AI387" s="2177"/>
      <c r="AJ387" s="2172">
        <f t="shared" ref="AJ387" si="648">AI387-AH387</f>
        <v>0</v>
      </c>
      <c r="AK387" s="2218">
        <v>296.06</v>
      </c>
      <c r="AL387" s="2218"/>
      <c r="AM387" s="2172">
        <f t="shared" ref="AM387" si="649">AL387-AK387</f>
        <v>-296.06</v>
      </c>
      <c r="AN387" s="2218">
        <v>296.06</v>
      </c>
      <c r="AO387" s="2218"/>
      <c r="AP387" s="2172">
        <f t="shared" ref="AP387" si="650">AO387-AN387</f>
        <v>-296.06</v>
      </c>
      <c r="AQ387" s="2218">
        <v>296.06</v>
      </c>
      <c r="AR387" s="2218"/>
      <c r="AS387" s="2172">
        <f t="shared" ref="AS387" si="651">AR387-AQ387</f>
        <v>-296.06</v>
      </c>
      <c r="AT387" s="2218">
        <v>296.06</v>
      </c>
      <c r="AU387" s="2218"/>
      <c r="AV387" s="2172">
        <f t="shared" ref="AV387" si="652">AU387-AT387</f>
        <v>-296.06</v>
      </c>
      <c r="AW387" s="2218">
        <v>296.06</v>
      </c>
      <c r="AX387" s="2218"/>
      <c r="AY387" s="2172">
        <f t="shared" ref="AY387" si="653">AX387-AW387</f>
        <v>-296.06</v>
      </c>
      <c r="AZ387" s="2218">
        <v>1378.6499999999999</v>
      </c>
      <c r="BA387" s="2218"/>
      <c r="BB387" s="2172">
        <f t="shared" ref="BB387" si="654">BA387-AZ387</f>
        <v>-1378.6499999999999</v>
      </c>
      <c r="BC387" s="2218">
        <v>1378.6499999999999</v>
      </c>
      <c r="BD387" s="2218"/>
      <c r="BE387" s="2172">
        <f t="shared" ref="BE387" si="655">BD387-BC387</f>
        <v>-1378.6499999999999</v>
      </c>
      <c r="BF387" s="2218">
        <v>1378.6499999999999</v>
      </c>
      <c r="BG387" s="2218"/>
      <c r="BH387" s="2172">
        <f t="shared" ref="BH387" si="656">BG387-BF387</f>
        <v>-1378.6499999999999</v>
      </c>
      <c r="BI387" s="2218">
        <v>1378.6499999999999</v>
      </c>
      <c r="BJ387" s="2218"/>
      <c r="BK387" s="2172">
        <f t="shared" ref="BK387" si="657">BJ387-BI387</f>
        <v>-1378.6499999999999</v>
      </c>
      <c r="BL387" s="2218">
        <v>1378.6499999999999</v>
      </c>
      <c r="BM387" s="2218"/>
      <c r="BN387" s="2172">
        <f t="shared" ref="BN387" si="658">BM387-BL387</f>
        <v>-1378.6499999999999</v>
      </c>
      <c r="BO387" s="2218">
        <v>1378.6499999999999</v>
      </c>
      <c r="BP387" s="2218"/>
      <c r="BQ387" s="2172">
        <f t="shared" ref="BQ387" si="659">BP387-BO387</f>
        <v>-1378.6499999999999</v>
      </c>
    </row>
    <row r="388" spans="3:69" s="2207" customFormat="1">
      <c r="C388" s="2331" t="s">
        <v>2531</v>
      </c>
      <c r="D388" s="2286" t="s">
        <v>2229</v>
      </c>
      <c r="E388" s="2347" t="s">
        <v>2519</v>
      </c>
      <c r="F388" s="2176"/>
      <c r="G388" s="2336">
        <f>IFERROR(G470/G130,0)</f>
        <v>0</v>
      </c>
      <c r="H388" s="2336">
        <f>IFERROR(H470/H130,0)</f>
        <v>0</v>
      </c>
      <c r="I388" s="2337">
        <f>H388-G388</f>
        <v>0</v>
      </c>
      <c r="J388" s="2338"/>
      <c r="K388" s="2339">
        <f>IFERROR(K470/K130,0)</f>
        <v>0</v>
      </c>
      <c r="L388" s="2339">
        <f>IFERROR(L470/L130,0)</f>
        <v>0</v>
      </c>
      <c r="M388" s="2337">
        <f t="shared" si="629"/>
        <v>0</v>
      </c>
      <c r="N388" s="2339">
        <f>IFERROR(N470/N130,0)</f>
        <v>0</v>
      </c>
      <c r="O388" s="2339">
        <f>IFERROR(O470/O130,0)</f>
        <v>0</v>
      </c>
      <c r="P388" s="2337">
        <f>O388-N388</f>
        <v>0</v>
      </c>
      <c r="Q388" s="2339">
        <f>IFERROR(Q470/Q130,0)</f>
        <v>0</v>
      </c>
      <c r="R388" s="2339">
        <f>IFERROR(R470/R130,0)</f>
        <v>0</v>
      </c>
      <c r="S388" s="2337">
        <f>R388-Q388</f>
        <v>0</v>
      </c>
      <c r="T388" s="2340">
        <f>Q388</f>
        <v>0</v>
      </c>
      <c r="U388" s="2339">
        <f>R388</f>
        <v>0</v>
      </c>
      <c r="V388" s="2341">
        <f>U388-T388</f>
        <v>0</v>
      </c>
      <c r="W388" s="2342">
        <f>IFERROR(W470/W130,0)</f>
        <v>0</v>
      </c>
      <c r="X388" s="2339">
        <f>IFERROR(X470/X130,0)</f>
        <v>0</v>
      </c>
      <c r="Y388" s="2343">
        <f>X388-W388</f>
        <v>0</v>
      </c>
      <c r="Z388" s="2344">
        <f>IFERROR(Z470/Z130,0)</f>
        <v>0</v>
      </c>
      <c r="AA388" s="2339">
        <f>IFERROR(AA470/AA130,0)</f>
        <v>0</v>
      </c>
      <c r="AB388" s="2337">
        <f>AA388-Z388</f>
        <v>0</v>
      </c>
      <c r="AC388" s="2339">
        <f>IFERROR(AC470/AC130,0)</f>
        <v>0</v>
      </c>
      <c r="AD388" s="2339">
        <f>IFERROR(AD470/AD130,0)</f>
        <v>0</v>
      </c>
      <c r="AE388" s="2337">
        <f>AD388-AC388</f>
        <v>0</v>
      </c>
      <c r="AF388" s="2281"/>
      <c r="AG388" s="2206"/>
      <c r="AH388" s="2345">
        <f>IFERROR(AH470/AH130,0)</f>
        <v>0</v>
      </c>
      <c r="AI388" s="2345">
        <f>IFERROR(AI470/AI130,0)</f>
        <v>0</v>
      </c>
      <c r="AJ388" s="2346">
        <f>AI388-AH388</f>
        <v>0</v>
      </c>
      <c r="AK388" s="2345">
        <f>IFERROR(AK470/AK130,0)</f>
        <v>0</v>
      </c>
      <c r="AL388" s="2345">
        <f>IFERROR(AL470/AL130,0)</f>
        <v>0</v>
      </c>
      <c r="AM388" s="2346">
        <f>AL388-AK388</f>
        <v>0</v>
      </c>
      <c r="AN388" s="2345">
        <f>IFERROR(AN470/AN130,0)</f>
        <v>0</v>
      </c>
      <c r="AO388" s="2345">
        <f>IFERROR(AO470/AO130,0)</f>
        <v>0</v>
      </c>
      <c r="AP388" s="2346">
        <f>AO388-AN388</f>
        <v>0</v>
      </c>
      <c r="AQ388" s="2345">
        <f>IFERROR(AQ470/AQ130,0)</f>
        <v>0</v>
      </c>
      <c r="AR388" s="2345">
        <f>IFERROR(AR470/AR130,0)</f>
        <v>0</v>
      </c>
      <c r="AS388" s="2346">
        <f>AR388-AQ388</f>
        <v>0</v>
      </c>
      <c r="AT388" s="2345">
        <f>IFERROR(AT470/AT130,0)</f>
        <v>0</v>
      </c>
      <c r="AU388" s="2345">
        <f>IFERROR(AU470/AU130,0)</f>
        <v>0</v>
      </c>
      <c r="AV388" s="2346">
        <f>AU388-AT388</f>
        <v>0</v>
      </c>
      <c r="AW388" s="2345">
        <f>IFERROR(AW470/AW130,0)</f>
        <v>0</v>
      </c>
      <c r="AX388" s="2345">
        <f>IFERROR(AX470/AX130,0)</f>
        <v>0</v>
      </c>
      <c r="AY388" s="2346">
        <f>AX388-AW388</f>
        <v>0</v>
      </c>
      <c r="AZ388" s="2345">
        <f>IFERROR(AZ470/AZ130,0)</f>
        <v>0</v>
      </c>
      <c r="BA388" s="2345">
        <f>IFERROR(BA470/BA130,0)</f>
        <v>0</v>
      </c>
      <c r="BB388" s="2346">
        <f>BA388-AZ388</f>
        <v>0</v>
      </c>
      <c r="BC388" s="2345">
        <f>IFERROR(BC470/BC130,0)</f>
        <v>0</v>
      </c>
      <c r="BD388" s="2345">
        <f>IFERROR(BD470/BD130,0)</f>
        <v>0</v>
      </c>
      <c r="BE388" s="2346">
        <f>BD388-BC388</f>
        <v>0</v>
      </c>
      <c r="BF388" s="2345">
        <f>IFERROR(BF470/BF130,0)</f>
        <v>0</v>
      </c>
      <c r="BG388" s="2345">
        <f>IFERROR(BG470/BG130,0)</f>
        <v>0</v>
      </c>
      <c r="BH388" s="2346">
        <f>BG388-BF388</f>
        <v>0</v>
      </c>
      <c r="BI388" s="2345">
        <f>IFERROR(BI470/BI130,0)</f>
        <v>0</v>
      </c>
      <c r="BJ388" s="2345">
        <f>IFERROR(BJ470/BJ130,0)</f>
        <v>0</v>
      </c>
      <c r="BK388" s="2346">
        <f>BJ388-BI388</f>
        <v>0</v>
      </c>
      <c r="BL388" s="2345">
        <f>IFERROR(BL470/BL130,0)</f>
        <v>0</v>
      </c>
      <c r="BM388" s="2345">
        <f>IFERROR(BM470/BM130,0)</f>
        <v>0</v>
      </c>
      <c r="BN388" s="2346">
        <f>BM388-BL388</f>
        <v>0</v>
      </c>
      <c r="BO388" s="2345">
        <f>IFERROR(BO470/BO130,0)</f>
        <v>0</v>
      </c>
      <c r="BP388" s="2345">
        <f>IFERROR(BP470/BP130,0)</f>
        <v>0</v>
      </c>
      <c r="BQ388" s="2346">
        <f>BP388-BO388</f>
        <v>0</v>
      </c>
    </row>
    <row r="389" spans="3:69" s="2207" customFormat="1" ht="22.5">
      <c r="C389" s="2318" t="s">
        <v>2532</v>
      </c>
      <c r="D389" s="2330" t="s">
        <v>2533</v>
      </c>
      <c r="E389" s="2205" t="s">
        <v>2519</v>
      </c>
      <c r="F389" s="2162"/>
      <c r="G389" s="2163">
        <f>IFERROR(G471/G131,0)</f>
        <v>0</v>
      </c>
      <c r="H389" s="2163">
        <f>IFERROR(H471/H131,0)</f>
        <v>0</v>
      </c>
      <c r="I389" s="2164">
        <f t="shared" si="632"/>
        <v>0</v>
      </c>
      <c r="J389" s="2162"/>
      <c r="K389" s="2259">
        <f>IFERROR(K471/K131,0)</f>
        <v>159.63932896155265</v>
      </c>
      <c r="L389" s="2259">
        <f>IFERROR(L471/L131,0)</f>
        <v>0</v>
      </c>
      <c r="M389" s="2262">
        <f t="shared" si="629"/>
        <v>-159.63932896155265</v>
      </c>
      <c r="N389" s="2218">
        <v>298.77999999999997</v>
      </c>
      <c r="O389" s="2218"/>
      <c r="P389" s="2164">
        <f t="shared" si="594"/>
        <v>-298.77999999999997</v>
      </c>
      <c r="Q389" s="2162">
        <v>298.77999999999997</v>
      </c>
      <c r="R389" s="2218"/>
      <c r="S389" s="2166">
        <f t="shared" si="595"/>
        <v>-298.77999999999997</v>
      </c>
      <c r="T389" s="2258">
        <f t="shared" si="611"/>
        <v>298.77999999999997</v>
      </c>
      <c r="U389" s="2259">
        <f t="shared" si="611"/>
        <v>0</v>
      </c>
      <c r="V389" s="2260">
        <f t="shared" si="612"/>
        <v>-298.77999999999997</v>
      </c>
      <c r="W389" s="2220">
        <v>42.65</v>
      </c>
      <c r="X389" s="2218"/>
      <c r="Y389" s="2169">
        <f t="shared" si="596"/>
        <v>-42.65</v>
      </c>
      <c r="Z389" s="2261">
        <f>IFERROR(Z471/Z131,0)</f>
        <v>217.23693648029348</v>
      </c>
      <c r="AA389" s="2259">
        <f>IFERROR(AA471/AA131,0)</f>
        <v>0</v>
      </c>
      <c r="AB389" s="2262">
        <f t="shared" si="635"/>
        <v>-217.23693648029348</v>
      </c>
      <c r="AC389" s="2162">
        <v>42.65</v>
      </c>
      <c r="AD389" s="2218"/>
      <c r="AE389" s="2166">
        <f t="shared" si="598"/>
        <v>-42.65</v>
      </c>
      <c r="AF389" s="2281"/>
      <c r="AG389" s="2206"/>
      <c r="AH389" s="2218">
        <f>'01'!E18</f>
        <v>0</v>
      </c>
      <c r="AI389" s="2177"/>
      <c r="AJ389" s="2172">
        <f t="shared" ref="AJ389" si="660">AI389-AH389</f>
        <v>0</v>
      </c>
      <c r="AK389" s="2218">
        <v>298.77999999999997</v>
      </c>
      <c r="AL389" s="2218"/>
      <c r="AM389" s="2172">
        <f t="shared" ref="AM389" si="661">AL389-AK389</f>
        <v>-298.77999999999997</v>
      </c>
      <c r="AN389" s="2218">
        <v>298.77999999999997</v>
      </c>
      <c r="AO389" s="2218"/>
      <c r="AP389" s="2172">
        <f t="shared" ref="AP389" si="662">AO389-AN389</f>
        <v>-298.77999999999997</v>
      </c>
      <c r="AQ389" s="2218">
        <v>298.77999999999997</v>
      </c>
      <c r="AR389" s="2218"/>
      <c r="AS389" s="2172">
        <f t="shared" ref="AS389" si="663">AR389-AQ389</f>
        <v>-298.77999999999997</v>
      </c>
      <c r="AT389" s="2218">
        <v>298.77999999999997</v>
      </c>
      <c r="AU389" s="2218"/>
      <c r="AV389" s="2172">
        <f t="shared" ref="AV389" si="664">AU389-AT389</f>
        <v>-298.77999999999997</v>
      </c>
      <c r="AW389" s="2218">
        <v>298.77999999999997</v>
      </c>
      <c r="AX389" s="2218"/>
      <c r="AY389" s="2172">
        <f t="shared" ref="AY389" si="665">AX389-AW389</f>
        <v>-298.77999999999997</v>
      </c>
      <c r="AZ389" s="2218">
        <v>42.65</v>
      </c>
      <c r="BA389" s="2218"/>
      <c r="BB389" s="2172">
        <f t="shared" ref="BB389" si="666">BA389-AZ389</f>
        <v>-42.65</v>
      </c>
      <c r="BC389" s="2218">
        <v>42.65</v>
      </c>
      <c r="BD389" s="2218"/>
      <c r="BE389" s="2172">
        <f t="shared" ref="BE389" si="667">BD389-BC389</f>
        <v>-42.65</v>
      </c>
      <c r="BF389" s="2218">
        <v>42.65</v>
      </c>
      <c r="BG389" s="2218"/>
      <c r="BH389" s="2172">
        <f t="shared" ref="BH389" si="668">BG389-BF389</f>
        <v>-42.65</v>
      </c>
      <c r="BI389" s="2218">
        <v>42.65</v>
      </c>
      <c r="BJ389" s="2218"/>
      <c r="BK389" s="2172">
        <f t="shared" ref="BK389" si="669">BJ389-BI389</f>
        <v>-42.65</v>
      </c>
      <c r="BL389" s="2218">
        <v>42.65</v>
      </c>
      <c r="BM389" s="2218"/>
      <c r="BN389" s="2172">
        <f t="shared" ref="BN389" si="670">BM389-BL389</f>
        <v>-42.65</v>
      </c>
      <c r="BO389" s="2218">
        <v>42.65</v>
      </c>
      <c r="BP389" s="2218"/>
      <c r="BQ389" s="2172">
        <f t="shared" ref="BQ389" si="671">BP389-BO389</f>
        <v>-42.65</v>
      </c>
    </row>
    <row r="390" spans="3:69" s="2207" customFormat="1">
      <c r="C390" s="2331" t="s">
        <v>2534</v>
      </c>
      <c r="D390" s="2286" t="s">
        <v>2229</v>
      </c>
      <c r="E390" s="2347" t="s">
        <v>2519</v>
      </c>
      <c r="F390" s="2176"/>
      <c r="G390" s="2336">
        <f>IFERROR(G476/G136,0)</f>
        <v>0</v>
      </c>
      <c r="H390" s="2336">
        <f>IFERROR(H476/H136,0)</f>
        <v>0</v>
      </c>
      <c r="I390" s="2337">
        <f>H390-G390</f>
        <v>0</v>
      </c>
      <c r="J390" s="2338"/>
      <c r="K390" s="2339">
        <f>IFERROR(K476/K136,0)</f>
        <v>0</v>
      </c>
      <c r="L390" s="2339">
        <f>IFERROR(L476/L136,0)</f>
        <v>0</v>
      </c>
      <c r="M390" s="2337">
        <f t="shared" si="629"/>
        <v>0</v>
      </c>
      <c r="N390" s="2339">
        <f>IFERROR(N476/N136,0)</f>
        <v>0</v>
      </c>
      <c r="O390" s="2339">
        <f>IFERROR(O476/O136,0)</f>
        <v>0</v>
      </c>
      <c r="P390" s="2337">
        <f>O390-N390</f>
        <v>0</v>
      </c>
      <c r="Q390" s="2339">
        <f>IFERROR(Q476/Q136,0)</f>
        <v>0</v>
      </c>
      <c r="R390" s="2339">
        <f>IFERROR(R476/R136,0)</f>
        <v>0</v>
      </c>
      <c r="S390" s="2337">
        <f>R390-Q390</f>
        <v>0</v>
      </c>
      <c r="T390" s="2340">
        <f>Q390</f>
        <v>0</v>
      </c>
      <c r="U390" s="2339">
        <f>R390</f>
        <v>0</v>
      </c>
      <c r="V390" s="2341">
        <f>U390-T390</f>
        <v>0</v>
      </c>
      <c r="W390" s="2342">
        <f>IFERROR(W476/W136,0)</f>
        <v>0</v>
      </c>
      <c r="X390" s="2339">
        <f>IFERROR(X476/X136,0)</f>
        <v>0</v>
      </c>
      <c r="Y390" s="2343">
        <f>X390-W390</f>
        <v>0</v>
      </c>
      <c r="Z390" s="2344">
        <f>IFERROR(Z476/Z136,0)</f>
        <v>0</v>
      </c>
      <c r="AA390" s="2339">
        <f>IFERROR(AA476/AA136,0)</f>
        <v>0</v>
      </c>
      <c r="AB390" s="2337">
        <f>AA390-Z390</f>
        <v>0</v>
      </c>
      <c r="AC390" s="2339">
        <f>IFERROR(AC476/AC136,0)</f>
        <v>0</v>
      </c>
      <c r="AD390" s="2339">
        <f>IFERROR(AD476/AD136,0)</f>
        <v>0</v>
      </c>
      <c r="AE390" s="2337">
        <f>AD390-AC390</f>
        <v>0</v>
      </c>
      <c r="AF390" s="2281"/>
      <c r="AG390" s="2206"/>
      <c r="AH390" s="2345">
        <f>IFERROR(AH476/AH136,0)</f>
        <v>0</v>
      </c>
      <c r="AI390" s="2345">
        <f>IFERROR(AI476/AI136,0)</f>
        <v>0</v>
      </c>
      <c r="AJ390" s="2346">
        <f>AI390-AH390</f>
        <v>0</v>
      </c>
      <c r="AK390" s="2345">
        <f>IFERROR(AK476/AK136,0)</f>
        <v>0</v>
      </c>
      <c r="AL390" s="2345">
        <f>IFERROR(AL476/AL136,0)</f>
        <v>0</v>
      </c>
      <c r="AM390" s="2346">
        <f>AL390-AK390</f>
        <v>0</v>
      </c>
      <c r="AN390" s="2345">
        <f>IFERROR(AN476/AN136,0)</f>
        <v>0</v>
      </c>
      <c r="AO390" s="2345">
        <f>IFERROR(AO476/AO136,0)</f>
        <v>0</v>
      </c>
      <c r="AP390" s="2346">
        <f>AO390-AN390</f>
        <v>0</v>
      </c>
      <c r="AQ390" s="2345">
        <f>IFERROR(AQ476/AQ136,0)</f>
        <v>0</v>
      </c>
      <c r="AR390" s="2345">
        <f>IFERROR(AR476/AR136,0)</f>
        <v>0</v>
      </c>
      <c r="AS390" s="2346">
        <f>AR390-AQ390</f>
        <v>0</v>
      </c>
      <c r="AT390" s="2345">
        <f>IFERROR(AT476/AT136,0)</f>
        <v>0</v>
      </c>
      <c r="AU390" s="2345">
        <f>IFERROR(AU476/AU136,0)</f>
        <v>0</v>
      </c>
      <c r="AV390" s="2346">
        <f>AU390-AT390</f>
        <v>0</v>
      </c>
      <c r="AW390" s="2345">
        <f>IFERROR(AW476/AW136,0)</f>
        <v>0</v>
      </c>
      <c r="AX390" s="2345">
        <f>IFERROR(AX476/AX136,0)</f>
        <v>0</v>
      </c>
      <c r="AY390" s="2346">
        <f>AX390-AW390</f>
        <v>0</v>
      </c>
      <c r="AZ390" s="2345">
        <f>IFERROR(AZ476/AZ136,0)</f>
        <v>0</v>
      </c>
      <c r="BA390" s="2345">
        <f>IFERROR(BA476/BA136,0)</f>
        <v>0</v>
      </c>
      <c r="BB390" s="2346">
        <f>BA390-AZ390</f>
        <v>0</v>
      </c>
      <c r="BC390" s="2345">
        <f>IFERROR(BC476/BC136,0)</f>
        <v>0</v>
      </c>
      <c r="BD390" s="2345">
        <f>IFERROR(BD476/BD136,0)</f>
        <v>0</v>
      </c>
      <c r="BE390" s="2346">
        <f>BD390-BC390</f>
        <v>0</v>
      </c>
      <c r="BF390" s="2345">
        <f>IFERROR(BF476/BF136,0)</f>
        <v>0</v>
      </c>
      <c r="BG390" s="2345">
        <f>IFERROR(BG476/BG136,0)</f>
        <v>0</v>
      </c>
      <c r="BH390" s="2346">
        <f>BG390-BF390</f>
        <v>0</v>
      </c>
      <c r="BI390" s="2345">
        <f>IFERROR(BI476/BI136,0)</f>
        <v>0</v>
      </c>
      <c r="BJ390" s="2345">
        <f>IFERROR(BJ476/BJ136,0)</f>
        <v>0</v>
      </c>
      <c r="BK390" s="2346">
        <f>BJ390-BI390</f>
        <v>0</v>
      </c>
      <c r="BL390" s="2345">
        <f>IFERROR(BL476/BL136,0)</f>
        <v>0</v>
      </c>
      <c r="BM390" s="2345">
        <f>IFERROR(BM476/BM136,0)</f>
        <v>0</v>
      </c>
      <c r="BN390" s="2346">
        <f>BM390-BL390</f>
        <v>0</v>
      </c>
      <c r="BO390" s="2345">
        <f>IFERROR(BO476/BO136,0)</f>
        <v>0</v>
      </c>
      <c r="BP390" s="2345">
        <f>IFERROR(BP476/BP136,0)</f>
        <v>0</v>
      </c>
      <c r="BQ390" s="2346">
        <f>BP390-BO390</f>
        <v>0</v>
      </c>
    </row>
    <row r="391" spans="3:69" s="2159" customFormat="1" hidden="1">
      <c r="C391" s="2318" t="s">
        <v>2535</v>
      </c>
      <c r="D391" s="2202" t="s">
        <v>2536</v>
      </c>
      <c r="E391" s="2319"/>
      <c r="F391" s="2320"/>
      <c r="G391" s="2171"/>
      <c r="H391" s="2171"/>
      <c r="I391" s="2172"/>
      <c r="J391" s="2320"/>
      <c r="K391" s="2321"/>
      <c r="L391" s="2321"/>
      <c r="M391" s="2322"/>
      <c r="N391" s="2171"/>
      <c r="O391" s="2171"/>
      <c r="P391" s="2172"/>
      <c r="Q391" s="2320"/>
      <c r="R391" s="2171"/>
      <c r="S391" s="2323"/>
      <c r="T391" s="2324"/>
      <c r="U391" s="2321"/>
      <c r="V391" s="2325"/>
      <c r="W391" s="2326"/>
      <c r="X391" s="2171"/>
      <c r="Y391" s="2327"/>
      <c r="Z391" s="2328"/>
      <c r="AA391" s="2321"/>
      <c r="AB391" s="2322"/>
      <c r="AC391" s="2320"/>
      <c r="AD391" s="2171"/>
      <c r="AE391" s="2323"/>
      <c r="AF391" s="2281"/>
      <c r="AG391" s="2158"/>
      <c r="AH391" s="2171"/>
      <c r="AI391" s="2171"/>
      <c r="AJ391" s="2172"/>
      <c r="AK391" s="2171"/>
      <c r="AL391" s="2171"/>
      <c r="AM391" s="2172"/>
      <c r="AN391" s="2171"/>
      <c r="AO391" s="2171"/>
      <c r="AP391" s="2172"/>
      <c r="AQ391" s="2171"/>
      <c r="AR391" s="2171"/>
      <c r="AS391" s="2172"/>
      <c r="AT391" s="2171"/>
      <c r="AU391" s="2171"/>
      <c r="AV391" s="2172"/>
      <c r="AW391" s="2171"/>
      <c r="AX391" s="2171"/>
      <c r="AY391" s="2172"/>
      <c r="AZ391" s="2171"/>
      <c r="BA391" s="2171"/>
      <c r="BB391" s="2172"/>
      <c r="BC391" s="2171"/>
      <c r="BD391" s="2171"/>
      <c r="BE391" s="2172"/>
      <c r="BF391" s="2171"/>
      <c r="BG391" s="2171"/>
      <c r="BH391" s="2172"/>
      <c r="BI391" s="2171"/>
      <c r="BJ391" s="2171"/>
      <c r="BK391" s="2172"/>
      <c r="BL391" s="2171"/>
      <c r="BM391" s="2171"/>
      <c r="BN391" s="2172"/>
      <c r="BO391" s="2171"/>
      <c r="BP391" s="2171"/>
      <c r="BQ391" s="2172"/>
    </row>
    <row r="392" spans="3:69" s="2087" customFormat="1" hidden="1">
      <c r="C392" s="2173" t="s">
        <v>2537</v>
      </c>
      <c r="D392" s="2311" t="str">
        <f>D310</f>
        <v>Контрагент 1</v>
      </c>
      <c r="E392" s="2264"/>
      <c r="F392" s="2265"/>
      <c r="G392" s="2188"/>
      <c r="H392" s="2188"/>
      <c r="I392" s="2186"/>
      <c r="J392" s="2265"/>
      <c r="K392" s="2268"/>
      <c r="L392" s="2268"/>
      <c r="M392" s="2273"/>
      <c r="N392" s="2188"/>
      <c r="O392" s="2188"/>
      <c r="P392" s="2186"/>
      <c r="Q392" s="2265"/>
      <c r="R392" s="2188"/>
      <c r="S392" s="2266"/>
      <c r="T392" s="2251">
        <f>Q392</f>
        <v>0</v>
      </c>
      <c r="U392" s="2252">
        <f>R392</f>
        <v>0</v>
      </c>
      <c r="V392" s="2253">
        <f>U392-T392</f>
        <v>0</v>
      </c>
      <c r="W392" s="2270"/>
      <c r="X392" s="2188"/>
      <c r="Y392" s="2271"/>
      <c r="Z392" s="2272"/>
      <c r="AA392" s="2268"/>
      <c r="AB392" s="2273"/>
      <c r="AC392" s="2265"/>
      <c r="AD392" s="2188"/>
      <c r="AE392" s="2266"/>
      <c r="AF392" s="2281"/>
      <c r="AG392" s="2114"/>
      <c r="AH392" s="2188"/>
      <c r="AI392" s="2188"/>
      <c r="AJ392" s="2186"/>
      <c r="AK392" s="2188"/>
      <c r="AL392" s="2188"/>
      <c r="AM392" s="2186"/>
      <c r="AN392" s="2188"/>
      <c r="AO392" s="2188"/>
      <c r="AP392" s="2186"/>
      <c r="AQ392" s="2188"/>
      <c r="AR392" s="2188"/>
      <c r="AS392" s="2186"/>
      <c r="AT392" s="2188"/>
      <c r="AU392" s="2188"/>
      <c r="AV392" s="2186"/>
      <c r="AW392" s="2188"/>
      <c r="AX392" s="2188"/>
      <c r="AY392" s="2186"/>
      <c r="AZ392" s="2188"/>
      <c r="BA392" s="2188"/>
      <c r="BB392" s="2186"/>
      <c r="BC392" s="2188"/>
      <c r="BD392" s="2188"/>
      <c r="BE392" s="2186"/>
      <c r="BF392" s="2188"/>
      <c r="BG392" s="2188"/>
      <c r="BH392" s="2186"/>
      <c r="BI392" s="2188"/>
      <c r="BJ392" s="2188"/>
      <c r="BK392" s="2186"/>
      <c r="BL392" s="2188"/>
      <c r="BM392" s="2188"/>
      <c r="BN392" s="2186"/>
      <c r="BO392" s="2188"/>
      <c r="BP392" s="2188"/>
      <c r="BQ392" s="2186"/>
    </row>
    <row r="393" spans="3:69" s="2087" customFormat="1" hidden="1">
      <c r="C393" s="2173" t="s">
        <v>2538</v>
      </c>
      <c r="D393" s="2348" t="s">
        <v>2539</v>
      </c>
      <c r="E393" s="2349" t="s">
        <v>2511</v>
      </c>
      <c r="F393" s="2176"/>
      <c r="G393" s="2252">
        <f>IFERROR(G652/G312/12*1000,0)</f>
        <v>0</v>
      </c>
      <c r="H393" s="2252">
        <f>IFERROR(H652/H312/12*1000,0)</f>
        <v>0</v>
      </c>
      <c r="I393" s="2178">
        <f>H393-G393</f>
        <v>0</v>
      </c>
      <c r="J393" s="2176"/>
      <c r="K393" s="2252">
        <f>IFERROR(K652/K312/12*1000,0)</f>
        <v>0</v>
      </c>
      <c r="L393" s="2252">
        <f>IFERROR(L652/L312/12*1000,0)</f>
        <v>0</v>
      </c>
      <c r="M393" s="2255">
        <f>L393-K393</f>
        <v>0</v>
      </c>
      <c r="N393" s="2177"/>
      <c r="O393" s="2177"/>
      <c r="P393" s="2178">
        <f>O393-N393</f>
        <v>0</v>
      </c>
      <c r="Q393" s="2176"/>
      <c r="R393" s="2177"/>
      <c r="S393" s="2180">
        <f>R393-Q393</f>
        <v>0</v>
      </c>
      <c r="T393" s="2251">
        <f>Q393</f>
        <v>0</v>
      </c>
      <c r="U393" s="2252">
        <f t="shared" ref="U393:U425" si="672">R393</f>
        <v>0</v>
      </c>
      <c r="V393" s="2253">
        <f t="shared" ref="V393:V426" si="673">U393-T393</f>
        <v>0</v>
      </c>
      <c r="W393" s="2182"/>
      <c r="X393" s="2176"/>
      <c r="Y393" s="2183">
        <f>X393-W393</f>
        <v>0</v>
      </c>
      <c r="Z393" s="2254">
        <f>IFERROR(Z652/Z312/9*1000,0)</f>
        <v>0</v>
      </c>
      <c r="AA393" s="2252">
        <f>IFERROR(AA652/AA312/9*1000,0)</f>
        <v>0</v>
      </c>
      <c r="AB393" s="2255">
        <f>AA393-Z393</f>
        <v>0</v>
      </c>
      <c r="AC393" s="2176"/>
      <c r="AD393" s="2177"/>
      <c r="AE393" s="2180">
        <f>AD393-AC393</f>
        <v>0</v>
      </c>
      <c r="AF393" s="2281"/>
      <c r="AG393" s="2114"/>
      <c r="AH393" s="2177"/>
      <c r="AI393" s="2177"/>
      <c r="AJ393" s="2186">
        <f>AI393-AH393</f>
        <v>0</v>
      </c>
      <c r="AK393" s="2177"/>
      <c r="AL393" s="2177"/>
      <c r="AM393" s="2186">
        <f>AL393-AK393</f>
        <v>0</v>
      </c>
      <c r="AN393" s="2177"/>
      <c r="AO393" s="2177"/>
      <c r="AP393" s="2186">
        <f>AO393-AN393</f>
        <v>0</v>
      </c>
      <c r="AQ393" s="2177"/>
      <c r="AR393" s="2177"/>
      <c r="AS393" s="2186">
        <f>AR393-AQ393</f>
        <v>0</v>
      </c>
      <c r="AT393" s="2177"/>
      <c r="AU393" s="2177"/>
      <c r="AV393" s="2186">
        <f>AU393-AT393</f>
        <v>0</v>
      </c>
      <c r="AW393" s="2177"/>
      <c r="AX393" s="2177"/>
      <c r="AY393" s="2186">
        <f>AX393-AW393</f>
        <v>0</v>
      </c>
      <c r="AZ393" s="2177"/>
      <c r="BA393" s="2177"/>
      <c r="BB393" s="2186">
        <f>BA393-AZ393</f>
        <v>0</v>
      </c>
      <c r="BC393" s="2177"/>
      <c r="BD393" s="2177"/>
      <c r="BE393" s="2186">
        <f>BD393-BC393</f>
        <v>0</v>
      </c>
      <c r="BF393" s="2177"/>
      <c r="BG393" s="2177"/>
      <c r="BH393" s="2186">
        <f>BG393-BF393</f>
        <v>0</v>
      </c>
      <c r="BI393" s="2177"/>
      <c r="BJ393" s="2177"/>
      <c r="BK393" s="2186">
        <f>BJ393-BI393</f>
        <v>0</v>
      </c>
      <c r="BL393" s="2177"/>
      <c r="BM393" s="2177"/>
      <c r="BN393" s="2186">
        <f>BM393-BL393</f>
        <v>0</v>
      </c>
      <c r="BO393" s="2177"/>
      <c r="BP393" s="2177"/>
      <c r="BQ393" s="2186">
        <f>BP393-BO393</f>
        <v>0</v>
      </c>
    </row>
    <row r="394" spans="3:69" s="2087" customFormat="1" hidden="1">
      <c r="C394" s="2285" t="s">
        <v>2540</v>
      </c>
      <c r="D394" s="2286" t="s">
        <v>2229</v>
      </c>
      <c r="E394" s="2335" t="s">
        <v>2511</v>
      </c>
      <c r="F394" s="2176"/>
      <c r="G394" s="2336">
        <f>IFERROR(G653/G313/12*1000,0)</f>
        <v>0</v>
      </c>
      <c r="H394" s="2336">
        <f>IFERROR(H653/H313/12*1000,0)</f>
        <v>0</v>
      </c>
      <c r="I394" s="2337">
        <f t="shared" ref="I394:I398" si="674">H394-G394</f>
        <v>0</v>
      </c>
      <c r="J394" s="2338"/>
      <c r="K394" s="2339">
        <f>IFERROR(K653/K313/12*1000,0)</f>
        <v>0</v>
      </c>
      <c r="L394" s="2339">
        <f>IFERROR(L653/L313/12*1000,0)</f>
        <v>0</v>
      </c>
      <c r="M394" s="2337">
        <f t="shared" ref="M394:M398" si="675">L394-K394</f>
        <v>0</v>
      </c>
      <c r="N394" s="2339">
        <f>IFERROR(N653/N313/3*1000,0)</f>
        <v>0</v>
      </c>
      <c r="O394" s="2339">
        <f>IFERROR(O653/O313/3*1000,0)</f>
        <v>0</v>
      </c>
      <c r="P394" s="2337">
        <f>O394-N394</f>
        <v>0</v>
      </c>
      <c r="Q394" s="2339">
        <f>IFERROR(Q653/Q313/3*1000,0)</f>
        <v>0</v>
      </c>
      <c r="R394" s="2339">
        <f>IFERROR(R653/R313/3*1000,0)</f>
        <v>0</v>
      </c>
      <c r="S394" s="2337">
        <f>R394-Q394</f>
        <v>0</v>
      </c>
      <c r="T394" s="2340">
        <f>Q394</f>
        <v>0</v>
      </c>
      <c r="U394" s="2339">
        <f>R394</f>
        <v>0</v>
      </c>
      <c r="V394" s="2341">
        <f>U394-T394</f>
        <v>0</v>
      </c>
      <c r="W394" s="2342">
        <f>IFERROR(W653/W313/3*1000,0)</f>
        <v>0</v>
      </c>
      <c r="X394" s="2339">
        <f>IFERROR(X653/X313/3*1000,0)</f>
        <v>0</v>
      </c>
      <c r="Y394" s="2343">
        <f>X394-W394</f>
        <v>0</v>
      </c>
      <c r="Z394" s="2344">
        <f>IFERROR(Z653/Z313/9*1000,0)</f>
        <v>0</v>
      </c>
      <c r="AA394" s="2339">
        <f>IFERROR(AA653/AA313/9*1000,0)</f>
        <v>0</v>
      </c>
      <c r="AB394" s="2337">
        <f t="shared" ref="AB394:AB398" si="676">AA394-Z394</f>
        <v>0</v>
      </c>
      <c r="AC394" s="2339">
        <f>IFERROR(AC653/AC313/3*1000,0)</f>
        <v>0</v>
      </c>
      <c r="AD394" s="2339">
        <f>IFERROR(AD653/AD313/3*1000,0)</f>
        <v>0</v>
      </c>
      <c r="AE394" s="2337">
        <f>AD394-AC394</f>
        <v>0</v>
      </c>
      <c r="AF394" s="2281"/>
      <c r="AG394" s="2114"/>
      <c r="AH394" s="2345">
        <f>IFERROR(AH653/AH313/3*1000,0)</f>
        <v>0</v>
      </c>
      <c r="AI394" s="2345">
        <f>IFERROR(AI653/AI313/3*1000,0)</f>
        <v>0</v>
      </c>
      <c r="AJ394" s="2346">
        <f>AI394-AH394</f>
        <v>0</v>
      </c>
      <c r="AK394" s="2345">
        <f>IFERROR(AK653/AK313/3*1000,0)</f>
        <v>0</v>
      </c>
      <c r="AL394" s="2345">
        <f>IFERROR(AL653/AL313/3*1000,0)</f>
        <v>0</v>
      </c>
      <c r="AM394" s="2346">
        <f>AL394-AK394</f>
        <v>0</v>
      </c>
      <c r="AN394" s="2345">
        <f>IFERROR(AN653/AN313/3*1000,0)</f>
        <v>0</v>
      </c>
      <c r="AO394" s="2345">
        <f>IFERROR(AO653/AO313/3*1000,0)</f>
        <v>0</v>
      </c>
      <c r="AP394" s="2346">
        <f>AO394-AN394</f>
        <v>0</v>
      </c>
      <c r="AQ394" s="2345">
        <f>IFERROR(AQ653/AQ313/3*1000,0)</f>
        <v>0</v>
      </c>
      <c r="AR394" s="2345">
        <f>IFERROR(AR653/AR313/3*1000,0)</f>
        <v>0</v>
      </c>
      <c r="AS394" s="2346">
        <f>AR394-AQ394</f>
        <v>0</v>
      </c>
      <c r="AT394" s="2345">
        <f>IFERROR(AT653/AT313/3*1000,0)</f>
        <v>0</v>
      </c>
      <c r="AU394" s="2345">
        <f>IFERROR(AU653/AU313/3*1000,0)</f>
        <v>0</v>
      </c>
      <c r="AV394" s="2346">
        <f>AU394-AT394</f>
        <v>0</v>
      </c>
      <c r="AW394" s="2345">
        <f>IFERROR(AW653/AW313/3*1000,0)</f>
        <v>0</v>
      </c>
      <c r="AX394" s="2345">
        <f>IFERROR(AX653/AX313/3*1000,0)</f>
        <v>0</v>
      </c>
      <c r="AY394" s="2346">
        <f>AX394-AW394</f>
        <v>0</v>
      </c>
      <c r="AZ394" s="2345">
        <f>IFERROR(AZ653/AZ313/3*1000,0)</f>
        <v>0</v>
      </c>
      <c r="BA394" s="2345">
        <f>IFERROR(BA653/BA313/3*1000,0)</f>
        <v>0</v>
      </c>
      <c r="BB394" s="2346">
        <f>BA394-AZ394</f>
        <v>0</v>
      </c>
      <c r="BC394" s="2345">
        <f>IFERROR(BC653/BC313/3*1000,0)</f>
        <v>0</v>
      </c>
      <c r="BD394" s="2345">
        <f>IFERROR(BD653/BD313/3*1000,0)</f>
        <v>0</v>
      </c>
      <c r="BE394" s="2346">
        <f>BD394-BC394</f>
        <v>0</v>
      </c>
      <c r="BF394" s="2345">
        <f>IFERROR(BF653/BF313/3*1000,0)</f>
        <v>0</v>
      </c>
      <c r="BG394" s="2345">
        <f>IFERROR(BG653/BG313/3*1000,0)</f>
        <v>0</v>
      </c>
      <c r="BH394" s="2346">
        <f>BG394-BF394</f>
        <v>0</v>
      </c>
      <c r="BI394" s="2345">
        <f>IFERROR(BI653/BI313/3*1000,0)</f>
        <v>0</v>
      </c>
      <c r="BJ394" s="2345">
        <f>IFERROR(BJ653/BJ313/3*1000,0)</f>
        <v>0</v>
      </c>
      <c r="BK394" s="2346">
        <f>BJ394-BI394</f>
        <v>0</v>
      </c>
      <c r="BL394" s="2345">
        <f>IFERROR(BL653/BL313/3*1000,0)</f>
        <v>0</v>
      </c>
      <c r="BM394" s="2345">
        <f>IFERROR(BM653/BM313/3*1000,0)</f>
        <v>0</v>
      </c>
      <c r="BN394" s="2346">
        <f>BM394-BL394</f>
        <v>0</v>
      </c>
      <c r="BO394" s="2345">
        <f>IFERROR(BO653/BO313/3*1000,0)</f>
        <v>0</v>
      </c>
      <c r="BP394" s="2345">
        <f>IFERROR(BP653/BP313/3*1000,0)</f>
        <v>0</v>
      </c>
      <c r="BQ394" s="2346">
        <f>BP394-BO394</f>
        <v>0</v>
      </c>
    </row>
    <row r="395" spans="3:69" s="2087" customFormat="1" hidden="1">
      <c r="C395" s="2285" t="s">
        <v>2541</v>
      </c>
      <c r="D395" s="2350" t="s">
        <v>2542</v>
      </c>
      <c r="E395" s="2351" t="s">
        <v>2519</v>
      </c>
      <c r="F395" s="2176"/>
      <c r="G395" s="2252">
        <f>IFERROR(G654/G314,0)</f>
        <v>0</v>
      </c>
      <c r="H395" s="2252">
        <f>IFERROR(H654/H314,0)</f>
        <v>0</v>
      </c>
      <c r="I395" s="2178">
        <f t="shared" si="674"/>
        <v>0</v>
      </c>
      <c r="J395" s="2176"/>
      <c r="K395" s="2252">
        <f>IFERROR(K654/K314,0)</f>
        <v>0</v>
      </c>
      <c r="L395" s="2252">
        <f>IFERROR(L654/L314,0)</f>
        <v>0</v>
      </c>
      <c r="M395" s="2255">
        <f t="shared" si="675"/>
        <v>0</v>
      </c>
      <c r="N395" s="2177"/>
      <c r="O395" s="2177"/>
      <c r="P395" s="2178">
        <f t="shared" ref="P395:P426" si="677">O395-N395</f>
        <v>0</v>
      </c>
      <c r="Q395" s="2176"/>
      <c r="R395" s="2177"/>
      <c r="S395" s="2180">
        <f t="shared" ref="S395:S419" si="678">R395-Q395</f>
        <v>0</v>
      </c>
      <c r="T395" s="2251">
        <f t="shared" ref="T395:T426" si="679">Q395</f>
        <v>0</v>
      </c>
      <c r="U395" s="2252">
        <f t="shared" si="672"/>
        <v>0</v>
      </c>
      <c r="V395" s="2253">
        <f t="shared" si="673"/>
        <v>0</v>
      </c>
      <c r="W395" s="2182"/>
      <c r="X395" s="2176"/>
      <c r="Y395" s="2183">
        <f t="shared" ref="Y395:Y419" si="680">X395-W395</f>
        <v>0</v>
      </c>
      <c r="Z395" s="2254">
        <f>IFERROR(Z654/Z314,0)</f>
        <v>0</v>
      </c>
      <c r="AA395" s="2252">
        <f>IFERROR(AA654/AA314,0)</f>
        <v>0</v>
      </c>
      <c r="AB395" s="2255">
        <f t="shared" si="676"/>
        <v>0</v>
      </c>
      <c r="AC395" s="2176"/>
      <c r="AD395" s="2177"/>
      <c r="AE395" s="2180">
        <f t="shared" ref="AE395:AE419" si="681">AD395-AC395</f>
        <v>0</v>
      </c>
      <c r="AF395" s="2281"/>
      <c r="AG395" s="2114"/>
      <c r="AH395" s="2177"/>
      <c r="AI395" s="2177"/>
      <c r="AJ395" s="2186">
        <f t="shared" ref="AJ395" si="682">AI395-AH395</f>
        <v>0</v>
      </c>
      <c r="AK395" s="2177"/>
      <c r="AL395" s="2177"/>
      <c r="AM395" s="2186">
        <f t="shared" ref="AM395" si="683">AL395-AK395</f>
        <v>0</v>
      </c>
      <c r="AN395" s="2177"/>
      <c r="AO395" s="2177"/>
      <c r="AP395" s="2186">
        <f t="shared" ref="AP395" si="684">AO395-AN395</f>
        <v>0</v>
      </c>
      <c r="AQ395" s="2177"/>
      <c r="AR395" s="2177"/>
      <c r="AS395" s="2186">
        <f t="shared" ref="AS395" si="685">AR395-AQ395</f>
        <v>0</v>
      </c>
      <c r="AT395" s="2177"/>
      <c r="AU395" s="2177"/>
      <c r="AV395" s="2186">
        <f t="shared" ref="AV395" si="686">AU395-AT395</f>
        <v>0</v>
      </c>
      <c r="AW395" s="2177"/>
      <c r="AX395" s="2177"/>
      <c r="AY395" s="2186">
        <f t="shared" ref="AY395" si="687">AX395-AW395</f>
        <v>0</v>
      </c>
      <c r="AZ395" s="2177"/>
      <c r="BA395" s="2177"/>
      <c r="BB395" s="2186">
        <f t="shared" ref="BB395" si="688">BA395-AZ395</f>
        <v>0</v>
      </c>
      <c r="BC395" s="2177"/>
      <c r="BD395" s="2177"/>
      <c r="BE395" s="2186">
        <f t="shared" ref="BE395" si="689">BD395-BC395</f>
        <v>0</v>
      </c>
      <c r="BF395" s="2177"/>
      <c r="BG395" s="2177"/>
      <c r="BH395" s="2186">
        <f t="shared" ref="BH395" si="690">BG395-BF395</f>
        <v>0</v>
      </c>
      <c r="BI395" s="2177"/>
      <c r="BJ395" s="2177"/>
      <c r="BK395" s="2186">
        <f t="shared" ref="BK395" si="691">BJ395-BI395</f>
        <v>0</v>
      </c>
      <c r="BL395" s="2177"/>
      <c r="BM395" s="2177"/>
      <c r="BN395" s="2186">
        <f t="shared" ref="BN395" si="692">BM395-BL395</f>
        <v>0</v>
      </c>
      <c r="BO395" s="2177"/>
      <c r="BP395" s="2177"/>
      <c r="BQ395" s="2186">
        <f t="shared" ref="BQ395" si="693">BP395-BO395</f>
        <v>0</v>
      </c>
    </row>
    <row r="396" spans="3:69" s="2087" customFormat="1" hidden="1">
      <c r="C396" s="2285" t="s">
        <v>2543</v>
      </c>
      <c r="D396" s="2286" t="s">
        <v>2229</v>
      </c>
      <c r="E396" s="2347" t="s">
        <v>2519</v>
      </c>
      <c r="F396" s="2176"/>
      <c r="G396" s="2336">
        <f t="shared" ref="G396:H396" si="694">IFERROR(G655/G315,0)</f>
        <v>0</v>
      </c>
      <c r="H396" s="2336">
        <f t="shared" si="694"/>
        <v>0</v>
      </c>
      <c r="I396" s="2337">
        <f t="shared" si="674"/>
        <v>0</v>
      </c>
      <c r="J396" s="2338"/>
      <c r="K396" s="2339">
        <f t="shared" ref="K396:L396" si="695">IFERROR(K655/K315,0)</f>
        <v>0</v>
      </c>
      <c r="L396" s="2339">
        <f t="shared" si="695"/>
        <v>0</v>
      </c>
      <c r="M396" s="2337">
        <f t="shared" si="675"/>
        <v>0</v>
      </c>
      <c r="N396" s="2339">
        <f>IFERROR(N655/N315,0)</f>
        <v>0</v>
      </c>
      <c r="O396" s="2339">
        <f>IFERROR(O655/O315,0)</f>
        <v>0</v>
      </c>
      <c r="P396" s="2337">
        <f>O396-N396</f>
        <v>0</v>
      </c>
      <c r="Q396" s="2339">
        <f>IFERROR(Q655/Q315,0)</f>
        <v>0</v>
      </c>
      <c r="R396" s="2339">
        <f>IFERROR(R655/R315,0)</f>
        <v>0</v>
      </c>
      <c r="S396" s="2337">
        <f>R396-Q396</f>
        <v>0</v>
      </c>
      <c r="T396" s="2340">
        <f>Q396</f>
        <v>0</v>
      </c>
      <c r="U396" s="2339">
        <f>R396</f>
        <v>0</v>
      </c>
      <c r="V396" s="2341">
        <f>U396-T396</f>
        <v>0</v>
      </c>
      <c r="W396" s="2342">
        <f>IFERROR(W655/W315,0)</f>
        <v>0</v>
      </c>
      <c r="X396" s="2339">
        <f>IFERROR(X655/X315,0)</f>
        <v>0</v>
      </c>
      <c r="Y396" s="2343">
        <f>X396-W396</f>
        <v>0</v>
      </c>
      <c r="Z396" s="2344">
        <f t="shared" ref="Z396:AA396" si="696">IFERROR(Z655/Z315,0)</f>
        <v>0</v>
      </c>
      <c r="AA396" s="2339">
        <f t="shared" si="696"/>
        <v>0</v>
      </c>
      <c r="AB396" s="2337">
        <f t="shared" si="676"/>
        <v>0</v>
      </c>
      <c r="AC396" s="2339">
        <f>IFERROR(AC655/AC315,0)</f>
        <v>0</v>
      </c>
      <c r="AD396" s="2339">
        <f>IFERROR(AD655/AD315,0)</f>
        <v>0</v>
      </c>
      <c r="AE396" s="2337">
        <f>AD396-AC396</f>
        <v>0</v>
      </c>
      <c r="AF396" s="2281"/>
      <c r="AG396" s="2114"/>
      <c r="AH396" s="2345">
        <f>IFERROR(AH655/AH315,0)</f>
        <v>0</v>
      </c>
      <c r="AI396" s="2345">
        <f>IFERROR(AI655/AI315,0)</f>
        <v>0</v>
      </c>
      <c r="AJ396" s="2346">
        <f>AI396-AH396</f>
        <v>0</v>
      </c>
      <c r="AK396" s="2345">
        <f>IFERROR(AK655/AK315,0)</f>
        <v>0</v>
      </c>
      <c r="AL396" s="2345">
        <f>IFERROR(AL655/AL315,0)</f>
        <v>0</v>
      </c>
      <c r="AM396" s="2346">
        <f>AL396-AK396</f>
        <v>0</v>
      </c>
      <c r="AN396" s="2345">
        <f>IFERROR(AN655/AN315,0)</f>
        <v>0</v>
      </c>
      <c r="AO396" s="2345">
        <f>IFERROR(AO655/AO315,0)</f>
        <v>0</v>
      </c>
      <c r="AP396" s="2346">
        <f>AO396-AN396</f>
        <v>0</v>
      </c>
      <c r="AQ396" s="2345">
        <f>IFERROR(AQ655/AQ315,0)</f>
        <v>0</v>
      </c>
      <c r="AR396" s="2345">
        <f>IFERROR(AR655/AR315,0)</f>
        <v>0</v>
      </c>
      <c r="AS396" s="2346">
        <f>AR396-AQ396</f>
        <v>0</v>
      </c>
      <c r="AT396" s="2345">
        <f>IFERROR(AT655/AT315,0)</f>
        <v>0</v>
      </c>
      <c r="AU396" s="2345">
        <f>IFERROR(AU655/AU315,0)</f>
        <v>0</v>
      </c>
      <c r="AV396" s="2346">
        <f>AU396-AT396</f>
        <v>0</v>
      </c>
      <c r="AW396" s="2345">
        <f>IFERROR(AW655/AW315,0)</f>
        <v>0</v>
      </c>
      <c r="AX396" s="2345">
        <f>IFERROR(AX655/AX315,0)</f>
        <v>0</v>
      </c>
      <c r="AY396" s="2346">
        <f>AX396-AW396</f>
        <v>0</v>
      </c>
      <c r="AZ396" s="2345">
        <f>IFERROR(AZ655/AZ315,0)</f>
        <v>0</v>
      </c>
      <c r="BA396" s="2345">
        <f>IFERROR(BA655/BA315,0)</f>
        <v>0</v>
      </c>
      <c r="BB396" s="2346">
        <f>BA396-AZ396</f>
        <v>0</v>
      </c>
      <c r="BC396" s="2345">
        <f>IFERROR(BC655/BC315,0)</f>
        <v>0</v>
      </c>
      <c r="BD396" s="2345">
        <f>IFERROR(BD655/BD315,0)</f>
        <v>0</v>
      </c>
      <c r="BE396" s="2346">
        <f>BD396-BC396</f>
        <v>0</v>
      </c>
      <c r="BF396" s="2345">
        <f>IFERROR(BF655/BF315,0)</f>
        <v>0</v>
      </c>
      <c r="BG396" s="2345">
        <f>IFERROR(BG655/BG315,0)</f>
        <v>0</v>
      </c>
      <c r="BH396" s="2346">
        <f>BG396-BF396</f>
        <v>0</v>
      </c>
      <c r="BI396" s="2345">
        <f>IFERROR(BI655/BI315,0)</f>
        <v>0</v>
      </c>
      <c r="BJ396" s="2345">
        <f>IFERROR(BJ655/BJ315,0)</f>
        <v>0</v>
      </c>
      <c r="BK396" s="2346">
        <f>BJ396-BI396</f>
        <v>0</v>
      </c>
      <c r="BL396" s="2345">
        <f>IFERROR(BL655/BL315,0)</f>
        <v>0</v>
      </c>
      <c r="BM396" s="2345">
        <f>IFERROR(BM655/BM315,0)</f>
        <v>0</v>
      </c>
      <c r="BN396" s="2346">
        <f>BM396-BL396</f>
        <v>0</v>
      </c>
      <c r="BO396" s="2345">
        <f>IFERROR(BO655/BO315,0)</f>
        <v>0</v>
      </c>
      <c r="BP396" s="2345">
        <f>IFERROR(BP655/BP315,0)</f>
        <v>0</v>
      </c>
      <c r="BQ396" s="2346">
        <f>BP396-BO396</f>
        <v>0</v>
      </c>
    </row>
    <row r="397" spans="3:69" s="2159" customFormat="1" hidden="1">
      <c r="C397" s="2285" t="s">
        <v>2544</v>
      </c>
      <c r="D397" s="2350" t="s">
        <v>2545</v>
      </c>
      <c r="E397" s="2351" t="s">
        <v>2519</v>
      </c>
      <c r="F397" s="2176"/>
      <c r="G397" s="2252">
        <f>IFERROR(G656/G316,0)</f>
        <v>0</v>
      </c>
      <c r="H397" s="2252">
        <f>IFERROR(H656/H316,0)</f>
        <v>0</v>
      </c>
      <c r="I397" s="2178">
        <f t="shared" si="674"/>
        <v>0</v>
      </c>
      <c r="J397" s="2176"/>
      <c r="K397" s="2252">
        <f>IFERROR(K656/K316,0)</f>
        <v>0</v>
      </c>
      <c r="L397" s="2252">
        <f>IFERROR(L656/L316,0)</f>
        <v>0</v>
      </c>
      <c r="M397" s="2255">
        <f t="shared" si="675"/>
        <v>0</v>
      </c>
      <c r="N397" s="2177"/>
      <c r="O397" s="2177"/>
      <c r="P397" s="2178">
        <f t="shared" si="677"/>
        <v>0</v>
      </c>
      <c r="Q397" s="2176"/>
      <c r="R397" s="2177"/>
      <c r="S397" s="2180">
        <f t="shared" si="678"/>
        <v>0</v>
      </c>
      <c r="T397" s="2251">
        <f t="shared" si="679"/>
        <v>0</v>
      </c>
      <c r="U397" s="2252">
        <f t="shared" si="672"/>
        <v>0</v>
      </c>
      <c r="V397" s="2253">
        <f t="shared" si="673"/>
        <v>0</v>
      </c>
      <c r="W397" s="2182"/>
      <c r="X397" s="2176"/>
      <c r="Y397" s="2183">
        <f t="shared" si="680"/>
        <v>0</v>
      </c>
      <c r="Z397" s="2254">
        <f>IFERROR(Z656/Z316,0)</f>
        <v>0</v>
      </c>
      <c r="AA397" s="2252">
        <f>IFERROR(AA656/AA316,0)</f>
        <v>0</v>
      </c>
      <c r="AB397" s="2255">
        <f t="shared" si="676"/>
        <v>0</v>
      </c>
      <c r="AC397" s="2176"/>
      <c r="AD397" s="2177"/>
      <c r="AE397" s="2180">
        <f t="shared" si="681"/>
        <v>0</v>
      </c>
      <c r="AF397" s="2281"/>
      <c r="AG397" s="2158"/>
      <c r="AH397" s="2177"/>
      <c r="AI397" s="2177"/>
      <c r="AJ397" s="2186">
        <f t="shared" ref="AJ397" si="697">AI397-AH397</f>
        <v>0</v>
      </c>
      <c r="AK397" s="2177"/>
      <c r="AL397" s="2177"/>
      <c r="AM397" s="2186">
        <f t="shared" ref="AM397" si="698">AL397-AK397</f>
        <v>0</v>
      </c>
      <c r="AN397" s="2177"/>
      <c r="AO397" s="2177"/>
      <c r="AP397" s="2186">
        <f t="shared" ref="AP397" si="699">AO397-AN397</f>
        <v>0</v>
      </c>
      <c r="AQ397" s="2177"/>
      <c r="AR397" s="2177"/>
      <c r="AS397" s="2186">
        <f t="shared" ref="AS397" si="700">AR397-AQ397</f>
        <v>0</v>
      </c>
      <c r="AT397" s="2177"/>
      <c r="AU397" s="2177"/>
      <c r="AV397" s="2186">
        <f t="shared" ref="AV397" si="701">AU397-AT397</f>
        <v>0</v>
      </c>
      <c r="AW397" s="2177"/>
      <c r="AX397" s="2177"/>
      <c r="AY397" s="2186">
        <f t="shared" ref="AY397" si="702">AX397-AW397</f>
        <v>0</v>
      </c>
      <c r="AZ397" s="2177"/>
      <c r="BA397" s="2177"/>
      <c r="BB397" s="2186">
        <f t="shared" ref="BB397" si="703">BA397-AZ397</f>
        <v>0</v>
      </c>
      <c r="BC397" s="2177"/>
      <c r="BD397" s="2177"/>
      <c r="BE397" s="2186">
        <f t="shared" ref="BE397" si="704">BD397-BC397</f>
        <v>0</v>
      </c>
      <c r="BF397" s="2177"/>
      <c r="BG397" s="2177"/>
      <c r="BH397" s="2186">
        <f t="shared" ref="BH397" si="705">BG397-BF397</f>
        <v>0</v>
      </c>
      <c r="BI397" s="2177"/>
      <c r="BJ397" s="2177"/>
      <c r="BK397" s="2186">
        <f t="shared" ref="BK397" si="706">BJ397-BI397</f>
        <v>0</v>
      </c>
      <c r="BL397" s="2177"/>
      <c r="BM397" s="2177"/>
      <c r="BN397" s="2186">
        <f t="shared" ref="BN397" si="707">BM397-BL397</f>
        <v>0</v>
      </c>
      <c r="BO397" s="2177"/>
      <c r="BP397" s="2177"/>
      <c r="BQ397" s="2186">
        <f t="shared" ref="BQ397" si="708">BP397-BO397</f>
        <v>0</v>
      </c>
    </row>
    <row r="398" spans="3:69" s="2159" customFormat="1" hidden="1">
      <c r="C398" s="2285" t="s">
        <v>2546</v>
      </c>
      <c r="D398" s="2286" t="s">
        <v>2229</v>
      </c>
      <c r="E398" s="2347" t="s">
        <v>2519</v>
      </c>
      <c r="F398" s="2176"/>
      <c r="G398" s="2336">
        <f t="shared" ref="G398:H398" si="709">IFERROR(G657/G317,0)</f>
        <v>0</v>
      </c>
      <c r="H398" s="2336">
        <f t="shared" si="709"/>
        <v>0</v>
      </c>
      <c r="I398" s="2337">
        <f t="shared" si="674"/>
        <v>0</v>
      </c>
      <c r="J398" s="2338"/>
      <c r="K398" s="2339">
        <f t="shared" ref="K398:L398" si="710">IFERROR(K657/K317,0)</f>
        <v>0</v>
      </c>
      <c r="L398" s="2339">
        <f t="shared" si="710"/>
        <v>0</v>
      </c>
      <c r="M398" s="2337">
        <f t="shared" si="675"/>
        <v>0</v>
      </c>
      <c r="N398" s="2339">
        <f>IFERROR(N657/N317,0)</f>
        <v>0</v>
      </c>
      <c r="O398" s="2339">
        <f>IFERROR(O657/O317,0)</f>
        <v>0</v>
      </c>
      <c r="P398" s="2337">
        <f>O398-N398</f>
        <v>0</v>
      </c>
      <c r="Q398" s="2339">
        <f>IFERROR(Q657/Q317,0)</f>
        <v>0</v>
      </c>
      <c r="R398" s="2339">
        <f>IFERROR(R657/R317,0)</f>
        <v>0</v>
      </c>
      <c r="S398" s="2337">
        <f>R398-Q398</f>
        <v>0</v>
      </c>
      <c r="T398" s="2340">
        <f>Q398</f>
        <v>0</v>
      </c>
      <c r="U398" s="2339">
        <f>R398</f>
        <v>0</v>
      </c>
      <c r="V398" s="2341">
        <f>U398-T398</f>
        <v>0</v>
      </c>
      <c r="W398" s="2342">
        <f>IFERROR(W657/W317,0)</f>
        <v>0</v>
      </c>
      <c r="X398" s="2339">
        <f>IFERROR(X657/X317,0)</f>
        <v>0</v>
      </c>
      <c r="Y398" s="2343">
        <f>X398-W398</f>
        <v>0</v>
      </c>
      <c r="Z398" s="2344">
        <f t="shared" ref="Z398:AA398" si="711">IFERROR(Z657/Z317,0)</f>
        <v>0</v>
      </c>
      <c r="AA398" s="2339">
        <f t="shared" si="711"/>
        <v>0</v>
      </c>
      <c r="AB398" s="2337">
        <f t="shared" si="676"/>
        <v>0</v>
      </c>
      <c r="AC398" s="2339">
        <f>IFERROR(AC657/AC317,0)</f>
        <v>0</v>
      </c>
      <c r="AD398" s="2339">
        <f>IFERROR(AD657/AD317,0)</f>
        <v>0</v>
      </c>
      <c r="AE398" s="2337">
        <f>AD398-AC398</f>
        <v>0</v>
      </c>
      <c r="AF398" s="2281"/>
      <c r="AG398" s="2158"/>
      <c r="AH398" s="2345">
        <f>IFERROR(AH657/AH317,0)</f>
        <v>0</v>
      </c>
      <c r="AI398" s="2345">
        <f>IFERROR(AI657/AI317,0)</f>
        <v>0</v>
      </c>
      <c r="AJ398" s="2346">
        <f>AI398-AH398</f>
        <v>0</v>
      </c>
      <c r="AK398" s="2345">
        <f>IFERROR(AK657/AK317,0)</f>
        <v>0</v>
      </c>
      <c r="AL398" s="2345">
        <f>IFERROR(AL657/AL317,0)</f>
        <v>0</v>
      </c>
      <c r="AM398" s="2346">
        <f>AL398-AK398</f>
        <v>0</v>
      </c>
      <c r="AN398" s="2345">
        <f>IFERROR(AN657/AN317,0)</f>
        <v>0</v>
      </c>
      <c r="AO398" s="2345">
        <f>IFERROR(AO657/AO317,0)</f>
        <v>0</v>
      </c>
      <c r="AP398" s="2346">
        <f>AO398-AN398</f>
        <v>0</v>
      </c>
      <c r="AQ398" s="2345">
        <f>IFERROR(AQ657/AQ317,0)</f>
        <v>0</v>
      </c>
      <c r="AR398" s="2345">
        <f>IFERROR(AR657/AR317,0)</f>
        <v>0</v>
      </c>
      <c r="AS398" s="2346">
        <f>AR398-AQ398</f>
        <v>0</v>
      </c>
      <c r="AT398" s="2345">
        <f>IFERROR(AT657/AT317,0)</f>
        <v>0</v>
      </c>
      <c r="AU398" s="2345">
        <f>IFERROR(AU657/AU317,0)</f>
        <v>0</v>
      </c>
      <c r="AV398" s="2346">
        <f>AU398-AT398</f>
        <v>0</v>
      </c>
      <c r="AW398" s="2345">
        <f>IFERROR(AW657/AW317,0)</f>
        <v>0</v>
      </c>
      <c r="AX398" s="2345">
        <f>IFERROR(AX657/AX317,0)</f>
        <v>0</v>
      </c>
      <c r="AY398" s="2346">
        <f>AX398-AW398</f>
        <v>0</v>
      </c>
      <c r="AZ398" s="2345">
        <f>IFERROR(AZ657/AZ317,0)</f>
        <v>0</v>
      </c>
      <c r="BA398" s="2345">
        <f>IFERROR(BA657/BA317,0)</f>
        <v>0</v>
      </c>
      <c r="BB398" s="2346">
        <f>BA398-AZ398</f>
        <v>0</v>
      </c>
      <c r="BC398" s="2345">
        <f>IFERROR(BC657/BC317,0)</f>
        <v>0</v>
      </c>
      <c r="BD398" s="2345">
        <f>IFERROR(BD657/BD317,0)</f>
        <v>0</v>
      </c>
      <c r="BE398" s="2346">
        <f>BD398-BC398</f>
        <v>0</v>
      </c>
      <c r="BF398" s="2345">
        <f>IFERROR(BF657/BF317,0)</f>
        <v>0</v>
      </c>
      <c r="BG398" s="2345">
        <f>IFERROR(BG657/BG317,0)</f>
        <v>0</v>
      </c>
      <c r="BH398" s="2346">
        <f>BG398-BF398</f>
        <v>0</v>
      </c>
      <c r="BI398" s="2345">
        <f>IFERROR(BI657/BI317,0)</f>
        <v>0</v>
      </c>
      <c r="BJ398" s="2345">
        <f>IFERROR(BJ657/BJ317,0)</f>
        <v>0</v>
      </c>
      <c r="BK398" s="2346">
        <f>BJ398-BI398</f>
        <v>0</v>
      </c>
      <c r="BL398" s="2345">
        <f>IFERROR(BL657/BL317,0)</f>
        <v>0</v>
      </c>
      <c r="BM398" s="2345">
        <f>IFERROR(BM657/BM317,0)</f>
        <v>0</v>
      </c>
      <c r="BN398" s="2346">
        <f>BM398-BL398</f>
        <v>0</v>
      </c>
      <c r="BO398" s="2345">
        <f>IFERROR(BO657/BO317,0)</f>
        <v>0</v>
      </c>
      <c r="BP398" s="2345">
        <f>IFERROR(BP657/BP317,0)</f>
        <v>0</v>
      </c>
      <c r="BQ398" s="2346">
        <f>BP398-BO398</f>
        <v>0</v>
      </c>
    </row>
    <row r="399" spans="3:69" s="2087" customFormat="1" hidden="1">
      <c r="C399" s="2173" t="s">
        <v>2547</v>
      </c>
      <c r="D399" s="2311" t="str">
        <f>D318</f>
        <v>Контрагент 2</v>
      </c>
      <c r="E399" s="2264"/>
      <c r="F399" s="2265"/>
      <c r="G399" s="2268"/>
      <c r="H399" s="2268"/>
      <c r="I399" s="2186"/>
      <c r="J399" s="2265"/>
      <c r="K399" s="2268"/>
      <c r="L399" s="2268"/>
      <c r="M399" s="2273"/>
      <c r="N399" s="2188"/>
      <c r="O399" s="2188"/>
      <c r="P399" s="2186"/>
      <c r="Q399" s="2265"/>
      <c r="R399" s="2188"/>
      <c r="S399" s="2266"/>
      <c r="T399" s="2267"/>
      <c r="U399" s="2268"/>
      <c r="V399" s="2269"/>
      <c r="W399" s="2270"/>
      <c r="X399" s="2188"/>
      <c r="Y399" s="2271"/>
      <c r="Z399" s="2272"/>
      <c r="AA399" s="2268"/>
      <c r="AB399" s="2273"/>
      <c r="AC399" s="2265"/>
      <c r="AD399" s="2188"/>
      <c r="AE399" s="2266"/>
      <c r="AF399" s="2281"/>
      <c r="AG399" s="2114"/>
      <c r="AH399" s="2188"/>
      <c r="AI399" s="2188"/>
      <c r="AJ399" s="2186"/>
      <c r="AK399" s="2188"/>
      <c r="AL399" s="2188"/>
      <c r="AM399" s="2186"/>
      <c r="AN399" s="2188"/>
      <c r="AO399" s="2188"/>
      <c r="AP399" s="2186"/>
      <c r="AQ399" s="2188"/>
      <c r="AR399" s="2188"/>
      <c r="AS399" s="2186"/>
      <c r="AT399" s="2188"/>
      <c r="AU399" s="2188"/>
      <c r="AV399" s="2186"/>
      <c r="AW399" s="2188"/>
      <c r="AX399" s="2188"/>
      <c r="AY399" s="2186"/>
      <c r="AZ399" s="2188"/>
      <c r="BA399" s="2188"/>
      <c r="BB399" s="2186"/>
      <c r="BC399" s="2188"/>
      <c r="BD399" s="2188"/>
      <c r="BE399" s="2186"/>
      <c r="BF399" s="2188"/>
      <c r="BG399" s="2188"/>
      <c r="BH399" s="2186"/>
      <c r="BI399" s="2188"/>
      <c r="BJ399" s="2188"/>
      <c r="BK399" s="2186"/>
      <c r="BL399" s="2188"/>
      <c r="BM399" s="2188"/>
      <c r="BN399" s="2186"/>
      <c r="BO399" s="2188"/>
      <c r="BP399" s="2188"/>
      <c r="BQ399" s="2186"/>
    </row>
    <row r="400" spans="3:69" s="2087" customFormat="1" hidden="1">
      <c r="C400" s="2285" t="s">
        <v>2548</v>
      </c>
      <c r="D400" s="2350" t="s">
        <v>2539</v>
      </c>
      <c r="E400" s="2290" t="s">
        <v>2511</v>
      </c>
      <c r="F400" s="2176"/>
      <c r="G400" s="2252">
        <f>IFERROR(G660/G320/12*1000,0)</f>
        <v>0</v>
      </c>
      <c r="H400" s="2252">
        <f>IFERROR(H660/H320/12*1000,0)</f>
        <v>0</v>
      </c>
      <c r="I400" s="2178">
        <f>H400-G400</f>
        <v>0</v>
      </c>
      <c r="J400" s="2176"/>
      <c r="K400" s="2252">
        <f>IFERROR(K660/K320/12*1000,0)</f>
        <v>0</v>
      </c>
      <c r="L400" s="2252">
        <f>IFERROR(L660/L320/12*1000,0)</f>
        <v>0</v>
      </c>
      <c r="M400" s="2255">
        <f>L400-K400</f>
        <v>0</v>
      </c>
      <c r="N400" s="2177"/>
      <c r="O400" s="2177"/>
      <c r="P400" s="2178">
        <f t="shared" si="677"/>
        <v>0</v>
      </c>
      <c r="Q400" s="2176"/>
      <c r="R400" s="2177"/>
      <c r="S400" s="2180">
        <f t="shared" si="678"/>
        <v>0</v>
      </c>
      <c r="T400" s="2251">
        <f t="shared" si="679"/>
        <v>0</v>
      </c>
      <c r="U400" s="2252">
        <f t="shared" si="672"/>
        <v>0</v>
      </c>
      <c r="V400" s="2253">
        <f t="shared" si="673"/>
        <v>0</v>
      </c>
      <c r="W400" s="2182"/>
      <c r="X400" s="2177"/>
      <c r="Y400" s="2183">
        <f t="shared" si="680"/>
        <v>0</v>
      </c>
      <c r="Z400" s="2254">
        <f>IFERROR(Z660/Z320/9*1000,0)</f>
        <v>0</v>
      </c>
      <c r="AA400" s="2252">
        <f>IFERROR(AA660/AA320/9*1000,0)</f>
        <v>0</v>
      </c>
      <c r="AB400" s="2255">
        <f>AA400-Z400</f>
        <v>0</v>
      </c>
      <c r="AC400" s="2176"/>
      <c r="AD400" s="2177"/>
      <c r="AE400" s="2180">
        <f t="shared" si="681"/>
        <v>0</v>
      </c>
      <c r="AF400" s="2281"/>
      <c r="AG400" s="2114"/>
      <c r="AH400" s="2177"/>
      <c r="AI400" s="2177"/>
      <c r="AJ400" s="2186">
        <f t="shared" ref="AJ400:AJ405" si="712">AI400-AH400</f>
        <v>0</v>
      </c>
      <c r="AK400" s="2177"/>
      <c r="AL400" s="2177"/>
      <c r="AM400" s="2186">
        <f t="shared" ref="AM400:AM405" si="713">AL400-AK400</f>
        <v>0</v>
      </c>
      <c r="AN400" s="2177"/>
      <c r="AO400" s="2177"/>
      <c r="AP400" s="2186">
        <f t="shared" ref="AP400:AP405" si="714">AO400-AN400</f>
        <v>0</v>
      </c>
      <c r="AQ400" s="2177"/>
      <c r="AR400" s="2177"/>
      <c r="AS400" s="2186">
        <f t="shared" ref="AS400:AS405" si="715">AR400-AQ400</f>
        <v>0</v>
      </c>
      <c r="AT400" s="2177"/>
      <c r="AU400" s="2177"/>
      <c r="AV400" s="2186">
        <f t="shared" ref="AV400:AV405" si="716">AU400-AT400</f>
        <v>0</v>
      </c>
      <c r="AW400" s="2177"/>
      <c r="AX400" s="2177"/>
      <c r="AY400" s="2186">
        <f t="shared" ref="AY400:AY405" si="717">AX400-AW400</f>
        <v>0</v>
      </c>
      <c r="AZ400" s="2177"/>
      <c r="BA400" s="2177"/>
      <c r="BB400" s="2186">
        <f t="shared" ref="BB400:BB405" si="718">BA400-AZ400</f>
        <v>0</v>
      </c>
      <c r="BC400" s="2177"/>
      <c r="BD400" s="2177"/>
      <c r="BE400" s="2186">
        <f t="shared" ref="BE400:BE405" si="719">BD400-BC400</f>
        <v>0</v>
      </c>
      <c r="BF400" s="2177"/>
      <c r="BG400" s="2177"/>
      <c r="BH400" s="2186">
        <f t="shared" ref="BH400:BH405" si="720">BG400-BF400</f>
        <v>0</v>
      </c>
      <c r="BI400" s="2177"/>
      <c r="BJ400" s="2177"/>
      <c r="BK400" s="2186">
        <f t="shared" ref="BK400:BK405" si="721">BJ400-BI400</f>
        <v>0</v>
      </c>
      <c r="BL400" s="2177"/>
      <c r="BM400" s="2177"/>
      <c r="BN400" s="2186">
        <f t="shared" ref="BN400:BN405" si="722">BM400-BL400</f>
        <v>0</v>
      </c>
      <c r="BO400" s="2177"/>
      <c r="BP400" s="2177"/>
      <c r="BQ400" s="2186">
        <f t="shared" ref="BQ400:BQ405" si="723">BP400-BO400</f>
        <v>0</v>
      </c>
    </row>
    <row r="401" spans="3:69" s="2087" customFormat="1" hidden="1">
      <c r="C401" s="2285" t="s">
        <v>2549</v>
      </c>
      <c r="D401" s="2286" t="s">
        <v>2229</v>
      </c>
      <c r="E401" s="2335" t="s">
        <v>2511</v>
      </c>
      <c r="F401" s="2176"/>
      <c r="G401" s="2336">
        <f>IFERROR(G661/G321/12*1000,0)</f>
        <v>0</v>
      </c>
      <c r="H401" s="2336">
        <f>IFERROR(H661/H321/12*1000,0)</f>
        <v>0</v>
      </c>
      <c r="I401" s="2337">
        <f t="shared" ref="I401:I405" si="724">H401-G401</f>
        <v>0</v>
      </c>
      <c r="J401" s="2338"/>
      <c r="K401" s="2339">
        <f>IFERROR(K661/K321/12*1000,0)</f>
        <v>0</v>
      </c>
      <c r="L401" s="2339">
        <f>IFERROR(L661/L321/12*1000,0)</f>
        <v>0</v>
      </c>
      <c r="M401" s="2337">
        <f t="shared" ref="M401:M405" si="725">L401-K401</f>
        <v>0</v>
      </c>
      <c r="N401" s="2339">
        <f>IFERROR(N661/N321/3*1000,0)</f>
        <v>0</v>
      </c>
      <c r="O401" s="2339">
        <f>IFERROR(O661/O321/3*1000,0)</f>
        <v>0</v>
      </c>
      <c r="P401" s="2337">
        <f t="shared" si="677"/>
        <v>0</v>
      </c>
      <c r="Q401" s="2339">
        <f>IFERROR(Q661/Q321/3*1000,0)</f>
        <v>0</v>
      </c>
      <c r="R401" s="2339">
        <f>IFERROR(R661/R321/3*1000,0)</f>
        <v>0</v>
      </c>
      <c r="S401" s="2337">
        <f t="shared" si="678"/>
        <v>0</v>
      </c>
      <c r="T401" s="2340">
        <f>Q401</f>
        <v>0</v>
      </c>
      <c r="U401" s="2339">
        <f>R401</f>
        <v>0</v>
      </c>
      <c r="V401" s="2341">
        <f t="shared" si="673"/>
        <v>0</v>
      </c>
      <c r="W401" s="2342">
        <f>IFERROR(W661/W321/3*1000,0)</f>
        <v>0</v>
      </c>
      <c r="X401" s="2339">
        <f>IFERROR(X661/X321/3*1000,0)</f>
        <v>0</v>
      </c>
      <c r="Y401" s="2343">
        <f t="shared" si="680"/>
        <v>0</v>
      </c>
      <c r="Z401" s="2344">
        <f>IFERROR(Z661/Z321/9*1000,0)</f>
        <v>0</v>
      </c>
      <c r="AA401" s="2339">
        <f>IFERROR(AA660/AA320/9*1000,0)</f>
        <v>0</v>
      </c>
      <c r="AB401" s="2337">
        <f t="shared" ref="AB401:AB405" si="726">AA401-Z401</f>
        <v>0</v>
      </c>
      <c r="AC401" s="2339">
        <f>IFERROR(AC661/AC321/3*1000,0)</f>
        <v>0</v>
      </c>
      <c r="AD401" s="2339">
        <f>IFERROR(AD661/AD321/3*1000,0)</f>
        <v>0</v>
      </c>
      <c r="AE401" s="2337">
        <f t="shared" si="681"/>
        <v>0</v>
      </c>
      <c r="AF401" s="2281"/>
      <c r="AG401" s="2114"/>
      <c r="AH401" s="2345">
        <f>IFERROR(AH661/AH321/3*1000,0)</f>
        <v>0</v>
      </c>
      <c r="AI401" s="2345">
        <f>IFERROR(AI661/AI321/3*1000,0)</f>
        <v>0</v>
      </c>
      <c r="AJ401" s="2346">
        <f t="shared" si="712"/>
        <v>0</v>
      </c>
      <c r="AK401" s="2345">
        <f>IFERROR(AK661/AK321/3*1000,0)</f>
        <v>0</v>
      </c>
      <c r="AL401" s="2345">
        <f>IFERROR(AL661/AL321/3*1000,0)</f>
        <v>0</v>
      </c>
      <c r="AM401" s="2346">
        <f t="shared" si="713"/>
        <v>0</v>
      </c>
      <c r="AN401" s="2345">
        <f>IFERROR(AN661/AN321/3*1000,0)</f>
        <v>0</v>
      </c>
      <c r="AO401" s="2345">
        <f>IFERROR(AO661/AO321/3*1000,0)</f>
        <v>0</v>
      </c>
      <c r="AP401" s="2346">
        <f t="shared" si="714"/>
        <v>0</v>
      </c>
      <c r="AQ401" s="2345">
        <f>IFERROR(AQ661/AQ321/3*1000,0)</f>
        <v>0</v>
      </c>
      <c r="AR401" s="2345">
        <f>IFERROR(AR661/AR321/3*1000,0)</f>
        <v>0</v>
      </c>
      <c r="AS401" s="2346">
        <f t="shared" si="715"/>
        <v>0</v>
      </c>
      <c r="AT401" s="2345">
        <f>IFERROR(AT661/AT321/3*1000,0)</f>
        <v>0</v>
      </c>
      <c r="AU401" s="2345">
        <f>IFERROR(AU661/AU321/3*1000,0)</f>
        <v>0</v>
      </c>
      <c r="AV401" s="2346">
        <f t="shared" si="716"/>
        <v>0</v>
      </c>
      <c r="AW401" s="2345">
        <f>IFERROR(AW661/AW321/3*1000,0)</f>
        <v>0</v>
      </c>
      <c r="AX401" s="2345">
        <f>IFERROR(AX661/AX321/3*1000,0)</f>
        <v>0</v>
      </c>
      <c r="AY401" s="2346">
        <f t="shared" si="717"/>
        <v>0</v>
      </c>
      <c r="AZ401" s="2345">
        <f>IFERROR(AZ661/AZ321/3*1000,0)</f>
        <v>0</v>
      </c>
      <c r="BA401" s="2345">
        <f>IFERROR(BA661/BA321/3*1000,0)</f>
        <v>0</v>
      </c>
      <c r="BB401" s="2346">
        <f t="shared" si="718"/>
        <v>0</v>
      </c>
      <c r="BC401" s="2345">
        <f>IFERROR(BC661/BC321/3*1000,0)</f>
        <v>0</v>
      </c>
      <c r="BD401" s="2345">
        <f>IFERROR(BD661/BD321/3*1000,0)</f>
        <v>0</v>
      </c>
      <c r="BE401" s="2346">
        <f t="shared" si="719"/>
        <v>0</v>
      </c>
      <c r="BF401" s="2345">
        <f>IFERROR(BF661/BF321/3*1000,0)</f>
        <v>0</v>
      </c>
      <c r="BG401" s="2345">
        <f>IFERROR(BG661/BG321/3*1000,0)</f>
        <v>0</v>
      </c>
      <c r="BH401" s="2346">
        <f t="shared" si="720"/>
        <v>0</v>
      </c>
      <c r="BI401" s="2345">
        <f>IFERROR(BI661/BI321/3*1000,0)</f>
        <v>0</v>
      </c>
      <c r="BJ401" s="2345">
        <f>IFERROR(BJ661/BJ321/3*1000,0)</f>
        <v>0</v>
      </c>
      <c r="BK401" s="2346">
        <f t="shared" si="721"/>
        <v>0</v>
      </c>
      <c r="BL401" s="2345">
        <f>IFERROR(BL661/BL321/3*1000,0)</f>
        <v>0</v>
      </c>
      <c r="BM401" s="2345">
        <f>IFERROR(BM661/BM321/3*1000,0)</f>
        <v>0</v>
      </c>
      <c r="BN401" s="2346">
        <f t="shared" si="722"/>
        <v>0</v>
      </c>
      <c r="BO401" s="2345">
        <f>IFERROR(BO661/BO321/3*1000,0)</f>
        <v>0</v>
      </c>
      <c r="BP401" s="2345">
        <f>IFERROR(BP661/BP321/3*1000,0)</f>
        <v>0</v>
      </c>
      <c r="BQ401" s="2346">
        <f t="shared" si="723"/>
        <v>0</v>
      </c>
    </row>
    <row r="402" spans="3:69" s="2087" customFormat="1" hidden="1">
      <c r="C402" s="2285" t="s">
        <v>2550</v>
      </c>
      <c r="D402" s="2350" t="s">
        <v>2542</v>
      </c>
      <c r="E402" s="2351" t="s">
        <v>2519</v>
      </c>
      <c r="F402" s="2176"/>
      <c r="G402" s="2252">
        <f>IFERROR(G662/G322,0)</f>
        <v>0</v>
      </c>
      <c r="H402" s="2252">
        <f>IFERROR(H662/H322,0)</f>
        <v>0</v>
      </c>
      <c r="I402" s="2178">
        <f t="shared" si="724"/>
        <v>0</v>
      </c>
      <c r="J402" s="2176"/>
      <c r="K402" s="2252">
        <f>IFERROR(K662/K322,0)</f>
        <v>0</v>
      </c>
      <c r="L402" s="2252">
        <f>IFERROR(L662/L322,0)</f>
        <v>0</v>
      </c>
      <c r="M402" s="2255">
        <f t="shared" si="725"/>
        <v>0</v>
      </c>
      <c r="N402" s="2177"/>
      <c r="O402" s="2177"/>
      <c r="P402" s="2178">
        <f t="shared" si="677"/>
        <v>0</v>
      </c>
      <c r="Q402" s="2176"/>
      <c r="R402" s="2177"/>
      <c r="S402" s="2180">
        <f t="shared" si="678"/>
        <v>0</v>
      </c>
      <c r="T402" s="2251">
        <f t="shared" si="679"/>
        <v>0</v>
      </c>
      <c r="U402" s="2252">
        <f t="shared" si="672"/>
        <v>0</v>
      </c>
      <c r="V402" s="2253">
        <f t="shared" si="673"/>
        <v>0</v>
      </c>
      <c r="W402" s="2182"/>
      <c r="X402" s="2177"/>
      <c r="Y402" s="2183">
        <f>X402-W402</f>
        <v>0</v>
      </c>
      <c r="Z402" s="2254">
        <f>IFERROR(Z662/Z322,0)</f>
        <v>0</v>
      </c>
      <c r="AA402" s="2252">
        <f>IFERROR(AA662/AA322,0)</f>
        <v>0</v>
      </c>
      <c r="AB402" s="2255">
        <f t="shared" si="726"/>
        <v>0</v>
      </c>
      <c r="AC402" s="2176"/>
      <c r="AD402" s="2177"/>
      <c r="AE402" s="2180">
        <f t="shared" si="681"/>
        <v>0</v>
      </c>
      <c r="AF402" s="2281"/>
      <c r="AG402" s="2114"/>
      <c r="AH402" s="2177"/>
      <c r="AI402" s="2177"/>
      <c r="AJ402" s="2186">
        <f t="shared" si="712"/>
        <v>0</v>
      </c>
      <c r="AK402" s="2177"/>
      <c r="AL402" s="2177"/>
      <c r="AM402" s="2186">
        <f t="shared" si="713"/>
        <v>0</v>
      </c>
      <c r="AN402" s="2177"/>
      <c r="AO402" s="2177"/>
      <c r="AP402" s="2186">
        <f t="shared" si="714"/>
        <v>0</v>
      </c>
      <c r="AQ402" s="2177"/>
      <c r="AR402" s="2177"/>
      <c r="AS402" s="2186">
        <f t="shared" si="715"/>
        <v>0</v>
      </c>
      <c r="AT402" s="2177"/>
      <c r="AU402" s="2177"/>
      <c r="AV402" s="2186">
        <f t="shared" si="716"/>
        <v>0</v>
      </c>
      <c r="AW402" s="2177"/>
      <c r="AX402" s="2177"/>
      <c r="AY402" s="2186">
        <f t="shared" si="717"/>
        <v>0</v>
      </c>
      <c r="AZ402" s="2177"/>
      <c r="BA402" s="2177"/>
      <c r="BB402" s="2186">
        <f t="shared" si="718"/>
        <v>0</v>
      </c>
      <c r="BC402" s="2177"/>
      <c r="BD402" s="2177"/>
      <c r="BE402" s="2186">
        <f t="shared" si="719"/>
        <v>0</v>
      </c>
      <c r="BF402" s="2177"/>
      <c r="BG402" s="2177"/>
      <c r="BH402" s="2186">
        <f t="shared" si="720"/>
        <v>0</v>
      </c>
      <c r="BI402" s="2177"/>
      <c r="BJ402" s="2177"/>
      <c r="BK402" s="2186">
        <f t="shared" si="721"/>
        <v>0</v>
      </c>
      <c r="BL402" s="2177"/>
      <c r="BM402" s="2177"/>
      <c r="BN402" s="2186">
        <f t="shared" si="722"/>
        <v>0</v>
      </c>
      <c r="BO402" s="2177"/>
      <c r="BP402" s="2177"/>
      <c r="BQ402" s="2186">
        <f t="shared" si="723"/>
        <v>0</v>
      </c>
    </row>
    <row r="403" spans="3:69" s="2087" customFormat="1" hidden="1">
      <c r="C403" s="2285" t="s">
        <v>2551</v>
      </c>
      <c r="D403" s="2286" t="s">
        <v>2229</v>
      </c>
      <c r="E403" s="2347" t="s">
        <v>2519</v>
      </c>
      <c r="F403" s="2176"/>
      <c r="G403" s="2336">
        <f t="shared" ref="G403:H403" si="727">IFERROR(G663/G323,0)</f>
        <v>0</v>
      </c>
      <c r="H403" s="2336">
        <f t="shared" si="727"/>
        <v>0</v>
      </c>
      <c r="I403" s="2337">
        <f t="shared" si="724"/>
        <v>0</v>
      </c>
      <c r="J403" s="2338"/>
      <c r="K403" s="2339">
        <f t="shared" ref="K403:L403" si="728">IFERROR(K663/K323,0)</f>
        <v>0</v>
      </c>
      <c r="L403" s="2339">
        <f t="shared" si="728"/>
        <v>0</v>
      </c>
      <c r="M403" s="2337">
        <f t="shared" si="725"/>
        <v>0</v>
      </c>
      <c r="N403" s="2339">
        <f>IFERROR(N663/N323,0)</f>
        <v>0</v>
      </c>
      <c r="O403" s="2339">
        <f>IFERROR(O663/O323,0)</f>
        <v>0</v>
      </c>
      <c r="P403" s="2337">
        <f t="shared" si="677"/>
        <v>0</v>
      </c>
      <c r="Q403" s="2339">
        <f>IFERROR(Q663/Q323,0)</f>
        <v>0</v>
      </c>
      <c r="R403" s="2339">
        <f>IFERROR(R663/R323,0)</f>
        <v>0</v>
      </c>
      <c r="S403" s="2337">
        <f t="shared" si="678"/>
        <v>0</v>
      </c>
      <c r="T403" s="2340">
        <f>Q403</f>
        <v>0</v>
      </c>
      <c r="U403" s="2339">
        <f>R403</f>
        <v>0</v>
      </c>
      <c r="V403" s="2341">
        <f t="shared" si="673"/>
        <v>0</v>
      </c>
      <c r="W403" s="2342">
        <f>IFERROR(W663/W323,0)</f>
        <v>0</v>
      </c>
      <c r="X403" s="2339">
        <f>IFERROR(X663/X323,0)</f>
        <v>0</v>
      </c>
      <c r="Y403" s="2343">
        <f>X403-W403</f>
        <v>0</v>
      </c>
      <c r="Z403" s="2344">
        <f t="shared" ref="Z403:AA403" si="729">IFERROR(Z663/Z323,0)</f>
        <v>0</v>
      </c>
      <c r="AA403" s="2339">
        <f t="shared" si="729"/>
        <v>0</v>
      </c>
      <c r="AB403" s="2337">
        <f t="shared" si="726"/>
        <v>0</v>
      </c>
      <c r="AC403" s="2339">
        <f>IFERROR(AC663/AC323,0)</f>
        <v>0</v>
      </c>
      <c r="AD403" s="2339">
        <f>IFERROR(AD663/AD323,0)</f>
        <v>0</v>
      </c>
      <c r="AE403" s="2337">
        <f t="shared" si="681"/>
        <v>0</v>
      </c>
      <c r="AF403" s="2281"/>
      <c r="AG403" s="2114"/>
      <c r="AH403" s="2345">
        <f>IFERROR(AH663/AH323,0)</f>
        <v>0</v>
      </c>
      <c r="AI403" s="2345">
        <f>IFERROR(AI663/AI323,0)</f>
        <v>0</v>
      </c>
      <c r="AJ403" s="2346">
        <f t="shared" si="712"/>
        <v>0</v>
      </c>
      <c r="AK403" s="2345">
        <f>IFERROR(AK663/AK323,0)</f>
        <v>0</v>
      </c>
      <c r="AL403" s="2345">
        <f>IFERROR(AL663/AL323,0)</f>
        <v>0</v>
      </c>
      <c r="AM403" s="2346">
        <f t="shared" si="713"/>
        <v>0</v>
      </c>
      <c r="AN403" s="2345">
        <f>IFERROR(AN663/AN323,0)</f>
        <v>0</v>
      </c>
      <c r="AO403" s="2345">
        <f>IFERROR(AO663/AO323,0)</f>
        <v>0</v>
      </c>
      <c r="AP403" s="2346">
        <f t="shared" si="714"/>
        <v>0</v>
      </c>
      <c r="AQ403" s="2345">
        <f>IFERROR(AQ663/AQ323,0)</f>
        <v>0</v>
      </c>
      <c r="AR403" s="2345">
        <f>IFERROR(AR663/AR323,0)</f>
        <v>0</v>
      </c>
      <c r="AS403" s="2346">
        <f t="shared" si="715"/>
        <v>0</v>
      </c>
      <c r="AT403" s="2345">
        <f>IFERROR(AT663/AT323,0)</f>
        <v>0</v>
      </c>
      <c r="AU403" s="2345">
        <f>IFERROR(AU663/AU323,0)</f>
        <v>0</v>
      </c>
      <c r="AV403" s="2346">
        <f t="shared" si="716"/>
        <v>0</v>
      </c>
      <c r="AW403" s="2345">
        <f>IFERROR(AW663/AW323,0)</f>
        <v>0</v>
      </c>
      <c r="AX403" s="2345">
        <f>IFERROR(AX663/AX323,0)</f>
        <v>0</v>
      </c>
      <c r="AY403" s="2346">
        <f t="shared" si="717"/>
        <v>0</v>
      </c>
      <c r="AZ403" s="2345">
        <f>IFERROR(AZ663/AZ323,0)</f>
        <v>0</v>
      </c>
      <c r="BA403" s="2345">
        <f>IFERROR(BA663/BA323,0)</f>
        <v>0</v>
      </c>
      <c r="BB403" s="2346">
        <f t="shared" si="718"/>
        <v>0</v>
      </c>
      <c r="BC403" s="2345">
        <f>IFERROR(BC663/BC323,0)</f>
        <v>0</v>
      </c>
      <c r="BD403" s="2345">
        <f>IFERROR(BD663/BD323,0)</f>
        <v>0</v>
      </c>
      <c r="BE403" s="2346">
        <f t="shared" si="719"/>
        <v>0</v>
      </c>
      <c r="BF403" s="2345">
        <f>IFERROR(BF663/BF323,0)</f>
        <v>0</v>
      </c>
      <c r="BG403" s="2345">
        <f>IFERROR(BG663/BG323,0)</f>
        <v>0</v>
      </c>
      <c r="BH403" s="2346">
        <f t="shared" si="720"/>
        <v>0</v>
      </c>
      <c r="BI403" s="2345">
        <f>IFERROR(BI663/BI323,0)</f>
        <v>0</v>
      </c>
      <c r="BJ403" s="2345">
        <f>IFERROR(BJ663/BJ323,0)</f>
        <v>0</v>
      </c>
      <c r="BK403" s="2346">
        <f t="shared" si="721"/>
        <v>0</v>
      </c>
      <c r="BL403" s="2345">
        <f>IFERROR(BL663/BL323,0)</f>
        <v>0</v>
      </c>
      <c r="BM403" s="2345">
        <f>IFERROR(BM663/BM323,0)</f>
        <v>0</v>
      </c>
      <c r="BN403" s="2346">
        <f t="shared" si="722"/>
        <v>0</v>
      </c>
      <c r="BO403" s="2345">
        <f>IFERROR(BO663/BO323,0)</f>
        <v>0</v>
      </c>
      <c r="BP403" s="2345">
        <f>IFERROR(BP663/BP323,0)</f>
        <v>0</v>
      </c>
      <c r="BQ403" s="2346">
        <f t="shared" si="723"/>
        <v>0</v>
      </c>
    </row>
    <row r="404" spans="3:69" s="2087" customFormat="1" hidden="1">
      <c r="C404" s="2285" t="s">
        <v>2552</v>
      </c>
      <c r="D404" s="2350" t="s">
        <v>2545</v>
      </c>
      <c r="E404" s="2351" t="s">
        <v>2519</v>
      </c>
      <c r="F404" s="2176"/>
      <c r="G404" s="2252">
        <f>IFERROR(G664/G324,0)</f>
        <v>0</v>
      </c>
      <c r="H404" s="2252">
        <f>IFERROR(H664/H324,0)</f>
        <v>0</v>
      </c>
      <c r="I404" s="2178">
        <f t="shared" si="724"/>
        <v>0</v>
      </c>
      <c r="J404" s="2176"/>
      <c r="K404" s="2252">
        <f>IFERROR(K664/K324,0)</f>
        <v>0</v>
      </c>
      <c r="L404" s="2252">
        <f>IFERROR(L664/L324,0)</f>
        <v>0</v>
      </c>
      <c r="M404" s="2255">
        <f t="shared" si="725"/>
        <v>0</v>
      </c>
      <c r="N404" s="2177"/>
      <c r="O404" s="2177"/>
      <c r="P404" s="2178">
        <f t="shared" si="677"/>
        <v>0</v>
      </c>
      <c r="Q404" s="2176"/>
      <c r="R404" s="2177"/>
      <c r="S404" s="2180">
        <f t="shared" si="678"/>
        <v>0</v>
      </c>
      <c r="T404" s="2251">
        <f t="shared" si="679"/>
        <v>0</v>
      </c>
      <c r="U404" s="2252">
        <f t="shared" si="672"/>
        <v>0</v>
      </c>
      <c r="V404" s="2253">
        <f t="shared" si="673"/>
        <v>0</v>
      </c>
      <c r="W404" s="2182"/>
      <c r="X404" s="2177"/>
      <c r="Y404" s="2183">
        <f t="shared" si="680"/>
        <v>0</v>
      </c>
      <c r="Z404" s="2254">
        <f>IFERROR(Z664/Z324,0)</f>
        <v>0</v>
      </c>
      <c r="AA404" s="2252">
        <f>IFERROR(AA664/AA324,0)</f>
        <v>0</v>
      </c>
      <c r="AB404" s="2255">
        <f t="shared" si="726"/>
        <v>0</v>
      </c>
      <c r="AC404" s="2176"/>
      <c r="AD404" s="2177"/>
      <c r="AE404" s="2180">
        <f t="shared" si="681"/>
        <v>0</v>
      </c>
      <c r="AF404" s="2281"/>
      <c r="AG404" s="2114"/>
      <c r="AH404" s="2177"/>
      <c r="AI404" s="2177"/>
      <c r="AJ404" s="2186">
        <f t="shared" si="712"/>
        <v>0</v>
      </c>
      <c r="AK404" s="2177"/>
      <c r="AL404" s="2177"/>
      <c r="AM404" s="2186">
        <f t="shared" si="713"/>
        <v>0</v>
      </c>
      <c r="AN404" s="2177"/>
      <c r="AO404" s="2177"/>
      <c r="AP404" s="2186">
        <f t="shared" si="714"/>
        <v>0</v>
      </c>
      <c r="AQ404" s="2177"/>
      <c r="AR404" s="2177"/>
      <c r="AS404" s="2186">
        <f t="shared" si="715"/>
        <v>0</v>
      </c>
      <c r="AT404" s="2177"/>
      <c r="AU404" s="2177"/>
      <c r="AV404" s="2186">
        <f t="shared" si="716"/>
        <v>0</v>
      </c>
      <c r="AW404" s="2177"/>
      <c r="AX404" s="2177"/>
      <c r="AY404" s="2186">
        <f t="shared" si="717"/>
        <v>0</v>
      </c>
      <c r="AZ404" s="2177"/>
      <c r="BA404" s="2177"/>
      <c r="BB404" s="2186">
        <f t="shared" si="718"/>
        <v>0</v>
      </c>
      <c r="BC404" s="2177"/>
      <c r="BD404" s="2177"/>
      <c r="BE404" s="2186">
        <f t="shared" si="719"/>
        <v>0</v>
      </c>
      <c r="BF404" s="2177"/>
      <c r="BG404" s="2177"/>
      <c r="BH404" s="2186">
        <f t="shared" si="720"/>
        <v>0</v>
      </c>
      <c r="BI404" s="2177"/>
      <c r="BJ404" s="2177"/>
      <c r="BK404" s="2186">
        <f t="shared" si="721"/>
        <v>0</v>
      </c>
      <c r="BL404" s="2177"/>
      <c r="BM404" s="2177"/>
      <c r="BN404" s="2186">
        <f t="shared" si="722"/>
        <v>0</v>
      </c>
      <c r="BO404" s="2177"/>
      <c r="BP404" s="2177"/>
      <c r="BQ404" s="2186">
        <f t="shared" si="723"/>
        <v>0</v>
      </c>
    </row>
    <row r="405" spans="3:69" s="2087" customFormat="1" hidden="1">
      <c r="C405" s="2285" t="s">
        <v>2553</v>
      </c>
      <c r="D405" s="2286" t="s">
        <v>2229</v>
      </c>
      <c r="E405" s="2347" t="s">
        <v>2519</v>
      </c>
      <c r="F405" s="2176"/>
      <c r="G405" s="2336">
        <f t="shared" ref="G405:H405" si="730">IFERROR(G665/G325,0)</f>
        <v>0</v>
      </c>
      <c r="H405" s="2336">
        <f t="shared" si="730"/>
        <v>0</v>
      </c>
      <c r="I405" s="2337">
        <f t="shared" si="724"/>
        <v>0</v>
      </c>
      <c r="J405" s="2338"/>
      <c r="K405" s="2339">
        <f t="shared" ref="K405:L405" si="731">IFERROR(K665/K325,0)</f>
        <v>0</v>
      </c>
      <c r="L405" s="2339">
        <f t="shared" si="731"/>
        <v>0</v>
      </c>
      <c r="M405" s="2337">
        <f t="shared" si="725"/>
        <v>0</v>
      </c>
      <c r="N405" s="2339">
        <f>IFERROR(N665/N325,0)</f>
        <v>0</v>
      </c>
      <c r="O405" s="2339">
        <f>IFERROR(O665/O325,0)</f>
        <v>0</v>
      </c>
      <c r="P405" s="2337">
        <f t="shared" si="677"/>
        <v>0</v>
      </c>
      <c r="Q405" s="2339">
        <f>IFERROR(Q665/Q325,0)</f>
        <v>0</v>
      </c>
      <c r="R405" s="2339">
        <f>IFERROR(R665/R325,0)</f>
        <v>0</v>
      </c>
      <c r="S405" s="2337">
        <f t="shared" si="678"/>
        <v>0</v>
      </c>
      <c r="T405" s="2340">
        <f>Q405</f>
        <v>0</v>
      </c>
      <c r="U405" s="2339">
        <f>R405</f>
        <v>0</v>
      </c>
      <c r="V405" s="2341">
        <f t="shared" si="673"/>
        <v>0</v>
      </c>
      <c r="W405" s="2342">
        <f>IFERROR(W665/W325,0)</f>
        <v>0</v>
      </c>
      <c r="X405" s="2339">
        <f>IFERROR(X665/X325,0)</f>
        <v>0</v>
      </c>
      <c r="Y405" s="2343">
        <f t="shared" si="680"/>
        <v>0</v>
      </c>
      <c r="Z405" s="2344">
        <f t="shared" ref="Z405:AA405" si="732">IFERROR(Z665/Z325,0)</f>
        <v>0</v>
      </c>
      <c r="AA405" s="2339">
        <f t="shared" si="732"/>
        <v>0</v>
      </c>
      <c r="AB405" s="2337">
        <f t="shared" si="726"/>
        <v>0</v>
      </c>
      <c r="AC405" s="2339">
        <f>IFERROR(AC665/AC325,0)</f>
        <v>0</v>
      </c>
      <c r="AD405" s="2339">
        <f>IFERROR(AD665/AD325,0)</f>
        <v>0</v>
      </c>
      <c r="AE405" s="2337">
        <f t="shared" si="681"/>
        <v>0</v>
      </c>
      <c r="AF405" s="2281"/>
      <c r="AG405" s="2114"/>
      <c r="AH405" s="2345">
        <f>IFERROR(AH665/AH325,0)</f>
        <v>0</v>
      </c>
      <c r="AI405" s="2345">
        <f>IFERROR(AI665/AI325,0)</f>
        <v>0</v>
      </c>
      <c r="AJ405" s="2346">
        <f t="shared" si="712"/>
        <v>0</v>
      </c>
      <c r="AK405" s="2345">
        <f>IFERROR(AK665/AK325,0)</f>
        <v>0</v>
      </c>
      <c r="AL405" s="2345">
        <f>IFERROR(AL665/AL325,0)</f>
        <v>0</v>
      </c>
      <c r="AM405" s="2346">
        <f t="shared" si="713"/>
        <v>0</v>
      </c>
      <c r="AN405" s="2345">
        <f>IFERROR(AN665/AN325,0)</f>
        <v>0</v>
      </c>
      <c r="AO405" s="2345">
        <f>IFERROR(AO665/AO325,0)</f>
        <v>0</v>
      </c>
      <c r="AP405" s="2346">
        <f t="shared" si="714"/>
        <v>0</v>
      </c>
      <c r="AQ405" s="2345">
        <f>IFERROR(AQ665/AQ325,0)</f>
        <v>0</v>
      </c>
      <c r="AR405" s="2345">
        <f>IFERROR(AR665/AR325,0)</f>
        <v>0</v>
      </c>
      <c r="AS405" s="2346">
        <f t="shared" si="715"/>
        <v>0</v>
      </c>
      <c r="AT405" s="2345">
        <f>IFERROR(AT665/AT325,0)</f>
        <v>0</v>
      </c>
      <c r="AU405" s="2345">
        <f>IFERROR(AU665/AU325,0)</f>
        <v>0</v>
      </c>
      <c r="AV405" s="2346">
        <f t="shared" si="716"/>
        <v>0</v>
      </c>
      <c r="AW405" s="2345">
        <f>IFERROR(AW665/AW325,0)</f>
        <v>0</v>
      </c>
      <c r="AX405" s="2345">
        <f>IFERROR(AX665/AX325,0)</f>
        <v>0</v>
      </c>
      <c r="AY405" s="2346">
        <f t="shared" si="717"/>
        <v>0</v>
      </c>
      <c r="AZ405" s="2345">
        <f>IFERROR(AZ665/AZ325,0)</f>
        <v>0</v>
      </c>
      <c r="BA405" s="2345">
        <f>IFERROR(BA665/BA325,0)</f>
        <v>0</v>
      </c>
      <c r="BB405" s="2346">
        <f t="shared" si="718"/>
        <v>0</v>
      </c>
      <c r="BC405" s="2345">
        <f>IFERROR(BC665/BC325,0)</f>
        <v>0</v>
      </c>
      <c r="BD405" s="2345">
        <f>IFERROR(BD665/BD325,0)</f>
        <v>0</v>
      </c>
      <c r="BE405" s="2346">
        <f t="shared" si="719"/>
        <v>0</v>
      </c>
      <c r="BF405" s="2345">
        <f>IFERROR(BF665/BF325,0)</f>
        <v>0</v>
      </c>
      <c r="BG405" s="2345">
        <f>IFERROR(BG665/BG325,0)</f>
        <v>0</v>
      </c>
      <c r="BH405" s="2346">
        <f t="shared" si="720"/>
        <v>0</v>
      </c>
      <c r="BI405" s="2345">
        <f>IFERROR(BI665/BI325,0)</f>
        <v>0</v>
      </c>
      <c r="BJ405" s="2345">
        <f>IFERROR(BJ665/BJ325,0)</f>
        <v>0</v>
      </c>
      <c r="BK405" s="2346">
        <f t="shared" si="721"/>
        <v>0</v>
      </c>
      <c r="BL405" s="2345">
        <f>IFERROR(BL665/BL325,0)</f>
        <v>0</v>
      </c>
      <c r="BM405" s="2345">
        <f>IFERROR(BM665/BM325,0)</f>
        <v>0</v>
      </c>
      <c r="BN405" s="2346">
        <f t="shared" si="722"/>
        <v>0</v>
      </c>
      <c r="BO405" s="2345">
        <f>IFERROR(BO665/BO325,0)</f>
        <v>0</v>
      </c>
      <c r="BP405" s="2345">
        <f>IFERROR(BP665/BP325,0)</f>
        <v>0</v>
      </c>
      <c r="BQ405" s="2346">
        <f t="shared" si="723"/>
        <v>0</v>
      </c>
    </row>
    <row r="406" spans="3:69" s="2087" customFormat="1" hidden="1">
      <c r="C406" s="2173" t="s">
        <v>2554</v>
      </c>
      <c r="D406" s="2311" t="str">
        <f>D326</f>
        <v>Контрагент 3</v>
      </c>
      <c r="E406" s="2264"/>
      <c r="F406" s="2265"/>
      <c r="G406" s="2268"/>
      <c r="H406" s="2268"/>
      <c r="I406" s="2186"/>
      <c r="J406" s="2265"/>
      <c r="K406" s="2268"/>
      <c r="L406" s="2268"/>
      <c r="M406" s="2273"/>
      <c r="N406" s="2188"/>
      <c r="O406" s="2188"/>
      <c r="P406" s="2186"/>
      <c r="Q406" s="2265"/>
      <c r="R406" s="2188"/>
      <c r="S406" s="2266"/>
      <c r="T406" s="2251">
        <f t="shared" si="679"/>
        <v>0</v>
      </c>
      <c r="U406" s="2252">
        <f t="shared" si="672"/>
        <v>0</v>
      </c>
      <c r="V406" s="2253">
        <f t="shared" si="673"/>
        <v>0</v>
      </c>
      <c r="W406" s="2270"/>
      <c r="X406" s="2188"/>
      <c r="Y406" s="2271"/>
      <c r="Z406" s="2272"/>
      <c r="AA406" s="2268"/>
      <c r="AB406" s="2273"/>
      <c r="AC406" s="2265"/>
      <c r="AD406" s="2188"/>
      <c r="AE406" s="2266"/>
      <c r="AF406" s="2281"/>
      <c r="AG406" s="2114"/>
      <c r="AH406" s="2188"/>
      <c r="AI406" s="2188"/>
      <c r="AJ406" s="2186"/>
      <c r="AK406" s="2188"/>
      <c r="AL406" s="2188"/>
      <c r="AM406" s="2186"/>
      <c r="AN406" s="2188"/>
      <c r="AO406" s="2188"/>
      <c r="AP406" s="2186"/>
      <c r="AQ406" s="2188"/>
      <c r="AR406" s="2188"/>
      <c r="AS406" s="2186"/>
      <c r="AT406" s="2188"/>
      <c r="AU406" s="2188"/>
      <c r="AV406" s="2186"/>
      <c r="AW406" s="2188"/>
      <c r="AX406" s="2188"/>
      <c r="AY406" s="2186"/>
      <c r="AZ406" s="2188"/>
      <c r="BA406" s="2188"/>
      <c r="BB406" s="2186"/>
      <c r="BC406" s="2188"/>
      <c r="BD406" s="2188"/>
      <c r="BE406" s="2186"/>
      <c r="BF406" s="2188"/>
      <c r="BG406" s="2188"/>
      <c r="BH406" s="2186"/>
      <c r="BI406" s="2188"/>
      <c r="BJ406" s="2188"/>
      <c r="BK406" s="2186"/>
      <c r="BL406" s="2188"/>
      <c r="BM406" s="2188"/>
      <c r="BN406" s="2186"/>
      <c r="BO406" s="2188"/>
      <c r="BP406" s="2188"/>
      <c r="BQ406" s="2186"/>
    </row>
    <row r="407" spans="3:69" s="2087" customFormat="1" hidden="1">
      <c r="C407" s="2285" t="s">
        <v>2555</v>
      </c>
      <c r="D407" s="2350" t="s">
        <v>2539</v>
      </c>
      <c r="E407" s="2290" t="s">
        <v>2511</v>
      </c>
      <c r="F407" s="2176"/>
      <c r="G407" s="2252">
        <f>IFERROR(G668/G328/12*1000,0)</f>
        <v>0</v>
      </c>
      <c r="H407" s="2252">
        <f>IFERROR(H668/H328/12*1000,0)</f>
        <v>0</v>
      </c>
      <c r="I407" s="2178">
        <f>H407-G407</f>
        <v>0</v>
      </c>
      <c r="J407" s="2176"/>
      <c r="K407" s="2252">
        <f>IFERROR(K668/K328/12*1000,0)</f>
        <v>0</v>
      </c>
      <c r="L407" s="2252">
        <f>IFERROR(L668/L328/12*1000,0)</f>
        <v>0</v>
      </c>
      <c r="M407" s="2255">
        <f>L407-K407</f>
        <v>0</v>
      </c>
      <c r="N407" s="2177"/>
      <c r="O407" s="2177"/>
      <c r="P407" s="2178">
        <f t="shared" si="677"/>
        <v>0</v>
      </c>
      <c r="Q407" s="2176"/>
      <c r="R407" s="2177"/>
      <c r="S407" s="2180">
        <f t="shared" si="678"/>
        <v>0</v>
      </c>
      <c r="T407" s="2251">
        <f t="shared" si="679"/>
        <v>0</v>
      </c>
      <c r="U407" s="2252">
        <f t="shared" si="672"/>
        <v>0</v>
      </c>
      <c r="V407" s="2253">
        <f t="shared" si="673"/>
        <v>0</v>
      </c>
      <c r="W407" s="2182"/>
      <c r="X407" s="2177"/>
      <c r="Y407" s="2183">
        <f t="shared" si="680"/>
        <v>0</v>
      </c>
      <c r="Z407" s="2254">
        <f>IFERROR(Z668/Z328/9*1000,0)</f>
        <v>0</v>
      </c>
      <c r="AA407" s="2252">
        <f>IFERROR(AA668/AA328/9*1000,0)</f>
        <v>0</v>
      </c>
      <c r="AB407" s="2255">
        <f>AA407-Z407</f>
        <v>0</v>
      </c>
      <c r="AC407" s="2176"/>
      <c r="AD407" s="2177"/>
      <c r="AE407" s="2180">
        <f t="shared" si="681"/>
        <v>0</v>
      </c>
      <c r="AF407" s="2281"/>
      <c r="AG407" s="2114"/>
      <c r="AH407" s="2177"/>
      <c r="AI407" s="2177"/>
      <c r="AJ407" s="2186">
        <f t="shared" ref="AJ407:AJ412" si="733">AI407-AH407</f>
        <v>0</v>
      </c>
      <c r="AK407" s="2177"/>
      <c r="AL407" s="2177"/>
      <c r="AM407" s="2186">
        <f t="shared" ref="AM407:AM412" si="734">AL407-AK407</f>
        <v>0</v>
      </c>
      <c r="AN407" s="2177"/>
      <c r="AO407" s="2177"/>
      <c r="AP407" s="2186">
        <f t="shared" ref="AP407:AP412" si="735">AO407-AN407</f>
        <v>0</v>
      </c>
      <c r="AQ407" s="2177"/>
      <c r="AR407" s="2177"/>
      <c r="AS407" s="2186">
        <f t="shared" ref="AS407:AS412" si="736">AR407-AQ407</f>
        <v>0</v>
      </c>
      <c r="AT407" s="2177"/>
      <c r="AU407" s="2177"/>
      <c r="AV407" s="2186">
        <f t="shared" ref="AV407:AV412" si="737">AU407-AT407</f>
        <v>0</v>
      </c>
      <c r="AW407" s="2177"/>
      <c r="AX407" s="2177"/>
      <c r="AY407" s="2186">
        <f t="shared" ref="AY407:AY412" si="738">AX407-AW407</f>
        <v>0</v>
      </c>
      <c r="AZ407" s="2177"/>
      <c r="BA407" s="2177"/>
      <c r="BB407" s="2186">
        <f t="shared" ref="BB407:BB412" si="739">BA407-AZ407</f>
        <v>0</v>
      </c>
      <c r="BC407" s="2177"/>
      <c r="BD407" s="2177"/>
      <c r="BE407" s="2186">
        <f t="shared" ref="BE407:BE412" si="740">BD407-BC407</f>
        <v>0</v>
      </c>
      <c r="BF407" s="2177"/>
      <c r="BG407" s="2177"/>
      <c r="BH407" s="2186">
        <f t="shared" ref="BH407:BH412" si="741">BG407-BF407</f>
        <v>0</v>
      </c>
      <c r="BI407" s="2177"/>
      <c r="BJ407" s="2177"/>
      <c r="BK407" s="2186">
        <f t="shared" ref="BK407:BK412" si="742">BJ407-BI407</f>
        <v>0</v>
      </c>
      <c r="BL407" s="2177"/>
      <c r="BM407" s="2177"/>
      <c r="BN407" s="2186">
        <f t="shared" ref="BN407:BN412" si="743">BM407-BL407</f>
        <v>0</v>
      </c>
      <c r="BO407" s="2177"/>
      <c r="BP407" s="2177"/>
      <c r="BQ407" s="2186">
        <f t="shared" ref="BQ407:BQ412" si="744">BP407-BO407</f>
        <v>0</v>
      </c>
    </row>
    <row r="408" spans="3:69" s="2087" customFormat="1" hidden="1">
      <c r="C408" s="2285" t="s">
        <v>2556</v>
      </c>
      <c r="D408" s="2286" t="s">
        <v>2229</v>
      </c>
      <c r="E408" s="2335" t="s">
        <v>2511</v>
      </c>
      <c r="F408" s="2176"/>
      <c r="G408" s="2336">
        <f>IFERROR(G669/G329/12*1000,0)</f>
        <v>0</v>
      </c>
      <c r="H408" s="2336">
        <f>IFERROR(H669/H329/12*1000,0)</f>
        <v>0</v>
      </c>
      <c r="I408" s="2337">
        <f t="shared" ref="I408:I412" si="745">H408-G408</f>
        <v>0</v>
      </c>
      <c r="J408" s="2338"/>
      <c r="K408" s="2339">
        <f>IFERROR(K669/K329/12*1000,0)</f>
        <v>0</v>
      </c>
      <c r="L408" s="2339">
        <f>IFERROR(L669/L329/12*1000,0)</f>
        <v>0</v>
      </c>
      <c r="M408" s="2337">
        <f t="shared" ref="M408:M412" si="746">L408-K408</f>
        <v>0</v>
      </c>
      <c r="N408" s="2339">
        <f>IFERROR(N669/N329/3*1000,0)</f>
        <v>0</v>
      </c>
      <c r="O408" s="2339">
        <f>IFERROR(O669/O329/3*1000,0)</f>
        <v>0</v>
      </c>
      <c r="P408" s="2337">
        <f t="shared" si="677"/>
        <v>0</v>
      </c>
      <c r="Q408" s="2339">
        <f>IFERROR(Q669/Q329/3*1000,0)</f>
        <v>0</v>
      </c>
      <c r="R408" s="2339">
        <f>IFERROR(R669/R329/3*1000,0)</f>
        <v>0</v>
      </c>
      <c r="S408" s="2337">
        <f t="shared" si="678"/>
        <v>0</v>
      </c>
      <c r="T408" s="2340">
        <f>Q408</f>
        <v>0</v>
      </c>
      <c r="U408" s="2339">
        <f>R408</f>
        <v>0</v>
      </c>
      <c r="V408" s="2341">
        <f t="shared" si="673"/>
        <v>0</v>
      </c>
      <c r="W408" s="2342">
        <f>IFERROR(W669/W329/3*1000,0)</f>
        <v>0</v>
      </c>
      <c r="X408" s="2339">
        <f>IFERROR(X669/X329/3*1000,0)</f>
        <v>0</v>
      </c>
      <c r="Y408" s="2343">
        <f t="shared" si="680"/>
        <v>0</v>
      </c>
      <c r="Z408" s="2344">
        <f>IFERROR(Z669/Z329/9*1000,0)</f>
        <v>0</v>
      </c>
      <c r="AA408" s="2339">
        <f>IFERROR(AA669/AA329/9*1000,0)</f>
        <v>0</v>
      </c>
      <c r="AB408" s="2337">
        <f t="shared" ref="AB408:AB412" si="747">AA408-Z408</f>
        <v>0</v>
      </c>
      <c r="AC408" s="2339">
        <f>IFERROR(AC669/AC329/3*1000,0)</f>
        <v>0</v>
      </c>
      <c r="AD408" s="2339">
        <f>IFERROR(AD669/AD329/3*1000,0)</f>
        <v>0</v>
      </c>
      <c r="AE408" s="2337">
        <f t="shared" si="681"/>
        <v>0</v>
      </c>
      <c r="AF408" s="2281"/>
      <c r="AG408" s="2114"/>
      <c r="AH408" s="2345">
        <f>IFERROR(AH669/AH329/3*1000,0)</f>
        <v>0</v>
      </c>
      <c r="AI408" s="2345">
        <f>IFERROR(AI669/AI329/3*1000,0)</f>
        <v>0</v>
      </c>
      <c r="AJ408" s="2346">
        <f t="shared" si="733"/>
        <v>0</v>
      </c>
      <c r="AK408" s="2345">
        <f>IFERROR(AK669/AK329/3*1000,0)</f>
        <v>0</v>
      </c>
      <c r="AL408" s="2345">
        <f>IFERROR(AL669/AL329/3*1000,0)</f>
        <v>0</v>
      </c>
      <c r="AM408" s="2346">
        <f t="shared" si="734"/>
        <v>0</v>
      </c>
      <c r="AN408" s="2345">
        <f>IFERROR(AN669/AN329/3*1000,0)</f>
        <v>0</v>
      </c>
      <c r="AO408" s="2345">
        <f>IFERROR(AO669/AO329/3*1000,0)</f>
        <v>0</v>
      </c>
      <c r="AP408" s="2346">
        <f t="shared" si="735"/>
        <v>0</v>
      </c>
      <c r="AQ408" s="2345">
        <f>IFERROR(AQ669/AQ329/3*1000,0)</f>
        <v>0</v>
      </c>
      <c r="AR408" s="2345">
        <f>IFERROR(AR669/AR329/3*1000,0)</f>
        <v>0</v>
      </c>
      <c r="AS408" s="2346">
        <f t="shared" si="736"/>
        <v>0</v>
      </c>
      <c r="AT408" s="2345">
        <f>IFERROR(AT669/AT329/3*1000,0)</f>
        <v>0</v>
      </c>
      <c r="AU408" s="2345">
        <f>IFERROR(AU669/AU329/3*1000,0)</f>
        <v>0</v>
      </c>
      <c r="AV408" s="2346">
        <f t="shared" si="737"/>
        <v>0</v>
      </c>
      <c r="AW408" s="2345">
        <f>IFERROR(AW669/AW329/3*1000,0)</f>
        <v>0</v>
      </c>
      <c r="AX408" s="2345">
        <f>IFERROR(AX669/AX329/3*1000,0)</f>
        <v>0</v>
      </c>
      <c r="AY408" s="2346">
        <f t="shared" si="738"/>
        <v>0</v>
      </c>
      <c r="AZ408" s="2345">
        <f>IFERROR(AZ669/AZ329/3*1000,0)</f>
        <v>0</v>
      </c>
      <c r="BA408" s="2345">
        <f>IFERROR(BA669/BA329/3*1000,0)</f>
        <v>0</v>
      </c>
      <c r="BB408" s="2346">
        <f t="shared" si="739"/>
        <v>0</v>
      </c>
      <c r="BC408" s="2345">
        <f>IFERROR(BC669/BC329/3*1000,0)</f>
        <v>0</v>
      </c>
      <c r="BD408" s="2345">
        <f>IFERROR(BD669/BD329/3*1000,0)</f>
        <v>0</v>
      </c>
      <c r="BE408" s="2346">
        <f t="shared" si="740"/>
        <v>0</v>
      </c>
      <c r="BF408" s="2345">
        <f>IFERROR(BF669/BF329/3*1000,0)</f>
        <v>0</v>
      </c>
      <c r="BG408" s="2345">
        <f>IFERROR(BG669/BG329/3*1000,0)</f>
        <v>0</v>
      </c>
      <c r="BH408" s="2346">
        <f t="shared" si="741"/>
        <v>0</v>
      </c>
      <c r="BI408" s="2345">
        <f>IFERROR(BI669/BI329/3*1000,0)</f>
        <v>0</v>
      </c>
      <c r="BJ408" s="2345">
        <f>IFERROR(BJ669/BJ329/3*1000,0)</f>
        <v>0</v>
      </c>
      <c r="BK408" s="2346">
        <f t="shared" si="742"/>
        <v>0</v>
      </c>
      <c r="BL408" s="2345">
        <f>IFERROR(BL669/BL329/3*1000,0)</f>
        <v>0</v>
      </c>
      <c r="BM408" s="2345">
        <f>IFERROR(BM669/BM329/3*1000,0)</f>
        <v>0</v>
      </c>
      <c r="BN408" s="2346">
        <f t="shared" si="743"/>
        <v>0</v>
      </c>
      <c r="BO408" s="2345">
        <f>IFERROR(BO669/BO329/3*1000,0)</f>
        <v>0</v>
      </c>
      <c r="BP408" s="2345">
        <f>IFERROR(BP669/BP329/3*1000,0)</f>
        <v>0</v>
      </c>
      <c r="BQ408" s="2346">
        <f t="shared" si="744"/>
        <v>0</v>
      </c>
    </row>
    <row r="409" spans="3:69" s="2087" customFormat="1" hidden="1">
      <c r="C409" s="2285" t="s">
        <v>2557</v>
      </c>
      <c r="D409" s="2350" t="s">
        <v>2542</v>
      </c>
      <c r="E409" s="2351" t="s">
        <v>2519</v>
      </c>
      <c r="F409" s="2176"/>
      <c r="G409" s="2252">
        <f>IFERROR(G670/G330,0)</f>
        <v>0</v>
      </c>
      <c r="H409" s="2252">
        <f>IFERROR(H670/H330,0)</f>
        <v>0</v>
      </c>
      <c r="I409" s="2178">
        <f t="shared" si="745"/>
        <v>0</v>
      </c>
      <c r="J409" s="2176"/>
      <c r="K409" s="2252">
        <f>IFERROR(K670/K330,0)</f>
        <v>0</v>
      </c>
      <c r="L409" s="2252">
        <f>IFERROR(L670/L330,0)</f>
        <v>0</v>
      </c>
      <c r="M409" s="2255">
        <f t="shared" si="746"/>
        <v>0</v>
      </c>
      <c r="N409" s="2177"/>
      <c r="O409" s="2177"/>
      <c r="P409" s="2178">
        <f t="shared" si="677"/>
        <v>0</v>
      </c>
      <c r="Q409" s="2176"/>
      <c r="R409" s="2177"/>
      <c r="S409" s="2180">
        <f t="shared" si="678"/>
        <v>0</v>
      </c>
      <c r="T409" s="2251">
        <f t="shared" si="679"/>
        <v>0</v>
      </c>
      <c r="U409" s="2252">
        <f t="shared" si="672"/>
        <v>0</v>
      </c>
      <c r="V409" s="2253">
        <f t="shared" si="673"/>
        <v>0</v>
      </c>
      <c r="W409" s="2182"/>
      <c r="X409" s="2177"/>
      <c r="Y409" s="2183">
        <f t="shared" si="680"/>
        <v>0</v>
      </c>
      <c r="Z409" s="2254">
        <f>IFERROR(Z670/Z330,0)</f>
        <v>0</v>
      </c>
      <c r="AA409" s="2252">
        <f>IFERROR(AA670/AA330,0)</f>
        <v>0</v>
      </c>
      <c r="AB409" s="2255">
        <f t="shared" si="747"/>
        <v>0</v>
      </c>
      <c r="AC409" s="2176"/>
      <c r="AD409" s="2177"/>
      <c r="AE409" s="2180">
        <f t="shared" si="681"/>
        <v>0</v>
      </c>
      <c r="AF409" s="2281"/>
      <c r="AG409" s="2114"/>
      <c r="AH409" s="2177"/>
      <c r="AI409" s="2177"/>
      <c r="AJ409" s="2186">
        <f t="shared" si="733"/>
        <v>0</v>
      </c>
      <c r="AK409" s="2177"/>
      <c r="AL409" s="2177"/>
      <c r="AM409" s="2186">
        <f t="shared" si="734"/>
        <v>0</v>
      </c>
      <c r="AN409" s="2177"/>
      <c r="AO409" s="2177"/>
      <c r="AP409" s="2186">
        <f t="shared" si="735"/>
        <v>0</v>
      </c>
      <c r="AQ409" s="2177"/>
      <c r="AR409" s="2177"/>
      <c r="AS409" s="2186">
        <f t="shared" si="736"/>
        <v>0</v>
      </c>
      <c r="AT409" s="2177"/>
      <c r="AU409" s="2177"/>
      <c r="AV409" s="2186">
        <f t="shared" si="737"/>
        <v>0</v>
      </c>
      <c r="AW409" s="2177"/>
      <c r="AX409" s="2177"/>
      <c r="AY409" s="2186">
        <f t="shared" si="738"/>
        <v>0</v>
      </c>
      <c r="AZ409" s="2177"/>
      <c r="BA409" s="2177"/>
      <c r="BB409" s="2186">
        <f t="shared" si="739"/>
        <v>0</v>
      </c>
      <c r="BC409" s="2177"/>
      <c r="BD409" s="2177"/>
      <c r="BE409" s="2186">
        <f t="shared" si="740"/>
        <v>0</v>
      </c>
      <c r="BF409" s="2177"/>
      <c r="BG409" s="2177"/>
      <c r="BH409" s="2186">
        <f t="shared" si="741"/>
        <v>0</v>
      </c>
      <c r="BI409" s="2177"/>
      <c r="BJ409" s="2177"/>
      <c r="BK409" s="2186">
        <f t="shared" si="742"/>
        <v>0</v>
      </c>
      <c r="BL409" s="2177"/>
      <c r="BM409" s="2177"/>
      <c r="BN409" s="2186">
        <f t="shared" si="743"/>
        <v>0</v>
      </c>
      <c r="BO409" s="2177"/>
      <c r="BP409" s="2177"/>
      <c r="BQ409" s="2186">
        <f t="shared" si="744"/>
        <v>0</v>
      </c>
    </row>
    <row r="410" spans="3:69" s="2087" customFormat="1" hidden="1">
      <c r="C410" s="2285" t="s">
        <v>2558</v>
      </c>
      <c r="D410" s="2286" t="s">
        <v>2229</v>
      </c>
      <c r="E410" s="2347" t="s">
        <v>2519</v>
      </c>
      <c r="F410" s="2176"/>
      <c r="G410" s="2336">
        <f t="shared" ref="G410:H410" si="748">IFERROR(G671/G331,0)</f>
        <v>0</v>
      </c>
      <c r="H410" s="2336">
        <f t="shared" si="748"/>
        <v>0</v>
      </c>
      <c r="I410" s="2337">
        <f t="shared" si="745"/>
        <v>0</v>
      </c>
      <c r="J410" s="2338"/>
      <c r="K410" s="2339">
        <f t="shared" ref="K410:L410" si="749">IFERROR(K671/K331,0)</f>
        <v>0</v>
      </c>
      <c r="L410" s="2339">
        <f t="shared" si="749"/>
        <v>0</v>
      </c>
      <c r="M410" s="2337">
        <f t="shared" si="746"/>
        <v>0</v>
      </c>
      <c r="N410" s="2339">
        <f>IFERROR(N671/N331,0)</f>
        <v>0</v>
      </c>
      <c r="O410" s="2339">
        <f>IFERROR(O671/O331,0)</f>
        <v>0</v>
      </c>
      <c r="P410" s="2337">
        <f t="shared" si="677"/>
        <v>0</v>
      </c>
      <c r="Q410" s="2339">
        <f>IFERROR(Q671/Q331,0)</f>
        <v>0</v>
      </c>
      <c r="R410" s="2339">
        <f>IFERROR(R671/R331,0)</f>
        <v>0</v>
      </c>
      <c r="S410" s="2337">
        <f t="shared" si="678"/>
        <v>0</v>
      </c>
      <c r="T410" s="2340">
        <f>Q410</f>
        <v>0</v>
      </c>
      <c r="U410" s="2339">
        <f>R410</f>
        <v>0</v>
      </c>
      <c r="V410" s="2341">
        <f t="shared" si="673"/>
        <v>0</v>
      </c>
      <c r="W410" s="2342">
        <f>IFERROR(W671/W331,0)</f>
        <v>0</v>
      </c>
      <c r="X410" s="2339">
        <f>IFERROR(X671/X331,0)</f>
        <v>0</v>
      </c>
      <c r="Y410" s="2343">
        <f t="shared" si="680"/>
        <v>0</v>
      </c>
      <c r="Z410" s="2344">
        <f t="shared" ref="Z410:AA410" si="750">IFERROR(Z671/Z331,0)</f>
        <v>0</v>
      </c>
      <c r="AA410" s="2339">
        <f t="shared" si="750"/>
        <v>0</v>
      </c>
      <c r="AB410" s="2337">
        <f t="shared" si="747"/>
        <v>0</v>
      </c>
      <c r="AC410" s="2339">
        <f>IFERROR(AC671/AC331,0)</f>
        <v>0</v>
      </c>
      <c r="AD410" s="2339">
        <f>IFERROR(AD671/AD331,0)</f>
        <v>0</v>
      </c>
      <c r="AE410" s="2337">
        <f t="shared" si="681"/>
        <v>0</v>
      </c>
      <c r="AF410" s="2281"/>
      <c r="AG410" s="2114"/>
      <c r="AH410" s="2345">
        <f>IFERROR(AH671/AH331,0)</f>
        <v>0</v>
      </c>
      <c r="AI410" s="2345">
        <f>IFERROR(AI671/AI331,0)</f>
        <v>0</v>
      </c>
      <c r="AJ410" s="2346">
        <f t="shared" si="733"/>
        <v>0</v>
      </c>
      <c r="AK410" s="2345">
        <f>IFERROR(AK671/AK331,0)</f>
        <v>0</v>
      </c>
      <c r="AL410" s="2345">
        <f>IFERROR(AL671/AL331,0)</f>
        <v>0</v>
      </c>
      <c r="AM410" s="2346">
        <f t="shared" si="734"/>
        <v>0</v>
      </c>
      <c r="AN410" s="2345">
        <f>IFERROR(AN671/AN331,0)</f>
        <v>0</v>
      </c>
      <c r="AO410" s="2345">
        <f>IFERROR(AO671/AO331,0)</f>
        <v>0</v>
      </c>
      <c r="AP410" s="2346">
        <f t="shared" si="735"/>
        <v>0</v>
      </c>
      <c r="AQ410" s="2345">
        <f>IFERROR(AQ671/AQ331,0)</f>
        <v>0</v>
      </c>
      <c r="AR410" s="2345">
        <f>IFERROR(AR671/AR331,0)</f>
        <v>0</v>
      </c>
      <c r="AS410" s="2346">
        <f t="shared" si="736"/>
        <v>0</v>
      </c>
      <c r="AT410" s="2345">
        <f>IFERROR(AT671/AT331,0)</f>
        <v>0</v>
      </c>
      <c r="AU410" s="2345">
        <f>IFERROR(AU671/AU331,0)</f>
        <v>0</v>
      </c>
      <c r="AV410" s="2346">
        <f t="shared" si="737"/>
        <v>0</v>
      </c>
      <c r="AW410" s="2345">
        <f>IFERROR(AW671/AW331,0)</f>
        <v>0</v>
      </c>
      <c r="AX410" s="2345">
        <f>IFERROR(AX671/AX331,0)</f>
        <v>0</v>
      </c>
      <c r="AY410" s="2346">
        <f t="shared" si="738"/>
        <v>0</v>
      </c>
      <c r="AZ410" s="2345">
        <f>IFERROR(AZ671/AZ331,0)</f>
        <v>0</v>
      </c>
      <c r="BA410" s="2345">
        <f>IFERROR(BA671/BA331,0)</f>
        <v>0</v>
      </c>
      <c r="BB410" s="2346">
        <f t="shared" si="739"/>
        <v>0</v>
      </c>
      <c r="BC410" s="2345">
        <f>IFERROR(BC671/BC331,0)</f>
        <v>0</v>
      </c>
      <c r="BD410" s="2345">
        <f>IFERROR(BD671/BD331,0)</f>
        <v>0</v>
      </c>
      <c r="BE410" s="2346">
        <f t="shared" si="740"/>
        <v>0</v>
      </c>
      <c r="BF410" s="2345">
        <f>IFERROR(BF671/BF331,0)</f>
        <v>0</v>
      </c>
      <c r="BG410" s="2345">
        <f>IFERROR(BG671/BG331,0)</f>
        <v>0</v>
      </c>
      <c r="BH410" s="2346">
        <f t="shared" si="741"/>
        <v>0</v>
      </c>
      <c r="BI410" s="2345">
        <f>IFERROR(BI671/BI331,0)</f>
        <v>0</v>
      </c>
      <c r="BJ410" s="2345">
        <f>IFERROR(BJ671/BJ331,0)</f>
        <v>0</v>
      </c>
      <c r="BK410" s="2346">
        <f t="shared" si="742"/>
        <v>0</v>
      </c>
      <c r="BL410" s="2345">
        <f>IFERROR(BL671/BL331,0)</f>
        <v>0</v>
      </c>
      <c r="BM410" s="2345">
        <f>IFERROR(BM671/BM331,0)</f>
        <v>0</v>
      </c>
      <c r="BN410" s="2346">
        <f t="shared" si="743"/>
        <v>0</v>
      </c>
      <c r="BO410" s="2345">
        <f>IFERROR(BO671/BO331,0)</f>
        <v>0</v>
      </c>
      <c r="BP410" s="2345">
        <f>IFERROR(BP671/BP331,0)</f>
        <v>0</v>
      </c>
      <c r="BQ410" s="2346">
        <f t="shared" si="744"/>
        <v>0</v>
      </c>
    </row>
    <row r="411" spans="3:69" s="2087" customFormat="1" hidden="1">
      <c r="C411" s="2285" t="s">
        <v>2559</v>
      </c>
      <c r="D411" s="2350" t="s">
        <v>2545</v>
      </c>
      <c r="E411" s="2351" t="s">
        <v>2519</v>
      </c>
      <c r="F411" s="2176"/>
      <c r="G411" s="2252">
        <f>IFERROR(G672/G332,0)</f>
        <v>0</v>
      </c>
      <c r="H411" s="2252">
        <f>IFERROR(H672/H332,0)</f>
        <v>0</v>
      </c>
      <c r="I411" s="2178">
        <f t="shared" si="745"/>
        <v>0</v>
      </c>
      <c r="J411" s="2176"/>
      <c r="K411" s="2252">
        <f>IFERROR(K672/K332,0)</f>
        <v>0</v>
      </c>
      <c r="L411" s="2252">
        <f>IFERROR(L672/L332,0)</f>
        <v>0</v>
      </c>
      <c r="M411" s="2255">
        <f t="shared" si="746"/>
        <v>0</v>
      </c>
      <c r="N411" s="2177"/>
      <c r="O411" s="2177"/>
      <c r="P411" s="2178">
        <f t="shared" si="677"/>
        <v>0</v>
      </c>
      <c r="Q411" s="2176"/>
      <c r="R411" s="2177"/>
      <c r="S411" s="2180">
        <f t="shared" si="678"/>
        <v>0</v>
      </c>
      <c r="T411" s="2251">
        <f t="shared" si="679"/>
        <v>0</v>
      </c>
      <c r="U411" s="2252">
        <f t="shared" si="672"/>
        <v>0</v>
      </c>
      <c r="V411" s="2253">
        <f t="shared" si="673"/>
        <v>0</v>
      </c>
      <c r="W411" s="2182"/>
      <c r="X411" s="2177"/>
      <c r="Y411" s="2183">
        <f t="shared" si="680"/>
        <v>0</v>
      </c>
      <c r="Z411" s="2254">
        <f>IFERROR(Z672/Z332,0)</f>
        <v>0</v>
      </c>
      <c r="AA411" s="2252">
        <f>IFERROR(AA672/AA332,0)</f>
        <v>0</v>
      </c>
      <c r="AB411" s="2255">
        <f t="shared" si="747"/>
        <v>0</v>
      </c>
      <c r="AC411" s="2176"/>
      <c r="AD411" s="2177"/>
      <c r="AE411" s="2180">
        <f t="shared" si="681"/>
        <v>0</v>
      </c>
      <c r="AF411" s="2281"/>
      <c r="AG411" s="2114"/>
      <c r="AH411" s="2177"/>
      <c r="AI411" s="2177"/>
      <c r="AJ411" s="2186">
        <f t="shared" si="733"/>
        <v>0</v>
      </c>
      <c r="AK411" s="2177"/>
      <c r="AL411" s="2177"/>
      <c r="AM411" s="2186">
        <f t="shared" si="734"/>
        <v>0</v>
      </c>
      <c r="AN411" s="2177"/>
      <c r="AO411" s="2177"/>
      <c r="AP411" s="2186">
        <f t="shared" si="735"/>
        <v>0</v>
      </c>
      <c r="AQ411" s="2177"/>
      <c r="AR411" s="2177"/>
      <c r="AS411" s="2186">
        <f t="shared" si="736"/>
        <v>0</v>
      </c>
      <c r="AT411" s="2177"/>
      <c r="AU411" s="2177"/>
      <c r="AV411" s="2186">
        <f t="shared" si="737"/>
        <v>0</v>
      </c>
      <c r="AW411" s="2177"/>
      <c r="AX411" s="2177"/>
      <c r="AY411" s="2186">
        <f t="shared" si="738"/>
        <v>0</v>
      </c>
      <c r="AZ411" s="2177"/>
      <c r="BA411" s="2177"/>
      <c r="BB411" s="2186">
        <f t="shared" si="739"/>
        <v>0</v>
      </c>
      <c r="BC411" s="2177"/>
      <c r="BD411" s="2177"/>
      <c r="BE411" s="2186">
        <f t="shared" si="740"/>
        <v>0</v>
      </c>
      <c r="BF411" s="2177"/>
      <c r="BG411" s="2177"/>
      <c r="BH411" s="2186">
        <f t="shared" si="741"/>
        <v>0</v>
      </c>
      <c r="BI411" s="2177"/>
      <c r="BJ411" s="2177"/>
      <c r="BK411" s="2186">
        <f t="shared" si="742"/>
        <v>0</v>
      </c>
      <c r="BL411" s="2177"/>
      <c r="BM411" s="2177"/>
      <c r="BN411" s="2186">
        <f t="shared" si="743"/>
        <v>0</v>
      </c>
      <c r="BO411" s="2177"/>
      <c r="BP411" s="2177"/>
      <c r="BQ411" s="2186">
        <f t="shared" si="744"/>
        <v>0</v>
      </c>
    </row>
    <row r="412" spans="3:69" s="2087" customFormat="1" hidden="1">
      <c r="C412" s="2285" t="s">
        <v>2560</v>
      </c>
      <c r="D412" s="2286" t="s">
        <v>2229</v>
      </c>
      <c r="E412" s="2347" t="s">
        <v>2519</v>
      </c>
      <c r="F412" s="2176"/>
      <c r="G412" s="2336">
        <f t="shared" ref="G412:H412" si="751">IFERROR(G673/G333,0)</f>
        <v>0</v>
      </c>
      <c r="H412" s="2336">
        <f t="shared" si="751"/>
        <v>0</v>
      </c>
      <c r="I412" s="2337">
        <f t="shared" si="745"/>
        <v>0</v>
      </c>
      <c r="J412" s="2338"/>
      <c r="K412" s="2339">
        <f t="shared" ref="K412:L412" si="752">IFERROR(K673/K333,0)</f>
        <v>0</v>
      </c>
      <c r="L412" s="2339">
        <f t="shared" si="752"/>
        <v>0</v>
      </c>
      <c r="M412" s="2337">
        <f t="shared" si="746"/>
        <v>0</v>
      </c>
      <c r="N412" s="2339">
        <f>IFERROR(N673/N333,0)</f>
        <v>0</v>
      </c>
      <c r="O412" s="2339">
        <f>IFERROR(O673/O333,0)</f>
        <v>0</v>
      </c>
      <c r="P412" s="2337">
        <f t="shared" si="677"/>
        <v>0</v>
      </c>
      <c r="Q412" s="2339">
        <f>IFERROR(Q673/Q333,0)</f>
        <v>0</v>
      </c>
      <c r="R412" s="2339">
        <f>IFERROR(R673/R333,0)</f>
        <v>0</v>
      </c>
      <c r="S412" s="2337">
        <f t="shared" si="678"/>
        <v>0</v>
      </c>
      <c r="T412" s="2340">
        <f>Q412</f>
        <v>0</v>
      </c>
      <c r="U412" s="2339">
        <f>R412</f>
        <v>0</v>
      </c>
      <c r="V412" s="2341">
        <f t="shared" si="673"/>
        <v>0</v>
      </c>
      <c r="W412" s="2342">
        <f>IFERROR(W673/W333,0)</f>
        <v>0</v>
      </c>
      <c r="X412" s="2339">
        <f>IFERROR(X673/X333,0)</f>
        <v>0</v>
      </c>
      <c r="Y412" s="2343">
        <f t="shared" si="680"/>
        <v>0</v>
      </c>
      <c r="Z412" s="2344">
        <f t="shared" ref="Z412:AA412" si="753">IFERROR(Z673/Z333,0)</f>
        <v>0</v>
      </c>
      <c r="AA412" s="2339">
        <f t="shared" si="753"/>
        <v>0</v>
      </c>
      <c r="AB412" s="2337">
        <f t="shared" si="747"/>
        <v>0</v>
      </c>
      <c r="AC412" s="2339">
        <f>IFERROR(AC673/AC333,0)</f>
        <v>0</v>
      </c>
      <c r="AD412" s="2339">
        <f>IFERROR(AD673/AD333,0)</f>
        <v>0</v>
      </c>
      <c r="AE412" s="2337">
        <f t="shared" si="681"/>
        <v>0</v>
      </c>
      <c r="AF412" s="2281"/>
      <c r="AG412" s="2114"/>
      <c r="AH412" s="2345">
        <f>IFERROR(AH673/AH333,0)</f>
        <v>0</v>
      </c>
      <c r="AI412" s="2345">
        <f>IFERROR(AI673/AI333,0)</f>
        <v>0</v>
      </c>
      <c r="AJ412" s="2346">
        <f t="shared" si="733"/>
        <v>0</v>
      </c>
      <c r="AK412" s="2345">
        <f>IFERROR(AK673/AK333,0)</f>
        <v>0</v>
      </c>
      <c r="AL412" s="2345">
        <f>IFERROR(AL673/AL333,0)</f>
        <v>0</v>
      </c>
      <c r="AM412" s="2346">
        <f t="shared" si="734"/>
        <v>0</v>
      </c>
      <c r="AN412" s="2345">
        <f>IFERROR(AN673/AN333,0)</f>
        <v>0</v>
      </c>
      <c r="AO412" s="2345">
        <f>IFERROR(AO673/AO333,0)</f>
        <v>0</v>
      </c>
      <c r="AP412" s="2346">
        <f t="shared" si="735"/>
        <v>0</v>
      </c>
      <c r="AQ412" s="2345">
        <f>IFERROR(AQ673/AQ333,0)</f>
        <v>0</v>
      </c>
      <c r="AR412" s="2345">
        <f>IFERROR(AR673/AR333,0)</f>
        <v>0</v>
      </c>
      <c r="AS412" s="2346">
        <f t="shared" si="736"/>
        <v>0</v>
      </c>
      <c r="AT412" s="2345">
        <f>IFERROR(AT673/AT333,0)</f>
        <v>0</v>
      </c>
      <c r="AU412" s="2345">
        <f>IFERROR(AU673/AU333,0)</f>
        <v>0</v>
      </c>
      <c r="AV412" s="2346">
        <f t="shared" si="737"/>
        <v>0</v>
      </c>
      <c r="AW412" s="2345">
        <f>IFERROR(AW673/AW333,0)</f>
        <v>0</v>
      </c>
      <c r="AX412" s="2345">
        <f>IFERROR(AX673/AX333,0)</f>
        <v>0</v>
      </c>
      <c r="AY412" s="2346">
        <f t="shared" si="738"/>
        <v>0</v>
      </c>
      <c r="AZ412" s="2345">
        <f>IFERROR(AZ673/AZ333,0)</f>
        <v>0</v>
      </c>
      <c r="BA412" s="2345">
        <f>IFERROR(BA673/BA333,0)</f>
        <v>0</v>
      </c>
      <c r="BB412" s="2346">
        <f t="shared" si="739"/>
        <v>0</v>
      </c>
      <c r="BC412" s="2345">
        <f>IFERROR(BC673/BC333,0)</f>
        <v>0</v>
      </c>
      <c r="BD412" s="2345">
        <f>IFERROR(BD673/BD333,0)</f>
        <v>0</v>
      </c>
      <c r="BE412" s="2346">
        <f t="shared" si="740"/>
        <v>0</v>
      </c>
      <c r="BF412" s="2345">
        <f>IFERROR(BF673/BF333,0)</f>
        <v>0</v>
      </c>
      <c r="BG412" s="2345">
        <f>IFERROR(BG673/BG333,0)</f>
        <v>0</v>
      </c>
      <c r="BH412" s="2346">
        <f t="shared" si="741"/>
        <v>0</v>
      </c>
      <c r="BI412" s="2345">
        <f>IFERROR(BI673/BI333,0)</f>
        <v>0</v>
      </c>
      <c r="BJ412" s="2345">
        <f>IFERROR(BJ673/BJ333,0)</f>
        <v>0</v>
      </c>
      <c r="BK412" s="2346">
        <f t="shared" si="742"/>
        <v>0</v>
      </c>
      <c r="BL412" s="2345">
        <f>IFERROR(BL673/BL333,0)</f>
        <v>0</v>
      </c>
      <c r="BM412" s="2345">
        <f>IFERROR(BM673/BM333,0)</f>
        <v>0</v>
      </c>
      <c r="BN412" s="2346">
        <f t="shared" si="743"/>
        <v>0</v>
      </c>
      <c r="BO412" s="2345">
        <f>IFERROR(BO673/BO333,0)</f>
        <v>0</v>
      </c>
      <c r="BP412" s="2345">
        <f>IFERROR(BP673/BP333,0)</f>
        <v>0</v>
      </c>
      <c r="BQ412" s="2346">
        <f t="shared" si="744"/>
        <v>0</v>
      </c>
    </row>
    <row r="413" spans="3:69" s="2087" customFormat="1" hidden="1">
      <c r="C413" s="2173" t="s">
        <v>2561</v>
      </c>
      <c r="D413" s="2311" t="str">
        <f>D334</f>
        <v>Контрагент 4</v>
      </c>
      <c r="E413" s="2264"/>
      <c r="F413" s="2265"/>
      <c r="G413" s="2268"/>
      <c r="H413" s="2268"/>
      <c r="I413" s="2186"/>
      <c r="J413" s="2265"/>
      <c r="K413" s="2268"/>
      <c r="L413" s="2268"/>
      <c r="M413" s="2273"/>
      <c r="N413" s="2188"/>
      <c r="O413" s="2188"/>
      <c r="P413" s="2186"/>
      <c r="Q413" s="2265"/>
      <c r="R413" s="2188"/>
      <c r="S413" s="2266"/>
      <c r="T413" s="2251">
        <f t="shared" si="679"/>
        <v>0</v>
      </c>
      <c r="U413" s="2252">
        <f t="shared" si="672"/>
        <v>0</v>
      </c>
      <c r="V413" s="2253">
        <f t="shared" si="673"/>
        <v>0</v>
      </c>
      <c r="W413" s="2270"/>
      <c r="X413" s="2188"/>
      <c r="Y413" s="2271"/>
      <c r="Z413" s="2272"/>
      <c r="AA413" s="2268"/>
      <c r="AB413" s="2273"/>
      <c r="AC413" s="2265"/>
      <c r="AD413" s="2188"/>
      <c r="AE413" s="2266"/>
      <c r="AF413" s="2281"/>
      <c r="AG413" s="2114"/>
      <c r="AH413" s="2188"/>
      <c r="AI413" s="2188"/>
      <c r="AJ413" s="2186"/>
      <c r="AK413" s="2188"/>
      <c r="AL413" s="2188"/>
      <c r="AM413" s="2186"/>
      <c r="AN413" s="2188"/>
      <c r="AO413" s="2188"/>
      <c r="AP413" s="2186"/>
      <c r="AQ413" s="2188"/>
      <c r="AR413" s="2188"/>
      <c r="AS413" s="2186"/>
      <c r="AT413" s="2188"/>
      <c r="AU413" s="2188"/>
      <c r="AV413" s="2186"/>
      <c r="AW413" s="2188"/>
      <c r="AX413" s="2188"/>
      <c r="AY413" s="2186"/>
      <c r="AZ413" s="2188"/>
      <c r="BA413" s="2188"/>
      <c r="BB413" s="2186"/>
      <c r="BC413" s="2188"/>
      <c r="BD413" s="2188"/>
      <c r="BE413" s="2186"/>
      <c r="BF413" s="2188"/>
      <c r="BG413" s="2188"/>
      <c r="BH413" s="2186"/>
      <c r="BI413" s="2188"/>
      <c r="BJ413" s="2188"/>
      <c r="BK413" s="2186"/>
      <c r="BL413" s="2188"/>
      <c r="BM413" s="2188"/>
      <c r="BN413" s="2186"/>
      <c r="BO413" s="2188"/>
      <c r="BP413" s="2188"/>
      <c r="BQ413" s="2186"/>
    </row>
    <row r="414" spans="3:69" s="2087" customFormat="1" hidden="1">
      <c r="C414" s="2173" t="s">
        <v>2562</v>
      </c>
      <c r="D414" s="2348" t="s">
        <v>2539</v>
      </c>
      <c r="E414" s="2349" t="s">
        <v>2511</v>
      </c>
      <c r="F414" s="2176"/>
      <c r="G414" s="2252">
        <f>IFERROR(G676/G336/12*1000,0)</f>
        <v>0</v>
      </c>
      <c r="H414" s="2252">
        <f>IFERROR(H676/H336/12*1000,0)</f>
        <v>0</v>
      </c>
      <c r="I414" s="2178">
        <f>H414-G414</f>
        <v>0</v>
      </c>
      <c r="J414" s="2176"/>
      <c r="K414" s="2252">
        <f>IFERROR(K676/K336/12*1000,0)</f>
        <v>0</v>
      </c>
      <c r="L414" s="2252">
        <f>IFERROR(L676/L336/12*1000,0)</f>
        <v>0</v>
      </c>
      <c r="M414" s="2255">
        <f>L414-K414</f>
        <v>0</v>
      </c>
      <c r="N414" s="2177"/>
      <c r="O414" s="2177"/>
      <c r="P414" s="2178">
        <f t="shared" si="677"/>
        <v>0</v>
      </c>
      <c r="Q414" s="2176"/>
      <c r="R414" s="2177"/>
      <c r="S414" s="2180">
        <f t="shared" si="678"/>
        <v>0</v>
      </c>
      <c r="T414" s="2251">
        <f t="shared" si="679"/>
        <v>0</v>
      </c>
      <c r="U414" s="2252">
        <f t="shared" si="672"/>
        <v>0</v>
      </c>
      <c r="V414" s="2253">
        <f t="shared" si="673"/>
        <v>0</v>
      </c>
      <c r="W414" s="2182"/>
      <c r="X414" s="2177"/>
      <c r="Y414" s="2183">
        <f t="shared" si="680"/>
        <v>0</v>
      </c>
      <c r="Z414" s="2254">
        <f>IFERROR(Z676/Z336/9*1000,0)</f>
        <v>0</v>
      </c>
      <c r="AA414" s="2252">
        <f>IFERROR(AA676/AA336/9*1000,0)</f>
        <v>0</v>
      </c>
      <c r="AB414" s="2255">
        <f>AA414-Z414</f>
        <v>0</v>
      </c>
      <c r="AC414" s="2176"/>
      <c r="AD414" s="2177"/>
      <c r="AE414" s="2180">
        <f t="shared" si="681"/>
        <v>0</v>
      </c>
      <c r="AF414" s="2281"/>
      <c r="AG414" s="2114"/>
      <c r="AH414" s="2177"/>
      <c r="AI414" s="2177"/>
      <c r="AJ414" s="2186">
        <f t="shared" ref="AJ414:AJ419" si="754">AI414-AH414</f>
        <v>0</v>
      </c>
      <c r="AK414" s="2177"/>
      <c r="AL414" s="2177"/>
      <c r="AM414" s="2186">
        <f t="shared" ref="AM414:AM419" si="755">AL414-AK414</f>
        <v>0</v>
      </c>
      <c r="AN414" s="2177"/>
      <c r="AO414" s="2177"/>
      <c r="AP414" s="2186">
        <f t="shared" ref="AP414:AP419" si="756">AO414-AN414</f>
        <v>0</v>
      </c>
      <c r="AQ414" s="2177"/>
      <c r="AR414" s="2177"/>
      <c r="AS414" s="2186">
        <f t="shared" ref="AS414:AS419" si="757">AR414-AQ414</f>
        <v>0</v>
      </c>
      <c r="AT414" s="2177"/>
      <c r="AU414" s="2177"/>
      <c r="AV414" s="2186">
        <f t="shared" ref="AV414:AV419" si="758">AU414-AT414</f>
        <v>0</v>
      </c>
      <c r="AW414" s="2177"/>
      <c r="AX414" s="2177"/>
      <c r="AY414" s="2186">
        <f t="shared" ref="AY414:AY419" si="759">AX414-AW414</f>
        <v>0</v>
      </c>
      <c r="AZ414" s="2177"/>
      <c r="BA414" s="2177"/>
      <c r="BB414" s="2186">
        <f t="shared" ref="BB414:BB419" si="760">BA414-AZ414</f>
        <v>0</v>
      </c>
      <c r="BC414" s="2177"/>
      <c r="BD414" s="2177"/>
      <c r="BE414" s="2186">
        <f t="shared" ref="BE414:BE419" si="761">BD414-BC414</f>
        <v>0</v>
      </c>
      <c r="BF414" s="2177"/>
      <c r="BG414" s="2177"/>
      <c r="BH414" s="2186">
        <f t="shared" ref="BH414:BH419" si="762">BG414-BF414</f>
        <v>0</v>
      </c>
      <c r="BI414" s="2177"/>
      <c r="BJ414" s="2177"/>
      <c r="BK414" s="2186">
        <f t="shared" ref="BK414:BK419" si="763">BJ414-BI414</f>
        <v>0</v>
      </c>
      <c r="BL414" s="2177"/>
      <c r="BM414" s="2177"/>
      <c r="BN414" s="2186">
        <f t="shared" ref="BN414:BN419" si="764">BM414-BL414</f>
        <v>0</v>
      </c>
      <c r="BO414" s="2177"/>
      <c r="BP414" s="2177"/>
      <c r="BQ414" s="2186">
        <f t="shared" ref="BQ414:BQ419" si="765">BP414-BO414</f>
        <v>0</v>
      </c>
    </row>
    <row r="415" spans="3:69" s="2087" customFormat="1" hidden="1">
      <c r="C415" s="2285" t="s">
        <v>2563</v>
      </c>
      <c r="D415" s="2286" t="s">
        <v>2229</v>
      </c>
      <c r="E415" s="2335" t="s">
        <v>2511</v>
      </c>
      <c r="F415" s="2176"/>
      <c r="G415" s="2336">
        <f>IFERROR(G677/G337/12*1000,0)</f>
        <v>0</v>
      </c>
      <c r="H415" s="2336">
        <f>IFERROR(H677/H337/12*1000,0)</f>
        <v>0</v>
      </c>
      <c r="I415" s="2337">
        <f t="shared" ref="I415:I419" si="766">H415-G415</f>
        <v>0</v>
      </c>
      <c r="J415" s="2338"/>
      <c r="K415" s="2339">
        <f>IFERROR(K677/K337/12*1000,0)</f>
        <v>0</v>
      </c>
      <c r="L415" s="2339">
        <f>IFERROR(L677/L337/12*1000,0)</f>
        <v>0</v>
      </c>
      <c r="M415" s="2337">
        <f t="shared" ref="M415:M419" si="767">L415-K415</f>
        <v>0</v>
      </c>
      <c r="N415" s="2339">
        <f>IFERROR(N677/N337/3*1000,0)</f>
        <v>0</v>
      </c>
      <c r="O415" s="2339">
        <f>IFERROR(O677/O337/3*1000,0)</f>
        <v>0</v>
      </c>
      <c r="P415" s="2337">
        <f t="shared" si="677"/>
        <v>0</v>
      </c>
      <c r="Q415" s="2339">
        <f>IFERROR(Q677/Q337/3*1000,0)</f>
        <v>0</v>
      </c>
      <c r="R415" s="2339">
        <f>IFERROR(R677/R337/3*1000,0)</f>
        <v>0</v>
      </c>
      <c r="S415" s="2337">
        <f t="shared" si="678"/>
        <v>0</v>
      </c>
      <c r="T415" s="2340">
        <f t="shared" si="679"/>
        <v>0</v>
      </c>
      <c r="U415" s="2339">
        <f>R415</f>
        <v>0</v>
      </c>
      <c r="V415" s="2341">
        <f t="shared" si="673"/>
        <v>0</v>
      </c>
      <c r="W415" s="2342">
        <f>IFERROR(W677/W337/3*1000,0)</f>
        <v>0</v>
      </c>
      <c r="X415" s="2339">
        <f>IFERROR(X677/X337/3*1000,0)</f>
        <v>0</v>
      </c>
      <c r="Y415" s="2343">
        <f t="shared" si="680"/>
        <v>0</v>
      </c>
      <c r="Z415" s="2344">
        <f>IFERROR(Z677/Z337/9*1000,0)</f>
        <v>0</v>
      </c>
      <c r="AA415" s="2339">
        <f>IFERROR(AA674/AA334/9*1000,0)</f>
        <v>0</v>
      </c>
      <c r="AB415" s="2337">
        <f t="shared" ref="AB415:AB419" si="768">AA415-Z415</f>
        <v>0</v>
      </c>
      <c r="AC415" s="2339">
        <f>IFERROR(AC677/AC337/3*1000,0)</f>
        <v>0</v>
      </c>
      <c r="AD415" s="2339">
        <f>IFERROR(AD677/AD337/3*1000,0)</f>
        <v>0</v>
      </c>
      <c r="AE415" s="2337">
        <f t="shared" si="681"/>
        <v>0</v>
      </c>
      <c r="AF415" s="2281"/>
      <c r="AG415" s="2114"/>
      <c r="AH415" s="2345">
        <f>IFERROR(AH677/AH337/3*1000,0)</f>
        <v>0</v>
      </c>
      <c r="AI415" s="2345">
        <f>IFERROR(AI677/AI337/3*1000,0)</f>
        <v>0</v>
      </c>
      <c r="AJ415" s="2346">
        <f t="shared" si="754"/>
        <v>0</v>
      </c>
      <c r="AK415" s="2345">
        <f>IFERROR(AK677/AK337/3*1000,0)</f>
        <v>0</v>
      </c>
      <c r="AL415" s="2345">
        <f>IFERROR(AL677/AL337/3*1000,0)</f>
        <v>0</v>
      </c>
      <c r="AM415" s="2346">
        <f t="shared" si="755"/>
        <v>0</v>
      </c>
      <c r="AN415" s="2345">
        <f>IFERROR(AN677/AN337/3*1000,0)</f>
        <v>0</v>
      </c>
      <c r="AO415" s="2345">
        <f>IFERROR(AO677/AO337/3*1000,0)</f>
        <v>0</v>
      </c>
      <c r="AP415" s="2346">
        <f t="shared" si="756"/>
        <v>0</v>
      </c>
      <c r="AQ415" s="2345">
        <f>IFERROR(AQ677/AQ337/3*1000,0)</f>
        <v>0</v>
      </c>
      <c r="AR415" s="2345">
        <f>IFERROR(AR677/AR337/3*1000,0)</f>
        <v>0</v>
      </c>
      <c r="AS415" s="2346">
        <f t="shared" si="757"/>
        <v>0</v>
      </c>
      <c r="AT415" s="2345">
        <f>IFERROR(AT677/AT337/3*1000,0)</f>
        <v>0</v>
      </c>
      <c r="AU415" s="2345">
        <f>IFERROR(AU677/AU337/3*1000,0)</f>
        <v>0</v>
      </c>
      <c r="AV415" s="2346">
        <f t="shared" si="758"/>
        <v>0</v>
      </c>
      <c r="AW415" s="2345">
        <f>IFERROR(AW677/AW337/3*1000,0)</f>
        <v>0</v>
      </c>
      <c r="AX415" s="2345">
        <f>IFERROR(AX677/AX337/3*1000,0)</f>
        <v>0</v>
      </c>
      <c r="AY415" s="2346">
        <f t="shared" si="759"/>
        <v>0</v>
      </c>
      <c r="AZ415" s="2345">
        <f>IFERROR(AZ677/AZ337/3*1000,0)</f>
        <v>0</v>
      </c>
      <c r="BA415" s="2345">
        <f>IFERROR(BA677/BA337/3*1000,0)</f>
        <v>0</v>
      </c>
      <c r="BB415" s="2346">
        <f t="shared" si="760"/>
        <v>0</v>
      </c>
      <c r="BC415" s="2345">
        <f>IFERROR(BC677/BC337/3*1000,0)</f>
        <v>0</v>
      </c>
      <c r="BD415" s="2345">
        <f>IFERROR(BD677/BD337/3*1000,0)</f>
        <v>0</v>
      </c>
      <c r="BE415" s="2346">
        <f t="shared" si="761"/>
        <v>0</v>
      </c>
      <c r="BF415" s="2345">
        <f>IFERROR(BF677/BF337/3*1000,0)</f>
        <v>0</v>
      </c>
      <c r="BG415" s="2345">
        <f>IFERROR(BG677/BG337/3*1000,0)</f>
        <v>0</v>
      </c>
      <c r="BH415" s="2346">
        <f t="shared" si="762"/>
        <v>0</v>
      </c>
      <c r="BI415" s="2345">
        <f>IFERROR(BI677/BI337/3*1000,0)</f>
        <v>0</v>
      </c>
      <c r="BJ415" s="2345">
        <f>IFERROR(BJ677/BJ337/3*1000,0)</f>
        <v>0</v>
      </c>
      <c r="BK415" s="2346">
        <f t="shared" si="763"/>
        <v>0</v>
      </c>
      <c r="BL415" s="2345">
        <f>IFERROR(BL677/BL337/3*1000,0)</f>
        <v>0</v>
      </c>
      <c r="BM415" s="2345">
        <f>IFERROR(BM677/BM337/3*1000,0)</f>
        <v>0</v>
      </c>
      <c r="BN415" s="2346">
        <f t="shared" si="764"/>
        <v>0</v>
      </c>
      <c r="BO415" s="2345">
        <f>IFERROR(BO677/BO337/3*1000,0)</f>
        <v>0</v>
      </c>
      <c r="BP415" s="2345">
        <f>IFERROR(BP677/BP337/3*1000,0)</f>
        <v>0</v>
      </c>
      <c r="BQ415" s="2346">
        <f t="shared" si="765"/>
        <v>0</v>
      </c>
    </row>
    <row r="416" spans="3:69" s="2087" customFormat="1" hidden="1">
      <c r="C416" s="2285" t="s">
        <v>2564</v>
      </c>
      <c r="D416" s="2350" t="s">
        <v>2542</v>
      </c>
      <c r="E416" s="2351" t="s">
        <v>2519</v>
      </c>
      <c r="F416" s="2176"/>
      <c r="G416" s="2252">
        <f>IFERROR(G678/G338,0)</f>
        <v>0</v>
      </c>
      <c r="H416" s="2252">
        <f>IFERROR(H678/H338,0)</f>
        <v>0</v>
      </c>
      <c r="I416" s="2178">
        <f t="shared" si="766"/>
        <v>0</v>
      </c>
      <c r="J416" s="2176"/>
      <c r="K416" s="2252">
        <f>IFERROR(K678/K338,0)</f>
        <v>0</v>
      </c>
      <c r="L416" s="2252">
        <f>IFERROR(L678/L338,0)</f>
        <v>0</v>
      </c>
      <c r="M416" s="2255">
        <f t="shared" si="767"/>
        <v>0</v>
      </c>
      <c r="N416" s="2177"/>
      <c r="O416" s="2177"/>
      <c r="P416" s="2178">
        <f t="shared" si="677"/>
        <v>0</v>
      </c>
      <c r="Q416" s="2176"/>
      <c r="R416" s="2177"/>
      <c r="S416" s="2180">
        <f t="shared" si="678"/>
        <v>0</v>
      </c>
      <c r="T416" s="2251">
        <f t="shared" si="679"/>
        <v>0</v>
      </c>
      <c r="U416" s="2252">
        <f t="shared" si="672"/>
        <v>0</v>
      </c>
      <c r="V416" s="2253">
        <f t="shared" si="673"/>
        <v>0</v>
      </c>
      <c r="W416" s="2182"/>
      <c r="X416" s="2177"/>
      <c r="Y416" s="2183">
        <f t="shared" si="680"/>
        <v>0</v>
      </c>
      <c r="Z416" s="2254">
        <f>IFERROR(Z678/Z338,0)</f>
        <v>0</v>
      </c>
      <c r="AA416" s="2252">
        <f>IFERROR(AA678/AA338,0)</f>
        <v>0</v>
      </c>
      <c r="AB416" s="2255">
        <f t="shared" si="768"/>
        <v>0</v>
      </c>
      <c r="AC416" s="2176"/>
      <c r="AD416" s="2177"/>
      <c r="AE416" s="2180">
        <f t="shared" si="681"/>
        <v>0</v>
      </c>
      <c r="AF416" s="2281"/>
      <c r="AG416" s="2114"/>
      <c r="AH416" s="2177"/>
      <c r="AI416" s="2177"/>
      <c r="AJ416" s="2186">
        <f t="shared" si="754"/>
        <v>0</v>
      </c>
      <c r="AK416" s="2177"/>
      <c r="AL416" s="2177"/>
      <c r="AM416" s="2186">
        <f t="shared" si="755"/>
        <v>0</v>
      </c>
      <c r="AN416" s="2177"/>
      <c r="AO416" s="2177"/>
      <c r="AP416" s="2186">
        <f t="shared" si="756"/>
        <v>0</v>
      </c>
      <c r="AQ416" s="2177"/>
      <c r="AR416" s="2177"/>
      <c r="AS416" s="2186">
        <f t="shared" si="757"/>
        <v>0</v>
      </c>
      <c r="AT416" s="2177"/>
      <c r="AU416" s="2177"/>
      <c r="AV416" s="2186">
        <f t="shared" si="758"/>
        <v>0</v>
      </c>
      <c r="AW416" s="2177"/>
      <c r="AX416" s="2177"/>
      <c r="AY416" s="2186">
        <f t="shared" si="759"/>
        <v>0</v>
      </c>
      <c r="AZ416" s="2177"/>
      <c r="BA416" s="2177"/>
      <c r="BB416" s="2186">
        <f t="shared" si="760"/>
        <v>0</v>
      </c>
      <c r="BC416" s="2177"/>
      <c r="BD416" s="2177"/>
      <c r="BE416" s="2186">
        <f t="shared" si="761"/>
        <v>0</v>
      </c>
      <c r="BF416" s="2177"/>
      <c r="BG416" s="2177"/>
      <c r="BH416" s="2186">
        <f t="shared" si="762"/>
        <v>0</v>
      </c>
      <c r="BI416" s="2177"/>
      <c r="BJ416" s="2177"/>
      <c r="BK416" s="2186">
        <f t="shared" si="763"/>
        <v>0</v>
      </c>
      <c r="BL416" s="2177"/>
      <c r="BM416" s="2177"/>
      <c r="BN416" s="2186">
        <f t="shared" si="764"/>
        <v>0</v>
      </c>
      <c r="BO416" s="2177"/>
      <c r="BP416" s="2177"/>
      <c r="BQ416" s="2186">
        <f t="shared" si="765"/>
        <v>0</v>
      </c>
    </row>
    <row r="417" spans="3:69" s="2087" customFormat="1" hidden="1">
      <c r="C417" s="2285" t="s">
        <v>2565</v>
      </c>
      <c r="D417" s="2286" t="s">
        <v>2229</v>
      </c>
      <c r="E417" s="2347" t="s">
        <v>2519</v>
      </c>
      <c r="F417" s="2176"/>
      <c r="G417" s="2336">
        <f t="shared" ref="G417:H417" si="769">IFERROR(G679/G339,0)</f>
        <v>0</v>
      </c>
      <c r="H417" s="2336">
        <f t="shared" si="769"/>
        <v>0</v>
      </c>
      <c r="I417" s="2337">
        <f t="shared" si="766"/>
        <v>0</v>
      </c>
      <c r="J417" s="2338"/>
      <c r="K417" s="2339">
        <f t="shared" ref="K417:L417" si="770">IFERROR(K679/K339,0)</f>
        <v>0</v>
      </c>
      <c r="L417" s="2339">
        <f t="shared" si="770"/>
        <v>0</v>
      </c>
      <c r="M417" s="2337">
        <f t="shared" si="767"/>
        <v>0</v>
      </c>
      <c r="N417" s="2339">
        <f>IFERROR(N679/N339,0)</f>
        <v>0</v>
      </c>
      <c r="O417" s="2339">
        <f>IFERROR(O679/O339,0)</f>
        <v>0</v>
      </c>
      <c r="P417" s="2337">
        <f t="shared" si="677"/>
        <v>0</v>
      </c>
      <c r="Q417" s="2339">
        <f>IFERROR(Q679/Q339,0)</f>
        <v>0</v>
      </c>
      <c r="R417" s="2339">
        <f>IFERROR(R679/R339,0)</f>
        <v>0</v>
      </c>
      <c r="S417" s="2337">
        <f t="shared" si="678"/>
        <v>0</v>
      </c>
      <c r="T417" s="2340">
        <f t="shared" si="679"/>
        <v>0</v>
      </c>
      <c r="U417" s="2339">
        <f>R417</f>
        <v>0</v>
      </c>
      <c r="V417" s="2341">
        <f t="shared" si="673"/>
        <v>0</v>
      </c>
      <c r="W417" s="2342">
        <f>IFERROR(W679/W339,0)</f>
        <v>0</v>
      </c>
      <c r="X417" s="2339">
        <f>IFERROR(X679/X339,0)</f>
        <v>0</v>
      </c>
      <c r="Y417" s="2343">
        <f t="shared" si="680"/>
        <v>0</v>
      </c>
      <c r="Z417" s="2344">
        <f t="shared" ref="Z417:AA417" si="771">IFERROR(Z679/Z339,0)</f>
        <v>0</v>
      </c>
      <c r="AA417" s="2339">
        <f t="shared" si="771"/>
        <v>0</v>
      </c>
      <c r="AB417" s="2337">
        <f t="shared" si="768"/>
        <v>0</v>
      </c>
      <c r="AC417" s="2339">
        <f>IFERROR(AC679/AC339,0)</f>
        <v>0</v>
      </c>
      <c r="AD417" s="2339">
        <f>IFERROR(AD679/AD339,0)</f>
        <v>0</v>
      </c>
      <c r="AE417" s="2337">
        <f t="shared" si="681"/>
        <v>0</v>
      </c>
      <c r="AF417" s="2281"/>
      <c r="AG417" s="2114"/>
      <c r="AH417" s="2345">
        <f>IFERROR(AH679/AH339,0)</f>
        <v>0</v>
      </c>
      <c r="AI417" s="2345">
        <f>IFERROR(AI679/AI339,0)</f>
        <v>0</v>
      </c>
      <c r="AJ417" s="2346">
        <f t="shared" si="754"/>
        <v>0</v>
      </c>
      <c r="AK417" s="2345">
        <f>IFERROR(AK679/AK339,0)</f>
        <v>0</v>
      </c>
      <c r="AL417" s="2345">
        <f>IFERROR(AL679/AL339,0)</f>
        <v>0</v>
      </c>
      <c r="AM417" s="2346">
        <f t="shared" si="755"/>
        <v>0</v>
      </c>
      <c r="AN417" s="2345">
        <f>IFERROR(AN679/AN339,0)</f>
        <v>0</v>
      </c>
      <c r="AO417" s="2345">
        <f>IFERROR(AO679/AO339,0)</f>
        <v>0</v>
      </c>
      <c r="AP417" s="2346">
        <f t="shared" si="756"/>
        <v>0</v>
      </c>
      <c r="AQ417" s="2345">
        <f>IFERROR(AQ679/AQ339,0)</f>
        <v>0</v>
      </c>
      <c r="AR417" s="2345">
        <f>IFERROR(AR679/AR339,0)</f>
        <v>0</v>
      </c>
      <c r="AS417" s="2346">
        <f t="shared" si="757"/>
        <v>0</v>
      </c>
      <c r="AT417" s="2345">
        <f>IFERROR(AT679/AT339,0)</f>
        <v>0</v>
      </c>
      <c r="AU417" s="2345">
        <f>IFERROR(AU679/AU339,0)</f>
        <v>0</v>
      </c>
      <c r="AV417" s="2346">
        <f t="shared" si="758"/>
        <v>0</v>
      </c>
      <c r="AW417" s="2345">
        <f>IFERROR(AW679/AW339,0)</f>
        <v>0</v>
      </c>
      <c r="AX417" s="2345">
        <f>IFERROR(AX679/AX339,0)</f>
        <v>0</v>
      </c>
      <c r="AY417" s="2346">
        <f t="shared" si="759"/>
        <v>0</v>
      </c>
      <c r="AZ417" s="2345">
        <f>IFERROR(AZ679/AZ339,0)</f>
        <v>0</v>
      </c>
      <c r="BA417" s="2345">
        <f>IFERROR(BA679/BA339,0)</f>
        <v>0</v>
      </c>
      <c r="BB417" s="2346">
        <f t="shared" si="760"/>
        <v>0</v>
      </c>
      <c r="BC417" s="2345">
        <f>IFERROR(BC679/BC339,0)</f>
        <v>0</v>
      </c>
      <c r="BD417" s="2345">
        <f>IFERROR(BD679/BD339,0)</f>
        <v>0</v>
      </c>
      <c r="BE417" s="2346">
        <f t="shared" si="761"/>
        <v>0</v>
      </c>
      <c r="BF417" s="2345">
        <f>IFERROR(BF679/BF339,0)</f>
        <v>0</v>
      </c>
      <c r="BG417" s="2345">
        <f>IFERROR(BG679/BG339,0)</f>
        <v>0</v>
      </c>
      <c r="BH417" s="2346">
        <f t="shared" si="762"/>
        <v>0</v>
      </c>
      <c r="BI417" s="2345">
        <f>IFERROR(BI679/BI339,0)</f>
        <v>0</v>
      </c>
      <c r="BJ417" s="2345">
        <f>IFERROR(BJ679/BJ339,0)</f>
        <v>0</v>
      </c>
      <c r="BK417" s="2346">
        <f t="shared" si="763"/>
        <v>0</v>
      </c>
      <c r="BL417" s="2345">
        <f>IFERROR(BL679/BL339,0)</f>
        <v>0</v>
      </c>
      <c r="BM417" s="2345">
        <f>IFERROR(BM679/BM339,0)</f>
        <v>0</v>
      </c>
      <c r="BN417" s="2346">
        <f t="shared" si="764"/>
        <v>0</v>
      </c>
      <c r="BO417" s="2345">
        <f>IFERROR(BO679/BO339,0)</f>
        <v>0</v>
      </c>
      <c r="BP417" s="2345">
        <f>IFERROR(BP679/BP339,0)</f>
        <v>0</v>
      </c>
      <c r="BQ417" s="2346">
        <f t="shared" si="765"/>
        <v>0</v>
      </c>
    </row>
    <row r="418" spans="3:69" s="2087" customFormat="1" hidden="1">
      <c r="C418" s="2285" t="s">
        <v>2566</v>
      </c>
      <c r="D418" s="2350" t="s">
        <v>2545</v>
      </c>
      <c r="E418" s="2351" t="s">
        <v>2519</v>
      </c>
      <c r="F418" s="2176"/>
      <c r="G418" s="2252">
        <f>IFERROR(G680/G340,0)</f>
        <v>0</v>
      </c>
      <c r="H418" s="2252">
        <f>IFERROR(H680/H340,0)</f>
        <v>0</v>
      </c>
      <c r="I418" s="2178">
        <f t="shared" si="766"/>
        <v>0</v>
      </c>
      <c r="J418" s="2176"/>
      <c r="K418" s="2252">
        <f>IFERROR(K680/K340,0)</f>
        <v>0</v>
      </c>
      <c r="L418" s="2252">
        <f>IFERROR(L680/L340,0)</f>
        <v>0</v>
      </c>
      <c r="M418" s="2255">
        <f t="shared" si="767"/>
        <v>0</v>
      </c>
      <c r="N418" s="2177"/>
      <c r="O418" s="2177"/>
      <c r="P418" s="2178">
        <f t="shared" si="677"/>
        <v>0</v>
      </c>
      <c r="Q418" s="2176"/>
      <c r="R418" s="2177"/>
      <c r="S418" s="2180">
        <f t="shared" si="678"/>
        <v>0</v>
      </c>
      <c r="T418" s="2251">
        <f t="shared" si="679"/>
        <v>0</v>
      </c>
      <c r="U418" s="2252">
        <f t="shared" si="672"/>
        <v>0</v>
      </c>
      <c r="V418" s="2253">
        <f t="shared" si="673"/>
        <v>0</v>
      </c>
      <c r="W418" s="2182"/>
      <c r="X418" s="2177"/>
      <c r="Y418" s="2183">
        <f t="shared" si="680"/>
        <v>0</v>
      </c>
      <c r="Z418" s="2254">
        <f>IFERROR(Z680/Z340,0)</f>
        <v>0</v>
      </c>
      <c r="AA418" s="2252">
        <f>IFERROR(AA680/AA340,0)</f>
        <v>0</v>
      </c>
      <c r="AB418" s="2255">
        <f t="shared" si="768"/>
        <v>0</v>
      </c>
      <c r="AC418" s="2176"/>
      <c r="AD418" s="2177"/>
      <c r="AE418" s="2180">
        <f t="shared" si="681"/>
        <v>0</v>
      </c>
      <c r="AF418" s="2281"/>
      <c r="AG418" s="2114"/>
      <c r="AH418" s="2177"/>
      <c r="AI418" s="2177"/>
      <c r="AJ418" s="2186">
        <f t="shared" si="754"/>
        <v>0</v>
      </c>
      <c r="AK418" s="2177"/>
      <c r="AL418" s="2177"/>
      <c r="AM418" s="2186">
        <f t="shared" si="755"/>
        <v>0</v>
      </c>
      <c r="AN418" s="2177"/>
      <c r="AO418" s="2177"/>
      <c r="AP418" s="2186">
        <f t="shared" si="756"/>
        <v>0</v>
      </c>
      <c r="AQ418" s="2177"/>
      <c r="AR418" s="2177"/>
      <c r="AS418" s="2186">
        <f t="shared" si="757"/>
        <v>0</v>
      </c>
      <c r="AT418" s="2177"/>
      <c r="AU418" s="2177"/>
      <c r="AV418" s="2186">
        <f t="shared" si="758"/>
        <v>0</v>
      </c>
      <c r="AW418" s="2177"/>
      <c r="AX418" s="2177"/>
      <c r="AY418" s="2186">
        <f t="shared" si="759"/>
        <v>0</v>
      </c>
      <c r="AZ418" s="2177"/>
      <c r="BA418" s="2177"/>
      <c r="BB418" s="2186">
        <f t="shared" si="760"/>
        <v>0</v>
      </c>
      <c r="BC418" s="2177"/>
      <c r="BD418" s="2177"/>
      <c r="BE418" s="2186">
        <f t="shared" si="761"/>
        <v>0</v>
      </c>
      <c r="BF418" s="2177"/>
      <c r="BG418" s="2177"/>
      <c r="BH418" s="2186">
        <f t="shared" si="762"/>
        <v>0</v>
      </c>
      <c r="BI418" s="2177"/>
      <c r="BJ418" s="2177"/>
      <c r="BK418" s="2186">
        <f t="shared" si="763"/>
        <v>0</v>
      </c>
      <c r="BL418" s="2177"/>
      <c r="BM418" s="2177"/>
      <c r="BN418" s="2186">
        <f t="shared" si="764"/>
        <v>0</v>
      </c>
      <c r="BO418" s="2177"/>
      <c r="BP418" s="2177"/>
      <c r="BQ418" s="2186">
        <f t="shared" si="765"/>
        <v>0</v>
      </c>
    </row>
    <row r="419" spans="3:69" s="2087" customFormat="1" hidden="1">
      <c r="C419" s="2285" t="s">
        <v>2567</v>
      </c>
      <c r="D419" s="2286" t="s">
        <v>2229</v>
      </c>
      <c r="E419" s="2347" t="s">
        <v>2519</v>
      </c>
      <c r="F419" s="2176"/>
      <c r="G419" s="2336">
        <f t="shared" ref="G419:H419" si="772">IFERROR(G681/G341,0)</f>
        <v>0</v>
      </c>
      <c r="H419" s="2336">
        <f t="shared" si="772"/>
        <v>0</v>
      </c>
      <c r="I419" s="2337">
        <f t="shared" si="766"/>
        <v>0</v>
      </c>
      <c r="J419" s="2338"/>
      <c r="K419" s="2339">
        <f t="shared" ref="K419:L419" si="773">IFERROR(K681/K341,0)</f>
        <v>0</v>
      </c>
      <c r="L419" s="2339">
        <f t="shared" si="773"/>
        <v>0</v>
      </c>
      <c r="M419" s="2337">
        <f t="shared" si="767"/>
        <v>0</v>
      </c>
      <c r="N419" s="2339">
        <f>IFERROR(N681/N341,0)</f>
        <v>0</v>
      </c>
      <c r="O419" s="2339">
        <f>IFERROR(O681/O341,0)</f>
        <v>0</v>
      </c>
      <c r="P419" s="2337">
        <f t="shared" si="677"/>
        <v>0</v>
      </c>
      <c r="Q419" s="2339">
        <f>IFERROR(Q681/Q341,0)</f>
        <v>0</v>
      </c>
      <c r="R419" s="2339">
        <f>IFERROR(R681/R341,0)</f>
        <v>0</v>
      </c>
      <c r="S419" s="2337">
        <f t="shared" si="678"/>
        <v>0</v>
      </c>
      <c r="T419" s="2340">
        <f t="shared" si="679"/>
        <v>0</v>
      </c>
      <c r="U419" s="2339">
        <f>R419</f>
        <v>0</v>
      </c>
      <c r="V419" s="2341">
        <f t="shared" si="673"/>
        <v>0</v>
      </c>
      <c r="W419" s="2342">
        <f>IFERROR(W681/W341,0)</f>
        <v>0</v>
      </c>
      <c r="X419" s="2339">
        <f>IFERROR(X681/X341,0)</f>
        <v>0</v>
      </c>
      <c r="Y419" s="2343">
        <f t="shared" si="680"/>
        <v>0</v>
      </c>
      <c r="Z419" s="2344">
        <f t="shared" ref="Z419:AA419" si="774">IFERROR(Z681/Z341,0)</f>
        <v>0</v>
      </c>
      <c r="AA419" s="2339">
        <f t="shared" si="774"/>
        <v>0</v>
      </c>
      <c r="AB419" s="2337">
        <f t="shared" si="768"/>
        <v>0</v>
      </c>
      <c r="AC419" s="2339">
        <f>IFERROR(AC681/AC341,0)</f>
        <v>0</v>
      </c>
      <c r="AD419" s="2339">
        <f>IFERROR(AD681/AD341,0)</f>
        <v>0</v>
      </c>
      <c r="AE419" s="2337">
        <f t="shared" si="681"/>
        <v>0</v>
      </c>
      <c r="AF419" s="2281"/>
      <c r="AG419" s="2114"/>
      <c r="AH419" s="2345">
        <f>IFERROR(AH681/AH341,0)</f>
        <v>0</v>
      </c>
      <c r="AI419" s="2345">
        <f>IFERROR(AI681/AI341,0)</f>
        <v>0</v>
      </c>
      <c r="AJ419" s="2346">
        <f t="shared" si="754"/>
        <v>0</v>
      </c>
      <c r="AK419" s="2345">
        <f>IFERROR(AK681/AK341,0)</f>
        <v>0</v>
      </c>
      <c r="AL419" s="2345">
        <f>IFERROR(AL681/AL341,0)</f>
        <v>0</v>
      </c>
      <c r="AM419" s="2346">
        <f t="shared" si="755"/>
        <v>0</v>
      </c>
      <c r="AN419" s="2345">
        <f>IFERROR(AN681/AN341,0)</f>
        <v>0</v>
      </c>
      <c r="AO419" s="2345">
        <f>IFERROR(AO681/AO341,0)</f>
        <v>0</v>
      </c>
      <c r="AP419" s="2346">
        <f t="shared" si="756"/>
        <v>0</v>
      </c>
      <c r="AQ419" s="2345">
        <f>IFERROR(AQ681/AQ341,0)</f>
        <v>0</v>
      </c>
      <c r="AR419" s="2345">
        <f>IFERROR(AR681/AR341,0)</f>
        <v>0</v>
      </c>
      <c r="AS419" s="2346">
        <f t="shared" si="757"/>
        <v>0</v>
      </c>
      <c r="AT419" s="2345">
        <f>IFERROR(AT681/AT341,0)</f>
        <v>0</v>
      </c>
      <c r="AU419" s="2345">
        <f>IFERROR(AU681/AU341,0)</f>
        <v>0</v>
      </c>
      <c r="AV419" s="2346">
        <f t="shared" si="758"/>
        <v>0</v>
      </c>
      <c r="AW419" s="2345">
        <f>IFERROR(AW681/AW341,0)</f>
        <v>0</v>
      </c>
      <c r="AX419" s="2345">
        <f>IFERROR(AX681/AX341,0)</f>
        <v>0</v>
      </c>
      <c r="AY419" s="2346">
        <f t="shared" si="759"/>
        <v>0</v>
      </c>
      <c r="AZ419" s="2345">
        <f>IFERROR(AZ681/AZ341,0)</f>
        <v>0</v>
      </c>
      <c r="BA419" s="2345">
        <f>IFERROR(BA681/BA341,0)</f>
        <v>0</v>
      </c>
      <c r="BB419" s="2346">
        <f t="shared" si="760"/>
        <v>0</v>
      </c>
      <c r="BC419" s="2345">
        <f>IFERROR(BC681/BC341,0)</f>
        <v>0</v>
      </c>
      <c r="BD419" s="2345">
        <f>IFERROR(BD681/BD341,0)</f>
        <v>0</v>
      </c>
      <c r="BE419" s="2346">
        <f t="shared" si="761"/>
        <v>0</v>
      </c>
      <c r="BF419" s="2345">
        <f>IFERROR(BF681/BF341,0)</f>
        <v>0</v>
      </c>
      <c r="BG419" s="2345">
        <f>IFERROR(BG681/BG341,0)</f>
        <v>0</v>
      </c>
      <c r="BH419" s="2346">
        <f t="shared" si="762"/>
        <v>0</v>
      </c>
      <c r="BI419" s="2345">
        <f>IFERROR(BI681/BI341,0)</f>
        <v>0</v>
      </c>
      <c r="BJ419" s="2345">
        <f>IFERROR(BJ681/BJ341,0)</f>
        <v>0</v>
      </c>
      <c r="BK419" s="2346">
        <f t="shared" si="763"/>
        <v>0</v>
      </c>
      <c r="BL419" s="2345">
        <f>IFERROR(BL681/BL341,0)</f>
        <v>0</v>
      </c>
      <c r="BM419" s="2345">
        <f>IFERROR(BM681/BM341,0)</f>
        <v>0</v>
      </c>
      <c r="BN419" s="2346">
        <f t="shared" si="764"/>
        <v>0</v>
      </c>
      <c r="BO419" s="2345">
        <f>IFERROR(BO681/BO341,0)</f>
        <v>0</v>
      </c>
      <c r="BP419" s="2345">
        <f>IFERROR(BP681/BP341,0)</f>
        <v>0</v>
      </c>
      <c r="BQ419" s="2346">
        <f t="shared" si="765"/>
        <v>0</v>
      </c>
    </row>
    <row r="420" spans="3:69" s="2087" customFormat="1" hidden="1">
      <c r="C420" s="2173" t="s">
        <v>2568</v>
      </c>
      <c r="D420" s="2311" t="s">
        <v>2569</v>
      </c>
      <c r="E420" s="2264"/>
      <c r="F420" s="2265"/>
      <c r="G420" s="2268"/>
      <c r="H420" s="2268"/>
      <c r="I420" s="2186"/>
      <c r="J420" s="2265"/>
      <c r="K420" s="2268"/>
      <c r="L420" s="2268"/>
      <c r="M420" s="2273"/>
      <c r="N420" s="2188"/>
      <c r="O420" s="2188"/>
      <c r="P420" s="2186"/>
      <c r="Q420" s="2265"/>
      <c r="R420" s="2188"/>
      <c r="S420" s="2266"/>
      <c r="T420" s="2267"/>
      <c r="U420" s="2268"/>
      <c r="V420" s="2269"/>
      <c r="W420" s="2270"/>
      <c r="X420" s="2188"/>
      <c r="Y420" s="2271"/>
      <c r="Z420" s="2272"/>
      <c r="AA420" s="2268"/>
      <c r="AB420" s="2273"/>
      <c r="AC420" s="2265"/>
      <c r="AD420" s="2188"/>
      <c r="AE420" s="2266"/>
      <c r="AF420" s="2281"/>
      <c r="AG420" s="2114"/>
      <c r="AH420" s="2188"/>
      <c r="AI420" s="2188"/>
      <c r="AJ420" s="2186"/>
      <c r="AK420" s="2188"/>
      <c r="AL420" s="2188"/>
      <c r="AM420" s="2186"/>
      <c r="AN420" s="2188"/>
      <c r="AO420" s="2188"/>
      <c r="AP420" s="2186"/>
      <c r="AQ420" s="2188"/>
      <c r="AR420" s="2188"/>
      <c r="AS420" s="2186"/>
      <c r="AT420" s="2188"/>
      <c r="AU420" s="2188"/>
      <c r="AV420" s="2186"/>
      <c r="AW420" s="2188"/>
      <c r="AX420" s="2188"/>
      <c r="AY420" s="2186"/>
      <c r="AZ420" s="2188"/>
      <c r="BA420" s="2188"/>
      <c r="BB420" s="2186"/>
      <c r="BC420" s="2188"/>
      <c r="BD420" s="2188"/>
      <c r="BE420" s="2186"/>
      <c r="BF420" s="2188"/>
      <c r="BG420" s="2188"/>
      <c r="BH420" s="2186"/>
      <c r="BI420" s="2188"/>
      <c r="BJ420" s="2188"/>
      <c r="BK420" s="2186"/>
      <c r="BL420" s="2188"/>
      <c r="BM420" s="2188"/>
      <c r="BN420" s="2186"/>
      <c r="BO420" s="2188"/>
      <c r="BP420" s="2188"/>
      <c r="BQ420" s="2186"/>
    </row>
    <row r="421" spans="3:69" s="2087" customFormat="1" hidden="1">
      <c r="C421" s="2285" t="s">
        <v>2570</v>
      </c>
      <c r="D421" s="2350" t="s">
        <v>2539</v>
      </c>
      <c r="E421" s="2290" t="s">
        <v>2511</v>
      </c>
      <c r="F421" s="2176"/>
      <c r="G421" s="2252">
        <f>IFERROR(G684/G344/12*1000,0)</f>
        <v>0</v>
      </c>
      <c r="H421" s="2252">
        <f>IFERROR(H684/H344/12*1000,0)</f>
        <v>0</v>
      </c>
      <c r="I421" s="2178">
        <f t="shared" ref="I421:I425" si="775">H421-G421</f>
        <v>0</v>
      </c>
      <c r="J421" s="2176"/>
      <c r="K421" s="2179">
        <f>IFERROR(K684/K344/12*1000,0)</f>
        <v>0</v>
      </c>
      <c r="L421" s="2179">
        <f>IFERROR(L684/L344/12*1000,0)</f>
        <v>0</v>
      </c>
      <c r="M421" s="2178">
        <f>L421-K421</f>
        <v>0</v>
      </c>
      <c r="N421" s="2179">
        <f>IFERROR(N684/N344/3*1000,0)</f>
        <v>0</v>
      </c>
      <c r="O421" s="2179">
        <f>IFERROR(O684/O344/3*1000,0)</f>
        <v>0</v>
      </c>
      <c r="P421" s="2178">
        <f t="shared" si="677"/>
        <v>0</v>
      </c>
      <c r="Q421" s="2184">
        <f>IFERROR(Q684/Q344/3*1000,0)</f>
        <v>0</v>
      </c>
      <c r="R421" s="2179">
        <f>IFERROR(R684/R344/3*1000,0)</f>
        <v>0</v>
      </c>
      <c r="S421" s="2180">
        <f t="shared" ref="S421:S426" si="776">R421-Q421</f>
        <v>0</v>
      </c>
      <c r="T421" s="2181">
        <f>Q421</f>
        <v>0</v>
      </c>
      <c r="U421" s="2179">
        <f t="shared" si="672"/>
        <v>0</v>
      </c>
      <c r="V421" s="2180">
        <f t="shared" si="673"/>
        <v>0</v>
      </c>
      <c r="W421" s="2187">
        <f>IFERROR(W684/W344/3*1000,0)</f>
        <v>0</v>
      </c>
      <c r="X421" s="2179">
        <f>IFERROR(X684/X344/3*1000,0)</f>
        <v>0</v>
      </c>
      <c r="Y421" s="2183">
        <f t="shared" ref="Y421:Y426" si="777">X421-W421</f>
        <v>0</v>
      </c>
      <c r="Z421" s="2184">
        <f>IFERROR(Z684/Z344/9*1000,0)</f>
        <v>0</v>
      </c>
      <c r="AA421" s="2179">
        <f>IFERROR(AA684/AA344/9*1000,0)</f>
        <v>0</v>
      </c>
      <c r="AB421" s="2178">
        <f t="shared" ref="AB421:AB426" si="778">AA421-Z421</f>
        <v>0</v>
      </c>
      <c r="AC421" s="2184">
        <f>IFERROR(AC684/AC344/3*1000,0)</f>
        <v>0</v>
      </c>
      <c r="AD421" s="2179">
        <f>IFERROR(AD684/AD344/3*1000,0)</f>
        <v>0</v>
      </c>
      <c r="AE421" s="2180">
        <f t="shared" ref="AE421:AE426" si="779">AD421-AC421</f>
        <v>0</v>
      </c>
      <c r="AF421" s="2281"/>
      <c r="AG421" s="2114"/>
      <c r="AH421" s="2188">
        <f>IFERROR(AH684/AH344/3*1000,0)</f>
        <v>0</v>
      </c>
      <c r="AI421" s="2188">
        <f>IFERROR(AI684/AI344/3*1000,0)</f>
        <v>0</v>
      </c>
      <c r="AJ421" s="2186">
        <f t="shared" ref="AJ421:AJ426" si="780">AI421-AH421</f>
        <v>0</v>
      </c>
      <c r="AK421" s="2188">
        <f>IFERROR(AK684/AK344/3*1000,0)</f>
        <v>0</v>
      </c>
      <c r="AL421" s="2188">
        <f>IFERROR(AL684/AL344/3*1000,0)</f>
        <v>0</v>
      </c>
      <c r="AM421" s="2186">
        <f t="shared" ref="AM421:AM426" si="781">AL421-AK421</f>
        <v>0</v>
      </c>
      <c r="AN421" s="2188">
        <f>IFERROR(AN684/AN344/3*1000,0)</f>
        <v>0</v>
      </c>
      <c r="AO421" s="2188">
        <f>IFERROR(AO684/AO344/3*1000,0)</f>
        <v>0</v>
      </c>
      <c r="AP421" s="2186">
        <f t="shared" ref="AP421:AP426" si="782">AO421-AN421</f>
        <v>0</v>
      </c>
      <c r="AQ421" s="2188">
        <f>IFERROR(AQ684/AQ344/3*1000,0)</f>
        <v>0</v>
      </c>
      <c r="AR421" s="2188">
        <f>IFERROR(AR684/AR344/3*1000,0)</f>
        <v>0</v>
      </c>
      <c r="AS421" s="2186">
        <f t="shared" ref="AS421:AS426" si="783">AR421-AQ421</f>
        <v>0</v>
      </c>
      <c r="AT421" s="2188">
        <f>IFERROR(AT684/AT344/3*1000,0)</f>
        <v>0</v>
      </c>
      <c r="AU421" s="2188">
        <f>IFERROR(AU684/AU344/3*1000,0)</f>
        <v>0</v>
      </c>
      <c r="AV421" s="2186">
        <f t="shared" ref="AV421:AV426" si="784">AU421-AT421</f>
        <v>0</v>
      </c>
      <c r="AW421" s="2188">
        <f>IFERROR(AW684/AW344/3*1000,0)</f>
        <v>0</v>
      </c>
      <c r="AX421" s="2188">
        <f>IFERROR(AX684/AX344/3*1000,0)</f>
        <v>0</v>
      </c>
      <c r="AY421" s="2186">
        <f t="shared" ref="AY421:AY426" si="785">AX421-AW421</f>
        <v>0</v>
      </c>
      <c r="AZ421" s="2188">
        <f>IFERROR(AZ684/AZ344/3*1000,0)</f>
        <v>0</v>
      </c>
      <c r="BA421" s="2188">
        <f>IFERROR(BA684/BA344/3*1000,0)</f>
        <v>0</v>
      </c>
      <c r="BB421" s="2186">
        <f t="shared" ref="BB421:BB426" si="786">BA421-AZ421</f>
        <v>0</v>
      </c>
      <c r="BC421" s="2188">
        <f>IFERROR(BC684/BC344/3*1000,0)</f>
        <v>0</v>
      </c>
      <c r="BD421" s="2188">
        <f>IFERROR(BD684/BD344/3*1000,0)</f>
        <v>0</v>
      </c>
      <c r="BE421" s="2186">
        <f t="shared" ref="BE421:BE426" si="787">BD421-BC421</f>
        <v>0</v>
      </c>
      <c r="BF421" s="2188">
        <f>IFERROR(BF684/BF344/3*1000,0)</f>
        <v>0</v>
      </c>
      <c r="BG421" s="2188">
        <f>IFERROR(BG684/BG344/3*1000,0)</f>
        <v>0</v>
      </c>
      <c r="BH421" s="2186">
        <f t="shared" ref="BH421:BH426" si="788">BG421-BF421</f>
        <v>0</v>
      </c>
      <c r="BI421" s="2188">
        <f>IFERROR(BI684/BI344/3*1000,0)</f>
        <v>0</v>
      </c>
      <c r="BJ421" s="2188">
        <f>IFERROR(BJ684/BJ344/3*1000,0)</f>
        <v>0</v>
      </c>
      <c r="BK421" s="2186">
        <f t="shared" ref="BK421:BK426" si="789">BJ421-BI421</f>
        <v>0</v>
      </c>
      <c r="BL421" s="2188">
        <f>IFERROR(BL684/BL344/3*1000,0)</f>
        <v>0</v>
      </c>
      <c r="BM421" s="2188">
        <f>IFERROR(BM684/BM344/3*1000,0)</f>
        <v>0</v>
      </c>
      <c r="BN421" s="2186">
        <f t="shared" ref="BN421:BN426" si="790">BM421-BL421</f>
        <v>0</v>
      </c>
      <c r="BO421" s="2188">
        <f>IFERROR(BO684/BO344/3*1000,0)</f>
        <v>0</v>
      </c>
      <c r="BP421" s="2188">
        <f>IFERROR(BP684/BP344/3*1000,0)</f>
        <v>0</v>
      </c>
      <c r="BQ421" s="2186">
        <f t="shared" ref="BQ421:BQ426" si="791">BP421-BO421</f>
        <v>0</v>
      </c>
    </row>
    <row r="422" spans="3:69" s="2087" customFormat="1" hidden="1">
      <c r="C422" s="2285" t="s">
        <v>2571</v>
      </c>
      <c r="D422" s="2286" t="s">
        <v>2229</v>
      </c>
      <c r="E422" s="2335" t="s">
        <v>2511</v>
      </c>
      <c r="F422" s="2176"/>
      <c r="G422" s="2336">
        <f>IFERROR(G685/G345/12*1000,0)</f>
        <v>0</v>
      </c>
      <c r="H422" s="2336">
        <f>IFERROR(H685/H345/12*1000,0)</f>
        <v>0</v>
      </c>
      <c r="I422" s="2337">
        <f>H422-G422</f>
        <v>0</v>
      </c>
      <c r="J422" s="2338"/>
      <c r="K422" s="2339">
        <f>IFERROR(K685/K345/12*1000,0)</f>
        <v>0</v>
      </c>
      <c r="L422" s="2339">
        <f>IFERROR(L685/L345/12*1000,0)</f>
        <v>0</v>
      </c>
      <c r="M422" s="2337">
        <f t="shared" ref="M422" si="792">L422-K422</f>
        <v>0</v>
      </c>
      <c r="N422" s="2339">
        <f>IFERROR(N685/N345/3*1000,0)</f>
        <v>0</v>
      </c>
      <c r="O422" s="2339">
        <f>IFERROR(O681/O341/3*1000,0)</f>
        <v>0</v>
      </c>
      <c r="P422" s="2337">
        <f t="shared" si="677"/>
        <v>0</v>
      </c>
      <c r="Q422" s="2339">
        <f>IFERROR(Q685/Q345/3*1000,0)</f>
        <v>0</v>
      </c>
      <c r="R422" s="2339">
        <f>IFERROR(R681/R341/3*1000,0)</f>
        <v>0</v>
      </c>
      <c r="S422" s="2337">
        <f t="shared" si="776"/>
        <v>0</v>
      </c>
      <c r="T422" s="2340">
        <f t="shared" ref="T422" si="793">Q422</f>
        <v>0</v>
      </c>
      <c r="U422" s="2339">
        <f>R422</f>
        <v>0</v>
      </c>
      <c r="V422" s="2341">
        <f t="shared" si="673"/>
        <v>0</v>
      </c>
      <c r="W422" s="2342">
        <f>IFERROR(W685/W345/3*1000,0)</f>
        <v>0</v>
      </c>
      <c r="X422" s="2339">
        <f>IFERROR(X681/X341/3*1000,0)</f>
        <v>0</v>
      </c>
      <c r="Y422" s="2343">
        <f t="shared" si="777"/>
        <v>0</v>
      </c>
      <c r="Z422" s="2344">
        <f>IFERROR(Z685/Z345/9*1000,0)</f>
        <v>0</v>
      </c>
      <c r="AA422" s="2339">
        <f>IFERROR(AA681/AA341/9*1000,0)</f>
        <v>0</v>
      </c>
      <c r="AB422" s="2337">
        <f t="shared" si="778"/>
        <v>0</v>
      </c>
      <c r="AC422" s="2339">
        <f>IFERROR(AC685/AC345/3*1000,0)</f>
        <v>0</v>
      </c>
      <c r="AD422" s="2339">
        <f>IFERROR(AD681/AD341/3*1000,0)</f>
        <v>0</v>
      </c>
      <c r="AE422" s="2337">
        <f t="shared" si="779"/>
        <v>0</v>
      </c>
      <c r="AF422" s="2281"/>
      <c r="AG422" s="2114"/>
      <c r="AH422" s="2345">
        <f>IFERROR(AH685/AH345/3*1000,0)</f>
        <v>0</v>
      </c>
      <c r="AI422" s="2345">
        <f>IFERROR(AI681/AI341/3*1000,0)</f>
        <v>0</v>
      </c>
      <c r="AJ422" s="2346">
        <f t="shared" si="780"/>
        <v>0</v>
      </c>
      <c r="AK422" s="2345">
        <f>IFERROR(AK685/AK345/3*1000,0)</f>
        <v>0</v>
      </c>
      <c r="AL422" s="2345">
        <f>IFERROR(AL681/AL341/3*1000,0)</f>
        <v>0</v>
      </c>
      <c r="AM422" s="2346">
        <f t="shared" si="781"/>
        <v>0</v>
      </c>
      <c r="AN422" s="2345">
        <f>IFERROR(AN685/AN345/3*1000,0)</f>
        <v>0</v>
      </c>
      <c r="AO422" s="2345">
        <f>IFERROR(AO681/AO341/3*1000,0)</f>
        <v>0</v>
      </c>
      <c r="AP422" s="2346">
        <f t="shared" si="782"/>
        <v>0</v>
      </c>
      <c r="AQ422" s="2345">
        <f>IFERROR(AQ685/AQ345/3*1000,0)</f>
        <v>0</v>
      </c>
      <c r="AR422" s="2345">
        <f>IFERROR(AR681/AR341/3*1000,0)</f>
        <v>0</v>
      </c>
      <c r="AS422" s="2346">
        <f t="shared" si="783"/>
        <v>0</v>
      </c>
      <c r="AT422" s="2345">
        <f>IFERROR(AT685/AT345/3*1000,0)</f>
        <v>0</v>
      </c>
      <c r="AU422" s="2345">
        <f>IFERROR(AU681/AU341/3*1000,0)</f>
        <v>0</v>
      </c>
      <c r="AV422" s="2346">
        <f t="shared" si="784"/>
        <v>0</v>
      </c>
      <c r="AW422" s="2345">
        <f>IFERROR(AW685/AW345/3*1000,0)</f>
        <v>0</v>
      </c>
      <c r="AX422" s="2345">
        <f>IFERROR(AX681/AX341/3*1000,0)</f>
        <v>0</v>
      </c>
      <c r="AY422" s="2346">
        <f t="shared" si="785"/>
        <v>0</v>
      </c>
      <c r="AZ422" s="2345">
        <f>IFERROR(AZ685/AZ345/3*1000,0)</f>
        <v>0</v>
      </c>
      <c r="BA422" s="2345">
        <f>IFERROR(BA681/BA341/3*1000,0)</f>
        <v>0</v>
      </c>
      <c r="BB422" s="2346">
        <f t="shared" si="786"/>
        <v>0</v>
      </c>
      <c r="BC422" s="2345">
        <f>IFERROR(BC685/BC345/3*1000,0)</f>
        <v>0</v>
      </c>
      <c r="BD422" s="2345">
        <f>IFERROR(BD681/BD341/3*1000,0)</f>
        <v>0</v>
      </c>
      <c r="BE422" s="2346">
        <f t="shared" si="787"/>
        <v>0</v>
      </c>
      <c r="BF422" s="2345">
        <f>IFERROR(BF685/BF345/3*1000,0)</f>
        <v>0</v>
      </c>
      <c r="BG422" s="2345">
        <f>IFERROR(BG681/BG341/3*1000,0)</f>
        <v>0</v>
      </c>
      <c r="BH422" s="2346">
        <f t="shared" si="788"/>
        <v>0</v>
      </c>
      <c r="BI422" s="2345">
        <f>IFERROR(BI685/BI345/3*1000,0)</f>
        <v>0</v>
      </c>
      <c r="BJ422" s="2345">
        <f>IFERROR(BJ681/BJ341/3*1000,0)</f>
        <v>0</v>
      </c>
      <c r="BK422" s="2346">
        <f t="shared" si="789"/>
        <v>0</v>
      </c>
      <c r="BL422" s="2345">
        <f>IFERROR(BL685/BL345/3*1000,0)</f>
        <v>0</v>
      </c>
      <c r="BM422" s="2345">
        <f>IFERROR(BM681/BM341/3*1000,0)</f>
        <v>0</v>
      </c>
      <c r="BN422" s="2346">
        <f t="shared" si="790"/>
        <v>0</v>
      </c>
      <c r="BO422" s="2345">
        <f>IFERROR(BO685/BO345/3*1000,0)</f>
        <v>0</v>
      </c>
      <c r="BP422" s="2345">
        <f>IFERROR(BP681/BP341/3*1000,0)</f>
        <v>0</v>
      </c>
      <c r="BQ422" s="2346">
        <f t="shared" si="791"/>
        <v>0</v>
      </c>
    </row>
    <row r="423" spans="3:69" s="2087" customFormat="1" hidden="1">
      <c r="C423" s="2285" t="s">
        <v>2572</v>
      </c>
      <c r="D423" s="2350" t="s">
        <v>2542</v>
      </c>
      <c r="E423" s="2351" t="s">
        <v>2519</v>
      </c>
      <c r="F423" s="2176"/>
      <c r="G423" s="2252">
        <f>IFERROR(G686/G346,0)</f>
        <v>0</v>
      </c>
      <c r="H423" s="2252">
        <f>IFERROR(H686/H346,0)</f>
        <v>0</v>
      </c>
      <c r="I423" s="2178">
        <f t="shared" si="775"/>
        <v>0</v>
      </c>
      <c r="J423" s="2176"/>
      <c r="K423" s="2179">
        <f>IFERROR(K686/K346,0)</f>
        <v>0</v>
      </c>
      <c r="L423" s="2179">
        <f>IFERROR(L686/L346,0)</f>
        <v>0</v>
      </c>
      <c r="M423" s="2178">
        <f>L423-K423</f>
        <v>0</v>
      </c>
      <c r="N423" s="2179">
        <f>IFERROR(N686/N346,0)</f>
        <v>0</v>
      </c>
      <c r="O423" s="2179">
        <f>IFERROR(O686/O346,0)</f>
        <v>0</v>
      </c>
      <c r="P423" s="2178">
        <f t="shared" si="677"/>
        <v>0</v>
      </c>
      <c r="Q423" s="2184">
        <f>IFERROR(Q686/Q346,0)</f>
        <v>0</v>
      </c>
      <c r="R423" s="2179">
        <f>IFERROR(R686/R346,0)</f>
        <v>0</v>
      </c>
      <c r="S423" s="2180">
        <f t="shared" si="776"/>
        <v>0</v>
      </c>
      <c r="T423" s="2181">
        <f t="shared" si="679"/>
        <v>0</v>
      </c>
      <c r="U423" s="2179">
        <f t="shared" si="672"/>
        <v>0</v>
      </c>
      <c r="V423" s="2180">
        <f t="shared" si="673"/>
        <v>0</v>
      </c>
      <c r="W423" s="2187">
        <f>IFERROR(W686/W346,0)</f>
        <v>0</v>
      </c>
      <c r="X423" s="2179">
        <f>IFERROR(X686/X346,0)</f>
        <v>0</v>
      </c>
      <c r="Y423" s="2183">
        <f t="shared" si="777"/>
        <v>0</v>
      </c>
      <c r="Z423" s="2184">
        <f>IFERROR(Z686/Z346,0)</f>
        <v>0</v>
      </c>
      <c r="AA423" s="2179">
        <f>IFERROR(AA686/AA346,0)</f>
        <v>0</v>
      </c>
      <c r="AB423" s="2178">
        <f t="shared" si="778"/>
        <v>0</v>
      </c>
      <c r="AC423" s="2184">
        <f>IFERROR(AC686/AC346,0)</f>
        <v>0</v>
      </c>
      <c r="AD423" s="2179">
        <f>IFERROR(AD686/AD346,0)</f>
        <v>0</v>
      </c>
      <c r="AE423" s="2180">
        <f t="shared" si="779"/>
        <v>0</v>
      </c>
      <c r="AF423" s="2281"/>
      <c r="AG423" s="2114"/>
      <c r="AH423" s="2188">
        <f>IFERROR(AH686/AH346,0)</f>
        <v>0</v>
      </c>
      <c r="AI423" s="2188">
        <f>IFERROR(AI686/AI346,0)</f>
        <v>0</v>
      </c>
      <c r="AJ423" s="2186">
        <f t="shared" si="780"/>
        <v>0</v>
      </c>
      <c r="AK423" s="2188">
        <f>IFERROR(AK686/AK346,0)</f>
        <v>0</v>
      </c>
      <c r="AL423" s="2188">
        <f>IFERROR(AL686/AL346,0)</f>
        <v>0</v>
      </c>
      <c r="AM423" s="2186">
        <f t="shared" si="781"/>
        <v>0</v>
      </c>
      <c r="AN423" s="2188">
        <f>IFERROR(AN686/AN346,0)</f>
        <v>0</v>
      </c>
      <c r="AO423" s="2188">
        <f>IFERROR(AO686/AO346,0)</f>
        <v>0</v>
      </c>
      <c r="AP423" s="2186">
        <f t="shared" si="782"/>
        <v>0</v>
      </c>
      <c r="AQ423" s="2188">
        <f>IFERROR(AQ686/AQ346,0)</f>
        <v>0</v>
      </c>
      <c r="AR423" s="2188">
        <f>IFERROR(AR686/AR346,0)</f>
        <v>0</v>
      </c>
      <c r="AS423" s="2186">
        <f t="shared" si="783"/>
        <v>0</v>
      </c>
      <c r="AT423" s="2188">
        <f>IFERROR(AT686/AT346,0)</f>
        <v>0</v>
      </c>
      <c r="AU423" s="2188">
        <f>IFERROR(AU686/AU346,0)</f>
        <v>0</v>
      </c>
      <c r="AV423" s="2186">
        <f t="shared" si="784"/>
        <v>0</v>
      </c>
      <c r="AW423" s="2188">
        <f>IFERROR(AW686/AW346,0)</f>
        <v>0</v>
      </c>
      <c r="AX423" s="2188">
        <f>IFERROR(AX686/AX346,0)</f>
        <v>0</v>
      </c>
      <c r="AY423" s="2186">
        <f t="shared" si="785"/>
        <v>0</v>
      </c>
      <c r="AZ423" s="2188">
        <f>IFERROR(AZ686/AZ346,0)</f>
        <v>0</v>
      </c>
      <c r="BA423" s="2188">
        <f>IFERROR(BA686/BA346,0)</f>
        <v>0</v>
      </c>
      <c r="BB423" s="2186">
        <f t="shared" si="786"/>
        <v>0</v>
      </c>
      <c r="BC423" s="2188">
        <f>IFERROR(BC686/BC346,0)</f>
        <v>0</v>
      </c>
      <c r="BD423" s="2188">
        <f>IFERROR(BD686/BD346,0)</f>
        <v>0</v>
      </c>
      <c r="BE423" s="2186">
        <f t="shared" si="787"/>
        <v>0</v>
      </c>
      <c r="BF423" s="2188">
        <f>IFERROR(BF686/BF346,0)</f>
        <v>0</v>
      </c>
      <c r="BG423" s="2188">
        <f>IFERROR(BG686/BG346,0)</f>
        <v>0</v>
      </c>
      <c r="BH423" s="2186">
        <f t="shared" si="788"/>
        <v>0</v>
      </c>
      <c r="BI423" s="2188">
        <f>IFERROR(BI686/BI346,0)</f>
        <v>0</v>
      </c>
      <c r="BJ423" s="2188">
        <f>IFERROR(BJ686/BJ346,0)</f>
        <v>0</v>
      </c>
      <c r="BK423" s="2186">
        <f t="shared" si="789"/>
        <v>0</v>
      </c>
      <c r="BL423" s="2188">
        <f>IFERROR(BL686/BL346,0)</f>
        <v>0</v>
      </c>
      <c r="BM423" s="2188">
        <f>IFERROR(BM686/BM346,0)</f>
        <v>0</v>
      </c>
      <c r="BN423" s="2186">
        <f t="shared" si="790"/>
        <v>0</v>
      </c>
      <c r="BO423" s="2188">
        <f>IFERROR(BO686/BO346,0)</f>
        <v>0</v>
      </c>
      <c r="BP423" s="2188">
        <f>IFERROR(BP686/BP346,0)</f>
        <v>0</v>
      </c>
      <c r="BQ423" s="2186">
        <f t="shared" si="791"/>
        <v>0</v>
      </c>
    </row>
    <row r="424" spans="3:69" s="2087" customFormat="1" hidden="1">
      <c r="C424" s="2285" t="s">
        <v>2573</v>
      </c>
      <c r="D424" s="2286" t="s">
        <v>2229</v>
      </c>
      <c r="E424" s="2347" t="s">
        <v>2519</v>
      </c>
      <c r="F424" s="2176"/>
      <c r="G424" s="2336">
        <f t="shared" ref="G424:H424" si="794">IFERROR(G687/G347,0)</f>
        <v>0</v>
      </c>
      <c r="H424" s="2336">
        <f t="shared" si="794"/>
        <v>0</v>
      </c>
      <c r="I424" s="2337">
        <f>H424-G424</f>
        <v>0</v>
      </c>
      <c r="J424" s="2338"/>
      <c r="K424" s="2339">
        <f t="shared" ref="K424:L424" si="795">IFERROR(K687/K347,0)</f>
        <v>0</v>
      </c>
      <c r="L424" s="2339">
        <f t="shared" si="795"/>
        <v>0</v>
      </c>
      <c r="M424" s="2337">
        <f t="shared" ref="M424:M426" si="796">L424-K424</f>
        <v>0</v>
      </c>
      <c r="N424" s="2339">
        <f t="shared" ref="N424:O424" si="797">IFERROR(N687/N347,0)</f>
        <v>0</v>
      </c>
      <c r="O424" s="2339">
        <f t="shared" si="797"/>
        <v>0</v>
      </c>
      <c r="P424" s="2337">
        <f t="shared" si="677"/>
        <v>0</v>
      </c>
      <c r="Q424" s="2339">
        <f t="shared" ref="Q424:R424" si="798">IFERROR(Q687/Q347,0)</f>
        <v>0</v>
      </c>
      <c r="R424" s="2339">
        <f t="shared" si="798"/>
        <v>0</v>
      </c>
      <c r="S424" s="2337">
        <f t="shared" si="776"/>
        <v>0</v>
      </c>
      <c r="T424" s="2340">
        <f t="shared" si="679"/>
        <v>0</v>
      </c>
      <c r="U424" s="2339">
        <f>R424</f>
        <v>0</v>
      </c>
      <c r="V424" s="2341">
        <f t="shared" si="673"/>
        <v>0</v>
      </c>
      <c r="W424" s="2342">
        <f t="shared" ref="W424:X424" si="799">IFERROR(W687/W347,0)</f>
        <v>0</v>
      </c>
      <c r="X424" s="2339">
        <f t="shared" si="799"/>
        <v>0</v>
      </c>
      <c r="Y424" s="2343">
        <f t="shared" si="777"/>
        <v>0</v>
      </c>
      <c r="Z424" s="2344">
        <f t="shared" ref="Z424:AA424" si="800">IFERROR(Z687/Z347,0)</f>
        <v>0</v>
      </c>
      <c r="AA424" s="2339">
        <f t="shared" si="800"/>
        <v>0</v>
      </c>
      <c r="AB424" s="2337">
        <f t="shared" si="778"/>
        <v>0</v>
      </c>
      <c r="AC424" s="2339">
        <f t="shared" ref="AC424:AD424" si="801">IFERROR(AC687/AC347,0)</f>
        <v>0</v>
      </c>
      <c r="AD424" s="2339">
        <f t="shared" si="801"/>
        <v>0</v>
      </c>
      <c r="AE424" s="2337">
        <f t="shared" si="779"/>
        <v>0</v>
      </c>
      <c r="AF424" s="2281"/>
      <c r="AG424" s="2114"/>
      <c r="AH424" s="2345">
        <f t="shared" ref="AH424:AI424" si="802">IFERROR(AH687/AH347,0)</f>
        <v>0</v>
      </c>
      <c r="AI424" s="2345">
        <f t="shared" si="802"/>
        <v>0</v>
      </c>
      <c r="AJ424" s="2346">
        <f t="shared" si="780"/>
        <v>0</v>
      </c>
      <c r="AK424" s="2345">
        <f t="shared" ref="AK424:AL424" si="803">IFERROR(AK687/AK347,0)</f>
        <v>0</v>
      </c>
      <c r="AL424" s="2345">
        <f t="shared" si="803"/>
        <v>0</v>
      </c>
      <c r="AM424" s="2346">
        <f t="shared" si="781"/>
        <v>0</v>
      </c>
      <c r="AN424" s="2345">
        <f t="shared" ref="AN424:AO424" si="804">IFERROR(AN687/AN347,0)</f>
        <v>0</v>
      </c>
      <c r="AO424" s="2345">
        <f t="shared" si="804"/>
        <v>0</v>
      </c>
      <c r="AP424" s="2346">
        <f t="shared" si="782"/>
        <v>0</v>
      </c>
      <c r="AQ424" s="2345">
        <f t="shared" ref="AQ424:AR424" si="805">IFERROR(AQ687/AQ347,0)</f>
        <v>0</v>
      </c>
      <c r="AR424" s="2345">
        <f t="shared" si="805"/>
        <v>0</v>
      </c>
      <c r="AS424" s="2346">
        <f t="shared" si="783"/>
        <v>0</v>
      </c>
      <c r="AT424" s="2345">
        <f t="shared" ref="AT424:AU424" si="806">IFERROR(AT687/AT347,0)</f>
        <v>0</v>
      </c>
      <c r="AU424" s="2345">
        <f t="shared" si="806"/>
        <v>0</v>
      </c>
      <c r="AV424" s="2346">
        <f t="shared" si="784"/>
        <v>0</v>
      </c>
      <c r="AW424" s="2345">
        <f t="shared" ref="AW424:AX424" si="807">IFERROR(AW687/AW347,0)</f>
        <v>0</v>
      </c>
      <c r="AX424" s="2345">
        <f t="shared" si="807"/>
        <v>0</v>
      </c>
      <c r="AY424" s="2346">
        <f t="shared" si="785"/>
        <v>0</v>
      </c>
      <c r="AZ424" s="2345">
        <f t="shared" ref="AZ424:BA424" si="808">IFERROR(AZ687/AZ347,0)</f>
        <v>0</v>
      </c>
      <c r="BA424" s="2345">
        <f t="shared" si="808"/>
        <v>0</v>
      </c>
      <c r="BB424" s="2346">
        <f t="shared" si="786"/>
        <v>0</v>
      </c>
      <c r="BC424" s="2345">
        <f t="shared" ref="BC424:BD424" si="809">IFERROR(BC687/BC347,0)</f>
        <v>0</v>
      </c>
      <c r="BD424" s="2345">
        <f t="shared" si="809"/>
        <v>0</v>
      </c>
      <c r="BE424" s="2346">
        <f t="shared" si="787"/>
        <v>0</v>
      </c>
      <c r="BF424" s="2345">
        <f t="shared" ref="BF424:BG424" si="810">IFERROR(BF687/BF347,0)</f>
        <v>0</v>
      </c>
      <c r="BG424" s="2345">
        <f t="shared" si="810"/>
        <v>0</v>
      </c>
      <c r="BH424" s="2346">
        <f t="shared" si="788"/>
        <v>0</v>
      </c>
      <c r="BI424" s="2345">
        <f t="shared" ref="BI424:BJ424" si="811">IFERROR(BI687/BI347,0)</f>
        <v>0</v>
      </c>
      <c r="BJ424" s="2345">
        <f t="shared" si="811"/>
        <v>0</v>
      </c>
      <c r="BK424" s="2346">
        <f t="shared" si="789"/>
        <v>0</v>
      </c>
      <c r="BL424" s="2345">
        <f t="shared" ref="BL424:BM424" si="812">IFERROR(BL687/BL347,0)</f>
        <v>0</v>
      </c>
      <c r="BM424" s="2345">
        <f t="shared" si="812"/>
        <v>0</v>
      </c>
      <c r="BN424" s="2346">
        <f t="shared" si="790"/>
        <v>0</v>
      </c>
      <c r="BO424" s="2345">
        <f t="shared" ref="BO424:BP424" si="813">IFERROR(BO687/BO347,0)</f>
        <v>0</v>
      </c>
      <c r="BP424" s="2345">
        <f t="shared" si="813"/>
        <v>0</v>
      </c>
      <c r="BQ424" s="2346">
        <f t="shared" si="791"/>
        <v>0</v>
      </c>
    </row>
    <row r="425" spans="3:69" s="2087" customFormat="1" hidden="1">
      <c r="C425" s="2285" t="s">
        <v>2574</v>
      </c>
      <c r="D425" s="2350" t="s">
        <v>2545</v>
      </c>
      <c r="E425" s="2351" t="s">
        <v>2519</v>
      </c>
      <c r="F425" s="2176"/>
      <c r="G425" s="2252">
        <f>IFERROR(G688/G348,0)</f>
        <v>0</v>
      </c>
      <c r="H425" s="2252">
        <f>IFERROR(H688/H348,0)</f>
        <v>0</v>
      </c>
      <c r="I425" s="2178">
        <f t="shared" si="775"/>
        <v>0</v>
      </c>
      <c r="J425" s="2176"/>
      <c r="K425" s="2179">
        <f>IFERROR(K688/K348,0)</f>
        <v>0</v>
      </c>
      <c r="L425" s="2179">
        <f>IFERROR(L688/L348,0)</f>
        <v>0</v>
      </c>
      <c r="M425" s="2178">
        <f t="shared" si="796"/>
        <v>0</v>
      </c>
      <c r="N425" s="2179">
        <f>IFERROR(N688/N348,0)</f>
        <v>0</v>
      </c>
      <c r="O425" s="2179">
        <f>IFERROR(O688/O348,0)</f>
        <v>0</v>
      </c>
      <c r="P425" s="2178">
        <f t="shared" si="677"/>
        <v>0</v>
      </c>
      <c r="Q425" s="2184">
        <f>IFERROR(Q688/Q348,0)</f>
        <v>0</v>
      </c>
      <c r="R425" s="2179">
        <f>IFERROR(R688/R348,0)</f>
        <v>0</v>
      </c>
      <c r="S425" s="2180">
        <f t="shared" si="776"/>
        <v>0</v>
      </c>
      <c r="T425" s="2181">
        <f t="shared" si="679"/>
        <v>0</v>
      </c>
      <c r="U425" s="2179">
        <f t="shared" si="672"/>
        <v>0</v>
      </c>
      <c r="V425" s="2180">
        <f t="shared" si="673"/>
        <v>0</v>
      </c>
      <c r="W425" s="2187">
        <f>IFERROR(W688/W348,0)</f>
        <v>0</v>
      </c>
      <c r="X425" s="2179">
        <f>IFERROR(X688/X348,0)</f>
        <v>0</v>
      </c>
      <c r="Y425" s="2183">
        <f t="shared" si="777"/>
        <v>0</v>
      </c>
      <c r="Z425" s="2184">
        <f>IFERROR(Z688/Z348,0)</f>
        <v>0</v>
      </c>
      <c r="AA425" s="2179">
        <f>IFERROR(AA688/AA348,0)</f>
        <v>0</v>
      </c>
      <c r="AB425" s="2178">
        <f t="shared" si="778"/>
        <v>0</v>
      </c>
      <c r="AC425" s="2184">
        <f>IFERROR(AC688/AC348,0)</f>
        <v>0</v>
      </c>
      <c r="AD425" s="2179">
        <f>IFERROR(AD688/AD348,0)</f>
        <v>0</v>
      </c>
      <c r="AE425" s="2180">
        <f t="shared" si="779"/>
        <v>0</v>
      </c>
      <c r="AF425" s="2281"/>
      <c r="AG425" s="2114"/>
      <c r="AH425" s="2188">
        <f>IFERROR(AH688/AH348,0)</f>
        <v>0</v>
      </c>
      <c r="AI425" s="2188">
        <f>IFERROR(AI688/AI348,0)</f>
        <v>0</v>
      </c>
      <c r="AJ425" s="2186">
        <f t="shared" si="780"/>
        <v>0</v>
      </c>
      <c r="AK425" s="2188">
        <f>IFERROR(AK688/AK348,0)</f>
        <v>0</v>
      </c>
      <c r="AL425" s="2188">
        <f>IFERROR(AL688/AL348,0)</f>
        <v>0</v>
      </c>
      <c r="AM425" s="2186">
        <f t="shared" si="781"/>
        <v>0</v>
      </c>
      <c r="AN425" s="2188">
        <f>IFERROR(AN688/AN348,0)</f>
        <v>0</v>
      </c>
      <c r="AO425" s="2188">
        <f>IFERROR(AO688/AO348,0)</f>
        <v>0</v>
      </c>
      <c r="AP425" s="2186">
        <f t="shared" si="782"/>
        <v>0</v>
      </c>
      <c r="AQ425" s="2188">
        <f>IFERROR(AQ688/AQ348,0)</f>
        <v>0</v>
      </c>
      <c r="AR425" s="2188">
        <f>IFERROR(AR688/AR348,0)</f>
        <v>0</v>
      </c>
      <c r="AS425" s="2186">
        <f t="shared" si="783"/>
        <v>0</v>
      </c>
      <c r="AT425" s="2188">
        <f>IFERROR(AT688/AT348,0)</f>
        <v>0</v>
      </c>
      <c r="AU425" s="2188">
        <f>IFERROR(AU688/AU348,0)</f>
        <v>0</v>
      </c>
      <c r="AV425" s="2186">
        <f t="shared" si="784"/>
        <v>0</v>
      </c>
      <c r="AW425" s="2188">
        <f>IFERROR(AW688/AW348,0)</f>
        <v>0</v>
      </c>
      <c r="AX425" s="2188">
        <f>IFERROR(AX688/AX348,0)</f>
        <v>0</v>
      </c>
      <c r="AY425" s="2186">
        <f t="shared" si="785"/>
        <v>0</v>
      </c>
      <c r="AZ425" s="2188">
        <f>IFERROR(AZ688/AZ348,0)</f>
        <v>0</v>
      </c>
      <c r="BA425" s="2188">
        <f>IFERROR(BA688/BA348,0)</f>
        <v>0</v>
      </c>
      <c r="BB425" s="2186">
        <f t="shared" si="786"/>
        <v>0</v>
      </c>
      <c r="BC425" s="2188">
        <f>IFERROR(BC688/BC348,0)</f>
        <v>0</v>
      </c>
      <c r="BD425" s="2188">
        <f>IFERROR(BD688/BD348,0)</f>
        <v>0</v>
      </c>
      <c r="BE425" s="2186">
        <f t="shared" si="787"/>
        <v>0</v>
      </c>
      <c r="BF425" s="2188">
        <f>IFERROR(BF688/BF348,0)</f>
        <v>0</v>
      </c>
      <c r="BG425" s="2188">
        <f>IFERROR(BG688/BG348,0)</f>
        <v>0</v>
      </c>
      <c r="BH425" s="2186">
        <f t="shared" si="788"/>
        <v>0</v>
      </c>
      <c r="BI425" s="2188">
        <f>IFERROR(BI688/BI348,0)</f>
        <v>0</v>
      </c>
      <c r="BJ425" s="2188">
        <f>IFERROR(BJ688/BJ348,0)</f>
        <v>0</v>
      </c>
      <c r="BK425" s="2186">
        <f t="shared" si="789"/>
        <v>0</v>
      </c>
      <c r="BL425" s="2188">
        <f>IFERROR(BL688/BL348,0)</f>
        <v>0</v>
      </c>
      <c r="BM425" s="2188">
        <f>IFERROR(BM688/BM348,0)</f>
        <v>0</v>
      </c>
      <c r="BN425" s="2186">
        <f t="shared" si="790"/>
        <v>0</v>
      </c>
      <c r="BO425" s="2188">
        <f>IFERROR(BO688/BO348,0)</f>
        <v>0</v>
      </c>
      <c r="BP425" s="2188">
        <f>IFERROR(BP688/BP348,0)</f>
        <v>0</v>
      </c>
      <c r="BQ425" s="2186">
        <f t="shared" si="791"/>
        <v>0</v>
      </c>
    </row>
    <row r="426" spans="3:69" s="2087" customFormat="1" hidden="1">
      <c r="C426" s="2285" t="s">
        <v>2575</v>
      </c>
      <c r="D426" s="2286" t="s">
        <v>2229</v>
      </c>
      <c r="E426" s="2347" t="s">
        <v>2519</v>
      </c>
      <c r="F426" s="2176"/>
      <c r="G426" s="2336">
        <f>IFERROR(G689/G339,0)</f>
        <v>0</v>
      </c>
      <c r="H426" s="2336">
        <f>IFERROR(H689/H339,0)</f>
        <v>0</v>
      </c>
      <c r="I426" s="2337">
        <f>H426-G426</f>
        <v>0</v>
      </c>
      <c r="J426" s="2338"/>
      <c r="K426" s="2339">
        <f>IFERROR(K689/K339,0)</f>
        <v>0</v>
      </c>
      <c r="L426" s="2339">
        <f>IFERROR(L689/L339,0)</f>
        <v>0</v>
      </c>
      <c r="M426" s="2337">
        <f t="shared" si="796"/>
        <v>0</v>
      </c>
      <c r="N426" s="2339">
        <f>IFERROR(N689/N339,0)</f>
        <v>0</v>
      </c>
      <c r="O426" s="2339">
        <f>IFERROR(O689/O339,0)</f>
        <v>0</v>
      </c>
      <c r="P426" s="2337">
        <f t="shared" si="677"/>
        <v>0</v>
      </c>
      <c r="Q426" s="2339">
        <f>IFERROR(Q689/Q339,0)</f>
        <v>0</v>
      </c>
      <c r="R426" s="2339">
        <f>IFERROR(R689/R339,0)</f>
        <v>0</v>
      </c>
      <c r="S426" s="2337">
        <f t="shared" si="776"/>
        <v>0</v>
      </c>
      <c r="T426" s="2340">
        <f t="shared" si="679"/>
        <v>0</v>
      </c>
      <c r="U426" s="2339">
        <f>R426</f>
        <v>0</v>
      </c>
      <c r="V426" s="2341">
        <f t="shared" si="673"/>
        <v>0</v>
      </c>
      <c r="W426" s="2342">
        <f>IFERROR(W689/W339,0)</f>
        <v>0</v>
      </c>
      <c r="X426" s="2339">
        <f>IFERROR(X689/X339,0)</f>
        <v>0</v>
      </c>
      <c r="Y426" s="2343">
        <f t="shared" si="777"/>
        <v>0</v>
      </c>
      <c r="Z426" s="2344">
        <f>IFERROR(Z689/Z339,0)</f>
        <v>0</v>
      </c>
      <c r="AA426" s="2339">
        <f>IFERROR(AA689/AA339,0)</f>
        <v>0</v>
      </c>
      <c r="AB426" s="2337">
        <f t="shared" si="778"/>
        <v>0</v>
      </c>
      <c r="AC426" s="2339">
        <f>IFERROR(AC689/AC339,0)</f>
        <v>0</v>
      </c>
      <c r="AD426" s="2339">
        <f>IFERROR(AD689/AD339,0)</f>
        <v>0</v>
      </c>
      <c r="AE426" s="2337">
        <f t="shared" si="779"/>
        <v>0</v>
      </c>
      <c r="AF426" s="2281"/>
      <c r="AG426" s="2114"/>
      <c r="AH426" s="2345">
        <f>IFERROR(AH689/AH339,0)</f>
        <v>0</v>
      </c>
      <c r="AI426" s="2345">
        <f>IFERROR(AI689/AI339,0)</f>
        <v>0</v>
      </c>
      <c r="AJ426" s="2346">
        <f t="shared" si="780"/>
        <v>0</v>
      </c>
      <c r="AK426" s="2345">
        <f>IFERROR(AK689/AK339,0)</f>
        <v>0</v>
      </c>
      <c r="AL426" s="2345">
        <f>IFERROR(AL689/AL339,0)</f>
        <v>0</v>
      </c>
      <c r="AM426" s="2346">
        <f t="shared" si="781"/>
        <v>0</v>
      </c>
      <c r="AN426" s="2345">
        <f>IFERROR(AN689/AN339,0)</f>
        <v>0</v>
      </c>
      <c r="AO426" s="2345">
        <f>IFERROR(AO689/AO339,0)</f>
        <v>0</v>
      </c>
      <c r="AP426" s="2346">
        <f t="shared" si="782"/>
        <v>0</v>
      </c>
      <c r="AQ426" s="2345">
        <f>IFERROR(AQ689/AQ339,0)</f>
        <v>0</v>
      </c>
      <c r="AR426" s="2345">
        <f>IFERROR(AR689/AR339,0)</f>
        <v>0</v>
      </c>
      <c r="AS426" s="2346">
        <f t="shared" si="783"/>
        <v>0</v>
      </c>
      <c r="AT426" s="2345">
        <f>IFERROR(AT689/AT339,0)</f>
        <v>0</v>
      </c>
      <c r="AU426" s="2345">
        <f>IFERROR(AU689/AU339,0)</f>
        <v>0</v>
      </c>
      <c r="AV426" s="2346">
        <f t="shared" si="784"/>
        <v>0</v>
      </c>
      <c r="AW426" s="2345">
        <f>IFERROR(AW689/AW339,0)</f>
        <v>0</v>
      </c>
      <c r="AX426" s="2345">
        <f>IFERROR(AX689/AX339,0)</f>
        <v>0</v>
      </c>
      <c r="AY426" s="2346">
        <f t="shared" si="785"/>
        <v>0</v>
      </c>
      <c r="AZ426" s="2345">
        <f>IFERROR(AZ689/AZ339,0)</f>
        <v>0</v>
      </c>
      <c r="BA426" s="2345">
        <f>IFERROR(BA689/BA339,0)</f>
        <v>0</v>
      </c>
      <c r="BB426" s="2346">
        <f t="shared" si="786"/>
        <v>0</v>
      </c>
      <c r="BC426" s="2345">
        <f>IFERROR(BC689/BC339,0)</f>
        <v>0</v>
      </c>
      <c r="BD426" s="2345">
        <f>IFERROR(BD689/BD339,0)</f>
        <v>0</v>
      </c>
      <c r="BE426" s="2346">
        <f t="shared" si="787"/>
        <v>0</v>
      </c>
      <c r="BF426" s="2345">
        <f>IFERROR(BF689/BF339,0)</f>
        <v>0</v>
      </c>
      <c r="BG426" s="2345">
        <f>IFERROR(BG689/BG339,0)</f>
        <v>0</v>
      </c>
      <c r="BH426" s="2346">
        <f t="shared" si="788"/>
        <v>0</v>
      </c>
      <c r="BI426" s="2345">
        <f>IFERROR(BI689/BI339,0)</f>
        <v>0</v>
      </c>
      <c r="BJ426" s="2345">
        <f>IFERROR(BJ689/BJ339,0)</f>
        <v>0</v>
      </c>
      <c r="BK426" s="2346">
        <f t="shared" si="789"/>
        <v>0</v>
      </c>
      <c r="BL426" s="2345">
        <f>IFERROR(BL689/BL339,0)</f>
        <v>0</v>
      </c>
      <c r="BM426" s="2345">
        <f>IFERROR(BM689/BM339,0)</f>
        <v>0</v>
      </c>
      <c r="BN426" s="2346">
        <f t="shared" si="790"/>
        <v>0</v>
      </c>
      <c r="BO426" s="2345">
        <f>IFERROR(BO689/BO339,0)</f>
        <v>0</v>
      </c>
      <c r="BP426" s="2345">
        <f>IFERROR(BP689/BP339,0)</f>
        <v>0</v>
      </c>
      <c r="BQ426" s="2346">
        <f t="shared" si="791"/>
        <v>0</v>
      </c>
    </row>
    <row r="427" spans="3:69" s="2207" customFormat="1">
      <c r="C427" s="2352" t="s">
        <v>2576</v>
      </c>
      <c r="D427" s="2353" t="s">
        <v>2577</v>
      </c>
      <c r="E427" s="2354" t="s">
        <v>2519</v>
      </c>
      <c r="F427" s="2162"/>
      <c r="G427" s="2259">
        <v>0</v>
      </c>
      <c r="H427" s="2259">
        <v>0</v>
      </c>
      <c r="I427" s="2164">
        <f>H427-G427</f>
        <v>0</v>
      </c>
      <c r="J427" s="2162"/>
      <c r="K427" s="2259">
        <v>0</v>
      </c>
      <c r="L427" s="2259">
        <v>0</v>
      </c>
      <c r="M427" s="2262">
        <f>L427-K427</f>
        <v>0</v>
      </c>
      <c r="N427" s="2163">
        <v>0</v>
      </c>
      <c r="O427" s="2163">
        <v>0</v>
      </c>
      <c r="P427" s="2164">
        <f>O427-N427</f>
        <v>0</v>
      </c>
      <c r="Q427" s="2165">
        <v>0</v>
      </c>
      <c r="R427" s="2163">
        <v>0</v>
      </c>
      <c r="S427" s="2166">
        <f>R427-Q427</f>
        <v>0</v>
      </c>
      <c r="T427" s="2258">
        <v>0</v>
      </c>
      <c r="U427" s="2259">
        <v>0</v>
      </c>
      <c r="V427" s="2260">
        <f>U427-T427</f>
        <v>0</v>
      </c>
      <c r="W427" s="2168">
        <v>0</v>
      </c>
      <c r="X427" s="2163">
        <v>0</v>
      </c>
      <c r="Y427" s="2169">
        <f>X427-W427</f>
        <v>0</v>
      </c>
      <c r="Z427" s="2261">
        <v>0</v>
      </c>
      <c r="AA427" s="2259">
        <v>0</v>
      </c>
      <c r="AB427" s="2262">
        <f>AA427-Z427</f>
        <v>0</v>
      </c>
      <c r="AC427" s="2165">
        <v>0</v>
      </c>
      <c r="AD427" s="2163">
        <v>0</v>
      </c>
      <c r="AE427" s="2166">
        <f>AD427-AC427</f>
        <v>0</v>
      </c>
      <c r="AF427" s="2204"/>
      <c r="AG427" s="2206"/>
      <c r="AH427" s="2171">
        <v>0</v>
      </c>
      <c r="AI427" s="2171">
        <v>0</v>
      </c>
      <c r="AJ427" s="2172">
        <f>AI427-AH427</f>
        <v>0</v>
      </c>
      <c r="AK427" s="2171">
        <v>0</v>
      </c>
      <c r="AL427" s="2171">
        <v>0</v>
      </c>
      <c r="AM427" s="2172">
        <f>AL427-AK427</f>
        <v>0</v>
      </c>
      <c r="AN427" s="2171">
        <v>0</v>
      </c>
      <c r="AO427" s="2171">
        <v>0</v>
      </c>
      <c r="AP427" s="2172">
        <f>AO427-AN427</f>
        <v>0</v>
      </c>
      <c r="AQ427" s="2171">
        <v>0</v>
      </c>
      <c r="AR427" s="2171">
        <v>0</v>
      </c>
      <c r="AS427" s="2172">
        <f>AR427-AQ427</f>
        <v>0</v>
      </c>
      <c r="AT427" s="2171">
        <v>0</v>
      </c>
      <c r="AU427" s="2171">
        <v>0</v>
      </c>
      <c r="AV427" s="2172">
        <f>AU427-AT427</f>
        <v>0</v>
      </c>
      <c r="AW427" s="2171">
        <v>0</v>
      </c>
      <c r="AX427" s="2171">
        <v>0</v>
      </c>
      <c r="AY427" s="2172">
        <f>AX427-AW427</f>
        <v>0</v>
      </c>
      <c r="AZ427" s="2171">
        <v>0</v>
      </c>
      <c r="BA427" s="2171">
        <v>0</v>
      </c>
      <c r="BB427" s="2172">
        <f>BA427-AZ427</f>
        <v>0</v>
      </c>
      <c r="BC427" s="2171">
        <v>0</v>
      </c>
      <c r="BD427" s="2171">
        <v>0</v>
      </c>
      <c r="BE427" s="2172">
        <f>BD427-BC427</f>
        <v>0</v>
      </c>
      <c r="BF427" s="2171">
        <v>0</v>
      </c>
      <c r="BG427" s="2171">
        <v>0</v>
      </c>
      <c r="BH427" s="2172">
        <f>BG427-BF427</f>
        <v>0</v>
      </c>
      <c r="BI427" s="2171">
        <v>0</v>
      </c>
      <c r="BJ427" s="2171">
        <v>0</v>
      </c>
      <c r="BK427" s="2172">
        <f>BJ427-BI427</f>
        <v>0</v>
      </c>
      <c r="BL427" s="2171">
        <v>0</v>
      </c>
      <c r="BM427" s="2171">
        <v>0</v>
      </c>
      <c r="BN427" s="2172">
        <f>BM427-BL427</f>
        <v>0</v>
      </c>
      <c r="BO427" s="2171">
        <v>0</v>
      </c>
      <c r="BP427" s="2171">
        <v>0</v>
      </c>
      <c r="BQ427" s="2172">
        <f>BP427-BO427</f>
        <v>0</v>
      </c>
    </row>
    <row r="428" spans="3:69">
      <c r="C428" s="2355" t="s">
        <v>2578</v>
      </c>
      <c r="D428" s="2311" t="s">
        <v>2092</v>
      </c>
      <c r="E428" s="2356" t="s">
        <v>2519</v>
      </c>
      <c r="F428" s="2176"/>
      <c r="G428" s="2252">
        <v>0</v>
      </c>
      <c r="H428" s="2252">
        <v>0</v>
      </c>
      <c r="I428" s="2178">
        <f t="shared" ref="I428:I437" si="814">H428-G428</f>
        <v>0</v>
      </c>
      <c r="J428" s="2176"/>
      <c r="K428" s="2252">
        <v>0</v>
      </c>
      <c r="L428" s="2252">
        <v>0</v>
      </c>
      <c r="M428" s="2255">
        <f t="shared" ref="M428:M437" si="815">L428-K428</f>
        <v>0</v>
      </c>
      <c r="N428" s="2177"/>
      <c r="O428" s="2177"/>
      <c r="P428" s="2178">
        <f t="shared" ref="P428:P437" si="816">O428-N428</f>
        <v>0</v>
      </c>
      <c r="Q428" s="2176"/>
      <c r="R428" s="2177"/>
      <c r="S428" s="2180">
        <f t="shared" ref="S428:S437" si="817">R428-Q428</f>
        <v>0</v>
      </c>
      <c r="T428" s="2251">
        <v>0</v>
      </c>
      <c r="U428" s="2252">
        <v>0</v>
      </c>
      <c r="V428" s="2253">
        <f t="shared" ref="V428:V437" si="818">U428-T428</f>
        <v>0</v>
      </c>
      <c r="W428" s="2182"/>
      <c r="X428" s="2177"/>
      <c r="Y428" s="2183">
        <f t="shared" ref="Y428:Y437" si="819">X428-W428</f>
        <v>0</v>
      </c>
      <c r="Z428" s="2254">
        <v>0</v>
      </c>
      <c r="AA428" s="2252">
        <v>0</v>
      </c>
      <c r="AB428" s="2255">
        <f t="shared" ref="AB428:AB437" si="820">AA428-Z428</f>
        <v>0</v>
      </c>
      <c r="AC428" s="2176"/>
      <c r="AD428" s="2177"/>
      <c r="AE428" s="2180">
        <f t="shared" ref="AE428:AE437" si="821">AD428-AC428</f>
        <v>0</v>
      </c>
      <c r="AF428" s="2185"/>
      <c r="AG428" s="2145"/>
      <c r="AH428" s="2177"/>
      <c r="AI428" s="2177"/>
      <c r="AJ428" s="2186">
        <f t="shared" ref="AJ428:AJ437" si="822">AI428-AH428</f>
        <v>0</v>
      </c>
      <c r="AK428" s="2177"/>
      <c r="AL428" s="2177"/>
      <c r="AM428" s="2186">
        <f t="shared" ref="AM428:AM437" si="823">AL428-AK428</f>
        <v>0</v>
      </c>
      <c r="AN428" s="2177"/>
      <c r="AO428" s="2177"/>
      <c r="AP428" s="2186">
        <f t="shared" ref="AP428:AP437" si="824">AO428-AN428</f>
        <v>0</v>
      </c>
      <c r="AQ428" s="2177"/>
      <c r="AR428" s="2177"/>
      <c r="AS428" s="2186">
        <f t="shared" ref="AS428:AS437" si="825">AR428-AQ428</f>
        <v>0</v>
      </c>
      <c r="AT428" s="2177"/>
      <c r="AU428" s="2177"/>
      <c r="AV428" s="2186">
        <f t="shared" ref="AV428:AV437" si="826">AU428-AT428</f>
        <v>0</v>
      </c>
      <c r="AW428" s="2177"/>
      <c r="AX428" s="2177"/>
      <c r="AY428" s="2186">
        <f t="shared" ref="AY428:AY437" si="827">AX428-AW428</f>
        <v>0</v>
      </c>
      <c r="AZ428" s="2177"/>
      <c r="BA428" s="2177"/>
      <c r="BB428" s="2186">
        <f t="shared" ref="BB428:BB437" si="828">BA428-AZ428</f>
        <v>0</v>
      </c>
      <c r="BC428" s="2177"/>
      <c r="BD428" s="2177"/>
      <c r="BE428" s="2186">
        <f t="shared" ref="BE428:BE437" si="829">BD428-BC428</f>
        <v>0</v>
      </c>
      <c r="BF428" s="2177"/>
      <c r="BG428" s="2177"/>
      <c r="BH428" s="2186">
        <f t="shared" ref="BH428:BH437" si="830">BG428-BF428</f>
        <v>0</v>
      </c>
      <c r="BI428" s="2177"/>
      <c r="BJ428" s="2177"/>
      <c r="BK428" s="2186">
        <f t="shared" ref="BK428:BK437" si="831">BJ428-BI428</f>
        <v>0</v>
      </c>
      <c r="BL428" s="2177"/>
      <c r="BM428" s="2177"/>
      <c r="BN428" s="2186">
        <f t="shared" ref="BN428:BN437" si="832">BM428-BL428</f>
        <v>0</v>
      </c>
      <c r="BO428" s="2177"/>
      <c r="BP428" s="2177"/>
      <c r="BQ428" s="2186">
        <f t="shared" ref="BQ428:BQ437" si="833">BP428-BO428</f>
        <v>0</v>
      </c>
    </row>
    <row r="429" spans="3:69">
      <c r="C429" s="2357" t="s">
        <v>2579</v>
      </c>
      <c r="D429" s="2286" t="s">
        <v>2229</v>
      </c>
      <c r="E429" s="2347" t="s">
        <v>2519</v>
      </c>
      <c r="F429" s="2176"/>
      <c r="G429" s="2252">
        <v>0</v>
      </c>
      <c r="H429" s="2252">
        <v>0</v>
      </c>
      <c r="I429" s="2178">
        <f t="shared" si="814"/>
        <v>0</v>
      </c>
      <c r="J429" s="2176"/>
      <c r="K429" s="2252">
        <v>0</v>
      </c>
      <c r="L429" s="2252">
        <v>0</v>
      </c>
      <c r="M429" s="2255">
        <f t="shared" si="815"/>
        <v>0</v>
      </c>
      <c r="N429" s="2177"/>
      <c r="O429" s="2177"/>
      <c r="P429" s="2178">
        <f t="shared" si="816"/>
        <v>0</v>
      </c>
      <c r="Q429" s="2176"/>
      <c r="R429" s="2177"/>
      <c r="S429" s="2180">
        <f t="shared" si="817"/>
        <v>0</v>
      </c>
      <c r="T429" s="2251">
        <v>0</v>
      </c>
      <c r="U429" s="2252">
        <v>0</v>
      </c>
      <c r="V429" s="2253">
        <f t="shared" si="818"/>
        <v>0</v>
      </c>
      <c r="W429" s="2182"/>
      <c r="X429" s="2177"/>
      <c r="Y429" s="2183">
        <f t="shared" si="819"/>
        <v>0</v>
      </c>
      <c r="Z429" s="2254">
        <v>0</v>
      </c>
      <c r="AA429" s="2252">
        <v>0</v>
      </c>
      <c r="AB429" s="2255">
        <f t="shared" si="820"/>
        <v>0</v>
      </c>
      <c r="AC429" s="2176"/>
      <c r="AD429" s="2177"/>
      <c r="AE429" s="2180">
        <f t="shared" si="821"/>
        <v>0</v>
      </c>
      <c r="AF429" s="2185"/>
      <c r="AG429" s="2145"/>
      <c r="AH429" s="2177"/>
      <c r="AI429" s="2177"/>
      <c r="AJ429" s="2186">
        <f t="shared" si="822"/>
        <v>0</v>
      </c>
      <c r="AK429" s="2177"/>
      <c r="AL429" s="2177"/>
      <c r="AM429" s="2186">
        <f t="shared" si="823"/>
        <v>0</v>
      </c>
      <c r="AN429" s="2177"/>
      <c r="AO429" s="2177"/>
      <c r="AP429" s="2186">
        <f t="shared" si="824"/>
        <v>0</v>
      </c>
      <c r="AQ429" s="2177"/>
      <c r="AR429" s="2177"/>
      <c r="AS429" s="2186">
        <f t="shared" si="825"/>
        <v>0</v>
      </c>
      <c r="AT429" s="2177"/>
      <c r="AU429" s="2177"/>
      <c r="AV429" s="2186">
        <f t="shared" si="826"/>
        <v>0</v>
      </c>
      <c r="AW429" s="2177"/>
      <c r="AX429" s="2177"/>
      <c r="AY429" s="2186">
        <f t="shared" si="827"/>
        <v>0</v>
      </c>
      <c r="AZ429" s="2177"/>
      <c r="BA429" s="2177"/>
      <c r="BB429" s="2186">
        <f t="shared" si="828"/>
        <v>0</v>
      </c>
      <c r="BC429" s="2177"/>
      <c r="BD429" s="2177"/>
      <c r="BE429" s="2186">
        <f t="shared" si="829"/>
        <v>0</v>
      </c>
      <c r="BF429" s="2177"/>
      <c r="BG429" s="2177"/>
      <c r="BH429" s="2186">
        <f t="shared" si="830"/>
        <v>0</v>
      </c>
      <c r="BI429" s="2177"/>
      <c r="BJ429" s="2177"/>
      <c r="BK429" s="2186">
        <f t="shared" si="831"/>
        <v>0</v>
      </c>
      <c r="BL429" s="2177"/>
      <c r="BM429" s="2177"/>
      <c r="BN429" s="2186">
        <f t="shared" si="832"/>
        <v>0</v>
      </c>
      <c r="BO429" s="2177"/>
      <c r="BP429" s="2177"/>
      <c r="BQ429" s="2186">
        <f t="shared" si="833"/>
        <v>0</v>
      </c>
    </row>
    <row r="430" spans="3:69">
      <c r="C430" s="2355" t="s">
        <v>2580</v>
      </c>
      <c r="D430" s="2311" t="s">
        <v>2094</v>
      </c>
      <c r="E430" s="2356" t="s">
        <v>2519</v>
      </c>
      <c r="F430" s="2176"/>
      <c r="G430" s="2252">
        <v>0</v>
      </c>
      <c r="H430" s="2252">
        <v>0</v>
      </c>
      <c r="I430" s="2178">
        <f t="shared" si="814"/>
        <v>0</v>
      </c>
      <c r="J430" s="2176"/>
      <c r="K430" s="2252">
        <v>0</v>
      </c>
      <c r="L430" s="2252">
        <v>0</v>
      </c>
      <c r="M430" s="2255">
        <f t="shared" si="815"/>
        <v>0</v>
      </c>
      <c r="N430" s="2177"/>
      <c r="O430" s="2177"/>
      <c r="P430" s="2178">
        <f t="shared" si="816"/>
        <v>0</v>
      </c>
      <c r="Q430" s="2176"/>
      <c r="R430" s="2177"/>
      <c r="S430" s="2180">
        <f t="shared" si="817"/>
        <v>0</v>
      </c>
      <c r="T430" s="2251">
        <v>0</v>
      </c>
      <c r="U430" s="2252">
        <v>0</v>
      </c>
      <c r="V430" s="2253">
        <f t="shared" si="818"/>
        <v>0</v>
      </c>
      <c r="W430" s="2182"/>
      <c r="X430" s="2177"/>
      <c r="Y430" s="2183">
        <f t="shared" si="819"/>
        <v>0</v>
      </c>
      <c r="Z430" s="2254">
        <v>0</v>
      </c>
      <c r="AA430" s="2252">
        <v>0</v>
      </c>
      <c r="AB430" s="2255">
        <f t="shared" si="820"/>
        <v>0</v>
      </c>
      <c r="AC430" s="2176"/>
      <c r="AD430" s="2177"/>
      <c r="AE430" s="2180">
        <f t="shared" si="821"/>
        <v>0</v>
      </c>
      <c r="AF430" s="2185"/>
      <c r="AG430" s="2145"/>
      <c r="AH430" s="2177"/>
      <c r="AI430" s="2177"/>
      <c r="AJ430" s="2186">
        <f t="shared" si="822"/>
        <v>0</v>
      </c>
      <c r="AK430" s="2177"/>
      <c r="AL430" s="2177"/>
      <c r="AM430" s="2186">
        <f t="shared" si="823"/>
        <v>0</v>
      </c>
      <c r="AN430" s="2177"/>
      <c r="AO430" s="2177"/>
      <c r="AP430" s="2186">
        <f t="shared" si="824"/>
        <v>0</v>
      </c>
      <c r="AQ430" s="2177"/>
      <c r="AR430" s="2177"/>
      <c r="AS430" s="2186">
        <f t="shared" si="825"/>
        <v>0</v>
      </c>
      <c r="AT430" s="2177"/>
      <c r="AU430" s="2177"/>
      <c r="AV430" s="2186">
        <f t="shared" si="826"/>
        <v>0</v>
      </c>
      <c r="AW430" s="2177"/>
      <c r="AX430" s="2177"/>
      <c r="AY430" s="2186">
        <f t="shared" si="827"/>
        <v>0</v>
      </c>
      <c r="AZ430" s="2177"/>
      <c r="BA430" s="2177"/>
      <c r="BB430" s="2186">
        <f t="shared" si="828"/>
        <v>0</v>
      </c>
      <c r="BC430" s="2177"/>
      <c r="BD430" s="2177"/>
      <c r="BE430" s="2186">
        <f t="shared" si="829"/>
        <v>0</v>
      </c>
      <c r="BF430" s="2177"/>
      <c r="BG430" s="2177"/>
      <c r="BH430" s="2186">
        <f t="shared" si="830"/>
        <v>0</v>
      </c>
      <c r="BI430" s="2177"/>
      <c r="BJ430" s="2177"/>
      <c r="BK430" s="2186">
        <f t="shared" si="831"/>
        <v>0</v>
      </c>
      <c r="BL430" s="2177"/>
      <c r="BM430" s="2177"/>
      <c r="BN430" s="2186">
        <f t="shared" si="832"/>
        <v>0</v>
      </c>
      <c r="BO430" s="2177"/>
      <c r="BP430" s="2177"/>
      <c r="BQ430" s="2186">
        <f t="shared" si="833"/>
        <v>0</v>
      </c>
    </row>
    <row r="431" spans="3:69">
      <c r="C431" s="2357" t="s">
        <v>2581</v>
      </c>
      <c r="D431" s="2286" t="s">
        <v>2229</v>
      </c>
      <c r="E431" s="2347" t="s">
        <v>2519</v>
      </c>
      <c r="F431" s="2176"/>
      <c r="G431" s="2252">
        <v>0</v>
      </c>
      <c r="H431" s="2252">
        <v>0</v>
      </c>
      <c r="I431" s="2178">
        <f t="shared" si="814"/>
        <v>0</v>
      </c>
      <c r="J431" s="2176"/>
      <c r="K431" s="2252">
        <v>0</v>
      </c>
      <c r="L431" s="2252">
        <v>0</v>
      </c>
      <c r="M431" s="2255">
        <f t="shared" si="815"/>
        <v>0</v>
      </c>
      <c r="N431" s="2177"/>
      <c r="O431" s="2177"/>
      <c r="P431" s="2178">
        <f t="shared" si="816"/>
        <v>0</v>
      </c>
      <c r="Q431" s="2176"/>
      <c r="R431" s="2177"/>
      <c r="S431" s="2180">
        <f t="shared" si="817"/>
        <v>0</v>
      </c>
      <c r="T431" s="2251">
        <v>0</v>
      </c>
      <c r="U431" s="2252">
        <v>0</v>
      </c>
      <c r="V431" s="2253">
        <f t="shared" si="818"/>
        <v>0</v>
      </c>
      <c r="W431" s="2182"/>
      <c r="X431" s="2177"/>
      <c r="Y431" s="2183">
        <f t="shared" si="819"/>
        <v>0</v>
      </c>
      <c r="Z431" s="2254">
        <v>0</v>
      </c>
      <c r="AA431" s="2252">
        <v>0</v>
      </c>
      <c r="AB431" s="2255">
        <f t="shared" si="820"/>
        <v>0</v>
      </c>
      <c r="AC431" s="2176"/>
      <c r="AD431" s="2177"/>
      <c r="AE431" s="2180">
        <f t="shared" si="821"/>
        <v>0</v>
      </c>
      <c r="AF431" s="2185"/>
      <c r="AG431" s="2145"/>
      <c r="AH431" s="2177"/>
      <c r="AI431" s="2177"/>
      <c r="AJ431" s="2186">
        <f t="shared" si="822"/>
        <v>0</v>
      </c>
      <c r="AK431" s="2177"/>
      <c r="AL431" s="2177"/>
      <c r="AM431" s="2186">
        <f t="shared" si="823"/>
        <v>0</v>
      </c>
      <c r="AN431" s="2177"/>
      <c r="AO431" s="2177"/>
      <c r="AP431" s="2186">
        <f t="shared" si="824"/>
        <v>0</v>
      </c>
      <c r="AQ431" s="2177"/>
      <c r="AR431" s="2177"/>
      <c r="AS431" s="2186">
        <f t="shared" si="825"/>
        <v>0</v>
      </c>
      <c r="AT431" s="2177"/>
      <c r="AU431" s="2177"/>
      <c r="AV431" s="2186">
        <f t="shared" si="826"/>
        <v>0</v>
      </c>
      <c r="AW431" s="2177"/>
      <c r="AX431" s="2177"/>
      <c r="AY431" s="2186">
        <f t="shared" si="827"/>
        <v>0</v>
      </c>
      <c r="AZ431" s="2177"/>
      <c r="BA431" s="2177"/>
      <c r="BB431" s="2186">
        <f t="shared" si="828"/>
        <v>0</v>
      </c>
      <c r="BC431" s="2177"/>
      <c r="BD431" s="2177"/>
      <c r="BE431" s="2186">
        <f t="shared" si="829"/>
        <v>0</v>
      </c>
      <c r="BF431" s="2177"/>
      <c r="BG431" s="2177"/>
      <c r="BH431" s="2186">
        <f t="shared" si="830"/>
        <v>0</v>
      </c>
      <c r="BI431" s="2177"/>
      <c r="BJ431" s="2177"/>
      <c r="BK431" s="2186">
        <f t="shared" si="831"/>
        <v>0</v>
      </c>
      <c r="BL431" s="2177"/>
      <c r="BM431" s="2177"/>
      <c r="BN431" s="2186">
        <f t="shared" si="832"/>
        <v>0</v>
      </c>
      <c r="BO431" s="2177"/>
      <c r="BP431" s="2177"/>
      <c r="BQ431" s="2186">
        <f t="shared" si="833"/>
        <v>0</v>
      </c>
    </row>
    <row r="432" spans="3:69" hidden="1">
      <c r="C432" s="2355" t="s">
        <v>2582</v>
      </c>
      <c r="D432" s="2311" t="s">
        <v>2096</v>
      </c>
      <c r="E432" s="2356" t="s">
        <v>2519</v>
      </c>
      <c r="F432" s="2176"/>
      <c r="G432" s="2252">
        <v>0</v>
      </c>
      <c r="H432" s="2252">
        <v>0</v>
      </c>
      <c r="I432" s="2178">
        <f t="shared" si="814"/>
        <v>0</v>
      </c>
      <c r="J432" s="2176"/>
      <c r="K432" s="2252">
        <v>0</v>
      </c>
      <c r="L432" s="2252">
        <v>0</v>
      </c>
      <c r="M432" s="2255">
        <f t="shared" si="815"/>
        <v>0</v>
      </c>
      <c r="N432" s="2177"/>
      <c r="O432" s="2177"/>
      <c r="P432" s="2178">
        <f t="shared" si="816"/>
        <v>0</v>
      </c>
      <c r="Q432" s="2176"/>
      <c r="R432" s="2177"/>
      <c r="S432" s="2180">
        <f t="shared" si="817"/>
        <v>0</v>
      </c>
      <c r="T432" s="2251">
        <v>0</v>
      </c>
      <c r="U432" s="2252">
        <v>0</v>
      </c>
      <c r="V432" s="2253">
        <f t="shared" si="818"/>
        <v>0</v>
      </c>
      <c r="W432" s="2182"/>
      <c r="X432" s="2177"/>
      <c r="Y432" s="2183">
        <f t="shared" si="819"/>
        <v>0</v>
      </c>
      <c r="Z432" s="2254">
        <v>0</v>
      </c>
      <c r="AA432" s="2252">
        <v>0</v>
      </c>
      <c r="AB432" s="2255">
        <f t="shared" si="820"/>
        <v>0</v>
      </c>
      <c r="AC432" s="2176"/>
      <c r="AD432" s="2177"/>
      <c r="AE432" s="2180">
        <f t="shared" si="821"/>
        <v>0</v>
      </c>
      <c r="AF432" s="2185"/>
      <c r="AG432" s="2145"/>
      <c r="AH432" s="2177"/>
      <c r="AI432" s="2177"/>
      <c r="AJ432" s="2186">
        <f t="shared" si="822"/>
        <v>0</v>
      </c>
      <c r="AK432" s="2177"/>
      <c r="AL432" s="2177"/>
      <c r="AM432" s="2186">
        <f t="shared" si="823"/>
        <v>0</v>
      </c>
      <c r="AN432" s="2177"/>
      <c r="AO432" s="2177"/>
      <c r="AP432" s="2186">
        <f t="shared" si="824"/>
        <v>0</v>
      </c>
      <c r="AQ432" s="2177"/>
      <c r="AR432" s="2177"/>
      <c r="AS432" s="2186">
        <f t="shared" si="825"/>
        <v>0</v>
      </c>
      <c r="AT432" s="2177"/>
      <c r="AU432" s="2177"/>
      <c r="AV432" s="2186">
        <f t="shared" si="826"/>
        <v>0</v>
      </c>
      <c r="AW432" s="2177"/>
      <c r="AX432" s="2177"/>
      <c r="AY432" s="2186">
        <f t="shared" si="827"/>
        <v>0</v>
      </c>
      <c r="AZ432" s="2177"/>
      <c r="BA432" s="2177"/>
      <c r="BB432" s="2186">
        <f t="shared" si="828"/>
        <v>0</v>
      </c>
      <c r="BC432" s="2177"/>
      <c r="BD432" s="2177"/>
      <c r="BE432" s="2186">
        <f t="shared" si="829"/>
        <v>0</v>
      </c>
      <c r="BF432" s="2177"/>
      <c r="BG432" s="2177"/>
      <c r="BH432" s="2186">
        <f t="shared" si="830"/>
        <v>0</v>
      </c>
      <c r="BI432" s="2177"/>
      <c r="BJ432" s="2177"/>
      <c r="BK432" s="2186">
        <f t="shared" si="831"/>
        <v>0</v>
      </c>
      <c r="BL432" s="2177"/>
      <c r="BM432" s="2177"/>
      <c r="BN432" s="2186">
        <f t="shared" si="832"/>
        <v>0</v>
      </c>
      <c r="BO432" s="2177"/>
      <c r="BP432" s="2177"/>
      <c r="BQ432" s="2186">
        <f t="shared" si="833"/>
        <v>0</v>
      </c>
    </row>
    <row r="433" spans="3:69" hidden="1">
      <c r="C433" s="2357" t="s">
        <v>2583</v>
      </c>
      <c r="D433" s="2286" t="s">
        <v>2229</v>
      </c>
      <c r="E433" s="2347" t="s">
        <v>2519</v>
      </c>
      <c r="F433" s="2176"/>
      <c r="G433" s="2252">
        <v>0</v>
      </c>
      <c r="H433" s="2252">
        <v>0</v>
      </c>
      <c r="I433" s="2178">
        <f t="shared" si="814"/>
        <v>0</v>
      </c>
      <c r="J433" s="2176"/>
      <c r="K433" s="2252">
        <v>0</v>
      </c>
      <c r="L433" s="2252">
        <v>0</v>
      </c>
      <c r="M433" s="2255">
        <f t="shared" si="815"/>
        <v>0</v>
      </c>
      <c r="N433" s="2177"/>
      <c r="O433" s="2177"/>
      <c r="P433" s="2178">
        <f t="shared" si="816"/>
        <v>0</v>
      </c>
      <c r="Q433" s="2176"/>
      <c r="R433" s="2177"/>
      <c r="S433" s="2180">
        <f t="shared" si="817"/>
        <v>0</v>
      </c>
      <c r="T433" s="2251">
        <v>0</v>
      </c>
      <c r="U433" s="2252">
        <v>0</v>
      </c>
      <c r="V433" s="2253">
        <f t="shared" si="818"/>
        <v>0</v>
      </c>
      <c r="W433" s="2182"/>
      <c r="X433" s="2177"/>
      <c r="Y433" s="2183">
        <f t="shared" si="819"/>
        <v>0</v>
      </c>
      <c r="Z433" s="2254">
        <v>0</v>
      </c>
      <c r="AA433" s="2252">
        <v>0</v>
      </c>
      <c r="AB433" s="2255">
        <f t="shared" si="820"/>
        <v>0</v>
      </c>
      <c r="AC433" s="2176"/>
      <c r="AD433" s="2177"/>
      <c r="AE433" s="2180">
        <f t="shared" si="821"/>
        <v>0</v>
      </c>
      <c r="AF433" s="2185"/>
      <c r="AG433" s="2145"/>
      <c r="AH433" s="2177"/>
      <c r="AI433" s="2177"/>
      <c r="AJ433" s="2186">
        <f t="shared" si="822"/>
        <v>0</v>
      </c>
      <c r="AK433" s="2177"/>
      <c r="AL433" s="2177"/>
      <c r="AM433" s="2186">
        <f t="shared" si="823"/>
        <v>0</v>
      </c>
      <c r="AN433" s="2177"/>
      <c r="AO433" s="2177"/>
      <c r="AP433" s="2186">
        <f t="shared" si="824"/>
        <v>0</v>
      </c>
      <c r="AQ433" s="2177"/>
      <c r="AR433" s="2177"/>
      <c r="AS433" s="2186">
        <f t="shared" si="825"/>
        <v>0</v>
      </c>
      <c r="AT433" s="2177"/>
      <c r="AU433" s="2177"/>
      <c r="AV433" s="2186">
        <f t="shared" si="826"/>
        <v>0</v>
      </c>
      <c r="AW433" s="2177"/>
      <c r="AX433" s="2177"/>
      <c r="AY433" s="2186">
        <f t="shared" si="827"/>
        <v>0</v>
      </c>
      <c r="AZ433" s="2177"/>
      <c r="BA433" s="2177"/>
      <c r="BB433" s="2186">
        <f t="shared" si="828"/>
        <v>0</v>
      </c>
      <c r="BC433" s="2177"/>
      <c r="BD433" s="2177"/>
      <c r="BE433" s="2186">
        <f t="shared" si="829"/>
        <v>0</v>
      </c>
      <c r="BF433" s="2177"/>
      <c r="BG433" s="2177"/>
      <c r="BH433" s="2186">
        <f t="shared" si="830"/>
        <v>0</v>
      </c>
      <c r="BI433" s="2177"/>
      <c r="BJ433" s="2177"/>
      <c r="BK433" s="2186">
        <f t="shared" si="831"/>
        <v>0</v>
      </c>
      <c r="BL433" s="2177"/>
      <c r="BM433" s="2177"/>
      <c r="BN433" s="2186">
        <f t="shared" si="832"/>
        <v>0</v>
      </c>
      <c r="BO433" s="2177"/>
      <c r="BP433" s="2177"/>
      <c r="BQ433" s="2186">
        <f t="shared" si="833"/>
        <v>0</v>
      </c>
    </row>
    <row r="434" spans="3:69" hidden="1">
      <c r="C434" s="2355" t="s">
        <v>2584</v>
      </c>
      <c r="D434" s="2311" t="s">
        <v>2098</v>
      </c>
      <c r="E434" s="2356" t="s">
        <v>2519</v>
      </c>
      <c r="F434" s="2176"/>
      <c r="G434" s="2252">
        <v>0</v>
      </c>
      <c r="H434" s="2252">
        <v>0</v>
      </c>
      <c r="I434" s="2178">
        <f t="shared" si="814"/>
        <v>0</v>
      </c>
      <c r="J434" s="2176"/>
      <c r="K434" s="2252">
        <v>0</v>
      </c>
      <c r="L434" s="2252">
        <v>0</v>
      </c>
      <c r="M434" s="2255">
        <f t="shared" si="815"/>
        <v>0</v>
      </c>
      <c r="N434" s="2177"/>
      <c r="O434" s="2177"/>
      <c r="P434" s="2178">
        <f t="shared" si="816"/>
        <v>0</v>
      </c>
      <c r="Q434" s="2176"/>
      <c r="R434" s="2177"/>
      <c r="S434" s="2180">
        <f t="shared" si="817"/>
        <v>0</v>
      </c>
      <c r="T434" s="2251">
        <v>0</v>
      </c>
      <c r="U434" s="2252">
        <v>0</v>
      </c>
      <c r="V434" s="2253">
        <f t="shared" si="818"/>
        <v>0</v>
      </c>
      <c r="W434" s="2182"/>
      <c r="X434" s="2177"/>
      <c r="Y434" s="2183">
        <f t="shared" si="819"/>
        <v>0</v>
      </c>
      <c r="Z434" s="2254">
        <v>0</v>
      </c>
      <c r="AA434" s="2252">
        <v>0</v>
      </c>
      <c r="AB434" s="2255">
        <f t="shared" si="820"/>
        <v>0</v>
      </c>
      <c r="AC434" s="2176"/>
      <c r="AD434" s="2177"/>
      <c r="AE434" s="2180">
        <f t="shared" si="821"/>
        <v>0</v>
      </c>
      <c r="AF434" s="2185"/>
      <c r="AG434" s="2145"/>
      <c r="AH434" s="2177"/>
      <c r="AI434" s="2177"/>
      <c r="AJ434" s="2186">
        <f t="shared" si="822"/>
        <v>0</v>
      </c>
      <c r="AK434" s="2177"/>
      <c r="AL434" s="2177"/>
      <c r="AM434" s="2186">
        <f t="shared" si="823"/>
        <v>0</v>
      </c>
      <c r="AN434" s="2177"/>
      <c r="AO434" s="2177"/>
      <c r="AP434" s="2186">
        <f t="shared" si="824"/>
        <v>0</v>
      </c>
      <c r="AQ434" s="2177"/>
      <c r="AR434" s="2177"/>
      <c r="AS434" s="2186">
        <f t="shared" si="825"/>
        <v>0</v>
      </c>
      <c r="AT434" s="2177"/>
      <c r="AU434" s="2177"/>
      <c r="AV434" s="2186">
        <f t="shared" si="826"/>
        <v>0</v>
      </c>
      <c r="AW434" s="2177"/>
      <c r="AX434" s="2177"/>
      <c r="AY434" s="2186">
        <f t="shared" si="827"/>
        <v>0</v>
      </c>
      <c r="AZ434" s="2177"/>
      <c r="BA434" s="2177"/>
      <c r="BB434" s="2186">
        <f t="shared" si="828"/>
        <v>0</v>
      </c>
      <c r="BC434" s="2177"/>
      <c r="BD434" s="2177"/>
      <c r="BE434" s="2186">
        <f t="shared" si="829"/>
        <v>0</v>
      </c>
      <c r="BF434" s="2177"/>
      <c r="BG434" s="2177"/>
      <c r="BH434" s="2186">
        <f t="shared" si="830"/>
        <v>0</v>
      </c>
      <c r="BI434" s="2177"/>
      <c r="BJ434" s="2177"/>
      <c r="BK434" s="2186">
        <f t="shared" si="831"/>
        <v>0</v>
      </c>
      <c r="BL434" s="2177"/>
      <c r="BM434" s="2177"/>
      <c r="BN434" s="2186">
        <f t="shared" si="832"/>
        <v>0</v>
      </c>
      <c r="BO434" s="2177"/>
      <c r="BP434" s="2177"/>
      <c r="BQ434" s="2186">
        <f t="shared" si="833"/>
        <v>0</v>
      </c>
    </row>
    <row r="435" spans="3:69" hidden="1">
      <c r="C435" s="2357" t="s">
        <v>2585</v>
      </c>
      <c r="D435" s="2286" t="s">
        <v>2229</v>
      </c>
      <c r="E435" s="2347" t="s">
        <v>2519</v>
      </c>
      <c r="F435" s="2176"/>
      <c r="G435" s="2252">
        <v>0</v>
      </c>
      <c r="H435" s="2252">
        <v>0</v>
      </c>
      <c r="I435" s="2178">
        <f t="shared" si="814"/>
        <v>0</v>
      </c>
      <c r="J435" s="2176"/>
      <c r="K435" s="2252">
        <v>0</v>
      </c>
      <c r="L435" s="2252">
        <v>0</v>
      </c>
      <c r="M435" s="2255">
        <f t="shared" si="815"/>
        <v>0</v>
      </c>
      <c r="N435" s="2177"/>
      <c r="O435" s="2177"/>
      <c r="P435" s="2178">
        <f t="shared" si="816"/>
        <v>0</v>
      </c>
      <c r="Q435" s="2176"/>
      <c r="R435" s="2177"/>
      <c r="S435" s="2180">
        <f t="shared" si="817"/>
        <v>0</v>
      </c>
      <c r="T435" s="2251">
        <v>0</v>
      </c>
      <c r="U435" s="2252">
        <v>0</v>
      </c>
      <c r="V435" s="2253">
        <f t="shared" si="818"/>
        <v>0</v>
      </c>
      <c r="W435" s="2182"/>
      <c r="X435" s="2177"/>
      <c r="Y435" s="2183">
        <f t="shared" si="819"/>
        <v>0</v>
      </c>
      <c r="Z435" s="2254">
        <v>0</v>
      </c>
      <c r="AA435" s="2252">
        <v>0</v>
      </c>
      <c r="AB435" s="2255">
        <f t="shared" si="820"/>
        <v>0</v>
      </c>
      <c r="AC435" s="2176"/>
      <c r="AD435" s="2177"/>
      <c r="AE435" s="2180">
        <f t="shared" si="821"/>
        <v>0</v>
      </c>
      <c r="AF435" s="2185"/>
      <c r="AG435" s="2145"/>
      <c r="AH435" s="2177"/>
      <c r="AI435" s="2177"/>
      <c r="AJ435" s="2186">
        <f t="shared" si="822"/>
        <v>0</v>
      </c>
      <c r="AK435" s="2177"/>
      <c r="AL435" s="2177"/>
      <c r="AM435" s="2186">
        <f t="shared" si="823"/>
        <v>0</v>
      </c>
      <c r="AN435" s="2177"/>
      <c r="AO435" s="2177"/>
      <c r="AP435" s="2186">
        <f t="shared" si="824"/>
        <v>0</v>
      </c>
      <c r="AQ435" s="2177"/>
      <c r="AR435" s="2177"/>
      <c r="AS435" s="2186">
        <f t="shared" si="825"/>
        <v>0</v>
      </c>
      <c r="AT435" s="2177"/>
      <c r="AU435" s="2177"/>
      <c r="AV435" s="2186">
        <f t="shared" si="826"/>
        <v>0</v>
      </c>
      <c r="AW435" s="2177"/>
      <c r="AX435" s="2177"/>
      <c r="AY435" s="2186">
        <f t="shared" si="827"/>
        <v>0</v>
      </c>
      <c r="AZ435" s="2177"/>
      <c r="BA435" s="2177"/>
      <c r="BB435" s="2186">
        <f t="shared" si="828"/>
        <v>0</v>
      </c>
      <c r="BC435" s="2177"/>
      <c r="BD435" s="2177"/>
      <c r="BE435" s="2186">
        <f t="shared" si="829"/>
        <v>0</v>
      </c>
      <c r="BF435" s="2177"/>
      <c r="BG435" s="2177"/>
      <c r="BH435" s="2186">
        <f t="shared" si="830"/>
        <v>0</v>
      </c>
      <c r="BI435" s="2177"/>
      <c r="BJ435" s="2177"/>
      <c r="BK435" s="2186">
        <f t="shared" si="831"/>
        <v>0</v>
      </c>
      <c r="BL435" s="2177"/>
      <c r="BM435" s="2177"/>
      <c r="BN435" s="2186">
        <f t="shared" si="832"/>
        <v>0</v>
      </c>
      <c r="BO435" s="2177"/>
      <c r="BP435" s="2177"/>
      <c r="BQ435" s="2186">
        <f t="shared" si="833"/>
        <v>0</v>
      </c>
    </row>
    <row r="436" spans="3:69" hidden="1">
      <c r="C436" s="2355" t="s">
        <v>2586</v>
      </c>
      <c r="D436" s="2311" t="s">
        <v>2395</v>
      </c>
      <c r="E436" s="2356" t="s">
        <v>2519</v>
      </c>
      <c r="F436" s="2176"/>
      <c r="G436" s="2252">
        <v>0</v>
      </c>
      <c r="H436" s="2252">
        <v>0</v>
      </c>
      <c r="I436" s="2178">
        <f t="shared" si="814"/>
        <v>0</v>
      </c>
      <c r="J436" s="2176"/>
      <c r="K436" s="2252">
        <v>0</v>
      </c>
      <c r="L436" s="2252">
        <v>0</v>
      </c>
      <c r="M436" s="2255">
        <f t="shared" si="815"/>
        <v>0</v>
      </c>
      <c r="N436" s="2181">
        <v>0</v>
      </c>
      <c r="O436" s="2179">
        <v>0</v>
      </c>
      <c r="P436" s="2178">
        <f t="shared" si="816"/>
        <v>0</v>
      </c>
      <c r="Q436" s="2181">
        <v>0</v>
      </c>
      <c r="R436" s="2179">
        <v>0</v>
      </c>
      <c r="S436" s="2180">
        <f t="shared" si="817"/>
        <v>0</v>
      </c>
      <c r="T436" s="2251">
        <v>0</v>
      </c>
      <c r="U436" s="2252">
        <v>0</v>
      </c>
      <c r="V436" s="2253">
        <f t="shared" si="818"/>
        <v>0</v>
      </c>
      <c r="W436" s="2187">
        <v>0</v>
      </c>
      <c r="X436" s="2179">
        <v>0</v>
      </c>
      <c r="Y436" s="2183">
        <f t="shared" si="819"/>
        <v>0</v>
      </c>
      <c r="Z436" s="2254">
        <v>0</v>
      </c>
      <c r="AA436" s="2252">
        <v>0</v>
      </c>
      <c r="AB436" s="2255">
        <f t="shared" si="820"/>
        <v>0</v>
      </c>
      <c r="AC436" s="2181">
        <v>0</v>
      </c>
      <c r="AD436" s="2179">
        <v>0</v>
      </c>
      <c r="AE436" s="2180">
        <f t="shared" si="821"/>
        <v>0</v>
      </c>
      <c r="AF436" s="2185"/>
      <c r="AG436" s="2145"/>
      <c r="AH436" s="2358">
        <v>0</v>
      </c>
      <c r="AI436" s="2188">
        <v>0</v>
      </c>
      <c r="AJ436" s="2186">
        <f t="shared" si="822"/>
        <v>0</v>
      </c>
      <c r="AK436" s="2358">
        <v>0</v>
      </c>
      <c r="AL436" s="2188">
        <v>0</v>
      </c>
      <c r="AM436" s="2186">
        <f t="shared" si="823"/>
        <v>0</v>
      </c>
      <c r="AN436" s="2358">
        <v>0</v>
      </c>
      <c r="AO436" s="2188">
        <v>0</v>
      </c>
      <c r="AP436" s="2186">
        <f t="shared" si="824"/>
        <v>0</v>
      </c>
      <c r="AQ436" s="2358">
        <v>0</v>
      </c>
      <c r="AR436" s="2188">
        <v>0</v>
      </c>
      <c r="AS436" s="2186">
        <f t="shared" si="825"/>
        <v>0</v>
      </c>
      <c r="AT436" s="2358">
        <v>0</v>
      </c>
      <c r="AU436" s="2188">
        <v>0</v>
      </c>
      <c r="AV436" s="2186">
        <f t="shared" si="826"/>
        <v>0</v>
      </c>
      <c r="AW436" s="2358">
        <v>0</v>
      </c>
      <c r="AX436" s="2188">
        <v>0</v>
      </c>
      <c r="AY436" s="2186">
        <f t="shared" si="827"/>
        <v>0</v>
      </c>
      <c r="AZ436" s="2358">
        <v>0</v>
      </c>
      <c r="BA436" s="2188">
        <v>0</v>
      </c>
      <c r="BB436" s="2186">
        <f t="shared" si="828"/>
        <v>0</v>
      </c>
      <c r="BC436" s="2358">
        <v>0</v>
      </c>
      <c r="BD436" s="2188">
        <v>0</v>
      </c>
      <c r="BE436" s="2186">
        <f t="shared" si="829"/>
        <v>0</v>
      </c>
      <c r="BF436" s="2358">
        <v>0</v>
      </c>
      <c r="BG436" s="2188">
        <v>0</v>
      </c>
      <c r="BH436" s="2186">
        <f t="shared" si="830"/>
        <v>0</v>
      </c>
      <c r="BI436" s="2358">
        <v>0</v>
      </c>
      <c r="BJ436" s="2188">
        <v>0</v>
      </c>
      <c r="BK436" s="2186">
        <f t="shared" si="831"/>
        <v>0</v>
      </c>
      <c r="BL436" s="2358">
        <v>0</v>
      </c>
      <c r="BM436" s="2188">
        <v>0</v>
      </c>
      <c r="BN436" s="2186">
        <f t="shared" si="832"/>
        <v>0</v>
      </c>
      <c r="BO436" s="2358">
        <v>0</v>
      </c>
      <c r="BP436" s="2188">
        <v>0</v>
      </c>
      <c r="BQ436" s="2186">
        <f t="shared" si="833"/>
        <v>0</v>
      </c>
    </row>
    <row r="437" spans="3:69" hidden="1">
      <c r="C437" s="2357" t="s">
        <v>2587</v>
      </c>
      <c r="D437" s="2286" t="s">
        <v>2229</v>
      </c>
      <c r="E437" s="2347" t="s">
        <v>2519</v>
      </c>
      <c r="F437" s="2176"/>
      <c r="G437" s="2252">
        <v>0</v>
      </c>
      <c r="H437" s="2252">
        <v>0</v>
      </c>
      <c r="I437" s="2178">
        <f t="shared" si="814"/>
        <v>0</v>
      </c>
      <c r="J437" s="2176"/>
      <c r="K437" s="2179">
        <v>0</v>
      </c>
      <c r="L437" s="2179">
        <v>0</v>
      </c>
      <c r="M437" s="2178">
        <f t="shared" si="815"/>
        <v>0</v>
      </c>
      <c r="N437" s="2181">
        <v>0</v>
      </c>
      <c r="O437" s="2179">
        <v>0</v>
      </c>
      <c r="P437" s="2178">
        <f t="shared" si="816"/>
        <v>0</v>
      </c>
      <c r="Q437" s="2181">
        <v>0</v>
      </c>
      <c r="R437" s="2179">
        <v>0</v>
      </c>
      <c r="S437" s="2180">
        <f t="shared" si="817"/>
        <v>0</v>
      </c>
      <c r="T437" s="2181">
        <v>0</v>
      </c>
      <c r="U437" s="2179">
        <v>0</v>
      </c>
      <c r="V437" s="2180">
        <f t="shared" si="818"/>
        <v>0</v>
      </c>
      <c r="W437" s="2187">
        <v>0</v>
      </c>
      <c r="X437" s="2179">
        <v>0</v>
      </c>
      <c r="Y437" s="2183">
        <f t="shared" si="819"/>
        <v>0</v>
      </c>
      <c r="Z437" s="2184">
        <v>0</v>
      </c>
      <c r="AA437" s="2179">
        <v>0</v>
      </c>
      <c r="AB437" s="2178">
        <f t="shared" si="820"/>
        <v>0</v>
      </c>
      <c r="AC437" s="2181">
        <v>0</v>
      </c>
      <c r="AD437" s="2179">
        <v>0</v>
      </c>
      <c r="AE437" s="2180">
        <f t="shared" si="821"/>
        <v>0</v>
      </c>
      <c r="AF437" s="2185"/>
      <c r="AG437" s="2145"/>
      <c r="AH437" s="2358">
        <v>0</v>
      </c>
      <c r="AI437" s="2188">
        <v>0</v>
      </c>
      <c r="AJ437" s="2186">
        <f t="shared" si="822"/>
        <v>0</v>
      </c>
      <c r="AK437" s="2358">
        <v>0</v>
      </c>
      <c r="AL437" s="2188">
        <v>0</v>
      </c>
      <c r="AM437" s="2186">
        <f t="shared" si="823"/>
        <v>0</v>
      </c>
      <c r="AN437" s="2358">
        <v>0</v>
      </c>
      <c r="AO437" s="2188">
        <v>0</v>
      </c>
      <c r="AP437" s="2186">
        <f t="shared" si="824"/>
        <v>0</v>
      </c>
      <c r="AQ437" s="2358">
        <v>0</v>
      </c>
      <c r="AR437" s="2188">
        <v>0</v>
      </c>
      <c r="AS437" s="2186">
        <f t="shared" si="825"/>
        <v>0</v>
      </c>
      <c r="AT437" s="2358">
        <v>0</v>
      </c>
      <c r="AU437" s="2188">
        <v>0</v>
      </c>
      <c r="AV437" s="2186">
        <f t="shared" si="826"/>
        <v>0</v>
      </c>
      <c r="AW437" s="2358">
        <v>0</v>
      </c>
      <c r="AX437" s="2188">
        <v>0</v>
      </c>
      <c r="AY437" s="2186">
        <f t="shared" si="827"/>
        <v>0</v>
      </c>
      <c r="AZ437" s="2358">
        <v>0</v>
      </c>
      <c r="BA437" s="2188">
        <v>0</v>
      </c>
      <c r="BB437" s="2186">
        <f t="shared" si="828"/>
        <v>0</v>
      </c>
      <c r="BC437" s="2358">
        <v>0</v>
      </c>
      <c r="BD437" s="2188">
        <v>0</v>
      </c>
      <c r="BE437" s="2186">
        <f t="shared" si="829"/>
        <v>0</v>
      </c>
      <c r="BF437" s="2358">
        <v>0</v>
      </c>
      <c r="BG437" s="2188">
        <v>0</v>
      </c>
      <c r="BH437" s="2186">
        <f t="shared" si="830"/>
        <v>0</v>
      </c>
      <c r="BI437" s="2358">
        <v>0</v>
      </c>
      <c r="BJ437" s="2188">
        <v>0</v>
      </c>
      <c r="BK437" s="2186">
        <f t="shared" si="831"/>
        <v>0</v>
      </c>
      <c r="BL437" s="2358">
        <v>0</v>
      </c>
      <c r="BM437" s="2188">
        <v>0</v>
      </c>
      <c r="BN437" s="2186">
        <f t="shared" si="832"/>
        <v>0</v>
      </c>
      <c r="BO437" s="2358">
        <v>0</v>
      </c>
      <c r="BP437" s="2188">
        <v>0</v>
      </c>
      <c r="BQ437" s="2186">
        <f t="shared" si="833"/>
        <v>0</v>
      </c>
    </row>
    <row r="438" spans="3:69" s="2159" customFormat="1">
      <c r="C438" s="2147" t="s">
        <v>429</v>
      </c>
      <c r="D438" s="2148" t="s">
        <v>1420</v>
      </c>
      <c r="E438" s="2149"/>
      <c r="F438" s="2150"/>
      <c r="G438" s="2151"/>
      <c r="H438" s="2151"/>
      <c r="I438" s="2152"/>
      <c r="J438" s="2150"/>
      <c r="K438" s="2151"/>
      <c r="L438" s="2151"/>
      <c r="M438" s="2152"/>
      <c r="N438" s="2151"/>
      <c r="O438" s="2151"/>
      <c r="P438" s="2152"/>
      <c r="Q438" s="2150"/>
      <c r="R438" s="2151"/>
      <c r="S438" s="2153"/>
      <c r="T438" s="2154"/>
      <c r="U438" s="2151"/>
      <c r="V438" s="2153"/>
      <c r="W438" s="2155"/>
      <c r="X438" s="2151"/>
      <c r="Y438" s="2156"/>
      <c r="Z438" s="2150"/>
      <c r="AA438" s="2151"/>
      <c r="AB438" s="2152"/>
      <c r="AC438" s="2150"/>
      <c r="AD438" s="2151"/>
      <c r="AE438" s="2153"/>
      <c r="AF438" s="2157"/>
      <c r="AG438" s="2158"/>
      <c r="AH438" s="2151"/>
      <c r="AI438" s="2151"/>
      <c r="AJ438" s="2152"/>
      <c r="AK438" s="2151"/>
      <c r="AL438" s="2151"/>
      <c r="AM438" s="2152"/>
      <c r="AN438" s="2151"/>
      <c r="AO438" s="2151"/>
      <c r="AP438" s="2152"/>
      <c r="AQ438" s="2151"/>
      <c r="AR438" s="2151"/>
      <c r="AS438" s="2152"/>
      <c r="AT438" s="2151"/>
      <c r="AU438" s="2151"/>
      <c r="AV438" s="2152"/>
      <c r="AW438" s="2151"/>
      <c r="AX438" s="2151"/>
      <c r="AY438" s="2152"/>
      <c r="AZ438" s="2151"/>
      <c r="BA438" s="2151"/>
      <c r="BB438" s="2152"/>
      <c r="BC438" s="2151"/>
      <c r="BD438" s="2151"/>
      <c r="BE438" s="2152"/>
      <c r="BF438" s="2151"/>
      <c r="BG438" s="2151"/>
      <c r="BH438" s="2152"/>
      <c r="BI438" s="2151"/>
      <c r="BJ438" s="2151"/>
      <c r="BK438" s="2152"/>
      <c r="BL438" s="2151"/>
      <c r="BM438" s="2151"/>
      <c r="BN438" s="2152"/>
      <c r="BO438" s="2151"/>
      <c r="BP438" s="2151"/>
      <c r="BQ438" s="2152"/>
    </row>
    <row r="439" spans="3:69" s="2159" customFormat="1">
      <c r="C439" s="2256" t="s">
        <v>2588</v>
      </c>
      <c r="D439" s="2161" t="s">
        <v>2589</v>
      </c>
      <c r="E439" s="2120" t="s">
        <v>2590</v>
      </c>
      <c r="F439" s="2162"/>
      <c r="G439" s="2259">
        <f>G440+G642</f>
        <v>0</v>
      </c>
      <c r="H439" s="2259">
        <f>H440+H642</f>
        <v>0</v>
      </c>
      <c r="I439" s="2164">
        <f>H439-G439</f>
        <v>0</v>
      </c>
      <c r="J439" s="2162"/>
      <c r="K439" s="2259">
        <f t="shared" ref="K439:L454" si="834">N439+Q439+W439+AC439</f>
        <v>1050776.1058598515</v>
      </c>
      <c r="L439" s="2259">
        <f t="shared" si="834"/>
        <v>0</v>
      </c>
      <c r="M439" s="2262">
        <f>L439-K439</f>
        <v>-1050776.1058598515</v>
      </c>
      <c r="N439" s="2163">
        <f>N440+N642</f>
        <v>262440.45120642858</v>
      </c>
      <c r="O439" s="2163">
        <f>O440+O642</f>
        <v>0</v>
      </c>
      <c r="P439" s="2164">
        <f>O439-N439</f>
        <v>-262440.45120642858</v>
      </c>
      <c r="Q439" s="2165">
        <f>Q440+Q642</f>
        <v>233234.59804382539</v>
      </c>
      <c r="R439" s="2163">
        <f>R440+R642</f>
        <v>0</v>
      </c>
      <c r="S439" s="2166">
        <f>R439-Q439</f>
        <v>-233234.59804382539</v>
      </c>
      <c r="T439" s="2258">
        <f t="shared" ref="T439:U442" si="835">N439+Q439</f>
        <v>495675.04925025394</v>
      </c>
      <c r="U439" s="2259">
        <f t="shared" si="835"/>
        <v>0</v>
      </c>
      <c r="V439" s="2260">
        <f>U439-T439</f>
        <v>-495675.04925025394</v>
      </c>
      <c r="W439" s="2168">
        <f>W440+W642</f>
        <v>208236.44822120052</v>
      </c>
      <c r="X439" s="2163">
        <f>X440+X642</f>
        <v>0</v>
      </c>
      <c r="Y439" s="2169">
        <f>X439-W439</f>
        <v>-208236.44822120052</v>
      </c>
      <c r="Z439" s="2261">
        <f t="shared" ref="Z439:AA442" si="836">T439+W439</f>
        <v>703911.49747145444</v>
      </c>
      <c r="AA439" s="2259">
        <f t="shared" si="836"/>
        <v>0</v>
      </c>
      <c r="AB439" s="2262">
        <f>AA439-Z439</f>
        <v>-703911.49747145444</v>
      </c>
      <c r="AC439" s="2165">
        <f>AC440+AC642</f>
        <v>346864.60838839691</v>
      </c>
      <c r="AD439" s="2163">
        <f>AD440+AD642</f>
        <v>0</v>
      </c>
      <c r="AE439" s="2166">
        <f>AD439-AC439</f>
        <v>-346864.60838839691</v>
      </c>
      <c r="AF439" s="2170"/>
      <c r="AG439" s="2359"/>
      <c r="AH439" s="2171">
        <f>AH440+AH642</f>
        <v>127480.39762183015</v>
      </c>
      <c r="AI439" s="2171">
        <f>AI440+AI642</f>
        <v>0</v>
      </c>
      <c r="AJ439" s="2172">
        <f>AI439-AH439</f>
        <v>-127480.39762183015</v>
      </c>
      <c r="AK439" s="2171">
        <f>AK440+AK642</f>
        <v>103851.39175449368</v>
      </c>
      <c r="AL439" s="2171">
        <f>AL440+AL642</f>
        <v>0</v>
      </c>
      <c r="AM439" s="2172">
        <f>AL439-AK439</f>
        <v>-103851.39175449368</v>
      </c>
      <c r="AN439" s="2171">
        <f>AN440+AN642</f>
        <v>90986.539590904911</v>
      </c>
      <c r="AO439" s="2171">
        <f>AO440+AO642</f>
        <v>0</v>
      </c>
      <c r="AP439" s="2172">
        <f>AO439-AN439</f>
        <v>-90986.539590904911</v>
      </c>
      <c r="AQ439" s="2171">
        <f>AQ440+AQ642</f>
        <v>87804.502643592801</v>
      </c>
      <c r="AR439" s="2171">
        <f>AR440+AR642</f>
        <v>0</v>
      </c>
      <c r="AS439" s="2172">
        <f>AR439-AQ439</f>
        <v>-87804.502643592801</v>
      </c>
      <c r="AT439" s="2171">
        <f>AT440+AT642</f>
        <v>81639.450239758808</v>
      </c>
      <c r="AU439" s="2171">
        <f>AU440+AU642</f>
        <v>0</v>
      </c>
      <c r="AV439" s="2172">
        <f>AU439-AT439</f>
        <v>-81639.450239758808</v>
      </c>
      <c r="AW439" s="2171">
        <f>AW440+AW642</f>
        <v>63790.645160473745</v>
      </c>
      <c r="AX439" s="2171">
        <f>AX440+AX642</f>
        <v>0</v>
      </c>
      <c r="AY439" s="2172">
        <f>AX439-AW439</f>
        <v>-63790.645160473745</v>
      </c>
      <c r="AZ439" s="2171">
        <f>AZ440+AZ642</f>
        <v>62376.766118738371</v>
      </c>
      <c r="BA439" s="2171">
        <f>BA440+BA642</f>
        <v>0</v>
      </c>
      <c r="BB439" s="2172">
        <f>BA439-AZ439</f>
        <v>-62376.766118738371</v>
      </c>
      <c r="BC439" s="2171">
        <f>BC440+BC642</f>
        <v>63731.733716873619</v>
      </c>
      <c r="BD439" s="2171">
        <f>BD440+BD642</f>
        <v>0</v>
      </c>
      <c r="BE439" s="2172">
        <f>BD439-BC439</f>
        <v>-63731.733716873619</v>
      </c>
      <c r="BF439" s="2171">
        <f>BF440+BF642</f>
        <v>82127.948385588548</v>
      </c>
      <c r="BG439" s="2171">
        <f>BG440+BG642</f>
        <v>0</v>
      </c>
      <c r="BH439" s="2172">
        <f>BG439-BF439</f>
        <v>-82127.948385588548</v>
      </c>
      <c r="BI439" s="2171">
        <f>BI440+BI642</f>
        <v>109843.78431514437</v>
      </c>
      <c r="BJ439" s="2171">
        <f>BJ440+BJ642</f>
        <v>0</v>
      </c>
      <c r="BK439" s="2172">
        <f>BJ439-BI439</f>
        <v>-109843.78431514437</v>
      </c>
      <c r="BL439" s="2171">
        <f>BL440+BL642</f>
        <v>119183.81788118581</v>
      </c>
      <c r="BM439" s="2171">
        <f>BM440+BM642</f>
        <v>0</v>
      </c>
      <c r="BN439" s="2172">
        <f>BM439-BL439</f>
        <v>-119183.81788118581</v>
      </c>
      <c r="BO439" s="2171">
        <f>BO440+BO642</f>
        <v>117837.00619206679</v>
      </c>
      <c r="BP439" s="2171">
        <f>BP440+BP642</f>
        <v>0</v>
      </c>
      <c r="BQ439" s="2172">
        <f>BP439-BO439</f>
        <v>-117837.00619206679</v>
      </c>
    </row>
    <row r="440" spans="3:69" s="2159" customFormat="1">
      <c r="C440" s="2232" t="s">
        <v>2591</v>
      </c>
      <c r="D440" s="2233" t="s">
        <v>2592</v>
      </c>
      <c r="E440" s="2234" t="s">
        <v>1833</v>
      </c>
      <c r="F440" s="2235"/>
      <c r="G440" s="2240">
        <f>G477+G510+G576+G543+G609</f>
        <v>0</v>
      </c>
      <c r="H440" s="2240">
        <f>H477+H510+H576+H543+H609</f>
        <v>0</v>
      </c>
      <c r="I440" s="2237">
        <f>H440-G440</f>
        <v>0</v>
      </c>
      <c r="J440" s="2235"/>
      <c r="K440" s="2240">
        <f>N440+Q440+W440+AC440</f>
        <v>1050776.1058598515</v>
      </c>
      <c r="L440" s="2240">
        <f t="shared" si="834"/>
        <v>0</v>
      </c>
      <c r="M440" s="2245">
        <f>L440-K440</f>
        <v>-1050776.1058598515</v>
      </c>
      <c r="N440" s="2236">
        <f>N477+N510+N576+N543+N609</f>
        <v>262440.45120642858</v>
      </c>
      <c r="O440" s="2236">
        <f>O477+O510+O576+O543+O609</f>
        <v>0</v>
      </c>
      <c r="P440" s="2237">
        <f>O440-N440</f>
        <v>-262440.45120642858</v>
      </c>
      <c r="Q440" s="2236">
        <f>Q477+Q510+Q576+Q543+Q609</f>
        <v>233234.59804382539</v>
      </c>
      <c r="R440" s="2236">
        <f>R477+R510+R576+R543+R609</f>
        <v>0</v>
      </c>
      <c r="S440" s="2238">
        <f>R440-Q440</f>
        <v>-233234.59804382539</v>
      </c>
      <c r="T440" s="2239">
        <f t="shared" si="835"/>
        <v>495675.04925025394</v>
      </c>
      <c r="U440" s="2240">
        <f t="shared" si="835"/>
        <v>0</v>
      </c>
      <c r="V440" s="2241">
        <f>U440-T440</f>
        <v>-495675.04925025394</v>
      </c>
      <c r="W440" s="2242">
        <f>W477+W510+W576+W543+W609</f>
        <v>208236.44822120052</v>
      </c>
      <c r="X440" s="2236">
        <f>X477+X510+X576+X543+X609</f>
        <v>0</v>
      </c>
      <c r="Y440" s="2243">
        <f>X440-W440</f>
        <v>-208236.44822120052</v>
      </c>
      <c r="Z440" s="2244">
        <f t="shared" si="836"/>
        <v>703911.49747145444</v>
      </c>
      <c r="AA440" s="2240">
        <f t="shared" si="836"/>
        <v>0</v>
      </c>
      <c r="AB440" s="2245">
        <f>AA440-Z440</f>
        <v>-703911.49747145444</v>
      </c>
      <c r="AC440" s="2236">
        <f>AC477+AC510+AC576+AC543+AC609</f>
        <v>346864.60838839691</v>
      </c>
      <c r="AD440" s="2236">
        <f>AD477+AD510+AD576+AD543+AD609</f>
        <v>0</v>
      </c>
      <c r="AE440" s="2238">
        <f>AD440-AC440</f>
        <v>-346864.60838839691</v>
      </c>
      <c r="AF440" s="2246"/>
      <c r="AG440" s="2247"/>
      <c r="AH440" s="2248">
        <f>AH477+AH510+AH576+AH543+AH609</f>
        <v>127480.39762183015</v>
      </c>
      <c r="AI440" s="2248">
        <f>AI477+AI510+AI576+AI543+AI609</f>
        <v>0</v>
      </c>
      <c r="AJ440" s="2249">
        <f>AI440-AH440</f>
        <v>-127480.39762183015</v>
      </c>
      <c r="AK440" s="2248">
        <f>AK477+AK510+AK576+AK543+AK609</f>
        <v>103851.39175449368</v>
      </c>
      <c r="AL440" s="2248">
        <f>AL477+AL510+AL576+AL543+AL609</f>
        <v>0</v>
      </c>
      <c r="AM440" s="2249">
        <f>AL440-AK440</f>
        <v>-103851.39175449368</v>
      </c>
      <c r="AN440" s="2248">
        <f>AN477+AN510+AN576+AN543+AN609</f>
        <v>90986.539590904911</v>
      </c>
      <c r="AO440" s="2248">
        <f>AO477+AO510+AO576+AO543+AO609</f>
        <v>0</v>
      </c>
      <c r="AP440" s="2249">
        <f>AO440-AN440</f>
        <v>-90986.539590904911</v>
      </c>
      <c r="AQ440" s="2248">
        <f>AQ477+AQ510+AQ576+AQ543+AQ609</f>
        <v>87804.502643592801</v>
      </c>
      <c r="AR440" s="2248">
        <f>AR477+AR510+AR576+AR543+AR609</f>
        <v>0</v>
      </c>
      <c r="AS440" s="2249">
        <f>AR440-AQ440</f>
        <v>-87804.502643592801</v>
      </c>
      <c r="AT440" s="2248">
        <f>AT477+AT510+AT576+AT543+AT609</f>
        <v>81639.450239758808</v>
      </c>
      <c r="AU440" s="2248">
        <f>AU477+AU510+AU576+AU543+AU609</f>
        <v>0</v>
      </c>
      <c r="AV440" s="2249">
        <f>AU440-AT440</f>
        <v>-81639.450239758808</v>
      </c>
      <c r="AW440" s="2248">
        <f>AW477+AW510+AW576+AW543+AW609</f>
        <v>63790.645160473745</v>
      </c>
      <c r="AX440" s="2248">
        <f>AX477+AX510+AX576+AX543+AX609</f>
        <v>0</v>
      </c>
      <c r="AY440" s="2249">
        <f>AX440-AW440</f>
        <v>-63790.645160473745</v>
      </c>
      <c r="AZ440" s="2248">
        <f>AZ477+AZ510+AZ576+AZ543+AZ609</f>
        <v>62376.766118738371</v>
      </c>
      <c r="BA440" s="2248">
        <f>BA477+BA510+BA576+BA543+BA609</f>
        <v>0</v>
      </c>
      <c r="BB440" s="2249">
        <f>BA440-AZ440</f>
        <v>-62376.766118738371</v>
      </c>
      <c r="BC440" s="2248">
        <f>BC477+BC510+BC576+BC543+BC609</f>
        <v>63731.733716873619</v>
      </c>
      <c r="BD440" s="2248">
        <f>BD477+BD510+BD576+BD543+BD609</f>
        <v>0</v>
      </c>
      <c r="BE440" s="2249">
        <f>BD440-BC440</f>
        <v>-63731.733716873619</v>
      </c>
      <c r="BF440" s="2248">
        <f>BF477+BF510+BF576+BF543+BF609</f>
        <v>82127.948385588548</v>
      </c>
      <c r="BG440" s="2248">
        <f>BG477+BG510+BG576+BG543+BG609</f>
        <v>0</v>
      </c>
      <c r="BH440" s="2249">
        <f>BG440-BF440</f>
        <v>-82127.948385588548</v>
      </c>
      <c r="BI440" s="2248">
        <f>BI477+BI510+BI576+BI543+BI609</f>
        <v>109843.78431514437</v>
      </c>
      <c r="BJ440" s="2248">
        <f>BJ477+BJ510+BJ576+BJ543+BJ609</f>
        <v>0</v>
      </c>
      <c r="BK440" s="2249">
        <f>BJ440-BI440</f>
        <v>-109843.78431514437</v>
      </c>
      <c r="BL440" s="2248">
        <f>BL477+BL510+BL576+BL543+BL609</f>
        <v>119183.81788118581</v>
      </c>
      <c r="BM440" s="2248">
        <f>BM477+BM510+BM576+BM543+BM609</f>
        <v>0</v>
      </c>
      <c r="BN440" s="2249">
        <f>BM440-BL440</f>
        <v>-119183.81788118581</v>
      </c>
      <c r="BO440" s="2248">
        <f>BO477+BO510+BO576+BO543+BO609</f>
        <v>117837.00619206679</v>
      </c>
      <c r="BP440" s="2248">
        <f>BP477+BP510+BP576+BP543+BP609</f>
        <v>0</v>
      </c>
      <c r="BQ440" s="2249">
        <f>BP440-BO440</f>
        <v>-117837.00619206679</v>
      </c>
    </row>
    <row r="441" spans="3:69" s="2087" customFormat="1">
      <c r="C441" s="2173" t="s">
        <v>2593</v>
      </c>
      <c r="D441" s="2209" t="s">
        <v>2211</v>
      </c>
      <c r="E441" s="2250" t="s">
        <v>1833</v>
      </c>
      <c r="F441" s="2176"/>
      <c r="G441" s="2252">
        <f>G478+G511+G577+G544+G610</f>
        <v>0</v>
      </c>
      <c r="H441" s="2252">
        <f>H478+H511+H577+H544+H610</f>
        <v>0</v>
      </c>
      <c r="I441" s="2178">
        <f>H441-G441</f>
        <v>0</v>
      </c>
      <c r="J441" s="2176"/>
      <c r="K441" s="2252">
        <f t="shared" ref="K441:L475" si="837">N441+Q441+W441+AC441</f>
        <v>0</v>
      </c>
      <c r="L441" s="2252">
        <f t="shared" si="834"/>
        <v>0</v>
      </c>
      <c r="M441" s="2255">
        <f t="shared" ref="M441:M475" si="838">L441-K441</f>
        <v>0</v>
      </c>
      <c r="N441" s="2179">
        <f>N478+N511+N577+N544+N610</f>
        <v>0</v>
      </c>
      <c r="O441" s="2179">
        <f>O478+O511+O577+O544+O610</f>
        <v>0</v>
      </c>
      <c r="P441" s="2178">
        <f>O441-N441</f>
        <v>0</v>
      </c>
      <c r="Q441" s="2179">
        <f>Q478+Q511+Q577+Q544+Q610</f>
        <v>0</v>
      </c>
      <c r="R441" s="2179">
        <f>R478+R511+R577+R544+R610</f>
        <v>0</v>
      </c>
      <c r="S441" s="2180">
        <f>R441-Q441</f>
        <v>0</v>
      </c>
      <c r="T441" s="2251">
        <f t="shared" si="835"/>
        <v>0</v>
      </c>
      <c r="U441" s="2252">
        <f t="shared" si="835"/>
        <v>0</v>
      </c>
      <c r="V441" s="2253">
        <f t="shared" ref="V441:V519" si="839">U441-T441</f>
        <v>0</v>
      </c>
      <c r="W441" s="2187">
        <f>W478+W511+W577+W544+W610</f>
        <v>0</v>
      </c>
      <c r="X441" s="2179">
        <f>X478+X511+X577+X544+X610</f>
        <v>0</v>
      </c>
      <c r="Y441" s="2183">
        <f>X441-W441</f>
        <v>0</v>
      </c>
      <c r="Z441" s="2254">
        <f t="shared" si="836"/>
        <v>0</v>
      </c>
      <c r="AA441" s="2252">
        <f t="shared" si="836"/>
        <v>0</v>
      </c>
      <c r="AB441" s="2255">
        <f t="shared" ref="AB441:AB504" si="840">AA441-Z441</f>
        <v>0</v>
      </c>
      <c r="AC441" s="2179">
        <f>AC478+AC511+AC577+AC544+AC610</f>
        <v>0</v>
      </c>
      <c r="AD441" s="2179">
        <f>AD478+AD511+AD577+AD544+AD610</f>
        <v>0</v>
      </c>
      <c r="AE441" s="2180">
        <f>AD441-AC441</f>
        <v>0</v>
      </c>
      <c r="AF441" s="2276"/>
      <c r="AG441" s="2114"/>
      <c r="AH441" s="2188">
        <f>AH478+AH511+AH577+AH544+AH610</f>
        <v>0</v>
      </c>
      <c r="AI441" s="2188">
        <f>AI478+AI511+AI577+AI544+AI610</f>
        <v>0</v>
      </c>
      <c r="AJ441" s="2186">
        <f>AI441-AH441</f>
        <v>0</v>
      </c>
      <c r="AK441" s="2188">
        <f>AK478+AK511+AK577+AK544+AK610</f>
        <v>0</v>
      </c>
      <c r="AL441" s="2188">
        <f>AL478+AL511+AL577+AL544+AL610</f>
        <v>0</v>
      </c>
      <c r="AM441" s="2186">
        <f>AL441-AK441</f>
        <v>0</v>
      </c>
      <c r="AN441" s="2188">
        <f>AN478+AN511+AN577+AN544+AN610</f>
        <v>0</v>
      </c>
      <c r="AO441" s="2188">
        <f>AO478+AO511+AO577+AO544+AO610</f>
        <v>0</v>
      </c>
      <c r="AP441" s="2186">
        <f>AO441-AN441</f>
        <v>0</v>
      </c>
      <c r="AQ441" s="2188">
        <f>AQ478+AQ511+AQ577+AQ544+AQ610</f>
        <v>0</v>
      </c>
      <c r="AR441" s="2188">
        <f>AR478+AR511+AR577+AR544+AR610</f>
        <v>0</v>
      </c>
      <c r="AS441" s="2186">
        <f>AR441-AQ441</f>
        <v>0</v>
      </c>
      <c r="AT441" s="2188">
        <f>AT478+AT511+AT577+AT544+AT610</f>
        <v>0</v>
      </c>
      <c r="AU441" s="2188">
        <f>AU478+AU511+AU577+AU544+AU610</f>
        <v>0</v>
      </c>
      <c r="AV441" s="2186">
        <f>AU441-AT441</f>
        <v>0</v>
      </c>
      <c r="AW441" s="2188">
        <f>AW478+AW511+AW577+AW544+AW610</f>
        <v>0</v>
      </c>
      <c r="AX441" s="2188">
        <f>AX478+AX511+AX577+AX544+AX610</f>
        <v>0</v>
      </c>
      <c r="AY441" s="2186">
        <f>AX441-AW441</f>
        <v>0</v>
      </c>
      <c r="AZ441" s="2188">
        <f>AZ478+AZ511+AZ577+AZ544+AZ610</f>
        <v>0</v>
      </c>
      <c r="BA441" s="2188">
        <f>BA478+BA511+BA577+BA544+BA610</f>
        <v>0</v>
      </c>
      <c r="BB441" s="2186">
        <f>BA441-AZ441</f>
        <v>0</v>
      </c>
      <c r="BC441" s="2188">
        <f>BC478+BC511+BC577+BC544+BC610</f>
        <v>0</v>
      </c>
      <c r="BD441" s="2188">
        <f>BD478+BD511+BD577+BD544+BD610</f>
        <v>0</v>
      </c>
      <c r="BE441" s="2186">
        <f>BD441-BC441</f>
        <v>0</v>
      </c>
      <c r="BF441" s="2188">
        <f>BF478+BF511+BF577+BF544+BF610</f>
        <v>0</v>
      </c>
      <c r="BG441" s="2188">
        <f>BG478+BG511+BG577+BG544+BG610</f>
        <v>0</v>
      </c>
      <c r="BH441" s="2186">
        <f>BG441-BF441</f>
        <v>0</v>
      </c>
      <c r="BI441" s="2188">
        <f>BI478+BI511+BI577+BI544+BI610</f>
        <v>0</v>
      </c>
      <c r="BJ441" s="2188">
        <f>BJ478+BJ511+BJ577+BJ544+BJ610</f>
        <v>0</v>
      </c>
      <c r="BK441" s="2186">
        <f>BJ441-BI441</f>
        <v>0</v>
      </c>
      <c r="BL441" s="2188">
        <f>BL478+BL511+BL577+BL544+BL610</f>
        <v>0</v>
      </c>
      <c r="BM441" s="2188">
        <f>BM478+BM511+BM577+BM544+BM610</f>
        <v>0</v>
      </c>
      <c r="BN441" s="2186">
        <f>BM441-BL441</f>
        <v>0</v>
      </c>
      <c r="BO441" s="2188">
        <f>BO478+BO511+BO577+BO544+BO610</f>
        <v>0</v>
      </c>
      <c r="BP441" s="2188">
        <f>BP478+BP511+BP577+BP544+BP610</f>
        <v>0</v>
      </c>
      <c r="BQ441" s="2186">
        <f>BP441-BO441</f>
        <v>0</v>
      </c>
    </row>
    <row r="442" spans="3:69" s="2159" customFormat="1">
      <c r="C442" s="2256" t="s">
        <v>2594</v>
      </c>
      <c r="D442" s="2257" t="s">
        <v>2213</v>
      </c>
      <c r="E442" s="2120" t="s">
        <v>1833</v>
      </c>
      <c r="F442" s="2162"/>
      <c r="G442" s="2259">
        <f>G444+G457</f>
        <v>0</v>
      </c>
      <c r="H442" s="2259">
        <f>H444+H457</f>
        <v>0</v>
      </c>
      <c r="I442" s="2164">
        <f t="shared" ref="I442:I475" si="841">H442-G442</f>
        <v>0</v>
      </c>
      <c r="J442" s="2162"/>
      <c r="K442" s="2163">
        <f>N442+Q442+W442+AC442</f>
        <v>970642.82713910146</v>
      </c>
      <c r="L442" s="2163">
        <f>O442+R442+X442+AD442</f>
        <v>0</v>
      </c>
      <c r="M442" s="2164">
        <f t="shared" si="838"/>
        <v>-970642.82713910146</v>
      </c>
      <c r="N442" s="2163">
        <f>N444+N457</f>
        <v>237643.72632378861</v>
      </c>
      <c r="O442" s="2163">
        <f>O444+O457</f>
        <v>0</v>
      </c>
      <c r="P442" s="2164">
        <f t="shared" ref="P442" si="842">O442-N442</f>
        <v>-237643.72632378861</v>
      </c>
      <c r="Q442" s="2165">
        <f>Q444+Q457</f>
        <v>215564.6476997654</v>
      </c>
      <c r="R442" s="2163">
        <f>R444+R457</f>
        <v>0</v>
      </c>
      <c r="S442" s="2166">
        <f t="shared" ref="S442" si="843">R442-Q442</f>
        <v>-215564.6476997654</v>
      </c>
      <c r="T442" s="2167">
        <f t="shared" si="835"/>
        <v>453208.37402355403</v>
      </c>
      <c r="U442" s="2163">
        <f t="shared" si="835"/>
        <v>0</v>
      </c>
      <c r="V442" s="2166">
        <f t="shared" si="839"/>
        <v>-453208.37402355403</v>
      </c>
      <c r="W442" s="2168">
        <f>W444+W457</f>
        <v>193444.55306480054</v>
      </c>
      <c r="X442" s="2163">
        <f>X444+X457</f>
        <v>0</v>
      </c>
      <c r="Y442" s="2169">
        <f t="shared" ref="Y442" si="844">X442-W442</f>
        <v>-193444.55306480054</v>
      </c>
      <c r="Z442" s="2165">
        <f t="shared" si="836"/>
        <v>646652.9270883546</v>
      </c>
      <c r="AA442" s="2163">
        <f t="shared" si="836"/>
        <v>0</v>
      </c>
      <c r="AB442" s="2164">
        <f t="shared" si="840"/>
        <v>-646652.9270883546</v>
      </c>
      <c r="AC442" s="2165">
        <f>AC444+AC457</f>
        <v>323989.90005074692</v>
      </c>
      <c r="AD442" s="2163">
        <f>AD444+AD457</f>
        <v>0</v>
      </c>
      <c r="AE442" s="2166">
        <f t="shared" ref="AE442" si="845">AD442-AC442</f>
        <v>-323989.90005074692</v>
      </c>
      <c r="AF442" s="2204"/>
      <c r="AG442" s="2158"/>
      <c r="AH442" s="2171">
        <f>AH444+AH457</f>
        <v>127480.39762183015</v>
      </c>
      <c r="AI442" s="2171">
        <f>AI444+AI457</f>
        <v>0</v>
      </c>
      <c r="AJ442" s="2172">
        <f t="shared" ref="AJ442" si="846">AI442-AH442</f>
        <v>-127480.39762183015</v>
      </c>
      <c r="AK442" s="2171">
        <f>AK444+AK457</f>
        <v>95438.371217693682</v>
      </c>
      <c r="AL442" s="2171">
        <f>AL444+AL457</f>
        <v>0</v>
      </c>
      <c r="AM442" s="2172">
        <f t="shared" ref="AM442" si="847">AL442-AK442</f>
        <v>-95438.371217693682</v>
      </c>
      <c r="AN442" s="2171">
        <f>AN444+AN457</f>
        <v>82011.778171724916</v>
      </c>
      <c r="AO442" s="2171">
        <f>AO444+AO457</f>
        <v>0</v>
      </c>
      <c r="AP442" s="2172">
        <f t="shared" ref="AP442" si="848">AO442-AN442</f>
        <v>-82011.778171724916</v>
      </c>
      <c r="AQ442" s="2171">
        <f>AQ444+AQ457</f>
        <v>81416.406813672802</v>
      </c>
      <c r="AR442" s="2171">
        <f>AR444+AR457</f>
        <v>0</v>
      </c>
      <c r="AS442" s="2172">
        <f t="shared" ref="AS442" si="849">AR442-AQ442</f>
        <v>-81416.406813672802</v>
      </c>
      <c r="AT442" s="2171">
        <f>AT444+AT457</f>
        <v>75308.194167918802</v>
      </c>
      <c r="AU442" s="2171">
        <f>AU444+AU457</f>
        <v>0</v>
      </c>
      <c r="AV442" s="2172">
        <f t="shared" ref="AV442" si="850">AU442-AT442</f>
        <v>-75308.194167918802</v>
      </c>
      <c r="AW442" s="2171">
        <f>AW444+AW457</f>
        <v>58840.046718173748</v>
      </c>
      <c r="AX442" s="2171">
        <f>AX444+AX457</f>
        <v>0</v>
      </c>
      <c r="AY442" s="2172">
        <f t="shared" ref="AY442" si="851">AX442-AW442</f>
        <v>-58840.046718173748</v>
      </c>
      <c r="AZ442" s="2171">
        <f>AZ444+AZ457</f>
        <v>57923.341523838368</v>
      </c>
      <c r="BA442" s="2171">
        <f>BA444+BA457</f>
        <v>0</v>
      </c>
      <c r="BB442" s="2172">
        <f t="shared" ref="BB442" si="852">BA442-AZ442</f>
        <v>-57923.341523838368</v>
      </c>
      <c r="BC442" s="2171">
        <f>BC444+BC457</f>
        <v>59128.654007173624</v>
      </c>
      <c r="BD442" s="2171">
        <f>BD444+BD457</f>
        <v>0</v>
      </c>
      <c r="BE442" s="2172">
        <f t="shared" ref="BE442" si="853">BD442-BC442</f>
        <v>-59128.654007173624</v>
      </c>
      <c r="BF442" s="2171">
        <f>BF444+BF457</f>
        <v>76392.557533788553</v>
      </c>
      <c r="BG442" s="2171">
        <f>BG444+BG457</f>
        <v>0</v>
      </c>
      <c r="BH442" s="2172">
        <f t="shared" ref="BH442" si="854">BG442-BF442</f>
        <v>-76392.557533788553</v>
      </c>
      <c r="BI442" s="2171">
        <f>BI444+BI457</f>
        <v>102939.16961159436</v>
      </c>
      <c r="BJ442" s="2171">
        <f>BJ444+BJ457</f>
        <v>0</v>
      </c>
      <c r="BK442" s="2172">
        <f t="shared" ref="BK442" si="855">BJ442-BI442</f>
        <v>-102939.16961159436</v>
      </c>
      <c r="BL442" s="2171">
        <f>BL444+BL457</f>
        <v>112017.5188205358</v>
      </c>
      <c r="BM442" s="2171">
        <f>BM444+BM457</f>
        <v>0</v>
      </c>
      <c r="BN442" s="2172">
        <f t="shared" ref="BN442" si="856">BM442-BL442</f>
        <v>-112017.5188205358</v>
      </c>
      <c r="BO442" s="2171">
        <f>BO444+BO457</f>
        <v>109033.21161861678</v>
      </c>
      <c r="BP442" s="2171">
        <f>BP444+BP457</f>
        <v>0</v>
      </c>
      <c r="BQ442" s="2172">
        <f t="shared" ref="BQ442" si="857">BP442-BO442</f>
        <v>-109033.21161861678</v>
      </c>
    </row>
    <row r="443" spans="3:69" s="2159" customFormat="1" ht="22.5">
      <c r="C443" s="2293" t="s">
        <v>2595</v>
      </c>
      <c r="D443" s="2360" t="s">
        <v>2596</v>
      </c>
      <c r="E443" s="2361" t="s">
        <v>1833</v>
      </c>
      <c r="F443" s="2162"/>
      <c r="G443" s="2259">
        <f>G450+G456+G462</f>
        <v>0</v>
      </c>
      <c r="H443" s="2259">
        <f>H450+H456+H462</f>
        <v>0</v>
      </c>
      <c r="I443" s="2164">
        <f t="shared" si="841"/>
        <v>0</v>
      </c>
      <c r="J443" s="2162"/>
      <c r="K443" s="2163">
        <f>N443+Q443+W443+AC443</f>
        <v>0</v>
      </c>
      <c r="L443" s="2163">
        <f>O443+R443+X443+AD443</f>
        <v>0</v>
      </c>
      <c r="M443" s="2164">
        <f>L443-K443</f>
        <v>0</v>
      </c>
      <c r="N443" s="2163">
        <f>N450+N456+N462</f>
        <v>0</v>
      </c>
      <c r="O443" s="2163">
        <f>O450+O456+O462</f>
        <v>0</v>
      </c>
      <c r="P443" s="2164">
        <f>O443-N443</f>
        <v>0</v>
      </c>
      <c r="Q443" s="2163">
        <f>Q450+Q456+Q462</f>
        <v>0</v>
      </c>
      <c r="R443" s="2163">
        <f>R450+R456+R462</f>
        <v>0</v>
      </c>
      <c r="S443" s="2164">
        <f>R443-Q443</f>
        <v>0</v>
      </c>
      <c r="T443" s="2167">
        <f>N443+Q443</f>
        <v>0</v>
      </c>
      <c r="U443" s="2163">
        <f>O443+R443</f>
        <v>0</v>
      </c>
      <c r="V443" s="2166">
        <f>U443-T443</f>
        <v>0</v>
      </c>
      <c r="W443" s="2168">
        <f>W450+W456+W462</f>
        <v>0</v>
      </c>
      <c r="X443" s="2163">
        <f>X450+X456+X462</f>
        <v>0</v>
      </c>
      <c r="Y443" s="2169">
        <f>X443-W443</f>
        <v>0</v>
      </c>
      <c r="Z443" s="2165">
        <f>T443+W443</f>
        <v>0</v>
      </c>
      <c r="AA443" s="2163">
        <f>U443+X443</f>
        <v>0</v>
      </c>
      <c r="AB443" s="2164">
        <f>AA443-Z443</f>
        <v>0</v>
      </c>
      <c r="AC443" s="2163">
        <f>AC450+AC456+AC462</f>
        <v>0</v>
      </c>
      <c r="AD443" s="2163">
        <f>AD450+AD456+AD462</f>
        <v>0</v>
      </c>
      <c r="AE443" s="2164">
        <f>AD443-AC443</f>
        <v>0</v>
      </c>
      <c r="AF443" s="2204"/>
      <c r="AG443" s="2158"/>
      <c r="AH443" s="2171">
        <f>AH450+AH456+AH462</f>
        <v>0</v>
      </c>
      <c r="AI443" s="2171">
        <f>AI450+AI456+AI462</f>
        <v>0</v>
      </c>
      <c r="AJ443" s="2172">
        <f>AI443-AH443</f>
        <v>0</v>
      </c>
      <c r="AK443" s="2171">
        <f>AK450+AK456+AK462</f>
        <v>0</v>
      </c>
      <c r="AL443" s="2171">
        <f>AL450+AL456+AL462</f>
        <v>0</v>
      </c>
      <c r="AM443" s="2172">
        <f>AL443-AK443</f>
        <v>0</v>
      </c>
      <c r="AN443" s="2171">
        <f>AN450+AN456+AN462</f>
        <v>0</v>
      </c>
      <c r="AO443" s="2171">
        <f>AO450+AO456+AO462</f>
        <v>0</v>
      </c>
      <c r="AP443" s="2172">
        <f>AO443-AN443</f>
        <v>0</v>
      </c>
      <c r="AQ443" s="2171">
        <f>AQ450+AQ456+AQ462</f>
        <v>0</v>
      </c>
      <c r="AR443" s="2171">
        <f>AR450+AR456+AR462</f>
        <v>0</v>
      </c>
      <c r="AS443" s="2172">
        <f>AR443-AQ443</f>
        <v>0</v>
      </c>
      <c r="AT443" s="2171">
        <f>AT450+AT456+AT462</f>
        <v>0</v>
      </c>
      <c r="AU443" s="2171">
        <f>AU450+AU456+AU462</f>
        <v>0</v>
      </c>
      <c r="AV443" s="2172">
        <f>AU443-AT443</f>
        <v>0</v>
      </c>
      <c r="AW443" s="2171">
        <f>AW450+AW456+AW462</f>
        <v>0</v>
      </c>
      <c r="AX443" s="2171">
        <f>AX450+AX456+AX462</f>
        <v>0</v>
      </c>
      <c r="AY443" s="2172">
        <f>AX443-AW443</f>
        <v>0</v>
      </c>
      <c r="AZ443" s="2171">
        <f>AZ450+AZ456+AZ462</f>
        <v>0</v>
      </c>
      <c r="BA443" s="2171">
        <f>BA450+BA456+BA462</f>
        <v>0</v>
      </c>
      <c r="BB443" s="2172">
        <f>BA443-AZ443</f>
        <v>0</v>
      </c>
      <c r="BC443" s="2171">
        <f>BC450+BC456+BC462</f>
        <v>0</v>
      </c>
      <c r="BD443" s="2171">
        <f>BD450+BD456+BD462</f>
        <v>0</v>
      </c>
      <c r="BE443" s="2172">
        <f>BD443-BC443</f>
        <v>0</v>
      </c>
      <c r="BF443" s="2171">
        <f>BF450+BF456+BF462</f>
        <v>0</v>
      </c>
      <c r="BG443" s="2171">
        <f>BG450+BG456+BG462</f>
        <v>0</v>
      </c>
      <c r="BH443" s="2172">
        <f>BG443-BF443</f>
        <v>0</v>
      </c>
      <c r="BI443" s="2171">
        <f>BI450+BI456+BI462</f>
        <v>0</v>
      </c>
      <c r="BJ443" s="2171">
        <f>BJ450+BJ456+BJ462</f>
        <v>0</v>
      </c>
      <c r="BK443" s="2172">
        <f>BJ443-BI443</f>
        <v>0</v>
      </c>
      <c r="BL443" s="2171">
        <f>BL450+BL456+BL462</f>
        <v>0</v>
      </c>
      <c r="BM443" s="2171">
        <f>BM450+BM456+BM462</f>
        <v>0</v>
      </c>
      <c r="BN443" s="2172">
        <f>BM443-BL443</f>
        <v>0</v>
      </c>
      <c r="BO443" s="2171">
        <f>BO450+BO456+BO462</f>
        <v>0</v>
      </c>
      <c r="BP443" s="2171">
        <f>BP450+BP456+BP462</f>
        <v>0</v>
      </c>
      <c r="BQ443" s="2172">
        <f>BP443-BO443</f>
        <v>0</v>
      </c>
    </row>
    <row r="444" spans="3:69" s="2087" customFormat="1">
      <c r="C444" s="2285" t="s">
        <v>2597</v>
      </c>
      <c r="D444" s="2287" t="s">
        <v>2217</v>
      </c>
      <c r="E444" s="2284" t="s">
        <v>1833</v>
      </c>
      <c r="F444" s="2176"/>
      <c r="G444" s="2252">
        <f>G479+G512+G578+G545+G611</f>
        <v>0</v>
      </c>
      <c r="H444" s="2252">
        <f t="shared" ref="H444" si="858">H479+H512+H578+H545+H611</f>
        <v>0</v>
      </c>
      <c r="I444" s="2178">
        <f t="shared" si="841"/>
        <v>0</v>
      </c>
      <c r="J444" s="2176"/>
      <c r="K444" s="2179">
        <f t="shared" si="837"/>
        <v>0</v>
      </c>
      <c r="L444" s="2179">
        <f t="shared" si="834"/>
        <v>0</v>
      </c>
      <c r="M444" s="2178">
        <f t="shared" si="838"/>
        <v>0</v>
      </c>
      <c r="N444" s="2179">
        <f t="shared" ref="N444:O459" si="859">N479+N512+N578+N545+N611</f>
        <v>0</v>
      </c>
      <c r="O444" s="2179">
        <f t="shared" si="859"/>
        <v>0</v>
      </c>
      <c r="P444" s="2178">
        <f t="shared" ref="P444:P475" si="860">O444-N444</f>
        <v>0</v>
      </c>
      <c r="Q444" s="2179">
        <f t="shared" ref="Q444:R459" si="861">Q479+Q512+Q578+Q545+Q611</f>
        <v>0</v>
      </c>
      <c r="R444" s="2179">
        <f t="shared" si="861"/>
        <v>0</v>
      </c>
      <c r="S444" s="2180">
        <f t="shared" ref="S444:S475" si="862">R444-Q444</f>
        <v>0</v>
      </c>
      <c r="T444" s="2181">
        <f t="shared" ref="T444:U519" si="863">N444+Q444</f>
        <v>0</v>
      </c>
      <c r="U444" s="2179">
        <f t="shared" si="863"/>
        <v>0</v>
      </c>
      <c r="V444" s="2180">
        <f t="shared" si="839"/>
        <v>0</v>
      </c>
      <c r="W444" s="2187">
        <f t="shared" ref="W444:X459" si="864">W479+W512+W578+W545+W611</f>
        <v>0</v>
      </c>
      <c r="X444" s="2179">
        <f t="shared" si="864"/>
        <v>0</v>
      </c>
      <c r="Y444" s="2183">
        <f t="shared" ref="Y444:Y475" si="865">X444-W444</f>
        <v>0</v>
      </c>
      <c r="Z444" s="2184">
        <f t="shared" ref="Z444:AA480" si="866">T444+W444</f>
        <v>0</v>
      </c>
      <c r="AA444" s="2179">
        <f t="shared" si="866"/>
        <v>0</v>
      </c>
      <c r="AB444" s="2178">
        <f t="shared" si="840"/>
        <v>0</v>
      </c>
      <c r="AC444" s="2179">
        <f t="shared" ref="AC444:AD459" si="867">AC479+AC512+AC578+AC545+AC611</f>
        <v>0</v>
      </c>
      <c r="AD444" s="2179">
        <f t="shared" si="867"/>
        <v>0</v>
      </c>
      <c r="AE444" s="2180">
        <f t="shared" ref="AE444:AE475" si="868">AD444-AC444</f>
        <v>0</v>
      </c>
      <c r="AF444" s="2185"/>
      <c r="AG444" s="2114"/>
      <c r="AH444" s="2188">
        <f t="shared" ref="AH444:AI459" si="869">AH479+AH512+AH578+AH545+AH611</f>
        <v>9691.5192525101502</v>
      </c>
      <c r="AI444" s="2188">
        <f t="shared" si="869"/>
        <v>0</v>
      </c>
      <c r="AJ444" s="2186">
        <f t="shared" ref="AJ444:AJ449" si="870">AI444-AH444</f>
        <v>-9691.5192525101502</v>
      </c>
      <c r="AK444" s="2188">
        <f t="shared" ref="AK444:AL459" si="871">AK479+AK512+AK578+AK545+AK611</f>
        <v>0</v>
      </c>
      <c r="AL444" s="2188">
        <f t="shared" si="871"/>
        <v>0</v>
      </c>
      <c r="AM444" s="2186">
        <f t="shared" ref="AM444:AM449" si="872">AL444-AK444</f>
        <v>0</v>
      </c>
      <c r="AN444" s="2188">
        <f t="shared" ref="AN444:AO459" si="873">AN479+AN512+AN578+AN545+AN611</f>
        <v>0</v>
      </c>
      <c r="AO444" s="2188">
        <f t="shared" si="873"/>
        <v>0</v>
      </c>
      <c r="AP444" s="2186">
        <f t="shared" ref="AP444:AP449" si="874">AO444-AN444</f>
        <v>0</v>
      </c>
      <c r="AQ444" s="2188">
        <f t="shared" ref="AQ444:AR459" si="875">AQ479+AQ512+AQ578+AQ545+AQ611</f>
        <v>0</v>
      </c>
      <c r="AR444" s="2188">
        <f t="shared" si="875"/>
        <v>0</v>
      </c>
      <c r="AS444" s="2186">
        <f t="shared" ref="AS444:AS449" si="876">AR444-AQ444</f>
        <v>0</v>
      </c>
      <c r="AT444" s="2188">
        <f t="shared" ref="AT444:AU459" si="877">AT479+AT512+AT578+AT545+AT611</f>
        <v>0</v>
      </c>
      <c r="AU444" s="2188">
        <f t="shared" si="877"/>
        <v>0</v>
      </c>
      <c r="AV444" s="2186">
        <f t="shared" ref="AV444:AV449" si="878">AU444-AT444</f>
        <v>0</v>
      </c>
      <c r="AW444" s="2188">
        <f t="shared" ref="AW444:AX459" si="879">AW479+AW512+AW578+AW545+AW611</f>
        <v>0</v>
      </c>
      <c r="AX444" s="2188">
        <f t="shared" si="879"/>
        <v>0</v>
      </c>
      <c r="AY444" s="2186">
        <f t="shared" ref="AY444:AY449" si="880">AX444-AW444</f>
        <v>0</v>
      </c>
      <c r="AZ444" s="2188">
        <f t="shared" ref="AZ444:BA459" si="881">AZ479+AZ512+AZ578+AZ545+AZ611</f>
        <v>0</v>
      </c>
      <c r="BA444" s="2188">
        <f t="shared" si="881"/>
        <v>0</v>
      </c>
      <c r="BB444" s="2186">
        <f t="shared" ref="BB444:BB449" si="882">BA444-AZ444</f>
        <v>0</v>
      </c>
      <c r="BC444" s="2188">
        <f t="shared" ref="BC444:BD459" si="883">BC479+BC512+BC578+BC545+BC611</f>
        <v>0</v>
      </c>
      <c r="BD444" s="2188">
        <f t="shared" si="883"/>
        <v>0</v>
      </c>
      <c r="BE444" s="2186">
        <f t="shared" ref="BE444:BE449" si="884">BD444-BC444</f>
        <v>0</v>
      </c>
      <c r="BF444" s="2188">
        <f t="shared" ref="BF444:BG459" si="885">BF479+BF512+BF578+BF545+BF611</f>
        <v>0</v>
      </c>
      <c r="BG444" s="2188">
        <f t="shared" si="885"/>
        <v>0</v>
      </c>
      <c r="BH444" s="2186">
        <f t="shared" ref="BH444:BH449" si="886">BG444-BF444</f>
        <v>0</v>
      </c>
      <c r="BI444" s="2188">
        <f t="shared" ref="BI444:BJ459" si="887">BI479+BI512+BI578+BI545+BI611</f>
        <v>0</v>
      </c>
      <c r="BJ444" s="2188">
        <f t="shared" si="887"/>
        <v>0</v>
      </c>
      <c r="BK444" s="2186">
        <f t="shared" ref="BK444:BK449" si="888">BJ444-BI444</f>
        <v>0</v>
      </c>
      <c r="BL444" s="2188">
        <f t="shared" ref="BL444:BM459" si="889">BL479+BL512+BL578+BL545+BL611</f>
        <v>0</v>
      </c>
      <c r="BM444" s="2188">
        <f t="shared" si="889"/>
        <v>0</v>
      </c>
      <c r="BN444" s="2186">
        <f t="shared" ref="BN444:BN449" si="890">BM444-BL444</f>
        <v>0</v>
      </c>
      <c r="BO444" s="2188">
        <f t="shared" ref="BO444:BP459" si="891">BO479+BO512+BO578+BO545+BO611</f>
        <v>0</v>
      </c>
      <c r="BP444" s="2188">
        <f t="shared" si="891"/>
        <v>0</v>
      </c>
      <c r="BQ444" s="2186">
        <f t="shared" ref="BQ444:BQ449" si="892">BP444-BO444</f>
        <v>0</v>
      </c>
    </row>
    <row r="445" spans="3:69" s="2087" customFormat="1" ht="22.5">
      <c r="C445" s="2285" t="s">
        <v>2598</v>
      </c>
      <c r="D445" s="2286" t="s">
        <v>2599</v>
      </c>
      <c r="E445" s="2284" t="s">
        <v>1833</v>
      </c>
      <c r="F445" s="2176"/>
      <c r="G445" s="2252">
        <f t="shared" ref="G445:H460" si="893">G480+G513+G579+G546+G612</f>
        <v>0</v>
      </c>
      <c r="H445" s="2252">
        <f t="shared" si="893"/>
        <v>0</v>
      </c>
      <c r="I445" s="2178">
        <f t="shared" si="841"/>
        <v>0</v>
      </c>
      <c r="J445" s="2176"/>
      <c r="K445" s="2179">
        <f t="shared" si="837"/>
        <v>0</v>
      </c>
      <c r="L445" s="2179">
        <f t="shared" si="834"/>
        <v>0</v>
      </c>
      <c r="M445" s="2178">
        <f t="shared" si="838"/>
        <v>0</v>
      </c>
      <c r="N445" s="2179">
        <f t="shared" si="859"/>
        <v>0</v>
      </c>
      <c r="O445" s="2179">
        <f t="shared" si="859"/>
        <v>0</v>
      </c>
      <c r="P445" s="2178">
        <f t="shared" si="860"/>
        <v>0</v>
      </c>
      <c r="Q445" s="2179">
        <f t="shared" si="861"/>
        <v>0</v>
      </c>
      <c r="R445" s="2179">
        <f t="shared" si="861"/>
        <v>0</v>
      </c>
      <c r="S445" s="2180">
        <f t="shared" si="862"/>
        <v>0</v>
      </c>
      <c r="T445" s="2181">
        <f t="shared" si="863"/>
        <v>0</v>
      </c>
      <c r="U445" s="2179">
        <f t="shared" si="863"/>
        <v>0</v>
      </c>
      <c r="V445" s="2180">
        <f t="shared" si="839"/>
        <v>0</v>
      </c>
      <c r="W445" s="2187">
        <f t="shared" si="864"/>
        <v>0</v>
      </c>
      <c r="X445" s="2179">
        <f t="shared" si="864"/>
        <v>0</v>
      </c>
      <c r="Y445" s="2183">
        <f t="shared" si="865"/>
        <v>0</v>
      </c>
      <c r="Z445" s="2184">
        <f t="shared" si="866"/>
        <v>0</v>
      </c>
      <c r="AA445" s="2179">
        <f t="shared" si="866"/>
        <v>0</v>
      </c>
      <c r="AB445" s="2178">
        <f t="shared" si="840"/>
        <v>0</v>
      </c>
      <c r="AC445" s="2179">
        <f t="shared" si="867"/>
        <v>0</v>
      </c>
      <c r="AD445" s="2179">
        <f t="shared" si="867"/>
        <v>0</v>
      </c>
      <c r="AE445" s="2180">
        <f t="shared" si="868"/>
        <v>0</v>
      </c>
      <c r="AF445" s="2185"/>
      <c r="AG445" s="2114"/>
      <c r="AH445" s="2188">
        <f t="shared" si="869"/>
        <v>7164.6043627799991</v>
      </c>
      <c r="AI445" s="2188">
        <f t="shared" si="869"/>
        <v>0</v>
      </c>
      <c r="AJ445" s="2186">
        <f t="shared" si="870"/>
        <v>-7164.6043627799991</v>
      </c>
      <c r="AK445" s="2188">
        <f t="shared" si="871"/>
        <v>0</v>
      </c>
      <c r="AL445" s="2188">
        <f t="shared" si="871"/>
        <v>0</v>
      </c>
      <c r="AM445" s="2186">
        <f t="shared" si="872"/>
        <v>0</v>
      </c>
      <c r="AN445" s="2188">
        <f t="shared" si="873"/>
        <v>0</v>
      </c>
      <c r="AO445" s="2188">
        <f t="shared" si="873"/>
        <v>0</v>
      </c>
      <c r="AP445" s="2186">
        <f t="shared" si="874"/>
        <v>0</v>
      </c>
      <c r="AQ445" s="2188">
        <f t="shared" si="875"/>
        <v>0</v>
      </c>
      <c r="AR445" s="2188">
        <f t="shared" si="875"/>
        <v>0</v>
      </c>
      <c r="AS445" s="2186">
        <f t="shared" si="876"/>
        <v>0</v>
      </c>
      <c r="AT445" s="2188">
        <f t="shared" si="877"/>
        <v>0</v>
      </c>
      <c r="AU445" s="2188">
        <f t="shared" si="877"/>
        <v>0</v>
      </c>
      <c r="AV445" s="2186">
        <f t="shared" si="878"/>
        <v>0</v>
      </c>
      <c r="AW445" s="2188">
        <f t="shared" si="879"/>
        <v>0</v>
      </c>
      <c r="AX445" s="2188">
        <f t="shared" si="879"/>
        <v>0</v>
      </c>
      <c r="AY445" s="2186">
        <f t="shared" si="880"/>
        <v>0</v>
      </c>
      <c r="AZ445" s="2188">
        <f t="shared" si="881"/>
        <v>0</v>
      </c>
      <c r="BA445" s="2188">
        <f t="shared" si="881"/>
        <v>0</v>
      </c>
      <c r="BB445" s="2186">
        <f t="shared" si="882"/>
        <v>0</v>
      </c>
      <c r="BC445" s="2188">
        <f t="shared" si="883"/>
        <v>0</v>
      </c>
      <c r="BD445" s="2188">
        <f t="shared" si="883"/>
        <v>0</v>
      </c>
      <c r="BE445" s="2186">
        <f t="shared" si="884"/>
        <v>0</v>
      </c>
      <c r="BF445" s="2188">
        <f t="shared" si="885"/>
        <v>0</v>
      </c>
      <c r="BG445" s="2188">
        <f t="shared" si="885"/>
        <v>0</v>
      </c>
      <c r="BH445" s="2186">
        <f t="shared" si="886"/>
        <v>0</v>
      </c>
      <c r="BI445" s="2188">
        <f t="shared" si="887"/>
        <v>0</v>
      </c>
      <c r="BJ445" s="2188">
        <f t="shared" si="887"/>
        <v>0</v>
      </c>
      <c r="BK445" s="2186">
        <f t="shared" si="888"/>
        <v>0</v>
      </c>
      <c r="BL445" s="2188">
        <f t="shared" si="889"/>
        <v>0</v>
      </c>
      <c r="BM445" s="2188">
        <f t="shared" si="889"/>
        <v>0</v>
      </c>
      <c r="BN445" s="2186">
        <f t="shared" si="890"/>
        <v>0</v>
      </c>
      <c r="BO445" s="2188">
        <f t="shared" si="891"/>
        <v>0</v>
      </c>
      <c r="BP445" s="2188">
        <f t="shared" si="891"/>
        <v>0</v>
      </c>
      <c r="BQ445" s="2186">
        <f t="shared" si="892"/>
        <v>0</v>
      </c>
    </row>
    <row r="446" spans="3:69" s="2087" customFormat="1">
      <c r="C446" s="2194" t="s">
        <v>2600</v>
      </c>
      <c r="D446" s="2283" t="s">
        <v>2221</v>
      </c>
      <c r="E446" s="2284" t="s">
        <v>1833</v>
      </c>
      <c r="F446" s="2176"/>
      <c r="G446" s="2252">
        <f t="shared" si="893"/>
        <v>0</v>
      </c>
      <c r="H446" s="2252">
        <f t="shared" si="893"/>
        <v>0</v>
      </c>
      <c r="I446" s="2178">
        <f t="shared" si="841"/>
        <v>0</v>
      </c>
      <c r="J446" s="2176"/>
      <c r="K446" s="2179">
        <f t="shared" si="837"/>
        <v>0</v>
      </c>
      <c r="L446" s="2179">
        <f t="shared" si="834"/>
        <v>0</v>
      </c>
      <c r="M446" s="2178">
        <f t="shared" si="838"/>
        <v>0</v>
      </c>
      <c r="N446" s="2179">
        <f t="shared" si="859"/>
        <v>0</v>
      </c>
      <c r="O446" s="2179">
        <f t="shared" si="859"/>
        <v>0</v>
      </c>
      <c r="P446" s="2178">
        <f t="shared" si="860"/>
        <v>0</v>
      </c>
      <c r="Q446" s="2179">
        <f t="shared" si="861"/>
        <v>0</v>
      </c>
      <c r="R446" s="2179">
        <f t="shared" si="861"/>
        <v>0</v>
      </c>
      <c r="S446" s="2180">
        <f t="shared" si="862"/>
        <v>0</v>
      </c>
      <c r="T446" s="2181">
        <f t="shared" si="863"/>
        <v>0</v>
      </c>
      <c r="U446" s="2179">
        <f t="shared" si="863"/>
        <v>0</v>
      </c>
      <c r="V446" s="2180">
        <f t="shared" si="839"/>
        <v>0</v>
      </c>
      <c r="W446" s="2187">
        <f t="shared" si="864"/>
        <v>0</v>
      </c>
      <c r="X446" s="2179">
        <f t="shared" si="864"/>
        <v>0</v>
      </c>
      <c r="Y446" s="2183">
        <f t="shared" si="865"/>
        <v>0</v>
      </c>
      <c r="Z446" s="2184">
        <f t="shared" si="866"/>
        <v>0</v>
      </c>
      <c r="AA446" s="2179">
        <f t="shared" si="866"/>
        <v>0</v>
      </c>
      <c r="AB446" s="2178">
        <f t="shared" si="840"/>
        <v>0</v>
      </c>
      <c r="AC446" s="2179">
        <f t="shared" si="867"/>
        <v>0</v>
      </c>
      <c r="AD446" s="2179">
        <f t="shared" si="867"/>
        <v>0</v>
      </c>
      <c r="AE446" s="2180">
        <f t="shared" si="868"/>
        <v>0</v>
      </c>
      <c r="AF446" s="2185"/>
      <c r="AG446" s="2114"/>
      <c r="AH446" s="2188">
        <f>AH481+AH514+AH580+AH547+AH613</f>
        <v>0</v>
      </c>
      <c r="AI446" s="2188">
        <f t="shared" si="869"/>
        <v>0</v>
      </c>
      <c r="AJ446" s="2186">
        <f t="shared" si="870"/>
        <v>0</v>
      </c>
      <c r="AK446" s="2188">
        <f t="shared" si="871"/>
        <v>0</v>
      </c>
      <c r="AL446" s="2188">
        <f t="shared" si="871"/>
        <v>0</v>
      </c>
      <c r="AM446" s="2186">
        <f t="shared" si="872"/>
        <v>0</v>
      </c>
      <c r="AN446" s="2188">
        <f t="shared" si="873"/>
        <v>0</v>
      </c>
      <c r="AO446" s="2188">
        <f t="shared" si="873"/>
        <v>0</v>
      </c>
      <c r="AP446" s="2186">
        <f t="shared" si="874"/>
        <v>0</v>
      </c>
      <c r="AQ446" s="2188">
        <f t="shared" si="875"/>
        <v>0</v>
      </c>
      <c r="AR446" s="2188">
        <f t="shared" si="875"/>
        <v>0</v>
      </c>
      <c r="AS446" s="2186">
        <f t="shared" si="876"/>
        <v>0</v>
      </c>
      <c r="AT446" s="2188">
        <f t="shared" si="877"/>
        <v>0</v>
      </c>
      <c r="AU446" s="2188">
        <f t="shared" si="877"/>
        <v>0</v>
      </c>
      <c r="AV446" s="2186">
        <f t="shared" si="878"/>
        <v>0</v>
      </c>
      <c r="AW446" s="2188">
        <f t="shared" si="879"/>
        <v>0</v>
      </c>
      <c r="AX446" s="2188">
        <f t="shared" si="879"/>
        <v>0</v>
      </c>
      <c r="AY446" s="2186">
        <f t="shared" si="880"/>
        <v>0</v>
      </c>
      <c r="AZ446" s="2188">
        <f t="shared" si="881"/>
        <v>0</v>
      </c>
      <c r="BA446" s="2188">
        <f t="shared" si="881"/>
        <v>0</v>
      </c>
      <c r="BB446" s="2186">
        <f t="shared" si="882"/>
        <v>0</v>
      </c>
      <c r="BC446" s="2188">
        <f t="shared" si="883"/>
        <v>0</v>
      </c>
      <c r="BD446" s="2188">
        <f t="shared" si="883"/>
        <v>0</v>
      </c>
      <c r="BE446" s="2186">
        <f t="shared" si="884"/>
        <v>0</v>
      </c>
      <c r="BF446" s="2188">
        <f t="shared" si="885"/>
        <v>0</v>
      </c>
      <c r="BG446" s="2188">
        <f t="shared" si="885"/>
        <v>0</v>
      </c>
      <c r="BH446" s="2186">
        <f t="shared" si="886"/>
        <v>0</v>
      </c>
      <c r="BI446" s="2188">
        <f t="shared" si="887"/>
        <v>0</v>
      </c>
      <c r="BJ446" s="2188">
        <f t="shared" si="887"/>
        <v>0</v>
      </c>
      <c r="BK446" s="2186">
        <f t="shared" si="888"/>
        <v>0</v>
      </c>
      <c r="BL446" s="2188">
        <f t="shared" si="889"/>
        <v>0</v>
      </c>
      <c r="BM446" s="2188">
        <f t="shared" si="889"/>
        <v>0</v>
      </c>
      <c r="BN446" s="2186">
        <f t="shared" si="890"/>
        <v>0</v>
      </c>
      <c r="BO446" s="2188">
        <f t="shared" si="891"/>
        <v>0</v>
      </c>
      <c r="BP446" s="2188">
        <f t="shared" si="891"/>
        <v>0</v>
      </c>
      <c r="BQ446" s="2186">
        <f t="shared" si="892"/>
        <v>0</v>
      </c>
    </row>
    <row r="447" spans="3:69" s="2087" customFormat="1">
      <c r="C447" s="2194" t="s">
        <v>2601</v>
      </c>
      <c r="D447" s="2283" t="s">
        <v>2223</v>
      </c>
      <c r="E447" s="2284" t="s">
        <v>1833</v>
      </c>
      <c r="F447" s="2176"/>
      <c r="G447" s="2252">
        <f t="shared" si="893"/>
        <v>0</v>
      </c>
      <c r="H447" s="2252">
        <f t="shared" si="893"/>
        <v>0</v>
      </c>
      <c r="I447" s="2178">
        <f t="shared" si="841"/>
        <v>0</v>
      </c>
      <c r="J447" s="2176"/>
      <c r="K447" s="2179">
        <f t="shared" si="837"/>
        <v>0</v>
      </c>
      <c r="L447" s="2179">
        <f t="shared" si="834"/>
        <v>0</v>
      </c>
      <c r="M447" s="2178">
        <f t="shared" si="838"/>
        <v>0</v>
      </c>
      <c r="N447" s="2179">
        <f t="shared" si="859"/>
        <v>0</v>
      </c>
      <c r="O447" s="2179">
        <f t="shared" si="859"/>
        <v>0</v>
      </c>
      <c r="P447" s="2178">
        <f t="shared" si="860"/>
        <v>0</v>
      </c>
      <c r="Q447" s="2179">
        <f t="shared" si="861"/>
        <v>0</v>
      </c>
      <c r="R447" s="2179">
        <f t="shared" si="861"/>
        <v>0</v>
      </c>
      <c r="S447" s="2180">
        <f t="shared" si="862"/>
        <v>0</v>
      </c>
      <c r="T447" s="2181">
        <f t="shared" si="863"/>
        <v>0</v>
      </c>
      <c r="U447" s="2179">
        <f t="shared" si="863"/>
        <v>0</v>
      </c>
      <c r="V447" s="2180">
        <f t="shared" si="839"/>
        <v>0</v>
      </c>
      <c r="W447" s="2187">
        <f t="shared" si="864"/>
        <v>0</v>
      </c>
      <c r="X447" s="2179">
        <f t="shared" si="864"/>
        <v>0</v>
      </c>
      <c r="Y447" s="2183">
        <f t="shared" si="865"/>
        <v>0</v>
      </c>
      <c r="Z447" s="2184">
        <f t="shared" si="866"/>
        <v>0</v>
      </c>
      <c r="AA447" s="2179">
        <f t="shared" si="866"/>
        <v>0</v>
      </c>
      <c r="AB447" s="2178">
        <f t="shared" si="840"/>
        <v>0</v>
      </c>
      <c r="AC447" s="2179">
        <f t="shared" si="867"/>
        <v>0</v>
      </c>
      <c r="AD447" s="2179">
        <f t="shared" si="867"/>
        <v>0</v>
      </c>
      <c r="AE447" s="2180">
        <f t="shared" si="868"/>
        <v>0</v>
      </c>
      <c r="AF447" s="2276"/>
      <c r="AG447" s="2114"/>
      <c r="AH447" s="2188">
        <f t="shared" si="869"/>
        <v>0</v>
      </c>
      <c r="AI447" s="2188">
        <f t="shared" si="869"/>
        <v>0</v>
      </c>
      <c r="AJ447" s="2186">
        <f t="shared" si="870"/>
        <v>0</v>
      </c>
      <c r="AK447" s="2188">
        <f t="shared" si="871"/>
        <v>0</v>
      </c>
      <c r="AL447" s="2188">
        <f t="shared" si="871"/>
        <v>0</v>
      </c>
      <c r="AM447" s="2186">
        <f t="shared" si="872"/>
        <v>0</v>
      </c>
      <c r="AN447" s="2188">
        <f t="shared" si="873"/>
        <v>0</v>
      </c>
      <c r="AO447" s="2188">
        <f t="shared" si="873"/>
        <v>0</v>
      </c>
      <c r="AP447" s="2186">
        <f t="shared" si="874"/>
        <v>0</v>
      </c>
      <c r="AQ447" s="2188">
        <f t="shared" si="875"/>
        <v>0</v>
      </c>
      <c r="AR447" s="2188">
        <f t="shared" si="875"/>
        <v>0</v>
      </c>
      <c r="AS447" s="2186">
        <f t="shared" si="876"/>
        <v>0</v>
      </c>
      <c r="AT447" s="2188">
        <f t="shared" si="877"/>
        <v>0</v>
      </c>
      <c r="AU447" s="2188">
        <f t="shared" si="877"/>
        <v>0</v>
      </c>
      <c r="AV447" s="2186">
        <f t="shared" si="878"/>
        <v>0</v>
      </c>
      <c r="AW447" s="2188">
        <f t="shared" si="879"/>
        <v>0</v>
      </c>
      <c r="AX447" s="2188">
        <f t="shared" si="879"/>
        <v>0</v>
      </c>
      <c r="AY447" s="2186">
        <f t="shared" si="880"/>
        <v>0</v>
      </c>
      <c r="AZ447" s="2188">
        <f t="shared" si="881"/>
        <v>0</v>
      </c>
      <c r="BA447" s="2188">
        <f t="shared" si="881"/>
        <v>0</v>
      </c>
      <c r="BB447" s="2186">
        <f t="shared" si="882"/>
        <v>0</v>
      </c>
      <c r="BC447" s="2188">
        <f t="shared" si="883"/>
        <v>0</v>
      </c>
      <c r="BD447" s="2188">
        <f t="shared" si="883"/>
        <v>0</v>
      </c>
      <c r="BE447" s="2186">
        <f t="shared" si="884"/>
        <v>0</v>
      </c>
      <c r="BF447" s="2188">
        <f t="shared" si="885"/>
        <v>0</v>
      </c>
      <c r="BG447" s="2188">
        <f t="shared" si="885"/>
        <v>0</v>
      </c>
      <c r="BH447" s="2186">
        <f t="shared" si="886"/>
        <v>0</v>
      </c>
      <c r="BI447" s="2188">
        <f t="shared" si="887"/>
        <v>0</v>
      </c>
      <c r="BJ447" s="2188">
        <f t="shared" si="887"/>
        <v>0</v>
      </c>
      <c r="BK447" s="2186">
        <f t="shared" si="888"/>
        <v>0</v>
      </c>
      <c r="BL447" s="2188">
        <f t="shared" si="889"/>
        <v>0</v>
      </c>
      <c r="BM447" s="2188">
        <f t="shared" si="889"/>
        <v>0</v>
      </c>
      <c r="BN447" s="2186">
        <f t="shared" si="890"/>
        <v>0</v>
      </c>
      <c r="BO447" s="2188">
        <f t="shared" si="891"/>
        <v>0</v>
      </c>
      <c r="BP447" s="2188">
        <f t="shared" si="891"/>
        <v>0</v>
      </c>
      <c r="BQ447" s="2186">
        <f t="shared" si="892"/>
        <v>0</v>
      </c>
    </row>
    <row r="448" spans="3:69" s="2087" customFormat="1">
      <c r="C448" s="2194" t="s">
        <v>2602</v>
      </c>
      <c r="D448" s="2283" t="s">
        <v>2225</v>
      </c>
      <c r="E448" s="2284" t="s">
        <v>1833</v>
      </c>
      <c r="F448" s="2176"/>
      <c r="G448" s="2252">
        <f t="shared" si="893"/>
        <v>0</v>
      </c>
      <c r="H448" s="2252">
        <f t="shared" si="893"/>
        <v>0</v>
      </c>
      <c r="I448" s="2178">
        <f t="shared" si="841"/>
        <v>0</v>
      </c>
      <c r="J448" s="2176"/>
      <c r="K448" s="2179">
        <f t="shared" si="837"/>
        <v>0</v>
      </c>
      <c r="L448" s="2179">
        <f t="shared" si="834"/>
        <v>0</v>
      </c>
      <c r="M448" s="2178">
        <f t="shared" si="838"/>
        <v>0</v>
      </c>
      <c r="N448" s="2179">
        <f t="shared" si="859"/>
        <v>0</v>
      </c>
      <c r="O448" s="2179">
        <f t="shared" si="859"/>
        <v>0</v>
      </c>
      <c r="P448" s="2178">
        <f t="shared" si="860"/>
        <v>0</v>
      </c>
      <c r="Q448" s="2179">
        <f t="shared" si="861"/>
        <v>0</v>
      </c>
      <c r="R448" s="2179">
        <f t="shared" si="861"/>
        <v>0</v>
      </c>
      <c r="S448" s="2180">
        <f t="shared" si="862"/>
        <v>0</v>
      </c>
      <c r="T448" s="2181">
        <f t="shared" si="863"/>
        <v>0</v>
      </c>
      <c r="U448" s="2179">
        <f t="shared" si="863"/>
        <v>0</v>
      </c>
      <c r="V448" s="2180">
        <f t="shared" si="839"/>
        <v>0</v>
      </c>
      <c r="W448" s="2187">
        <f t="shared" si="864"/>
        <v>0</v>
      </c>
      <c r="X448" s="2179">
        <f t="shared" si="864"/>
        <v>0</v>
      </c>
      <c r="Y448" s="2183">
        <f t="shared" si="865"/>
        <v>0</v>
      </c>
      <c r="Z448" s="2184">
        <f t="shared" si="866"/>
        <v>0</v>
      </c>
      <c r="AA448" s="2179">
        <f t="shared" si="866"/>
        <v>0</v>
      </c>
      <c r="AB448" s="2178">
        <f t="shared" si="840"/>
        <v>0</v>
      </c>
      <c r="AC448" s="2179">
        <f t="shared" si="867"/>
        <v>0</v>
      </c>
      <c r="AD448" s="2179">
        <f t="shared" si="867"/>
        <v>0</v>
      </c>
      <c r="AE448" s="2180">
        <f t="shared" si="868"/>
        <v>0</v>
      </c>
      <c r="AF448" s="2185"/>
      <c r="AG448" s="2114"/>
      <c r="AH448" s="2188">
        <f t="shared" si="869"/>
        <v>439.46539761999998</v>
      </c>
      <c r="AI448" s="2188">
        <f t="shared" si="869"/>
        <v>0</v>
      </c>
      <c r="AJ448" s="2186">
        <f t="shared" si="870"/>
        <v>-439.46539761999998</v>
      </c>
      <c r="AK448" s="2188">
        <f t="shared" si="871"/>
        <v>0</v>
      </c>
      <c r="AL448" s="2188">
        <f t="shared" si="871"/>
        <v>0</v>
      </c>
      <c r="AM448" s="2186">
        <f t="shared" si="872"/>
        <v>0</v>
      </c>
      <c r="AN448" s="2188">
        <f t="shared" si="873"/>
        <v>0</v>
      </c>
      <c r="AO448" s="2188">
        <f t="shared" si="873"/>
        <v>0</v>
      </c>
      <c r="AP448" s="2186">
        <f t="shared" si="874"/>
        <v>0</v>
      </c>
      <c r="AQ448" s="2188">
        <f t="shared" si="875"/>
        <v>0</v>
      </c>
      <c r="AR448" s="2188">
        <f t="shared" si="875"/>
        <v>0</v>
      </c>
      <c r="AS448" s="2186">
        <f t="shared" si="876"/>
        <v>0</v>
      </c>
      <c r="AT448" s="2188">
        <f t="shared" si="877"/>
        <v>0</v>
      </c>
      <c r="AU448" s="2188">
        <f t="shared" si="877"/>
        <v>0</v>
      </c>
      <c r="AV448" s="2186">
        <f t="shared" si="878"/>
        <v>0</v>
      </c>
      <c r="AW448" s="2188">
        <f t="shared" si="879"/>
        <v>0</v>
      </c>
      <c r="AX448" s="2188">
        <f t="shared" si="879"/>
        <v>0</v>
      </c>
      <c r="AY448" s="2186">
        <f t="shared" si="880"/>
        <v>0</v>
      </c>
      <c r="AZ448" s="2188">
        <f t="shared" si="881"/>
        <v>0</v>
      </c>
      <c r="BA448" s="2188">
        <f t="shared" si="881"/>
        <v>0</v>
      </c>
      <c r="BB448" s="2186">
        <f t="shared" si="882"/>
        <v>0</v>
      </c>
      <c r="BC448" s="2188">
        <f t="shared" si="883"/>
        <v>0</v>
      </c>
      <c r="BD448" s="2188">
        <f t="shared" si="883"/>
        <v>0</v>
      </c>
      <c r="BE448" s="2186">
        <f t="shared" si="884"/>
        <v>0</v>
      </c>
      <c r="BF448" s="2188">
        <f t="shared" si="885"/>
        <v>0</v>
      </c>
      <c r="BG448" s="2188">
        <f t="shared" si="885"/>
        <v>0</v>
      </c>
      <c r="BH448" s="2186">
        <f t="shared" si="886"/>
        <v>0</v>
      </c>
      <c r="BI448" s="2188">
        <f t="shared" si="887"/>
        <v>0</v>
      </c>
      <c r="BJ448" s="2188">
        <f t="shared" si="887"/>
        <v>0</v>
      </c>
      <c r="BK448" s="2186">
        <f t="shared" si="888"/>
        <v>0</v>
      </c>
      <c r="BL448" s="2188">
        <f t="shared" si="889"/>
        <v>0</v>
      </c>
      <c r="BM448" s="2188">
        <f t="shared" si="889"/>
        <v>0</v>
      </c>
      <c r="BN448" s="2186">
        <f t="shared" si="890"/>
        <v>0</v>
      </c>
      <c r="BO448" s="2188">
        <f t="shared" si="891"/>
        <v>0</v>
      </c>
      <c r="BP448" s="2188">
        <f t="shared" si="891"/>
        <v>0</v>
      </c>
      <c r="BQ448" s="2186">
        <f t="shared" si="892"/>
        <v>0</v>
      </c>
    </row>
    <row r="449" spans="3:69" s="2087" customFormat="1">
      <c r="C449" s="2194" t="s">
        <v>2603</v>
      </c>
      <c r="D449" s="2283" t="s">
        <v>2227</v>
      </c>
      <c r="E449" s="2284" t="s">
        <v>1833</v>
      </c>
      <c r="F449" s="2176"/>
      <c r="G449" s="2252">
        <f t="shared" si="893"/>
        <v>0</v>
      </c>
      <c r="H449" s="2252">
        <f t="shared" si="893"/>
        <v>0</v>
      </c>
      <c r="I449" s="2178">
        <f t="shared" si="841"/>
        <v>0</v>
      </c>
      <c r="J449" s="2176"/>
      <c r="K449" s="2179">
        <f t="shared" si="837"/>
        <v>0</v>
      </c>
      <c r="L449" s="2179">
        <f t="shared" si="834"/>
        <v>0</v>
      </c>
      <c r="M449" s="2178">
        <f t="shared" si="838"/>
        <v>0</v>
      </c>
      <c r="N449" s="2179">
        <f t="shared" si="859"/>
        <v>0</v>
      </c>
      <c r="O449" s="2179">
        <f t="shared" si="859"/>
        <v>0</v>
      </c>
      <c r="P449" s="2178">
        <f t="shared" si="860"/>
        <v>0</v>
      </c>
      <c r="Q449" s="2179">
        <f t="shared" si="861"/>
        <v>0</v>
      </c>
      <c r="R449" s="2179">
        <f t="shared" si="861"/>
        <v>0</v>
      </c>
      <c r="S449" s="2180">
        <f t="shared" si="862"/>
        <v>0</v>
      </c>
      <c r="T449" s="2181">
        <f t="shared" si="863"/>
        <v>0</v>
      </c>
      <c r="U449" s="2179">
        <f t="shared" si="863"/>
        <v>0</v>
      </c>
      <c r="V449" s="2180">
        <f t="shared" si="839"/>
        <v>0</v>
      </c>
      <c r="W449" s="2187">
        <f t="shared" si="864"/>
        <v>0</v>
      </c>
      <c r="X449" s="2179">
        <f t="shared" si="864"/>
        <v>0</v>
      </c>
      <c r="Y449" s="2183">
        <f t="shared" si="865"/>
        <v>0</v>
      </c>
      <c r="Z449" s="2184">
        <f t="shared" si="866"/>
        <v>0</v>
      </c>
      <c r="AA449" s="2179">
        <f t="shared" si="866"/>
        <v>0</v>
      </c>
      <c r="AB449" s="2178">
        <f t="shared" si="840"/>
        <v>0</v>
      </c>
      <c r="AC449" s="2179">
        <f t="shared" si="867"/>
        <v>0</v>
      </c>
      <c r="AD449" s="2179">
        <f t="shared" si="867"/>
        <v>0</v>
      </c>
      <c r="AE449" s="2180">
        <f t="shared" si="868"/>
        <v>0</v>
      </c>
      <c r="AF449" s="2185"/>
      <c r="AG449" s="2114"/>
      <c r="AH449" s="2188">
        <f t="shared" si="869"/>
        <v>6725.1389651599993</v>
      </c>
      <c r="AI449" s="2188">
        <f t="shared" si="869"/>
        <v>0</v>
      </c>
      <c r="AJ449" s="2186">
        <f t="shared" si="870"/>
        <v>-6725.1389651599993</v>
      </c>
      <c r="AK449" s="2188">
        <f t="shared" si="871"/>
        <v>0</v>
      </c>
      <c r="AL449" s="2188">
        <f t="shared" si="871"/>
        <v>0</v>
      </c>
      <c r="AM449" s="2186">
        <f t="shared" si="872"/>
        <v>0</v>
      </c>
      <c r="AN449" s="2188">
        <f t="shared" si="873"/>
        <v>0</v>
      </c>
      <c r="AO449" s="2188">
        <f t="shared" si="873"/>
        <v>0</v>
      </c>
      <c r="AP449" s="2186">
        <f t="shared" si="874"/>
        <v>0</v>
      </c>
      <c r="AQ449" s="2188">
        <f t="shared" si="875"/>
        <v>0</v>
      </c>
      <c r="AR449" s="2188">
        <f t="shared" si="875"/>
        <v>0</v>
      </c>
      <c r="AS449" s="2186">
        <f t="shared" si="876"/>
        <v>0</v>
      </c>
      <c r="AT449" s="2188">
        <f t="shared" si="877"/>
        <v>0</v>
      </c>
      <c r="AU449" s="2188">
        <f t="shared" si="877"/>
        <v>0</v>
      </c>
      <c r="AV449" s="2186">
        <f t="shared" si="878"/>
        <v>0</v>
      </c>
      <c r="AW449" s="2188">
        <f t="shared" si="879"/>
        <v>0</v>
      </c>
      <c r="AX449" s="2188">
        <f t="shared" si="879"/>
        <v>0</v>
      </c>
      <c r="AY449" s="2186">
        <f t="shared" si="880"/>
        <v>0</v>
      </c>
      <c r="AZ449" s="2188">
        <f t="shared" si="881"/>
        <v>0</v>
      </c>
      <c r="BA449" s="2188">
        <f t="shared" si="881"/>
        <v>0</v>
      </c>
      <c r="BB449" s="2186">
        <f t="shared" si="882"/>
        <v>0</v>
      </c>
      <c r="BC449" s="2188">
        <f t="shared" si="883"/>
        <v>0</v>
      </c>
      <c r="BD449" s="2188">
        <f t="shared" si="883"/>
        <v>0</v>
      </c>
      <c r="BE449" s="2186">
        <f t="shared" si="884"/>
        <v>0</v>
      </c>
      <c r="BF449" s="2188">
        <f t="shared" si="885"/>
        <v>0</v>
      </c>
      <c r="BG449" s="2188">
        <f t="shared" si="885"/>
        <v>0</v>
      </c>
      <c r="BH449" s="2186">
        <f t="shared" si="886"/>
        <v>0</v>
      </c>
      <c r="BI449" s="2188">
        <f t="shared" si="887"/>
        <v>0</v>
      </c>
      <c r="BJ449" s="2188">
        <f t="shared" si="887"/>
        <v>0</v>
      </c>
      <c r="BK449" s="2186">
        <f t="shared" si="888"/>
        <v>0</v>
      </c>
      <c r="BL449" s="2188">
        <f t="shared" si="889"/>
        <v>0</v>
      </c>
      <c r="BM449" s="2188">
        <f t="shared" si="889"/>
        <v>0</v>
      </c>
      <c r="BN449" s="2186">
        <f t="shared" si="890"/>
        <v>0</v>
      </c>
      <c r="BO449" s="2188">
        <f t="shared" si="891"/>
        <v>0</v>
      </c>
      <c r="BP449" s="2188">
        <f t="shared" si="891"/>
        <v>0</v>
      </c>
      <c r="BQ449" s="2186">
        <f t="shared" si="892"/>
        <v>0</v>
      </c>
    </row>
    <row r="450" spans="3:69" s="2087" customFormat="1">
      <c r="C450" s="2194" t="s">
        <v>2604</v>
      </c>
      <c r="D450" s="2283" t="s">
        <v>2229</v>
      </c>
      <c r="E450" s="2284" t="s">
        <v>1833</v>
      </c>
      <c r="F450" s="2176"/>
      <c r="G450" s="2252">
        <f t="shared" si="893"/>
        <v>0</v>
      </c>
      <c r="H450" s="2252">
        <f t="shared" si="893"/>
        <v>0</v>
      </c>
      <c r="I450" s="2178">
        <f t="shared" si="841"/>
        <v>0</v>
      </c>
      <c r="J450" s="2176"/>
      <c r="K450" s="2179">
        <f>N450+Q450+W450+AC450</f>
        <v>0</v>
      </c>
      <c r="L450" s="2179">
        <f>O450+R450+X450+AD450</f>
        <v>0</v>
      </c>
      <c r="M450" s="2178">
        <f>L450-K450</f>
        <v>0</v>
      </c>
      <c r="N450" s="2179">
        <f t="shared" si="859"/>
        <v>0</v>
      </c>
      <c r="O450" s="2179">
        <f t="shared" si="859"/>
        <v>0</v>
      </c>
      <c r="P450" s="2178">
        <f>O450-N450</f>
        <v>0</v>
      </c>
      <c r="Q450" s="2179">
        <f t="shared" si="861"/>
        <v>0</v>
      </c>
      <c r="R450" s="2179">
        <f t="shared" si="861"/>
        <v>0</v>
      </c>
      <c r="S450" s="2178">
        <f>R450-Q450</f>
        <v>0</v>
      </c>
      <c r="T450" s="2181">
        <f>N450+Q450</f>
        <v>0</v>
      </c>
      <c r="U450" s="2179">
        <f>O450+R450</f>
        <v>0</v>
      </c>
      <c r="V450" s="2180">
        <f>U450-T450</f>
        <v>0</v>
      </c>
      <c r="W450" s="2187">
        <f t="shared" si="864"/>
        <v>0</v>
      </c>
      <c r="X450" s="2179">
        <f t="shared" si="864"/>
        <v>0</v>
      </c>
      <c r="Y450" s="2183">
        <f>X450-W450</f>
        <v>0</v>
      </c>
      <c r="Z450" s="2184">
        <f>T450+W450</f>
        <v>0</v>
      </c>
      <c r="AA450" s="2179">
        <f>U450+X450</f>
        <v>0</v>
      </c>
      <c r="AB450" s="2178">
        <f>AA450-Z450</f>
        <v>0</v>
      </c>
      <c r="AC450" s="2179">
        <f t="shared" si="867"/>
        <v>0</v>
      </c>
      <c r="AD450" s="2179">
        <f t="shared" si="867"/>
        <v>0</v>
      </c>
      <c r="AE450" s="2178">
        <f>AD450-AC450</f>
        <v>0</v>
      </c>
      <c r="AF450" s="2185"/>
      <c r="AG450" s="2114"/>
      <c r="AH450" s="2188">
        <f t="shared" si="869"/>
        <v>0</v>
      </c>
      <c r="AI450" s="2188">
        <f t="shared" si="869"/>
        <v>0</v>
      </c>
      <c r="AJ450" s="2186">
        <f>AI450-AH450</f>
        <v>0</v>
      </c>
      <c r="AK450" s="2188">
        <f t="shared" si="871"/>
        <v>0</v>
      </c>
      <c r="AL450" s="2188">
        <f t="shared" si="871"/>
        <v>0</v>
      </c>
      <c r="AM450" s="2186">
        <f>AL450-AK450</f>
        <v>0</v>
      </c>
      <c r="AN450" s="2188">
        <f t="shared" si="873"/>
        <v>0</v>
      </c>
      <c r="AO450" s="2188">
        <f t="shared" si="873"/>
        <v>0</v>
      </c>
      <c r="AP450" s="2186">
        <f>AO450-AN450</f>
        <v>0</v>
      </c>
      <c r="AQ450" s="2188">
        <f t="shared" si="875"/>
        <v>0</v>
      </c>
      <c r="AR450" s="2188">
        <f t="shared" si="875"/>
        <v>0</v>
      </c>
      <c r="AS450" s="2186">
        <f>AR450-AQ450</f>
        <v>0</v>
      </c>
      <c r="AT450" s="2188">
        <f t="shared" si="877"/>
        <v>0</v>
      </c>
      <c r="AU450" s="2188">
        <f t="shared" si="877"/>
        <v>0</v>
      </c>
      <c r="AV450" s="2186">
        <f>AU450-AT450</f>
        <v>0</v>
      </c>
      <c r="AW450" s="2188">
        <f t="shared" si="879"/>
        <v>0</v>
      </c>
      <c r="AX450" s="2188">
        <f t="shared" si="879"/>
        <v>0</v>
      </c>
      <c r="AY450" s="2186">
        <f>AX450-AW450</f>
        <v>0</v>
      </c>
      <c r="AZ450" s="2188">
        <f t="shared" si="881"/>
        <v>0</v>
      </c>
      <c r="BA450" s="2188">
        <f t="shared" si="881"/>
        <v>0</v>
      </c>
      <c r="BB450" s="2186">
        <f>BA450-AZ450</f>
        <v>0</v>
      </c>
      <c r="BC450" s="2188">
        <f t="shared" si="883"/>
        <v>0</v>
      </c>
      <c r="BD450" s="2188">
        <f t="shared" si="883"/>
        <v>0</v>
      </c>
      <c r="BE450" s="2186">
        <f>BD450-BC450</f>
        <v>0</v>
      </c>
      <c r="BF450" s="2188">
        <f t="shared" si="885"/>
        <v>0</v>
      </c>
      <c r="BG450" s="2188">
        <f t="shared" si="885"/>
        <v>0</v>
      </c>
      <c r="BH450" s="2186">
        <f>BG450-BF450</f>
        <v>0</v>
      </c>
      <c r="BI450" s="2188">
        <f t="shared" si="887"/>
        <v>0</v>
      </c>
      <c r="BJ450" s="2188">
        <f t="shared" si="887"/>
        <v>0</v>
      </c>
      <c r="BK450" s="2186">
        <f>BJ450-BI450</f>
        <v>0</v>
      </c>
      <c r="BL450" s="2188">
        <f t="shared" si="889"/>
        <v>0</v>
      </c>
      <c r="BM450" s="2188">
        <f t="shared" si="889"/>
        <v>0</v>
      </c>
      <c r="BN450" s="2186">
        <f>BM450-BL450</f>
        <v>0</v>
      </c>
      <c r="BO450" s="2188">
        <f t="shared" si="891"/>
        <v>0</v>
      </c>
      <c r="BP450" s="2188">
        <f t="shared" si="891"/>
        <v>0</v>
      </c>
      <c r="BQ450" s="2186">
        <f>BP450-BO450</f>
        <v>0</v>
      </c>
    </row>
    <row r="451" spans="3:69" s="2279" customFormat="1">
      <c r="C451" s="2285" t="s">
        <v>2605</v>
      </c>
      <c r="D451" s="2286" t="s">
        <v>2606</v>
      </c>
      <c r="E451" s="2284" t="s">
        <v>1833</v>
      </c>
      <c r="F451" s="2176"/>
      <c r="G451" s="2252">
        <f t="shared" si="893"/>
        <v>0</v>
      </c>
      <c r="H451" s="2252">
        <f t="shared" si="893"/>
        <v>0</v>
      </c>
      <c r="I451" s="2178">
        <f t="shared" si="841"/>
        <v>0</v>
      </c>
      <c r="J451" s="2176"/>
      <c r="K451" s="2179">
        <f t="shared" si="837"/>
        <v>0</v>
      </c>
      <c r="L451" s="2179">
        <f t="shared" si="834"/>
        <v>0</v>
      </c>
      <c r="M451" s="2178">
        <f t="shared" si="838"/>
        <v>0</v>
      </c>
      <c r="N451" s="2179">
        <f>N486+N519+N585+N552+N618</f>
        <v>0</v>
      </c>
      <c r="O451" s="2179">
        <f t="shared" si="859"/>
        <v>0</v>
      </c>
      <c r="P451" s="2178">
        <f t="shared" si="860"/>
        <v>0</v>
      </c>
      <c r="Q451" s="2179">
        <f t="shared" si="861"/>
        <v>0</v>
      </c>
      <c r="R451" s="2179">
        <f t="shared" si="861"/>
        <v>0</v>
      </c>
      <c r="S451" s="2180">
        <f t="shared" si="862"/>
        <v>0</v>
      </c>
      <c r="T451" s="2181">
        <f t="shared" si="863"/>
        <v>0</v>
      </c>
      <c r="U451" s="2179">
        <f t="shared" si="863"/>
        <v>0</v>
      </c>
      <c r="V451" s="2180">
        <f t="shared" si="839"/>
        <v>0</v>
      </c>
      <c r="W451" s="2187">
        <f t="shared" si="864"/>
        <v>0</v>
      </c>
      <c r="X451" s="2179">
        <f t="shared" si="864"/>
        <v>0</v>
      </c>
      <c r="Y451" s="2183">
        <f t="shared" si="865"/>
        <v>0</v>
      </c>
      <c r="Z451" s="2184">
        <f t="shared" si="866"/>
        <v>0</v>
      </c>
      <c r="AA451" s="2179">
        <f t="shared" si="866"/>
        <v>0</v>
      </c>
      <c r="AB451" s="2178">
        <f t="shared" si="840"/>
        <v>0</v>
      </c>
      <c r="AC451" s="2179">
        <f t="shared" si="867"/>
        <v>0</v>
      </c>
      <c r="AD451" s="2179">
        <f t="shared" si="867"/>
        <v>0</v>
      </c>
      <c r="AE451" s="2180">
        <f t="shared" si="868"/>
        <v>0</v>
      </c>
      <c r="AF451" s="2277"/>
      <c r="AG451" s="2278"/>
      <c r="AH451" s="2188">
        <f>AH486+AH519+AH585+AH552+AH618</f>
        <v>2526.9148897301507</v>
      </c>
      <c r="AI451" s="2188">
        <f t="shared" si="869"/>
        <v>0</v>
      </c>
      <c r="AJ451" s="2186">
        <f t="shared" ref="AJ451:AJ455" si="894">AI451-AH451</f>
        <v>-2526.9148897301507</v>
      </c>
      <c r="AK451" s="2188">
        <f>AK486+AK519+AK585+AK552+AK618</f>
        <v>0</v>
      </c>
      <c r="AL451" s="2188">
        <f t="shared" si="871"/>
        <v>0</v>
      </c>
      <c r="AM451" s="2186">
        <f t="shared" ref="AM451:AM455" si="895">AL451-AK451</f>
        <v>0</v>
      </c>
      <c r="AN451" s="2188">
        <f>AN486+AN519+AN585+AN552+AN618</f>
        <v>0</v>
      </c>
      <c r="AO451" s="2188">
        <f t="shared" si="873"/>
        <v>0</v>
      </c>
      <c r="AP451" s="2186">
        <f t="shared" ref="AP451:AP455" si="896">AO451-AN451</f>
        <v>0</v>
      </c>
      <c r="AQ451" s="2188">
        <f>AQ486+AQ519+AQ585+AQ552+AQ618</f>
        <v>0</v>
      </c>
      <c r="AR451" s="2188">
        <f t="shared" si="875"/>
        <v>0</v>
      </c>
      <c r="AS451" s="2186">
        <f t="shared" ref="AS451:AS455" si="897">AR451-AQ451</f>
        <v>0</v>
      </c>
      <c r="AT451" s="2188">
        <f>AT486+AT519+AT585+AT552+AT618</f>
        <v>0</v>
      </c>
      <c r="AU451" s="2188">
        <f t="shared" si="877"/>
        <v>0</v>
      </c>
      <c r="AV451" s="2186">
        <f t="shared" ref="AV451:AV455" si="898">AU451-AT451</f>
        <v>0</v>
      </c>
      <c r="AW451" s="2188">
        <f>AW486+AW519+AW585+AW552+AW618</f>
        <v>0</v>
      </c>
      <c r="AX451" s="2188">
        <f t="shared" si="879"/>
        <v>0</v>
      </c>
      <c r="AY451" s="2186">
        <f t="shared" ref="AY451:AY455" si="899">AX451-AW451</f>
        <v>0</v>
      </c>
      <c r="AZ451" s="2188">
        <f>AZ486+AZ519+AZ585+AZ552+AZ618</f>
        <v>0</v>
      </c>
      <c r="BA451" s="2188">
        <f t="shared" si="881"/>
        <v>0</v>
      </c>
      <c r="BB451" s="2186">
        <f t="shared" ref="BB451:BB455" si="900">BA451-AZ451</f>
        <v>0</v>
      </c>
      <c r="BC451" s="2188">
        <f>BC486+BC519+BC585+BC552+BC618</f>
        <v>0</v>
      </c>
      <c r="BD451" s="2188">
        <f t="shared" si="883"/>
        <v>0</v>
      </c>
      <c r="BE451" s="2186">
        <f t="shared" ref="BE451:BE455" si="901">BD451-BC451</f>
        <v>0</v>
      </c>
      <c r="BF451" s="2188">
        <f>BF486+BF519+BF585+BF552+BF618</f>
        <v>0</v>
      </c>
      <c r="BG451" s="2188">
        <f t="shared" si="885"/>
        <v>0</v>
      </c>
      <c r="BH451" s="2186">
        <f t="shared" ref="BH451:BH455" si="902">BG451-BF451</f>
        <v>0</v>
      </c>
      <c r="BI451" s="2188">
        <f>BI486+BI519+BI585+BI552+BI618</f>
        <v>0</v>
      </c>
      <c r="BJ451" s="2188">
        <f t="shared" si="887"/>
        <v>0</v>
      </c>
      <c r="BK451" s="2186">
        <f t="shared" ref="BK451:BK455" si="903">BJ451-BI451</f>
        <v>0</v>
      </c>
      <c r="BL451" s="2188">
        <f>BL486+BL519+BL585+BL552+BL618</f>
        <v>0</v>
      </c>
      <c r="BM451" s="2188">
        <f t="shared" si="889"/>
        <v>0</v>
      </c>
      <c r="BN451" s="2186">
        <f t="shared" ref="BN451:BN455" si="904">BM451-BL451</f>
        <v>0</v>
      </c>
      <c r="BO451" s="2188">
        <f>BO486+BO519+BO585+BO552+BO618</f>
        <v>0</v>
      </c>
      <c r="BP451" s="2188">
        <f t="shared" si="891"/>
        <v>0</v>
      </c>
      <c r="BQ451" s="2186">
        <f t="shared" ref="BQ451:BQ455" si="905">BP451-BO451</f>
        <v>0</v>
      </c>
    </row>
    <row r="452" spans="3:69" s="2279" customFormat="1">
      <c r="C452" s="2194" t="s">
        <v>2607</v>
      </c>
      <c r="D452" s="2283" t="s">
        <v>2221</v>
      </c>
      <c r="E452" s="2284" t="s">
        <v>1833</v>
      </c>
      <c r="F452" s="2176"/>
      <c r="G452" s="2252">
        <f t="shared" si="893"/>
        <v>0</v>
      </c>
      <c r="H452" s="2252">
        <f t="shared" si="893"/>
        <v>0</v>
      </c>
      <c r="I452" s="2178">
        <f t="shared" si="841"/>
        <v>0</v>
      </c>
      <c r="J452" s="2176"/>
      <c r="K452" s="2179">
        <f t="shared" si="837"/>
        <v>0</v>
      </c>
      <c r="L452" s="2179">
        <f t="shared" si="834"/>
        <v>0</v>
      </c>
      <c r="M452" s="2178">
        <f t="shared" si="838"/>
        <v>0</v>
      </c>
      <c r="N452" s="2179">
        <f>N487+N520+N586+N553+N619</f>
        <v>0</v>
      </c>
      <c r="O452" s="2179">
        <f t="shared" si="859"/>
        <v>0</v>
      </c>
      <c r="P452" s="2178">
        <f t="shared" si="860"/>
        <v>0</v>
      </c>
      <c r="Q452" s="2179">
        <f t="shared" si="861"/>
        <v>0</v>
      </c>
      <c r="R452" s="2179">
        <f t="shared" si="861"/>
        <v>0</v>
      </c>
      <c r="S452" s="2180">
        <f t="shared" si="862"/>
        <v>0</v>
      </c>
      <c r="T452" s="2181">
        <f t="shared" si="863"/>
        <v>0</v>
      </c>
      <c r="U452" s="2179">
        <f t="shared" si="863"/>
        <v>0</v>
      </c>
      <c r="V452" s="2180">
        <f t="shared" si="839"/>
        <v>0</v>
      </c>
      <c r="W452" s="2187">
        <f t="shared" si="864"/>
        <v>0</v>
      </c>
      <c r="X452" s="2179">
        <f t="shared" si="864"/>
        <v>0</v>
      </c>
      <c r="Y452" s="2183">
        <f t="shared" si="865"/>
        <v>0</v>
      </c>
      <c r="Z452" s="2184">
        <f t="shared" si="866"/>
        <v>0</v>
      </c>
      <c r="AA452" s="2179">
        <f t="shared" si="866"/>
        <v>0</v>
      </c>
      <c r="AB452" s="2178">
        <f t="shared" si="840"/>
        <v>0</v>
      </c>
      <c r="AC452" s="2179">
        <f t="shared" si="867"/>
        <v>0</v>
      </c>
      <c r="AD452" s="2179">
        <f t="shared" si="867"/>
        <v>0</v>
      </c>
      <c r="AE452" s="2180">
        <f t="shared" si="868"/>
        <v>0</v>
      </c>
      <c r="AF452" s="2277"/>
      <c r="AG452" s="2278"/>
      <c r="AH452" s="2188">
        <f>AH487+AH520+AH586+AH553+AH619</f>
        <v>0</v>
      </c>
      <c r="AI452" s="2188">
        <f t="shared" si="869"/>
        <v>0</v>
      </c>
      <c r="AJ452" s="2186">
        <f t="shared" si="894"/>
        <v>0</v>
      </c>
      <c r="AK452" s="2188">
        <f>AK487+AK520+AK586+AK553+AK619</f>
        <v>0</v>
      </c>
      <c r="AL452" s="2188">
        <f t="shared" si="871"/>
        <v>0</v>
      </c>
      <c r="AM452" s="2186">
        <f t="shared" si="895"/>
        <v>0</v>
      </c>
      <c r="AN452" s="2188">
        <f>AN487+AN520+AN586+AN553+AN619</f>
        <v>0</v>
      </c>
      <c r="AO452" s="2188">
        <f t="shared" si="873"/>
        <v>0</v>
      </c>
      <c r="AP452" s="2186">
        <f t="shared" si="896"/>
        <v>0</v>
      </c>
      <c r="AQ452" s="2188">
        <f>AQ487+AQ520+AQ586+AQ553+AQ619</f>
        <v>0</v>
      </c>
      <c r="AR452" s="2188">
        <f t="shared" si="875"/>
        <v>0</v>
      </c>
      <c r="AS452" s="2186">
        <f t="shared" si="897"/>
        <v>0</v>
      </c>
      <c r="AT452" s="2188">
        <f>AT487+AT520+AT586+AT553+AT619</f>
        <v>0</v>
      </c>
      <c r="AU452" s="2188">
        <f t="shared" si="877"/>
        <v>0</v>
      </c>
      <c r="AV452" s="2186">
        <f t="shared" si="898"/>
        <v>0</v>
      </c>
      <c r="AW452" s="2188">
        <f>AW487+AW520+AW586+AW553+AW619</f>
        <v>0</v>
      </c>
      <c r="AX452" s="2188">
        <f t="shared" si="879"/>
        <v>0</v>
      </c>
      <c r="AY452" s="2186">
        <f t="shared" si="899"/>
        <v>0</v>
      </c>
      <c r="AZ452" s="2188">
        <f>AZ487+AZ520+AZ586+AZ553+AZ619</f>
        <v>0</v>
      </c>
      <c r="BA452" s="2188">
        <f t="shared" si="881"/>
        <v>0</v>
      </c>
      <c r="BB452" s="2186">
        <f t="shared" si="900"/>
        <v>0</v>
      </c>
      <c r="BC452" s="2188">
        <f>BC487+BC520+BC586+BC553+BC619</f>
        <v>0</v>
      </c>
      <c r="BD452" s="2188">
        <f t="shared" si="883"/>
        <v>0</v>
      </c>
      <c r="BE452" s="2186">
        <f t="shared" si="901"/>
        <v>0</v>
      </c>
      <c r="BF452" s="2188">
        <f>BF487+BF520+BF586+BF553+BF619</f>
        <v>0</v>
      </c>
      <c r="BG452" s="2188">
        <f t="shared" si="885"/>
        <v>0</v>
      </c>
      <c r="BH452" s="2186">
        <f t="shared" si="902"/>
        <v>0</v>
      </c>
      <c r="BI452" s="2188">
        <f>BI487+BI520+BI586+BI553+BI619</f>
        <v>0</v>
      </c>
      <c r="BJ452" s="2188">
        <f t="shared" si="887"/>
        <v>0</v>
      </c>
      <c r="BK452" s="2186">
        <f t="shared" si="903"/>
        <v>0</v>
      </c>
      <c r="BL452" s="2188">
        <f>BL487+BL520+BL586+BL553+BL619</f>
        <v>0</v>
      </c>
      <c r="BM452" s="2188">
        <f t="shared" si="889"/>
        <v>0</v>
      </c>
      <c r="BN452" s="2186">
        <f t="shared" si="904"/>
        <v>0</v>
      </c>
      <c r="BO452" s="2188">
        <f>BO487+BO520+BO586+BO553+BO619</f>
        <v>0</v>
      </c>
      <c r="BP452" s="2188">
        <f t="shared" si="891"/>
        <v>0</v>
      </c>
      <c r="BQ452" s="2186">
        <f t="shared" si="905"/>
        <v>0</v>
      </c>
    </row>
    <row r="453" spans="3:69" s="2279" customFormat="1">
      <c r="C453" s="2194" t="s">
        <v>2608</v>
      </c>
      <c r="D453" s="2283" t="s">
        <v>2223</v>
      </c>
      <c r="E453" s="2284" t="s">
        <v>1833</v>
      </c>
      <c r="F453" s="2176"/>
      <c r="G453" s="2252">
        <f t="shared" si="893"/>
        <v>0</v>
      </c>
      <c r="H453" s="2252">
        <f t="shared" si="893"/>
        <v>0</v>
      </c>
      <c r="I453" s="2178">
        <f t="shared" si="841"/>
        <v>0</v>
      </c>
      <c r="J453" s="2176"/>
      <c r="K453" s="2179">
        <f t="shared" si="837"/>
        <v>0</v>
      </c>
      <c r="L453" s="2179">
        <f t="shared" si="834"/>
        <v>0</v>
      </c>
      <c r="M453" s="2178">
        <f t="shared" si="838"/>
        <v>0</v>
      </c>
      <c r="N453" s="2179">
        <f>N488+N521+N587+N554+N620</f>
        <v>0</v>
      </c>
      <c r="O453" s="2179">
        <f t="shared" si="859"/>
        <v>0</v>
      </c>
      <c r="P453" s="2178">
        <f t="shared" si="860"/>
        <v>0</v>
      </c>
      <c r="Q453" s="2179">
        <f t="shared" si="861"/>
        <v>0</v>
      </c>
      <c r="R453" s="2179">
        <f t="shared" si="861"/>
        <v>0</v>
      </c>
      <c r="S453" s="2180">
        <f t="shared" si="862"/>
        <v>0</v>
      </c>
      <c r="T453" s="2181">
        <f t="shared" si="863"/>
        <v>0</v>
      </c>
      <c r="U453" s="2179">
        <f t="shared" si="863"/>
        <v>0</v>
      </c>
      <c r="V453" s="2180">
        <f t="shared" si="839"/>
        <v>0</v>
      </c>
      <c r="W453" s="2187">
        <f t="shared" si="864"/>
        <v>0</v>
      </c>
      <c r="X453" s="2179">
        <f t="shared" si="864"/>
        <v>0</v>
      </c>
      <c r="Y453" s="2183">
        <f t="shared" si="865"/>
        <v>0</v>
      </c>
      <c r="Z453" s="2184">
        <f t="shared" si="866"/>
        <v>0</v>
      </c>
      <c r="AA453" s="2179">
        <f t="shared" si="866"/>
        <v>0</v>
      </c>
      <c r="AB453" s="2178">
        <f t="shared" si="840"/>
        <v>0</v>
      </c>
      <c r="AC453" s="2179">
        <f t="shared" si="867"/>
        <v>0</v>
      </c>
      <c r="AD453" s="2179">
        <f t="shared" si="867"/>
        <v>0</v>
      </c>
      <c r="AE453" s="2180">
        <f t="shared" si="868"/>
        <v>0</v>
      </c>
      <c r="AF453" s="2277"/>
      <c r="AG453" s="2278"/>
      <c r="AH453" s="2188">
        <f>AH488+AH521+AH587+AH554+AH620</f>
        <v>0</v>
      </c>
      <c r="AI453" s="2188">
        <f t="shared" si="869"/>
        <v>0</v>
      </c>
      <c r="AJ453" s="2186">
        <f t="shared" si="894"/>
        <v>0</v>
      </c>
      <c r="AK453" s="2188">
        <f>AK488+AK521+AK587+AK554+AK620</f>
        <v>0</v>
      </c>
      <c r="AL453" s="2188">
        <f t="shared" si="871"/>
        <v>0</v>
      </c>
      <c r="AM453" s="2186">
        <f t="shared" si="895"/>
        <v>0</v>
      </c>
      <c r="AN453" s="2188">
        <f>AN488+AN521+AN587+AN554+AN620</f>
        <v>0</v>
      </c>
      <c r="AO453" s="2188">
        <f t="shared" si="873"/>
        <v>0</v>
      </c>
      <c r="AP453" s="2186">
        <f t="shared" si="896"/>
        <v>0</v>
      </c>
      <c r="AQ453" s="2188">
        <f>AQ488+AQ521+AQ587+AQ554+AQ620</f>
        <v>0</v>
      </c>
      <c r="AR453" s="2188">
        <f t="shared" si="875"/>
        <v>0</v>
      </c>
      <c r="AS453" s="2186">
        <f t="shared" si="897"/>
        <v>0</v>
      </c>
      <c r="AT453" s="2188">
        <f>AT488+AT521+AT587+AT554+AT620</f>
        <v>0</v>
      </c>
      <c r="AU453" s="2188">
        <f t="shared" si="877"/>
        <v>0</v>
      </c>
      <c r="AV453" s="2186">
        <f t="shared" si="898"/>
        <v>0</v>
      </c>
      <c r="AW453" s="2188">
        <f>AW488+AW521+AW587+AW554+AW620</f>
        <v>0</v>
      </c>
      <c r="AX453" s="2188">
        <f t="shared" si="879"/>
        <v>0</v>
      </c>
      <c r="AY453" s="2186">
        <f t="shared" si="899"/>
        <v>0</v>
      </c>
      <c r="AZ453" s="2188">
        <f>AZ488+AZ521+AZ587+AZ554+AZ620</f>
        <v>0</v>
      </c>
      <c r="BA453" s="2188">
        <f t="shared" si="881"/>
        <v>0</v>
      </c>
      <c r="BB453" s="2186">
        <f t="shared" si="900"/>
        <v>0</v>
      </c>
      <c r="BC453" s="2188">
        <f>BC488+BC521+BC587+BC554+BC620</f>
        <v>0</v>
      </c>
      <c r="BD453" s="2188">
        <f t="shared" si="883"/>
        <v>0</v>
      </c>
      <c r="BE453" s="2186">
        <f t="shared" si="901"/>
        <v>0</v>
      </c>
      <c r="BF453" s="2188">
        <f>BF488+BF521+BF587+BF554+BF620</f>
        <v>0</v>
      </c>
      <c r="BG453" s="2188">
        <f t="shared" si="885"/>
        <v>0</v>
      </c>
      <c r="BH453" s="2186">
        <f t="shared" si="902"/>
        <v>0</v>
      </c>
      <c r="BI453" s="2188">
        <f>BI488+BI521+BI587+BI554+BI620</f>
        <v>0</v>
      </c>
      <c r="BJ453" s="2188">
        <f t="shared" si="887"/>
        <v>0</v>
      </c>
      <c r="BK453" s="2186">
        <f t="shared" si="903"/>
        <v>0</v>
      </c>
      <c r="BL453" s="2188">
        <f>BL488+BL521+BL587+BL554+BL620</f>
        <v>0</v>
      </c>
      <c r="BM453" s="2188">
        <f t="shared" si="889"/>
        <v>0</v>
      </c>
      <c r="BN453" s="2186">
        <f t="shared" si="904"/>
        <v>0</v>
      </c>
      <c r="BO453" s="2188">
        <f>BO488+BO521+BO587+BO554+BO620</f>
        <v>0</v>
      </c>
      <c r="BP453" s="2188">
        <f t="shared" si="891"/>
        <v>0</v>
      </c>
      <c r="BQ453" s="2186">
        <f t="shared" si="905"/>
        <v>0</v>
      </c>
    </row>
    <row r="454" spans="3:69" s="2279" customFormat="1">
      <c r="C454" s="2194" t="s">
        <v>2609</v>
      </c>
      <c r="D454" s="2283" t="s">
        <v>2225</v>
      </c>
      <c r="E454" s="2284" t="s">
        <v>1833</v>
      </c>
      <c r="F454" s="2176"/>
      <c r="G454" s="2252">
        <f t="shared" si="893"/>
        <v>0</v>
      </c>
      <c r="H454" s="2252">
        <f t="shared" si="893"/>
        <v>0</v>
      </c>
      <c r="I454" s="2178">
        <f t="shared" si="841"/>
        <v>0</v>
      </c>
      <c r="J454" s="2176"/>
      <c r="K454" s="2179">
        <f t="shared" si="837"/>
        <v>0</v>
      </c>
      <c r="L454" s="2179">
        <f t="shared" si="834"/>
        <v>0</v>
      </c>
      <c r="M454" s="2178">
        <f t="shared" si="838"/>
        <v>0</v>
      </c>
      <c r="N454" s="2179">
        <f>N489+N522+N588+N555+N621</f>
        <v>0</v>
      </c>
      <c r="O454" s="2179">
        <f t="shared" si="859"/>
        <v>0</v>
      </c>
      <c r="P454" s="2178">
        <f t="shared" si="860"/>
        <v>0</v>
      </c>
      <c r="Q454" s="2179">
        <f t="shared" si="861"/>
        <v>0</v>
      </c>
      <c r="R454" s="2179">
        <f t="shared" si="861"/>
        <v>0</v>
      </c>
      <c r="S454" s="2180">
        <f t="shared" si="862"/>
        <v>0</v>
      </c>
      <c r="T454" s="2181">
        <f t="shared" si="863"/>
        <v>0</v>
      </c>
      <c r="U454" s="2179">
        <f t="shared" si="863"/>
        <v>0</v>
      </c>
      <c r="V454" s="2180">
        <f t="shared" si="839"/>
        <v>0</v>
      </c>
      <c r="W454" s="2187">
        <f t="shared" si="864"/>
        <v>0</v>
      </c>
      <c r="X454" s="2179">
        <f t="shared" si="864"/>
        <v>0</v>
      </c>
      <c r="Y454" s="2183">
        <f t="shared" si="865"/>
        <v>0</v>
      </c>
      <c r="Z454" s="2184">
        <f t="shared" si="866"/>
        <v>0</v>
      </c>
      <c r="AA454" s="2179">
        <f t="shared" si="866"/>
        <v>0</v>
      </c>
      <c r="AB454" s="2178">
        <f t="shared" si="840"/>
        <v>0</v>
      </c>
      <c r="AC454" s="2179">
        <f t="shared" si="867"/>
        <v>0</v>
      </c>
      <c r="AD454" s="2179">
        <f t="shared" si="867"/>
        <v>0</v>
      </c>
      <c r="AE454" s="2180">
        <f t="shared" si="868"/>
        <v>0</v>
      </c>
      <c r="AF454" s="2277"/>
      <c r="AG454" s="2278"/>
      <c r="AH454" s="2188">
        <f>AH489+AH522+AH588+AH555+AH621</f>
        <v>3.4111980149999999E-2</v>
      </c>
      <c r="AI454" s="2188">
        <f t="shared" si="869"/>
        <v>0</v>
      </c>
      <c r="AJ454" s="2186">
        <f t="shared" si="894"/>
        <v>-3.4111980149999999E-2</v>
      </c>
      <c r="AK454" s="2188">
        <f>AK489+AK522+AK588+AK555+AK621</f>
        <v>0</v>
      </c>
      <c r="AL454" s="2188">
        <f t="shared" si="871"/>
        <v>0</v>
      </c>
      <c r="AM454" s="2186">
        <f t="shared" si="895"/>
        <v>0</v>
      </c>
      <c r="AN454" s="2188">
        <f>AN489+AN522+AN588+AN555+AN621</f>
        <v>0</v>
      </c>
      <c r="AO454" s="2188">
        <f t="shared" si="873"/>
        <v>0</v>
      </c>
      <c r="AP454" s="2186">
        <f t="shared" si="896"/>
        <v>0</v>
      </c>
      <c r="AQ454" s="2188">
        <f>AQ489+AQ522+AQ588+AQ555+AQ621</f>
        <v>0</v>
      </c>
      <c r="AR454" s="2188">
        <f t="shared" si="875"/>
        <v>0</v>
      </c>
      <c r="AS454" s="2186">
        <f t="shared" si="897"/>
        <v>0</v>
      </c>
      <c r="AT454" s="2188">
        <f>AT489+AT522+AT588+AT555+AT621</f>
        <v>0</v>
      </c>
      <c r="AU454" s="2188">
        <f t="shared" si="877"/>
        <v>0</v>
      </c>
      <c r="AV454" s="2186">
        <f t="shared" si="898"/>
        <v>0</v>
      </c>
      <c r="AW454" s="2188">
        <f>AW489+AW522+AW588+AW555+AW621</f>
        <v>0</v>
      </c>
      <c r="AX454" s="2188">
        <f t="shared" si="879"/>
        <v>0</v>
      </c>
      <c r="AY454" s="2186">
        <f t="shared" si="899"/>
        <v>0</v>
      </c>
      <c r="AZ454" s="2188">
        <f>AZ489+AZ522+AZ588+AZ555+AZ621</f>
        <v>0</v>
      </c>
      <c r="BA454" s="2188">
        <f t="shared" si="881"/>
        <v>0</v>
      </c>
      <c r="BB454" s="2186">
        <f t="shared" si="900"/>
        <v>0</v>
      </c>
      <c r="BC454" s="2188">
        <f>BC489+BC522+BC588+BC555+BC621</f>
        <v>0</v>
      </c>
      <c r="BD454" s="2188">
        <f t="shared" si="883"/>
        <v>0</v>
      </c>
      <c r="BE454" s="2186">
        <f t="shared" si="901"/>
        <v>0</v>
      </c>
      <c r="BF454" s="2188">
        <f>BF489+BF522+BF588+BF555+BF621</f>
        <v>0</v>
      </c>
      <c r="BG454" s="2188">
        <f t="shared" si="885"/>
        <v>0</v>
      </c>
      <c r="BH454" s="2186">
        <f t="shared" si="902"/>
        <v>0</v>
      </c>
      <c r="BI454" s="2188">
        <f>BI489+BI522+BI588+BI555+BI621</f>
        <v>0</v>
      </c>
      <c r="BJ454" s="2188">
        <f t="shared" si="887"/>
        <v>0</v>
      </c>
      <c r="BK454" s="2186">
        <f t="shared" si="903"/>
        <v>0</v>
      </c>
      <c r="BL454" s="2188">
        <f>BL489+BL522+BL588+BL555+BL621</f>
        <v>0</v>
      </c>
      <c r="BM454" s="2188">
        <f t="shared" si="889"/>
        <v>0</v>
      </c>
      <c r="BN454" s="2186">
        <f t="shared" si="904"/>
        <v>0</v>
      </c>
      <c r="BO454" s="2188">
        <f>BO489+BO522+BO588+BO555+BO621</f>
        <v>0</v>
      </c>
      <c r="BP454" s="2188">
        <f t="shared" si="891"/>
        <v>0</v>
      </c>
      <c r="BQ454" s="2186">
        <f t="shared" si="905"/>
        <v>0</v>
      </c>
    </row>
    <row r="455" spans="3:69" s="2279" customFormat="1">
      <c r="C455" s="2194" t="s">
        <v>2610</v>
      </c>
      <c r="D455" s="2283" t="s">
        <v>2227</v>
      </c>
      <c r="E455" s="2284" t="s">
        <v>1833</v>
      </c>
      <c r="F455" s="2176"/>
      <c r="G455" s="2252">
        <f t="shared" si="893"/>
        <v>0</v>
      </c>
      <c r="H455" s="2252">
        <f t="shared" si="893"/>
        <v>0</v>
      </c>
      <c r="I455" s="2178">
        <f t="shared" si="841"/>
        <v>0</v>
      </c>
      <c r="J455" s="2176"/>
      <c r="K455" s="2179">
        <f t="shared" si="837"/>
        <v>0</v>
      </c>
      <c r="L455" s="2179">
        <f t="shared" si="837"/>
        <v>0</v>
      </c>
      <c r="M455" s="2178">
        <f t="shared" si="838"/>
        <v>0</v>
      </c>
      <c r="N455" s="2179">
        <f>N490+N523+N589+N556+N622</f>
        <v>0</v>
      </c>
      <c r="O455" s="2179">
        <f t="shared" si="859"/>
        <v>0</v>
      </c>
      <c r="P455" s="2178">
        <f t="shared" si="860"/>
        <v>0</v>
      </c>
      <c r="Q455" s="2179">
        <f t="shared" si="861"/>
        <v>0</v>
      </c>
      <c r="R455" s="2179">
        <f t="shared" si="861"/>
        <v>0</v>
      </c>
      <c r="S455" s="2180">
        <f t="shared" si="862"/>
        <v>0</v>
      </c>
      <c r="T455" s="2181">
        <f t="shared" si="863"/>
        <v>0</v>
      </c>
      <c r="U455" s="2179">
        <f t="shared" si="863"/>
        <v>0</v>
      </c>
      <c r="V455" s="2180">
        <f t="shared" si="839"/>
        <v>0</v>
      </c>
      <c r="W455" s="2187">
        <f t="shared" si="864"/>
        <v>0</v>
      </c>
      <c r="X455" s="2179">
        <f t="shared" si="864"/>
        <v>0</v>
      </c>
      <c r="Y455" s="2183">
        <f t="shared" si="865"/>
        <v>0</v>
      </c>
      <c r="Z455" s="2184">
        <f t="shared" si="866"/>
        <v>0</v>
      </c>
      <c r="AA455" s="2179">
        <f t="shared" si="866"/>
        <v>0</v>
      </c>
      <c r="AB455" s="2178">
        <f t="shared" si="840"/>
        <v>0</v>
      </c>
      <c r="AC455" s="2179">
        <f t="shared" si="867"/>
        <v>0</v>
      </c>
      <c r="AD455" s="2179">
        <f t="shared" si="867"/>
        <v>0</v>
      </c>
      <c r="AE455" s="2180">
        <f t="shared" si="868"/>
        <v>0</v>
      </c>
      <c r="AF455" s="2277"/>
      <c r="AG455" s="2278"/>
      <c r="AH455" s="2188">
        <f>AH490+AH523+AH589+AH556+AH622</f>
        <v>2526.8807777500006</v>
      </c>
      <c r="AI455" s="2188">
        <f t="shared" si="869"/>
        <v>0</v>
      </c>
      <c r="AJ455" s="2186">
        <f t="shared" si="894"/>
        <v>-2526.8807777500006</v>
      </c>
      <c r="AK455" s="2188">
        <f>AK490+AK523+AK589+AK556+AK622</f>
        <v>0</v>
      </c>
      <c r="AL455" s="2188">
        <f t="shared" si="871"/>
        <v>0</v>
      </c>
      <c r="AM455" s="2186">
        <f t="shared" si="895"/>
        <v>0</v>
      </c>
      <c r="AN455" s="2188">
        <f>AN490+AN523+AN589+AN556+AN622</f>
        <v>0</v>
      </c>
      <c r="AO455" s="2188">
        <f t="shared" si="873"/>
        <v>0</v>
      </c>
      <c r="AP455" s="2186">
        <f t="shared" si="896"/>
        <v>0</v>
      </c>
      <c r="AQ455" s="2188">
        <f>AQ490+AQ523+AQ589+AQ556+AQ622</f>
        <v>0</v>
      </c>
      <c r="AR455" s="2188">
        <f t="shared" si="875"/>
        <v>0</v>
      </c>
      <c r="AS455" s="2186">
        <f t="shared" si="897"/>
        <v>0</v>
      </c>
      <c r="AT455" s="2188">
        <f>AT490+AT523+AT589+AT556+AT622</f>
        <v>0</v>
      </c>
      <c r="AU455" s="2188">
        <f t="shared" si="877"/>
        <v>0</v>
      </c>
      <c r="AV455" s="2186">
        <f t="shared" si="898"/>
        <v>0</v>
      </c>
      <c r="AW455" s="2188">
        <f>AW490+AW523+AW589+AW556+AW622</f>
        <v>0</v>
      </c>
      <c r="AX455" s="2188">
        <f t="shared" si="879"/>
        <v>0</v>
      </c>
      <c r="AY455" s="2186">
        <f t="shared" si="899"/>
        <v>0</v>
      </c>
      <c r="AZ455" s="2188">
        <f>AZ490+AZ523+AZ589+AZ556+AZ622</f>
        <v>0</v>
      </c>
      <c r="BA455" s="2188">
        <f t="shared" si="881"/>
        <v>0</v>
      </c>
      <c r="BB455" s="2186">
        <f t="shared" si="900"/>
        <v>0</v>
      </c>
      <c r="BC455" s="2188">
        <f>BC490+BC523+BC589+BC556+BC622</f>
        <v>0</v>
      </c>
      <c r="BD455" s="2188">
        <f t="shared" si="883"/>
        <v>0</v>
      </c>
      <c r="BE455" s="2186">
        <f t="shared" si="901"/>
        <v>0</v>
      </c>
      <c r="BF455" s="2188">
        <f>BF490+BF523+BF589+BF556+BF622</f>
        <v>0</v>
      </c>
      <c r="BG455" s="2188">
        <f t="shared" si="885"/>
        <v>0</v>
      </c>
      <c r="BH455" s="2186">
        <f t="shared" si="902"/>
        <v>0</v>
      </c>
      <c r="BI455" s="2188">
        <f>BI490+BI523+BI589+BI556+BI622</f>
        <v>0</v>
      </c>
      <c r="BJ455" s="2188">
        <f t="shared" si="887"/>
        <v>0</v>
      </c>
      <c r="BK455" s="2186">
        <f t="shared" si="903"/>
        <v>0</v>
      </c>
      <c r="BL455" s="2188">
        <f>BL490+BL523+BL589+BL556+BL622</f>
        <v>0</v>
      </c>
      <c r="BM455" s="2188">
        <f t="shared" si="889"/>
        <v>0</v>
      </c>
      <c r="BN455" s="2186">
        <f t="shared" si="904"/>
        <v>0</v>
      </c>
      <c r="BO455" s="2188">
        <f>BO490+BO523+BO589+BO556+BO622</f>
        <v>0</v>
      </c>
      <c r="BP455" s="2188">
        <f t="shared" si="891"/>
        <v>0</v>
      </c>
      <c r="BQ455" s="2186">
        <f t="shared" si="905"/>
        <v>0</v>
      </c>
    </row>
    <row r="456" spans="3:69" s="2279" customFormat="1">
      <c r="C456" s="2194" t="s">
        <v>2611</v>
      </c>
      <c r="D456" s="2283" t="s">
        <v>2229</v>
      </c>
      <c r="E456" s="2284" t="s">
        <v>1833</v>
      </c>
      <c r="F456" s="2176"/>
      <c r="G456" s="2252">
        <f t="shared" si="893"/>
        <v>0</v>
      </c>
      <c r="H456" s="2252">
        <f t="shared" si="893"/>
        <v>0</v>
      </c>
      <c r="I456" s="2178">
        <f t="shared" si="841"/>
        <v>0</v>
      </c>
      <c r="J456" s="2176"/>
      <c r="K456" s="2179">
        <f>N456+Q456+W456+AC456</f>
        <v>0</v>
      </c>
      <c r="L456" s="2179">
        <f>O456+R456+X456+AD456</f>
        <v>0</v>
      </c>
      <c r="M456" s="2178">
        <f>L456-K456</f>
        <v>0</v>
      </c>
      <c r="N456" s="2179">
        <f t="shared" ref="N456" si="906">N491+N524+N590+N557+N623</f>
        <v>0</v>
      </c>
      <c r="O456" s="2179">
        <f t="shared" si="859"/>
        <v>0</v>
      </c>
      <c r="P456" s="2178">
        <f>O456-N456</f>
        <v>0</v>
      </c>
      <c r="Q456" s="2179">
        <f t="shared" si="861"/>
        <v>0</v>
      </c>
      <c r="R456" s="2179">
        <f t="shared" si="861"/>
        <v>0</v>
      </c>
      <c r="S456" s="2178">
        <f>R456-Q456</f>
        <v>0</v>
      </c>
      <c r="T456" s="2181">
        <f>N456+Q456</f>
        <v>0</v>
      </c>
      <c r="U456" s="2179">
        <f>O456+R456</f>
        <v>0</v>
      </c>
      <c r="V456" s="2180">
        <f>U456-T456</f>
        <v>0</v>
      </c>
      <c r="W456" s="2187">
        <f t="shared" si="864"/>
        <v>0</v>
      </c>
      <c r="X456" s="2179">
        <f t="shared" si="864"/>
        <v>0</v>
      </c>
      <c r="Y456" s="2183">
        <f>X456-W456</f>
        <v>0</v>
      </c>
      <c r="Z456" s="2184">
        <f>T456+W456</f>
        <v>0</v>
      </c>
      <c r="AA456" s="2179">
        <f>U456+X456</f>
        <v>0</v>
      </c>
      <c r="AB456" s="2178">
        <f>AA456-Z456</f>
        <v>0</v>
      </c>
      <c r="AC456" s="2179">
        <f t="shared" si="867"/>
        <v>0</v>
      </c>
      <c r="AD456" s="2179">
        <f t="shared" si="867"/>
        <v>0</v>
      </c>
      <c r="AE456" s="2178">
        <f>AD456-AC456</f>
        <v>0</v>
      </c>
      <c r="AF456" s="2277"/>
      <c r="AG456" s="2278"/>
      <c r="AH456" s="2188">
        <f t="shared" ref="AH456" si="907">AH491+AH524+AH590+AH557+AH623</f>
        <v>0</v>
      </c>
      <c r="AI456" s="2188">
        <f t="shared" si="869"/>
        <v>0</v>
      </c>
      <c r="AJ456" s="2186">
        <f>AI456-AH456</f>
        <v>0</v>
      </c>
      <c r="AK456" s="2188">
        <f t="shared" ref="AK456" si="908">AK491+AK524+AK590+AK557+AK623</f>
        <v>0</v>
      </c>
      <c r="AL456" s="2188">
        <f t="shared" si="871"/>
        <v>0</v>
      </c>
      <c r="AM456" s="2186">
        <f>AL456-AK456</f>
        <v>0</v>
      </c>
      <c r="AN456" s="2188">
        <f t="shared" ref="AN456" si="909">AN491+AN524+AN590+AN557+AN623</f>
        <v>0</v>
      </c>
      <c r="AO456" s="2188">
        <f t="shared" si="873"/>
        <v>0</v>
      </c>
      <c r="AP456" s="2186">
        <f>AO456-AN456</f>
        <v>0</v>
      </c>
      <c r="AQ456" s="2188">
        <f t="shared" ref="AQ456" si="910">AQ491+AQ524+AQ590+AQ557+AQ623</f>
        <v>0</v>
      </c>
      <c r="AR456" s="2188">
        <f t="shared" si="875"/>
        <v>0</v>
      </c>
      <c r="AS456" s="2186">
        <f>AR456-AQ456</f>
        <v>0</v>
      </c>
      <c r="AT456" s="2188">
        <f t="shared" ref="AT456" si="911">AT491+AT524+AT590+AT557+AT623</f>
        <v>0</v>
      </c>
      <c r="AU456" s="2188">
        <f t="shared" si="877"/>
        <v>0</v>
      </c>
      <c r="AV456" s="2186">
        <f>AU456-AT456</f>
        <v>0</v>
      </c>
      <c r="AW456" s="2188">
        <f t="shared" ref="AW456" si="912">AW491+AW524+AW590+AW557+AW623</f>
        <v>0</v>
      </c>
      <c r="AX456" s="2188">
        <f t="shared" si="879"/>
        <v>0</v>
      </c>
      <c r="AY456" s="2186">
        <f>AX456-AW456</f>
        <v>0</v>
      </c>
      <c r="AZ456" s="2188">
        <f t="shared" ref="AZ456" si="913">AZ491+AZ524+AZ590+AZ557+AZ623</f>
        <v>0</v>
      </c>
      <c r="BA456" s="2188">
        <f t="shared" si="881"/>
        <v>0</v>
      </c>
      <c r="BB456" s="2186">
        <f>BA456-AZ456</f>
        <v>0</v>
      </c>
      <c r="BC456" s="2188">
        <f t="shared" ref="BC456" si="914">BC491+BC524+BC590+BC557+BC623</f>
        <v>0</v>
      </c>
      <c r="BD456" s="2188">
        <f t="shared" si="883"/>
        <v>0</v>
      </c>
      <c r="BE456" s="2186">
        <f>BD456-BC456</f>
        <v>0</v>
      </c>
      <c r="BF456" s="2188">
        <f t="shared" ref="BF456" si="915">BF491+BF524+BF590+BF557+BF623</f>
        <v>0</v>
      </c>
      <c r="BG456" s="2188">
        <f t="shared" si="885"/>
        <v>0</v>
      </c>
      <c r="BH456" s="2186">
        <f>BG456-BF456</f>
        <v>0</v>
      </c>
      <c r="BI456" s="2188">
        <f t="shared" ref="BI456" si="916">BI491+BI524+BI590+BI557+BI623</f>
        <v>0</v>
      </c>
      <c r="BJ456" s="2188">
        <f t="shared" si="887"/>
        <v>0</v>
      </c>
      <c r="BK456" s="2186">
        <f>BJ456-BI456</f>
        <v>0</v>
      </c>
      <c r="BL456" s="2188">
        <f t="shared" ref="BL456" si="917">BL491+BL524+BL590+BL557+BL623</f>
        <v>0</v>
      </c>
      <c r="BM456" s="2188">
        <f t="shared" si="889"/>
        <v>0</v>
      </c>
      <c r="BN456" s="2186">
        <f>BM456-BL456</f>
        <v>0</v>
      </c>
      <c r="BO456" s="2188">
        <f t="shared" ref="BO456" si="918">BO491+BO524+BO590+BO557+BO623</f>
        <v>0</v>
      </c>
      <c r="BP456" s="2188">
        <f t="shared" si="891"/>
        <v>0</v>
      </c>
      <c r="BQ456" s="2186">
        <f>BP456-BO456</f>
        <v>0</v>
      </c>
    </row>
    <row r="457" spans="3:69" s="2279" customFormat="1">
      <c r="C457" s="2285" t="s">
        <v>2612</v>
      </c>
      <c r="D457" s="2287" t="s">
        <v>2238</v>
      </c>
      <c r="E457" s="2284" t="s">
        <v>1833</v>
      </c>
      <c r="F457" s="2176"/>
      <c r="G457" s="2252">
        <f t="shared" si="893"/>
        <v>0</v>
      </c>
      <c r="H457" s="2252">
        <f t="shared" si="893"/>
        <v>0</v>
      </c>
      <c r="I457" s="2178">
        <f t="shared" si="841"/>
        <v>0</v>
      </c>
      <c r="J457" s="2176"/>
      <c r="K457" s="2179">
        <f t="shared" si="837"/>
        <v>970642.82713910146</v>
      </c>
      <c r="L457" s="2179">
        <f t="shared" si="837"/>
        <v>0</v>
      </c>
      <c r="M457" s="2178">
        <f t="shared" si="838"/>
        <v>-970642.82713910146</v>
      </c>
      <c r="N457" s="2179">
        <f>N492+N525+N591+N558+N624</f>
        <v>237643.72632378861</v>
      </c>
      <c r="O457" s="2179">
        <f t="shared" si="859"/>
        <v>0</v>
      </c>
      <c r="P457" s="2178">
        <f t="shared" si="860"/>
        <v>-237643.72632378861</v>
      </c>
      <c r="Q457" s="2179">
        <f t="shared" si="861"/>
        <v>215564.6476997654</v>
      </c>
      <c r="R457" s="2179">
        <f t="shared" si="861"/>
        <v>0</v>
      </c>
      <c r="S457" s="2180">
        <f t="shared" si="862"/>
        <v>-215564.6476997654</v>
      </c>
      <c r="T457" s="2181">
        <f t="shared" si="863"/>
        <v>453208.37402355403</v>
      </c>
      <c r="U457" s="2179">
        <f t="shared" si="863"/>
        <v>0</v>
      </c>
      <c r="V457" s="2180">
        <f t="shared" si="839"/>
        <v>-453208.37402355403</v>
      </c>
      <c r="W457" s="2187">
        <f t="shared" si="864"/>
        <v>193444.55306480054</v>
      </c>
      <c r="X457" s="2179">
        <f t="shared" si="864"/>
        <v>0</v>
      </c>
      <c r="Y457" s="2183">
        <f t="shared" si="865"/>
        <v>-193444.55306480054</v>
      </c>
      <c r="Z457" s="2184">
        <f t="shared" si="866"/>
        <v>646652.9270883546</v>
      </c>
      <c r="AA457" s="2179">
        <f t="shared" si="866"/>
        <v>0</v>
      </c>
      <c r="AB457" s="2178">
        <f t="shared" si="840"/>
        <v>-646652.9270883546</v>
      </c>
      <c r="AC457" s="2179">
        <f t="shared" si="867"/>
        <v>323989.90005074692</v>
      </c>
      <c r="AD457" s="2179">
        <f t="shared" si="867"/>
        <v>0</v>
      </c>
      <c r="AE457" s="2180">
        <f t="shared" si="868"/>
        <v>-323989.90005074692</v>
      </c>
      <c r="AF457" s="2277"/>
      <c r="AG457" s="2278"/>
      <c r="AH457" s="2188">
        <f>AH492+AH525+AH591+AH558+AH624</f>
        <v>117788.87836932001</v>
      </c>
      <c r="AI457" s="2188">
        <f t="shared" si="869"/>
        <v>0</v>
      </c>
      <c r="AJ457" s="2186">
        <f t="shared" ref="AJ457:AJ461" si="919">AI457-AH457</f>
        <v>-117788.87836932001</v>
      </c>
      <c r="AK457" s="2188">
        <f>AK492+AK525+AK591+AK558+AK624</f>
        <v>95438.371217693682</v>
      </c>
      <c r="AL457" s="2188">
        <f t="shared" si="871"/>
        <v>0</v>
      </c>
      <c r="AM457" s="2186">
        <f t="shared" ref="AM457:AM461" si="920">AL457-AK457</f>
        <v>-95438.371217693682</v>
      </c>
      <c r="AN457" s="2188">
        <f>AN492+AN525+AN591+AN558+AN624</f>
        <v>82011.778171724916</v>
      </c>
      <c r="AO457" s="2188">
        <f t="shared" si="873"/>
        <v>0</v>
      </c>
      <c r="AP457" s="2186">
        <f t="shared" ref="AP457:AP461" si="921">AO457-AN457</f>
        <v>-82011.778171724916</v>
      </c>
      <c r="AQ457" s="2188">
        <f>AQ492+AQ525+AQ591+AQ558+AQ624</f>
        <v>81416.406813672802</v>
      </c>
      <c r="AR457" s="2188">
        <f t="shared" si="875"/>
        <v>0</v>
      </c>
      <c r="AS457" s="2186">
        <f t="shared" ref="AS457:AS461" si="922">AR457-AQ457</f>
        <v>-81416.406813672802</v>
      </c>
      <c r="AT457" s="2188">
        <f>AT492+AT525+AT591+AT558+AT624</f>
        <v>75308.194167918802</v>
      </c>
      <c r="AU457" s="2188">
        <f t="shared" si="877"/>
        <v>0</v>
      </c>
      <c r="AV457" s="2186">
        <f t="shared" ref="AV457:AV461" si="923">AU457-AT457</f>
        <v>-75308.194167918802</v>
      </c>
      <c r="AW457" s="2188">
        <f>AW492+AW525+AW591+AW558+AW624</f>
        <v>58840.046718173748</v>
      </c>
      <c r="AX457" s="2188">
        <f t="shared" si="879"/>
        <v>0</v>
      </c>
      <c r="AY457" s="2186">
        <f t="shared" ref="AY457:AY461" si="924">AX457-AW457</f>
        <v>-58840.046718173748</v>
      </c>
      <c r="AZ457" s="2188">
        <f>AZ492+AZ525+AZ591+AZ558+AZ624</f>
        <v>57923.341523838368</v>
      </c>
      <c r="BA457" s="2188">
        <f t="shared" si="881"/>
        <v>0</v>
      </c>
      <c r="BB457" s="2186">
        <f t="shared" ref="BB457:BB461" si="925">BA457-AZ457</f>
        <v>-57923.341523838368</v>
      </c>
      <c r="BC457" s="2188">
        <f>BC492+BC525+BC591+BC558+BC624</f>
        <v>59128.654007173624</v>
      </c>
      <c r="BD457" s="2188">
        <f t="shared" si="883"/>
        <v>0</v>
      </c>
      <c r="BE457" s="2186">
        <f t="shared" ref="BE457:BE461" si="926">BD457-BC457</f>
        <v>-59128.654007173624</v>
      </c>
      <c r="BF457" s="2188">
        <f>BF492+BF525+BF591+BF558+BF624</f>
        <v>76392.557533788553</v>
      </c>
      <c r="BG457" s="2188">
        <f t="shared" si="885"/>
        <v>0</v>
      </c>
      <c r="BH457" s="2186">
        <f t="shared" ref="BH457:BH461" si="927">BG457-BF457</f>
        <v>-76392.557533788553</v>
      </c>
      <c r="BI457" s="2188">
        <f>BI492+BI525+BI591+BI558+BI624</f>
        <v>102939.16961159436</v>
      </c>
      <c r="BJ457" s="2188">
        <f t="shared" si="887"/>
        <v>0</v>
      </c>
      <c r="BK457" s="2186">
        <f t="shared" ref="BK457:BK461" si="928">BJ457-BI457</f>
        <v>-102939.16961159436</v>
      </c>
      <c r="BL457" s="2188">
        <f>BL492+BL525+BL591+BL558+BL624</f>
        <v>112017.5188205358</v>
      </c>
      <c r="BM457" s="2188">
        <f t="shared" si="889"/>
        <v>0</v>
      </c>
      <c r="BN457" s="2186">
        <f t="shared" ref="BN457:BN461" si="929">BM457-BL457</f>
        <v>-112017.5188205358</v>
      </c>
      <c r="BO457" s="2188">
        <f>BO492+BO525+BO591+BO558+BO624</f>
        <v>109033.21161861678</v>
      </c>
      <c r="BP457" s="2188">
        <f t="shared" si="891"/>
        <v>0</v>
      </c>
      <c r="BQ457" s="2186">
        <f t="shared" ref="BQ457:BQ461" si="930">BP457-BO457</f>
        <v>-109033.21161861678</v>
      </c>
    </row>
    <row r="458" spans="3:69" s="2279" customFormat="1">
      <c r="C458" s="2194" t="s">
        <v>2613</v>
      </c>
      <c r="D458" s="2283" t="s">
        <v>2221</v>
      </c>
      <c r="E458" s="2284" t="s">
        <v>1833</v>
      </c>
      <c r="F458" s="2176"/>
      <c r="G458" s="2252">
        <f t="shared" si="893"/>
        <v>0</v>
      </c>
      <c r="H458" s="2252">
        <f t="shared" si="893"/>
        <v>0</v>
      </c>
      <c r="I458" s="2178">
        <f t="shared" si="841"/>
        <v>0</v>
      </c>
      <c r="J458" s="2176"/>
      <c r="K458" s="2179">
        <f t="shared" si="837"/>
        <v>0</v>
      </c>
      <c r="L458" s="2179">
        <f t="shared" si="837"/>
        <v>0</v>
      </c>
      <c r="M458" s="2178">
        <f t="shared" si="838"/>
        <v>0</v>
      </c>
      <c r="N458" s="2179">
        <f>N493+N526+N592+N559+N625</f>
        <v>0</v>
      </c>
      <c r="O458" s="2179">
        <f t="shared" si="859"/>
        <v>0</v>
      </c>
      <c r="P458" s="2178">
        <f t="shared" si="860"/>
        <v>0</v>
      </c>
      <c r="Q458" s="2179">
        <f t="shared" si="861"/>
        <v>0</v>
      </c>
      <c r="R458" s="2179">
        <f t="shared" si="861"/>
        <v>0</v>
      </c>
      <c r="S458" s="2180">
        <f t="shared" si="862"/>
        <v>0</v>
      </c>
      <c r="T458" s="2181">
        <f t="shared" si="863"/>
        <v>0</v>
      </c>
      <c r="U458" s="2179">
        <f t="shared" si="863"/>
        <v>0</v>
      </c>
      <c r="V458" s="2180">
        <f t="shared" si="839"/>
        <v>0</v>
      </c>
      <c r="W458" s="2187">
        <f t="shared" si="864"/>
        <v>0</v>
      </c>
      <c r="X458" s="2179">
        <f t="shared" si="864"/>
        <v>0</v>
      </c>
      <c r="Y458" s="2183">
        <f t="shared" si="865"/>
        <v>0</v>
      </c>
      <c r="Z458" s="2184">
        <f t="shared" si="866"/>
        <v>0</v>
      </c>
      <c r="AA458" s="2179">
        <f t="shared" si="866"/>
        <v>0</v>
      </c>
      <c r="AB458" s="2178">
        <f t="shared" si="840"/>
        <v>0</v>
      </c>
      <c r="AC458" s="2179">
        <f t="shared" si="867"/>
        <v>0</v>
      </c>
      <c r="AD458" s="2179">
        <f t="shared" si="867"/>
        <v>0</v>
      </c>
      <c r="AE458" s="2180">
        <f t="shared" si="868"/>
        <v>0</v>
      </c>
      <c r="AF458" s="2277"/>
      <c r="AG458" s="2278"/>
      <c r="AH458" s="2188">
        <f>AH493+AH526+AH592+AH559+AH625</f>
        <v>0</v>
      </c>
      <c r="AI458" s="2188">
        <f t="shared" si="869"/>
        <v>0</v>
      </c>
      <c r="AJ458" s="2186">
        <f t="shared" si="919"/>
        <v>0</v>
      </c>
      <c r="AK458" s="2188">
        <f>AK493+AK526+AK592+AK559+AK625</f>
        <v>0</v>
      </c>
      <c r="AL458" s="2188">
        <f t="shared" si="871"/>
        <v>0</v>
      </c>
      <c r="AM458" s="2186">
        <f t="shared" si="920"/>
        <v>0</v>
      </c>
      <c r="AN458" s="2188">
        <f>AN493+AN526+AN592+AN559+AN625</f>
        <v>0</v>
      </c>
      <c r="AO458" s="2188">
        <f t="shared" si="873"/>
        <v>0</v>
      </c>
      <c r="AP458" s="2186">
        <f t="shared" si="921"/>
        <v>0</v>
      </c>
      <c r="AQ458" s="2188">
        <f>AQ493+AQ526+AQ592+AQ559+AQ625</f>
        <v>0</v>
      </c>
      <c r="AR458" s="2188">
        <f t="shared" si="875"/>
        <v>0</v>
      </c>
      <c r="AS458" s="2186">
        <f t="shared" si="922"/>
        <v>0</v>
      </c>
      <c r="AT458" s="2188">
        <f>AT493+AT526+AT592+AT559+AT625</f>
        <v>0</v>
      </c>
      <c r="AU458" s="2188">
        <f t="shared" si="877"/>
        <v>0</v>
      </c>
      <c r="AV458" s="2186">
        <f t="shared" si="923"/>
        <v>0</v>
      </c>
      <c r="AW458" s="2188">
        <f>AW493+AW526+AW592+AW559+AW625</f>
        <v>0</v>
      </c>
      <c r="AX458" s="2188">
        <f t="shared" si="879"/>
        <v>0</v>
      </c>
      <c r="AY458" s="2186">
        <f t="shared" si="924"/>
        <v>0</v>
      </c>
      <c r="AZ458" s="2188">
        <f>AZ493+AZ526+AZ592+AZ559+AZ625</f>
        <v>0</v>
      </c>
      <c r="BA458" s="2188">
        <f t="shared" si="881"/>
        <v>0</v>
      </c>
      <c r="BB458" s="2186">
        <f t="shared" si="925"/>
        <v>0</v>
      </c>
      <c r="BC458" s="2188">
        <f>BC493+BC526+BC592+BC559+BC625</f>
        <v>0</v>
      </c>
      <c r="BD458" s="2188">
        <f t="shared" si="883"/>
        <v>0</v>
      </c>
      <c r="BE458" s="2186">
        <f t="shared" si="926"/>
        <v>0</v>
      </c>
      <c r="BF458" s="2188">
        <f>BF493+BF526+BF592+BF559+BF625</f>
        <v>0</v>
      </c>
      <c r="BG458" s="2188">
        <f t="shared" si="885"/>
        <v>0</v>
      </c>
      <c r="BH458" s="2186">
        <f t="shared" si="927"/>
        <v>0</v>
      </c>
      <c r="BI458" s="2188">
        <f>BI493+BI526+BI592+BI559+BI625</f>
        <v>0</v>
      </c>
      <c r="BJ458" s="2188">
        <f t="shared" si="887"/>
        <v>0</v>
      </c>
      <c r="BK458" s="2186">
        <f t="shared" si="928"/>
        <v>0</v>
      </c>
      <c r="BL458" s="2188">
        <f>BL493+BL526+BL592+BL559+BL625</f>
        <v>0</v>
      </c>
      <c r="BM458" s="2188">
        <f t="shared" si="889"/>
        <v>0</v>
      </c>
      <c r="BN458" s="2186">
        <f t="shared" si="929"/>
        <v>0</v>
      </c>
      <c r="BO458" s="2188">
        <f>BO493+BO526+BO592+BO559+BO625</f>
        <v>0</v>
      </c>
      <c r="BP458" s="2188">
        <f t="shared" si="891"/>
        <v>0</v>
      </c>
      <c r="BQ458" s="2186">
        <f t="shared" si="930"/>
        <v>0</v>
      </c>
    </row>
    <row r="459" spans="3:69" s="2279" customFormat="1">
      <c r="C459" s="2194" t="s">
        <v>2614</v>
      </c>
      <c r="D459" s="2283" t="s">
        <v>2223</v>
      </c>
      <c r="E459" s="2284" t="s">
        <v>1833</v>
      </c>
      <c r="F459" s="2176"/>
      <c r="G459" s="2252">
        <f t="shared" si="893"/>
        <v>0</v>
      </c>
      <c r="H459" s="2252">
        <f t="shared" si="893"/>
        <v>0</v>
      </c>
      <c r="I459" s="2178">
        <f t="shared" si="841"/>
        <v>0</v>
      </c>
      <c r="J459" s="2176"/>
      <c r="K459" s="2179">
        <f t="shared" si="837"/>
        <v>100731.65239713455</v>
      </c>
      <c r="L459" s="2179">
        <f t="shared" si="837"/>
        <v>0</v>
      </c>
      <c r="M459" s="2178">
        <f t="shared" si="838"/>
        <v>-100731.65239713455</v>
      </c>
      <c r="N459" s="2179">
        <f>N494+N527+N593+N560+N626</f>
        <v>23127.872943202019</v>
      </c>
      <c r="O459" s="2179">
        <f t="shared" si="859"/>
        <v>0</v>
      </c>
      <c r="P459" s="2178">
        <f t="shared" si="860"/>
        <v>-23127.872943202019</v>
      </c>
      <c r="Q459" s="2179">
        <f t="shared" si="861"/>
        <v>19325.112446543899</v>
      </c>
      <c r="R459" s="2179">
        <f t="shared" si="861"/>
        <v>0</v>
      </c>
      <c r="S459" s="2180">
        <f t="shared" si="862"/>
        <v>-19325.112446543899</v>
      </c>
      <c r="T459" s="2181">
        <f t="shared" si="863"/>
        <v>42452.985389745918</v>
      </c>
      <c r="U459" s="2179">
        <f t="shared" si="863"/>
        <v>0</v>
      </c>
      <c r="V459" s="2180">
        <f t="shared" si="839"/>
        <v>-42452.985389745918</v>
      </c>
      <c r="W459" s="2187">
        <f t="shared" si="864"/>
        <v>22175.655076255975</v>
      </c>
      <c r="X459" s="2179">
        <f t="shared" si="864"/>
        <v>0</v>
      </c>
      <c r="Y459" s="2183">
        <f t="shared" si="865"/>
        <v>-22175.655076255975</v>
      </c>
      <c r="Z459" s="2184">
        <f t="shared" si="866"/>
        <v>64628.640466001889</v>
      </c>
      <c r="AA459" s="2179">
        <f t="shared" si="866"/>
        <v>0</v>
      </c>
      <c r="AB459" s="2178">
        <f t="shared" si="840"/>
        <v>-64628.640466001889</v>
      </c>
      <c r="AC459" s="2179">
        <f t="shared" si="867"/>
        <v>36103.011931132663</v>
      </c>
      <c r="AD459" s="2179">
        <f t="shared" si="867"/>
        <v>0</v>
      </c>
      <c r="AE459" s="2180">
        <f t="shared" si="868"/>
        <v>-36103.011931132663</v>
      </c>
      <c r="AF459" s="2277"/>
      <c r="AG459" s="2278"/>
      <c r="AH459" s="2188">
        <f>AH494+AH527+AH593+AH560+AH626</f>
        <v>10928.414246399998</v>
      </c>
      <c r="AI459" s="2188">
        <f t="shared" si="869"/>
        <v>0</v>
      </c>
      <c r="AJ459" s="2186">
        <f t="shared" si="919"/>
        <v>-10928.414246399998</v>
      </c>
      <c r="AK459" s="2188">
        <f>AK494+AK527+AK593+AK560+AK626</f>
        <v>8589.2216849534016</v>
      </c>
      <c r="AL459" s="2188">
        <f t="shared" si="871"/>
        <v>0</v>
      </c>
      <c r="AM459" s="2186">
        <f t="shared" si="920"/>
        <v>-8589.2216849534016</v>
      </c>
      <c r="AN459" s="2188">
        <f>AN494+AN527+AN593+AN560+AN626</f>
        <v>8953.9810387286161</v>
      </c>
      <c r="AO459" s="2188">
        <f t="shared" si="873"/>
        <v>0</v>
      </c>
      <c r="AP459" s="2186">
        <f t="shared" si="921"/>
        <v>-8953.9810387286161</v>
      </c>
      <c r="AQ459" s="2188">
        <f>AQ494+AQ527+AQ593+AQ560+AQ626</f>
        <v>7760.545883350188</v>
      </c>
      <c r="AR459" s="2188">
        <f t="shared" si="875"/>
        <v>0</v>
      </c>
      <c r="AS459" s="2186">
        <f t="shared" si="922"/>
        <v>-7760.545883350188</v>
      </c>
      <c r="AT459" s="2188">
        <f>AT494+AT527+AT593+AT560+AT626</f>
        <v>7856.954625425994</v>
      </c>
      <c r="AU459" s="2188">
        <f t="shared" si="877"/>
        <v>0</v>
      </c>
      <c r="AV459" s="2186">
        <f t="shared" si="923"/>
        <v>-7856.954625425994</v>
      </c>
      <c r="AW459" s="2188">
        <f>AW494+AW527+AW593+AW560+AW626</f>
        <v>3707.6119377677178</v>
      </c>
      <c r="AX459" s="2188">
        <f t="shared" si="879"/>
        <v>0</v>
      </c>
      <c r="AY459" s="2186">
        <f t="shared" si="924"/>
        <v>-3707.6119377677178</v>
      </c>
      <c r="AZ459" s="2188">
        <f>AZ494+AZ527+AZ593+AZ560+AZ626</f>
        <v>5968.7530921579892</v>
      </c>
      <c r="BA459" s="2188">
        <f t="shared" si="881"/>
        <v>0</v>
      </c>
      <c r="BB459" s="2186">
        <f t="shared" si="925"/>
        <v>-5968.7530921579892</v>
      </c>
      <c r="BC459" s="2188">
        <f>BC494+BC527+BC593+BC560+BC626</f>
        <v>7318.6634838662731</v>
      </c>
      <c r="BD459" s="2188">
        <f t="shared" si="883"/>
        <v>0</v>
      </c>
      <c r="BE459" s="2186">
        <f t="shared" si="926"/>
        <v>-7318.6634838662731</v>
      </c>
      <c r="BF459" s="2188">
        <f>BF494+BF527+BF593+BF560+BF626</f>
        <v>8888.2385002317151</v>
      </c>
      <c r="BG459" s="2188">
        <f t="shared" si="885"/>
        <v>0</v>
      </c>
      <c r="BH459" s="2186">
        <f t="shared" si="927"/>
        <v>-8888.2385002317151</v>
      </c>
      <c r="BI459" s="2188">
        <f>BI494+BI527+BI593+BI560+BI626</f>
        <v>11650.890209843061</v>
      </c>
      <c r="BJ459" s="2188">
        <f t="shared" si="887"/>
        <v>0</v>
      </c>
      <c r="BK459" s="2186">
        <f t="shared" si="928"/>
        <v>-11650.890209843061</v>
      </c>
      <c r="BL459" s="2188">
        <f>BL494+BL527+BL593+BL560+BL626</f>
        <v>12087.022989213196</v>
      </c>
      <c r="BM459" s="2188">
        <f t="shared" si="889"/>
        <v>0</v>
      </c>
      <c r="BN459" s="2186">
        <f t="shared" si="929"/>
        <v>-12087.022989213196</v>
      </c>
      <c r="BO459" s="2188">
        <f>BO494+BO527+BO593+BO560+BO626</f>
        <v>12365.098732076405</v>
      </c>
      <c r="BP459" s="2188">
        <f t="shared" si="891"/>
        <v>0</v>
      </c>
      <c r="BQ459" s="2186">
        <f t="shared" si="930"/>
        <v>-12365.098732076405</v>
      </c>
    </row>
    <row r="460" spans="3:69" s="2279" customFormat="1">
      <c r="C460" s="2194" t="s">
        <v>2615</v>
      </c>
      <c r="D460" s="2283" t="s">
        <v>2225</v>
      </c>
      <c r="E460" s="2284" t="s">
        <v>1833</v>
      </c>
      <c r="F460" s="2176"/>
      <c r="G460" s="2252">
        <f t="shared" si="893"/>
        <v>0</v>
      </c>
      <c r="H460" s="2252">
        <f t="shared" si="893"/>
        <v>0</v>
      </c>
      <c r="I460" s="2178">
        <f t="shared" si="841"/>
        <v>0</v>
      </c>
      <c r="J460" s="2176"/>
      <c r="K460" s="2179">
        <f t="shared" si="837"/>
        <v>664013.8161614011</v>
      </c>
      <c r="L460" s="2179">
        <f t="shared" si="837"/>
        <v>0</v>
      </c>
      <c r="M460" s="2178">
        <f t="shared" si="838"/>
        <v>-664013.8161614011</v>
      </c>
      <c r="N460" s="2179">
        <f>N495+N528+N594+N561+N627</f>
        <v>160474.97512981837</v>
      </c>
      <c r="O460" s="2179">
        <f t="shared" ref="O460:O461" si="931">O495+O528+O594+O561+O627</f>
        <v>0</v>
      </c>
      <c r="P460" s="2178">
        <f t="shared" si="860"/>
        <v>-160474.97512981837</v>
      </c>
      <c r="Q460" s="2179">
        <f t="shared" ref="Q460:R462" si="932">Q495+Q528+Q594+Q561+Q627</f>
        <v>150526.56977254921</v>
      </c>
      <c r="R460" s="2179">
        <f t="shared" si="932"/>
        <v>0</v>
      </c>
      <c r="S460" s="2180">
        <f t="shared" si="862"/>
        <v>-150526.56977254921</v>
      </c>
      <c r="T460" s="2181">
        <f t="shared" si="863"/>
        <v>311001.54490236758</v>
      </c>
      <c r="U460" s="2179">
        <f t="shared" si="863"/>
        <v>0</v>
      </c>
      <c r="V460" s="2180">
        <f t="shared" si="839"/>
        <v>-311001.54490236758</v>
      </c>
      <c r="W460" s="2187">
        <f t="shared" ref="W460:X462" si="933">W495+W528+W594+W561+W627</f>
        <v>132181.41543542218</v>
      </c>
      <c r="X460" s="2179">
        <f t="shared" si="933"/>
        <v>0</v>
      </c>
      <c r="Y460" s="2183">
        <f t="shared" si="865"/>
        <v>-132181.41543542218</v>
      </c>
      <c r="Z460" s="2184">
        <f t="shared" si="866"/>
        <v>443182.96033778973</v>
      </c>
      <c r="AA460" s="2179">
        <f t="shared" si="866"/>
        <v>0</v>
      </c>
      <c r="AB460" s="2178">
        <f t="shared" si="840"/>
        <v>-443182.96033778973</v>
      </c>
      <c r="AC460" s="2179">
        <f t="shared" ref="AC460:AD462" si="934">AC495+AC528+AC594+AC561+AC627</f>
        <v>220830.85582361135</v>
      </c>
      <c r="AD460" s="2179">
        <f t="shared" si="934"/>
        <v>0</v>
      </c>
      <c r="AE460" s="2180">
        <f t="shared" si="868"/>
        <v>-220830.85582361135</v>
      </c>
      <c r="AF460" s="2277"/>
      <c r="AG460" s="2278"/>
      <c r="AH460" s="2188">
        <f>AH495+AH528+AH594+AH561+AH627</f>
        <v>74025.845874420003</v>
      </c>
      <c r="AI460" s="2188">
        <f t="shared" ref="AI460:AI461" si="935">AI495+AI528+AI594+AI561+AI627</f>
        <v>0</v>
      </c>
      <c r="AJ460" s="2186">
        <f t="shared" si="919"/>
        <v>-74025.845874420003</v>
      </c>
      <c r="AK460" s="2188">
        <f>AK495+AK528+AK594+AK561+AK627</f>
        <v>67089.016331924562</v>
      </c>
      <c r="AL460" s="2188">
        <f t="shared" ref="AL460:AL462" si="936">AL495+AL528+AL594+AL561+AL627</f>
        <v>0</v>
      </c>
      <c r="AM460" s="2186">
        <f t="shared" si="920"/>
        <v>-67089.016331924562</v>
      </c>
      <c r="AN460" s="2188">
        <f>AN495+AN528+AN594+AN561+AN627</f>
        <v>55556.660453493823</v>
      </c>
      <c r="AO460" s="2188">
        <f t="shared" ref="AO460:AO462" si="937">AO495+AO528+AO594+AO561+AO627</f>
        <v>0</v>
      </c>
      <c r="AP460" s="2186">
        <f t="shared" si="921"/>
        <v>-55556.660453493823</v>
      </c>
      <c r="AQ460" s="2188">
        <f>AQ495+AQ528+AQ594+AQ561+AQ627</f>
        <v>57406.825075076165</v>
      </c>
      <c r="AR460" s="2188">
        <f t="shared" ref="AR460:AR462" si="938">AR495+AR528+AR594+AR561+AR627</f>
        <v>0</v>
      </c>
      <c r="AS460" s="2186">
        <f t="shared" si="922"/>
        <v>-57406.825075076165</v>
      </c>
      <c r="AT460" s="2188">
        <f>AT495+AT528+AT594+AT561+AT627</f>
        <v>52266.779908249206</v>
      </c>
      <c r="AU460" s="2188">
        <f t="shared" ref="AU460:AU462" si="939">AU495+AU528+AU594+AU561+AU627</f>
        <v>0</v>
      </c>
      <c r="AV460" s="2186">
        <f t="shared" si="923"/>
        <v>-52266.779908249206</v>
      </c>
      <c r="AW460" s="2188">
        <f>AW495+AW528+AW594+AW561+AW627</f>
        <v>40852.964789223828</v>
      </c>
      <c r="AX460" s="2188">
        <f t="shared" ref="AX460:AX462" si="940">AX495+AX528+AX594+AX561+AX627</f>
        <v>0</v>
      </c>
      <c r="AY460" s="2186">
        <f t="shared" si="924"/>
        <v>-40852.964789223828</v>
      </c>
      <c r="AZ460" s="2188">
        <f>AZ495+AZ528+AZ594+AZ561+AZ627</f>
        <v>40024.609745752277</v>
      </c>
      <c r="BA460" s="2188">
        <f t="shared" ref="BA460:BA462" si="941">BA495+BA528+BA594+BA561+BA627</f>
        <v>0</v>
      </c>
      <c r="BB460" s="2186">
        <f t="shared" si="925"/>
        <v>-40024.609745752277</v>
      </c>
      <c r="BC460" s="2188">
        <f>BC495+BC528+BC594+BC561+BC627</f>
        <v>39569.370835774571</v>
      </c>
      <c r="BD460" s="2188">
        <f t="shared" ref="BD460:BD462" si="942">BD495+BD528+BD594+BD561+BD627</f>
        <v>0</v>
      </c>
      <c r="BE460" s="2186">
        <f t="shared" si="926"/>
        <v>-39569.370835774571</v>
      </c>
      <c r="BF460" s="2188">
        <f>BF495+BF528+BF594+BF561+BF627</f>
        <v>52587.434853895327</v>
      </c>
      <c r="BG460" s="2188">
        <f t="shared" ref="BG460:BG462" si="943">BG495+BG528+BG594+BG561+BG627</f>
        <v>0</v>
      </c>
      <c r="BH460" s="2186">
        <f t="shared" si="927"/>
        <v>-52587.434853895327</v>
      </c>
      <c r="BI460" s="2188">
        <f>BI495+BI528+BI594+BI561+BI627</f>
        <v>69872.177074376377</v>
      </c>
      <c r="BJ460" s="2188">
        <f t="shared" ref="BJ460:BJ462" si="944">BJ495+BJ528+BJ594+BJ561+BJ627</f>
        <v>0</v>
      </c>
      <c r="BK460" s="2186">
        <f t="shared" si="928"/>
        <v>-69872.177074376377</v>
      </c>
      <c r="BL460" s="2188">
        <f>BL495+BL528+BL594+BL561+BL627</f>
        <v>77254.668002811464</v>
      </c>
      <c r="BM460" s="2188">
        <f t="shared" ref="BM460:BM462" si="945">BM495+BM528+BM594+BM561+BM627</f>
        <v>0</v>
      </c>
      <c r="BN460" s="2186">
        <f t="shared" si="929"/>
        <v>-77254.668002811464</v>
      </c>
      <c r="BO460" s="2188">
        <f>BO495+BO528+BO594+BO561+BO627</f>
        <v>73704.010746423519</v>
      </c>
      <c r="BP460" s="2188">
        <f t="shared" ref="BP460:BP462" si="946">BP495+BP528+BP594+BP561+BP627</f>
        <v>0</v>
      </c>
      <c r="BQ460" s="2186">
        <f t="shared" si="930"/>
        <v>-73704.010746423519</v>
      </c>
    </row>
    <row r="461" spans="3:69" s="2279" customFormat="1">
      <c r="C461" s="2194" t="s">
        <v>2616</v>
      </c>
      <c r="D461" s="2283" t="s">
        <v>2227</v>
      </c>
      <c r="E461" s="2284" t="s">
        <v>1833</v>
      </c>
      <c r="F461" s="2176"/>
      <c r="G461" s="2252">
        <f t="shared" ref="G461:H462" si="947">G496+G529+G595+G562+G628</f>
        <v>0</v>
      </c>
      <c r="H461" s="2252">
        <f t="shared" si="947"/>
        <v>0</v>
      </c>
      <c r="I461" s="2178">
        <f t="shared" si="841"/>
        <v>0</v>
      </c>
      <c r="J461" s="2176"/>
      <c r="K461" s="2179">
        <f t="shared" si="837"/>
        <v>205897.35858056581</v>
      </c>
      <c r="L461" s="2179">
        <f t="shared" si="837"/>
        <v>0</v>
      </c>
      <c r="M461" s="2178">
        <f t="shared" si="838"/>
        <v>-205897.35858056581</v>
      </c>
      <c r="N461" s="2179">
        <f>N496+N529+N595+N562+N628</f>
        <v>54040.878250768204</v>
      </c>
      <c r="O461" s="2179">
        <f t="shared" si="931"/>
        <v>0</v>
      </c>
      <c r="P461" s="2178">
        <f t="shared" si="860"/>
        <v>-54040.878250768204</v>
      </c>
      <c r="Q461" s="2179">
        <f t="shared" si="932"/>
        <v>45712.965480672268</v>
      </c>
      <c r="R461" s="2179">
        <f t="shared" si="932"/>
        <v>0</v>
      </c>
      <c r="S461" s="2180">
        <f t="shared" si="862"/>
        <v>-45712.965480672268</v>
      </c>
      <c r="T461" s="2181">
        <f t="shared" si="863"/>
        <v>99753.843731440473</v>
      </c>
      <c r="U461" s="2179">
        <f t="shared" si="863"/>
        <v>0</v>
      </c>
      <c r="V461" s="2180">
        <f t="shared" si="839"/>
        <v>-99753.843731440473</v>
      </c>
      <c r="W461" s="2187">
        <f t="shared" si="933"/>
        <v>39087.482553122398</v>
      </c>
      <c r="X461" s="2179">
        <f t="shared" si="933"/>
        <v>0</v>
      </c>
      <c r="Y461" s="2183">
        <f t="shared" si="865"/>
        <v>-39087.482553122398</v>
      </c>
      <c r="Z461" s="2184">
        <f t="shared" si="866"/>
        <v>138841.32628456288</v>
      </c>
      <c r="AA461" s="2179">
        <f t="shared" si="866"/>
        <v>0</v>
      </c>
      <c r="AB461" s="2178">
        <f t="shared" si="840"/>
        <v>-138841.32628456288</v>
      </c>
      <c r="AC461" s="2179">
        <f t="shared" si="934"/>
        <v>67056.03229600293</v>
      </c>
      <c r="AD461" s="2179">
        <f t="shared" si="934"/>
        <v>0</v>
      </c>
      <c r="AE461" s="2180">
        <f t="shared" si="868"/>
        <v>-67056.03229600293</v>
      </c>
      <c r="AF461" s="2277"/>
      <c r="AG461" s="2278"/>
      <c r="AH461" s="2188">
        <f>AH496+AH529+AH595+AH562+AH628</f>
        <v>32834.618248499995</v>
      </c>
      <c r="AI461" s="2188">
        <f t="shared" si="935"/>
        <v>0</v>
      </c>
      <c r="AJ461" s="2186">
        <f t="shared" si="919"/>
        <v>-32834.618248499995</v>
      </c>
      <c r="AK461" s="2188">
        <f>AK496+AK529+AK595+AK562+AK628</f>
        <v>19760.133200815715</v>
      </c>
      <c r="AL461" s="2188">
        <f t="shared" si="936"/>
        <v>0</v>
      </c>
      <c r="AM461" s="2186">
        <f t="shared" si="920"/>
        <v>-19760.133200815715</v>
      </c>
      <c r="AN461" s="2188">
        <f>AN496+AN529+AN595+AN562+AN628</f>
        <v>17501.136679502484</v>
      </c>
      <c r="AO461" s="2188">
        <f t="shared" si="937"/>
        <v>0</v>
      </c>
      <c r="AP461" s="2186">
        <f t="shared" si="921"/>
        <v>-17501.136679502484</v>
      </c>
      <c r="AQ461" s="2188">
        <f>AQ496+AQ529+AQ595+AQ562+AQ628</f>
        <v>16249.035855246451</v>
      </c>
      <c r="AR461" s="2188">
        <f t="shared" si="938"/>
        <v>0</v>
      </c>
      <c r="AS461" s="2186">
        <f t="shared" si="922"/>
        <v>-16249.035855246451</v>
      </c>
      <c r="AT461" s="2188">
        <f>AT496+AT529+AT595+AT562+AT628</f>
        <v>15184.459634243607</v>
      </c>
      <c r="AU461" s="2188">
        <f t="shared" si="939"/>
        <v>0</v>
      </c>
      <c r="AV461" s="2186">
        <f t="shared" si="923"/>
        <v>-15184.459634243607</v>
      </c>
      <c r="AW461" s="2188">
        <f>AW496+AW529+AW595+AW562+AW628</f>
        <v>14279.469991182204</v>
      </c>
      <c r="AX461" s="2188">
        <f t="shared" si="940"/>
        <v>0</v>
      </c>
      <c r="AY461" s="2186">
        <f t="shared" si="924"/>
        <v>-14279.469991182204</v>
      </c>
      <c r="AZ461" s="2188">
        <f>AZ496+AZ529+AZ595+AZ562+AZ628</f>
        <v>11929.978685928103</v>
      </c>
      <c r="BA461" s="2188">
        <f t="shared" si="941"/>
        <v>0</v>
      </c>
      <c r="BB461" s="2186">
        <f t="shared" si="925"/>
        <v>-11929.978685928103</v>
      </c>
      <c r="BC461" s="2188">
        <f>BC496+BC529+BC595+BC562+BC628</f>
        <v>12240.619687532779</v>
      </c>
      <c r="BD461" s="2188">
        <f t="shared" si="942"/>
        <v>0</v>
      </c>
      <c r="BE461" s="2186">
        <f t="shared" si="926"/>
        <v>-12240.619687532779</v>
      </c>
      <c r="BF461" s="2188">
        <f>BF496+BF529+BF595+BF562+BF628</f>
        <v>14916.884179661511</v>
      </c>
      <c r="BG461" s="2188">
        <f t="shared" si="943"/>
        <v>0</v>
      </c>
      <c r="BH461" s="2186">
        <f t="shared" si="927"/>
        <v>-14916.884179661511</v>
      </c>
      <c r="BI461" s="2188">
        <f>BI496+BI529+BI595+BI562+BI628</f>
        <v>21416.102327374934</v>
      </c>
      <c r="BJ461" s="2188">
        <f t="shared" si="944"/>
        <v>0</v>
      </c>
      <c r="BK461" s="2186">
        <f t="shared" si="928"/>
        <v>-21416.102327374934</v>
      </c>
      <c r="BL461" s="2188">
        <f>BL496+BL529+BL595+BL562+BL628</f>
        <v>22675.827828511141</v>
      </c>
      <c r="BM461" s="2188">
        <f t="shared" si="945"/>
        <v>0</v>
      </c>
      <c r="BN461" s="2186">
        <f t="shared" si="929"/>
        <v>-22675.827828511141</v>
      </c>
      <c r="BO461" s="2188">
        <f>BO496+BO529+BO595+BO562+BO628</f>
        <v>22964.102140116858</v>
      </c>
      <c r="BP461" s="2188">
        <f t="shared" si="946"/>
        <v>0</v>
      </c>
      <c r="BQ461" s="2186">
        <f t="shared" si="930"/>
        <v>-22964.102140116858</v>
      </c>
    </row>
    <row r="462" spans="3:69" s="2279" customFormat="1" hidden="1">
      <c r="C462" s="2194" t="s">
        <v>2617</v>
      </c>
      <c r="D462" s="2283" t="s">
        <v>2229</v>
      </c>
      <c r="E462" s="2284" t="s">
        <v>1833</v>
      </c>
      <c r="F462" s="2176"/>
      <c r="G462" s="2252">
        <f t="shared" si="947"/>
        <v>0</v>
      </c>
      <c r="H462" s="2252">
        <f t="shared" si="947"/>
        <v>0</v>
      </c>
      <c r="I462" s="2178">
        <f t="shared" si="841"/>
        <v>0</v>
      </c>
      <c r="J462" s="2176"/>
      <c r="K462" s="2179">
        <f t="shared" si="837"/>
        <v>0</v>
      </c>
      <c r="L462" s="2179">
        <f t="shared" si="837"/>
        <v>0</v>
      </c>
      <c r="M462" s="2178">
        <f>L462-K462</f>
        <v>0</v>
      </c>
      <c r="N462" s="2179">
        <f t="shared" ref="N462:O462" si="948">N497+N530+N596+N563+N629</f>
        <v>0</v>
      </c>
      <c r="O462" s="2179">
        <f t="shared" si="948"/>
        <v>0</v>
      </c>
      <c r="P462" s="2178">
        <f>O462-N462</f>
        <v>0</v>
      </c>
      <c r="Q462" s="2179">
        <f t="shared" si="932"/>
        <v>0</v>
      </c>
      <c r="R462" s="2179">
        <f t="shared" si="932"/>
        <v>0</v>
      </c>
      <c r="S462" s="2178">
        <f>R462-Q462</f>
        <v>0</v>
      </c>
      <c r="T462" s="2181">
        <f t="shared" si="863"/>
        <v>0</v>
      </c>
      <c r="U462" s="2179">
        <f t="shared" si="863"/>
        <v>0</v>
      </c>
      <c r="V462" s="2180">
        <f>U462-T462</f>
        <v>0</v>
      </c>
      <c r="W462" s="2187">
        <f t="shared" si="933"/>
        <v>0</v>
      </c>
      <c r="X462" s="2179">
        <f t="shared" si="933"/>
        <v>0</v>
      </c>
      <c r="Y462" s="2183">
        <f>X462-W462</f>
        <v>0</v>
      </c>
      <c r="Z462" s="2184">
        <f t="shared" si="866"/>
        <v>0</v>
      </c>
      <c r="AA462" s="2179">
        <f t="shared" si="866"/>
        <v>0</v>
      </c>
      <c r="AB462" s="2178">
        <f>AA462-Z462</f>
        <v>0</v>
      </c>
      <c r="AC462" s="2179">
        <f t="shared" si="934"/>
        <v>0</v>
      </c>
      <c r="AD462" s="2179">
        <f t="shared" si="934"/>
        <v>0</v>
      </c>
      <c r="AE462" s="2178">
        <f>AD462-AC462</f>
        <v>0</v>
      </c>
      <c r="AF462" s="2277"/>
      <c r="AG462" s="2278"/>
      <c r="AH462" s="2188">
        <f t="shared" ref="AH462:AI462" si="949">AH497+AH530+AH596+AH563+AH629</f>
        <v>0</v>
      </c>
      <c r="AI462" s="2188">
        <f t="shared" si="949"/>
        <v>0</v>
      </c>
      <c r="AJ462" s="2186">
        <f>AI462-AH462</f>
        <v>0</v>
      </c>
      <c r="AK462" s="2188">
        <f t="shared" ref="AK462" si="950">AK497+AK530+AK596+AK563+AK629</f>
        <v>0</v>
      </c>
      <c r="AL462" s="2188">
        <f t="shared" si="936"/>
        <v>0</v>
      </c>
      <c r="AM462" s="2186">
        <f>AL462-AK462</f>
        <v>0</v>
      </c>
      <c r="AN462" s="2188">
        <f t="shared" ref="AN462" si="951">AN497+AN530+AN596+AN563+AN629</f>
        <v>0</v>
      </c>
      <c r="AO462" s="2188">
        <f t="shared" si="937"/>
        <v>0</v>
      </c>
      <c r="AP462" s="2186">
        <f>AO462-AN462</f>
        <v>0</v>
      </c>
      <c r="AQ462" s="2188">
        <f t="shared" ref="AQ462" si="952">AQ497+AQ530+AQ596+AQ563+AQ629</f>
        <v>0</v>
      </c>
      <c r="AR462" s="2188">
        <f t="shared" si="938"/>
        <v>0</v>
      </c>
      <c r="AS462" s="2186">
        <f>AR462-AQ462</f>
        <v>0</v>
      </c>
      <c r="AT462" s="2188">
        <f t="shared" ref="AT462" si="953">AT497+AT530+AT596+AT563+AT629</f>
        <v>0</v>
      </c>
      <c r="AU462" s="2188">
        <f t="shared" si="939"/>
        <v>0</v>
      </c>
      <c r="AV462" s="2186">
        <f>AU462-AT462</f>
        <v>0</v>
      </c>
      <c r="AW462" s="2188">
        <f t="shared" ref="AW462" si="954">AW497+AW530+AW596+AW563+AW629</f>
        <v>0</v>
      </c>
      <c r="AX462" s="2188">
        <f t="shared" si="940"/>
        <v>0</v>
      </c>
      <c r="AY462" s="2186">
        <f>AX462-AW462</f>
        <v>0</v>
      </c>
      <c r="AZ462" s="2188">
        <f t="shared" ref="AZ462" si="955">AZ497+AZ530+AZ596+AZ563+AZ629</f>
        <v>0</v>
      </c>
      <c r="BA462" s="2188">
        <f t="shared" si="941"/>
        <v>0</v>
      </c>
      <c r="BB462" s="2186">
        <f>BA462-AZ462</f>
        <v>0</v>
      </c>
      <c r="BC462" s="2188">
        <f t="shared" ref="BC462" si="956">BC497+BC530+BC596+BC563+BC629</f>
        <v>0</v>
      </c>
      <c r="BD462" s="2188">
        <f t="shared" si="942"/>
        <v>0</v>
      </c>
      <c r="BE462" s="2186">
        <f>BD462-BC462</f>
        <v>0</v>
      </c>
      <c r="BF462" s="2188">
        <f t="shared" ref="BF462" si="957">BF497+BF530+BF596+BF563+BF629</f>
        <v>0</v>
      </c>
      <c r="BG462" s="2188">
        <f t="shared" si="943"/>
        <v>0</v>
      </c>
      <c r="BH462" s="2186">
        <f>BG462-BF462</f>
        <v>0</v>
      </c>
      <c r="BI462" s="2188">
        <f t="shared" ref="BI462" si="958">BI497+BI530+BI596+BI563+BI629</f>
        <v>0</v>
      </c>
      <c r="BJ462" s="2188">
        <f t="shared" si="944"/>
        <v>0</v>
      </c>
      <c r="BK462" s="2186">
        <f>BJ462-BI462</f>
        <v>0</v>
      </c>
      <c r="BL462" s="2188">
        <f t="shared" ref="BL462" si="959">BL497+BL530+BL596+BL563+BL629</f>
        <v>0</v>
      </c>
      <c r="BM462" s="2188">
        <f t="shared" si="945"/>
        <v>0</v>
      </c>
      <c r="BN462" s="2186">
        <f>BM462-BL462</f>
        <v>0</v>
      </c>
      <c r="BO462" s="2188">
        <f t="shared" ref="BO462" si="960">BO497+BO530+BO596+BO563+BO629</f>
        <v>0</v>
      </c>
      <c r="BP462" s="2188">
        <f t="shared" si="946"/>
        <v>0</v>
      </c>
      <c r="BQ462" s="2186">
        <f>BP462-BO462</f>
        <v>0</v>
      </c>
    </row>
    <row r="463" spans="3:69" s="2087" customFormat="1">
      <c r="C463" s="2293" t="s">
        <v>2618</v>
      </c>
      <c r="D463" s="2360" t="s">
        <v>556</v>
      </c>
      <c r="E463" s="2290" t="s">
        <v>1833</v>
      </c>
      <c r="F463" s="2176"/>
      <c r="G463" s="2252">
        <f>G465+G471</f>
        <v>0</v>
      </c>
      <c r="H463" s="2252">
        <f>H465+H471</f>
        <v>0</v>
      </c>
      <c r="I463" s="2178">
        <f>H463-G463</f>
        <v>0</v>
      </c>
      <c r="J463" s="2176"/>
      <c r="K463" s="2179">
        <f>N463+Q463+W463+AC463</f>
        <v>80133.278720750008</v>
      </c>
      <c r="L463" s="2179">
        <f>O463+R463+X463+AD463</f>
        <v>0</v>
      </c>
      <c r="M463" s="2178">
        <f>L463-K463</f>
        <v>-80133.278720750008</v>
      </c>
      <c r="N463" s="2179">
        <f>N465+N471</f>
        <v>24796.724882639995</v>
      </c>
      <c r="O463" s="2179">
        <f>O465+O471</f>
        <v>0</v>
      </c>
      <c r="P463" s="2178">
        <f>O463-N463</f>
        <v>-24796.724882639995</v>
      </c>
      <c r="Q463" s="2184">
        <f>Q465+Q471</f>
        <v>17669.950344060002</v>
      </c>
      <c r="R463" s="2179">
        <f>R465+R471</f>
        <v>0</v>
      </c>
      <c r="S463" s="2180">
        <f>R463-Q463</f>
        <v>-17669.950344060002</v>
      </c>
      <c r="T463" s="2181">
        <f>N463+Q463</f>
        <v>42466.675226699997</v>
      </c>
      <c r="U463" s="2179">
        <f>O463+R463</f>
        <v>0</v>
      </c>
      <c r="V463" s="2180">
        <f>U463-T463</f>
        <v>-42466.675226699997</v>
      </c>
      <c r="W463" s="2187">
        <f>W465+W471</f>
        <v>14791.895156399998</v>
      </c>
      <c r="X463" s="2179">
        <f>X465+X471</f>
        <v>0</v>
      </c>
      <c r="Y463" s="2183">
        <f>X463-W463</f>
        <v>-14791.895156399998</v>
      </c>
      <c r="Z463" s="2184">
        <f>T463+W463</f>
        <v>57258.570383099999</v>
      </c>
      <c r="AA463" s="2179">
        <f>U463+X463</f>
        <v>0</v>
      </c>
      <c r="AB463" s="2178">
        <f>AA463-Z463</f>
        <v>-57258.570383099999</v>
      </c>
      <c r="AC463" s="2184">
        <f>AC465+AC471</f>
        <v>22874.708337650001</v>
      </c>
      <c r="AD463" s="2179">
        <f>AD465+AD471</f>
        <v>0</v>
      </c>
      <c r="AE463" s="2180">
        <f>AD463-AC463</f>
        <v>-22874.708337650001</v>
      </c>
      <c r="AF463" s="2204"/>
      <c r="AG463" s="2114"/>
      <c r="AH463" s="2188">
        <f>AH465+AH471</f>
        <v>0</v>
      </c>
      <c r="AI463" s="2188">
        <f>AI465+AI471</f>
        <v>0</v>
      </c>
      <c r="AJ463" s="2186">
        <f>AI463-AH463</f>
        <v>0</v>
      </c>
      <c r="AK463" s="2188">
        <f>AK465+AK471</f>
        <v>8413.0205367999988</v>
      </c>
      <c r="AL463" s="2188">
        <f>AL465+AL471</f>
        <v>0</v>
      </c>
      <c r="AM463" s="2186">
        <f>AL463-AK463</f>
        <v>-8413.0205367999988</v>
      </c>
      <c r="AN463" s="2188">
        <f>AN465+AN471</f>
        <v>8974.7614191799985</v>
      </c>
      <c r="AO463" s="2188">
        <f>AO465+AO471</f>
        <v>0</v>
      </c>
      <c r="AP463" s="2186">
        <f>AO463-AN463</f>
        <v>-8974.7614191799985</v>
      </c>
      <c r="AQ463" s="2188">
        <f>AQ465+AQ471</f>
        <v>6388.0958299199992</v>
      </c>
      <c r="AR463" s="2188">
        <f>AR465+AR471</f>
        <v>0</v>
      </c>
      <c r="AS463" s="2186">
        <f>AR463-AQ463</f>
        <v>-6388.0958299199992</v>
      </c>
      <c r="AT463" s="2188">
        <f>AT465+AT471</f>
        <v>6331.25607184</v>
      </c>
      <c r="AU463" s="2188">
        <f>AU465+AU471</f>
        <v>0</v>
      </c>
      <c r="AV463" s="2186">
        <f>AU463-AT463</f>
        <v>-6331.25607184</v>
      </c>
      <c r="AW463" s="2188">
        <f>AW465+AW471</f>
        <v>4950.5984422999991</v>
      </c>
      <c r="AX463" s="2188">
        <f>AX465+AX471</f>
        <v>0</v>
      </c>
      <c r="AY463" s="2186">
        <f>AX463-AW463</f>
        <v>-4950.5984422999991</v>
      </c>
      <c r="AZ463" s="2188">
        <f>AZ465+AZ471</f>
        <v>4453.4245948999996</v>
      </c>
      <c r="BA463" s="2188">
        <f>BA465+BA471</f>
        <v>0</v>
      </c>
      <c r="BB463" s="2186">
        <f>BA463-AZ463</f>
        <v>-4453.4245948999996</v>
      </c>
      <c r="BC463" s="2188">
        <f>BC465+BC471</f>
        <v>4603.0797096999995</v>
      </c>
      <c r="BD463" s="2188">
        <f>BD465+BD471</f>
        <v>0</v>
      </c>
      <c r="BE463" s="2186">
        <f>BD463-BC463</f>
        <v>-4603.0797096999995</v>
      </c>
      <c r="BF463" s="2188">
        <f>BF465+BF471</f>
        <v>5735.3908517999998</v>
      </c>
      <c r="BG463" s="2188">
        <f>BG465+BG471</f>
        <v>0</v>
      </c>
      <c r="BH463" s="2186">
        <f>BG463-BF463</f>
        <v>-5735.3908517999998</v>
      </c>
      <c r="BI463" s="2188">
        <f>BI465+BI471</f>
        <v>6904.6147035499998</v>
      </c>
      <c r="BJ463" s="2188">
        <f>BJ465+BJ471</f>
        <v>0</v>
      </c>
      <c r="BK463" s="2186">
        <f>BJ463-BI463</f>
        <v>-6904.6147035499998</v>
      </c>
      <c r="BL463" s="2188">
        <f>BL465+BL471</f>
        <v>7166.2990606499998</v>
      </c>
      <c r="BM463" s="2188">
        <f>BM465+BM471</f>
        <v>0</v>
      </c>
      <c r="BN463" s="2186">
        <f>BM463-BL463</f>
        <v>-7166.2990606499998</v>
      </c>
      <c r="BO463" s="2188">
        <f>BO465+BO471</f>
        <v>8803.794573449999</v>
      </c>
      <c r="BP463" s="2188">
        <f>BP465+BP471</f>
        <v>0</v>
      </c>
      <c r="BQ463" s="2186">
        <f>BP463-BO463</f>
        <v>-8803.794573449999</v>
      </c>
    </row>
    <row r="464" spans="3:69" s="2159" customFormat="1">
      <c r="C464" s="2293" t="s">
        <v>2619</v>
      </c>
      <c r="D464" s="2360" t="s">
        <v>2246</v>
      </c>
      <c r="E464" s="2361" t="s">
        <v>1833</v>
      </c>
      <c r="F464" s="2162"/>
      <c r="G464" s="2259">
        <f>G470+G476</f>
        <v>0</v>
      </c>
      <c r="H464" s="2259">
        <f>H470+H476</f>
        <v>0</v>
      </c>
      <c r="I464" s="2172"/>
      <c r="J464" s="2162"/>
      <c r="K464" s="2163">
        <f t="shared" ref="K464:L464" si="961">N464+Q464+W464+AC464</f>
        <v>0</v>
      </c>
      <c r="L464" s="2163">
        <f t="shared" si="961"/>
        <v>0</v>
      </c>
      <c r="M464" s="2164">
        <f>L464-K464</f>
        <v>0</v>
      </c>
      <c r="N464" s="2163">
        <f>N470+N476</f>
        <v>0</v>
      </c>
      <c r="O464" s="2163">
        <f>O470+O476</f>
        <v>0</v>
      </c>
      <c r="P464" s="2164">
        <f>O464-N464</f>
        <v>0</v>
      </c>
      <c r="Q464" s="2163">
        <f>Q470+Q476</f>
        <v>0</v>
      </c>
      <c r="R464" s="2163">
        <f>R470+R476</f>
        <v>0</v>
      </c>
      <c r="S464" s="2164">
        <f>R464-Q464</f>
        <v>0</v>
      </c>
      <c r="T464" s="2167">
        <f t="shared" ref="T464:U464" si="962">N464+Q464</f>
        <v>0</v>
      </c>
      <c r="U464" s="2163">
        <f t="shared" si="962"/>
        <v>0</v>
      </c>
      <c r="V464" s="2166">
        <f>U464-T464</f>
        <v>0</v>
      </c>
      <c r="W464" s="2168">
        <f>W470+W476</f>
        <v>0</v>
      </c>
      <c r="X464" s="2163">
        <f>X470+X476</f>
        <v>0</v>
      </c>
      <c r="Y464" s="2169">
        <f>X464-W464</f>
        <v>0</v>
      </c>
      <c r="Z464" s="2165">
        <f t="shared" ref="Z464:AA464" si="963">T464+W464</f>
        <v>0</v>
      </c>
      <c r="AA464" s="2163">
        <f t="shared" si="963"/>
        <v>0</v>
      </c>
      <c r="AB464" s="2164">
        <f>AA464-Z464</f>
        <v>0</v>
      </c>
      <c r="AC464" s="2163">
        <f>AC470+AC476</f>
        <v>0</v>
      </c>
      <c r="AD464" s="2163">
        <f>AD470+AD476</f>
        <v>0</v>
      </c>
      <c r="AE464" s="2164">
        <f>AD464-AC464</f>
        <v>0</v>
      </c>
      <c r="AF464" s="2204"/>
      <c r="AG464" s="2158"/>
      <c r="AH464" s="2171">
        <f>AH470+AH476</f>
        <v>0</v>
      </c>
      <c r="AI464" s="2171">
        <f>AI470+AI476</f>
        <v>0</v>
      </c>
      <c r="AJ464" s="2172">
        <f>AI464-AH464</f>
        <v>0</v>
      </c>
      <c r="AK464" s="2171">
        <f>AK470+AK476</f>
        <v>0</v>
      </c>
      <c r="AL464" s="2171">
        <f>AL470+AL476</f>
        <v>0</v>
      </c>
      <c r="AM464" s="2172">
        <f>AL464-AK464</f>
        <v>0</v>
      </c>
      <c r="AN464" s="2171">
        <f>AN470+AN476</f>
        <v>0</v>
      </c>
      <c r="AO464" s="2171">
        <f>AO470+AO476</f>
        <v>0</v>
      </c>
      <c r="AP464" s="2172">
        <f>AO464-AN464</f>
        <v>0</v>
      </c>
      <c r="AQ464" s="2171">
        <f>AQ470+AQ476</f>
        <v>0</v>
      </c>
      <c r="AR464" s="2171">
        <f>AR470+AR476</f>
        <v>0</v>
      </c>
      <c r="AS464" s="2172">
        <f>AR464-AQ464</f>
        <v>0</v>
      </c>
      <c r="AT464" s="2171">
        <f>AT470+AT476</f>
        <v>0</v>
      </c>
      <c r="AU464" s="2171">
        <f>AU470+AU476</f>
        <v>0</v>
      </c>
      <c r="AV464" s="2172">
        <f>AU464-AT464</f>
        <v>0</v>
      </c>
      <c r="AW464" s="2171">
        <f>AW470+AW476</f>
        <v>0</v>
      </c>
      <c r="AX464" s="2171">
        <f>AX470+AX476</f>
        <v>0</v>
      </c>
      <c r="AY464" s="2172">
        <f>AX464-AW464</f>
        <v>0</v>
      </c>
      <c r="AZ464" s="2171">
        <f>AZ470+AZ476</f>
        <v>0</v>
      </c>
      <c r="BA464" s="2171">
        <f>BA470+BA476</f>
        <v>0</v>
      </c>
      <c r="BB464" s="2172">
        <f>BA464-AZ464</f>
        <v>0</v>
      </c>
      <c r="BC464" s="2171">
        <f>BC470+BC476</f>
        <v>0</v>
      </c>
      <c r="BD464" s="2171">
        <f>BD470+BD476</f>
        <v>0</v>
      </c>
      <c r="BE464" s="2172">
        <f>BD464-BC464</f>
        <v>0</v>
      </c>
      <c r="BF464" s="2171">
        <f>BF470+BF476</f>
        <v>0</v>
      </c>
      <c r="BG464" s="2171">
        <f>BG470+BG476</f>
        <v>0</v>
      </c>
      <c r="BH464" s="2172">
        <f>BG464-BF464</f>
        <v>0</v>
      </c>
      <c r="BI464" s="2171">
        <f>BI470+BI476</f>
        <v>0</v>
      </c>
      <c r="BJ464" s="2171">
        <f>BJ470+BJ476</f>
        <v>0</v>
      </c>
      <c r="BK464" s="2172">
        <f>BJ464-BI464</f>
        <v>0</v>
      </c>
      <c r="BL464" s="2171">
        <f>BL470+BL476</f>
        <v>0</v>
      </c>
      <c r="BM464" s="2171">
        <f>BM470+BM476</f>
        <v>0</v>
      </c>
      <c r="BN464" s="2172">
        <f>BM464-BL464</f>
        <v>0</v>
      </c>
      <c r="BO464" s="2171">
        <f>BO470+BO476</f>
        <v>0</v>
      </c>
      <c r="BP464" s="2171">
        <f>BP470+BP476</f>
        <v>0</v>
      </c>
      <c r="BQ464" s="2172">
        <f>BP464-BO464</f>
        <v>0</v>
      </c>
    </row>
    <row r="465" spans="3:69" s="2279" customFormat="1">
      <c r="C465" s="2285" t="s">
        <v>2620</v>
      </c>
      <c r="D465" s="2287" t="s">
        <v>2248</v>
      </c>
      <c r="E465" s="2284" t="s">
        <v>1833</v>
      </c>
      <c r="F465" s="2176"/>
      <c r="G465" s="2252">
        <f t="shared" ref="G465:H470" si="964">G498+G531+G597+G564+G630</f>
        <v>0</v>
      </c>
      <c r="H465" s="2252">
        <f t="shared" si="964"/>
        <v>0</v>
      </c>
      <c r="I465" s="2178">
        <f t="shared" si="841"/>
        <v>0</v>
      </c>
      <c r="J465" s="2176"/>
      <c r="K465" s="2252">
        <f t="shared" si="837"/>
        <v>37030.591096579999</v>
      </c>
      <c r="L465" s="2252">
        <f t="shared" si="837"/>
        <v>0</v>
      </c>
      <c r="M465" s="2255">
        <f t="shared" si="838"/>
        <v>-37030.591096579999</v>
      </c>
      <c r="N465" s="2179">
        <f t="shared" ref="N465:O476" si="965">N498+N531+N597+N564+N630</f>
        <v>3269.4053830000003</v>
      </c>
      <c r="O465" s="2179">
        <f t="shared" si="965"/>
        <v>0</v>
      </c>
      <c r="P465" s="2178">
        <f t="shared" si="860"/>
        <v>-3269.4053830000003</v>
      </c>
      <c r="Q465" s="2179">
        <f t="shared" ref="Q465:R475" si="966">Q498+Q531+Q597+Q564+Q630</f>
        <v>2350.29984358</v>
      </c>
      <c r="R465" s="2179">
        <f t="shared" si="966"/>
        <v>0</v>
      </c>
      <c r="S465" s="2180">
        <f t="shared" si="862"/>
        <v>-2350.29984358</v>
      </c>
      <c r="T465" s="2251">
        <f t="shared" si="863"/>
        <v>5619.7052265800003</v>
      </c>
      <c r="U465" s="2252">
        <f t="shared" si="863"/>
        <v>0</v>
      </c>
      <c r="V465" s="2253">
        <f t="shared" si="839"/>
        <v>-5619.7052265800003</v>
      </c>
      <c r="W465" s="2187">
        <f t="shared" ref="W465:X475" si="967">W498+W531+W597+W564+W630</f>
        <v>12335.237883149999</v>
      </c>
      <c r="X465" s="2179">
        <f t="shared" si="967"/>
        <v>0</v>
      </c>
      <c r="Y465" s="2183">
        <f t="shared" si="865"/>
        <v>-12335.237883149999</v>
      </c>
      <c r="Z465" s="2254">
        <f t="shared" si="866"/>
        <v>17954.94310973</v>
      </c>
      <c r="AA465" s="2252">
        <f t="shared" si="866"/>
        <v>0</v>
      </c>
      <c r="AB465" s="2255">
        <f t="shared" si="840"/>
        <v>-17954.94310973</v>
      </c>
      <c r="AC465" s="2179">
        <f t="shared" ref="AC465:AD475" si="968">AC498+AC531+AC597+AC564+AC630</f>
        <v>19075.647986849999</v>
      </c>
      <c r="AD465" s="2179">
        <f t="shared" si="968"/>
        <v>0</v>
      </c>
      <c r="AE465" s="2180">
        <f t="shared" si="868"/>
        <v>-19075.647986849999</v>
      </c>
      <c r="AF465" s="2277"/>
      <c r="AG465" s="2278"/>
      <c r="AH465" s="2188">
        <f t="shared" ref="AH465:AI476" si="969">AH498+AH531+AH597+AH564+AH630</f>
        <v>0</v>
      </c>
      <c r="AI465" s="2188">
        <f t="shared" si="969"/>
        <v>0</v>
      </c>
      <c r="AJ465" s="2186">
        <f t="shared" ref="AJ465:AJ469" si="970">AI465-AH465</f>
        <v>0</v>
      </c>
      <c r="AK465" s="2188">
        <f t="shared" ref="AK465:AL476" si="971">AK498+AK531+AK597+AK564+AK630</f>
        <v>1005.0701131400001</v>
      </c>
      <c r="AL465" s="2188">
        <f t="shared" si="971"/>
        <v>0</v>
      </c>
      <c r="AM465" s="2186">
        <f t="shared" ref="AM465:AM469" si="972">AL465-AK465</f>
        <v>-1005.0701131400001</v>
      </c>
      <c r="AN465" s="2188">
        <f t="shared" ref="AN465:AO476" si="973">AN498+AN531+AN597+AN564+AN630</f>
        <v>1193.74293388</v>
      </c>
      <c r="AO465" s="2188">
        <f t="shared" si="973"/>
        <v>0</v>
      </c>
      <c r="AP465" s="2186">
        <f t="shared" ref="AP465:AP469" si="974">AO465-AN465</f>
        <v>-1193.74293388</v>
      </c>
      <c r="AQ465" s="2188">
        <f t="shared" ref="AQ465:AR476" si="975">AQ498+AQ531+AQ597+AQ564+AQ630</f>
        <v>849.68805515999998</v>
      </c>
      <c r="AR465" s="2188">
        <f t="shared" si="975"/>
        <v>0</v>
      </c>
      <c r="AS465" s="2186">
        <f t="shared" ref="AS465:AS469" si="976">AR465-AQ465</f>
        <v>-849.68805515999998</v>
      </c>
      <c r="AT465" s="2188">
        <f t="shared" ref="AT465:AU476" si="977">AT498+AT531+AT597+AT564+AT630</f>
        <v>842.12697881999998</v>
      </c>
      <c r="AU465" s="2188">
        <f t="shared" si="977"/>
        <v>0</v>
      </c>
      <c r="AV465" s="2186">
        <f t="shared" ref="AV465:AV469" si="978">AU465-AT465</f>
        <v>-842.12697881999998</v>
      </c>
      <c r="AW465" s="2188">
        <f t="shared" ref="AW465:AX476" si="979">AW498+AW531+AW597+AW564+AW630</f>
        <v>658.48480960000006</v>
      </c>
      <c r="AX465" s="2188">
        <f t="shared" si="979"/>
        <v>0</v>
      </c>
      <c r="AY465" s="2186">
        <f t="shared" ref="AY465:AY469" si="980">AX465-AW465</f>
        <v>-658.48480960000006</v>
      </c>
      <c r="AZ465" s="2188">
        <f t="shared" ref="AZ465:BA476" si="981">AZ498+AZ531+AZ597+AZ564+AZ630</f>
        <v>3713.7935834999998</v>
      </c>
      <c r="BA465" s="2188">
        <f t="shared" si="981"/>
        <v>0</v>
      </c>
      <c r="BB465" s="2186">
        <f t="shared" ref="BB465:BB469" si="982">BA465-AZ465</f>
        <v>-3713.7935834999998</v>
      </c>
      <c r="BC465" s="2188">
        <f t="shared" ref="BC465:BD476" si="983">BC498+BC531+BC597+BC564+BC630</f>
        <v>3838.5944960999996</v>
      </c>
      <c r="BD465" s="2188">
        <f t="shared" si="983"/>
        <v>0</v>
      </c>
      <c r="BE465" s="2186">
        <f t="shared" ref="BE465:BE469" si="984">BD465-BC465</f>
        <v>-3838.5944960999996</v>
      </c>
      <c r="BF465" s="2188">
        <f t="shared" ref="BF465:BG476" si="985">BF498+BF531+BF597+BF564+BF630</f>
        <v>4782.8498035499997</v>
      </c>
      <c r="BG465" s="2188">
        <f t="shared" si="985"/>
        <v>0</v>
      </c>
      <c r="BH465" s="2186">
        <f t="shared" ref="BH465:BH469" si="986">BG465-BF465</f>
        <v>-4782.8498035499997</v>
      </c>
      <c r="BI465" s="2188">
        <f t="shared" ref="BI465:BJ476" si="987">BI498+BI531+BI597+BI564+BI630</f>
        <v>5757.8876081999997</v>
      </c>
      <c r="BJ465" s="2188">
        <f t="shared" si="987"/>
        <v>0</v>
      </c>
      <c r="BK465" s="2186">
        <f t="shared" ref="BK465:BK469" si="988">BJ465-BI465</f>
        <v>-5757.8876081999997</v>
      </c>
      <c r="BL465" s="2188">
        <f t="shared" ref="BL465:BM476" si="989">BL498+BL531+BL597+BL564+BL630</f>
        <v>5976.1113593999999</v>
      </c>
      <c r="BM465" s="2188">
        <f t="shared" si="989"/>
        <v>0</v>
      </c>
      <c r="BN465" s="2186">
        <f t="shared" ref="BN465:BN469" si="990">BM465-BL465</f>
        <v>-5976.1113593999999</v>
      </c>
      <c r="BO465" s="2188">
        <f t="shared" ref="BO465:BP476" si="991">BO498+BO531+BO597+BO564+BO630</f>
        <v>7341.6490192499996</v>
      </c>
      <c r="BP465" s="2188">
        <f t="shared" si="991"/>
        <v>0</v>
      </c>
      <c r="BQ465" s="2186">
        <f t="shared" ref="BQ465:BQ469" si="992">BP465-BO465</f>
        <v>-7341.6490192499996</v>
      </c>
    </row>
    <row r="466" spans="3:69" s="2279" customFormat="1">
      <c r="C466" s="2194" t="s">
        <v>2621</v>
      </c>
      <c r="D466" s="2283" t="s">
        <v>2221</v>
      </c>
      <c r="E466" s="2284" t="s">
        <v>1833</v>
      </c>
      <c r="F466" s="2176"/>
      <c r="G466" s="2252">
        <f t="shared" si="964"/>
        <v>0</v>
      </c>
      <c r="H466" s="2252">
        <f t="shared" si="964"/>
        <v>0</v>
      </c>
      <c r="I466" s="2178">
        <f t="shared" si="841"/>
        <v>0</v>
      </c>
      <c r="J466" s="2176"/>
      <c r="K466" s="2252">
        <f t="shared" si="837"/>
        <v>0</v>
      </c>
      <c r="L466" s="2252">
        <f t="shared" si="837"/>
        <v>0</v>
      </c>
      <c r="M466" s="2255">
        <f t="shared" si="838"/>
        <v>0</v>
      </c>
      <c r="N466" s="2179">
        <f t="shared" si="965"/>
        <v>0</v>
      </c>
      <c r="O466" s="2179">
        <f t="shared" si="965"/>
        <v>0</v>
      </c>
      <c r="P466" s="2178">
        <f t="shared" si="860"/>
        <v>0</v>
      </c>
      <c r="Q466" s="2179">
        <f t="shared" si="966"/>
        <v>0</v>
      </c>
      <c r="R466" s="2179">
        <f t="shared" si="966"/>
        <v>0</v>
      </c>
      <c r="S466" s="2180">
        <f t="shared" si="862"/>
        <v>0</v>
      </c>
      <c r="T466" s="2251">
        <f t="shared" si="863"/>
        <v>0</v>
      </c>
      <c r="U466" s="2252">
        <f t="shared" si="863"/>
        <v>0</v>
      </c>
      <c r="V466" s="2253">
        <f t="shared" si="839"/>
        <v>0</v>
      </c>
      <c r="W466" s="2187">
        <f t="shared" si="967"/>
        <v>0</v>
      </c>
      <c r="X466" s="2179">
        <f t="shared" si="967"/>
        <v>0</v>
      </c>
      <c r="Y466" s="2183">
        <f t="shared" si="865"/>
        <v>0</v>
      </c>
      <c r="Z466" s="2254">
        <f t="shared" si="866"/>
        <v>0</v>
      </c>
      <c r="AA466" s="2252">
        <f t="shared" si="866"/>
        <v>0</v>
      </c>
      <c r="AB466" s="2255">
        <f t="shared" si="840"/>
        <v>0</v>
      </c>
      <c r="AC466" s="2179">
        <f t="shared" si="968"/>
        <v>0</v>
      </c>
      <c r="AD466" s="2179">
        <f t="shared" si="968"/>
        <v>0</v>
      </c>
      <c r="AE466" s="2180">
        <f t="shared" si="868"/>
        <v>0</v>
      </c>
      <c r="AF466" s="2277"/>
      <c r="AG466" s="2278"/>
      <c r="AH466" s="2188">
        <f t="shared" si="969"/>
        <v>0</v>
      </c>
      <c r="AI466" s="2188">
        <f t="shared" si="969"/>
        <v>0</v>
      </c>
      <c r="AJ466" s="2186">
        <f t="shared" si="970"/>
        <v>0</v>
      </c>
      <c r="AK466" s="2188">
        <f t="shared" si="971"/>
        <v>0</v>
      </c>
      <c r="AL466" s="2188">
        <f t="shared" si="971"/>
        <v>0</v>
      </c>
      <c r="AM466" s="2186">
        <f t="shared" si="972"/>
        <v>0</v>
      </c>
      <c r="AN466" s="2188">
        <f t="shared" si="973"/>
        <v>0</v>
      </c>
      <c r="AO466" s="2188">
        <f t="shared" si="973"/>
        <v>0</v>
      </c>
      <c r="AP466" s="2186">
        <f t="shared" si="974"/>
        <v>0</v>
      </c>
      <c r="AQ466" s="2188">
        <f t="shared" si="975"/>
        <v>0</v>
      </c>
      <c r="AR466" s="2188">
        <f t="shared" si="975"/>
        <v>0</v>
      </c>
      <c r="AS466" s="2186">
        <f t="shared" si="976"/>
        <v>0</v>
      </c>
      <c r="AT466" s="2188">
        <f t="shared" si="977"/>
        <v>0</v>
      </c>
      <c r="AU466" s="2188">
        <f t="shared" si="977"/>
        <v>0</v>
      </c>
      <c r="AV466" s="2186">
        <f t="shared" si="978"/>
        <v>0</v>
      </c>
      <c r="AW466" s="2188">
        <f t="shared" si="979"/>
        <v>0</v>
      </c>
      <c r="AX466" s="2188">
        <f t="shared" si="979"/>
        <v>0</v>
      </c>
      <c r="AY466" s="2186">
        <f t="shared" si="980"/>
        <v>0</v>
      </c>
      <c r="AZ466" s="2188">
        <f t="shared" si="981"/>
        <v>0</v>
      </c>
      <c r="BA466" s="2188">
        <f t="shared" si="981"/>
        <v>0</v>
      </c>
      <c r="BB466" s="2186">
        <f t="shared" si="982"/>
        <v>0</v>
      </c>
      <c r="BC466" s="2188">
        <f t="shared" si="983"/>
        <v>0</v>
      </c>
      <c r="BD466" s="2188">
        <f t="shared" si="983"/>
        <v>0</v>
      </c>
      <c r="BE466" s="2186">
        <f t="shared" si="984"/>
        <v>0</v>
      </c>
      <c r="BF466" s="2188">
        <f t="shared" si="985"/>
        <v>0</v>
      </c>
      <c r="BG466" s="2188">
        <f t="shared" si="985"/>
        <v>0</v>
      </c>
      <c r="BH466" s="2186">
        <f t="shared" si="986"/>
        <v>0</v>
      </c>
      <c r="BI466" s="2188">
        <f t="shared" si="987"/>
        <v>0</v>
      </c>
      <c r="BJ466" s="2188">
        <f t="shared" si="987"/>
        <v>0</v>
      </c>
      <c r="BK466" s="2186">
        <f t="shared" si="988"/>
        <v>0</v>
      </c>
      <c r="BL466" s="2188">
        <f t="shared" si="989"/>
        <v>0</v>
      </c>
      <c r="BM466" s="2188">
        <f t="shared" si="989"/>
        <v>0</v>
      </c>
      <c r="BN466" s="2186">
        <f t="shared" si="990"/>
        <v>0</v>
      </c>
      <c r="BO466" s="2188">
        <f t="shared" si="991"/>
        <v>0</v>
      </c>
      <c r="BP466" s="2188">
        <f t="shared" si="991"/>
        <v>0</v>
      </c>
      <c r="BQ466" s="2186">
        <f t="shared" si="992"/>
        <v>0</v>
      </c>
    </row>
    <row r="467" spans="3:69" s="2279" customFormat="1">
      <c r="C467" s="2194" t="s">
        <v>2622</v>
      </c>
      <c r="D467" s="2283" t="s">
        <v>2223</v>
      </c>
      <c r="E467" s="2284" t="s">
        <v>1833</v>
      </c>
      <c r="F467" s="2176"/>
      <c r="G467" s="2252">
        <f t="shared" si="964"/>
        <v>0</v>
      </c>
      <c r="H467" s="2252">
        <f t="shared" si="964"/>
        <v>0</v>
      </c>
      <c r="I467" s="2178">
        <f t="shared" si="841"/>
        <v>0</v>
      </c>
      <c r="J467" s="2176"/>
      <c r="K467" s="2252">
        <f t="shared" si="837"/>
        <v>0</v>
      </c>
      <c r="L467" s="2252">
        <f t="shared" si="837"/>
        <v>0</v>
      </c>
      <c r="M467" s="2255">
        <f t="shared" si="838"/>
        <v>0</v>
      </c>
      <c r="N467" s="2179">
        <f t="shared" si="965"/>
        <v>0</v>
      </c>
      <c r="O467" s="2179">
        <f t="shared" si="965"/>
        <v>0</v>
      </c>
      <c r="P467" s="2178">
        <f t="shared" si="860"/>
        <v>0</v>
      </c>
      <c r="Q467" s="2179">
        <f t="shared" si="966"/>
        <v>0</v>
      </c>
      <c r="R467" s="2179">
        <f t="shared" si="966"/>
        <v>0</v>
      </c>
      <c r="S467" s="2180">
        <f t="shared" si="862"/>
        <v>0</v>
      </c>
      <c r="T467" s="2251">
        <f t="shared" si="863"/>
        <v>0</v>
      </c>
      <c r="U467" s="2252">
        <f t="shared" si="863"/>
        <v>0</v>
      </c>
      <c r="V467" s="2253">
        <f t="shared" si="839"/>
        <v>0</v>
      </c>
      <c r="W467" s="2187">
        <f t="shared" si="967"/>
        <v>0</v>
      </c>
      <c r="X467" s="2179">
        <f t="shared" si="967"/>
        <v>0</v>
      </c>
      <c r="Y467" s="2183">
        <f t="shared" si="865"/>
        <v>0</v>
      </c>
      <c r="Z467" s="2254">
        <f t="shared" si="866"/>
        <v>0</v>
      </c>
      <c r="AA467" s="2252">
        <f t="shared" si="866"/>
        <v>0</v>
      </c>
      <c r="AB467" s="2255">
        <f t="shared" si="840"/>
        <v>0</v>
      </c>
      <c r="AC467" s="2179">
        <f t="shared" si="968"/>
        <v>0</v>
      </c>
      <c r="AD467" s="2179">
        <f t="shared" si="968"/>
        <v>0</v>
      </c>
      <c r="AE467" s="2180">
        <f t="shared" si="868"/>
        <v>0</v>
      </c>
      <c r="AF467" s="2277"/>
      <c r="AG467" s="2278"/>
      <c r="AH467" s="2188">
        <f t="shared" si="969"/>
        <v>0</v>
      </c>
      <c r="AI467" s="2188">
        <f t="shared" si="969"/>
        <v>0</v>
      </c>
      <c r="AJ467" s="2186">
        <f t="shared" si="970"/>
        <v>0</v>
      </c>
      <c r="AK467" s="2188">
        <f t="shared" si="971"/>
        <v>0</v>
      </c>
      <c r="AL467" s="2188">
        <f t="shared" si="971"/>
        <v>0</v>
      </c>
      <c r="AM467" s="2186">
        <f t="shared" si="972"/>
        <v>0</v>
      </c>
      <c r="AN467" s="2188">
        <f t="shared" si="973"/>
        <v>0</v>
      </c>
      <c r="AO467" s="2188">
        <f t="shared" si="973"/>
        <v>0</v>
      </c>
      <c r="AP467" s="2186">
        <f t="shared" si="974"/>
        <v>0</v>
      </c>
      <c r="AQ467" s="2188">
        <f t="shared" si="975"/>
        <v>0</v>
      </c>
      <c r="AR467" s="2188">
        <f t="shared" si="975"/>
        <v>0</v>
      </c>
      <c r="AS467" s="2186">
        <f t="shared" si="976"/>
        <v>0</v>
      </c>
      <c r="AT467" s="2188">
        <f t="shared" si="977"/>
        <v>0</v>
      </c>
      <c r="AU467" s="2188">
        <f t="shared" si="977"/>
        <v>0</v>
      </c>
      <c r="AV467" s="2186">
        <f t="shared" si="978"/>
        <v>0</v>
      </c>
      <c r="AW467" s="2188">
        <f t="shared" si="979"/>
        <v>0</v>
      </c>
      <c r="AX467" s="2188">
        <f t="shared" si="979"/>
        <v>0</v>
      </c>
      <c r="AY467" s="2186">
        <f t="shared" si="980"/>
        <v>0</v>
      </c>
      <c r="AZ467" s="2188">
        <f t="shared" si="981"/>
        <v>0</v>
      </c>
      <c r="BA467" s="2188">
        <f t="shared" si="981"/>
        <v>0</v>
      </c>
      <c r="BB467" s="2186">
        <f t="shared" si="982"/>
        <v>0</v>
      </c>
      <c r="BC467" s="2188">
        <f t="shared" si="983"/>
        <v>0</v>
      </c>
      <c r="BD467" s="2188">
        <f t="shared" si="983"/>
        <v>0</v>
      </c>
      <c r="BE467" s="2186">
        <f t="shared" si="984"/>
        <v>0</v>
      </c>
      <c r="BF467" s="2188">
        <f t="shared" si="985"/>
        <v>0</v>
      </c>
      <c r="BG467" s="2188">
        <f t="shared" si="985"/>
        <v>0</v>
      </c>
      <c r="BH467" s="2186">
        <f t="shared" si="986"/>
        <v>0</v>
      </c>
      <c r="BI467" s="2188">
        <f t="shared" si="987"/>
        <v>0</v>
      </c>
      <c r="BJ467" s="2188">
        <f t="shared" si="987"/>
        <v>0</v>
      </c>
      <c r="BK467" s="2186">
        <f t="shared" si="988"/>
        <v>0</v>
      </c>
      <c r="BL467" s="2188">
        <f t="shared" si="989"/>
        <v>0</v>
      </c>
      <c r="BM467" s="2188">
        <f t="shared" si="989"/>
        <v>0</v>
      </c>
      <c r="BN467" s="2186">
        <f t="shared" si="990"/>
        <v>0</v>
      </c>
      <c r="BO467" s="2188">
        <f t="shared" si="991"/>
        <v>0</v>
      </c>
      <c r="BP467" s="2188">
        <f t="shared" si="991"/>
        <v>0</v>
      </c>
      <c r="BQ467" s="2186">
        <f t="shared" si="992"/>
        <v>0</v>
      </c>
    </row>
    <row r="468" spans="3:69" s="2279" customFormat="1">
      <c r="C468" s="2194" t="s">
        <v>2623</v>
      </c>
      <c r="D468" s="2283" t="s">
        <v>2225</v>
      </c>
      <c r="E468" s="2284" t="s">
        <v>1833</v>
      </c>
      <c r="F468" s="2176"/>
      <c r="G468" s="2252">
        <f t="shared" si="964"/>
        <v>0</v>
      </c>
      <c r="H468" s="2252">
        <f t="shared" si="964"/>
        <v>0</v>
      </c>
      <c r="I468" s="2178">
        <f t="shared" si="841"/>
        <v>0</v>
      </c>
      <c r="J468" s="2176"/>
      <c r="K468" s="2252">
        <f t="shared" si="837"/>
        <v>26743.105713579997</v>
      </c>
      <c r="L468" s="2252">
        <f t="shared" si="837"/>
        <v>0</v>
      </c>
      <c r="M468" s="2255">
        <f t="shared" si="838"/>
        <v>-26743.105713579997</v>
      </c>
      <c r="N468" s="2179">
        <f t="shared" si="965"/>
        <v>2115.4848876000001</v>
      </c>
      <c r="O468" s="2179">
        <f t="shared" si="965"/>
        <v>0</v>
      </c>
      <c r="P468" s="2178">
        <f t="shared" si="860"/>
        <v>-2115.4848876000001</v>
      </c>
      <c r="Q468" s="2179">
        <f t="shared" si="966"/>
        <v>1642.2027794800001</v>
      </c>
      <c r="R468" s="2179">
        <f t="shared" si="966"/>
        <v>0</v>
      </c>
      <c r="S468" s="2180">
        <f t="shared" si="862"/>
        <v>-1642.2027794800001</v>
      </c>
      <c r="T468" s="2251">
        <f t="shared" si="863"/>
        <v>3757.6876670800002</v>
      </c>
      <c r="U468" s="2252">
        <f t="shared" si="863"/>
        <v>0</v>
      </c>
      <c r="V468" s="2253">
        <f t="shared" si="839"/>
        <v>-3757.6876670800002</v>
      </c>
      <c r="W468" s="2187">
        <f t="shared" si="967"/>
        <v>9026.5082134499989</v>
      </c>
      <c r="X468" s="2179">
        <f t="shared" si="967"/>
        <v>0</v>
      </c>
      <c r="Y468" s="2183">
        <f t="shared" si="865"/>
        <v>-9026.5082134499989</v>
      </c>
      <c r="Z468" s="2254">
        <f t="shared" si="866"/>
        <v>12784.195880529998</v>
      </c>
      <c r="AA468" s="2252">
        <f t="shared" si="866"/>
        <v>0</v>
      </c>
      <c r="AB468" s="2255">
        <f t="shared" si="840"/>
        <v>-12784.195880529998</v>
      </c>
      <c r="AC468" s="2179">
        <f t="shared" si="968"/>
        <v>13958.909833049998</v>
      </c>
      <c r="AD468" s="2179">
        <f t="shared" si="968"/>
        <v>0</v>
      </c>
      <c r="AE468" s="2180">
        <f t="shared" si="868"/>
        <v>-13958.909833049998</v>
      </c>
      <c r="AF468" s="2277"/>
      <c r="AG468" s="2278"/>
      <c r="AH468" s="2188">
        <f t="shared" si="969"/>
        <v>0</v>
      </c>
      <c r="AI468" s="2188">
        <f t="shared" si="969"/>
        <v>0</v>
      </c>
      <c r="AJ468" s="2186">
        <f t="shared" si="970"/>
        <v>0</v>
      </c>
      <c r="AK468" s="2188">
        <f t="shared" si="971"/>
        <v>702.26320180000005</v>
      </c>
      <c r="AL468" s="2188">
        <f t="shared" si="971"/>
        <v>0</v>
      </c>
      <c r="AM468" s="2186">
        <f t="shared" si="972"/>
        <v>-702.26320180000005</v>
      </c>
      <c r="AN468" s="2188">
        <f t="shared" si="973"/>
        <v>834.09279860000004</v>
      </c>
      <c r="AO468" s="2188">
        <f t="shared" si="973"/>
        <v>0</v>
      </c>
      <c r="AP468" s="2186">
        <f t="shared" si="974"/>
        <v>-834.09279860000004</v>
      </c>
      <c r="AQ468" s="2188">
        <f t="shared" si="975"/>
        <v>593.69444708000003</v>
      </c>
      <c r="AR468" s="2188">
        <f t="shared" si="975"/>
        <v>0</v>
      </c>
      <c r="AS468" s="2186">
        <f t="shared" si="976"/>
        <v>-593.69444708000003</v>
      </c>
      <c r="AT468" s="2188">
        <f t="shared" si="977"/>
        <v>588.41155244000004</v>
      </c>
      <c r="AU468" s="2188">
        <f t="shared" si="977"/>
        <v>0</v>
      </c>
      <c r="AV468" s="2186">
        <f t="shared" si="978"/>
        <v>-588.41155244000004</v>
      </c>
      <c r="AW468" s="2188">
        <f t="shared" si="979"/>
        <v>460.09677996000005</v>
      </c>
      <c r="AX468" s="2188">
        <f t="shared" si="979"/>
        <v>0</v>
      </c>
      <c r="AY468" s="2186">
        <f t="shared" si="980"/>
        <v>-460.09677996000005</v>
      </c>
      <c r="AZ468" s="2188">
        <f t="shared" si="981"/>
        <v>2717.6293462499998</v>
      </c>
      <c r="BA468" s="2188">
        <f t="shared" si="981"/>
        <v>0</v>
      </c>
      <c r="BB468" s="2186">
        <f t="shared" si="982"/>
        <v>-2717.6293462499998</v>
      </c>
      <c r="BC468" s="2188">
        <f t="shared" si="983"/>
        <v>2808.9525008999994</v>
      </c>
      <c r="BD468" s="2188">
        <f t="shared" si="983"/>
        <v>0</v>
      </c>
      <c r="BE468" s="2186">
        <f t="shared" si="984"/>
        <v>-2808.9525008999994</v>
      </c>
      <c r="BF468" s="2188">
        <f t="shared" si="985"/>
        <v>3499.9263662999997</v>
      </c>
      <c r="BG468" s="2188">
        <f t="shared" si="985"/>
        <v>0</v>
      </c>
      <c r="BH468" s="2186">
        <f t="shared" si="986"/>
        <v>-3499.9263662999997</v>
      </c>
      <c r="BI468" s="2188">
        <f t="shared" si="987"/>
        <v>4213.4259940499996</v>
      </c>
      <c r="BJ468" s="2188">
        <f t="shared" si="987"/>
        <v>0</v>
      </c>
      <c r="BK468" s="2186">
        <f t="shared" si="988"/>
        <v>-4213.4259940499996</v>
      </c>
      <c r="BL468" s="2188">
        <f t="shared" si="989"/>
        <v>4373.1136448999996</v>
      </c>
      <c r="BM468" s="2188">
        <f t="shared" si="989"/>
        <v>0</v>
      </c>
      <c r="BN468" s="2186">
        <f t="shared" si="990"/>
        <v>-4373.1136448999996</v>
      </c>
      <c r="BO468" s="2188">
        <f t="shared" si="991"/>
        <v>5372.3701940999999</v>
      </c>
      <c r="BP468" s="2188">
        <f t="shared" si="991"/>
        <v>0</v>
      </c>
      <c r="BQ468" s="2186">
        <f t="shared" si="992"/>
        <v>-5372.3701940999999</v>
      </c>
    </row>
    <row r="469" spans="3:69" s="2279" customFormat="1">
      <c r="C469" s="2194" t="s">
        <v>2624</v>
      </c>
      <c r="D469" s="2283" t="s">
        <v>2227</v>
      </c>
      <c r="E469" s="2284" t="s">
        <v>1833</v>
      </c>
      <c r="F469" s="2176"/>
      <c r="G469" s="2252">
        <f t="shared" si="964"/>
        <v>0</v>
      </c>
      <c r="H469" s="2252">
        <f t="shared" si="964"/>
        <v>0</v>
      </c>
      <c r="I469" s="2178">
        <f t="shared" si="841"/>
        <v>0</v>
      </c>
      <c r="J469" s="2176"/>
      <c r="K469" s="2252">
        <f t="shared" si="837"/>
        <v>10287.485382999999</v>
      </c>
      <c r="L469" s="2252">
        <f t="shared" si="837"/>
        <v>0</v>
      </c>
      <c r="M469" s="2255">
        <f t="shared" si="838"/>
        <v>-10287.485382999999</v>
      </c>
      <c r="N469" s="2179">
        <f t="shared" si="965"/>
        <v>1153.9204953999999</v>
      </c>
      <c r="O469" s="2179">
        <f t="shared" si="965"/>
        <v>0</v>
      </c>
      <c r="P469" s="2178">
        <f t="shared" si="860"/>
        <v>-1153.9204953999999</v>
      </c>
      <c r="Q469" s="2179">
        <f t="shared" si="966"/>
        <v>708.0970640999999</v>
      </c>
      <c r="R469" s="2179">
        <f t="shared" si="966"/>
        <v>0</v>
      </c>
      <c r="S469" s="2180">
        <f t="shared" si="862"/>
        <v>-708.0970640999999</v>
      </c>
      <c r="T469" s="2251">
        <f t="shared" si="863"/>
        <v>1862.0175594999998</v>
      </c>
      <c r="U469" s="2252">
        <f t="shared" si="863"/>
        <v>0</v>
      </c>
      <c r="V469" s="2253">
        <f t="shared" si="839"/>
        <v>-1862.0175594999998</v>
      </c>
      <c r="W469" s="2187">
        <f t="shared" si="967"/>
        <v>3308.7296696999997</v>
      </c>
      <c r="X469" s="2179">
        <f t="shared" si="967"/>
        <v>0</v>
      </c>
      <c r="Y469" s="2183">
        <f t="shared" si="865"/>
        <v>-3308.7296696999997</v>
      </c>
      <c r="Z469" s="2254">
        <f t="shared" si="866"/>
        <v>5170.7472291999993</v>
      </c>
      <c r="AA469" s="2252">
        <f t="shared" si="866"/>
        <v>0</v>
      </c>
      <c r="AB469" s="2255">
        <f t="shared" si="840"/>
        <v>-5170.7472291999993</v>
      </c>
      <c r="AC469" s="2179">
        <f t="shared" si="968"/>
        <v>5116.7381538</v>
      </c>
      <c r="AD469" s="2179">
        <f t="shared" si="968"/>
        <v>0</v>
      </c>
      <c r="AE469" s="2180">
        <f t="shared" si="868"/>
        <v>-5116.7381538</v>
      </c>
      <c r="AF469" s="2277"/>
      <c r="AG469" s="2278"/>
      <c r="AH469" s="2188">
        <f t="shared" si="969"/>
        <v>0</v>
      </c>
      <c r="AI469" s="2188">
        <f t="shared" si="969"/>
        <v>0</v>
      </c>
      <c r="AJ469" s="2186">
        <f t="shared" si="970"/>
        <v>0</v>
      </c>
      <c r="AK469" s="2188">
        <f t="shared" si="971"/>
        <v>302.80691134</v>
      </c>
      <c r="AL469" s="2188">
        <f t="shared" si="971"/>
        <v>0</v>
      </c>
      <c r="AM469" s="2186">
        <f t="shared" si="972"/>
        <v>-302.80691134</v>
      </c>
      <c r="AN469" s="2188">
        <f t="shared" si="973"/>
        <v>359.65013527999997</v>
      </c>
      <c r="AO469" s="2188">
        <f t="shared" si="973"/>
        <v>0</v>
      </c>
      <c r="AP469" s="2186">
        <f t="shared" si="974"/>
        <v>-359.65013527999997</v>
      </c>
      <c r="AQ469" s="2188">
        <f t="shared" si="975"/>
        <v>255.99360808</v>
      </c>
      <c r="AR469" s="2188">
        <f t="shared" si="975"/>
        <v>0</v>
      </c>
      <c r="AS469" s="2186">
        <f t="shared" si="976"/>
        <v>-255.99360808</v>
      </c>
      <c r="AT469" s="2188">
        <f t="shared" si="977"/>
        <v>253.71542638</v>
      </c>
      <c r="AU469" s="2188">
        <f t="shared" si="977"/>
        <v>0</v>
      </c>
      <c r="AV469" s="2186">
        <f t="shared" si="978"/>
        <v>-253.71542638</v>
      </c>
      <c r="AW469" s="2188">
        <f t="shared" si="979"/>
        <v>198.38802963999998</v>
      </c>
      <c r="AX469" s="2188">
        <f t="shared" si="979"/>
        <v>0</v>
      </c>
      <c r="AY469" s="2186">
        <f t="shared" si="980"/>
        <v>-198.38802963999998</v>
      </c>
      <c r="AZ469" s="2188">
        <f t="shared" si="981"/>
        <v>996.16423724999993</v>
      </c>
      <c r="BA469" s="2188">
        <f t="shared" si="981"/>
        <v>0</v>
      </c>
      <c r="BB469" s="2186">
        <f t="shared" si="982"/>
        <v>-996.16423724999993</v>
      </c>
      <c r="BC469" s="2188">
        <f t="shared" si="983"/>
        <v>1029.6419951999999</v>
      </c>
      <c r="BD469" s="2188">
        <f t="shared" si="983"/>
        <v>0</v>
      </c>
      <c r="BE469" s="2186">
        <f t="shared" si="984"/>
        <v>-1029.6419951999999</v>
      </c>
      <c r="BF469" s="2188">
        <f t="shared" si="985"/>
        <v>1282.9234372499998</v>
      </c>
      <c r="BG469" s="2188">
        <f t="shared" si="985"/>
        <v>0</v>
      </c>
      <c r="BH469" s="2186">
        <f t="shared" si="986"/>
        <v>-1282.9234372499998</v>
      </c>
      <c r="BI469" s="2188">
        <f t="shared" si="987"/>
        <v>1544.4616141499998</v>
      </c>
      <c r="BJ469" s="2188">
        <f t="shared" si="987"/>
        <v>0</v>
      </c>
      <c r="BK469" s="2186">
        <f t="shared" si="988"/>
        <v>-1544.4616141499998</v>
      </c>
      <c r="BL469" s="2188">
        <f t="shared" si="989"/>
        <v>1602.9977144999998</v>
      </c>
      <c r="BM469" s="2188">
        <f t="shared" si="989"/>
        <v>0</v>
      </c>
      <c r="BN469" s="2186">
        <f t="shared" si="990"/>
        <v>-1602.9977144999998</v>
      </c>
      <c r="BO469" s="2188">
        <f t="shared" si="991"/>
        <v>1969.2788251499996</v>
      </c>
      <c r="BP469" s="2188">
        <f t="shared" si="991"/>
        <v>0</v>
      </c>
      <c r="BQ469" s="2186">
        <f t="shared" si="992"/>
        <v>-1969.2788251499996</v>
      </c>
    </row>
    <row r="470" spans="3:69" s="2279" customFormat="1">
      <c r="C470" s="2194" t="s">
        <v>2625</v>
      </c>
      <c r="D470" s="2283" t="s">
        <v>2229</v>
      </c>
      <c r="E470" s="2284" t="s">
        <v>1833</v>
      </c>
      <c r="F470" s="2176"/>
      <c r="G470" s="2252">
        <f>G503+G536+G602+G569+G635</f>
        <v>0</v>
      </c>
      <c r="H470" s="2252">
        <f t="shared" si="964"/>
        <v>0</v>
      </c>
      <c r="I470" s="2186"/>
      <c r="J470" s="2176"/>
      <c r="K470" s="2179">
        <f>N470+Q470+W470+AC470</f>
        <v>0</v>
      </c>
      <c r="L470" s="2179">
        <f>O470+R470+X470+AD470</f>
        <v>0</v>
      </c>
      <c r="M470" s="2178">
        <f>L470-K470</f>
        <v>0</v>
      </c>
      <c r="N470" s="2179">
        <f t="shared" si="965"/>
        <v>0</v>
      </c>
      <c r="O470" s="2179">
        <f t="shared" si="965"/>
        <v>0</v>
      </c>
      <c r="P470" s="2178">
        <f>O470-N470</f>
        <v>0</v>
      </c>
      <c r="Q470" s="2179">
        <f t="shared" si="966"/>
        <v>0</v>
      </c>
      <c r="R470" s="2179">
        <f t="shared" si="966"/>
        <v>0</v>
      </c>
      <c r="S470" s="2178">
        <f>R470-Q470</f>
        <v>0</v>
      </c>
      <c r="T470" s="2181">
        <f>N470+Q470</f>
        <v>0</v>
      </c>
      <c r="U470" s="2179">
        <f>O470+R470</f>
        <v>0</v>
      </c>
      <c r="V470" s="2180">
        <f>U470-T470</f>
        <v>0</v>
      </c>
      <c r="W470" s="2187">
        <f t="shared" si="967"/>
        <v>0</v>
      </c>
      <c r="X470" s="2179">
        <f t="shared" si="967"/>
        <v>0</v>
      </c>
      <c r="Y470" s="2183">
        <f>X470-W470</f>
        <v>0</v>
      </c>
      <c r="Z470" s="2184">
        <f>T470+W470</f>
        <v>0</v>
      </c>
      <c r="AA470" s="2179">
        <f>U470+X470</f>
        <v>0</v>
      </c>
      <c r="AB470" s="2178">
        <f>AA470-Z470</f>
        <v>0</v>
      </c>
      <c r="AC470" s="2179">
        <f t="shared" si="968"/>
        <v>0</v>
      </c>
      <c r="AD470" s="2179">
        <f t="shared" si="968"/>
        <v>0</v>
      </c>
      <c r="AE470" s="2178">
        <f>AD470-AC470</f>
        <v>0</v>
      </c>
      <c r="AF470" s="2277"/>
      <c r="AG470" s="2278"/>
      <c r="AH470" s="2188">
        <f t="shared" si="969"/>
        <v>0</v>
      </c>
      <c r="AI470" s="2188">
        <f t="shared" si="969"/>
        <v>0</v>
      </c>
      <c r="AJ470" s="2186">
        <f>AI470-AH470</f>
        <v>0</v>
      </c>
      <c r="AK470" s="2188">
        <f t="shared" si="971"/>
        <v>0</v>
      </c>
      <c r="AL470" s="2188">
        <f t="shared" si="971"/>
        <v>0</v>
      </c>
      <c r="AM470" s="2186">
        <f>AL470-AK470</f>
        <v>0</v>
      </c>
      <c r="AN470" s="2188">
        <f t="shared" si="973"/>
        <v>0</v>
      </c>
      <c r="AO470" s="2188">
        <f t="shared" si="973"/>
        <v>0</v>
      </c>
      <c r="AP470" s="2186">
        <f>AO470-AN470</f>
        <v>0</v>
      </c>
      <c r="AQ470" s="2188">
        <f t="shared" si="975"/>
        <v>0</v>
      </c>
      <c r="AR470" s="2188">
        <f t="shared" si="975"/>
        <v>0</v>
      </c>
      <c r="AS470" s="2186">
        <f>AR470-AQ470</f>
        <v>0</v>
      </c>
      <c r="AT470" s="2188">
        <f t="shared" si="977"/>
        <v>0</v>
      </c>
      <c r="AU470" s="2188">
        <f t="shared" si="977"/>
        <v>0</v>
      </c>
      <c r="AV470" s="2186">
        <f>AU470-AT470</f>
        <v>0</v>
      </c>
      <c r="AW470" s="2188">
        <f t="shared" si="979"/>
        <v>0</v>
      </c>
      <c r="AX470" s="2188">
        <f t="shared" si="979"/>
        <v>0</v>
      </c>
      <c r="AY470" s="2186">
        <f>AX470-AW470</f>
        <v>0</v>
      </c>
      <c r="AZ470" s="2188">
        <f t="shared" si="981"/>
        <v>0</v>
      </c>
      <c r="BA470" s="2188">
        <f t="shared" si="981"/>
        <v>0</v>
      </c>
      <c r="BB470" s="2186">
        <f>BA470-AZ470</f>
        <v>0</v>
      </c>
      <c r="BC470" s="2188">
        <f t="shared" si="983"/>
        <v>0</v>
      </c>
      <c r="BD470" s="2188">
        <f t="shared" si="983"/>
        <v>0</v>
      </c>
      <c r="BE470" s="2186">
        <f>BD470-BC470</f>
        <v>0</v>
      </c>
      <c r="BF470" s="2188">
        <f t="shared" si="985"/>
        <v>0</v>
      </c>
      <c r="BG470" s="2188">
        <f t="shared" si="985"/>
        <v>0</v>
      </c>
      <c r="BH470" s="2186">
        <f>BG470-BF470</f>
        <v>0</v>
      </c>
      <c r="BI470" s="2188">
        <f t="shared" si="987"/>
        <v>0</v>
      </c>
      <c r="BJ470" s="2188">
        <f t="shared" si="987"/>
        <v>0</v>
      </c>
      <c r="BK470" s="2186">
        <f>BJ470-BI470</f>
        <v>0</v>
      </c>
      <c r="BL470" s="2188">
        <f t="shared" si="989"/>
        <v>0</v>
      </c>
      <c r="BM470" s="2188">
        <f t="shared" si="989"/>
        <v>0</v>
      </c>
      <c r="BN470" s="2186">
        <f>BM470-BL470</f>
        <v>0</v>
      </c>
      <c r="BO470" s="2188">
        <f t="shared" si="991"/>
        <v>0</v>
      </c>
      <c r="BP470" s="2188">
        <f t="shared" si="991"/>
        <v>0</v>
      </c>
      <c r="BQ470" s="2186">
        <f>BP470-BO470</f>
        <v>0</v>
      </c>
    </row>
    <row r="471" spans="3:69" s="2279" customFormat="1">
      <c r="C471" s="2285" t="s">
        <v>2626</v>
      </c>
      <c r="D471" s="2287" t="s">
        <v>2255</v>
      </c>
      <c r="E471" s="2284" t="s">
        <v>1833</v>
      </c>
      <c r="F471" s="2176"/>
      <c r="G471" s="2252">
        <f t="shared" ref="G471:H474" si="993">G504+G537+G603+G570+G636</f>
        <v>0</v>
      </c>
      <c r="H471" s="2252">
        <f t="shared" si="993"/>
        <v>0</v>
      </c>
      <c r="I471" s="2178">
        <f t="shared" si="841"/>
        <v>0</v>
      </c>
      <c r="J471" s="2176"/>
      <c r="K471" s="2252">
        <f t="shared" si="837"/>
        <v>43102.687624169994</v>
      </c>
      <c r="L471" s="2252">
        <f t="shared" si="837"/>
        <v>0</v>
      </c>
      <c r="M471" s="2255">
        <f t="shared" si="838"/>
        <v>-43102.687624169994</v>
      </c>
      <c r="N471" s="2179">
        <f t="shared" si="965"/>
        <v>21527.319499639994</v>
      </c>
      <c r="O471" s="2179">
        <f t="shared" si="965"/>
        <v>0</v>
      </c>
      <c r="P471" s="2178">
        <f t="shared" si="860"/>
        <v>-21527.319499639994</v>
      </c>
      <c r="Q471" s="2179">
        <f t="shared" si="966"/>
        <v>15319.65050048</v>
      </c>
      <c r="R471" s="2179">
        <f t="shared" si="966"/>
        <v>0</v>
      </c>
      <c r="S471" s="2180">
        <f t="shared" si="862"/>
        <v>-15319.65050048</v>
      </c>
      <c r="T471" s="2251">
        <f t="shared" si="863"/>
        <v>36846.970000119996</v>
      </c>
      <c r="U471" s="2252">
        <f t="shared" si="863"/>
        <v>0</v>
      </c>
      <c r="V471" s="2253">
        <f t="shared" si="839"/>
        <v>-36846.970000119996</v>
      </c>
      <c r="W471" s="2187">
        <f t="shared" si="967"/>
        <v>2456.6572732499999</v>
      </c>
      <c r="X471" s="2179">
        <f t="shared" si="967"/>
        <v>0</v>
      </c>
      <c r="Y471" s="2183">
        <f t="shared" si="865"/>
        <v>-2456.6572732499999</v>
      </c>
      <c r="Z471" s="2254">
        <f t="shared" si="866"/>
        <v>39303.627273369995</v>
      </c>
      <c r="AA471" s="2252">
        <f t="shared" si="866"/>
        <v>0</v>
      </c>
      <c r="AB471" s="2255">
        <f t="shared" si="840"/>
        <v>-39303.627273369995</v>
      </c>
      <c r="AC471" s="2179">
        <f t="shared" si="968"/>
        <v>3799.0603508000004</v>
      </c>
      <c r="AD471" s="2179">
        <f t="shared" si="968"/>
        <v>0</v>
      </c>
      <c r="AE471" s="2180">
        <f t="shared" si="868"/>
        <v>-3799.0603508000004</v>
      </c>
      <c r="AF471" s="2277"/>
      <c r="AG471" s="2278"/>
      <c r="AH471" s="2188">
        <f t="shared" si="969"/>
        <v>0</v>
      </c>
      <c r="AI471" s="2188">
        <f t="shared" si="969"/>
        <v>0</v>
      </c>
      <c r="AJ471" s="2186">
        <f t="shared" ref="AJ471:AJ475" si="994">AI471-AH471</f>
        <v>0</v>
      </c>
      <c r="AK471" s="2188">
        <f t="shared" si="971"/>
        <v>7407.9504236599996</v>
      </c>
      <c r="AL471" s="2188">
        <f t="shared" si="971"/>
        <v>0</v>
      </c>
      <c r="AM471" s="2186">
        <f t="shared" ref="AM471:AM475" si="995">AL471-AK471</f>
        <v>-7407.9504236599996</v>
      </c>
      <c r="AN471" s="2188">
        <f t="shared" si="973"/>
        <v>7781.0184852999982</v>
      </c>
      <c r="AO471" s="2188">
        <f t="shared" si="973"/>
        <v>0</v>
      </c>
      <c r="AP471" s="2186">
        <f t="shared" ref="AP471:AP475" si="996">AO471-AN471</f>
        <v>-7781.0184852999982</v>
      </c>
      <c r="AQ471" s="2188">
        <f t="shared" si="975"/>
        <v>5538.4077747599995</v>
      </c>
      <c r="AR471" s="2188">
        <f t="shared" si="975"/>
        <v>0</v>
      </c>
      <c r="AS471" s="2186">
        <f t="shared" ref="AS471:AS475" si="997">AR471-AQ471</f>
        <v>-5538.4077747599995</v>
      </c>
      <c r="AT471" s="2188">
        <f t="shared" si="977"/>
        <v>5489.1290930200003</v>
      </c>
      <c r="AU471" s="2188">
        <f t="shared" si="977"/>
        <v>0</v>
      </c>
      <c r="AV471" s="2186">
        <f t="shared" ref="AV471:AV475" si="998">AU471-AT471</f>
        <v>-5489.1290930200003</v>
      </c>
      <c r="AW471" s="2188">
        <f t="shared" si="979"/>
        <v>4292.1136326999995</v>
      </c>
      <c r="AX471" s="2188">
        <f t="shared" si="979"/>
        <v>0</v>
      </c>
      <c r="AY471" s="2186">
        <f t="shared" ref="AY471:AY475" si="999">AX471-AW471</f>
        <v>-4292.1136326999995</v>
      </c>
      <c r="AZ471" s="2188">
        <f t="shared" si="981"/>
        <v>739.63101139999992</v>
      </c>
      <c r="BA471" s="2188">
        <f t="shared" si="981"/>
        <v>0</v>
      </c>
      <c r="BB471" s="2186">
        <f t="shared" ref="BB471:BB475" si="1000">BA471-AZ471</f>
        <v>-739.63101139999992</v>
      </c>
      <c r="BC471" s="2188">
        <f t="shared" si="983"/>
        <v>764.48521360000007</v>
      </c>
      <c r="BD471" s="2188">
        <f t="shared" si="983"/>
        <v>0</v>
      </c>
      <c r="BE471" s="2186">
        <f t="shared" ref="BE471:BE475" si="1001">BD471-BC471</f>
        <v>-764.48521360000007</v>
      </c>
      <c r="BF471" s="2188">
        <f t="shared" si="985"/>
        <v>952.54104825000002</v>
      </c>
      <c r="BG471" s="2188">
        <f t="shared" si="985"/>
        <v>0</v>
      </c>
      <c r="BH471" s="2186">
        <f t="shared" ref="BH471:BH475" si="1002">BG471-BF471</f>
        <v>-952.54104825000002</v>
      </c>
      <c r="BI471" s="2188">
        <f t="shared" si="987"/>
        <v>1146.7270953499999</v>
      </c>
      <c r="BJ471" s="2188">
        <f t="shared" si="987"/>
        <v>0</v>
      </c>
      <c r="BK471" s="2186">
        <f t="shared" ref="BK471:BK475" si="1003">BJ471-BI471</f>
        <v>-1146.7270953499999</v>
      </c>
      <c r="BL471" s="2188">
        <f t="shared" si="989"/>
        <v>1190.1877012500001</v>
      </c>
      <c r="BM471" s="2188">
        <f t="shared" si="989"/>
        <v>0</v>
      </c>
      <c r="BN471" s="2186">
        <f t="shared" ref="BN471:BN475" si="1004">BM471-BL471</f>
        <v>-1190.1877012500001</v>
      </c>
      <c r="BO471" s="2188">
        <f t="shared" si="991"/>
        <v>1462.1455542000001</v>
      </c>
      <c r="BP471" s="2188">
        <f t="shared" si="991"/>
        <v>0</v>
      </c>
      <c r="BQ471" s="2186">
        <f t="shared" ref="BQ471:BQ475" si="1005">BP471-BO471</f>
        <v>-1462.1455542000001</v>
      </c>
    </row>
    <row r="472" spans="3:69" s="2279" customFormat="1">
      <c r="C472" s="2194" t="s">
        <v>2627</v>
      </c>
      <c r="D472" s="2283" t="s">
        <v>2221</v>
      </c>
      <c r="E472" s="2284" t="s">
        <v>1833</v>
      </c>
      <c r="F472" s="2176"/>
      <c r="G472" s="2252">
        <f t="shared" si="993"/>
        <v>0</v>
      </c>
      <c r="H472" s="2252">
        <f t="shared" si="993"/>
        <v>0</v>
      </c>
      <c r="I472" s="2178">
        <f t="shared" si="841"/>
        <v>0</v>
      </c>
      <c r="J472" s="2176"/>
      <c r="K472" s="2252">
        <f t="shared" si="837"/>
        <v>0</v>
      </c>
      <c r="L472" s="2252">
        <f t="shared" si="837"/>
        <v>0</v>
      </c>
      <c r="M472" s="2255">
        <f t="shared" si="838"/>
        <v>0</v>
      </c>
      <c r="N472" s="2179">
        <f t="shared" si="965"/>
        <v>0</v>
      </c>
      <c r="O472" s="2179">
        <f t="shared" si="965"/>
        <v>0</v>
      </c>
      <c r="P472" s="2178">
        <f t="shared" si="860"/>
        <v>0</v>
      </c>
      <c r="Q472" s="2179">
        <f t="shared" si="966"/>
        <v>0</v>
      </c>
      <c r="R472" s="2179">
        <f t="shared" si="966"/>
        <v>0</v>
      </c>
      <c r="S472" s="2180">
        <f t="shared" si="862"/>
        <v>0</v>
      </c>
      <c r="T472" s="2251">
        <f t="shared" si="863"/>
        <v>0</v>
      </c>
      <c r="U472" s="2252">
        <f t="shared" si="863"/>
        <v>0</v>
      </c>
      <c r="V472" s="2253">
        <f t="shared" si="839"/>
        <v>0</v>
      </c>
      <c r="W472" s="2187">
        <f t="shared" si="967"/>
        <v>0</v>
      </c>
      <c r="X472" s="2179">
        <f t="shared" si="967"/>
        <v>0</v>
      </c>
      <c r="Y472" s="2183">
        <f t="shared" si="865"/>
        <v>0</v>
      </c>
      <c r="Z472" s="2254">
        <f t="shared" si="866"/>
        <v>0</v>
      </c>
      <c r="AA472" s="2252">
        <f t="shared" si="866"/>
        <v>0</v>
      </c>
      <c r="AB472" s="2255">
        <f t="shared" si="840"/>
        <v>0</v>
      </c>
      <c r="AC472" s="2179">
        <f t="shared" si="968"/>
        <v>0</v>
      </c>
      <c r="AD472" s="2179">
        <f t="shared" si="968"/>
        <v>0</v>
      </c>
      <c r="AE472" s="2180">
        <f t="shared" si="868"/>
        <v>0</v>
      </c>
      <c r="AF472" s="2277"/>
      <c r="AG472" s="2278"/>
      <c r="AH472" s="2188">
        <f t="shared" si="969"/>
        <v>0</v>
      </c>
      <c r="AI472" s="2188">
        <f t="shared" si="969"/>
        <v>0</v>
      </c>
      <c r="AJ472" s="2186">
        <f t="shared" si="994"/>
        <v>0</v>
      </c>
      <c r="AK472" s="2188">
        <f t="shared" si="971"/>
        <v>0</v>
      </c>
      <c r="AL472" s="2188">
        <f t="shared" si="971"/>
        <v>0</v>
      </c>
      <c r="AM472" s="2186">
        <f t="shared" si="995"/>
        <v>0</v>
      </c>
      <c r="AN472" s="2188">
        <f t="shared" si="973"/>
        <v>0</v>
      </c>
      <c r="AO472" s="2188">
        <f t="shared" si="973"/>
        <v>0</v>
      </c>
      <c r="AP472" s="2186">
        <f t="shared" si="996"/>
        <v>0</v>
      </c>
      <c r="AQ472" s="2188">
        <f t="shared" si="975"/>
        <v>0</v>
      </c>
      <c r="AR472" s="2188">
        <f t="shared" si="975"/>
        <v>0</v>
      </c>
      <c r="AS472" s="2186">
        <f t="shared" si="997"/>
        <v>0</v>
      </c>
      <c r="AT472" s="2188">
        <f t="shared" si="977"/>
        <v>0</v>
      </c>
      <c r="AU472" s="2188">
        <f t="shared" si="977"/>
        <v>0</v>
      </c>
      <c r="AV472" s="2186">
        <f t="shared" si="998"/>
        <v>0</v>
      </c>
      <c r="AW472" s="2188">
        <f t="shared" si="979"/>
        <v>0</v>
      </c>
      <c r="AX472" s="2188">
        <f t="shared" si="979"/>
        <v>0</v>
      </c>
      <c r="AY472" s="2186">
        <f t="shared" si="999"/>
        <v>0</v>
      </c>
      <c r="AZ472" s="2188">
        <f t="shared" si="981"/>
        <v>0</v>
      </c>
      <c r="BA472" s="2188">
        <f t="shared" si="981"/>
        <v>0</v>
      </c>
      <c r="BB472" s="2186">
        <f t="shared" si="1000"/>
        <v>0</v>
      </c>
      <c r="BC472" s="2188">
        <f t="shared" si="983"/>
        <v>0</v>
      </c>
      <c r="BD472" s="2188">
        <f t="shared" si="983"/>
        <v>0</v>
      </c>
      <c r="BE472" s="2186">
        <f t="shared" si="1001"/>
        <v>0</v>
      </c>
      <c r="BF472" s="2188">
        <f t="shared" si="985"/>
        <v>0</v>
      </c>
      <c r="BG472" s="2188">
        <f t="shared" si="985"/>
        <v>0</v>
      </c>
      <c r="BH472" s="2186">
        <f t="shared" si="1002"/>
        <v>0</v>
      </c>
      <c r="BI472" s="2188">
        <f t="shared" si="987"/>
        <v>0</v>
      </c>
      <c r="BJ472" s="2188">
        <f t="shared" si="987"/>
        <v>0</v>
      </c>
      <c r="BK472" s="2186">
        <f t="shared" si="1003"/>
        <v>0</v>
      </c>
      <c r="BL472" s="2188">
        <f t="shared" si="989"/>
        <v>0</v>
      </c>
      <c r="BM472" s="2188">
        <f t="shared" si="989"/>
        <v>0</v>
      </c>
      <c r="BN472" s="2186">
        <f t="shared" si="1004"/>
        <v>0</v>
      </c>
      <c r="BO472" s="2188">
        <f t="shared" si="991"/>
        <v>0</v>
      </c>
      <c r="BP472" s="2188">
        <f t="shared" si="991"/>
        <v>0</v>
      </c>
      <c r="BQ472" s="2186">
        <f t="shared" si="1005"/>
        <v>0</v>
      </c>
    </row>
    <row r="473" spans="3:69" s="2279" customFormat="1">
      <c r="C473" s="2194" t="s">
        <v>2628</v>
      </c>
      <c r="D473" s="2283" t="s">
        <v>2223</v>
      </c>
      <c r="E473" s="2284" t="s">
        <v>1833</v>
      </c>
      <c r="F473" s="2176"/>
      <c r="G473" s="2252">
        <f t="shared" si="993"/>
        <v>0</v>
      </c>
      <c r="H473" s="2252">
        <f t="shared" si="993"/>
        <v>0</v>
      </c>
      <c r="I473" s="2178">
        <f t="shared" si="841"/>
        <v>0</v>
      </c>
      <c r="J473" s="2176"/>
      <c r="K473" s="2252">
        <f t="shared" si="837"/>
        <v>0</v>
      </c>
      <c r="L473" s="2252">
        <f t="shared" si="837"/>
        <v>0</v>
      </c>
      <c r="M473" s="2255">
        <f t="shared" si="838"/>
        <v>0</v>
      </c>
      <c r="N473" s="2179">
        <f t="shared" si="965"/>
        <v>0</v>
      </c>
      <c r="O473" s="2179">
        <f t="shared" si="965"/>
        <v>0</v>
      </c>
      <c r="P473" s="2178">
        <f t="shared" si="860"/>
        <v>0</v>
      </c>
      <c r="Q473" s="2179">
        <f t="shared" si="966"/>
        <v>0</v>
      </c>
      <c r="R473" s="2179">
        <f t="shared" si="966"/>
        <v>0</v>
      </c>
      <c r="S473" s="2180">
        <f t="shared" si="862"/>
        <v>0</v>
      </c>
      <c r="T473" s="2251">
        <f t="shared" si="863"/>
        <v>0</v>
      </c>
      <c r="U473" s="2252">
        <f t="shared" si="863"/>
        <v>0</v>
      </c>
      <c r="V473" s="2253">
        <f t="shared" si="839"/>
        <v>0</v>
      </c>
      <c r="W473" s="2187">
        <f t="shared" si="967"/>
        <v>0</v>
      </c>
      <c r="X473" s="2179">
        <f t="shared" si="967"/>
        <v>0</v>
      </c>
      <c r="Y473" s="2183">
        <f t="shared" si="865"/>
        <v>0</v>
      </c>
      <c r="Z473" s="2254">
        <f t="shared" si="866"/>
        <v>0</v>
      </c>
      <c r="AA473" s="2252">
        <f t="shared" si="866"/>
        <v>0</v>
      </c>
      <c r="AB473" s="2255">
        <f t="shared" si="840"/>
        <v>0</v>
      </c>
      <c r="AC473" s="2179">
        <f t="shared" si="968"/>
        <v>0</v>
      </c>
      <c r="AD473" s="2179">
        <f t="shared" si="968"/>
        <v>0</v>
      </c>
      <c r="AE473" s="2180">
        <f t="shared" si="868"/>
        <v>0</v>
      </c>
      <c r="AF473" s="2277"/>
      <c r="AG473" s="2278"/>
      <c r="AH473" s="2188">
        <f t="shared" si="969"/>
        <v>0</v>
      </c>
      <c r="AI473" s="2188">
        <f t="shared" si="969"/>
        <v>0</v>
      </c>
      <c r="AJ473" s="2186">
        <f t="shared" si="994"/>
        <v>0</v>
      </c>
      <c r="AK473" s="2188">
        <f t="shared" si="971"/>
        <v>0</v>
      </c>
      <c r="AL473" s="2188">
        <f t="shared" si="971"/>
        <v>0</v>
      </c>
      <c r="AM473" s="2186">
        <f t="shared" si="995"/>
        <v>0</v>
      </c>
      <c r="AN473" s="2188">
        <f t="shared" si="973"/>
        <v>0</v>
      </c>
      <c r="AO473" s="2188">
        <f t="shared" si="973"/>
        <v>0</v>
      </c>
      <c r="AP473" s="2186">
        <f t="shared" si="996"/>
        <v>0</v>
      </c>
      <c r="AQ473" s="2188">
        <f t="shared" si="975"/>
        <v>0</v>
      </c>
      <c r="AR473" s="2188">
        <f t="shared" si="975"/>
        <v>0</v>
      </c>
      <c r="AS473" s="2186">
        <f t="shared" si="997"/>
        <v>0</v>
      </c>
      <c r="AT473" s="2188">
        <f t="shared" si="977"/>
        <v>0</v>
      </c>
      <c r="AU473" s="2188">
        <f t="shared" si="977"/>
        <v>0</v>
      </c>
      <c r="AV473" s="2186">
        <f t="shared" si="998"/>
        <v>0</v>
      </c>
      <c r="AW473" s="2188">
        <f t="shared" si="979"/>
        <v>0</v>
      </c>
      <c r="AX473" s="2188">
        <f t="shared" si="979"/>
        <v>0</v>
      </c>
      <c r="AY473" s="2186">
        <f t="shared" si="999"/>
        <v>0</v>
      </c>
      <c r="AZ473" s="2188">
        <f t="shared" si="981"/>
        <v>0</v>
      </c>
      <c r="BA473" s="2188">
        <f t="shared" si="981"/>
        <v>0</v>
      </c>
      <c r="BB473" s="2186">
        <f t="shared" si="1000"/>
        <v>0</v>
      </c>
      <c r="BC473" s="2188">
        <f t="shared" si="983"/>
        <v>0</v>
      </c>
      <c r="BD473" s="2188">
        <f t="shared" si="983"/>
        <v>0</v>
      </c>
      <c r="BE473" s="2186">
        <f t="shared" si="1001"/>
        <v>0</v>
      </c>
      <c r="BF473" s="2188">
        <f t="shared" si="985"/>
        <v>0</v>
      </c>
      <c r="BG473" s="2188">
        <f t="shared" si="985"/>
        <v>0</v>
      </c>
      <c r="BH473" s="2186">
        <f t="shared" si="1002"/>
        <v>0</v>
      </c>
      <c r="BI473" s="2188">
        <f t="shared" si="987"/>
        <v>0</v>
      </c>
      <c r="BJ473" s="2188">
        <f t="shared" si="987"/>
        <v>0</v>
      </c>
      <c r="BK473" s="2186">
        <f t="shared" si="1003"/>
        <v>0</v>
      </c>
      <c r="BL473" s="2188">
        <f t="shared" si="989"/>
        <v>0</v>
      </c>
      <c r="BM473" s="2188">
        <f t="shared" si="989"/>
        <v>0</v>
      </c>
      <c r="BN473" s="2186">
        <f t="shared" si="1004"/>
        <v>0</v>
      </c>
      <c r="BO473" s="2188">
        <f t="shared" si="991"/>
        <v>0</v>
      </c>
      <c r="BP473" s="2188">
        <f t="shared" si="991"/>
        <v>0</v>
      </c>
      <c r="BQ473" s="2186">
        <f t="shared" si="1005"/>
        <v>0</v>
      </c>
    </row>
    <row r="474" spans="3:69" s="2279" customFormat="1">
      <c r="C474" s="2194" t="s">
        <v>2629</v>
      </c>
      <c r="D474" s="2283" t="s">
        <v>2225</v>
      </c>
      <c r="E474" s="2284" t="s">
        <v>1833</v>
      </c>
      <c r="F474" s="2176"/>
      <c r="G474" s="2252">
        <f t="shared" si="993"/>
        <v>0</v>
      </c>
      <c r="H474" s="2252">
        <f t="shared" si="993"/>
        <v>0</v>
      </c>
      <c r="I474" s="2178">
        <f t="shared" si="841"/>
        <v>0</v>
      </c>
      <c r="J474" s="2176"/>
      <c r="K474" s="2252">
        <f t="shared" si="837"/>
        <v>496.60910993999994</v>
      </c>
      <c r="L474" s="2252">
        <f t="shared" si="837"/>
        <v>0</v>
      </c>
      <c r="M474" s="2255">
        <f t="shared" si="838"/>
        <v>-496.60910993999994</v>
      </c>
      <c r="N474" s="2179">
        <f t="shared" si="965"/>
        <v>496.60910993999994</v>
      </c>
      <c r="O474" s="2179">
        <f t="shared" si="965"/>
        <v>0</v>
      </c>
      <c r="P474" s="2178">
        <f t="shared" si="860"/>
        <v>-496.60910993999994</v>
      </c>
      <c r="Q474" s="2179">
        <f t="shared" si="966"/>
        <v>0</v>
      </c>
      <c r="R474" s="2179">
        <f t="shared" si="966"/>
        <v>0</v>
      </c>
      <c r="S474" s="2180">
        <f t="shared" si="862"/>
        <v>0</v>
      </c>
      <c r="T474" s="2251">
        <f t="shared" si="863"/>
        <v>496.60910993999994</v>
      </c>
      <c r="U474" s="2252">
        <f t="shared" si="863"/>
        <v>0</v>
      </c>
      <c r="V474" s="2253">
        <f t="shared" si="839"/>
        <v>-496.60910993999994</v>
      </c>
      <c r="W474" s="2187">
        <f t="shared" si="967"/>
        <v>0</v>
      </c>
      <c r="X474" s="2179">
        <f t="shared" si="967"/>
        <v>0</v>
      </c>
      <c r="Y474" s="2183">
        <f t="shared" si="865"/>
        <v>0</v>
      </c>
      <c r="Z474" s="2254">
        <f t="shared" si="866"/>
        <v>496.60910993999994</v>
      </c>
      <c r="AA474" s="2252">
        <f t="shared" si="866"/>
        <v>0</v>
      </c>
      <c r="AB474" s="2255">
        <f t="shared" si="840"/>
        <v>-496.60910993999994</v>
      </c>
      <c r="AC474" s="2179">
        <f t="shared" si="968"/>
        <v>0</v>
      </c>
      <c r="AD474" s="2179">
        <f t="shared" si="968"/>
        <v>0</v>
      </c>
      <c r="AE474" s="2180">
        <f t="shared" si="868"/>
        <v>0</v>
      </c>
      <c r="AF474" s="2277"/>
      <c r="AG474" s="2278"/>
      <c r="AH474" s="2188">
        <f t="shared" si="969"/>
        <v>0</v>
      </c>
      <c r="AI474" s="2188">
        <f t="shared" si="969"/>
        <v>0</v>
      </c>
      <c r="AJ474" s="2186">
        <f t="shared" si="994"/>
        <v>0</v>
      </c>
      <c r="AK474" s="2188">
        <f t="shared" si="971"/>
        <v>0</v>
      </c>
      <c r="AL474" s="2188">
        <f t="shared" si="971"/>
        <v>0</v>
      </c>
      <c r="AM474" s="2186">
        <f t="shared" si="995"/>
        <v>0</v>
      </c>
      <c r="AN474" s="2188">
        <f t="shared" si="973"/>
        <v>0</v>
      </c>
      <c r="AO474" s="2188">
        <f t="shared" si="973"/>
        <v>0</v>
      </c>
      <c r="AP474" s="2186">
        <f t="shared" si="996"/>
        <v>0</v>
      </c>
      <c r="AQ474" s="2188">
        <f t="shared" si="975"/>
        <v>0</v>
      </c>
      <c r="AR474" s="2188">
        <f t="shared" si="975"/>
        <v>0</v>
      </c>
      <c r="AS474" s="2186">
        <f t="shared" si="997"/>
        <v>0</v>
      </c>
      <c r="AT474" s="2188">
        <f t="shared" si="977"/>
        <v>0</v>
      </c>
      <c r="AU474" s="2188">
        <f t="shared" si="977"/>
        <v>0</v>
      </c>
      <c r="AV474" s="2186">
        <f t="shared" si="998"/>
        <v>0</v>
      </c>
      <c r="AW474" s="2188">
        <f t="shared" si="979"/>
        <v>0</v>
      </c>
      <c r="AX474" s="2188">
        <f t="shared" si="979"/>
        <v>0</v>
      </c>
      <c r="AY474" s="2186">
        <f t="shared" si="999"/>
        <v>0</v>
      </c>
      <c r="AZ474" s="2188">
        <f t="shared" si="981"/>
        <v>0</v>
      </c>
      <c r="BA474" s="2188">
        <f t="shared" si="981"/>
        <v>0</v>
      </c>
      <c r="BB474" s="2186">
        <f t="shared" si="1000"/>
        <v>0</v>
      </c>
      <c r="BC474" s="2188">
        <f t="shared" si="983"/>
        <v>0</v>
      </c>
      <c r="BD474" s="2188">
        <f t="shared" si="983"/>
        <v>0</v>
      </c>
      <c r="BE474" s="2186">
        <f t="shared" si="1001"/>
        <v>0</v>
      </c>
      <c r="BF474" s="2188">
        <f t="shared" si="985"/>
        <v>0</v>
      </c>
      <c r="BG474" s="2188">
        <f t="shared" si="985"/>
        <v>0</v>
      </c>
      <c r="BH474" s="2186">
        <f t="shared" si="1002"/>
        <v>0</v>
      </c>
      <c r="BI474" s="2188">
        <f t="shared" si="987"/>
        <v>0</v>
      </c>
      <c r="BJ474" s="2188">
        <f t="shared" si="987"/>
        <v>0</v>
      </c>
      <c r="BK474" s="2186">
        <f t="shared" si="1003"/>
        <v>0</v>
      </c>
      <c r="BL474" s="2188">
        <f t="shared" si="989"/>
        <v>0</v>
      </c>
      <c r="BM474" s="2188">
        <f t="shared" si="989"/>
        <v>0</v>
      </c>
      <c r="BN474" s="2186">
        <f t="shared" si="1004"/>
        <v>0</v>
      </c>
      <c r="BO474" s="2188">
        <f t="shared" si="991"/>
        <v>0</v>
      </c>
      <c r="BP474" s="2188">
        <f t="shared" si="991"/>
        <v>0</v>
      </c>
      <c r="BQ474" s="2186">
        <f t="shared" si="1005"/>
        <v>0</v>
      </c>
    </row>
    <row r="475" spans="3:69" s="2279" customFormat="1">
      <c r="C475" s="2194" t="s">
        <v>2630</v>
      </c>
      <c r="D475" s="2283" t="s">
        <v>2227</v>
      </c>
      <c r="E475" s="2284" t="s">
        <v>1833</v>
      </c>
      <c r="F475" s="2176"/>
      <c r="G475" s="2252">
        <f t="shared" ref="G475:H475" si="1006">G508+G541+G607</f>
        <v>0</v>
      </c>
      <c r="H475" s="2252">
        <f t="shared" si="1006"/>
        <v>0</v>
      </c>
      <c r="I475" s="2178">
        <f t="shared" si="841"/>
        <v>0</v>
      </c>
      <c r="J475" s="2176"/>
      <c r="K475" s="2252">
        <f t="shared" si="837"/>
        <v>42606.078514229994</v>
      </c>
      <c r="L475" s="2252">
        <f t="shared" si="837"/>
        <v>0</v>
      </c>
      <c r="M475" s="2255">
        <f t="shared" si="838"/>
        <v>-42606.078514229994</v>
      </c>
      <c r="N475" s="2179">
        <f t="shared" si="965"/>
        <v>21030.710389699994</v>
      </c>
      <c r="O475" s="2179">
        <f t="shared" si="965"/>
        <v>0</v>
      </c>
      <c r="P475" s="2178">
        <f t="shared" si="860"/>
        <v>-21030.710389699994</v>
      </c>
      <c r="Q475" s="2179">
        <f>Q508+Q541+Q607+Q574+Q640</f>
        <v>15319.65050048</v>
      </c>
      <c r="R475" s="2179">
        <f t="shared" si="966"/>
        <v>0</v>
      </c>
      <c r="S475" s="2180">
        <f t="shared" si="862"/>
        <v>-15319.65050048</v>
      </c>
      <c r="T475" s="2251">
        <f t="shared" si="863"/>
        <v>36350.360890179996</v>
      </c>
      <c r="U475" s="2252">
        <f t="shared" si="863"/>
        <v>0</v>
      </c>
      <c r="V475" s="2253">
        <f t="shared" si="839"/>
        <v>-36350.360890179996</v>
      </c>
      <c r="W475" s="2187">
        <f>W508+W541+W607+W574+W640</f>
        <v>2456.6572732499999</v>
      </c>
      <c r="X475" s="2179">
        <f t="shared" si="967"/>
        <v>0</v>
      </c>
      <c r="Y475" s="2183">
        <f t="shared" si="865"/>
        <v>-2456.6572732499999</v>
      </c>
      <c r="Z475" s="2254">
        <f t="shared" si="866"/>
        <v>38807.018163429995</v>
      </c>
      <c r="AA475" s="2252">
        <f t="shared" si="866"/>
        <v>0</v>
      </c>
      <c r="AB475" s="2255">
        <f t="shared" si="840"/>
        <v>-38807.018163429995</v>
      </c>
      <c r="AC475" s="2179">
        <f>AC508+AC541+AC607+AC574+AC640</f>
        <v>3799.0603508000004</v>
      </c>
      <c r="AD475" s="2179">
        <f t="shared" si="968"/>
        <v>0</v>
      </c>
      <c r="AE475" s="2180">
        <f t="shared" si="868"/>
        <v>-3799.0603508000004</v>
      </c>
      <c r="AF475" s="2277"/>
      <c r="AG475" s="2278"/>
      <c r="AH475" s="2188">
        <f t="shared" si="969"/>
        <v>0</v>
      </c>
      <c r="AI475" s="2188">
        <f t="shared" si="969"/>
        <v>0</v>
      </c>
      <c r="AJ475" s="2186">
        <f t="shared" si="994"/>
        <v>0</v>
      </c>
      <c r="AK475" s="2188">
        <f t="shared" si="971"/>
        <v>7407.9504236599996</v>
      </c>
      <c r="AL475" s="2188">
        <f t="shared" si="971"/>
        <v>0</v>
      </c>
      <c r="AM475" s="2186">
        <f t="shared" si="995"/>
        <v>-7407.9504236599996</v>
      </c>
      <c r="AN475" s="2188">
        <f t="shared" si="973"/>
        <v>7781.0184852999982</v>
      </c>
      <c r="AO475" s="2188">
        <f t="shared" si="973"/>
        <v>0</v>
      </c>
      <c r="AP475" s="2186">
        <f t="shared" si="996"/>
        <v>-7781.0184852999982</v>
      </c>
      <c r="AQ475" s="2188">
        <f t="shared" si="975"/>
        <v>5538.4077747599995</v>
      </c>
      <c r="AR475" s="2188">
        <f t="shared" si="975"/>
        <v>0</v>
      </c>
      <c r="AS475" s="2186">
        <f t="shared" si="997"/>
        <v>-5538.4077747599995</v>
      </c>
      <c r="AT475" s="2188">
        <f t="shared" si="977"/>
        <v>5489.1290930200003</v>
      </c>
      <c r="AU475" s="2188">
        <f t="shared" si="977"/>
        <v>0</v>
      </c>
      <c r="AV475" s="2186">
        <f t="shared" si="998"/>
        <v>-5489.1290930200003</v>
      </c>
      <c r="AW475" s="2188">
        <f t="shared" si="979"/>
        <v>4292.1136326999995</v>
      </c>
      <c r="AX475" s="2188">
        <f t="shared" si="979"/>
        <v>0</v>
      </c>
      <c r="AY475" s="2186">
        <f t="shared" si="999"/>
        <v>-4292.1136326999995</v>
      </c>
      <c r="AZ475" s="2188">
        <f t="shared" si="981"/>
        <v>739.63101139999992</v>
      </c>
      <c r="BA475" s="2188">
        <f t="shared" si="981"/>
        <v>0</v>
      </c>
      <c r="BB475" s="2186">
        <f t="shared" si="1000"/>
        <v>-739.63101139999992</v>
      </c>
      <c r="BC475" s="2188">
        <f t="shared" si="983"/>
        <v>764.48521360000007</v>
      </c>
      <c r="BD475" s="2188">
        <f t="shared" si="983"/>
        <v>0</v>
      </c>
      <c r="BE475" s="2186">
        <f t="shared" si="1001"/>
        <v>-764.48521360000007</v>
      </c>
      <c r="BF475" s="2188">
        <f t="shared" si="985"/>
        <v>952.54104825000002</v>
      </c>
      <c r="BG475" s="2188">
        <f t="shared" si="985"/>
        <v>0</v>
      </c>
      <c r="BH475" s="2186">
        <f t="shared" si="1002"/>
        <v>-952.54104825000002</v>
      </c>
      <c r="BI475" s="2188">
        <f t="shared" si="987"/>
        <v>1146.7270953499999</v>
      </c>
      <c r="BJ475" s="2188">
        <f t="shared" si="987"/>
        <v>0</v>
      </c>
      <c r="BK475" s="2186">
        <f t="shared" si="1003"/>
        <v>-1146.7270953499999</v>
      </c>
      <c r="BL475" s="2188">
        <f t="shared" si="989"/>
        <v>1190.1877012500001</v>
      </c>
      <c r="BM475" s="2188">
        <f t="shared" si="989"/>
        <v>0</v>
      </c>
      <c r="BN475" s="2186">
        <f t="shared" si="1004"/>
        <v>-1190.1877012500001</v>
      </c>
      <c r="BO475" s="2188">
        <f t="shared" si="991"/>
        <v>1462.1455542000001</v>
      </c>
      <c r="BP475" s="2188">
        <f t="shared" si="991"/>
        <v>0</v>
      </c>
      <c r="BQ475" s="2186">
        <f t="shared" si="1005"/>
        <v>-1462.1455542000001</v>
      </c>
    </row>
    <row r="476" spans="3:69" s="2279" customFormat="1">
      <c r="C476" s="2194" t="s">
        <v>2631</v>
      </c>
      <c r="D476" s="2283" t="s">
        <v>2229</v>
      </c>
      <c r="E476" s="2284" t="s">
        <v>1833</v>
      </c>
      <c r="F476" s="2176"/>
      <c r="G476" s="2252">
        <f>G509+G542+G608+G575+G641</f>
        <v>0</v>
      </c>
      <c r="H476" s="2252">
        <f>H509+H542+H608+H575+H641</f>
        <v>0</v>
      </c>
      <c r="I476" s="2186"/>
      <c r="J476" s="2176"/>
      <c r="K476" s="2179">
        <f>N476+Q476+W476+AC476</f>
        <v>0</v>
      </c>
      <c r="L476" s="2179">
        <f>O476+R476+X476+AD476</f>
        <v>0</v>
      </c>
      <c r="M476" s="2178">
        <f>L476-K476</f>
        <v>0</v>
      </c>
      <c r="N476" s="2179">
        <f t="shared" si="965"/>
        <v>0</v>
      </c>
      <c r="O476" s="2179">
        <f t="shared" si="965"/>
        <v>0</v>
      </c>
      <c r="P476" s="2178">
        <f>O476-N476</f>
        <v>0</v>
      </c>
      <c r="Q476" s="2179">
        <f t="shared" ref="Q476:R476" si="1007">Q509+Q542+Q608+Q575+Q641</f>
        <v>0</v>
      </c>
      <c r="R476" s="2179">
        <f t="shared" si="1007"/>
        <v>0</v>
      </c>
      <c r="S476" s="2178">
        <f>R476-Q476</f>
        <v>0</v>
      </c>
      <c r="T476" s="2181">
        <f>N476+Q476</f>
        <v>0</v>
      </c>
      <c r="U476" s="2179">
        <f>O476+R476</f>
        <v>0</v>
      </c>
      <c r="V476" s="2180">
        <f>U476-T476</f>
        <v>0</v>
      </c>
      <c r="W476" s="2187">
        <f t="shared" ref="W476:X476" si="1008">W509+W542+W608+W575+W641</f>
        <v>0</v>
      </c>
      <c r="X476" s="2179">
        <f t="shared" si="1008"/>
        <v>0</v>
      </c>
      <c r="Y476" s="2183">
        <f>X476-W476</f>
        <v>0</v>
      </c>
      <c r="Z476" s="2184">
        <f>T476+W476</f>
        <v>0</v>
      </c>
      <c r="AA476" s="2179">
        <f>U476+X476</f>
        <v>0</v>
      </c>
      <c r="AB476" s="2178">
        <f>AA476-Z476</f>
        <v>0</v>
      </c>
      <c r="AC476" s="2179">
        <f t="shared" ref="AC476:AD476" si="1009">AC509+AC542+AC608+AC575+AC641</f>
        <v>0</v>
      </c>
      <c r="AD476" s="2179">
        <f t="shared" si="1009"/>
        <v>0</v>
      </c>
      <c r="AE476" s="2178">
        <f>AD476-AC476</f>
        <v>0</v>
      </c>
      <c r="AF476" s="2277"/>
      <c r="AG476" s="2278"/>
      <c r="AH476" s="2188">
        <f t="shared" si="969"/>
        <v>0</v>
      </c>
      <c r="AI476" s="2188">
        <f t="shared" si="969"/>
        <v>0</v>
      </c>
      <c r="AJ476" s="2186">
        <f>AI476-AH476</f>
        <v>0</v>
      </c>
      <c r="AK476" s="2188">
        <f t="shared" si="971"/>
        <v>0</v>
      </c>
      <c r="AL476" s="2188">
        <f t="shared" si="971"/>
        <v>0</v>
      </c>
      <c r="AM476" s="2186">
        <f>AL476-AK476</f>
        <v>0</v>
      </c>
      <c r="AN476" s="2188">
        <f t="shared" si="973"/>
        <v>0</v>
      </c>
      <c r="AO476" s="2188">
        <f t="shared" si="973"/>
        <v>0</v>
      </c>
      <c r="AP476" s="2186">
        <f>AO476-AN476</f>
        <v>0</v>
      </c>
      <c r="AQ476" s="2188">
        <f t="shared" si="975"/>
        <v>0</v>
      </c>
      <c r="AR476" s="2188">
        <f t="shared" si="975"/>
        <v>0</v>
      </c>
      <c r="AS476" s="2186">
        <f>AR476-AQ476</f>
        <v>0</v>
      </c>
      <c r="AT476" s="2188">
        <f t="shared" si="977"/>
        <v>0</v>
      </c>
      <c r="AU476" s="2188">
        <f t="shared" si="977"/>
        <v>0</v>
      </c>
      <c r="AV476" s="2186">
        <f>AU476-AT476</f>
        <v>0</v>
      </c>
      <c r="AW476" s="2188">
        <f t="shared" si="979"/>
        <v>0</v>
      </c>
      <c r="AX476" s="2188">
        <f t="shared" si="979"/>
        <v>0</v>
      </c>
      <c r="AY476" s="2186">
        <f>AX476-AW476</f>
        <v>0</v>
      </c>
      <c r="AZ476" s="2188">
        <f t="shared" si="981"/>
        <v>0</v>
      </c>
      <c r="BA476" s="2188">
        <f t="shared" si="981"/>
        <v>0</v>
      </c>
      <c r="BB476" s="2186">
        <f>BA476-AZ476</f>
        <v>0</v>
      </c>
      <c r="BC476" s="2188">
        <f t="shared" si="983"/>
        <v>0</v>
      </c>
      <c r="BD476" s="2188">
        <f t="shared" si="983"/>
        <v>0</v>
      </c>
      <c r="BE476" s="2186">
        <f>BD476-BC476</f>
        <v>0</v>
      </c>
      <c r="BF476" s="2188">
        <f t="shared" si="985"/>
        <v>0</v>
      </c>
      <c r="BG476" s="2188">
        <f t="shared" si="985"/>
        <v>0</v>
      </c>
      <c r="BH476" s="2186">
        <f>BG476-BF476</f>
        <v>0</v>
      </c>
      <c r="BI476" s="2188">
        <f t="shared" si="987"/>
        <v>0</v>
      </c>
      <c r="BJ476" s="2188">
        <f t="shared" si="987"/>
        <v>0</v>
      </c>
      <c r="BK476" s="2186">
        <f>BJ476-BI476</f>
        <v>0</v>
      </c>
      <c r="BL476" s="2188">
        <f t="shared" si="989"/>
        <v>0</v>
      </c>
      <c r="BM476" s="2188">
        <f t="shared" si="989"/>
        <v>0</v>
      </c>
      <c r="BN476" s="2186">
        <f>BM476-BL476</f>
        <v>0</v>
      </c>
      <c r="BO476" s="2188">
        <f t="shared" si="991"/>
        <v>0</v>
      </c>
      <c r="BP476" s="2188">
        <f t="shared" si="991"/>
        <v>0</v>
      </c>
      <c r="BQ476" s="2186">
        <f>BP476-BO476</f>
        <v>0</v>
      </c>
    </row>
    <row r="477" spans="3:69" s="2159" customFormat="1">
      <c r="C477" s="2256" t="s">
        <v>2632</v>
      </c>
      <c r="D477" s="2280" t="str">
        <f>D137</f>
        <v>АО "Горэлектросеть"</v>
      </c>
      <c r="E477" s="2120" t="s">
        <v>1833</v>
      </c>
      <c r="F477" s="2162"/>
      <c r="G477" s="2259">
        <f>G479+G492+G498+G504</f>
        <v>0</v>
      </c>
      <c r="H477" s="2259">
        <f>H479+H492+H498+H504</f>
        <v>0</v>
      </c>
      <c r="I477" s="2164">
        <f>H477-G477</f>
        <v>0</v>
      </c>
      <c r="J477" s="2162"/>
      <c r="K477" s="2259">
        <f t="shared" ref="K477:L540" si="1010">N477+Q477+W477+AC477</f>
        <v>1009211.8736498014</v>
      </c>
      <c r="L477" s="2259">
        <f t="shared" si="1010"/>
        <v>0</v>
      </c>
      <c r="M477" s="2262">
        <f t="shared" ref="M477:M540" si="1011">L477-K477</f>
        <v>-1009211.8736498014</v>
      </c>
      <c r="N477" s="2163">
        <f>N479+N492+N498+N504</f>
        <v>223748.35426482861</v>
      </c>
      <c r="O477" s="2163">
        <f>O479+O492+O498+O504</f>
        <v>0</v>
      </c>
      <c r="P477" s="2164">
        <f>O477-N477</f>
        <v>-223748.35426482861</v>
      </c>
      <c r="Q477" s="2163">
        <f>Q479+Q492+Q498+Q504</f>
        <v>232412.66384582539</v>
      </c>
      <c r="R477" s="2163">
        <f>R479+R492+R498+R504</f>
        <v>0</v>
      </c>
      <c r="S477" s="2166">
        <f>R477-Q477</f>
        <v>-232412.66384582539</v>
      </c>
      <c r="T477" s="2258">
        <f t="shared" si="863"/>
        <v>456161.01811065397</v>
      </c>
      <c r="U477" s="2259">
        <f t="shared" si="863"/>
        <v>0</v>
      </c>
      <c r="V477" s="2260">
        <f t="shared" si="839"/>
        <v>-456161.01811065397</v>
      </c>
      <c r="W477" s="2168">
        <f>W479+W492+W498+W504</f>
        <v>207258.08392820053</v>
      </c>
      <c r="X477" s="2163">
        <f>X479+X492+X498+X504</f>
        <v>0</v>
      </c>
      <c r="Y477" s="2169">
        <f t="shared" ref="Y477:Y508" si="1012">X477-W477</f>
        <v>-207258.08392820053</v>
      </c>
      <c r="Z477" s="2261">
        <f t="shared" si="866"/>
        <v>663419.1020388545</v>
      </c>
      <c r="AA477" s="2259">
        <f t="shared" si="866"/>
        <v>0</v>
      </c>
      <c r="AB477" s="2262">
        <f t="shared" si="840"/>
        <v>-663419.1020388545</v>
      </c>
      <c r="AC477" s="2163">
        <f>AC479+AC492+AC498+AC504</f>
        <v>345792.77161094692</v>
      </c>
      <c r="AD477" s="2163">
        <f>AD479+AD492+AD498+AD504</f>
        <v>0</v>
      </c>
      <c r="AE477" s="2166">
        <f t="shared" ref="AE477:AE508" si="1013">AD477-AC477</f>
        <v>-345792.77161094692</v>
      </c>
      <c r="AF477" s="2281"/>
      <c r="AG477" s="2158"/>
      <c r="AH477" s="2171">
        <f>AH479+AH492+AH498+AH504</f>
        <v>53007.923965150156</v>
      </c>
      <c r="AI477" s="2171">
        <f>AI479+AI492+AI498+AI504</f>
        <v>0</v>
      </c>
      <c r="AJ477" s="2172">
        <f>AI477-AH477</f>
        <v>-53007.923965150156</v>
      </c>
      <c r="AK477" s="2171">
        <f>AK479+AK492+AK498+AK504</f>
        <v>103521.94509849368</v>
      </c>
      <c r="AL477" s="2171">
        <f>AL479+AL492+AL498+AL504</f>
        <v>0</v>
      </c>
      <c r="AM477" s="2172">
        <f>AL477-AK477</f>
        <v>-103521.94509849368</v>
      </c>
      <c r="AN477" s="2171">
        <f>AN479+AN492+AN498+AN504</f>
        <v>90681.427062904913</v>
      </c>
      <c r="AO477" s="2171">
        <f>AO479+AO492+AO498+AO504</f>
        <v>0</v>
      </c>
      <c r="AP477" s="2172">
        <f>AO477-AN477</f>
        <v>-90681.427062904913</v>
      </c>
      <c r="AQ477" s="2171">
        <f>AQ479+AQ492+AQ498+AQ504</f>
        <v>87476.660435592799</v>
      </c>
      <c r="AR477" s="2171">
        <f>AR479+AR492+AR498+AR504</f>
        <v>0</v>
      </c>
      <c r="AS477" s="2172">
        <f>AR477-AQ477</f>
        <v>-87476.660435592799</v>
      </c>
      <c r="AT477" s="2171">
        <f>AT479+AT492+AT498+AT504</f>
        <v>81382.738559758815</v>
      </c>
      <c r="AU477" s="2171">
        <f>AU479+AU492+AU498+AU504</f>
        <v>0</v>
      </c>
      <c r="AV477" s="2172">
        <f>AU477-AT477</f>
        <v>-81382.738559758815</v>
      </c>
      <c r="AW477" s="2171">
        <f>AW479+AW492+AW498+AW504</f>
        <v>63553.264850473744</v>
      </c>
      <c r="AX477" s="2171">
        <f>AX479+AX492+AX498+AX504</f>
        <v>0</v>
      </c>
      <c r="AY477" s="2172">
        <f>AX477-AW477</f>
        <v>-63553.264850473744</v>
      </c>
      <c r="AZ477" s="2171">
        <f>AZ479+AZ492+AZ498+AZ504</f>
        <v>62026.66153473837</v>
      </c>
      <c r="BA477" s="2171">
        <f>BA479+BA492+BA498+BA504</f>
        <v>0</v>
      </c>
      <c r="BB477" s="2172">
        <f>BA477-AZ477</f>
        <v>-62026.66153473837</v>
      </c>
      <c r="BC477" s="2171">
        <f>BC479+BC492+BC498+BC504</f>
        <v>63414.562699673617</v>
      </c>
      <c r="BD477" s="2171">
        <f>BD479+BD492+BD498+BD504</f>
        <v>0</v>
      </c>
      <c r="BE477" s="2172">
        <f>BD477-BC477</f>
        <v>-63414.562699673617</v>
      </c>
      <c r="BF477" s="2171">
        <f>BF479+BF492+BF498+BF504</f>
        <v>81816.859693788545</v>
      </c>
      <c r="BG477" s="2171">
        <f>BG479+BG492+BG498+BG504</f>
        <v>0</v>
      </c>
      <c r="BH477" s="2172">
        <f>BG477-BF477</f>
        <v>-81816.859693788545</v>
      </c>
      <c r="BI477" s="2171">
        <f>BI479+BI492+BI498+BI504</f>
        <v>109511.49649408436</v>
      </c>
      <c r="BJ477" s="2171">
        <f>BJ479+BJ492+BJ498+BJ504</f>
        <v>0</v>
      </c>
      <c r="BK477" s="2172">
        <f>BJ477-BI477</f>
        <v>-109511.49649408436</v>
      </c>
      <c r="BL477" s="2171">
        <f>BL479+BL492+BL498+BL504</f>
        <v>118814.6578167558</v>
      </c>
      <c r="BM477" s="2171">
        <f>BM479+BM492+BM498+BM504</f>
        <v>0</v>
      </c>
      <c r="BN477" s="2172">
        <f>BM477-BL477</f>
        <v>-118814.6578167558</v>
      </c>
      <c r="BO477" s="2171">
        <f>BO479+BO492+BO498+BO504</f>
        <v>117466.61730010679</v>
      </c>
      <c r="BP477" s="2171">
        <f>BP479+BP492+BP498+BP504</f>
        <v>0</v>
      </c>
      <c r="BQ477" s="2172">
        <f>BP477-BO477</f>
        <v>-117466.61730010679</v>
      </c>
    </row>
    <row r="478" spans="3:69" s="2087" customFormat="1">
      <c r="C478" s="2173" t="s">
        <v>2633</v>
      </c>
      <c r="D478" s="2209" t="s">
        <v>2211</v>
      </c>
      <c r="E478" s="2250" t="s">
        <v>1833</v>
      </c>
      <c r="F478" s="2176"/>
      <c r="G478" s="2177"/>
      <c r="H478" s="2177"/>
      <c r="I478" s="2178">
        <f t="shared" ref="I478:I508" si="1014">H478-G478</f>
        <v>0</v>
      </c>
      <c r="J478" s="2176"/>
      <c r="K478" s="2252">
        <f t="shared" si="1010"/>
        <v>0</v>
      </c>
      <c r="L478" s="2252">
        <f t="shared" si="1010"/>
        <v>0</v>
      </c>
      <c r="M478" s="2255">
        <f t="shared" si="1011"/>
        <v>0</v>
      </c>
      <c r="N478" s="2177"/>
      <c r="O478" s="2177"/>
      <c r="P478" s="2178">
        <f t="shared" ref="P478:P508" si="1015">O478-N478</f>
        <v>0</v>
      </c>
      <c r="Q478" s="2176"/>
      <c r="R478" s="2177"/>
      <c r="S478" s="2180">
        <f t="shared" ref="S478:S508" si="1016">R478-Q478</f>
        <v>0</v>
      </c>
      <c r="T478" s="2251">
        <f t="shared" si="863"/>
        <v>0</v>
      </c>
      <c r="U478" s="2252">
        <f t="shared" si="863"/>
        <v>0</v>
      </c>
      <c r="V478" s="2253">
        <f t="shared" si="839"/>
        <v>0</v>
      </c>
      <c r="W478" s="2182"/>
      <c r="X478" s="2177"/>
      <c r="Y478" s="2183">
        <f t="shared" si="1012"/>
        <v>0</v>
      </c>
      <c r="Z478" s="2254">
        <f t="shared" si="866"/>
        <v>0</v>
      </c>
      <c r="AA478" s="2252">
        <f t="shared" si="866"/>
        <v>0</v>
      </c>
      <c r="AB478" s="2255">
        <f t="shared" si="840"/>
        <v>0</v>
      </c>
      <c r="AC478" s="2176"/>
      <c r="AD478" s="2177"/>
      <c r="AE478" s="2180">
        <f t="shared" si="1013"/>
        <v>0</v>
      </c>
      <c r="AF478" s="2277"/>
      <c r="AG478" s="2114"/>
      <c r="AH478" s="2177"/>
      <c r="AI478" s="2177"/>
      <c r="AJ478" s="2186">
        <f t="shared" ref="AJ478:AJ490" si="1017">AI478-AH478</f>
        <v>0</v>
      </c>
      <c r="AK478" s="2177"/>
      <c r="AL478" s="2177"/>
      <c r="AM478" s="2186">
        <f t="shared" ref="AM478:AM490" si="1018">AL478-AK478</f>
        <v>0</v>
      </c>
      <c r="AN478" s="2177"/>
      <c r="AO478" s="2177"/>
      <c r="AP478" s="2186">
        <f t="shared" ref="AP478:AP490" si="1019">AO478-AN478</f>
        <v>0</v>
      </c>
      <c r="AQ478" s="2177"/>
      <c r="AR478" s="2177"/>
      <c r="AS478" s="2186">
        <f t="shared" ref="AS478:AS490" si="1020">AR478-AQ478</f>
        <v>0</v>
      </c>
      <c r="AT478" s="2177"/>
      <c r="AU478" s="2177"/>
      <c r="AV478" s="2186">
        <f t="shared" ref="AV478:AV490" si="1021">AU478-AT478</f>
        <v>0</v>
      </c>
      <c r="AW478" s="2177"/>
      <c r="AX478" s="2177"/>
      <c r="AY478" s="2186">
        <f t="shared" ref="AY478:AY490" si="1022">AX478-AW478</f>
        <v>0</v>
      </c>
      <c r="AZ478" s="2177"/>
      <c r="BA478" s="2177"/>
      <c r="BB478" s="2186">
        <f t="shared" ref="BB478:BB490" si="1023">BA478-AZ478</f>
        <v>0</v>
      </c>
      <c r="BC478" s="2177"/>
      <c r="BD478" s="2177"/>
      <c r="BE478" s="2186">
        <f t="shared" ref="BE478:BE490" si="1024">BD478-BC478</f>
        <v>0</v>
      </c>
      <c r="BF478" s="2177"/>
      <c r="BG478" s="2177"/>
      <c r="BH478" s="2186">
        <f t="shared" ref="BH478:BH490" si="1025">BG478-BF478</f>
        <v>0</v>
      </c>
      <c r="BI478" s="2177"/>
      <c r="BJ478" s="2177"/>
      <c r="BK478" s="2186">
        <f t="shared" ref="BK478:BK490" si="1026">BJ478-BI478</f>
        <v>0</v>
      </c>
      <c r="BL478" s="2177"/>
      <c r="BM478" s="2177"/>
      <c r="BN478" s="2186">
        <f t="shared" ref="BN478:BN490" si="1027">BM478-BL478</f>
        <v>0</v>
      </c>
      <c r="BO478" s="2177"/>
      <c r="BP478" s="2177"/>
      <c r="BQ478" s="2186">
        <f t="shared" ref="BQ478:BQ490" si="1028">BP478-BO478</f>
        <v>0</v>
      </c>
    </row>
    <row r="479" spans="3:69" s="2087" customFormat="1">
      <c r="C479" s="2173" t="s">
        <v>2634</v>
      </c>
      <c r="D479" s="2263" t="s">
        <v>2217</v>
      </c>
      <c r="E479" s="2274" t="s">
        <v>1833</v>
      </c>
      <c r="F479" s="2176"/>
      <c r="G479" s="2179">
        <f>G480+G486</f>
        <v>0</v>
      </c>
      <c r="H479" s="2179">
        <f>H480+H486</f>
        <v>0</v>
      </c>
      <c r="I479" s="2178">
        <f t="shared" si="1014"/>
        <v>0</v>
      </c>
      <c r="J479" s="2176"/>
      <c r="K479" s="2252">
        <f t="shared" si="1010"/>
        <v>0</v>
      </c>
      <c r="L479" s="2252">
        <f t="shared" si="1010"/>
        <v>0</v>
      </c>
      <c r="M479" s="2255">
        <f t="shared" si="1011"/>
        <v>0</v>
      </c>
      <c r="N479" s="2179">
        <f>N480+N486</f>
        <v>0</v>
      </c>
      <c r="O479" s="2179">
        <f>O480+O486</f>
        <v>0</v>
      </c>
      <c r="P479" s="2178">
        <f t="shared" si="1015"/>
        <v>0</v>
      </c>
      <c r="Q479" s="2184">
        <f t="shared" ref="Q479:R479" si="1029">Q480+Q486</f>
        <v>0</v>
      </c>
      <c r="R479" s="2179">
        <f t="shared" si="1029"/>
        <v>0</v>
      </c>
      <c r="S479" s="2180">
        <f t="shared" si="1016"/>
        <v>0</v>
      </c>
      <c r="T479" s="2251">
        <f t="shared" si="863"/>
        <v>0</v>
      </c>
      <c r="U479" s="2252">
        <f t="shared" si="863"/>
        <v>0</v>
      </c>
      <c r="V479" s="2253">
        <f t="shared" si="839"/>
        <v>0</v>
      </c>
      <c r="W479" s="2187">
        <f>W480+W486</f>
        <v>0</v>
      </c>
      <c r="X479" s="2179">
        <f t="shared" ref="X479" si="1030">X480+X486</f>
        <v>0</v>
      </c>
      <c r="Y479" s="2183">
        <f t="shared" si="1012"/>
        <v>0</v>
      </c>
      <c r="Z479" s="2254">
        <f t="shared" si="866"/>
        <v>0</v>
      </c>
      <c r="AA479" s="2252">
        <f t="shared" si="866"/>
        <v>0</v>
      </c>
      <c r="AB479" s="2255">
        <f t="shared" si="840"/>
        <v>0</v>
      </c>
      <c r="AC479" s="2184">
        <f>AC480+AC486</f>
        <v>0</v>
      </c>
      <c r="AD479" s="2179">
        <f t="shared" ref="AD479" si="1031">AD480+AD486</f>
        <v>0</v>
      </c>
      <c r="AE479" s="2180">
        <f t="shared" si="1013"/>
        <v>0</v>
      </c>
      <c r="AF479" s="2277"/>
      <c r="AG479" s="2114"/>
      <c r="AH479" s="2188">
        <f>AH480+AH486</f>
        <v>9691.5192525101502</v>
      </c>
      <c r="AI479" s="2188">
        <f>AI480+AI486</f>
        <v>0</v>
      </c>
      <c r="AJ479" s="2186">
        <f t="shared" si="1017"/>
        <v>-9691.5192525101502</v>
      </c>
      <c r="AK479" s="2188">
        <f>AK480+AK486</f>
        <v>0</v>
      </c>
      <c r="AL479" s="2188">
        <f>AL480+AL486</f>
        <v>0</v>
      </c>
      <c r="AM479" s="2186">
        <f t="shared" si="1018"/>
        <v>0</v>
      </c>
      <c r="AN479" s="2188">
        <f>AN480+AN486</f>
        <v>0</v>
      </c>
      <c r="AO479" s="2188">
        <f>AO480+AO486</f>
        <v>0</v>
      </c>
      <c r="AP479" s="2186">
        <f t="shared" si="1019"/>
        <v>0</v>
      </c>
      <c r="AQ479" s="2188">
        <f>AQ480+AQ486</f>
        <v>0</v>
      </c>
      <c r="AR479" s="2188">
        <f>AR480+AR486</f>
        <v>0</v>
      </c>
      <c r="AS479" s="2186">
        <f t="shared" si="1020"/>
        <v>0</v>
      </c>
      <c r="AT479" s="2188">
        <f>AT480+AT486</f>
        <v>0</v>
      </c>
      <c r="AU479" s="2188">
        <f>AU480+AU486</f>
        <v>0</v>
      </c>
      <c r="AV479" s="2186">
        <f t="shared" si="1021"/>
        <v>0</v>
      </c>
      <c r="AW479" s="2188">
        <f>AW480+AW486</f>
        <v>0</v>
      </c>
      <c r="AX479" s="2188">
        <f>AX480+AX486</f>
        <v>0</v>
      </c>
      <c r="AY479" s="2186">
        <f t="shared" si="1022"/>
        <v>0</v>
      </c>
      <c r="AZ479" s="2188">
        <f>AZ480+AZ486</f>
        <v>0</v>
      </c>
      <c r="BA479" s="2188">
        <f>BA480+BA486</f>
        <v>0</v>
      </c>
      <c r="BB479" s="2186">
        <f t="shared" si="1023"/>
        <v>0</v>
      </c>
      <c r="BC479" s="2188">
        <f>BC480+BC486</f>
        <v>0</v>
      </c>
      <c r="BD479" s="2188">
        <f>BD480+BD486</f>
        <v>0</v>
      </c>
      <c r="BE479" s="2186">
        <f t="shared" si="1024"/>
        <v>0</v>
      </c>
      <c r="BF479" s="2188">
        <f>BF480+BF486</f>
        <v>0</v>
      </c>
      <c r="BG479" s="2188">
        <f>BG480+BG486</f>
        <v>0</v>
      </c>
      <c r="BH479" s="2186">
        <f t="shared" si="1025"/>
        <v>0</v>
      </c>
      <c r="BI479" s="2188">
        <f>BI480+BI486</f>
        <v>0</v>
      </c>
      <c r="BJ479" s="2188">
        <f>BJ480+BJ486</f>
        <v>0</v>
      </c>
      <c r="BK479" s="2186">
        <f t="shared" si="1026"/>
        <v>0</v>
      </c>
      <c r="BL479" s="2188">
        <f>BL480+BL486</f>
        <v>0</v>
      </c>
      <c r="BM479" s="2188">
        <f>BM480+BM486</f>
        <v>0</v>
      </c>
      <c r="BN479" s="2186">
        <f t="shared" si="1027"/>
        <v>0</v>
      </c>
      <c r="BO479" s="2188">
        <f>BO480+BO486</f>
        <v>0</v>
      </c>
      <c r="BP479" s="2188">
        <f>BP480+BP486</f>
        <v>0</v>
      </c>
      <c r="BQ479" s="2186">
        <f t="shared" si="1028"/>
        <v>0</v>
      </c>
    </row>
    <row r="480" spans="3:69" s="2087" customFormat="1" ht="22.5">
      <c r="C480" s="2173" t="s">
        <v>2635</v>
      </c>
      <c r="D480" s="2174" t="s">
        <v>2599</v>
      </c>
      <c r="E480" s="2274" t="s">
        <v>1833</v>
      </c>
      <c r="F480" s="2176"/>
      <c r="G480" s="2252">
        <f>G481+G482+G483+G484+G485</f>
        <v>0</v>
      </c>
      <c r="H480" s="2252">
        <f>H481+H482+H483+H484+H485</f>
        <v>0</v>
      </c>
      <c r="I480" s="2178">
        <f t="shared" si="1014"/>
        <v>0</v>
      </c>
      <c r="J480" s="2176"/>
      <c r="K480" s="2179">
        <f t="shared" si="1010"/>
        <v>0</v>
      </c>
      <c r="L480" s="2179">
        <f t="shared" si="1010"/>
        <v>0</v>
      </c>
      <c r="M480" s="2178">
        <f t="shared" si="1011"/>
        <v>0</v>
      </c>
      <c r="N480" s="2179">
        <f>N481+N482+N483+N484+N485</f>
        <v>0</v>
      </c>
      <c r="O480" s="2179">
        <f>O481+O482+O483+O484+O485</f>
        <v>0</v>
      </c>
      <c r="P480" s="2178">
        <f t="shared" si="1015"/>
        <v>0</v>
      </c>
      <c r="Q480" s="2179">
        <f>Q481+Q482+Q483+Q484+Q485</f>
        <v>0</v>
      </c>
      <c r="R480" s="2179">
        <f>R481+R482+R483+R484+R485</f>
        <v>0</v>
      </c>
      <c r="S480" s="2180">
        <f t="shared" si="1016"/>
        <v>0</v>
      </c>
      <c r="T480" s="2181">
        <f t="shared" si="863"/>
        <v>0</v>
      </c>
      <c r="U480" s="2179">
        <f t="shared" si="863"/>
        <v>0</v>
      </c>
      <c r="V480" s="2180">
        <f t="shared" si="839"/>
        <v>0</v>
      </c>
      <c r="W480" s="2187">
        <f>W481+W482+W483+W484+W485</f>
        <v>0</v>
      </c>
      <c r="X480" s="2179">
        <f>X481+X482+X483+X484+X485</f>
        <v>0</v>
      </c>
      <c r="Y480" s="2183">
        <f t="shared" si="1012"/>
        <v>0</v>
      </c>
      <c r="Z480" s="2184">
        <f t="shared" si="866"/>
        <v>0</v>
      </c>
      <c r="AA480" s="2179">
        <f t="shared" si="866"/>
        <v>0</v>
      </c>
      <c r="AB480" s="2178">
        <f t="shared" si="840"/>
        <v>0</v>
      </c>
      <c r="AC480" s="2179">
        <f>AC481+AC482+AC483+AC484+AC485</f>
        <v>0</v>
      </c>
      <c r="AD480" s="2179">
        <f>AD481+AD482+AD483+AD484+AD485</f>
        <v>0</v>
      </c>
      <c r="AE480" s="2180">
        <f t="shared" si="1013"/>
        <v>0</v>
      </c>
      <c r="AF480" s="2277"/>
      <c r="AG480" s="2114"/>
      <c r="AH480" s="2188">
        <f>AH481+AH482+AH483+AH484+AH485</f>
        <v>7164.6043627799991</v>
      </c>
      <c r="AI480" s="2188">
        <f>AI481+AI482+AI483+AI484+AI485</f>
        <v>0</v>
      </c>
      <c r="AJ480" s="2186">
        <f t="shared" si="1017"/>
        <v>-7164.6043627799991</v>
      </c>
      <c r="AK480" s="2188">
        <f>AK481+AK482+AK483+AK484+AK485</f>
        <v>0</v>
      </c>
      <c r="AL480" s="2188">
        <f>AL481+AL482+AL483+AL484+AL485</f>
        <v>0</v>
      </c>
      <c r="AM480" s="2186">
        <f t="shared" si="1018"/>
        <v>0</v>
      </c>
      <c r="AN480" s="2188">
        <f>AN481+AN482+AN483+AN484+AN485</f>
        <v>0</v>
      </c>
      <c r="AO480" s="2188">
        <f>AO481+AO482+AO483+AO484+AO485</f>
        <v>0</v>
      </c>
      <c r="AP480" s="2186">
        <f t="shared" si="1019"/>
        <v>0</v>
      </c>
      <c r="AQ480" s="2188">
        <f>AQ481+AQ482+AQ483+AQ484+AQ485</f>
        <v>0</v>
      </c>
      <c r="AR480" s="2188">
        <f>AR481+AR482+AR483+AR484+AR485</f>
        <v>0</v>
      </c>
      <c r="AS480" s="2186">
        <f t="shared" si="1020"/>
        <v>0</v>
      </c>
      <c r="AT480" s="2188">
        <f>AT481+AT482+AT483+AT484+AT485</f>
        <v>0</v>
      </c>
      <c r="AU480" s="2188">
        <f>AU481+AU482+AU483+AU484+AU485</f>
        <v>0</v>
      </c>
      <c r="AV480" s="2186">
        <f t="shared" si="1021"/>
        <v>0</v>
      </c>
      <c r="AW480" s="2188">
        <f>AW481+AW482+AW483+AW484+AW485</f>
        <v>0</v>
      </c>
      <c r="AX480" s="2188">
        <f>AX481+AX482+AX483+AX484+AX485</f>
        <v>0</v>
      </c>
      <c r="AY480" s="2186">
        <f t="shared" si="1022"/>
        <v>0</v>
      </c>
      <c r="AZ480" s="2188">
        <f>AZ481+AZ482+AZ483+AZ484+AZ485</f>
        <v>0</v>
      </c>
      <c r="BA480" s="2188">
        <f>BA481+BA482+BA483+BA484+BA485</f>
        <v>0</v>
      </c>
      <c r="BB480" s="2186">
        <f t="shared" si="1023"/>
        <v>0</v>
      </c>
      <c r="BC480" s="2188">
        <f>BC481+BC482+BC483+BC484+BC485</f>
        <v>0</v>
      </c>
      <c r="BD480" s="2188">
        <f>BD481+BD482+BD483+BD484+BD485</f>
        <v>0</v>
      </c>
      <c r="BE480" s="2186">
        <f t="shared" si="1024"/>
        <v>0</v>
      </c>
      <c r="BF480" s="2188">
        <f>BF481+BF482+BF483+BF484+BF485</f>
        <v>0</v>
      </c>
      <c r="BG480" s="2188">
        <f>BG481+BG482+BG483+BG484+BG485</f>
        <v>0</v>
      </c>
      <c r="BH480" s="2186">
        <f t="shared" si="1025"/>
        <v>0</v>
      </c>
      <c r="BI480" s="2188">
        <f>BI481+BI482+BI483+BI484+BI485</f>
        <v>0</v>
      </c>
      <c r="BJ480" s="2188">
        <f>BJ481+BJ482+BJ483+BJ484+BJ485</f>
        <v>0</v>
      </c>
      <c r="BK480" s="2186">
        <f t="shared" si="1026"/>
        <v>0</v>
      </c>
      <c r="BL480" s="2188">
        <f>BL481+BL482+BL483+BL484+BL485</f>
        <v>0</v>
      </c>
      <c r="BM480" s="2188">
        <f>BM481+BM482+BM483+BM484+BM485</f>
        <v>0</v>
      </c>
      <c r="BN480" s="2186">
        <f t="shared" si="1027"/>
        <v>0</v>
      </c>
      <c r="BO480" s="2188">
        <f>BO481+BO482+BO483+BO484+BO485</f>
        <v>0</v>
      </c>
      <c r="BP480" s="2188">
        <f>BP481+BP482+BP483+BP484+BP485</f>
        <v>0</v>
      </c>
      <c r="BQ480" s="2186">
        <f t="shared" si="1028"/>
        <v>0</v>
      </c>
    </row>
    <row r="481" spans="3:69" s="2087" customFormat="1">
      <c r="C481" s="2189" t="s">
        <v>2636</v>
      </c>
      <c r="D481" s="2275" t="s">
        <v>2221</v>
      </c>
      <c r="E481" s="2274" t="s">
        <v>1833</v>
      </c>
      <c r="F481" s="2176"/>
      <c r="G481" s="2177"/>
      <c r="H481" s="2177"/>
      <c r="I481" s="2178">
        <f t="shared" si="1014"/>
        <v>0</v>
      </c>
      <c r="J481" s="2176"/>
      <c r="K481" s="2252">
        <f t="shared" si="1010"/>
        <v>0</v>
      </c>
      <c r="L481" s="2252">
        <f t="shared" si="1010"/>
        <v>0</v>
      </c>
      <c r="M481" s="2255">
        <f t="shared" si="1011"/>
        <v>0</v>
      </c>
      <c r="N481" s="2179">
        <f>N141*$N$370/1000*3</f>
        <v>0</v>
      </c>
      <c r="O481" s="2179">
        <f>O141*$O$370/1000*3</f>
        <v>0</v>
      </c>
      <c r="P481" s="2178">
        <f t="shared" si="1015"/>
        <v>0</v>
      </c>
      <c r="Q481" s="2184">
        <f>Q141*$Q$370/1000*3</f>
        <v>0</v>
      </c>
      <c r="R481" s="2179">
        <f>R141*$R$370/1000*3</f>
        <v>0</v>
      </c>
      <c r="S481" s="2180">
        <f t="shared" si="1016"/>
        <v>0</v>
      </c>
      <c r="T481" s="2251">
        <f t="shared" si="863"/>
        <v>0</v>
      </c>
      <c r="U481" s="2252">
        <f t="shared" si="863"/>
        <v>0</v>
      </c>
      <c r="V481" s="2253">
        <f t="shared" si="839"/>
        <v>0</v>
      </c>
      <c r="W481" s="2187">
        <f>W141*$W$370/1000*3</f>
        <v>0</v>
      </c>
      <c r="X481" s="2179">
        <f>X141*$X$370/1000*3</f>
        <v>0</v>
      </c>
      <c r="Y481" s="2183">
        <f t="shared" si="1012"/>
        <v>0</v>
      </c>
      <c r="Z481" s="2254">
        <f t="shared" ref="Z481:AA544" si="1032">T481+W481</f>
        <v>0</v>
      </c>
      <c r="AA481" s="2252">
        <f t="shared" si="1032"/>
        <v>0</v>
      </c>
      <c r="AB481" s="2255">
        <f t="shared" si="840"/>
        <v>0</v>
      </c>
      <c r="AC481" s="2184">
        <f>AC141*$AC$370/1000*3</f>
        <v>0</v>
      </c>
      <c r="AD481" s="2179">
        <f>AD141*$AD$370/1000*3</f>
        <v>0</v>
      </c>
      <c r="AE481" s="2180">
        <f t="shared" si="1013"/>
        <v>0</v>
      </c>
      <c r="AF481" s="2277"/>
      <c r="AG481" s="2114"/>
      <c r="AH481" s="2188">
        <f>AH141*$N$370/1000*3</f>
        <v>0</v>
      </c>
      <c r="AI481" s="2188">
        <f>AI141*$O$370/1000*3</f>
        <v>0</v>
      </c>
      <c r="AJ481" s="2186">
        <f t="shared" si="1017"/>
        <v>0</v>
      </c>
      <c r="AK481" s="2188">
        <f>AK141*$N$370/1000*3</f>
        <v>0</v>
      </c>
      <c r="AL481" s="2188">
        <f>AL141*$O$370/1000*3</f>
        <v>0</v>
      </c>
      <c r="AM481" s="2186">
        <f t="shared" si="1018"/>
        <v>0</v>
      </c>
      <c r="AN481" s="2188">
        <f>AN141*$N$370/1000*3</f>
        <v>0</v>
      </c>
      <c r="AO481" s="2188">
        <f>AO141*$O$370/1000*3</f>
        <v>0</v>
      </c>
      <c r="AP481" s="2186">
        <f t="shared" si="1019"/>
        <v>0</v>
      </c>
      <c r="AQ481" s="2188">
        <f>AQ141*$N$370/1000*3</f>
        <v>0</v>
      </c>
      <c r="AR481" s="2188">
        <f>AR141*$O$370/1000*3</f>
        <v>0</v>
      </c>
      <c r="AS481" s="2186">
        <f t="shared" si="1020"/>
        <v>0</v>
      </c>
      <c r="AT481" s="2188">
        <f>AT141*$N$370/1000*3</f>
        <v>0</v>
      </c>
      <c r="AU481" s="2188">
        <f>AU141*$O$370/1000*3</f>
        <v>0</v>
      </c>
      <c r="AV481" s="2186">
        <f t="shared" si="1021"/>
        <v>0</v>
      </c>
      <c r="AW481" s="2188">
        <f>AW141*$N$370/1000*3</f>
        <v>0</v>
      </c>
      <c r="AX481" s="2188">
        <f>AX141*$O$370/1000*3</f>
        <v>0</v>
      </c>
      <c r="AY481" s="2186">
        <f t="shared" si="1022"/>
        <v>0</v>
      </c>
      <c r="AZ481" s="2188">
        <f>AZ141*$N$370/1000*3</f>
        <v>0</v>
      </c>
      <c r="BA481" s="2188">
        <f>BA141*$O$370/1000*3</f>
        <v>0</v>
      </c>
      <c r="BB481" s="2186">
        <f t="shared" si="1023"/>
        <v>0</v>
      </c>
      <c r="BC481" s="2188">
        <f>BC141*$N$370/1000*3</f>
        <v>0</v>
      </c>
      <c r="BD481" s="2188">
        <f>BD141*$O$370/1000*3</f>
        <v>0</v>
      </c>
      <c r="BE481" s="2186">
        <f t="shared" si="1024"/>
        <v>0</v>
      </c>
      <c r="BF481" s="2188">
        <f>BF141*$N$370/1000*3</f>
        <v>0</v>
      </c>
      <c r="BG481" s="2188">
        <f>BG141*$O$370/1000*3</f>
        <v>0</v>
      </c>
      <c r="BH481" s="2186">
        <f t="shared" si="1025"/>
        <v>0</v>
      </c>
      <c r="BI481" s="2188">
        <f>BI141*$N$370/1000*3</f>
        <v>0</v>
      </c>
      <c r="BJ481" s="2188">
        <f>BJ141*$O$370/1000*3</f>
        <v>0</v>
      </c>
      <c r="BK481" s="2186">
        <f t="shared" si="1026"/>
        <v>0</v>
      </c>
      <c r="BL481" s="2188">
        <f>BL141*$N$370/1000*3</f>
        <v>0</v>
      </c>
      <c r="BM481" s="2188">
        <f>BM141*$O$370/1000*3</f>
        <v>0</v>
      </c>
      <c r="BN481" s="2186">
        <f t="shared" si="1027"/>
        <v>0</v>
      </c>
      <c r="BO481" s="2188">
        <f>BO141*$N$370/1000*3</f>
        <v>0</v>
      </c>
      <c r="BP481" s="2188">
        <f>BP141*$O$370/1000*3</f>
        <v>0</v>
      </c>
      <c r="BQ481" s="2186">
        <f t="shared" si="1028"/>
        <v>0</v>
      </c>
    </row>
    <row r="482" spans="3:69" s="2087" customFormat="1">
      <c r="C482" s="2189" t="s">
        <v>2637</v>
      </c>
      <c r="D482" s="2275" t="s">
        <v>2223</v>
      </c>
      <c r="E482" s="2274" t="s">
        <v>1833</v>
      </c>
      <c r="F482" s="2176"/>
      <c r="G482" s="2177"/>
      <c r="H482" s="2177"/>
      <c r="I482" s="2178">
        <f t="shared" si="1014"/>
        <v>0</v>
      </c>
      <c r="J482" s="2176"/>
      <c r="K482" s="2252">
        <f t="shared" si="1010"/>
        <v>0</v>
      </c>
      <c r="L482" s="2252">
        <f t="shared" si="1010"/>
        <v>0</v>
      </c>
      <c r="M482" s="2255">
        <f t="shared" si="1011"/>
        <v>0</v>
      </c>
      <c r="N482" s="2179">
        <f>N142*$N$371/1000*3</f>
        <v>0</v>
      </c>
      <c r="O482" s="2179">
        <f>O142*$O$371/1000*3</f>
        <v>0</v>
      </c>
      <c r="P482" s="2178">
        <f t="shared" si="1015"/>
        <v>0</v>
      </c>
      <c r="Q482" s="2184">
        <f>Q142*$Q$371/1000*3</f>
        <v>0</v>
      </c>
      <c r="R482" s="2179">
        <f>R142*$R$371/1000*3</f>
        <v>0</v>
      </c>
      <c r="S482" s="2180">
        <f t="shared" si="1016"/>
        <v>0</v>
      </c>
      <c r="T482" s="2251">
        <f t="shared" si="863"/>
        <v>0</v>
      </c>
      <c r="U482" s="2252">
        <f t="shared" si="863"/>
        <v>0</v>
      </c>
      <c r="V482" s="2253">
        <f t="shared" si="839"/>
        <v>0</v>
      </c>
      <c r="W482" s="2187">
        <f>W142*$W$371/1000*3</f>
        <v>0</v>
      </c>
      <c r="X482" s="2179">
        <f>X142*$X$371/1000*3</f>
        <v>0</v>
      </c>
      <c r="Y482" s="2183">
        <f t="shared" si="1012"/>
        <v>0</v>
      </c>
      <c r="Z482" s="2254">
        <f t="shared" si="1032"/>
        <v>0</v>
      </c>
      <c r="AA482" s="2252">
        <f t="shared" si="1032"/>
        <v>0</v>
      </c>
      <c r="AB482" s="2255">
        <f t="shared" si="840"/>
        <v>0</v>
      </c>
      <c r="AC482" s="2184">
        <f>AC142*$AC$371/1000*3</f>
        <v>0</v>
      </c>
      <c r="AD482" s="2179">
        <f>AD142*$AD$371/1000*3</f>
        <v>0</v>
      </c>
      <c r="AE482" s="2180">
        <f t="shared" si="1013"/>
        <v>0</v>
      </c>
      <c r="AF482" s="2277"/>
      <c r="AG482" s="2114"/>
      <c r="AH482" s="2188">
        <f>AH142*$N$371/1000*3</f>
        <v>0</v>
      </c>
      <c r="AI482" s="2188">
        <f>AI142*$O$371/1000*3</f>
        <v>0</v>
      </c>
      <c r="AJ482" s="2186">
        <f t="shared" si="1017"/>
        <v>0</v>
      </c>
      <c r="AK482" s="2188">
        <f>AK142*$N$371/1000*3</f>
        <v>0</v>
      </c>
      <c r="AL482" s="2188">
        <f>AL142*$O$371/1000*3</f>
        <v>0</v>
      </c>
      <c r="AM482" s="2186">
        <f t="shared" si="1018"/>
        <v>0</v>
      </c>
      <c r="AN482" s="2188">
        <f>AN142*$N$371/1000*3</f>
        <v>0</v>
      </c>
      <c r="AO482" s="2188">
        <f>AO142*$O$371/1000*3</f>
        <v>0</v>
      </c>
      <c r="AP482" s="2186">
        <f t="shared" si="1019"/>
        <v>0</v>
      </c>
      <c r="AQ482" s="2188">
        <f>AQ142*$N$371/1000*3</f>
        <v>0</v>
      </c>
      <c r="AR482" s="2188">
        <f>AR142*$O$371/1000*3</f>
        <v>0</v>
      </c>
      <c r="AS482" s="2186">
        <f t="shared" si="1020"/>
        <v>0</v>
      </c>
      <c r="AT482" s="2188">
        <f>AT142*$N$371/1000*3</f>
        <v>0</v>
      </c>
      <c r="AU482" s="2188">
        <f>AU142*$O$371/1000*3</f>
        <v>0</v>
      </c>
      <c r="AV482" s="2186">
        <f t="shared" si="1021"/>
        <v>0</v>
      </c>
      <c r="AW482" s="2188">
        <f>AW142*$N$371/1000*3</f>
        <v>0</v>
      </c>
      <c r="AX482" s="2188">
        <f>AX142*$O$371/1000*3</f>
        <v>0</v>
      </c>
      <c r="AY482" s="2186">
        <f t="shared" si="1022"/>
        <v>0</v>
      </c>
      <c r="AZ482" s="2188">
        <f>AZ142*$N$371/1000*3</f>
        <v>0</v>
      </c>
      <c r="BA482" s="2188">
        <f>BA142*$O$371/1000*3</f>
        <v>0</v>
      </c>
      <c r="BB482" s="2186">
        <f t="shared" si="1023"/>
        <v>0</v>
      </c>
      <c r="BC482" s="2188">
        <f>BC142*$N$371/1000*3</f>
        <v>0</v>
      </c>
      <c r="BD482" s="2188">
        <f>BD142*$O$371/1000*3</f>
        <v>0</v>
      </c>
      <c r="BE482" s="2186">
        <f t="shared" si="1024"/>
        <v>0</v>
      </c>
      <c r="BF482" s="2188">
        <f>BF142*$N$371/1000*3</f>
        <v>0</v>
      </c>
      <c r="BG482" s="2188">
        <f>BG142*$O$371/1000*3</f>
        <v>0</v>
      </c>
      <c r="BH482" s="2186">
        <f t="shared" si="1025"/>
        <v>0</v>
      </c>
      <c r="BI482" s="2188">
        <f>BI142*$N$371/1000*3</f>
        <v>0</v>
      </c>
      <c r="BJ482" s="2188">
        <f>BJ142*$O$371/1000*3</f>
        <v>0</v>
      </c>
      <c r="BK482" s="2186">
        <f t="shared" si="1026"/>
        <v>0</v>
      </c>
      <c r="BL482" s="2188">
        <f>BL142*$N$371/1000*3</f>
        <v>0</v>
      </c>
      <c r="BM482" s="2188">
        <f>BM142*$O$371/1000*3</f>
        <v>0</v>
      </c>
      <c r="BN482" s="2186">
        <f t="shared" si="1027"/>
        <v>0</v>
      </c>
      <c r="BO482" s="2188">
        <f>BO142*$N$371/1000*3</f>
        <v>0</v>
      </c>
      <c r="BP482" s="2188">
        <f>BP142*$O$371/1000*3</f>
        <v>0</v>
      </c>
      <c r="BQ482" s="2186">
        <f t="shared" si="1028"/>
        <v>0</v>
      </c>
    </row>
    <row r="483" spans="3:69" s="2087" customFormat="1">
      <c r="C483" s="2189" t="s">
        <v>2638</v>
      </c>
      <c r="D483" s="2275" t="s">
        <v>2225</v>
      </c>
      <c r="E483" s="2274" t="s">
        <v>1833</v>
      </c>
      <c r="F483" s="2176"/>
      <c r="G483" s="2177"/>
      <c r="H483" s="2177"/>
      <c r="I483" s="2178">
        <f t="shared" si="1014"/>
        <v>0</v>
      </c>
      <c r="J483" s="2176"/>
      <c r="K483" s="2252">
        <f t="shared" si="1010"/>
        <v>0</v>
      </c>
      <c r="L483" s="2252">
        <f t="shared" si="1010"/>
        <v>0</v>
      </c>
      <c r="M483" s="2255">
        <f t="shared" si="1011"/>
        <v>0</v>
      </c>
      <c r="N483" s="2179">
        <f>N143*$N$372/1000*3</f>
        <v>0</v>
      </c>
      <c r="O483" s="2179">
        <f>O143*$O$372/1000*3</f>
        <v>0</v>
      </c>
      <c r="P483" s="2178">
        <f t="shared" si="1015"/>
        <v>0</v>
      </c>
      <c r="Q483" s="2184">
        <f>Q143*$Q$372/1000*3</f>
        <v>0</v>
      </c>
      <c r="R483" s="2179">
        <f>R143*$R$372/1000*3</f>
        <v>0</v>
      </c>
      <c r="S483" s="2180">
        <f t="shared" si="1016"/>
        <v>0</v>
      </c>
      <c r="T483" s="2251">
        <f t="shared" si="863"/>
        <v>0</v>
      </c>
      <c r="U483" s="2252">
        <f t="shared" si="863"/>
        <v>0</v>
      </c>
      <c r="V483" s="2253">
        <f t="shared" si="839"/>
        <v>0</v>
      </c>
      <c r="W483" s="2187">
        <f>W143*$W$372/1000*3</f>
        <v>0</v>
      </c>
      <c r="X483" s="2179">
        <f>X143*$X$372/1000*3</f>
        <v>0</v>
      </c>
      <c r="Y483" s="2183">
        <f t="shared" si="1012"/>
        <v>0</v>
      </c>
      <c r="Z483" s="2254">
        <f t="shared" si="1032"/>
        <v>0</v>
      </c>
      <c r="AA483" s="2252">
        <f t="shared" si="1032"/>
        <v>0</v>
      </c>
      <c r="AB483" s="2255">
        <f t="shared" si="840"/>
        <v>0</v>
      </c>
      <c r="AC483" s="2184">
        <f>AC143*$AC$372/1000*3</f>
        <v>0</v>
      </c>
      <c r="AD483" s="2179">
        <f>AD143*$AD$372/1000*3</f>
        <v>0</v>
      </c>
      <c r="AE483" s="2180">
        <f t="shared" si="1013"/>
        <v>0</v>
      </c>
      <c r="AF483" s="2277"/>
      <c r="AG483" s="2114"/>
      <c r="AH483" s="2188">
        <f>AH143*AH372/1000</f>
        <v>439.46539761999998</v>
      </c>
      <c r="AI483" s="2188">
        <f>AI143*$O$372/1000*3</f>
        <v>0</v>
      </c>
      <c r="AJ483" s="2186">
        <f t="shared" si="1017"/>
        <v>-439.46539761999998</v>
      </c>
      <c r="AK483" s="2188">
        <f>AK143*$N$372/1000*3</f>
        <v>0</v>
      </c>
      <c r="AL483" s="2188">
        <f>AL143*$O$372/1000*3</f>
        <v>0</v>
      </c>
      <c r="AM483" s="2186">
        <f t="shared" si="1018"/>
        <v>0</v>
      </c>
      <c r="AN483" s="2188">
        <f>AN143*$N$372/1000*3</f>
        <v>0</v>
      </c>
      <c r="AO483" s="2188">
        <f>AO143*$O$372/1000*3</f>
        <v>0</v>
      </c>
      <c r="AP483" s="2186">
        <f t="shared" si="1019"/>
        <v>0</v>
      </c>
      <c r="AQ483" s="2188">
        <f>AQ143*$N$372/1000*3</f>
        <v>0</v>
      </c>
      <c r="AR483" s="2188">
        <f>AR143*$O$372/1000*3</f>
        <v>0</v>
      </c>
      <c r="AS483" s="2186">
        <f t="shared" si="1020"/>
        <v>0</v>
      </c>
      <c r="AT483" s="2188">
        <f>AT143*$N$372/1000*3</f>
        <v>0</v>
      </c>
      <c r="AU483" s="2188">
        <f>AU143*$O$372/1000*3</f>
        <v>0</v>
      </c>
      <c r="AV483" s="2186">
        <f t="shared" si="1021"/>
        <v>0</v>
      </c>
      <c r="AW483" s="2188">
        <f>AW143*$N$372/1000*3</f>
        <v>0</v>
      </c>
      <c r="AX483" s="2188">
        <f>AX143*$O$372/1000*3</f>
        <v>0</v>
      </c>
      <c r="AY483" s="2186">
        <f t="shared" si="1022"/>
        <v>0</v>
      </c>
      <c r="AZ483" s="2188">
        <f>AZ143*$N$372/1000*3</f>
        <v>0</v>
      </c>
      <c r="BA483" s="2188">
        <f>BA143*$O$372/1000*3</f>
        <v>0</v>
      </c>
      <c r="BB483" s="2186">
        <f t="shared" si="1023"/>
        <v>0</v>
      </c>
      <c r="BC483" s="2188">
        <f>BC143*$N$372/1000*3</f>
        <v>0</v>
      </c>
      <c r="BD483" s="2188">
        <f>BD143*$O$372/1000*3</f>
        <v>0</v>
      </c>
      <c r="BE483" s="2186">
        <f t="shared" si="1024"/>
        <v>0</v>
      </c>
      <c r="BF483" s="2188">
        <f>BF143*$N$372/1000*3</f>
        <v>0</v>
      </c>
      <c r="BG483" s="2188">
        <f>BG143*$O$372/1000*3</f>
        <v>0</v>
      </c>
      <c r="BH483" s="2186">
        <f t="shared" si="1025"/>
        <v>0</v>
      </c>
      <c r="BI483" s="2188">
        <f>BI143*$N$372/1000*3</f>
        <v>0</v>
      </c>
      <c r="BJ483" s="2188">
        <f>BJ143*$O$372/1000*3</f>
        <v>0</v>
      </c>
      <c r="BK483" s="2186">
        <f t="shared" si="1026"/>
        <v>0</v>
      </c>
      <c r="BL483" s="2188">
        <f>BL143*$N$372/1000*3</f>
        <v>0</v>
      </c>
      <c r="BM483" s="2188">
        <f>BM143*$O$372/1000*3</f>
        <v>0</v>
      </c>
      <c r="BN483" s="2186">
        <f t="shared" si="1027"/>
        <v>0</v>
      </c>
      <c r="BO483" s="2188">
        <f>BO143*$N$372/1000*3</f>
        <v>0</v>
      </c>
      <c r="BP483" s="2188">
        <f>BP143*$O$372/1000*3</f>
        <v>0</v>
      </c>
      <c r="BQ483" s="2186">
        <f t="shared" si="1028"/>
        <v>0</v>
      </c>
    </row>
    <row r="484" spans="3:69" s="2087" customFormat="1">
      <c r="C484" s="2194" t="s">
        <v>2639</v>
      </c>
      <c r="D484" s="2283" t="s">
        <v>2227</v>
      </c>
      <c r="E484" s="2284" t="s">
        <v>1833</v>
      </c>
      <c r="F484" s="2176"/>
      <c r="G484" s="2177"/>
      <c r="H484" s="2177"/>
      <c r="I484" s="2178">
        <f t="shared" si="1014"/>
        <v>0</v>
      </c>
      <c r="J484" s="2176"/>
      <c r="K484" s="2252">
        <f t="shared" si="1010"/>
        <v>0</v>
      </c>
      <c r="L484" s="2252">
        <f t="shared" si="1010"/>
        <v>0</v>
      </c>
      <c r="M484" s="2255">
        <f t="shared" si="1011"/>
        <v>0</v>
      </c>
      <c r="N484" s="2179">
        <f>N144*$N$373/1000*3</f>
        <v>0</v>
      </c>
      <c r="O484" s="2179">
        <f>O144*$O$373/1000*3</f>
        <v>0</v>
      </c>
      <c r="P484" s="2178">
        <f t="shared" si="1015"/>
        <v>0</v>
      </c>
      <c r="Q484" s="2184">
        <f>Q144*$Q$373/1000*3</f>
        <v>0</v>
      </c>
      <c r="R484" s="2179">
        <f>R144*$R$373/1000*3</f>
        <v>0</v>
      </c>
      <c r="S484" s="2180">
        <f t="shared" si="1016"/>
        <v>0</v>
      </c>
      <c r="T484" s="2251">
        <f t="shared" si="863"/>
        <v>0</v>
      </c>
      <c r="U484" s="2252">
        <f t="shared" si="863"/>
        <v>0</v>
      </c>
      <c r="V484" s="2253">
        <f t="shared" si="839"/>
        <v>0</v>
      </c>
      <c r="W484" s="2187">
        <f>W144*$W$373/1000*3</f>
        <v>0</v>
      </c>
      <c r="X484" s="2179">
        <f>X144*$X$373/1000*3</f>
        <v>0</v>
      </c>
      <c r="Y484" s="2183">
        <f t="shared" si="1012"/>
        <v>0</v>
      </c>
      <c r="Z484" s="2254">
        <f t="shared" si="1032"/>
        <v>0</v>
      </c>
      <c r="AA484" s="2252">
        <f t="shared" si="1032"/>
        <v>0</v>
      </c>
      <c r="AB484" s="2255">
        <f t="shared" si="840"/>
        <v>0</v>
      </c>
      <c r="AC484" s="2184">
        <f>AC144*$AC$373/1000*3</f>
        <v>0</v>
      </c>
      <c r="AD484" s="2179">
        <f>AD144*$AD$373/1000*3</f>
        <v>0</v>
      </c>
      <c r="AE484" s="2180">
        <f t="shared" si="1013"/>
        <v>0</v>
      </c>
      <c r="AF484" s="2277"/>
      <c r="AG484" s="2114"/>
      <c r="AH484" s="2188">
        <f>AH144*AH373/1000</f>
        <v>6725.1389651599993</v>
      </c>
      <c r="AI484" s="2188">
        <f>AI144*$O$373/1000*3</f>
        <v>0</v>
      </c>
      <c r="AJ484" s="2186">
        <f t="shared" si="1017"/>
        <v>-6725.1389651599993</v>
      </c>
      <c r="AK484" s="2188">
        <f>AK144*$N$373/1000*3</f>
        <v>0</v>
      </c>
      <c r="AL484" s="2188">
        <f>AL144*$O$373/1000*3</f>
        <v>0</v>
      </c>
      <c r="AM484" s="2186">
        <f t="shared" si="1018"/>
        <v>0</v>
      </c>
      <c r="AN484" s="2188">
        <f>AN144*$N$373/1000*3</f>
        <v>0</v>
      </c>
      <c r="AO484" s="2188">
        <f>AO144*$O$373/1000*3</f>
        <v>0</v>
      </c>
      <c r="AP484" s="2186">
        <f t="shared" si="1019"/>
        <v>0</v>
      </c>
      <c r="AQ484" s="2188">
        <f>AQ144*$N$373/1000*3</f>
        <v>0</v>
      </c>
      <c r="AR484" s="2188">
        <f>AR144*$O$373/1000*3</f>
        <v>0</v>
      </c>
      <c r="AS484" s="2186">
        <f t="shared" si="1020"/>
        <v>0</v>
      </c>
      <c r="AT484" s="2188">
        <f>AT144*$N$373/1000*3</f>
        <v>0</v>
      </c>
      <c r="AU484" s="2188">
        <f>AU144*$O$373/1000*3</f>
        <v>0</v>
      </c>
      <c r="AV484" s="2186">
        <f t="shared" si="1021"/>
        <v>0</v>
      </c>
      <c r="AW484" s="2188">
        <f>AW144*$N$373/1000*3</f>
        <v>0</v>
      </c>
      <c r="AX484" s="2188">
        <f>AX144*$O$373/1000*3</f>
        <v>0</v>
      </c>
      <c r="AY484" s="2186">
        <f t="shared" si="1022"/>
        <v>0</v>
      </c>
      <c r="AZ484" s="2188">
        <f>AZ144*$N$373/1000*3</f>
        <v>0</v>
      </c>
      <c r="BA484" s="2188">
        <f>BA144*$O$373/1000*3</f>
        <v>0</v>
      </c>
      <c r="BB484" s="2186">
        <f t="shared" si="1023"/>
        <v>0</v>
      </c>
      <c r="BC484" s="2188">
        <f>BC144*$N$373/1000*3</f>
        <v>0</v>
      </c>
      <c r="BD484" s="2188">
        <f>BD144*$O$373/1000*3</f>
        <v>0</v>
      </c>
      <c r="BE484" s="2186">
        <f t="shared" si="1024"/>
        <v>0</v>
      </c>
      <c r="BF484" s="2188">
        <f>BF144*$N$373/1000*3</f>
        <v>0</v>
      </c>
      <c r="BG484" s="2188">
        <f>BG144*$O$373/1000*3</f>
        <v>0</v>
      </c>
      <c r="BH484" s="2186">
        <f t="shared" si="1025"/>
        <v>0</v>
      </c>
      <c r="BI484" s="2188">
        <f>BI144*$N$373/1000*3</f>
        <v>0</v>
      </c>
      <c r="BJ484" s="2188">
        <f>BJ144*$O$373/1000*3</f>
        <v>0</v>
      </c>
      <c r="BK484" s="2186">
        <f t="shared" si="1026"/>
        <v>0</v>
      </c>
      <c r="BL484" s="2188">
        <f>BL144*$N$373/1000*3</f>
        <v>0</v>
      </c>
      <c r="BM484" s="2188">
        <f>BM144*$O$373/1000*3</f>
        <v>0</v>
      </c>
      <c r="BN484" s="2186">
        <f t="shared" si="1027"/>
        <v>0</v>
      </c>
      <c r="BO484" s="2188">
        <f>BO144*$N$373/1000*3</f>
        <v>0</v>
      </c>
      <c r="BP484" s="2188">
        <f>BP144*$O$373/1000*3</f>
        <v>0</v>
      </c>
      <c r="BQ484" s="2186">
        <f t="shared" si="1028"/>
        <v>0</v>
      </c>
    </row>
    <row r="485" spans="3:69" s="2087" customFormat="1">
      <c r="C485" s="2194" t="s">
        <v>2640</v>
      </c>
      <c r="D485" s="2283" t="s">
        <v>2229</v>
      </c>
      <c r="E485" s="2284" t="s">
        <v>1833</v>
      </c>
      <c r="F485" s="2176"/>
      <c r="G485" s="2177"/>
      <c r="H485" s="2177"/>
      <c r="I485" s="2178">
        <f t="shared" si="1014"/>
        <v>0</v>
      </c>
      <c r="J485" s="2176"/>
      <c r="K485" s="2252">
        <f t="shared" si="1010"/>
        <v>0</v>
      </c>
      <c r="L485" s="2252">
        <f t="shared" si="1010"/>
        <v>0</v>
      </c>
      <c r="M485" s="2255">
        <f t="shared" si="1011"/>
        <v>0</v>
      </c>
      <c r="N485" s="2177"/>
      <c r="O485" s="2177"/>
      <c r="P485" s="2178">
        <f t="shared" si="1015"/>
        <v>0</v>
      </c>
      <c r="Q485" s="2177"/>
      <c r="R485" s="2177"/>
      <c r="S485" s="2180">
        <f t="shared" si="1016"/>
        <v>0</v>
      </c>
      <c r="T485" s="2251">
        <f t="shared" si="863"/>
        <v>0</v>
      </c>
      <c r="U485" s="2252">
        <f t="shared" si="863"/>
        <v>0</v>
      </c>
      <c r="V485" s="2253">
        <f t="shared" si="839"/>
        <v>0</v>
      </c>
      <c r="W485" s="2182"/>
      <c r="X485" s="2177"/>
      <c r="Y485" s="2183">
        <f t="shared" si="1012"/>
        <v>0</v>
      </c>
      <c r="Z485" s="2254">
        <f t="shared" si="1032"/>
        <v>0</v>
      </c>
      <c r="AA485" s="2252">
        <f t="shared" si="1032"/>
        <v>0</v>
      </c>
      <c r="AB485" s="2255">
        <f t="shared" si="840"/>
        <v>0</v>
      </c>
      <c r="AC485" s="2177"/>
      <c r="AD485" s="2177"/>
      <c r="AE485" s="2180">
        <f t="shared" si="1013"/>
        <v>0</v>
      </c>
      <c r="AF485" s="2277"/>
      <c r="AG485" s="2114"/>
      <c r="AH485" s="2177"/>
      <c r="AI485" s="2177"/>
      <c r="AJ485" s="2186">
        <f t="shared" si="1017"/>
        <v>0</v>
      </c>
      <c r="AK485" s="2177"/>
      <c r="AL485" s="2177"/>
      <c r="AM485" s="2186">
        <f t="shared" si="1018"/>
        <v>0</v>
      </c>
      <c r="AN485" s="2177"/>
      <c r="AO485" s="2177"/>
      <c r="AP485" s="2186">
        <f t="shared" si="1019"/>
        <v>0</v>
      </c>
      <c r="AQ485" s="2177"/>
      <c r="AR485" s="2177"/>
      <c r="AS485" s="2186">
        <f t="shared" si="1020"/>
        <v>0</v>
      </c>
      <c r="AT485" s="2177"/>
      <c r="AU485" s="2177"/>
      <c r="AV485" s="2186">
        <f t="shared" si="1021"/>
        <v>0</v>
      </c>
      <c r="AW485" s="2177"/>
      <c r="AX485" s="2177"/>
      <c r="AY485" s="2186">
        <f t="shared" si="1022"/>
        <v>0</v>
      </c>
      <c r="AZ485" s="2177"/>
      <c r="BA485" s="2177"/>
      <c r="BB485" s="2186">
        <f t="shared" si="1023"/>
        <v>0</v>
      </c>
      <c r="BC485" s="2177"/>
      <c r="BD485" s="2177"/>
      <c r="BE485" s="2186">
        <f t="shared" si="1024"/>
        <v>0</v>
      </c>
      <c r="BF485" s="2177"/>
      <c r="BG485" s="2177"/>
      <c r="BH485" s="2186">
        <f t="shared" si="1025"/>
        <v>0</v>
      </c>
      <c r="BI485" s="2177"/>
      <c r="BJ485" s="2177"/>
      <c r="BK485" s="2186">
        <f t="shared" si="1026"/>
        <v>0</v>
      </c>
      <c r="BL485" s="2177"/>
      <c r="BM485" s="2177"/>
      <c r="BN485" s="2186">
        <f t="shared" si="1027"/>
        <v>0</v>
      </c>
      <c r="BO485" s="2177"/>
      <c r="BP485" s="2177"/>
      <c r="BQ485" s="2186">
        <f t="shared" si="1028"/>
        <v>0</v>
      </c>
    </row>
    <row r="486" spans="3:69" s="2087" customFormat="1">
      <c r="C486" s="2285" t="s">
        <v>2641</v>
      </c>
      <c r="D486" s="2286" t="s">
        <v>2606</v>
      </c>
      <c r="E486" s="2284" t="s">
        <v>1833</v>
      </c>
      <c r="F486" s="2176"/>
      <c r="G486" s="2252">
        <f>G487+G488+G489+G490+G491</f>
        <v>0</v>
      </c>
      <c r="H486" s="2252">
        <f>H487+H488+H489+H490+H491</f>
        <v>0</v>
      </c>
      <c r="I486" s="2178">
        <f t="shared" si="1014"/>
        <v>0</v>
      </c>
      <c r="J486" s="2176"/>
      <c r="K486" s="2179">
        <f t="shared" si="1010"/>
        <v>0</v>
      </c>
      <c r="L486" s="2179">
        <f t="shared" si="1010"/>
        <v>0</v>
      </c>
      <c r="M486" s="2178">
        <f t="shared" si="1011"/>
        <v>0</v>
      </c>
      <c r="N486" s="2179">
        <f>N487+N488+N489+N490+N491</f>
        <v>0</v>
      </c>
      <c r="O486" s="2179">
        <f>O487+O488+O489+O490+O491</f>
        <v>0</v>
      </c>
      <c r="P486" s="2178">
        <f t="shared" si="1015"/>
        <v>0</v>
      </c>
      <c r="Q486" s="2179">
        <f>Q487+Q488+Q489+Q490+Q491</f>
        <v>0</v>
      </c>
      <c r="R486" s="2179">
        <f>R487+R488+R489+R490+R491</f>
        <v>0</v>
      </c>
      <c r="S486" s="2180">
        <f t="shared" si="1016"/>
        <v>0</v>
      </c>
      <c r="T486" s="2181">
        <f t="shared" si="863"/>
        <v>0</v>
      </c>
      <c r="U486" s="2179">
        <f t="shared" si="863"/>
        <v>0</v>
      </c>
      <c r="V486" s="2180">
        <f t="shared" si="839"/>
        <v>0</v>
      </c>
      <c r="W486" s="2187">
        <f>W487+W488+W489+W490+W491</f>
        <v>0</v>
      </c>
      <c r="X486" s="2179">
        <f>X487+X488+X489+X490+X491</f>
        <v>0</v>
      </c>
      <c r="Y486" s="2183">
        <f t="shared" si="1012"/>
        <v>0</v>
      </c>
      <c r="Z486" s="2184">
        <f t="shared" si="1032"/>
        <v>0</v>
      </c>
      <c r="AA486" s="2179">
        <f t="shared" si="1032"/>
        <v>0</v>
      </c>
      <c r="AB486" s="2178">
        <f t="shared" si="840"/>
        <v>0</v>
      </c>
      <c r="AC486" s="2179">
        <f>AC487+AC488+AC489+AC490+AC491</f>
        <v>0</v>
      </c>
      <c r="AD486" s="2179">
        <f>AD487+AD488+AD489+AD490+AD491</f>
        <v>0</v>
      </c>
      <c r="AE486" s="2180">
        <f t="shared" si="1013"/>
        <v>0</v>
      </c>
      <c r="AF486" s="2277"/>
      <c r="AG486" s="2114"/>
      <c r="AH486" s="2188">
        <f>AH487+AH488+AH489+AH490+AH491</f>
        <v>2526.9148897301507</v>
      </c>
      <c r="AI486" s="2188">
        <f>AI487+AI488+AI489+AI490+AI491</f>
        <v>0</v>
      </c>
      <c r="AJ486" s="2186">
        <f t="shared" si="1017"/>
        <v>-2526.9148897301507</v>
      </c>
      <c r="AK486" s="2188">
        <f>AK487+AK488+AK489+AK490+AK491</f>
        <v>0</v>
      </c>
      <c r="AL486" s="2188">
        <f>AL487+AL488+AL489+AL490+AL491</f>
        <v>0</v>
      </c>
      <c r="AM486" s="2186">
        <f t="shared" si="1018"/>
        <v>0</v>
      </c>
      <c r="AN486" s="2188">
        <f>AN487+AN488+AN489+AN490+AN491</f>
        <v>0</v>
      </c>
      <c r="AO486" s="2188">
        <f>AO487+AO488+AO489+AO490+AO491</f>
        <v>0</v>
      </c>
      <c r="AP486" s="2186">
        <f t="shared" si="1019"/>
        <v>0</v>
      </c>
      <c r="AQ486" s="2188">
        <f>AQ487+AQ488+AQ489+AQ490+AQ491</f>
        <v>0</v>
      </c>
      <c r="AR486" s="2188">
        <f>AR487+AR488+AR489+AR490+AR491</f>
        <v>0</v>
      </c>
      <c r="AS486" s="2186">
        <f t="shared" si="1020"/>
        <v>0</v>
      </c>
      <c r="AT486" s="2188">
        <f>AT487+AT488+AT489+AT490+AT491</f>
        <v>0</v>
      </c>
      <c r="AU486" s="2188">
        <f>AU487+AU488+AU489+AU490+AU491</f>
        <v>0</v>
      </c>
      <c r="AV486" s="2186">
        <f t="shared" si="1021"/>
        <v>0</v>
      </c>
      <c r="AW486" s="2188">
        <f>AW487+AW488+AW489+AW490+AW491</f>
        <v>0</v>
      </c>
      <c r="AX486" s="2188">
        <f>AX487+AX488+AX489+AX490+AX491</f>
        <v>0</v>
      </c>
      <c r="AY486" s="2186">
        <f t="shared" si="1022"/>
        <v>0</v>
      </c>
      <c r="AZ486" s="2188">
        <f>AZ487+AZ488+AZ489+AZ490+AZ491</f>
        <v>0</v>
      </c>
      <c r="BA486" s="2188">
        <f>BA487+BA488+BA489+BA490+BA491</f>
        <v>0</v>
      </c>
      <c r="BB486" s="2186">
        <f t="shared" si="1023"/>
        <v>0</v>
      </c>
      <c r="BC486" s="2188">
        <f>BC487+BC488+BC489+BC490+BC491</f>
        <v>0</v>
      </c>
      <c r="BD486" s="2188">
        <f>BD487+BD488+BD489+BD490+BD491</f>
        <v>0</v>
      </c>
      <c r="BE486" s="2186">
        <f t="shared" si="1024"/>
        <v>0</v>
      </c>
      <c r="BF486" s="2188">
        <f>BF487+BF488+BF489+BF490+BF491</f>
        <v>0</v>
      </c>
      <c r="BG486" s="2188">
        <f>BG487+BG488+BG489+BG490+BG491</f>
        <v>0</v>
      </c>
      <c r="BH486" s="2186">
        <f t="shared" si="1025"/>
        <v>0</v>
      </c>
      <c r="BI486" s="2188">
        <f>BI487+BI488+BI489+BI490+BI491</f>
        <v>0</v>
      </c>
      <c r="BJ486" s="2188">
        <f>BJ487+BJ488+BJ489+BJ490+BJ491</f>
        <v>0</v>
      </c>
      <c r="BK486" s="2186">
        <f t="shared" si="1026"/>
        <v>0</v>
      </c>
      <c r="BL486" s="2188">
        <f>BL487+BL488+BL489+BL490+BL491</f>
        <v>0</v>
      </c>
      <c r="BM486" s="2188">
        <f>BM487+BM488+BM489+BM490+BM491</f>
        <v>0</v>
      </c>
      <c r="BN486" s="2186">
        <f t="shared" si="1027"/>
        <v>0</v>
      </c>
      <c r="BO486" s="2188">
        <f>BO487+BO488+BO489+BO490+BO491</f>
        <v>0</v>
      </c>
      <c r="BP486" s="2188">
        <f>BP487+BP488+BP489+BP490+BP491</f>
        <v>0</v>
      </c>
      <c r="BQ486" s="2186">
        <f t="shared" si="1028"/>
        <v>0</v>
      </c>
    </row>
    <row r="487" spans="3:69" s="2087" customFormat="1">
      <c r="C487" s="2194" t="s">
        <v>2642</v>
      </c>
      <c r="D487" s="2283" t="s">
        <v>2221</v>
      </c>
      <c r="E487" s="2284" t="s">
        <v>1833</v>
      </c>
      <c r="F487" s="2176"/>
      <c r="G487" s="2177"/>
      <c r="H487" s="2177"/>
      <c r="I487" s="2178">
        <f t="shared" si="1014"/>
        <v>0</v>
      </c>
      <c r="J487" s="2176"/>
      <c r="K487" s="2252">
        <f t="shared" si="1010"/>
        <v>0</v>
      </c>
      <c r="L487" s="2252">
        <f t="shared" si="1010"/>
        <v>0</v>
      </c>
      <c r="M487" s="2255">
        <f t="shared" si="1011"/>
        <v>0</v>
      </c>
      <c r="N487" s="2179">
        <f>N147*$N$376</f>
        <v>0</v>
      </c>
      <c r="O487" s="2179">
        <f>O147*$O$376</f>
        <v>0</v>
      </c>
      <c r="P487" s="2178">
        <f t="shared" si="1015"/>
        <v>0</v>
      </c>
      <c r="Q487" s="2184">
        <f>Q147*$Q$376</f>
        <v>0</v>
      </c>
      <c r="R487" s="2179">
        <f>R147*$R$376</f>
        <v>0</v>
      </c>
      <c r="S487" s="2180">
        <f t="shared" si="1016"/>
        <v>0</v>
      </c>
      <c r="T487" s="2251">
        <f t="shared" si="863"/>
        <v>0</v>
      </c>
      <c r="U487" s="2252">
        <f t="shared" si="863"/>
        <v>0</v>
      </c>
      <c r="V487" s="2253">
        <f t="shared" si="839"/>
        <v>0</v>
      </c>
      <c r="W487" s="2187">
        <f>W147*$W$376</f>
        <v>0</v>
      </c>
      <c r="X487" s="2179">
        <f>X147*$X$376</f>
        <v>0</v>
      </c>
      <c r="Y487" s="2183">
        <f t="shared" si="1012"/>
        <v>0</v>
      </c>
      <c r="Z487" s="2254">
        <f t="shared" si="1032"/>
        <v>0</v>
      </c>
      <c r="AA487" s="2252">
        <f t="shared" si="1032"/>
        <v>0</v>
      </c>
      <c r="AB487" s="2255">
        <f t="shared" si="840"/>
        <v>0</v>
      </c>
      <c r="AC487" s="2184">
        <f>AC147*$AC$376</f>
        <v>0</v>
      </c>
      <c r="AD487" s="2179">
        <f>AD147*$AD$376</f>
        <v>0</v>
      </c>
      <c r="AE487" s="2180">
        <f t="shared" si="1013"/>
        <v>0</v>
      </c>
      <c r="AF487" s="2277"/>
      <c r="AG487" s="2114"/>
      <c r="AH487" s="2188">
        <f>AH147*$N$376</f>
        <v>0</v>
      </c>
      <c r="AI487" s="2188">
        <f>AI147*$O$376</f>
        <v>0</v>
      </c>
      <c r="AJ487" s="2186">
        <f t="shared" si="1017"/>
        <v>0</v>
      </c>
      <c r="AK487" s="2188">
        <f>AK147*$N$376</f>
        <v>0</v>
      </c>
      <c r="AL487" s="2188">
        <f>AL147*$O$376</f>
        <v>0</v>
      </c>
      <c r="AM487" s="2186">
        <f t="shared" si="1018"/>
        <v>0</v>
      </c>
      <c r="AN487" s="2188">
        <f>AN147*$N$376</f>
        <v>0</v>
      </c>
      <c r="AO487" s="2188">
        <f>AO147*$O$376</f>
        <v>0</v>
      </c>
      <c r="AP487" s="2186">
        <f t="shared" si="1019"/>
        <v>0</v>
      </c>
      <c r="AQ487" s="2188">
        <f>AQ147*$N$376</f>
        <v>0</v>
      </c>
      <c r="AR487" s="2188">
        <f>AR147*$O$376</f>
        <v>0</v>
      </c>
      <c r="AS487" s="2186">
        <f t="shared" si="1020"/>
        <v>0</v>
      </c>
      <c r="AT487" s="2188">
        <f>AT147*$N$376</f>
        <v>0</v>
      </c>
      <c r="AU487" s="2188">
        <f>AU147*$O$376</f>
        <v>0</v>
      </c>
      <c r="AV487" s="2186">
        <f t="shared" si="1021"/>
        <v>0</v>
      </c>
      <c r="AW487" s="2188">
        <f>AW147*$N$376</f>
        <v>0</v>
      </c>
      <c r="AX487" s="2188">
        <f>AX147*$O$376</f>
        <v>0</v>
      </c>
      <c r="AY487" s="2186">
        <f t="shared" si="1022"/>
        <v>0</v>
      </c>
      <c r="AZ487" s="2188">
        <f>AZ147*$N$376</f>
        <v>0</v>
      </c>
      <c r="BA487" s="2188">
        <f>BA147*$O$376</f>
        <v>0</v>
      </c>
      <c r="BB487" s="2186">
        <f t="shared" si="1023"/>
        <v>0</v>
      </c>
      <c r="BC487" s="2188">
        <f>BC147*$N$376</f>
        <v>0</v>
      </c>
      <c r="BD487" s="2188">
        <f>BD147*$O$376</f>
        <v>0</v>
      </c>
      <c r="BE487" s="2186">
        <f t="shared" si="1024"/>
        <v>0</v>
      </c>
      <c r="BF487" s="2188">
        <f>BF147*$N$376</f>
        <v>0</v>
      </c>
      <c r="BG487" s="2188">
        <f>BG147*$O$376</f>
        <v>0</v>
      </c>
      <c r="BH487" s="2186">
        <f t="shared" si="1025"/>
        <v>0</v>
      </c>
      <c r="BI487" s="2188">
        <f>BI147*$N$376</f>
        <v>0</v>
      </c>
      <c r="BJ487" s="2188">
        <f>BJ147*$O$376</f>
        <v>0</v>
      </c>
      <c r="BK487" s="2186">
        <f t="shared" si="1026"/>
        <v>0</v>
      </c>
      <c r="BL487" s="2188">
        <f>BL147*$N$376</f>
        <v>0</v>
      </c>
      <c r="BM487" s="2188">
        <f>BM147*$O$376</f>
        <v>0</v>
      </c>
      <c r="BN487" s="2186">
        <f t="shared" si="1027"/>
        <v>0</v>
      </c>
      <c r="BO487" s="2188">
        <f>BO147*$N$376</f>
        <v>0</v>
      </c>
      <c r="BP487" s="2188">
        <f>BP147*$O$376</f>
        <v>0</v>
      </c>
      <c r="BQ487" s="2186">
        <f t="shared" si="1028"/>
        <v>0</v>
      </c>
    </row>
    <row r="488" spans="3:69" s="2087" customFormat="1">
      <c r="C488" s="2194" t="s">
        <v>2643</v>
      </c>
      <c r="D488" s="2283" t="s">
        <v>2223</v>
      </c>
      <c r="E488" s="2284" t="s">
        <v>1833</v>
      </c>
      <c r="F488" s="2176"/>
      <c r="G488" s="2177"/>
      <c r="H488" s="2177"/>
      <c r="I488" s="2178">
        <f t="shared" si="1014"/>
        <v>0</v>
      </c>
      <c r="J488" s="2176"/>
      <c r="K488" s="2252">
        <f t="shared" si="1010"/>
        <v>0</v>
      </c>
      <c r="L488" s="2252">
        <f t="shared" si="1010"/>
        <v>0</v>
      </c>
      <c r="M488" s="2255">
        <f t="shared" si="1011"/>
        <v>0</v>
      </c>
      <c r="N488" s="2179">
        <f>N148*$N$377</f>
        <v>0</v>
      </c>
      <c r="O488" s="2179">
        <f>O148*$O$377</f>
        <v>0</v>
      </c>
      <c r="P488" s="2178">
        <f t="shared" si="1015"/>
        <v>0</v>
      </c>
      <c r="Q488" s="2184">
        <f>Q148*$Q$377</f>
        <v>0</v>
      </c>
      <c r="R488" s="2179">
        <f>R148*$R$377</f>
        <v>0</v>
      </c>
      <c r="S488" s="2180">
        <f t="shared" si="1016"/>
        <v>0</v>
      </c>
      <c r="T488" s="2251">
        <f t="shared" si="863"/>
        <v>0</v>
      </c>
      <c r="U488" s="2252">
        <f t="shared" si="863"/>
        <v>0</v>
      </c>
      <c r="V488" s="2253">
        <f t="shared" si="839"/>
        <v>0</v>
      </c>
      <c r="W488" s="2187">
        <f>W148*$W$377</f>
        <v>0</v>
      </c>
      <c r="X488" s="2179">
        <f>X148*$X$377</f>
        <v>0</v>
      </c>
      <c r="Y488" s="2183">
        <f t="shared" si="1012"/>
        <v>0</v>
      </c>
      <c r="Z488" s="2254">
        <f t="shared" si="1032"/>
        <v>0</v>
      </c>
      <c r="AA488" s="2252">
        <f t="shared" si="1032"/>
        <v>0</v>
      </c>
      <c r="AB488" s="2255">
        <f t="shared" si="840"/>
        <v>0</v>
      </c>
      <c r="AC488" s="2184">
        <f>AC148*$AC$377</f>
        <v>0</v>
      </c>
      <c r="AD488" s="2179">
        <f>AD148*$AD$377</f>
        <v>0</v>
      </c>
      <c r="AE488" s="2180">
        <f t="shared" si="1013"/>
        <v>0</v>
      </c>
      <c r="AF488" s="2277"/>
      <c r="AG488" s="2114"/>
      <c r="AH488" s="2188">
        <f>AH148*$N$377</f>
        <v>0</v>
      </c>
      <c r="AI488" s="2188">
        <f>AI148*$O$377</f>
        <v>0</v>
      </c>
      <c r="AJ488" s="2186">
        <f t="shared" si="1017"/>
        <v>0</v>
      </c>
      <c r="AK488" s="2188">
        <f>AK148*$N$377</f>
        <v>0</v>
      </c>
      <c r="AL488" s="2188">
        <f>AL148*$O$377</f>
        <v>0</v>
      </c>
      <c r="AM488" s="2186">
        <f t="shared" si="1018"/>
        <v>0</v>
      </c>
      <c r="AN488" s="2188">
        <f>AN148*$N$377</f>
        <v>0</v>
      </c>
      <c r="AO488" s="2188">
        <f>AO148*$O$377</f>
        <v>0</v>
      </c>
      <c r="AP488" s="2186">
        <f t="shared" si="1019"/>
        <v>0</v>
      </c>
      <c r="AQ488" s="2188">
        <f>AQ148*$N$377</f>
        <v>0</v>
      </c>
      <c r="AR488" s="2188">
        <f>AR148*$O$377</f>
        <v>0</v>
      </c>
      <c r="AS488" s="2186">
        <f t="shared" si="1020"/>
        <v>0</v>
      </c>
      <c r="AT488" s="2188">
        <f>AT148*$N$377</f>
        <v>0</v>
      </c>
      <c r="AU488" s="2188">
        <f>AU148*$O$377</f>
        <v>0</v>
      </c>
      <c r="AV488" s="2186">
        <f t="shared" si="1021"/>
        <v>0</v>
      </c>
      <c r="AW488" s="2188">
        <f>AW148*$N$377</f>
        <v>0</v>
      </c>
      <c r="AX488" s="2188">
        <f>AX148*$O$377</f>
        <v>0</v>
      </c>
      <c r="AY488" s="2186">
        <f t="shared" si="1022"/>
        <v>0</v>
      </c>
      <c r="AZ488" s="2188">
        <f>AZ148*$N$377</f>
        <v>0</v>
      </c>
      <c r="BA488" s="2188">
        <f>BA148*$O$377</f>
        <v>0</v>
      </c>
      <c r="BB488" s="2186">
        <f t="shared" si="1023"/>
        <v>0</v>
      </c>
      <c r="BC488" s="2188">
        <f>BC148*$N$377</f>
        <v>0</v>
      </c>
      <c r="BD488" s="2188">
        <f>BD148*$O$377</f>
        <v>0</v>
      </c>
      <c r="BE488" s="2186">
        <f t="shared" si="1024"/>
        <v>0</v>
      </c>
      <c r="BF488" s="2188">
        <f>BF148*$N$377</f>
        <v>0</v>
      </c>
      <c r="BG488" s="2188">
        <f>BG148*$O$377</f>
        <v>0</v>
      </c>
      <c r="BH488" s="2186">
        <f t="shared" si="1025"/>
        <v>0</v>
      </c>
      <c r="BI488" s="2188">
        <f>BI148*$N$377</f>
        <v>0</v>
      </c>
      <c r="BJ488" s="2188">
        <f>BJ148*$O$377</f>
        <v>0</v>
      </c>
      <c r="BK488" s="2186">
        <f t="shared" si="1026"/>
        <v>0</v>
      </c>
      <c r="BL488" s="2188">
        <f>BL148*$N$377</f>
        <v>0</v>
      </c>
      <c r="BM488" s="2188">
        <f>BM148*$O$377</f>
        <v>0</v>
      </c>
      <c r="BN488" s="2186">
        <f t="shared" si="1027"/>
        <v>0</v>
      </c>
      <c r="BO488" s="2188">
        <f>BO148*$N$377</f>
        <v>0</v>
      </c>
      <c r="BP488" s="2188">
        <f>BP148*$O$377</f>
        <v>0</v>
      </c>
      <c r="BQ488" s="2186">
        <f t="shared" si="1028"/>
        <v>0</v>
      </c>
    </row>
    <row r="489" spans="3:69" s="2087" customFormat="1">
      <c r="C489" s="2194" t="s">
        <v>2644</v>
      </c>
      <c r="D489" s="2283" t="s">
        <v>2225</v>
      </c>
      <c r="E489" s="2284" t="s">
        <v>1833</v>
      </c>
      <c r="F489" s="2176"/>
      <c r="G489" s="2177"/>
      <c r="H489" s="2177"/>
      <c r="I489" s="2178">
        <f t="shared" si="1014"/>
        <v>0</v>
      </c>
      <c r="J489" s="2176"/>
      <c r="K489" s="2252">
        <f t="shared" si="1010"/>
        <v>0</v>
      </c>
      <c r="L489" s="2252">
        <f t="shared" si="1010"/>
        <v>0</v>
      </c>
      <c r="M489" s="2255">
        <f t="shared" si="1011"/>
        <v>0</v>
      </c>
      <c r="N489" s="2179">
        <f>N149*$N$378</f>
        <v>0</v>
      </c>
      <c r="O489" s="2179">
        <f>O149*$O$378</f>
        <v>0</v>
      </c>
      <c r="P489" s="2178">
        <f t="shared" si="1015"/>
        <v>0</v>
      </c>
      <c r="Q489" s="2184">
        <f>Q149*$Q$378</f>
        <v>0</v>
      </c>
      <c r="R489" s="2179">
        <f>R149*$R$378</f>
        <v>0</v>
      </c>
      <c r="S489" s="2180">
        <f t="shared" si="1016"/>
        <v>0</v>
      </c>
      <c r="T489" s="2251">
        <f t="shared" si="863"/>
        <v>0</v>
      </c>
      <c r="U489" s="2252">
        <f t="shared" si="863"/>
        <v>0</v>
      </c>
      <c r="V489" s="2253">
        <f t="shared" si="839"/>
        <v>0</v>
      </c>
      <c r="W489" s="2187">
        <f>W149*$W$378</f>
        <v>0</v>
      </c>
      <c r="X489" s="2179">
        <f>X149*$X$378</f>
        <v>0</v>
      </c>
      <c r="Y489" s="2183">
        <f t="shared" si="1012"/>
        <v>0</v>
      </c>
      <c r="Z489" s="2254">
        <f t="shared" si="1032"/>
        <v>0</v>
      </c>
      <c r="AA489" s="2252">
        <f t="shared" si="1032"/>
        <v>0</v>
      </c>
      <c r="AB489" s="2255">
        <f t="shared" si="840"/>
        <v>0</v>
      </c>
      <c r="AC489" s="2184">
        <f>AC149*$AC$378</f>
        <v>0</v>
      </c>
      <c r="AD489" s="2179">
        <f>AD149*$AD$378</f>
        <v>0</v>
      </c>
      <c r="AE489" s="2180">
        <f t="shared" si="1013"/>
        <v>0</v>
      </c>
      <c r="AF489" s="2277"/>
      <c r="AG489" s="2114"/>
      <c r="AH489" s="2188">
        <f>AH149*AH378/1000</f>
        <v>3.4111980149999999E-2</v>
      </c>
      <c r="AI489" s="2188">
        <f>AI149*$O$378</f>
        <v>0</v>
      </c>
      <c r="AJ489" s="2186">
        <f t="shared" si="1017"/>
        <v>-3.4111980149999999E-2</v>
      </c>
      <c r="AK489" s="2188">
        <f>AK149*$N$378</f>
        <v>0</v>
      </c>
      <c r="AL489" s="2188">
        <f>AL149*$O$378</f>
        <v>0</v>
      </c>
      <c r="AM489" s="2186">
        <f t="shared" si="1018"/>
        <v>0</v>
      </c>
      <c r="AN489" s="2188">
        <f>AN149*$N$378</f>
        <v>0</v>
      </c>
      <c r="AO489" s="2188">
        <f>AO149*$O$378</f>
        <v>0</v>
      </c>
      <c r="AP489" s="2186">
        <f t="shared" si="1019"/>
        <v>0</v>
      </c>
      <c r="AQ489" s="2188">
        <f>AQ149*$N$378</f>
        <v>0</v>
      </c>
      <c r="AR489" s="2188">
        <f>AR149*$O$378</f>
        <v>0</v>
      </c>
      <c r="AS489" s="2186">
        <f t="shared" si="1020"/>
        <v>0</v>
      </c>
      <c r="AT489" s="2188">
        <f>AT149*$N$378</f>
        <v>0</v>
      </c>
      <c r="AU489" s="2188">
        <f>AU149*$O$378</f>
        <v>0</v>
      </c>
      <c r="AV489" s="2186">
        <f t="shared" si="1021"/>
        <v>0</v>
      </c>
      <c r="AW489" s="2188">
        <f>AW149*$N$378</f>
        <v>0</v>
      </c>
      <c r="AX489" s="2188">
        <f>AX149*$O$378</f>
        <v>0</v>
      </c>
      <c r="AY489" s="2186">
        <f t="shared" si="1022"/>
        <v>0</v>
      </c>
      <c r="AZ489" s="2188">
        <f>AZ149*$N$378</f>
        <v>0</v>
      </c>
      <c r="BA489" s="2188">
        <f>BA149*$O$378</f>
        <v>0</v>
      </c>
      <c r="BB489" s="2186">
        <f t="shared" si="1023"/>
        <v>0</v>
      </c>
      <c r="BC489" s="2188">
        <f>BC149*$N$378</f>
        <v>0</v>
      </c>
      <c r="BD489" s="2188">
        <f>BD149*$O$378</f>
        <v>0</v>
      </c>
      <c r="BE489" s="2186">
        <f t="shared" si="1024"/>
        <v>0</v>
      </c>
      <c r="BF489" s="2188">
        <f>BF149*$N$378</f>
        <v>0</v>
      </c>
      <c r="BG489" s="2188">
        <f>BG149*$O$378</f>
        <v>0</v>
      </c>
      <c r="BH489" s="2186">
        <f t="shared" si="1025"/>
        <v>0</v>
      </c>
      <c r="BI489" s="2188">
        <f>BI149*$N$378</f>
        <v>0</v>
      </c>
      <c r="BJ489" s="2188">
        <f>BJ149*$O$378</f>
        <v>0</v>
      </c>
      <c r="BK489" s="2186">
        <f t="shared" si="1026"/>
        <v>0</v>
      </c>
      <c r="BL489" s="2188">
        <f>BL149*$N$378</f>
        <v>0</v>
      </c>
      <c r="BM489" s="2188">
        <f>BM149*$O$378</f>
        <v>0</v>
      </c>
      <c r="BN489" s="2186">
        <f t="shared" si="1027"/>
        <v>0</v>
      </c>
      <c r="BO489" s="2188">
        <f>BO149*$N$378</f>
        <v>0</v>
      </c>
      <c r="BP489" s="2188">
        <f>BP149*$O$378</f>
        <v>0</v>
      </c>
      <c r="BQ489" s="2186">
        <f t="shared" si="1028"/>
        <v>0</v>
      </c>
    </row>
    <row r="490" spans="3:69" s="2087" customFormat="1">
      <c r="C490" s="2194" t="s">
        <v>2645</v>
      </c>
      <c r="D490" s="2283" t="s">
        <v>2227</v>
      </c>
      <c r="E490" s="2284" t="s">
        <v>1833</v>
      </c>
      <c r="F490" s="2176"/>
      <c r="G490" s="2177"/>
      <c r="H490" s="2177"/>
      <c r="I490" s="2178">
        <f t="shared" si="1014"/>
        <v>0</v>
      </c>
      <c r="J490" s="2176"/>
      <c r="K490" s="2252">
        <f t="shared" si="1010"/>
        <v>0</v>
      </c>
      <c r="L490" s="2252">
        <f t="shared" si="1010"/>
        <v>0</v>
      </c>
      <c r="M490" s="2255">
        <f t="shared" si="1011"/>
        <v>0</v>
      </c>
      <c r="N490" s="2179">
        <f>N150*$N$379</f>
        <v>0</v>
      </c>
      <c r="O490" s="2179">
        <f>O150*$O$379</f>
        <v>0</v>
      </c>
      <c r="P490" s="2178">
        <f t="shared" si="1015"/>
        <v>0</v>
      </c>
      <c r="Q490" s="2184">
        <f>Q150*$Q$379</f>
        <v>0</v>
      </c>
      <c r="R490" s="2179">
        <f>R150*$R$379</f>
        <v>0</v>
      </c>
      <c r="S490" s="2180">
        <f t="shared" si="1016"/>
        <v>0</v>
      </c>
      <c r="T490" s="2251">
        <f t="shared" si="863"/>
        <v>0</v>
      </c>
      <c r="U490" s="2252">
        <f t="shared" si="863"/>
        <v>0</v>
      </c>
      <c r="V490" s="2253">
        <f t="shared" si="839"/>
        <v>0</v>
      </c>
      <c r="W490" s="2187">
        <f>W150*$W$379</f>
        <v>0</v>
      </c>
      <c r="X490" s="2179">
        <f>X150*$X$379</f>
        <v>0</v>
      </c>
      <c r="Y490" s="2183">
        <f t="shared" si="1012"/>
        <v>0</v>
      </c>
      <c r="Z490" s="2254">
        <f t="shared" si="1032"/>
        <v>0</v>
      </c>
      <c r="AA490" s="2252">
        <f t="shared" si="1032"/>
        <v>0</v>
      </c>
      <c r="AB490" s="2255">
        <f t="shared" si="840"/>
        <v>0</v>
      </c>
      <c r="AC490" s="2184">
        <f>AC150*$AC$379</f>
        <v>0</v>
      </c>
      <c r="AD490" s="2179">
        <f>AD150*$AD$379</f>
        <v>0</v>
      </c>
      <c r="AE490" s="2180">
        <f t="shared" si="1013"/>
        <v>0</v>
      </c>
      <c r="AF490" s="2277"/>
      <c r="AG490" s="2114"/>
      <c r="AH490" s="2188">
        <f>AH150*AH379</f>
        <v>2526.8807777500006</v>
      </c>
      <c r="AI490" s="2188">
        <f>AI150*$O$379</f>
        <v>0</v>
      </c>
      <c r="AJ490" s="2186">
        <f t="shared" si="1017"/>
        <v>-2526.8807777500006</v>
      </c>
      <c r="AK490" s="2188">
        <f>AK150*$N$379</f>
        <v>0</v>
      </c>
      <c r="AL490" s="2188">
        <f>AL150*$O$379</f>
        <v>0</v>
      </c>
      <c r="AM490" s="2186">
        <f t="shared" si="1018"/>
        <v>0</v>
      </c>
      <c r="AN490" s="2188">
        <f>AN150*$N$379</f>
        <v>0</v>
      </c>
      <c r="AO490" s="2188">
        <f>AO150*$O$379</f>
        <v>0</v>
      </c>
      <c r="AP490" s="2186">
        <f t="shared" si="1019"/>
        <v>0</v>
      </c>
      <c r="AQ490" s="2188">
        <f>AQ150*$N$379</f>
        <v>0</v>
      </c>
      <c r="AR490" s="2188">
        <f>AR150*$O$379</f>
        <v>0</v>
      </c>
      <c r="AS490" s="2186">
        <f t="shared" si="1020"/>
        <v>0</v>
      </c>
      <c r="AT490" s="2188">
        <f>AT150*$N$379</f>
        <v>0</v>
      </c>
      <c r="AU490" s="2188">
        <f>AU150*$O$379</f>
        <v>0</v>
      </c>
      <c r="AV490" s="2186">
        <f t="shared" si="1021"/>
        <v>0</v>
      </c>
      <c r="AW490" s="2188">
        <f>AW150*$N$379</f>
        <v>0</v>
      </c>
      <c r="AX490" s="2188">
        <f>AX150*$O$379</f>
        <v>0</v>
      </c>
      <c r="AY490" s="2186">
        <f t="shared" si="1022"/>
        <v>0</v>
      </c>
      <c r="AZ490" s="2188">
        <f>AZ150*$N$379</f>
        <v>0</v>
      </c>
      <c r="BA490" s="2188">
        <f>BA150*$O$379</f>
        <v>0</v>
      </c>
      <c r="BB490" s="2186">
        <f t="shared" si="1023"/>
        <v>0</v>
      </c>
      <c r="BC490" s="2188">
        <f>BC150*$N$379</f>
        <v>0</v>
      </c>
      <c r="BD490" s="2188">
        <f>BD150*$O$379</f>
        <v>0</v>
      </c>
      <c r="BE490" s="2186">
        <f t="shared" si="1024"/>
        <v>0</v>
      </c>
      <c r="BF490" s="2188">
        <f>BF150*$N$379</f>
        <v>0</v>
      </c>
      <c r="BG490" s="2188">
        <f>BG150*$O$379</f>
        <v>0</v>
      </c>
      <c r="BH490" s="2186">
        <f t="shared" si="1025"/>
        <v>0</v>
      </c>
      <c r="BI490" s="2188">
        <f>BI150*$N$379</f>
        <v>0</v>
      </c>
      <c r="BJ490" s="2188">
        <f>BJ150*$O$379</f>
        <v>0</v>
      </c>
      <c r="BK490" s="2186">
        <f t="shared" si="1026"/>
        <v>0</v>
      </c>
      <c r="BL490" s="2188">
        <f>BL150*$N$379</f>
        <v>0</v>
      </c>
      <c r="BM490" s="2188">
        <f>BM150*$O$379</f>
        <v>0</v>
      </c>
      <c r="BN490" s="2186">
        <f t="shared" si="1027"/>
        <v>0</v>
      </c>
      <c r="BO490" s="2188">
        <f>BO150*$N$379</f>
        <v>0</v>
      </c>
      <c r="BP490" s="2188">
        <f>BP150*$O$379</f>
        <v>0</v>
      </c>
      <c r="BQ490" s="2186">
        <f t="shared" si="1028"/>
        <v>0</v>
      </c>
    </row>
    <row r="491" spans="3:69" s="2087" customFormat="1">
      <c r="C491" s="2194" t="s">
        <v>2646</v>
      </c>
      <c r="D491" s="2283" t="s">
        <v>2229</v>
      </c>
      <c r="E491" s="2284" t="s">
        <v>1833</v>
      </c>
      <c r="F491" s="2176"/>
      <c r="G491" s="2177"/>
      <c r="H491" s="2177"/>
      <c r="I491" s="2186"/>
      <c r="J491" s="2176"/>
      <c r="K491" s="2252">
        <f t="shared" si="1010"/>
        <v>0</v>
      </c>
      <c r="L491" s="2252">
        <f t="shared" si="1010"/>
        <v>0</v>
      </c>
      <c r="M491" s="2255">
        <f t="shared" si="1011"/>
        <v>0</v>
      </c>
      <c r="N491" s="2177"/>
      <c r="O491" s="2177"/>
      <c r="P491" s="2186"/>
      <c r="Q491" s="2177"/>
      <c r="R491" s="2177"/>
      <c r="S491" s="2266"/>
      <c r="T491" s="2251">
        <f t="shared" si="863"/>
        <v>0</v>
      </c>
      <c r="U491" s="2252">
        <f t="shared" si="863"/>
        <v>0</v>
      </c>
      <c r="V491" s="2253">
        <f t="shared" si="839"/>
        <v>0</v>
      </c>
      <c r="W491" s="2182"/>
      <c r="X491" s="2177"/>
      <c r="Y491" s="2271"/>
      <c r="Z491" s="2254">
        <f t="shared" si="1032"/>
        <v>0</v>
      </c>
      <c r="AA491" s="2252">
        <f t="shared" si="1032"/>
        <v>0</v>
      </c>
      <c r="AB491" s="2255">
        <f t="shared" si="840"/>
        <v>0</v>
      </c>
      <c r="AC491" s="2177"/>
      <c r="AD491" s="2177"/>
      <c r="AE491" s="2266"/>
      <c r="AF491" s="2277"/>
      <c r="AG491" s="2114"/>
      <c r="AH491" s="2177"/>
      <c r="AI491" s="2177"/>
      <c r="AJ491" s="2186"/>
      <c r="AK491" s="2177"/>
      <c r="AL491" s="2177"/>
      <c r="AM491" s="2186"/>
      <c r="AN491" s="2177"/>
      <c r="AO491" s="2177"/>
      <c r="AP491" s="2186"/>
      <c r="AQ491" s="2177"/>
      <c r="AR491" s="2177"/>
      <c r="AS491" s="2186"/>
      <c r="AT491" s="2177"/>
      <c r="AU491" s="2177"/>
      <c r="AV491" s="2186"/>
      <c r="AW491" s="2177"/>
      <c r="AX491" s="2177"/>
      <c r="AY491" s="2186"/>
      <c r="AZ491" s="2177"/>
      <c r="BA491" s="2177"/>
      <c r="BB491" s="2186"/>
      <c r="BC491" s="2177"/>
      <c r="BD491" s="2177"/>
      <c r="BE491" s="2186"/>
      <c r="BF491" s="2177"/>
      <c r="BG491" s="2177"/>
      <c r="BH491" s="2186"/>
      <c r="BI491" s="2177"/>
      <c r="BJ491" s="2177"/>
      <c r="BK491" s="2186"/>
      <c r="BL491" s="2177"/>
      <c r="BM491" s="2177"/>
      <c r="BN491" s="2186"/>
      <c r="BO491" s="2177"/>
      <c r="BP491" s="2177"/>
      <c r="BQ491" s="2186"/>
    </row>
    <row r="492" spans="3:69" s="2087" customFormat="1">
      <c r="C492" s="2285" t="s">
        <v>2647</v>
      </c>
      <c r="D492" s="2287" t="s">
        <v>2238</v>
      </c>
      <c r="E492" s="2284" t="s">
        <v>1833</v>
      </c>
      <c r="F492" s="2176"/>
      <c r="G492" s="2252">
        <f>G493+G494+G495+G496+G497</f>
        <v>0</v>
      </c>
      <c r="H492" s="2252">
        <f>H493+H494+H495+H496+H497</f>
        <v>0</v>
      </c>
      <c r="I492" s="2178">
        <f t="shared" ref="I492" si="1033">H492-G492</f>
        <v>0</v>
      </c>
      <c r="J492" s="2176"/>
      <c r="K492" s="2179">
        <f t="shared" si="1010"/>
        <v>929078.59492905147</v>
      </c>
      <c r="L492" s="2179">
        <f t="shared" si="1010"/>
        <v>0</v>
      </c>
      <c r="M492" s="2178">
        <f t="shared" si="1011"/>
        <v>-929078.59492905147</v>
      </c>
      <c r="N492" s="2179">
        <f>N493+N494+N495+N496+N497</f>
        <v>198951.62938218861</v>
      </c>
      <c r="O492" s="2179">
        <f>O493+O494+O495+O496+O497</f>
        <v>0</v>
      </c>
      <c r="P492" s="2178">
        <f t="shared" ref="P492" si="1034">O492-N492</f>
        <v>-198951.62938218861</v>
      </c>
      <c r="Q492" s="2179">
        <f>Q493+Q494+Q495+Q496+Q497</f>
        <v>214742.71350176539</v>
      </c>
      <c r="R492" s="2179">
        <f>R493+R494+R495+R496+R497</f>
        <v>0</v>
      </c>
      <c r="S492" s="2180">
        <f t="shared" ref="S492" si="1035">R492-Q492</f>
        <v>-214742.71350176539</v>
      </c>
      <c r="T492" s="2181">
        <f t="shared" si="863"/>
        <v>413694.342883954</v>
      </c>
      <c r="U492" s="2179">
        <f t="shared" si="863"/>
        <v>0</v>
      </c>
      <c r="V492" s="2180">
        <f t="shared" si="839"/>
        <v>-413694.342883954</v>
      </c>
      <c r="W492" s="2187">
        <f>W493+W494+W495+W496+W497</f>
        <v>192466.18877180055</v>
      </c>
      <c r="X492" s="2179">
        <f>X493+X494+X495+X496+X497</f>
        <v>0</v>
      </c>
      <c r="Y492" s="2183">
        <f t="shared" ref="Y492" si="1036">X492-W492</f>
        <v>-192466.18877180055</v>
      </c>
      <c r="Z492" s="2184">
        <f t="shared" si="1032"/>
        <v>606160.53165575454</v>
      </c>
      <c r="AA492" s="2179">
        <f t="shared" si="1032"/>
        <v>0</v>
      </c>
      <c r="AB492" s="2178">
        <f t="shared" si="840"/>
        <v>-606160.53165575454</v>
      </c>
      <c r="AC492" s="2179">
        <f>AC493+AC494+AC495+AC496+AC497</f>
        <v>322918.06327329692</v>
      </c>
      <c r="AD492" s="2179">
        <f>AD493+AD494+AD495+AD496+AD497</f>
        <v>0</v>
      </c>
      <c r="AE492" s="2180">
        <f t="shared" ref="AE492" si="1037">AD492-AC492</f>
        <v>-322918.06327329692</v>
      </c>
      <c r="AF492" s="2277"/>
      <c r="AG492" s="2114"/>
      <c r="AH492" s="2188">
        <f>AH493+AH494+AH495+AH496+AH497</f>
        <v>43316.404712640004</v>
      </c>
      <c r="AI492" s="2188">
        <f>AI493+AI494+AI495+AI496+AI497</f>
        <v>0</v>
      </c>
      <c r="AJ492" s="2186">
        <f t="shared" ref="AJ492:AJ496" si="1038">AI492-AH492</f>
        <v>-43316.404712640004</v>
      </c>
      <c r="AK492" s="2188">
        <f>AK493+AK494+AK495+AK496+AK497</f>
        <v>95108.924561693682</v>
      </c>
      <c r="AL492" s="2188">
        <f>AL493+AL494+AL495+AL496+AL497</f>
        <v>0</v>
      </c>
      <c r="AM492" s="2186">
        <f t="shared" ref="AM492:AM496" si="1039">AL492-AK492</f>
        <v>-95108.924561693682</v>
      </c>
      <c r="AN492" s="2188">
        <f>AN493+AN494+AN495+AN496+AN497</f>
        <v>81706.665643724918</v>
      </c>
      <c r="AO492" s="2188">
        <f>AO493+AO494+AO495+AO496+AO497</f>
        <v>0</v>
      </c>
      <c r="AP492" s="2186">
        <f t="shared" ref="AP492:AP496" si="1040">AO492-AN492</f>
        <v>-81706.665643724918</v>
      </c>
      <c r="AQ492" s="2188">
        <f>AQ493+AQ494+AQ495+AQ496+AQ497</f>
        <v>81088.5646056728</v>
      </c>
      <c r="AR492" s="2188">
        <f>AR493+AR494+AR495+AR496+AR497</f>
        <v>0</v>
      </c>
      <c r="AS492" s="2186">
        <f t="shared" ref="AS492:AS496" si="1041">AR492-AQ492</f>
        <v>-81088.5646056728</v>
      </c>
      <c r="AT492" s="2188">
        <f>AT493+AT494+AT495+AT496+AT497</f>
        <v>75051.482487918809</v>
      </c>
      <c r="AU492" s="2188">
        <f>AU493+AU494+AU495+AU496+AU497</f>
        <v>0</v>
      </c>
      <c r="AV492" s="2186">
        <f t="shared" ref="AV492:AV496" si="1042">AU492-AT492</f>
        <v>-75051.482487918809</v>
      </c>
      <c r="AW492" s="2188">
        <f>AW493+AW494+AW495+AW496+AW497</f>
        <v>58602.666408173747</v>
      </c>
      <c r="AX492" s="2188">
        <f>AX493+AX494+AX495+AX496+AX497</f>
        <v>0</v>
      </c>
      <c r="AY492" s="2186">
        <f t="shared" ref="AY492:AY496" si="1043">AX492-AW492</f>
        <v>-58602.666408173747</v>
      </c>
      <c r="AZ492" s="2188">
        <f>AZ493+AZ494+AZ495+AZ496+AZ497</f>
        <v>57573.236939838367</v>
      </c>
      <c r="BA492" s="2188">
        <f>BA493+BA494+BA495+BA496+BA497</f>
        <v>0</v>
      </c>
      <c r="BB492" s="2186">
        <f t="shared" ref="BB492:BB496" si="1044">BA492-AZ492</f>
        <v>-57573.236939838367</v>
      </c>
      <c r="BC492" s="2188">
        <f>BC493+BC494+BC495+BC496+BC497</f>
        <v>58811.482989973621</v>
      </c>
      <c r="BD492" s="2188">
        <f>BD493+BD494+BD495+BD496+BD497</f>
        <v>0</v>
      </c>
      <c r="BE492" s="2186">
        <f t="shared" ref="BE492:BE496" si="1045">BD492-BC492</f>
        <v>-58811.482989973621</v>
      </c>
      <c r="BF492" s="2188">
        <f>BF493+BF494+BF495+BF496+BF497</f>
        <v>76081.46884198855</v>
      </c>
      <c r="BG492" s="2188">
        <f>BG493+BG494+BG495+BG496+BG497</f>
        <v>0</v>
      </c>
      <c r="BH492" s="2186">
        <f t="shared" ref="BH492:BH496" si="1046">BG492-BF492</f>
        <v>-76081.46884198855</v>
      </c>
      <c r="BI492" s="2188">
        <f>BI493+BI494+BI495+BI496+BI497</f>
        <v>102606.88179053436</v>
      </c>
      <c r="BJ492" s="2188">
        <f>BJ493+BJ494+BJ495+BJ496+BJ497</f>
        <v>0</v>
      </c>
      <c r="BK492" s="2186">
        <f t="shared" ref="BK492:BK496" si="1047">BJ492-BI492</f>
        <v>-102606.88179053436</v>
      </c>
      <c r="BL492" s="2188">
        <f>BL493+BL494+BL495+BL496+BL497</f>
        <v>111648.35875610579</v>
      </c>
      <c r="BM492" s="2188">
        <f>BM493+BM494+BM495+BM496+BM497</f>
        <v>0</v>
      </c>
      <c r="BN492" s="2186">
        <f t="shared" ref="BN492:BN496" si="1048">BM492-BL492</f>
        <v>-111648.35875610579</v>
      </c>
      <c r="BO492" s="2188">
        <f>BO493+BO494+BO495+BO496+BO497</f>
        <v>108662.82272665678</v>
      </c>
      <c r="BP492" s="2188">
        <f>BP493+BP494+BP495+BP496+BP497</f>
        <v>0</v>
      </c>
      <c r="BQ492" s="2186">
        <f t="shared" ref="BQ492:BQ496" si="1049">BP492-BO492</f>
        <v>-108662.82272665678</v>
      </c>
    </row>
    <row r="493" spans="3:69" s="2087" customFormat="1">
      <c r="C493" s="2194" t="s">
        <v>2648</v>
      </c>
      <c r="D493" s="2283" t="s">
        <v>2221</v>
      </c>
      <c r="E493" s="2284" t="s">
        <v>1833</v>
      </c>
      <c r="F493" s="2176"/>
      <c r="G493" s="2177"/>
      <c r="H493" s="2177"/>
      <c r="I493" s="2178">
        <f t="shared" si="1014"/>
        <v>0</v>
      </c>
      <c r="J493" s="2176"/>
      <c r="K493" s="2252">
        <f t="shared" si="1010"/>
        <v>0</v>
      </c>
      <c r="L493" s="2252">
        <f t="shared" si="1010"/>
        <v>0</v>
      </c>
      <c r="M493" s="2255">
        <f t="shared" si="1011"/>
        <v>0</v>
      </c>
      <c r="N493" s="2179">
        <f>N153*$N$382</f>
        <v>0</v>
      </c>
      <c r="O493" s="2179">
        <f>O153*$O$382</f>
        <v>0</v>
      </c>
      <c r="P493" s="2178">
        <f t="shared" si="1015"/>
        <v>0</v>
      </c>
      <c r="Q493" s="2184">
        <f>Q153*$Q$382</f>
        <v>0</v>
      </c>
      <c r="R493" s="2179">
        <f>R153*$R$382</f>
        <v>0</v>
      </c>
      <c r="S493" s="2180">
        <f t="shared" si="1016"/>
        <v>0</v>
      </c>
      <c r="T493" s="2251">
        <f t="shared" si="863"/>
        <v>0</v>
      </c>
      <c r="U493" s="2252">
        <f t="shared" si="863"/>
        <v>0</v>
      </c>
      <c r="V493" s="2253">
        <f t="shared" si="839"/>
        <v>0</v>
      </c>
      <c r="W493" s="2187">
        <f>W153*$W$382</f>
        <v>0</v>
      </c>
      <c r="X493" s="2179">
        <f>X153*$X$382</f>
        <v>0</v>
      </c>
      <c r="Y493" s="2183">
        <f t="shared" si="1012"/>
        <v>0</v>
      </c>
      <c r="Z493" s="2254">
        <f t="shared" si="1032"/>
        <v>0</v>
      </c>
      <c r="AA493" s="2252">
        <f t="shared" si="1032"/>
        <v>0</v>
      </c>
      <c r="AB493" s="2255">
        <f t="shared" si="840"/>
        <v>0</v>
      </c>
      <c r="AC493" s="2184">
        <f>AC153*$AC$382</f>
        <v>0</v>
      </c>
      <c r="AD493" s="2179">
        <f>AD153*$AD$382</f>
        <v>0</v>
      </c>
      <c r="AE493" s="2180">
        <f t="shared" si="1013"/>
        <v>0</v>
      </c>
      <c r="AF493" s="2277"/>
      <c r="AG493" s="2114"/>
      <c r="AH493" s="2188">
        <f>AH153*AH382</f>
        <v>0</v>
      </c>
      <c r="AI493" s="2188">
        <f>AI153*$O$382</f>
        <v>0</v>
      </c>
      <c r="AJ493" s="2186">
        <f t="shared" si="1038"/>
        <v>0</v>
      </c>
      <c r="AK493" s="2188">
        <f>AK153*AK382</f>
        <v>0</v>
      </c>
      <c r="AL493" s="2188">
        <f>AL153*$O$382</f>
        <v>0</v>
      </c>
      <c r="AM493" s="2186">
        <f t="shared" si="1039"/>
        <v>0</v>
      </c>
      <c r="AN493" s="2188">
        <f>AN153*AN382</f>
        <v>0</v>
      </c>
      <c r="AO493" s="2188">
        <f>AO153*$O$382</f>
        <v>0</v>
      </c>
      <c r="AP493" s="2186">
        <f t="shared" si="1040"/>
        <v>0</v>
      </c>
      <c r="AQ493" s="2188">
        <f>AQ153*AQ382</f>
        <v>0</v>
      </c>
      <c r="AR493" s="2188">
        <f>AR153*$O$382</f>
        <v>0</v>
      </c>
      <c r="AS493" s="2186">
        <f t="shared" si="1041"/>
        <v>0</v>
      </c>
      <c r="AT493" s="2188">
        <f>AT153*AT382</f>
        <v>0</v>
      </c>
      <c r="AU493" s="2188">
        <f>AU153*$O$382</f>
        <v>0</v>
      </c>
      <c r="AV493" s="2186">
        <f t="shared" si="1042"/>
        <v>0</v>
      </c>
      <c r="AW493" s="2188">
        <f>AW153*AW382</f>
        <v>0</v>
      </c>
      <c r="AX493" s="2188">
        <f>AX153*$O$382</f>
        <v>0</v>
      </c>
      <c r="AY493" s="2186">
        <f t="shared" si="1043"/>
        <v>0</v>
      </c>
      <c r="AZ493" s="2188">
        <f>AZ153*AZ382</f>
        <v>0</v>
      </c>
      <c r="BA493" s="2188">
        <f>BA153*$O$382</f>
        <v>0</v>
      </c>
      <c r="BB493" s="2186">
        <f t="shared" si="1044"/>
        <v>0</v>
      </c>
      <c r="BC493" s="2188">
        <f>BC153*BC382</f>
        <v>0</v>
      </c>
      <c r="BD493" s="2188">
        <f>BD153*$O$382</f>
        <v>0</v>
      </c>
      <c r="BE493" s="2186">
        <f t="shared" si="1045"/>
        <v>0</v>
      </c>
      <c r="BF493" s="2188">
        <f>BF153*BF382</f>
        <v>0</v>
      </c>
      <c r="BG493" s="2188">
        <f>BG153*$O$382</f>
        <v>0</v>
      </c>
      <c r="BH493" s="2186">
        <f t="shared" si="1046"/>
        <v>0</v>
      </c>
      <c r="BI493" s="2188">
        <f>BI153*BI382</f>
        <v>0</v>
      </c>
      <c r="BJ493" s="2188">
        <f>BJ153*$O$382</f>
        <v>0</v>
      </c>
      <c r="BK493" s="2186">
        <f t="shared" si="1047"/>
        <v>0</v>
      </c>
      <c r="BL493" s="2188">
        <f>BL153*BL382</f>
        <v>0</v>
      </c>
      <c r="BM493" s="2188">
        <f>BM153*$O$382</f>
        <v>0</v>
      </c>
      <c r="BN493" s="2186">
        <f t="shared" si="1048"/>
        <v>0</v>
      </c>
      <c r="BO493" s="2188">
        <f>BO153*BO382</f>
        <v>0</v>
      </c>
      <c r="BP493" s="2188">
        <f>BP153*$O$382</f>
        <v>0</v>
      </c>
      <c r="BQ493" s="2186">
        <f t="shared" si="1049"/>
        <v>0</v>
      </c>
    </row>
    <row r="494" spans="3:69" s="2087" customFormat="1">
      <c r="C494" s="2194" t="s">
        <v>2649</v>
      </c>
      <c r="D494" s="2283" t="s">
        <v>2223</v>
      </c>
      <c r="E494" s="2284" t="s">
        <v>1833</v>
      </c>
      <c r="F494" s="2176"/>
      <c r="G494" s="2177"/>
      <c r="H494" s="2177"/>
      <c r="I494" s="2178">
        <f t="shared" si="1014"/>
        <v>0</v>
      </c>
      <c r="J494" s="2176"/>
      <c r="K494" s="2252">
        <f t="shared" si="1010"/>
        <v>100731.65239713455</v>
      </c>
      <c r="L494" s="2252">
        <f t="shared" si="1010"/>
        <v>0</v>
      </c>
      <c r="M494" s="2255">
        <f t="shared" si="1011"/>
        <v>-100731.65239713455</v>
      </c>
      <c r="N494" s="2179">
        <f>N154*$N$383</f>
        <v>23127.872943202019</v>
      </c>
      <c r="O494" s="2179">
        <f>O154*$O$383</f>
        <v>0</v>
      </c>
      <c r="P494" s="2178">
        <f t="shared" si="1015"/>
        <v>-23127.872943202019</v>
      </c>
      <c r="Q494" s="2184">
        <f>Q154*$Q$383</f>
        <v>19325.112446543899</v>
      </c>
      <c r="R494" s="2179">
        <f>R154*$R$383</f>
        <v>0</v>
      </c>
      <c r="S494" s="2180">
        <f t="shared" si="1016"/>
        <v>-19325.112446543899</v>
      </c>
      <c r="T494" s="2251">
        <f t="shared" si="863"/>
        <v>42452.985389745918</v>
      </c>
      <c r="U494" s="2252">
        <f t="shared" si="863"/>
        <v>0</v>
      </c>
      <c r="V494" s="2253">
        <f t="shared" si="839"/>
        <v>-42452.985389745918</v>
      </c>
      <c r="W494" s="2187">
        <f>W154*$W$383</f>
        <v>22175.655076255975</v>
      </c>
      <c r="X494" s="2179">
        <f>X154*$X$383</f>
        <v>0</v>
      </c>
      <c r="Y494" s="2183">
        <f t="shared" si="1012"/>
        <v>-22175.655076255975</v>
      </c>
      <c r="Z494" s="2254">
        <f t="shared" si="1032"/>
        <v>64628.640466001889</v>
      </c>
      <c r="AA494" s="2252">
        <f t="shared" si="1032"/>
        <v>0</v>
      </c>
      <c r="AB494" s="2255">
        <f t="shared" si="840"/>
        <v>-64628.640466001889</v>
      </c>
      <c r="AC494" s="2184">
        <f>AC154*$AC$383</f>
        <v>36103.011931132663</v>
      </c>
      <c r="AD494" s="2179">
        <f>AD154*$AD$383</f>
        <v>0</v>
      </c>
      <c r="AE494" s="2180">
        <f t="shared" si="1013"/>
        <v>-36103.011931132663</v>
      </c>
      <c r="AF494" s="2277"/>
      <c r="AG494" s="2114"/>
      <c r="AH494" s="2188">
        <f t="shared" ref="AH494:AH496" si="1050">AH154*AH383</f>
        <v>10928.414246399998</v>
      </c>
      <c r="AI494" s="2188">
        <f>AI154*$O$383</f>
        <v>0</v>
      </c>
      <c r="AJ494" s="2186">
        <f t="shared" si="1038"/>
        <v>-10928.414246399998</v>
      </c>
      <c r="AK494" s="2188">
        <f t="shared" ref="AK494:AK496" si="1051">AK154*AK383</f>
        <v>8589.2216849534016</v>
      </c>
      <c r="AL494" s="2188">
        <f>AL154*$O$383</f>
        <v>0</v>
      </c>
      <c r="AM494" s="2186">
        <f t="shared" si="1039"/>
        <v>-8589.2216849534016</v>
      </c>
      <c r="AN494" s="2188">
        <f t="shared" ref="AN494:AN496" si="1052">AN154*AN383</f>
        <v>8953.9810387286161</v>
      </c>
      <c r="AO494" s="2188">
        <f>AO154*$O$383</f>
        <v>0</v>
      </c>
      <c r="AP494" s="2186">
        <f t="shared" si="1040"/>
        <v>-8953.9810387286161</v>
      </c>
      <c r="AQ494" s="2188">
        <f t="shared" ref="AQ494:AQ496" si="1053">AQ154*AQ383</f>
        <v>7760.545883350188</v>
      </c>
      <c r="AR494" s="2188">
        <f>AR154*$O$383</f>
        <v>0</v>
      </c>
      <c r="AS494" s="2186">
        <f t="shared" si="1041"/>
        <v>-7760.545883350188</v>
      </c>
      <c r="AT494" s="2188">
        <f t="shared" ref="AT494:AT496" si="1054">AT154*AT383</f>
        <v>7856.954625425994</v>
      </c>
      <c r="AU494" s="2188">
        <f>AU154*$O$383</f>
        <v>0</v>
      </c>
      <c r="AV494" s="2186">
        <f t="shared" si="1042"/>
        <v>-7856.954625425994</v>
      </c>
      <c r="AW494" s="2188">
        <f t="shared" ref="AW494:AW496" si="1055">AW154*AW383</f>
        <v>3707.6119377677178</v>
      </c>
      <c r="AX494" s="2188">
        <f>AX154*$O$383</f>
        <v>0</v>
      </c>
      <c r="AY494" s="2186">
        <f t="shared" si="1043"/>
        <v>-3707.6119377677178</v>
      </c>
      <c r="AZ494" s="2188">
        <f t="shared" ref="AZ494:AZ496" si="1056">AZ154*AZ383</f>
        <v>5968.7530921579892</v>
      </c>
      <c r="BA494" s="2188">
        <f>BA154*$O$383</f>
        <v>0</v>
      </c>
      <c r="BB494" s="2186">
        <f t="shared" si="1044"/>
        <v>-5968.7530921579892</v>
      </c>
      <c r="BC494" s="2188">
        <f t="shared" ref="BC494:BC496" si="1057">BC154*BC383</f>
        <v>7318.6634838662731</v>
      </c>
      <c r="BD494" s="2188">
        <f>BD154*$O$383</f>
        <v>0</v>
      </c>
      <c r="BE494" s="2186">
        <f t="shared" si="1045"/>
        <v>-7318.6634838662731</v>
      </c>
      <c r="BF494" s="2188">
        <f t="shared" ref="BF494:BF496" si="1058">BF154*BF383</f>
        <v>8888.2385002317151</v>
      </c>
      <c r="BG494" s="2188">
        <f>BG154*$O$383</f>
        <v>0</v>
      </c>
      <c r="BH494" s="2186">
        <f t="shared" si="1046"/>
        <v>-8888.2385002317151</v>
      </c>
      <c r="BI494" s="2188">
        <f t="shared" ref="BI494:BI496" si="1059">BI154*BI383</f>
        <v>11650.890209843061</v>
      </c>
      <c r="BJ494" s="2188">
        <f>BJ154*$O$383</f>
        <v>0</v>
      </c>
      <c r="BK494" s="2186">
        <f t="shared" si="1047"/>
        <v>-11650.890209843061</v>
      </c>
      <c r="BL494" s="2188">
        <f t="shared" ref="BL494:BL496" si="1060">BL154*BL383</f>
        <v>12087.022989213196</v>
      </c>
      <c r="BM494" s="2188">
        <f>BM154*$O$383</f>
        <v>0</v>
      </c>
      <c r="BN494" s="2186">
        <f t="shared" si="1048"/>
        <v>-12087.022989213196</v>
      </c>
      <c r="BO494" s="2188">
        <f t="shared" ref="BO494:BO496" si="1061">BO154*BO383</f>
        <v>12365.098732076405</v>
      </c>
      <c r="BP494" s="2188">
        <f>BP154*$O$383</f>
        <v>0</v>
      </c>
      <c r="BQ494" s="2186">
        <f t="shared" si="1049"/>
        <v>-12365.098732076405</v>
      </c>
    </row>
    <row r="495" spans="3:69" s="2087" customFormat="1">
      <c r="C495" s="2194" t="s">
        <v>2650</v>
      </c>
      <c r="D495" s="2283" t="s">
        <v>2225</v>
      </c>
      <c r="E495" s="2284" t="s">
        <v>1833</v>
      </c>
      <c r="F495" s="2176"/>
      <c r="G495" s="2177"/>
      <c r="H495" s="2177"/>
      <c r="I495" s="2178">
        <f t="shared" si="1014"/>
        <v>0</v>
      </c>
      <c r="J495" s="2176"/>
      <c r="K495" s="2252">
        <f t="shared" si="1010"/>
        <v>622449.58395135112</v>
      </c>
      <c r="L495" s="2252">
        <f t="shared" si="1010"/>
        <v>0</v>
      </c>
      <c r="M495" s="2255">
        <f t="shared" si="1011"/>
        <v>-622449.58395135112</v>
      </c>
      <c r="N495" s="2179">
        <f>N155*$N$384</f>
        <v>121782.87818821838</v>
      </c>
      <c r="O495" s="2179">
        <f>O155*$O$384</f>
        <v>0</v>
      </c>
      <c r="P495" s="2178">
        <f t="shared" si="1015"/>
        <v>-121782.87818821838</v>
      </c>
      <c r="Q495" s="2184">
        <f>Q155*$Q$384</f>
        <v>149704.6355745492</v>
      </c>
      <c r="R495" s="2179">
        <f>R155*$R$384</f>
        <v>0</v>
      </c>
      <c r="S495" s="2180">
        <f t="shared" si="1016"/>
        <v>-149704.6355745492</v>
      </c>
      <c r="T495" s="2251">
        <f t="shared" si="863"/>
        <v>271487.5137627676</v>
      </c>
      <c r="U495" s="2252">
        <f t="shared" si="863"/>
        <v>0</v>
      </c>
      <c r="V495" s="2253">
        <f t="shared" si="839"/>
        <v>-271487.5137627676</v>
      </c>
      <c r="W495" s="2187">
        <f>W155*$W$384</f>
        <v>131203.05114242219</v>
      </c>
      <c r="X495" s="2179">
        <f>X155*$X$384</f>
        <v>0</v>
      </c>
      <c r="Y495" s="2183">
        <f t="shared" si="1012"/>
        <v>-131203.05114242219</v>
      </c>
      <c r="Z495" s="2254">
        <f t="shared" si="1032"/>
        <v>402690.56490518979</v>
      </c>
      <c r="AA495" s="2252">
        <f t="shared" si="1032"/>
        <v>0</v>
      </c>
      <c r="AB495" s="2255">
        <f t="shared" si="840"/>
        <v>-402690.56490518979</v>
      </c>
      <c r="AC495" s="2184">
        <f>AC155*$AC$384</f>
        <v>219759.01904616135</v>
      </c>
      <c r="AD495" s="2179">
        <f>AD155*$AD$384</f>
        <v>0</v>
      </c>
      <c r="AE495" s="2180">
        <f t="shared" si="1013"/>
        <v>-219759.01904616135</v>
      </c>
      <c r="AF495" s="2277"/>
      <c r="AG495" s="2114"/>
      <c r="AH495" s="2188">
        <f t="shared" si="1050"/>
        <v>-446.62778225999193</v>
      </c>
      <c r="AI495" s="2188">
        <f>AI155*$O$384</f>
        <v>0</v>
      </c>
      <c r="AJ495" s="2186">
        <f t="shared" si="1038"/>
        <v>446.62778225999193</v>
      </c>
      <c r="AK495" s="2188">
        <f t="shared" si="1051"/>
        <v>66759.569675924562</v>
      </c>
      <c r="AL495" s="2188">
        <f>AL155*$O$384</f>
        <v>0</v>
      </c>
      <c r="AM495" s="2186">
        <f t="shared" si="1039"/>
        <v>-66759.569675924562</v>
      </c>
      <c r="AN495" s="2188">
        <f t="shared" si="1052"/>
        <v>55251.547925493825</v>
      </c>
      <c r="AO495" s="2188">
        <f>AO155*$O$384</f>
        <v>0</v>
      </c>
      <c r="AP495" s="2186">
        <f t="shared" si="1040"/>
        <v>-55251.547925493825</v>
      </c>
      <c r="AQ495" s="2188">
        <f t="shared" si="1053"/>
        <v>57078.982867076164</v>
      </c>
      <c r="AR495" s="2188">
        <f>AR155*$O$384</f>
        <v>0</v>
      </c>
      <c r="AS495" s="2186">
        <f t="shared" si="1041"/>
        <v>-57078.982867076164</v>
      </c>
      <c r="AT495" s="2188">
        <f t="shared" si="1054"/>
        <v>52010.068228249205</v>
      </c>
      <c r="AU495" s="2188">
        <f>AU155*$O$384</f>
        <v>0</v>
      </c>
      <c r="AV495" s="2186">
        <f t="shared" si="1042"/>
        <v>-52010.068228249205</v>
      </c>
      <c r="AW495" s="2188">
        <f t="shared" si="1055"/>
        <v>40615.584479223828</v>
      </c>
      <c r="AX495" s="2188">
        <f>AX155*$O$384</f>
        <v>0</v>
      </c>
      <c r="AY495" s="2186">
        <f t="shared" si="1043"/>
        <v>-40615.584479223828</v>
      </c>
      <c r="AZ495" s="2188">
        <f t="shared" si="1056"/>
        <v>39674.505161752277</v>
      </c>
      <c r="BA495" s="2188">
        <f>BA155*$O$384</f>
        <v>0</v>
      </c>
      <c r="BB495" s="2186">
        <f t="shared" si="1044"/>
        <v>-39674.505161752277</v>
      </c>
      <c r="BC495" s="2188">
        <f t="shared" si="1057"/>
        <v>39252.199818574569</v>
      </c>
      <c r="BD495" s="2188">
        <f>BD155*$O$384</f>
        <v>0</v>
      </c>
      <c r="BE495" s="2186">
        <f t="shared" si="1045"/>
        <v>-39252.199818574569</v>
      </c>
      <c r="BF495" s="2188">
        <f t="shared" si="1058"/>
        <v>52276.346162095324</v>
      </c>
      <c r="BG495" s="2188">
        <f>BG155*$O$384</f>
        <v>0</v>
      </c>
      <c r="BH495" s="2186">
        <f t="shared" si="1046"/>
        <v>-52276.346162095324</v>
      </c>
      <c r="BI495" s="2188">
        <f t="shared" si="1059"/>
        <v>69539.889253316374</v>
      </c>
      <c r="BJ495" s="2188">
        <f>BJ155*$O$384</f>
        <v>0</v>
      </c>
      <c r="BK495" s="2186">
        <f t="shared" si="1047"/>
        <v>-69539.889253316374</v>
      </c>
      <c r="BL495" s="2188">
        <f t="shared" si="1060"/>
        <v>76885.507938381459</v>
      </c>
      <c r="BM495" s="2188">
        <f>BM155*$O$384</f>
        <v>0</v>
      </c>
      <c r="BN495" s="2186">
        <f t="shared" si="1048"/>
        <v>-76885.507938381459</v>
      </c>
      <c r="BO495" s="2188">
        <f t="shared" si="1061"/>
        <v>73333.621854463519</v>
      </c>
      <c r="BP495" s="2188">
        <f>BP155*$O$384</f>
        <v>0</v>
      </c>
      <c r="BQ495" s="2186">
        <f t="shared" si="1049"/>
        <v>-73333.621854463519</v>
      </c>
    </row>
    <row r="496" spans="3:69" s="2087" customFormat="1">
      <c r="C496" s="2194" t="s">
        <v>2651</v>
      </c>
      <c r="D496" s="2283" t="s">
        <v>2227</v>
      </c>
      <c r="E496" s="2284" t="s">
        <v>1833</v>
      </c>
      <c r="F496" s="2176"/>
      <c r="G496" s="2177"/>
      <c r="H496" s="2177"/>
      <c r="I496" s="2178">
        <f t="shared" si="1014"/>
        <v>0</v>
      </c>
      <c r="J496" s="2176"/>
      <c r="K496" s="2252">
        <f t="shared" si="1010"/>
        <v>205897.35858056581</v>
      </c>
      <c r="L496" s="2252">
        <f t="shared" si="1010"/>
        <v>0</v>
      </c>
      <c r="M496" s="2255">
        <f t="shared" si="1011"/>
        <v>-205897.35858056581</v>
      </c>
      <c r="N496" s="2179">
        <f>N156*$N$385</f>
        <v>54040.878250768204</v>
      </c>
      <c r="O496" s="2179">
        <f>O156*$O$385</f>
        <v>0</v>
      </c>
      <c r="P496" s="2178">
        <f t="shared" si="1015"/>
        <v>-54040.878250768204</v>
      </c>
      <c r="Q496" s="2184">
        <f>Q156*$Q$385</f>
        <v>45712.965480672268</v>
      </c>
      <c r="R496" s="2179">
        <f>R156*$R$385</f>
        <v>0</v>
      </c>
      <c r="S496" s="2180">
        <f t="shared" si="1016"/>
        <v>-45712.965480672268</v>
      </c>
      <c r="T496" s="2251">
        <f t="shared" si="863"/>
        <v>99753.843731440473</v>
      </c>
      <c r="U496" s="2252">
        <f t="shared" si="863"/>
        <v>0</v>
      </c>
      <c r="V496" s="2253">
        <f t="shared" si="839"/>
        <v>-99753.843731440473</v>
      </c>
      <c r="W496" s="2187">
        <f>W156*$W$385</f>
        <v>39087.482553122398</v>
      </c>
      <c r="X496" s="2179">
        <f>X156*$X$385</f>
        <v>0</v>
      </c>
      <c r="Y496" s="2183">
        <f t="shared" si="1012"/>
        <v>-39087.482553122398</v>
      </c>
      <c r="Z496" s="2254">
        <f t="shared" si="1032"/>
        <v>138841.32628456288</v>
      </c>
      <c r="AA496" s="2252">
        <f t="shared" si="1032"/>
        <v>0</v>
      </c>
      <c r="AB496" s="2255">
        <f t="shared" si="840"/>
        <v>-138841.32628456288</v>
      </c>
      <c r="AC496" s="2184">
        <f>AC156*$AC$385</f>
        <v>67056.03229600293</v>
      </c>
      <c r="AD496" s="2179">
        <f>AD156*$AD$385</f>
        <v>0</v>
      </c>
      <c r="AE496" s="2180">
        <f t="shared" si="1013"/>
        <v>-67056.03229600293</v>
      </c>
      <c r="AF496" s="2277"/>
      <c r="AG496" s="2114"/>
      <c r="AH496" s="2188">
        <f t="shared" si="1050"/>
        <v>32834.618248499995</v>
      </c>
      <c r="AI496" s="2188">
        <f>AI156*$O$385</f>
        <v>0</v>
      </c>
      <c r="AJ496" s="2186">
        <f t="shared" si="1038"/>
        <v>-32834.618248499995</v>
      </c>
      <c r="AK496" s="2188">
        <f t="shared" si="1051"/>
        <v>19760.133200815715</v>
      </c>
      <c r="AL496" s="2188">
        <f>AL156*$O$385</f>
        <v>0</v>
      </c>
      <c r="AM496" s="2186">
        <f t="shared" si="1039"/>
        <v>-19760.133200815715</v>
      </c>
      <c r="AN496" s="2188">
        <f t="shared" si="1052"/>
        <v>17501.136679502484</v>
      </c>
      <c r="AO496" s="2188">
        <f>AO156*$O$385</f>
        <v>0</v>
      </c>
      <c r="AP496" s="2186">
        <f t="shared" si="1040"/>
        <v>-17501.136679502484</v>
      </c>
      <c r="AQ496" s="2188">
        <f t="shared" si="1053"/>
        <v>16249.035855246451</v>
      </c>
      <c r="AR496" s="2188">
        <f>AR156*$O$385</f>
        <v>0</v>
      </c>
      <c r="AS496" s="2186">
        <f t="shared" si="1041"/>
        <v>-16249.035855246451</v>
      </c>
      <c r="AT496" s="2188">
        <f t="shared" si="1054"/>
        <v>15184.459634243607</v>
      </c>
      <c r="AU496" s="2188">
        <f>AU156*$O$385</f>
        <v>0</v>
      </c>
      <c r="AV496" s="2186">
        <f t="shared" si="1042"/>
        <v>-15184.459634243607</v>
      </c>
      <c r="AW496" s="2188">
        <f t="shared" si="1055"/>
        <v>14279.469991182204</v>
      </c>
      <c r="AX496" s="2188">
        <f>AX156*$O$385</f>
        <v>0</v>
      </c>
      <c r="AY496" s="2186">
        <f t="shared" si="1043"/>
        <v>-14279.469991182204</v>
      </c>
      <c r="AZ496" s="2188">
        <f t="shared" si="1056"/>
        <v>11929.978685928103</v>
      </c>
      <c r="BA496" s="2188">
        <f>BA156*$O$385</f>
        <v>0</v>
      </c>
      <c r="BB496" s="2186">
        <f t="shared" si="1044"/>
        <v>-11929.978685928103</v>
      </c>
      <c r="BC496" s="2188">
        <f t="shared" si="1057"/>
        <v>12240.619687532779</v>
      </c>
      <c r="BD496" s="2188">
        <f>BD156*$O$385</f>
        <v>0</v>
      </c>
      <c r="BE496" s="2186">
        <f t="shared" si="1045"/>
        <v>-12240.619687532779</v>
      </c>
      <c r="BF496" s="2188">
        <f t="shared" si="1058"/>
        <v>14916.884179661511</v>
      </c>
      <c r="BG496" s="2188">
        <f>BG156*$O$385</f>
        <v>0</v>
      </c>
      <c r="BH496" s="2186">
        <f t="shared" si="1046"/>
        <v>-14916.884179661511</v>
      </c>
      <c r="BI496" s="2188">
        <f t="shared" si="1059"/>
        <v>21416.102327374934</v>
      </c>
      <c r="BJ496" s="2188">
        <f>BJ156*$O$385</f>
        <v>0</v>
      </c>
      <c r="BK496" s="2186">
        <f t="shared" si="1047"/>
        <v>-21416.102327374934</v>
      </c>
      <c r="BL496" s="2188">
        <f t="shared" si="1060"/>
        <v>22675.827828511141</v>
      </c>
      <c r="BM496" s="2188">
        <f>BM156*$O$385</f>
        <v>0</v>
      </c>
      <c r="BN496" s="2186">
        <f t="shared" si="1048"/>
        <v>-22675.827828511141</v>
      </c>
      <c r="BO496" s="2188">
        <f t="shared" si="1061"/>
        <v>22964.102140116858</v>
      </c>
      <c r="BP496" s="2188">
        <f>BP156*$O$385</f>
        <v>0</v>
      </c>
      <c r="BQ496" s="2186">
        <f t="shared" si="1049"/>
        <v>-22964.102140116858</v>
      </c>
    </row>
    <row r="497" spans="3:69" s="2087" customFormat="1">
      <c r="C497" s="2194" t="s">
        <v>2652</v>
      </c>
      <c r="D497" s="2283" t="s">
        <v>2229</v>
      </c>
      <c r="E497" s="2284" t="s">
        <v>1833</v>
      </c>
      <c r="F497" s="2176"/>
      <c r="G497" s="2177"/>
      <c r="H497" s="2177"/>
      <c r="I497" s="2186"/>
      <c r="J497" s="2176"/>
      <c r="K497" s="2252">
        <f t="shared" si="1010"/>
        <v>0</v>
      </c>
      <c r="L497" s="2252">
        <f t="shared" si="1010"/>
        <v>0</v>
      </c>
      <c r="M497" s="2255">
        <f t="shared" si="1011"/>
        <v>0</v>
      </c>
      <c r="N497" s="2177"/>
      <c r="O497" s="2177"/>
      <c r="P497" s="2186"/>
      <c r="Q497" s="2177"/>
      <c r="R497" s="2177"/>
      <c r="S497" s="2266"/>
      <c r="T497" s="2251">
        <f t="shared" si="863"/>
        <v>0</v>
      </c>
      <c r="U497" s="2252">
        <f t="shared" si="863"/>
        <v>0</v>
      </c>
      <c r="V497" s="2253">
        <f t="shared" si="839"/>
        <v>0</v>
      </c>
      <c r="W497" s="2182"/>
      <c r="X497" s="2177"/>
      <c r="Y497" s="2271"/>
      <c r="Z497" s="2254">
        <f t="shared" si="1032"/>
        <v>0</v>
      </c>
      <c r="AA497" s="2252">
        <f t="shared" si="1032"/>
        <v>0</v>
      </c>
      <c r="AB497" s="2255">
        <f t="shared" si="840"/>
        <v>0</v>
      </c>
      <c r="AC497" s="2177"/>
      <c r="AD497" s="2177"/>
      <c r="AE497" s="2266"/>
      <c r="AF497" s="2277"/>
      <c r="AG497" s="2114"/>
      <c r="AH497" s="2177"/>
      <c r="AI497" s="2177"/>
      <c r="AJ497" s="2186"/>
      <c r="AK497" s="2177"/>
      <c r="AL497" s="2177"/>
      <c r="AM497" s="2186"/>
      <c r="AN497" s="2177"/>
      <c r="AO497" s="2177"/>
      <c r="AP497" s="2186"/>
      <c r="AQ497" s="2177"/>
      <c r="AR497" s="2177"/>
      <c r="AS497" s="2186"/>
      <c r="AT497" s="2177"/>
      <c r="AU497" s="2177"/>
      <c r="AV497" s="2186"/>
      <c r="AW497" s="2177"/>
      <c r="AX497" s="2177"/>
      <c r="AY497" s="2186"/>
      <c r="AZ497" s="2177"/>
      <c r="BA497" s="2177"/>
      <c r="BB497" s="2186"/>
      <c r="BC497" s="2177"/>
      <c r="BD497" s="2177"/>
      <c r="BE497" s="2186"/>
      <c r="BF497" s="2177"/>
      <c r="BG497" s="2177"/>
      <c r="BH497" s="2186"/>
      <c r="BI497" s="2177"/>
      <c r="BJ497" s="2177"/>
      <c r="BK497" s="2186"/>
      <c r="BL497" s="2177"/>
      <c r="BM497" s="2177"/>
      <c r="BN497" s="2186"/>
      <c r="BO497" s="2177"/>
      <c r="BP497" s="2177"/>
      <c r="BQ497" s="2186"/>
    </row>
    <row r="498" spans="3:69" s="2087" customFormat="1">
      <c r="C498" s="2285" t="s">
        <v>2653</v>
      </c>
      <c r="D498" s="2287" t="s">
        <v>2248</v>
      </c>
      <c r="E498" s="2284" t="s">
        <v>1833</v>
      </c>
      <c r="F498" s="2176"/>
      <c r="G498" s="2252">
        <f>G499+G500+G501+G502+G503</f>
        <v>0</v>
      </c>
      <c r="H498" s="2252">
        <f>H499+H500+H501+H502+H503</f>
        <v>0</v>
      </c>
      <c r="I498" s="2178">
        <f t="shared" ref="I498" si="1062">H498-G498</f>
        <v>0</v>
      </c>
      <c r="J498" s="2176"/>
      <c r="K498" s="2252">
        <f t="shared" si="1010"/>
        <v>37030.591096579999</v>
      </c>
      <c r="L498" s="2179">
        <f t="shared" si="1010"/>
        <v>0</v>
      </c>
      <c r="M498" s="2178">
        <f t="shared" si="1011"/>
        <v>-37030.591096579999</v>
      </c>
      <c r="N498" s="2179">
        <f>N499+N500+N501+N502+N503</f>
        <v>3269.4053830000003</v>
      </c>
      <c r="O498" s="2179">
        <f>O499+O500+O501+O502+O503</f>
        <v>0</v>
      </c>
      <c r="P498" s="2178">
        <f t="shared" ref="P498" si="1063">O498-N498</f>
        <v>-3269.4053830000003</v>
      </c>
      <c r="Q498" s="2179">
        <f>Q499+Q500+Q501+Q502+Q503</f>
        <v>2350.29984358</v>
      </c>
      <c r="R498" s="2179">
        <f>R499+R500+R501+R502+R503</f>
        <v>0</v>
      </c>
      <c r="S498" s="2180">
        <f t="shared" ref="S498" si="1064">R498-Q498</f>
        <v>-2350.29984358</v>
      </c>
      <c r="T498" s="2181">
        <f t="shared" si="863"/>
        <v>5619.7052265800003</v>
      </c>
      <c r="U498" s="2179">
        <f t="shared" si="863"/>
        <v>0</v>
      </c>
      <c r="V498" s="2180">
        <f t="shared" si="839"/>
        <v>-5619.7052265800003</v>
      </c>
      <c r="W498" s="2187">
        <f>W499+W500+W501+W502+W503</f>
        <v>12335.237883149999</v>
      </c>
      <c r="X498" s="2179">
        <f>X499+X500+X501+X502+X503</f>
        <v>0</v>
      </c>
      <c r="Y498" s="2183">
        <f t="shared" ref="Y498" si="1065">X498-W498</f>
        <v>-12335.237883149999</v>
      </c>
      <c r="Z498" s="2184">
        <f t="shared" si="1032"/>
        <v>17954.94310973</v>
      </c>
      <c r="AA498" s="2179">
        <f t="shared" si="1032"/>
        <v>0</v>
      </c>
      <c r="AB498" s="2178">
        <f t="shared" si="840"/>
        <v>-17954.94310973</v>
      </c>
      <c r="AC498" s="2179">
        <f>AC499+AC500+AC501+AC502+AC503</f>
        <v>19075.647986849999</v>
      </c>
      <c r="AD498" s="2179">
        <f>AD499+AD500+AD501+AD502+AD503</f>
        <v>0</v>
      </c>
      <c r="AE498" s="2180">
        <f t="shared" ref="AE498" si="1066">AD498-AC498</f>
        <v>-19075.647986849999</v>
      </c>
      <c r="AF498" s="2277"/>
      <c r="AG498" s="2114"/>
      <c r="AH498" s="2188">
        <f>AH499+AH500+AH501+AH502+AH503</f>
        <v>0</v>
      </c>
      <c r="AI498" s="2188">
        <f>AI499+AI500+AI501+AI502+AI503</f>
        <v>0</v>
      </c>
      <c r="AJ498" s="2186">
        <f t="shared" ref="AJ498:AJ502" si="1067">AI498-AH498</f>
        <v>0</v>
      </c>
      <c r="AK498" s="2188">
        <f>AK499+AK500+AK501+AK502+AK503</f>
        <v>1005.0701131400001</v>
      </c>
      <c r="AL498" s="2188">
        <f>AL499+AL500+AL501+AL502+AL503</f>
        <v>0</v>
      </c>
      <c r="AM498" s="2186">
        <f t="shared" ref="AM498:AM502" si="1068">AL498-AK498</f>
        <v>-1005.0701131400001</v>
      </c>
      <c r="AN498" s="2188">
        <f>AN499+AN500+AN501+AN502+AN503</f>
        <v>1193.74293388</v>
      </c>
      <c r="AO498" s="2188">
        <f>AO499+AO500+AO501+AO502+AO503</f>
        <v>0</v>
      </c>
      <c r="AP498" s="2186">
        <f t="shared" ref="AP498:AP502" si="1069">AO498-AN498</f>
        <v>-1193.74293388</v>
      </c>
      <c r="AQ498" s="2188">
        <f>AQ499+AQ500+AQ501+AQ502+AQ503</f>
        <v>849.68805515999998</v>
      </c>
      <c r="AR498" s="2188">
        <f>AR499+AR500+AR501+AR502+AR503</f>
        <v>0</v>
      </c>
      <c r="AS498" s="2186">
        <f t="shared" ref="AS498:AS502" si="1070">AR498-AQ498</f>
        <v>-849.68805515999998</v>
      </c>
      <c r="AT498" s="2188">
        <f>AT499+AT500+AT501+AT502+AT503</f>
        <v>842.12697881999998</v>
      </c>
      <c r="AU498" s="2188">
        <f>AU499+AU500+AU501+AU502+AU503</f>
        <v>0</v>
      </c>
      <c r="AV498" s="2186">
        <f t="shared" ref="AV498:AV502" si="1071">AU498-AT498</f>
        <v>-842.12697881999998</v>
      </c>
      <c r="AW498" s="2188">
        <f>AW499+AW500+AW501+AW502+AW503</f>
        <v>658.48480960000006</v>
      </c>
      <c r="AX498" s="2188">
        <f>AX499+AX500+AX501+AX502+AX503</f>
        <v>0</v>
      </c>
      <c r="AY498" s="2186">
        <f t="shared" ref="AY498:AY502" si="1072">AX498-AW498</f>
        <v>-658.48480960000006</v>
      </c>
      <c r="AZ498" s="2188">
        <f>AZ499+AZ500+AZ501+AZ502+AZ503</f>
        <v>3713.7935834999998</v>
      </c>
      <c r="BA498" s="2188">
        <f>BA499+BA500+BA501+BA502+BA503</f>
        <v>0</v>
      </c>
      <c r="BB498" s="2186">
        <f t="shared" ref="BB498:BB502" si="1073">BA498-AZ498</f>
        <v>-3713.7935834999998</v>
      </c>
      <c r="BC498" s="2188">
        <f>BC499+BC500+BC501+BC502+BC503</f>
        <v>3838.5944960999996</v>
      </c>
      <c r="BD498" s="2188">
        <f>BD499+BD500+BD501+BD502+BD503</f>
        <v>0</v>
      </c>
      <c r="BE498" s="2186">
        <f t="shared" ref="BE498:BE502" si="1074">BD498-BC498</f>
        <v>-3838.5944960999996</v>
      </c>
      <c r="BF498" s="2188">
        <f>BF499+BF500+BF501+BF502+BF503</f>
        <v>4782.8498035499997</v>
      </c>
      <c r="BG498" s="2188">
        <f>BG499+BG500+BG501+BG502+BG503</f>
        <v>0</v>
      </c>
      <c r="BH498" s="2186">
        <f t="shared" ref="BH498:BH502" si="1075">BG498-BF498</f>
        <v>-4782.8498035499997</v>
      </c>
      <c r="BI498" s="2188">
        <f>BI499+BI500+BI501+BI502+BI503</f>
        <v>5757.8876081999997</v>
      </c>
      <c r="BJ498" s="2188">
        <f>BJ499+BJ500+BJ501+BJ502+BJ503</f>
        <v>0</v>
      </c>
      <c r="BK498" s="2186">
        <f t="shared" ref="BK498:BK502" si="1076">BJ498-BI498</f>
        <v>-5757.8876081999997</v>
      </c>
      <c r="BL498" s="2188">
        <f>BL499+BL500+BL501+BL502+BL503</f>
        <v>5976.1113593999999</v>
      </c>
      <c r="BM498" s="2188">
        <f>BM499+BM500+BM501+BM502+BM503</f>
        <v>0</v>
      </c>
      <c r="BN498" s="2186">
        <f t="shared" ref="BN498:BN502" si="1077">BM498-BL498</f>
        <v>-5976.1113593999999</v>
      </c>
      <c r="BO498" s="2188">
        <f>BO499+BO500+BO501+BO502+BO503</f>
        <v>7341.6490192499996</v>
      </c>
      <c r="BP498" s="2188">
        <f>BP499+BP500+BP501+BP502+BP503</f>
        <v>0</v>
      </c>
      <c r="BQ498" s="2186">
        <f t="shared" ref="BQ498:BQ502" si="1078">BP498-BO498</f>
        <v>-7341.6490192499996</v>
      </c>
    </row>
    <row r="499" spans="3:69" s="2087" customFormat="1">
      <c r="C499" s="2194" t="s">
        <v>2654</v>
      </c>
      <c r="D499" s="2283" t="s">
        <v>2221</v>
      </c>
      <c r="E499" s="2284" t="s">
        <v>1833</v>
      </c>
      <c r="F499" s="2176"/>
      <c r="G499" s="2177"/>
      <c r="H499" s="2177"/>
      <c r="I499" s="2178">
        <f t="shared" si="1014"/>
        <v>0</v>
      </c>
      <c r="J499" s="2176"/>
      <c r="K499" s="2252">
        <f t="shared" si="1010"/>
        <v>0</v>
      </c>
      <c r="L499" s="2252">
        <f t="shared" si="1010"/>
        <v>0</v>
      </c>
      <c r="M499" s="2255">
        <f t="shared" si="1011"/>
        <v>0</v>
      </c>
      <c r="N499" s="2179">
        <f t="shared" ref="N499:O502" si="1079">N159*$N$387</f>
        <v>0</v>
      </c>
      <c r="O499" s="2179">
        <f t="shared" si="1079"/>
        <v>0</v>
      </c>
      <c r="P499" s="2178">
        <f t="shared" si="1015"/>
        <v>0</v>
      </c>
      <c r="Q499" s="2184">
        <f>Q159*$Q$387</f>
        <v>0</v>
      </c>
      <c r="R499" s="2179">
        <f>R159*$R$387</f>
        <v>0</v>
      </c>
      <c r="S499" s="2180">
        <f t="shared" si="1016"/>
        <v>0</v>
      </c>
      <c r="T499" s="2251">
        <f t="shared" si="863"/>
        <v>0</v>
      </c>
      <c r="U499" s="2252">
        <f t="shared" si="863"/>
        <v>0</v>
      </c>
      <c r="V499" s="2253">
        <f t="shared" si="839"/>
        <v>0</v>
      </c>
      <c r="W499" s="2187">
        <f>W159*$W$387</f>
        <v>0</v>
      </c>
      <c r="X499" s="2179">
        <f>X159*$X$387</f>
        <v>0</v>
      </c>
      <c r="Y499" s="2183">
        <f t="shared" si="1012"/>
        <v>0</v>
      </c>
      <c r="Z499" s="2254">
        <f t="shared" si="1032"/>
        <v>0</v>
      </c>
      <c r="AA499" s="2252">
        <f t="shared" si="1032"/>
        <v>0</v>
      </c>
      <c r="AB499" s="2255">
        <f t="shared" si="840"/>
        <v>0</v>
      </c>
      <c r="AC499" s="2184">
        <f>AC159*$AC$387</f>
        <v>0</v>
      </c>
      <c r="AD499" s="2179">
        <f>AD159*$AD$387</f>
        <v>0</v>
      </c>
      <c r="AE499" s="2180">
        <f t="shared" si="1013"/>
        <v>0</v>
      </c>
      <c r="AF499" s="2277"/>
      <c r="AG499" s="2114"/>
      <c r="AH499" s="2188">
        <f>AH159*AH387</f>
        <v>0</v>
      </c>
      <c r="AI499" s="2188">
        <f t="shared" ref="AI499:AI502" si="1080">AI159*$N$387</f>
        <v>0</v>
      </c>
      <c r="AJ499" s="2186">
        <f t="shared" si="1067"/>
        <v>0</v>
      </c>
      <c r="AK499" s="2188">
        <f>AK159*AK387</f>
        <v>0</v>
      </c>
      <c r="AL499" s="2188">
        <f t="shared" ref="AL499:AL502" si="1081">AL159*$N$387</f>
        <v>0</v>
      </c>
      <c r="AM499" s="2186">
        <f t="shared" si="1068"/>
        <v>0</v>
      </c>
      <c r="AN499" s="2188">
        <f>AN159*AN387</f>
        <v>0</v>
      </c>
      <c r="AO499" s="2188">
        <f t="shared" ref="AO499:AO502" si="1082">AO159*$N$387</f>
        <v>0</v>
      </c>
      <c r="AP499" s="2186">
        <f t="shared" si="1069"/>
        <v>0</v>
      </c>
      <c r="AQ499" s="2188">
        <f>AQ159*AQ387</f>
        <v>0</v>
      </c>
      <c r="AR499" s="2188">
        <f t="shared" ref="AR499:AR502" si="1083">AR159*$N$387</f>
        <v>0</v>
      </c>
      <c r="AS499" s="2186">
        <f t="shared" si="1070"/>
        <v>0</v>
      </c>
      <c r="AT499" s="2188">
        <f>AT159*AT387</f>
        <v>0</v>
      </c>
      <c r="AU499" s="2188">
        <f t="shared" ref="AU499:AU502" si="1084">AU159*$N$387</f>
        <v>0</v>
      </c>
      <c r="AV499" s="2186">
        <f t="shared" si="1071"/>
        <v>0</v>
      </c>
      <c r="AW499" s="2188">
        <f>AW159*AW387</f>
        <v>0</v>
      </c>
      <c r="AX499" s="2188">
        <f t="shared" ref="AX499:AX502" si="1085">AX159*$N$387</f>
        <v>0</v>
      </c>
      <c r="AY499" s="2186">
        <f t="shared" si="1072"/>
        <v>0</v>
      </c>
      <c r="AZ499" s="2188">
        <f>AZ159*AZ387</f>
        <v>0</v>
      </c>
      <c r="BA499" s="2188">
        <f t="shared" ref="BA499:BA502" si="1086">BA159*$N$387</f>
        <v>0</v>
      </c>
      <c r="BB499" s="2186">
        <f t="shared" si="1073"/>
        <v>0</v>
      </c>
      <c r="BC499" s="2188">
        <f>BC159*BC387</f>
        <v>0</v>
      </c>
      <c r="BD499" s="2188">
        <f t="shared" ref="BD499:BD502" si="1087">BD159*$N$387</f>
        <v>0</v>
      </c>
      <c r="BE499" s="2186">
        <f t="shared" si="1074"/>
        <v>0</v>
      </c>
      <c r="BF499" s="2188">
        <f>BF159*BF387</f>
        <v>0</v>
      </c>
      <c r="BG499" s="2188">
        <f t="shared" ref="BG499:BG502" si="1088">BG159*$N$387</f>
        <v>0</v>
      </c>
      <c r="BH499" s="2186">
        <f t="shared" si="1075"/>
        <v>0</v>
      </c>
      <c r="BI499" s="2188">
        <f>BI159*BI387</f>
        <v>0</v>
      </c>
      <c r="BJ499" s="2188">
        <f t="shared" ref="BJ499:BJ502" si="1089">BJ159*$N$387</f>
        <v>0</v>
      </c>
      <c r="BK499" s="2186">
        <f t="shared" si="1076"/>
        <v>0</v>
      </c>
      <c r="BL499" s="2188">
        <f>BL159*BL387</f>
        <v>0</v>
      </c>
      <c r="BM499" s="2188">
        <f t="shared" ref="BM499:BM502" si="1090">BM159*$N$387</f>
        <v>0</v>
      </c>
      <c r="BN499" s="2186">
        <f t="shared" si="1077"/>
        <v>0</v>
      </c>
      <c r="BO499" s="2188">
        <f>BO159*BO387</f>
        <v>0</v>
      </c>
      <c r="BP499" s="2188">
        <f t="shared" ref="BP499:BP502" si="1091">BP159*$N$387</f>
        <v>0</v>
      </c>
      <c r="BQ499" s="2186">
        <f t="shared" si="1078"/>
        <v>0</v>
      </c>
    </row>
    <row r="500" spans="3:69" s="2087" customFormat="1">
      <c r="C500" s="2194" t="s">
        <v>2655</v>
      </c>
      <c r="D500" s="2283" t="s">
        <v>2223</v>
      </c>
      <c r="E500" s="2284" t="s">
        <v>1833</v>
      </c>
      <c r="F500" s="2176"/>
      <c r="G500" s="2177"/>
      <c r="H500" s="2177"/>
      <c r="I500" s="2178">
        <f t="shared" si="1014"/>
        <v>0</v>
      </c>
      <c r="J500" s="2176"/>
      <c r="K500" s="2252">
        <f t="shared" si="1010"/>
        <v>0</v>
      </c>
      <c r="L500" s="2252">
        <f t="shared" si="1010"/>
        <v>0</v>
      </c>
      <c r="M500" s="2255">
        <f t="shared" si="1011"/>
        <v>0</v>
      </c>
      <c r="N500" s="2179">
        <f t="shared" si="1079"/>
        <v>0</v>
      </c>
      <c r="O500" s="2179">
        <f t="shared" si="1079"/>
        <v>0</v>
      </c>
      <c r="P500" s="2178">
        <f t="shared" si="1015"/>
        <v>0</v>
      </c>
      <c r="Q500" s="2184">
        <f>Q160*$Q$387</f>
        <v>0</v>
      </c>
      <c r="R500" s="2179">
        <f>R160*$R$387</f>
        <v>0</v>
      </c>
      <c r="S500" s="2180">
        <f t="shared" si="1016"/>
        <v>0</v>
      </c>
      <c r="T500" s="2251">
        <f t="shared" si="863"/>
        <v>0</v>
      </c>
      <c r="U500" s="2252">
        <f t="shared" si="863"/>
        <v>0</v>
      </c>
      <c r="V500" s="2253">
        <f t="shared" si="839"/>
        <v>0</v>
      </c>
      <c r="W500" s="2187">
        <f>W160*$W$387</f>
        <v>0</v>
      </c>
      <c r="X500" s="2179">
        <f>X160*$X$387</f>
        <v>0</v>
      </c>
      <c r="Y500" s="2183">
        <f t="shared" si="1012"/>
        <v>0</v>
      </c>
      <c r="Z500" s="2254">
        <f t="shared" si="1032"/>
        <v>0</v>
      </c>
      <c r="AA500" s="2252">
        <f t="shared" si="1032"/>
        <v>0</v>
      </c>
      <c r="AB500" s="2255">
        <f t="shared" si="840"/>
        <v>0</v>
      </c>
      <c r="AC500" s="2184">
        <f>AC160*$AC$387</f>
        <v>0</v>
      </c>
      <c r="AD500" s="2179">
        <f>AD160*$AD$387</f>
        <v>0</v>
      </c>
      <c r="AE500" s="2180">
        <f t="shared" si="1013"/>
        <v>0</v>
      </c>
      <c r="AF500" s="2277"/>
      <c r="AG500" s="2114"/>
      <c r="AH500" s="2188">
        <f>AH160*AH387</f>
        <v>0</v>
      </c>
      <c r="AI500" s="2188">
        <f t="shared" si="1080"/>
        <v>0</v>
      </c>
      <c r="AJ500" s="2186">
        <f t="shared" si="1067"/>
        <v>0</v>
      </c>
      <c r="AK500" s="2188">
        <f>AK160*AK387</f>
        <v>0</v>
      </c>
      <c r="AL500" s="2188">
        <f t="shared" si="1081"/>
        <v>0</v>
      </c>
      <c r="AM500" s="2186">
        <f t="shared" si="1068"/>
        <v>0</v>
      </c>
      <c r="AN500" s="2188">
        <f>AN160*AN387</f>
        <v>0</v>
      </c>
      <c r="AO500" s="2188">
        <f t="shared" si="1082"/>
        <v>0</v>
      </c>
      <c r="AP500" s="2186">
        <f t="shared" si="1069"/>
        <v>0</v>
      </c>
      <c r="AQ500" s="2188">
        <f>AQ160*AQ387</f>
        <v>0</v>
      </c>
      <c r="AR500" s="2188">
        <f t="shared" si="1083"/>
        <v>0</v>
      </c>
      <c r="AS500" s="2186">
        <f t="shared" si="1070"/>
        <v>0</v>
      </c>
      <c r="AT500" s="2188">
        <f>AT160*AT387</f>
        <v>0</v>
      </c>
      <c r="AU500" s="2188">
        <f t="shared" si="1084"/>
        <v>0</v>
      </c>
      <c r="AV500" s="2186">
        <f t="shared" si="1071"/>
        <v>0</v>
      </c>
      <c r="AW500" s="2188">
        <f>AW160*AW387</f>
        <v>0</v>
      </c>
      <c r="AX500" s="2188">
        <f t="shared" si="1085"/>
        <v>0</v>
      </c>
      <c r="AY500" s="2186">
        <f t="shared" si="1072"/>
        <v>0</v>
      </c>
      <c r="AZ500" s="2188">
        <f>AZ160*AZ387</f>
        <v>0</v>
      </c>
      <c r="BA500" s="2188">
        <f t="shared" si="1086"/>
        <v>0</v>
      </c>
      <c r="BB500" s="2186">
        <f t="shared" si="1073"/>
        <v>0</v>
      </c>
      <c r="BC500" s="2188">
        <f>BC160*BC387</f>
        <v>0</v>
      </c>
      <c r="BD500" s="2188">
        <f t="shared" si="1087"/>
        <v>0</v>
      </c>
      <c r="BE500" s="2186">
        <f t="shared" si="1074"/>
        <v>0</v>
      </c>
      <c r="BF500" s="2188">
        <f>BF160*BF387</f>
        <v>0</v>
      </c>
      <c r="BG500" s="2188">
        <f t="shared" si="1088"/>
        <v>0</v>
      </c>
      <c r="BH500" s="2186">
        <f t="shared" si="1075"/>
        <v>0</v>
      </c>
      <c r="BI500" s="2188">
        <f>BI160*BI387</f>
        <v>0</v>
      </c>
      <c r="BJ500" s="2188">
        <f t="shared" si="1089"/>
        <v>0</v>
      </c>
      <c r="BK500" s="2186">
        <f t="shared" si="1076"/>
        <v>0</v>
      </c>
      <c r="BL500" s="2188">
        <f>BL160*BL387</f>
        <v>0</v>
      </c>
      <c r="BM500" s="2188">
        <f t="shared" si="1090"/>
        <v>0</v>
      </c>
      <c r="BN500" s="2186">
        <f t="shared" si="1077"/>
        <v>0</v>
      </c>
      <c r="BO500" s="2188">
        <f>BO160*BO387</f>
        <v>0</v>
      </c>
      <c r="BP500" s="2188">
        <f t="shared" si="1091"/>
        <v>0</v>
      </c>
      <c r="BQ500" s="2186">
        <f t="shared" si="1078"/>
        <v>0</v>
      </c>
    </row>
    <row r="501" spans="3:69" s="2087" customFormat="1">
      <c r="C501" s="2194" t="s">
        <v>2656</v>
      </c>
      <c r="D501" s="2283" t="s">
        <v>2225</v>
      </c>
      <c r="E501" s="2284" t="s">
        <v>1833</v>
      </c>
      <c r="F501" s="2176"/>
      <c r="G501" s="2177"/>
      <c r="H501" s="2177"/>
      <c r="I501" s="2178">
        <f t="shared" si="1014"/>
        <v>0</v>
      </c>
      <c r="J501" s="2176"/>
      <c r="K501" s="2252">
        <f t="shared" si="1010"/>
        <v>26743.105713579997</v>
      </c>
      <c r="L501" s="2252">
        <f t="shared" si="1010"/>
        <v>0</v>
      </c>
      <c r="M501" s="2255">
        <f t="shared" si="1011"/>
        <v>-26743.105713579997</v>
      </c>
      <c r="N501" s="2179">
        <f t="shared" si="1079"/>
        <v>2115.4848876000001</v>
      </c>
      <c r="O501" s="2179">
        <f t="shared" si="1079"/>
        <v>0</v>
      </c>
      <c r="P501" s="2178">
        <f t="shared" si="1015"/>
        <v>-2115.4848876000001</v>
      </c>
      <c r="Q501" s="2184">
        <f>Q161*$Q$387</f>
        <v>1642.2027794800001</v>
      </c>
      <c r="R501" s="2179">
        <f>R161*$R$387</f>
        <v>0</v>
      </c>
      <c r="S501" s="2180">
        <f t="shared" si="1016"/>
        <v>-1642.2027794800001</v>
      </c>
      <c r="T501" s="2251">
        <f t="shared" si="863"/>
        <v>3757.6876670800002</v>
      </c>
      <c r="U501" s="2252">
        <f t="shared" si="863"/>
        <v>0</v>
      </c>
      <c r="V501" s="2253">
        <f t="shared" si="839"/>
        <v>-3757.6876670800002</v>
      </c>
      <c r="W501" s="2187">
        <f>W161*$W$387</f>
        <v>9026.5082134499989</v>
      </c>
      <c r="X501" s="2179">
        <f>X161*$X$387</f>
        <v>0</v>
      </c>
      <c r="Y501" s="2183">
        <f t="shared" si="1012"/>
        <v>-9026.5082134499989</v>
      </c>
      <c r="Z501" s="2254">
        <f t="shared" si="1032"/>
        <v>12784.195880529998</v>
      </c>
      <c r="AA501" s="2252">
        <f t="shared" si="1032"/>
        <v>0</v>
      </c>
      <c r="AB501" s="2255">
        <f t="shared" si="840"/>
        <v>-12784.195880529998</v>
      </c>
      <c r="AC501" s="2184">
        <f>AC161*$AC$387</f>
        <v>13958.909833049998</v>
      </c>
      <c r="AD501" s="2179">
        <f>AD161*$AD$387</f>
        <v>0</v>
      </c>
      <c r="AE501" s="2180">
        <f t="shared" si="1013"/>
        <v>-13958.909833049998</v>
      </c>
      <c r="AF501" s="2277"/>
      <c r="AG501" s="2114"/>
      <c r="AH501" s="2188">
        <f>AH161*AH387</f>
        <v>0</v>
      </c>
      <c r="AI501" s="2188">
        <f t="shared" si="1080"/>
        <v>0</v>
      </c>
      <c r="AJ501" s="2186">
        <f t="shared" si="1067"/>
        <v>0</v>
      </c>
      <c r="AK501" s="2188">
        <f>AK161*AK387</f>
        <v>702.26320180000005</v>
      </c>
      <c r="AL501" s="2188">
        <f t="shared" si="1081"/>
        <v>0</v>
      </c>
      <c r="AM501" s="2186">
        <f t="shared" si="1068"/>
        <v>-702.26320180000005</v>
      </c>
      <c r="AN501" s="2188">
        <f>AN161*AN387</f>
        <v>834.09279860000004</v>
      </c>
      <c r="AO501" s="2188">
        <f t="shared" si="1082"/>
        <v>0</v>
      </c>
      <c r="AP501" s="2186">
        <f t="shared" si="1069"/>
        <v>-834.09279860000004</v>
      </c>
      <c r="AQ501" s="2188">
        <f>AQ161*AQ387</f>
        <v>593.69444708000003</v>
      </c>
      <c r="AR501" s="2188">
        <f t="shared" si="1083"/>
        <v>0</v>
      </c>
      <c r="AS501" s="2186">
        <f t="shared" si="1070"/>
        <v>-593.69444708000003</v>
      </c>
      <c r="AT501" s="2188">
        <f>AT161*AT387</f>
        <v>588.41155244000004</v>
      </c>
      <c r="AU501" s="2188">
        <f t="shared" si="1084"/>
        <v>0</v>
      </c>
      <c r="AV501" s="2186">
        <f t="shared" si="1071"/>
        <v>-588.41155244000004</v>
      </c>
      <c r="AW501" s="2188">
        <f>AW161*AW387</f>
        <v>460.09677996000005</v>
      </c>
      <c r="AX501" s="2188">
        <f t="shared" si="1085"/>
        <v>0</v>
      </c>
      <c r="AY501" s="2186">
        <f t="shared" si="1072"/>
        <v>-460.09677996000005</v>
      </c>
      <c r="AZ501" s="2188">
        <f>AZ161*AZ387</f>
        <v>2717.6293462499998</v>
      </c>
      <c r="BA501" s="2188">
        <f t="shared" si="1086"/>
        <v>0</v>
      </c>
      <c r="BB501" s="2186">
        <f t="shared" si="1073"/>
        <v>-2717.6293462499998</v>
      </c>
      <c r="BC501" s="2188">
        <f>BC161*BC387</f>
        <v>2808.9525008999994</v>
      </c>
      <c r="BD501" s="2188">
        <f t="shared" si="1087"/>
        <v>0</v>
      </c>
      <c r="BE501" s="2186">
        <f t="shared" si="1074"/>
        <v>-2808.9525008999994</v>
      </c>
      <c r="BF501" s="2188">
        <f>BF161*BF387</f>
        <v>3499.9263662999997</v>
      </c>
      <c r="BG501" s="2188">
        <f t="shared" si="1088"/>
        <v>0</v>
      </c>
      <c r="BH501" s="2186">
        <f t="shared" si="1075"/>
        <v>-3499.9263662999997</v>
      </c>
      <c r="BI501" s="2188">
        <f>BI161*BI387</f>
        <v>4213.4259940499996</v>
      </c>
      <c r="BJ501" s="2188">
        <f t="shared" si="1089"/>
        <v>0</v>
      </c>
      <c r="BK501" s="2186">
        <f t="shared" si="1076"/>
        <v>-4213.4259940499996</v>
      </c>
      <c r="BL501" s="2188">
        <f>BL161*BL387</f>
        <v>4373.1136448999996</v>
      </c>
      <c r="BM501" s="2188">
        <f t="shared" si="1090"/>
        <v>0</v>
      </c>
      <c r="BN501" s="2186">
        <f t="shared" si="1077"/>
        <v>-4373.1136448999996</v>
      </c>
      <c r="BO501" s="2188">
        <f>BO161*BO387</f>
        <v>5372.3701940999999</v>
      </c>
      <c r="BP501" s="2188">
        <f t="shared" si="1091"/>
        <v>0</v>
      </c>
      <c r="BQ501" s="2186">
        <f t="shared" si="1078"/>
        <v>-5372.3701940999999</v>
      </c>
    </row>
    <row r="502" spans="3:69" s="2087" customFormat="1">
      <c r="C502" s="2194" t="s">
        <v>2657</v>
      </c>
      <c r="D502" s="2283" t="s">
        <v>2227</v>
      </c>
      <c r="E502" s="2284" t="s">
        <v>1833</v>
      </c>
      <c r="F502" s="2176"/>
      <c r="G502" s="2177"/>
      <c r="H502" s="2177"/>
      <c r="I502" s="2178">
        <f t="shared" si="1014"/>
        <v>0</v>
      </c>
      <c r="J502" s="2176"/>
      <c r="K502" s="2252">
        <f t="shared" si="1010"/>
        <v>10287.485382999999</v>
      </c>
      <c r="L502" s="2252">
        <f t="shared" si="1010"/>
        <v>0</v>
      </c>
      <c r="M502" s="2255">
        <f t="shared" si="1011"/>
        <v>-10287.485382999999</v>
      </c>
      <c r="N502" s="2179">
        <f t="shared" si="1079"/>
        <v>1153.9204953999999</v>
      </c>
      <c r="O502" s="2179">
        <f t="shared" si="1079"/>
        <v>0</v>
      </c>
      <c r="P502" s="2178">
        <f t="shared" si="1015"/>
        <v>-1153.9204953999999</v>
      </c>
      <c r="Q502" s="2184">
        <f>Q162*$Q$387</f>
        <v>708.0970640999999</v>
      </c>
      <c r="R502" s="2179">
        <f>R162*$R$387</f>
        <v>0</v>
      </c>
      <c r="S502" s="2180">
        <f t="shared" si="1016"/>
        <v>-708.0970640999999</v>
      </c>
      <c r="T502" s="2251">
        <f t="shared" si="863"/>
        <v>1862.0175594999998</v>
      </c>
      <c r="U502" s="2252">
        <f t="shared" si="863"/>
        <v>0</v>
      </c>
      <c r="V502" s="2253">
        <f t="shared" si="839"/>
        <v>-1862.0175594999998</v>
      </c>
      <c r="W502" s="2187">
        <f>W162*$W$387</f>
        <v>3308.7296696999997</v>
      </c>
      <c r="X502" s="2179">
        <f>X162*$X$387</f>
        <v>0</v>
      </c>
      <c r="Y502" s="2183">
        <f t="shared" si="1012"/>
        <v>-3308.7296696999997</v>
      </c>
      <c r="Z502" s="2254">
        <f t="shared" si="1032"/>
        <v>5170.7472291999993</v>
      </c>
      <c r="AA502" s="2252">
        <f t="shared" si="1032"/>
        <v>0</v>
      </c>
      <c r="AB502" s="2255">
        <f t="shared" si="840"/>
        <v>-5170.7472291999993</v>
      </c>
      <c r="AC502" s="2184">
        <f>AC162*$AC$387</f>
        <v>5116.7381538</v>
      </c>
      <c r="AD502" s="2179">
        <f>AD162*$AD$387</f>
        <v>0</v>
      </c>
      <c r="AE502" s="2180">
        <f t="shared" si="1013"/>
        <v>-5116.7381538</v>
      </c>
      <c r="AF502" s="2277"/>
      <c r="AG502" s="2114"/>
      <c r="AH502" s="2188">
        <f>AH162*AH387</f>
        <v>0</v>
      </c>
      <c r="AI502" s="2188">
        <f t="shared" si="1080"/>
        <v>0</v>
      </c>
      <c r="AJ502" s="2186">
        <f t="shared" si="1067"/>
        <v>0</v>
      </c>
      <c r="AK502" s="2188">
        <f>AK162*AK387</f>
        <v>302.80691134</v>
      </c>
      <c r="AL502" s="2188">
        <f t="shared" si="1081"/>
        <v>0</v>
      </c>
      <c r="AM502" s="2186">
        <f t="shared" si="1068"/>
        <v>-302.80691134</v>
      </c>
      <c r="AN502" s="2188">
        <f>AN162*AN387</f>
        <v>359.65013527999997</v>
      </c>
      <c r="AO502" s="2188">
        <f t="shared" si="1082"/>
        <v>0</v>
      </c>
      <c r="AP502" s="2186">
        <f t="shared" si="1069"/>
        <v>-359.65013527999997</v>
      </c>
      <c r="AQ502" s="2188">
        <f>AQ162*AQ387</f>
        <v>255.99360808</v>
      </c>
      <c r="AR502" s="2188">
        <f t="shared" si="1083"/>
        <v>0</v>
      </c>
      <c r="AS502" s="2186">
        <f t="shared" si="1070"/>
        <v>-255.99360808</v>
      </c>
      <c r="AT502" s="2188">
        <f>AT162*AT387</f>
        <v>253.71542638</v>
      </c>
      <c r="AU502" s="2188">
        <f t="shared" si="1084"/>
        <v>0</v>
      </c>
      <c r="AV502" s="2186">
        <f t="shared" si="1071"/>
        <v>-253.71542638</v>
      </c>
      <c r="AW502" s="2188">
        <f>AW162*AW387</f>
        <v>198.38802963999998</v>
      </c>
      <c r="AX502" s="2188">
        <f t="shared" si="1085"/>
        <v>0</v>
      </c>
      <c r="AY502" s="2186">
        <f t="shared" si="1072"/>
        <v>-198.38802963999998</v>
      </c>
      <c r="AZ502" s="2188">
        <f>AZ162*AZ387</f>
        <v>996.16423724999993</v>
      </c>
      <c r="BA502" s="2188">
        <f t="shared" si="1086"/>
        <v>0</v>
      </c>
      <c r="BB502" s="2186">
        <f t="shared" si="1073"/>
        <v>-996.16423724999993</v>
      </c>
      <c r="BC502" s="2188">
        <f>BC162*BC387</f>
        <v>1029.6419951999999</v>
      </c>
      <c r="BD502" s="2188">
        <f t="shared" si="1087"/>
        <v>0</v>
      </c>
      <c r="BE502" s="2186">
        <f t="shared" si="1074"/>
        <v>-1029.6419951999999</v>
      </c>
      <c r="BF502" s="2188">
        <f>BF162*BF387</f>
        <v>1282.9234372499998</v>
      </c>
      <c r="BG502" s="2188">
        <f t="shared" si="1088"/>
        <v>0</v>
      </c>
      <c r="BH502" s="2186">
        <f t="shared" si="1075"/>
        <v>-1282.9234372499998</v>
      </c>
      <c r="BI502" s="2188">
        <f>BI162*BI387</f>
        <v>1544.4616141499998</v>
      </c>
      <c r="BJ502" s="2188">
        <f t="shared" si="1089"/>
        <v>0</v>
      </c>
      <c r="BK502" s="2186">
        <f t="shared" si="1076"/>
        <v>-1544.4616141499998</v>
      </c>
      <c r="BL502" s="2188">
        <f>BL162*BL387</f>
        <v>1602.9977144999998</v>
      </c>
      <c r="BM502" s="2188">
        <f t="shared" si="1090"/>
        <v>0</v>
      </c>
      <c r="BN502" s="2186">
        <f t="shared" si="1077"/>
        <v>-1602.9977144999998</v>
      </c>
      <c r="BO502" s="2188">
        <f>BO162*BO387</f>
        <v>1969.2788251499996</v>
      </c>
      <c r="BP502" s="2188">
        <f t="shared" si="1091"/>
        <v>0</v>
      </c>
      <c r="BQ502" s="2186">
        <f t="shared" si="1078"/>
        <v>-1969.2788251499996</v>
      </c>
    </row>
    <row r="503" spans="3:69" s="2087" customFormat="1">
      <c r="C503" s="2194" t="s">
        <v>2658</v>
      </c>
      <c r="D503" s="2283" t="s">
        <v>2229</v>
      </c>
      <c r="E503" s="2284" t="s">
        <v>1833</v>
      </c>
      <c r="F503" s="2176"/>
      <c r="G503" s="2177"/>
      <c r="H503" s="2177"/>
      <c r="I503" s="2186"/>
      <c r="J503" s="2176"/>
      <c r="K503" s="2252">
        <f t="shared" si="1010"/>
        <v>0</v>
      </c>
      <c r="L503" s="2252">
        <f t="shared" si="1010"/>
        <v>0</v>
      </c>
      <c r="M503" s="2255">
        <f t="shared" si="1011"/>
        <v>0</v>
      </c>
      <c r="N503" s="2177"/>
      <c r="O503" s="2177"/>
      <c r="P503" s="2186"/>
      <c r="Q503" s="2177"/>
      <c r="R503" s="2177"/>
      <c r="S503" s="2266"/>
      <c r="T503" s="2251">
        <f t="shared" si="863"/>
        <v>0</v>
      </c>
      <c r="U503" s="2252">
        <f t="shared" si="863"/>
        <v>0</v>
      </c>
      <c r="V503" s="2253">
        <f t="shared" si="839"/>
        <v>0</v>
      </c>
      <c r="W503" s="2182"/>
      <c r="X503" s="2177"/>
      <c r="Y503" s="2271"/>
      <c r="Z503" s="2254">
        <f t="shared" si="1032"/>
        <v>0</v>
      </c>
      <c r="AA503" s="2252">
        <f t="shared" si="1032"/>
        <v>0</v>
      </c>
      <c r="AB503" s="2255">
        <f t="shared" si="840"/>
        <v>0</v>
      </c>
      <c r="AC503" s="2177"/>
      <c r="AD503" s="2177"/>
      <c r="AE503" s="2266"/>
      <c r="AF503" s="2277"/>
      <c r="AG503" s="2114"/>
      <c r="AH503" s="2177"/>
      <c r="AI503" s="2177"/>
      <c r="AJ503" s="2186"/>
      <c r="AK503" s="2177"/>
      <c r="AL503" s="2177"/>
      <c r="AM503" s="2186"/>
      <c r="AN503" s="2177"/>
      <c r="AO503" s="2177"/>
      <c r="AP503" s="2186"/>
      <c r="AQ503" s="2177"/>
      <c r="AR503" s="2177"/>
      <c r="AS503" s="2186"/>
      <c r="AT503" s="2177"/>
      <c r="AU503" s="2177"/>
      <c r="AV503" s="2186"/>
      <c r="AW503" s="2177"/>
      <c r="AX503" s="2177"/>
      <c r="AY503" s="2186"/>
      <c r="AZ503" s="2177"/>
      <c r="BA503" s="2177"/>
      <c r="BB503" s="2186"/>
      <c r="BC503" s="2177"/>
      <c r="BD503" s="2177"/>
      <c r="BE503" s="2186"/>
      <c r="BF503" s="2177"/>
      <c r="BG503" s="2177"/>
      <c r="BH503" s="2186"/>
      <c r="BI503" s="2177"/>
      <c r="BJ503" s="2177"/>
      <c r="BK503" s="2186"/>
      <c r="BL503" s="2177"/>
      <c r="BM503" s="2177"/>
      <c r="BN503" s="2186"/>
      <c r="BO503" s="2177"/>
      <c r="BP503" s="2177"/>
      <c r="BQ503" s="2186"/>
    </row>
    <row r="504" spans="3:69" s="2087" customFormat="1">
      <c r="C504" s="2285" t="s">
        <v>2659</v>
      </c>
      <c r="D504" s="2287" t="s">
        <v>2255</v>
      </c>
      <c r="E504" s="2284" t="s">
        <v>1833</v>
      </c>
      <c r="F504" s="2176"/>
      <c r="G504" s="2252">
        <f>G505+G506+G507+G508+G509</f>
        <v>0</v>
      </c>
      <c r="H504" s="2252">
        <f>H505+H506+H507+H508+H509</f>
        <v>0</v>
      </c>
      <c r="I504" s="2178">
        <f t="shared" ref="I504" si="1092">H504-G504</f>
        <v>0</v>
      </c>
      <c r="J504" s="2176"/>
      <c r="K504" s="2252">
        <f t="shared" si="1010"/>
        <v>43102.687624169994</v>
      </c>
      <c r="L504" s="2179">
        <f t="shared" si="1010"/>
        <v>0</v>
      </c>
      <c r="M504" s="2178">
        <f t="shared" si="1011"/>
        <v>-43102.687624169994</v>
      </c>
      <c r="N504" s="2179">
        <f>N505+N506+N507+N508+N509</f>
        <v>21527.319499639994</v>
      </c>
      <c r="O504" s="2179">
        <f>O505+O506+O507+O508+O509</f>
        <v>0</v>
      </c>
      <c r="P504" s="2178">
        <f t="shared" ref="P504" si="1093">O504-N504</f>
        <v>-21527.319499639994</v>
      </c>
      <c r="Q504" s="2179">
        <f>Q505+Q506+Q507+Q508+Q509</f>
        <v>15319.65050048</v>
      </c>
      <c r="R504" s="2179">
        <f>R505+R506+R507+R508+R509</f>
        <v>0</v>
      </c>
      <c r="S504" s="2180">
        <f t="shared" ref="S504" si="1094">R504-Q504</f>
        <v>-15319.65050048</v>
      </c>
      <c r="T504" s="2181">
        <f t="shared" si="863"/>
        <v>36846.970000119996</v>
      </c>
      <c r="U504" s="2179">
        <f t="shared" si="863"/>
        <v>0</v>
      </c>
      <c r="V504" s="2180">
        <f t="shared" si="839"/>
        <v>-36846.970000119996</v>
      </c>
      <c r="W504" s="2187">
        <f>W505+W506+W507+W508+W509</f>
        <v>2456.6572732499999</v>
      </c>
      <c r="X504" s="2179">
        <f>X505+X506+X507+X508+X509</f>
        <v>0</v>
      </c>
      <c r="Y504" s="2183">
        <f t="shared" ref="Y504" si="1095">X504-W504</f>
        <v>-2456.6572732499999</v>
      </c>
      <c r="Z504" s="2184">
        <f t="shared" si="1032"/>
        <v>39303.627273369995</v>
      </c>
      <c r="AA504" s="2179">
        <f t="shared" si="1032"/>
        <v>0</v>
      </c>
      <c r="AB504" s="2178">
        <f t="shared" si="840"/>
        <v>-39303.627273369995</v>
      </c>
      <c r="AC504" s="2179">
        <f>AC505+AC506+AC507+AC508+AC509</f>
        <v>3799.0603508000004</v>
      </c>
      <c r="AD504" s="2179">
        <f>AD505+AD506+AD507+AD508+AD509</f>
        <v>0</v>
      </c>
      <c r="AE504" s="2180">
        <f t="shared" ref="AE504" si="1096">AD504-AC504</f>
        <v>-3799.0603508000004</v>
      </c>
      <c r="AF504" s="2277"/>
      <c r="AG504" s="2114"/>
      <c r="AH504" s="2188">
        <f>AH505+AH506+AH507+AH508+AH509</f>
        <v>0</v>
      </c>
      <c r="AI504" s="2188">
        <f>AI505+AI506+AI507+AI508+AI509</f>
        <v>0</v>
      </c>
      <c r="AJ504" s="2186">
        <f t="shared" ref="AJ504:AJ508" si="1097">AI504-AH504</f>
        <v>0</v>
      </c>
      <c r="AK504" s="2188">
        <f>AK505+AK506+AK507+AK508+AK509</f>
        <v>7407.9504236599996</v>
      </c>
      <c r="AL504" s="2188">
        <f>AL505+AL506+AL507+AL508+AL509</f>
        <v>0</v>
      </c>
      <c r="AM504" s="2186">
        <f t="shared" ref="AM504:AM508" si="1098">AL504-AK504</f>
        <v>-7407.9504236599996</v>
      </c>
      <c r="AN504" s="2188">
        <f>AN505+AN506+AN507+AN508+AN509</f>
        <v>7781.0184852999982</v>
      </c>
      <c r="AO504" s="2188">
        <f>AO505+AO506+AO507+AO508+AO509</f>
        <v>0</v>
      </c>
      <c r="AP504" s="2186">
        <f t="shared" ref="AP504:AP508" si="1099">AO504-AN504</f>
        <v>-7781.0184852999982</v>
      </c>
      <c r="AQ504" s="2188">
        <f>AQ505+AQ506+AQ507+AQ508+AQ509</f>
        <v>5538.4077747599995</v>
      </c>
      <c r="AR504" s="2188">
        <f>AR505+AR506+AR507+AR508+AR509</f>
        <v>0</v>
      </c>
      <c r="AS504" s="2186">
        <f t="shared" ref="AS504:AS508" si="1100">AR504-AQ504</f>
        <v>-5538.4077747599995</v>
      </c>
      <c r="AT504" s="2188">
        <f>AT505+AT506+AT507+AT508+AT509</f>
        <v>5489.1290930200003</v>
      </c>
      <c r="AU504" s="2188">
        <f>AU505+AU506+AU507+AU508+AU509</f>
        <v>0</v>
      </c>
      <c r="AV504" s="2186">
        <f t="shared" ref="AV504:AV508" si="1101">AU504-AT504</f>
        <v>-5489.1290930200003</v>
      </c>
      <c r="AW504" s="2188">
        <f>AW505+AW506+AW507+AW508+AW509</f>
        <v>4292.1136326999995</v>
      </c>
      <c r="AX504" s="2188">
        <f>AX505+AX506+AX507+AX508+AX509</f>
        <v>0</v>
      </c>
      <c r="AY504" s="2186">
        <f t="shared" ref="AY504:AY508" si="1102">AX504-AW504</f>
        <v>-4292.1136326999995</v>
      </c>
      <c r="AZ504" s="2188">
        <f>AZ505+AZ506+AZ507+AZ508+AZ509</f>
        <v>739.63101139999992</v>
      </c>
      <c r="BA504" s="2188">
        <f>BA505+BA506+BA507+BA508+BA509</f>
        <v>0</v>
      </c>
      <c r="BB504" s="2186">
        <f t="shared" ref="BB504:BB508" si="1103">BA504-AZ504</f>
        <v>-739.63101139999992</v>
      </c>
      <c r="BC504" s="2188">
        <f>BC505+BC506+BC507+BC508+BC509</f>
        <v>764.48521360000007</v>
      </c>
      <c r="BD504" s="2188">
        <f>BD505+BD506+BD507+BD508+BD509</f>
        <v>0</v>
      </c>
      <c r="BE504" s="2186">
        <f t="shared" ref="BE504:BE508" si="1104">BD504-BC504</f>
        <v>-764.48521360000007</v>
      </c>
      <c r="BF504" s="2188">
        <f>BF505+BF506+BF507+BF508+BF509</f>
        <v>952.54104825000002</v>
      </c>
      <c r="BG504" s="2188">
        <f>BG505+BG506+BG507+BG508+BG509</f>
        <v>0</v>
      </c>
      <c r="BH504" s="2186">
        <f t="shared" ref="BH504:BH508" si="1105">BG504-BF504</f>
        <v>-952.54104825000002</v>
      </c>
      <c r="BI504" s="2188">
        <f>BI505+BI506+BI507+BI508+BI509</f>
        <v>1146.7270953499999</v>
      </c>
      <c r="BJ504" s="2188">
        <f>BJ505+BJ506+BJ507+BJ508+BJ509</f>
        <v>0</v>
      </c>
      <c r="BK504" s="2186">
        <f t="shared" ref="BK504:BK508" si="1106">BJ504-BI504</f>
        <v>-1146.7270953499999</v>
      </c>
      <c r="BL504" s="2188">
        <f>BL505+BL506+BL507+BL508+BL509</f>
        <v>1190.1877012500001</v>
      </c>
      <c r="BM504" s="2188">
        <f>BM505+BM506+BM507+BM508+BM509</f>
        <v>0</v>
      </c>
      <c r="BN504" s="2186">
        <f t="shared" ref="BN504:BN508" si="1107">BM504-BL504</f>
        <v>-1190.1877012500001</v>
      </c>
      <c r="BO504" s="2188">
        <f>BO505+BO506+BO507+BO508+BO509</f>
        <v>1462.1455542000001</v>
      </c>
      <c r="BP504" s="2188">
        <f>BP505+BP506+BP507+BP508+BP509</f>
        <v>0</v>
      </c>
      <c r="BQ504" s="2186">
        <f t="shared" ref="BQ504:BQ508" si="1108">BP504-BO504</f>
        <v>-1462.1455542000001</v>
      </c>
    </row>
    <row r="505" spans="3:69" s="2087" customFormat="1">
      <c r="C505" s="2194" t="s">
        <v>2660</v>
      </c>
      <c r="D505" s="2283" t="s">
        <v>2221</v>
      </c>
      <c r="E505" s="2284" t="s">
        <v>1833</v>
      </c>
      <c r="F505" s="2176"/>
      <c r="G505" s="2177"/>
      <c r="H505" s="2177"/>
      <c r="I505" s="2178">
        <f t="shared" si="1014"/>
        <v>0</v>
      </c>
      <c r="J505" s="2176"/>
      <c r="K505" s="2252">
        <f t="shared" si="1010"/>
        <v>0</v>
      </c>
      <c r="L505" s="2252">
        <f t="shared" si="1010"/>
        <v>0</v>
      </c>
      <c r="M505" s="2255">
        <f t="shared" si="1011"/>
        <v>0</v>
      </c>
      <c r="N505" s="2179">
        <f>N165*$N$389</f>
        <v>0</v>
      </c>
      <c r="O505" s="2179">
        <f>O165*$O$389</f>
        <v>0</v>
      </c>
      <c r="P505" s="2178">
        <f t="shared" si="1015"/>
        <v>0</v>
      </c>
      <c r="Q505" s="2184">
        <f>Q165*$Q$389</f>
        <v>0</v>
      </c>
      <c r="R505" s="2179">
        <f>R165*$R$389</f>
        <v>0</v>
      </c>
      <c r="S505" s="2180">
        <f t="shared" si="1016"/>
        <v>0</v>
      </c>
      <c r="T505" s="2251">
        <f t="shared" si="863"/>
        <v>0</v>
      </c>
      <c r="U505" s="2252">
        <f t="shared" si="863"/>
        <v>0</v>
      </c>
      <c r="V505" s="2253">
        <f t="shared" si="839"/>
        <v>0</v>
      </c>
      <c r="W505" s="2187">
        <f>W165*$W$389</f>
        <v>0</v>
      </c>
      <c r="X505" s="2179">
        <f>X165*$X$389</f>
        <v>0</v>
      </c>
      <c r="Y505" s="2183">
        <f t="shared" si="1012"/>
        <v>0</v>
      </c>
      <c r="Z505" s="2254">
        <f t="shared" si="1032"/>
        <v>0</v>
      </c>
      <c r="AA505" s="2252">
        <f t="shared" si="1032"/>
        <v>0</v>
      </c>
      <c r="AB505" s="2255">
        <f t="shared" ref="AB505:AB568" si="1109">AA505-Z505</f>
        <v>0</v>
      </c>
      <c r="AC505" s="2184">
        <f>AC165*$AC$389</f>
        <v>0</v>
      </c>
      <c r="AD505" s="2179">
        <f>AD165*$AD$389</f>
        <v>0</v>
      </c>
      <c r="AE505" s="2180">
        <f t="shared" si="1013"/>
        <v>0</v>
      </c>
      <c r="AF505" s="2277"/>
      <c r="AG505" s="2114"/>
      <c r="AH505" s="2188">
        <f>AH165*AH389</f>
        <v>0</v>
      </c>
      <c r="AI505" s="2188">
        <f>AI165*$O$389</f>
        <v>0</v>
      </c>
      <c r="AJ505" s="2186">
        <f t="shared" si="1097"/>
        <v>0</v>
      </c>
      <c r="AK505" s="2188">
        <f>AK165*AK389</f>
        <v>0</v>
      </c>
      <c r="AL505" s="2188">
        <f>AL165*$O$389</f>
        <v>0</v>
      </c>
      <c r="AM505" s="2186">
        <f t="shared" si="1098"/>
        <v>0</v>
      </c>
      <c r="AN505" s="2188">
        <f>AN165*AN389</f>
        <v>0</v>
      </c>
      <c r="AO505" s="2188">
        <f>AO165*$O$389</f>
        <v>0</v>
      </c>
      <c r="AP505" s="2186">
        <f t="shared" si="1099"/>
        <v>0</v>
      </c>
      <c r="AQ505" s="2188">
        <f>AQ165*AQ389</f>
        <v>0</v>
      </c>
      <c r="AR505" s="2188">
        <f>AR165*$O$389</f>
        <v>0</v>
      </c>
      <c r="AS505" s="2186">
        <f t="shared" si="1100"/>
        <v>0</v>
      </c>
      <c r="AT505" s="2188">
        <f>AT165*AT389</f>
        <v>0</v>
      </c>
      <c r="AU505" s="2188">
        <f>AU165*$O$389</f>
        <v>0</v>
      </c>
      <c r="AV505" s="2186">
        <f t="shared" si="1101"/>
        <v>0</v>
      </c>
      <c r="AW505" s="2188">
        <f>AW165*AW389</f>
        <v>0</v>
      </c>
      <c r="AX505" s="2188">
        <f>AX165*$O$389</f>
        <v>0</v>
      </c>
      <c r="AY505" s="2186">
        <f t="shared" si="1102"/>
        <v>0</v>
      </c>
      <c r="AZ505" s="2188">
        <f>AZ165*AZ389</f>
        <v>0</v>
      </c>
      <c r="BA505" s="2188">
        <f>BA165*$O$389</f>
        <v>0</v>
      </c>
      <c r="BB505" s="2186">
        <f t="shared" si="1103"/>
        <v>0</v>
      </c>
      <c r="BC505" s="2188">
        <f>BC165*BC389</f>
        <v>0</v>
      </c>
      <c r="BD505" s="2188">
        <f>BD165*$O$389</f>
        <v>0</v>
      </c>
      <c r="BE505" s="2186">
        <f t="shared" si="1104"/>
        <v>0</v>
      </c>
      <c r="BF505" s="2188">
        <f>BF165*BF389</f>
        <v>0</v>
      </c>
      <c r="BG505" s="2188">
        <f>BG165*$O$389</f>
        <v>0</v>
      </c>
      <c r="BH505" s="2186">
        <f t="shared" si="1105"/>
        <v>0</v>
      </c>
      <c r="BI505" s="2188">
        <f>BI165*BI389</f>
        <v>0</v>
      </c>
      <c r="BJ505" s="2188">
        <f>BJ165*$O$389</f>
        <v>0</v>
      </c>
      <c r="BK505" s="2186">
        <f t="shared" si="1106"/>
        <v>0</v>
      </c>
      <c r="BL505" s="2188">
        <f>BL165*BL389</f>
        <v>0</v>
      </c>
      <c r="BM505" s="2188">
        <f>BM165*$O$389</f>
        <v>0</v>
      </c>
      <c r="BN505" s="2186">
        <f t="shared" si="1107"/>
        <v>0</v>
      </c>
      <c r="BO505" s="2188">
        <f>BO165*BO389</f>
        <v>0</v>
      </c>
      <c r="BP505" s="2188">
        <f>BP165*$O$389</f>
        <v>0</v>
      </c>
      <c r="BQ505" s="2186">
        <f t="shared" si="1108"/>
        <v>0</v>
      </c>
    </row>
    <row r="506" spans="3:69" s="2087" customFormat="1">
      <c r="C506" s="2194" t="s">
        <v>2661</v>
      </c>
      <c r="D506" s="2283" t="s">
        <v>2223</v>
      </c>
      <c r="E506" s="2284" t="s">
        <v>1833</v>
      </c>
      <c r="F506" s="2176"/>
      <c r="G506" s="2177"/>
      <c r="H506" s="2177"/>
      <c r="I506" s="2178">
        <f t="shared" si="1014"/>
        <v>0</v>
      </c>
      <c r="J506" s="2176"/>
      <c r="K506" s="2252">
        <f t="shared" si="1010"/>
        <v>0</v>
      </c>
      <c r="L506" s="2252">
        <f t="shared" si="1010"/>
        <v>0</v>
      </c>
      <c r="M506" s="2255">
        <f t="shared" si="1011"/>
        <v>0</v>
      </c>
      <c r="N506" s="2179">
        <f>N166*$N$389</f>
        <v>0</v>
      </c>
      <c r="O506" s="2179">
        <f>O166*$O$389</f>
        <v>0</v>
      </c>
      <c r="P506" s="2178">
        <f t="shared" si="1015"/>
        <v>0</v>
      </c>
      <c r="Q506" s="2184">
        <f>Q166*$Q$389</f>
        <v>0</v>
      </c>
      <c r="R506" s="2179">
        <f>R166*$R$389</f>
        <v>0</v>
      </c>
      <c r="S506" s="2180">
        <f t="shared" si="1016"/>
        <v>0</v>
      </c>
      <c r="T506" s="2251">
        <f t="shared" si="863"/>
        <v>0</v>
      </c>
      <c r="U506" s="2252">
        <f t="shared" si="863"/>
        <v>0</v>
      </c>
      <c r="V506" s="2253">
        <f t="shared" si="839"/>
        <v>0</v>
      </c>
      <c r="W506" s="2187">
        <f>W166*$W$389</f>
        <v>0</v>
      </c>
      <c r="X506" s="2179">
        <f>X166*$X$389</f>
        <v>0</v>
      </c>
      <c r="Y506" s="2183">
        <f t="shared" si="1012"/>
        <v>0</v>
      </c>
      <c r="Z506" s="2254">
        <f t="shared" si="1032"/>
        <v>0</v>
      </c>
      <c r="AA506" s="2252">
        <f t="shared" si="1032"/>
        <v>0</v>
      </c>
      <c r="AB506" s="2255">
        <f t="shared" si="1109"/>
        <v>0</v>
      </c>
      <c r="AC506" s="2184">
        <f>AC166*$AC$389</f>
        <v>0</v>
      </c>
      <c r="AD506" s="2179">
        <f>AD166*$AD$389</f>
        <v>0</v>
      </c>
      <c r="AE506" s="2180">
        <f t="shared" si="1013"/>
        <v>0</v>
      </c>
      <c r="AF506" s="2277"/>
      <c r="AG506" s="2114"/>
      <c r="AH506" s="2188">
        <f>AH166*AH389</f>
        <v>0</v>
      </c>
      <c r="AI506" s="2188">
        <f>AI166*$O$389</f>
        <v>0</v>
      </c>
      <c r="AJ506" s="2186">
        <f t="shared" si="1097"/>
        <v>0</v>
      </c>
      <c r="AK506" s="2188">
        <f>AK166*AK389</f>
        <v>0</v>
      </c>
      <c r="AL506" s="2188">
        <f>AL166*$O$389</f>
        <v>0</v>
      </c>
      <c r="AM506" s="2186">
        <f t="shared" si="1098"/>
        <v>0</v>
      </c>
      <c r="AN506" s="2188">
        <f>AN166*AN389</f>
        <v>0</v>
      </c>
      <c r="AO506" s="2188">
        <f>AO166*$O$389</f>
        <v>0</v>
      </c>
      <c r="AP506" s="2186">
        <f t="shared" si="1099"/>
        <v>0</v>
      </c>
      <c r="AQ506" s="2188">
        <f>AQ166*AQ389</f>
        <v>0</v>
      </c>
      <c r="AR506" s="2188">
        <f>AR166*$O$389</f>
        <v>0</v>
      </c>
      <c r="AS506" s="2186">
        <f t="shared" si="1100"/>
        <v>0</v>
      </c>
      <c r="AT506" s="2188">
        <f>AT166*AT389</f>
        <v>0</v>
      </c>
      <c r="AU506" s="2188">
        <f>AU166*$O$389</f>
        <v>0</v>
      </c>
      <c r="AV506" s="2186">
        <f t="shared" si="1101"/>
        <v>0</v>
      </c>
      <c r="AW506" s="2188">
        <f>AW166*AW389</f>
        <v>0</v>
      </c>
      <c r="AX506" s="2188">
        <f>AX166*$O$389</f>
        <v>0</v>
      </c>
      <c r="AY506" s="2186">
        <f t="shared" si="1102"/>
        <v>0</v>
      </c>
      <c r="AZ506" s="2188">
        <f>AZ166*AZ389</f>
        <v>0</v>
      </c>
      <c r="BA506" s="2188">
        <f>BA166*$O$389</f>
        <v>0</v>
      </c>
      <c r="BB506" s="2186">
        <f t="shared" si="1103"/>
        <v>0</v>
      </c>
      <c r="BC506" s="2188">
        <f>BC166*BC389</f>
        <v>0</v>
      </c>
      <c r="BD506" s="2188">
        <f>BD166*$O$389</f>
        <v>0</v>
      </c>
      <c r="BE506" s="2186">
        <f t="shared" si="1104"/>
        <v>0</v>
      </c>
      <c r="BF506" s="2188">
        <f>BF166*BF389</f>
        <v>0</v>
      </c>
      <c r="BG506" s="2188">
        <f>BG166*$O$389</f>
        <v>0</v>
      </c>
      <c r="BH506" s="2186">
        <f t="shared" si="1105"/>
        <v>0</v>
      </c>
      <c r="BI506" s="2188">
        <f>BI166*BI389</f>
        <v>0</v>
      </c>
      <c r="BJ506" s="2188">
        <f>BJ166*$O$389</f>
        <v>0</v>
      </c>
      <c r="BK506" s="2186">
        <f t="shared" si="1106"/>
        <v>0</v>
      </c>
      <c r="BL506" s="2188">
        <f>BL166*BL389</f>
        <v>0</v>
      </c>
      <c r="BM506" s="2188">
        <f>BM166*$O$389</f>
        <v>0</v>
      </c>
      <c r="BN506" s="2186">
        <f t="shared" si="1107"/>
        <v>0</v>
      </c>
      <c r="BO506" s="2188">
        <f>BO166*BO389</f>
        <v>0</v>
      </c>
      <c r="BP506" s="2188">
        <f>BP166*$O$389</f>
        <v>0</v>
      </c>
      <c r="BQ506" s="2186">
        <f t="shared" si="1108"/>
        <v>0</v>
      </c>
    </row>
    <row r="507" spans="3:69" s="2087" customFormat="1">
      <c r="C507" s="2194" t="s">
        <v>2662</v>
      </c>
      <c r="D507" s="2283" t="s">
        <v>2225</v>
      </c>
      <c r="E507" s="2284" t="s">
        <v>1833</v>
      </c>
      <c r="F507" s="2176"/>
      <c r="G507" s="2177"/>
      <c r="H507" s="2177"/>
      <c r="I507" s="2178">
        <f t="shared" si="1014"/>
        <v>0</v>
      </c>
      <c r="J507" s="2176"/>
      <c r="K507" s="2252">
        <f t="shared" si="1010"/>
        <v>496.60910993999994</v>
      </c>
      <c r="L507" s="2252">
        <f t="shared" si="1010"/>
        <v>0</v>
      </c>
      <c r="M507" s="2255">
        <f t="shared" si="1011"/>
        <v>-496.60910993999994</v>
      </c>
      <c r="N507" s="2179">
        <f>N167*$N$389</f>
        <v>496.60910993999994</v>
      </c>
      <c r="O507" s="2179">
        <f>O167*$O$389</f>
        <v>0</v>
      </c>
      <c r="P507" s="2178">
        <f t="shared" si="1015"/>
        <v>-496.60910993999994</v>
      </c>
      <c r="Q507" s="2184">
        <f>Q167*$Q$389</f>
        <v>0</v>
      </c>
      <c r="R507" s="2179">
        <f>R167*$R$389</f>
        <v>0</v>
      </c>
      <c r="S507" s="2180">
        <f t="shared" si="1016"/>
        <v>0</v>
      </c>
      <c r="T507" s="2251">
        <f t="shared" si="863"/>
        <v>496.60910993999994</v>
      </c>
      <c r="U507" s="2252">
        <f t="shared" si="863"/>
        <v>0</v>
      </c>
      <c r="V507" s="2253">
        <f t="shared" si="839"/>
        <v>-496.60910993999994</v>
      </c>
      <c r="W507" s="2187">
        <f>W167*$W$389</f>
        <v>0</v>
      </c>
      <c r="X507" s="2179">
        <f>X167*$X$389</f>
        <v>0</v>
      </c>
      <c r="Y507" s="2183">
        <f t="shared" si="1012"/>
        <v>0</v>
      </c>
      <c r="Z507" s="2254">
        <f t="shared" si="1032"/>
        <v>496.60910993999994</v>
      </c>
      <c r="AA507" s="2252">
        <f t="shared" si="1032"/>
        <v>0</v>
      </c>
      <c r="AB507" s="2255">
        <f t="shared" si="1109"/>
        <v>-496.60910993999994</v>
      </c>
      <c r="AC507" s="2184">
        <f>AC167*$AC$389</f>
        <v>0</v>
      </c>
      <c r="AD507" s="2179">
        <f>AD167*$AD$389</f>
        <v>0</v>
      </c>
      <c r="AE507" s="2180">
        <f t="shared" si="1013"/>
        <v>0</v>
      </c>
      <c r="AF507" s="2277"/>
      <c r="AG507" s="2114"/>
      <c r="AH507" s="2188">
        <f>AH167*AH389</f>
        <v>0</v>
      </c>
      <c r="AI507" s="2188">
        <f>AI167*$O$389</f>
        <v>0</v>
      </c>
      <c r="AJ507" s="2186">
        <f t="shared" si="1097"/>
        <v>0</v>
      </c>
      <c r="AK507" s="2188">
        <f>AK167*AK389</f>
        <v>0</v>
      </c>
      <c r="AL507" s="2188">
        <f>AL167*$O$389</f>
        <v>0</v>
      </c>
      <c r="AM507" s="2186">
        <f t="shared" si="1098"/>
        <v>0</v>
      </c>
      <c r="AN507" s="2188">
        <f>AN167*AN389</f>
        <v>0</v>
      </c>
      <c r="AO507" s="2188">
        <f>AO167*$O$389</f>
        <v>0</v>
      </c>
      <c r="AP507" s="2186">
        <f t="shared" si="1099"/>
        <v>0</v>
      </c>
      <c r="AQ507" s="2188">
        <f>AQ167*AQ389</f>
        <v>0</v>
      </c>
      <c r="AR507" s="2188">
        <f>AR167*$O$389</f>
        <v>0</v>
      </c>
      <c r="AS507" s="2186">
        <f t="shared" si="1100"/>
        <v>0</v>
      </c>
      <c r="AT507" s="2188">
        <f>AT167*AT389</f>
        <v>0</v>
      </c>
      <c r="AU507" s="2188">
        <f>AU167*$O$389</f>
        <v>0</v>
      </c>
      <c r="AV507" s="2186">
        <f t="shared" si="1101"/>
        <v>0</v>
      </c>
      <c r="AW507" s="2188">
        <f>AW167*AW389</f>
        <v>0</v>
      </c>
      <c r="AX507" s="2188">
        <f>AX167*$O$389</f>
        <v>0</v>
      </c>
      <c r="AY507" s="2186">
        <f t="shared" si="1102"/>
        <v>0</v>
      </c>
      <c r="AZ507" s="2188">
        <f>AZ167*AZ389</f>
        <v>0</v>
      </c>
      <c r="BA507" s="2188">
        <f>BA167*$O$389</f>
        <v>0</v>
      </c>
      <c r="BB507" s="2186">
        <f t="shared" si="1103"/>
        <v>0</v>
      </c>
      <c r="BC507" s="2188">
        <f>BC167*BC389</f>
        <v>0</v>
      </c>
      <c r="BD507" s="2188">
        <f>BD167*$O$389</f>
        <v>0</v>
      </c>
      <c r="BE507" s="2186">
        <f t="shared" si="1104"/>
        <v>0</v>
      </c>
      <c r="BF507" s="2188">
        <f>BF167*BF389</f>
        <v>0</v>
      </c>
      <c r="BG507" s="2188">
        <f>BG167*$O$389</f>
        <v>0</v>
      </c>
      <c r="BH507" s="2186">
        <f t="shared" si="1105"/>
        <v>0</v>
      </c>
      <c r="BI507" s="2188">
        <f>BI167*BI389</f>
        <v>0</v>
      </c>
      <c r="BJ507" s="2188">
        <f>BJ167*$O$389</f>
        <v>0</v>
      </c>
      <c r="BK507" s="2186">
        <f t="shared" si="1106"/>
        <v>0</v>
      </c>
      <c r="BL507" s="2188">
        <f>BL167*BL389</f>
        <v>0</v>
      </c>
      <c r="BM507" s="2188">
        <f>BM167*$O$389</f>
        <v>0</v>
      </c>
      <c r="BN507" s="2186">
        <f t="shared" si="1107"/>
        <v>0</v>
      </c>
      <c r="BO507" s="2188">
        <f>BO167*BO389</f>
        <v>0</v>
      </c>
      <c r="BP507" s="2188">
        <f>BP167*$O$389</f>
        <v>0</v>
      </c>
      <c r="BQ507" s="2186">
        <f t="shared" si="1108"/>
        <v>0</v>
      </c>
    </row>
    <row r="508" spans="3:69" s="2087" customFormat="1">
      <c r="C508" s="2194" t="s">
        <v>2663</v>
      </c>
      <c r="D508" s="2283" t="s">
        <v>2227</v>
      </c>
      <c r="E508" s="2284" t="s">
        <v>1833</v>
      </c>
      <c r="F508" s="2176"/>
      <c r="G508" s="2177"/>
      <c r="H508" s="2177"/>
      <c r="I508" s="2178">
        <f t="shared" si="1014"/>
        <v>0</v>
      </c>
      <c r="J508" s="2176"/>
      <c r="K508" s="2252">
        <f t="shared" si="1010"/>
        <v>42606.078514229994</v>
      </c>
      <c r="L508" s="2252">
        <f t="shared" si="1010"/>
        <v>0</v>
      </c>
      <c r="M508" s="2255">
        <f t="shared" si="1011"/>
        <v>-42606.078514229994</v>
      </c>
      <c r="N508" s="2179">
        <f>N168*$N$389</f>
        <v>21030.710389699994</v>
      </c>
      <c r="O508" s="2179">
        <f>O168*$O$389</f>
        <v>0</v>
      </c>
      <c r="P508" s="2178">
        <f t="shared" si="1015"/>
        <v>-21030.710389699994</v>
      </c>
      <c r="Q508" s="2184">
        <f>Q168*$Q$389</f>
        <v>15319.65050048</v>
      </c>
      <c r="R508" s="2179">
        <f>R168*$R$389</f>
        <v>0</v>
      </c>
      <c r="S508" s="2180">
        <f t="shared" si="1016"/>
        <v>-15319.65050048</v>
      </c>
      <c r="T508" s="2251">
        <f t="shared" si="863"/>
        <v>36350.360890179996</v>
      </c>
      <c r="U508" s="2252">
        <f t="shared" si="863"/>
        <v>0</v>
      </c>
      <c r="V508" s="2253">
        <f t="shared" si="839"/>
        <v>-36350.360890179996</v>
      </c>
      <c r="W508" s="2187">
        <f>W168*$W$389</f>
        <v>2456.6572732499999</v>
      </c>
      <c r="X508" s="2179">
        <f>X168*$X$389</f>
        <v>0</v>
      </c>
      <c r="Y508" s="2183">
        <f t="shared" si="1012"/>
        <v>-2456.6572732499999</v>
      </c>
      <c r="Z508" s="2254">
        <f t="shared" si="1032"/>
        <v>38807.018163429995</v>
      </c>
      <c r="AA508" s="2252">
        <f t="shared" si="1032"/>
        <v>0</v>
      </c>
      <c r="AB508" s="2255">
        <f t="shared" si="1109"/>
        <v>-38807.018163429995</v>
      </c>
      <c r="AC508" s="2184">
        <f>AC168*$AC$389</f>
        <v>3799.0603508000004</v>
      </c>
      <c r="AD508" s="2179">
        <f>AD168*$AD$389</f>
        <v>0</v>
      </c>
      <c r="AE508" s="2180">
        <f t="shared" si="1013"/>
        <v>-3799.0603508000004</v>
      </c>
      <c r="AF508" s="2277"/>
      <c r="AG508" s="2114"/>
      <c r="AH508" s="2188">
        <f>AH168*AH389</f>
        <v>0</v>
      </c>
      <c r="AI508" s="2188">
        <f>AI168*$O$389</f>
        <v>0</v>
      </c>
      <c r="AJ508" s="2186">
        <f t="shared" si="1097"/>
        <v>0</v>
      </c>
      <c r="AK508" s="2188">
        <f>AK168*AK389</f>
        <v>7407.9504236599996</v>
      </c>
      <c r="AL508" s="2188">
        <f>AL168*$O$389</f>
        <v>0</v>
      </c>
      <c r="AM508" s="2186">
        <f t="shared" si="1098"/>
        <v>-7407.9504236599996</v>
      </c>
      <c r="AN508" s="2188">
        <f>AN168*AN389</f>
        <v>7781.0184852999982</v>
      </c>
      <c r="AO508" s="2188">
        <f>AO168*$O$389</f>
        <v>0</v>
      </c>
      <c r="AP508" s="2186">
        <f t="shared" si="1099"/>
        <v>-7781.0184852999982</v>
      </c>
      <c r="AQ508" s="2188">
        <f>AQ168*AQ389</f>
        <v>5538.4077747599995</v>
      </c>
      <c r="AR508" s="2188">
        <f>AR168*$O$389</f>
        <v>0</v>
      </c>
      <c r="AS508" s="2186">
        <f t="shared" si="1100"/>
        <v>-5538.4077747599995</v>
      </c>
      <c r="AT508" s="2188">
        <f>AT168*AT389</f>
        <v>5489.1290930200003</v>
      </c>
      <c r="AU508" s="2188">
        <f>AU168*$O$389</f>
        <v>0</v>
      </c>
      <c r="AV508" s="2186">
        <f t="shared" si="1101"/>
        <v>-5489.1290930200003</v>
      </c>
      <c r="AW508" s="2188">
        <f>AW168*AW389</f>
        <v>4292.1136326999995</v>
      </c>
      <c r="AX508" s="2188">
        <f>AX168*$O$389</f>
        <v>0</v>
      </c>
      <c r="AY508" s="2186">
        <f t="shared" si="1102"/>
        <v>-4292.1136326999995</v>
      </c>
      <c r="AZ508" s="2188">
        <f>AZ168*AZ389</f>
        <v>739.63101139999992</v>
      </c>
      <c r="BA508" s="2188">
        <f>BA168*$O$389</f>
        <v>0</v>
      </c>
      <c r="BB508" s="2186">
        <f t="shared" si="1103"/>
        <v>-739.63101139999992</v>
      </c>
      <c r="BC508" s="2188">
        <f>BC168*BC389</f>
        <v>764.48521360000007</v>
      </c>
      <c r="BD508" s="2188">
        <f>BD168*$O$389</f>
        <v>0</v>
      </c>
      <c r="BE508" s="2186">
        <f t="shared" si="1104"/>
        <v>-764.48521360000007</v>
      </c>
      <c r="BF508" s="2188">
        <f>BF168*BF389</f>
        <v>952.54104825000002</v>
      </c>
      <c r="BG508" s="2188">
        <f>BG168*$O$389</f>
        <v>0</v>
      </c>
      <c r="BH508" s="2186">
        <f t="shared" si="1105"/>
        <v>-952.54104825000002</v>
      </c>
      <c r="BI508" s="2188">
        <f>BI168*BI389</f>
        <v>1146.7270953499999</v>
      </c>
      <c r="BJ508" s="2188">
        <f>BJ168*$O$389</f>
        <v>0</v>
      </c>
      <c r="BK508" s="2186">
        <f t="shared" si="1106"/>
        <v>-1146.7270953499999</v>
      </c>
      <c r="BL508" s="2188">
        <f>BL168*BL389</f>
        <v>1190.1877012500001</v>
      </c>
      <c r="BM508" s="2188">
        <f>BM168*$O$389</f>
        <v>0</v>
      </c>
      <c r="BN508" s="2186">
        <f t="shared" si="1107"/>
        <v>-1190.1877012500001</v>
      </c>
      <c r="BO508" s="2188">
        <f>BO168*BO389</f>
        <v>1462.1455542000001</v>
      </c>
      <c r="BP508" s="2188">
        <f>BP168*$O$389</f>
        <v>0</v>
      </c>
      <c r="BQ508" s="2186">
        <f t="shared" si="1108"/>
        <v>-1462.1455542000001</v>
      </c>
    </row>
    <row r="509" spans="3:69" s="2087" customFormat="1">
      <c r="C509" s="2194" t="s">
        <v>2664</v>
      </c>
      <c r="D509" s="2283" t="s">
        <v>2229</v>
      </c>
      <c r="E509" s="2284" t="s">
        <v>1833</v>
      </c>
      <c r="F509" s="2176"/>
      <c r="G509" s="2177"/>
      <c r="H509" s="2177"/>
      <c r="I509" s="2186"/>
      <c r="J509" s="2176"/>
      <c r="K509" s="2252">
        <f t="shared" si="1010"/>
        <v>0</v>
      </c>
      <c r="L509" s="2252">
        <f t="shared" si="1010"/>
        <v>0</v>
      </c>
      <c r="M509" s="2255">
        <f t="shared" si="1011"/>
        <v>0</v>
      </c>
      <c r="N509" s="2177"/>
      <c r="O509" s="2177"/>
      <c r="P509" s="2186"/>
      <c r="Q509" s="2177"/>
      <c r="R509" s="2177"/>
      <c r="S509" s="2266"/>
      <c r="T509" s="2251">
        <f t="shared" si="863"/>
        <v>0</v>
      </c>
      <c r="U509" s="2252">
        <f t="shared" si="863"/>
        <v>0</v>
      </c>
      <c r="V509" s="2253">
        <f t="shared" si="839"/>
        <v>0</v>
      </c>
      <c r="W509" s="2182"/>
      <c r="X509" s="2177"/>
      <c r="Y509" s="2271"/>
      <c r="Z509" s="2254">
        <f t="shared" si="1032"/>
        <v>0</v>
      </c>
      <c r="AA509" s="2252">
        <f t="shared" si="1032"/>
        <v>0</v>
      </c>
      <c r="AB509" s="2255">
        <f t="shared" si="1109"/>
        <v>0</v>
      </c>
      <c r="AC509" s="2177"/>
      <c r="AD509" s="2177"/>
      <c r="AE509" s="2266"/>
      <c r="AF509" s="2277"/>
      <c r="AG509" s="2114"/>
      <c r="AH509" s="2177"/>
      <c r="AI509" s="2177"/>
      <c r="AJ509" s="2186"/>
      <c r="AK509" s="2177"/>
      <c r="AL509" s="2177"/>
      <c r="AM509" s="2186"/>
      <c r="AN509" s="2177"/>
      <c r="AO509" s="2177"/>
      <c r="AP509" s="2186"/>
      <c r="AQ509" s="2177"/>
      <c r="AR509" s="2177"/>
      <c r="AS509" s="2186"/>
      <c r="AT509" s="2177"/>
      <c r="AU509" s="2177"/>
      <c r="AV509" s="2186"/>
      <c r="AW509" s="2177"/>
      <c r="AX509" s="2177"/>
      <c r="AY509" s="2186"/>
      <c r="AZ509" s="2177"/>
      <c r="BA509" s="2177"/>
      <c r="BB509" s="2186"/>
      <c r="BC509" s="2177"/>
      <c r="BD509" s="2177"/>
      <c r="BE509" s="2186"/>
      <c r="BF509" s="2177"/>
      <c r="BG509" s="2177"/>
      <c r="BH509" s="2186"/>
      <c r="BI509" s="2177"/>
      <c r="BJ509" s="2177"/>
      <c r="BK509" s="2186"/>
      <c r="BL509" s="2177"/>
      <c r="BM509" s="2177"/>
      <c r="BN509" s="2186"/>
      <c r="BO509" s="2177"/>
      <c r="BP509" s="2177"/>
      <c r="BQ509" s="2186"/>
    </row>
    <row r="510" spans="3:69" s="2159" customFormat="1">
      <c r="C510" s="2256" t="s">
        <v>2665</v>
      </c>
      <c r="D510" s="2280" t="str">
        <f>D170</f>
        <v>АО "ЮРЭСК"</v>
      </c>
      <c r="E510" s="2120" t="s">
        <v>1833</v>
      </c>
      <c r="F510" s="2162"/>
      <c r="G510" s="2163">
        <f>G512+G525+G531+G537</f>
        <v>0</v>
      </c>
      <c r="H510" s="2163">
        <f>H512+H525+H531+H537</f>
        <v>0</v>
      </c>
      <c r="I510" s="2164">
        <f>H510-G510</f>
        <v>0</v>
      </c>
      <c r="J510" s="2162"/>
      <c r="K510" s="2259">
        <f t="shared" si="1010"/>
        <v>41564.232210049995</v>
      </c>
      <c r="L510" s="2259">
        <f t="shared" si="1010"/>
        <v>0</v>
      </c>
      <c r="M510" s="2262">
        <f t="shared" si="1011"/>
        <v>-41564.232210049995</v>
      </c>
      <c r="N510" s="2163">
        <f>N512+N525+N531+N537</f>
        <v>38692.096941599993</v>
      </c>
      <c r="O510" s="2163">
        <f>O512+O525+O531+O537</f>
        <v>0</v>
      </c>
      <c r="P510" s="2164">
        <f>O510-N510</f>
        <v>-38692.096941599993</v>
      </c>
      <c r="Q510" s="2163">
        <f>Q512+Q525+Q531+Q537</f>
        <v>821.93419800000004</v>
      </c>
      <c r="R510" s="2163">
        <f>R512+R525+R531+R537</f>
        <v>0</v>
      </c>
      <c r="S510" s="2166">
        <f>R510-Q510</f>
        <v>-821.93419800000004</v>
      </c>
      <c r="T510" s="2258">
        <f t="shared" si="863"/>
        <v>39514.031139599996</v>
      </c>
      <c r="U510" s="2259">
        <f t="shared" si="863"/>
        <v>0</v>
      </c>
      <c r="V510" s="2260">
        <f t="shared" si="839"/>
        <v>-39514.031139599996</v>
      </c>
      <c r="W510" s="2168">
        <f>W512+W525+W531+W537</f>
        <v>978.36429300000009</v>
      </c>
      <c r="X510" s="2163">
        <f>X512+X525+X531+X537</f>
        <v>0</v>
      </c>
      <c r="Y510" s="2169">
        <f t="shared" ref="Y510:Y583" si="1110">X510-W510</f>
        <v>-978.36429300000009</v>
      </c>
      <c r="Z510" s="2261">
        <f t="shared" si="1032"/>
        <v>40492.395432599995</v>
      </c>
      <c r="AA510" s="2259">
        <f t="shared" si="1032"/>
        <v>0</v>
      </c>
      <c r="AB510" s="2262">
        <f t="shared" si="1109"/>
        <v>-40492.395432599995</v>
      </c>
      <c r="AC510" s="2163">
        <f>AC512+AC525+AC531+AC537</f>
        <v>1071.8367774499998</v>
      </c>
      <c r="AD510" s="2163">
        <f>AD512+AD525+AD531+AD537</f>
        <v>0</v>
      </c>
      <c r="AE510" s="2166">
        <f t="shared" ref="AE510:AE583" si="1111">AD510-AC510</f>
        <v>-1071.8367774499998</v>
      </c>
      <c r="AF510" s="2281"/>
      <c r="AG510" s="2158"/>
      <c r="AH510" s="2171">
        <f>AH512+AH525+AH531+AH537</f>
        <v>74472.473656679998</v>
      </c>
      <c r="AI510" s="2171">
        <f>AI512+AI525+AI531+AI537</f>
        <v>0</v>
      </c>
      <c r="AJ510" s="2172">
        <f>AI510-AH510</f>
        <v>-74472.473656679998</v>
      </c>
      <c r="AK510" s="2171">
        <f>AK512+AK525+AK531+AK537</f>
        <v>329.44665600000002</v>
      </c>
      <c r="AL510" s="2171">
        <f>AL512+AL525+AL531+AL537</f>
        <v>0</v>
      </c>
      <c r="AM510" s="2172">
        <f>AL510-AK510</f>
        <v>-329.44665600000002</v>
      </c>
      <c r="AN510" s="2171">
        <f>AN512+AN525+AN531+AN537</f>
        <v>305.112528</v>
      </c>
      <c r="AO510" s="2171">
        <f>AO512+AO525+AO531+AO537</f>
        <v>0</v>
      </c>
      <c r="AP510" s="2172">
        <f>AO510-AN510</f>
        <v>-305.112528</v>
      </c>
      <c r="AQ510" s="2171">
        <f>AQ512+AQ525+AQ531+AQ537</f>
        <v>327.84220800000003</v>
      </c>
      <c r="AR510" s="2171">
        <f>AR512+AR525+AR531+AR537</f>
        <v>0</v>
      </c>
      <c r="AS510" s="2172">
        <f>AR510-AQ510</f>
        <v>-327.84220800000003</v>
      </c>
      <c r="AT510" s="2171">
        <f>AT512+AT525+AT531+AT537</f>
        <v>256.71168</v>
      </c>
      <c r="AU510" s="2171">
        <f>AU512+AU525+AU531+AU537</f>
        <v>0</v>
      </c>
      <c r="AV510" s="2172">
        <f>AU510-AT510</f>
        <v>-256.71168</v>
      </c>
      <c r="AW510" s="2171">
        <f>AW512+AW525+AW531+AW537</f>
        <v>237.38031000000001</v>
      </c>
      <c r="AX510" s="2171">
        <f>AX512+AX525+AX531+AX537</f>
        <v>0</v>
      </c>
      <c r="AY510" s="2172">
        <f>AX510-AW510</f>
        <v>-237.38031000000001</v>
      </c>
      <c r="AZ510" s="2171">
        <f>AZ512+AZ525+AZ531+AZ537</f>
        <v>350.10458399999999</v>
      </c>
      <c r="BA510" s="2171">
        <f>BA512+BA525+BA531+BA537</f>
        <v>0</v>
      </c>
      <c r="BB510" s="2172">
        <f>BA510-AZ510</f>
        <v>-350.10458399999999</v>
      </c>
      <c r="BC510" s="2171">
        <f>BC512+BC525+BC531+BC537</f>
        <v>317.17101719999999</v>
      </c>
      <c r="BD510" s="2171">
        <f>BD512+BD525+BD531+BD537</f>
        <v>0</v>
      </c>
      <c r="BE510" s="2172">
        <f>BD510-BC510</f>
        <v>-317.17101719999999</v>
      </c>
      <c r="BF510" s="2171">
        <f>BF512+BF525+BF531+BF537</f>
        <v>311.08869179999999</v>
      </c>
      <c r="BG510" s="2171">
        <f>BG512+BG525+BG531+BG537</f>
        <v>0</v>
      </c>
      <c r="BH510" s="2172">
        <f>BG510-BF510</f>
        <v>-311.08869179999999</v>
      </c>
      <c r="BI510" s="2171">
        <f>BI512+BI525+BI531+BI537</f>
        <v>332.28782105999994</v>
      </c>
      <c r="BJ510" s="2171">
        <f>BJ512+BJ525+BJ531+BJ537</f>
        <v>0</v>
      </c>
      <c r="BK510" s="2172">
        <f>BJ510-BI510</f>
        <v>-332.28782105999994</v>
      </c>
      <c r="BL510" s="2171">
        <f>BL512+BL525+BL531+BL537</f>
        <v>369.16006443000003</v>
      </c>
      <c r="BM510" s="2171">
        <f>BM512+BM525+BM531+BM537</f>
        <v>0</v>
      </c>
      <c r="BN510" s="2172">
        <f>BM510-BL510</f>
        <v>-369.16006443000003</v>
      </c>
      <c r="BO510" s="2171">
        <f>BO512+BO525+BO531+BO537</f>
        <v>370.38889195999997</v>
      </c>
      <c r="BP510" s="2171">
        <f>BP512+BP525+BP531+BP537</f>
        <v>0</v>
      </c>
      <c r="BQ510" s="2172">
        <f>BP510-BO510</f>
        <v>-370.38889195999997</v>
      </c>
    </row>
    <row r="511" spans="3:69" s="2087" customFormat="1">
      <c r="C511" s="2173" t="s">
        <v>2666</v>
      </c>
      <c r="D511" s="2209" t="s">
        <v>2211</v>
      </c>
      <c r="E511" s="2250" t="s">
        <v>1833</v>
      </c>
      <c r="F511" s="2176"/>
      <c r="G511" s="2177"/>
      <c r="H511" s="2177"/>
      <c r="I511" s="2178">
        <f t="shared" ref="I511:I541" si="1112">H511-G511</f>
        <v>0</v>
      </c>
      <c r="J511" s="2176"/>
      <c r="K511" s="2252">
        <f t="shared" si="1010"/>
        <v>0</v>
      </c>
      <c r="L511" s="2252">
        <f t="shared" si="1010"/>
        <v>0</v>
      </c>
      <c r="M511" s="2255">
        <f t="shared" si="1011"/>
        <v>0</v>
      </c>
      <c r="N511" s="2177"/>
      <c r="O511" s="2177"/>
      <c r="P511" s="2178">
        <f t="shared" ref="P511:P541" si="1113">O511-N511</f>
        <v>0</v>
      </c>
      <c r="Q511" s="2176"/>
      <c r="R511" s="2177"/>
      <c r="S511" s="2180">
        <f t="shared" ref="S511:S541" si="1114">R511-Q511</f>
        <v>0</v>
      </c>
      <c r="T511" s="2251">
        <f t="shared" si="863"/>
        <v>0</v>
      </c>
      <c r="U511" s="2252">
        <f t="shared" si="863"/>
        <v>0</v>
      </c>
      <c r="V511" s="2253">
        <f t="shared" si="839"/>
        <v>0</v>
      </c>
      <c r="W511" s="2182"/>
      <c r="X511" s="2177"/>
      <c r="Y511" s="2183">
        <f t="shared" si="1110"/>
        <v>0</v>
      </c>
      <c r="Z511" s="2254">
        <f t="shared" si="1032"/>
        <v>0</v>
      </c>
      <c r="AA511" s="2252">
        <f t="shared" si="1032"/>
        <v>0</v>
      </c>
      <c r="AB511" s="2255">
        <f t="shared" si="1109"/>
        <v>0</v>
      </c>
      <c r="AC511" s="2176"/>
      <c r="AD511" s="2177"/>
      <c r="AE511" s="2180">
        <f t="shared" si="1111"/>
        <v>0</v>
      </c>
      <c r="AF511" s="2277"/>
      <c r="AG511" s="2114"/>
      <c r="AH511" s="2177"/>
      <c r="AI511" s="2177"/>
      <c r="AJ511" s="2186">
        <f t="shared" ref="AJ511:AJ517" si="1115">AI511-AH511</f>
        <v>0</v>
      </c>
      <c r="AK511" s="2177"/>
      <c r="AL511" s="2177"/>
      <c r="AM511" s="2186">
        <f t="shared" ref="AM511:AM517" si="1116">AL511-AK511</f>
        <v>0</v>
      </c>
      <c r="AN511" s="2177"/>
      <c r="AO511" s="2177"/>
      <c r="AP511" s="2186">
        <f t="shared" ref="AP511:AP517" si="1117">AO511-AN511</f>
        <v>0</v>
      </c>
      <c r="AQ511" s="2177"/>
      <c r="AR511" s="2177"/>
      <c r="AS511" s="2186">
        <f t="shared" ref="AS511:AS517" si="1118">AR511-AQ511</f>
        <v>0</v>
      </c>
      <c r="AT511" s="2177"/>
      <c r="AU511" s="2177"/>
      <c r="AV511" s="2186">
        <f t="shared" ref="AV511:AV517" si="1119">AU511-AT511</f>
        <v>0</v>
      </c>
      <c r="AW511" s="2177"/>
      <c r="AX511" s="2177"/>
      <c r="AY511" s="2186">
        <f t="shared" ref="AY511:AY517" si="1120">AX511-AW511</f>
        <v>0</v>
      </c>
      <c r="AZ511" s="2177"/>
      <c r="BA511" s="2177"/>
      <c r="BB511" s="2186">
        <f t="shared" ref="BB511:BB517" si="1121">BA511-AZ511</f>
        <v>0</v>
      </c>
      <c r="BC511" s="2177"/>
      <c r="BD511" s="2177"/>
      <c r="BE511" s="2186">
        <f t="shared" ref="BE511:BE517" si="1122">BD511-BC511</f>
        <v>0</v>
      </c>
      <c r="BF511" s="2177"/>
      <c r="BG511" s="2177"/>
      <c r="BH511" s="2186">
        <f t="shared" ref="BH511:BH517" si="1123">BG511-BF511</f>
        <v>0</v>
      </c>
      <c r="BI511" s="2177"/>
      <c r="BJ511" s="2177"/>
      <c r="BK511" s="2186">
        <f t="shared" ref="BK511:BK517" si="1124">BJ511-BI511</f>
        <v>0</v>
      </c>
      <c r="BL511" s="2177"/>
      <c r="BM511" s="2177"/>
      <c r="BN511" s="2186">
        <f t="shared" ref="BN511:BN517" si="1125">BM511-BL511</f>
        <v>0</v>
      </c>
      <c r="BO511" s="2177"/>
      <c r="BP511" s="2177"/>
      <c r="BQ511" s="2186">
        <f t="shared" ref="BQ511:BQ517" si="1126">BP511-BO511</f>
        <v>0</v>
      </c>
    </row>
    <row r="512" spans="3:69" s="2087" customFormat="1">
      <c r="C512" s="2285" t="s">
        <v>2667</v>
      </c>
      <c r="D512" s="2287" t="s">
        <v>2217</v>
      </c>
      <c r="E512" s="2284" t="s">
        <v>1833</v>
      </c>
      <c r="F512" s="2176"/>
      <c r="G512" s="2179">
        <f>G513+G519</f>
        <v>0</v>
      </c>
      <c r="H512" s="2179">
        <f>H513+H519</f>
        <v>0</v>
      </c>
      <c r="I512" s="2178">
        <f t="shared" si="1112"/>
        <v>0</v>
      </c>
      <c r="J512" s="2176"/>
      <c r="K512" s="2252">
        <f t="shared" si="1010"/>
        <v>0</v>
      </c>
      <c r="L512" s="2252">
        <f t="shared" si="1010"/>
        <v>0</v>
      </c>
      <c r="M512" s="2255">
        <f t="shared" si="1011"/>
        <v>0</v>
      </c>
      <c r="N512" s="2179">
        <f>N513+N519</f>
        <v>0</v>
      </c>
      <c r="O512" s="2179">
        <f>O513+O519</f>
        <v>0</v>
      </c>
      <c r="P512" s="2178">
        <f t="shared" si="1113"/>
        <v>0</v>
      </c>
      <c r="Q512" s="2184">
        <f t="shared" ref="Q512:R512" si="1127">Q513+Q519</f>
        <v>0</v>
      </c>
      <c r="R512" s="2179">
        <f t="shared" si="1127"/>
        <v>0</v>
      </c>
      <c r="S512" s="2180">
        <f t="shared" si="1114"/>
        <v>0</v>
      </c>
      <c r="T512" s="2251">
        <f t="shared" si="863"/>
        <v>0</v>
      </c>
      <c r="U512" s="2252">
        <f t="shared" si="863"/>
        <v>0</v>
      </c>
      <c r="V512" s="2253">
        <f t="shared" si="839"/>
        <v>0</v>
      </c>
      <c r="W512" s="2187">
        <f>W513+W519</f>
        <v>0</v>
      </c>
      <c r="X512" s="2179">
        <f t="shared" ref="X512" si="1128">X513+X519</f>
        <v>0</v>
      </c>
      <c r="Y512" s="2183">
        <f t="shared" si="1110"/>
        <v>0</v>
      </c>
      <c r="Z512" s="2254">
        <f t="shared" si="1032"/>
        <v>0</v>
      </c>
      <c r="AA512" s="2252">
        <f t="shared" si="1032"/>
        <v>0</v>
      </c>
      <c r="AB512" s="2255">
        <f t="shared" si="1109"/>
        <v>0</v>
      </c>
      <c r="AC512" s="2184">
        <f>AC513+AC519</f>
        <v>0</v>
      </c>
      <c r="AD512" s="2179">
        <f t="shared" ref="AD512" si="1129">AD513+AD519</f>
        <v>0</v>
      </c>
      <c r="AE512" s="2180">
        <f t="shared" si="1111"/>
        <v>0</v>
      </c>
      <c r="AF512" s="2277"/>
      <c r="AG512" s="2114"/>
      <c r="AH512" s="2188">
        <f>AH513+AH519</f>
        <v>0</v>
      </c>
      <c r="AI512" s="2188">
        <f>AI513+AI519</f>
        <v>0</v>
      </c>
      <c r="AJ512" s="2186">
        <f t="shared" si="1115"/>
        <v>0</v>
      </c>
      <c r="AK512" s="2188">
        <f>AK513+AK519</f>
        <v>0</v>
      </c>
      <c r="AL512" s="2188">
        <f>AL513+AL519</f>
        <v>0</v>
      </c>
      <c r="AM512" s="2186">
        <f t="shared" si="1116"/>
        <v>0</v>
      </c>
      <c r="AN512" s="2188">
        <f>AN513+AN519</f>
        <v>0</v>
      </c>
      <c r="AO512" s="2188">
        <f>AO513+AO519</f>
        <v>0</v>
      </c>
      <c r="AP512" s="2186">
        <f t="shared" si="1117"/>
        <v>0</v>
      </c>
      <c r="AQ512" s="2188">
        <f>AQ513+AQ519</f>
        <v>0</v>
      </c>
      <c r="AR512" s="2188">
        <f>AR513+AR519</f>
        <v>0</v>
      </c>
      <c r="AS512" s="2186">
        <f t="shared" si="1118"/>
        <v>0</v>
      </c>
      <c r="AT512" s="2188">
        <f>AT513+AT519</f>
        <v>0</v>
      </c>
      <c r="AU512" s="2188">
        <f>AU513+AU519</f>
        <v>0</v>
      </c>
      <c r="AV512" s="2186">
        <f t="shared" si="1119"/>
        <v>0</v>
      </c>
      <c r="AW512" s="2188">
        <f>AW513+AW519</f>
        <v>0</v>
      </c>
      <c r="AX512" s="2188">
        <f>AX513+AX519</f>
        <v>0</v>
      </c>
      <c r="AY512" s="2186">
        <f t="shared" si="1120"/>
        <v>0</v>
      </c>
      <c r="AZ512" s="2188">
        <f>AZ513+AZ519</f>
        <v>0</v>
      </c>
      <c r="BA512" s="2188">
        <f>BA513+BA519</f>
        <v>0</v>
      </c>
      <c r="BB512" s="2186">
        <f t="shared" si="1121"/>
        <v>0</v>
      </c>
      <c r="BC512" s="2188">
        <f>BC513+BC519</f>
        <v>0</v>
      </c>
      <c r="BD512" s="2188">
        <f>BD513+BD519</f>
        <v>0</v>
      </c>
      <c r="BE512" s="2186">
        <f t="shared" si="1122"/>
        <v>0</v>
      </c>
      <c r="BF512" s="2188">
        <f>BF513+BF519</f>
        <v>0</v>
      </c>
      <c r="BG512" s="2188">
        <f>BG513+BG519</f>
        <v>0</v>
      </c>
      <c r="BH512" s="2186">
        <f t="shared" si="1123"/>
        <v>0</v>
      </c>
      <c r="BI512" s="2188">
        <f>BI513+BI519</f>
        <v>0</v>
      </c>
      <c r="BJ512" s="2188">
        <f>BJ513+BJ519</f>
        <v>0</v>
      </c>
      <c r="BK512" s="2186">
        <f t="shared" si="1124"/>
        <v>0</v>
      </c>
      <c r="BL512" s="2188">
        <f>BL513+BL519</f>
        <v>0</v>
      </c>
      <c r="BM512" s="2188">
        <f>BM513+BM519</f>
        <v>0</v>
      </c>
      <c r="BN512" s="2186">
        <f t="shared" si="1125"/>
        <v>0</v>
      </c>
      <c r="BO512" s="2188">
        <f>BO513+BO519</f>
        <v>0</v>
      </c>
      <c r="BP512" s="2188">
        <f>BP513+BP519</f>
        <v>0</v>
      </c>
      <c r="BQ512" s="2186">
        <f t="shared" si="1126"/>
        <v>0</v>
      </c>
    </row>
    <row r="513" spans="3:69" s="2087" customFormat="1" ht="22.5">
      <c r="C513" s="2285" t="s">
        <v>2668</v>
      </c>
      <c r="D513" s="2286" t="s">
        <v>2599</v>
      </c>
      <c r="E513" s="2284" t="s">
        <v>1833</v>
      </c>
      <c r="F513" s="2176"/>
      <c r="G513" s="2252">
        <f>G514+G515+G516+G517+G518</f>
        <v>0</v>
      </c>
      <c r="H513" s="2252">
        <f>H514+H515+H516+H517+H518</f>
        <v>0</v>
      </c>
      <c r="I513" s="2178">
        <f t="shared" si="1112"/>
        <v>0</v>
      </c>
      <c r="J513" s="2176"/>
      <c r="K513" s="2252">
        <f t="shared" si="1010"/>
        <v>0</v>
      </c>
      <c r="L513" s="2179">
        <f t="shared" si="1010"/>
        <v>0</v>
      </c>
      <c r="M513" s="2178">
        <f t="shared" si="1011"/>
        <v>0</v>
      </c>
      <c r="N513" s="2179">
        <f>N514+N515+N516+N517+N518</f>
        <v>0</v>
      </c>
      <c r="O513" s="2179">
        <f>O514+O515+O516+O517+O518</f>
        <v>0</v>
      </c>
      <c r="P513" s="2178">
        <f t="shared" si="1113"/>
        <v>0</v>
      </c>
      <c r="Q513" s="2179">
        <f>Q514+Q515+Q516+Q517+Q518</f>
        <v>0</v>
      </c>
      <c r="R513" s="2179">
        <f>R514+R515+R516+R517+R518</f>
        <v>0</v>
      </c>
      <c r="S513" s="2180">
        <f t="shared" si="1114"/>
        <v>0</v>
      </c>
      <c r="T513" s="2181">
        <f t="shared" si="863"/>
        <v>0</v>
      </c>
      <c r="U513" s="2179">
        <f t="shared" si="863"/>
        <v>0</v>
      </c>
      <c r="V513" s="2180">
        <f t="shared" si="839"/>
        <v>0</v>
      </c>
      <c r="W513" s="2187">
        <f>W514+W515+W516+W517+W518</f>
        <v>0</v>
      </c>
      <c r="X513" s="2179">
        <f>X514+X515+X516+X517+X518</f>
        <v>0</v>
      </c>
      <c r="Y513" s="2183">
        <f t="shared" si="1110"/>
        <v>0</v>
      </c>
      <c r="Z513" s="2184">
        <f t="shared" si="1032"/>
        <v>0</v>
      </c>
      <c r="AA513" s="2179">
        <f t="shared" si="1032"/>
        <v>0</v>
      </c>
      <c r="AB513" s="2178">
        <f t="shared" si="1109"/>
        <v>0</v>
      </c>
      <c r="AC513" s="2179">
        <f>AC514+AC515+AC516+AC517+AC518</f>
        <v>0</v>
      </c>
      <c r="AD513" s="2179">
        <f>AD514+AD515+AD516+AD517+AD518</f>
        <v>0</v>
      </c>
      <c r="AE513" s="2180">
        <f t="shared" si="1111"/>
        <v>0</v>
      </c>
      <c r="AF513" s="2277"/>
      <c r="AG513" s="2114"/>
      <c r="AH513" s="2188">
        <f>AH514+AH515+AH516+AH517+AH518</f>
        <v>0</v>
      </c>
      <c r="AI513" s="2188">
        <f>AI514+AI515+AI516+AI517+AI518</f>
        <v>0</v>
      </c>
      <c r="AJ513" s="2186">
        <f t="shared" si="1115"/>
        <v>0</v>
      </c>
      <c r="AK513" s="2188">
        <f>AK514+AK515+AK516+AK517+AK518</f>
        <v>0</v>
      </c>
      <c r="AL513" s="2188">
        <f>AL514+AL515+AL516+AL517+AL518</f>
        <v>0</v>
      </c>
      <c r="AM513" s="2186">
        <f t="shared" si="1116"/>
        <v>0</v>
      </c>
      <c r="AN513" s="2188">
        <f>AN514+AN515+AN516+AN517+AN518</f>
        <v>0</v>
      </c>
      <c r="AO513" s="2188">
        <f>AO514+AO515+AO516+AO517+AO518</f>
        <v>0</v>
      </c>
      <c r="AP513" s="2186">
        <f t="shared" si="1117"/>
        <v>0</v>
      </c>
      <c r="AQ513" s="2188">
        <f>AQ514+AQ515+AQ516+AQ517+AQ518</f>
        <v>0</v>
      </c>
      <c r="AR513" s="2188">
        <f>AR514+AR515+AR516+AR517+AR518</f>
        <v>0</v>
      </c>
      <c r="AS513" s="2186">
        <f t="shared" si="1118"/>
        <v>0</v>
      </c>
      <c r="AT513" s="2188">
        <f>AT514+AT515+AT516+AT517+AT518</f>
        <v>0</v>
      </c>
      <c r="AU513" s="2188">
        <f>AU514+AU515+AU516+AU517+AU518</f>
        <v>0</v>
      </c>
      <c r="AV513" s="2186">
        <f t="shared" si="1119"/>
        <v>0</v>
      </c>
      <c r="AW513" s="2188">
        <f>AW514+AW515+AW516+AW517+AW518</f>
        <v>0</v>
      </c>
      <c r="AX513" s="2188">
        <f>AX514+AX515+AX516+AX517+AX518</f>
        <v>0</v>
      </c>
      <c r="AY513" s="2186">
        <f t="shared" si="1120"/>
        <v>0</v>
      </c>
      <c r="AZ513" s="2188">
        <f>AZ514+AZ515+AZ516+AZ517+AZ518</f>
        <v>0</v>
      </c>
      <c r="BA513" s="2188">
        <f>BA514+BA515+BA516+BA517+BA518</f>
        <v>0</v>
      </c>
      <c r="BB513" s="2186">
        <f t="shared" si="1121"/>
        <v>0</v>
      </c>
      <c r="BC513" s="2188">
        <f>BC514+BC515+BC516+BC517+BC518</f>
        <v>0</v>
      </c>
      <c r="BD513" s="2188">
        <f>BD514+BD515+BD516+BD517+BD518</f>
        <v>0</v>
      </c>
      <c r="BE513" s="2186">
        <f t="shared" si="1122"/>
        <v>0</v>
      </c>
      <c r="BF513" s="2188">
        <f>BF514+BF515+BF516+BF517+BF518</f>
        <v>0</v>
      </c>
      <c r="BG513" s="2188">
        <f>BG514+BG515+BG516+BG517+BG518</f>
        <v>0</v>
      </c>
      <c r="BH513" s="2186">
        <f t="shared" si="1123"/>
        <v>0</v>
      </c>
      <c r="BI513" s="2188">
        <f>BI514+BI515+BI516+BI517+BI518</f>
        <v>0</v>
      </c>
      <c r="BJ513" s="2188">
        <f>BJ514+BJ515+BJ516+BJ517+BJ518</f>
        <v>0</v>
      </c>
      <c r="BK513" s="2186">
        <f t="shared" si="1124"/>
        <v>0</v>
      </c>
      <c r="BL513" s="2188">
        <f>BL514+BL515+BL516+BL517+BL518</f>
        <v>0</v>
      </c>
      <c r="BM513" s="2188">
        <f>BM514+BM515+BM516+BM517+BM518</f>
        <v>0</v>
      </c>
      <c r="BN513" s="2186">
        <f t="shared" si="1125"/>
        <v>0</v>
      </c>
      <c r="BO513" s="2188">
        <f>BO514+BO515+BO516+BO517+BO518</f>
        <v>0</v>
      </c>
      <c r="BP513" s="2188">
        <f>BP514+BP515+BP516+BP517+BP518</f>
        <v>0</v>
      </c>
      <c r="BQ513" s="2186">
        <f t="shared" si="1126"/>
        <v>0</v>
      </c>
    </row>
    <row r="514" spans="3:69" s="2087" customFormat="1">
      <c r="C514" s="2194" t="s">
        <v>2669</v>
      </c>
      <c r="D514" s="2283" t="s">
        <v>2221</v>
      </c>
      <c r="E514" s="2284" t="s">
        <v>1833</v>
      </c>
      <c r="F514" s="2176"/>
      <c r="G514" s="2177"/>
      <c r="H514" s="2177"/>
      <c r="I514" s="2178">
        <f t="shared" si="1112"/>
        <v>0</v>
      </c>
      <c r="J514" s="2176"/>
      <c r="K514" s="2252">
        <f t="shared" si="1010"/>
        <v>0</v>
      </c>
      <c r="L514" s="2252">
        <f t="shared" si="1010"/>
        <v>0</v>
      </c>
      <c r="M514" s="2255">
        <f t="shared" si="1011"/>
        <v>0</v>
      </c>
      <c r="N514" s="2179">
        <f>N174*$N$370/1000*3</f>
        <v>0</v>
      </c>
      <c r="O514" s="2179">
        <f>O174*$O$370/1000*3</f>
        <v>0</v>
      </c>
      <c r="P514" s="2178">
        <f t="shared" si="1113"/>
        <v>0</v>
      </c>
      <c r="Q514" s="2184">
        <f>Q174*$Q$370/1000*3</f>
        <v>0</v>
      </c>
      <c r="R514" s="2179">
        <f>R174*$R$370/1000*3</f>
        <v>0</v>
      </c>
      <c r="S514" s="2180">
        <f t="shared" si="1114"/>
        <v>0</v>
      </c>
      <c r="T514" s="2251">
        <f t="shared" si="863"/>
        <v>0</v>
      </c>
      <c r="U514" s="2252">
        <f t="shared" si="863"/>
        <v>0</v>
      </c>
      <c r="V514" s="2253">
        <f t="shared" si="839"/>
        <v>0</v>
      </c>
      <c r="W514" s="2187">
        <f>W174*$W$370/1000*3</f>
        <v>0</v>
      </c>
      <c r="X514" s="2179">
        <f>X174*$X$370/1000*3</f>
        <v>0</v>
      </c>
      <c r="Y514" s="2183">
        <f t="shared" si="1110"/>
        <v>0</v>
      </c>
      <c r="Z514" s="2254">
        <f t="shared" si="1032"/>
        <v>0</v>
      </c>
      <c r="AA514" s="2252">
        <f t="shared" si="1032"/>
        <v>0</v>
      </c>
      <c r="AB514" s="2255">
        <f t="shared" si="1109"/>
        <v>0</v>
      </c>
      <c r="AC514" s="2184">
        <f>AC174*$AC$370/1000*3</f>
        <v>0</v>
      </c>
      <c r="AD514" s="2179">
        <f>AD174*$AD$370/1000*3</f>
        <v>0</v>
      </c>
      <c r="AE514" s="2180">
        <f t="shared" si="1111"/>
        <v>0</v>
      </c>
      <c r="AF514" s="2277"/>
      <c r="AG514" s="2114"/>
      <c r="AH514" s="2188">
        <f>AH174*$N$370/1000*3</f>
        <v>0</v>
      </c>
      <c r="AI514" s="2188">
        <f>AI174*$O$370/1000*3</f>
        <v>0</v>
      </c>
      <c r="AJ514" s="2186">
        <f t="shared" si="1115"/>
        <v>0</v>
      </c>
      <c r="AK514" s="2188">
        <f>AK174*$N$370/1000*3</f>
        <v>0</v>
      </c>
      <c r="AL514" s="2188">
        <f>AL174*$O$370/1000*3</f>
        <v>0</v>
      </c>
      <c r="AM514" s="2186">
        <f t="shared" si="1116"/>
        <v>0</v>
      </c>
      <c r="AN514" s="2188">
        <f>AN174*$N$370/1000*3</f>
        <v>0</v>
      </c>
      <c r="AO514" s="2188">
        <f>AO174*$O$370/1000*3</f>
        <v>0</v>
      </c>
      <c r="AP514" s="2186">
        <f t="shared" si="1117"/>
        <v>0</v>
      </c>
      <c r="AQ514" s="2188">
        <f>AQ174*$N$370/1000*3</f>
        <v>0</v>
      </c>
      <c r="AR514" s="2188">
        <f>AR174*$O$370/1000*3</f>
        <v>0</v>
      </c>
      <c r="AS514" s="2186">
        <f t="shared" si="1118"/>
        <v>0</v>
      </c>
      <c r="AT514" s="2188">
        <f>AT174*$N$370/1000*3</f>
        <v>0</v>
      </c>
      <c r="AU514" s="2188">
        <f>AU174*$O$370/1000*3</f>
        <v>0</v>
      </c>
      <c r="AV514" s="2186">
        <f t="shared" si="1119"/>
        <v>0</v>
      </c>
      <c r="AW514" s="2188">
        <f>AW174*$N$370/1000*3</f>
        <v>0</v>
      </c>
      <c r="AX514" s="2188">
        <f>AX174*$O$370/1000*3</f>
        <v>0</v>
      </c>
      <c r="AY514" s="2186">
        <f t="shared" si="1120"/>
        <v>0</v>
      </c>
      <c r="AZ514" s="2188">
        <f>AZ174*$N$370/1000*3</f>
        <v>0</v>
      </c>
      <c r="BA514" s="2188">
        <f>BA174*$O$370/1000*3</f>
        <v>0</v>
      </c>
      <c r="BB514" s="2186">
        <f t="shared" si="1121"/>
        <v>0</v>
      </c>
      <c r="BC514" s="2188">
        <f>BC174*$N$370/1000*3</f>
        <v>0</v>
      </c>
      <c r="BD514" s="2188">
        <f>BD174*$O$370/1000*3</f>
        <v>0</v>
      </c>
      <c r="BE514" s="2186">
        <f t="shared" si="1122"/>
        <v>0</v>
      </c>
      <c r="BF514" s="2188">
        <f>BF174*$N$370/1000*3</f>
        <v>0</v>
      </c>
      <c r="BG514" s="2188">
        <f>BG174*$O$370/1000*3</f>
        <v>0</v>
      </c>
      <c r="BH514" s="2186">
        <f t="shared" si="1123"/>
        <v>0</v>
      </c>
      <c r="BI514" s="2188">
        <f>BI174*$N$370/1000*3</f>
        <v>0</v>
      </c>
      <c r="BJ514" s="2188">
        <f>BJ174*$O$370/1000*3</f>
        <v>0</v>
      </c>
      <c r="BK514" s="2186">
        <f t="shared" si="1124"/>
        <v>0</v>
      </c>
      <c r="BL514" s="2188">
        <f>BL174*$N$370/1000*3</f>
        <v>0</v>
      </c>
      <c r="BM514" s="2188">
        <f>BM174*$O$370/1000*3</f>
        <v>0</v>
      </c>
      <c r="BN514" s="2186">
        <f t="shared" si="1125"/>
        <v>0</v>
      </c>
      <c r="BO514" s="2188">
        <f>BO174*$N$370/1000*3</f>
        <v>0</v>
      </c>
      <c r="BP514" s="2188">
        <f>BP174*$O$370/1000*3</f>
        <v>0</v>
      </c>
      <c r="BQ514" s="2186">
        <f t="shared" si="1126"/>
        <v>0</v>
      </c>
    </row>
    <row r="515" spans="3:69" s="2087" customFormat="1">
      <c r="C515" s="2194" t="s">
        <v>2670</v>
      </c>
      <c r="D515" s="2283" t="s">
        <v>2223</v>
      </c>
      <c r="E515" s="2284" t="s">
        <v>1833</v>
      </c>
      <c r="F515" s="2176"/>
      <c r="G515" s="2177"/>
      <c r="H515" s="2177"/>
      <c r="I515" s="2178">
        <f t="shared" si="1112"/>
        <v>0</v>
      </c>
      <c r="J515" s="2176"/>
      <c r="K515" s="2252">
        <f t="shared" si="1010"/>
        <v>0</v>
      </c>
      <c r="L515" s="2252">
        <f t="shared" si="1010"/>
        <v>0</v>
      </c>
      <c r="M515" s="2255">
        <f t="shared" si="1011"/>
        <v>0</v>
      </c>
      <c r="N515" s="2179">
        <f>N175*$N$371/1000*3</f>
        <v>0</v>
      </c>
      <c r="O515" s="2179">
        <f>O175*$O$371/1000*3</f>
        <v>0</v>
      </c>
      <c r="P515" s="2178">
        <f t="shared" si="1113"/>
        <v>0</v>
      </c>
      <c r="Q515" s="2184">
        <f>Q175*$Q$371/1000*3</f>
        <v>0</v>
      </c>
      <c r="R515" s="2179">
        <f>R175*$R$371/1000*3</f>
        <v>0</v>
      </c>
      <c r="S515" s="2180">
        <f t="shared" si="1114"/>
        <v>0</v>
      </c>
      <c r="T515" s="2251">
        <f t="shared" si="863"/>
        <v>0</v>
      </c>
      <c r="U515" s="2252">
        <f t="shared" si="863"/>
        <v>0</v>
      </c>
      <c r="V515" s="2253">
        <f t="shared" si="839"/>
        <v>0</v>
      </c>
      <c r="W515" s="2187">
        <f>W175*$W$371/1000*3</f>
        <v>0</v>
      </c>
      <c r="X515" s="2179">
        <f>X175*$X$371/1000*3</f>
        <v>0</v>
      </c>
      <c r="Y515" s="2183">
        <f t="shared" si="1110"/>
        <v>0</v>
      </c>
      <c r="Z515" s="2254">
        <f t="shared" si="1032"/>
        <v>0</v>
      </c>
      <c r="AA515" s="2252">
        <f t="shared" si="1032"/>
        <v>0</v>
      </c>
      <c r="AB515" s="2255">
        <f t="shared" si="1109"/>
        <v>0</v>
      </c>
      <c r="AC515" s="2184">
        <f>AC175*$AC$371/1000*3</f>
        <v>0</v>
      </c>
      <c r="AD515" s="2179">
        <f>AD175*$AD$371/1000*3</f>
        <v>0</v>
      </c>
      <c r="AE515" s="2180">
        <f t="shared" si="1111"/>
        <v>0</v>
      </c>
      <c r="AF515" s="2277"/>
      <c r="AG515" s="2114"/>
      <c r="AH515" s="2188">
        <f>AH175*$N$371/1000*3</f>
        <v>0</v>
      </c>
      <c r="AI515" s="2188">
        <f>AI175*$O$371/1000*3</f>
        <v>0</v>
      </c>
      <c r="AJ515" s="2186">
        <f t="shared" si="1115"/>
        <v>0</v>
      </c>
      <c r="AK515" s="2188">
        <f>AK175*$N$371/1000*3</f>
        <v>0</v>
      </c>
      <c r="AL515" s="2188">
        <f>AL175*$O$371/1000*3</f>
        <v>0</v>
      </c>
      <c r="AM515" s="2186">
        <f t="shared" si="1116"/>
        <v>0</v>
      </c>
      <c r="AN515" s="2188">
        <f>AN175*$N$371/1000*3</f>
        <v>0</v>
      </c>
      <c r="AO515" s="2188">
        <f>AO175*$O$371/1000*3</f>
        <v>0</v>
      </c>
      <c r="AP515" s="2186">
        <f t="shared" si="1117"/>
        <v>0</v>
      </c>
      <c r="AQ515" s="2188">
        <f>AQ175*$N$371/1000*3</f>
        <v>0</v>
      </c>
      <c r="AR515" s="2188">
        <f>AR175*$O$371/1000*3</f>
        <v>0</v>
      </c>
      <c r="AS515" s="2186">
        <f t="shared" si="1118"/>
        <v>0</v>
      </c>
      <c r="AT515" s="2188">
        <f>AT175*$N$371/1000*3</f>
        <v>0</v>
      </c>
      <c r="AU515" s="2188">
        <f>AU175*$O$371/1000*3</f>
        <v>0</v>
      </c>
      <c r="AV515" s="2186">
        <f t="shared" si="1119"/>
        <v>0</v>
      </c>
      <c r="AW515" s="2188">
        <f>AW175*$N$371/1000*3</f>
        <v>0</v>
      </c>
      <c r="AX515" s="2188">
        <f>AX175*$O$371/1000*3</f>
        <v>0</v>
      </c>
      <c r="AY515" s="2186">
        <f t="shared" si="1120"/>
        <v>0</v>
      </c>
      <c r="AZ515" s="2188">
        <f>AZ175*$N$371/1000*3</f>
        <v>0</v>
      </c>
      <c r="BA515" s="2188">
        <f>BA175*$O$371/1000*3</f>
        <v>0</v>
      </c>
      <c r="BB515" s="2186">
        <f t="shared" si="1121"/>
        <v>0</v>
      </c>
      <c r="BC515" s="2188">
        <f>BC175*$N$371/1000*3</f>
        <v>0</v>
      </c>
      <c r="BD515" s="2188">
        <f>BD175*$O$371/1000*3</f>
        <v>0</v>
      </c>
      <c r="BE515" s="2186">
        <f t="shared" si="1122"/>
        <v>0</v>
      </c>
      <c r="BF515" s="2188">
        <f>BF175*$N$371/1000*3</f>
        <v>0</v>
      </c>
      <c r="BG515" s="2188">
        <f>BG175*$O$371/1000*3</f>
        <v>0</v>
      </c>
      <c r="BH515" s="2186">
        <f t="shared" si="1123"/>
        <v>0</v>
      </c>
      <c r="BI515" s="2188">
        <f>BI175*$N$371/1000*3</f>
        <v>0</v>
      </c>
      <c r="BJ515" s="2188">
        <f>BJ175*$O$371/1000*3</f>
        <v>0</v>
      </c>
      <c r="BK515" s="2186">
        <f t="shared" si="1124"/>
        <v>0</v>
      </c>
      <c r="BL515" s="2188">
        <f>BL175*$N$371/1000*3</f>
        <v>0</v>
      </c>
      <c r="BM515" s="2188">
        <f>BM175*$O$371/1000*3</f>
        <v>0</v>
      </c>
      <c r="BN515" s="2186">
        <f t="shared" si="1125"/>
        <v>0</v>
      </c>
      <c r="BO515" s="2188">
        <f>BO175*$N$371/1000*3</f>
        <v>0</v>
      </c>
      <c r="BP515" s="2188">
        <f>BP175*$O$371/1000*3</f>
        <v>0</v>
      </c>
      <c r="BQ515" s="2186">
        <f t="shared" si="1126"/>
        <v>0</v>
      </c>
    </row>
    <row r="516" spans="3:69" s="2087" customFormat="1">
      <c r="C516" s="2194" t="s">
        <v>2671</v>
      </c>
      <c r="D516" s="2283" t="s">
        <v>2225</v>
      </c>
      <c r="E516" s="2284" t="s">
        <v>1833</v>
      </c>
      <c r="F516" s="2176"/>
      <c r="G516" s="2177"/>
      <c r="H516" s="2177"/>
      <c r="I516" s="2178">
        <f t="shared" si="1112"/>
        <v>0</v>
      </c>
      <c r="J516" s="2176"/>
      <c r="K516" s="2252">
        <f t="shared" si="1010"/>
        <v>0</v>
      </c>
      <c r="L516" s="2252">
        <f t="shared" si="1010"/>
        <v>0</v>
      </c>
      <c r="M516" s="2255">
        <f t="shared" si="1011"/>
        <v>0</v>
      </c>
      <c r="N516" s="2179">
        <f>N176*$N$372/1000*3</f>
        <v>0</v>
      </c>
      <c r="O516" s="2179">
        <f>O176*$O$372/1000*3</f>
        <v>0</v>
      </c>
      <c r="P516" s="2178">
        <f t="shared" si="1113"/>
        <v>0</v>
      </c>
      <c r="Q516" s="2184">
        <f>Q176*$Q$372/1000*3</f>
        <v>0</v>
      </c>
      <c r="R516" s="2179">
        <f>R176*$R$372/1000*3</f>
        <v>0</v>
      </c>
      <c r="S516" s="2180">
        <f t="shared" si="1114"/>
        <v>0</v>
      </c>
      <c r="T516" s="2251">
        <f t="shared" si="863"/>
        <v>0</v>
      </c>
      <c r="U516" s="2252">
        <f t="shared" si="863"/>
        <v>0</v>
      </c>
      <c r="V516" s="2253">
        <f t="shared" si="839"/>
        <v>0</v>
      </c>
      <c r="W516" s="2187">
        <f>W176*$W$372/1000*3</f>
        <v>0</v>
      </c>
      <c r="X516" s="2179">
        <f>X176*$X$372/1000*3</f>
        <v>0</v>
      </c>
      <c r="Y516" s="2183">
        <f t="shared" si="1110"/>
        <v>0</v>
      </c>
      <c r="Z516" s="2254">
        <f t="shared" si="1032"/>
        <v>0</v>
      </c>
      <c r="AA516" s="2252">
        <f t="shared" si="1032"/>
        <v>0</v>
      </c>
      <c r="AB516" s="2255">
        <f t="shared" si="1109"/>
        <v>0</v>
      </c>
      <c r="AC516" s="2184">
        <f>AC176*$AC$372/1000*3</f>
        <v>0</v>
      </c>
      <c r="AD516" s="2179">
        <f>AD176*$AD$372/1000*3</f>
        <v>0</v>
      </c>
      <c r="AE516" s="2180">
        <f t="shared" si="1111"/>
        <v>0</v>
      </c>
      <c r="AF516" s="2277"/>
      <c r="AG516" s="2114"/>
      <c r="AH516" s="2188">
        <f>AH176*$N$372/1000*3</f>
        <v>0</v>
      </c>
      <c r="AI516" s="2188">
        <f>AI176*$O$372/1000*3</f>
        <v>0</v>
      </c>
      <c r="AJ516" s="2186">
        <f t="shared" si="1115"/>
        <v>0</v>
      </c>
      <c r="AK516" s="2188">
        <f>AK176*$N$372/1000*3</f>
        <v>0</v>
      </c>
      <c r="AL516" s="2188">
        <f>AL176*$O$372/1000*3</f>
        <v>0</v>
      </c>
      <c r="AM516" s="2186">
        <f t="shared" si="1116"/>
        <v>0</v>
      </c>
      <c r="AN516" s="2188">
        <f>AN176*$N$372/1000*3</f>
        <v>0</v>
      </c>
      <c r="AO516" s="2188">
        <f>AO176*$O$372/1000*3</f>
        <v>0</v>
      </c>
      <c r="AP516" s="2186">
        <f t="shared" si="1117"/>
        <v>0</v>
      </c>
      <c r="AQ516" s="2188">
        <f>AQ176*$N$372/1000*3</f>
        <v>0</v>
      </c>
      <c r="AR516" s="2188">
        <f>AR176*$O$372/1000*3</f>
        <v>0</v>
      </c>
      <c r="AS516" s="2186">
        <f t="shared" si="1118"/>
        <v>0</v>
      </c>
      <c r="AT516" s="2188">
        <f>AT176*$N$372/1000*3</f>
        <v>0</v>
      </c>
      <c r="AU516" s="2188">
        <f>AU176*$O$372/1000*3</f>
        <v>0</v>
      </c>
      <c r="AV516" s="2186">
        <f t="shared" si="1119"/>
        <v>0</v>
      </c>
      <c r="AW516" s="2188">
        <f>AW176*$N$372/1000*3</f>
        <v>0</v>
      </c>
      <c r="AX516" s="2188">
        <f>AX176*$O$372/1000*3</f>
        <v>0</v>
      </c>
      <c r="AY516" s="2186">
        <f t="shared" si="1120"/>
        <v>0</v>
      </c>
      <c r="AZ516" s="2188">
        <f>AZ176*$N$372/1000*3</f>
        <v>0</v>
      </c>
      <c r="BA516" s="2188">
        <f>BA176*$O$372/1000*3</f>
        <v>0</v>
      </c>
      <c r="BB516" s="2186">
        <f t="shared" si="1121"/>
        <v>0</v>
      </c>
      <c r="BC516" s="2188">
        <f>BC176*$N$372/1000*3</f>
        <v>0</v>
      </c>
      <c r="BD516" s="2188">
        <f>BD176*$O$372/1000*3</f>
        <v>0</v>
      </c>
      <c r="BE516" s="2186">
        <f t="shared" si="1122"/>
        <v>0</v>
      </c>
      <c r="BF516" s="2188">
        <f>BF176*$N$372/1000*3</f>
        <v>0</v>
      </c>
      <c r="BG516" s="2188">
        <f>BG176*$O$372/1000*3</f>
        <v>0</v>
      </c>
      <c r="BH516" s="2186">
        <f t="shared" si="1123"/>
        <v>0</v>
      </c>
      <c r="BI516" s="2188">
        <f>BI176*$N$372/1000*3</f>
        <v>0</v>
      </c>
      <c r="BJ516" s="2188">
        <f>BJ176*$O$372/1000*3</f>
        <v>0</v>
      </c>
      <c r="BK516" s="2186">
        <f t="shared" si="1124"/>
        <v>0</v>
      </c>
      <c r="BL516" s="2188">
        <f>BL176*$N$372/1000*3</f>
        <v>0</v>
      </c>
      <c r="BM516" s="2188">
        <f>BM176*$O$372/1000*3</f>
        <v>0</v>
      </c>
      <c r="BN516" s="2186">
        <f t="shared" si="1125"/>
        <v>0</v>
      </c>
      <c r="BO516" s="2188">
        <f>BO176*$N$372/1000*3</f>
        <v>0</v>
      </c>
      <c r="BP516" s="2188">
        <f>BP176*$O$372/1000*3</f>
        <v>0</v>
      </c>
      <c r="BQ516" s="2186">
        <f t="shared" si="1126"/>
        <v>0</v>
      </c>
    </row>
    <row r="517" spans="3:69" s="2087" customFormat="1">
      <c r="C517" s="2194" t="s">
        <v>2672</v>
      </c>
      <c r="D517" s="2283" t="s">
        <v>2227</v>
      </c>
      <c r="E517" s="2284" t="s">
        <v>1833</v>
      </c>
      <c r="F517" s="2176"/>
      <c r="G517" s="2177"/>
      <c r="H517" s="2177"/>
      <c r="I517" s="2178">
        <f t="shared" si="1112"/>
        <v>0</v>
      </c>
      <c r="J517" s="2176"/>
      <c r="K517" s="2252">
        <f t="shared" si="1010"/>
        <v>0</v>
      </c>
      <c r="L517" s="2252">
        <f t="shared" si="1010"/>
        <v>0</v>
      </c>
      <c r="M517" s="2255">
        <f t="shared" si="1011"/>
        <v>0</v>
      </c>
      <c r="N517" s="2179">
        <f>N177*$N$373/1000*3</f>
        <v>0</v>
      </c>
      <c r="O517" s="2179">
        <f>O177*$O$373/1000*3</f>
        <v>0</v>
      </c>
      <c r="P517" s="2178">
        <f t="shared" si="1113"/>
        <v>0</v>
      </c>
      <c r="Q517" s="2184">
        <f>Q177*$Q$373/1000*3</f>
        <v>0</v>
      </c>
      <c r="R517" s="2179">
        <f>R177*$R$373/1000*3</f>
        <v>0</v>
      </c>
      <c r="S517" s="2180">
        <f t="shared" si="1114"/>
        <v>0</v>
      </c>
      <c r="T517" s="2251">
        <f t="shared" si="863"/>
        <v>0</v>
      </c>
      <c r="U517" s="2252">
        <f t="shared" si="863"/>
        <v>0</v>
      </c>
      <c r="V517" s="2253">
        <f t="shared" si="839"/>
        <v>0</v>
      </c>
      <c r="W517" s="2187">
        <f>W177*$W$373/1000*3</f>
        <v>0</v>
      </c>
      <c r="X517" s="2179">
        <f>X177*$X$373/1000*3</f>
        <v>0</v>
      </c>
      <c r="Y517" s="2183">
        <f t="shared" si="1110"/>
        <v>0</v>
      </c>
      <c r="Z517" s="2254">
        <f t="shared" si="1032"/>
        <v>0</v>
      </c>
      <c r="AA517" s="2252">
        <f t="shared" si="1032"/>
        <v>0</v>
      </c>
      <c r="AB517" s="2255">
        <f t="shared" si="1109"/>
        <v>0</v>
      </c>
      <c r="AC517" s="2184">
        <f>AC177*$AC$373/1000*3</f>
        <v>0</v>
      </c>
      <c r="AD517" s="2179">
        <f>AD177*$AD$373/1000*3</f>
        <v>0</v>
      </c>
      <c r="AE517" s="2180">
        <f t="shared" si="1111"/>
        <v>0</v>
      </c>
      <c r="AF517" s="2277"/>
      <c r="AG517" s="2114"/>
      <c r="AH517" s="2188">
        <f>AH177*$N$373/1000*3</f>
        <v>0</v>
      </c>
      <c r="AI517" s="2188">
        <f>AI177*$O$373/1000*3</f>
        <v>0</v>
      </c>
      <c r="AJ517" s="2186">
        <f t="shared" si="1115"/>
        <v>0</v>
      </c>
      <c r="AK517" s="2188">
        <f>AK177*$N$373/1000*3</f>
        <v>0</v>
      </c>
      <c r="AL517" s="2188">
        <f>AL177*$O$373/1000*3</f>
        <v>0</v>
      </c>
      <c r="AM517" s="2186">
        <f t="shared" si="1116"/>
        <v>0</v>
      </c>
      <c r="AN517" s="2188">
        <f>AN177*$N$373/1000*3</f>
        <v>0</v>
      </c>
      <c r="AO517" s="2188">
        <f>AO177*$O$373/1000*3</f>
        <v>0</v>
      </c>
      <c r="AP517" s="2186">
        <f t="shared" si="1117"/>
        <v>0</v>
      </c>
      <c r="AQ517" s="2188">
        <f>AQ177*$N$373/1000*3</f>
        <v>0</v>
      </c>
      <c r="AR517" s="2188">
        <f>AR177*$O$373/1000*3</f>
        <v>0</v>
      </c>
      <c r="AS517" s="2186">
        <f t="shared" si="1118"/>
        <v>0</v>
      </c>
      <c r="AT517" s="2188">
        <f>AT177*$N$373/1000*3</f>
        <v>0</v>
      </c>
      <c r="AU517" s="2188">
        <f>AU177*$O$373/1000*3</f>
        <v>0</v>
      </c>
      <c r="AV517" s="2186">
        <f t="shared" si="1119"/>
        <v>0</v>
      </c>
      <c r="AW517" s="2188">
        <f>AW177*$N$373/1000*3</f>
        <v>0</v>
      </c>
      <c r="AX517" s="2188">
        <f>AX177*$O$373/1000*3</f>
        <v>0</v>
      </c>
      <c r="AY517" s="2186">
        <f t="shared" si="1120"/>
        <v>0</v>
      </c>
      <c r="AZ517" s="2188">
        <f>AZ177*$N$373/1000*3</f>
        <v>0</v>
      </c>
      <c r="BA517" s="2188">
        <f>BA177*$O$373/1000*3</f>
        <v>0</v>
      </c>
      <c r="BB517" s="2186">
        <f t="shared" si="1121"/>
        <v>0</v>
      </c>
      <c r="BC517" s="2188">
        <f>BC177*$N$373/1000*3</f>
        <v>0</v>
      </c>
      <c r="BD517" s="2188">
        <f>BD177*$O$373/1000*3</f>
        <v>0</v>
      </c>
      <c r="BE517" s="2186">
        <f t="shared" si="1122"/>
        <v>0</v>
      </c>
      <c r="BF517" s="2188">
        <f>BF177*$N$373/1000*3</f>
        <v>0</v>
      </c>
      <c r="BG517" s="2188">
        <f>BG177*$O$373/1000*3</f>
        <v>0</v>
      </c>
      <c r="BH517" s="2186">
        <f t="shared" si="1123"/>
        <v>0</v>
      </c>
      <c r="BI517" s="2188">
        <f>BI177*$N$373/1000*3</f>
        <v>0</v>
      </c>
      <c r="BJ517" s="2188">
        <f>BJ177*$O$373/1000*3</f>
        <v>0</v>
      </c>
      <c r="BK517" s="2186">
        <f t="shared" si="1124"/>
        <v>0</v>
      </c>
      <c r="BL517" s="2188">
        <f>BL177*$N$373/1000*3</f>
        <v>0</v>
      </c>
      <c r="BM517" s="2188">
        <f>BM177*$O$373/1000*3</f>
        <v>0</v>
      </c>
      <c r="BN517" s="2186">
        <f t="shared" si="1125"/>
        <v>0</v>
      </c>
      <c r="BO517" s="2188">
        <f>BO177*$N$373/1000*3</f>
        <v>0</v>
      </c>
      <c r="BP517" s="2188">
        <f>BP177*$O$373/1000*3</f>
        <v>0</v>
      </c>
      <c r="BQ517" s="2186">
        <f t="shared" si="1126"/>
        <v>0</v>
      </c>
    </row>
    <row r="518" spans="3:69" s="2087" customFormat="1">
      <c r="C518" s="2194" t="s">
        <v>2673</v>
      </c>
      <c r="D518" s="2283" t="s">
        <v>2229</v>
      </c>
      <c r="E518" s="2284" t="s">
        <v>1833</v>
      </c>
      <c r="F518" s="2176"/>
      <c r="G518" s="2177"/>
      <c r="H518" s="2177"/>
      <c r="I518" s="2186"/>
      <c r="J518" s="2176"/>
      <c r="K518" s="2252">
        <f t="shared" si="1010"/>
        <v>0</v>
      </c>
      <c r="L518" s="2252">
        <f t="shared" si="1010"/>
        <v>0</v>
      </c>
      <c r="M518" s="2255">
        <f t="shared" si="1011"/>
        <v>0</v>
      </c>
      <c r="N518" s="2177"/>
      <c r="O518" s="2177"/>
      <c r="P518" s="2186"/>
      <c r="Q518" s="2177"/>
      <c r="R518" s="2177"/>
      <c r="S518" s="2266"/>
      <c r="T518" s="2251">
        <f t="shared" si="863"/>
        <v>0</v>
      </c>
      <c r="U518" s="2252">
        <f t="shared" si="863"/>
        <v>0</v>
      </c>
      <c r="V518" s="2253">
        <f t="shared" si="839"/>
        <v>0</v>
      </c>
      <c r="W518" s="2182"/>
      <c r="X518" s="2177"/>
      <c r="Y518" s="2271"/>
      <c r="Z518" s="2254">
        <f t="shared" si="1032"/>
        <v>0</v>
      </c>
      <c r="AA518" s="2252">
        <f t="shared" si="1032"/>
        <v>0</v>
      </c>
      <c r="AB518" s="2255">
        <f t="shared" si="1109"/>
        <v>0</v>
      </c>
      <c r="AC518" s="2177"/>
      <c r="AD518" s="2177"/>
      <c r="AE518" s="2266"/>
      <c r="AF518" s="2277"/>
      <c r="AG518" s="2114"/>
      <c r="AH518" s="2177"/>
      <c r="AI518" s="2177"/>
      <c r="AJ518" s="2186"/>
      <c r="AK518" s="2177"/>
      <c r="AL518" s="2177"/>
      <c r="AM518" s="2186"/>
      <c r="AN518" s="2177"/>
      <c r="AO518" s="2177"/>
      <c r="AP518" s="2186"/>
      <c r="AQ518" s="2177"/>
      <c r="AR518" s="2177"/>
      <c r="AS518" s="2186"/>
      <c r="AT518" s="2177"/>
      <c r="AU518" s="2177"/>
      <c r="AV518" s="2186"/>
      <c r="AW518" s="2177"/>
      <c r="AX518" s="2177"/>
      <c r="AY518" s="2186"/>
      <c r="AZ518" s="2177"/>
      <c r="BA518" s="2177"/>
      <c r="BB518" s="2186"/>
      <c r="BC518" s="2177"/>
      <c r="BD518" s="2177"/>
      <c r="BE518" s="2186"/>
      <c r="BF518" s="2177"/>
      <c r="BG518" s="2177"/>
      <c r="BH518" s="2186"/>
      <c r="BI518" s="2177"/>
      <c r="BJ518" s="2177"/>
      <c r="BK518" s="2186"/>
      <c r="BL518" s="2177"/>
      <c r="BM518" s="2177"/>
      <c r="BN518" s="2186"/>
      <c r="BO518" s="2177"/>
      <c r="BP518" s="2177"/>
      <c r="BQ518" s="2186"/>
    </row>
    <row r="519" spans="3:69" s="2087" customFormat="1">
      <c r="C519" s="2285" t="s">
        <v>2674</v>
      </c>
      <c r="D519" s="2286" t="s">
        <v>2606</v>
      </c>
      <c r="E519" s="2284" t="s">
        <v>1833</v>
      </c>
      <c r="F519" s="2176"/>
      <c r="G519" s="2252">
        <f>G520+G521+G522+G523+G524</f>
        <v>0</v>
      </c>
      <c r="H519" s="2252">
        <f>H520+H521+H522+H523+H524</f>
        <v>0</v>
      </c>
      <c r="I519" s="2178">
        <f t="shared" ref="I519" si="1130">H519-G519</f>
        <v>0</v>
      </c>
      <c r="J519" s="2176"/>
      <c r="K519" s="2252">
        <f t="shared" si="1010"/>
        <v>0</v>
      </c>
      <c r="L519" s="2179">
        <f t="shared" si="1010"/>
        <v>0</v>
      </c>
      <c r="M519" s="2178">
        <f t="shared" si="1011"/>
        <v>0</v>
      </c>
      <c r="N519" s="2179">
        <f>N520+N521+N522+N523+N524</f>
        <v>0</v>
      </c>
      <c r="O519" s="2179">
        <f>O520+O521+O522+O523+O524</f>
        <v>0</v>
      </c>
      <c r="P519" s="2178">
        <f t="shared" ref="P519" si="1131">O519-N519</f>
        <v>0</v>
      </c>
      <c r="Q519" s="2179">
        <f>Q520+Q521+Q522+Q523+Q524</f>
        <v>0</v>
      </c>
      <c r="R519" s="2179">
        <f>R520+R521+R522+R523+R524</f>
        <v>0</v>
      </c>
      <c r="S519" s="2180">
        <f t="shared" ref="S519" si="1132">R519-Q519</f>
        <v>0</v>
      </c>
      <c r="T519" s="2181">
        <f t="shared" si="863"/>
        <v>0</v>
      </c>
      <c r="U519" s="2179">
        <f t="shared" si="863"/>
        <v>0</v>
      </c>
      <c r="V519" s="2180">
        <f t="shared" si="839"/>
        <v>0</v>
      </c>
      <c r="W519" s="2187">
        <f>W520+W521+W522+W523+W524</f>
        <v>0</v>
      </c>
      <c r="X519" s="2179">
        <f>X520+X521+X522+X523+X524</f>
        <v>0</v>
      </c>
      <c r="Y519" s="2183">
        <f t="shared" ref="Y519" si="1133">X519-W519</f>
        <v>0</v>
      </c>
      <c r="Z519" s="2184">
        <f t="shared" si="1032"/>
        <v>0</v>
      </c>
      <c r="AA519" s="2179">
        <f t="shared" si="1032"/>
        <v>0</v>
      </c>
      <c r="AB519" s="2178">
        <f t="shared" si="1109"/>
        <v>0</v>
      </c>
      <c r="AC519" s="2179">
        <f>AC520+AC521+AC522+AC523+AC524</f>
        <v>0</v>
      </c>
      <c r="AD519" s="2179">
        <f>AD520+AD521+AD522+AD523+AD524</f>
        <v>0</v>
      </c>
      <c r="AE519" s="2180">
        <f t="shared" ref="AE519" si="1134">AD519-AC519</f>
        <v>0</v>
      </c>
      <c r="AF519" s="2277"/>
      <c r="AG519" s="2114"/>
      <c r="AH519" s="2188">
        <f>AH520+AH521+AH522+AH523+AH524</f>
        <v>0</v>
      </c>
      <c r="AI519" s="2188">
        <f>AI520+AI521+AI522+AI523+AI524</f>
        <v>0</v>
      </c>
      <c r="AJ519" s="2186">
        <f t="shared" ref="AJ519:AJ523" si="1135">AI519-AH519</f>
        <v>0</v>
      </c>
      <c r="AK519" s="2188">
        <f>AK520+AK521+AK522+AK523+AK524</f>
        <v>0</v>
      </c>
      <c r="AL519" s="2188">
        <f>AL520+AL521+AL522+AL523+AL524</f>
        <v>0</v>
      </c>
      <c r="AM519" s="2186">
        <f t="shared" ref="AM519:AM523" si="1136">AL519-AK519</f>
        <v>0</v>
      </c>
      <c r="AN519" s="2188">
        <f>AN520+AN521+AN522+AN523+AN524</f>
        <v>0</v>
      </c>
      <c r="AO519" s="2188">
        <f>AO520+AO521+AO522+AO523+AO524</f>
        <v>0</v>
      </c>
      <c r="AP519" s="2186">
        <f t="shared" ref="AP519:AP523" si="1137">AO519-AN519</f>
        <v>0</v>
      </c>
      <c r="AQ519" s="2188">
        <f>AQ520+AQ521+AQ522+AQ523+AQ524</f>
        <v>0</v>
      </c>
      <c r="AR519" s="2188">
        <f>AR520+AR521+AR522+AR523+AR524</f>
        <v>0</v>
      </c>
      <c r="AS519" s="2186">
        <f t="shared" ref="AS519:AS523" si="1138">AR519-AQ519</f>
        <v>0</v>
      </c>
      <c r="AT519" s="2188">
        <f>AT520+AT521+AT522+AT523+AT524</f>
        <v>0</v>
      </c>
      <c r="AU519" s="2188">
        <f>AU520+AU521+AU522+AU523+AU524</f>
        <v>0</v>
      </c>
      <c r="AV519" s="2186">
        <f t="shared" ref="AV519:AV523" si="1139">AU519-AT519</f>
        <v>0</v>
      </c>
      <c r="AW519" s="2188">
        <f>AW520+AW521+AW522+AW523+AW524</f>
        <v>0</v>
      </c>
      <c r="AX519" s="2188">
        <f>AX520+AX521+AX522+AX523+AX524</f>
        <v>0</v>
      </c>
      <c r="AY519" s="2186">
        <f t="shared" ref="AY519:AY523" si="1140">AX519-AW519</f>
        <v>0</v>
      </c>
      <c r="AZ519" s="2188">
        <f>AZ520+AZ521+AZ522+AZ523+AZ524</f>
        <v>0</v>
      </c>
      <c r="BA519" s="2188">
        <f>BA520+BA521+BA522+BA523+BA524</f>
        <v>0</v>
      </c>
      <c r="BB519" s="2186">
        <f t="shared" ref="BB519:BB523" si="1141">BA519-AZ519</f>
        <v>0</v>
      </c>
      <c r="BC519" s="2188">
        <f>BC520+BC521+BC522+BC523+BC524</f>
        <v>0</v>
      </c>
      <c r="BD519" s="2188">
        <f>BD520+BD521+BD522+BD523+BD524</f>
        <v>0</v>
      </c>
      <c r="BE519" s="2186">
        <f t="shared" ref="BE519:BE523" si="1142">BD519-BC519</f>
        <v>0</v>
      </c>
      <c r="BF519" s="2188">
        <f>BF520+BF521+BF522+BF523+BF524</f>
        <v>0</v>
      </c>
      <c r="BG519" s="2188">
        <f>BG520+BG521+BG522+BG523+BG524</f>
        <v>0</v>
      </c>
      <c r="BH519" s="2186">
        <f t="shared" ref="BH519:BH523" si="1143">BG519-BF519</f>
        <v>0</v>
      </c>
      <c r="BI519" s="2188">
        <f>BI520+BI521+BI522+BI523+BI524</f>
        <v>0</v>
      </c>
      <c r="BJ519" s="2188">
        <f>BJ520+BJ521+BJ522+BJ523+BJ524</f>
        <v>0</v>
      </c>
      <c r="BK519" s="2186">
        <f t="shared" ref="BK519:BK523" si="1144">BJ519-BI519</f>
        <v>0</v>
      </c>
      <c r="BL519" s="2188">
        <f>BL520+BL521+BL522+BL523+BL524</f>
        <v>0</v>
      </c>
      <c r="BM519" s="2188">
        <f>BM520+BM521+BM522+BM523+BM524</f>
        <v>0</v>
      </c>
      <c r="BN519" s="2186">
        <f t="shared" ref="BN519:BN523" si="1145">BM519-BL519</f>
        <v>0</v>
      </c>
      <c r="BO519" s="2188">
        <f>BO520+BO521+BO522+BO523+BO524</f>
        <v>0</v>
      </c>
      <c r="BP519" s="2188">
        <f>BP520+BP521+BP522+BP523+BP524</f>
        <v>0</v>
      </c>
      <c r="BQ519" s="2186">
        <f t="shared" ref="BQ519:BQ523" si="1146">BP519-BO519</f>
        <v>0</v>
      </c>
    </row>
    <row r="520" spans="3:69" s="2087" customFormat="1">
      <c r="C520" s="2194" t="s">
        <v>2675</v>
      </c>
      <c r="D520" s="2283" t="s">
        <v>2221</v>
      </c>
      <c r="E520" s="2284" t="s">
        <v>1833</v>
      </c>
      <c r="F520" s="2176"/>
      <c r="G520" s="2177"/>
      <c r="H520" s="2177"/>
      <c r="I520" s="2178">
        <f t="shared" si="1112"/>
        <v>0</v>
      </c>
      <c r="J520" s="2176"/>
      <c r="K520" s="2252">
        <f t="shared" si="1010"/>
        <v>0</v>
      </c>
      <c r="L520" s="2252">
        <f t="shared" si="1010"/>
        <v>0</v>
      </c>
      <c r="M520" s="2255">
        <f t="shared" si="1011"/>
        <v>0</v>
      </c>
      <c r="N520" s="2179">
        <f>N180*$N$376</f>
        <v>0</v>
      </c>
      <c r="O520" s="2179">
        <f>O180*$O$376</f>
        <v>0</v>
      </c>
      <c r="P520" s="2178">
        <f t="shared" si="1113"/>
        <v>0</v>
      </c>
      <c r="Q520" s="2184">
        <f>Q180*$Q$376</f>
        <v>0</v>
      </c>
      <c r="R520" s="2179">
        <f>R180*$R$376</f>
        <v>0</v>
      </c>
      <c r="S520" s="2180">
        <f t="shared" si="1114"/>
        <v>0</v>
      </c>
      <c r="T520" s="2251">
        <f t="shared" ref="T520:U583" si="1147">N520+Q520</f>
        <v>0</v>
      </c>
      <c r="U520" s="2252">
        <f t="shared" si="1147"/>
        <v>0</v>
      </c>
      <c r="V520" s="2253">
        <f t="shared" ref="V520:V583" si="1148">U520-T520</f>
        <v>0</v>
      </c>
      <c r="W520" s="2187">
        <f>W180*$W$376</f>
        <v>0</v>
      </c>
      <c r="X520" s="2179">
        <f>X180*$X$376</f>
        <v>0</v>
      </c>
      <c r="Y520" s="2183">
        <f t="shared" si="1110"/>
        <v>0</v>
      </c>
      <c r="Z520" s="2254">
        <f t="shared" si="1032"/>
        <v>0</v>
      </c>
      <c r="AA520" s="2252">
        <f t="shared" si="1032"/>
        <v>0</v>
      </c>
      <c r="AB520" s="2255">
        <f t="shared" si="1109"/>
        <v>0</v>
      </c>
      <c r="AC520" s="2184">
        <f>AC180*$AC$376</f>
        <v>0</v>
      </c>
      <c r="AD520" s="2179">
        <f>AD180*$AD$376</f>
        <v>0</v>
      </c>
      <c r="AE520" s="2180">
        <f t="shared" si="1111"/>
        <v>0</v>
      </c>
      <c r="AF520" s="2277"/>
      <c r="AG520" s="2114"/>
      <c r="AH520" s="2188">
        <f>AH180*$N$376</f>
        <v>0</v>
      </c>
      <c r="AI520" s="2188">
        <f>AI180*$O$376</f>
        <v>0</v>
      </c>
      <c r="AJ520" s="2186">
        <f t="shared" si="1135"/>
        <v>0</v>
      </c>
      <c r="AK520" s="2188">
        <f>AK180*$N$376</f>
        <v>0</v>
      </c>
      <c r="AL520" s="2188">
        <f>AL180*$O$376</f>
        <v>0</v>
      </c>
      <c r="AM520" s="2186">
        <f t="shared" si="1136"/>
        <v>0</v>
      </c>
      <c r="AN520" s="2188">
        <f>AN180*$N$376</f>
        <v>0</v>
      </c>
      <c r="AO520" s="2188">
        <f>AO180*$O$376</f>
        <v>0</v>
      </c>
      <c r="AP520" s="2186">
        <f t="shared" si="1137"/>
        <v>0</v>
      </c>
      <c r="AQ520" s="2188">
        <f>AQ180*$N$376</f>
        <v>0</v>
      </c>
      <c r="AR520" s="2188">
        <f>AR180*$O$376</f>
        <v>0</v>
      </c>
      <c r="AS520" s="2186">
        <f t="shared" si="1138"/>
        <v>0</v>
      </c>
      <c r="AT520" s="2188">
        <f>AT180*$N$376</f>
        <v>0</v>
      </c>
      <c r="AU520" s="2188">
        <f>AU180*$O$376</f>
        <v>0</v>
      </c>
      <c r="AV520" s="2186">
        <f t="shared" si="1139"/>
        <v>0</v>
      </c>
      <c r="AW520" s="2188">
        <f>AW180*$N$376</f>
        <v>0</v>
      </c>
      <c r="AX520" s="2188">
        <f>AX180*$O$376</f>
        <v>0</v>
      </c>
      <c r="AY520" s="2186">
        <f t="shared" si="1140"/>
        <v>0</v>
      </c>
      <c r="AZ520" s="2188">
        <f>AZ180*$N$376</f>
        <v>0</v>
      </c>
      <c r="BA520" s="2188">
        <f>BA180*$O$376</f>
        <v>0</v>
      </c>
      <c r="BB520" s="2186">
        <f t="shared" si="1141"/>
        <v>0</v>
      </c>
      <c r="BC520" s="2188">
        <f>BC180*$N$376</f>
        <v>0</v>
      </c>
      <c r="BD520" s="2188">
        <f>BD180*$O$376</f>
        <v>0</v>
      </c>
      <c r="BE520" s="2186">
        <f t="shared" si="1142"/>
        <v>0</v>
      </c>
      <c r="BF520" s="2188">
        <f>BF180*$N$376</f>
        <v>0</v>
      </c>
      <c r="BG520" s="2188">
        <f>BG180*$O$376</f>
        <v>0</v>
      </c>
      <c r="BH520" s="2186">
        <f t="shared" si="1143"/>
        <v>0</v>
      </c>
      <c r="BI520" s="2188">
        <f>BI180*$N$376</f>
        <v>0</v>
      </c>
      <c r="BJ520" s="2188">
        <f>BJ180*$O$376</f>
        <v>0</v>
      </c>
      <c r="BK520" s="2186">
        <f t="shared" si="1144"/>
        <v>0</v>
      </c>
      <c r="BL520" s="2188">
        <f>BL180*$N$376</f>
        <v>0</v>
      </c>
      <c r="BM520" s="2188">
        <f>BM180*$O$376</f>
        <v>0</v>
      </c>
      <c r="BN520" s="2186">
        <f t="shared" si="1145"/>
        <v>0</v>
      </c>
      <c r="BO520" s="2188">
        <f>BO180*$N$376</f>
        <v>0</v>
      </c>
      <c r="BP520" s="2188">
        <f>BP180*$O$376</f>
        <v>0</v>
      </c>
      <c r="BQ520" s="2186">
        <f t="shared" si="1146"/>
        <v>0</v>
      </c>
    </row>
    <row r="521" spans="3:69" s="2087" customFormat="1">
      <c r="C521" s="2194" t="s">
        <v>2676</v>
      </c>
      <c r="D521" s="2283" t="s">
        <v>2223</v>
      </c>
      <c r="E521" s="2284" t="s">
        <v>1833</v>
      </c>
      <c r="F521" s="2176"/>
      <c r="G521" s="2177"/>
      <c r="H521" s="2177"/>
      <c r="I521" s="2178">
        <f t="shared" si="1112"/>
        <v>0</v>
      </c>
      <c r="J521" s="2176"/>
      <c r="K521" s="2252">
        <f t="shared" si="1010"/>
        <v>0</v>
      </c>
      <c r="L521" s="2252">
        <f t="shared" si="1010"/>
        <v>0</v>
      </c>
      <c r="M521" s="2255">
        <f t="shared" si="1011"/>
        <v>0</v>
      </c>
      <c r="N521" s="2179">
        <f>N181*$N$377</f>
        <v>0</v>
      </c>
      <c r="O521" s="2179">
        <f>O181*$O$377</f>
        <v>0</v>
      </c>
      <c r="P521" s="2178">
        <f t="shared" si="1113"/>
        <v>0</v>
      </c>
      <c r="Q521" s="2184">
        <f>Q181*$Q$377</f>
        <v>0</v>
      </c>
      <c r="R521" s="2179">
        <f>R181*$R$377</f>
        <v>0</v>
      </c>
      <c r="S521" s="2180">
        <f t="shared" si="1114"/>
        <v>0</v>
      </c>
      <c r="T521" s="2251">
        <f t="shared" si="1147"/>
        <v>0</v>
      </c>
      <c r="U521" s="2252">
        <f t="shared" si="1147"/>
        <v>0</v>
      </c>
      <c r="V521" s="2253">
        <f t="shared" si="1148"/>
        <v>0</v>
      </c>
      <c r="W521" s="2187">
        <f>W181*$W$377</f>
        <v>0</v>
      </c>
      <c r="X521" s="2179">
        <f>X181*$X$377</f>
        <v>0</v>
      </c>
      <c r="Y521" s="2183">
        <f t="shared" si="1110"/>
        <v>0</v>
      </c>
      <c r="Z521" s="2254">
        <f t="shared" si="1032"/>
        <v>0</v>
      </c>
      <c r="AA521" s="2252">
        <f t="shared" si="1032"/>
        <v>0</v>
      </c>
      <c r="AB521" s="2255">
        <f t="shared" si="1109"/>
        <v>0</v>
      </c>
      <c r="AC521" s="2184">
        <f>AC181*$AC$377</f>
        <v>0</v>
      </c>
      <c r="AD521" s="2179">
        <f>AD181*$AD$377</f>
        <v>0</v>
      </c>
      <c r="AE521" s="2180">
        <f t="shared" si="1111"/>
        <v>0</v>
      </c>
      <c r="AF521" s="2277"/>
      <c r="AG521" s="2114"/>
      <c r="AH521" s="2188">
        <f>AH181*$N$377</f>
        <v>0</v>
      </c>
      <c r="AI521" s="2188">
        <f>AI181*$O$377</f>
        <v>0</v>
      </c>
      <c r="AJ521" s="2186">
        <f t="shared" si="1135"/>
        <v>0</v>
      </c>
      <c r="AK521" s="2188">
        <f>AK181*$N$377</f>
        <v>0</v>
      </c>
      <c r="AL521" s="2188">
        <f>AL181*$O$377</f>
        <v>0</v>
      </c>
      <c r="AM521" s="2186">
        <f t="shared" si="1136"/>
        <v>0</v>
      </c>
      <c r="AN521" s="2188">
        <f>AN181*$N$377</f>
        <v>0</v>
      </c>
      <c r="AO521" s="2188">
        <f>AO181*$O$377</f>
        <v>0</v>
      </c>
      <c r="AP521" s="2186">
        <f t="shared" si="1137"/>
        <v>0</v>
      </c>
      <c r="AQ521" s="2188">
        <f>AQ181*$N$377</f>
        <v>0</v>
      </c>
      <c r="AR521" s="2188">
        <f>AR181*$O$377</f>
        <v>0</v>
      </c>
      <c r="AS521" s="2186">
        <f t="shared" si="1138"/>
        <v>0</v>
      </c>
      <c r="AT521" s="2188">
        <f>AT181*$N$377</f>
        <v>0</v>
      </c>
      <c r="AU521" s="2188">
        <f>AU181*$O$377</f>
        <v>0</v>
      </c>
      <c r="AV521" s="2186">
        <f t="shared" si="1139"/>
        <v>0</v>
      </c>
      <c r="AW521" s="2188">
        <f>AW181*$N$377</f>
        <v>0</v>
      </c>
      <c r="AX521" s="2188">
        <f>AX181*$O$377</f>
        <v>0</v>
      </c>
      <c r="AY521" s="2186">
        <f t="shared" si="1140"/>
        <v>0</v>
      </c>
      <c r="AZ521" s="2188">
        <f>AZ181*$N$377</f>
        <v>0</v>
      </c>
      <c r="BA521" s="2188">
        <f>BA181*$O$377</f>
        <v>0</v>
      </c>
      <c r="BB521" s="2186">
        <f t="shared" si="1141"/>
        <v>0</v>
      </c>
      <c r="BC521" s="2188">
        <f>BC181*$N$377</f>
        <v>0</v>
      </c>
      <c r="BD521" s="2188">
        <f>BD181*$O$377</f>
        <v>0</v>
      </c>
      <c r="BE521" s="2186">
        <f t="shared" si="1142"/>
        <v>0</v>
      </c>
      <c r="BF521" s="2188">
        <f>BF181*$N$377</f>
        <v>0</v>
      </c>
      <c r="BG521" s="2188">
        <f>BG181*$O$377</f>
        <v>0</v>
      </c>
      <c r="BH521" s="2186">
        <f t="shared" si="1143"/>
        <v>0</v>
      </c>
      <c r="BI521" s="2188">
        <f>BI181*$N$377</f>
        <v>0</v>
      </c>
      <c r="BJ521" s="2188">
        <f>BJ181*$O$377</f>
        <v>0</v>
      </c>
      <c r="BK521" s="2186">
        <f t="shared" si="1144"/>
        <v>0</v>
      </c>
      <c r="BL521" s="2188">
        <f>BL181*$N$377</f>
        <v>0</v>
      </c>
      <c r="BM521" s="2188">
        <f>BM181*$O$377</f>
        <v>0</v>
      </c>
      <c r="BN521" s="2186">
        <f t="shared" si="1145"/>
        <v>0</v>
      </c>
      <c r="BO521" s="2188">
        <f>BO181*$N$377</f>
        <v>0</v>
      </c>
      <c r="BP521" s="2188">
        <f>BP181*$O$377</f>
        <v>0</v>
      </c>
      <c r="BQ521" s="2186">
        <f t="shared" si="1146"/>
        <v>0</v>
      </c>
    </row>
    <row r="522" spans="3:69" s="2087" customFormat="1">
      <c r="C522" s="2194" t="s">
        <v>2677</v>
      </c>
      <c r="D522" s="2283" t="s">
        <v>2225</v>
      </c>
      <c r="E522" s="2284" t="s">
        <v>1833</v>
      </c>
      <c r="F522" s="2176"/>
      <c r="G522" s="2177"/>
      <c r="H522" s="2177"/>
      <c r="I522" s="2178">
        <f t="shared" si="1112"/>
        <v>0</v>
      </c>
      <c r="J522" s="2176"/>
      <c r="K522" s="2252">
        <f t="shared" si="1010"/>
        <v>0</v>
      </c>
      <c r="L522" s="2252">
        <f t="shared" si="1010"/>
        <v>0</v>
      </c>
      <c r="M522" s="2255">
        <f t="shared" si="1011"/>
        <v>0</v>
      </c>
      <c r="N522" s="2179">
        <f>N182*$N$378</f>
        <v>0</v>
      </c>
      <c r="O522" s="2179">
        <f>O182*$O$378</f>
        <v>0</v>
      </c>
      <c r="P522" s="2178">
        <f t="shared" si="1113"/>
        <v>0</v>
      </c>
      <c r="Q522" s="2184">
        <f>Q182*$Q$378</f>
        <v>0</v>
      </c>
      <c r="R522" s="2179">
        <f>R182*$R$378</f>
        <v>0</v>
      </c>
      <c r="S522" s="2180">
        <f t="shared" si="1114"/>
        <v>0</v>
      </c>
      <c r="T522" s="2251">
        <f t="shared" si="1147"/>
        <v>0</v>
      </c>
      <c r="U522" s="2252">
        <f t="shared" si="1147"/>
        <v>0</v>
      </c>
      <c r="V522" s="2253">
        <f t="shared" si="1148"/>
        <v>0</v>
      </c>
      <c r="W522" s="2187">
        <f>W182*$W$378</f>
        <v>0</v>
      </c>
      <c r="X522" s="2179">
        <f>X182*$X$378</f>
        <v>0</v>
      </c>
      <c r="Y522" s="2183">
        <f t="shared" si="1110"/>
        <v>0</v>
      </c>
      <c r="Z522" s="2254">
        <f t="shared" si="1032"/>
        <v>0</v>
      </c>
      <c r="AA522" s="2252">
        <f t="shared" si="1032"/>
        <v>0</v>
      </c>
      <c r="AB522" s="2255">
        <f t="shared" si="1109"/>
        <v>0</v>
      </c>
      <c r="AC522" s="2184">
        <f>AC182*$AC$378</f>
        <v>0</v>
      </c>
      <c r="AD522" s="2179">
        <f>AD182*$AD$378</f>
        <v>0</v>
      </c>
      <c r="AE522" s="2180">
        <f t="shared" si="1111"/>
        <v>0</v>
      </c>
      <c r="AF522" s="2277"/>
      <c r="AG522" s="2114"/>
      <c r="AH522" s="2188">
        <f>AH182*$N$378</f>
        <v>0</v>
      </c>
      <c r="AI522" s="2188">
        <f>AI182*$O$378</f>
        <v>0</v>
      </c>
      <c r="AJ522" s="2186">
        <f t="shared" si="1135"/>
        <v>0</v>
      </c>
      <c r="AK522" s="2188">
        <f>AK182*$N$378</f>
        <v>0</v>
      </c>
      <c r="AL522" s="2188">
        <f>AL182*$O$378</f>
        <v>0</v>
      </c>
      <c r="AM522" s="2186">
        <f t="shared" si="1136"/>
        <v>0</v>
      </c>
      <c r="AN522" s="2188">
        <f>AN182*$N$378</f>
        <v>0</v>
      </c>
      <c r="AO522" s="2188">
        <f>AO182*$O$378</f>
        <v>0</v>
      </c>
      <c r="AP522" s="2186">
        <f t="shared" si="1137"/>
        <v>0</v>
      </c>
      <c r="AQ522" s="2188">
        <f>AQ182*$N$378</f>
        <v>0</v>
      </c>
      <c r="AR522" s="2188">
        <f>AR182*$O$378</f>
        <v>0</v>
      </c>
      <c r="AS522" s="2186">
        <f t="shared" si="1138"/>
        <v>0</v>
      </c>
      <c r="AT522" s="2188">
        <f>AT182*$N$378</f>
        <v>0</v>
      </c>
      <c r="AU522" s="2188">
        <f>AU182*$O$378</f>
        <v>0</v>
      </c>
      <c r="AV522" s="2186">
        <f t="shared" si="1139"/>
        <v>0</v>
      </c>
      <c r="AW522" s="2188">
        <f>AW182*$N$378</f>
        <v>0</v>
      </c>
      <c r="AX522" s="2188">
        <f>AX182*$O$378</f>
        <v>0</v>
      </c>
      <c r="AY522" s="2186">
        <f t="shared" si="1140"/>
        <v>0</v>
      </c>
      <c r="AZ522" s="2188">
        <f>AZ182*$N$378</f>
        <v>0</v>
      </c>
      <c r="BA522" s="2188">
        <f>BA182*$O$378</f>
        <v>0</v>
      </c>
      <c r="BB522" s="2186">
        <f t="shared" si="1141"/>
        <v>0</v>
      </c>
      <c r="BC522" s="2188">
        <f>BC182*$N$378</f>
        <v>0</v>
      </c>
      <c r="BD522" s="2188">
        <f>BD182*$O$378</f>
        <v>0</v>
      </c>
      <c r="BE522" s="2186">
        <f t="shared" si="1142"/>
        <v>0</v>
      </c>
      <c r="BF522" s="2188">
        <f>BF182*$N$378</f>
        <v>0</v>
      </c>
      <c r="BG522" s="2188">
        <f>BG182*$O$378</f>
        <v>0</v>
      </c>
      <c r="BH522" s="2186">
        <f t="shared" si="1143"/>
        <v>0</v>
      </c>
      <c r="BI522" s="2188">
        <f>BI182*$N$378</f>
        <v>0</v>
      </c>
      <c r="BJ522" s="2188">
        <f>BJ182*$O$378</f>
        <v>0</v>
      </c>
      <c r="BK522" s="2186">
        <f t="shared" si="1144"/>
        <v>0</v>
      </c>
      <c r="BL522" s="2188">
        <f>BL182*$N$378</f>
        <v>0</v>
      </c>
      <c r="BM522" s="2188">
        <f>BM182*$O$378</f>
        <v>0</v>
      </c>
      <c r="BN522" s="2186">
        <f t="shared" si="1145"/>
        <v>0</v>
      </c>
      <c r="BO522" s="2188">
        <f>BO182*$N$378</f>
        <v>0</v>
      </c>
      <c r="BP522" s="2188">
        <f>BP182*$O$378</f>
        <v>0</v>
      </c>
      <c r="BQ522" s="2186">
        <f t="shared" si="1146"/>
        <v>0</v>
      </c>
    </row>
    <row r="523" spans="3:69" s="2087" customFormat="1">
      <c r="C523" s="2194" t="s">
        <v>2678</v>
      </c>
      <c r="D523" s="2283" t="s">
        <v>2227</v>
      </c>
      <c r="E523" s="2284" t="s">
        <v>1833</v>
      </c>
      <c r="F523" s="2176"/>
      <c r="G523" s="2177"/>
      <c r="H523" s="2177"/>
      <c r="I523" s="2178">
        <f t="shared" si="1112"/>
        <v>0</v>
      </c>
      <c r="J523" s="2176"/>
      <c r="K523" s="2252">
        <f t="shared" si="1010"/>
        <v>0</v>
      </c>
      <c r="L523" s="2252">
        <f t="shared" si="1010"/>
        <v>0</v>
      </c>
      <c r="M523" s="2255">
        <f t="shared" si="1011"/>
        <v>0</v>
      </c>
      <c r="N523" s="2179">
        <f>N183*$N$379</f>
        <v>0</v>
      </c>
      <c r="O523" s="2179">
        <f>O183*$O$379</f>
        <v>0</v>
      </c>
      <c r="P523" s="2178">
        <f t="shared" si="1113"/>
        <v>0</v>
      </c>
      <c r="Q523" s="2184">
        <f>Q183*$Q$379</f>
        <v>0</v>
      </c>
      <c r="R523" s="2179">
        <f>R183*$R$379</f>
        <v>0</v>
      </c>
      <c r="S523" s="2180">
        <f t="shared" si="1114"/>
        <v>0</v>
      </c>
      <c r="T523" s="2251">
        <f t="shared" si="1147"/>
        <v>0</v>
      </c>
      <c r="U523" s="2252">
        <f t="shared" si="1147"/>
        <v>0</v>
      </c>
      <c r="V523" s="2253">
        <f t="shared" si="1148"/>
        <v>0</v>
      </c>
      <c r="W523" s="2187">
        <f>W183*$W$379</f>
        <v>0</v>
      </c>
      <c r="X523" s="2179">
        <f>X183*$X$379</f>
        <v>0</v>
      </c>
      <c r="Y523" s="2183">
        <f t="shared" si="1110"/>
        <v>0</v>
      </c>
      <c r="Z523" s="2254">
        <f t="shared" si="1032"/>
        <v>0</v>
      </c>
      <c r="AA523" s="2252">
        <f t="shared" si="1032"/>
        <v>0</v>
      </c>
      <c r="AB523" s="2255">
        <f t="shared" si="1109"/>
        <v>0</v>
      </c>
      <c r="AC523" s="2184">
        <f>AC183*$AC$379</f>
        <v>0</v>
      </c>
      <c r="AD523" s="2179">
        <f>AD183*$AD$379</f>
        <v>0</v>
      </c>
      <c r="AE523" s="2180">
        <f t="shared" si="1111"/>
        <v>0</v>
      </c>
      <c r="AF523" s="2277"/>
      <c r="AG523" s="2114"/>
      <c r="AH523" s="2188">
        <f>AH183*$N$379</f>
        <v>0</v>
      </c>
      <c r="AI523" s="2188">
        <f>AI183*$O$379</f>
        <v>0</v>
      </c>
      <c r="AJ523" s="2186">
        <f t="shared" si="1135"/>
        <v>0</v>
      </c>
      <c r="AK523" s="2188">
        <f>AK183*$N$379</f>
        <v>0</v>
      </c>
      <c r="AL523" s="2188">
        <f>AL183*$O$379</f>
        <v>0</v>
      </c>
      <c r="AM523" s="2186">
        <f t="shared" si="1136"/>
        <v>0</v>
      </c>
      <c r="AN523" s="2188">
        <f>AN183*$N$379</f>
        <v>0</v>
      </c>
      <c r="AO523" s="2188">
        <f>AO183*$O$379</f>
        <v>0</v>
      </c>
      <c r="AP523" s="2186">
        <f t="shared" si="1137"/>
        <v>0</v>
      </c>
      <c r="AQ523" s="2188">
        <f>AQ183*$N$379</f>
        <v>0</v>
      </c>
      <c r="AR523" s="2188">
        <f>AR183*$O$379</f>
        <v>0</v>
      </c>
      <c r="AS523" s="2186">
        <f t="shared" si="1138"/>
        <v>0</v>
      </c>
      <c r="AT523" s="2188">
        <f>AT183*$N$379</f>
        <v>0</v>
      </c>
      <c r="AU523" s="2188">
        <f>AU183*$O$379</f>
        <v>0</v>
      </c>
      <c r="AV523" s="2186">
        <f t="shared" si="1139"/>
        <v>0</v>
      </c>
      <c r="AW523" s="2188">
        <f>AW183*$N$379</f>
        <v>0</v>
      </c>
      <c r="AX523" s="2188">
        <f>AX183*$O$379</f>
        <v>0</v>
      </c>
      <c r="AY523" s="2186">
        <f t="shared" si="1140"/>
        <v>0</v>
      </c>
      <c r="AZ523" s="2188">
        <f>AZ183*$N$379</f>
        <v>0</v>
      </c>
      <c r="BA523" s="2188">
        <f>BA183*$O$379</f>
        <v>0</v>
      </c>
      <c r="BB523" s="2186">
        <f t="shared" si="1141"/>
        <v>0</v>
      </c>
      <c r="BC523" s="2188">
        <f>BC183*$N$379</f>
        <v>0</v>
      </c>
      <c r="BD523" s="2188">
        <f>BD183*$O$379</f>
        <v>0</v>
      </c>
      <c r="BE523" s="2186">
        <f t="shared" si="1142"/>
        <v>0</v>
      </c>
      <c r="BF523" s="2188">
        <f>BF183*$N$379</f>
        <v>0</v>
      </c>
      <c r="BG523" s="2188">
        <f>BG183*$O$379</f>
        <v>0</v>
      </c>
      <c r="BH523" s="2186">
        <f t="shared" si="1143"/>
        <v>0</v>
      </c>
      <c r="BI523" s="2188">
        <f>BI183*$N$379</f>
        <v>0</v>
      </c>
      <c r="BJ523" s="2188">
        <f>BJ183*$O$379</f>
        <v>0</v>
      </c>
      <c r="BK523" s="2186">
        <f t="shared" si="1144"/>
        <v>0</v>
      </c>
      <c r="BL523" s="2188">
        <f>BL183*$N$379</f>
        <v>0</v>
      </c>
      <c r="BM523" s="2188">
        <f>BM183*$O$379</f>
        <v>0</v>
      </c>
      <c r="BN523" s="2186">
        <f t="shared" si="1145"/>
        <v>0</v>
      </c>
      <c r="BO523" s="2188">
        <f>BO183*$N$379</f>
        <v>0</v>
      </c>
      <c r="BP523" s="2188">
        <f>BP183*$O$379</f>
        <v>0</v>
      </c>
      <c r="BQ523" s="2186">
        <f t="shared" si="1146"/>
        <v>0</v>
      </c>
    </row>
    <row r="524" spans="3:69" s="2087" customFormat="1">
      <c r="C524" s="2194" t="s">
        <v>2679</v>
      </c>
      <c r="D524" s="2283" t="s">
        <v>2229</v>
      </c>
      <c r="E524" s="2284" t="s">
        <v>1833</v>
      </c>
      <c r="F524" s="2176"/>
      <c r="G524" s="2177"/>
      <c r="H524" s="2177"/>
      <c r="I524" s="2186"/>
      <c r="J524" s="2176"/>
      <c r="K524" s="2252">
        <f t="shared" si="1010"/>
        <v>0</v>
      </c>
      <c r="L524" s="2252">
        <f t="shared" si="1010"/>
        <v>0</v>
      </c>
      <c r="M524" s="2255">
        <f t="shared" si="1011"/>
        <v>0</v>
      </c>
      <c r="N524" s="2177"/>
      <c r="O524" s="2177"/>
      <c r="P524" s="2186"/>
      <c r="Q524" s="2177"/>
      <c r="R524" s="2177"/>
      <c r="S524" s="2266"/>
      <c r="T524" s="2251">
        <f t="shared" si="1147"/>
        <v>0</v>
      </c>
      <c r="U524" s="2252">
        <f t="shared" si="1147"/>
        <v>0</v>
      </c>
      <c r="V524" s="2253">
        <f t="shared" si="1148"/>
        <v>0</v>
      </c>
      <c r="W524" s="2182"/>
      <c r="X524" s="2177"/>
      <c r="Y524" s="2271"/>
      <c r="Z524" s="2254">
        <f t="shared" si="1032"/>
        <v>0</v>
      </c>
      <c r="AA524" s="2252">
        <f t="shared" si="1032"/>
        <v>0</v>
      </c>
      <c r="AB524" s="2255">
        <f t="shared" si="1109"/>
        <v>0</v>
      </c>
      <c r="AC524" s="2177"/>
      <c r="AD524" s="2177"/>
      <c r="AE524" s="2266"/>
      <c r="AF524" s="2277"/>
      <c r="AG524" s="2114"/>
      <c r="AH524" s="2177"/>
      <c r="AI524" s="2177"/>
      <c r="AJ524" s="2186"/>
      <c r="AK524" s="2177"/>
      <c r="AL524" s="2177"/>
      <c r="AM524" s="2186"/>
      <c r="AN524" s="2177"/>
      <c r="AO524" s="2177"/>
      <c r="AP524" s="2186"/>
      <c r="AQ524" s="2177"/>
      <c r="AR524" s="2177"/>
      <c r="AS524" s="2186"/>
      <c r="AT524" s="2177"/>
      <c r="AU524" s="2177"/>
      <c r="AV524" s="2186"/>
      <c r="AW524" s="2177"/>
      <c r="AX524" s="2177"/>
      <c r="AY524" s="2186"/>
      <c r="AZ524" s="2177"/>
      <c r="BA524" s="2177"/>
      <c r="BB524" s="2186"/>
      <c r="BC524" s="2177"/>
      <c r="BD524" s="2177"/>
      <c r="BE524" s="2186"/>
      <c r="BF524" s="2177"/>
      <c r="BG524" s="2177"/>
      <c r="BH524" s="2186"/>
      <c r="BI524" s="2177"/>
      <c r="BJ524" s="2177"/>
      <c r="BK524" s="2186"/>
      <c r="BL524" s="2177"/>
      <c r="BM524" s="2177"/>
      <c r="BN524" s="2186"/>
      <c r="BO524" s="2177"/>
      <c r="BP524" s="2177"/>
      <c r="BQ524" s="2186"/>
    </row>
    <row r="525" spans="3:69" s="2087" customFormat="1">
      <c r="C525" s="2285" t="s">
        <v>2680</v>
      </c>
      <c r="D525" s="2287" t="s">
        <v>2238</v>
      </c>
      <c r="E525" s="2284" t="s">
        <v>1833</v>
      </c>
      <c r="F525" s="2176"/>
      <c r="G525" s="2252">
        <f>G526+G527+G528+G529+G530</f>
        <v>0</v>
      </c>
      <c r="H525" s="2252">
        <f>H526+H527+H528+H529+H530</f>
        <v>0</v>
      </c>
      <c r="I525" s="2178">
        <f t="shared" ref="I525" si="1149">H525-G525</f>
        <v>0</v>
      </c>
      <c r="J525" s="2176"/>
      <c r="K525" s="2252">
        <f t="shared" si="1010"/>
        <v>41564.232210049995</v>
      </c>
      <c r="L525" s="2179">
        <f t="shared" si="1010"/>
        <v>0</v>
      </c>
      <c r="M525" s="2178">
        <f t="shared" si="1011"/>
        <v>-41564.232210049995</v>
      </c>
      <c r="N525" s="2179">
        <f>N526+N527+N528+N529+N530</f>
        <v>38692.096941599993</v>
      </c>
      <c r="O525" s="2179">
        <f>O526+O527+O528+O529+O530</f>
        <v>0</v>
      </c>
      <c r="P525" s="2178">
        <f t="shared" ref="P525" si="1150">O525-N525</f>
        <v>-38692.096941599993</v>
      </c>
      <c r="Q525" s="2179">
        <f>Q526+Q527+Q528+Q529+Q530</f>
        <v>821.93419800000004</v>
      </c>
      <c r="R525" s="2179">
        <f>R526+R527+R528+R529+R530</f>
        <v>0</v>
      </c>
      <c r="S525" s="2180">
        <f t="shared" ref="S525" si="1151">R525-Q525</f>
        <v>-821.93419800000004</v>
      </c>
      <c r="T525" s="2181">
        <f t="shared" si="1147"/>
        <v>39514.031139599996</v>
      </c>
      <c r="U525" s="2179">
        <f t="shared" si="1147"/>
        <v>0</v>
      </c>
      <c r="V525" s="2180">
        <f t="shared" si="1148"/>
        <v>-39514.031139599996</v>
      </c>
      <c r="W525" s="2187">
        <f>W526+W527+W528+W529+W530</f>
        <v>978.36429300000009</v>
      </c>
      <c r="X525" s="2179">
        <f>X526+X527+X528+X529+X530</f>
        <v>0</v>
      </c>
      <c r="Y525" s="2183">
        <f t="shared" ref="Y525" si="1152">X525-W525</f>
        <v>-978.36429300000009</v>
      </c>
      <c r="Z525" s="2184">
        <f t="shared" si="1032"/>
        <v>40492.395432599995</v>
      </c>
      <c r="AA525" s="2179">
        <f t="shared" si="1032"/>
        <v>0</v>
      </c>
      <c r="AB525" s="2178">
        <f t="shared" si="1109"/>
        <v>-40492.395432599995</v>
      </c>
      <c r="AC525" s="2179">
        <f>AC526+AC527+AC528+AC529+AC530</f>
        <v>1071.8367774499998</v>
      </c>
      <c r="AD525" s="2179">
        <f>AD526+AD527+AD528+AD529+AD530</f>
        <v>0</v>
      </c>
      <c r="AE525" s="2180">
        <f t="shared" ref="AE525" si="1153">AD525-AC525</f>
        <v>-1071.8367774499998</v>
      </c>
      <c r="AF525" s="2277"/>
      <c r="AG525" s="2114"/>
      <c r="AH525" s="2188">
        <f>AH526+AH527+AH528+AH529+AH530</f>
        <v>74472.473656679998</v>
      </c>
      <c r="AI525" s="2188">
        <f>AI526+AI527+AI528+AI529+AI530</f>
        <v>0</v>
      </c>
      <c r="AJ525" s="2186">
        <f t="shared" ref="AJ525:AJ529" si="1154">AI525-AH525</f>
        <v>-74472.473656679998</v>
      </c>
      <c r="AK525" s="2188">
        <f>AK526+AK527+AK528+AK529+AK530</f>
        <v>329.44665600000002</v>
      </c>
      <c r="AL525" s="2188">
        <f>AL526+AL527+AL528+AL529+AL530</f>
        <v>0</v>
      </c>
      <c r="AM525" s="2186">
        <f t="shared" ref="AM525:AM529" si="1155">AL525-AK525</f>
        <v>-329.44665600000002</v>
      </c>
      <c r="AN525" s="2188">
        <f>AN526+AN527+AN528+AN529+AN530</f>
        <v>305.112528</v>
      </c>
      <c r="AO525" s="2188">
        <f>AO526+AO527+AO528+AO529+AO530</f>
        <v>0</v>
      </c>
      <c r="AP525" s="2186">
        <f t="shared" ref="AP525:AP529" si="1156">AO525-AN525</f>
        <v>-305.112528</v>
      </c>
      <c r="AQ525" s="2188">
        <f>AQ526+AQ527+AQ528+AQ529+AQ530</f>
        <v>327.84220800000003</v>
      </c>
      <c r="AR525" s="2188">
        <f>AR526+AR527+AR528+AR529+AR530</f>
        <v>0</v>
      </c>
      <c r="AS525" s="2186">
        <f t="shared" ref="AS525:AS529" si="1157">AR525-AQ525</f>
        <v>-327.84220800000003</v>
      </c>
      <c r="AT525" s="2188">
        <f>AT526+AT527+AT528+AT529+AT530</f>
        <v>256.71168</v>
      </c>
      <c r="AU525" s="2188">
        <f>AU526+AU527+AU528+AU529+AU530</f>
        <v>0</v>
      </c>
      <c r="AV525" s="2186">
        <f t="shared" ref="AV525:AV529" si="1158">AU525-AT525</f>
        <v>-256.71168</v>
      </c>
      <c r="AW525" s="2188">
        <f>AW526+AW527+AW528+AW529+AW530</f>
        <v>237.38031000000001</v>
      </c>
      <c r="AX525" s="2188">
        <f>AX526+AX527+AX528+AX529+AX530</f>
        <v>0</v>
      </c>
      <c r="AY525" s="2186">
        <f t="shared" ref="AY525:AY529" si="1159">AX525-AW525</f>
        <v>-237.38031000000001</v>
      </c>
      <c r="AZ525" s="2188">
        <f>AZ526+AZ527+AZ528+AZ529+AZ530</f>
        <v>350.10458399999999</v>
      </c>
      <c r="BA525" s="2188">
        <f>BA526+BA527+BA528+BA529+BA530</f>
        <v>0</v>
      </c>
      <c r="BB525" s="2186">
        <f t="shared" ref="BB525:BB529" si="1160">BA525-AZ525</f>
        <v>-350.10458399999999</v>
      </c>
      <c r="BC525" s="2188">
        <f>BC526+BC527+BC528+BC529+BC530</f>
        <v>317.17101719999999</v>
      </c>
      <c r="BD525" s="2188">
        <f>BD526+BD527+BD528+BD529+BD530</f>
        <v>0</v>
      </c>
      <c r="BE525" s="2186">
        <f t="shared" ref="BE525:BE529" si="1161">BD525-BC525</f>
        <v>-317.17101719999999</v>
      </c>
      <c r="BF525" s="2188">
        <f>BF526+BF527+BF528+BF529+BF530</f>
        <v>311.08869179999999</v>
      </c>
      <c r="BG525" s="2188">
        <f>BG526+BG527+BG528+BG529+BG530</f>
        <v>0</v>
      </c>
      <c r="BH525" s="2186">
        <f t="shared" ref="BH525:BH529" si="1162">BG525-BF525</f>
        <v>-311.08869179999999</v>
      </c>
      <c r="BI525" s="2188">
        <f>BI526+BI527+BI528+BI529+BI530</f>
        <v>332.28782105999994</v>
      </c>
      <c r="BJ525" s="2188">
        <f>BJ526+BJ527+BJ528+BJ529+BJ530</f>
        <v>0</v>
      </c>
      <c r="BK525" s="2186">
        <f t="shared" ref="BK525:BK529" si="1163">BJ525-BI525</f>
        <v>-332.28782105999994</v>
      </c>
      <c r="BL525" s="2188">
        <f>BL526+BL527+BL528+BL529+BL530</f>
        <v>369.16006443000003</v>
      </c>
      <c r="BM525" s="2188">
        <f>BM526+BM527+BM528+BM529+BM530</f>
        <v>0</v>
      </c>
      <c r="BN525" s="2186">
        <f t="shared" ref="BN525:BN529" si="1164">BM525-BL525</f>
        <v>-369.16006443000003</v>
      </c>
      <c r="BO525" s="2188">
        <f>BO526+BO527+BO528+BO529+BO530</f>
        <v>370.38889195999997</v>
      </c>
      <c r="BP525" s="2188">
        <f>BP526+BP527+BP528+BP529+BP530</f>
        <v>0</v>
      </c>
      <c r="BQ525" s="2186">
        <f t="shared" ref="BQ525:BQ529" si="1165">BP525-BO525</f>
        <v>-370.38889195999997</v>
      </c>
    </row>
    <row r="526" spans="3:69" s="2087" customFormat="1">
      <c r="C526" s="2194" t="s">
        <v>2681</v>
      </c>
      <c r="D526" s="2283" t="s">
        <v>2221</v>
      </c>
      <c r="E526" s="2284" t="s">
        <v>1833</v>
      </c>
      <c r="F526" s="2176"/>
      <c r="G526" s="2177"/>
      <c r="H526" s="2177"/>
      <c r="I526" s="2178">
        <f t="shared" si="1112"/>
        <v>0</v>
      </c>
      <c r="J526" s="2176"/>
      <c r="K526" s="2252">
        <f t="shared" si="1010"/>
        <v>0</v>
      </c>
      <c r="L526" s="2252">
        <f t="shared" si="1010"/>
        <v>0</v>
      </c>
      <c r="M526" s="2255">
        <f t="shared" si="1011"/>
        <v>0</v>
      </c>
      <c r="N526" s="2179">
        <f>N186*$N$382</f>
        <v>0</v>
      </c>
      <c r="O526" s="2179">
        <f>O186*$O$382</f>
        <v>0</v>
      </c>
      <c r="P526" s="2178">
        <f t="shared" si="1113"/>
        <v>0</v>
      </c>
      <c r="Q526" s="2184">
        <f>Q186*$Q$382</f>
        <v>0</v>
      </c>
      <c r="R526" s="2179">
        <f>R186*$R$382</f>
        <v>0</v>
      </c>
      <c r="S526" s="2180">
        <f t="shared" si="1114"/>
        <v>0</v>
      </c>
      <c r="T526" s="2251">
        <f t="shared" si="1147"/>
        <v>0</v>
      </c>
      <c r="U526" s="2252">
        <f t="shared" si="1147"/>
        <v>0</v>
      </c>
      <c r="V526" s="2253">
        <f t="shared" si="1148"/>
        <v>0</v>
      </c>
      <c r="W526" s="2187">
        <f>W186*$W$382</f>
        <v>0</v>
      </c>
      <c r="X526" s="2179">
        <f>X186*$X$382</f>
        <v>0</v>
      </c>
      <c r="Y526" s="2183">
        <f t="shared" si="1110"/>
        <v>0</v>
      </c>
      <c r="Z526" s="2254">
        <f t="shared" si="1032"/>
        <v>0</v>
      </c>
      <c r="AA526" s="2252">
        <f t="shared" si="1032"/>
        <v>0</v>
      </c>
      <c r="AB526" s="2255">
        <f t="shared" si="1109"/>
        <v>0</v>
      </c>
      <c r="AC526" s="2184">
        <f>AC186*$AC$382</f>
        <v>0</v>
      </c>
      <c r="AD526" s="2179">
        <f>AD186*$AD$382</f>
        <v>0</v>
      </c>
      <c r="AE526" s="2180">
        <f t="shared" si="1111"/>
        <v>0</v>
      </c>
      <c r="AF526" s="2277"/>
      <c r="AG526" s="2114"/>
      <c r="AH526" s="2188">
        <f>AH186*$N$382</f>
        <v>0</v>
      </c>
      <c r="AI526" s="2188">
        <f>AI186*$O$382</f>
        <v>0</v>
      </c>
      <c r="AJ526" s="2186">
        <f t="shared" si="1154"/>
        <v>0</v>
      </c>
      <c r="AK526" s="2188">
        <f>AK186*$N$382</f>
        <v>0</v>
      </c>
      <c r="AL526" s="2188">
        <f>AL186*$O$382</f>
        <v>0</v>
      </c>
      <c r="AM526" s="2186">
        <f t="shared" si="1155"/>
        <v>0</v>
      </c>
      <c r="AN526" s="2188">
        <f>AN186*$N$382</f>
        <v>0</v>
      </c>
      <c r="AO526" s="2188">
        <f>AO186*$O$382</f>
        <v>0</v>
      </c>
      <c r="AP526" s="2186">
        <f t="shared" si="1156"/>
        <v>0</v>
      </c>
      <c r="AQ526" s="2188">
        <f>AQ186*$N$382</f>
        <v>0</v>
      </c>
      <c r="AR526" s="2188">
        <f>AR186*$O$382</f>
        <v>0</v>
      </c>
      <c r="AS526" s="2186">
        <f t="shared" si="1157"/>
        <v>0</v>
      </c>
      <c r="AT526" s="2188">
        <f>AT186*$N$382</f>
        <v>0</v>
      </c>
      <c r="AU526" s="2188">
        <f>AU186*$O$382</f>
        <v>0</v>
      </c>
      <c r="AV526" s="2186">
        <f t="shared" si="1158"/>
        <v>0</v>
      </c>
      <c r="AW526" s="2188">
        <f>AW186*$N$382</f>
        <v>0</v>
      </c>
      <c r="AX526" s="2188">
        <f>AX186*$O$382</f>
        <v>0</v>
      </c>
      <c r="AY526" s="2186">
        <f t="shared" si="1159"/>
        <v>0</v>
      </c>
      <c r="AZ526" s="2188">
        <f>AZ186*$N$382</f>
        <v>0</v>
      </c>
      <c r="BA526" s="2188">
        <f>BA186*$O$382</f>
        <v>0</v>
      </c>
      <c r="BB526" s="2186">
        <f t="shared" si="1160"/>
        <v>0</v>
      </c>
      <c r="BC526" s="2188">
        <f>BC186*$N$382</f>
        <v>0</v>
      </c>
      <c r="BD526" s="2188">
        <f>BD186*$O$382</f>
        <v>0</v>
      </c>
      <c r="BE526" s="2186">
        <f t="shared" si="1161"/>
        <v>0</v>
      </c>
      <c r="BF526" s="2188">
        <f>BF186*$N$382</f>
        <v>0</v>
      </c>
      <c r="BG526" s="2188">
        <f>BG186*$O$382</f>
        <v>0</v>
      </c>
      <c r="BH526" s="2186">
        <f t="shared" si="1162"/>
        <v>0</v>
      </c>
      <c r="BI526" s="2188">
        <f>BI186*$N$382</f>
        <v>0</v>
      </c>
      <c r="BJ526" s="2188">
        <f>BJ186*$O$382</f>
        <v>0</v>
      </c>
      <c r="BK526" s="2186">
        <f t="shared" si="1163"/>
        <v>0</v>
      </c>
      <c r="BL526" s="2188">
        <f>BL186*$N$382</f>
        <v>0</v>
      </c>
      <c r="BM526" s="2188">
        <f>BM186*$O$382</f>
        <v>0</v>
      </c>
      <c r="BN526" s="2186">
        <f t="shared" si="1164"/>
        <v>0</v>
      </c>
      <c r="BO526" s="2188">
        <f>BO186*$N$382</f>
        <v>0</v>
      </c>
      <c r="BP526" s="2188">
        <f>BP186*$O$382</f>
        <v>0</v>
      </c>
      <c r="BQ526" s="2186">
        <f t="shared" si="1165"/>
        <v>0</v>
      </c>
    </row>
    <row r="527" spans="3:69" s="2087" customFormat="1">
      <c r="C527" s="2194" t="s">
        <v>2682</v>
      </c>
      <c r="D527" s="2283" t="s">
        <v>2223</v>
      </c>
      <c r="E527" s="2284" t="s">
        <v>1833</v>
      </c>
      <c r="F527" s="2176"/>
      <c r="G527" s="2177"/>
      <c r="H527" s="2177"/>
      <c r="I527" s="2178">
        <f t="shared" si="1112"/>
        <v>0</v>
      </c>
      <c r="J527" s="2176"/>
      <c r="K527" s="2252">
        <f t="shared" si="1010"/>
        <v>0</v>
      </c>
      <c r="L527" s="2252">
        <f t="shared" si="1010"/>
        <v>0</v>
      </c>
      <c r="M527" s="2255">
        <f t="shared" si="1011"/>
        <v>0</v>
      </c>
      <c r="N527" s="2179">
        <f>N187*$N$383</f>
        <v>0</v>
      </c>
      <c r="O527" s="2179">
        <f>O187*$O$383</f>
        <v>0</v>
      </c>
      <c r="P527" s="2178">
        <f t="shared" si="1113"/>
        <v>0</v>
      </c>
      <c r="Q527" s="2184">
        <f>Q187*$Q$383</f>
        <v>0</v>
      </c>
      <c r="R527" s="2179">
        <f>R187*$R$383</f>
        <v>0</v>
      </c>
      <c r="S527" s="2180">
        <f t="shared" si="1114"/>
        <v>0</v>
      </c>
      <c r="T527" s="2251">
        <f t="shared" si="1147"/>
        <v>0</v>
      </c>
      <c r="U527" s="2252">
        <f t="shared" si="1147"/>
        <v>0</v>
      </c>
      <c r="V527" s="2253">
        <f t="shared" si="1148"/>
        <v>0</v>
      </c>
      <c r="W527" s="2187">
        <f>W187*$W$383</f>
        <v>0</v>
      </c>
      <c r="X527" s="2179">
        <f>X187*$X$383</f>
        <v>0</v>
      </c>
      <c r="Y527" s="2183">
        <f t="shared" si="1110"/>
        <v>0</v>
      </c>
      <c r="Z527" s="2254">
        <f t="shared" si="1032"/>
        <v>0</v>
      </c>
      <c r="AA527" s="2252">
        <f t="shared" si="1032"/>
        <v>0</v>
      </c>
      <c r="AB527" s="2255">
        <f t="shared" si="1109"/>
        <v>0</v>
      </c>
      <c r="AC527" s="2184">
        <f>AC187*$AC$383</f>
        <v>0</v>
      </c>
      <c r="AD527" s="2179">
        <f>AD187*$AD$383</f>
        <v>0</v>
      </c>
      <c r="AE527" s="2180">
        <f t="shared" si="1111"/>
        <v>0</v>
      </c>
      <c r="AF527" s="2277"/>
      <c r="AG527" s="2114"/>
      <c r="AH527" s="2188">
        <f>AH187*$N$383</f>
        <v>0</v>
      </c>
      <c r="AI527" s="2188">
        <f>AI187*$O$383</f>
        <v>0</v>
      </c>
      <c r="AJ527" s="2186">
        <f t="shared" si="1154"/>
        <v>0</v>
      </c>
      <c r="AK527" s="2188">
        <f>AK187*$N$383</f>
        <v>0</v>
      </c>
      <c r="AL527" s="2188">
        <f>AL187*$O$383</f>
        <v>0</v>
      </c>
      <c r="AM527" s="2186">
        <f t="shared" si="1155"/>
        <v>0</v>
      </c>
      <c r="AN527" s="2188">
        <f>AN187*$N$383</f>
        <v>0</v>
      </c>
      <c r="AO527" s="2188">
        <f>AO187*$O$383</f>
        <v>0</v>
      </c>
      <c r="AP527" s="2186">
        <f t="shared" si="1156"/>
        <v>0</v>
      </c>
      <c r="AQ527" s="2188">
        <f>AQ187*$N$383</f>
        <v>0</v>
      </c>
      <c r="AR527" s="2188">
        <f>AR187*$O$383</f>
        <v>0</v>
      </c>
      <c r="AS527" s="2186">
        <f t="shared" si="1157"/>
        <v>0</v>
      </c>
      <c r="AT527" s="2188">
        <f>AT187*$N$383</f>
        <v>0</v>
      </c>
      <c r="AU527" s="2188">
        <f>AU187*$O$383</f>
        <v>0</v>
      </c>
      <c r="AV527" s="2186">
        <f t="shared" si="1158"/>
        <v>0</v>
      </c>
      <c r="AW527" s="2188">
        <f>AW187*$N$383</f>
        <v>0</v>
      </c>
      <c r="AX527" s="2188">
        <f>AX187*$O$383</f>
        <v>0</v>
      </c>
      <c r="AY527" s="2186">
        <f t="shared" si="1159"/>
        <v>0</v>
      </c>
      <c r="AZ527" s="2188">
        <f>AZ187*$N$383</f>
        <v>0</v>
      </c>
      <c r="BA527" s="2188">
        <f>BA187*$O$383</f>
        <v>0</v>
      </c>
      <c r="BB527" s="2186">
        <f t="shared" si="1160"/>
        <v>0</v>
      </c>
      <c r="BC527" s="2188">
        <f>BC187*$N$383</f>
        <v>0</v>
      </c>
      <c r="BD527" s="2188">
        <f>BD187*$O$383</f>
        <v>0</v>
      </c>
      <c r="BE527" s="2186">
        <f t="shared" si="1161"/>
        <v>0</v>
      </c>
      <c r="BF527" s="2188">
        <f>BF187*$N$383</f>
        <v>0</v>
      </c>
      <c r="BG527" s="2188">
        <f>BG187*$O$383</f>
        <v>0</v>
      </c>
      <c r="BH527" s="2186">
        <f t="shared" si="1162"/>
        <v>0</v>
      </c>
      <c r="BI527" s="2188">
        <f>BI187*$N$383</f>
        <v>0</v>
      </c>
      <c r="BJ527" s="2188">
        <f>BJ187*$O$383</f>
        <v>0</v>
      </c>
      <c r="BK527" s="2186">
        <f t="shared" si="1163"/>
        <v>0</v>
      </c>
      <c r="BL527" s="2188">
        <f>BL187*$N$383</f>
        <v>0</v>
      </c>
      <c r="BM527" s="2188">
        <f>BM187*$O$383</f>
        <v>0</v>
      </c>
      <c r="BN527" s="2186">
        <f t="shared" si="1164"/>
        <v>0</v>
      </c>
      <c r="BO527" s="2188">
        <f>BO187*$N$383</f>
        <v>0</v>
      </c>
      <c r="BP527" s="2188">
        <f>BP187*$O$383</f>
        <v>0</v>
      </c>
      <c r="BQ527" s="2186">
        <f t="shared" si="1165"/>
        <v>0</v>
      </c>
    </row>
    <row r="528" spans="3:69" s="2087" customFormat="1">
      <c r="C528" s="2194" t="s">
        <v>2683</v>
      </c>
      <c r="D528" s="2283" t="s">
        <v>2225</v>
      </c>
      <c r="E528" s="2284" t="s">
        <v>1833</v>
      </c>
      <c r="F528" s="2176"/>
      <c r="G528" s="2177"/>
      <c r="H528" s="2177"/>
      <c r="I528" s="2178">
        <f t="shared" si="1112"/>
        <v>0</v>
      </c>
      <c r="J528" s="2176"/>
      <c r="K528" s="2252">
        <f t="shared" si="1010"/>
        <v>41564.232210049995</v>
      </c>
      <c r="L528" s="2252">
        <f t="shared" si="1010"/>
        <v>0</v>
      </c>
      <c r="M528" s="2255">
        <f t="shared" si="1011"/>
        <v>-41564.232210049995</v>
      </c>
      <c r="N528" s="2179">
        <f>N188*$N$384</f>
        <v>38692.096941599993</v>
      </c>
      <c r="O528" s="2179">
        <f>O188*$O$384</f>
        <v>0</v>
      </c>
      <c r="P528" s="2178">
        <f t="shared" si="1113"/>
        <v>-38692.096941599993</v>
      </c>
      <c r="Q528" s="2184">
        <f>Q188*$Q$384</f>
        <v>821.93419800000004</v>
      </c>
      <c r="R528" s="2179">
        <f>R188*$R$384</f>
        <v>0</v>
      </c>
      <c r="S528" s="2180">
        <f t="shared" si="1114"/>
        <v>-821.93419800000004</v>
      </c>
      <c r="T528" s="2251">
        <f t="shared" si="1147"/>
        <v>39514.031139599996</v>
      </c>
      <c r="U528" s="2252">
        <f t="shared" si="1147"/>
        <v>0</v>
      </c>
      <c r="V528" s="2253">
        <f t="shared" si="1148"/>
        <v>-39514.031139599996</v>
      </c>
      <c r="W528" s="2187">
        <f>W188*$W$384</f>
        <v>978.36429300000009</v>
      </c>
      <c r="X528" s="2179">
        <f>X188*$X$384</f>
        <v>0</v>
      </c>
      <c r="Y528" s="2183">
        <f t="shared" si="1110"/>
        <v>-978.36429300000009</v>
      </c>
      <c r="Z528" s="2254">
        <f t="shared" si="1032"/>
        <v>40492.395432599995</v>
      </c>
      <c r="AA528" s="2252">
        <f t="shared" si="1032"/>
        <v>0</v>
      </c>
      <c r="AB528" s="2255">
        <f t="shared" si="1109"/>
        <v>-40492.395432599995</v>
      </c>
      <c r="AC528" s="2184">
        <f>AC188*$AC$384</f>
        <v>1071.8367774499998</v>
      </c>
      <c r="AD528" s="2179">
        <f>AD188*$AD$384</f>
        <v>0</v>
      </c>
      <c r="AE528" s="2180">
        <f t="shared" si="1111"/>
        <v>-1071.8367774499998</v>
      </c>
      <c r="AF528" s="2277"/>
      <c r="AG528" s="2114"/>
      <c r="AH528" s="2188">
        <f>AH188*AH384</f>
        <v>74472.473656679998</v>
      </c>
      <c r="AI528" s="2188">
        <f>AI188*$O$384</f>
        <v>0</v>
      </c>
      <c r="AJ528" s="2186">
        <f t="shared" si="1154"/>
        <v>-74472.473656679998</v>
      </c>
      <c r="AK528" s="2188">
        <f>AK188*AK384</f>
        <v>329.44665600000002</v>
      </c>
      <c r="AL528" s="2188">
        <f>AL188*$O$384</f>
        <v>0</v>
      </c>
      <c r="AM528" s="2186">
        <f t="shared" si="1155"/>
        <v>-329.44665600000002</v>
      </c>
      <c r="AN528" s="2188">
        <f>AN188*AN384</f>
        <v>305.112528</v>
      </c>
      <c r="AO528" s="2188">
        <f>AO188*$O$384</f>
        <v>0</v>
      </c>
      <c r="AP528" s="2186">
        <f t="shared" si="1156"/>
        <v>-305.112528</v>
      </c>
      <c r="AQ528" s="2188">
        <f>AQ188*AQ384</f>
        <v>327.84220800000003</v>
      </c>
      <c r="AR528" s="2188">
        <f>AR188*$O$384</f>
        <v>0</v>
      </c>
      <c r="AS528" s="2186">
        <f t="shared" si="1157"/>
        <v>-327.84220800000003</v>
      </c>
      <c r="AT528" s="2188">
        <f>AT188*AT384</f>
        <v>256.71168</v>
      </c>
      <c r="AU528" s="2188">
        <f>AU188*$O$384</f>
        <v>0</v>
      </c>
      <c r="AV528" s="2186">
        <f t="shared" si="1158"/>
        <v>-256.71168</v>
      </c>
      <c r="AW528" s="2188">
        <f>AW188*AW384</f>
        <v>237.38031000000001</v>
      </c>
      <c r="AX528" s="2188">
        <f>AX188*$O$384</f>
        <v>0</v>
      </c>
      <c r="AY528" s="2186">
        <f t="shared" si="1159"/>
        <v>-237.38031000000001</v>
      </c>
      <c r="AZ528" s="2188">
        <f>AZ188*AZ384</f>
        <v>350.10458399999999</v>
      </c>
      <c r="BA528" s="2188">
        <f>BA188*$O$384</f>
        <v>0</v>
      </c>
      <c r="BB528" s="2186">
        <f t="shared" si="1160"/>
        <v>-350.10458399999999</v>
      </c>
      <c r="BC528" s="2188">
        <f>BC188*BC384</f>
        <v>317.17101719999999</v>
      </c>
      <c r="BD528" s="2188">
        <f>BD188*$O$384</f>
        <v>0</v>
      </c>
      <c r="BE528" s="2186">
        <f t="shared" si="1161"/>
        <v>-317.17101719999999</v>
      </c>
      <c r="BF528" s="2188">
        <f>BF188*BF384</f>
        <v>311.08869179999999</v>
      </c>
      <c r="BG528" s="2188">
        <f>BG188*$O$384</f>
        <v>0</v>
      </c>
      <c r="BH528" s="2186">
        <f t="shared" si="1162"/>
        <v>-311.08869179999999</v>
      </c>
      <c r="BI528" s="2188">
        <f>BI188*BI384</f>
        <v>332.28782105999994</v>
      </c>
      <c r="BJ528" s="2188">
        <f>BJ188*$O$384</f>
        <v>0</v>
      </c>
      <c r="BK528" s="2186">
        <f t="shared" si="1163"/>
        <v>-332.28782105999994</v>
      </c>
      <c r="BL528" s="2188">
        <f>BL188*BL384</f>
        <v>369.16006443000003</v>
      </c>
      <c r="BM528" s="2188">
        <f>BM188*$O$384</f>
        <v>0</v>
      </c>
      <c r="BN528" s="2186">
        <f t="shared" si="1164"/>
        <v>-369.16006443000003</v>
      </c>
      <c r="BO528" s="2188">
        <f>BO188*BO384</f>
        <v>370.38889195999997</v>
      </c>
      <c r="BP528" s="2188">
        <f>BP188*$O$384</f>
        <v>0</v>
      </c>
      <c r="BQ528" s="2186">
        <f t="shared" si="1165"/>
        <v>-370.38889195999997</v>
      </c>
    </row>
    <row r="529" spans="3:69" s="2087" customFormat="1">
      <c r="C529" s="2194" t="s">
        <v>2684</v>
      </c>
      <c r="D529" s="2283" t="s">
        <v>2227</v>
      </c>
      <c r="E529" s="2284" t="s">
        <v>1833</v>
      </c>
      <c r="F529" s="2176"/>
      <c r="G529" s="2177"/>
      <c r="H529" s="2177"/>
      <c r="I529" s="2178">
        <f t="shared" si="1112"/>
        <v>0</v>
      </c>
      <c r="J529" s="2176"/>
      <c r="K529" s="2252">
        <f t="shared" si="1010"/>
        <v>0</v>
      </c>
      <c r="L529" s="2252">
        <f t="shared" si="1010"/>
        <v>0</v>
      </c>
      <c r="M529" s="2255">
        <f t="shared" si="1011"/>
        <v>0</v>
      </c>
      <c r="N529" s="2179">
        <f>N189*$N$385</f>
        <v>0</v>
      </c>
      <c r="O529" s="2179">
        <f>O189*$O$385</f>
        <v>0</v>
      </c>
      <c r="P529" s="2178">
        <f t="shared" si="1113"/>
        <v>0</v>
      </c>
      <c r="Q529" s="2184">
        <f>Q189*$Q$385</f>
        <v>0</v>
      </c>
      <c r="R529" s="2179">
        <f>R189*$R$385</f>
        <v>0</v>
      </c>
      <c r="S529" s="2180">
        <f t="shared" si="1114"/>
        <v>0</v>
      </c>
      <c r="T529" s="2251">
        <f t="shared" si="1147"/>
        <v>0</v>
      </c>
      <c r="U529" s="2252">
        <f t="shared" si="1147"/>
        <v>0</v>
      </c>
      <c r="V529" s="2253">
        <f t="shared" si="1148"/>
        <v>0</v>
      </c>
      <c r="W529" s="2187">
        <f>W189*$W$385</f>
        <v>0</v>
      </c>
      <c r="X529" s="2179">
        <f>X189*$X$385</f>
        <v>0</v>
      </c>
      <c r="Y529" s="2183">
        <f t="shared" si="1110"/>
        <v>0</v>
      </c>
      <c r="Z529" s="2254">
        <f t="shared" si="1032"/>
        <v>0</v>
      </c>
      <c r="AA529" s="2252">
        <f t="shared" si="1032"/>
        <v>0</v>
      </c>
      <c r="AB529" s="2255">
        <f t="shared" si="1109"/>
        <v>0</v>
      </c>
      <c r="AC529" s="2184">
        <f>AC189*$AC$385</f>
        <v>0</v>
      </c>
      <c r="AD529" s="2179">
        <f>AD189*$AD$385</f>
        <v>0</v>
      </c>
      <c r="AE529" s="2180">
        <f t="shared" si="1111"/>
        <v>0</v>
      </c>
      <c r="AF529" s="2277"/>
      <c r="AG529" s="2114"/>
      <c r="AH529" s="2188">
        <f>AH189*$N$385</f>
        <v>0</v>
      </c>
      <c r="AI529" s="2188">
        <f>AI189*$O$385</f>
        <v>0</v>
      </c>
      <c r="AJ529" s="2186">
        <f t="shared" si="1154"/>
        <v>0</v>
      </c>
      <c r="AK529" s="2188">
        <f>AK189*$N$385</f>
        <v>0</v>
      </c>
      <c r="AL529" s="2188">
        <f>AL189*$O$385</f>
        <v>0</v>
      </c>
      <c r="AM529" s="2186">
        <f t="shared" si="1155"/>
        <v>0</v>
      </c>
      <c r="AN529" s="2188">
        <f>AN189*$N$385</f>
        <v>0</v>
      </c>
      <c r="AO529" s="2188">
        <f>AO189*$O$385</f>
        <v>0</v>
      </c>
      <c r="AP529" s="2186">
        <f t="shared" si="1156"/>
        <v>0</v>
      </c>
      <c r="AQ529" s="2188">
        <f>AQ189*$N$385</f>
        <v>0</v>
      </c>
      <c r="AR529" s="2188">
        <f>AR189*$O$385</f>
        <v>0</v>
      </c>
      <c r="AS529" s="2186">
        <f t="shared" si="1157"/>
        <v>0</v>
      </c>
      <c r="AT529" s="2188">
        <f>AT189*$N$385</f>
        <v>0</v>
      </c>
      <c r="AU529" s="2188">
        <f>AU189*$O$385</f>
        <v>0</v>
      </c>
      <c r="AV529" s="2186">
        <f t="shared" si="1158"/>
        <v>0</v>
      </c>
      <c r="AW529" s="2188">
        <f>AW189*$N$385</f>
        <v>0</v>
      </c>
      <c r="AX529" s="2188">
        <f>AX189*$O$385</f>
        <v>0</v>
      </c>
      <c r="AY529" s="2186">
        <f t="shared" si="1159"/>
        <v>0</v>
      </c>
      <c r="AZ529" s="2188">
        <f>AZ189*$N$385</f>
        <v>0</v>
      </c>
      <c r="BA529" s="2188">
        <f>BA189*$O$385</f>
        <v>0</v>
      </c>
      <c r="BB529" s="2186">
        <f t="shared" si="1160"/>
        <v>0</v>
      </c>
      <c r="BC529" s="2188">
        <f>BC189*$N$385</f>
        <v>0</v>
      </c>
      <c r="BD529" s="2188">
        <f>BD189*$O$385</f>
        <v>0</v>
      </c>
      <c r="BE529" s="2186">
        <f t="shared" si="1161"/>
        <v>0</v>
      </c>
      <c r="BF529" s="2188">
        <f>BF189*$N$385</f>
        <v>0</v>
      </c>
      <c r="BG529" s="2188">
        <f>BG189*$O$385</f>
        <v>0</v>
      </c>
      <c r="BH529" s="2186">
        <f t="shared" si="1162"/>
        <v>0</v>
      </c>
      <c r="BI529" s="2188">
        <f>BI189*$N$385</f>
        <v>0</v>
      </c>
      <c r="BJ529" s="2188">
        <f>BJ189*$O$385</f>
        <v>0</v>
      </c>
      <c r="BK529" s="2186">
        <f t="shared" si="1163"/>
        <v>0</v>
      </c>
      <c r="BL529" s="2188">
        <f>BL189*$N$385</f>
        <v>0</v>
      </c>
      <c r="BM529" s="2188">
        <f>BM189*$O$385</f>
        <v>0</v>
      </c>
      <c r="BN529" s="2186">
        <f t="shared" si="1164"/>
        <v>0</v>
      </c>
      <c r="BO529" s="2188">
        <f>BO189*$N$385</f>
        <v>0</v>
      </c>
      <c r="BP529" s="2188">
        <f>BP189*$O$385</f>
        <v>0</v>
      </c>
      <c r="BQ529" s="2186">
        <f t="shared" si="1165"/>
        <v>0</v>
      </c>
    </row>
    <row r="530" spans="3:69" s="2087" customFormat="1">
      <c r="C530" s="2194" t="s">
        <v>2685</v>
      </c>
      <c r="D530" s="2283" t="s">
        <v>2229</v>
      </c>
      <c r="E530" s="2284" t="s">
        <v>1833</v>
      </c>
      <c r="F530" s="2176"/>
      <c r="G530" s="2177"/>
      <c r="H530" s="2177"/>
      <c r="I530" s="2186"/>
      <c r="J530" s="2176"/>
      <c r="K530" s="2252">
        <f t="shared" si="1010"/>
        <v>0</v>
      </c>
      <c r="L530" s="2252">
        <f t="shared" si="1010"/>
        <v>0</v>
      </c>
      <c r="M530" s="2255">
        <f t="shared" si="1011"/>
        <v>0</v>
      </c>
      <c r="N530" s="2177"/>
      <c r="O530" s="2177"/>
      <c r="P530" s="2186"/>
      <c r="Q530" s="2177"/>
      <c r="R530" s="2177"/>
      <c r="S530" s="2266"/>
      <c r="T530" s="2251">
        <f t="shared" si="1147"/>
        <v>0</v>
      </c>
      <c r="U530" s="2252">
        <f t="shared" si="1147"/>
        <v>0</v>
      </c>
      <c r="V530" s="2253">
        <f t="shared" si="1148"/>
        <v>0</v>
      </c>
      <c r="W530" s="2182"/>
      <c r="X530" s="2177"/>
      <c r="Y530" s="2271"/>
      <c r="Z530" s="2254">
        <f t="shared" si="1032"/>
        <v>0</v>
      </c>
      <c r="AA530" s="2252">
        <f t="shared" si="1032"/>
        <v>0</v>
      </c>
      <c r="AB530" s="2255">
        <f t="shared" si="1109"/>
        <v>0</v>
      </c>
      <c r="AC530" s="2177"/>
      <c r="AD530" s="2177"/>
      <c r="AE530" s="2266"/>
      <c r="AF530" s="2277"/>
      <c r="AG530" s="2114"/>
      <c r="AH530" s="2177"/>
      <c r="AI530" s="2177"/>
      <c r="AJ530" s="2186"/>
      <c r="AK530" s="2177"/>
      <c r="AL530" s="2177"/>
      <c r="AM530" s="2186"/>
      <c r="AN530" s="2177"/>
      <c r="AO530" s="2177"/>
      <c r="AP530" s="2186"/>
      <c r="AQ530" s="2177"/>
      <c r="AR530" s="2177"/>
      <c r="AS530" s="2186"/>
      <c r="AT530" s="2177"/>
      <c r="AU530" s="2177"/>
      <c r="AV530" s="2186"/>
      <c r="AW530" s="2177"/>
      <c r="AX530" s="2177"/>
      <c r="AY530" s="2186"/>
      <c r="AZ530" s="2177"/>
      <c r="BA530" s="2177"/>
      <c r="BB530" s="2186"/>
      <c r="BC530" s="2177"/>
      <c r="BD530" s="2177"/>
      <c r="BE530" s="2186"/>
      <c r="BF530" s="2177"/>
      <c r="BG530" s="2177"/>
      <c r="BH530" s="2186"/>
      <c r="BI530" s="2177"/>
      <c r="BJ530" s="2177"/>
      <c r="BK530" s="2186"/>
      <c r="BL530" s="2177"/>
      <c r="BM530" s="2177"/>
      <c r="BN530" s="2186"/>
      <c r="BO530" s="2177"/>
      <c r="BP530" s="2177"/>
      <c r="BQ530" s="2186"/>
    </row>
    <row r="531" spans="3:69" s="2087" customFormat="1">
      <c r="C531" s="2285" t="s">
        <v>2686</v>
      </c>
      <c r="D531" s="2287" t="s">
        <v>2248</v>
      </c>
      <c r="E531" s="2284" t="s">
        <v>1833</v>
      </c>
      <c r="F531" s="2176"/>
      <c r="G531" s="2252">
        <f>G532+G533+G534+G535+G536</f>
        <v>0</v>
      </c>
      <c r="H531" s="2252">
        <f>H532+H533+H534+H535+H536</f>
        <v>0</v>
      </c>
      <c r="I531" s="2178">
        <f t="shared" ref="I531" si="1166">H531-G531</f>
        <v>0</v>
      </c>
      <c r="J531" s="2176"/>
      <c r="K531" s="2252">
        <f t="shared" si="1010"/>
        <v>0</v>
      </c>
      <c r="L531" s="2179">
        <f t="shared" si="1010"/>
        <v>0</v>
      </c>
      <c r="M531" s="2178">
        <f t="shared" si="1011"/>
        <v>0</v>
      </c>
      <c r="N531" s="2179">
        <f>N532+N533+N534+N535+N536</f>
        <v>0</v>
      </c>
      <c r="O531" s="2179">
        <f>O532+O533+O534+O535+O536</f>
        <v>0</v>
      </c>
      <c r="P531" s="2178">
        <f t="shared" ref="P531" si="1167">O531-N531</f>
        <v>0</v>
      </c>
      <c r="Q531" s="2179">
        <f>Q532+Q533+Q534+Q535+Q536</f>
        <v>0</v>
      </c>
      <c r="R531" s="2179">
        <f>R532+R533+R534+R535+R536</f>
        <v>0</v>
      </c>
      <c r="S531" s="2180">
        <f t="shared" ref="S531" si="1168">R531-Q531</f>
        <v>0</v>
      </c>
      <c r="T531" s="2181">
        <f t="shared" si="1147"/>
        <v>0</v>
      </c>
      <c r="U531" s="2179">
        <f t="shared" si="1147"/>
        <v>0</v>
      </c>
      <c r="V531" s="2180">
        <f t="shared" si="1148"/>
        <v>0</v>
      </c>
      <c r="W531" s="2187">
        <f>W532+W533+W534+W535+W536</f>
        <v>0</v>
      </c>
      <c r="X531" s="2179">
        <f>X532+X533+X534+X535+X536</f>
        <v>0</v>
      </c>
      <c r="Y531" s="2183">
        <f t="shared" ref="Y531" si="1169">X531-W531</f>
        <v>0</v>
      </c>
      <c r="Z531" s="2184">
        <f t="shared" si="1032"/>
        <v>0</v>
      </c>
      <c r="AA531" s="2179">
        <f t="shared" si="1032"/>
        <v>0</v>
      </c>
      <c r="AB531" s="2178">
        <f t="shared" si="1109"/>
        <v>0</v>
      </c>
      <c r="AC531" s="2179">
        <f>AC532+AC533+AC534+AC535+AC536</f>
        <v>0</v>
      </c>
      <c r="AD531" s="2179">
        <f>AD532+AD533+AD534+AD535+AD536</f>
        <v>0</v>
      </c>
      <c r="AE531" s="2180">
        <f t="shared" ref="AE531" si="1170">AD531-AC531</f>
        <v>0</v>
      </c>
      <c r="AF531" s="2277"/>
      <c r="AG531" s="2114"/>
      <c r="AH531" s="2188">
        <f>AH532+AH533+AH534+AH535+AH536</f>
        <v>0</v>
      </c>
      <c r="AI531" s="2188">
        <f>AI532+AI533+AI534+AI535+AI536</f>
        <v>0</v>
      </c>
      <c r="AJ531" s="2186">
        <f t="shared" ref="AJ531:AJ535" si="1171">AI531-AH531</f>
        <v>0</v>
      </c>
      <c r="AK531" s="2188">
        <f>AK532+AK533+AK534+AK535+AK536</f>
        <v>0</v>
      </c>
      <c r="AL531" s="2188">
        <f>AL532+AL533+AL534+AL535+AL536</f>
        <v>0</v>
      </c>
      <c r="AM531" s="2186">
        <f t="shared" ref="AM531:AM535" si="1172">AL531-AK531</f>
        <v>0</v>
      </c>
      <c r="AN531" s="2188">
        <f>AN532+AN533+AN534+AN535+AN536</f>
        <v>0</v>
      </c>
      <c r="AO531" s="2188">
        <f>AO532+AO533+AO534+AO535+AO536</f>
        <v>0</v>
      </c>
      <c r="AP531" s="2186">
        <f t="shared" ref="AP531:AP535" si="1173">AO531-AN531</f>
        <v>0</v>
      </c>
      <c r="AQ531" s="2188">
        <f>AQ532+AQ533+AQ534+AQ535+AQ536</f>
        <v>0</v>
      </c>
      <c r="AR531" s="2188">
        <f>AR532+AR533+AR534+AR535+AR536</f>
        <v>0</v>
      </c>
      <c r="AS531" s="2186">
        <f t="shared" ref="AS531:AS535" si="1174">AR531-AQ531</f>
        <v>0</v>
      </c>
      <c r="AT531" s="2188">
        <f>AT532+AT533+AT534+AT535+AT536</f>
        <v>0</v>
      </c>
      <c r="AU531" s="2188">
        <f>AU532+AU533+AU534+AU535+AU536</f>
        <v>0</v>
      </c>
      <c r="AV531" s="2186">
        <f t="shared" ref="AV531:AV535" si="1175">AU531-AT531</f>
        <v>0</v>
      </c>
      <c r="AW531" s="2188">
        <f>AW532+AW533+AW534+AW535+AW536</f>
        <v>0</v>
      </c>
      <c r="AX531" s="2188">
        <f>AX532+AX533+AX534+AX535+AX536</f>
        <v>0</v>
      </c>
      <c r="AY531" s="2186">
        <f t="shared" ref="AY531:AY535" si="1176">AX531-AW531</f>
        <v>0</v>
      </c>
      <c r="AZ531" s="2188">
        <f>AZ532+AZ533+AZ534+AZ535+AZ536</f>
        <v>0</v>
      </c>
      <c r="BA531" s="2188">
        <f>BA532+BA533+BA534+BA535+BA536</f>
        <v>0</v>
      </c>
      <c r="BB531" s="2186">
        <f t="shared" ref="BB531:BB535" si="1177">BA531-AZ531</f>
        <v>0</v>
      </c>
      <c r="BC531" s="2188">
        <f>BC532+BC533+BC534+BC535+BC536</f>
        <v>0</v>
      </c>
      <c r="BD531" s="2188">
        <f>BD532+BD533+BD534+BD535+BD536</f>
        <v>0</v>
      </c>
      <c r="BE531" s="2186">
        <f t="shared" ref="BE531:BE535" si="1178">BD531-BC531</f>
        <v>0</v>
      </c>
      <c r="BF531" s="2188">
        <f>BF532+BF533+BF534+BF535+BF536</f>
        <v>0</v>
      </c>
      <c r="BG531" s="2188">
        <f>BG532+BG533+BG534+BG535+BG536</f>
        <v>0</v>
      </c>
      <c r="BH531" s="2186">
        <f t="shared" ref="BH531:BH535" si="1179">BG531-BF531</f>
        <v>0</v>
      </c>
      <c r="BI531" s="2188">
        <f>BI532+BI533+BI534+BI535+BI536</f>
        <v>0</v>
      </c>
      <c r="BJ531" s="2188">
        <f>BJ532+BJ533+BJ534+BJ535+BJ536</f>
        <v>0</v>
      </c>
      <c r="BK531" s="2186">
        <f t="shared" ref="BK531:BK535" si="1180">BJ531-BI531</f>
        <v>0</v>
      </c>
      <c r="BL531" s="2188">
        <f>BL532+BL533+BL534+BL535+BL536</f>
        <v>0</v>
      </c>
      <c r="BM531" s="2188">
        <f>BM532+BM533+BM534+BM535+BM536</f>
        <v>0</v>
      </c>
      <c r="BN531" s="2186">
        <f t="shared" ref="BN531:BN535" si="1181">BM531-BL531</f>
        <v>0</v>
      </c>
      <c r="BO531" s="2188">
        <f>BO532+BO533+BO534+BO535+BO536</f>
        <v>0</v>
      </c>
      <c r="BP531" s="2188">
        <f>BP532+BP533+BP534+BP535+BP536</f>
        <v>0</v>
      </c>
      <c r="BQ531" s="2186">
        <f t="shared" ref="BQ531:BQ535" si="1182">BP531-BO531</f>
        <v>0</v>
      </c>
    </row>
    <row r="532" spans="3:69" s="2087" customFormat="1">
      <c r="C532" s="2194" t="s">
        <v>2687</v>
      </c>
      <c r="D532" s="2283" t="s">
        <v>2221</v>
      </c>
      <c r="E532" s="2284" t="s">
        <v>1833</v>
      </c>
      <c r="F532" s="2176"/>
      <c r="G532" s="2177"/>
      <c r="H532" s="2177"/>
      <c r="I532" s="2178">
        <f t="shared" si="1112"/>
        <v>0</v>
      </c>
      <c r="J532" s="2176"/>
      <c r="K532" s="2252">
        <f t="shared" si="1010"/>
        <v>0</v>
      </c>
      <c r="L532" s="2252">
        <f t="shared" si="1010"/>
        <v>0</v>
      </c>
      <c r="M532" s="2255">
        <f t="shared" si="1011"/>
        <v>0</v>
      </c>
      <c r="N532" s="2179">
        <f t="shared" ref="N532:O535" si="1183">N192*$N$387</f>
        <v>0</v>
      </c>
      <c r="O532" s="2179">
        <f t="shared" si="1183"/>
        <v>0</v>
      </c>
      <c r="P532" s="2178">
        <f t="shared" si="1113"/>
        <v>0</v>
      </c>
      <c r="Q532" s="2184">
        <f>Q192*$Q$387</f>
        <v>0</v>
      </c>
      <c r="R532" s="2179">
        <f>R192*$R$387</f>
        <v>0</v>
      </c>
      <c r="S532" s="2180">
        <f t="shared" si="1114"/>
        <v>0</v>
      </c>
      <c r="T532" s="2251">
        <f t="shared" si="1147"/>
        <v>0</v>
      </c>
      <c r="U532" s="2252">
        <f t="shared" si="1147"/>
        <v>0</v>
      </c>
      <c r="V532" s="2253">
        <f t="shared" si="1148"/>
        <v>0</v>
      </c>
      <c r="W532" s="2187">
        <f>W192*$W$387</f>
        <v>0</v>
      </c>
      <c r="X532" s="2179">
        <f>X192*$X$387</f>
        <v>0</v>
      </c>
      <c r="Y532" s="2183">
        <f t="shared" si="1110"/>
        <v>0</v>
      </c>
      <c r="Z532" s="2254">
        <f t="shared" si="1032"/>
        <v>0</v>
      </c>
      <c r="AA532" s="2252">
        <f t="shared" si="1032"/>
        <v>0</v>
      </c>
      <c r="AB532" s="2255">
        <f t="shared" si="1109"/>
        <v>0</v>
      </c>
      <c r="AC532" s="2184">
        <f>AC192*$AC$387</f>
        <v>0</v>
      </c>
      <c r="AD532" s="2179">
        <f>AD192*$AD$387</f>
        <v>0</v>
      </c>
      <c r="AE532" s="2180">
        <f t="shared" si="1111"/>
        <v>0</v>
      </c>
      <c r="AF532" s="2277"/>
      <c r="AG532" s="2114"/>
      <c r="AH532" s="2188">
        <f t="shared" ref="AH532:AI535" si="1184">AH192*$N$387</f>
        <v>0</v>
      </c>
      <c r="AI532" s="2188">
        <f t="shared" si="1184"/>
        <v>0</v>
      </c>
      <c r="AJ532" s="2186">
        <f t="shared" si="1171"/>
        <v>0</v>
      </c>
      <c r="AK532" s="2188">
        <f t="shared" ref="AK532:AL535" si="1185">AK192*$N$387</f>
        <v>0</v>
      </c>
      <c r="AL532" s="2188">
        <f t="shared" si="1185"/>
        <v>0</v>
      </c>
      <c r="AM532" s="2186">
        <f t="shared" si="1172"/>
        <v>0</v>
      </c>
      <c r="AN532" s="2188">
        <f t="shared" ref="AN532:AO535" si="1186">AN192*$N$387</f>
        <v>0</v>
      </c>
      <c r="AO532" s="2188">
        <f t="shared" si="1186"/>
        <v>0</v>
      </c>
      <c r="AP532" s="2186">
        <f t="shared" si="1173"/>
        <v>0</v>
      </c>
      <c r="AQ532" s="2188">
        <f t="shared" ref="AQ532:AR535" si="1187">AQ192*$N$387</f>
        <v>0</v>
      </c>
      <c r="AR532" s="2188">
        <f t="shared" si="1187"/>
        <v>0</v>
      </c>
      <c r="AS532" s="2186">
        <f t="shared" si="1174"/>
        <v>0</v>
      </c>
      <c r="AT532" s="2188">
        <f t="shared" ref="AT532:AU535" si="1188">AT192*$N$387</f>
        <v>0</v>
      </c>
      <c r="AU532" s="2188">
        <f t="shared" si="1188"/>
        <v>0</v>
      </c>
      <c r="AV532" s="2186">
        <f t="shared" si="1175"/>
        <v>0</v>
      </c>
      <c r="AW532" s="2188">
        <f t="shared" ref="AW532:AX535" si="1189">AW192*$N$387</f>
        <v>0</v>
      </c>
      <c r="AX532" s="2188">
        <f t="shared" si="1189"/>
        <v>0</v>
      </c>
      <c r="AY532" s="2186">
        <f t="shared" si="1176"/>
        <v>0</v>
      </c>
      <c r="AZ532" s="2188">
        <f t="shared" ref="AZ532:BA535" si="1190">AZ192*$N$387</f>
        <v>0</v>
      </c>
      <c r="BA532" s="2188">
        <f t="shared" si="1190"/>
        <v>0</v>
      </c>
      <c r="BB532" s="2186">
        <f t="shared" si="1177"/>
        <v>0</v>
      </c>
      <c r="BC532" s="2188">
        <f t="shared" ref="BC532:BD535" si="1191">BC192*$N$387</f>
        <v>0</v>
      </c>
      <c r="BD532" s="2188">
        <f t="shared" si="1191"/>
        <v>0</v>
      </c>
      <c r="BE532" s="2186">
        <f t="shared" si="1178"/>
        <v>0</v>
      </c>
      <c r="BF532" s="2188">
        <f t="shared" ref="BF532:BG535" si="1192">BF192*$N$387</f>
        <v>0</v>
      </c>
      <c r="BG532" s="2188">
        <f t="shared" si="1192"/>
        <v>0</v>
      </c>
      <c r="BH532" s="2186">
        <f t="shared" si="1179"/>
        <v>0</v>
      </c>
      <c r="BI532" s="2188">
        <f t="shared" ref="BI532:BJ535" si="1193">BI192*$N$387</f>
        <v>0</v>
      </c>
      <c r="BJ532" s="2188">
        <f t="shared" si="1193"/>
        <v>0</v>
      </c>
      <c r="BK532" s="2186">
        <f t="shared" si="1180"/>
        <v>0</v>
      </c>
      <c r="BL532" s="2188">
        <f t="shared" ref="BL532:BM535" si="1194">BL192*$N$387</f>
        <v>0</v>
      </c>
      <c r="BM532" s="2188">
        <f t="shared" si="1194"/>
        <v>0</v>
      </c>
      <c r="BN532" s="2186">
        <f t="shared" si="1181"/>
        <v>0</v>
      </c>
      <c r="BO532" s="2188">
        <f t="shared" ref="BO532:BP535" si="1195">BO192*$N$387</f>
        <v>0</v>
      </c>
      <c r="BP532" s="2188">
        <f t="shared" si="1195"/>
        <v>0</v>
      </c>
      <c r="BQ532" s="2186">
        <f t="shared" si="1182"/>
        <v>0</v>
      </c>
    </row>
    <row r="533" spans="3:69" s="2087" customFormat="1">
      <c r="C533" s="2194" t="s">
        <v>2688</v>
      </c>
      <c r="D533" s="2283" t="s">
        <v>2223</v>
      </c>
      <c r="E533" s="2284" t="s">
        <v>1833</v>
      </c>
      <c r="F533" s="2176"/>
      <c r="G533" s="2177"/>
      <c r="H533" s="2177"/>
      <c r="I533" s="2178">
        <f t="shared" si="1112"/>
        <v>0</v>
      </c>
      <c r="J533" s="2176"/>
      <c r="K533" s="2252">
        <f t="shared" si="1010"/>
        <v>0</v>
      </c>
      <c r="L533" s="2252">
        <f t="shared" si="1010"/>
        <v>0</v>
      </c>
      <c r="M533" s="2255">
        <f t="shared" si="1011"/>
        <v>0</v>
      </c>
      <c r="N533" s="2179">
        <f t="shared" si="1183"/>
        <v>0</v>
      </c>
      <c r="O533" s="2179">
        <f t="shared" si="1183"/>
        <v>0</v>
      </c>
      <c r="P533" s="2178">
        <f t="shared" si="1113"/>
        <v>0</v>
      </c>
      <c r="Q533" s="2184">
        <f>Q193*$Q$387</f>
        <v>0</v>
      </c>
      <c r="R533" s="2179">
        <f>R193*$R$387</f>
        <v>0</v>
      </c>
      <c r="S533" s="2180">
        <f t="shared" si="1114"/>
        <v>0</v>
      </c>
      <c r="T533" s="2251">
        <f t="shared" si="1147"/>
        <v>0</v>
      </c>
      <c r="U533" s="2252">
        <f t="shared" si="1147"/>
        <v>0</v>
      </c>
      <c r="V533" s="2253">
        <f t="shared" si="1148"/>
        <v>0</v>
      </c>
      <c r="W533" s="2187">
        <f>W193*$W$387</f>
        <v>0</v>
      </c>
      <c r="X533" s="2179">
        <f>X193*$X$387</f>
        <v>0</v>
      </c>
      <c r="Y533" s="2183">
        <f t="shared" si="1110"/>
        <v>0</v>
      </c>
      <c r="Z533" s="2254">
        <f t="shared" si="1032"/>
        <v>0</v>
      </c>
      <c r="AA533" s="2252">
        <f t="shared" si="1032"/>
        <v>0</v>
      </c>
      <c r="AB533" s="2255">
        <f t="shared" si="1109"/>
        <v>0</v>
      </c>
      <c r="AC533" s="2184">
        <f>AC193*$AC$387</f>
        <v>0</v>
      </c>
      <c r="AD533" s="2179">
        <f>AD193*$AD$387</f>
        <v>0</v>
      </c>
      <c r="AE533" s="2180">
        <f t="shared" si="1111"/>
        <v>0</v>
      </c>
      <c r="AF533" s="2277"/>
      <c r="AG533" s="2114"/>
      <c r="AH533" s="2188">
        <f t="shared" si="1184"/>
        <v>0</v>
      </c>
      <c r="AI533" s="2188">
        <f t="shared" si="1184"/>
        <v>0</v>
      </c>
      <c r="AJ533" s="2186">
        <f t="shared" si="1171"/>
        <v>0</v>
      </c>
      <c r="AK533" s="2188">
        <f t="shared" si="1185"/>
        <v>0</v>
      </c>
      <c r="AL533" s="2188">
        <f t="shared" si="1185"/>
        <v>0</v>
      </c>
      <c r="AM533" s="2186">
        <f t="shared" si="1172"/>
        <v>0</v>
      </c>
      <c r="AN533" s="2188">
        <f t="shared" si="1186"/>
        <v>0</v>
      </c>
      <c r="AO533" s="2188">
        <f t="shared" si="1186"/>
        <v>0</v>
      </c>
      <c r="AP533" s="2186">
        <f t="shared" si="1173"/>
        <v>0</v>
      </c>
      <c r="AQ533" s="2188">
        <f t="shared" si="1187"/>
        <v>0</v>
      </c>
      <c r="AR533" s="2188">
        <f t="shared" si="1187"/>
        <v>0</v>
      </c>
      <c r="AS533" s="2186">
        <f t="shared" si="1174"/>
        <v>0</v>
      </c>
      <c r="AT533" s="2188">
        <f t="shared" si="1188"/>
        <v>0</v>
      </c>
      <c r="AU533" s="2188">
        <f t="shared" si="1188"/>
        <v>0</v>
      </c>
      <c r="AV533" s="2186">
        <f t="shared" si="1175"/>
        <v>0</v>
      </c>
      <c r="AW533" s="2188">
        <f t="shared" si="1189"/>
        <v>0</v>
      </c>
      <c r="AX533" s="2188">
        <f t="shared" si="1189"/>
        <v>0</v>
      </c>
      <c r="AY533" s="2186">
        <f t="shared" si="1176"/>
        <v>0</v>
      </c>
      <c r="AZ533" s="2188">
        <f t="shared" si="1190"/>
        <v>0</v>
      </c>
      <c r="BA533" s="2188">
        <f t="shared" si="1190"/>
        <v>0</v>
      </c>
      <c r="BB533" s="2186">
        <f t="shared" si="1177"/>
        <v>0</v>
      </c>
      <c r="BC533" s="2188">
        <f t="shared" si="1191"/>
        <v>0</v>
      </c>
      <c r="BD533" s="2188">
        <f t="shared" si="1191"/>
        <v>0</v>
      </c>
      <c r="BE533" s="2186">
        <f t="shared" si="1178"/>
        <v>0</v>
      </c>
      <c r="BF533" s="2188">
        <f t="shared" si="1192"/>
        <v>0</v>
      </c>
      <c r="BG533" s="2188">
        <f t="shared" si="1192"/>
        <v>0</v>
      </c>
      <c r="BH533" s="2186">
        <f t="shared" si="1179"/>
        <v>0</v>
      </c>
      <c r="BI533" s="2188">
        <f t="shared" si="1193"/>
        <v>0</v>
      </c>
      <c r="BJ533" s="2188">
        <f t="shared" si="1193"/>
        <v>0</v>
      </c>
      <c r="BK533" s="2186">
        <f t="shared" si="1180"/>
        <v>0</v>
      </c>
      <c r="BL533" s="2188">
        <f t="shared" si="1194"/>
        <v>0</v>
      </c>
      <c r="BM533" s="2188">
        <f t="shared" si="1194"/>
        <v>0</v>
      </c>
      <c r="BN533" s="2186">
        <f t="shared" si="1181"/>
        <v>0</v>
      </c>
      <c r="BO533" s="2188">
        <f t="shared" si="1195"/>
        <v>0</v>
      </c>
      <c r="BP533" s="2188">
        <f t="shared" si="1195"/>
        <v>0</v>
      </c>
      <c r="BQ533" s="2186">
        <f t="shared" si="1182"/>
        <v>0</v>
      </c>
    </row>
    <row r="534" spans="3:69" s="2087" customFormat="1">
      <c r="C534" s="2194" t="s">
        <v>2689</v>
      </c>
      <c r="D534" s="2283" t="s">
        <v>2225</v>
      </c>
      <c r="E534" s="2284" t="s">
        <v>1833</v>
      </c>
      <c r="F534" s="2176"/>
      <c r="G534" s="2177"/>
      <c r="H534" s="2177"/>
      <c r="I534" s="2178">
        <f t="shared" si="1112"/>
        <v>0</v>
      </c>
      <c r="J534" s="2176"/>
      <c r="K534" s="2252">
        <f t="shared" si="1010"/>
        <v>0</v>
      </c>
      <c r="L534" s="2252">
        <f t="shared" si="1010"/>
        <v>0</v>
      </c>
      <c r="M534" s="2255">
        <f t="shared" si="1011"/>
        <v>0</v>
      </c>
      <c r="N534" s="2179">
        <f t="shared" si="1183"/>
        <v>0</v>
      </c>
      <c r="O534" s="2179">
        <f t="shared" si="1183"/>
        <v>0</v>
      </c>
      <c r="P534" s="2178">
        <f t="shared" si="1113"/>
        <v>0</v>
      </c>
      <c r="Q534" s="2184">
        <f>Q194*$Q$387</f>
        <v>0</v>
      </c>
      <c r="R534" s="2179">
        <f>R194*$R$387</f>
        <v>0</v>
      </c>
      <c r="S534" s="2180">
        <f t="shared" si="1114"/>
        <v>0</v>
      </c>
      <c r="T534" s="2251">
        <f t="shared" si="1147"/>
        <v>0</v>
      </c>
      <c r="U534" s="2252">
        <f t="shared" si="1147"/>
        <v>0</v>
      </c>
      <c r="V534" s="2253">
        <f t="shared" si="1148"/>
        <v>0</v>
      </c>
      <c r="W534" s="2187">
        <f>W194*$W$387</f>
        <v>0</v>
      </c>
      <c r="X534" s="2179">
        <f>X194*$X$387</f>
        <v>0</v>
      </c>
      <c r="Y534" s="2183">
        <f t="shared" si="1110"/>
        <v>0</v>
      </c>
      <c r="Z534" s="2254">
        <f t="shared" si="1032"/>
        <v>0</v>
      </c>
      <c r="AA534" s="2252">
        <f t="shared" si="1032"/>
        <v>0</v>
      </c>
      <c r="AB534" s="2255">
        <f t="shared" si="1109"/>
        <v>0</v>
      </c>
      <c r="AC534" s="2184">
        <f>AC194*$AC$387</f>
        <v>0</v>
      </c>
      <c r="AD534" s="2179">
        <f>AD194*$AD$387</f>
        <v>0</v>
      </c>
      <c r="AE534" s="2180">
        <f t="shared" si="1111"/>
        <v>0</v>
      </c>
      <c r="AF534" s="2277"/>
      <c r="AG534" s="2114"/>
      <c r="AH534" s="2188">
        <f t="shared" si="1184"/>
        <v>0</v>
      </c>
      <c r="AI534" s="2188">
        <f t="shared" si="1184"/>
        <v>0</v>
      </c>
      <c r="AJ534" s="2186">
        <f t="shared" si="1171"/>
        <v>0</v>
      </c>
      <c r="AK534" s="2188">
        <f t="shared" si="1185"/>
        <v>0</v>
      </c>
      <c r="AL534" s="2188">
        <f t="shared" si="1185"/>
        <v>0</v>
      </c>
      <c r="AM534" s="2186">
        <f t="shared" si="1172"/>
        <v>0</v>
      </c>
      <c r="AN534" s="2188">
        <f t="shared" si="1186"/>
        <v>0</v>
      </c>
      <c r="AO534" s="2188">
        <f t="shared" si="1186"/>
        <v>0</v>
      </c>
      <c r="AP534" s="2186">
        <f t="shared" si="1173"/>
        <v>0</v>
      </c>
      <c r="AQ534" s="2188">
        <f t="shared" si="1187"/>
        <v>0</v>
      </c>
      <c r="AR534" s="2188">
        <f t="shared" si="1187"/>
        <v>0</v>
      </c>
      <c r="AS534" s="2186">
        <f t="shared" si="1174"/>
        <v>0</v>
      </c>
      <c r="AT534" s="2188">
        <f t="shared" si="1188"/>
        <v>0</v>
      </c>
      <c r="AU534" s="2188">
        <f t="shared" si="1188"/>
        <v>0</v>
      </c>
      <c r="AV534" s="2186">
        <f t="shared" si="1175"/>
        <v>0</v>
      </c>
      <c r="AW534" s="2188">
        <f t="shared" si="1189"/>
        <v>0</v>
      </c>
      <c r="AX534" s="2188">
        <f t="shared" si="1189"/>
        <v>0</v>
      </c>
      <c r="AY534" s="2186">
        <f t="shared" si="1176"/>
        <v>0</v>
      </c>
      <c r="AZ534" s="2188">
        <f t="shared" si="1190"/>
        <v>0</v>
      </c>
      <c r="BA534" s="2188">
        <f t="shared" si="1190"/>
        <v>0</v>
      </c>
      <c r="BB534" s="2186">
        <f t="shared" si="1177"/>
        <v>0</v>
      </c>
      <c r="BC534" s="2188">
        <f t="shared" si="1191"/>
        <v>0</v>
      </c>
      <c r="BD534" s="2188">
        <f t="shared" si="1191"/>
        <v>0</v>
      </c>
      <c r="BE534" s="2186">
        <f t="shared" si="1178"/>
        <v>0</v>
      </c>
      <c r="BF534" s="2188">
        <f t="shared" si="1192"/>
        <v>0</v>
      </c>
      <c r="BG534" s="2188">
        <f t="shared" si="1192"/>
        <v>0</v>
      </c>
      <c r="BH534" s="2186">
        <f t="shared" si="1179"/>
        <v>0</v>
      </c>
      <c r="BI534" s="2188">
        <f t="shared" si="1193"/>
        <v>0</v>
      </c>
      <c r="BJ534" s="2188">
        <f t="shared" si="1193"/>
        <v>0</v>
      </c>
      <c r="BK534" s="2186">
        <f t="shared" si="1180"/>
        <v>0</v>
      </c>
      <c r="BL534" s="2188">
        <f t="shared" si="1194"/>
        <v>0</v>
      </c>
      <c r="BM534" s="2188">
        <f t="shared" si="1194"/>
        <v>0</v>
      </c>
      <c r="BN534" s="2186">
        <f t="shared" si="1181"/>
        <v>0</v>
      </c>
      <c r="BO534" s="2188">
        <f t="shared" si="1195"/>
        <v>0</v>
      </c>
      <c r="BP534" s="2188">
        <f t="shared" si="1195"/>
        <v>0</v>
      </c>
      <c r="BQ534" s="2186">
        <f t="shared" si="1182"/>
        <v>0</v>
      </c>
    </row>
    <row r="535" spans="3:69" s="2087" customFormat="1">
      <c r="C535" s="2194" t="s">
        <v>2690</v>
      </c>
      <c r="D535" s="2283" t="s">
        <v>2227</v>
      </c>
      <c r="E535" s="2284" t="s">
        <v>1833</v>
      </c>
      <c r="F535" s="2176"/>
      <c r="G535" s="2177"/>
      <c r="H535" s="2177"/>
      <c r="I535" s="2178">
        <f t="shared" si="1112"/>
        <v>0</v>
      </c>
      <c r="J535" s="2176"/>
      <c r="K535" s="2252">
        <f t="shared" si="1010"/>
        <v>0</v>
      </c>
      <c r="L535" s="2252">
        <f t="shared" si="1010"/>
        <v>0</v>
      </c>
      <c r="M535" s="2255">
        <f t="shared" si="1011"/>
        <v>0</v>
      </c>
      <c r="N535" s="2179">
        <f t="shared" si="1183"/>
        <v>0</v>
      </c>
      <c r="O535" s="2179">
        <f t="shared" si="1183"/>
        <v>0</v>
      </c>
      <c r="P535" s="2178">
        <f t="shared" si="1113"/>
        <v>0</v>
      </c>
      <c r="Q535" s="2184">
        <f>Q195*$Q$387</f>
        <v>0</v>
      </c>
      <c r="R535" s="2179">
        <f>R195*$R$387</f>
        <v>0</v>
      </c>
      <c r="S535" s="2180">
        <f t="shared" si="1114"/>
        <v>0</v>
      </c>
      <c r="T535" s="2251">
        <f t="shared" si="1147"/>
        <v>0</v>
      </c>
      <c r="U535" s="2252">
        <f t="shared" si="1147"/>
        <v>0</v>
      </c>
      <c r="V535" s="2253">
        <f t="shared" si="1148"/>
        <v>0</v>
      </c>
      <c r="W535" s="2187">
        <f>W195*$W$387</f>
        <v>0</v>
      </c>
      <c r="X535" s="2179">
        <f>X195*$X$387</f>
        <v>0</v>
      </c>
      <c r="Y535" s="2183">
        <f t="shared" si="1110"/>
        <v>0</v>
      </c>
      <c r="Z535" s="2254">
        <f t="shared" si="1032"/>
        <v>0</v>
      </c>
      <c r="AA535" s="2252">
        <f t="shared" si="1032"/>
        <v>0</v>
      </c>
      <c r="AB535" s="2255">
        <f t="shared" si="1109"/>
        <v>0</v>
      </c>
      <c r="AC535" s="2184">
        <f>AC195*$AC$387</f>
        <v>0</v>
      </c>
      <c r="AD535" s="2179">
        <f>AD195*$AD$387</f>
        <v>0</v>
      </c>
      <c r="AE535" s="2180">
        <f t="shared" si="1111"/>
        <v>0</v>
      </c>
      <c r="AF535" s="2277"/>
      <c r="AG535" s="2114"/>
      <c r="AH535" s="2188">
        <f t="shared" si="1184"/>
        <v>0</v>
      </c>
      <c r="AI535" s="2188">
        <f t="shared" si="1184"/>
        <v>0</v>
      </c>
      <c r="AJ535" s="2186">
        <f t="shared" si="1171"/>
        <v>0</v>
      </c>
      <c r="AK535" s="2188">
        <f t="shared" si="1185"/>
        <v>0</v>
      </c>
      <c r="AL535" s="2188">
        <f t="shared" si="1185"/>
        <v>0</v>
      </c>
      <c r="AM535" s="2186">
        <f t="shared" si="1172"/>
        <v>0</v>
      </c>
      <c r="AN535" s="2188">
        <f t="shared" si="1186"/>
        <v>0</v>
      </c>
      <c r="AO535" s="2188">
        <f t="shared" si="1186"/>
        <v>0</v>
      </c>
      <c r="AP535" s="2186">
        <f t="shared" si="1173"/>
        <v>0</v>
      </c>
      <c r="AQ535" s="2188">
        <f t="shared" si="1187"/>
        <v>0</v>
      </c>
      <c r="AR535" s="2188">
        <f t="shared" si="1187"/>
        <v>0</v>
      </c>
      <c r="AS535" s="2186">
        <f t="shared" si="1174"/>
        <v>0</v>
      </c>
      <c r="AT535" s="2188">
        <f t="shared" si="1188"/>
        <v>0</v>
      </c>
      <c r="AU535" s="2188">
        <f t="shared" si="1188"/>
        <v>0</v>
      </c>
      <c r="AV535" s="2186">
        <f t="shared" si="1175"/>
        <v>0</v>
      </c>
      <c r="AW535" s="2188">
        <f t="shared" si="1189"/>
        <v>0</v>
      </c>
      <c r="AX535" s="2188">
        <f t="shared" si="1189"/>
        <v>0</v>
      </c>
      <c r="AY535" s="2186">
        <f t="shared" si="1176"/>
        <v>0</v>
      </c>
      <c r="AZ535" s="2188">
        <f t="shared" si="1190"/>
        <v>0</v>
      </c>
      <c r="BA535" s="2188">
        <f t="shared" si="1190"/>
        <v>0</v>
      </c>
      <c r="BB535" s="2186">
        <f t="shared" si="1177"/>
        <v>0</v>
      </c>
      <c r="BC535" s="2188">
        <f t="shared" si="1191"/>
        <v>0</v>
      </c>
      <c r="BD535" s="2188">
        <f t="shared" si="1191"/>
        <v>0</v>
      </c>
      <c r="BE535" s="2186">
        <f t="shared" si="1178"/>
        <v>0</v>
      </c>
      <c r="BF535" s="2188">
        <f t="shared" si="1192"/>
        <v>0</v>
      </c>
      <c r="BG535" s="2188">
        <f t="shared" si="1192"/>
        <v>0</v>
      </c>
      <c r="BH535" s="2186">
        <f t="shared" si="1179"/>
        <v>0</v>
      </c>
      <c r="BI535" s="2188">
        <f t="shared" si="1193"/>
        <v>0</v>
      </c>
      <c r="BJ535" s="2188">
        <f t="shared" si="1193"/>
        <v>0</v>
      </c>
      <c r="BK535" s="2186">
        <f t="shared" si="1180"/>
        <v>0</v>
      </c>
      <c r="BL535" s="2188">
        <f t="shared" si="1194"/>
        <v>0</v>
      </c>
      <c r="BM535" s="2188">
        <f t="shared" si="1194"/>
        <v>0</v>
      </c>
      <c r="BN535" s="2186">
        <f t="shared" si="1181"/>
        <v>0</v>
      </c>
      <c r="BO535" s="2188">
        <f t="shared" si="1195"/>
        <v>0</v>
      </c>
      <c r="BP535" s="2188">
        <f t="shared" si="1195"/>
        <v>0</v>
      </c>
      <c r="BQ535" s="2186">
        <f t="shared" si="1182"/>
        <v>0</v>
      </c>
    </row>
    <row r="536" spans="3:69" s="2087" customFormat="1">
      <c r="C536" s="2194" t="s">
        <v>2691</v>
      </c>
      <c r="D536" s="2283" t="s">
        <v>2229</v>
      </c>
      <c r="E536" s="2284" t="s">
        <v>1833</v>
      </c>
      <c r="F536" s="2176"/>
      <c r="G536" s="2177"/>
      <c r="H536" s="2177"/>
      <c r="I536" s="2186"/>
      <c r="J536" s="2176"/>
      <c r="K536" s="2252">
        <f t="shared" si="1010"/>
        <v>0</v>
      </c>
      <c r="L536" s="2252">
        <f t="shared" si="1010"/>
        <v>0</v>
      </c>
      <c r="M536" s="2255">
        <f t="shared" si="1011"/>
        <v>0</v>
      </c>
      <c r="N536" s="2177"/>
      <c r="O536" s="2177"/>
      <c r="P536" s="2186"/>
      <c r="Q536" s="2177"/>
      <c r="R536" s="2177"/>
      <c r="S536" s="2266"/>
      <c r="T536" s="2251">
        <f t="shared" si="1147"/>
        <v>0</v>
      </c>
      <c r="U536" s="2252">
        <f t="shared" si="1147"/>
        <v>0</v>
      </c>
      <c r="V536" s="2253">
        <f t="shared" si="1148"/>
        <v>0</v>
      </c>
      <c r="W536" s="2182"/>
      <c r="X536" s="2177"/>
      <c r="Y536" s="2271"/>
      <c r="Z536" s="2254">
        <f t="shared" si="1032"/>
        <v>0</v>
      </c>
      <c r="AA536" s="2252">
        <f t="shared" si="1032"/>
        <v>0</v>
      </c>
      <c r="AB536" s="2255">
        <f t="shared" si="1109"/>
        <v>0</v>
      </c>
      <c r="AC536" s="2177"/>
      <c r="AD536" s="2177"/>
      <c r="AE536" s="2266"/>
      <c r="AF536" s="2277"/>
      <c r="AG536" s="2114"/>
      <c r="AH536" s="2177"/>
      <c r="AI536" s="2177"/>
      <c r="AJ536" s="2186"/>
      <c r="AK536" s="2177"/>
      <c r="AL536" s="2177"/>
      <c r="AM536" s="2186"/>
      <c r="AN536" s="2177"/>
      <c r="AO536" s="2177"/>
      <c r="AP536" s="2186"/>
      <c r="AQ536" s="2177"/>
      <c r="AR536" s="2177"/>
      <c r="AS536" s="2186"/>
      <c r="AT536" s="2177"/>
      <c r="AU536" s="2177"/>
      <c r="AV536" s="2186"/>
      <c r="AW536" s="2177"/>
      <c r="AX536" s="2177"/>
      <c r="AY536" s="2186"/>
      <c r="AZ536" s="2177"/>
      <c r="BA536" s="2177"/>
      <c r="BB536" s="2186"/>
      <c r="BC536" s="2177"/>
      <c r="BD536" s="2177"/>
      <c r="BE536" s="2186"/>
      <c r="BF536" s="2177"/>
      <c r="BG536" s="2177"/>
      <c r="BH536" s="2186"/>
      <c r="BI536" s="2177"/>
      <c r="BJ536" s="2177"/>
      <c r="BK536" s="2186"/>
      <c r="BL536" s="2177"/>
      <c r="BM536" s="2177"/>
      <c r="BN536" s="2186"/>
      <c r="BO536" s="2177"/>
      <c r="BP536" s="2177"/>
      <c r="BQ536" s="2186"/>
    </row>
    <row r="537" spans="3:69" s="2087" customFormat="1">
      <c r="C537" s="2285" t="s">
        <v>2692</v>
      </c>
      <c r="D537" s="2287" t="s">
        <v>2255</v>
      </c>
      <c r="E537" s="2284" t="s">
        <v>1833</v>
      </c>
      <c r="F537" s="2176"/>
      <c r="G537" s="2252">
        <f>G538+G539+G540+G541+G542</f>
        <v>0</v>
      </c>
      <c r="H537" s="2252">
        <f>H538+H539+H540+H541+H542</f>
        <v>0</v>
      </c>
      <c r="I537" s="2178">
        <f t="shared" ref="I537" si="1196">H537-G537</f>
        <v>0</v>
      </c>
      <c r="J537" s="2176"/>
      <c r="K537" s="2252">
        <f t="shared" si="1010"/>
        <v>0</v>
      </c>
      <c r="L537" s="2179">
        <f t="shared" si="1010"/>
        <v>0</v>
      </c>
      <c r="M537" s="2178">
        <f t="shared" si="1011"/>
        <v>0</v>
      </c>
      <c r="N537" s="2179">
        <f>N538+N539+N540+N541+N542</f>
        <v>0</v>
      </c>
      <c r="O537" s="2179">
        <f>O538+O539+O540+O541+O542</f>
        <v>0</v>
      </c>
      <c r="P537" s="2178">
        <f t="shared" ref="P537" si="1197">O537-N537</f>
        <v>0</v>
      </c>
      <c r="Q537" s="2179">
        <f>Q538+Q539+Q540+Q541+Q542</f>
        <v>0</v>
      </c>
      <c r="R537" s="2179">
        <f>R538+R539+R540+R541+R542</f>
        <v>0</v>
      </c>
      <c r="S537" s="2180">
        <f t="shared" ref="S537" si="1198">R537-Q537</f>
        <v>0</v>
      </c>
      <c r="T537" s="2181">
        <f t="shared" si="1147"/>
        <v>0</v>
      </c>
      <c r="U537" s="2179">
        <f t="shared" si="1147"/>
        <v>0</v>
      </c>
      <c r="V537" s="2180">
        <f t="shared" si="1148"/>
        <v>0</v>
      </c>
      <c r="W537" s="2187">
        <f>W538+W539+W540+W541+W542</f>
        <v>0</v>
      </c>
      <c r="X537" s="2179">
        <f>X538+X539+X540+X541+X542</f>
        <v>0</v>
      </c>
      <c r="Y537" s="2183">
        <f t="shared" ref="Y537" si="1199">X537-W537</f>
        <v>0</v>
      </c>
      <c r="Z537" s="2184">
        <f t="shared" si="1032"/>
        <v>0</v>
      </c>
      <c r="AA537" s="2179">
        <f t="shared" si="1032"/>
        <v>0</v>
      </c>
      <c r="AB537" s="2178">
        <f t="shared" si="1109"/>
        <v>0</v>
      </c>
      <c r="AC537" s="2179">
        <f>AC538+AC539+AC540+AC541+AC542</f>
        <v>0</v>
      </c>
      <c r="AD537" s="2179">
        <f>AD538+AD539+AD540+AD541+AD542</f>
        <v>0</v>
      </c>
      <c r="AE537" s="2180">
        <f t="shared" ref="AE537" si="1200">AD537-AC537</f>
        <v>0</v>
      </c>
      <c r="AF537" s="2277"/>
      <c r="AG537" s="2114"/>
      <c r="AH537" s="2188">
        <f>AH538+AH539+AH540+AH541+AH542</f>
        <v>0</v>
      </c>
      <c r="AI537" s="2188">
        <f>AI538+AI539+AI540+AI541+AI542</f>
        <v>0</v>
      </c>
      <c r="AJ537" s="2186">
        <f t="shared" ref="AJ537:AJ541" si="1201">AI537-AH537</f>
        <v>0</v>
      </c>
      <c r="AK537" s="2188">
        <f>AK538+AK539+AK540+AK541+AK542</f>
        <v>0</v>
      </c>
      <c r="AL537" s="2188">
        <f>AL538+AL539+AL540+AL541+AL542</f>
        <v>0</v>
      </c>
      <c r="AM537" s="2186">
        <f t="shared" ref="AM537:AM541" si="1202">AL537-AK537</f>
        <v>0</v>
      </c>
      <c r="AN537" s="2188">
        <f>AN538+AN539+AN540+AN541+AN542</f>
        <v>0</v>
      </c>
      <c r="AO537" s="2188">
        <f>AO538+AO539+AO540+AO541+AO542</f>
        <v>0</v>
      </c>
      <c r="AP537" s="2186">
        <f t="shared" ref="AP537:AP541" si="1203">AO537-AN537</f>
        <v>0</v>
      </c>
      <c r="AQ537" s="2188">
        <f>AQ538+AQ539+AQ540+AQ541+AQ542</f>
        <v>0</v>
      </c>
      <c r="AR537" s="2188">
        <f>AR538+AR539+AR540+AR541+AR542</f>
        <v>0</v>
      </c>
      <c r="AS537" s="2186">
        <f t="shared" ref="AS537:AS541" si="1204">AR537-AQ537</f>
        <v>0</v>
      </c>
      <c r="AT537" s="2188">
        <f>AT538+AT539+AT540+AT541+AT542</f>
        <v>0</v>
      </c>
      <c r="AU537" s="2188">
        <f>AU538+AU539+AU540+AU541+AU542</f>
        <v>0</v>
      </c>
      <c r="AV537" s="2186">
        <f t="shared" ref="AV537:AV541" si="1205">AU537-AT537</f>
        <v>0</v>
      </c>
      <c r="AW537" s="2188">
        <f>AW538+AW539+AW540+AW541+AW542</f>
        <v>0</v>
      </c>
      <c r="AX537" s="2188">
        <f>AX538+AX539+AX540+AX541+AX542</f>
        <v>0</v>
      </c>
      <c r="AY537" s="2186">
        <f t="shared" ref="AY537:AY541" si="1206">AX537-AW537</f>
        <v>0</v>
      </c>
      <c r="AZ537" s="2188">
        <f>AZ538+AZ539+AZ540+AZ541+AZ542</f>
        <v>0</v>
      </c>
      <c r="BA537" s="2188">
        <f>BA538+BA539+BA540+BA541+BA542</f>
        <v>0</v>
      </c>
      <c r="BB537" s="2186">
        <f t="shared" ref="BB537:BB541" si="1207">BA537-AZ537</f>
        <v>0</v>
      </c>
      <c r="BC537" s="2188">
        <f>BC538+BC539+BC540+BC541+BC542</f>
        <v>0</v>
      </c>
      <c r="BD537" s="2188">
        <f>BD538+BD539+BD540+BD541+BD542</f>
        <v>0</v>
      </c>
      <c r="BE537" s="2186">
        <f t="shared" ref="BE537:BE541" si="1208">BD537-BC537</f>
        <v>0</v>
      </c>
      <c r="BF537" s="2188">
        <f>BF538+BF539+BF540+BF541+BF542</f>
        <v>0</v>
      </c>
      <c r="BG537" s="2188">
        <f>BG538+BG539+BG540+BG541+BG542</f>
        <v>0</v>
      </c>
      <c r="BH537" s="2186">
        <f t="shared" ref="BH537:BH541" si="1209">BG537-BF537</f>
        <v>0</v>
      </c>
      <c r="BI537" s="2188">
        <f>BI538+BI539+BI540+BI541+BI542</f>
        <v>0</v>
      </c>
      <c r="BJ537" s="2188">
        <f>BJ538+BJ539+BJ540+BJ541+BJ542</f>
        <v>0</v>
      </c>
      <c r="BK537" s="2186">
        <f t="shared" ref="BK537:BK541" si="1210">BJ537-BI537</f>
        <v>0</v>
      </c>
      <c r="BL537" s="2188">
        <f>BL538+BL539+BL540+BL541+BL542</f>
        <v>0</v>
      </c>
      <c r="BM537" s="2188">
        <f>BM538+BM539+BM540+BM541+BM542</f>
        <v>0</v>
      </c>
      <c r="BN537" s="2186">
        <f t="shared" ref="BN537:BN541" si="1211">BM537-BL537</f>
        <v>0</v>
      </c>
      <c r="BO537" s="2188">
        <f>BO538+BO539+BO540+BO541+BO542</f>
        <v>0</v>
      </c>
      <c r="BP537" s="2188">
        <f>BP538+BP539+BP540+BP541+BP542</f>
        <v>0</v>
      </c>
      <c r="BQ537" s="2186">
        <f t="shared" ref="BQ537:BQ541" si="1212">BP537-BO537</f>
        <v>0</v>
      </c>
    </row>
    <row r="538" spans="3:69" s="2087" customFormat="1">
      <c r="C538" s="2194" t="s">
        <v>2693</v>
      </c>
      <c r="D538" s="2283" t="s">
        <v>2221</v>
      </c>
      <c r="E538" s="2284" t="s">
        <v>1833</v>
      </c>
      <c r="F538" s="2176"/>
      <c r="G538" s="2177"/>
      <c r="H538" s="2177"/>
      <c r="I538" s="2178">
        <f t="shared" si="1112"/>
        <v>0</v>
      </c>
      <c r="J538" s="2176"/>
      <c r="K538" s="2252">
        <f t="shared" si="1010"/>
        <v>0</v>
      </c>
      <c r="L538" s="2252">
        <f t="shared" si="1010"/>
        <v>0</v>
      </c>
      <c r="M538" s="2255">
        <f t="shared" si="1011"/>
        <v>0</v>
      </c>
      <c r="N538" s="2179">
        <f>N198*$N$389</f>
        <v>0</v>
      </c>
      <c r="O538" s="2179">
        <f>O198*$O$389</f>
        <v>0</v>
      </c>
      <c r="P538" s="2178">
        <f t="shared" si="1113"/>
        <v>0</v>
      </c>
      <c r="Q538" s="2184">
        <f>Q198*$Q$389</f>
        <v>0</v>
      </c>
      <c r="R538" s="2179">
        <f>R198*$R$389</f>
        <v>0</v>
      </c>
      <c r="S538" s="2180">
        <f t="shared" si="1114"/>
        <v>0</v>
      </c>
      <c r="T538" s="2251">
        <f t="shared" si="1147"/>
        <v>0</v>
      </c>
      <c r="U538" s="2252">
        <f t="shared" si="1147"/>
        <v>0</v>
      </c>
      <c r="V538" s="2253">
        <f t="shared" si="1148"/>
        <v>0</v>
      </c>
      <c r="W538" s="2187">
        <f>W198*$W$389</f>
        <v>0</v>
      </c>
      <c r="X538" s="2179">
        <f>X198*$X$389</f>
        <v>0</v>
      </c>
      <c r="Y538" s="2183">
        <f t="shared" si="1110"/>
        <v>0</v>
      </c>
      <c r="Z538" s="2254">
        <f t="shared" si="1032"/>
        <v>0</v>
      </c>
      <c r="AA538" s="2252">
        <f t="shared" si="1032"/>
        <v>0</v>
      </c>
      <c r="AB538" s="2255">
        <f t="shared" si="1109"/>
        <v>0</v>
      </c>
      <c r="AC538" s="2184">
        <f>AC198*$AC$389</f>
        <v>0</v>
      </c>
      <c r="AD538" s="2179">
        <f>AD198*$AD$389</f>
        <v>0</v>
      </c>
      <c r="AE538" s="2180">
        <f t="shared" si="1111"/>
        <v>0</v>
      </c>
      <c r="AF538" s="2277"/>
      <c r="AG538" s="2114"/>
      <c r="AH538" s="2188">
        <f>AH198*$N$389</f>
        <v>0</v>
      </c>
      <c r="AI538" s="2188">
        <f>AI198*$O$389</f>
        <v>0</v>
      </c>
      <c r="AJ538" s="2186">
        <f t="shared" si="1201"/>
        <v>0</v>
      </c>
      <c r="AK538" s="2188">
        <f>AK198*$N$389</f>
        <v>0</v>
      </c>
      <c r="AL538" s="2188">
        <f>AL198*$O$389</f>
        <v>0</v>
      </c>
      <c r="AM538" s="2186">
        <f t="shared" si="1202"/>
        <v>0</v>
      </c>
      <c r="AN538" s="2188">
        <f>AN198*$N$389</f>
        <v>0</v>
      </c>
      <c r="AO538" s="2188">
        <f>AO198*$O$389</f>
        <v>0</v>
      </c>
      <c r="AP538" s="2186">
        <f t="shared" si="1203"/>
        <v>0</v>
      </c>
      <c r="AQ538" s="2188">
        <f>AQ198*$N$389</f>
        <v>0</v>
      </c>
      <c r="AR538" s="2188">
        <f>AR198*$O$389</f>
        <v>0</v>
      </c>
      <c r="AS538" s="2186">
        <f t="shared" si="1204"/>
        <v>0</v>
      </c>
      <c r="AT538" s="2188">
        <f>AT198*$N$389</f>
        <v>0</v>
      </c>
      <c r="AU538" s="2188">
        <f>AU198*$O$389</f>
        <v>0</v>
      </c>
      <c r="AV538" s="2186">
        <f t="shared" si="1205"/>
        <v>0</v>
      </c>
      <c r="AW538" s="2188">
        <f>AW198*$N$389</f>
        <v>0</v>
      </c>
      <c r="AX538" s="2188">
        <f>AX198*$O$389</f>
        <v>0</v>
      </c>
      <c r="AY538" s="2186">
        <f t="shared" si="1206"/>
        <v>0</v>
      </c>
      <c r="AZ538" s="2188">
        <f>AZ198*$N$389</f>
        <v>0</v>
      </c>
      <c r="BA538" s="2188">
        <f>BA198*$O$389</f>
        <v>0</v>
      </c>
      <c r="BB538" s="2186">
        <f t="shared" si="1207"/>
        <v>0</v>
      </c>
      <c r="BC538" s="2188">
        <f>BC198*$N$389</f>
        <v>0</v>
      </c>
      <c r="BD538" s="2188">
        <f>BD198*$O$389</f>
        <v>0</v>
      </c>
      <c r="BE538" s="2186">
        <f t="shared" si="1208"/>
        <v>0</v>
      </c>
      <c r="BF538" s="2188">
        <f>BF198*$N$389</f>
        <v>0</v>
      </c>
      <c r="BG538" s="2188">
        <f>BG198*$O$389</f>
        <v>0</v>
      </c>
      <c r="BH538" s="2186">
        <f t="shared" si="1209"/>
        <v>0</v>
      </c>
      <c r="BI538" s="2188">
        <f>BI198*$N$389</f>
        <v>0</v>
      </c>
      <c r="BJ538" s="2188">
        <f>BJ198*$O$389</f>
        <v>0</v>
      </c>
      <c r="BK538" s="2186">
        <f t="shared" si="1210"/>
        <v>0</v>
      </c>
      <c r="BL538" s="2188">
        <f>BL198*$N$389</f>
        <v>0</v>
      </c>
      <c r="BM538" s="2188">
        <f>BM198*$O$389</f>
        <v>0</v>
      </c>
      <c r="BN538" s="2186">
        <f t="shared" si="1211"/>
        <v>0</v>
      </c>
      <c r="BO538" s="2188">
        <f>BO198*$N$389</f>
        <v>0</v>
      </c>
      <c r="BP538" s="2188">
        <f>BP198*$O$389</f>
        <v>0</v>
      </c>
      <c r="BQ538" s="2186">
        <f t="shared" si="1212"/>
        <v>0</v>
      </c>
    </row>
    <row r="539" spans="3:69" s="2087" customFormat="1">
      <c r="C539" s="2194" t="s">
        <v>2694</v>
      </c>
      <c r="D539" s="2283" t="s">
        <v>2223</v>
      </c>
      <c r="E539" s="2284" t="s">
        <v>1833</v>
      </c>
      <c r="F539" s="2176"/>
      <c r="G539" s="2177"/>
      <c r="H539" s="2177"/>
      <c r="I539" s="2178">
        <f t="shared" si="1112"/>
        <v>0</v>
      </c>
      <c r="J539" s="2176"/>
      <c r="K539" s="2252">
        <f t="shared" si="1010"/>
        <v>0</v>
      </c>
      <c r="L539" s="2252">
        <f t="shared" si="1010"/>
        <v>0</v>
      </c>
      <c r="M539" s="2255">
        <f t="shared" si="1011"/>
        <v>0</v>
      </c>
      <c r="N539" s="2179">
        <f>N199*$N$389</f>
        <v>0</v>
      </c>
      <c r="O539" s="2179">
        <f>O199*$O$389</f>
        <v>0</v>
      </c>
      <c r="P539" s="2178">
        <f t="shared" si="1113"/>
        <v>0</v>
      </c>
      <c r="Q539" s="2184">
        <f>Q199*$Q$389</f>
        <v>0</v>
      </c>
      <c r="R539" s="2179">
        <f>R199*$R$389</f>
        <v>0</v>
      </c>
      <c r="S539" s="2180">
        <f t="shared" si="1114"/>
        <v>0</v>
      </c>
      <c r="T539" s="2251">
        <f t="shared" si="1147"/>
        <v>0</v>
      </c>
      <c r="U539" s="2252">
        <f t="shared" si="1147"/>
        <v>0</v>
      </c>
      <c r="V539" s="2253">
        <f t="shared" si="1148"/>
        <v>0</v>
      </c>
      <c r="W539" s="2187">
        <f>W199*$W$389</f>
        <v>0</v>
      </c>
      <c r="X539" s="2179">
        <f>X199*$X$389</f>
        <v>0</v>
      </c>
      <c r="Y539" s="2183">
        <f t="shared" si="1110"/>
        <v>0</v>
      </c>
      <c r="Z539" s="2254">
        <f t="shared" si="1032"/>
        <v>0</v>
      </c>
      <c r="AA539" s="2252">
        <f t="shared" si="1032"/>
        <v>0</v>
      </c>
      <c r="AB539" s="2255">
        <f t="shared" si="1109"/>
        <v>0</v>
      </c>
      <c r="AC539" s="2184">
        <f>AC199*$AC$389</f>
        <v>0</v>
      </c>
      <c r="AD539" s="2179">
        <f>AD199*$AD$389</f>
        <v>0</v>
      </c>
      <c r="AE539" s="2180">
        <f t="shared" si="1111"/>
        <v>0</v>
      </c>
      <c r="AF539" s="2277"/>
      <c r="AG539" s="2114"/>
      <c r="AH539" s="2188">
        <f>AH199*$N$389</f>
        <v>0</v>
      </c>
      <c r="AI539" s="2188">
        <f>AI199*$O$389</f>
        <v>0</v>
      </c>
      <c r="AJ539" s="2186">
        <f t="shared" si="1201"/>
        <v>0</v>
      </c>
      <c r="AK539" s="2188">
        <f>AK199*$N$389</f>
        <v>0</v>
      </c>
      <c r="AL539" s="2188">
        <f>AL199*$O$389</f>
        <v>0</v>
      </c>
      <c r="AM539" s="2186">
        <f t="shared" si="1202"/>
        <v>0</v>
      </c>
      <c r="AN539" s="2188">
        <f>AN199*$N$389</f>
        <v>0</v>
      </c>
      <c r="AO539" s="2188">
        <f>AO199*$O$389</f>
        <v>0</v>
      </c>
      <c r="AP539" s="2186">
        <f t="shared" si="1203"/>
        <v>0</v>
      </c>
      <c r="AQ539" s="2188">
        <f>AQ199*$N$389</f>
        <v>0</v>
      </c>
      <c r="AR539" s="2188">
        <f>AR199*$O$389</f>
        <v>0</v>
      </c>
      <c r="AS539" s="2186">
        <f t="shared" si="1204"/>
        <v>0</v>
      </c>
      <c r="AT539" s="2188">
        <f>AT199*$N$389</f>
        <v>0</v>
      </c>
      <c r="AU539" s="2188">
        <f>AU199*$O$389</f>
        <v>0</v>
      </c>
      <c r="AV539" s="2186">
        <f t="shared" si="1205"/>
        <v>0</v>
      </c>
      <c r="AW539" s="2188">
        <f>AW199*$N$389</f>
        <v>0</v>
      </c>
      <c r="AX539" s="2188">
        <f>AX199*$O$389</f>
        <v>0</v>
      </c>
      <c r="AY539" s="2186">
        <f t="shared" si="1206"/>
        <v>0</v>
      </c>
      <c r="AZ539" s="2188">
        <f>AZ199*$N$389</f>
        <v>0</v>
      </c>
      <c r="BA539" s="2188">
        <f>BA199*$O$389</f>
        <v>0</v>
      </c>
      <c r="BB539" s="2186">
        <f t="shared" si="1207"/>
        <v>0</v>
      </c>
      <c r="BC539" s="2188">
        <f>BC199*$N$389</f>
        <v>0</v>
      </c>
      <c r="BD539" s="2188">
        <f>BD199*$O$389</f>
        <v>0</v>
      </c>
      <c r="BE539" s="2186">
        <f t="shared" si="1208"/>
        <v>0</v>
      </c>
      <c r="BF539" s="2188">
        <f>BF199*$N$389</f>
        <v>0</v>
      </c>
      <c r="BG539" s="2188">
        <f>BG199*$O$389</f>
        <v>0</v>
      </c>
      <c r="BH539" s="2186">
        <f t="shared" si="1209"/>
        <v>0</v>
      </c>
      <c r="BI539" s="2188">
        <f>BI199*$N$389</f>
        <v>0</v>
      </c>
      <c r="BJ539" s="2188">
        <f>BJ199*$O$389</f>
        <v>0</v>
      </c>
      <c r="BK539" s="2186">
        <f t="shared" si="1210"/>
        <v>0</v>
      </c>
      <c r="BL539" s="2188">
        <f>BL199*$N$389</f>
        <v>0</v>
      </c>
      <c r="BM539" s="2188">
        <f>BM199*$O$389</f>
        <v>0</v>
      </c>
      <c r="BN539" s="2186">
        <f t="shared" si="1211"/>
        <v>0</v>
      </c>
      <c r="BO539" s="2188">
        <f>BO199*$N$389</f>
        <v>0</v>
      </c>
      <c r="BP539" s="2188">
        <f>BP199*$O$389</f>
        <v>0</v>
      </c>
      <c r="BQ539" s="2186">
        <f t="shared" si="1212"/>
        <v>0</v>
      </c>
    </row>
    <row r="540" spans="3:69" s="2087" customFormat="1">
      <c r="C540" s="2194" t="s">
        <v>2695</v>
      </c>
      <c r="D540" s="2283" t="s">
        <v>2225</v>
      </c>
      <c r="E540" s="2284" t="s">
        <v>1833</v>
      </c>
      <c r="F540" s="2176"/>
      <c r="G540" s="2177"/>
      <c r="H540" s="2177"/>
      <c r="I540" s="2178">
        <f t="shared" si="1112"/>
        <v>0</v>
      </c>
      <c r="J540" s="2176"/>
      <c r="K540" s="2252">
        <f t="shared" si="1010"/>
        <v>0</v>
      </c>
      <c r="L540" s="2252">
        <f t="shared" si="1010"/>
        <v>0</v>
      </c>
      <c r="M540" s="2255">
        <f t="shared" si="1011"/>
        <v>0</v>
      </c>
      <c r="N540" s="2179">
        <f>N200*$N$389</f>
        <v>0</v>
      </c>
      <c r="O540" s="2179">
        <f>O200*$O$389</f>
        <v>0</v>
      </c>
      <c r="P540" s="2178">
        <f t="shared" si="1113"/>
        <v>0</v>
      </c>
      <c r="Q540" s="2184">
        <f>Q200*$Q$389</f>
        <v>0</v>
      </c>
      <c r="R540" s="2179">
        <f>R200*$R$389</f>
        <v>0</v>
      </c>
      <c r="S540" s="2180">
        <f t="shared" si="1114"/>
        <v>0</v>
      </c>
      <c r="T540" s="2251">
        <f t="shared" si="1147"/>
        <v>0</v>
      </c>
      <c r="U540" s="2252">
        <f t="shared" si="1147"/>
        <v>0</v>
      </c>
      <c r="V540" s="2253">
        <f t="shared" si="1148"/>
        <v>0</v>
      </c>
      <c r="W540" s="2187">
        <f>W200*$W$389</f>
        <v>0</v>
      </c>
      <c r="X540" s="2179">
        <f>X200*$X$389</f>
        <v>0</v>
      </c>
      <c r="Y540" s="2183">
        <f t="shared" si="1110"/>
        <v>0</v>
      </c>
      <c r="Z540" s="2254">
        <f t="shared" si="1032"/>
        <v>0</v>
      </c>
      <c r="AA540" s="2252">
        <f t="shared" si="1032"/>
        <v>0</v>
      </c>
      <c r="AB540" s="2255">
        <f t="shared" si="1109"/>
        <v>0</v>
      </c>
      <c r="AC540" s="2184">
        <f>AC200*$AC$389</f>
        <v>0</v>
      </c>
      <c r="AD540" s="2179">
        <f>AD200*$AD$389</f>
        <v>0</v>
      </c>
      <c r="AE540" s="2180">
        <f t="shared" si="1111"/>
        <v>0</v>
      </c>
      <c r="AF540" s="2277"/>
      <c r="AG540" s="2114"/>
      <c r="AH540" s="2188">
        <f>AH200*$N$389</f>
        <v>0</v>
      </c>
      <c r="AI540" s="2188">
        <f>AI200*$O$389</f>
        <v>0</v>
      </c>
      <c r="AJ540" s="2186">
        <f t="shared" si="1201"/>
        <v>0</v>
      </c>
      <c r="AK540" s="2188">
        <f>AK200*$N$389</f>
        <v>0</v>
      </c>
      <c r="AL540" s="2188">
        <f>AL200*$O$389</f>
        <v>0</v>
      </c>
      <c r="AM540" s="2186">
        <f t="shared" si="1202"/>
        <v>0</v>
      </c>
      <c r="AN540" s="2188">
        <f>AN200*$N$389</f>
        <v>0</v>
      </c>
      <c r="AO540" s="2188">
        <f>AO200*$O$389</f>
        <v>0</v>
      </c>
      <c r="AP540" s="2186">
        <f t="shared" si="1203"/>
        <v>0</v>
      </c>
      <c r="AQ540" s="2188">
        <f>AQ200*$N$389</f>
        <v>0</v>
      </c>
      <c r="AR540" s="2188">
        <f>AR200*$O$389</f>
        <v>0</v>
      </c>
      <c r="AS540" s="2186">
        <f t="shared" si="1204"/>
        <v>0</v>
      </c>
      <c r="AT540" s="2188">
        <f>AT200*$N$389</f>
        <v>0</v>
      </c>
      <c r="AU540" s="2188">
        <f>AU200*$O$389</f>
        <v>0</v>
      </c>
      <c r="AV540" s="2186">
        <f t="shared" si="1205"/>
        <v>0</v>
      </c>
      <c r="AW540" s="2188">
        <f>AW200*$N$389</f>
        <v>0</v>
      </c>
      <c r="AX540" s="2188">
        <f>AX200*$O$389</f>
        <v>0</v>
      </c>
      <c r="AY540" s="2186">
        <f t="shared" si="1206"/>
        <v>0</v>
      </c>
      <c r="AZ540" s="2188">
        <f>AZ200*$N$389</f>
        <v>0</v>
      </c>
      <c r="BA540" s="2188">
        <f>BA200*$O$389</f>
        <v>0</v>
      </c>
      <c r="BB540" s="2186">
        <f t="shared" si="1207"/>
        <v>0</v>
      </c>
      <c r="BC540" s="2188">
        <f>BC200*$N$389</f>
        <v>0</v>
      </c>
      <c r="BD540" s="2188">
        <f>BD200*$O$389</f>
        <v>0</v>
      </c>
      <c r="BE540" s="2186">
        <f t="shared" si="1208"/>
        <v>0</v>
      </c>
      <c r="BF540" s="2188">
        <f>BF200*$N$389</f>
        <v>0</v>
      </c>
      <c r="BG540" s="2188">
        <f>BG200*$O$389</f>
        <v>0</v>
      </c>
      <c r="BH540" s="2186">
        <f t="shared" si="1209"/>
        <v>0</v>
      </c>
      <c r="BI540" s="2188">
        <f>BI200*$N$389</f>
        <v>0</v>
      </c>
      <c r="BJ540" s="2188">
        <f>BJ200*$O$389</f>
        <v>0</v>
      </c>
      <c r="BK540" s="2186">
        <f t="shared" si="1210"/>
        <v>0</v>
      </c>
      <c r="BL540" s="2188">
        <f>BL200*$N$389</f>
        <v>0</v>
      </c>
      <c r="BM540" s="2188">
        <f>BM200*$O$389</f>
        <v>0</v>
      </c>
      <c r="BN540" s="2186">
        <f t="shared" si="1211"/>
        <v>0</v>
      </c>
      <c r="BO540" s="2188">
        <f>BO200*$N$389</f>
        <v>0</v>
      </c>
      <c r="BP540" s="2188">
        <f>BP200*$O$389</f>
        <v>0</v>
      </c>
      <c r="BQ540" s="2186">
        <f t="shared" si="1212"/>
        <v>0</v>
      </c>
    </row>
    <row r="541" spans="3:69" s="2087" customFormat="1">
      <c r="C541" s="2194" t="s">
        <v>2696</v>
      </c>
      <c r="D541" s="2283" t="s">
        <v>2227</v>
      </c>
      <c r="E541" s="2284" t="s">
        <v>1833</v>
      </c>
      <c r="F541" s="2176"/>
      <c r="G541" s="2177"/>
      <c r="H541" s="2177"/>
      <c r="I541" s="2178">
        <f t="shared" si="1112"/>
        <v>0</v>
      </c>
      <c r="J541" s="2176"/>
      <c r="K541" s="2252">
        <f t="shared" ref="K541:L604" si="1213">N541+Q541+W541+AC541</f>
        <v>0</v>
      </c>
      <c r="L541" s="2252">
        <f t="shared" si="1213"/>
        <v>0</v>
      </c>
      <c r="M541" s="2255">
        <f t="shared" ref="M541:M604" si="1214">L541-K541</f>
        <v>0</v>
      </c>
      <c r="N541" s="2179">
        <f>N201*$N$389</f>
        <v>0</v>
      </c>
      <c r="O541" s="2179">
        <f>O201*$O$389</f>
        <v>0</v>
      </c>
      <c r="P541" s="2178">
        <f t="shared" si="1113"/>
        <v>0</v>
      </c>
      <c r="Q541" s="2184">
        <f>Q201*$Q$389</f>
        <v>0</v>
      </c>
      <c r="R541" s="2179">
        <f>R201*$R$389</f>
        <v>0</v>
      </c>
      <c r="S541" s="2180">
        <f t="shared" si="1114"/>
        <v>0</v>
      </c>
      <c r="T541" s="2251">
        <f t="shared" si="1147"/>
        <v>0</v>
      </c>
      <c r="U541" s="2252">
        <f t="shared" si="1147"/>
        <v>0</v>
      </c>
      <c r="V541" s="2253">
        <f t="shared" si="1148"/>
        <v>0</v>
      </c>
      <c r="W541" s="2187">
        <f>W201*$W$389</f>
        <v>0</v>
      </c>
      <c r="X541" s="2179">
        <f>X201*$X$389</f>
        <v>0</v>
      </c>
      <c r="Y541" s="2183">
        <f t="shared" si="1110"/>
        <v>0</v>
      </c>
      <c r="Z541" s="2254">
        <f t="shared" si="1032"/>
        <v>0</v>
      </c>
      <c r="AA541" s="2252">
        <f t="shared" si="1032"/>
        <v>0</v>
      </c>
      <c r="AB541" s="2255">
        <f t="shared" si="1109"/>
        <v>0</v>
      </c>
      <c r="AC541" s="2184">
        <f>AC201*$AC$389</f>
        <v>0</v>
      </c>
      <c r="AD541" s="2179">
        <f>AD201*$AD$389</f>
        <v>0</v>
      </c>
      <c r="AE541" s="2180">
        <f t="shared" si="1111"/>
        <v>0</v>
      </c>
      <c r="AF541" s="2277"/>
      <c r="AG541" s="2114"/>
      <c r="AH541" s="2188">
        <f>AH201*$N$389</f>
        <v>0</v>
      </c>
      <c r="AI541" s="2188">
        <f>AI201*$O$389</f>
        <v>0</v>
      </c>
      <c r="AJ541" s="2186">
        <f t="shared" si="1201"/>
        <v>0</v>
      </c>
      <c r="AK541" s="2188">
        <f>AK201*$N$389</f>
        <v>0</v>
      </c>
      <c r="AL541" s="2188">
        <f>AL201*$O$389</f>
        <v>0</v>
      </c>
      <c r="AM541" s="2186">
        <f t="shared" si="1202"/>
        <v>0</v>
      </c>
      <c r="AN541" s="2188">
        <f>AN201*$N$389</f>
        <v>0</v>
      </c>
      <c r="AO541" s="2188">
        <f>AO201*$O$389</f>
        <v>0</v>
      </c>
      <c r="AP541" s="2186">
        <f t="shared" si="1203"/>
        <v>0</v>
      </c>
      <c r="AQ541" s="2188">
        <f>AQ201*$N$389</f>
        <v>0</v>
      </c>
      <c r="AR541" s="2188">
        <f>AR201*$O$389</f>
        <v>0</v>
      </c>
      <c r="AS541" s="2186">
        <f t="shared" si="1204"/>
        <v>0</v>
      </c>
      <c r="AT541" s="2188">
        <f>AT201*$N$389</f>
        <v>0</v>
      </c>
      <c r="AU541" s="2188">
        <f>AU201*$O$389</f>
        <v>0</v>
      </c>
      <c r="AV541" s="2186">
        <f t="shared" si="1205"/>
        <v>0</v>
      </c>
      <c r="AW541" s="2188">
        <f>AW201*$N$389</f>
        <v>0</v>
      </c>
      <c r="AX541" s="2188">
        <f>AX201*$O$389</f>
        <v>0</v>
      </c>
      <c r="AY541" s="2186">
        <f t="shared" si="1206"/>
        <v>0</v>
      </c>
      <c r="AZ541" s="2188">
        <f>AZ201*$N$389</f>
        <v>0</v>
      </c>
      <c r="BA541" s="2188">
        <f>BA201*$O$389</f>
        <v>0</v>
      </c>
      <c r="BB541" s="2186">
        <f t="shared" si="1207"/>
        <v>0</v>
      </c>
      <c r="BC541" s="2188">
        <f>BC201*$N$389</f>
        <v>0</v>
      </c>
      <c r="BD541" s="2188">
        <f>BD201*$O$389</f>
        <v>0</v>
      </c>
      <c r="BE541" s="2186">
        <f t="shared" si="1208"/>
        <v>0</v>
      </c>
      <c r="BF541" s="2188">
        <f>BF201*$N$389</f>
        <v>0</v>
      </c>
      <c r="BG541" s="2188">
        <f>BG201*$O$389</f>
        <v>0</v>
      </c>
      <c r="BH541" s="2186">
        <f t="shared" si="1209"/>
        <v>0</v>
      </c>
      <c r="BI541" s="2188">
        <f>BI201*$N$389</f>
        <v>0</v>
      </c>
      <c r="BJ541" s="2188">
        <f>BJ201*$O$389</f>
        <v>0</v>
      </c>
      <c r="BK541" s="2186">
        <f t="shared" si="1210"/>
        <v>0</v>
      </c>
      <c r="BL541" s="2188">
        <f>BL201*$N$389</f>
        <v>0</v>
      </c>
      <c r="BM541" s="2188">
        <f>BM201*$O$389</f>
        <v>0</v>
      </c>
      <c r="BN541" s="2186">
        <f t="shared" si="1211"/>
        <v>0</v>
      </c>
      <c r="BO541" s="2188">
        <f>BO201*$N$389</f>
        <v>0</v>
      </c>
      <c r="BP541" s="2188">
        <f>BP201*$O$389</f>
        <v>0</v>
      </c>
      <c r="BQ541" s="2186">
        <f t="shared" si="1212"/>
        <v>0</v>
      </c>
    </row>
    <row r="542" spans="3:69" s="2087" customFormat="1">
      <c r="C542" s="2194" t="s">
        <v>2697</v>
      </c>
      <c r="D542" s="2283" t="s">
        <v>2229</v>
      </c>
      <c r="E542" s="2284" t="s">
        <v>1833</v>
      </c>
      <c r="F542" s="2176"/>
      <c r="G542" s="2177"/>
      <c r="H542" s="2177"/>
      <c r="I542" s="2186"/>
      <c r="J542" s="2176"/>
      <c r="K542" s="2252">
        <f t="shared" si="1213"/>
        <v>0</v>
      </c>
      <c r="L542" s="2252">
        <f t="shared" si="1213"/>
        <v>0</v>
      </c>
      <c r="M542" s="2255">
        <f t="shared" si="1214"/>
        <v>0</v>
      </c>
      <c r="N542" s="2177"/>
      <c r="O542" s="2177"/>
      <c r="P542" s="2186"/>
      <c r="Q542" s="2177"/>
      <c r="R542" s="2177"/>
      <c r="S542" s="2266"/>
      <c r="T542" s="2251">
        <f t="shared" si="1147"/>
        <v>0</v>
      </c>
      <c r="U542" s="2252">
        <f t="shared" si="1147"/>
        <v>0</v>
      </c>
      <c r="V542" s="2253">
        <f t="shared" si="1148"/>
        <v>0</v>
      </c>
      <c r="W542" s="2182"/>
      <c r="X542" s="2177"/>
      <c r="Y542" s="2271"/>
      <c r="Z542" s="2254">
        <f t="shared" si="1032"/>
        <v>0</v>
      </c>
      <c r="AA542" s="2252">
        <f t="shared" si="1032"/>
        <v>0</v>
      </c>
      <c r="AB542" s="2255">
        <f t="shared" si="1109"/>
        <v>0</v>
      </c>
      <c r="AC542" s="2177"/>
      <c r="AD542" s="2177"/>
      <c r="AE542" s="2266"/>
      <c r="AF542" s="2277"/>
      <c r="AG542" s="2114"/>
      <c r="AH542" s="2177"/>
      <c r="AI542" s="2177"/>
      <c r="AJ542" s="2186"/>
      <c r="AK542" s="2177"/>
      <c r="AL542" s="2177"/>
      <c r="AM542" s="2186"/>
      <c r="AN542" s="2177"/>
      <c r="AO542" s="2177"/>
      <c r="AP542" s="2186"/>
      <c r="AQ542" s="2177"/>
      <c r="AR542" s="2177"/>
      <c r="AS542" s="2186"/>
      <c r="AT542" s="2177"/>
      <c r="AU542" s="2177"/>
      <c r="AV542" s="2186"/>
      <c r="AW542" s="2177"/>
      <c r="AX542" s="2177"/>
      <c r="AY542" s="2186"/>
      <c r="AZ542" s="2177"/>
      <c r="BA542" s="2177"/>
      <c r="BB542" s="2186"/>
      <c r="BC542" s="2177"/>
      <c r="BD542" s="2177"/>
      <c r="BE542" s="2186"/>
      <c r="BF542" s="2177"/>
      <c r="BG542" s="2177"/>
      <c r="BH542" s="2186"/>
      <c r="BI542" s="2177"/>
      <c r="BJ542" s="2177"/>
      <c r="BK542" s="2186"/>
      <c r="BL542" s="2177"/>
      <c r="BM542" s="2177"/>
      <c r="BN542" s="2186"/>
      <c r="BO542" s="2177"/>
      <c r="BP542" s="2177"/>
      <c r="BQ542" s="2186"/>
    </row>
    <row r="543" spans="3:69" s="2159" customFormat="1" ht="21.6" hidden="1" customHeight="1">
      <c r="C543" s="2256" t="s">
        <v>2698</v>
      </c>
      <c r="D543" s="2280" t="str">
        <f>D203</f>
        <v>Контрагент 3</v>
      </c>
      <c r="E543" s="2120" t="s">
        <v>1833</v>
      </c>
      <c r="F543" s="2162"/>
      <c r="G543" s="2163">
        <f>G545+G558+G564+G570</f>
        <v>0</v>
      </c>
      <c r="H543" s="2163">
        <f>H545+H558+H564+H570</f>
        <v>0</v>
      </c>
      <c r="I543" s="2164">
        <f>H543-G543</f>
        <v>0</v>
      </c>
      <c r="J543" s="2162"/>
      <c r="K543" s="2259">
        <f t="shared" si="1213"/>
        <v>0</v>
      </c>
      <c r="L543" s="2259">
        <f t="shared" si="1213"/>
        <v>0</v>
      </c>
      <c r="M543" s="2262">
        <f t="shared" si="1214"/>
        <v>0</v>
      </c>
      <c r="N543" s="2163">
        <f>N545+N558+N564+N570</f>
        <v>0</v>
      </c>
      <c r="O543" s="2163">
        <f>O545+O558+O564+O570</f>
        <v>0</v>
      </c>
      <c r="P543" s="2164">
        <f>O543-N543</f>
        <v>0</v>
      </c>
      <c r="Q543" s="2163">
        <f>Q545+Q558+Q564+Q570</f>
        <v>0</v>
      </c>
      <c r="R543" s="2163">
        <f>R545+R558+R564+R570</f>
        <v>0</v>
      </c>
      <c r="S543" s="2166">
        <f>R543-Q543</f>
        <v>0</v>
      </c>
      <c r="T543" s="2258">
        <f t="shared" si="1147"/>
        <v>0</v>
      </c>
      <c r="U543" s="2259">
        <f t="shared" si="1147"/>
        <v>0</v>
      </c>
      <c r="V543" s="2260">
        <f t="shared" si="1148"/>
        <v>0</v>
      </c>
      <c r="W543" s="2168">
        <f>W545+W558+W564+W570</f>
        <v>0</v>
      </c>
      <c r="X543" s="2163">
        <f>X545+X558+X564+X570</f>
        <v>0</v>
      </c>
      <c r="Y543" s="2169">
        <f t="shared" si="1110"/>
        <v>0</v>
      </c>
      <c r="Z543" s="2261">
        <f t="shared" si="1032"/>
        <v>0</v>
      </c>
      <c r="AA543" s="2259">
        <f t="shared" si="1032"/>
        <v>0</v>
      </c>
      <c r="AB543" s="2262">
        <f t="shared" si="1109"/>
        <v>0</v>
      </c>
      <c r="AC543" s="2163">
        <f>AC545+AC558+AC564+AC570</f>
        <v>0</v>
      </c>
      <c r="AD543" s="2163">
        <f>AD545+AD558+AD564+AD570</f>
        <v>0</v>
      </c>
      <c r="AE543" s="2166">
        <f t="shared" si="1111"/>
        <v>0</v>
      </c>
      <c r="AF543" s="2281"/>
      <c r="AG543" s="2158"/>
      <c r="AH543" s="2171">
        <f>AH545+AH558+AH564+AH570</f>
        <v>0</v>
      </c>
      <c r="AI543" s="2171">
        <f>AI545+AI558+AI564+AI570</f>
        <v>0</v>
      </c>
      <c r="AJ543" s="2172">
        <f>AI543-AH543</f>
        <v>0</v>
      </c>
      <c r="AK543" s="2171">
        <f>AK545+AK558+AK564+AK570</f>
        <v>0</v>
      </c>
      <c r="AL543" s="2171">
        <f>AL545+AL558+AL564+AL570</f>
        <v>0</v>
      </c>
      <c r="AM543" s="2172">
        <f>AL543-AK543</f>
        <v>0</v>
      </c>
      <c r="AN543" s="2171">
        <f>AN545+AN558+AN564+AN570</f>
        <v>0</v>
      </c>
      <c r="AO543" s="2171">
        <f>AO545+AO558+AO564+AO570</f>
        <v>0</v>
      </c>
      <c r="AP543" s="2172">
        <f>AO543-AN543</f>
        <v>0</v>
      </c>
      <c r="AQ543" s="2171">
        <f>AQ545+AQ558+AQ564+AQ570</f>
        <v>0</v>
      </c>
      <c r="AR543" s="2171">
        <f>AR545+AR558+AR564+AR570</f>
        <v>0</v>
      </c>
      <c r="AS543" s="2172">
        <f>AR543-AQ543</f>
        <v>0</v>
      </c>
      <c r="AT543" s="2171">
        <f>AT545+AT558+AT564+AT570</f>
        <v>0</v>
      </c>
      <c r="AU543" s="2171">
        <f>AU545+AU558+AU564+AU570</f>
        <v>0</v>
      </c>
      <c r="AV543" s="2172">
        <f>AU543-AT543</f>
        <v>0</v>
      </c>
      <c r="AW543" s="2171">
        <f>AW545+AW558+AW564+AW570</f>
        <v>0</v>
      </c>
      <c r="AX543" s="2171">
        <f>AX545+AX558+AX564+AX570</f>
        <v>0</v>
      </c>
      <c r="AY543" s="2172">
        <f>AX543-AW543</f>
        <v>0</v>
      </c>
      <c r="AZ543" s="2171">
        <f>AZ545+AZ558+AZ564+AZ570</f>
        <v>0</v>
      </c>
      <c r="BA543" s="2171">
        <f>BA545+BA558+BA564+BA570</f>
        <v>0</v>
      </c>
      <c r="BB543" s="2172">
        <f>BA543-AZ543</f>
        <v>0</v>
      </c>
      <c r="BC543" s="2171">
        <f>BC545+BC558+BC564+BC570</f>
        <v>0</v>
      </c>
      <c r="BD543" s="2171">
        <f>BD545+BD558+BD564+BD570</f>
        <v>0</v>
      </c>
      <c r="BE543" s="2172">
        <f>BD543-BC543</f>
        <v>0</v>
      </c>
      <c r="BF543" s="2171">
        <f>BF545+BF558+BF564+BF570</f>
        <v>0</v>
      </c>
      <c r="BG543" s="2171">
        <f>BG545+BG558+BG564+BG570</f>
        <v>0</v>
      </c>
      <c r="BH543" s="2172">
        <f>BG543-BF543</f>
        <v>0</v>
      </c>
      <c r="BI543" s="2171">
        <f>BI545+BI558+BI564+BI570</f>
        <v>0</v>
      </c>
      <c r="BJ543" s="2171">
        <f>BJ545+BJ558+BJ564+BJ570</f>
        <v>0</v>
      </c>
      <c r="BK543" s="2172">
        <f>BJ543-BI543</f>
        <v>0</v>
      </c>
      <c r="BL543" s="2171">
        <f>BL545+BL558+BL564+BL570</f>
        <v>0</v>
      </c>
      <c r="BM543" s="2171">
        <f>BM545+BM558+BM564+BM570</f>
        <v>0</v>
      </c>
      <c r="BN543" s="2172">
        <f>BM543-BL543</f>
        <v>0</v>
      </c>
      <c r="BO543" s="2171">
        <f>BO545+BO558+BO564+BO570</f>
        <v>0</v>
      </c>
      <c r="BP543" s="2171">
        <f>BP545+BP558+BP564+BP570</f>
        <v>0</v>
      </c>
      <c r="BQ543" s="2172">
        <f>BP543-BO543</f>
        <v>0</v>
      </c>
    </row>
    <row r="544" spans="3:69" s="2087" customFormat="1" ht="21.6" hidden="1" customHeight="1">
      <c r="C544" s="2285" t="s">
        <v>2699</v>
      </c>
      <c r="D544" s="2289" t="s">
        <v>2211</v>
      </c>
      <c r="E544" s="2290" t="s">
        <v>1833</v>
      </c>
      <c r="F544" s="2176"/>
      <c r="G544" s="2177"/>
      <c r="H544" s="2177"/>
      <c r="I544" s="2178">
        <f t="shared" ref="I544:I574" si="1215">H544-G544</f>
        <v>0</v>
      </c>
      <c r="J544" s="2176"/>
      <c r="K544" s="2252">
        <f t="shared" si="1213"/>
        <v>0</v>
      </c>
      <c r="L544" s="2252">
        <f t="shared" si="1213"/>
        <v>0</v>
      </c>
      <c r="M544" s="2255">
        <f t="shared" si="1214"/>
        <v>0</v>
      </c>
      <c r="N544" s="2177"/>
      <c r="O544" s="2177"/>
      <c r="P544" s="2178">
        <f t="shared" ref="P544:P574" si="1216">O544-N544</f>
        <v>0</v>
      </c>
      <c r="Q544" s="2176"/>
      <c r="R544" s="2177"/>
      <c r="S544" s="2180">
        <f t="shared" ref="S544:S574" si="1217">R544-Q544</f>
        <v>0</v>
      </c>
      <c r="T544" s="2251">
        <f t="shared" si="1147"/>
        <v>0</v>
      </c>
      <c r="U544" s="2252">
        <f t="shared" si="1147"/>
        <v>0</v>
      </c>
      <c r="V544" s="2253">
        <f t="shared" si="1148"/>
        <v>0</v>
      </c>
      <c r="W544" s="2182"/>
      <c r="X544" s="2177"/>
      <c r="Y544" s="2183">
        <f t="shared" si="1110"/>
        <v>0</v>
      </c>
      <c r="Z544" s="2254">
        <f t="shared" si="1032"/>
        <v>0</v>
      </c>
      <c r="AA544" s="2252">
        <f t="shared" si="1032"/>
        <v>0</v>
      </c>
      <c r="AB544" s="2255">
        <f t="shared" si="1109"/>
        <v>0</v>
      </c>
      <c r="AC544" s="2176"/>
      <c r="AD544" s="2177"/>
      <c r="AE544" s="2180">
        <f t="shared" si="1111"/>
        <v>0</v>
      </c>
      <c r="AF544" s="2277"/>
      <c r="AG544" s="2114"/>
      <c r="AH544" s="2177"/>
      <c r="AI544" s="2177"/>
      <c r="AJ544" s="2186">
        <f t="shared" ref="AJ544:AJ550" si="1218">AI544-AH544</f>
        <v>0</v>
      </c>
      <c r="AK544" s="2177"/>
      <c r="AL544" s="2177"/>
      <c r="AM544" s="2186">
        <f t="shared" ref="AM544:AM550" si="1219">AL544-AK544</f>
        <v>0</v>
      </c>
      <c r="AN544" s="2177"/>
      <c r="AO544" s="2177"/>
      <c r="AP544" s="2186">
        <f t="shared" ref="AP544:AP550" si="1220">AO544-AN544</f>
        <v>0</v>
      </c>
      <c r="AQ544" s="2177"/>
      <c r="AR544" s="2177"/>
      <c r="AS544" s="2186">
        <f t="shared" ref="AS544:AS550" si="1221">AR544-AQ544</f>
        <v>0</v>
      </c>
      <c r="AT544" s="2177"/>
      <c r="AU544" s="2177"/>
      <c r="AV544" s="2186">
        <f t="shared" ref="AV544:AV550" si="1222">AU544-AT544</f>
        <v>0</v>
      </c>
      <c r="AW544" s="2177"/>
      <c r="AX544" s="2177"/>
      <c r="AY544" s="2186">
        <f t="shared" ref="AY544:AY550" si="1223">AX544-AW544</f>
        <v>0</v>
      </c>
      <c r="AZ544" s="2177"/>
      <c r="BA544" s="2177"/>
      <c r="BB544" s="2186">
        <f t="shared" ref="BB544:BB550" si="1224">BA544-AZ544</f>
        <v>0</v>
      </c>
      <c r="BC544" s="2177"/>
      <c r="BD544" s="2177"/>
      <c r="BE544" s="2186">
        <f t="shared" ref="BE544:BE550" si="1225">BD544-BC544</f>
        <v>0</v>
      </c>
      <c r="BF544" s="2177"/>
      <c r="BG544" s="2177"/>
      <c r="BH544" s="2186">
        <f t="shared" ref="BH544:BH550" si="1226">BG544-BF544</f>
        <v>0</v>
      </c>
      <c r="BI544" s="2177"/>
      <c r="BJ544" s="2177"/>
      <c r="BK544" s="2186">
        <f t="shared" ref="BK544:BK550" si="1227">BJ544-BI544</f>
        <v>0</v>
      </c>
      <c r="BL544" s="2177"/>
      <c r="BM544" s="2177"/>
      <c r="BN544" s="2186">
        <f t="shared" ref="BN544:BN550" si="1228">BM544-BL544</f>
        <v>0</v>
      </c>
      <c r="BO544" s="2177"/>
      <c r="BP544" s="2177"/>
      <c r="BQ544" s="2186">
        <f t="shared" ref="BQ544:BQ550" si="1229">BP544-BO544</f>
        <v>0</v>
      </c>
    </row>
    <row r="545" spans="3:69" s="2087" customFormat="1" ht="21.6" hidden="1" customHeight="1">
      <c r="C545" s="2285" t="s">
        <v>2700</v>
      </c>
      <c r="D545" s="2287" t="s">
        <v>2217</v>
      </c>
      <c r="E545" s="2284" t="s">
        <v>1833</v>
      </c>
      <c r="F545" s="2176"/>
      <c r="G545" s="2179">
        <f>G546+G552</f>
        <v>0</v>
      </c>
      <c r="H545" s="2179">
        <f>H546+H552</f>
        <v>0</v>
      </c>
      <c r="I545" s="2178">
        <f t="shared" si="1215"/>
        <v>0</v>
      </c>
      <c r="J545" s="2176"/>
      <c r="K545" s="2252">
        <f t="shared" si="1213"/>
        <v>0</v>
      </c>
      <c r="L545" s="2252">
        <f t="shared" si="1213"/>
        <v>0</v>
      </c>
      <c r="M545" s="2255">
        <f t="shared" si="1214"/>
        <v>0</v>
      </c>
      <c r="N545" s="2179">
        <f>N546+N552</f>
        <v>0</v>
      </c>
      <c r="O545" s="2179">
        <f>O546+O552</f>
        <v>0</v>
      </c>
      <c r="P545" s="2178">
        <f t="shared" si="1216"/>
        <v>0</v>
      </c>
      <c r="Q545" s="2184">
        <f t="shared" ref="Q545:R545" si="1230">Q546+Q552</f>
        <v>0</v>
      </c>
      <c r="R545" s="2179">
        <f t="shared" si="1230"/>
        <v>0</v>
      </c>
      <c r="S545" s="2180">
        <f t="shared" si="1217"/>
        <v>0</v>
      </c>
      <c r="T545" s="2251">
        <f t="shared" si="1147"/>
        <v>0</v>
      </c>
      <c r="U545" s="2252">
        <f t="shared" si="1147"/>
        <v>0</v>
      </c>
      <c r="V545" s="2253">
        <f t="shared" si="1148"/>
        <v>0</v>
      </c>
      <c r="W545" s="2187">
        <f>W546+W552</f>
        <v>0</v>
      </c>
      <c r="X545" s="2179">
        <f t="shared" ref="X545" si="1231">X546+X552</f>
        <v>0</v>
      </c>
      <c r="Y545" s="2183">
        <f t="shared" si="1110"/>
        <v>0</v>
      </c>
      <c r="Z545" s="2254">
        <f t="shared" ref="Z545:AA608" si="1232">T545+W545</f>
        <v>0</v>
      </c>
      <c r="AA545" s="2252">
        <f t="shared" si="1232"/>
        <v>0</v>
      </c>
      <c r="AB545" s="2255">
        <f t="shared" si="1109"/>
        <v>0</v>
      </c>
      <c r="AC545" s="2184">
        <f>AC546+AC552</f>
        <v>0</v>
      </c>
      <c r="AD545" s="2179">
        <f t="shared" ref="AD545" si="1233">AD546+AD552</f>
        <v>0</v>
      </c>
      <c r="AE545" s="2180">
        <f t="shared" si="1111"/>
        <v>0</v>
      </c>
      <c r="AF545" s="2277"/>
      <c r="AG545" s="2114"/>
      <c r="AH545" s="2188">
        <f>AH546+AH552</f>
        <v>0</v>
      </c>
      <c r="AI545" s="2188">
        <f>AI546+AI552</f>
        <v>0</v>
      </c>
      <c r="AJ545" s="2186">
        <f t="shared" si="1218"/>
        <v>0</v>
      </c>
      <c r="AK545" s="2188">
        <f>AK546+AK552</f>
        <v>0</v>
      </c>
      <c r="AL545" s="2188">
        <f>AL546+AL552</f>
        <v>0</v>
      </c>
      <c r="AM545" s="2186">
        <f t="shared" si="1219"/>
        <v>0</v>
      </c>
      <c r="AN545" s="2188">
        <f>AN546+AN552</f>
        <v>0</v>
      </c>
      <c r="AO545" s="2188">
        <f>AO546+AO552</f>
        <v>0</v>
      </c>
      <c r="AP545" s="2186">
        <f t="shared" si="1220"/>
        <v>0</v>
      </c>
      <c r="AQ545" s="2188">
        <f>AQ546+AQ552</f>
        <v>0</v>
      </c>
      <c r="AR545" s="2188">
        <f>AR546+AR552</f>
        <v>0</v>
      </c>
      <c r="AS545" s="2186">
        <f t="shared" si="1221"/>
        <v>0</v>
      </c>
      <c r="AT545" s="2188">
        <f>AT546+AT552</f>
        <v>0</v>
      </c>
      <c r="AU545" s="2188">
        <f>AU546+AU552</f>
        <v>0</v>
      </c>
      <c r="AV545" s="2186">
        <f t="shared" si="1222"/>
        <v>0</v>
      </c>
      <c r="AW545" s="2188">
        <f>AW546+AW552</f>
        <v>0</v>
      </c>
      <c r="AX545" s="2188">
        <f>AX546+AX552</f>
        <v>0</v>
      </c>
      <c r="AY545" s="2186">
        <f t="shared" si="1223"/>
        <v>0</v>
      </c>
      <c r="AZ545" s="2188">
        <f>AZ546+AZ552</f>
        <v>0</v>
      </c>
      <c r="BA545" s="2188">
        <f>BA546+BA552</f>
        <v>0</v>
      </c>
      <c r="BB545" s="2186">
        <f t="shared" si="1224"/>
        <v>0</v>
      </c>
      <c r="BC545" s="2188">
        <f>BC546+BC552</f>
        <v>0</v>
      </c>
      <c r="BD545" s="2188">
        <f>BD546+BD552</f>
        <v>0</v>
      </c>
      <c r="BE545" s="2186">
        <f t="shared" si="1225"/>
        <v>0</v>
      </c>
      <c r="BF545" s="2188">
        <f>BF546+BF552</f>
        <v>0</v>
      </c>
      <c r="BG545" s="2188">
        <f>BG546+BG552</f>
        <v>0</v>
      </c>
      <c r="BH545" s="2186">
        <f t="shared" si="1226"/>
        <v>0</v>
      </c>
      <c r="BI545" s="2188">
        <f>BI546+BI552</f>
        <v>0</v>
      </c>
      <c r="BJ545" s="2188">
        <f>BJ546+BJ552</f>
        <v>0</v>
      </c>
      <c r="BK545" s="2186">
        <f t="shared" si="1227"/>
        <v>0</v>
      </c>
      <c r="BL545" s="2188">
        <f>BL546+BL552</f>
        <v>0</v>
      </c>
      <c r="BM545" s="2188">
        <f>BM546+BM552</f>
        <v>0</v>
      </c>
      <c r="BN545" s="2186">
        <f t="shared" si="1228"/>
        <v>0</v>
      </c>
      <c r="BO545" s="2188">
        <f>BO546+BO552</f>
        <v>0</v>
      </c>
      <c r="BP545" s="2188">
        <f>BP546+BP552</f>
        <v>0</v>
      </c>
      <c r="BQ545" s="2186">
        <f t="shared" si="1229"/>
        <v>0</v>
      </c>
    </row>
    <row r="546" spans="3:69" s="2087" customFormat="1" ht="21.6" hidden="1" customHeight="1">
      <c r="C546" s="2285" t="s">
        <v>2701</v>
      </c>
      <c r="D546" s="2286" t="s">
        <v>2599</v>
      </c>
      <c r="E546" s="2284" t="s">
        <v>1833</v>
      </c>
      <c r="F546" s="2176"/>
      <c r="G546" s="2252">
        <f>G547+G548+G549+G550+G551</f>
        <v>0</v>
      </c>
      <c r="H546" s="2252">
        <f>H547+H548+H549+H550+H551</f>
        <v>0</v>
      </c>
      <c r="I546" s="2178">
        <f t="shared" si="1215"/>
        <v>0</v>
      </c>
      <c r="J546" s="2176"/>
      <c r="K546" s="2252">
        <f t="shared" si="1213"/>
        <v>0</v>
      </c>
      <c r="L546" s="2179">
        <f t="shared" si="1213"/>
        <v>0</v>
      </c>
      <c r="M546" s="2178">
        <f t="shared" si="1214"/>
        <v>0</v>
      </c>
      <c r="N546" s="2179">
        <f>N547+N548+N549+N550+N551</f>
        <v>0</v>
      </c>
      <c r="O546" s="2179">
        <f>O547+O548+O549+O550+O551</f>
        <v>0</v>
      </c>
      <c r="P546" s="2178">
        <f t="shared" si="1216"/>
        <v>0</v>
      </c>
      <c r="Q546" s="2179">
        <f>Q547+Q548+Q549+Q550+Q551</f>
        <v>0</v>
      </c>
      <c r="R546" s="2179">
        <f>R547+R548+R549+R550+R551</f>
        <v>0</v>
      </c>
      <c r="S546" s="2180">
        <f t="shared" si="1217"/>
        <v>0</v>
      </c>
      <c r="T546" s="2181">
        <f t="shared" si="1147"/>
        <v>0</v>
      </c>
      <c r="U546" s="2179">
        <f t="shared" si="1147"/>
        <v>0</v>
      </c>
      <c r="V546" s="2180">
        <f t="shared" si="1148"/>
        <v>0</v>
      </c>
      <c r="W546" s="2187">
        <f>W547+W548+W549+W550+W551</f>
        <v>0</v>
      </c>
      <c r="X546" s="2179">
        <f>X547+X548+X549+X550+X551</f>
        <v>0</v>
      </c>
      <c r="Y546" s="2183">
        <f t="shared" si="1110"/>
        <v>0</v>
      </c>
      <c r="Z546" s="2184">
        <f t="shared" si="1232"/>
        <v>0</v>
      </c>
      <c r="AA546" s="2179">
        <f t="shared" si="1232"/>
        <v>0</v>
      </c>
      <c r="AB546" s="2178">
        <f t="shared" si="1109"/>
        <v>0</v>
      </c>
      <c r="AC546" s="2179">
        <f>AC547+AC548+AC549+AC550+AC551</f>
        <v>0</v>
      </c>
      <c r="AD546" s="2179">
        <f>AD547+AD548+AD549+AD550+AD551</f>
        <v>0</v>
      </c>
      <c r="AE546" s="2180">
        <f t="shared" si="1111"/>
        <v>0</v>
      </c>
      <c r="AF546" s="2277"/>
      <c r="AG546" s="2114"/>
      <c r="AH546" s="2188">
        <f>AH547+AH548+AH549+AH550+AH551</f>
        <v>0</v>
      </c>
      <c r="AI546" s="2188">
        <f>AI547+AI548+AI549+AI550+AI551</f>
        <v>0</v>
      </c>
      <c r="AJ546" s="2186">
        <f t="shared" si="1218"/>
        <v>0</v>
      </c>
      <c r="AK546" s="2188">
        <f>AK547+AK548+AK549+AK550+AK551</f>
        <v>0</v>
      </c>
      <c r="AL546" s="2188">
        <f>AL547+AL548+AL549+AL550+AL551</f>
        <v>0</v>
      </c>
      <c r="AM546" s="2186">
        <f t="shared" si="1219"/>
        <v>0</v>
      </c>
      <c r="AN546" s="2188">
        <f>AN547+AN548+AN549+AN550+AN551</f>
        <v>0</v>
      </c>
      <c r="AO546" s="2188">
        <f>AO547+AO548+AO549+AO550+AO551</f>
        <v>0</v>
      </c>
      <c r="AP546" s="2186">
        <f t="shared" si="1220"/>
        <v>0</v>
      </c>
      <c r="AQ546" s="2188">
        <f>AQ547+AQ548+AQ549+AQ550+AQ551</f>
        <v>0</v>
      </c>
      <c r="AR546" s="2188">
        <f>AR547+AR548+AR549+AR550+AR551</f>
        <v>0</v>
      </c>
      <c r="AS546" s="2186">
        <f t="shared" si="1221"/>
        <v>0</v>
      </c>
      <c r="AT546" s="2188">
        <f>AT547+AT548+AT549+AT550+AT551</f>
        <v>0</v>
      </c>
      <c r="AU546" s="2188">
        <f>AU547+AU548+AU549+AU550+AU551</f>
        <v>0</v>
      </c>
      <c r="AV546" s="2186">
        <f t="shared" si="1222"/>
        <v>0</v>
      </c>
      <c r="AW546" s="2188">
        <f>AW547+AW548+AW549+AW550+AW551</f>
        <v>0</v>
      </c>
      <c r="AX546" s="2188">
        <f>AX547+AX548+AX549+AX550+AX551</f>
        <v>0</v>
      </c>
      <c r="AY546" s="2186">
        <f t="shared" si="1223"/>
        <v>0</v>
      </c>
      <c r="AZ546" s="2188">
        <f>AZ547+AZ548+AZ549+AZ550+AZ551</f>
        <v>0</v>
      </c>
      <c r="BA546" s="2188">
        <f>BA547+BA548+BA549+BA550+BA551</f>
        <v>0</v>
      </c>
      <c r="BB546" s="2186">
        <f t="shared" si="1224"/>
        <v>0</v>
      </c>
      <c r="BC546" s="2188">
        <f>BC547+BC548+BC549+BC550+BC551</f>
        <v>0</v>
      </c>
      <c r="BD546" s="2188">
        <f>BD547+BD548+BD549+BD550+BD551</f>
        <v>0</v>
      </c>
      <c r="BE546" s="2186">
        <f t="shared" si="1225"/>
        <v>0</v>
      </c>
      <c r="BF546" s="2188">
        <f>BF547+BF548+BF549+BF550+BF551</f>
        <v>0</v>
      </c>
      <c r="BG546" s="2188">
        <f>BG547+BG548+BG549+BG550+BG551</f>
        <v>0</v>
      </c>
      <c r="BH546" s="2186">
        <f t="shared" si="1226"/>
        <v>0</v>
      </c>
      <c r="BI546" s="2188">
        <f>BI547+BI548+BI549+BI550+BI551</f>
        <v>0</v>
      </c>
      <c r="BJ546" s="2188">
        <f>BJ547+BJ548+BJ549+BJ550+BJ551</f>
        <v>0</v>
      </c>
      <c r="BK546" s="2186">
        <f t="shared" si="1227"/>
        <v>0</v>
      </c>
      <c r="BL546" s="2188">
        <f>BL547+BL548+BL549+BL550+BL551</f>
        <v>0</v>
      </c>
      <c r="BM546" s="2188">
        <f>BM547+BM548+BM549+BM550+BM551</f>
        <v>0</v>
      </c>
      <c r="BN546" s="2186">
        <f t="shared" si="1228"/>
        <v>0</v>
      </c>
      <c r="BO546" s="2188">
        <f>BO547+BO548+BO549+BO550+BO551</f>
        <v>0</v>
      </c>
      <c r="BP546" s="2188">
        <f>BP547+BP548+BP549+BP550+BP551</f>
        <v>0</v>
      </c>
      <c r="BQ546" s="2186">
        <f t="shared" si="1229"/>
        <v>0</v>
      </c>
    </row>
    <row r="547" spans="3:69" s="2087" customFormat="1" ht="21.6" hidden="1" customHeight="1">
      <c r="C547" s="2194" t="s">
        <v>2702</v>
      </c>
      <c r="D547" s="2283" t="s">
        <v>2221</v>
      </c>
      <c r="E547" s="2284" t="s">
        <v>1833</v>
      </c>
      <c r="F547" s="2176"/>
      <c r="G547" s="2177"/>
      <c r="H547" s="2177"/>
      <c r="I547" s="2178">
        <f t="shared" si="1215"/>
        <v>0</v>
      </c>
      <c r="J547" s="2176"/>
      <c r="K547" s="2252">
        <f t="shared" si="1213"/>
        <v>0</v>
      </c>
      <c r="L547" s="2252">
        <f t="shared" si="1213"/>
        <v>0</v>
      </c>
      <c r="M547" s="2255">
        <f t="shared" si="1214"/>
        <v>0</v>
      </c>
      <c r="N547" s="2179">
        <f>N207*$N$370/1000*3</f>
        <v>0</v>
      </c>
      <c r="O547" s="2179">
        <f>O207*$O$370/1000*3</f>
        <v>0</v>
      </c>
      <c r="P547" s="2178">
        <f t="shared" si="1216"/>
        <v>0</v>
      </c>
      <c r="Q547" s="2184">
        <f>Q207*$Q$370/1000*3</f>
        <v>0</v>
      </c>
      <c r="R547" s="2179">
        <f>R207*$R$370/1000*3</f>
        <v>0</v>
      </c>
      <c r="S547" s="2180">
        <f t="shared" si="1217"/>
        <v>0</v>
      </c>
      <c r="T547" s="2251">
        <f t="shared" si="1147"/>
        <v>0</v>
      </c>
      <c r="U547" s="2252">
        <f t="shared" si="1147"/>
        <v>0</v>
      </c>
      <c r="V547" s="2253">
        <f t="shared" si="1148"/>
        <v>0</v>
      </c>
      <c r="W547" s="2187">
        <f>W207*$W$370/1000*3</f>
        <v>0</v>
      </c>
      <c r="X547" s="2179">
        <f>X207*$X$370/1000*3</f>
        <v>0</v>
      </c>
      <c r="Y547" s="2183">
        <f t="shared" si="1110"/>
        <v>0</v>
      </c>
      <c r="Z547" s="2254">
        <f t="shared" si="1232"/>
        <v>0</v>
      </c>
      <c r="AA547" s="2252">
        <f t="shared" si="1232"/>
        <v>0</v>
      </c>
      <c r="AB547" s="2255">
        <f t="shared" si="1109"/>
        <v>0</v>
      </c>
      <c r="AC547" s="2184">
        <f>AC207*$AC$370/1000*3</f>
        <v>0</v>
      </c>
      <c r="AD547" s="2179">
        <f>AD207*$AD$370/1000*3</f>
        <v>0</v>
      </c>
      <c r="AE547" s="2180">
        <f t="shared" si="1111"/>
        <v>0</v>
      </c>
      <c r="AF547" s="2277"/>
      <c r="AG547" s="2114"/>
      <c r="AH547" s="2188">
        <f>AH207*$N$370/1000*3</f>
        <v>0</v>
      </c>
      <c r="AI547" s="2188">
        <f>AI207*$O$370/1000*3</f>
        <v>0</v>
      </c>
      <c r="AJ547" s="2186">
        <f t="shared" si="1218"/>
        <v>0</v>
      </c>
      <c r="AK547" s="2188">
        <f>AK207*$N$370/1000*3</f>
        <v>0</v>
      </c>
      <c r="AL547" s="2188">
        <f>AL207*$O$370/1000*3</f>
        <v>0</v>
      </c>
      <c r="AM547" s="2186">
        <f t="shared" si="1219"/>
        <v>0</v>
      </c>
      <c r="AN547" s="2188">
        <f>AN207*$N$370/1000*3</f>
        <v>0</v>
      </c>
      <c r="AO547" s="2188">
        <f>AO207*$O$370/1000*3</f>
        <v>0</v>
      </c>
      <c r="AP547" s="2186">
        <f t="shared" si="1220"/>
        <v>0</v>
      </c>
      <c r="AQ547" s="2188">
        <f>AQ207*$N$370/1000*3</f>
        <v>0</v>
      </c>
      <c r="AR547" s="2188">
        <f>AR207*$O$370/1000*3</f>
        <v>0</v>
      </c>
      <c r="AS547" s="2186">
        <f t="shared" si="1221"/>
        <v>0</v>
      </c>
      <c r="AT547" s="2188">
        <f>AT207*$N$370/1000*3</f>
        <v>0</v>
      </c>
      <c r="AU547" s="2188">
        <f>AU207*$O$370/1000*3</f>
        <v>0</v>
      </c>
      <c r="AV547" s="2186">
        <f t="shared" si="1222"/>
        <v>0</v>
      </c>
      <c r="AW547" s="2188">
        <f>AW207*$N$370/1000*3</f>
        <v>0</v>
      </c>
      <c r="AX547" s="2188">
        <f>AX207*$O$370/1000*3</f>
        <v>0</v>
      </c>
      <c r="AY547" s="2186">
        <f t="shared" si="1223"/>
        <v>0</v>
      </c>
      <c r="AZ547" s="2188">
        <f>AZ207*$N$370/1000*3</f>
        <v>0</v>
      </c>
      <c r="BA547" s="2188">
        <f>BA207*$O$370/1000*3</f>
        <v>0</v>
      </c>
      <c r="BB547" s="2186">
        <f t="shared" si="1224"/>
        <v>0</v>
      </c>
      <c r="BC547" s="2188">
        <f>BC207*$N$370/1000*3</f>
        <v>0</v>
      </c>
      <c r="BD547" s="2188">
        <f>BD207*$O$370/1000*3</f>
        <v>0</v>
      </c>
      <c r="BE547" s="2186">
        <f t="shared" si="1225"/>
        <v>0</v>
      </c>
      <c r="BF547" s="2188">
        <f>BF207*$N$370/1000*3</f>
        <v>0</v>
      </c>
      <c r="BG547" s="2188">
        <f>BG207*$O$370/1000*3</f>
        <v>0</v>
      </c>
      <c r="BH547" s="2186">
        <f t="shared" si="1226"/>
        <v>0</v>
      </c>
      <c r="BI547" s="2188">
        <f>BI207*$N$370/1000*3</f>
        <v>0</v>
      </c>
      <c r="BJ547" s="2188">
        <f>BJ207*$O$370/1000*3</f>
        <v>0</v>
      </c>
      <c r="BK547" s="2186">
        <f t="shared" si="1227"/>
        <v>0</v>
      </c>
      <c r="BL547" s="2188">
        <f>BL207*$N$370/1000*3</f>
        <v>0</v>
      </c>
      <c r="BM547" s="2188">
        <f>BM207*$O$370/1000*3</f>
        <v>0</v>
      </c>
      <c r="BN547" s="2186">
        <f t="shared" si="1228"/>
        <v>0</v>
      </c>
      <c r="BO547" s="2188">
        <f>BO207*$N$370/1000*3</f>
        <v>0</v>
      </c>
      <c r="BP547" s="2188">
        <f>BP207*$O$370/1000*3</f>
        <v>0</v>
      </c>
      <c r="BQ547" s="2186">
        <f t="shared" si="1229"/>
        <v>0</v>
      </c>
    </row>
    <row r="548" spans="3:69" s="2087" customFormat="1" ht="21.6" hidden="1" customHeight="1">
      <c r="C548" s="2194" t="s">
        <v>2703</v>
      </c>
      <c r="D548" s="2283" t="s">
        <v>2223</v>
      </c>
      <c r="E548" s="2284" t="s">
        <v>1833</v>
      </c>
      <c r="F548" s="2176"/>
      <c r="G548" s="2177"/>
      <c r="H548" s="2177"/>
      <c r="I548" s="2178">
        <f t="shared" si="1215"/>
        <v>0</v>
      </c>
      <c r="J548" s="2176"/>
      <c r="K548" s="2252">
        <f t="shared" si="1213"/>
        <v>0</v>
      </c>
      <c r="L548" s="2252">
        <f t="shared" si="1213"/>
        <v>0</v>
      </c>
      <c r="M548" s="2255">
        <f t="shared" si="1214"/>
        <v>0</v>
      </c>
      <c r="N548" s="2179">
        <f>N208*$N$371/1000*3</f>
        <v>0</v>
      </c>
      <c r="O548" s="2179">
        <f>O208*$O$371/1000*3</f>
        <v>0</v>
      </c>
      <c r="P548" s="2178">
        <f t="shared" si="1216"/>
        <v>0</v>
      </c>
      <c r="Q548" s="2184">
        <f>Q208*$Q$371/1000*3</f>
        <v>0</v>
      </c>
      <c r="R548" s="2179">
        <f>R208*$R$371/1000*3</f>
        <v>0</v>
      </c>
      <c r="S548" s="2180">
        <f t="shared" si="1217"/>
        <v>0</v>
      </c>
      <c r="T548" s="2251">
        <f t="shared" si="1147"/>
        <v>0</v>
      </c>
      <c r="U548" s="2252">
        <f t="shared" si="1147"/>
        <v>0</v>
      </c>
      <c r="V548" s="2253">
        <f t="shared" si="1148"/>
        <v>0</v>
      </c>
      <c r="W548" s="2187">
        <f>W208*$W$371/1000*3</f>
        <v>0</v>
      </c>
      <c r="X548" s="2179">
        <f>X208*$X$371/1000*3</f>
        <v>0</v>
      </c>
      <c r="Y548" s="2183">
        <f t="shared" si="1110"/>
        <v>0</v>
      </c>
      <c r="Z548" s="2254">
        <f t="shared" si="1232"/>
        <v>0</v>
      </c>
      <c r="AA548" s="2252">
        <f t="shared" si="1232"/>
        <v>0</v>
      </c>
      <c r="AB548" s="2255">
        <f t="shared" si="1109"/>
        <v>0</v>
      </c>
      <c r="AC548" s="2184">
        <f>AC208*$AC$371/1000*3</f>
        <v>0</v>
      </c>
      <c r="AD548" s="2179">
        <f>AD208*$AD$371/1000*3</f>
        <v>0</v>
      </c>
      <c r="AE548" s="2180">
        <f t="shared" si="1111"/>
        <v>0</v>
      </c>
      <c r="AF548" s="2277"/>
      <c r="AG548" s="2114"/>
      <c r="AH548" s="2188">
        <f>AH208*$N$371/1000*3</f>
        <v>0</v>
      </c>
      <c r="AI548" s="2188">
        <f>AI208*$O$371/1000*3</f>
        <v>0</v>
      </c>
      <c r="AJ548" s="2186">
        <f t="shared" si="1218"/>
        <v>0</v>
      </c>
      <c r="AK548" s="2188">
        <f>AK208*$N$371/1000*3</f>
        <v>0</v>
      </c>
      <c r="AL548" s="2188">
        <f>AL208*$O$371/1000*3</f>
        <v>0</v>
      </c>
      <c r="AM548" s="2186">
        <f t="shared" si="1219"/>
        <v>0</v>
      </c>
      <c r="AN548" s="2188">
        <f>AN208*$N$371/1000*3</f>
        <v>0</v>
      </c>
      <c r="AO548" s="2188">
        <f>AO208*$O$371/1000*3</f>
        <v>0</v>
      </c>
      <c r="AP548" s="2186">
        <f t="shared" si="1220"/>
        <v>0</v>
      </c>
      <c r="AQ548" s="2188">
        <f>AQ208*$N$371/1000*3</f>
        <v>0</v>
      </c>
      <c r="AR548" s="2188">
        <f>AR208*$O$371/1000*3</f>
        <v>0</v>
      </c>
      <c r="AS548" s="2186">
        <f t="shared" si="1221"/>
        <v>0</v>
      </c>
      <c r="AT548" s="2188">
        <f>AT208*$N$371/1000*3</f>
        <v>0</v>
      </c>
      <c r="AU548" s="2188">
        <f>AU208*$O$371/1000*3</f>
        <v>0</v>
      </c>
      <c r="AV548" s="2186">
        <f t="shared" si="1222"/>
        <v>0</v>
      </c>
      <c r="AW548" s="2188">
        <f>AW208*$N$371/1000*3</f>
        <v>0</v>
      </c>
      <c r="AX548" s="2188">
        <f>AX208*$O$371/1000*3</f>
        <v>0</v>
      </c>
      <c r="AY548" s="2186">
        <f t="shared" si="1223"/>
        <v>0</v>
      </c>
      <c r="AZ548" s="2188">
        <f>AZ208*$N$371/1000*3</f>
        <v>0</v>
      </c>
      <c r="BA548" s="2188">
        <f>BA208*$O$371/1000*3</f>
        <v>0</v>
      </c>
      <c r="BB548" s="2186">
        <f t="shared" si="1224"/>
        <v>0</v>
      </c>
      <c r="BC548" s="2188">
        <f>BC208*$N$371/1000*3</f>
        <v>0</v>
      </c>
      <c r="BD548" s="2188">
        <f>BD208*$O$371/1000*3</f>
        <v>0</v>
      </c>
      <c r="BE548" s="2186">
        <f t="shared" si="1225"/>
        <v>0</v>
      </c>
      <c r="BF548" s="2188">
        <f>BF208*$N$371/1000*3</f>
        <v>0</v>
      </c>
      <c r="BG548" s="2188">
        <f>BG208*$O$371/1000*3</f>
        <v>0</v>
      </c>
      <c r="BH548" s="2186">
        <f t="shared" si="1226"/>
        <v>0</v>
      </c>
      <c r="BI548" s="2188">
        <f>BI208*$N$371/1000*3</f>
        <v>0</v>
      </c>
      <c r="BJ548" s="2188">
        <f>BJ208*$O$371/1000*3</f>
        <v>0</v>
      </c>
      <c r="BK548" s="2186">
        <f t="shared" si="1227"/>
        <v>0</v>
      </c>
      <c r="BL548" s="2188">
        <f>BL208*$N$371/1000*3</f>
        <v>0</v>
      </c>
      <c r="BM548" s="2188">
        <f>BM208*$O$371/1000*3</f>
        <v>0</v>
      </c>
      <c r="BN548" s="2186">
        <f t="shared" si="1228"/>
        <v>0</v>
      </c>
      <c r="BO548" s="2188">
        <f>BO208*$N$371/1000*3</f>
        <v>0</v>
      </c>
      <c r="BP548" s="2188">
        <f>BP208*$O$371/1000*3</f>
        <v>0</v>
      </c>
      <c r="BQ548" s="2186">
        <f t="shared" si="1229"/>
        <v>0</v>
      </c>
    </row>
    <row r="549" spans="3:69" s="2087" customFormat="1" ht="21.6" hidden="1" customHeight="1">
      <c r="C549" s="2194" t="s">
        <v>2704</v>
      </c>
      <c r="D549" s="2283" t="s">
        <v>2225</v>
      </c>
      <c r="E549" s="2284" t="s">
        <v>1833</v>
      </c>
      <c r="F549" s="2176"/>
      <c r="G549" s="2177"/>
      <c r="H549" s="2177"/>
      <c r="I549" s="2178">
        <f t="shared" si="1215"/>
        <v>0</v>
      </c>
      <c r="J549" s="2176"/>
      <c r="K549" s="2252">
        <f t="shared" si="1213"/>
        <v>0</v>
      </c>
      <c r="L549" s="2252">
        <f t="shared" si="1213"/>
        <v>0</v>
      </c>
      <c r="M549" s="2255">
        <f t="shared" si="1214"/>
        <v>0</v>
      </c>
      <c r="N549" s="2179">
        <f>N209*$N$372/1000*3</f>
        <v>0</v>
      </c>
      <c r="O549" s="2179">
        <f>O209*$O$372/1000*3</f>
        <v>0</v>
      </c>
      <c r="P549" s="2178">
        <f t="shared" si="1216"/>
        <v>0</v>
      </c>
      <c r="Q549" s="2184">
        <f>Q209*$Q$372/1000*3</f>
        <v>0</v>
      </c>
      <c r="R549" s="2179">
        <f>R209*$R$372/1000*3</f>
        <v>0</v>
      </c>
      <c r="S549" s="2180">
        <f t="shared" si="1217"/>
        <v>0</v>
      </c>
      <c r="T549" s="2251">
        <f t="shared" si="1147"/>
        <v>0</v>
      </c>
      <c r="U549" s="2252">
        <f t="shared" si="1147"/>
        <v>0</v>
      </c>
      <c r="V549" s="2253">
        <f t="shared" si="1148"/>
        <v>0</v>
      </c>
      <c r="W549" s="2187">
        <f>W209*$W$372/1000*3</f>
        <v>0</v>
      </c>
      <c r="X549" s="2179">
        <f>X209*$X$372/1000*3</f>
        <v>0</v>
      </c>
      <c r="Y549" s="2183">
        <f t="shared" si="1110"/>
        <v>0</v>
      </c>
      <c r="Z549" s="2254">
        <f t="shared" si="1232"/>
        <v>0</v>
      </c>
      <c r="AA549" s="2252">
        <f t="shared" si="1232"/>
        <v>0</v>
      </c>
      <c r="AB549" s="2255">
        <f t="shared" si="1109"/>
        <v>0</v>
      </c>
      <c r="AC549" s="2184">
        <f>AC209*$AC$372/1000*3</f>
        <v>0</v>
      </c>
      <c r="AD549" s="2179">
        <f>AD209*$AD$372/1000*3</f>
        <v>0</v>
      </c>
      <c r="AE549" s="2180">
        <f t="shared" si="1111"/>
        <v>0</v>
      </c>
      <c r="AF549" s="2277"/>
      <c r="AG549" s="2114"/>
      <c r="AH549" s="2188">
        <f>AH209*$N$372/1000*3</f>
        <v>0</v>
      </c>
      <c r="AI549" s="2188">
        <f>AI209*$O$372/1000*3</f>
        <v>0</v>
      </c>
      <c r="AJ549" s="2186">
        <f t="shared" si="1218"/>
        <v>0</v>
      </c>
      <c r="AK549" s="2188">
        <f>AK209*$N$372/1000*3</f>
        <v>0</v>
      </c>
      <c r="AL549" s="2188">
        <f>AL209*$O$372/1000*3</f>
        <v>0</v>
      </c>
      <c r="AM549" s="2186">
        <f t="shared" si="1219"/>
        <v>0</v>
      </c>
      <c r="AN549" s="2188">
        <f>AN209*$N$372/1000*3</f>
        <v>0</v>
      </c>
      <c r="AO549" s="2188">
        <f>AO209*$O$372/1000*3</f>
        <v>0</v>
      </c>
      <c r="AP549" s="2186">
        <f t="shared" si="1220"/>
        <v>0</v>
      </c>
      <c r="AQ549" s="2188">
        <f>AQ209*$N$372/1000*3</f>
        <v>0</v>
      </c>
      <c r="AR549" s="2188">
        <f>AR209*$O$372/1000*3</f>
        <v>0</v>
      </c>
      <c r="AS549" s="2186">
        <f t="shared" si="1221"/>
        <v>0</v>
      </c>
      <c r="AT549" s="2188">
        <f>AT209*$N$372/1000*3</f>
        <v>0</v>
      </c>
      <c r="AU549" s="2188">
        <f>AU209*$O$372/1000*3</f>
        <v>0</v>
      </c>
      <c r="AV549" s="2186">
        <f t="shared" si="1222"/>
        <v>0</v>
      </c>
      <c r="AW549" s="2188">
        <f>AW209*$N$372/1000*3</f>
        <v>0</v>
      </c>
      <c r="AX549" s="2188">
        <f>AX209*$O$372/1000*3</f>
        <v>0</v>
      </c>
      <c r="AY549" s="2186">
        <f t="shared" si="1223"/>
        <v>0</v>
      </c>
      <c r="AZ549" s="2188">
        <f>AZ209*$N$372/1000*3</f>
        <v>0</v>
      </c>
      <c r="BA549" s="2188">
        <f>BA209*$O$372/1000*3</f>
        <v>0</v>
      </c>
      <c r="BB549" s="2186">
        <f t="shared" si="1224"/>
        <v>0</v>
      </c>
      <c r="BC549" s="2188">
        <f>BC209*$N$372/1000*3</f>
        <v>0</v>
      </c>
      <c r="BD549" s="2188">
        <f>BD209*$O$372/1000*3</f>
        <v>0</v>
      </c>
      <c r="BE549" s="2186">
        <f t="shared" si="1225"/>
        <v>0</v>
      </c>
      <c r="BF549" s="2188">
        <f>BF209*$N$372/1000*3</f>
        <v>0</v>
      </c>
      <c r="BG549" s="2188">
        <f>BG209*$O$372/1000*3</f>
        <v>0</v>
      </c>
      <c r="BH549" s="2186">
        <f t="shared" si="1226"/>
        <v>0</v>
      </c>
      <c r="BI549" s="2188">
        <f>BI209*$N$372/1000*3</f>
        <v>0</v>
      </c>
      <c r="BJ549" s="2188">
        <f>BJ209*$O$372/1000*3</f>
        <v>0</v>
      </c>
      <c r="BK549" s="2186">
        <f t="shared" si="1227"/>
        <v>0</v>
      </c>
      <c r="BL549" s="2188">
        <f>BL209*$N$372/1000*3</f>
        <v>0</v>
      </c>
      <c r="BM549" s="2188">
        <f>BM209*$O$372/1000*3</f>
        <v>0</v>
      </c>
      <c r="BN549" s="2186">
        <f t="shared" si="1228"/>
        <v>0</v>
      </c>
      <c r="BO549" s="2188">
        <f>BO209*$N$372/1000*3</f>
        <v>0</v>
      </c>
      <c r="BP549" s="2188">
        <f>BP209*$O$372/1000*3</f>
        <v>0</v>
      </c>
      <c r="BQ549" s="2186">
        <f t="shared" si="1229"/>
        <v>0</v>
      </c>
    </row>
    <row r="550" spans="3:69" s="2087" customFormat="1" ht="21.6" hidden="1" customHeight="1">
      <c r="C550" s="2194" t="s">
        <v>2705</v>
      </c>
      <c r="D550" s="2283" t="s">
        <v>2227</v>
      </c>
      <c r="E550" s="2284" t="s">
        <v>1833</v>
      </c>
      <c r="F550" s="2176"/>
      <c r="G550" s="2177"/>
      <c r="H550" s="2177"/>
      <c r="I550" s="2178">
        <f t="shared" si="1215"/>
        <v>0</v>
      </c>
      <c r="J550" s="2176"/>
      <c r="K550" s="2252">
        <f t="shared" si="1213"/>
        <v>0</v>
      </c>
      <c r="L550" s="2252">
        <f t="shared" si="1213"/>
        <v>0</v>
      </c>
      <c r="M550" s="2255">
        <f t="shared" si="1214"/>
        <v>0</v>
      </c>
      <c r="N550" s="2179">
        <f>N210*$N$373/1000*3</f>
        <v>0</v>
      </c>
      <c r="O550" s="2179">
        <f>O210*$O$373/1000*3</f>
        <v>0</v>
      </c>
      <c r="P550" s="2178">
        <f t="shared" si="1216"/>
        <v>0</v>
      </c>
      <c r="Q550" s="2184">
        <f>Q210*$Q$373/1000*3</f>
        <v>0</v>
      </c>
      <c r="R550" s="2179">
        <f>R210*$R$373/1000*3</f>
        <v>0</v>
      </c>
      <c r="S550" s="2180">
        <f t="shared" si="1217"/>
        <v>0</v>
      </c>
      <c r="T550" s="2251">
        <f t="shared" si="1147"/>
        <v>0</v>
      </c>
      <c r="U550" s="2252">
        <f t="shared" si="1147"/>
        <v>0</v>
      </c>
      <c r="V550" s="2253">
        <f t="shared" si="1148"/>
        <v>0</v>
      </c>
      <c r="W550" s="2187">
        <f>W210*$W$373/1000*3</f>
        <v>0</v>
      </c>
      <c r="X550" s="2179">
        <f>X210*$X$373/1000*3</f>
        <v>0</v>
      </c>
      <c r="Y550" s="2183">
        <f t="shared" si="1110"/>
        <v>0</v>
      </c>
      <c r="Z550" s="2254">
        <f t="shared" si="1232"/>
        <v>0</v>
      </c>
      <c r="AA550" s="2252">
        <f t="shared" si="1232"/>
        <v>0</v>
      </c>
      <c r="AB550" s="2255">
        <f t="shared" si="1109"/>
        <v>0</v>
      </c>
      <c r="AC550" s="2184">
        <f>AC210*$AC$373/1000*3</f>
        <v>0</v>
      </c>
      <c r="AD550" s="2179">
        <f>AD210*$AD$373/1000*3</f>
        <v>0</v>
      </c>
      <c r="AE550" s="2180">
        <f t="shared" si="1111"/>
        <v>0</v>
      </c>
      <c r="AF550" s="2277"/>
      <c r="AG550" s="2114"/>
      <c r="AH550" s="2188">
        <f>AH210*$N$373/1000*3</f>
        <v>0</v>
      </c>
      <c r="AI550" s="2188">
        <f>AI210*$O$373/1000*3</f>
        <v>0</v>
      </c>
      <c r="AJ550" s="2186">
        <f t="shared" si="1218"/>
        <v>0</v>
      </c>
      <c r="AK550" s="2188">
        <f>AK210*$N$373/1000*3</f>
        <v>0</v>
      </c>
      <c r="AL550" s="2188">
        <f>AL210*$O$373/1000*3</f>
        <v>0</v>
      </c>
      <c r="AM550" s="2186">
        <f t="shared" si="1219"/>
        <v>0</v>
      </c>
      <c r="AN550" s="2188">
        <f>AN210*$N$373/1000*3</f>
        <v>0</v>
      </c>
      <c r="AO550" s="2188">
        <f>AO210*$O$373/1000*3</f>
        <v>0</v>
      </c>
      <c r="AP550" s="2186">
        <f t="shared" si="1220"/>
        <v>0</v>
      </c>
      <c r="AQ550" s="2188">
        <f>AQ210*$N$373/1000*3</f>
        <v>0</v>
      </c>
      <c r="AR550" s="2188">
        <f>AR210*$O$373/1000*3</f>
        <v>0</v>
      </c>
      <c r="AS550" s="2186">
        <f t="shared" si="1221"/>
        <v>0</v>
      </c>
      <c r="AT550" s="2188">
        <f>AT210*$N$373/1000*3</f>
        <v>0</v>
      </c>
      <c r="AU550" s="2188">
        <f>AU210*$O$373/1000*3</f>
        <v>0</v>
      </c>
      <c r="AV550" s="2186">
        <f t="shared" si="1222"/>
        <v>0</v>
      </c>
      <c r="AW550" s="2188">
        <f>AW210*$N$373/1000*3</f>
        <v>0</v>
      </c>
      <c r="AX550" s="2188">
        <f>AX210*$O$373/1000*3</f>
        <v>0</v>
      </c>
      <c r="AY550" s="2186">
        <f t="shared" si="1223"/>
        <v>0</v>
      </c>
      <c r="AZ550" s="2188">
        <f>AZ210*$N$373/1000*3</f>
        <v>0</v>
      </c>
      <c r="BA550" s="2188">
        <f>BA210*$O$373/1000*3</f>
        <v>0</v>
      </c>
      <c r="BB550" s="2186">
        <f t="shared" si="1224"/>
        <v>0</v>
      </c>
      <c r="BC550" s="2188">
        <f>BC210*$N$373/1000*3</f>
        <v>0</v>
      </c>
      <c r="BD550" s="2188">
        <f>BD210*$O$373/1000*3</f>
        <v>0</v>
      </c>
      <c r="BE550" s="2186">
        <f t="shared" si="1225"/>
        <v>0</v>
      </c>
      <c r="BF550" s="2188">
        <f>BF210*$N$373/1000*3</f>
        <v>0</v>
      </c>
      <c r="BG550" s="2188">
        <f>BG210*$O$373/1000*3</f>
        <v>0</v>
      </c>
      <c r="BH550" s="2186">
        <f t="shared" si="1226"/>
        <v>0</v>
      </c>
      <c r="BI550" s="2188">
        <f>BI210*$N$373/1000*3</f>
        <v>0</v>
      </c>
      <c r="BJ550" s="2188">
        <f>BJ210*$O$373/1000*3</f>
        <v>0</v>
      </c>
      <c r="BK550" s="2186">
        <f t="shared" si="1227"/>
        <v>0</v>
      </c>
      <c r="BL550" s="2188">
        <f>BL210*$N$373/1000*3</f>
        <v>0</v>
      </c>
      <c r="BM550" s="2188">
        <f>BM210*$O$373/1000*3</f>
        <v>0</v>
      </c>
      <c r="BN550" s="2186">
        <f t="shared" si="1228"/>
        <v>0</v>
      </c>
      <c r="BO550" s="2188">
        <f>BO210*$N$373/1000*3</f>
        <v>0</v>
      </c>
      <c r="BP550" s="2188">
        <f>BP210*$O$373/1000*3</f>
        <v>0</v>
      </c>
      <c r="BQ550" s="2186">
        <f t="shared" si="1229"/>
        <v>0</v>
      </c>
    </row>
    <row r="551" spans="3:69" s="2087" customFormat="1" ht="21.6" hidden="1" customHeight="1">
      <c r="C551" s="2194" t="s">
        <v>2706</v>
      </c>
      <c r="D551" s="2283" t="s">
        <v>2229</v>
      </c>
      <c r="E551" s="2284" t="s">
        <v>1833</v>
      </c>
      <c r="F551" s="2176"/>
      <c r="G551" s="2177"/>
      <c r="H551" s="2177"/>
      <c r="I551" s="2186"/>
      <c r="J551" s="2176"/>
      <c r="K551" s="2252">
        <f t="shared" si="1213"/>
        <v>0</v>
      </c>
      <c r="L551" s="2252">
        <f t="shared" si="1213"/>
        <v>0</v>
      </c>
      <c r="M551" s="2255">
        <f t="shared" si="1214"/>
        <v>0</v>
      </c>
      <c r="N551" s="2177"/>
      <c r="O551" s="2177"/>
      <c r="P551" s="2186"/>
      <c r="Q551" s="2177"/>
      <c r="R551" s="2177"/>
      <c r="S551" s="2266"/>
      <c r="T551" s="2251">
        <f t="shared" si="1147"/>
        <v>0</v>
      </c>
      <c r="U551" s="2252">
        <f t="shared" si="1147"/>
        <v>0</v>
      </c>
      <c r="V551" s="2253">
        <f t="shared" si="1148"/>
        <v>0</v>
      </c>
      <c r="W551" s="2182"/>
      <c r="X551" s="2177"/>
      <c r="Y551" s="2271"/>
      <c r="Z551" s="2254">
        <f t="shared" si="1232"/>
        <v>0</v>
      </c>
      <c r="AA551" s="2252">
        <f t="shared" si="1232"/>
        <v>0</v>
      </c>
      <c r="AB551" s="2255">
        <f t="shared" si="1109"/>
        <v>0</v>
      </c>
      <c r="AC551" s="2177"/>
      <c r="AD551" s="2177"/>
      <c r="AE551" s="2266"/>
      <c r="AF551" s="2277"/>
      <c r="AG551" s="2114"/>
      <c r="AH551" s="2177"/>
      <c r="AI551" s="2177"/>
      <c r="AJ551" s="2186"/>
      <c r="AK551" s="2177"/>
      <c r="AL551" s="2177"/>
      <c r="AM551" s="2186"/>
      <c r="AN551" s="2177"/>
      <c r="AO551" s="2177"/>
      <c r="AP551" s="2186"/>
      <c r="AQ551" s="2177"/>
      <c r="AR551" s="2177"/>
      <c r="AS551" s="2186"/>
      <c r="AT551" s="2177"/>
      <c r="AU551" s="2177"/>
      <c r="AV551" s="2186"/>
      <c r="AW551" s="2177"/>
      <c r="AX551" s="2177"/>
      <c r="AY551" s="2186"/>
      <c r="AZ551" s="2177"/>
      <c r="BA551" s="2177"/>
      <c r="BB551" s="2186"/>
      <c r="BC551" s="2177"/>
      <c r="BD551" s="2177"/>
      <c r="BE551" s="2186"/>
      <c r="BF551" s="2177"/>
      <c r="BG551" s="2177"/>
      <c r="BH551" s="2186"/>
      <c r="BI551" s="2177"/>
      <c r="BJ551" s="2177"/>
      <c r="BK551" s="2186"/>
      <c r="BL551" s="2177"/>
      <c r="BM551" s="2177"/>
      <c r="BN551" s="2186"/>
      <c r="BO551" s="2177"/>
      <c r="BP551" s="2177"/>
      <c r="BQ551" s="2186"/>
    </row>
    <row r="552" spans="3:69" s="2087" customFormat="1" ht="21.6" hidden="1" customHeight="1">
      <c r="C552" s="2285" t="s">
        <v>2707</v>
      </c>
      <c r="D552" s="2286" t="s">
        <v>2606</v>
      </c>
      <c r="E552" s="2284" t="s">
        <v>1833</v>
      </c>
      <c r="F552" s="2176"/>
      <c r="G552" s="2252">
        <f>G553+G554+G555+G556+G557</f>
        <v>0</v>
      </c>
      <c r="H552" s="2252">
        <f>H553+H554+H555+H556+H557</f>
        <v>0</v>
      </c>
      <c r="I552" s="2178">
        <f t="shared" ref="I552" si="1234">H552-G552</f>
        <v>0</v>
      </c>
      <c r="J552" s="2176"/>
      <c r="K552" s="2252">
        <f t="shared" si="1213"/>
        <v>0</v>
      </c>
      <c r="L552" s="2179">
        <f t="shared" si="1213"/>
        <v>0</v>
      </c>
      <c r="M552" s="2178">
        <f t="shared" si="1214"/>
        <v>0</v>
      </c>
      <c r="N552" s="2179">
        <f>N553+N554+N555+N556+N557</f>
        <v>0</v>
      </c>
      <c r="O552" s="2179">
        <f>O553+O554+O555+O556+O557</f>
        <v>0</v>
      </c>
      <c r="P552" s="2178">
        <f t="shared" ref="P552" si="1235">O552-N552</f>
        <v>0</v>
      </c>
      <c r="Q552" s="2179">
        <f>Q553+Q554+Q555+Q556+Q557</f>
        <v>0</v>
      </c>
      <c r="R552" s="2179">
        <f>R553+R554+R555+R556+R557</f>
        <v>0</v>
      </c>
      <c r="S552" s="2180">
        <f t="shared" ref="S552" si="1236">R552-Q552</f>
        <v>0</v>
      </c>
      <c r="T552" s="2181">
        <f t="shared" si="1147"/>
        <v>0</v>
      </c>
      <c r="U552" s="2179">
        <f t="shared" si="1147"/>
        <v>0</v>
      </c>
      <c r="V552" s="2180">
        <f t="shared" si="1148"/>
        <v>0</v>
      </c>
      <c r="W552" s="2187">
        <f>W553+W554+W555+W556+W557</f>
        <v>0</v>
      </c>
      <c r="X552" s="2179">
        <f>X553+X554+X555+X556+X557</f>
        <v>0</v>
      </c>
      <c r="Y552" s="2183">
        <f t="shared" ref="Y552" si="1237">X552-W552</f>
        <v>0</v>
      </c>
      <c r="Z552" s="2184">
        <f t="shared" si="1232"/>
        <v>0</v>
      </c>
      <c r="AA552" s="2179">
        <f t="shared" si="1232"/>
        <v>0</v>
      </c>
      <c r="AB552" s="2178">
        <f t="shared" si="1109"/>
        <v>0</v>
      </c>
      <c r="AC552" s="2179">
        <f>AC553+AC554+AC555+AC556+AC557</f>
        <v>0</v>
      </c>
      <c r="AD552" s="2179">
        <f>AD553+AD554+AD555+AD556+AD557</f>
        <v>0</v>
      </c>
      <c r="AE552" s="2180">
        <f t="shared" ref="AE552" si="1238">AD552-AC552</f>
        <v>0</v>
      </c>
      <c r="AF552" s="2277"/>
      <c r="AG552" s="2114"/>
      <c r="AH552" s="2188">
        <f>AH553+AH554+AH555+AH556+AH557</f>
        <v>0</v>
      </c>
      <c r="AI552" s="2188">
        <f>AI553+AI554+AI555+AI556+AI557</f>
        <v>0</v>
      </c>
      <c r="AJ552" s="2186">
        <f t="shared" ref="AJ552:AJ556" si="1239">AI552-AH552</f>
        <v>0</v>
      </c>
      <c r="AK552" s="2188">
        <f>AK553+AK554+AK555+AK556+AK557</f>
        <v>0</v>
      </c>
      <c r="AL552" s="2188">
        <f>AL553+AL554+AL555+AL556+AL557</f>
        <v>0</v>
      </c>
      <c r="AM552" s="2186">
        <f t="shared" ref="AM552:AM556" si="1240">AL552-AK552</f>
        <v>0</v>
      </c>
      <c r="AN552" s="2188">
        <f>AN553+AN554+AN555+AN556+AN557</f>
        <v>0</v>
      </c>
      <c r="AO552" s="2188">
        <f>AO553+AO554+AO555+AO556+AO557</f>
        <v>0</v>
      </c>
      <c r="AP552" s="2186">
        <f t="shared" ref="AP552:AP556" si="1241">AO552-AN552</f>
        <v>0</v>
      </c>
      <c r="AQ552" s="2188">
        <f>AQ553+AQ554+AQ555+AQ556+AQ557</f>
        <v>0</v>
      </c>
      <c r="AR552" s="2188">
        <f>AR553+AR554+AR555+AR556+AR557</f>
        <v>0</v>
      </c>
      <c r="AS552" s="2186">
        <f t="shared" ref="AS552:AS556" si="1242">AR552-AQ552</f>
        <v>0</v>
      </c>
      <c r="AT552" s="2188">
        <f>AT553+AT554+AT555+AT556+AT557</f>
        <v>0</v>
      </c>
      <c r="AU552" s="2188">
        <f>AU553+AU554+AU555+AU556+AU557</f>
        <v>0</v>
      </c>
      <c r="AV552" s="2186">
        <f t="shared" ref="AV552:AV556" si="1243">AU552-AT552</f>
        <v>0</v>
      </c>
      <c r="AW552" s="2188">
        <f>AW553+AW554+AW555+AW556+AW557</f>
        <v>0</v>
      </c>
      <c r="AX552" s="2188">
        <f>AX553+AX554+AX555+AX556+AX557</f>
        <v>0</v>
      </c>
      <c r="AY552" s="2186">
        <f t="shared" ref="AY552:AY556" si="1244">AX552-AW552</f>
        <v>0</v>
      </c>
      <c r="AZ552" s="2188">
        <f>AZ553+AZ554+AZ555+AZ556+AZ557</f>
        <v>0</v>
      </c>
      <c r="BA552" s="2188">
        <f>BA553+BA554+BA555+BA556+BA557</f>
        <v>0</v>
      </c>
      <c r="BB552" s="2186">
        <f t="shared" ref="BB552:BB556" si="1245">BA552-AZ552</f>
        <v>0</v>
      </c>
      <c r="BC552" s="2188">
        <f>BC553+BC554+BC555+BC556+BC557</f>
        <v>0</v>
      </c>
      <c r="BD552" s="2188">
        <f>BD553+BD554+BD555+BD556+BD557</f>
        <v>0</v>
      </c>
      <c r="BE552" s="2186">
        <f t="shared" ref="BE552:BE556" si="1246">BD552-BC552</f>
        <v>0</v>
      </c>
      <c r="BF552" s="2188">
        <f>BF553+BF554+BF555+BF556+BF557</f>
        <v>0</v>
      </c>
      <c r="BG552" s="2188">
        <f>BG553+BG554+BG555+BG556+BG557</f>
        <v>0</v>
      </c>
      <c r="BH552" s="2186">
        <f t="shared" ref="BH552:BH556" si="1247">BG552-BF552</f>
        <v>0</v>
      </c>
      <c r="BI552" s="2188">
        <f>BI553+BI554+BI555+BI556+BI557</f>
        <v>0</v>
      </c>
      <c r="BJ552" s="2188">
        <f>BJ553+BJ554+BJ555+BJ556+BJ557</f>
        <v>0</v>
      </c>
      <c r="BK552" s="2186">
        <f t="shared" ref="BK552:BK556" si="1248">BJ552-BI552</f>
        <v>0</v>
      </c>
      <c r="BL552" s="2188">
        <f>BL553+BL554+BL555+BL556+BL557</f>
        <v>0</v>
      </c>
      <c r="BM552" s="2188">
        <f>BM553+BM554+BM555+BM556+BM557</f>
        <v>0</v>
      </c>
      <c r="BN552" s="2186">
        <f t="shared" ref="BN552:BN556" si="1249">BM552-BL552</f>
        <v>0</v>
      </c>
      <c r="BO552" s="2188">
        <f>BO553+BO554+BO555+BO556+BO557</f>
        <v>0</v>
      </c>
      <c r="BP552" s="2188">
        <f>BP553+BP554+BP555+BP556+BP557</f>
        <v>0</v>
      </c>
      <c r="BQ552" s="2186">
        <f t="shared" ref="BQ552:BQ556" si="1250">BP552-BO552</f>
        <v>0</v>
      </c>
    </row>
    <row r="553" spans="3:69" s="2087" customFormat="1" ht="21.6" hidden="1" customHeight="1">
      <c r="C553" s="2194" t="s">
        <v>2708</v>
      </c>
      <c r="D553" s="2283" t="s">
        <v>2221</v>
      </c>
      <c r="E553" s="2284" t="s">
        <v>1833</v>
      </c>
      <c r="F553" s="2176"/>
      <c r="G553" s="2177"/>
      <c r="H553" s="2177"/>
      <c r="I553" s="2178">
        <f t="shared" si="1215"/>
        <v>0</v>
      </c>
      <c r="J553" s="2176"/>
      <c r="K553" s="2252">
        <f t="shared" si="1213"/>
        <v>0</v>
      </c>
      <c r="L553" s="2252">
        <f t="shared" si="1213"/>
        <v>0</v>
      </c>
      <c r="M553" s="2255">
        <f t="shared" si="1214"/>
        <v>0</v>
      </c>
      <c r="N553" s="2179">
        <f>N213*$N$376</f>
        <v>0</v>
      </c>
      <c r="O553" s="2179">
        <f>O213*$O$376</f>
        <v>0</v>
      </c>
      <c r="P553" s="2178">
        <f t="shared" si="1216"/>
        <v>0</v>
      </c>
      <c r="Q553" s="2184">
        <f>Q213*$Q$376</f>
        <v>0</v>
      </c>
      <c r="R553" s="2179">
        <f>R213*$R$376</f>
        <v>0</v>
      </c>
      <c r="S553" s="2180">
        <f t="shared" si="1217"/>
        <v>0</v>
      </c>
      <c r="T553" s="2251">
        <f t="shared" si="1147"/>
        <v>0</v>
      </c>
      <c r="U553" s="2252">
        <f t="shared" si="1147"/>
        <v>0</v>
      </c>
      <c r="V553" s="2253">
        <f t="shared" si="1148"/>
        <v>0</v>
      </c>
      <c r="W553" s="2187">
        <f>W213*$W$376</f>
        <v>0</v>
      </c>
      <c r="X553" s="2179">
        <f>X213*$X$376</f>
        <v>0</v>
      </c>
      <c r="Y553" s="2183">
        <f t="shared" si="1110"/>
        <v>0</v>
      </c>
      <c r="Z553" s="2254">
        <f t="shared" si="1232"/>
        <v>0</v>
      </c>
      <c r="AA553" s="2252">
        <f t="shared" si="1232"/>
        <v>0</v>
      </c>
      <c r="AB553" s="2255">
        <f t="shared" si="1109"/>
        <v>0</v>
      </c>
      <c r="AC553" s="2184">
        <f>AC213*$AC$376</f>
        <v>0</v>
      </c>
      <c r="AD553" s="2179">
        <f>AD213*$AD$376</f>
        <v>0</v>
      </c>
      <c r="AE553" s="2180">
        <f t="shared" si="1111"/>
        <v>0</v>
      </c>
      <c r="AF553" s="2277"/>
      <c r="AG553" s="2114"/>
      <c r="AH553" s="2188">
        <f>AH213*$N$376</f>
        <v>0</v>
      </c>
      <c r="AI553" s="2188">
        <f>AI213*$O$376</f>
        <v>0</v>
      </c>
      <c r="AJ553" s="2186">
        <f t="shared" si="1239"/>
        <v>0</v>
      </c>
      <c r="AK553" s="2188">
        <f>AK213*$N$376</f>
        <v>0</v>
      </c>
      <c r="AL553" s="2188">
        <f>AL213*$O$376</f>
        <v>0</v>
      </c>
      <c r="AM553" s="2186">
        <f t="shared" si="1240"/>
        <v>0</v>
      </c>
      <c r="AN553" s="2188">
        <f>AN213*$N$376</f>
        <v>0</v>
      </c>
      <c r="AO553" s="2188">
        <f>AO213*$O$376</f>
        <v>0</v>
      </c>
      <c r="AP553" s="2186">
        <f t="shared" si="1241"/>
        <v>0</v>
      </c>
      <c r="AQ553" s="2188">
        <f>AQ213*$N$376</f>
        <v>0</v>
      </c>
      <c r="AR553" s="2188">
        <f>AR213*$O$376</f>
        <v>0</v>
      </c>
      <c r="AS553" s="2186">
        <f t="shared" si="1242"/>
        <v>0</v>
      </c>
      <c r="AT553" s="2188">
        <f>AT213*$N$376</f>
        <v>0</v>
      </c>
      <c r="AU553" s="2188">
        <f>AU213*$O$376</f>
        <v>0</v>
      </c>
      <c r="AV553" s="2186">
        <f t="shared" si="1243"/>
        <v>0</v>
      </c>
      <c r="AW553" s="2188">
        <f>AW213*$N$376</f>
        <v>0</v>
      </c>
      <c r="AX553" s="2188">
        <f>AX213*$O$376</f>
        <v>0</v>
      </c>
      <c r="AY553" s="2186">
        <f t="shared" si="1244"/>
        <v>0</v>
      </c>
      <c r="AZ553" s="2188">
        <f>AZ213*$N$376</f>
        <v>0</v>
      </c>
      <c r="BA553" s="2188">
        <f>BA213*$O$376</f>
        <v>0</v>
      </c>
      <c r="BB553" s="2186">
        <f t="shared" si="1245"/>
        <v>0</v>
      </c>
      <c r="BC553" s="2188">
        <f>BC213*$N$376</f>
        <v>0</v>
      </c>
      <c r="BD553" s="2188">
        <f>BD213*$O$376</f>
        <v>0</v>
      </c>
      <c r="BE553" s="2186">
        <f t="shared" si="1246"/>
        <v>0</v>
      </c>
      <c r="BF553" s="2188">
        <f>BF213*$N$376</f>
        <v>0</v>
      </c>
      <c r="BG553" s="2188">
        <f>BG213*$O$376</f>
        <v>0</v>
      </c>
      <c r="BH553" s="2186">
        <f t="shared" si="1247"/>
        <v>0</v>
      </c>
      <c r="BI553" s="2188">
        <f>BI213*$N$376</f>
        <v>0</v>
      </c>
      <c r="BJ553" s="2188">
        <f>BJ213*$O$376</f>
        <v>0</v>
      </c>
      <c r="BK553" s="2186">
        <f t="shared" si="1248"/>
        <v>0</v>
      </c>
      <c r="BL553" s="2188">
        <f>BL213*$N$376</f>
        <v>0</v>
      </c>
      <c r="BM553" s="2188">
        <f>BM213*$O$376</f>
        <v>0</v>
      </c>
      <c r="BN553" s="2186">
        <f t="shared" si="1249"/>
        <v>0</v>
      </c>
      <c r="BO553" s="2188">
        <f>BO213*$N$376</f>
        <v>0</v>
      </c>
      <c r="BP553" s="2188">
        <f>BP213*$O$376</f>
        <v>0</v>
      </c>
      <c r="BQ553" s="2186">
        <f t="shared" si="1250"/>
        <v>0</v>
      </c>
    </row>
    <row r="554" spans="3:69" s="2087" customFormat="1" ht="21.6" hidden="1" customHeight="1">
      <c r="C554" s="2194" t="s">
        <v>2709</v>
      </c>
      <c r="D554" s="2283" t="s">
        <v>2223</v>
      </c>
      <c r="E554" s="2284" t="s">
        <v>1833</v>
      </c>
      <c r="F554" s="2176"/>
      <c r="G554" s="2177"/>
      <c r="H554" s="2177"/>
      <c r="I554" s="2178">
        <f t="shared" si="1215"/>
        <v>0</v>
      </c>
      <c r="J554" s="2176"/>
      <c r="K554" s="2252">
        <f t="shared" si="1213"/>
        <v>0</v>
      </c>
      <c r="L554" s="2252">
        <f t="shared" si="1213"/>
        <v>0</v>
      </c>
      <c r="M554" s="2255">
        <f t="shared" si="1214"/>
        <v>0</v>
      </c>
      <c r="N554" s="2179">
        <f>N214*$N$377</f>
        <v>0</v>
      </c>
      <c r="O554" s="2179">
        <f>O214*$O$377</f>
        <v>0</v>
      </c>
      <c r="P554" s="2178">
        <f t="shared" si="1216"/>
        <v>0</v>
      </c>
      <c r="Q554" s="2184">
        <f>Q214*$Q$377</f>
        <v>0</v>
      </c>
      <c r="R554" s="2179">
        <f>R214*$R$377</f>
        <v>0</v>
      </c>
      <c r="S554" s="2180">
        <f t="shared" si="1217"/>
        <v>0</v>
      </c>
      <c r="T554" s="2251">
        <f t="shared" si="1147"/>
        <v>0</v>
      </c>
      <c r="U554" s="2252">
        <f t="shared" si="1147"/>
        <v>0</v>
      </c>
      <c r="V554" s="2253">
        <f t="shared" si="1148"/>
        <v>0</v>
      </c>
      <c r="W554" s="2187">
        <f>W214*$W$377</f>
        <v>0</v>
      </c>
      <c r="X554" s="2179">
        <f>X214*$X$377</f>
        <v>0</v>
      </c>
      <c r="Y554" s="2183">
        <f t="shared" si="1110"/>
        <v>0</v>
      </c>
      <c r="Z554" s="2254">
        <f t="shared" si="1232"/>
        <v>0</v>
      </c>
      <c r="AA554" s="2252">
        <f t="shared" si="1232"/>
        <v>0</v>
      </c>
      <c r="AB554" s="2255">
        <f t="shared" si="1109"/>
        <v>0</v>
      </c>
      <c r="AC554" s="2184">
        <f>AC214*$AC$377</f>
        <v>0</v>
      </c>
      <c r="AD554" s="2179">
        <f>AD214*$AD$377</f>
        <v>0</v>
      </c>
      <c r="AE554" s="2180">
        <f t="shared" si="1111"/>
        <v>0</v>
      </c>
      <c r="AF554" s="2277"/>
      <c r="AG554" s="2114"/>
      <c r="AH554" s="2188">
        <f>AH214*$N$377</f>
        <v>0</v>
      </c>
      <c r="AI554" s="2188">
        <f>AI214*$O$377</f>
        <v>0</v>
      </c>
      <c r="AJ554" s="2186">
        <f t="shared" si="1239"/>
        <v>0</v>
      </c>
      <c r="AK554" s="2188">
        <f>AK214*$N$377</f>
        <v>0</v>
      </c>
      <c r="AL554" s="2188">
        <f>AL214*$O$377</f>
        <v>0</v>
      </c>
      <c r="AM554" s="2186">
        <f t="shared" si="1240"/>
        <v>0</v>
      </c>
      <c r="AN554" s="2188">
        <f>AN214*$N$377</f>
        <v>0</v>
      </c>
      <c r="AO554" s="2188">
        <f>AO214*$O$377</f>
        <v>0</v>
      </c>
      <c r="AP554" s="2186">
        <f t="shared" si="1241"/>
        <v>0</v>
      </c>
      <c r="AQ554" s="2188">
        <f>AQ214*$N$377</f>
        <v>0</v>
      </c>
      <c r="AR554" s="2188">
        <f>AR214*$O$377</f>
        <v>0</v>
      </c>
      <c r="AS554" s="2186">
        <f t="shared" si="1242"/>
        <v>0</v>
      </c>
      <c r="AT554" s="2188">
        <f>AT214*$N$377</f>
        <v>0</v>
      </c>
      <c r="AU554" s="2188">
        <f>AU214*$O$377</f>
        <v>0</v>
      </c>
      <c r="AV554" s="2186">
        <f t="shared" si="1243"/>
        <v>0</v>
      </c>
      <c r="AW554" s="2188">
        <f>AW214*$N$377</f>
        <v>0</v>
      </c>
      <c r="AX554" s="2188">
        <f>AX214*$O$377</f>
        <v>0</v>
      </c>
      <c r="AY554" s="2186">
        <f t="shared" si="1244"/>
        <v>0</v>
      </c>
      <c r="AZ554" s="2188">
        <f>AZ214*$N$377</f>
        <v>0</v>
      </c>
      <c r="BA554" s="2188">
        <f>BA214*$O$377</f>
        <v>0</v>
      </c>
      <c r="BB554" s="2186">
        <f t="shared" si="1245"/>
        <v>0</v>
      </c>
      <c r="BC554" s="2188">
        <f>BC214*$N$377</f>
        <v>0</v>
      </c>
      <c r="BD554" s="2188">
        <f>BD214*$O$377</f>
        <v>0</v>
      </c>
      <c r="BE554" s="2186">
        <f t="shared" si="1246"/>
        <v>0</v>
      </c>
      <c r="BF554" s="2188">
        <f>BF214*$N$377</f>
        <v>0</v>
      </c>
      <c r="BG554" s="2188">
        <f>BG214*$O$377</f>
        <v>0</v>
      </c>
      <c r="BH554" s="2186">
        <f t="shared" si="1247"/>
        <v>0</v>
      </c>
      <c r="BI554" s="2188">
        <f>BI214*$N$377</f>
        <v>0</v>
      </c>
      <c r="BJ554" s="2188">
        <f>BJ214*$O$377</f>
        <v>0</v>
      </c>
      <c r="BK554" s="2186">
        <f t="shared" si="1248"/>
        <v>0</v>
      </c>
      <c r="BL554" s="2188">
        <f>BL214*$N$377</f>
        <v>0</v>
      </c>
      <c r="BM554" s="2188">
        <f>BM214*$O$377</f>
        <v>0</v>
      </c>
      <c r="BN554" s="2186">
        <f t="shared" si="1249"/>
        <v>0</v>
      </c>
      <c r="BO554" s="2188">
        <f>BO214*$N$377</f>
        <v>0</v>
      </c>
      <c r="BP554" s="2188">
        <f>BP214*$O$377</f>
        <v>0</v>
      </c>
      <c r="BQ554" s="2186">
        <f t="shared" si="1250"/>
        <v>0</v>
      </c>
    </row>
    <row r="555" spans="3:69" s="2087" customFormat="1" ht="21.6" hidden="1" customHeight="1">
      <c r="C555" s="2194" t="s">
        <v>2710</v>
      </c>
      <c r="D555" s="2283" t="s">
        <v>2225</v>
      </c>
      <c r="E555" s="2284" t="s">
        <v>1833</v>
      </c>
      <c r="F555" s="2176"/>
      <c r="G555" s="2177"/>
      <c r="H555" s="2177"/>
      <c r="I555" s="2178">
        <f t="shared" si="1215"/>
        <v>0</v>
      </c>
      <c r="J555" s="2176"/>
      <c r="K555" s="2252">
        <f t="shared" si="1213"/>
        <v>0</v>
      </c>
      <c r="L555" s="2252">
        <f t="shared" si="1213"/>
        <v>0</v>
      </c>
      <c r="M555" s="2255">
        <f t="shared" si="1214"/>
        <v>0</v>
      </c>
      <c r="N555" s="2179">
        <f>N215*$N$378</f>
        <v>0</v>
      </c>
      <c r="O555" s="2179">
        <f>O215*$O$378</f>
        <v>0</v>
      </c>
      <c r="P555" s="2178">
        <f t="shared" si="1216"/>
        <v>0</v>
      </c>
      <c r="Q555" s="2184">
        <f>Q215*$Q$378</f>
        <v>0</v>
      </c>
      <c r="R555" s="2179">
        <f>R215*$R$378</f>
        <v>0</v>
      </c>
      <c r="S555" s="2180">
        <f t="shared" si="1217"/>
        <v>0</v>
      </c>
      <c r="T555" s="2251">
        <f t="shared" si="1147"/>
        <v>0</v>
      </c>
      <c r="U555" s="2252">
        <f t="shared" si="1147"/>
        <v>0</v>
      </c>
      <c r="V555" s="2253">
        <f t="shared" si="1148"/>
        <v>0</v>
      </c>
      <c r="W555" s="2187">
        <f>W215*$W$378</f>
        <v>0</v>
      </c>
      <c r="X555" s="2179">
        <f>X215*$X$378</f>
        <v>0</v>
      </c>
      <c r="Y555" s="2183">
        <f t="shared" si="1110"/>
        <v>0</v>
      </c>
      <c r="Z555" s="2254">
        <f t="shared" si="1232"/>
        <v>0</v>
      </c>
      <c r="AA555" s="2252">
        <f t="shared" si="1232"/>
        <v>0</v>
      </c>
      <c r="AB555" s="2255">
        <f t="shared" si="1109"/>
        <v>0</v>
      </c>
      <c r="AC555" s="2184">
        <f>AC215*$AC$378</f>
        <v>0</v>
      </c>
      <c r="AD555" s="2179">
        <f>AD215*$AD$378</f>
        <v>0</v>
      </c>
      <c r="AE555" s="2180">
        <f t="shared" si="1111"/>
        <v>0</v>
      </c>
      <c r="AF555" s="2277"/>
      <c r="AG555" s="2114"/>
      <c r="AH555" s="2188">
        <f>AH215*$N$378</f>
        <v>0</v>
      </c>
      <c r="AI555" s="2188">
        <f>AI215*$O$378</f>
        <v>0</v>
      </c>
      <c r="AJ555" s="2186">
        <f t="shared" si="1239"/>
        <v>0</v>
      </c>
      <c r="AK555" s="2188">
        <f>AK215*$N$378</f>
        <v>0</v>
      </c>
      <c r="AL555" s="2188">
        <f>AL215*$O$378</f>
        <v>0</v>
      </c>
      <c r="AM555" s="2186">
        <f t="shared" si="1240"/>
        <v>0</v>
      </c>
      <c r="AN555" s="2188">
        <f>AN215*$N$378</f>
        <v>0</v>
      </c>
      <c r="AO555" s="2188">
        <f>AO215*$O$378</f>
        <v>0</v>
      </c>
      <c r="AP555" s="2186">
        <f t="shared" si="1241"/>
        <v>0</v>
      </c>
      <c r="AQ555" s="2188">
        <f>AQ215*$N$378</f>
        <v>0</v>
      </c>
      <c r="AR555" s="2188">
        <f>AR215*$O$378</f>
        <v>0</v>
      </c>
      <c r="AS555" s="2186">
        <f t="shared" si="1242"/>
        <v>0</v>
      </c>
      <c r="AT555" s="2188">
        <f>AT215*$N$378</f>
        <v>0</v>
      </c>
      <c r="AU555" s="2188">
        <f>AU215*$O$378</f>
        <v>0</v>
      </c>
      <c r="AV555" s="2186">
        <f t="shared" si="1243"/>
        <v>0</v>
      </c>
      <c r="AW555" s="2188">
        <f>AW215*$N$378</f>
        <v>0</v>
      </c>
      <c r="AX555" s="2188">
        <f>AX215*$O$378</f>
        <v>0</v>
      </c>
      <c r="AY555" s="2186">
        <f t="shared" si="1244"/>
        <v>0</v>
      </c>
      <c r="AZ555" s="2188">
        <f>AZ215*$N$378</f>
        <v>0</v>
      </c>
      <c r="BA555" s="2188">
        <f>BA215*$O$378</f>
        <v>0</v>
      </c>
      <c r="BB555" s="2186">
        <f t="shared" si="1245"/>
        <v>0</v>
      </c>
      <c r="BC555" s="2188">
        <f>BC215*$N$378</f>
        <v>0</v>
      </c>
      <c r="BD555" s="2188">
        <f>BD215*$O$378</f>
        <v>0</v>
      </c>
      <c r="BE555" s="2186">
        <f t="shared" si="1246"/>
        <v>0</v>
      </c>
      <c r="BF555" s="2188">
        <f>BF215*$N$378</f>
        <v>0</v>
      </c>
      <c r="BG555" s="2188">
        <f>BG215*$O$378</f>
        <v>0</v>
      </c>
      <c r="BH555" s="2186">
        <f t="shared" si="1247"/>
        <v>0</v>
      </c>
      <c r="BI555" s="2188">
        <f>BI215*$N$378</f>
        <v>0</v>
      </c>
      <c r="BJ555" s="2188">
        <f>BJ215*$O$378</f>
        <v>0</v>
      </c>
      <c r="BK555" s="2186">
        <f t="shared" si="1248"/>
        <v>0</v>
      </c>
      <c r="BL555" s="2188">
        <f>BL215*$N$378</f>
        <v>0</v>
      </c>
      <c r="BM555" s="2188">
        <f>BM215*$O$378</f>
        <v>0</v>
      </c>
      <c r="BN555" s="2186">
        <f t="shared" si="1249"/>
        <v>0</v>
      </c>
      <c r="BO555" s="2188">
        <f>BO215*$N$378</f>
        <v>0</v>
      </c>
      <c r="BP555" s="2188">
        <f>BP215*$O$378</f>
        <v>0</v>
      </c>
      <c r="BQ555" s="2186">
        <f t="shared" si="1250"/>
        <v>0</v>
      </c>
    </row>
    <row r="556" spans="3:69" s="2087" customFormat="1" ht="21.6" hidden="1" customHeight="1">
      <c r="C556" s="2194" t="s">
        <v>2711</v>
      </c>
      <c r="D556" s="2283" t="s">
        <v>2227</v>
      </c>
      <c r="E556" s="2284" t="s">
        <v>1833</v>
      </c>
      <c r="F556" s="2176"/>
      <c r="G556" s="2177"/>
      <c r="H556" s="2177"/>
      <c r="I556" s="2178">
        <f t="shared" si="1215"/>
        <v>0</v>
      </c>
      <c r="J556" s="2176"/>
      <c r="K556" s="2252">
        <f t="shared" si="1213"/>
        <v>0</v>
      </c>
      <c r="L556" s="2252">
        <f t="shared" si="1213"/>
        <v>0</v>
      </c>
      <c r="M556" s="2255">
        <f t="shared" si="1214"/>
        <v>0</v>
      </c>
      <c r="N556" s="2179">
        <f>N216*$N$379</f>
        <v>0</v>
      </c>
      <c r="O556" s="2179">
        <f>O216*$O$379</f>
        <v>0</v>
      </c>
      <c r="P556" s="2178">
        <f t="shared" si="1216"/>
        <v>0</v>
      </c>
      <c r="Q556" s="2184">
        <f>Q216*$Q$379</f>
        <v>0</v>
      </c>
      <c r="R556" s="2179">
        <f>R216*$R$379</f>
        <v>0</v>
      </c>
      <c r="S556" s="2180">
        <f t="shared" si="1217"/>
        <v>0</v>
      </c>
      <c r="T556" s="2251">
        <f t="shared" si="1147"/>
        <v>0</v>
      </c>
      <c r="U556" s="2252">
        <f t="shared" si="1147"/>
        <v>0</v>
      </c>
      <c r="V556" s="2253">
        <f t="shared" si="1148"/>
        <v>0</v>
      </c>
      <c r="W556" s="2187">
        <f>W216*$W$379</f>
        <v>0</v>
      </c>
      <c r="X556" s="2179">
        <f>X216*$X$379</f>
        <v>0</v>
      </c>
      <c r="Y556" s="2183">
        <f t="shared" si="1110"/>
        <v>0</v>
      </c>
      <c r="Z556" s="2254">
        <f t="shared" si="1232"/>
        <v>0</v>
      </c>
      <c r="AA556" s="2252">
        <f t="shared" si="1232"/>
        <v>0</v>
      </c>
      <c r="AB556" s="2255">
        <f t="shared" si="1109"/>
        <v>0</v>
      </c>
      <c r="AC556" s="2184">
        <f>AC216*$AC$379</f>
        <v>0</v>
      </c>
      <c r="AD556" s="2179">
        <f>AD216*$AD$379</f>
        <v>0</v>
      </c>
      <c r="AE556" s="2180">
        <f t="shared" si="1111"/>
        <v>0</v>
      </c>
      <c r="AF556" s="2277"/>
      <c r="AG556" s="2114"/>
      <c r="AH556" s="2188">
        <f>AH216*$N$379</f>
        <v>0</v>
      </c>
      <c r="AI556" s="2188">
        <f>AI216*$O$379</f>
        <v>0</v>
      </c>
      <c r="AJ556" s="2186">
        <f t="shared" si="1239"/>
        <v>0</v>
      </c>
      <c r="AK556" s="2188">
        <f>AK216*$N$379</f>
        <v>0</v>
      </c>
      <c r="AL556" s="2188">
        <f>AL216*$O$379</f>
        <v>0</v>
      </c>
      <c r="AM556" s="2186">
        <f t="shared" si="1240"/>
        <v>0</v>
      </c>
      <c r="AN556" s="2188">
        <f>AN216*$N$379</f>
        <v>0</v>
      </c>
      <c r="AO556" s="2188">
        <f>AO216*$O$379</f>
        <v>0</v>
      </c>
      <c r="AP556" s="2186">
        <f t="shared" si="1241"/>
        <v>0</v>
      </c>
      <c r="AQ556" s="2188">
        <f>AQ216*$N$379</f>
        <v>0</v>
      </c>
      <c r="AR556" s="2188">
        <f>AR216*$O$379</f>
        <v>0</v>
      </c>
      <c r="AS556" s="2186">
        <f t="shared" si="1242"/>
        <v>0</v>
      </c>
      <c r="AT556" s="2188">
        <f>AT216*$N$379</f>
        <v>0</v>
      </c>
      <c r="AU556" s="2188">
        <f>AU216*$O$379</f>
        <v>0</v>
      </c>
      <c r="AV556" s="2186">
        <f t="shared" si="1243"/>
        <v>0</v>
      </c>
      <c r="AW556" s="2188">
        <f>AW216*$N$379</f>
        <v>0</v>
      </c>
      <c r="AX556" s="2188">
        <f>AX216*$O$379</f>
        <v>0</v>
      </c>
      <c r="AY556" s="2186">
        <f t="shared" si="1244"/>
        <v>0</v>
      </c>
      <c r="AZ556" s="2188">
        <f>AZ216*$N$379</f>
        <v>0</v>
      </c>
      <c r="BA556" s="2188">
        <f>BA216*$O$379</f>
        <v>0</v>
      </c>
      <c r="BB556" s="2186">
        <f t="shared" si="1245"/>
        <v>0</v>
      </c>
      <c r="BC556" s="2188">
        <f>BC216*$N$379</f>
        <v>0</v>
      </c>
      <c r="BD556" s="2188">
        <f>BD216*$O$379</f>
        <v>0</v>
      </c>
      <c r="BE556" s="2186">
        <f t="shared" si="1246"/>
        <v>0</v>
      </c>
      <c r="BF556" s="2188">
        <f>BF216*$N$379</f>
        <v>0</v>
      </c>
      <c r="BG556" s="2188">
        <f>BG216*$O$379</f>
        <v>0</v>
      </c>
      <c r="BH556" s="2186">
        <f t="shared" si="1247"/>
        <v>0</v>
      </c>
      <c r="BI556" s="2188">
        <f>BI216*$N$379</f>
        <v>0</v>
      </c>
      <c r="BJ556" s="2188">
        <f>BJ216*$O$379</f>
        <v>0</v>
      </c>
      <c r="BK556" s="2186">
        <f t="shared" si="1248"/>
        <v>0</v>
      </c>
      <c r="BL556" s="2188">
        <f>BL216*$N$379</f>
        <v>0</v>
      </c>
      <c r="BM556" s="2188">
        <f>BM216*$O$379</f>
        <v>0</v>
      </c>
      <c r="BN556" s="2186">
        <f t="shared" si="1249"/>
        <v>0</v>
      </c>
      <c r="BO556" s="2188">
        <f>BO216*$N$379</f>
        <v>0</v>
      </c>
      <c r="BP556" s="2188">
        <f>BP216*$O$379</f>
        <v>0</v>
      </c>
      <c r="BQ556" s="2186">
        <f t="shared" si="1250"/>
        <v>0</v>
      </c>
    </row>
    <row r="557" spans="3:69" s="2087" customFormat="1" ht="21.6" hidden="1" customHeight="1">
      <c r="C557" s="2194" t="s">
        <v>2712</v>
      </c>
      <c r="D557" s="2283" t="s">
        <v>2229</v>
      </c>
      <c r="E557" s="2284" t="s">
        <v>1833</v>
      </c>
      <c r="F557" s="2176"/>
      <c r="G557" s="2177"/>
      <c r="H557" s="2177"/>
      <c r="I557" s="2186"/>
      <c r="J557" s="2176"/>
      <c r="K557" s="2252">
        <f t="shared" si="1213"/>
        <v>0</v>
      </c>
      <c r="L557" s="2252">
        <f t="shared" si="1213"/>
        <v>0</v>
      </c>
      <c r="M557" s="2255">
        <f t="shared" si="1214"/>
        <v>0</v>
      </c>
      <c r="N557" s="2177"/>
      <c r="O557" s="2177"/>
      <c r="P557" s="2186"/>
      <c r="Q557" s="2177"/>
      <c r="R557" s="2177"/>
      <c r="S557" s="2266"/>
      <c r="T557" s="2251">
        <f t="shared" si="1147"/>
        <v>0</v>
      </c>
      <c r="U557" s="2252">
        <f t="shared" si="1147"/>
        <v>0</v>
      </c>
      <c r="V557" s="2253">
        <f t="shared" si="1148"/>
        <v>0</v>
      </c>
      <c r="W557" s="2182"/>
      <c r="X557" s="2177"/>
      <c r="Y557" s="2271"/>
      <c r="Z557" s="2254">
        <f t="shared" si="1232"/>
        <v>0</v>
      </c>
      <c r="AA557" s="2252">
        <f t="shared" si="1232"/>
        <v>0</v>
      </c>
      <c r="AB557" s="2255">
        <f t="shared" si="1109"/>
        <v>0</v>
      </c>
      <c r="AC557" s="2177"/>
      <c r="AD557" s="2177"/>
      <c r="AE557" s="2266"/>
      <c r="AF557" s="2277"/>
      <c r="AG557" s="2114"/>
      <c r="AH557" s="2177"/>
      <c r="AI557" s="2177"/>
      <c r="AJ557" s="2186"/>
      <c r="AK557" s="2177"/>
      <c r="AL557" s="2177"/>
      <c r="AM557" s="2186"/>
      <c r="AN557" s="2177"/>
      <c r="AO557" s="2177"/>
      <c r="AP557" s="2186"/>
      <c r="AQ557" s="2177"/>
      <c r="AR557" s="2177"/>
      <c r="AS557" s="2186"/>
      <c r="AT557" s="2177"/>
      <c r="AU557" s="2177"/>
      <c r="AV557" s="2186"/>
      <c r="AW557" s="2177"/>
      <c r="AX557" s="2177"/>
      <c r="AY557" s="2186"/>
      <c r="AZ557" s="2177"/>
      <c r="BA557" s="2177"/>
      <c r="BB557" s="2186"/>
      <c r="BC557" s="2177"/>
      <c r="BD557" s="2177"/>
      <c r="BE557" s="2186"/>
      <c r="BF557" s="2177"/>
      <c r="BG557" s="2177"/>
      <c r="BH557" s="2186"/>
      <c r="BI557" s="2177"/>
      <c r="BJ557" s="2177"/>
      <c r="BK557" s="2186"/>
      <c r="BL557" s="2177"/>
      <c r="BM557" s="2177"/>
      <c r="BN557" s="2186"/>
      <c r="BO557" s="2177"/>
      <c r="BP557" s="2177"/>
      <c r="BQ557" s="2186"/>
    </row>
    <row r="558" spans="3:69" s="2087" customFormat="1" ht="21.6" hidden="1" customHeight="1">
      <c r="C558" s="2285" t="s">
        <v>2713</v>
      </c>
      <c r="D558" s="2287" t="s">
        <v>2238</v>
      </c>
      <c r="E558" s="2284" t="s">
        <v>1833</v>
      </c>
      <c r="F558" s="2176"/>
      <c r="G558" s="2252">
        <f>G559+G560+G561+G562+G563</f>
        <v>0</v>
      </c>
      <c r="H558" s="2252">
        <f>H559+H560+H561+H562+H563</f>
        <v>0</v>
      </c>
      <c r="I558" s="2178">
        <f t="shared" ref="I558" si="1251">H558-G558</f>
        <v>0</v>
      </c>
      <c r="J558" s="2176"/>
      <c r="K558" s="2252">
        <f t="shared" si="1213"/>
        <v>0</v>
      </c>
      <c r="L558" s="2179">
        <f t="shared" si="1213"/>
        <v>0</v>
      </c>
      <c r="M558" s="2178">
        <f t="shared" si="1214"/>
        <v>0</v>
      </c>
      <c r="N558" s="2179">
        <f>N559+N560+N561+N562+N563</f>
        <v>0</v>
      </c>
      <c r="O558" s="2179">
        <f>O559+O560+O561+O562+O563</f>
        <v>0</v>
      </c>
      <c r="P558" s="2178">
        <f t="shared" ref="P558" si="1252">O558-N558</f>
        <v>0</v>
      </c>
      <c r="Q558" s="2179">
        <f>Q559+Q560+Q561+Q562+Q563</f>
        <v>0</v>
      </c>
      <c r="R558" s="2179">
        <f>R559+R560+R561+R562+R563</f>
        <v>0</v>
      </c>
      <c r="S558" s="2180">
        <f t="shared" ref="S558" si="1253">R558-Q558</f>
        <v>0</v>
      </c>
      <c r="T558" s="2181">
        <f t="shared" si="1147"/>
        <v>0</v>
      </c>
      <c r="U558" s="2179">
        <f t="shared" si="1147"/>
        <v>0</v>
      </c>
      <c r="V558" s="2180">
        <f t="shared" si="1148"/>
        <v>0</v>
      </c>
      <c r="W558" s="2187">
        <f>W559+W560+W561+W562+W563</f>
        <v>0</v>
      </c>
      <c r="X558" s="2179">
        <f>X559+X560+X561+X562+X563</f>
        <v>0</v>
      </c>
      <c r="Y558" s="2183">
        <f t="shared" ref="Y558" si="1254">X558-W558</f>
        <v>0</v>
      </c>
      <c r="Z558" s="2184">
        <f t="shared" si="1232"/>
        <v>0</v>
      </c>
      <c r="AA558" s="2179">
        <f t="shared" si="1232"/>
        <v>0</v>
      </c>
      <c r="AB558" s="2178">
        <f t="shared" si="1109"/>
        <v>0</v>
      </c>
      <c r="AC558" s="2179">
        <f>AC559+AC560+AC561+AC562+AC563</f>
        <v>0</v>
      </c>
      <c r="AD558" s="2179">
        <f>AD559+AD560+AD561+AD562+AD563</f>
        <v>0</v>
      </c>
      <c r="AE558" s="2180">
        <f t="shared" ref="AE558" si="1255">AD558-AC558</f>
        <v>0</v>
      </c>
      <c r="AF558" s="2277"/>
      <c r="AG558" s="2114"/>
      <c r="AH558" s="2188">
        <f>AH559+AH560+AH561+AH562+AH563</f>
        <v>0</v>
      </c>
      <c r="AI558" s="2188">
        <f>AI559+AI560+AI561+AI562+AI563</f>
        <v>0</v>
      </c>
      <c r="AJ558" s="2186">
        <f t="shared" ref="AJ558:AJ562" si="1256">AI558-AH558</f>
        <v>0</v>
      </c>
      <c r="AK558" s="2188">
        <f>AK559+AK560+AK561+AK562+AK563</f>
        <v>0</v>
      </c>
      <c r="AL558" s="2188">
        <f>AL559+AL560+AL561+AL562+AL563</f>
        <v>0</v>
      </c>
      <c r="AM558" s="2186">
        <f t="shared" ref="AM558:AM562" si="1257">AL558-AK558</f>
        <v>0</v>
      </c>
      <c r="AN558" s="2188">
        <f>AN559+AN560+AN561+AN562+AN563</f>
        <v>0</v>
      </c>
      <c r="AO558" s="2188">
        <f>AO559+AO560+AO561+AO562+AO563</f>
        <v>0</v>
      </c>
      <c r="AP558" s="2186">
        <f t="shared" ref="AP558:AP562" si="1258">AO558-AN558</f>
        <v>0</v>
      </c>
      <c r="AQ558" s="2188">
        <f>AQ559+AQ560+AQ561+AQ562+AQ563</f>
        <v>0</v>
      </c>
      <c r="AR558" s="2188">
        <f>AR559+AR560+AR561+AR562+AR563</f>
        <v>0</v>
      </c>
      <c r="AS558" s="2186">
        <f t="shared" ref="AS558:AS562" si="1259">AR558-AQ558</f>
        <v>0</v>
      </c>
      <c r="AT558" s="2188">
        <f>AT559+AT560+AT561+AT562+AT563</f>
        <v>0</v>
      </c>
      <c r="AU558" s="2188">
        <f>AU559+AU560+AU561+AU562+AU563</f>
        <v>0</v>
      </c>
      <c r="AV558" s="2186">
        <f t="shared" ref="AV558:AV562" si="1260">AU558-AT558</f>
        <v>0</v>
      </c>
      <c r="AW558" s="2188">
        <f>AW559+AW560+AW561+AW562+AW563</f>
        <v>0</v>
      </c>
      <c r="AX558" s="2188">
        <f>AX559+AX560+AX561+AX562+AX563</f>
        <v>0</v>
      </c>
      <c r="AY558" s="2186">
        <f t="shared" ref="AY558:AY562" si="1261">AX558-AW558</f>
        <v>0</v>
      </c>
      <c r="AZ558" s="2188">
        <f>AZ559+AZ560+AZ561+AZ562+AZ563</f>
        <v>0</v>
      </c>
      <c r="BA558" s="2188">
        <f>BA559+BA560+BA561+BA562+BA563</f>
        <v>0</v>
      </c>
      <c r="BB558" s="2186">
        <f t="shared" ref="BB558:BB562" si="1262">BA558-AZ558</f>
        <v>0</v>
      </c>
      <c r="BC558" s="2188">
        <f>BC559+BC560+BC561+BC562+BC563</f>
        <v>0</v>
      </c>
      <c r="BD558" s="2188">
        <f>BD559+BD560+BD561+BD562+BD563</f>
        <v>0</v>
      </c>
      <c r="BE558" s="2186">
        <f t="shared" ref="BE558:BE562" si="1263">BD558-BC558</f>
        <v>0</v>
      </c>
      <c r="BF558" s="2188">
        <f>BF559+BF560+BF561+BF562+BF563</f>
        <v>0</v>
      </c>
      <c r="BG558" s="2188">
        <f>BG559+BG560+BG561+BG562+BG563</f>
        <v>0</v>
      </c>
      <c r="BH558" s="2186">
        <f t="shared" ref="BH558:BH562" si="1264">BG558-BF558</f>
        <v>0</v>
      </c>
      <c r="BI558" s="2188">
        <f>BI559+BI560+BI561+BI562+BI563</f>
        <v>0</v>
      </c>
      <c r="BJ558" s="2188">
        <f>BJ559+BJ560+BJ561+BJ562+BJ563</f>
        <v>0</v>
      </c>
      <c r="BK558" s="2186">
        <f t="shared" ref="BK558:BK562" si="1265">BJ558-BI558</f>
        <v>0</v>
      </c>
      <c r="BL558" s="2188">
        <f>BL559+BL560+BL561+BL562+BL563</f>
        <v>0</v>
      </c>
      <c r="BM558" s="2188">
        <f>BM559+BM560+BM561+BM562+BM563</f>
        <v>0</v>
      </c>
      <c r="BN558" s="2186">
        <f t="shared" ref="BN558:BN562" si="1266">BM558-BL558</f>
        <v>0</v>
      </c>
      <c r="BO558" s="2188">
        <f>BO559+BO560+BO561+BO562+BO563</f>
        <v>0</v>
      </c>
      <c r="BP558" s="2188">
        <f>BP559+BP560+BP561+BP562+BP563</f>
        <v>0</v>
      </c>
      <c r="BQ558" s="2186">
        <f t="shared" ref="BQ558:BQ562" si="1267">BP558-BO558</f>
        <v>0</v>
      </c>
    </row>
    <row r="559" spans="3:69" s="2087" customFormat="1" ht="21.6" hidden="1" customHeight="1">
      <c r="C559" s="2194" t="s">
        <v>2714</v>
      </c>
      <c r="D559" s="2283" t="s">
        <v>2221</v>
      </c>
      <c r="E559" s="2284" t="s">
        <v>1833</v>
      </c>
      <c r="F559" s="2176"/>
      <c r="G559" s="2177"/>
      <c r="H559" s="2177"/>
      <c r="I559" s="2178">
        <f t="shared" si="1215"/>
        <v>0</v>
      </c>
      <c r="J559" s="2176"/>
      <c r="K559" s="2252">
        <f t="shared" si="1213"/>
        <v>0</v>
      </c>
      <c r="L559" s="2252">
        <f t="shared" si="1213"/>
        <v>0</v>
      </c>
      <c r="M559" s="2255">
        <f t="shared" si="1214"/>
        <v>0</v>
      </c>
      <c r="N559" s="2179">
        <f>N219*$N$382</f>
        <v>0</v>
      </c>
      <c r="O559" s="2179">
        <f>O219*$O$382</f>
        <v>0</v>
      </c>
      <c r="P559" s="2178">
        <f t="shared" si="1216"/>
        <v>0</v>
      </c>
      <c r="Q559" s="2184">
        <f>Q219*$Q$382</f>
        <v>0</v>
      </c>
      <c r="R559" s="2179">
        <f>R219*$R$382</f>
        <v>0</v>
      </c>
      <c r="S559" s="2180">
        <f t="shared" si="1217"/>
        <v>0</v>
      </c>
      <c r="T559" s="2251">
        <f t="shared" si="1147"/>
        <v>0</v>
      </c>
      <c r="U559" s="2252">
        <f t="shared" si="1147"/>
        <v>0</v>
      </c>
      <c r="V559" s="2253">
        <f t="shared" si="1148"/>
        <v>0</v>
      </c>
      <c r="W559" s="2187">
        <f>W219*$W$382</f>
        <v>0</v>
      </c>
      <c r="X559" s="2179">
        <f>X219*$X$382</f>
        <v>0</v>
      </c>
      <c r="Y559" s="2183">
        <f t="shared" si="1110"/>
        <v>0</v>
      </c>
      <c r="Z559" s="2254">
        <f t="shared" si="1232"/>
        <v>0</v>
      </c>
      <c r="AA559" s="2252">
        <f t="shared" si="1232"/>
        <v>0</v>
      </c>
      <c r="AB559" s="2255">
        <f t="shared" si="1109"/>
        <v>0</v>
      </c>
      <c r="AC559" s="2184">
        <f>AC219*$AC$382</f>
        <v>0</v>
      </c>
      <c r="AD559" s="2179">
        <f>AD219*$AD$382</f>
        <v>0</v>
      </c>
      <c r="AE559" s="2180">
        <f t="shared" si="1111"/>
        <v>0</v>
      </c>
      <c r="AF559" s="2277"/>
      <c r="AG559" s="2114"/>
      <c r="AH559" s="2188">
        <f>AH219*$N$382</f>
        <v>0</v>
      </c>
      <c r="AI559" s="2188">
        <f>AI219*$O$382</f>
        <v>0</v>
      </c>
      <c r="AJ559" s="2186">
        <f t="shared" si="1256"/>
        <v>0</v>
      </c>
      <c r="AK559" s="2188">
        <f>AK219*$N$382</f>
        <v>0</v>
      </c>
      <c r="AL559" s="2188">
        <f>AL219*$O$382</f>
        <v>0</v>
      </c>
      <c r="AM559" s="2186">
        <f t="shared" si="1257"/>
        <v>0</v>
      </c>
      <c r="AN559" s="2188">
        <f>AN219*$N$382</f>
        <v>0</v>
      </c>
      <c r="AO559" s="2188">
        <f>AO219*$O$382</f>
        <v>0</v>
      </c>
      <c r="AP559" s="2186">
        <f t="shared" si="1258"/>
        <v>0</v>
      </c>
      <c r="AQ559" s="2188">
        <f>AQ219*$N$382</f>
        <v>0</v>
      </c>
      <c r="AR559" s="2188">
        <f>AR219*$O$382</f>
        <v>0</v>
      </c>
      <c r="AS559" s="2186">
        <f t="shared" si="1259"/>
        <v>0</v>
      </c>
      <c r="AT559" s="2188">
        <f>AT219*$N$382</f>
        <v>0</v>
      </c>
      <c r="AU559" s="2188">
        <f>AU219*$O$382</f>
        <v>0</v>
      </c>
      <c r="AV559" s="2186">
        <f t="shared" si="1260"/>
        <v>0</v>
      </c>
      <c r="AW559" s="2188">
        <f>AW219*$N$382</f>
        <v>0</v>
      </c>
      <c r="AX559" s="2188">
        <f>AX219*$O$382</f>
        <v>0</v>
      </c>
      <c r="AY559" s="2186">
        <f t="shared" si="1261"/>
        <v>0</v>
      </c>
      <c r="AZ559" s="2188">
        <f>AZ219*$N$382</f>
        <v>0</v>
      </c>
      <c r="BA559" s="2188">
        <f>BA219*$O$382</f>
        <v>0</v>
      </c>
      <c r="BB559" s="2186">
        <f t="shared" si="1262"/>
        <v>0</v>
      </c>
      <c r="BC559" s="2188">
        <f>BC219*$N$382</f>
        <v>0</v>
      </c>
      <c r="BD559" s="2188">
        <f>BD219*$O$382</f>
        <v>0</v>
      </c>
      <c r="BE559" s="2186">
        <f t="shared" si="1263"/>
        <v>0</v>
      </c>
      <c r="BF559" s="2188">
        <f>BF219*$N$382</f>
        <v>0</v>
      </c>
      <c r="BG559" s="2188">
        <f>BG219*$O$382</f>
        <v>0</v>
      </c>
      <c r="BH559" s="2186">
        <f t="shared" si="1264"/>
        <v>0</v>
      </c>
      <c r="BI559" s="2188">
        <f>BI219*$N$382</f>
        <v>0</v>
      </c>
      <c r="BJ559" s="2188">
        <f>BJ219*$O$382</f>
        <v>0</v>
      </c>
      <c r="BK559" s="2186">
        <f t="shared" si="1265"/>
        <v>0</v>
      </c>
      <c r="BL559" s="2188">
        <f>BL219*$N$382</f>
        <v>0</v>
      </c>
      <c r="BM559" s="2188">
        <f>BM219*$O$382</f>
        <v>0</v>
      </c>
      <c r="BN559" s="2186">
        <f t="shared" si="1266"/>
        <v>0</v>
      </c>
      <c r="BO559" s="2188">
        <f>BO219*$N$382</f>
        <v>0</v>
      </c>
      <c r="BP559" s="2188">
        <f>BP219*$O$382</f>
        <v>0</v>
      </c>
      <c r="BQ559" s="2186">
        <f t="shared" si="1267"/>
        <v>0</v>
      </c>
    </row>
    <row r="560" spans="3:69" s="2087" customFormat="1" ht="21.6" hidden="1" customHeight="1">
      <c r="C560" s="2194" t="s">
        <v>2715</v>
      </c>
      <c r="D560" s="2283" t="s">
        <v>2223</v>
      </c>
      <c r="E560" s="2284" t="s">
        <v>1833</v>
      </c>
      <c r="F560" s="2176"/>
      <c r="G560" s="2177"/>
      <c r="H560" s="2177"/>
      <c r="I560" s="2178">
        <f t="shared" si="1215"/>
        <v>0</v>
      </c>
      <c r="J560" s="2176"/>
      <c r="K560" s="2252">
        <f t="shared" si="1213"/>
        <v>0</v>
      </c>
      <c r="L560" s="2252">
        <f t="shared" si="1213"/>
        <v>0</v>
      </c>
      <c r="M560" s="2255">
        <f t="shared" si="1214"/>
        <v>0</v>
      </c>
      <c r="N560" s="2179">
        <f>N220*$N$383</f>
        <v>0</v>
      </c>
      <c r="O560" s="2179">
        <f>O220*$O$383</f>
        <v>0</v>
      </c>
      <c r="P560" s="2178">
        <f t="shared" si="1216"/>
        <v>0</v>
      </c>
      <c r="Q560" s="2184">
        <f>Q220*$Q$383</f>
        <v>0</v>
      </c>
      <c r="R560" s="2179">
        <f>R220*$R$383</f>
        <v>0</v>
      </c>
      <c r="S560" s="2180">
        <f t="shared" si="1217"/>
        <v>0</v>
      </c>
      <c r="T560" s="2251">
        <f t="shared" si="1147"/>
        <v>0</v>
      </c>
      <c r="U560" s="2252">
        <f t="shared" si="1147"/>
        <v>0</v>
      </c>
      <c r="V560" s="2253">
        <f t="shared" si="1148"/>
        <v>0</v>
      </c>
      <c r="W560" s="2187">
        <f>W220*$W$383</f>
        <v>0</v>
      </c>
      <c r="X560" s="2179">
        <f>X220*$X$383</f>
        <v>0</v>
      </c>
      <c r="Y560" s="2183">
        <f t="shared" si="1110"/>
        <v>0</v>
      </c>
      <c r="Z560" s="2254">
        <f t="shared" si="1232"/>
        <v>0</v>
      </c>
      <c r="AA560" s="2252">
        <f t="shared" si="1232"/>
        <v>0</v>
      </c>
      <c r="AB560" s="2255">
        <f t="shared" si="1109"/>
        <v>0</v>
      </c>
      <c r="AC560" s="2184">
        <f>AC220*$AC$383</f>
        <v>0</v>
      </c>
      <c r="AD560" s="2179">
        <f>AD220*$AD$383</f>
        <v>0</v>
      </c>
      <c r="AE560" s="2180">
        <f t="shared" si="1111"/>
        <v>0</v>
      </c>
      <c r="AF560" s="2277"/>
      <c r="AG560" s="2114"/>
      <c r="AH560" s="2188">
        <f>AH220*$N$383</f>
        <v>0</v>
      </c>
      <c r="AI560" s="2188">
        <f>AI220*$O$383</f>
        <v>0</v>
      </c>
      <c r="AJ560" s="2186">
        <f t="shared" si="1256"/>
        <v>0</v>
      </c>
      <c r="AK560" s="2188">
        <f>AK220*$N$383</f>
        <v>0</v>
      </c>
      <c r="AL560" s="2188">
        <f>AL220*$O$383</f>
        <v>0</v>
      </c>
      <c r="AM560" s="2186">
        <f t="shared" si="1257"/>
        <v>0</v>
      </c>
      <c r="AN560" s="2188">
        <f>AN220*$N$383</f>
        <v>0</v>
      </c>
      <c r="AO560" s="2188">
        <f>AO220*$O$383</f>
        <v>0</v>
      </c>
      <c r="AP560" s="2186">
        <f t="shared" si="1258"/>
        <v>0</v>
      </c>
      <c r="AQ560" s="2188">
        <f>AQ220*$N$383</f>
        <v>0</v>
      </c>
      <c r="AR560" s="2188">
        <f>AR220*$O$383</f>
        <v>0</v>
      </c>
      <c r="AS560" s="2186">
        <f t="shared" si="1259"/>
        <v>0</v>
      </c>
      <c r="AT560" s="2188">
        <f>AT220*$N$383</f>
        <v>0</v>
      </c>
      <c r="AU560" s="2188">
        <f>AU220*$O$383</f>
        <v>0</v>
      </c>
      <c r="AV560" s="2186">
        <f t="shared" si="1260"/>
        <v>0</v>
      </c>
      <c r="AW560" s="2188">
        <f>AW220*$N$383</f>
        <v>0</v>
      </c>
      <c r="AX560" s="2188">
        <f>AX220*$O$383</f>
        <v>0</v>
      </c>
      <c r="AY560" s="2186">
        <f t="shared" si="1261"/>
        <v>0</v>
      </c>
      <c r="AZ560" s="2188">
        <f>AZ220*$N$383</f>
        <v>0</v>
      </c>
      <c r="BA560" s="2188">
        <f>BA220*$O$383</f>
        <v>0</v>
      </c>
      <c r="BB560" s="2186">
        <f t="shared" si="1262"/>
        <v>0</v>
      </c>
      <c r="BC560" s="2188">
        <f>BC220*$N$383</f>
        <v>0</v>
      </c>
      <c r="BD560" s="2188">
        <f>BD220*$O$383</f>
        <v>0</v>
      </c>
      <c r="BE560" s="2186">
        <f t="shared" si="1263"/>
        <v>0</v>
      </c>
      <c r="BF560" s="2188">
        <f>BF220*$N$383</f>
        <v>0</v>
      </c>
      <c r="BG560" s="2188">
        <f>BG220*$O$383</f>
        <v>0</v>
      </c>
      <c r="BH560" s="2186">
        <f t="shared" si="1264"/>
        <v>0</v>
      </c>
      <c r="BI560" s="2188">
        <f>BI220*$N$383</f>
        <v>0</v>
      </c>
      <c r="BJ560" s="2188">
        <f>BJ220*$O$383</f>
        <v>0</v>
      </c>
      <c r="BK560" s="2186">
        <f t="shared" si="1265"/>
        <v>0</v>
      </c>
      <c r="BL560" s="2188">
        <f>BL220*$N$383</f>
        <v>0</v>
      </c>
      <c r="BM560" s="2188">
        <f>BM220*$O$383</f>
        <v>0</v>
      </c>
      <c r="BN560" s="2186">
        <f t="shared" si="1266"/>
        <v>0</v>
      </c>
      <c r="BO560" s="2188">
        <f>BO220*$N$383</f>
        <v>0</v>
      </c>
      <c r="BP560" s="2188">
        <f>BP220*$O$383</f>
        <v>0</v>
      </c>
      <c r="BQ560" s="2186">
        <f t="shared" si="1267"/>
        <v>0</v>
      </c>
    </row>
    <row r="561" spans="3:69" s="2087" customFormat="1" ht="21.6" hidden="1" customHeight="1">
      <c r="C561" s="2194" t="s">
        <v>2716</v>
      </c>
      <c r="D561" s="2283" t="s">
        <v>2225</v>
      </c>
      <c r="E561" s="2284" t="s">
        <v>1833</v>
      </c>
      <c r="F561" s="2176"/>
      <c r="G561" s="2177"/>
      <c r="H561" s="2177"/>
      <c r="I561" s="2178">
        <f t="shared" si="1215"/>
        <v>0</v>
      </c>
      <c r="J561" s="2176"/>
      <c r="K561" s="2252">
        <f t="shared" si="1213"/>
        <v>0</v>
      </c>
      <c r="L561" s="2252">
        <f t="shared" si="1213"/>
        <v>0</v>
      </c>
      <c r="M561" s="2255">
        <f t="shared" si="1214"/>
        <v>0</v>
      </c>
      <c r="N561" s="2179">
        <f>N221*$N$384</f>
        <v>0</v>
      </c>
      <c r="O561" s="2179">
        <f>O221*$O$384</f>
        <v>0</v>
      </c>
      <c r="P561" s="2178">
        <f t="shared" si="1216"/>
        <v>0</v>
      </c>
      <c r="Q561" s="2184">
        <f>Q221*$Q$384</f>
        <v>0</v>
      </c>
      <c r="R561" s="2179">
        <f>R221*$R$384</f>
        <v>0</v>
      </c>
      <c r="S561" s="2180">
        <f t="shared" si="1217"/>
        <v>0</v>
      </c>
      <c r="T561" s="2251">
        <f t="shared" si="1147"/>
        <v>0</v>
      </c>
      <c r="U561" s="2252">
        <f t="shared" si="1147"/>
        <v>0</v>
      </c>
      <c r="V561" s="2253">
        <f t="shared" si="1148"/>
        <v>0</v>
      </c>
      <c r="W561" s="2187">
        <f>W221*$W$384</f>
        <v>0</v>
      </c>
      <c r="X561" s="2179">
        <f>X221*$X$384</f>
        <v>0</v>
      </c>
      <c r="Y561" s="2183">
        <f t="shared" si="1110"/>
        <v>0</v>
      </c>
      <c r="Z561" s="2254">
        <f t="shared" si="1232"/>
        <v>0</v>
      </c>
      <c r="AA561" s="2252">
        <f t="shared" si="1232"/>
        <v>0</v>
      </c>
      <c r="AB561" s="2255">
        <f t="shared" si="1109"/>
        <v>0</v>
      </c>
      <c r="AC561" s="2184">
        <f>AC221*$AC$384</f>
        <v>0</v>
      </c>
      <c r="AD561" s="2179">
        <f>AD221*$AD$384</f>
        <v>0</v>
      </c>
      <c r="AE561" s="2180">
        <f t="shared" si="1111"/>
        <v>0</v>
      </c>
      <c r="AF561" s="2277"/>
      <c r="AG561" s="2114"/>
      <c r="AH561" s="2188">
        <f>AH221*$N$384</f>
        <v>0</v>
      </c>
      <c r="AI561" s="2188">
        <f>AI221*$O$384</f>
        <v>0</v>
      </c>
      <c r="AJ561" s="2186">
        <f t="shared" si="1256"/>
        <v>0</v>
      </c>
      <c r="AK561" s="2188">
        <f>AK221*$N$384</f>
        <v>0</v>
      </c>
      <c r="AL561" s="2188">
        <f>AL221*$O$384</f>
        <v>0</v>
      </c>
      <c r="AM561" s="2186">
        <f t="shared" si="1257"/>
        <v>0</v>
      </c>
      <c r="AN561" s="2188">
        <f>AN221*$N$384</f>
        <v>0</v>
      </c>
      <c r="AO561" s="2188">
        <f>AO221*$O$384</f>
        <v>0</v>
      </c>
      <c r="AP561" s="2186">
        <f t="shared" si="1258"/>
        <v>0</v>
      </c>
      <c r="AQ561" s="2188">
        <f>AQ221*$N$384</f>
        <v>0</v>
      </c>
      <c r="AR561" s="2188">
        <f>AR221*$O$384</f>
        <v>0</v>
      </c>
      <c r="AS561" s="2186">
        <f t="shared" si="1259"/>
        <v>0</v>
      </c>
      <c r="AT561" s="2188">
        <f>AT221*$N$384</f>
        <v>0</v>
      </c>
      <c r="AU561" s="2188">
        <f>AU221*$O$384</f>
        <v>0</v>
      </c>
      <c r="AV561" s="2186">
        <f t="shared" si="1260"/>
        <v>0</v>
      </c>
      <c r="AW561" s="2188">
        <f>AW221*$N$384</f>
        <v>0</v>
      </c>
      <c r="AX561" s="2188">
        <f>AX221*$O$384</f>
        <v>0</v>
      </c>
      <c r="AY561" s="2186">
        <f t="shared" si="1261"/>
        <v>0</v>
      </c>
      <c r="AZ561" s="2188">
        <f>AZ221*$N$384</f>
        <v>0</v>
      </c>
      <c r="BA561" s="2188">
        <f>BA221*$O$384</f>
        <v>0</v>
      </c>
      <c r="BB561" s="2186">
        <f t="shared" si="1262"/>
        <v>0</v>
      </c>
      <c r="BC561" s="2188">
        <f>BC221*$N$384</f>
        <v>0</v>
      </c>
      <c r="BD561" s="2188">
        <f>BD221*$O$384</f>
        <v>0</v>
      </c>
      <c r="BE561" s="2186">
        <f t="shared" si="1263"/>
        <v>0</v>
      </c>
      <c r="BF561" s="2188">
        <f>BF221*$N$384</f>
        <v>0</v>
      </c>
      <c r="BG561" s="2188">
        <f>BG221*$O$384</f>
        <v>0</v>
      </c>
      <c r="BH561" s="2186">
        <f t="shared" si="1264"/>
        <v>0</v>
      </c>
      <c r="BI561" s="2188">
        <f>BI221*$N$384</f>
        <v>0</v>
      </c>
      <c r="BJ561" s="2188">
        <f>BJ221*$O$384</f>
        <v>0</v>
      </c>
      <c r="BK561" s="2186">
        <f t="shared" si="1265"/>
        <v>0</v>
      </c>
      <c r="BL561" s="2188">
        <f>BL221*$N$384</f>
        <v>0</v>
      </c>
      <c r="BM561" s="2188">
        <f>BM221*$O$384</f>
        <v>0</v>
      </c>
      <c r="BN561" s="2186">
        <f t="shared" si="1266"/>
        <v>0</v>
      </c>
      <c r="BO561" s="2188">
        <f>BO221*$N$384</f>
        <v>0</v>
      </c>
      <c r="BP561" s="2188">
        <f>BP221*$O$384</f>
        <v>0</v>
      </c>
      <c r="BQ561" s="2186">
        <f t="shared" si="1267"/>
        <v>0</v>
      </c>
    </row>
    <row r="562" spans="3:69" s="2087" customFormat="1" ht="21.6" hidden="1" customHeight="1">
      <c r="C562" s="2194" t="s">
        <v>2717</v>
      </c>
      <c r="D562" s="2283" t="s">
        <v>2227</v>
      </c>
      <c r="E562" s="2284" t="s">
        <v>1833</v>
      </c>
      <c r="F562" s="2176"/>
      <c r="G562" s="2177"/>
      <c r="H562" s="2177"/>
      <c r="I562" s="2178">
        <f t="shared" si="1215"/>
        <v>0</v>
      </c>
      <c r="J562" s="2176"/>
      <c r="K562" s="2252">
        <f t="shared" si="1213"/>
        <v>0</v>
      </c>
      <c r="L562" s="2252">
        <f t="shared" si="1213"/>
        <v>0</v>
      </c>
      <c r="M562" s="2255">
        <f t="shared" si="1214"/>
        <v>0</v>
      </c>
      <c r="N562" s="2179">
        <f>N222*$N$385</f>
        <v>0</v>
      </c>
      <c r="O562" s="2179">
        <f>O222*$O$385</f>
        <v>0</v>
      </c>
      <c r="P562" s="2178">
        <f t="shared" si="1216"/>
        <v>0</v>
      </c>
      <c r="Q562" s="2184">
        <f>Q222*$Q$385</f>
        <v>0</v>
      </c>
      <c r="R562" s="2179">
        <f>R222*$R$385</f>
        <v>0</v>
      </c>
      <c r="S562" s="2180">
        <f t="shared" si="1217"/>
        <v>0</v>
      </c>
      <c r="T562" s="2251">
        <f t="shared" si="1147"/>
        <v>0</v>
      </c>
      <c r="U562" s="2252">
        <f t="shared" si="1147"/>
        <v>0</v>
      </c>
      <c r="V562" s="2253">
        <f t="shared" si="1148"/>
        <v>0</v>
      </c>
      <c r="W562" s="2187">
        <f>W222*$W$385</f>
        <v>0</v>
      </c>
      <c r="X562" s="2179">
        <f>X222*$X$385</f>
        <v>0</v>
      </c>
      <c r="Y562" s="2183">
        <f t="shared" si="1110"/>
        <v>0</v>
      </c>
      <c r="Z562" s="2254">
        <f t="shared" si="1232"/>
        <v>0</v>
      </c>
      <c r="AA562" s="2252">
        <f t="shared" si="1232"/>
        <v>0</v>
      </c>
      <c r="AB562" s="2255">
        <f t="shared" si="1109"/>
        <v>0</v>
      </c>
      <c r="AC562" s="2184">
        <f>AC222*$AC$385</f>
        <v>0</v>
      </c>
      <c r="AD562" s="2179">
        <f>AD222*$AD$385</f>
        <v>0</v>
      </c>
      <c r="AE562" s="2180">
        <f t="shared" si="1111"/>
        <v>0</v>
      </c>
      <c r="AF562" s="2277"/>
      <c r="AG562" s="2114"/>
      <c r="AH562" s="2188">
        <f>AH222*$N$385</f>
        <v>0</v>
      </c>
      <c r="AI562" s="2188">
        <f>AI222*$O$385</f>
        <v>0</v>
      </c>
      <c r="AJ562" s="2186">
        <f t="shared" si="1256"/>
        <v>0</v>
      </c>
      <c r="AK562" s="2188">
        <f>AK222*$N$385</f>
        <v>0</v>
      </c>
      <c r="AL562" s="2188">
        <f>AL222*$O$385</f>
        <v>0</v>
      </c>
      <c r="AM562" s="2186">
        <f t="shared" si="1257"/>
        <v>0</v>
      </c>
      <c r="AN562" s="2188">
        <f>AN222*$N$385</f>
        <v>0</v>
      </c>
      <c r="AO562" s="2188">
        <f>AO222*$O$385</f>
        <v>0</v>
      </c>
      <c r="AP562" s="2186">
        <f t="shared" si="1258"/>
        <v>0</v>
      </c>
      <c r="AQ562" s="2188">
        <f>AQ222*$N$385</f>
        <v>0</v>
      </c>
      <c r="AR562" s="2188">
        <f>AR222*$O$385</f>
        <v>0</v>
      </c>
      <c r="AS562" s="2186">
        <f t="shared" si="1259"/>
        <v>0</v>
      </c>
      <c r="AT562" s="2188">
        <f>AT222*$N$385</f>
        <v>0</v>
      </c>
      <c r="AU562" s="2188">
        <f>AU222*$O$385</f>
        <v>0</v>
      </c>
      <c r="AV562" s="2186">
        <f t="shared" si="1260"/>
        <v>0</v>
      </c>
      <c r="AW562" s="2188">
        <f>AW222*$N$385</f>
        <v>0</v>
      </c>
      <c r="AX562" s="2188">
        <f>AX222*$O$385</f>
        <v>0</v>
      </c>
      <c r="AY562" s="2186">
        <f t="shared" si="1261"/>
        <v>0</v>
      </c>
      <c r="AZ562" s="2188">
        <f>AZ222*$N$385</f>
        <v>0</v>
      </c>
      <c r="BA562" s="2188">
        <f>BA222*$O$385</f>
        <v>0</v>
      </c>
      <c r="BB562" s="2186">
        <f t="shared" si="1262"/>
        <v>0</v>
      </c>
      <c r="BC562" s="2188">
        <f>BC222*$N$385</f>
        <v>0</v>
      </c>
      <c r="BD562" s="2188">
        <f>BD222*$O$385</f>
        <v>0</v>
      </c>
      <c r="BE562" s="2186">
        <f t="shared" si="1263"/>
        <v>0</v>
      </c>
      <c r="BF562" s="2188">
        <f>BF222*$N$385</f>
        <v>0</v>
      </c>
      <c r="BG562" s="2188">
        <f>BG222*$O$385</f>
        <v>0</v>
      </c>
      <c r="BH562" s="2186">
        <f t="shared" si="1264"/>
        <v>0</v>
      </c>
      <c r="BI562" s="2188">
        <f>BI222*$N$385</f>
        <v>0</v>
      </c>
      <c r="BJ562" s="2188">
        <f>BJ222*$O$385</f>
        <v>0</v>
      </c>
      <c r="BK562" s="2186">
        <f t="shared" si="1265"/>
        <v>0</v>
      </c>
      <c r="BL562" s="2188">
        <f>BL222*$N$385</f>
        <v>0</v>
      </c>
      <c r="BM562" s="2188">
        <f>BM222*$O$385</f>
        <v>0</v>
      </c>
      <c r="BN562" s="2186">
        <f t="shared" si="1266"/>
        <v>0</v>
      </c>
      <c r="BO562" s="2188">
        <f>BO222*$N$385</f>
        <v>0</v>
      </c>
      <c r="BP562" s="2188">
        <f>BP222*$O$385</f>
        <v>0</v>
      </c>
      <c r="BQ562" s="2186">
        <f t="shared" si="1267"/>
        <v>0</v>
      </c>
    </row>
    <row r="563" spans="3:69" s="2087" customFormat="1" ht="21.6" hidden="1" customHeight="1">
      <c r="C563" s="2194" t="s">
        <v>2718</v>
      </c>
      <c r="D563" s="2283" t="s">
        <v>2229</v>
      </c>
      <c r="E563" s="2284" t="s">
        <v>1833</v>
      </c>
      <c r="F563" s="2176"/>
      <c r="G563" s="2177"/>
      <c r="H563" s="2177"/>
      <c r="I563" s="2186"/>
      <c r="J563" s="2176"/>
      <c r="K563" s="2252">
        <f t="shared" si="1213"/>
        <v>0</v>
      </c>
      <c r="L563" s="2252">
        <f t="shared" si="1213"/>
        <v>0</v>
      </c>
      <c r="M563" s="2255">
        <f t="shared" si="1214"/>
        <v>0</v>
      </c>
      <c r="N563" s="2177"/>
      <c r="O563" s="2177"/>
      <c r="P563" s="2186"/>
      <c r="Q563" s="2177"/>
      <c r="R563" s="2177"/>
      <c r="S563" s="2266"/>
      <c r="T563" s="2251">
        <f t="shared" si="1147"/>
        <v>0</v>
      </c>
      <c r="U563" s="2252">
        <f t="shared" si="1147"/>
        <v>0</v>
      </c>
      <c r="V563" s="2253">
        <f t="shared" si="1148"/>
        <v>0</v>
      </c>
      <c r="W563" s="2182"/>
      <c r="X563" s="2177"/>
      <c r="Y563" s="2271"/>
      <c r="Z563" s="2254">
        <f t="shared" si="1232"/>
        <v>0</v>
      </c>
      <c r="AA563" s="2252">
        <f t="shared" si="1232"/>
        <v>0</v>
      </c>
      <c r="AB563" s="2255">
        <f t="shared" si="1109"/>
        <v>0</v>
      </c>
      <c r="AC563" s="2177"/>
      <c r="AD563" s="2177"/>
      <c r="AE563" s="2266"/>
      <c r="AF563" s="2277"/>
      <c r="AG563" s="2114"/>
      <c r="AH563" s="2177"/>
      <c r="AI563" s="2177"/>
      <c r="AJ563" s="2186"/>
      <c r="AK563" s="2177"/>
      <c r="AL563" s="2177"/>
      <c r="AM563" s="2186"/>
      <c r="AN563" s="2177"/>
      <c r="AO563" s="2177"/>
      <c r="AP563" s="2186"/>
      <c r="AQ563" s="2177"/>
      <c r="AR563" s="2177"/>
      <c r="AS563" s="2186"/>
      <c r="AT563" s="2177"/>
      <c r="AU563" s="2177"/>
      <c r="AV563" s="2186"/>
      <c r="AW563" s="2177"/>
      <c r="AX563" s="2177"/>
      <c r="AY563" s="2186"/>
      <c r="AZ563" s="2177"/>
      <c r="BA563" s="2177"/>
      <c r="BB563" s="2186"/>
      <c r="BC563" s="2177"/>
      <c r="BD563" s="2177"/>
      <c r="BE563" s="2186"/>
      <c r="BF563" s="2177"/>
      <c r="BG563" s="2177"/>
      <c r="BH563" s="2186"/>
      <c r="BI563" s="2177"/>
      <c r="BJ563" s="2177"/>
      <c r="BK563" s="2186"/>
      <c r="BL563" s="2177"/>
      <c r="BM563" s="2177"/>
      <c r="BN563" s="2186"/>
      <c r="BO563" s="2177"/>
      <c r="BP563" s="2177"/>
      <c r="BQ563" s="2186"/>
    </row>
    <row r="564" spans="3:69" s="2087" customFormat="1" ht="21.6" hidden="1" customHeight="1">
      <c r="C564" s="2285" t="s">
        <v>2719</v>
      </c>
      <c r="D564" s="2287" t="s">
        <v>2248</v>
      </c>
      <c r="E564" s="2284" t="s">
        <v>1833</v>
      </c>
      <c r="F564" s="2176"/>
      <c r="G564" s="2252">
        <f>G565+G566+G567+G568+G569</f>
        <v>0</v>
      </c>
      <c r="H564" s="2252">
        <f>H565+H566+H567+H568+H569</f>
        <v>0</v>
      </c>
      <c r="I564" s="2178">
        <f t="shared" ref="I564" si="1268">H564-G564</f>
        <v>0</v>
      </c>
      <c r="J564" s="2176"/>
      <c r="K564" s="2252">
        <f t="shared" si="1213"/>
        <v>0</v>
      </c>
      <c r="L564" s="2179">
        <f t="shared" si="1213"/>
        <v>0</v>
      </c>
      <c r="M564" s="2178">
        <f t="shared" si="1214"/>
        <v>0</v>
      </c>
      <c r="N564" s="2179">
        <f>N565+N566+N567+N568+N569</f>
        <v>0</v>
      </c>
      <c r="O564" s="2179">
        <f>O565+O566+O567+O568+O569</f>
        <v>0</v>
      </c>
      <c r="P564" s="2178">
        <f t="shared" ref="P564" si="1269">O564-N564</f>
        <v>0</v>
      </c>
      <c r="Q564" s="2179">
        <f>Q565+Q566+Q567+Q568+Q569</f>
        <v>0</v>
      </c>
      <c r="R564" s="2179">
        <f>R565+R566+R567+R568+R569</f>
        <v>0</v>
      </c>
      <c r="S564" s="2180">
        <f t="shared" ref="S564" si="1270">R564-Q564</f>
        <v>0</v>
      </c>
      <c r="T564" s="2181">
        <f t="shared" si="1147"/>
        <v>0</v>
      </c>
      <c r="U564" s="2179">
        <f t="shared" si="1147"/>
        <v>0</v>
      </c>
      <c r="V564" s="2180">
        <f t="shared" si="1148"/>
        <v>0</v>
      </c>
      <c r="W564" s="2187">
        <f>W565+W566+W567+W568+W569</f>
        <v>0</v>
      </c>
      <c r="X564" s="2179">
        <f>X565+X566+X567+X568+X569</f>
        <v>0</v>
      </c>
      <c r="Y564" s="2183">
        <f t="shared" ref="Y564" si="1271">X564-W564</f>
        <v>0</v>
      </c>
      <c r="Z564" s="2184">
        <f t="shared" si="1232"/>
        <v>0</v>
      </c>
      <c r="AA564" s="2179">
        <f t="shared" si="1232"/>
        <v>0</v>
      </c>
      <c r="AB564" s="2178">
        <f t="shared" si="1109"/>
        <v>0</v>
      </c>
      <c r="AC564" s="2179">
        <f>AC565+AC566+AC567+AC568+AC569</f>
        <v>0</v>
      </c>
      <c r="AD564" s="2179">
        <f>AD565+AD566+AD567+AD568+AD569</f>
        <v>0</v>
      </c>
      <c r="AE564" s="2180">
        <f t="shared" ref="AE564" si="1272">AD564-AC564</f>
        <v>0</v>
      </c>
      <c r="AF564" s="2277"/>
      <c r="AG564" s="2114"/>
      <c r="AH564" s="2188">
        <f>AH565+AH566+AH567+AH568+AH569</f>
        <v>0</v>
      </c>
      <c r="AI564" s="2188">
        <f>AI565+AI566+AI567+AI568+AI569</f>
        <v>0</v>
      </c>
      <c r="AJ564" s="2186">
        <f t="shared" ref="AJ564:AJ568" si="1273">AI564-AH564</f>
        <v>0</v>
      </c>
      <c r="AK564" s="2188">
        <f>AK565+AK566+AK567+AK568+AK569</f>
        <v>0</v>
      </c>
      <c r="AL564" s="2188">
        <f>AL565+AL566+AL567+AL568+AL569</f>
        <v>0</v>
      </c>
      <c r="AM564" s="2186">
        <f t="shared" ref="AM564:AM568" si="1274">AL564-AK564</f>
        <v>0</v>
      </c>
      <c r="AN564" s="2188">
        <f>AN565+AN566+AN567+AN568+AN569</f>
        <v>0</v>
      </c>
      <c r="AO564" s="2188">
        <f>AO565+AO566+AO567+AO568+AO569</f>
        <v>0</v>
      </c>
      <c r="AP564" s="2186">
        <f t="shared" ref="AP564:AP568" si="1275">AO564-AN564</f>
        <v>0</v>
      </c>
      <c r="AQ564" s="2188">
        <f>AQ565+AQ566+AQ567+AQ568+AQ569</f>
        <v>0</v>
      </c>
      <c r="AR564" s="2188">
        <f>AR565+AR566+AR567+AR568+AR569</f>
        <v>0</v>
      </c>
      <c r="AS564" s="2186">
        <f t="shared" ref="AS564:AS568" si="1276">AR564-AQ564</f>
        <v>0</v>
      </c>
      <c r="AT564" s="2188">
        <f>AT565+AT566+AT567+AT568+AT569</f>
        <v>0</v>
      </c>
      <c r="AU564" s="2188">
        <f>AU565+AU566+AU567+AU568+AU569</f>
        <v>0</v>
      </c>
      <c r="AV564" s="2186">
        <f t="shared" ref="AV564:AV568" si="1277">AU564-AT564</f>
        <v>0</v>
      </c>
      <c r="AW564" s="2188">
        <f>AW565+AW566+AW567+AW568+AW569</f>
        <v>0</v>
      </c>
      <c r="AX564" s="2188">
        <f>AX565+AX566+AX567+AX568+AX569</f>
        <v>0</v>
      </c>
      <c r="AY564" s="2186">
        <f t="shared" ref="AY564:AY568" si="1278">AX564-AW564</f>
        <v>0</v>
      </c>
      <c r="AZ564" s="2188">
        <f>AZ565+AZ566+AZ567+AZ568+AZ569</f>
        <v>0</v>
      </c>
      <c r="BA564" s="2188">
        <f>BA565+BA566+BA567+BA568+BA569</f>
        <v>0</v>
      </c>
      <c r="BB564" s="2186">
        <f t="shared" ref="BB564:BB568" si="1279">BA564-AZ564</f>
        <v>0</v>
      </c>
      <c r="BC564" s="2188">
        <f>BC565+BC566+BC567+BC568+BC569</f>
        <v>0</v>
      </c>
      <c r="BD564" s="2188">
        <f>BD565+BD566+BD567+BD568+BD569</f>
        <v>0</v>
      </c>
      <c r="BE564" s="2186">
        <f t="shared" ref="BE564:BE568" si="1280">BD564-BC564</f>
        <v>0</v>
      </c>
      <c r="BF564" s="2188">
        <f>BF565+BF566+BF567+BF568+BF569</f>
        <v>0</v>
      </c>
      <c r="BG564" s="2188">
        <f>BG565+BG566+BG567+BG568+BG569</f>
        <v>0</v>
      </c>
      <c r="BH564" s="2186">
        <f t="shared" ref="BH564:BH568" si="1281">BG564-BF564</f>
        <v>0</v>
      </c>
      <c r="BI564" s="2188">
        <f>BI565+BI566+BI567+BI568+BI569</f>
        <v>0</v>
      </c>
      <c r="BJ564" s="2188">
        <f>BJ565+BJ566+BJ567+BJ568+BJ569</f>
        <v>0</v>
      </c>
      <c r="BK564" s="2186">
        <f t="shared" ref="BK564:BK568" si="1282">BJ564-BI564</f>
        <v>0</v>
      </c>
      <c r="BL564" s="2188">
        <f>BL565+BL566+BL567+BL568+BL569</f>
        <v>0</v>
      </c>
      <c r="BM564" s="2188">
        <f>BM565+BM566+BM567+BM568+BM569</f>
        <v>0</v>
      </c>
      <c r="BN564" s="2186">
        <f t="shared" ref="BN564:BN568" si="1283">BM564-BL564</f>
        <v>0</v>
      </c>
      <c r="BO564" s="2188">
        <f>BO565+BO566+BO567+BO568+BO569</f>
        <v>0</v>
      </c>
      <c r="BP564" s="2188">
        <f>BP565+BP566+BP567+BP568+BP569</f>
        <v>0</v>
      </c>
      <c r="BQ564" s="2186">
        <f t="shared" ref="BQ564:BQ568" si="1284">BP564-BO564</f>
        <v>0</v>
      </c>
    </row>
    <row r="565" spans="3:69" s="2087" customFormat="1" ht="21.6" hidden="1" customHeight="1">
      <c r="C565" s="2194" t="s">
        <v>2720</v>
      </c>
      <c r="D565" s="2283" t="s">
        <v>2221</v>
      </c>
      <c r="E565" s="2284" t="s">
        <v>1833</v>
      </c>
      <c r="F565" s="2176"/>
      <c r="G565" s="2177"/>
      <c r="H565" s="2177"/>
      <c r="I565" s="2178">
        <f t="shared" si="1215"/>
        <v>0</v>
      </c>
      <c r="J565" s="2176"/>
      <c r="K565" s="2252">
        <f t="shared" si="1213"/>
        <v>0</v>
      </c>
      <c r="L565" s="2252">
        <f t="shared" si="1213"/>
        <v>0</v>
      </c>
      <c r="M565" s="2255">
        <f t="shared" si="1214"/>
        <v>0</v>
      </c>
      <c r="N565" s="2179">
        <f t="shared" ref="N565:O568" si="1285">N225*$N$387</f>
        <v>0</v>
      </c>
      <c r="O565" s="2179">
        <f t="shared" si="1285"/>
        <v>0</v>
      </c>
      <c r="P565" s="2178">
        <f t="shared" si="1216"/>
        <v>0</v>
      </c>
      <c r="Q565" s="2184">
        <f>Q225*$Q$387</f>
        <v>0</v>
      </c>
      <c r="R565" s="2179">
        <f>R225*$R$387</f>
        <v>0</v>
      </c>
      <c r="S565" s="2180">
        <f t="shared" si="1217"/>
        <v>0</v>
      </c>
      <c r="T565" s="2251">
        <f t="shared" si="1147"/>
        <v>0</v>
      </c>
      <c r="U565" s="2252">
        <f t="shared" si="1147"/>
        <v>0</v>
      </c>
      <c r="V565" s="2253">
        <f t="shared" si="1148"/>
        <v>0</v>
      </c>
      <c r="W565" s="2187">
        <f>W225*$W$387</f>
        <v>0</v>
      </c>
      <c r="X565" s="2179">
        <f>X225*$X$387</f>
        <v>0</v>
      </c>
      <c r="Y565" s="2183">
        <f t="shared" si="1110"/>
        <v>0</v>
      </c>
      <c r="Z565" s="2254">
        <f t="shared" si="1232"/>
        <v>0</v>
      </c>
      <c r="AA565" s="2252">
        <f t="shared" si="1232"/>
        <v>0</v>
      </c>
      <c r="AB565" s="2255">
        <f t="shared" si="1109"/>
        <v>0</v>
      </c>
      <c r="AC565" s="2184">
        <f>AC225*$AC$387</f>
        <v>0</v>
      </c>
      <c r="AD565" s="2179">
        <f>AD225*$AD$387</f>
        <v>0</v>
      </c>
      <c r="AE565" s="2180">
        <f t="shared" si="1111"/>
        <v>0</v>
      </c>
      <c r="AF565" s="2277"/>
      <c r="AG565" s="2114"/>
      <c r="AH565" s="2188">
        <f t="shared" ref="AH565:AI568" si="1286">AH225*$N$387</f>
        <v>0</v>
      </c>
      <c r="AI565" s="2188">
        <f t="shared" si="1286"/>
        <v>0</v>
      </c>
      <c r="AJ565" s="2186">
        <f t="shared" si="1273"/>
        <v>0</v>
      </c>
      <c r="AK565" s="2188">
        <f t="shared" ref="AK565:AL568" si="1287">AK225*$N$387</f>
        <v>0</v>
      </c>
      <c r="AL565" s="2188">
        <f t="shared" si="1287"/>
        <v>0</v>
      </c>
      <c r="AM565" s="2186">
        <f t="shared" si="1274"/>
        <v>0</v>
      </c>
      <c r="AN565" s="2188">
        <f t="shared" ref="AN565:AO568" si="1288">AN225*$N$387</f>
        <v>0</v>
      </c>
      <c r="AO565" s="2188">
        <f t="shared" si="1288"/>
        <v>0</v>
      </c>
      <c r="AP565" s="2186">
        <f t="shared" si="1275"/>
        <v>0</v>
      </c>
      <c r="AQ565" s="2188">
        <f t="shared" ref="AQ565:AR568" si="1289">AQ225*$N$387</f>
        <v>0</v>
      </c>
      <c r="AR565" s="2188">
        <f t="shared" si="1289"/>
        <v>0</v>
      </c>
      <c r="AS565" s="2186">
        <f t="shared" si="1276"/>
        <v>0</v>
      </c>
      <c r="AT565" s="2188">
        <f t="shared" ref="AT565:AU568" si="1290">AT225*$N$387</f>
        <v>0</v>
      </c>
      <c r="AU565" s="2188">
        <f t="shared" si="1290"/>
        <v>0</v>
      </c>
      <c r="AV565" s="2186">
        <f t="shared" si="1277"/>
        <v>0</v>
      </c>
      <c r="AW565" s="2188">
        <f t="shared" ref="AW565:AX568" si="1291">AW225*$N$387</f>
        <v>0</v>
      </c>
      <c r="AX565" s="2188">
        <f t="shared" si="1291"/>
        <v>0</v>
      </c>
      <c r="AY565" s="2186">
        <f t="shared" si="1278"/>
        <v>0</v>
      </c>
      <c r="AZ565" s="2188">
        <f t="shared" ref="AZ565:BA568" si="1292">AZ225*$N$387</f>
        <v>0</v>
      </c>
      <c r="BA565" s="2188">
        <f t="shared" si="1292"/>
        <v>0</v>
      </c>
      <c r="BB565" s="2186">
        <f t="shared" si="1279"/>
        <v>0</v>
      </c>
      <c r="BC565" s="2188">
        <f t="shared" ref="BC565:BD568" si="1293">BC225*$N$387</f>
        <v>0</v>
      </c>
      <c r="BD565" s="2188">
        <f t="shared" si="1293"/>
        <v>0</v>
      </c>
      <c r="BE565" s="2186">
        <f t="shared" si="1280"/>
        <v>0</v>
      </c>
      <c r="BF565" s="2188">
        <f t="shared" ref="BF565:BG568" si="1294">BF225*$N$387</f>
        <v>0</v>
      </c>
      <c r="BG565" s="2188">
        <f t="shared" si="1294"/>
        <v>0</v>
      </c>
      <c r="BH565" s="2186">
        <f t="shared" si="1281"/>
        <v>0</v>
      </c>
      <c r="BI565" s="2188">
        <f t="shared" ref="BI565:BJ568" si="1295">BI225*$N$387</f>
        <v>0</v>
      </c>
      <c r="BJ565" s="2188">
        <f t="shared" si="1295"/>
        <v>0</v>
      </c>
      <c r="BK565" s="2186">
        <f t="shared" si="1282"/>
        <v>0</v>
      </c>
      <c r="BL565" s="2188">
        <f t="shared" ref="BL565:BM568" si="1296">BL225*$N$387</f>
        <v>0</v>
      </c>
      <c r="BM565" s="2188">
        <f t="shared" si="1296"/>
        <v>0</v>
      </c>
      <c r="BN565" s="2186">
        <f t="shared" si="1283"/>
        <v>0</v>
      </c>
      <c r="BO565" s="2188">
        <f t="shared" ref="BO565:BP568" si="1297">BO225*$N$387</f>
        <v>0</v>
      </c>
      <c r="BP565" s="2188">
        <f t="shared" si="1297"/>
        <v>0</v>
      </c>
      <c r="BQ565" s="2186">
        <f t="shared" si="1284"/>
        <v>0</v>
      </c>
    </row>
    <row r="566" spans="3:69" s="2087" customFormat="1" ht="21.6" hidden="1" customHeight="1">
      <c r="C566" s="2194" t="s">
        <v>2721</v>
      </c>
      <c r="D566" s="2283" t="s">
        <v>2223</v>
      </c>
      <c r="E566" s="2284" t="s">
        <v>1833</v>
      </c>
      <c r="F566" s="2176"/>
      <c r="G566" s="2177"/>
      <c r="H566" s="2177"/>
      <c r="I566" s="2178">
        <f t="shared" si="1215"/>
        <v>0</v>
      </c>
      <c r="J566" s="2176"/>
      <c r="K566" s="2252">
        <f t="shared" si="1213"/>
        <v>0</v>
      </c>
      <c r="L566" s="2252">
        <f t="shared" si="1213"/>
        <v>0</v>
      </c>
      <c r="M566" s="2255">
        <f t="shared" si="1214"/>
        <v>0</v>
      </c>
      <c r="N566" s="2179">
        <f t="shared" si="1285"/>
        <v>0</v>
      </c>
      <c r="O566" s="2179">
        <f t="shared" si="1285"/>
        <v>0</v>
      </c>
      <c r="P566" s="2178">
        <f t="shared" si="1216"/>
        <v>0</v>
      </c>
      <c r="Q566" s="2184">
        <f>Q226*$Q$387</f>
        <v>0</v>
      </c>
      <c r="R566" s="2179">
        <f>R226*$R$387</f>
        <v>0</v>
      </c>
      <c r="S566" s="2180">
        <f t="shared" si="1217"/>
        <v>0</v>
      </c>
      <c r="T566" s="2251">
        <f t="shared" si="1147"/>
        <v>0</v>
      </c>
      <c r="U566" s="2252">
        <f t="shared" si="1147"/>
        <v>0</v>
      </c>
      <c r="V566" s="2253">
        <f t="shared" si="1148"/>
        <v>0</v>
      </c>
      <c r="W566" s="2187">
        <f>W226*$W$387</f>
        <v>0</v>
      </c>
      <c r="X566" s="2179">
        <f>X226*$X$387</f>
        <v>0</v>
      </c>
      <c r="Y566" s="2183">
        <f t="shared" si="1110"/>
        <v>0</v>
      </c>
      <c r="Z566" s="2254">
        <f t="shared" si="1232"/>
        <v>0</v>
      </c>
      <c r="AA566" s="2252">
        <f t="shared" si="1232"/>
        <v>0</v>
      </c>
      <c r="AB566" s="2255">
        <f t="shared" si="1109"/>
        <v>0</v>
      </c>
      <c r="AC566" s="2184">
        <f>AC226*$AC$387</f>
        <v>0</v>
      </c>
      <c r="AD566" s="2179">
        <f>AD226*$AD$387</f>
        <v>0</v>
      </c>
      <c r="AE566" s="2180">
        <f t="shared" si="1111"/>
        <v>0</v>
      </c>
      <c r="AF566" s="2277"/>
      <c r="AG566" s="2114"/>
      <c r="AH566" s="2188">
        <f t="shared" si="1286"/>
        <v>0</v>
      </c>
      <c r="AI566" s="2188">
        <f t="shared" si="1286"/>
        <v>0</v>
      </c>
      <c r="AJ566" s="2186">
        <f t="shared" si="1273"/>
        <v>0</v>
      </c>
      <c r="AK566" s="2188">
        <f t="shared" si="1287"/>
        <v>0</v>
      </c>
      <c r="AL566" s="2188">
        <f t="shared" si="1287"/>
        <v>0</v>
      </c>
      <c r="AM566" s="2186">
        <f t="shared" si="1274"/>
        <v>0</v>
      </c>
      <c r="AN566" s="2188">
        <f t="shared" si="1288"/>
        <v>0</v>
      </c>
      <c r="AO566" s="2188">
        <f t="shared" si="1288"/>
        <v>0</v>
      </c>
      <c r="AP566" s="2186">
        <f t="shared" si="1275"/>
        <v>0</v>
      </c>
      <c r="AQ566" s="2188">
        <f t="shared" si="1289"/>
        <v>0</v>
      </c>
      <c r="AR566" s="2188">
        <f t="shared" si="1289"/>
        <v>0</v>
      </c>
      <c r="AS566" s="2186">
        <f t="shared" si="1276"/>
        <v>0</v>
      </c>
      <c r="AT566" s="2188">
        <f t="shared" si="1290"/>
        <v>0</v>
      </c>
      <c r="AU566" s="2188">
        <f t="shared" si="1290"/>
        <v>0</v>
      </c>
      <c r="AV566" s="2186">
        <f t="shared" si="1277"/>
        <v>0</v>
      </c>
      <c r="AW566" s="2188">
        <f t="shared" si="1291"/>
        <v>0</v>
      </c>
      <c r="AX566" s="2188">
        <f t="shared" si="1291"/>
        <v>0</v>
      </c>
      <c r="AY566" s="2186">
        <f t="shared" si="1278"/>
        <v>0</v>
      </c>
      <c r="AZ566" s="2188">
        <f t="shared" si="1292"/>
        <v>0</v>
      </c>
      <c r="BA566" s="2188">
        <f t="shared" si="1292"/>
        <v>0</v>
      </c>
      <c r="BB566" s="2186">
        <f t="shared" si="1279"/>
        <v>0</v>
      </c>
      <c r="BC566" s="2188">
        <f t="shared" si="1293"/>
        <v>0</v>
      </c>
      <c r="BD566" s="2188">
        <f t="shared" si="1293"/>
        <v>0</v>
      </c>
      <c r="BE566" s="2186">
        <f t="shared" si="1280"/>
        <v>0</v>
      </c>
      <c r="BF566" s="2188">
        <f t="shared" si="1294"/>
        <v>0</v>
      </c>
      <c r="BG566" s="2188">
        <f t="shared" si="1294"/>
        <v>0</v>
      </c>
      <c r="BH566" s="2186">
        <f t="shared" si="1281"/>
        <v>0</v>
      </c>
      <c r="BI566" s="2188">
        <f t="shared" si="1295"/>
        <v>0</v>
      </c>
      <c r="BJ566" s="2188">
        <f t="shared" si="1295"/>
        <v>0</v>
      </c>
      <c r="BK566" s="2186">
        <f t="shared" si="1282"/>
        <v>0</v>
      </c>
      <c r="BL566" s="2188">
        <f t="shared" si="1296"/>
        <v>0</v>
      </c>
      <c r="BM566" s="2188">
        <f t="shared" si="1296"/>
        <v>0</v>
      </c>
      <c r="BN566" s="2186">
        <f t="shared" si="1283"/>
        <v>0</v>
      </c>
      <c r="BO566" s="2188">
        <f t="shared" si="1297"/>
        <v>0</v>
      </c>
      <c r="BP566" s="2188">
        <f t="shared" si="1297"/>
        <v>0</v>
      </c>
      <c r="BQ566" s="2186">
        <f t="shared" si="1284"/>
        <v>0</v>
      </c>
    </row>
    <row r="567" spans="3:69" s="2087" customFormat="1" ht="21.6" hidden="1" customHeight="1">
      <c r="C567" s="2194" t="s">
        <v>2722</v>
      </c>
      <c r="D567" s="2283" t="s">
        <v>2225</v>
      </c>
      <c r="E567" s="2284" t="s">
        <v>1833</v>
      </c>
      <c r="F567" s="2176"/>
      <c r="G567" s="2177"/>
      <c r="H567" s="2177"/>
      <c r="I567" s="2178">
        <f t="shared" si="1215"/>
        <v>0</v>
      </c>
      <c r="J567" s="2176"/>
      <c r="K567" s="2252">
        <f t="shared" si="1213"/>
        <v>0</v>
      </c>
      <c r="L567" s="2252">
        <f t="shared" si="1213"/>
        <v>0</v>
      </c>
      <c r="M567" s="2255">
        <f t="shared" si="1214"/>
        <v>0</v>
      </c>
      <c r="N567" s="2179">
        <f t="shared" si="1285"/>
        <v>0</v>
      </c>
      <c r="O567" s="2179">
        <f t="shared" si="1285"/>
        <v>0</v>
      </c>
      <c r="P567" s="2178">
        <f t="shared" si="1216"/>
        <v>0</v>
      </c>
      <c r="Q567" s="2184">
        <f>Q227*$Q$387</f>
        <v>0</v>
      </c>
      <c r="R567" s="2179">
        <f>R227*$R$387</f>
        <v>0</v>
      </c>
      <c r="S567" s="2180">
        <f t="shared" si="1217"/>
        <v>0</v>
      </c>
      <c r="T567" s="2251">
        <f t="shared" si="1147"/>
        <v>0</v>
      </c>
      <c r="U567" s="2252">
        <f t="shared" si="1147"/>
        <v>0</v>
      </c>
      <c r="V567" s="2253">
        <f t="shared" si="1148"/>
        <v>0</v>
      </c>
      <c r="W567" s="2187">
        <f>W227*$W$387</f>
        <v>0</v>
      </c>
      <c r="X567" s="2179">
        <f>X227*$X$387</f>
        <v>0</v>
      </c>
      <c r="Y567" s="2183">
        <f t="shared" si="1110"/>
        <v>0</v>
      </c>
      <c r="Z567" s="2254">
        <f t="shared" si="1232"/>
        <v>0</v>
      </c>
      <c r="AA567" s="2252">
        <f t="shared" si="1232"/>
        <v>0</v>
      </c>
      <c r="AB567" s="2255">
        <f t="shared" si="1109"/>
        <v>0</v>
      </c>
      <c r="AC567" s="2184">
        <f>AC227*$AC$387</f>
        <v>0</v>
      </c>
      <c r="AD567" s="2179">
        <f>AD227*$AD$387</f>
        <v>0</v>
      </c>
      <c r="AE567" s="2180">
        <f t="shared" si="1111"/>
        <v>0</v>
      </c>
      <c r="AF567" s="2277"/>
      <c r="AG567" s="2114"/>
      <c r="AH567" s="2188">
        <f t="shared" si="1286"/>
        <v>0</v>
      </c>
      <c r="AI567" s="2188">
        <f t="shared" si="1286"/>
        <v>0</v>
      </c>
      <c r="AJ567" s="2186">
        <f t="shared" si="1273"/>
        <v>0</v>
      </c>
      <c r="AK567" s="2188">
        <f t="shared" si="1287"/>
        <v>0</v>
      </c>
      <c r="AL567" s="2188">
        <f t="shared" si="1287"/>
        <v>0</v>
      </c>
      <c r="AM567" s="2186">
        <f t="shared" si="1274"/>
        <v>0</v>
      </c>
      <c r="AN567" s="2188">
        <f t="shared" si="1288"/>
        <v>0</v>
      </c>
      <c r="AO567" s="2188">
        <f t="shared" si="1288"/>
        <v>0</v>
      </c>
      <c r="AP567" s="2186">
        <f t="shared" si="1275"/>
        <v>0</v>
      </c>
      <c r="AQ567" s="2188">
        <f t="shared" si="1289"/>
        <v>0</v>
      </c>
      <c r="AR567" s="2188">
        <f t="shared" si="1289"/>
        <v>0</v>
      </c>
      <c r="AS567" s="2186">
        <f t="shared" si="1276"/>
        <v>0</v>
      </c>
      <c r="AT567" s="2188">
        <f t="shared" si="1290"/>
        <v>0</v>
      </c>
      <c r="AU567" s="2188">
        <f t="shared" si="1290"/>
        <v>0</v>
      </c>
      <c r="AV567" s="2186">
        <f t="shared" si="1277"/>
        <v>0</v>
      </c>
      <c r="AW567" s="2188">
        <f t="shared" si="1291"/>
        <v>0</v>
      </c>
      <c r="AX567" s="2188">
        <f t="shared" si="1291"/>
        <v>0</v>
      </c>
      <c r="AY567" s="2186">
        <f t="shared" si="1278"/>
        <v>0</v>
      </c>
      <c r="AZ567" s="2188">
        <f t="shared" si="1292"/>
        <v>0</v>
      </c>
      <c r="BA567" s="2188">
        <f t="shared" si="1292"/>
        <v>0</v>
      </c>
      <c r="BB567" s="2186">
        <f t="shared" si="1279"/>
        <v>0</v>
      </c>
      <c r="BC567" s="2188">
        <f t="shared" si="1293"/>
        <v>0</v>
      </c>
      <c r="BD567" s="2188">
        <f t="shared" si="1293"/>
        <v>0</v>
      </c>
      <c r="BE567" s="2186">
        <f t="shared" si="1280"/>
        <v>0</v>
      </c>
      <c r="BF567" s="2188">
        <f t="shared" si="1294"/>
        <v>0</v>
      </c>
      <c r="BG567" s="2188">
        <f t="shared" si="1294"/>
        <v>0</v>
      </c>
      <c r="BH567" s="2186">
        <f t="shared" si="1281"/>
        <v>0</v>
      </c>
      <c r="BI567" s="2188">
        <f t="shared" si="1295"/>
        <v>0</v>
      </c>
      <c r="BJ567" s="2188">
        <f t="shared" si="1295"/>
        <v>0</v>
      </c>
      <c r="BK567" s="2186">
        <f t="shared" si="1282"/>
        <v>0</v>
      </c>
      <c r="BL567" s="2188">
        <f t="shared" si="1296"/>
        <v>0</v>
      </c>
      <c r="BM567" s="2188">
        <f t="shared" si="1296"/>
        <v>0</v>
      </c>
      <c r="BN567" s="2186">
        <f t="shared" si="1283"/>
        <v>0</v>
      </c>
      <c r="BO567" s="2188">
        <f t="shared" si="1297"/>
        <v>0</v>
      </c>
      <c r="BP567" s="2188">
        <f t="shared" si="1297"/>
        <v>0</v>
      </c>
      <c r="BQ567" s="2186">
        <f t="shared" si="1284"/>
        <v>0</v>
      </c>
    </row>
    <row r="568" spans="3:69" s="2087" customFormat="1" ht="21.6" hidden="1" customHeight="1">
      <c r="C568" s="2194" t="s">
        <v>2723</v>
      </c>
      <c r="D568" s="2283" t="s">
        <v>2227</v>
      </c>
      <c r="E568" s="2284" t="s">
        <v>1833</v>
      </c>
      <c r="F568" s="2176"/>
      <c r="G568" s="2177"/>
      <c r="H568" s="2177"/>
      <c r="I568" s="2178">
        <f t="shared" si="1215"/>
        <v>0</v>
      </c>
      <c r="J568" s="2176"/>
      <c r="K568" s="2252">
        <f t="shared" si="1213"/>
        <v>0</v>
      </c>
      <c r="L568" s="2252">
        <f t="shared" si="1213"/>
        <v>0</v>
      </c>
      <c r="M568" s="2255">
        <f t="shared" si="1214"/>
        <v>0</v>
      </c>
      <c r="N568" s="2179">
        <f t="shared" si="1285"/>
        <v>0</v>
      </c>
      <c r="O568" s="2179">
        <f t="shared" si="1285"/>
        <v>0</v>
      </c>
      <c r="P568" s="2178">
        <f t="shared" si="1216"/>
        <v>0</v>
      </c>
      <c r="Q568" s="2184">
        <f>Q228*$Q$387</f>
        <v>0</v>
      </c>
      <c r="R568" s="2179">
        <f>R228*$R$387</f>
        <v>0</v>
      </c>
      <c r="S568" s="2180">
        <f t="shared" si="1217"/>
        <v>0</v>
      </c>
      <c r="T568" s="2251">
        <f t="shared" si="1147"/>
        <v>0</v>
      </c>
      <c r="U568" s="2252">
        <f t="shared" si="1147"/>
        <v>0</v>
      </c>
      <c r="V568" s="2253">
        <f t="shared" si="1148"/>
        <v>0</v>
      </c>
      <c r="W568" s="2187">
        <f>W228*$W$387</f>
        <v>0</v>
      </c>
      <c r="X568" s="2179">
        <f>X228*$X$387</f>
        <v>0</v>
      </c>
      <c r="Y568" s="2183">
        <f t="shared" si="1110"/>
        <v>0</v>
      </c>
      <c r="Z568" s="2254">
        <f t="shared" si="1232"/>
        <v>0</v>
      </c>
      <c r="AA568" s="2252">
        <f t="shared" si="1232"/>
        <v>0</v>
      </c>
      <c r="AB568" s="2255">
        <f t="shared" si="1109"/>
        <v>0</v>
      </c>
      <c r="AC568" s="2184">
        <f>AC228*$AC$387</f>
        <v>0</v>
      </c>
      <c r="AD568" s="2179">
        <f>AD228*$AD$387</f>
        <v>0</v>
      </c>
      <c r="AE568" s="2180">
        <f t="shared" si="1111"/>
        <v>0</v>
      </c>
      <c r="AF568" s="2277"/>
      <c r="AG568" s="2114"/>
      <c r="AH568" s="2188">
        <f t="shared" si="1286"/>
        <v>0</v>
      </c>
      <c r="AI568" s="2188">
        <f t="shared" si="1286"/>
        <v>0</v>
      </c>
      <c r="AJ568" s="2186">
        <f t="shared" si="1273"/>
        <v>0</v>
      </c>
      <c r="AK568" s="2188">
        <f t="shared" si="1287"/>
        <v>0</v>
      </c>
      <c r="AL568" s="2188">
        <f t="shared" si="1287"/>
        <v>0</v>
      </c>
      <c r="AM568" s="2186">
        <f t="shared" si="1274"/>
        <v>0</v>
      </c>
      <c r="AN568" s="2188">
        <f t="shared" si="1288"/>
        <v>0</v>
      </c>
      <c r="AO568" s="2188">
        <f t="shared" si="1288"/>
        <v>0</v>
      </c>
      <c r="AP568" s="2186">
        <f t="shared" si="1275"/>
        <v>0</v>
      </c>
      <c r="AQ568" s="2188">
        <f t="shared" si="1289"/>
        <v>0</v>
      </c>
      <c r="AR568" s="2188">
        <f t="shared" si="1289"/>
        <v>0</v>
      </c>
      <c r="AS568" s="2186">
        <f t="shared" si="1276"/>
        <v>0</v>
      </c>
      <c r="AT568" s="2188">
        <f t="shared" si="1290"/>
        <v>0</v>
      </c>
      <c r="AU568" s="2188">
        <f t="shared" si="1290"/>
        <v>0</v>
      </c>
      <c r="AV568" s="2186">
        <f t="shared" si="1277"/>
        <v>0</v>
      </c>
      <c r="AW568" s="2188">
        <f t="shared" si="1291"/>
        <v>0</v>
      </c>
      <c r="AX568" s="2188">
        <f t="shared" si="1291"/>
        <v>0</v>
      </c>
      <c r="AY568" s="2186">
        <f t="shared" si="1278"/>
        <v>0</v>
      </c>
      <c r="AZ568" s="2188">
        <f t="shared" si="1292"/>
        <v>0</v>
      </c>
      <c r="BA568" s="2188">
        <f t="shared" si="1292"/>
        <v>0</v>
      </c>
      <c r="BB568" s="2186">
        <f t="shared" si="1279"/>
        <v>0</v>
      </c>
      <c r="BC568" s="2188">
        <f t="shared" si="1293"/>
        <v>0</v>
      </c>
      <c r="BD568" s="2188">
        <f t="shared" si="1293"/>
        <v>0</v>
      </c>
      <c r="BE568" s="2186">
        <f t="shared" si="1280"/>
        <v>0</v>
      </c>
      <c r="BF568" s="2188">
        <f t="shared" si="1294"/>
        <v>0</v>
      </c>
      <c r="BG568" s="2188">
        <f t="shared" si="1294"/>
        <v>0</v>
      </c>
      <c r="BH568" s="2186">
        <f t="shared" si="1281"/>
        <v>0</v>
      </c>
      <c r="BI568" s="2188">
        <f t="shared" si="1295"/>
        <v>0</v>
      </c>
      <c r="BJ568" s="2188">
        <f t="shared" si="1295"/>
        <v>0</v>
      </c>
      <c r="BK568" s="2186">
        <f t="shared" si="1282"/>
        <v>0</v>
      </c>
      <c r="BL568" s="2188">
        <f t="shared" si="1296"/>
        <v>0</v>
      </c>
      <c r="BM568" s="2188">
        <f t="shared" si="1296"/>
        <v>0</v>
      </c>
      <c r="BN568" s="2186">
        <f t="shared" si="1283"/>
        <v>0</v>
      </c>
      <c r="BO568" s="2188">
        <f t="shared" si="1297"/>
        <v>0</v>
      </c>
      <c r="BP568" s="2188">
        <f t="shared" si="1297"/>
        <v>0</v>
      </c>
      <c r="BQ568" s="2186">
        <f t="shared" si="1284"/>
        <v>0</v>
      </c>
    </row>
    <row r="569" spans="3:69" s="2087" customFormat="1" ht="21.6" hidden="1" customHeight="1">
      <c r="C569" s="2194" t="s">
        <v>2724</v>
      </c>
      <c r="D569" s="2283" t="s">
        <v>2229</v>
      </c>
      <c r="E569" s="2284" t="s">
        <v>1833</v>
      </c>
      <c r="F569" s="2176"/>
      <c r="G569" s="2177"/>
      <c r="H569" s="2177"/>
      <c r="I569" s="2186"/>
      <c r="J569" s="2176"/>
      <c r="K569" s="2252">
        <f t="shared" si="1213"/>
        <v>0</v>
      </c>
      <c r="L569" s="2252">
        <f t="shared" si="1213"/>
        <v>0</v>
      </c>
      <c r="M569" s="2255">
        <f t="shared" si="1214"/>
        <v>0</v>
      </c>
      <c r="N569" s="2177"/>
      <c r="O569" s="2177"/>
      <c r="P569" s="2186"/>
      <c r="Q569" s="2177"/>
      <c r="R569" s="2177"/>
      <c r="S569" s="2266"/>
      <c r="T569" s="2251">
        <f t="shared" si="1147"/>
        <v>0</v>
      </c>
      <c r="U569" s="2252">
        <f t="shared" si="1147"/>
        <v>0</v>
      </c>
      <c r="V569" s="2253">
        <f t="shared" si="1148"/>
        <v>0</v>
      </c>
      <c r="W569" s="2182"/>
      <c r="X569" s="2177"/>
      <c r="Y569" s="2271"/>
      <c r="Z569" s="2254">
        <f t="shared" si="1232"/>
        <v>0</v>
      </c>
      <c r="AA569" s="2252">
        <f t="shared" si="1232"/>
        <v>0</v>
      </c>
      <c r="AB569" s="2255">
        <f t="shared" ref="AB569:AB632" si="1298">AA569-Z569</f>
        <v>0</v>
      </c>
      <c r="AC569" s="2177"/>
      <c r="AD569" s="2177"/>
      <c r="AE569" s="2266"/>
      <c r="AF569" s="2277"/>
      <c r="AG569" s="2114"/>
      <c r="AH569" s="2177"/>
      <c r="AI569" s="2177"/>
      <c r="AJ569" s="2186"/>
      <c r="AK569" s="2177"/>
      <c r="AL569" s="2177"/>
      <c r="AM569" s="2186"/>
      <c r="AN569" s="2177"/>
      <c r="AO569" s="2177"/>
      <c r="AP569" s="2186"/>
      <c r="AQ569" s="2177"/>
      <c r="AR569" s="2177"/>
      <c r="AS569" s="2186"/>
      <c r="AT569" s="2177"/>
      <c r="AU569" s="2177"/>
      <c r="AV569" s="2186"/>
      <c r="AW569" s="2177"/>
      <c r="AX569" s="2177"/>
      <c r="AY569" s="2186"/>
      <c r="AZ569" s="2177"/>
      <c r="BA569" s="2177"/>
      <c r="BB569" s="2186"/>
      <c r="BC569" s="2177"/>
      <c r="BD569" s="2177"/>
      <c r="BE569" s="2186"/>
      <c r="BF569" s="2177"/>
      <c r="BG569" s="2177"/>
      <c r="BH569" s="2186"/>
      <c r="BI569" s="2177"/>
      <c r="BJ569" s="2177"/>
      <c r="BK569" s="2186"/>
      <c r="BL569" s="2177"/>
      <c r="BM569" s="2177"/>
      <c r="BN569" s="2186"/>
      <c r="BO569" s="2177"/>
      <c r="BP569" s="2177"/>
      <c r="BQ569" s="2186"/>
    </row>
    <row r="570" spans="3:69" s="2087" customFormat="1" ht="21.6" hidden="1" customHeight="1">
      <c r="C570" s="2285" t="s">
        <v>2725</v>
      </c>
      <c r="D570" s="2287" t="s">
        <v>2255</v>
      </c>
      <c r="E570" s="2284" t="s">
        <v>1833</v>
      </c>
      <c r="F570" s="2176"/>
      <c r="G570" s="2179">
        <f>G571+G572+G573+G574+G575</f>
        <v>0</v>
      </c>
      <c r="H570" s="2179">
        <f>H571+H572+H573+H574+H575</f>
        <v>0</v>
      </c>
      <c r="I570" s="2178">
        <f t="shared" ref="I570" si="1299">H570-G570</f>
        <v>0</v>
      </c>
      <c r="J570" s="2176"/>
      <c r="K570" s="2252">
        <f t="shared" si="1213"/>
        <v>0</v>
      </c>
      <c r="L570" s="2179">
        <f t="shared" si="1213"/>
        <v>0</v>
      </c>
      <c r="M570" s="2178">
        <f t="shared" si="1214"/>
        <v>0</v>
      </c>
      <c r="N570" s="2179">
        <f>N571+N572+N573+N574+N575</f>
        <v>0</v>
      </c>
      <c r="O570" s="2179">
        <f>O571+O572+O573+O574+O575</f>
        <v>0</v>
      </c>
      <c r="P570" s="2178">
        <f t="shared" ref="P570" si="1300">O570-N570</f>
        <v>0</v>
      </c>
      <c r="Q570" s="2179">
        <f>Q571+Q572+Q573+Q574+Q575</f>
        <v>0</v>
      </c>
      <c r="R570" s="2179">
        <f>R571+R572+R573+R574+R575</f>
        <v>0</v>
      </c>
      <c r="S570" s="2180">
        <f t="shared" ref="S570" si="1301">R570-Q570</f>
        <v>0</v>
      </c>
      <c r="T570" s="2181">
        <f t="shared" si="1147"/>
        <v>0</v>
      </c>
      <c r="U570" s="2179">
        <f t="shared" si="1147"/>
        <v>0</v>
      </c>
      <c r="V570" s="2180">
        <f t="shared" si="1148"/>
        <v>0</v>
      </c>
      <c r="W570" s="2187">
        <f>W571+W572+W573+W574+W575</f>
        <v>0</v>
      </c>
      <c r="X570" s="2179">
        <f>X571+X572+X573+X574+X575</f>
        <v>0</v>
      </c>
      <c r="Y570" s="2183">
        <f t="shared" ref="Y570" si="1302">X570-W570</f>
        <v>0</v>
      </c>
      <c r="Z570" s="2184">
        <f t="shared" si="1232"/>
        <v>0</v>
      </c>
      <c r="AA570" s="2179">
        <f t="shared" si="1232"/>
        <v>0</v>
      </c>
      <c r="AB570" s="2178">
        <f t="shared" si="1298"/>
        <v>0</v>
      </c>
      <c r="AC570" s="2179">
        <f>AC571+AC572+AC573+AC574+AC575</f>
        <v>0</v>
      </c>
      <c r="AD570" s="2179">
        <f>AD571+AD572+AD573+AD574+AD575</f>
        <v>0</v>
      </c>
      <c r="AE570" s="2180">
        <f t="shared" ref="AE570" si="1303">AD570-AC570</f>
        <v>0</v>
      </c>
      <c r="AF570" s="2277"/>
      <c r="AG570" s="2114"/>
      <c r="AH570" s="2188">
        <f>AH571+AH572+AH573+AH574+AH575</f>
        <v>0</v>
      </c>
      <c r="AI570" s="2188">
        <f>AI571+AI572+AI573+AI574+AI575</f>
        <v>0</v>
      </c>
      <c r="AJ570" s="2186">
        <f t="shared" ref="AJ570:AJ574" si="1304">AI570-AH570</f>
        <v>0</v>
      </c>
      <c r="AK570" s="2188">
        <f>AK571+AK572+AK573+AK574+AK575</f>
        <v>0</v>
      </c>
      <c r="AL570" s="2188">
        <f>AL571+AL572+AL573+AL574+AL575</f>
        <v>0</v>
      </c>
      <c r="AM570" s="2186">
        <f t="shared" ref="AM570:AM574" si="1305">AL570-AK570</f>
        <v>0</v>
      </c>
      <c r="AN570" s="2188">
        <f>AN571+AN572+AN573+AN574+AN575</f>
        <v>0</v>
      </c>
      <c r="AO570" s="2188">
        <f>AO571+AO572+AO573+AO574+AO575</f>
        <v>0</v>
      </c>
      <c r="AP570" s="2186">
        <f t="shared" ref="AP570:AP574" si="1306">AO570-AN570</f>
        <v>0</v>
      </c>
      <c r="AQ570" s="2188">
        <f>AQ571+AQ572+AQ573+AQ574+AQ575</f>
        <v>0</v>
      </c>
      <c r="AR570" s="2188">
        <f>AR571+AR572+AR573+AR574+AR575</f>
        <v>0</v>
      </c>
      <c r="AS570" s="2186">
        <f t="shared" ref="AS570:AS574" si="1307">AR570-AQ570</f>
        <v>0</v>
      </c>
      <c r="AT570" s="2188">
        <f>AT571+AT572+AT573+AT574+AT575</f>
        <v>0</v>
      </c>
      <c r="AU570" s="2188">
        <f>AU571+AU572+AU573+AU574+AU575</f>
        <v>0</v>
      </c>
      <c r="AV570" s="2186">
        <f t="shared" ref="AV570:AV574" si="1308">AU570-AT570</f>
        <v>0</v>
      </c>
      <c r="AW570" s="2188">
        <f>AW571+AW572+AW573+AW574+AW575</f>
        <v>0</v>
      </c>
      <c r="AX570" s="2188">
        <f>AX571+AX572+AX573+AX574+AX575</f>
        <v>0</v>
      </c>
      <c r="AY570" s="2186">
        <f t="shared" ref="AY570:AY574" si="1309">AX570-AW570</f>
        <v>0</v>
      </c>
      <c r="AZ570" s="2188">
        <f>AZ571+AZ572+AZ573+AZ574+AZ575</f>
        <v>0</v>
      </c>
      <c r="BA570" s="2188">
        <f>BA571+BA572+BA573+BA574+BA575</f>
        <v>0</v>
      </c>
      <c r="BB570" s="2186">
        <f t="shared" ref="BB570:BB574" si="1310">BA570-AZ570</f>
        <v>0</v>
      </c>
      <c r="BC570" s="2188">
        <f>BC571+BC572+BC573+BC574+BC575</f>
        <v>0</v>
      </c>
      <c r="BD570" s="2188">
        <f>BD571+BD572+BD573+BD574+BD575</f>
        <v>0</v>
      </c>
      <c r="BE570" s="2186">
        <f t="shared" ref="BE570:BE574" si="1311">BD570-BC570</f>
        <v>0</v>
      </c>
      <c r="BF570" s="2188">
        <f>BF571+BF572+BF573+BF574+BF575</f>
        <v>0</v>
      </c>
      <c r="BG570" s="2188">
        <f>BG571+BG572+BG573+BG574+BG575</f>
        <v>0</v>
      </c>
      <c r="BH570" s="2186">
        <f t="shared" ref="BH570:BH574" si="1312">BG570-BF570</f>
        <v>0</v>
      </c>
      <c r="BI570" s="2188">
        <f>BI571+BI572+BI573+BI574+BI575</f>
        <v>0</v>
      </c>
      <c r="BJ570" s="2188">
        <f>BJ571+BJ572+BJ573+BJ574+BJ575</f>
        <v>0</v>
      </c>
      <c r="BK570" s="2186">
        <f t="shared" ref="BK570:BK574" si="1313">BJ570-BI570</f>
        <v>0</v>
      </c>
      <c r="BL570" s="2188">
        <f>BL571+BL572+BL573+BL574+BL575</f>
        <v>0</v>
      </c>
      <c r="BM570" s="2188">
        <f>BM571+BM572+BM573+BM574+BM575</f>
        <v>0</v>
      </c>
      <c r="BN570" s="2186">
        <f t="shared" ref="BN570:BN574" si="1314">BM570-BL570</f>
        <v>0</v>
      </c>
      <c r="BO570" s="2188">
        <f>BO571+BO572+BO573+BO574+BO575</f>
        <v>0</v>
      </c>
      <c r="BP570" s="2188">
        <f>BP571+BP572+BP573+BP574+BP575</f>
        <v>0</v>
      </c>
      <c r="BQ570" s="2186">
        <f t="shared" ref="BQ570:BQ574" si="1315">BP570-BO570</f>
        <v>0</v>
      </c>
    </row>
    <row r="571" spans="3:69" s="2087" customFormat="1" ht="21.6" hidden="1" customHeight="1">
      <c r="C571" s="2194" t="s">
        <v>2726</v>
      </c>
      <c r="D571" s="2283" t="s">
        <v>2221</v>
      </c>
      <c r="E571" s="2284" t="s">
        <v>1833</v>
      </c>
      <c r="F571" s="2176"/>
      <c r="G571" s="2177"/>
      <c r="H571" s="2177"/>
      <c r="I571" s="2178">
        <f t="shared" si="1215"/>
        <v>0</v>
      </c>
      <c r="J571" s="2176"/>
      <c r="K571" s="2252">
        <f t="shared" si="1213"/>
        <v>0</v>
      </c>
      <c r="L571" s="2252">
        <f t="shared" si="1213"/>
        <v>0</v>
      </c>
      <c r="M571" s="2255">
        <f t="shared" si="1214"/>
        <v>0</v>
      </c>
      <c r="N571" s="2179">
        <f>N231*$N$389</f>
        <v>0</v>
      </c>
      <c r="O571" s="2179">
        <f>O231*$O$389</f>
        <v>0</v>
      </c>
      <c r="P571" s="2178">
        <f t="shared" si="1216"/>
        <v>0</v>
      </c>
      <c r="Q571" s="2184">
        <f>Q231*$Q$389</f>
        <v>0</v>
      </c>
      <c r="R571" s="2179">
        <f>R231*$R$389</f>
        <v>0</v>
      </c>
      <c r="S571" s="2180">
        <f t="shared" si="1217"/>
        <v>0</v>
      </c>
      <c r="T571" s="2251">
        <f t="shared" si="1147"/>
        <v>0</v>
      </c>
      <c r="U571" s="2252">
        <f t="shared" si="1147"/>
        <v>0</v>
      </c>
      <c r="V571" s="2253">
        <f t="shared" si="1148"/>
        <v>0</v>
      </c>
      <c r="W571" s="2187">
        <f>W231*$W$389</f>
        <v>0</v>
      </c>
      <c r="X571" s="2179">
        <f>X231*$X$389</f>
        <v>0</v>
      </c>
      <c r="Y571" s="2183">
        <f t="shared" si="1110"/>
        <v>0</v>
      </c>
      <c r="Z571" s="2254">
        <f t="shared" si="1232"/>
        <v>0</v>
      </c>
      <c r="AA571" s="2252">
        <f t="shared" si="1232"/>
        <v>0</v>
      </c>
      <c r="AB571" s="2255">
        <f t="shared" si="1298"/>
        <v>0</v>
      </c>
      <c r="AC571" s="2184">
        <f>AC231*$AC$389</f>
        <v>0</v>
      </c>
      <c r="AD571" s="2179">
        <f>AD231*$AD$389</f>
        <v>0</v>
      </c>
      <c r="AE571" s="2180">
        <f t="shared" si="1111"/>
        <v>0</v>
      </c>
      <c r="AF571" s="2277"/>
      <c r="AG571" s="2114"/>
      <c r="AH571" s="2188">
        <f>AH231*$N$389</f>
        <v>0</v>
      </c>
      <c r="AI571" s="2188">
        <f>AI231*$O$389</f>
        <v>0</v>
      </c>
      <c r="AJ571" s="2186">
        <f t="shared" si="1304"/>
        <v>0</v>
      </c>
      <c r="AK571" s="2188">
        <f>AK231*$N$389</f>
        <v>0</v>
      </c>
      <c r="AL571" s="2188">
        <f>AL231*$O$389</f>
        <v>0</v>
      </c>
      <c r="AM571" s="2186">
        <f t="shared" si="1305"/>
        <v>0</v>
      </c>
      <c r="AN571" s="2188">
        <f>AN231*$N$389</f>
        <v>0</v>
      </c>
      <c r="AO571" s="2188">
        <f>AO231*$O$389</f>
        <v>0</v>
      </c>
      <c r="AP571" s="2186">
        <f t="shared" si="1306"/>
        <v>0</v>
      </c>
      <c r="AQ571" s="2188">
        <f>AQ231*$N$389</f>
        <v>0</v>
      </c>
      <c r="AR571" s="2188">
        <f>AR231*$O$389</f>
        <v>0</v>
      </c>
      <c r="AS571" s="2186">
        <f t="shared" si="1307"/>
        <v>0</v>
      </c>
      <c r="AT571" s="2188">
        <f>AT231*$N$389</f>
        <v>0</v>
      </c>
      <c r="AU571" s="2188">
        <f>AU231*$O$389</f>
        <v>0</v>
      </c>
      <c r="AV571" s="2186">
        <f t="shared" si="1308"/>
        <v>0</v>
      </c>
      <c r="AW571" s="2188">
        <f>AW231*$N$389</f>
        <v>0</v>
      </c>
      <c r="AX571" s="2188">
        <f>AX231*$O$389</f>
        <v>0</v>
      </c>
      <c r="AY571" s="2186">
        <f t="shared" si="1309"/>
        <v>0</v>
      </c>
      <c r="AZ571" s="2188">
        <f>AZ231*$N$389</f>
        <v>0</v>
      </c>
      <c r="BA571" s="2188">
        <f>BA231*$O$389</f>
        <v>0</v>
      </c>
      <c r="BB571" s="2186">
        <f t="shared" si="1310"/>
        <v>0</v>
      </c>
      <c r="BC571" s="2188">
        <f>BC231*$N$389</f>
        <v>0</v>
      </c>
      <c r="BD571" s="2188">
        <f>BD231*$O$389</f>
        <v>0</v>
      </c>
      <c r="BE571" s="2186">
        <f t="shared" si="1311"/>
        <v>0</v>
      </c>
      <c r="BF571" s="2188">
        <f>BF231*$N$389</f>
        <v>0</v>
      </c>
      <c r="BG571" s="2188">
        <f>BG231*$O$389</f>
        <v>0</v>
      </c>
      <c r="BH571" s="2186">
        <f t="shared" si="1312"/>
        <v>0</v>
      </c>
      <c r="BI571" s="2188">
        <f>BI231*$N$389</f>
        <v>0</v>
      </c>
      <c r="BJ571" s="2188">
        <f>BJ231*$O$389</f>
        <v>0</v>
      </c>
      <c r="BK571" s="2186">
        <f t="shared" si="1313"/>
        <v>0</v>
      </c>
      <c r="BL571" s="2188">
        <f>BL231*$N$389</f>
        <v>0</v>
      </c>
      <c r="BM571" s="2188">
        <f>BM231*$O$389</f>
        <v>0</v>
      </c>
      <c r="BN571" s="2186">
        <f t="shared" si="1314"/>
        <v>0</v>
      </c>
      <c r="BO571" s="2188">
        <f>BO231*$N$389</f>
        <v>0</v>
      </c>
      <c r="BP571" s="2188">
        <f>BP231*$O$389</f>
        <v>0</v>
      </c>
      <c r="BQ571" s="2186">
        <f t="shared" si="1315"/>
        <v>0</v>
      </c>
    </row>
    <row r="572" spans="3:69" s="2087" customFormat="1" ht="21.6" hidden="1" customHeight="1">
      <c r="C572" s="2194" t="s">
        <v>2727</v>
      </c>
      <c r="D572" s="2283" t="s">
        <v>2223</v>
      </c>
      <c r="E572" s="2284" t="s">
        <v>1833</v>
      </c>
      <c r="F572" s="2176"/>
      <c r="G572" s="2177"/>
      <c r="H572" s="2177"/>
      <c r="I572" s="2178">
        <f t="shared" si="1215"/>
        <v>0</v>
      </c>
      <c r="J572" s="2176"/>
      <c r="K572" s="2252">
        <f t="shared" si="1213"/>
        <v>0</v>
      </c>
      <c r="L572" s="2252">
        <f t="shared" si="1213"/>
        <v>0</v>
      </c>
      <c r="M572" s="2255">
        <f t="shared" si="1214"/>
        <v>0</v>
      </c>
      <c r="N572" s="2179">
        <f>N232*$N$389</f>
        <v>0</v>
      </c>
      <c r="O572" s="2179">
        <f>O232*$O$389</f>
        <v>0</v>
      </c>
      <c r="P572" s="2178">
        <f t="shared" si="1216"/>
        <v>0</v>
      </c>
      <c r="Q572" s="2184">
        <f>Q232*$Q$389</f>
        <v>0</v>
      </c>
      <c r="R572" s="2179">
        <f>R232*$R$389</f>
        <v>0</v>
      </c>
      <c r="S572" s="2180">
        <f t="shared" si="1217"/>
        <v>0</v>
      </c>
      <c r="T572" s="2251">
        <f t="shared" si="1147"/>
        <v>0</v>
      </c>
      <c r="U572" s="2252">
        <f t="shared" si="1147"/>
        <v>0</v>
      </c>
      <c r="V572" s="2253">
        <f t="shared" si="1148"/>
        <v>0</v>
      </c>
      <c r="W572" s="2187">
        <f>W232*$W$389</f>
        <v>0</v>
      </c>
      <c r="X572" s="2179">
        <f>X232*$X$389</f>
        <v>0</v>
      </c>
      <c r="Y572" s="2183">
        <f t="shared" si="1110"/>
        <v>0</v>
      </c>
      <c r="Z572" s="2254">
        <f t="shared" si="1232"/>
        <v>0</v>
      </c>
      <c r="AA572" s="2252">
        <f t="shared" si="1232"/>
        <v>0</v>
      </c>
      <c r="AB572" s="2255">
        <f t="shared" si="1298"/>
        <v>0</v>
      </c>
      <c r="AC572" s="2184">
        <f>AC232*$AC$389</f>
        <v>0</v>
      </c>
      <c r="AD572" s="2179">
        <f>AD232*$AD$389</f>
        <v>0</v>
      </c>
      <c r="AE572" s="2180">
        <f t="shared" si="1111"/>
        <v>0</v>
      </c>
      <c r="AF572" s="2277"/>
      <c r="AG572" s="2114"/>
      <c r="AH572" s="2188">
        <f>AH232*$N$389</f>
        <v>0</v>
      </c>
      <c r="AI572" s="2188">
        <f>AI232*$O$389</f>
        <v>0</v>
      </c>
      <c r="AJ572" s="2186">
        <f t="shared" si="1304"/>
        <v>0</v>
      </c>
      <c r="AK572" s="2188">
        <f>AK232*$N$389</f>
        <v>0</v>
      </c>
      <c r="AL572" s="2188">
        <f>AL232*$O$389</f>
        <v>0</v>
      </c>
      <c r="AM572" s="2186">
        <f t="shared" si="1305"/>
        <v>0</v>
      </c>
      <c r="AN572" s="2188">
        <f>AN232*$N$389</f>
        <v>0</v>
      </c>
      <c r="AO572" s="2188">
        <f>AO232*$O$389</f>
        <v>0</v>
      </c>
      <c r="AP572" s="2186">
        <f t="shared" si="1306"/>
        <v>0</v>
      </c>
      <c r="AQ572" s="2188">
        <f>AQ232*$N$389</f>
        <v>0</v>
      </c>
      <c r="AR572" s="2188">
        <f>AR232*$O$389</f>
        <v>0</v>
      </c>
      <c r="AS572" s="2186">
        <f t="shared" si="1307"/>
        <v>0</v>
      </c>
      <c r="AT572" s="2188">
        <f>AT232*$N$389</f>
        <v>0</v>
      </c>
      <c r="AU572" s="2188">
        <f>AU232*$O$389</f>
        <v>0</v>
      </c>
      <c r="AV572" s="2186">
        <f t="shared" si="1308"/>
        <v>0</v>
      </c>
      <c r="AW572" s="2188">
        <f>AW232*$N$389</f>
        <v>0</v>
      </c>
      <c r="AX572" s="2188">
        <f>AX232*$O$389</f>
        <v>0</v>
      </c>
      <c r="AY572" s="2186">
        <f t="shared" si="1309"/>
        <v>0</v>
      </c>
      <c r="AZ572" s="2188">
        <f>AZ232*$N$389</f>
        <v>0</v>
      </c>
      <c r="BA572" s="2188">
        <f>BA232*$O$389</f>
        <v>0</v>
      </c>
      <c r="BB572" s="2186">
        <f t="shared" si="1310"/>
        <v>0</v>
      </c>
      <c r="BC572" s="2188">
        <f>BC232*$N$389</f>
        <v>0</v>
      </c>
      <c r="BD572" s="2188">
        <f>BD232*$O$389</f>
        <v>0</v>
      </c>
      <c r="BE572" s="2186">
        <f t="shared" si="1311"/>
        <v>0</v>
      </c>
      <c r="BF572" s="2188">
        <f>BF232*$N$389</f>
        <v>0</v>
      </c>
      <c r="BG572" s="2188">
        <f>BG232*$O$389</f>
        <v>0</v>
      </c>
      <c r="BH572" s="2186">
        <f t="shared" si="1312"/>
        <v>0</v>
      </c>
      <c r="BI572" s="2188">
        <f>BI232*$N$389</f>
        <v>0</v>
      </c>
      <c r="BJ572" s="2188">
        <f>BJ232*$O$389</f>
        <v>0</v>
      </c>
      <c r="BK572" s="2186">
        <f t="shared" si="1313"/>
        <v>0</v>
      </c>
      <c r="BL572" s="2188">
        <f>BL232*$N$389</f>
        <v>0</v>
      </c>
      <c r="BM572" s="2188">
        <f>BM232*$O$389</f>
        <v>0</v>
      </c>
      <c r="BN572" s="2186">
        <f t="shared" si="1314"/>
        <v>0</v>
      </c>
      <c r="BO572" s="2188">
        <f>BO232*$N$389</f>
        <v>0</v>
      </c>
      <c r="BP572" s="2188">
        <f>BP232*$O$389</f>
        <v>0</v>
      </c>
      <c r="BQ572" s="2186">
        <f t="shared" si="1315"/>
        <v>0</v>
      </c>
    </row>
    <row r="573" spans="3:69" s="2087" customFormat="1" ht="21.6" hidden="1" customHeight="1">
      <c r="C573" s="2194" t="s">
        <v>2728</v>
      </c>
      <c r="D573" s="2283" t="s">
        <v>2225</v>
      </c>
      <c r="E573" s="2284" t="s">
        <v>1833</v>
      </c>
      <c r="F573" s="2176"/>
      <c r="G573" s="2177"/>
      <c r="H573" s="2177"/>
      <c r="I573" s="2178">
        <f t="shared" si="1215"/>
        <v>0</v>
      </c>
      <c r="J573" s="2176"/>
      <c r="K573" s="2252">
        <f t="shared" si="1213"/>
        <v>0</v>
      </c>
      <c r="L573" s="2252">
        <f t="shared" si="1213"/>
        <v>0</v>
      </c>
      <c r="M573" s="2255">
        <f t="shared" si="1214"/>
        <v>0</v>
      </c>
      <c r="N573" s="2179">
        <f>N233*$N$389</f>
        <v>0</v>
      </c>
      <c r="O573" s="2179">
        <f>O233*$O$389</f>
        <v>0</v>
      </c>
      <c r="P573" s="2178">
        <f t="shared" si="1216"/>
        <v>0</v>
      </c>
      <c r="Q573" s="2184">
        <f>Q233*$Q$389</f>
        <v>0</v>
      </c>
      <c r="R573" s="2179">
        <f>R233*$R$389</f>
        <v>0</v>
      </c>
      <c r="S573" s="2180">
        <f t="shared" si="1217"/>
        <v>0</v>
      </c>
      <c r="T573" s="2251">
        <f t="shared" si="1147"/>
        <v>0</v>
      </c>
      <c r="U573" s="2252">
        <f t="shared" si="1147"/>
        <v>0</v>
      </c>
      <c r="V573" s="2253">
        <f t="shared" si="1148"/>
        <v>0</v>
      </c>
      <c r="W573" s="2187">
        <f>W233*$W$389</f>
        <v>0</v>
      </c>
      <c r="X573" s="2179">
        <f>X233*$X$389</f>
        <v>0</v>
      </c>
      <c r="Y573" s="2183">
        <f t="shared" si="1110"/>
        <v>0</v>
      </c>
      <c r="Z573" s="2254">
        <f t="shared" si="1232"/>
        <v>0</v>
      </c>
      <c r="AA573" s="2252">
        <f t="shared" si="1232"/>
        <v>0</v>
      </c>
      <c r="AB573" s="2255">
        <f t="shared" si="1298"/>
        <v>0</v>
      </c>
      <c r="AC573" s="2184">
        <f>AC233*$AC$389</f>
        <v>0</v>
      </c>
      <c r="AD573" s="2179">
        <f>AD233*$AD$389</f>
        <v>0</v>
      </c>
      <c r="AE573" s="2180">
        <f t="shared" si="1111"/>
        <v>0</v>
      </c>
      <c r="AF573" s="2277"/>
      <c r="AG573" s="2114"/>
      <c r="AH573" s="2188">
        <f>AH233*$N$389</f>
        <v>0</v>
      </c>
      <c r="AI573" s="2188">
        <f>AI233*$O$389</f>
        <v>0</v>
      </c>
      <c r="AJ573" s="2186">
        <f t="shared" si="1304"/>
        <v>0</v>
      </c>
      <c r="AK573" s="2188">
        <f>AK233*$N$389</f>
        <v>0</v>
      </c>
      <c r="AL573" s="2188">
        <f>AL233*$O$389</f>
        <v>0</v>
      </c>
      <c r="AM573" s="2186">
        <f t="shared" si="1305"/>
        <v>0</v>
      </c>
      <c r="AN573" s="2188">
        <f>AN233*$N$389</f>
        <v>0</v>
      </c>
      <c r="AO573" s="2188">
        <f>AO233*$O$389</f>
        <v>0</v>
      </c>
      <c r="AP573" s="2186">
        <f t="shared" si="1306"/>
        <v>0</v>
      </c>
      <c r="AQ573" s="2188">
        <f>AQ233*$N$389</f>
        <v>0</v>
      </c>
      <c r="AR573" s="2188">
        <f>AR233*$O$389</f>
        <v>0</v>
      </c>
      <c r="AS573" s="2186">
        <f t="shared" si="1307"/>
        <v>0</v>
      </c>
      <c r="AT573" s="2188">
        <f>AT233*$N$389</f>
        <v>0</v>
      </c>
      <c r="AU573" s="2188">
        <f>AU233*$O$389</f>
        <v>0</v>
      </c>
      <c r="AV573" s="2186">
        <f t="shared" si="1308"/>
        <v>0</v>
      </c>
      <c r="AW573" s="2188">
        <f>AW233*$N$389</f>
        <v>0</v>
      </c>
      <c r="AX573" s="2188">
        <f>AX233*$O$389</f>
        <v>0</v>
      </c>
      <c r="AY573" s="2186">
        <f t="shared" si="1309"/>
        <v>0</v>
      </c>
      <c r="AZ573" s="2188">
        <f>AZ233*$N$389</f>
        <v>0</v>
      </c>
      <c r="BA573" s="2188">
        <f>BA233*$O$389</f>
        <v>0</v>
      </c>
      <c r="BB573" s="2186">
        <f t="shared" si="1310"/>
        <v>0</v>
      </c>
      <c r="BC573" s="2188">
        <f>BC233*$N$389</f>
        <v>0</v>
      </c>
      <c r="BD573" s="2188">
        <f>BD233*$O$389</f>
        <v>0</v>
      </c>
      <c r="BE573" s="2186">
        <f t="shared" si="1311"/>
        <v>0</v>
      </c>
      <c r="BF573" s="2188">
        <f>BF233*$N$389</f>
        <v>0</v>
      </c>
      <c r="BG573" s="2188">
        <f>BG233*$O$389</f>
        <v>0</v>
      </c>
      <c r="BH573" s="2186">
        <f t="shared" si="1312"/>
        <v>0</v>
      </c>
      <c r="BI573" s="2188">
        <f>BI233*$N$389</f>
        <v>0</v>
      </c>
      <c r="BJ573" s="2188">
        <f>BJ233*$O$389</f>
        <v>0</v>
      </c>
      <c r="BK573" s="2186">
        <f t="shared" si="1313"/>
        <v>0</v>
      </c>
      <c r="BL573" s="2188">
        <f>BL233*$N$389</f>
        <v>0</v>
      </c>
      <c r="BM573" s="2188">
        <f>BM233*$O$389</f>
        <v>0</v>
      </c>
      <c r="BN573" s="2186">
        <f t="shared" si="1314"/>
        <v>0</v>
      </c>
      <c r="BO573" s="2188">
        <f>BO233*$N$389</f>
        <v>0</v>
      </c>
      <c r="BP573" s="2188">
        <f>BP233*$O$389</f>
        <v>0</v>
      </c>
      <c r="BQ573" s="2186">
        <f t="shared" si="1315"/>
        <v>0</v>
      </c>
    </row>
    <row r="574" spans="3:69" s="2087" customFormat="1" ht="21.6" hidden="1" customHeight="1">
      <c r="C574" s="2194" t="s">
        <v>2729</v>
      </c>
      <c r="D574" s="2283" t="s">
        <v>2227</v>
      </c>
      <c r="E574" s="2284" t="s">
        <v>1833</v>
      </c>
      <c r="F574" s="2176"/>
      <c r="G574" s="2177"/>
      <c r="H574" s="2177"/>
      <c r="I574" s="2178">
        <f t="shared" si="1215"/>
        <v>0</v>
      </c>
      <c r="J574" s="2176"/>
      <c r="K574" s="2252">
        <f t="shared" si="1213"/>
        <v>0</v>
      </c>
      <c r="L574" s="2252">
        <f t="shared" si="1213"/>
        <v>0</v>
      </c>
      <c r="M574" s="2255">
        <f t="shared" si="1214"/>
        <v>0</v>
      </c>
      <c r="N574" s="2179">
        <f>N234*$N$389</f>
        <v>0</v>
      </c>
      <c r="O574" s="2179">
        <f>O234*$O$389</f>
        <v>0</v>
      </c>
      <c r="P574" s="2178">
        <f t="shared" si="1216"/>
        <v>0</v>
      </c>
      <c r="Q574" s="2184">
        <f>Q234*$Q$389</f>
        <v>0</v>
      </c>
      <c r="R574" s="2179">
        <f>R234*$R$389</f>
        <v>0</v>
      </c>
      <c r="S574" s="2180">
        <f t="shared" si="1217"/>
        <v>0</v>
      </c>
      <c r="T574" s="2251">
        <f t="shared" si="1147"/>
        <v>0</v>
      </c>
      <c r="U574" s="2252">
        <f t="shared" si="1147"/>
        <v>0</v>
      </c>
      <c r="V574" s="2253">
        <f t="shared" si="1148"/>
        <v>0</v>
      </c>
      <c r="W574" s="2187">
        <f>W234*$W$389</f>
        <v>0</v>
      </c>
      <c r="X574" s="2179">
        <f>X234*$X$389</f>
        <v>0</v>
      </c>
      <c r="Y574" s="2183">
        <f t="shared" si="1110"/>
        <v>0</v>
      </c>
      <c r="Z574" s="2254">
        <f t="shared" si="1232"/>
        <v>0</v>
      </c>
      <c r="AA574" s="2252">
        <f t="shared" si="1232"/>
        <v>0</v>
      </c>
      <c r="AB574" s="2255">
        <f t="shared" si="1298"/>
        <v>0</v>
      </c>
      <c r="AC574" s="2184">
        <f>AC234*$AC$389</f>
        <v>0</v>
      </c>
      <c r="AD574" s="2179">
        <f>AD234*$AD$389</f>
        <v>0</v>
      </c>
      <c r="AE574" s="2180">
        <f t="shared" si="1111"/>
        <v>0</v>
      </c>
      <c r="AF574" s="2277"/>
      <c r="AG574" s="2114"/>
      <c r="AH574" s="2188">
        <f>AH234*$N$389</f>
        <v>0</v>
      </c>
      <c r="AI574" s="2188">
        <f>AI234*$O$389</f>
        <v>0</v>
      </c>
      <c r="AJ574" s="2186">
        <f t="shared" si="1304"/>
        <v>0</v>
      </c>
      <c r="AK574" s="2188">
        <f>AK234*$N$389</f>
        <v>0</v>
      </c>
      <c r="AL574" s="2188">
        <f>AL234*$O$389</f>
        <v>0</v>
      </c>
      <c r="AM574" s="2186">
        <f t="shared" si="1305"/>
        <v>0</v>
      </c>
      <c r="AN574" s="2188">
        <f>AN234*$N$389</f>
        <v>0</v>
      </c>
      <c r="AO574" s="2188">
        <f>AO234*$O$389</f>
        <v>0</v>
      </c>
      <c r="AP574" s="2186">
        <f t="shared" si="1306"/>
        <v>0</v>
      </c>
      <c r="AQ574" s="2188">
        <f>AQ234*$N$389</f>
        <v>0</v>
      </c>
      <c r="AR574" s="2188">
        <f>AR234*$O$389</f>
        <v>0</v>
      </c>
      <c r="AS574" s="2186">
        <f t="shared" si="1307"/>
        <v>0</v>
      </c>
      <c r="AT574" s="2188">
        <f>AT234*$N$389</f>
        <v>0</v>
      </c>
      <c r="AU574" s="2188">
        <f>AU234*$O$389</f>
        <v>0</v>
      </c>
      <c r="AV574" s="2186">
        <f t="shared" si="1308"/>
        <v>0</v>
      </c>
      <c r="AW574" s="2188">
        <f>AW234*$N$389</f>
        <v>0</v>
      </c>
      <c r="AX574" s="2188">
        <f>AX234*$O$389</f>
        <v>0</v>
      </c>
      <c r="AY574" s="2186">
        <f t="shared" si="1309"/>
        <v>0</v>
      </c>
      <c r="AZ574" s="2188">
        <f>AZ234*$N$389</f>
        <v>0</v>
      </c>
      <c r="BA574" s="2188">
        <f>BA234*$O$389</f>
        <v>0</v>
      </c>
      <c r="BB574" s="2186">
        <f t="shared" si="1310"/>
        <v>0</v>
      </c>
      <c r="BC574" s="2188">
        <f>BC234*$N$389</f>
        <v>0</v>
      </c>
      <c r="BD574" s="2188">
        <f>BD234*$O$389</f>
        <v>0</v>
      </c>
      <c r="BE574" s="2186">
        <f t="shared" si="1311"/>
        <v>0</v>
      </c>
      <c r="BF574" s="2188">
        <f>BF234*$N$389</f>
        <v>0</v>
      </c>
      <c r="BG574" s="2188">
        <f>BG234*$O$389</f>
        <v>0</v>
      </c>
      <c r="BH574" s="2186">
        <f t="shared" si="1312"/>
        <v>0</v>
      </c>
      <c r="BI574" s="2188">
        <f>BI234*$N$389</f>
        <v>0</v>
      </c>
      <c r="BJ574" s="2188">
        <f>BJ234*$O$389</f>
        <v>0</v>
      </c>
      <c r="BK574" s="2186">
        <f t="shared" si="1313"/>
        <v>0</v>
      </c>
      <c r="BL574" s="2188">
        <f>BL234*$N$389</f>
        <v>0</v>
      </c>
      <c r="BM574" s="2188">
        <f>BM234*$O$389</f>
        <v>0</v>
      </c>
      <c r="BN574" s="2186">
        <f t="shared" si="1314"/>
        <v>0</v>
      </c>
      <c r="BO574" s="2188">
        <f>BO234*$N$389</f>
        <v>0</v>
      </c>
      <c r="BP574" s="2188">
        <f>BP234*$O$389</f>
        <v>0</v>
      </c>
      <c r="BQ574" s="2186">
        <f t="shared" si="1315"/>
        <v>0</v>
      </c>
    </row>
    <row r="575" spans="3:69" s="2087" customFormat="1" ht="21.6" hidden="1" customHeight="1">
      <c r="C575" s="2194" t="s">
        <v>2730</v>
      </c>
      <c r="D575" s="2283" t="s">
        <v>2229</v>
      </c>
      <c r="E575" s="2284" t="s">
        <v>1833</v>
      </c>
      <c r="F575" s="2176"/>
      <c r="G575" s="2177"/>
      <c r="H575" s="2177"/>
      <c r="I575" s="2186"/>
      <c r="J575" s="2176"/>
      <c r="K575" s="2252">
        <f t="shared" si="1213"/>
        <v>0</v>
      </c>
      <c r="L575" s="2252">
        <f t="shared" si="1213"/>
        <v>0</v>
      </c>
      <c r="M575" s="2255">
        <f t="shared" si="1214"/>
        <v>0</v>
      </c>
      <c r="N575" s="2177"/>
      <c r="O575" s="2177"/>
      <c r="P575" s="2186"/>
      <c r="Q575" s="2177"/>
      <c r="R575" s="2177"/>
      <c r="S575" s="2266"/>
      <c r="T575" s="2251">
        <f t="shared" si="1147"/>
        <v>0</v>
      </c>
      <c r="U575" s="2252">
        <f t="shared" si="1147"/>
        <v>0</v>
      </c>
      <c r="V575" s="2253">
        <f t="shared" si="1148"/>
        <v>0</v>
      </c>
      <c r="W575" s="2182"/>
      <c r="X575" s="2177"/>
      <c r="Y575" s="2271"/>
      <c r="Z575" s="2254">
        <f t="shared" si="1232"/>
        <v>0</v>
      </c>
      <c r="AA575" s="2252">
        <f t="shared" si="1232"/>
        <v>0</v>
      </c>
      <c r="AB575" s="2255">
        <f t="shared" si="1298"/>
        <v>0</v>
      </c>
      <c r="AC575" s="2177"/>
      <c r="AD575" s="2177"/>
      <c r="AE575" s="2266"/>
      <c r="AF575" s="2277"/>
      <c r="AG575" s="2114"/>
      <c r="AH575" s="2177"/>
      <c r="AI575" s="2177"/>
      <c r="AJ575" s="2186"/>
      <c r="AK575" s="2177"/>
      <c r="AL575" s="2177"/>
      <c r="AM575" s="2186"/>
      <c r="AN575" s="2177"/>
      <c r="AO575" s="2177"/>
      <c r="AP575" s="2186"/>
      <c r="AQ575" s="2177"/>
      <c r="AR575" s="2177"/>
      <c r="AS575" s="2186"/>
      <c r="AT575" s="2177"/>
      <c r="AU575" s="2177"/>
      <c r="AV575" s="2186"/>
      <c r="AW575" s="2177"/>
      <c r="AX575" s="2177"/>
      <c r="AY575" s="2186"/>
      <c r="AZ575" s="2177"/>
      <c r="BA575" s="2177"/>
      <c r="BB575" s="2186"/>
      <c r="BC575" s="2177"/>
      <c r="BD575" s="2177"/>
      <c r="BE575" s="2186"/>
      <c r="BF575" s="2177"/>
      <c r="BG575" s="2177"/>
      <c r="BH575" s="2186"/>
      <c r="BI575" s="2177"/>
      <c r="BJ575" s="2177"/>
      <c r="BK575" s="2186"/>
      <c r="BL575" s="2177"/>
      <c r="BM575" s="2177"/>
      <c r="BN575" s="2186"/>
      <c r="BO575" s="2177"/>
      <c r="BP575" s="2177"/>
      <c r="BQ575" s="2186"/>
    </row>
    <row r="576" spans="3:69" s="2159" customFormat="1" ht="21.6" hidden="1" customHeight="1">
      <c r="C576" s="2256" t="s">
        <v>2731</v>
      </c>
      <c r="D576" s="2280" t="str">
        <f>D334</f>
        <v>Контрагент 4</v>
      </c>
      <c r="E576" s="2120" t="s">
        <v>1833</v>
      </c>
      <c r="F576" s="2162"/>
      <c r="G576" s="2163">
        <f>G578+G591+G597+G603</f>
        <v>0</v>
      </c>
      <c r="H576" s="2163">
        <f>H578+H591+H597+H603</f>
        <v>0</v>
      </c>
      <c r="I576" s="2164">
        <f>H576-G576</f>
        <v>0</v>
      </c>
      <c r="J576" s="2162"/>
      <c r="K576" s="2259">
        <f t="shared" si="1213"/>
        <v>0</v>
      </c>
      <c r="L576" s="2259">
        <f t="shared" si="1213"/>
        <v>0</v>
      </c>
      <c r="M576" s="2262">
        <f t="shared" si="1214"/>
        <v>0</v>
      </c>
      <c r="N576" s="2163">
        <f>N578+N591+N597+N603</f>
        <v>0</v>
      </c>
      <c r="O576" s="2163">
        <f>O578+O591+O597+O603</f>
        <v>0</v>
      </c>
      <c r="P576" s="2164">
        <f>O576-N576</f>
        <v>0</v>
      </c>
      <c r="Q576" s="2163">
        <f>Q578+Q591+Q597+Q603</f>
        <v>0</v>
      </c>
      <c r="R576" s="2163">
        <f>R578+R591+R597+R603</f>
        <v>0</v>
      </c>
      <c r="S576" s="2166">
        <f>R576-Q576</f>
        <v>0</v>
      </c>
      <c r="T576" s="2258">
        <f t="shared" si="1147"/>
        <v>0</v>
      </c>
      <c r="U576" s="2259">
        <f t="shared" si="1147"/>
        <v>0</v>
      </c>
      <c r="V576" s="2260">
        <f t="shared" si="1148"/>
        <v>0</v>
      </c>
      <c r="W576" s="2168">
        <f>W578+W591+W597+W603</f>
        <v>0</v>
      </c>
      <c r="X576" s="2163">
        <f>X578+X591+X597+X603</f>
        <v>0</v>
      </c>
      <c r="Y576" s="2169">
        <f t="shared" si="1110"/>
        <v>0</v>
      </c>
      <c r="Z576" s="2261">
        <f t="shared" si="1232"/>
        <v>0</v>
      </c>
      <c r="AA576" s="2259">
        <f t="shared" si="1232"/>
        <v>0</v>
      </c>
      <c r="AB576" s="2262">
        <f t="shared" si="1298"/>
        <v>0</v>
      </c>
      <c r="AC576" s="2163">
        <f>AC578+AC591+AC597+AC603</f>
        <v>0</v>
      </c>
      <c r="AD576" s="2163">
        <f>AD578+AD591+AD597+AD603</f>
        <v>0</v>
      </c>
      <c r="AE576" s="2166">
        <f t="shared" si="1111"/>
        <v>0</v>
      </c>
      <c r="AF576" s="2281"/>
      <c r="AG576" s="2158"/>
      <c r="AH576" s="2171">
        <f>AH578+AH591+AH597+AH603</f>
        <v>0</v>
      </c>
      <c r="AI576" s="2171">
        <f>AI578+AI591+AI597+AI603</f>
        <v>0</v>
      </c>
      <c r="AJ576" s="2172">
        <f>AI576-AH576</f>
        <v>0</v>
      </c>
      <c r="AK576" s="2171">
        <f>AK578+AK591+AK597+AK603</f>
        <v>0</v>
      </c>
      <c r="AL576" s="2171">
        <f>AL578+AL591+AL597+AL603</f>
        <v>0</v>
      </c>
      <c r="AM576" s="2172">
        <f>AL576-AK576</f>
        <v>0</v>
      </c>
      <c r="AN576" s="2171">
        <f>AN578+AN591+AN597+AN603</f>
        <v>0</v>
      </c>
      <c r="AO576" s="2171">
        <f>AO578+AO591+AO597+AO603</f>
        <v>0</v>
      </c>
      <c r="AP576" s="2172">
        <f>AO576-AN576</f>
        <v>0</v>
      </c>
      <c r="AQ576" s="2171">
        <f>AQ578+AQ591+AQ597+AQ603</f>
        <v>0</v>
      </c>
      <c r="AR576" s="2171">
        <f>AR578+AR591+AR597+AR603</f>
        <v>0</v>
      </c>
      <c r="AS576" s="2172">
        <f>AR576-AQ576</f>
        <v>0</v>
      </c>
      <c r="AT576" s="2171">
        <f>AT578+AT591+AT597+AT603</f>
        <v>0</v>
      </c>
      <c r="AU576" s="2171">
        <f>AU578+AU591+AU597+AU603</f>
        <v>0</v>
      </c>
      <c r="AV576" s="2172">
        <f>AU576-AT576</f>
        <v>0</v>
      </c>
      <c r="AW576" s="2171">
        <f>AW578+AW591+AW597+AW603</f>
        <v>0</v>
      </c>
      <c r="AX576" s="2171">
        <f>AX578+AX591+AX597+AX603</f>
        <v>0</v>
      </c>
      <c r="AY576" s="2172">
        <f>AX576-AW576</f>
        <v>0</v>
      </c>
      <c r="AZ576" s="2171">
        <f>AZ578+AZ591+AZ597+AZ603</f>
        <v>0</v>
      </c>
      <c r="BA576" s="2171">
        <f>BA578+BA591+BA597+BA603</f>
        <v>0</v>
      </c>
      <c r="BB576" s="2172">
        <f>BA576-AZ576</f>
        <v>0</v>
      </c>
      <c r="BC576" s="2171">
        <f>BC578+BC591+BC597+BC603</f>
        <v>0</v>
      </c>
      <c r="BD576" s="2171">
        <f>BD578+BD591+BD597+BD603</f>
        <v>0</v>
      </c>
      <c r="BE576" s="2172">
        <f>BD576-BC576</f>
        <v>0</v>
      </c>
      <c r="BF576" s="2171">
        <f>BF578+BF591+BF597+BF603</f>
        <v>0</v>
      </c>
      <c r="BG576" s="2171">
        <f>BG578+BG591+BG597+BG603</f>
        <v>0</v>
      </c>
      <c r="BH576" s="2172">
        <f>BG576-BF576</f>
        <v>0</v>
      </c>
      <c r="BI576" s="2171">
        <f>BI578+BI591+BI597+BI603</f>
        <v>0</v>
      </c>
      <c r="BJ576" s="2171">
        <f>BJ578+BJ591+BJ597+BJ603</f>
        <v>0</v>
      </c>
      <c r="BK576" s="2172">
        <f>BJ576-BI576</f>
        <v>0</v>
      </c>
      <c r="BL576" s="2171">
        <f>BL578+BL591+BL597+BL603</f>
        <v>0</v>
      </c>
      <c r="BM576" s="2171">
        <f>BM578+BM591+BM597+BM603</f>
        <v>0</v>
      </c>
      <c r="BN576" s="2172">
        <f>BM576-BL576</f>
        <v>0</v>
      </c>
      <c r="BO576" s="2171">
        <f>BO578+BO591+BO597+BO603</f>
        <v>0</v>
      </c>
      <c r="BP576" s="2171">
        <f>BP578+BP591+BP597+BP603</f>
        <v>0</v>
      </c>
      <c r="BQ576" s="2172">
        <f>BP576-BO576</f>
        <v>0</v>
      </c>
    </row>
    <row r="577" spans="3:69" s="2087" customFormat="1" ht="21.6" hidden="1" customHeight="1">
      <c r="C577" s="2285" t="s">
        <v>2732</v>
      </c>
      <c r="D577" s="2289" t="s">
        <v>2211</v>
      </c>
      <c r="E577" s="2290" t="s">
        <v>1833</v>
      </c>
      <c r="F577" s="2176"/>
      <c r="G577" s="2177"/>
      <c r="H577" s="2177"/>
      <c r="I577" s="2178">
        <f t="shared" ref="I577:I607" si="1316">H577-G577</f>
        <v>0</v>
      </c>
      <c r="J577" s="2176"/>
      <c r="K577" s="2252">
        <f t="shared" si="1213"/>
        <v>0</v>
      </c>
      <c r="L577" s="2252">
        <f t="shared" si="1213"/>
        <v>0</v>
      </c>
      <c r="M577" s="2255">
        <f t="shared" si="1214"/>
        <v>0</v>
      </c>
      <c r="N577" s="2177"/>
      <c r="O577" s="2177"/>
      <c r="P577" s="2178">
        <f t="shared" ref="P577:P607" si="1317">O577-N577</f>
        <v>0</v>
      </c>
      <c r="Q577" s="2176"/>
      <c r="R577" s="2177"/>
      <c r="S577" s="2180">
        <f t="shared" ref="S577:S607" si="1318">R577-Q577</f>
        <v>0</v>
      </c>
      <c r="T577" s="2251">
        <f t="shared" si="1147"/>
        <v>0</v>
      </c>
      <c r="U577" s="2252">
        <f t="shared" si="1147"/>
        <v>0</v>
      </c>
      <c r="V577" s="2253">
        <f t="shared" si="1148"/>
        <v>0</v>
      </c>
      <c r="W577" s="2182"/>
      <c r="X577" s="2177"/>
      <c r="Y577" s="2183">
        <f t="shared" si="1110"/>
        <v>0</v>
      </c>
      <c r="Z577" s="2254">
        <f t="shared" si="1232"/>
        <v>0</v>
      </c>
      <c r="AA577" s="2252">
        <f t="shared" si="1232"/>
        <v>0</v>
      </c>
      <c r="AB577" s="2255">
        <f t="shared" si="1298"/>
        <v>0</v>
      </c>
      <c r="AC577" s="2176"/>
      <c r="AD577" s="2177"/>
      <c r="AE577" s="2180">
        <f t="shared" si="1111"/>
        <v>0</v>
      </c>
      <c r="AF577" s="2277"/>
      <c r="AG577" s="2114"/>
      <c r="AH577" s="2177"/>
      <c r="AI577" s="2177"/>
      <c r="AJ577" s="2186">
        <f t="shared" ref="AJ577:AJ583" si="1319">AI577-AH577</f>
        <v>0</v>
      </c>
      <c r="AK577" s="2177"/>
      <c r="AL577" s="2177"/>
      <c r="AM577" s="2186">
        <f t="shared" ref="AM577:AM583" si="1320">AL577-AK577</f>
        <v>0</v>
      </c>
      <c r="AN577" s="2177"/>
      <c r="AO577" s="2177"/>
      <c r="AP577" s="2186">
        <f t="shared" ref="AP577:AP583" si="1321">AO577-AN577</f>
        <v>0</v>
      </c>
      <c r="AQ577" s="2177"/>
      <c r="AR577" s="2177"/>
      <c r="AS577" s="2186">
        <f t="shared" ref="AS577:AS583" si="1322">AR577-AQ577</f>
        <v>0</v>
      </c>
      <c r="AT577" s="2177"/>
      <c r="AU577" s="2177"/>
      <c r="AV577" s="2186">
        <f t="shared" ref="AV577:AV583" si="1323">AU577-AT577</f>
        <v>0</v>
      </c>
      <c r="AW577" s="2177"/>
      <c r="AX577" s="2177"/>
      <c r="AY577" s="2186">
        <f t="shared" ref="AY577:AY583" si="1324">AX577-AW577</f>
        <v>0</v>
      </c>
      <c r="AZ577" s="2177"/>
      <c r="BA577" s="2177"/>
      <c r="BB577" s="2186">
        <f t="shared" ref="BB577:BB583" si="1325">BA577-AZ577</f>
        <v>0</v>
      </c>
      <c r="BC577" s="2177"/>
      <c r="BD577" s="2177"/>
      <c r="BE577" s="2186">
        <f t="shared" ref="BE577:BE583" si="1326">BD577-BC577</f>
        <v>0</v>
      </c>
      <c r="BF577" s="2177"/>
      <c r="BG577" s="2177"/>
      <c r="BH577" s="2186">
        <f t="shared" ref="BH577:BH583" si="1327">BG577-BF577</f>
        <v>0</v>
      </c>
      <c r="BI577" s="2177"/>
      <c r="BJ577" s="2177"/>
      <c r="BK577" s="2186">
        <f t="shared" ref="BK577:BK583" si="1328">BJ577-BI577</f>
        <v>0</v>
      </c>
      <c r="BL577" s="2177"/>
      <c r="BM577" s="2177"/>
      <c r="BN577" s="2186">
        <f t="shared" ref="BN577:BN583" si="1329">BM577-BL577</f>
        <v>0</v>
      </c>
      <c r="BO577" s="2177"/>
      <c r="BP577" s="2177"/>
      <c r="BQ577" s="2186">
        <f t="shared" ref="BQ577:BQ583" si="1330">BP577-BO577</f>
        <v>0</v>
      </c>
    </row>
    <row r="578" spans="3:69" s="2087" customFormat="1" ht="21.6" hidden="1" customHeight="1">
      <c r="C578" s="2285" t="s">
        <v>2733</v>
      </c>
      <c r="D578" s="2287" t="s">
        <v>2217</v>
      </c>
      <c r="E578" s="2284" t="s">
        <v>1833</v>
      </c>
      <c r="F578" s="2176"/>
      <c r="G578" s="2179">
        <f>G579+G585</f>
        <v>0</v>
      </c>
      <c r="H578" s="2179">
        <f>H579+H585</f>
        <v>0</v>
      </c>
      <c r="I578" s="2178">
        <f t="shared" si="1316"/>
        <v>0</v>
      </c>
      <c r="J578" s="2176"/>
      <c r="K578" s="2252">
        <f t="shared" si="1213"/>
        <v>0</v>
      </c>
      <c r="L578" s="2252">
        <f t="shared" si="1213"/>
        <v>0</v>
      </c>
      <c r="M578" s="2255">
        <f t="shared" si="1214"/>
        <v>0</v>
      </c>
      <c r="N578" s="2179">
        <f>N579+N585</f>
        <v>0</v>
      </c>
      <c r="O578" s="2179">
        <f>O579+O585</f>
        <v>0</v>
      </c>
      <c r="P578" s="2178">
        <f t="shared" si="1317"/>
        <v>0</v>
      </c>
      <c r="Q578" s="2184">
        <f t="shared" ref="Q578:R578" si="1331">Q579+Q585</f>
        <v>0</v>
      </c>
      <c r="R578" s="2179">
        <f t="shared" si="1331"/>
        <v>0</v>
      </c>
      <c r="S578" s="2180">
        <f t="shared" si="1318"/>
        <v>0</v>
      </c>
      <c r="T578" s="2251">
        <f t="shared" si="1147"/>
        <v>0</v>
      </c>
      <c r="U578" s="2252">
        <f t="shared" si="1147"/>
        <v>0</v>
      </c>
      <c r="V578" s="2253">
        <f t="shared" si="1148"/>
        <v>0</v>
      </c>
      <c r="W578" s="2187">
        <f>W579+W585</f>
        <v>0</v>
      </c>
      <c r="X578" s="2179">
        <f t="shared" ref="X578" si="1332">X579+X585</f>
        <v>0</v>
      </c>
      <c r="Y578" s="2183">
        <f t="shared" si="1110"/>
        <v>0</v>
      </c>
      <c r="Z578" s="2254">
        <f t="shared" si="1232"/>
        <v>0</v>
      </c>
      <c r="AA578" s="2252">
        <f t="shared" si="1232"/>
        <v>0</v>
      </c>
      <c r="AB578" s="2255">
        <f t="shared" si="1298"/>
        <v>0</v>
      </c>
      <c r="AC578" s="2184">
        <f>AC579+AC585</f>
        <v>0</v>
      </c>
      <c r="AD578" s="2179">
        <f t="shared" ref="AD578" si="1333">AD579+AD585</f>
        <v>0</v>
      </c>
      <c r="AE578" s="2180">
        <f t="shared" si="1111"/>
        <v>0</v>
      </c>
      <c r="AF578" s="2277"/>
      <c r="AG578" s="2114"/>
      <c r="AH578" s="2188">
        <f>AH579+AH585</f>
        <v>0</v>
      </c>
      <c r="AI578" s="2188">
        <f>AI579+AI585</f>
        <v>0</v>
      </c>
      <c r="AJ578" s="2186">
        <f t="shared" si="1319"/>
        <v>0</v>
      </c>
      <c r="AK578" s="2188">
        <f>AK579+AK585</f>
        <v>0</v>
      </c>
      <c r="AL578" s="2188">
        <f>AL579+AL585</f>
        <v>0</v>
      </c>
      <c r="AM578" s="2186">
        <f t="shared" si="1320"/>
        <v>0</v>
      </c>
      <c r="AN578" s="2188">
        <f>AN579+AN585</f>
        <v>0</v>
      </c>
      <c r="AO578" s="2188">
        <f>AO579+AO585</f>
        <v>0</v>
      </c>
      <c r="AP578" s="2186">
        <f t="shared" si="1321"/>
        <v>0</v>
      </c>
      <c r="AQ578" s="2188">
        <f>AQ579+AQ585</f>
        <v>0</v>
      </c>
      <c r="AR578" s="2188">
        <f>AR579+AR585</f>
        <v>0</v>
      </c>
      <c r="AS578" s="2186">
        <f t="shared" si="1322"/>
        <v>0</v>
      </c>
      <c r="AT578" s="2188">
        <f>AT579+AT585</f>
        <v>0</v>
      </c>
      <c r="AU578" s="2188">
        <f>AU579+AU585</f>
        <v>0</v>
      </c>
      <c r="AV578" s="2186">
        <f t="shared" si="1323"/>
        <v>0</v>
      </c>
      <c r="AW578" s="2188">
        <f>AW579+AW585</f>
        <v>0</v>
      </c>
      <c r="AX578" s="2188">
        <f>AX579+AX585</f>
        <v>0</v>
      </c>
      <c r="AY578" s="2186">
        <f t="shared" si="1324"/>
        <v>0</v>
      </c>
      <c r="AZ578" s="2188">
        <f>AZ579+AZ585</f>
        <v>0</v>
      </c>
      <c r="BA578" s="2188">
        <f>BA579+BA585</f>
        <v>0</v>
      </c>
      <c r="BB578" s="2186">
        <f t="shared" si="1325"/>
        <v>0</v>
      </c>
      <c r="BC578" s="2188">
        <f>BC579+BC585</f>
        <v>0</v>
      </c>
      <c r="BD578" s="2188">
        <f>BD579+BD585</f>
        <v>0</v>
      </c>
      <c r="BE578" s="2186">
        <f t="shared" si="1326"/>
        <v>0</v>
      </c>
      <c r="BF578" s="2188">
        <f>BF579+BF585</f>
        <v>0</v>
      </c>
      <c r="BG578" s="2188">
        <f>BG579+BG585</f>
        <v>0</v>
      </c>
      <c r="BH578" s="2186">
        <f t="shared" si="1327"/>
        <v>0</v>
      </c>
      <c r="BI578" s="2188">
        <f>BI579+BI585</f>
        <v>0</v>
      </c>
      <c r="BJ578" s="2188">
        <f>BJ579+BJ585</f>
        <v>0</v>
      </c>
      <c r="BK578" s="2186">
        <f t="shared" si="1328"/>
        <v>0</v>
      </c>
      <c r="BL578" s="2188">
        <f>BL579+BL585</f>
        <v>0</v>
      </c>
      <c r="BM578" s="2188">
        <f>BM579+BM585</f>
        <v>0</v>
      </c>
      <c r="BN578" s="2186">
        <f t="shared" si="1329"/>
        <v>0</v>
      </c>
      <c r="BO578" s="2188">
        <f>BO579+BO585</f>
        <v>0</v>
      </c>
      <c r="BP578" s="2188">
        <f>BP579+BP585</f>
        <v>0</v>
      </c>
      <c r="BQ578" s="2186">
        <f t="shared" si="1330"/>
        <v>0</v>
      </c>
    </row>
    <row r="579" spans="3:69" s="2087" customFormat="1" ht="21.6" hidden="1" customHeight="1">
      <c r="C579" s="2285" t="s">
        <v>2734</v>
      </c>
      <c r="D579" s="2286" t="s">
        <v>2599</v>
      </c>
      <c r="E579" s="2284" t="s">
        <v>1833</v>
      </c>
      <c r="F579" s="2176"/>
      <c r="G579" s="2179">
        <f>G580+G581+G582+G583+G584</f>
        <v>0</v>
      </c>
      <c r="H579" s="2179">
        <f>H580+H581+H582+H583+H584</f>
        <v>0</v>
      </c>
      <c r="I579" s="2178">
        <f t="shared" si="1316"/>
        <v>0</v>
      </c>
      <c r="J579" s="2176"/>
      <c r="K579" s="2252">
        <f t="shared" si="1213"/>
        <v>0</v>
      </c>
      <c r="L579" s="2179">
        <f t="shared" si="1213"/>
        <v>0</v>
      </c>
      <c r="M579" s="2178">
        <f t="shared" si="1214"/>
        <v>0</v>
      </c>
      <c r="N579" s="2179">
        <f>N580+N581+N582+N583+N584</f>
        <v>0</v>
      </c>
      <c r="O579" s="2179">
        <f>O580+O581+O582+O583+O584</f>
        <v>0</v>
      </c>
      <c r="P579" s="2178">
        <f t="shared" si="1317"/>
        <v>0</v>
      </c>
      <c r="Q579" s="2179">
        <f>Q580+Q581+Q582+Q583+Q584</f>
        <v>0</v>
      </c>
      <c r="R579" s="2179">
        <f>R580+R581+R582+R583+R584</f>
        <v>0</v>
      </c>
      <c r="S579" s="2180">
        <f t="shared" si="1318"/>
        <v>0</v>
      </c>
      <c r="T579" s="2181">
        <f t="shared" si="1147"/>
        <v>0</v>
      </c>
      <c r="U579" s="2179">
        <f t="shared" si="1147"/>
        <v>0</v>
      </c>
      <c r="V579" s="2180">
        <f t="shared" si="1148"/>
        <v>0</v>
      </c>
      <c r="W579" s="2187">
        <f>W580+W581+W582+W583+W584</f>
        <v>0</v>
      </c>
      <c r="X579" s="2179">
        <f>X580+X581+X582+X583+X584</f>
        <v>0</v>
      </c>
      <c r="Y579" s="2183">
        <f t="shared" si="1110"/>
        <v>0</v>
      </c>
      <c r="Z579" s="2184">
        <f t="shared" si="1232"/>
        <v>0</v>
      </c>
      <c r="AA579" s="2179">
        <f t="shared" si="1232"/>
        <v>0</v>
      </c>
      <c r="AB579" s="2178">
        <f t="shared" si="1298"/>
        <v>0</v>
      </c>
      <c r="AC579" s="2179">
        <f>AC580+AC581+AC582+AC583+AC584</f>
        <v>0</v>
      </c>
      <c r="AD579" s="2179">
        <f>AD580+AD581+AD582+AD583+AD584</f>
        <v>0</v>
      </c>
      <c r="AE579" s="2180">
        <f t="shared" si="1111"/>
        <v>0</v>
      </c>
      <c r="AF579" s="2277"/>
      <c r="AG579" s="2114"/>
      <c r="AH579" s="2188">
        <f>AH580+AH581+AH582+AH583+AH584</f>
        <v>0</v>
      </c>
      <c r="AI579" s="2188">
        <f>AI580+AI581+AI582+AI583+AI584</f>
        <v>0</v>
      </c>
      <c r="AJ579" s="2186">
        <f t="shared" si="1319"/>
        <v>0</v>
      </c>
      <c r="AK579" s="2188">
        <f>AK580+AK581+AK582+AK583+AK584</f>
        <v>0</v>
      </c>
      <c r="AL579" s="2188">
        <f>AL580+AL581+AL582+AL583+AL584</f>
        <v>0</v>
      </c>
      <c r="AM579" s="2186">
        <f t="shared" si="1320"/>
        <v>0</v>
      </c>
      <c r="AN579" s="2188">
        <f>AN580+AN581+AN582+AN583+AN584</f>
        <v>0</v>
      </c>
      <c r="AO579" s="2188">
        <f>AO580+AO581+AO582+AO583+AO584</f>
        <v>0</v>
      </c>
      <c r="AP579" s="2186">
        <f t="shared" si="1321"/>
        <v>0</v>
      </c>
      <c r="AQ579" s="2188">
        <f>AQ580+AQ581+AQ582+AQ583+AQ584</f>
        <v>0</v>
      </c>
      <c r="AR579" s="2188">
        <f>AR580+AR581+AR582+AR583+AR584</f>
        <v>0</v>
      </c>
      <c r="AS579" s="2186">
        <f t="shared" si="1322"/>
        <v>0</v>
      </c>
      <c r="AT579" s="2188">
        <f>AT580+AT581+AT582+AT583+AT584</f>
        <v>0</v>
      </c>
      <c r="AU579" s="2188">
        <f>AU580+AU581+AU582+AU583+AU584</f>
        <v>0</v>
      </c>
      <c r="AV579" s="2186">
        <f t="shared" si="1323"/>
        <v>0</v>
      </c>
      <c r="AW579" s="2188">
        <f>AW580+AW581+AW582+AW583+AW584</f>
        <v>0</v>
      </c>
      <c r="AX579" s="2188">
        <f>AX580+AX581+AX582+AX583+AX584</f>
        <v>0</v>
      </c>
      <c r="AY579" s="2186">
        <f t="shared" si="1324"/>
        <v>0</v>
      </c>
      <c r="AZ579" s="2188">
        <f>AZ580+AZ581+AZ582+AZ583+AZ584</f>
        <v>0</v>
      </c>
      <c r="BA579" s="2188">
        <f>BA580+BA581+BA582+BA583+BA584</f>
        <v>0</v>
      </c>
      <c r="BB579" s="2186">
        <f t="shared" si="1325"/>
        <v>0</v>
      </c>
      <c r="BC579" s="2188">
        <f>BC580+BC581+BC582+BC583+BC584</f>
        <v>0</v>
      </c>
      <c r="BD579" s="2188">
        <f>BD580+BD581+BD582+BD583+BD584</f>
        <v>0</v>
      </c>
      <c r="BE579" s="2186">
        <f t="shared" si="1326"/>
        <v>0</v>
      </c>
      <c r="BF579" s="2188">
        <f>BF580+BF581+BF582+BF583+BF584</f>
        <v>0</v>
      </c>
      <c r="BG579" s="2188">
        <f>BG580+BG581+BG582+BG583+BG584</f>
        <v>0</v>
      </c>
      <c r="BH579" s="2186">
        <f t="shared" si="1327"/>
        <v>0</v>
      </c>
      <c r="BI579" s="2188">
        <f>BI580+BI581+BI582+BI583+BI584</f>
        <v>0</v>
      </c>
      <c r="BJ579" s="2188">
        <f>BJ580+BJ581+BJ582+BJ583+BJ584</f>
        <v>0</v>
      </c>
      <c r="BK579" s="2186">
        <f t="shared" si="1328"/>
        <v>0</v>
      </c>
      <c r="BL579" s="2188">
        <f>BL580+BL581+BL582+BL583+BL584</f>
        <v>0</v>
      </c>
      <c r="BM579" s="2188">
        <f>BM580+BM581+BM582+BM583+BM584</f>
        <v>0</v>
      </c>
      <c r="BN579" s="2186">
        <f t="shared" si="1329"/>
        <v>0</v>
      </c>
      <c r="BO579" s="2188">
        <f>BO580+BO581+BO582+BO583+BO584</f>
        <v>0</v>
      </c>
      <c r="BP579" s="2188">
        <f>BP580+BP581+BP582+BP583+BP584</f>
        <v>0</v>
      </c>
      <c r="BQ579" s="2186">
        <f t="shared" si="1330"/>
        <v>0</v>
      </c>
    </row>
    <row r="580" spans="3:69" s="2087" customFormat="1" ht="21.6" hidden="1" customHeight="1">
      <c r="C580" s="2194" t="s">
        <v>2735</v>
      </c>
      <c r="D580" s="2283" t="s">
        <v>2221</v>
      </c>
      <c r="E580" s="2284" t="s">
        <v>1833</v>
      </c>
      <c r="F580" s="2176"/>
      <c r="G580" s="2177"/>
      <c r="H580" s="2177"/>
      <c r="I580" s="2178">
        <f t="shared" si="1316"/>
        <v>0</v>
      </c>
      <c r="J580" s="2176"/>
      <c r="K580" s="2252">
        <f t="shared" si="1213"/>
        <v>0</v>
      </c>
      <c r="L580" s="2252">
        <f t="shared" si="1213"/>
        <v>0</v>
      </c>
      <c r="M580" s="2255">
        <f t="shared" si="1214"/>
        <v>0</v>
      </c>
      <c r="N580" s="2179">
        <f>N240*$N$370/1000*3</f>
        <v>0</v>
      </c>
      <c r="O580" s="2179">
        <f>O240*$O$370/1000*3</f>
        <v>0</v>
      </c>
      <c r="P580" s="2178">
        <f t="shared" si="1317"/>
        <v>0</v>
      </c>
      <c r="Q580" s="2184">
        <f>Q240*$Q$370/1000*3</f>
        <v>0</v>
      </c>
      <c r="R580" s="2179">
        <f>R240*$R$370/1000*3</f>
        <v>0</v>
      </c>
      <c r="S580" s="2180">
        <f t="shared" si="1318"/>
        <v>0</v>
      </c>
      <c r="T580" s="2251">
        <f t="shared" si="1147"/>
        <v>0</v>
      </c>
      <c r="U580" s="2252">
        <f t="shared" si="1147"/>
        <v>0</v>
      </c>
      <c r="V580" s="2253">
        <f t="shared" si="1148"/>
        <v>0</v>
      </c>
      <c r="W580" s="2187">
        <f>W240*$W$370/1000*3</f>
        <v>0</v>
      </c>
      <c r="X580" s="2179">
        <f>X240*$X$370/1000*3</f>
        <v>0</v>
      </c>
      <c r="Y580" s="2183">
        <f t="shared" si="1110"/>
        <v>0</v>
      </c>
      <c r="Z580" s="2254">
        <f t="shared" si="1232"/>
        <v>0</v>
      </c>
      <c r="AA580" s="2252">
        <f t="shared" si="1232"/>
        <v>0</v>
      </c>
      <c r="AB580" s="2255">
        <f t="shared" si="1298"/>
        <v>0</v>
      </c>
      <c r="AC580" s="2184">
        <f>AC240*$AC$370/1000*3</f>
        <v>0</v>
      </c>
      <c r="AD580" s="2179">
        <f>AD240*$AD$370/1000*3</f>
        <v>0</v>
      </c>
      <c r="AE580" s="2180">
        <f t="shared" si="1111"/>
        <v>0</v>
      </c>
      <c r="AF580" s="2277"/>
      <c r="AG580" s="2114"/>
      <c r="AH580" s="2188">
        <f>AH240*$N$370/1000*3</f>
        <v>0</v>
      </c>
      <c r="AI580" s="2188">
        <f>AI240*$O$370/1000*3</f>
        <v>0</v>
      </c>
      <c r="AJ580" s="2186">
        <f t="shared" si="1319"/>
        <v>0</v>
      </c>
      <c r="AK580" s="2188">
        <f>AK240*$N$370/1000*3</f>
        <v>0</v>
      </c>
      <c r="AL580" s="2188">
        <f>AL240*$O$370/1000*3</f>
        <v>0</v>
      </c>
      <c r="AM580" s="2186">
        <f t="shared" si="1320"/>
        <v>0</v>
      </c>
      <c r="AN580" s="2188">
        <f>AN240*$N$370/1000*3</f>
        <v>0</v>
      </c>
      <c r="AO580" s="2188">
        <f>AO240*$O$370/1000*3</f>
        <v>0</v>
      </c>
      <c r="AP580" s="2186">
        <f t="shared" si="1321"/>
        <v>0</v>
      </c>
      <c r="AQ580" s="2188">
        <f>AQ240*$N$370/1000*3</f>
        <v>0</v>
      </c>
      <c r="AR580" s="2188">
        <f>AR240*$O$370/1000*3</f>
        <v>0</v>
      </c>
      <c r="AS580" s="2186">
        <f t="shared" si="1322"/>
        <v>0</v>
      </c>
      <c r="AT580" s="2188">
        <f>AT240*$N$370/1000*3</f>
        <v>0</v>
      </c>
      <c r="AU580" s="2188">
        <f>AU240*$O$370/1000*3</f>
        <v>0</v>
      </c>
      <c r="AV580" s="2186">
        <f t="shared" si="1323"/>
        <v>0</v>
      </c>
      <c r="AW580" s="2188">
        <f>AW240*$N$370/1000*3</f>
        <v>0</v>
      </c>
      <c r="AX580" s="2188">
        <f>AX240*$O$370/1000*3</f>
        <v>0</v>
      </c>
      <c r="AY580" s="2186">
        <f t="shared" si="1324"/>
        <v>0</v>
      </c>
      <c r="AZ580" s="2188">
        <f>AZ240*$N$370/1000*3</f>
        <v>0</v>
      </c>
      <c r="BA580" s="2188">
        <f>BA240*$O$370/1000*3</f>
        <v>0</v>
      </c>
      <c r="BB580" s="2186">
        <f t="shared" si="1325"/>
        <v>0</v>
      </c>
      <c r="BC580" s="2188">
        <f>BC240*$N$370/1000*3</f>
        <v>0</v>
      </c>
      <c r="BD580" s="2188">
        <f>BD240*$O$370/1000*3</f>
        <v>0</v>
      </c>
      <c r="BE580" s="2186">
        <f t="shared" si="1326"/>
        <v>0</v>
      </c>
      <c r="BF580" s="2188">
        <f>BF240*$N$370/1000*3</f>
        <v>0</v>
      </c>
      <c r="BG580" s="2188">
        <f>BG240*$O$370/1000*3</f>
        <v>0</v>
      </c>
      <c r="BH580" s="2186">
        <f t="shared" si="1327"/>
        <v>0</v>
      </c>
      <c r="BI580" s="2188">
        <f>BI240*$N$370/1000*3</f>
        <v>0</v>
      </c>
      <c r="BJ580" s="2188">
        <f>BJ240*$O$370/1000*3</f>
        <v>0</v>
      </c>
      <c r="BK580" s="2186">
        <f t="shared" si="1328"/>
        <v>0</v>
      </c>
      <c r="BL580" s="2188">
        <f>BL240*$N$370/1000*3</f>
        <v>0</v>
      </c>
      <c r="BM580" s="2188">
        <f>BM240*$O$370/1000*3</f>
        <v>0</v>
      </c>
      <c r="BN580" s="2186">
        <f t="shared" si="1329"/>
        <v>0</v>
      </c>
      <c r="BO580" s="2188">
        <f>BO240*$N$370/1000*3</f>
        <v>0</v>
      </c>
      <c r="BP580" s="2188">
        <f>BP240*$O$370/1000*3</f>
        <v>0</v>
      </c>
      <c r="BQ580" s="2186">
        <f t="shared" si="1330"/>
        <v>0</v>
      </c>
    </row>
    <row r="581" spans="3:69" s="2087" customFormat="1" ht="21.6" hidden="1" customHeight="1">
      <c r="C581" s="2194" t="s">
        <v>2736</v>
      </c>
      <c r="D581" s="2283" t="s">
        <v>2223</v>
      </c>
      <c r="E581" s="2284" t="s">
        <v>1833</v>
      </c>
      <c r="F581" s="2176"/>
      <c r="G581" s="2177"/>
      <c r="H581" s="2177"/>
      <c r="I581" s="2178">
        <f t="shared" si="1316"/>
        <v>0</v>
      </c>
      <c r="J581" s="2176"/>
      <c r="K581" s="2252">
        <f t="shared" si="1213"/>
        <v>0</v>
      </c>
      <c r="L581" s="2252">
        <f t="shared" si="1213"/>
        <v>0</v>
      </c>
      <c r="M581" s="2255">
        <f t="shared" si="1214"/>
        <v>0</v>
      </c>
      <c r="N581" s="2179">
        <f>N241*$N$371/1000*3</f>
        <v>0</v>
      </c>
      <c r="O581" s="2179">
        <f>O241*$O$371/1000*3</f>
        <v>0</v>
      </c>
      <c r="P581" s="2178">
        <f t="shared" si="1317"/>
        <v>0</v>
      </c>
      <c r="Q581" s="2184">
        <f>Q241*$Q$371/1000*3</f>
        <v>0</v>
      </c>
      <c r="R581" s="2179">
        <f>R241*$R$371/1000*3</f>
        <v>0</v>
      </c>
      <c r="S581" s="2180">
        <f t="shared" si="1318"/>
        <v>0</v>
      </c>
      <c r="T581" s="2251">
        <f t="shared" si="1147"/>
        <v>0</v>
      </c>
      <c r="U581" s="2252">
        <f t="shared" si="1147"/>
        <v>0</v>
      </c>
      <c r="V581" s="2253">
        <f t="shared" si="1148"/>
        <v>0</v>
      </c>
      <c r="W581" s="2187">
        <f>W241*$W$371/1000*3</f>
        <v>0</v>
      </c>
      <c r="X581" s="2179">
        <f>X241*$X$371/1000*3</f>
        <v>0</v>
      </c>
      <c r="Y581" s="2183">
        <f t="shared" si="1110"/>
        <v>0</v>
      </c>
      <c r="Z581" s="2254">
        <f t="shared" si="1232"/>
        <v>0</v>
      </c>
      <c r="AA581" s="2252">
        <f t="shared" si="1232"/>
        <v>0</v>
      </c>
      <c r="AB581" s="2255">
        <f t="shared" si="1298"/>
        <v>0</v>
      </c>
      <c r="AC581" s="2184">
        <f>AC241*$AC$371/1000*3</f>
        <v>0</v>
      </c>
      <c r="AD581" s="2179">
        <f>AD241*$AD$371/1000*3</f>
        <v>0</v>
      </c>
      <c r="AE581" s="2180">
        <f t="shared" si="1111"/>
        <v>0</v>
      </c>
      <c r="AF581" s="2277"/>
      <c r="AG581" s="2114"/>
      <c r="AH581" s="2188">
        <f>AH241*$N$371/1000*3</f>
        <v>0</v>
      </c>
      <c r="AI581" s="2188">
        <f>AI241*$O$371/1000*3</f>
        <v>0</v>
      </c>
      <c r="AJ581" s="2186">
        <f t="shared" si="1319"/>
        <v>0</v>
      </c>
      <c r="AK581" s="2188">
        <f>AK241*$N$371/1000*3</f>
        <v>0</v>
      </c>
      <c r="AL581" s="2188">
        <f>AL241*$O$371/1000*3</f>
        <v>0</v>
      </c>
      <c r="AM581" s="2186">
        <f t="shared" si="1320"/>
        <v>0</v>
      </c>
      <c r="AN581" s="2188">
        <f>AN241*$N$371/1000*3</f>
        <v>0</v>
      </c>
      <c r="AO581" s="2188">
        <f>AO241*$O$371/1000*3</f>
        <v>0</v>
      </c>
      <c r="AP581" s="2186">
        <f t="shared" si="1321"/>
        <v>0</v>
      </c>
      <c r="AQ581" s="2188">
        <f>AQ241*$N$371/1000*3</f>
        <v>0</v>
      </c>
      <c r="AR581" s="2188">
        <f>AR241*$O$371/1000*3</f>
        <v>0</v>
      </c>
      <c r="AS581" s="2186">
        <f t="shared" si="1322"/>
        <v>0</v>
      </c>
      <c r="AT581" s="2188">
        <f>AT241*$N$371/1000*3</f>
        <v>0</v>
      </c>
      <c r="AU581" s="2188">
        <f>AU241*$O$371/1000*3</f>
        <v>0</v>
      </c>
      <c r="AV581" s="2186">
        <f t="shared" si="1323"/>
        <v>0</v>
      </c>
      <c r="AW581" s="2188">
        <f>AW241*$N$371/1000*3</f>
        <v>0</v>
      </c>
      <c r="AX581" s="2188">
        <f>AX241*$O$371/1000*3</f>
        <v>0</v>
      </c>
      <c r="AY581" s="2186">
        <f t="shared" si="1324"/>
        <v>0</v>
      </c>
      <c r="AZ581" s="2188">
        <f>AZ241*$N$371/1000*3</f>
        <v>0</v>
      </c>
      <c r="BA581" s="2188">
        <f>BA241*$O$371/1000*3</f>
        <v>0</v>
      </c>
      <c r="BB581" s="2186">
        <f t="shared" si="1325"/>
        <v>0</v>
      </c>
      <c r="BC581" s="2188">
        <f>BC241*$N$371/1000*3</f>
        <v>0</v>
      </c>
      <c r="BD581" s="2188">
        <f>BD241*$O$371/1000*3</f>
        <v>0</v>
      </c>
      <c r="BE581" s="2186">
        <f t="shared" si="1326"/>
        <v>0</v>
      </c>
      <c r="BF581" s="2188">
        <f>BF241*$N$371/1000*3</f>
        <v>0</v>
      </c>
      <c r="BG581" s="2188">
        <f>BG241*$O$371/1000*3</f>
        <v>0</v>
      </c>
      <c r="BH581" s="2186">
        <f t="shared" si="1327"/>
        <v>0</v>
      </c>
      <c r="BI581" s="2188">
        <f>BI241*$N$371/1000*3</f>
        <v>0</v>
      </c>
      <c r="BJ581" s="2188">
        <f>BJ241*$O$371/1000*3</f>
        <v>0</v>
      </c>
      <c r="BK581" s="2186">
        <f t="shared" si="1328"/>
        <v>0</v>
      </c>
      <c r="BL581" s="2188">
        <f>BL241*$N$371/1000*3</f>
        <v>0</v>
      </c>
      <c r="BM581" s="2188">
        <f>BM241*$O$371/1000*3</f>
        <v>0</v>
      </c>
      <c r="BN581" s="2186">
        <f t="shared" si="1329"/>
        <v>0</v>
      </c>
      <c r="BO581" s="2188">
        <f>BO241*$N$371/1000*3</f>
        <v>0</v>
      </c>
      <c r="BP581" s="2188">
        <f>BP241*$O$371/1000*3</f>
        <v>0</v>
      </c>
      <c r="BQ581" s="2186">
        <f t="shared" si="1330"/>
        <v>0</v>
      </c>
    </row>
    <row r="582" spans="3:69" s="2087" customFormat="1" ht="21.6" hidden="1" customHeight="1">
      <c r="C582" s="2194" t="s">
        <v>2737</v>
      </c>
      <c r="D582" s="2283" t="s">
        <v>2225</v>
      </c>
      <c r="E582" s="2284" t="s">
        <v>1833</v>
      </c>
      <c r="F582" s="2176"/>
      <c r="G582" s="2177"/>
      <c r="H582" s="2177"/>
      <c r="I582" s="2178">
        <f t="shared" si="1316"/>
        <v>0</v>
      </c>
      <c r="J582" s="2176"/>
      <c r="K582" s="2252">
        <f t="shared" si="1213"/>
        <v>0</v>
      </c>
      <c r="L582" s="2252">
        <f t="shared" si="1213"/>
        <v>0</v>
      </c>
      <c r="M582" s="2255">
        <f t="shared" si="1214"/>
        <v>0</v>
      </c>
      <c r="N582" s="2179">
        <f>N242*$N$372/1000*3</f>
        <v>0</v>
      </c>
      <c r="O582" s="2179">
        <f>O242*$O$372/1000*3</f>
        <v>0</v>
      </c>
      <c r="P582" s="2178">
        <f t="shared" si="1317"/>
        <v>0</v>
      </c>
      <c r="Q582" s="2184">
        <f>Q242*$Q$372/1000*3</f>
        <v>0</v>
      </c>
      <c r="R582" s="2179">
        <f>R242*$R$372/1000*3</f>
        <v>0</v>
      </c>
      <c r="S582" s="2180">
        <f t="shared" si="1318"/>
        <v>0</v>
      </c>
      <c r="T582" s="2251">
        <f t="shared" si="1147"/>
        <v>0</v>
      </c>
      <c r="U582" s="2252">
        <f t="shared" si="1147"/>
        <v>0</v>
      </c>
      <c r="V582" s="2253">
        <f t="shared" si="1148"/>
        <v>0</v>
      </c>
      <c r="W582" s="2187">
        <f>W242*$W$372/1000*3</f>
        <v>0</v>
      </c>
      <c r="X582" s="2179">
        <f>X242*$X$372/1000*3</f>
        <v>0</v>
      </c>
      <c r="Y582" s="2183">
        <f t="shared" si="1110"/>
        <v>0</v>
      </c>
      <c r="Z582" s="2254">
        <f t="shared" si="1232"/>
        <v>0</v>
      </c>
      <c r="AA582" s="2252">
        <f t="shared" si="1232"/>
        <v>0</v>
      </c>
      <c r="AB582" s="2255">
        <f t="shared" si="1298"/>
        <v>0</v>
      </c>
      <c r="AC582" s="2184">
        <f>AC242*$AC$372/1000*3</f>
        <v>0</v>
      </c>
      <c r="AD582" s="2179">
        <f>AD242*$AD$372/1000*3</f>
        <v>0</v>
      </c>
      <c r="AE582" s="2180">
        <f t="shared" si="1111"/>
        <v>0</v>
      </c>
      <c r="AF582" s="2277"/>
      <c r="AG582" s="2114"/>
      <c r="AH582" s="2188">
        <f>AH242*$N$372/1000*3</f>
        <v>0</v>
      </c>
      <c r="AI582" s="2188">
        <f>AI242*$O$372/1000*3</f>
        <v>0</v>
      </c>
      <c r="AJ582" s="2186">
        <f t="shared" si="1319"/>
        <v>0</v>
      </c>
      <c r="AK582" s="2188">
        <f>AK242*$N$372/1000*3</f>
        <v>0</v>
      </c>
      <c r="AL582" s="2188">
        <f>AL242*$O$372/1000*3</f>
        <v>0</v>
      </c>
      <c r="AM582" s="2186">
        <f t="shared" si="1320"/>
        <v>0</v>
      </c>
      <c r="AN582" s="2188">
        <f>AN242*$N$372/1000*3</f>
        <v>0</v>
      </c>
      <c r="AO582" s="2188">
        <f>AO242*$O$372/1000*3</f>
        <v>0</v>
      </c>
      <c r="AP582" s="2186">
        <f t="shared" si="1321"/>
        <v>0</v>
      </c>
      <c r="AQ582" s="2188">
        <f>AQ242*$N$372/1000*3</f>
        <v>0</v>
      </c>
      <c r="AR582" s="2188">
        <f>AR242*$O$372/1000*3</f>
        <v>0</v>
      </c>
      <c r="AS582" s="2186">
        <f t="shared" si="1322"/>
        <v>0</v>
      </c>
      <c r="AT582" s="2188">
        <f>AT242*$N$372/1000*3</f>
        <v>0</v>
      </c>
      <c r="AU582" s="2188">
        <f>AU242*$O$372/1000*3</f>
        <v>0</v>
      </c>
      <c r="AV582" s="2186">
        <f t="shared" si="1323"/>
        <v>0</v>
      </c>
      <c r="AW582" s="2188">
        <f>AW242*$N$372/1000*3</f>
        <v>0</v>
      </c>
      <c r="AX582" s="2188">
        <f>AX242*$O$372/1000*3</f>
        <v>0</v>
      </c>
      <c r="AY582" s="2186">
        <f t="shared" si="1324"/>
        <v>0</v>
      </c>
      <c r="AZ582" s="2188">
        <f>AZ242*$N$372/1000*3</f>
        <v>0</v>
      </c>
      <c r="BA582" s="2188">
        <f>BA242*$O$372/1000*3</f>
        <v>0</v>
      </c>
      <c r="BB582" s="2186">
        <f t="shared" si="1325"/>
        <v>0</v>
      </c>
      <c r="BC582" s="2188">
        <f>BC242*$N$372/1000*3</f>
        <v>0</v>
      </c>
      <c r="BD582" s="2188">
        <f>BD242*$O$372/1000*3</f>
        <v>0</v>
      </c>
      <c r="BE582" s="2186">
        <f t="shared" si="1326"/>
        <v>0</v>
      </c>
      <c r="BF582" s="2188">
        <f>BF242*$N$372/1000*3</f>
        <v>0</v>
      </c>
      <c r="BG582" s="2188">
        <f>BG242*$O$372/1000*3</f>
        <v>0</v>
      </c>
      <c r="BH582" s="2186">
        <f t="shared" si="1327"/>
        <v>0</v>
      </c>
      <c r="BI582" s="2188">
        <f>BI242*$N$372/1000*3</f>
        <v>0</v>
      </c>
      <c r="BJ582" s="2188">
        <f>BJ242*$O$372/1000*3</f>
        <v>0</v>
      </c>
      <c r="BK582" s="2186">
        <f t="shared" si="1328"/>
        <v>0</v>
      </c>
      <c r="BL582" s="2188">
        <f>BL242*$N$372/1000*3</f>
        <v>0</v>
      </c>
      <c r="BM582" s="2188">
        <f>BM242*$O$372/1000*3</f>
        <v>0</v>
      </c>
      <c r="BN582" s="2186">
        <f t="shared" si="1329"/>
        <v>0</v>
      </c>
      <c r="BO582" s="2188">
        <f>BO242*$N$372/1000*3</f>
        <v>0</v>
      </c>
      <c r="BP582" s="2188">
        <f>BP242*$O$372/1000*3</f>
        <v>0</v>
      </c>
      <c r="BQ582" s="2186">
        <f t="shared" si="1330"/>
        <v>0</v>
      </c>
    </row>
    <row r="583" spans="3:69" s="2087" customFormat="1" ht="21.6" hidden="1" customHeight="1">
      <c r="C583" s="2194" t="s">
        <v>2738</v>
      </c>
      <c r="D583" s="2283" t="s">
        <v>2227</v>
      </c>
      <c r="E583" s="2284" t="s">
        <v>1833</v>
      </c>
      <c r="F583" s="2176"/>
      <c r="G583" s="2177"/>
      <c r="H583" s="2177"/>
      <c r="I583" s="2178">
        <f t="shared" si="1316"/>
        <v>0</v>
      </c>
      <c r="J583" s="2176"/>
      <c r="K583" s="2252">
        <f t="shared" si="1213"/>
        <v>0</v>
      </c>
      <c r="L583" s="2252">
        <f t="shared" si="1213"/>
        <v>0</v>
      </c>
      <c r="M583" s="2255">
        <f t="shared" si="1214"/>
        <v>0</v>
      </c>
      <c r="N583" s="2179">
        <f>N243*$N$373/1000*3</f>
        <v>0</v>
      </c>
      <c r="O583" s="2179">
        <f>O243*$O$373/1000*3</f>
        <v>0</v>
      </c>
      <c r="P583" s="2178">
        <f t="shared" si="1317"/>
        <v>0</v>
      </c>
      <c r="Q583" s="2184">
        <f>Q243*$Q$373/1000*3</f>
        <v>0</v>
      </c>
      <c r="R583" s="2179">
        <f>R243*$R$373/1000*3</f>
        <v>0</v>
      </c>
      <c r="S583" s="2180">
        <f t="shared" si="1318"/>
        <v>0</v>
      </c>
      <c r="T583" s="2251">
        <f t="shared" si="1147"/>
        <v>0</v>
      </c>
      <c r="U583" s="2252">
        <f t="shared" si="1147"/>
        <v>0</v>
      </c>
      <c r="V583" s="2253">
        <f t="shared" si="1148"/>
        <v>0</v>
      </c>
      <c r="W583" s="2187">
        <f>W243*$W$373/1000*3</f>
        <v>0</v>
      </c>
      <c r="X583" s="2179">
        <f>X243*$X$373/1000*3</f>
        <v>0</v>
      </c>
      <c r="Y583" s="2183">
        <f t="shared" si="1110"/>
        <v>0</v>
      </c>
      <c r="Z583" s="2254">
        <f t="shared" si="1232"/>
        <v>0</v>
      </c>
      <c r="AA583" s="2252">
        <f t="shared" si="1232"/>
        <v>0</v>
      </c>
      <c r="AB583" s="2255">
        <f t="shared" si="1298"/>
        <v>0</v>
      </c>
      <c r="AC583" s="2184">
        <f>AC243*$AC$373/1000*3</f>
        <v>0</v>
      </c>
      <c r="AD583" s="2179">
        <f>AD243*$AD$373/1000*3</f>
        <v>0</v>
      </c>
      <c r="AE583" s="2180">
        <f t="shared" si="1111"/>
        <v>0</v>
      </c>
      <c r="AF583" s="2277"/>
      <c r="AG583" s="2114"/>
      <c r="AH583" s="2188">
        <f>AH243*$N$373/1000*3</f>
        <v>0</v>
      </c>
      <c r="AI583" s="2188">
        <f>AI243*$O$373/1000*3</f>
        <v>0</v>
      </c>
      <c r="AJ583" s="2186">
        <f t="shared" si="1319"/>
        <v>0</v>
      </c>
      <c r="AK583" s="2188">
        <f>AK243*$N$373/1000*3</f>
        <v>0</v>
      </c>
      <c r="AL583" s="2188">
        <f>AL243*$O$373/1000*3</f>
        <v>0</v>
      </c>
      <c r="AM583" s="2186">
        <f t="shared" si="1320"/>
        <v>0</v>
      </c>
      <c r="AN583" s="2188">
        <f>AN243*$N$373/1000*3</f>
        <v>0</v>
      </c>
      <c r="AO583" s="2188">
        <f>AO243*$O$373/1000*3</f>
        <v>0</v>
      </c>
      <c r="AP583" s="2186">
        <f t="shared" si="1321"/>
        <v>0</v>
      </c>
      <c r="AQ583" s="2188">
        <f>AQ243*$N$373/1000*3</f>
        <v>0</v>
      </c>
      <c r="AR583" s="2188">
        <f>AR243*$O$373/1000*3</f>
        <v>0</v>
      </c>
      <c r="AS583" s="2186">
        <f t="shared" si="1322"/>
        <v>0</v>
      </c>
      <c r="AT583" s="2188">
        <f>AT243*$N$373/1000*3</f>
        <v>0</v>
      </c>
      <c r="AU583" s="2188">
        <f>AU243*$O$373/1000*3</f>
        <v>0</v>
      </c>
      <c r="AV583" s="2186">
        <f t="shared" si="1323"/>
        <v>0</v>
      </c>
      <c r="AW583" s="2188">
        <f>AW243*$N$373/1000*3</f>
        <v>0</v>
      </c>
      <c r="AX583" s="2188">
        <f>AX243*$O$373/1000*3</f>
        <v>0</v>
      </c>
      <c r="AY583" s="2186">
        <f t="shared" si="1324"/>
        <v>0</v>
      </c>
      <c r="AZ583" s="2188">
        <f>AZ243*$N$373/1000*3</f>
        <v>0</v>
      </c>
      <c r="BA583" s="2188">
        <f>BA243*$O$373/1000*3</f>
        <v>0</v>
      </c>
      <c r="BB583" s="2186">
        <f t="shared" si="1325"/>
        <v>0</v>
      </c>
      <c r="BC583" s="2188">
        <f>BC243*$N$373/1000*3</f>
        <v>0</v>
      </c>
      <c r="BD583" s="2188">
        <f>BD243*$O$373/1000*3</f>
        <v>0</v>
      </c>
      <c r="BE583" s="2186">
        <f t="shared" si="1326"/>
        <v>0</v>
      </c>
      <c r="BF583" s="2188">
        <f>BF243*$N$373/1000*3</f>
        <v>0</v>
      </c>
      <c r="BG583" s="2188">
        <f>BG243*$O$373/1000*3</f>
        <v>0</v>
      </c>
      <c r="BH583" s="2186">
        <f t="shared" si="1327"/>
        <v>0</v>
      </c>
      <c r="BI583" s="2188">
        <f>BI243*$N$373/1000*3</f>
        <v>0</v>
      </c>
      <c r="BJ583" s="2188">
        <f>BJ243*$O$373/1000*3</f>
        <v>0</v>
      </c>
      <c r="BK583" s="2186">
        <f t="shared" si="1328"/>
        <v>0</v>
      </c>
      <c r="BL583" s="2188">
        <f>BL243*$N$373/1000*3</f>
        <v>0</v>
      </c>
      <c r="BM583" s="2188">
        <f>BM243*$O$373/1000*3</f>
        <v>0</v>
      </c>
      <c r="BN583" s="2186">
        <f t="shared" si="1329"/>
        <v>0</v>
      </c>
      <c r="BO583" s="2188">
        <f>BO243*$N$373/1000*3</f>
        <v>0</v>
      </c>
      <c r="BP583" s="2188">
        <f>BP243*$O$373/1000*3</f>
        <v>0</v>
      </c>
      <c r="BQ583" s="2186">
        <f t="shared" si="1330"/>
        <v>0</v>
      </c>
    </row>
    <row r="584" spans="3:69" s="2087" customFormat="1" ht="21.6" hidden="1" customHeight="1">
      <c r="C584" s="2194" t="s">
        <v>2739</v>
      </c>
      <c r="D584" s="2283" t="s">
        <v>2229</v>
      </c>
      <c r="E584" s="2284" t="s">
        <v>1833</v>
      </c>
      <c r="F584" s="2176"/>
      <c r="G584" s="2177"/>
      <c r="H584" s="2177"/>
      <c r="I584" s="2186"/>
      <c r="J584" s="2176"/>
      <c r="K584" s="2252">
        <f t="shared" si="1213"/>
        <v>0</v>
      </c>
      <c r="L584" s="2252">
        <f t="shared" si="1213"/>
        <v>0</v>
      </c>
      <c r="M584" s="2255">
        <f t="shared" si="1214"/>
        <v>0</v>
      </c>
      <c r="N584" s="2177"/>
      <c r="O584" s="2177"/>
      <c r="P584" s="2186"/>
      <c r="Q584" s="2177"/>
      <c r="R584" s="2177"/>
      <c r="S584" s="2266"/>
      <c r="T584" s="2251">
        <f t="shared" ref="T584:U639" si="1334">N584+Q584</f>
        <v>0</v>
      </c>
      <c r="U584" s="2252">
        <f t="shared" si="1334"/>
        <v>0</v>
      </c>
      <c r="V584" s="2253">
        <f t="shared" ref="V584:V641" si="1335">U584-T584</f>
        <v>0</v>
      </c>
      <c r="W584" s="2182"/>
      <c r="X584" s="2177"/>
      <c r="Y584" s="2271"/>
      <c r="Z584" s="2254">
        <f t="shared" si="1232"/>
        <v>0</v>
      </c>
      <c r="AA584" s="2252">
        <f t="shared" si="1232"/>
        <v>0</v>
      </c>
      <c r="AB584" s="2255">
        <f t="shared" si="1298"/>
        <v>0</v>
      </c>
      <c r="AC584" s="2177"/>
      <c r="AD584" s="2177"/>
      <c r="AE584" s="2266"/>
      <c r="AF584" s="2277"/>
      <c r="AG584" s="2114"/>
      <c r="AH584" s="2177"/>
      <c r="AI584" s="2177"/>
      <c r="AJ584" s="2186"/>
      <c r="AK584" s="2177"/>
      <c r="AL584" s="2177"/>
      <c r="AM584" s="2186"/>
      <c r="AN584" s="2177"/>
      <c r="AO584" s="2177"/>
      <c r="AP584" s="2186"/>
      <c r="AQ584" s="2177"/>
      <c r="AR584" s="2177"/>
      <c r="AS584" s="2186"/>
      <c r="AT584" s="2177"/>
      <c r="AU584" s="2177"/>
      <c r="AV584" s="2186"/>
      <c r="AW584" s="2177"/>
      <c r="AX584" s="2177"/>
      <c r="AY584" s="2186"/>
      <c r="AZ584" s="2177"/>
      <c r="BA584" s="2177"/>
      <c r="BB584" s="2186"/>
      <c r="BC584" s="2177"/>
      <c r="BD584" s="2177"/>
      <c r="BE584" s="2186"/>
      <c r="BF584" s="2177"/>
      <c r="BG584" s="2177"/>
      <c r="BH584" s="2186"/>
      <c r="BI584" s="2177"/>
      <c r="BJ584" s="2177"/>
      <c r="BK584" s="2186"/>
      <c r="BL584" s="2177"/>
      <c r="BM584" s="2177"/>
      <c r="BN584" s="2186"/>
      <c r="BO584" s="2177"/>
      <c r="BP584" s="2177"/>
      <c r="BQ584" s="2186"/>
    </row>
    <row r="585" spans="3:69" s="2087" customFormat="1" ht="21.6" hidden="1" customHeight="1">
      <c r="C585" s="2285" t="s">
        <v>2740</v>
      </c>
      <c r="D585" s="2286" t="s">
        <v>2606</v>
      </c>
      <c r="E585" s="2284" t="s">
        <v>1833</v>
      </c>
      <c r="F585" s="2176"/>
      <c r="G585" s="2179">
        <f>G586+G587+G588+G589+G590</f>
        <v>0</v>
      </c>
      <c r="H585" s="2179">
        <f>H586+H587+H588+H589+H590</f>
        <v>0</v>
      </c>
      <c r="I585" s="2178">
        <f t="shared" ref="I585" si="1336">H585-G585</f>
        <v>0</v>
      </c>
      <c r="J585" s="2176"/>
      <c r="K585" s="2252">
        <f t="shared" si="1213"/>
        <v>0</v>
      </c>
      <c r="L585" s="2179">
        <f t="shared" si="1213"/>
        <v>0</v>
      </c>
      <c r="M585" s="2178">
        <f t="shared" si="1214"/>
        <v>0</v>
      </c>
      <c r="N585" s="2179">
        <f>N586+N587+N588+N589+N590</f>
        <v>0</v>
      </c>
      <c r="O585" s="2179">
        <f>O586+O587+O588+O589+O590</f>
        <v>0</v>
      </c>
      <c r="P585" s="2178">
        <f t="shared" ref="P585" si="1337">O585-N585</f>
        <v>0</v>
      </c>
      <c r="Q585" s="2179">
        <f>Q586+Q587+Q588+Q589+Q590</f>
        <v>0</v>
      </c>
      <c r="R585" s="2179">
        <f>R586+R587+R588+R589+R590</f>
        <v>0</v>
      </c>
      <c r="S585" s="2180">
        <f t="shared" ref="S585" si="1338">R585-Q585</f>
        <v>0</v>
      </c>
      <c r="T585" s="2181">
        <f t="shared" si="1334"/>
        <v>0</v>
      </c>
      <c r="U585" s="2179">
        <f t="shared" si="1334"/>
        <v>0</v>
      </c>
      <c r="V585" s="2180">
        <f t="shared" si="1335"/>
        <v>0</v>
      </c>
      <c r="W585" s="2187">
        <f>W586+W587+W588+W589+W590</f>
        <v>0</v>
      </c>
      <c r="X585" s="2179">
        <f>X586+X587+X588+X589+X590</f>
        <v>0</v>
      </c>
      <c r="Y585" s="2183">
        <f t="shared" ref="Y585:Y640" si="1339">X585-W585</f>
        <v>0</v>
      </c>
      <c r="Z585" s="2184">
        <f t="shared" si="1232"/>
        <v>0</v>
      </c>
      <c r="AA585" s="2179">
        <f t="shared" si="1232"/>
        <v>0</v>
      </c>
      <c r="AB585" s="2178">
        <f t="shared" si="1298"/>
        <v>0</v>
      </c>
      <c r="AC585" s="2179">
        <f>AC586+AC587+AC588+AC589+AC590</f>
        <v>0</v>
      </c>
      <c r="AD585" s="2179">
        <f>AD586+AD587+AD588+AD589+AD590</f>
        <v>0</v>
      </c>
      <c r="AE585" s="2180">
        <f t="shared" ref="AE585:AE640" si="1340">AD585-AC585</f>
        <v>0</v>
      </c>
      <c r="AF585" s="2277"/>
      <c r="AG585" s="2114"/>
      <c r="AH585" s="2188">
        <f>AH586+AH587+AH588+AH589+AH590</f>
        <v>0</v>
      </c>
      <c r="AI585" s="2188">
        <f>AI586+AI587+AI588+AI589+AI590</f>
        <v>0</v>
      </c>
      <c r="AJ585" s="2186">
        <f t="shared" ref="AJ585:AJ589" si="1341">AI585-AH585</f>
        <v>0</v>
      </c>
      <c r="AK585" s="2188">
        <f>AK586+AK587+AK588+AK589+AK590</f>
        <v>0</v>
      </c>
      <c r="AL585" s="2188">
        <f>AL586+AL587+AL588+AL589+AL590</f>
        <v>0</v>
      </c>
      <c r="AM585" s="2186">
        <f t="shared" ref="AM585:AM589" si="1342">AL585-AK585</f>
        <v>0</v>
      </c>
      <c r="AN585" s="2188">
        <f>AN586+AN587+AN588+AN589+AN590</f>
        <v>0</v>
      </c>
      <c r="AO585" s="2188">
        <f>AO586+AO587+AO588+AO589+AO590</f>
        <v>0</v>
      </c>
      <c r="AP585" s="2186">
        <f t="shared" ref="AP585:AP589" si="1343">AO585-AN585</f>
        <v>0</v>
      </c>
      <c r="AQ585" s="2188">
        <f>AQ586+AQ587+AQ588+AQ589+AQ590</f>
        <v>0</v>
      </c>
      <c r="AR585" s="2188">
        <f>AR586+AR587+AR588+AR589+AR590</f>
        <v>0</v>
      </c>
      <c r="AS585" s="2186">
        <f t="shared" ref="AS585:AS589" si="1344">AR585-AQ585</f>
        <v>0</v>
      </c>
      <c r="AT585" s="2188">
        <f>AT586+AT587+AT588+AT589+AT590</f>
        <v>0</v>
      </c>
      <c r="AU585" s="2188">
        <f>AU586+AU587+AU588+AU589+AU590</f>
        <v>0</v>
      </c>
      <c r="AV585" s="2186">
        <f t="shared" ref="AV585:AV589" si="1345">AU585-AT585</f>
        <v>0</v>
      </c>
      <c r="AW585" s="2188">
        <f>AW586+AW587+AW588+AW589+AW590</f>
        <v>0</v>
      </c>
      <c r="AX585" s="2188">
        <f>AX586+AX587+AX588+AX589+AX590</f>
        <v>0</v>
      </c>
      <c r="AY585" s="2186">
        <f t="shared" ref="AY585:AY589" si="1346">AX585-AW585</f>
        <v>0</v>
      </c>
      <c r="AZ585" s="2188">
        <f>AZ586+AZ587+AZ588+AZ589+AZ590</f>
        <v>0</v>
      </c>
      <c r="BA585" s="2188">
        <f>BA586+BA587+BA588+BA589+BA590</f>
        <v>0</v>
      </c>
      <c r="BB585" s="2186">
        <f t="shared" ref="BB585:BB589" si="1347">BA585-AZ585</f>
        <v>0</v>
      </c>
      <c r="BC585" s="2188">
        <f>BC586+BC587+BC588+BC589+BC590</f>
        <v>0</v>
      </c>
      <c r="BD585" s="2188">
        <f>BD586+BD587+BD588+BD589+BD590</f>
        <v>0</v>
      </c>
      <c r="BE585" s="2186">
        <f t="shared" ref="BE585:BE589" si="1348">BD585-BC585</f>
        <v>0</v>
      </c>
      <c r="BF585" s="2188">
        <f>BF586+BF587+BF588+BF589+BF590</f>
        <v>0</v>
      </c>
      <c r="BG585" s="2188">
        <f>BG586+BG587+BG588+BG589+BG590</f>
        <v>0</v>
      </c>
      <c r="BH585" s="2186">
        <f t="shared" ref="BH585:BH589" si="1349">BG585-BF585</f>
        <v>0</v>
      </c>
      <c r="BI585" s="2188">
        <f>BI586+BI587+BI588+BI589+BI590</f>
        <v>0</v>
      </c>
      <c r="BJ585" s="2188">
        <f>BJ586+BJ587+BJ588+BJ589+BJ590</f>
        <v>0</v>
      </c>
      <c r="BK585" s="2186">
        <f t="shared" ref="BK585:BK589" si="1350">BJ585-BI585</f>
        <v>0</v>
      </c>
      <c r="BL585" s="2188">
        <f>BL586+BL587+BL588+BL589+BL590</f>
        <v>0</v>
      </c>
      <c r="BM585" s="2188">
        <f>BM586+BM587+BM588+BM589+BM590</f>
        <v>0</v>
      </c>
      <c r="BN585" s="2186">
        <f t="shared" ref="BN585:BN589" si="1351">BM585-BL585</f>
        <v>0</v>
      </c>
      <c r="BO585" s="2188">
        <f>BO586+BO587+BO588+BO589+BO590</f>
        <v>0</v>
      </c>
      <c r="BP585" s="2188">
        <f>BP586+BP587+BP588+BP589+BP590</f>
        <v>0</v>
      </c>
      <c r="BQ585" s="2186">
        <f t="shared" ref="BQ585:BQ589" si="1352">BP585-BO585</f>
        <v>0</v>
      </c>
    </row>
    <row r="586" spans="3:69" s="2087" customFormat="1" ht="21.6" hidden="1" customHeight="1">
      <c r="C586" s="2194" t="s">
        <v>2741</v>
      </c>
      <c r="D586" s="2283" t="s">
        <v>2221</v>
      </c>
      <c r="E586" s="2284" t="s">
        <v>1833</v>
      </c>
      <c r="F586" s="2176"/>
      <c r="G586" s="2177"/>
      <c r="H586" s="2177"/>
      <c r="I586" s="2178">
        <f t="shared" si="1316"/>
        <v>0</v>
      </c>
      <c r="J586" s="2176"/>
      <c r="K586" s="2252">
        <f t="shared" si="1213"/>
        <v>0</v>
      </c>
      <c r="L586" s="2252">
        <f t="shared" si="1213"/>
        <v>0</v>
      </c>
      <c r="M586" s="2255">
        <f t="shared" si="1214"/>
        <v>0</v>
      </c>
      <c r="N586" s="2179">
        <f>N246*$N$376</f>
        <v>0</v>
      </c>
      <c r="O586" s="2179">
        <f>O246*$O$376</f>
        <v>0</v>
      </c>
      <c r="P586" s="2178">
        <f t="shared" si="1317"/>
        <v>0</v>
      </c>
      <c r="Q586" s="2184">
        <f>Q246*$Q$376</f>
        <v>0</v>
      </c>
      <c r="R586" s="2179">
        <f>R246*$R$376</f>
        <v>0</v>
      </c>
      <c r="S586" s="2180">
        <f t="shared" si="1318"/>
        <v>0</v>
      </c>
      <c r="T586" s="2251">
        <f t="shared" si="1334"/>
        <v>0</v>
      </c>
      <c r="U586" s="2252">
        <f t="shared" si="1334"/>
        <v>0</v>
      </c>
      <c r="V586" s="2253">
        <f t="shared" si="1335"/>
        <v>0</v>
      </c>
      <c r="W586" s="2187">
        <f>W246*$W$376</f>
        <v>0</v>
      </c>
      <c r="X586" s="2179">
        <f>X246*$X$376</f>
        <v>0</v>
      </c>
      <c r="Y586" s="2183">
        <f t="shared" si="1339"/>
        <v>0</v>
      </c>
      <c r="Z586" s="2254">
        <f t="shared" si="1232"/>
        <v>0</v>
      </c>
      <c r="AA586" s="2252">
        <f t="shared" si="1232"/>
        <v>0</v>
      </c>
      <c r="AB586" s="2255">
        <f t="shared" si="1298"/>
        <v>0</v>
      </c>
      <c r="AC586" s="2184">
        <f>AC246*$AC$376</f>
        <v>0</v>
      </c>
      <c r="AD586" s="2179">
        <f>AD246*$AD$376</f>
        <v>0</v>
      </c>
      <c r="AE586" s="2180">
        <f t="shared" si="1340"/>
        <v>0</v>
      </c>
      <c r="AF586" s="2277"/>
      <c r="AG586" s="2114"/>
      <c r="AH586" s="2188">
        <f>AH246*$N$376</f>
        <v>0</v>
      </c>
      <c r="AI586" s="2188">
        <f>AI246*$O$376</f>
        <v>0</v>
      </c>
      <c r="AJ586" s="2186">
        <f t="shared" si="1341"/>
        <v>0</v>
      </c>
      <c r="AK586" s="2188">
        <f>AK246*$N$376</f>
        <v>0</v>
      </c>
      <c r="AL586" s="2188">
        <f>AL246*$O$376</f>
        <v>0</v>
      </c>
      <c r="AM586" s="2186">
        <f t="shared" si="1342"/>
        <v>0</v>
      </c>
      <c r="AN586" s="2188">
        <f>AN246*$N$376</f>
        <v>0</v>
      </c>
      <c r="AO586" s="2188">
        <f>AO246*$O$376</f>
        <v>0</v>
      </c>
      <c r="AP586" s="2186">
        <f t="shared" si="1343"/>
        <v>0</v>
      </c>
      <c r="AQ586" s="2188">
        <f>AQ246*$N$376</f>
        <v>0</v>
      </c>
      <c r="AR586" s="2188">
        <f>AR246*$O$376</f>
        <v>0</v>
      </c>
      <c r="AS586" s="2186">
        <f t="shared" si="1344"/>
        <v>0</v>
      </c>
      <c r="AT586" s="2188">
        <f>AT246*$N$376</f>
        <v>0</v>
      </c>
      <c r="AU586" s="2188">
        <f>AU246*$O$376</f>
        <v>0</v>
      </c>
      <c r="AV586" s="2186">
        <f t="shared" si="1345"/>
        <v>0</v>
      </c>
      <c r="AW586" s="2188">
        <f>AW246*$N$376</f>
        <v>0</v>
      </c>
      <c r="AX586" s="2188">
        <f>AX246*$O$376</f>
        <v>0</v>
      </c>
      <c r="AY586" s="2186">
        <f t="shared" si="1346"/>
        <v>0</v>
      </c>
      <c r="AZ586" s="2188">
        <f>AZ246*$N$376</f>
        <v>0</v>
      </c>
      <c r="BA586" s="2188">
        <f>BA246*$O$376</f>
        <v>0</v>
      </c>
      <c r="BB586" s="2186">
        <f t="shared" si="1347"/>
        <v>0</v>
      </c>
      <c r="BC586" s="2188">
        <f>BC246*$N$376</f>
        <v>0</v>
      </c>
      <c r="BD586" s="2188">
        <f>BD246*$O$376</f>
        <v>0</v>
      </c>
      <c r="BE586" s="2186">
        <f t="shared" si="1348"/>
        <v>0</v>
      </c>
      <c r="BF586" s="2188">
        <f>BF246*$N$376</f>
        <v>0</v>
      </c>
      <c r="BG586" s="2188">
        <f>BG246*$O$376</f>
        <v>0</v>
      </c>
      <c r="BH586" s="2186">
        <f t="shared" si="1349"/>
        <v>0</v>
      </c>
      <c r="BI586" s="2188">
        <f>BI246*$N$376</f>
        <v>0</v>
      </c>
      <c r="BJ586" s="2188">
        <f>BJ246*$O$376</f>
        <v>0</v>
      </c>
      <c r="BK586" s="2186">
        <f t="shared" si="1350"/>
        <v>0</v>
      </c>
      <c r="BL586" s="2188">
        <f>BL246*$N$376</f>
        <v>0</v>
      </c>
      <c r="BM586" s="2188">
        <f>BM246*$O$376</f>
        <v>0</v>
      </c>
      <c r="BN586" s="2186">
        <f t="shared" si="1351"/>
        <v>0</v>
      </c>
      <c r="BO586" s="2188">
        <f>BO246*$N$376</f>
        <v>0</v>
      </c>
      <c r="BP586" s="2188">
        <f>BP246*$O$376</f>
        <v>0</v>
      </c>
      <c r="BQ586" s="2186">
        <f t="shared" si="1352"/>
        <v>0</v>
      </c>
    </row>
    <row r="587" spans="3:69" s="2087" customFormat="1" ht="21.6" hidden="1" customHeight="1">
      <c r="C587" s="2194" t="s">
        <v>2742</v>
      </c>
      <c r="D587" s="2283" t="s">
        <v>2223</v>
      </c>
      <c r="E587" s="2284" t="s">
        <v>1833</v>
      </c>
      <c r="F587" s="2176"/>
      <c r="G587" s="2177"/>
      <c r="H587" s="2177"/>
      <c r="I587" s="2178">
        <f t="shared" si="1316"/>
        <v>0</v>
      </c>
      <c r="J587" s="2176"/>
      <c r="K587" s="2252">
        <f t="shared" si="1213"/>
        <v>0</v>
      </c>
      <c r="L587" s="2252">
        <f t="shared" si="1213"/>
        <v>0</v>
      </c>
      <c r="M587" s="2255">
        <f t="shared" si="1214"/>
        <v>0</v>
      </c>
      <c r="N587" s="2179">
        <f>N247*$N$377</f>
        <v>0</v>
      </c>
      <c r="O587" s="2179">
        <f>O247*$O$377</f>
        <v>0</v>
      </c>
      <c r="P587" s="2178">
        <f t="shared" si="1317"/>
        <v>0</v>
      </c>
      <c r="Q587" s="2184">
        <f>Q247*$Q$377</f>
        <v>0</v>
      </c>
      <c r="R587" s="2179">
        <f>R247*$R$377</f>
        <v>0</v>
      </c>
      <c r="S587" s="2180">
        <f t="shared" si="1318"/>
        <v>0</v>
      </c>
      <c r="T587" s="2251">
        <f t="shared" si="1334"/>
        <v>0</v>
      </c>
      <c r="U587" s="2252">
        <f t="shared" si="1334"/>
        <v>0</v>
      </c>
      <c r="V587" s="2253">
        <f t="shared" si="1335"/>
        <v>0</v>
      </c>
      <c r="W587" s="2187">
        <f>W247*$W$377</f>
        <v>0</v>
      </c>
      <c r="X587" s="2179">
        <f>X247*$X$377</f>
        <v>0</v>
      </c>
      <c r="Y587" s="2183">
        <f t="shared" si="1339"/>
        <v>0</v>
      </c>
      <c r="Z587" s="2254">
        <f t="shared" si="1232"/>
        <v>0</v>
      </c>
      <c r="AA587" s="2252">
        <f t="shared" si="1232"/>
        <v>0</v>
      </c>
      <c r="AB587" s="2255">
        <f t="shared" si="1298"/>
        <v>0</v>
      </c>
      <c r="AC587" s="2184">
        <f>AC247*$AC$377</f>
        <v>0</v>
      </c>
      <c r="AD587" s="2179">
        <f>AD247*$AD$377</f>
        <v>0</v>
      </c>
      <c r="AE587" s="2180">
        <f t="shared" si="1340"/>
        <v>0</v>
      </c>
      <c r="AF587" s="2277"/>
      <c r="AG587" s="2114"/>
      <c r="AH587" s="2188">
        <f>AH247*$N$377</f>
        <v>0</v>
      </c>
      <c r="AI587" s="2188">
        <f>AI247*$O$377</f>
        <v>0</v>
      </c>
      <c r="AJ587" s="2186">
        <f t="shared" si="1341"/>
        <v>0</v>
      </c>
      <c r="AK587" s="2188">
        <f>AK247*$N$377</f>
        <v>0</v>
      </c>
      <c r="AL587" s="2188">
        <f>AL247*$O$377</f>
        <v>0</v>
      </c>
      <c r="AM587" s="2186">
        <f t="shared" si="1342"/>
        <v>0</v>
      </c>
      <c r="AN587" s="2188">
        <f>AN247*$N$377</f>
        <v>0</v>
      </c>
      <c r="AO587" s="2188">
        <f>AO247*$O$377</f>
        <v>0</v>
      </c>
      <c r="AP587" s="2186">
        <f t="shared" si="1343"/>
        <v>0</v>
      </c>
      <c r="AQ587" s="2188">
        <f>AQ247*$N$377</f>
        <v>0</v>
      </c>
      <c r="AR587" s="2188">
        <f>AR247*$O$377</f>
        <v>0</v>
      </c>
      <c r="AS587" s="2186">
        <f t="shared" si="1344"/>
        <v>0</v>
      </c>
      <c r="AT587" s="2188">
        <f>AT247*$N$377</f>
        <v>0</v>
      </c>
      <c r="AU587" s="2188">
        <f>AU247*$O$377</f>
        <v>0</v>
      </c>
      <c r="AV587" s="2186">
        <f t="shared" si="1345"/>
        <v>0</v>
      </c>
      <c r="AW587" s="2188">
        <f>AW247*$N$377</f>
        <v>0</v>
      </c>
      <c r="AX587" s="2188">
        <f>AX247*$O$377</f>
        <v>0</v>
      </c>
      <c r="AY587" s="2186">
        <f t="shared" si="1346"/>
        <v>0</v>
      </c>
      <c r="AZ587" s="2188">
        <f>AZ247*$N$377</f>
        <v>0</v>
      </c>
      <c r="BA587" s="2188">
        <f>BA247*$O$377</f>
        <v>0</v>
      </c>
      <c r="BB587" s="2186">
        <f t="shared" si="1347"/>
        <v>0</v>
      </c>
      <c r="BC587" s="2188">
        <f>BC247*$N$377</f>
        <v>0</v>
      </c>
      <c r="BD587" s="2188">
        <f>BD247*$O$377</f>
        <v>0</v>
      </c>
      <c r="BE587" s="2186">
        <f t="shared" si="1348"/>
        <v>0</v>
      </c>
      <c r="BF587" s="2188">
        <f>BF247*$N$377</f>
        <v>0</v>
      </c>
      <c r="BG587" s="2188">
        <f>BG247*$O$377</f>
        <v>0</v>
      </c>
      <c r="BH587" s="2186">
        <f t="shared" si="1349"/>
        <v>0</v>
      </c>
      <c r="BI587" s="2188">
        <f>BI247*$N$377</f>
        <v>0</v>
      </c>
      <c r="BJ587" s="2188">
        <f>BJ247*$O$377</f>
        <v>0</v>
      </c>
      <c r="BK587" s="2186">
        <f t="shared" si="1350"/>
        <v>0</v>
      </c>
      <c r="BL587" s="2188">
        <f>BL247*$N$377</f>
        <v>0</v>
      </c>
      <c r="BM587" s="2188">
        <f>BM247*$O$377</f>
        <v>0</v>
      </c>
      <c r="BN587" s="2186">
        <f t="shared" si="1351"/>
        <v>0</v>
      </c>
      <c r="BO587" s="2188">
        <f>BO247*$N$377</f>
        <v>0</v>
      </c>
      <c r="BP587" s="2188">
        <f>BP247*$O$377</f>
        <v>0</v>
      </c>
      <c r="BQ587" s="2186">
        <f t="shared" si="1352"/>
        <v>0</v>
      </c>
    </row>
    <row r="588" spans="3:69" s="2087" customFormat="1" ht="21.6" hidden="1" customHeight="1">
      <c r="C588" s="2194" t="s">
        <v>2743</v>
      </c>
      <c r="D588" s="2283" t="s">
        <v>2225</v>
      </c>
      <c r="E588" s="2284" t="s">
        <v>1833</v>
      </c>
      <c r="F588" s="2176"/>
      <c r="G588" s="2177"/>
      <c r="H588" s="2177"/>
      <c r="I588" s="2178">
        <f t="shared" si="1316"/>
        <v>0</v>
      </c>
      <c r="J588" s="2176"/>
      <c r="K588" s="2252">
        <f t="shared" si="1213"/>
        <v>0</v>
      </c>
      <c r="L588" s="2252">
        <f t="shared" si="1213"/>
        <v>0</v>
      </c>
      <c r="M588" s="2255">
        <f t="shared" si="1214"/>
        <v>0</v>
      </c>
      <c r="N588" s="2179">
        <f>N248*$N$378</f>
        <v>0</v>
      </c>
      <c r="O588" s="2179">
        <f>O248*$O$378</f>
        <v>0</v>
      </c>
      <c r="P588" s="2178">
        <f t="shared" si="1317"/>
        <v>0</v>
      </c>
      <c r="Q588" s="2184">
        <f>Q248*$Q$378</f>
        <v>0</v>
      </c>
      <c r="R588" s="2179">
        <f>R248*$R$378</f>
        <v>0</v>
      </c>
      <c r="S588" s="2180">
        <f t="shared" si="1318"/>
        <v>0</v>
      </c>
      <c r="T588" s="2251">
        <f t="shared" si="1334"/>
        <v>0</v>
      </c>
      <c r="U588" s="2252">
        <f t="shared" si="1334"/>
        <v>0</v>
      </c>
      <c r="V588" s="2253">
        <f t="shared" si="1335"/>
        <v>0</v>
      </c>
      <c r="W588" s="2187">
        <f>W248*$W$378</f>
        <v>0</v>
      </c>
      <c r="X588" s="2179">
        <f>X248*$X$378</f>
        <v>0</v>
      </c>
      <c r="Y588" s="2183">
        <f t="shared" si="1339"/>
        <v>0</v>
      </c>
      <c r="Z588" s="2254">
        <f t="shared" si="1232"/>
        <v>0</v>
      </c>
      <c r="AA588" s="2252">
        <f t="shared" si="1232"/>
        <v>0</v>
      </c>
      <c r="AB588" s="2255">
        <f t="shared" si="1298"/>
        <v>0</v>
      </c>
      <c r="AC588" s="2184">
        <f>AC248*$AC$378</f>
        <v>0</v>
      </c>
      <c r="AD588" s="2179">
        <f>AD248*$AD$378</f>
        <v>0</v>
      </c>
      <c r="AE588" s="2180">
        <f t="shared" si="1340"/>
        <v>0</v>
      </c>
      <c r="AF588" s="2277"/>
      <c r="AG588" s="2114"/>
      <c r="AH588" s="2188">
        <f>AH248*$N$378</f>
        <v>0</v>
      </c>
      <c r="AI588" s="2188">
        <f>AI248*$O$378</f>
        <v>0</v>
      </c>
      <c r="AJ588" s="2186">
        <f t="shared" si="1341"/>
        <v>0</v>
      </c>
      <c r="AK588" s="2188">
        <f>AK248*$N$378</f>
        <v>0</v>
      </c>
      <c r="AL588" s="2188">
        <f>AL248*$O$378</f>
        <v>0</v>
      </c>
      <c r="AM588" s="2186">
        <f t="shared" si="1342"/>
        <v>0</v>
      </c>
      <c r="AN588" s="2188">
        <f>AN248*$N$378</f>
        <v>0</v>
      </c>
      <c r="AO588" s="2188">
        <f>AO248*$O$378</f>
        <v>0</v>
      </c>
      <c r="AP588" s="2186">
        <f t="shared" si="1343"/>
        <v>0</v>
      </c>
      <c r="AQ588" s="2188">
        <f>AQ248*$N$378</f>
        <v>0</v>
      </c>
      <c r="AR588" s="2188">
        <f>AR248*$O$378</f>
        <v>0</v>
      </c>
      <c r="AS588" s="2186">
        <f t="shared" si="1344"/>
        <v>0</v>
      </c>
      <c r="AT588" s="2188">
        <f>AT248*$N$378</f>
        <v>0</v>
      </c>
      <c r="AU588" s="2188">
        <f>AU248*$O$378</f>
        <v>0</v>
      </c>
      <c r="AV588" s="2186">
        <f t="shared" si="1345"/>
        <v>0</v>
      </c>
      <c r="AW588" s="2188">
        <f>AW248*$N$378</f>
        <v>0</v>
      </c>
      <c r="AX588" s="2188">
        <f>AX248*$O$378</f>
        <v>0</v>
      </c>
      <c r="AY588" s="2186">
        <f t="shared" si="1346"/>
        <v>0</v>
      </c>
      <c r="AZ588" s="2188">
        <f>AZ248*$N$378</f>
        <v>0</v>
      </c>
      <c r="BA588" s="2188">
        <f>BA248*$O$378</f>
        <v>0</v>
      </c>
      <c r="BB588" s="2186">
        <f t="shared" si="1347"/>
        <v>0</v>
      </c>
      <c r="BC588" s="2188">
        <f>BC248*$N$378</f>
        <v>0</v>
      </c>
      <c r="BD588" s="2188">
        <f>BD248*$O$378</f>
        <v>0</v>
      </c>
      <c r="BE588" s="2186">
        <f t="shared" si="1348"/>
        <v>0</v>
      </c>
      <c r="BF588" s="2188">
        <f>BF248*$N$378</f>
        <v>0</v>
      </c>
      <c r="BG588" s="2188">
        <f>BG248*$O$378</f>
        <v>0</v>
      </c>
      <c r="BH588" s="2186">
        <f t="shared" si="1349"/>
        <v>0</v>
      </c>
      <c r="BI588" s="2188">
        <f>BI248*$N$378</f>
        <v>0</v>
      </c>
      <c r="BJ588" s="2188">
        <f>BJ248*$O$378</f>
        <v>0</v>
      </c>
      <c r="BK588" s="2186">
        <f t="shared" si="1350"/>
        <v>0</v>
      </c>
      <c r="BL588" s="2188">
        <f>BL248*$N$378</f>
        <v>0</v>
      </c>
      <c r="BM588" s="2188">
        <f>BM248*$O$378</f>
        <v>0</v>
      </c>
      <c r="BN588" s="2186">
        <f t="shared" si="1351"/>
        <v>0</v>
      </c>
      <c r="BO588" s="2188">
        <f>BO248*$N$378</f>
        <v>0</v>
      </c>
      <c r="BP588" s="2188">
        <f>BP248*$O$378</f>
        <v>0</v>
      </c>
      <c r="BQ588" s="2186">
        <f t="shared" si="1352"/>
        <v>0</v>
      </c>
    </row>
    <row r="589" spans="3:69" s="2087" customFormat="1" ht="21.6" hidden="1" customHeight="1">
      <c r="C589" s="2194" t="s">
        <v>2744</v>
      </c>
      <c r="D589" s="2283" t="s">
        <v>2227</v>
      </c>
      <c r="E589" s="2284" t="s">
        <v>1833</v>
      </c>
      <c r="F589" s="2176"/>
      <c r="G589" s="2177"/>
      <c r="H589" s="2177"/>
      <c r="I589" s="2178">
        <f t="shared" si="1316"/>
        <v>0</v>
      </c>
      <c r="J589" s="2176"/>
      <c r="K589" s="2252">
        <f t="shared" si="1213"/>
        <v>0</v>
      </c>
      <c r="L589" s="2252">
        <f t="shared" si="1213"/>
        <v>0</v>
      </c>
      <c r="M589" s="2255">
        <f t="shared" si="1214"/>
        <v>0</v>
      </c>
      <c r="N589" s="2179">
        <f>N249*$N$379</f>
        <v>0</v>
      </c>
      <c r="O589" s="2179">
        <f>O249*$O$379</f>
        <v>0</v>
      </c>
      <c r="P589" s="2178">
        <f t="shared" si="1317"/>
        <v>0</v>
      </c>
      <c r="Q589" s="2184">
        <f>Q249*$Q$379</f>
        <v>0</v>
      </c>
      <c r="R589" s="2179">
        <f>R249*$R$379</f>
        <v>0</v>
      </c>
      <c r="S589" s="2180">
        <f t="shared" si="1318"/>
        <v>0</v>
      </c>
      <c r="T589" s="2251">
        <f t="shared" si="1334"/>
        <v>0</v>
      </c>
      <c r="U589" s="2252">
        <f t="shared" si="1334"/>
        <v>0</v>
      </c>
      <c r="V589" s="2253">
        <f t="shared" si="1335"/>
        <v>0</v>
      </c>
      <c r="W589" s="2187">
        <f>W249*$W$379</f>
        <v>0</v>
      </c>
      <c r="X589" s="2179">
        <f>X249*$X$379</f>
        <v>0</v>
      </c>
      <c r="Y589" s="2183">
        <f t="shared" si="1339"/>
        <v>0</v>
      </c>
      <c r="Z589" s="2254">
        <f t="shared" si="1232"/>
        <v>0</v>
      </c>
      <c r="AA589" s="2252">
        <f t="shared" si="1232"/>
        <v>0</v>
      </c>
      <c r="AB589" s="2255">
        <f t="shared" si="1298"/>
        <v>0</v>
      </c>
      <c r="AC589" s="2184">
        <f>AC249*$AC$379</f>
        <v>0</v>
      </c>
      <c r="AD589" s="2179">
        <f>AD249*$AD$379</f>
        <v>0</v>
      </c>
      <c r="AE589" s="2180">
        <f t="shared" si="1340"/>
        <v>0</v>
      </c>
      <c r="AF589" s="2277"/>
      <c r="AG589" s="2114"/>
      <c r="AH589" s="2188">
        <f>AH249*$N$379</f>
        <v>0</v>
      </c>
      <c r="AI589" s="2188">
        <f>AI249*$O$379</f>
        <v>0</v>
      </c>
      <c r="AJ589" s="2186">
        <f t="shared" si="1341"/>
        <v>0</v>
      </c>
      <c r="AK589" s="2188">
        <f>AK249*$N$379</f>
        <v>0</v>
      </c>
      <c r="AL589" s="2188">
        <f>AL249*$O$379</f>
        <v>0</v>
      </c>
      <c r="AM589" s="2186">
        <f t="shared" si="1342"/>
        <v>0</v>
      </c>
      <c r="AN589" s="2188">
        <f>AN249*$N$379</f>
        <v>0</v>
      </c>
      <c r="AO589" s="2188">
        <f>AO249*$O$379</f>
        <v>0</v>
      </c>
      <c r="AP589" s="2186">
        <f t="shared" si="1343"/>
        <v>0</v>
      </c>
      <c r="AQ589" s="2188">
        <f>AQ249*$N$379</f>
        <v>0</v>
      </c>
      <c r="AR589" s="2188">
        <f>AR249*$O$379</f>
        <v>0</v>
      </c>
      <c r="AS589" s="2186">
        <f t="shared" si="1344"/>
        <v>0</v>
      </c>
      <c r="AT589" s="2188">
        <f>AT249*$N$379</f>
        <v>0</v>
      </c>
      <c r="AU589" s="2188">
        <f>AU249*$O$379</f>
        <v>0</v>
      </c>
      <c r="AV589" s="2186">
        <f t="shared" si="1345"/>
        <v>0</v>
      </c>
      <c r="AW589" s="2188">
        <f>AW249*$N$379</f>
        <v>0</v>
      </c>
      <c r="AX589" s="2188">
        <f>AX249*$O$379</f>
        <v>0</v>
      </c>
      <c r="AY589" s="2186">
        <f t="shared" si="1346"/>
        <v>0</v>
      </c>
      <c r="AZ589" s="2188">
        <f>AZ249*$N$379</f>
        <v>0</v>
      </c>
      <c r="BA589" s="2188">
        <f>BA249*$O$379</f>
        <v>0</v>
      </c>
      <c r="BB589" s="2186">
        <f t="shared" si="1347"/>
        <v>0</v>
      </c>
      <c r="BC589" s="2188">
        <f>BC249*$N$379</f>
        <v>0</v>
      </c>
      <c r="BD589" s="2188">
        <f>BD249*$O$379</f>
        <v>0</v>
      </c>
      <c r="BE589" s="2186">
        <f t="shared" si="1348"/>
        <v>0</v>
      </c>
      <c r="BF589" s="2188">
        <f>BF249*$N$379</f>
        <v>0</v>
      </c>
      <c r="BG589" s="2188">
        <f>BG249*$O$379</f>
        <v>0</v>
      </c>
      <c r="BH589" s="2186">
        <f t="shared" si="1349"/>
        <v>0</v>
      </c>
      <c r="BI589" s="2188">
        <f>BI249*$N$379</f>
        <v>0</v>
      </c>
      <c r="BJ589" s="2188">
        <f>BJ249*$O$379</f>
        <v>0</v>
      </c>
      <c r="BK589" s="2186">
        <f t="shared" si="1350"/>
        <v>0</v>
      </c>
      <c r="BL589" s="2188">
        <f>BL249*$N$379</f>
        <v>0</v>
      </c>
      <c r="BM589" s="2188">
        <f>BM249*$O$379</f>
        <v>0</v>
      </c>
      <c r="BN589" s="2186">
        <f t="shared" si="1351"/>
        <v>0</v>
      </c>
      <c r="BO589" s="2188">
        <f>BO249*$N$379</f>
        <v>0</v>
      </c>
      <c r="BP589" s="2188">
        <f>BP249*$O$379</f>
        <v>0</v>
      </c>
      <c r="BQ589" s="2186">
        <f t="shared" si="1352"/>
        <v>0</v>
      </c>
    </row>
    <row r="590" spans="3:69" s="2087" customFormat="1" ht="21.6" hidden="1" customHeight="1">
      <c r="C590" s="2194" t="s">
        <v>2745</v>
      </c>
      <c r="D590" s="2283" t="s">
        <v>2229</v>
      </c>
      <c r="E590" s="2284" t="s">
        <v>1833</v>
      </c>
      <c r="F590" s="2176"/>
      <c r="G590" s="2177"/>
      <c r="H590" s="2177"/>
      <c r="I590" s="2186"/>
      <c r="J590" s="2176"/>
      <c r="K590" s="2252">
        <f t="shared" si="1213"/>
        <v>0</v>
      </c>
      <c r="L590" s="2252">
        <f t="shared" si="1213"/>
        <v>0</v>
      </c>
      <c r="M590" s="2255">
        <f t="shared" si="1214"/>
        <v>0</v>
      </c>
      <c r="N590" s="2177"/>
      <c r="O590" s="2177"/>
      <c r="P590" s="2186"/>
      <c r="Q590" s="2177"/>
      <c r="R590" s="2177"/>
      <c r="S590" s="2266"/>
      <c r="T590" s="2251">
        <f t="shared" si="1334"/>
        <v>0</v>
      </c>
      <c r="U590" s="2252">
        <f t="shared" si="1334"/>
        <v>0</v>
      </c>
      <c r="V590" s="2253">
        <f t="shared" si="1335"/>
        <v>0</v>
      </c>
      <c r="W590" s="2182"/>
      <c r="X590" s="2177"/>
      <c r="Y590" s="2271"/>
      <c r="Z590" s="2254">
        <f t="shared" si="1232"/>
        <v>0</v>
      </c>
      <c r="AA590" s="2252">
        <f t="shared" si="1232"/>
        <v>0</v>
      </c>
      <c r="AB590" s="2255">
        <f t="shared" si="1298"/>
        <v>0</v>
      </c>
      <c r="AC590" s="2177"/>
      <c r="AD590" s="2177"/>
      <c r="AE590" s="2266"/>
      <c r="AF590" s="2277"/>
      <c r="AG590" s="2114"/>
      <c r="AH590" s="2177"/>
      <c r="AI590" s="2177"/>
      <c r="AJ590" s="2186"/>
      <c r="AK590" s="2177"/>
      <c r="AL590" s="2177"/>
      <c r="AM590" s="2186"/>
      <c r="AN590" s="2177"/>
      <c r="AO590" s="2177"/>
      <c r="AP590" s="2186"/>
      <c r="AQ590" s="2177"/>
      <c r="AR590" s="2177"/>
      <c r="AS590" s="2186"/>
      <c r="AT590" s="2177"/>
      <c r="AU590" s="2177"/>
      <c r="AV590" s="2186"/>
      <c r="AW590" s="2177"/>
      <c r="AX590" s="2177"/>
      <c r="AY590" s="2186"/>
      <c r="AZ590" s="2177"/>
      <c r="BA590" s="2177"/>
      <c r="BB590" s="2186"/>
      <c r="BC590" s="2177"/>
      <c r="BD590" s="2177"/>
      <c r="BE590" s="2186"/>
      <c r="BF590" s="2177"/>
      <c r="BG590" s="2177"/>
      <c r="BH590" s="2186"/>
      <c r="BI590" s="2177"/>
      <c r="BJ590" s="2177"/>
      <c r="BK590" s="2186"/>
      <c r="BL590" s="2177"/>
      <c r="BM590" s="2177"/>
      <c r="BN590" s="2186"/>
      <c r="BO590" s="2177"/>
      <c r="BP590" s="2177"/>
      <c r="BQ590" s="2186"/>
    </row>
    <row r="591" spans="3:69" s="2087" customFormat="1" ht="21.6" hidden="1" customHeight="1">
      <c r="C591" s="2285" t="s">
        <v>2746</v>
      </c>
      <c r="D591" s="2287" t="s">
        <v>2238</v>
      </c>
      <c r="E591" s="2284" t="s">
        <v>1833</v>
      </c>
      <c r="F591" s="2176"/>
      <c r="G591" s="2179">
        <f>G592+G593+G594+G595+G596</f>
        <v>0</v>
      </c>
      <c r="H591" s="2179">
        <f>H592+H593+H594+H595+H596</f>
        <v>0</v>
      </c>
      <c r="I591" s="2178">
        <f t="shared" ref="I591" si="1353">H591-G591</f>
        <v>0</v>
      </c>
      <c r="J591" s="2176"/>
      <c r="K591" s="2252">
        <f t="shared" si="1213"/>
        <v>0</v>
      </c>
      <c r="L591" s="2179">
        <f t="shared" si="1213"/>
        <v>0</v>
      </c>
      <c r="M591" s="2178">
        <f t="shared" si="1214"/>
        <v>0</v>
      </c>
      <c r="N591" s="2179">
        <f>N592+N593+N594+N595+N596</f>
        <v>0</v>
      </c>
      <c r="O591" s="2179">
        <f>O592+O593+O594+O595+O596</f>
        <v>0</v>
      </c>
      <c r="P591" s="2178">
        <f t="shared" ref="P591" si="1354">O591-N591</f>
        <v>0</v>
      </c>
      <c r="Q591" s="2179">
        <f>Q592+Q593+Q594+Q595+Q596</f>
        <v>0</v>
      </c>
      <c r="R591" s="2179">
        <f>R592+R593+R594+R595+R596</f>
        <v>0</v>
      </c>
      <c r="S591" s="2180">
        <f t="shared" ref="S591" si="1355">R591-Q591</f>
        <v>0</v>
      </c>
      <c r="T591" s="2181">
        <f t="shared" si="1334"/>
        <v>0</v>
      </c>
      <c r="U591" s="2179">
        <f t="shared" si="1334"/>
        <v>0</v>
      </c>
      <c r="V591" s="2180">
        <f t="shared" si="1335"/>
        <v>0</v>
      </c>
      <c r="W591" s="2187">
        <f>W592+W593+W594+W595+W596</f>
        <v>0</v>
      </c>
      <c r="X591" s="2179">
        <f>X592+X593+X594+X595+X596</f>
        <v>0</v>
      </c>
      <c r="Y591" s="2183">
        <f t="shared" ref="Y591" si="1356">X591-W591</f>
        <v>0</v>
      </c>
      <c r="Z591" s="2184">
        <f t="shared" si="1232"/>
        <v>0</v>
      </c>
      <c r="AA591" s="2179">
        <f t="shared" si="1232"/>
        <v>0</v>
      </c>
      <c r="AB591" s="2178">
        <f t="shared" si="1298"/>
        <v>0</v>
      </c>
      <c r="AC591" s="2179">
        <f>AC592+AC593+AC594+AC595+AC596</f>
        <v>0</v>
      </c>
      <c r="AD591" s="2179">
        <f>AD592+AD593+AD594+AD595+AD596</f>
        <v>0</v>
      </c>
      <c r="AE591" s="2180">
        <f t="shared" ref="AE591" si="1357">AD591-AC591</f>
        <v>0</v>
      </c>
      <c r="AF591" s="2277"/>
      <c r="AG591" s="2114"/>
      <c r="AH591" s="2188">
        <f>AH592+AH593+AH594+AH595+AH596</f>
        <v>0</v>
      </c>
      <c r="AI591" s="2188">
        <f>AI592+AI593+AI594+AI595+AI596</f>
        <v>0</v>
      </c>
      <c r="AJ591" s="2186">
        <f t="shared" ref="AJ591:AJ595" si="1358">AI591-AH591</f>
        <v>0</v>
      </c>
      <c r="AK591" s="2188">
        <f>AK592+AK593+AK594+AK595+AK596</f>
        <v>0</v>
      </c>
      <c r="AL591" s="2188">
        <f>AL592+AL593+AL594+AL595+AL596</f>
        <v>0</v>
      </c>
      <c r="AM591" s="2186">
        <f t="shared" ref="AM591:AM595" si="1359">AL591-AK591</f>
        <v>0</v>
      </c>
      <c r="AN591" s="2188">
        <f>AN592+AN593+AN594+AN595+AN596</f>
        <v>0</v>
      </c>
      <c r="AO591" s="2188">
        <f>AO592+AO593+AO594+AO595+AO596</f>
        <v>0</v>
      </c>
      <c r="AP591" s="2186">
        <f t="shared" ref="AP591:AP595" si="1360">AO591-AN591</f>
        <v>0</v>
      </c>
      <c r="AQ591" s="2188">
        <f>AQ592+AQ593+AQ594+AQ595+AQ596</f>
        <v>0</v>
      </c>
      <c r="AR591" s="2188">
        <f>AR592+AR593+AR594+AR595+AR596</f>
        <v>0</v>
      </c>
      <c r="AS591" s="2186">
        <f t="shared" ref="AS591:AS595" si="1361">AR591-AQ591</f>
        <v>0</v>
      </c>
      <c r="AT591" s="2188">
        <f>AT592+AT593+AT594+AT595+AT596</f>
        <v>0</v>
      </c>
      <c r="AU591" s="2188">
        <f>AU592+AU593+AU594+AU595+AU596</f>
        <v>0</v>
      </c>
      <c r="AV591" s="2186">
        <f t="shared" ref="AV591:AV595" si="1362">AU591-AT591</f>
        <v>0</v>
      </c>
      <c r="AW591" s="2188">
        <f>AW592+AW593+AW594+AW595+AW596</f>
        <v>0</v>
      </c>
      <c r="AX591" s="2188">
        <f>AX592+AX593+AX594+AX595+AX596</f>
        <v>0</v>
      </c>
      <c r="AY591" s="2186">
        <f t="shared" ref="AY591:AY595" si="1363">AX591-AW591</f>
        <v>0</v>
      </c>
      <c r="AZ591" s="2188">
        <f>AZ592+AZ593+AZ594+AZ595+AZ596</f>
        <v>0</v>
      </c>
      <c r="BA591" s="2188">
        <f>BA592+BA593+BA594+BA595+BA596</f>
        <v>0</v>
      </c>
      <c r="BB591" s="2186">
        <f t="shared" ref="BB591:BB595" si="1364">BA591-AZ591</f>
        <v>0</v>
      </c>
      <c r="BC591" s="2188">
        <f>BC592+BC593+BC594+BC595+BC596</f>
        <v>0</v>
      </c>
      <c r="BD591" s="2188">
        <f>BD592+BD593+BD594+BD595+BD596</f>
        <v>0</v>
      </c>
      <c r="BE591" s="2186">
        <f t="shared" ref="BE591:BE595" si="1365">BD591-BC591</f>
        <v>0</v>
      </c>
      <c r="BF591" s="2188">
        <f>BF592+BF593+BF594+BF595+BF596</f>
        <v>0</v>
      </c>
      <c r="BG591" s="2188">
        <f>BG592+BG593+BG594+BG595+BG596</f>
        <v>0</v>
      </c>
      <c r="BH591" s="2186">
        <f t="shared" ref="BH591:BH595" si="1366">BG591-BF591</f>
        <v>0</v>
      </c>
      <c r="BI591" s="2188">
        <f>BI592+BI593+BI594+BI595+BI596</f>
        <v>0</v>
      </c>
      <c r="BJ591" s="2188">
        <f>BJ592+BJ593+BJ594+BJ595+BJ596</f>
        <v>0</v>
      </c>
      <c r="BK591" s="2186">
        <f t="shared" ref="BK591:BK595" si="1367">BJ591-BI591</f>
        <v>0</v>
      </c>
      <c r="BL591" s="2188">
        <f>BL592+BL593+BL594+BL595+BL596</f>
        <v>0</v>
      </c>
      <c r="BM591" s="2188">
        <f>BM592+BM593+BM594+BM595+BM596</f>
        <v>0</v>
      </c>
      <c r="BN591" s="2186">
        <f t="shared" ref="BN591:BN595" si="1368">BM591-BL591</f>
        <v>0</v>
      </c>
      <c r="BO591" s="2188">
        <f>BO592+BO593+BO594+BO595+BO596</f>
        <v>0</v>
      </c>
      <c r="BP591" s="2188">
        <f>BP592+BP593+BP594+BP595+BP596</f>
        <v>0</v>
      </c>
      <c r="BQ591" s="2186">
        <f t="shared" ref="BQ591:BQ595" si="1369">BP591-BO591</f>
        <v>0</v>
      </c>
    </row>
    <row r="592" spans="3:69" s="2087" customFormat="1" ht="21.6" hidden="1" customHeight="1">
      <c r="C592" s="2194" t="s">
        <v>2747</v>
      </c>
      <c r="D592" s="2283" t="s">
        <v>2221</v>
      </c>
      <c r="E592" s="2284" t="s">
        <v>1833</v>
      </c>
      <c r="F592" s="2176"/>
      <c r="G592" s="2177"/>
      <c r="H592" s="2177"/>
      <c r="I592" s="2178">
        <f t="shared" si="1316"/>
        <v>0</v>
      </c>
      <c r="J592" s="2176"/>
      <c r="K592" s="2252">
        <f t="shared" si="1213"/>
        <v>0</v>
      </c>
      <c r="L592" s="2252">
        <f t="shared" si="1213"/>
        <v>0</v>
      </c>
      <c r="M592" s="2255">
        <f t="shared" si="1214"/>
        <v>0</v>
      </c>
      <c r="N592" s="2179">
        <f>N252*$N$382</f>
        <v>0</v>
      </c>
      <c r="O592" s="2179">
        <f>O252*$O$382</f>
        <v>0</v>
      </c>
      <c r="P592" s="2178">
        <f t="shared" si="1317"/>
        <v>0</v>
      </c>
      <c r="Q592" s="2184">
        <f>Q252*$Q$382</f>
        <v>0</v>
      </c>
      <c r="R592" s="2179">
        <f>R252*$R$382</f>
        <v>0</v>
      </c>
      <c r="S592" s="2180">
        <f t="shared" si="1318"/>
        <v>0</v>
      </c>
      <c r="T592" s="2251">
        <f t="shared" si="1334"/>
        <v>0</v>
      </c>
      <c r="U592" s="2252">
        <f t="shared" si="1334"/>
        <v>0</v>
      </c>
      <c r="V592" s="2253">
        <f t="shared" si="1335"/>
        <v>0</v>
      </c>
      <c r="W592" s="2187">
        <f>W252*$W$382</f>
        <v>0</v>
      </c>
      <c r="X592" s="2179">
        <f>X252*$X$382</f>
        <v>0</v>
      </c>
      <c r="Y592" s="2183">
        <f t="shared" si="1339"/>
        <v>0</v>
      </c>
      <c r="Z592" s="2254">
        <f t="shared" si="1232"/>
        <v>0</v>
      </c>
      <c r="AA592" s="2252">
        <f t="shared" si="1232"/>
        <v>0</v>
      </c>
      <c r="AB592" s="2255">
        <f t="shared" si="1298"/>
        <v>0</v>
      </c>
      <c r="AC592" s="2184">
        <f>AC252*$AC$382</f>
        <v>0</v>
      </c>
      <c r="AD592" s="2179">
        <f>AD252*$AD$382</f>
        <v>0</v>
      </c>
      <c r="AE592" s="2180">
        <f t="shared" si="1340"/>
        <v>0</v>
      </c>
      <c r="AF592" s="2277"/>
      <c r="AG592" s="2114"/>
      <c r="AH592" s="2188">
        <f>AH252*$N$382</f>
        <v>0</v>
      </c>
      <c r="AI592" s="2188">
        <f>AI252*$O$382</f>
        <v>0</v>
      </c>
      <c r="AJ592" s="2186">
        <f t="shared" si="1358"/>
        <v>0</v>
      </c>
      <c r="AK592" s="2188">
        <f>AK252*$N$382</f>
        <v>0</v>
      </c>
      <c r="AL592" s="2188">
        <f>AL252*$O$382</f>
        <v>0</v>
      </c>
      <c r="AM592" s="2186">
        <f t="shared" si="1359"/>
        <v>0</v>
      </c>
      <c r="AN592" s="2188">
        <f>AN252*$N$382</f>
        <v>0</v>
      </c>
      <c r="AO592" s="2188">
        <f>AO252*$O$382</f>
        <v>0</v>
      </c>
      <c r="AP592" s="2186">
        <f t="shared" si="1360"/>
        <v>0</v>
      </c>
      <c r="AQ592" s="2188">
        <f>AQ252*$N$382</f>
        <v>0</v>
      </c>
      <c r="AR592" s="2188">
        <f>AR252*$O$382</f>
        <v>0</v>
      </c>
      <c r="AS592" s="2186">
        <f t="shared" si="1361"/>
        <v>0</v>
      </c>
      <c r="AT592" s="2188">
        <f>AT252*$N$382</f>
        <v>0</v>
      </c>
      <c r="AU592" s="2188">
        <f>AU252*$O$382</f>
        <v>0</v>
      </c>
      <c r="AV592" s="2186">
        <f t="shared" si="1362"/>
        <v>0</v>
      </c>
      <c r="AW592" s="2188">
        <f>AW252*$N$382</f>
        <v>0</v>
      </c>
      <c r="AX592" s="2188">
        <f>AX252*$O$382</f>
        <v>0</v>
      </c>
      <c r="AY592" s="2186">
        <f t="shared" si="1363"/>
        <v>0</v>
      </c>
      <c r="AZ592" s="2188">
        <f>AZ252*$N$382</f>
        <v>0</v>
      </c>
      <c r="BA592" s="2188">
        <f>BA252*$O$382</f>
        <v>0</v>
      </c>
      <c r="BB592" s="2186">
        <f t="shared" si="1364"/>
        <v>0</v>
      </c>
      <c r="BC592" s="2188">
        <f>BC252*$N$382</f>
        <v>0</v>
      </c>
      <c r="BD592" s="2188">
        <f>BD252*$O$382</f>
        <v>0</v>
      </c>
      <c r="BE592" s="2186">
        <f t="shared" si="1365"/>
        <v>0</v>
      </c>
      <c r="BF592" s="2188">
        <f>BF252*$N$382</f>
        <v>0</v>
      </c>
      <c r="BG592" s="2188">
        <f>BG252*$O$382</f>
        <v>0</v>
      </c>
      <c r="BH592" s="2186">
        <f t="shared" si="1366"/>
        <v>0</v>
      </c>
      <c r="BI592" s="2188">
        <f>BI252*$N$382</f>
        <v>0</v>
      </c>
      <c r="BJ592" s="2188">
        <f>BJ252*$O$382</f>
        <v>0</v>
      </c>
      <c r="BK592" s="2186">
        <f t="shared" si="1367"/>
        <v>0</v>
      </c>
      <c r="BL592" s="2188">
        <f>BL252*$N$382</f>
        <v>0</v>
      </c>
      <c r="BM592" s="2188">
        <f>BM252*$O$382</f>
        <v>0</v>
      </c>
      <c r="BN592" s="2186">
        <f t="shared" si="1368"/>
        <v>0</v>
      </c>
      <c r="BO592" s="2188">
        <f>BO252*$N$382</f>
        <v>0</v>
      </c>
      <c r="BP592" s="2188">
        <f>BP252*$O$382</f>
        <v>0</v>
      </c>
      <c r="BQ592" s="2186">
        <f t="shared" si="1369"/>
        <v>0</v>
      </c>
    </row>
    <row r="593" spans="3:69" s="2087" customFormat="1" ht="21.6" hidden="1" customHeight="1">
      <c r="C593" s="2194" t="s">
        <v>2748</v>
      </c>
      <c r="D593" s="2283" t="s">
        <v>2223</v>
      </c>
      <c r="E593" s="2284" t="s">
        <v>1833</v>
      </c>
      <c r="F593" s="2176"/>
      <c r="G593" s="2177"/>
      <c r="H593" s="2177"/>
      <c r="I593" s="2178">
        <f t="shared" si="1316"/>
        <v>0</v>
      </c>
      <c r="J593" s="2176"/>
      <c r="K593" s="2252">
        <f t="shared" si="1213"/>
        <v>0</v>
      </c>
      <c r="L593" s="2252">
        <f t="shared" si="1213"/>
        <v>0</v>
      </c>
      <c r="M593" s="2255">
        <f t="shared" si="1214"/>
        <v>0</v>
      </c>
      <c r="N593" s="2179">
        <f>N253*$N$383</f>
        <v>0</v>
      </c>
      <c r="O593" s="2179">
        <f>O253*$O$383</f>
        <v>0</v>
      </c>
      <c r="P593" s="2178">
        <f t="shared" si="1317"/>
        <v>0</v>
      </c>
      <c r="Q593" s="2184">
        <f>Q253*$Q$383</f>
        <v>0</v>
      </c>
      <c r="R593" s="2179">
        <f>R253*$R$383</f>
        <v>0</v>
      </c>
      <c r="S593" s="2180">
        <f t="shared" si="1318"/>
        <v>0</v>
      </c>
      <c r="T593" s="2251">
        <f t="shared" si="1334"/>
        <v>0</v>
      </c>
      <c r="U593" s="2252">
        <f t="shared" si="1334"/>
        <v>0</v>
      </c>
      <c r="V593" s="2253">
        <f t="shared" si="1335"/>
        <v>0</v>
      </c>
      <c r="W593" s="2187">
        <f>W253*$W$383</f>
        <v>0</v>
      </c>
      <c r="X593" s="2179">
        <f>X253*$X$383</f>
        <v>0</v>
      </c>
      <c r="Y593" s="2183">
        <f t="shared" si="1339"/>
        <v>0</v>
      </c>
      <c r="Z593" s="2254">
        <f t="shared" si="1232"/>
        <v>0</v>
      </c>
      <c r="AA593" s="2252">
        <f t="shared" si="1232"/>
        <v>0</v>
      </c>
      <c r="AB593" s="2255">
        <f t="shared" si="1298"/>
        <v>0</v>
      </c>
      <c r="AC593" s="2184">
        <f>AC253*$AC$383</f>
        <v>0</v>
      </c>
      <c r="AD593" s="2179">
        <f>AD253*$AD$383</f>
        <v>0</v>
      </c>
      <c r="AE593" s="2180">
        <f t="shared" si="1340"/>
        <v>0</v>
      </c>
      <c r="AF593" s="2277"/>
      <c r="AG593" s="2114"/>
      <c r="AH593" s="2188">
        <f>AH253*$N$383</f>
        <v>0</v>
      </c>
      <c r="AI593" s="2188">
        <f>AI253*$O$383</f>
        <v>0</v>
      </c>
      <c r="AJ593" s="2186">
        <f t="shared" si="1358"/>
        <v>0</v>
      </c>
      <c r="AK593" s="2188">
        <f>AK253*$N$383</f>
        <v>0</v>
      </c>
      <c r="AL593" s="2188">
        <f>AL253*$O$383</f>
        <v>0</v>
      </c>
      <c r="AM593" s="2186">
        <f t="shared" si="1359"/>
        <v>0</v>
      </c>
      <c r="AN593" s="2188">
        <f>AN253*$N$383</f>
        <v>0</v>
      </c>
      <c r="AO593" s="2188">
        <f>AO253*$O$383</f>
        <v>0</v>
      </c>
      <c r="AP593" s="2186">
        <f t="shared" si="1360"/>
        <v>0</v>
      </c>
      <c r="AQ593" s="2188">
        <f>AQ253*$N$383</f>
        <v>0</v>
      </c>
      <c r="AR593" s="2188">
        <f>AR253*$O$383</f>
        <v>0</v>
      </c>
      <c r="AS593" s="2186">
        <f t="shared" si="1361"/>
        <v>0</v>
      </c>
      <c r="AT593" s="2188">
        <f>AT253*$N$383</f>
        <v>0</v>
      </c>
      <c r="AU593" s="2188">
        <f>AU253*$O$383</f>
        <v>0</v>
      </c>
      <c r="AV593" s="2186">
        <f t="shared" si="1362"/>
        <v>0</v>
      </c>
      <c r="AW593" s="2188">
        <f>AW253*$N$383</f>
        <v>0</v>
      </c>
      <c r="AX593" s="2188">
        <f>AX253*$O$383</f>
        <v>0</v>
      </c>
      <c r="AY593" s="2186">
        <f t="shared" si="1363"/>
        <v>0</v>
      </c>
      <c r="AZ593" s="2188">
        <f>AZ253*$N$383</f>
        <v>0</v>
      </c>
      <c r="BA593" s="2188">
        <f>BA253*$O$383</f>
        <v>0</v>
      </c>
      <c r="BB593" s="2186">
        <f t="shared" si="1364"/>
        <v>0</v>
      </c>
      <c r="BC593" s="2188">
        <f>BC253*$N$383</f>
        <v>0</v>
      </c>
      <c r="BD593" s="2188">
        <f>BD253*$O$383</f>
        <v>0</v>
      </c>
      <c r="BE593" s="2186">
        <f t="shared" si="1365"/>
        <v>0</v>
      </c>
      <c r="BF593" s="2188">
        <f>BF253*$N$383</f>
        <v>0</v>
      </c>
      <c r="BG593" s="2188">
        <f>BG253*$O$383</f>
        <v>0</v>
      </c>
      <c r="BH593" s="2186">
        <f t="shared" si="1366"/>
        <v>0</v>
      </c>
      <c r="BI593" s="2188">
        <f>BI253*$N$383</f>
        <v>0</v>
      </c>
      <c r="BJ593" s="2188">
        <f>BJ253*$O$383</f>
        <v>0</v>
      </c>
      <c r="BK593" s="2186">
        <f t="shared" si="1367"/>
        <v>0</v>
      </c>
      <c r="BL593" s="2188">
        <f>BL253*$N$383</f>
        <v>0</v>
      </c>
      <c r="BM593" s="2188">
        <f>BM253*$O$383</f>
        <v>0</v>
      </c>
      <c r="BN593" s="2186">
        <f t="shared" si="1368"/>
        <v>0</v>
      </c>
      <c r="BO593" s="2188">
        <f>BO253*$N$383</f>
        <v>0</v>
      </c>
      <c r="BP593" s="2188">
        <f>BP253*$O$383</f>
        <v>0</v>
      </c>
      <c r="BQ593" s="2186">
        <f t="shared" si="1369"/>
        <v>0</v>
      </c>
    </row>
    <row r="594" spans="3:69" s="2087" customFormat="1" ht="21.6" hidden="1" customHeight="1">
      <c r="C594" s="2194" t="s">
        <v>2749</v>
      </c>
      <c r="D594" s="2283" t="s">
        <v>2225</v>
      </c>
      <c r="E594" s="2284" t="s">
        <v>1833</v>
      </c>
      <c r="F594" s="2176"/>
      <c r="G594" s="2177"/>
      <c r="H594" s="2177"/>
      <c r="I594" s="2178">
        <f t="shared" si="1316"/>
        <v>0</v>
      </c>
      <c r="J594" s="2176"/>
      <c r="K594" s="2252">
        <f t="shared" si="1213"/>
        <v>0</v>
      </c>
      <c r="L594" s="2252">
        <f t="shared" si="1213"/>
        <v>0</v>
      </c>
      <c r="M594" s="2255">
        <f t="shared" si="1214"/>
        <v>0</v>
      </c>
      <c r="N594" s="2179">
        <f>N254*$N$384</f>
        <v>0</v>
      </c>
      <c r="O594" s="2179">
        <f>O254*$O$384</f>
        <v>0</v>
      </c>
      <c r="P594" s="2178">
        <f t="shared" si="1317"/>
        <v>0</v>
      </c>
      <c r="Q594" s="2184">
        <f>Q254*$Q$384</f>
        <v>0</v>
      </c>
      <c r="R594" s="2179">
        <f>R254*$R$384</f>
        <v>0</v>
      </c>
      <c r="S594" s="2180">
        <f t="shared" si="1318"/>
        <v>0</v>
      </c>
      <c r="T594" s="2251">
        <f t="shared" si="1334"/>
        <v>0</v>
      </c>
      <c r="U594" s="2252">
        <f t="shared" si="1334"/>
        <v>0</v>
      </c>
      <c r="V594" s="2253">
        <f t="shared" si="1335"/>
        <v>0</v>
      </c>
      <c r="W594" s="2187">
        <f>W254*$W$384</f>
        <v>0</v>
      </c>
      <c r="X594" s="2179">
        <f>X254*$X$384</f>
        <v>0</v>
      </c>
      <c r="Y594" s="2183">
        <f t="shared" si="1339"/>
        <v>0</v>
      </c>
      <c r="Z594" s="2254">
        <f t="shared" si="1232"/>
        <v>0</v>
      </c>
      <c r="AA594" s="2252">
        <f t="shared" si="1232"/>
        <v>0</v>
      </c>
      <c r="AB594" s="2255">
        <f t="shared" si="1298"/>
        <v>0</v>
      </c>
      <c r="AC594" s="2184">
        <f>AC254*$AC$384</f>
        <v>0</v>
      </c>
      <c r="AD594" s="2179">
        <f>AD254*$AD$384</f>
        <v>0</v>
      </c>
      <c r="AE594" s="2180">
        <f t="shared" si="1340"/>
        <v>0</v>
      </c>
      <c r="AF594" s="2277"/>
      <c r="AG594" s="2114"/>
      <c r="AH594" s="2188">
        <f>AH254*$N$384</f>
        <v>0</v>
      </c>
      <c r="AI594" s="2188">
        <f>AI254*$O$384</f>
        <v>0</v>
      </c>
      <c r="AJ594" s="2186">
        <f t="shared" si="1358"/>
        <v>0</v>
      </c>
      <c r="AK594" s="2188">
        <f>AK254*$N$384</f>
        <v>0</v>
      </c>
      <c r="AL594" s="2188">
        <f>AL254*$O$384</f>
        <v>0</v>
      </c>
      <c r="AM594" s="2186">
        <f t="shared" si="1359"/>
        <v>0</v>
      </c>
      <c r="AN594" s="2188">
        <f>AN254*$N$384</f>
        <v>0</v>
      </c>
      <c r="AO594" s="2188">
        <f>AO254*$O$384</f>
        <v>0</v>
      </c>
      <c r="AP594" s="2186">
        <f t="shared" si="1360"/>
        <v>0</v>
      </c>
      <c r="AQ594" s="2188">
        <f>AQ254*$N$384</f>
        <v>0</v>
      </c>
      <c r="AR594" s="2188">
        <f>AR254*$O$384</f>
        <v>0</v>
      </c>
      <c r="AS594" s="2186">
        <f t="shared" si="1361"/>
        <v>0</v>
      </c>
      <c r="AT594" s="2188">
        <f>AT254*$N$384</f>
        <v>0</v>
      </c>
      <c r="AU594" s="2188">
        <f>AU254*$O$384</f>
        <v>0</v>
      </c>
      <c r="AV594" s="2186">
        <f t="shared" si="1362"/>
        <v>0</v>
      </c>
      <c r="AW594" s="2188">
        <f>AW254*$N$384</f>
        <v>0</v>
      </c>
      <c r="AX594" s="2188">
        <f>AX254*$O$384</f>
        <v>0</v>
      </c>
      <c r="AY594" s="2186">
        <f t="shared" si="1363"/>
        <v>0</v>
      </c>
      <c r="AZ594" s="2188">
        <f>AZ254*$N$384</f>
        <v>0</v>
      </c>
      <c r="BA594" s="2188">
        <f>BA254*$O$384</f>
        <v>0</v>
      </c>
      <c r="BB594" s="2186">
        <f t="shared" si="1364"/>
        <v>0</v>
      </c>
      <c r="BC594" s="2188">
        <f>BC254*$N$384</f>
        <v>0</v>
      </c>
      <c r="BD594" s="2188">
        <f>BD254*$O$384</f>
        <v>0</v>
      </c>
      <c r="BE594" s="2186">
        <f t="shared" si="1365"/>
        <v>0</v>
      </c>
      <c r="BF594" s="2188">
        <f>BF254*$N$384</f>
        <v>0</v>
      </c>
      <c r="BG594" s="2188">
        <f>BG254*$O$384</f>
        <v>0</v>
      </c>
      <c r="BH594" s="2186">
        <f t="shared" si="1366"/>
        <v>0</v>
      </c>
      <c r="BI594" s="2188">
        <f>BI254*$N$384</f>
        <v>0</v>
      </c>
      <c r="BJ594" s="2188">
        <f>BJ254*$O$384</f>
        <v>0</v>
      </c>
      <c r="BK594" s="2186">
        <f t="shared" si="1367"/>
        <v>0</v>
      </c>
      <c r="BL594" s="2188">
        <f>BL254*$N$384</f>
        <v>0</v>
      </c>
      <c r="BM594" s="2188">
        <f>BM254*$O$384</f>
        <v>0</v>
      </c>
      <c r="BN594" s="2186">
        <f t="shared" si="1368"/>
        <v>0</v>
      </c>
      <c r="BO594" s="2188">
        <f>BO254*$N$384</f>
        <v>0</v>
      </c>
      <c r="BP594" s="2188">
        <f>BP254*$O$384</f>
        <v>0</v>
      </c>
      <c r="BQ594" s="2186">
        <f t="shared" si="1369"/>
        <v>0</v>
      </c>
    </row>
    <row r="595" spans="3:69" s="2087" customFormat="1" ht="21.6" hidden="1" customHeight="1">
      <c r="C595" s="2194" t="s">
        <v>2750</v>
      </c>
      <c r="D595" s="2283" t="s">
        <v>2227</v>
      </c>
      <c r="E595" s="2284" t="s">
        <v>1833</v>
      </c>
      <c r="F595" s="2176"/>
      <c r="G595" s="2177"/>
      <c r="H595" s="2177"/>
      <c r="I595" s="2178">
        <f t="shared" si="1316"/>
        <v>0</v>
      </c>
      <c r="J595" s="2176"/>
      <c r="K595" s="2252">
        <f t="shared" si="1213"/>
        <v>0</v>
      </c>
      <c r="L595" s="2252">
        <f t="shared" si="1213"/>
        <v>0</v>
      </c>
      <c r="M595" s="2255">
        <f t="shared" si="1214"/>
        <v>0</v>
      </c>
      <c r="N595" s="2179">
        <f>N255*$N$385</f>
        <v>0</v>
      </c>
      <c r="O595" s="2179">
        <f>O255*$O$385</f>
        <v>0</v>
      </c>
      <c r="P595" s="2178">
        <f t="shared" si="1317"/>
        <v>0</v>
      </c>
      <c r="Q595" s="2184">
        <f>Q255*$Q$385</f>
        <v>0</v>
      </c>
      <c r="R595" s="2179">
        <f>R255*$R$385</f>
        <v>0</v>
      </c>
      <c r="S595" s="2180">
        <f t="shared" si="1318"/>
        <v>0</v>
      </c>
      <c r="T595" s="2251">
        <f t="shared" si="1334"/>
        <v>0</v>
      </c>
      <c r="U595" s="2252">
        <f t="shared" si="1334"/>
        <v>0</v>
      </c>
      <c r="V595" s="2253">
        <f t="shared" si="1335"/>
        <v>0</v>
      </c>
      <c r="W595" s="2187">
        <f>W255*$W$385</f>
        <v>0</v>
      </c>
      <c r="X595" s="2179">
        <f>X255*$X$385</f>
        <v>0</v>
      </c>
      <c r="Y595" s="2183">
        <f t="shared" si="1339"/>
        <v>0</v>
      </c>
      <c r="Z595" s="2254">
        <f t="shared" si="1232"/>
        <v>0</v>
      </c>
      <c r="AA595" s="2252">
        <f t="shared" si="1232"/>
        <v>0</v>
      </c>
      <c r="AB595" s="2255">
        <f t="shared" si="1298"/>
        <v>0</v>
      </c>
      <c r="AC595" s="2184">
        <f>AC255*$AC$385</f>
        <v>0</v>
      </c>
      <c r="AD595" s="2179">
        <f>AD255*$AD$385</f>
        <v>0</v>
      </c>
      <c r="AE595" s="2180">
        <f t="shared" si="1340"/>
        <v>0</v>
      </c>
      <c r="AF595" s="2277"/>
      <c r="AG595" s="2114"/>
      <c r="AH595" s="2188">
        <f>AH255*$N$385</f>
        <v>0</v>
      </c>
      <c r="AI595" s="2188">
        <f>AI255*$O$385</f>
        <v>0</v>
      </c>
      <c r="AJ595" s="2186">
        <f t="shared" si="1358"/>
        <v>0</v>
      </c>
      <c r="AK595" s="2188">
        <f>AK255*$N$385</f>
        <v>0</v>
      </c>
      <c r="AL595" s="2188">
        <f>AL255*$O$385</f>
        <v>0</v>
      </c>
      <c r="AM595" s="2186">
        <f t="shared" si="1359"/>
        <v>0</v>
      </c>
      <c r="AN595" s="2188">
        <f>AN255*$N$385</f>
        <v>0</v>
      </c>
      <c r="AO595" s="2188">
        <f>AO255*$O$385</f>
        <v>0</v>
      </c>
      <c r="AP595" s="2186">
        <f t="shared" si="1360"/>
        <v>0</v>
      </c>
      <c r="AQ595" s="2188">
        <f>AQ255*$N$385</f>
        <v>0</v>
      </c>
      <c r="AR595" s="2188">
        <f>AR255*$O$385</f>
        <v>0</v>
      </c>
      <c r="AS595" s="2186">
        <f t="shared" si="1361"/>
        <v>0</v>
      </c>
      <c r="AT595" s="2188">
        <f>AT255*$N$385</f>
        <v>0</v>
      </c>
      <c r="AU595" s="2188">
        <f>AU255*$O$385</f>
        <v>0</v>
      </c>
      <c r="AV595" s="2186">
        <f t="shared" si="1362"/>
        <v>0</v>
      </c>
      <c r="AW595" s="2188">
        <f>AW255*$N$385</f>
        <v>0</v>
      </c>
      <c r="AX595" s="2188">
        <f>AX255*$O$385</f>
        <v>0</v>
      </c>
      <c r="AY595" s="2186">
        <f t="shared" si="1363"/>
        <v>0</v>
      </c>
      <c r="AZ595" s="2188">
        <f>AZ255*$N$385</f>
        <v>0</v>
      </c>
      <c r="BA595" s="2188">
        <f>BA255*$O$385</f>
        <v>0</v>
      </c>
      <c r="BB595" s="2186">
        <f t="shared" si="1364"/>
        <v>0</v>
      </c>
      <c r="BC595" s="2188">
        <f>BC255*$N$385</f>
        <v>0</v>
      </c>
      <c r="BD595" s="2188">
        <f>BD255*$O$385</f>
        <v>0</v>
      </c>
      <c r="BE595" s="2186">
        <f t="shared" si="1365"/>
        <v>0</v>
      </c>
      <c r="BF595" s="2188">
        <f>BF255*$N$385</f>
        <v>0</v>
      </c>
      <c r="BG595" s="2188">
        <f>BG255*$O$385</f>
        <v>0</v>
      </c>
      <c r="BH595" s="2186">
        <f t="shared" si="1366"/>
        <v>0</v>
      </c>
      <c r="BI595" s="2188">
        <f>BI255*$N$385</f>
        <v>0</v>
      </c>
      <c r="BJ595" s="2188">
        <f>BJ255*$O$385</f>
        <v>0</v>
      </c>
      <c r="BK595" s="2186">
        <f t="shared" si="1367"/>
        <v>0</v>
      </c>
      <c r="BL595" s="2188">
        <f>BL255*$N$385</f>
        <v>0</v>
      </c>
      <c r="BM595" s="2188">
        <f>BM255*$O$385</f>
        <v>0</v>
      </c>
      <c r="BN595" s="2186">
        <f t="shared" si="1368"/>
        <v>0</v>
      </c>
      <c r="BO595" s="2188">
        <f>BO255*$N$385</f>
        <v>0</v>
      </c>
      <c r="BP595" s="2188">
        <f>BP255*$O$385</f>
        <v>0</v>
      </c>
      <c r="BQ595" s="2186">
        <f t="shared" si="1369"/>
        <v>0</v>
      </c>
    </row>
    <row r="596" spans="3:69" s="2087" customFormat="1" ht="21.6" hidden="1" customHeight="1">
      <c r="C596" s="2194" t="s">
        <v>2751</v>
      </c>
      <c r="D596" s="2283" t="s">
        <v>2229</v>
      </c>
      <c r="E596" s="2284" t="s">
        <v>1833</v>
      </c>
      <c r="F596" s="2176"/>
      <c r="G596" s="2177"/>
      <c r="H596" s="2177"/>
      <c r="I596" s="2186"/>
      <c r="J596" s="2176"/>
      <c r="K596" s="2252">
        <f t="shared" si="1213"/>
        <v>0</v>
      </c>
      <c r="L596" s="2252">
        <f t="shared" si="1213"/>
        <v>0</v>
      </c>
      <c r="M596" s="2255">
        <f t="shared" si="1214"/>
        <v>0</v>
      </c>
      <c r="N596" s="2177"/>
      <c r="O596" s="2177"/>
      <c r="P596" s="2186"/>
      <c r="Q596" s="2177"/>
      <c r="R596" s="2177"/>
      <c r="S596" s="2266"/>
      <c r="T596" s="2251">
        <f t="shared" si="1334"/>
        <v>0</v>
      </c>
      <c r="U596" s="2252">
        <f t="shared" si="1334"/>
        <v>0</v>
      </c>
      <c r="V596" s="2253">
        <f t="shared" si="1335"/>
        <v>0</v>
      </c>
      <c r="W596" s="2182"/>
      <c r="X596" s="2177"/>
      <c r="Y596" s="2271"/>
      <c r="Z596" s="2254">
        <f t="shared" si="1232"/>
        <v>0</v>
      </c>
      <c r="AA596" s="2252">
        <f t="shared" si="1232"/>
        <v>0</v>
      </c>
      <c r="AB596" s="2255">
        <f t="shared" si="1298"/>
        <v>0</v>
      </c>
      <c r="AC596" s="2177"/>
      <c r="AD596" s="2177"/>
      <c r="AE596" s="2266"/>
      <c r="AF596" s="2277"/>
      <c r="AG596" s="2114"/>
      <c r="AH596" s="2177"/>
      <c r="AI596" s="2177"/>
      <c r="AJ596" s="2186"/>
      <c r="AK596" s="2177"/>
      <c r="AL596" s="2177"/>
      <c r="AM596" s="2186"/>
      <c r="AN596" s="2177"/>
      <c r="AO596" s="2177"/>
      <c r="AP596" s="2186"/>
      <c r="AQ596" s="2177"/>
      <c r="AR596" s="2177"/>
      <c r="AS596" s="2186"/>
      <c r="AT596" s="2177"/>
      <c r="AU596" s="2177"/>
      <c r="AV596" s="2186"/>
      <c r="AW596" s="2177"/>
      <c r="AX596" s="2177"/>
      <c r="AY596" s="2186"/>
      <c r="AZ596" s="2177"/>
      <c r="BA596" s="2177"/>
      <c r="BB596" s="2186"/>
      <c r="BC596" s="2177"/>
      <c r="BD596" s="2177"/>
      <c r="BE596" s="2186"/>
      <c r="BF596" s="2177"/>
      <c r="BG596" s="2177"/>
      <c r="BH596" s="2186"/>
      <c r="BI596" s="2177"/>
      <c r="BJ596" s="2177"/>
      <c r="BK596" s="2186"/>
      <c r="BL596" s="2177"/>
      <c r="BM596" s="2177"/>
      <c r="BN596" s="2186"/>
      <c r="BO596" s="2177"/>
      <c r="BP596" s="2177"/>
      <c r="BQ596" s="2186"/>
    </row>
    <row r="597" spans="3:69" s="2087" customFormat="1" ht="21.6" hidden="1" customHeight="1">
      <c r="C597" s="2285" t="s">
        <v>2752</v>
      </c>
      <c r="D597" s="2287" t="s">
        <v>2248</v>
      </c>
      <c r="E597" s="2284" t="s">
        <v>1833</v>
      </c>
      <c r="F597" s="2176"/>
      <c r="G597" s="2179">
        <f>G598+G599+G600+G601+G602</f>
        <v>0</v>
      </c>
      <c r="H597" s="2179">
        <f>H598+H599+H600+H601+H602</f>
        <v>0</v>
      </c>
      <c r="I597" s="2178">
        <f t="shared" ref="I597" si="1370">H597-G597</f>
        <v>0</v>
      </c>
      <c r="J597" s="2176"/>
      <c r="K597" s="2252">
        <f t="shared" si="1213"/>
        <v>0</v>
      </c>
      <c r="L597" s="2179">
        <f t="shared" si="1213"/>
        <v>0</v>
      </c>
      <c r="M597" s="2178">
        <f t="shared" si="1214"/>
        <v>0</v>
      </c>
      <c r="N597" s="2179">
        <f>N598+N599+N600+N601+N602</f>
        <v>0</v>
      </c>
      <c r="O597" s="2179">
        <f>O598+O599+O600+O601+O602</f>
        <v>0</v>
      </c>
      <c r="P597" s="2178">
        <f t="shared" ref="P597" si="1371">O597-N597</f>
        <v>0</v>
      </c>
      <c r="Q597" s="2179">
        <f>Q598+Q599+Q600+Q601+Q602</f>
        <v>0</v>
      </c>
      <c r="R597" s="2179">
        <f>R598+R599+R600+R601+R602</f>
        <v>0</v>
      </c>
      <c r="S597" s="2180">
        <f t="shared" ref="S597" si="1372">R597-Q597</f>
        <v>0</v>
      </c>
      <c r="T597" s="2181">
        <f t="shared" si="1334"/>
        <v>0</v>
      </c>
      <c r="U597" s="2179">
        <f t="shared" si="1334"/>
        <v>0</v>
      </c>
      <c r="V597" s="2180">
        <f t="shared" si="1335"/>
        <v>0</v>
      </c>
      <c r="W597" s="2187">
        <f>W598+W599+W600+W601+W602</f>
        <v>0</v>
      </c>
      <c r="X597" s="2179">
        <f>X598+X599+X600+X601+X602</f>
        <v>0</v>
      </c>
      <c r="Y597" s="2183">
        <f t="shared" ref="Y597" si="1373">X597-W597</f>
        <v>0</v>
      </c>
      <c r="Z597" s="2184">
        <f t="shared" si="1232"/>
        <v>0</v>
      </c>
      <c r="AA597" s="2179">
        <f t="shared" si="1232"/>
        <v>0</v>
      </c>
      <c r="AB597" s="2178">
        <f t="shared" si="1298"/>
        <v>0</v>
      </c>
      <c r="AC597" s="2179">
        <f>AC598+AC599+AC600+AC601+AC602</f>
        <v>0</v>
      </c>
      <c r="AD597" s="2179">
        <f>AD598+AD599+AD600+AD601+AD602</f>
        <v>0</v>
      </c>
      <c r="AE597" s="2180">
        <f t="shared" ref="AE597" si="1374">AD597-AC597</f>
        <v>0</v>
      </c>
      <c r="AF597" s="2277"/>
      <c r="AG597" s="2114"/>
      <c r="AH597" s="2188">
        <f>AH598+AH599+AH600+AH601+AH602</f>
        <v>0</v>
      </c>
      <c r="AI597" s="2188">
        <f>AI598+AI599+AI600+AI601+AI602</f>
        <v>0</v>
      </c>
      <c r="AJ597" s="2186">
        <f t="shared" ref="AJ597:AJ601" si="1375">AI597-AH597</f>
        <v>0</v>
      </c>
      <c r="AK597" s="2188">
        <f>AK598+AK599+AK600+AK601+AK602</f>
        <v>0</v>
      </c>
      <c r="AL597" s="2188">
        <f>AL598+AL599+AL600+AL601+AL602</f>
        <v>0</v>
      </c>
      <c r="AM597" s="2186">
        <f t="shared" ref="AM597:AM601" si="1376">AL597-AK597</f>
        <v>0</v>
      </c>
      <c r="AN597" s="2188">
        <f>AN598+AN599+AN600+AN601+AN602</f>
        <v>0</v>
      </c>
      <c r="AO597" s="2188">
        <f>AO598+AO599+AO600+AO601+AO602</f>
        <v>0</v>
      </c>
      <c r="AP597" s="2186">
        <f t="shared" ref="AP597:AP601" si="1377">AO597-AN597</f>
        <v>0</v>
      </c>
      <c r="AQ597" s="2188">
        <f>AQ598+AQ599+AQ600+AQ601+AQ602</f>
        <v>0</v>
      </c>
      <c r="AR597" s="2188">
        <f>AR598+AR599+AR600+AR601+AR602</f>
        <v>0</v>
      </c>
      <c r="AS597" s="2186">
        <f t="shared" ref="AS597:AS601" si="1378">AR597-AQ597</f>
        <v>0</v>
      </c>
      <c r="AT597" s="2188">
        <f>AT598+AT599+AT600+AT601+AT602</f>
        <v>0</v>
      </c>
      <c r="AU597" s="2188">
        <f>AU598+AU599+AU600+AU601+AU602</f>
        <v>0</v>
      </c>
      <c r="AV597" s="2186">
        <f t="shared" ref="AV597:AV601" si="1379">AU597-AT597</f>
        <v>0</v>
      </c>
      <c r="AW597" s="2188">
        <f>AW598+AW599+AW600+AW601+AW602</f>
        <v>0</v>
      </c>
      <c r="AX597" s="2188">
        <f>AX598+AX599+AX600+AX601+AX602</f>
        <v>0</v>
      </c>
      <c r="AY597" s="2186">
        <f t="shared" ref="AY597:AY601" si="1380">AX597-AW597</f>
        <v>0</v>
      </c>
      <c r="AZ597" s="2188">
        <f>AZ598+AZ599+AZ600+AZ601+AZ602</f>
        <v>0</v>
      </c>
      <c r="BA597" s="2188">
        <f>BA598+BA599+BA600+BA601+BA602</f>
        <v>0</v>
      </c>
      <c r="BB597" s="2186">
        <f t="shared" ref="BB597:BB601" si="1381">BA597-AZ597</f>
        <v>0</v>
      </c>
      <c r="BC597" s="2188">
        <f>BC598+BC599+BC600+BC601+BC602</f>
        <v>0</v>
      </c>
      <c r="BD597" s="2188">
        <f>BD598+BD599+BD600+BD601+BD602</f>
        <v>0</v>
      </c>
      <c r="BE597" s="2186">
        <f t="shared" ref="BE597:BE601" si="1382">BD597-BC597</f>
        <v>0</v>
      </c>
      <c r="BF597" s="2188">
        <f>BF598+BF599+BF600+BF601+BF602</f>
        <v>0</v>
      </c>
      <c r="BG597" s="2188">
        <f>BG598+BG599+BG600+BG601+BG602</f>
        <v>0</v>
      </c>
      <c r="BH597" s="2186">
        <f t="shared" ref="BH597:BH601" si="1383">BG597-BF597</f>
        <v>0</v>
      </c>
      <c r="BI597" s="2188">
        <f>BI598+BI599+BI600+BI601+BI602</f>
        <v>0</v>
      </c>
      <c r="BJ597" s="2188">
        <f>BJ598+BJ599+BJ600+BJ601+BJ602</f>
        <v>0</v>
      </c>
      <c r="BK597" s="2186">
        <f t="shared" ref="BK597:BK601" si="1384">BJ597-BI597</f>
        <v>0</v>
      </c>
      <c r="BL597" s="2188">
        <f>BL598+BL599+BL600+BL601+BL602</f>
        <v>0</v>
      </c>
      <c r="BM597" s="2188">
        <f>BM598+BM599+BM600+BM601+BM602</f>
        <v>0</v>
      </c>
      <c r="BN597" s="2186">
        <f t="shared" ref="BN597:BN601" si="1385">BM597-BL597</f>
        <v>0</v>
      </c>
      <c r="BO597" s="2188">
        <f>BO598+BO599+BO600+BO601+BO602</f>
        <v>0</v>
      </c>
      <c r="BP597" s="2188">
        <f>BP598+BP599+BP600+BP601+BP602</f>
        <v>0</v>
      </c>
      <c r="BQ597" s="2186">
        <f t="shared" ref="BQ597:BQ601" si="1386">BP597-BO597</f>
        <v>0</v>
      </c>
    </row>
    <row r="598" spans="3:69" s="2087" customFormat="1" ht="21.6" hidden="1" customHeight="1">
      <c r="C598" s="2194" t="s">
        <v>2753</v>
      </c>
      <c r="D598" s="2283" t="s">
        <v>2221</v>
      </c>
      <c r="E598" s="2284" t="s">
        <v>1833</v>
      </c>
      <c r="F598" s="2176"/>
      <c r="G598" s="2177"/>
      <c r="H598" s="2177"/>
      <c r="I598" s="2178">
        <f t="shared" si="1316"/>
        <v>0</v>
      </c>
      <c r="J598" s="2176"/>
      <c r="K598" s="2252">
        <f t="shared" si="1213"/>
        <v>0</v>
      </c>
      <c r="L598" s="2252">
        <f t="shared" si="1213"/>
        <v>0</v>
      </c>
      <c r="M598" s="2255">
        <f t="shared" si="1214"/>
        <v>0</v>
      </c>
      <c r="N598" s="2179">
        <f t="shared" ref="N598:O601" si="1387">N258*$N$387</f>
        <v>0</v>
      </c>
      <c r="O598" s="2179">
        <f t="shared" si="1387"/>
        <v>0</v>
      </c>
      <c r="P598" s="2178">
        <f t="shared" si="1317"/>
        <v>0</v>
      </c>
      <c r="Q598" s="2184">
        <f>Q258*$Q$387</f>
        <v>0</v>
      </c>
      <c r="R598" s="2179">
        <f>R258*$R$387</f>
        <v>0</v>
      </c>
      <c r="S598" s="2180">
        <f t="shared" si="1318"/>
        <v>0</v>
      </c>
      <c r="T598" s="2251">
        <f t="shared" si="1334"/>
        <v>0</v>
      </c>
      <c r="U598" s="2252">
        <f t="shared" si="1334"/>
        <v>0</v>
      </c>
      <c r="V598" s="2253">
        <f t="shared" si="1335"/>
        <v>0</v>
      </c>
      <c r="W598" s="2187">
        <f>W258*$W$387</f>
        <v>0</v>
      </c>
      <c r="X598" s="2179">
        <f>X258*$X$387</f>
        <v>0</v>
      </c>
      <c r="Y598" s="2183">
        <f t="shared" si="1339"/>
        <v>0</v>
      </c>
      <c r="Z598" s="2254">
        <f t="shared" si="1232"/>
        <v>0</v>
      </c>
      <c r="AA598" s="2252">
        <f t="shared" si="1232"/>
        <v>0</v>
      </c>
      <c r="AB598" s="2255">
        <f t="shared" si="1298"/>
        <v>0</v>
      </c>
      <c r="AC598" s="2184">
        <f>AC258*$AC$387</f>
        <v>0</v>
      </c>
      <c r="AD598" s="2179">
        <f>AD258*$AD$387</f>
        <v>0</v>
      </c>
      <c r="AE598" s="2180">
        <f t="shared" si="1340"/>
        <v>0</v>
      </c>
      <c r="AF598" s="2277"/>
      <c r="AG598" s="2114"/>
      <c r="AH598" s="2188">
        <f t="shared" ref="AH598:AI601" si="1388">AH258*$N$387</f>
        <v>0</v>
      </c>
      <c r="AI598" s="2188">
        <f t="shared" si="1388"/>
        <v>0</v>
      </c>
      <c r="AJ598" s="2186">
        <f t="shared" si="1375"/>
        <v>0</v>
      </c>
      <c r="AK598" s="2188">
        <f t="shared" ref="AK598:AL601" si="1389">AK258*$N$387</f>
        <v>0</v>
      </c>
      <c r="AL598" s="2188">
        <f t="shared" si="1389"/>
        <v>0</v>
      </c>
      <c r="AM598" s="2186">
        <f t="shared" si="1376"/>
        <v>0</v>
      </c>
      <c r="AN598" s="2188">
        <f t="shared" ref="AN598:AO601" si="1390">AN258*$N$387</f>
        <v>0</v>
      </c>
      <c r="AO598" s="2188">
        <f t="shared" si="1390"/>
        <v>0</v>
      </c>
      <c r="AP598" s="2186">
        <f t="shared" si="1377"/>
        <v>0</v>
      </c>
      <c r="AQ598" s="2188">
        <f t="shared" ref="AQ598:AR601" si="1391">AQ258*$N$387</f>
        <v>0</v>
      </c>
      <c r="AR598" s="2188">
        <f t="shared" si="1391"/>
        <v>0</v>
      </c>
      <c r="AS598" s="2186">
        <f t="shared" si="1378"/>
        <v>0</v>
      </c>
      <c r="AT598" s="2188">
        <f t="shared" ref="AT598:AU601" si="1392">AT258*$N$387</f>
        <v>0</v>
      </c>
      <c r="AU598" s="2188">
        <f t="shared" si="1392"/>
        <v>0</v>
      </c>
      <c r="AV598" s="2186">
        <f t="shared" si="1379"/>
        <v>0</v>
      </c>
      <c r="AW598" s="2188">
        <f t="shared" ref="AW598:AX601" si="1393">AW258*$N$387</f>
        <v>0</v>
      </c>
      <c r="AX598" s="2188">
        <f t="shared" si="1393"/>
        <v>0</v>
      </c>
      <c r="AY598" s="2186">
        <f t="shared" si="1380"/>
        <v>0</v>
      </c>
      <c r="AZ598" s="2188">
        <f t="shared" ref="AZ598:BA601" si="1394">AZ258*$N$387</f>
        <v>0</v>
      </c>
      <c r="BA598" s="2188">
        <f t="shared" si="1394"/>
        <v>0</v>
      </c>
      <c r="BB598" s="2186">
        <f t="shared" si="1381"/>
        <v>0</v>
      </c>
      <c r="BC598" s="2188">
        <f t="shared" ref="BC598:BD601" si="1395">BC258*$N$387</f>
        <v>0</v>
      </c>
      <c r="BD598" s="2188">
        <f t="shared" si="1395"/>
        <v>0</v>
      </c>
      <c r="BE598" s="2186">
        <f t="shared" si="1382"/>
        <v>0</v>
      </c>
      <c r="BF598" s="2188">
        <f t="shared" ref="BF598:BG601" si="1396">BF258*$N$387</f>
        <v>0</v>
      </c>
      <c r="BG598" s="2188">
        <f t="shared" si="1396"/>
        <v>0</v>
      </c>
      <c r="BH598" s="2186">
        <f t="shared" si="1383"/>
        <v>0</v>
      </c>
      <c r="BI598" s="2188">
        <f t="shared" ref="BI598:BJ601" si="1397">BI258*$N$387</f>
        <v>0</v>
      </c>
      <c r="BJ598" s="2188">
        <f t="shared" si="1397"/>
        <v>0</v>
      </c>
      <c r="BK598" s="2186">
        <f t="shared" si="1384"/>
        <v>0</v>
      </c>
      <c r="BL598" s="2188">
        <f t="shared" ref="BL598:BM601" si="1398">BL258*$N$387</f>
        <v>0</v>
      </c>
      <c r="BM598" s="2188">
        <f t="shared" si="1398"/>
        <v>0</v>
      </c>
      <c r="BN598" s="2186">
        <f t="shared" si="1385"/>
        <v>0</v>
      </c>
      <c r="BO598" s="2188">
        <f t="shared" ref="BO598:BP601" si="1399">BO258*$N$387</f>
        <v>0</v>
      </c>
      <c r="BP598" s="2188">
        <f t="shared" si="1399"/>
        <v>0</v>
      </c>
      <c r="BQ598" s="2186">
        <f t="shared" si="1386"/>
        <v>0</v>
      </c>
    </row>
    <row r="599" spans="3:69" s="2087" customFormat="1" ht="21.6" hidden="1" customHeight="1">
      <c r="C599" s="2194" t="s">
        <v>2754</v>
      </c>
      <c r="D599" s="2283" t="s">
        <v>2223</v>
      </c>
      <c r="E599" s="2284" t="s">
        <v>1833</v>
      </c>
      <c r="F599" s="2176"/>
      <c r="G599" s="2177"/>
      <c r="H599" s="2177"/>
      <c r="I599" s="2178">
        <f t="shared" si="1316"/>
        <v>0</v>
      </c>
      <c r="J599" s="2176"/>
      <c r="K599" s="2252">
        <f t="shared" si="1213"/>
        <v>0</v>
      </c>
      <c r="L599" s="2252">
        <f t="shared" si="1213"/>
        <v>0</v>
      </c>
      <c r="M599" s="2255">
        <f t="shared" si="1214"/>
        <v>0</v>
      </c>
      <c r="N599" s="2179">
        <f t="shared" si="1387"/>
        <v>0</v>
      </c>
      <c r="O599" s="2179">
        <f t="shared" si="1387"/>
        <v>0</v>
      </c>
      <c r="P599" s="2178">
        <f t="shared" si="1317"/>
        <v>0</v>
      </c>
      <c r="Q599" s="2184">
        <f>Q259*$Q$387</f>
        <v>0</v>
      </c>
      <c r="R599" s="2179">
        <f>R259*$R$387</f>
        <v>0</v>
      </c>
      <c r="S599" s="2180">
        <f t="shared" si="1318"/>
        <v>0</v>
      </c>
      <c r="T599" s="2251">
        <f t="shared" si="1334"/>
        <v>0</v>
      </c>
      <c r="U599" s="2252">
        <f t="shared" si="1334"/>
        <v>0</v>
      </c>
      <c r="V599" s="2253">
        <f t="shared" si="1335"/>
        <v>0</v>
      </c>
      <c r="W599" s="2187">
        <f>W259*$W$387</f>
        <v>0</v>
      </c>
      <c r="X599" s="2179">
        <f>X259*$X$387</f>
        <v>0</v>
      </c>
      <c r="Y599" s="2183">
        <f t="shared" si="1339"/>
        <v>0</v>
      </c>
      <c r="Z599" s="2254">
        <f t="shared" si="1232"/>
        <v>0</v>
      </c>
      <c r="AA599" s="2252">
        <f t="shared" si="1232"/>
        <v>0</v>
      </c>
      <c r="AB599" s="2255">
        <f t="shared" si="1298"/>
        <v>0</v>
      </c>
      <c r="AC599" s="2184">
        <f>AC259*$AC$387</f>
        <v>0</v>
      </c>
      <c r="AD599" s="2179">
        <f>AD259*$AD$387</f>
        <v>0</v>
      </c>
      <c r="AE599" s="2180">
        <f t="shared" si="1340"/>
        <v>0</v>
      </c>
      <c r="AF599" s="2277"/>
      <c r="AG599" s="2114"/>
      <c r="AH599" s="2188">
        <f t="shared" si="1388"/>
        <v>0</v>
      </c>
      <c r="AI599" s="2188">
        <f t="shared" si="1388"/>
        <v>0</v>
      </c>
      <c r="AJ599" s="2186">
        <f t="shared" si="1375"/>
        <v>0</v>
      </c>
      <c r="AK599" s="2188">
        <f t="shared" si="1389"/>
        <v>0</v>
      </c>
      <c r="AL599" s="2188">
        <f t="shared" si="1389"/>
        <v>0</v>
      </c>
      <c r="AM599" s="2186">
        <f t="shared" si="1376"/>
        <v>0</v>
      </c>
      <c r="AN599" s="2188">
        <f t="shared" si="1390"/>
        <v>0</v>
      </c>
      <c r="AO599" s="2188">
        <f t="shared" si="1390"/>
        <v>0</v>
      </c>
      <c r="AP599" s="2186">
        <f t="shared" si="1377"/>
        <v>0</v>
      </c>
      <c r="AQ599" s="2188">
        <f t="shared" si="1391"/>
        <v>0</v>
      </c>
      <c r="AR599" s="2188">
        <f t="shared" si="1391"/>
        <v>0</v>
      </c>
      <c r="AS599" s="2186">
        <f t="shared" si="1378"/>
        <v>0</v>
      </c>
      <c r="AT599" s="2188">
        <f t="shared" si="1392"/>
        <v>0</v>
      </c>
      <c r="AU599" s="2188">
        <f t="shared" si="1392"/>
        <v>0</v>
      </c>
      <c r="AV599" s="2186">
        <f t="shared" si="1379"/>
        <v>0</v>
      </c>
      <c r="AW599" s="2188">
        <f t="shared" si="1393"/>
        <v>0</v>
      </c>
      <c r="AX599" s="2188">
        <f t="shared" si="1393"/>
        <v>0</v>
      </c>
      <c r="AY599" s="2186">
        <f t="shared" si="1380"/>
        <v>0</v>
      </c>
      <c r="AZ599" s="2188">
        <f t="shared" si="1394"/>
        <v>0</v>
      </c>
      <c r="BA599" s="2188">
        <f t="shared" si="1394"/>
        <v>0</v>
      </c>
      <c r="BB599" s="2186">
        <f t="shared" si="1381"/>
        <v>0</v>
      </c>
      <c r="BC599" s="2188">
        <f t="shared" si="1395"/>
        <v>0</v>
      </c>
      <c r="BD599" s="2188">
        <f t="shared" si="1395"/>
        <v>0</v>
      </c>
      <c r="BE599" s="2186">
        <f t="shared" si="1382"/>
        <v>0</v>
      </c>
      <c r="BF599" s="2188">
        <f t="shared" si="1396"/>
        <v>0</v>
      </c>
      <c r="BG599" s="2188">
        <f t="shared" si="1396"/>
        <v>0</v>
      </c>
      <c r="BH599" s="2186">
        <f t="shared" si="1383"/>
        <v>0</v>
      </c>
      <c r="BI599" s="2188">
        <f t="shared" si="1397"/>
        <v>0</v>
      </c>
      <c r="BJ599" s="2188">
        <f t="shared" si="1397"/>
        <v>0</v>
      </c>
      <c r="BK599" s="2186">
        <f t="shared" si="1384"/>
        <v>0</v>
      </c>
      <c r="BL599" s="2188">
        <f t="shared" si="1398"/>
        <v>0</v>
      </c>
      <c r="BM599" s="2188">
        <f t="shared" si="1398"/>
        <v>0</v>
      </c>
      <c r="BN599" s="2186">
        <f t="shared" si="1385"/>
        <v>0</v>
      </c>
      <c r="BO599" s="2188">
        <f t="shared" si="1399"/>
        <v>0</v>
      </c>
      <c r="BP599" s="2188">
        <f t="shared" si="1399"/>
        <v>0</v>
      </c>
      <c r="BQ599" s="2186">
        <f t="shared" si="1386"/>
        <v>0</v>
      </c>
    </row>
    <row r="600" spans="3:69" s="2087" customFormat="1" ht="21.6" hidden="1" customHeight="1">
      <c r="C600" s="2194" t="s">
        <v>2755</v>
      </c>
      <c r="D600" s="2283" t="s">
        <v>2225</v>
      </c>
      <c r="E600" s="2284" t="s">
        <v>1833</v>
      </c>
      <c r="F600" s="2176"/>
      <c r="G600" s="2177"/>
      <c r="H600" s="2177"/>
      <c r="I600" s="2178">
        <f t="shared" si="1316"/>
        <v>0</v>
      </c>
      <c r="J600" s="2176"/>
      <c r="K600" s="2252">
        <f t="shared" si="1213"/>
        <v>0</v>
      </c>
      <c r="L600" s="2252">
        <f t="shared" si="1213"/>
        <v>0</v>
      </c>
      <c r="M600" s="2255">
        <f t="shared" si="1214"/>
        <v>0</v>
      </c>
      <c r="N600" s="2179">
        <f t="shared" si="1387"/>
        <v>0</v>
      </c>
      <c r="O600" s="2179">
        <f t="shared" si="1387"/>
        <v>0</v>
      </c>
      <c r="P600" s="2178">
        <f t="shared" si="1317"/>
        <v>0</v>
      </c>
      <c r="Q600" s="2184">
        <f>Q260*$Q$387</f>
        <v>0</v>
      </c>
      <c r="R600" s="2179">
        <f>R260*$R$387</f>
        <v>0</v>
      </c>
      <c r="S600" s="2180">
        <f t="shared" si="1318"/>
        <v>0</v>
      </c>
      <c r="T600" s="2251">
        <f t="shared" si="1334"/>
        <v>0</v>
      </c>
      <c r="U600" s="2252">
        <f t="shared" si="1334"/>
        <v>0</v>
      </c>
      <c r="V600" s="2253">
        <f t="shared" si="1335"/>
        <v>0</v>
      </c>
      <c r="W600" s="2187">
        <f>W260*$W$387</f>
        <v>0</v>
      </c>
      <c r="X600" s="2179">
        <f>X260*$X$387</f>
        <v>0</v>
      </c>
      <c r="Y600" s="2183">
        <f t="shared" si="1339"/>
        <v>0</v>
      </c>
      <c r="Z600" s="2254">
        <f t="shared" si="1232"/>
        <v>0</v>
      </c>
      <c r="AA600" s="2252">
        <f t="shared" si="1232"/>
        <v>0</v>
      </c>
      <c r="AB600" s="2255">
        <f t="shared" si="1298"/>
        <v>0</v>
      </c>
      <c r="AC600" s="2184">
        <f>AC260*$AC$387</f>
        <v>0</v>
      </c>
      <c r="AD600" s="2179">
        <f>AD260*$AD$387</f>
        <v>0</v>
      </c>
      <c r="AE600" s="2180">
        <f t="shared" si="1340"/>
        <v>0</v>
      </c>
      <c r="AF600" s="2277"/>
      <c r="AG600" s="2114"/>
      <c r="AH600" s="2188">
        <f t="shared" si="1388"/>
        <v>0</v>
      </c>
      <c r="AI600" s="2188">
        <f t="shared" si="1388"/>
        <v>0</v>
      </c>
      <c r="AJ600" s="2186">
        <f t="shared" si="1375"/>
        <v>0</v>
      </c>
      <c r="AK600" s="2188">
        <f t="shared" si="1389"/>
        <v>0</v>
      </c>
      <c r="AL600" s="2188">
        <f t="shared" si="1389"/>
        <v>0</v>
      </c>
      <c r="AM600" s="2186">
        <f t="shared" si="1376"/>
        <v>0</v>
      </c>
      <c r="AN600" s="2188">
        <f t="shared" si="1390"/>
        <v>0</v>
      </c>
      <c r="AO600" s="2188">
        <f t="shared" si="1390"/>
        <v>0</v>
      </c>
      <c r="AP600" s="2186">
        <f t="shared" si="1377"/>
        <v>0</v>
      </c>
      <c r="AQ600" s="2188">
        <f t="shared" si="1391"/>
        <v>0</v>
      </c>
      <c r="AR600" s="2188">
        <f t="shared" si="1391"/>
        <v>0</v>
      </c>
      <c r="AS600" s="2186">
        <f t="shared" si="1378"/>
        <v>0</v>
      </c>
      <c r="AT600" s="2188">
        <f t="shared" si="1392"/>
        <v>0</v>
      </c>
      <c r="AU600" s="2188">
        <f t="shared" si="1392"/>
        <v>0</v>
      </c>
      <c r="AV600" s="2186">
        <f t="shared" si="1379"/>
        <v>0</v>
      </c>
      <c r="AW600" s="2188">
        <f t="shared" si="1393"/>
        <v>0</v>
      </c>
      <c r="AX600" s="2188">
        <f t="shared" si="1393"/>
        <v>0</v>
      </c>
      <c r="AY600" s="2186">
        <f t="shared" si="1380"/>
        <v>0</v>
      </c>
      <c r="AZ600" s="2188">
        <f t="shared" si="1394"/>
        <v>0</v>
      </c>
      <c r="BA600" s="2188">
        <f t="shared" si="1394"/>
        <v>0</v>
      </c>
      <c r="BB600" s="2186">
        <f t="shared" si="1381"/>
        <v>0</v>
      </c>
      <c r="BC600" s="2188">
        <f t="shared" si="1395"/>
        <v>0</v>
      </c>
      <c r="BD600" s="2188">
        <f t="shared" si="1395"/>
        <v>0</v>
      </c>
      <c r="BE600" s="2186">
        <f t="shared" si="1382"/>
        <v>0</v>
      </c>
      <c r="BF600" s="2188">
        <f t="shared" si="1396"/>
        <v>0</v>
      </c>
      <c r="BG600" s="2188">
        <f t="shared" si="1396"/>
        <v>0</v>
      </c>
      <c r="BH600" s="2186">
        <f t="shared" si="1383"/>
        <v>0</v>
      </c>
      <c r="BI600" s="2188">
        <f t="shared" si="1397"/>
        <v>0</v>
      </c>
      <c r="BJ600" s="2188">
        <f t="shared" si="1397"/>
        <v>0</v>
      </c>
      <c r="BK600" s="2186">
        <f t="shared" si="1384"/>
        <v>0</v>
      </c>
      <c r="BL600" s="2188">
        <f t="shared" si="1398"/>
        <v>0</v>
      </c>
      <c r="BM600" s="2188">
        <f t="shared" si="1398"/>
        <v>0</v>
      </c>
      <c r="BN600" s="2186">
        <f t="shared" si="1385"/>
        <v>0</v>
      </c>
      <c r="BO600" s="2188">
        <f t="shared" si="1399"/>
        <v>0</v>
      </c>
      <c r="BP600" s="2188">
        <f t="shared" si="1399"/>
        <v>0</v>
      </c>
      <c r="BQ600" s="2186">
        <f t="shared" si="1386"/>
        <v>0</v>
      </c>
    </row>
    <row r="601" spans="3:69" s="2087" customFormat="1" ht="21.6" hidden="1" customHeight="1">
      <c r="C601" s="2194" t="s">
        <v>2756</v>
      </c>
      <c r="D601" s="2283" t="s">
        <v>2227</v>
      </c>
      <c r="E601" s="2284" t="s">
        <v>1833</v>
      </c>
      <c r="F601" s="2176"/>
      <c r="G601" s="2177"/>
      <c r="H601" s="2177"/>
      <c r="I601" s="2178">
        <f t="shared" si="1316"/>
        <v>0</v>
      </c>
      <c r="J601" s="2176"/>
      <c r="K601" s="2252">
        <f t="shared" si="1213"/>
        <v>0</v>
      </c>
      <c r="L601" s="2252">
        <f t="shared" si="1213"/>
        <v>0</v>
      </c>
      <c r="M601" s="2255">
        <f t="shared" si="1214"/>
        <v>0</v>
      </c>
      <c r="N601" s="2179">
        <f t="shared" si="1387"/>
        <v>0</v>
      </c>
      <c r="O601" s="2179">
        <f t="shared" si="1387"/>
        <v>0</v>
      </c>
      <c r="P601" s="2178">
        <f t="shared" si="1317"/>
        <v>0</v>
      </c>
      <c r="Q601" s="2184">
        <f>Q261*$Q$387</f>
        <v>0</v>
      </c>
      <c r="R601" s="2179">
        <f>R261*$R$387</f>
        <v>0</v>
      </c>
      <c r="S601" s="2180">
        <f t="shared" si="1318"/>
        <v>0</v>
      </c>
      <c r="T601" s="2251">
        <f t="shared" si="1334"/>
        <v>0</v>
      </c>
      <c r="U601" s="2252">
        <f t="shared" si="1334"/>
        <v>0</v>
      </c>
      <c r="V601" s="2253">
        <f t="shared" si="1335"/>
        <v>0</v>
      </c>
      <c r="W601" s="2187">
        <f>W261*$W$387</f>
        <v>0</v>
      </c>
      <c r="X601" s="2179">
        <f>X261*$X$387</f>
        <v>0</v>
      </c>
      <c r="Y601" s="2183">
        <f t="shared" si="1339"/>
        <v>0</v>
      </c>
      <c r="Z601" s="2254">
        <f t="shared" si="1232"/>
        <v>0</v>
      </c>
      <c r="AA601" s="2252">
        <f t="shared" si="1232"/>
        <v>0</v>
      </c>
      <c r="AB601" s="2255">
        <f t="shared" si="1298"/>
        <v>0</v>
      </c>
      <c r="AC601" s="2184">
        <f>AC261*$AC$387</f>
        <v>0</v>
      </c>
      <c r="AD601" s="2179">
        <f>AD261*$AD$387</f>
        <v>0</v>
      </c>
      <c r="AE601" s="2180">
        <f t="shared" si="1340"/>
        <v>0</v>
      </c>
      <c r="AF601" s="2277"/>
      <c r="AG601" s="2114"/>
      <c r="AH601" s="2188">
        <f t="shared" si="1388"/>
        <v>0</v>
      </c>
      <c r="AI601" s="2188">
        <f t="shared" si="1388"/>
        <v>0</v>
      </c>
      <c r="AJ601" s="2186">
        <f t="shared" si="1375"/>
        <v>0</v>
      </c>
      <c r="AK601" s="2188">
        <f t="shared" si="1389"/>
        <v>0</v>
      </c>
      <c r="AL601" s="2188">
        <f t="shared" si="1389"/>
        <v>0</v>
      </c>
      <c r="AM601" s="2186">
        <f t="shared" si="1376"/>
        <v>0</v>
      </c>
      <c r="AN601" s="2188">
        <f t="shared" si="1390"/>
        <v>0</v>
      </c>
      <c r="AO601" s="2188">
        <f t="shared" si="1390"/>
        <v>0</v>
      </c>
      <c r="AP601" s="2186">
        <f t="shared" si="1377"/>
        <v>0</v>
      </c>
      <c r="AQ601" s="2188">
        <f t="shared" si="1391"/>
        <v>0</v>
      </c>
      <c r="AR601" s="2188">
        <f t="shared" si="1391"/>
        <v>0</v>
      </c>
      <c r="AS601" s="2186">
        <f t="shared" si="1378"/>
        <v>0</v>
      </c>
      <c r="AT601" s="2188">
        <f t="shared" si="1392"/>
        <v>0</v>
      </c>
      <c r="AU601" s="2188">
        <f t="shared" si="1392"/>
        <v>0</v>
      </c>
      <c r="AV601" s="2186">
        <f t="shared" si="1379"/>
        <v>0</v>
      </c>
      <c r="AW601" s="2188">
        <f t="shared" si="1393"/>
        <v>0</v>
      </c>
      <c r="AX601" s="2188">
        <f t="shared" si="1393"/>
        <v>0</v>
      </c>
      <c r="AY601" s="2186">
        <f t="shared" si="1380"/>
        <v>0</v>
      </c>
      <c r="AZ601" s="2188">
        <f t="shared" si="1394"/>
        <v>0</v>
      </c>
      <c r="BA601" s="2188">
        <f t="shared" si="1394"/>
        <v>0</v>
      </c>
      <c r="BB601" s="2186">
        <f t="shared" si="1381"/>
        <v>0</v>
      </c>
      <c r="BC601" s="2188">
        <f t="shared" si="1395"/>
        <v>0</v>
      </c>
      <c r="BD601" s="2188">
        <f t="shared" si="1395"/>
        <v>0</v>
      </c>
      <c r="BE601" s="2186">
        <f t="shared" si="1382"/>
        <v>0</v>
      </c>
      <c r="BF601" s="2188">
        <f t="shared" si="1396"/>
        <v>0</v>
      </c>
      <c r="BG601" s="2188">
        <f t="shared" si="1396"/>
        <v>0</v>
      </c>
      <c r="BH601" s="2186">
        <f t="shared" si="1383"/>
        <v>0</v>
      </c>
      <c r="BI601" s="2188">
        <f t="shared" si="1397"/>
        <v>0</v>
      </c>
      <c r="BJ601" s="2188">
        <f t="shared" si="1397"/>
        <v>0</v>
      </c>
      <c r="BK601" s="2186">
        <f t="shared" si="1384"/>
        <v>0</v>
      </c>
      <c r="BL601" s="2188">
        <f t="shared" si="1398"/>
        <v>0</v>
      </c>
      <c r="BM601" s="2188">
        <f t="shared" si="1398"/>
        <v>0</v>
      </c>
      <c r="BN601" s="2186">
        <f t="shared" si="1385"/>
        <v>0</v>
      </c>
      <c r="BO601" s="2188">
        <f t="shared" si="1399"/>
        <v>0</v>
      </c>
      <c r="BP601" s="2188">
        <f t="shared" si="1399"/>
        <v>0</v>
      </c>
      <c r="BQ601" s="2186">
        <f t="shared" si="1386"/>
        <v>0</v>
      </c>
    </row>
    <row r="602" spans="3:69" s="2087" customFormat="1" ht="21.6" hidden="1" customHeight="1">
      <c r="C602" s="2194" t="s">
        <v>2757</v>
      </c>
      <c r="D602" s="2283" t="s">
        <v>2229</v>
      </c>
      <c r="E602" s="2284" t="s">
        <v>1833</v>
      </c>
      <c r="F602" s="2176"/>
      <c r="G602" s="2177"/>
      <c r="H602" s="2177"/>
      <c r="I602" s="2186"/>
      <c r="J602" s="2176"/>
      <c r="K602" s="2252">
        <f t="shared" si="1213"/>
        <v>0</v>
      </c>
      <c r="L602" s="2252">
        <f t="shared" si="1213"/>
        <v>0</v>
      </c>
      <c r="M602" s="2255">
        <f t="shared" si="1214"/>
        <v>0</v>
      </c>
      <c r="N602" s="2177"/>
      <c r="O602" s="2177"/>
      <c r="P602" s="2186"/>
      <c r="Q602" s="2177"/>
      <c r="R602" s="2177"/>
      <c r="S602" s="2266"/>
      <c r="T602" s="2251">
        <f t="shared" si="1334"/>
        <v>0</v>
      </c>
      <c r="U602" s="2252">
        <f t="shared" si="1334"/>
        <v>0</v>
      </c>
      <c r="V602" s="2253">
        <f t="shared" si="1335"/>
        <v>0</v>
      </c>
      <c r="W602" s="2182"/>
      <c r="X602" s="2177"/>
      <c r="Y602" s="2271"/>
      <c r="Z602" s="2254">
        <f t="shared" si="1232"/>
        <v>0</v>
      </c>
      <c r="AA602" s="2252">
        <f t="shared" si="1232"/>
        <v>0</v>
      </c>
      <c r="AB602" s="2255">
        <f t="shared" si="1298"/>
        <v>0</v>
      </c>
      <c r="AC602" s="2177"/>
      <c r="AD602" s="2177"/>
      <c r="AE602" s="2266"/>
      <c r="AF602" s="2277"/>
      <c r="AG602" s="2114"/>
      <c r="AH602" s="2177"/>
      <c r="AI602" s="2177"/>
      <c r="AJ602" s="2186"/>
      <c r="AK602" s="2177"/>
      <c r="AL602" s="2177"/>
      <c r="AM602" s="2186"/>
      <c r="AN602" s="2177"/>
      <c r="AO602" s="2177"/>
      <c r="AP602" s="2186"/>
      <c r="AQ602" s="2177"/>
      <c r="AR602" s="2177"/>
      <c r="AS602" s="2186"/>
      <c r="AT602" s="2177"/>
      <c r="AU602" s="2177"/>
      <c r="AV602" s="2186"/>
      <c r="AW602" s="2177"/>
      <c r="AX602" s="2177"/>
      <c r="AY602" s="2186"/>
      <c r="AZ602" s="2177"/>
      <c r="BA602" s="2177"/>
      <c r="BB602" s="2186"/>
      <c r="BC602" s="2177"/>
      <c r="BD602" s="2177"/>
      <c r="BE602" s="2186"/>
      <c r="BF602" s="2177"/>
      <c r="BG602" s="2177"/>
      <c r="BH602" s="2186"/>
      <c r="BI602" s="2177"/>
      <c r="BJ602" s="2177"/>
      <c r="BK602" s="2186"/>
      <c r="BL602" s="2177"/>
      <c r="BM602" s="2177"/>
      <c r="BN602" s="2186"/>
      <c r="BO602" s="2177"/>
      <c r="BP602" s="2177"/>
      <c r="BQ602" s="2186"/>
    </row>
    <row r="603" spans="3:69" s="2087" customFormat="1" ht="21.6" hidden="1" customHeight="1">
      <c r="C603" s="2285" t="s">
        <v>2758</v>
      </c>
      <c r="D603" s="2287" t="s">
        <v>2255</v>
      </c>
      <c r="E603" s="2284" t="s">
        <v>1833</v>
      </c>
      <c r="F603" s="2176"/>
      <c r="G603" s="2179">
        <f>G604+G605+G606+G607+G608</f>
        <v>0</v>
      </c>
      <c r="H603" s="2179">
        <f>H604+H605+H606+H607+H608</f>
        <v>0</v>
      </c>
      <c r="I603" s="2178">
        <f t="shared" ref="I603" si="1400">H603-G603</f>
        <v>0</v>
      </c>
      <c r="J603" s="2176"/>
      <c r="K603" s="2252">
        <f t="shared" si="1213"/>
        <v>0</v>
      </c>
      <c r="L603" s="2179">
        <f t="shared" si="1213"/>
        <v>0</v>
      </c>
      <c r="M603" s="2178">
        <f t="shared" si="1214"/>
        <v>0</v>
      </c>
      <c r="N603" s="2179">
        <f>N604+N605+N606+N607+N608</f>
        <v>0</v>
      </c>
      <c r="O603" s="2179">
        <f>O604+O605+O606+O607+O608</f>
        <v>0</v>
      </c>
      <c r="P603" s="2178">
        <f t="shared" ref="P603" si="1401">O603-N603</f>
        <v>0</v>
      </c>
      <c r="Q603" s="2179">
        <f>Q604+Q605+Q606+Q607+Q608</f>
        <v>0</v>
      </c>
      <c r="R603" s="2179">
        <f>R604+R605+R606+R607+R608</f>
        <v>0</v>
      </c>
      <c r="S603" s="2180">
        <f t="shared" ref="S603" si="1402">R603-Q603</f>
        <v>0</v>
      </c>
      <c r="T603" s="2181">
        <f t="shared" si="1334"/>
        <v>0</v>
      </c>
      <c r="U603" s="2179">
        <f t="shared" si="1334"/>
        <v>0</v>
      </c>
      <c r="V603" s="2180">
        <f t="shared" si="1335"/>
        <v>0</v>
      </c>
      <c r="W603" s="2187">
        <f>W604+W605+W606+W607+W608</f>
        <v>0</v>
      </c>
      <c r="X603" s="2179">
        <f>X604+X605+X606+X607+X608</f>
        <v>0</v>
      </c>
      <c r="Y603" s="2183">
        <f t="shared" ref="Y603" si="1403">X603-W603</f>
        <v>0</v>
      </c>
      <c r="Z603" s="2184">
        <f t="shared" si="1232"/>
        <v>0</v>
      </c>
      <c r="AA603" s="2179">
        <f t="shared" si="1232"/>
        <v>0</v>
      </c>
      <c r="AB603" s="2178">
        <f t="shared" si="1298"/>
        <v>0</v>
      </c>
      <c r="AC603" s="2179">
        <f>AC604+AC605+AC606+AC607+AC608</f>
        <v>0</v>
      </c>
      <c r="AD603" s="2179">
        <f>AD604+AD605+AD606+AD607+AD608</f>
        <v>0</v>
      </c>
      <c r="AE603" s="2180">
        <f t="shared" ref="AE603" si="1404">AD603-AC603</f>
        <v>0</v>
      </c>
      <c r="AF603" s="2277"/>
      <c r="AG603" s="2114"/>
      <c r="AH603" s="2188">
        <f>AH604+AH605+AH606+AH607+AH608</f>
        <v>0</v>
      </c>
      <c r="AI603" s="2188">
        <f>AI604+AI605+AI606+AI607+AI608</f>
        <v>0</v>
      </c>
      <c r="AJ603" s="2186">
        <f t="shared" ref="AJ603:AJ607" si="1405">AI603-AH603</f>
        <v>0</v>
      </c>
      <c r="AK603" s="2188">
        <f>AK604+AK605+AK606+AK607+AK608</f>
        <v>0</v>
      </c>
      <c r="AL603" s="2188">
        <f>AL604+AL605+AL606+AL607+AL608</f>
        <v>0</v>
      </c>
      <c r="AM603" s="2186">
        <f t="shared" ref="AM603:AM607" si="1406">AL603-AK603</f>
        <v>0</v>
      </c>
      <c r="AN603" s="2188">
        <f>AN604+AN605+AN606+AN607+AN608</f>
        <v>0</v>
      </c>
      <c r="AO603" s="2188">
        <f>AO604+AO605+AO606+AO607+AO608</f>
        <v>0</v>
      </c>
      <c r="AP603" s="2186">
        <f t="shared" ref="AP603:AP607" si="1407">AO603-AN603</f>
        <v>0</v>
      </c>
      <c r="AQ603" s="2188">
        <f>AQ604+AQ605+AQ606+AQ607+AQ608</f>
        <v>0</v>
      </c>
      <c r="AR603" s="2188">
        <f>AR604+AR605+AR606+AR607+AR608</f>
        <v>0</v>
      </c>
      <c r="AS603" s="2186">
        <f t="shared" ref="AS603:AS607" si="1408">AR603-AQ603</f>
        <v>0</v>
      </c>
      <c r="AT603" s="2188">
        <f>AT604+AT605+AT606+AT607+AT608</f>
        <v>0</v>
      </c>
      <c r="AU603" s="2188">
        <f>AU604+AU605+AU606+AU607+AU608</f>
        <v>0</v>
      </c>
      <c r="AV603" s="2186">
        <f t="shared" ref="AV603:AV607" si="1409">AU603-AT603</f>
        <v>0</v>
      </c>
      <c r="AW603" s="2188">
        <f>AW604+AW605+AW606+AW607+AW608</f>
        <v>0</v>
      </c>
      <c r="AX603" s="2188">
        <f>AX604+AX605+AX606+AX607+AX608</f>
        <v>0</v>
      </c>
      <c r="AY603" s="2186">
        <f t="shared" ref="AY603:AY607" si="1410">AX603-AW603</f>
        <v>0</v>
      </c>
      <c r="AZ603" s="2188">
        <f>AZ604+AZ605+AZ606+AZ607+AZ608</f>
        <v>0</v>
      </c>
      <c r="BA603" s="2188">
        <f>BA604+BA605+BA606+BA607+BA608</f>
        <v>0</v>
      </c>
      <c r="BB603" s="2186">
        <f t="shared" ref="BB603:BB607" si="1411">BA603-AZ603</f>
        <v>0</v>
      </c>
      <c r="BC603" s="2188">
        <f>BC604+BC605+BC606+BC607+BC608</f>
        <v>0</v>
      </c>
      <c r="BD603" s="2188">
        <f>BD604+BD605+BD606+BD607+BD608</f>
        <v>0</v>
      </c>
      <c r="BE603" s="2186">
        <f t="shared" ref="BE603:BE607" si="1412">BD603-BC603</f>
        <v>0</v>
      </c>
      <c r="BF603" s="2188">
        <f>BF604+BF605+BF606+BF607+BF608</f>
        <v>0</v>
      </c>
      <c r="BG603" s="2188">
        <f>BG604+BG605+BG606+BG607+BG608</f>
        <v>0</v>
      </c>
      <c r="BH603" s="2186">
        <f t="shared" ref="BH603:BH607" si="1413">BG603-BF603</f>
        <v>0</v>
      </c>
      <c r="BI603" s="2188">
        <f>BI604+BI605+BI606+BI607+BI608</f>
        <v>0</v>
      </c>
      <c r="BJ603" s="2188">
        <f>BJ604+BJ605+BJ606+BJ607+BJ608</f>
        <v>0</v>
      </c>
      <c r="BK603" s="2186">
        <f t="shared" ref="BK603:BK607" si="1414">BJ603-BI603</f>
        <v>0</v>
      </c>
      <c r="BL603" s="2188">
        <f>BL604+BL605+BL606+BL607+BL608</f>
        <v>0</v>
      </c>
      <c r="BM603" s="2188">
        <f>BM604+BM605+BM606+BM607+BM608</f>
        <v>0</v>
      </c>
      <c r="BN603" s="2186">
        <f t="shared" ref="BN603:BN607" si="1415">BM603-BL603</f>
        <v>0</v>
      </c>
      <c r="BO603" s="2188">
        <f>BO604+BO605+BO606+BO607+BO608</f>
        <v>0</v>
      </c>
      <c r="BP603" s="2188">
        <f>BP604+BP605+BP606+BP607+BP608</f>
        <v>0</v>
      </c>
      <c r="BQ603" s="2186">
        <f t="shared" ref="BQ603:BQ607" si="1416">BP603-BO603</f>
        <v>0</v>
      </c>
    </row>
    <row r="604" spans="3:69" s="2087" customFormat="1" ht="21.6" hidden="1" customHeight="1">
      <c r="C604" s="2194" t="s">
        <v>2759</v>
      </c>
      <c r="D604" s="2283" t="s">
        <v>2221</v>
      </c>
      <c r="E604" s="2284" t="s">
        <v>1833</v>
      </c>
      <c r="F604" s="2176"/>
      <c r="G604" s="2177"/>
      <c r="H604" s="2177"/>
      <c r="I604" s="2178">
        <f t="shared" si="1316"/>
        <v>0</v>
      </c>
      <c r="J604" s="2176"/>
      <c r="K604" s="2252">
        <f t="shared" si="1213"/>
        <v>0</v>
      </c>
      <c r="L604" s="2252">
        <f t="shared" si="1213"/>
        <v>0</v>
      </c>
      <c r="M604" s="2255">
        <f t="shared" si="1214"/>
        <v>0</v>
      </c>
      <c r="N604" s="2179">
        <f>N264*$N$389</f>
        <v>0</v>
      </c>
      <c r="O604" s="2179">
        <f>O264*$O$389</f>
        <v>0</v>
      </c>
      <c r="P604" s="2178">
        <f t="shared" si="1317"/>
        <v>0</v>
      </c>
      <c r="Q604" s="2184">
        <f>Q264*$Q$389</f>
        <v>0</v>
      </c>
      <c r="R604" s="2179">
        <f>R264*$R$389</f>
        <v>0</v>
      </c>
      <c r="S604" s="2180">
        <f t="shared" si="1318"/>
        <v>0</v>
      </c>
      <c r="T604" s="2251">
        <f t="shared" si="1334"/>
        <v>0</v>
      </c>
      <c r="U604" s="2252">
        <f t="shared" si="1334"/>
        <v>0</v>
      </c>
      <c r="V604" s="2253">
        <f t="shared" si="1335"/>
        <v>0</v>
      </c>
      <c r="W604" s="2187">
        <f>W264*$W$389</f>
        <v>0</v>
      </c>
      <c r="X604" s="2179">
        <f>X264*$X$389</f>
        <v>0</v>
      </c>
      <c r="Y604" s="2183">
        <f t="shared" si="1339"/>
        <v>0</v>
      </c>
      <c r="Z604" s="2254">
        <f t="shared" si="1232"/>
        <v>0</v>
      </c>
      <c r="AA604" s="2252">
        <f t="shared" si="1232"/>
        <v>0</v>
      </c>
      <c r="AB604" s="2255">
        <f t="shared" si="1298"/>
        <v>0</v>
      </c>
      <c r="AC604" s="2184">
        <f>AC264*$AC$389</f>
        <v>0</v>
      </c>
      <c r="AD604" s="2179">
        <f>AD264*$AD$389</f>
        <v>0</v>
      </c>
      <c r="AE604" s="2180">
        <f t="shared" si="1340"/>
        <v>0</v>
      </c>
      <c r="AF604" s="2277"/>
      <c r="AG604" s="2114"/>
      <c r="AH604" s="2188">
        <f>AH264*$N$389</f>
        <v>0</v>
      </c>
      <c r="AI604" s="2188">
        <f>AI264*$O$389</f>
        <v>0</v>
      </c>
      <c r="AJ604" s="2186">
        <f t="shared" si="1405"/>
        <v>0</v>
      </c>
      <c r="AK604" s="2188">
        <f>AK264*$N$389</f>
        <v>0</v>
      </c>
      <c r="AL604" s="2188">
        <f>AL264*$O$389</f>
        <v>0</v>
      </c>
      <c r="AM604" s="2186">
        <f t="shared" si="1406"/>
        <v>0</v>
      </c>
      <c r="AN604" s="2188">
        <f>AN264*$N$389</f>
        <v>0</v>
      </c>
      <c r="AO604" s="2188">
        <f>AO264*$O$389</f>
        <v>0</v>
      </c>
      <c r="AP604" s="2186">
        <f t="shared" si="1407"/>
        <v>0</v>
      </c>
      <c r="AQ604" s="2188">
        <f>AQ264*$N$389</f>
        <v>0</v>
      </c>
      <c r="AR604" s="2188">
        <f>AR264*$O$389</f>
        <v>0</v>
      </c>
      <c r="AS604" s="2186">
        <f t="shared" si="1408"/>
        <v>0</v>
      </c>
      <c r="AT604" s="2188">
        <f>AT264*$N$389</f>
        <v>0</v>
      </c>
      <c r="AU604" s="2188">
        <f>AU264*$O$389</f>
        <v>0</v>
      </c>
      <c r="AV604" s="2186">
        <f t="shared" si="1409"/>
        <v>0</v>
      </c>
      <c r="AW604" s="2188">
        <f>AW264*$N$389</f>
        <v>0</v>
      </c>
      <c r="AX604" s="2188">
        <f>AX264*$O$389</f>
        <v>0</v>
      </c>
      <c r="AY604" s="2186">
        <f t="shared" si="1410"/>
        <v>0</v>
      </c>
      <c r="AZ604" s="2188">
        <f>AZ264*$N$389</f>
        <v>0</v>
      </c>
      <c r="BA604" s="2188">
        <f>BA264*$O$389</f>
        <v>0</v>
      </c>
      <c r="BB604" s="2186">
        <f t="shared" si="1411"/>
        <v>0</v>
      </c>
      <c r="BC604" s="2188">
        <f>BC264*$N$389</f>
        <v>0</v>
      </c>
      <c r="BD604" s="2188">
        <f>BD264*$O$389</f>
        <v>0</v>
      </c>
      <c r="BE604" s="2186">
        <f t="shared" si="1412"/>
        <v>0</v>
      </c>
      <c r="BF604" s="2188">
        <f>BF264*$N$389</f>
        <v>0</v>
      </c>
      <c r="BG604" s="2188">
        <f>BG264*$O$389</f>
        <v>0</v>
      </c>
      <c r="BH604" s="2186">
        <f t="shared" si="1413"/>
        <v>0</v>
      </c>
      <c r="BI604" s="2188">
        <f>BI264*$N$389</f>
        <v>0</v>
      </c>
      <c r="BJ604" s="2188">
        <f>BJ264*$O$389</f>
        <v>0</v>
      </c>
      <c r="BK604" s="2186">
        <f t="shared" si="1414"/>
        <v>0</v>
      </c>
      <c r="BL604" s="2188">
        <f>BL264*$N$389</f>
        <v>0</v>
      </c>
      <c r="BM604" s="2188">
        <f>BM264*$O$389</f>
        <v>0</v>
      </c>
      <c r="BN604" s="2186">
        <f t="shared" si="1415"/>
        <v>0</v>
      </c>
      <c r="BO604" s="2188">
        <f>BO264*$N$389</f>
        <v>0</v>
      </c>
      <c r="BP604" s="2188">
        <f>BP264*$O$389</f>
        <v>0</v>
      </c>
      <c r="BQ604" s="2186">
        <f t="shared" si="1416"/>
        <v>0</v>
      </c>
    </row>
    <row r="605" spans="3:69" s="2087" customFormat="1" ht="21.6" hidden="1" customHeight="1">
      <c r="C605" s="2194" t="s">
        <v>2760</v>
      </c>
      <c r="D605" s="2283" t="s">
        <v>2223</v>
      </c>
      <c r="E605" s="2284" t="s">
        <v>1833</v>
      </c>
      <c r="F605" s="2176"/>
      <c r="G605" s="2177"/>
      <c r="H605" s="2177"/>
      <c r="I605" s="2178">
        <f t="shared" si="1316"/>
        <v>0</v>
      </c>
      <c r="J605" s="2176"/>
      <c r="K605" s="2252">
        <f t="shared" ref="K605:L640" si="1417">N605+Q605+W605+AC605</f>
        <v>0</v>
      </c>
      <c r="L605" s="2252">
        <f t="shared" si="1417"/>
        <v>0</v>
      </c>
      <c r="M605" s="2255">
        <f t="shared" ref="M605:M641" si="1418">L605-K605</f>
        <v>0</v>
      </c>
      <c r="N605" s="2179">
        <f>N265*$N$389</f>
        <v>0</v>
      </c>
      <c r="O605" s="2179">
        <f>O265*$O$389</f>
        <v>0</v>
      </c>
      <c r="P605" s="2178">
        <f t="shared" si="1317"/>
        <v>0</v>
      </c>
      <c r="Q605" s="2184">
        <f>Q265*$Q$389</f>
        <v>0</v>
      </c>
      <c r="R605" s="2179">
        <f>R265*$R$389</f>
        <v>0</v>
      </c>
      <c r="S605" s="2180">
        <f t="shared" si="1318"/>
        <v>0</v>
      </c>
      <c r="T605" s="2251">
        <f t="shared" si="1334"/>
        <v>0</v>
      </c>
      <c r="U605" s="2252">
        <f t="shared" si="1334"/>
        <v>0</v>
      </c>
      <c r="V605" s="2253">
        <f t="shared" si="1335"/>
        <v>0</v>
      </c>
      <c r="W605" s="2187">
        <f>W265*$W$389</f>
        <v>0</v>
      </c>
      <c r="X605" s="2179">
        <f>X265*$X$389</f>
        <v>0</v>
      </c>
      <c r="Y605" s="2183">
        <f t="shared" si="1339"/>
        <v>0</v>
      </c>
      <c r="Z605" s="2254">
        <f t="shared" si="1232"/>
        <v>0</v>
      </c>
      <c r="AA605" s="2252">
        <f t="shared" si="1232"/>
        <v>0</v>
      </c>
      <c r="AB605" s="2255">
        <f t="shared" si="1298"/>
        <v>0</v>
      </c>
      <c r="AC605" s="2184">
        <f>AC265*$AC$389</f>
        <v>0</v>
      </c>
      <c r="AD605" s="2179">
        <f>AD265*$AD$389</f>
        <v>0</v>
      </c>
      <c r="AE605" s="2180">
        <f t="shared" si="1340"/>
        <v>0</v>
      </c>
      <c r="AF605" s="2277"/>
      <c r="AG605" s="2114"/>
      <c r="AH605" s="2188">
        <f>AH265*$N$389</f>
        <v>0</v>
      </c>
      <c r="AI605" s="2188">
        <f>AI265*$O$389</f>
        <v>0</v>
      </c>
      <c r="AJ605" s="2186">
        <f t="shared" si="1405"/>
        <v>0</v>
      </c>
      <c r="AK605" s="2188">
        <f>AK265*$N$389</f>
        <v>0</v>
      </c>
      <c r="AL605" s="2188">
        <f>AL265*$O$389</f>
        <v>0</v>
      </c>
      <c r="AM605" s="2186">
        <f t="shared" si="1406"/>
        <v>0</v>
      </c>
      <c r="AN605" s="2188">
        <f>AN265*$N$389</f>
        <v>0</v>
      </c>
      <c r="AO605" s="2188">
        <f>AO265*$O$389</f>
        <v>0</v>
      </c>
      <c r="AP605" s="2186">
        <f t="shared" si="1407"/>
        <v>0</v>
      </c>
      <c r="AQ605" s="2188">
        <f>AQ265*$N$389</f>
        <v>0</v>
      </c>
      <c r="AR605" s="2188">
        <f>AR265*$O$389</f>
        <v>0</v>
      </c>
      <c r="AS605" s="2186">
        <f t="shared" si="1408"/>
        <v>0</v>
      </c>
      <c r="AT605" s="2188">
        <f>AT265*$N$389</f>
        <v>0</v>
      </c>
      <c r="AU605" s="2188">
        <f>AU265*$O$389</f>
        <v>0</v>
      </c>
      <c r="AV605" s="2186">
        <f t="shared" si="1409"/>
        <v>0</v>
      </c>
      <c r="AW605" s="2188">
        <f>AW265*$N$389</f>
        <v>0</v>
      </c>
      <c r="AX605" s="2188">
        <f>AX265*$O$389</f>
        <v>0</v>
      </c>
      <c r="AY605" s="2186">
        <f t="shared" si="1410"/>
        <v>0</v>
      </c>
      <c r="AZ605" s="2188">
        <f>AZ265*$N$389</f>
        <v>0</v>
      </c>
      <c r="BA605" s="2188">
        <f>BA265*$O$389</f>
        <v>0</v>
      </c>
      <c r="BB605" s="2186">
        <f t="shared" si="1411"/>
        <v>0</v>
      </c>
      <c r="BC605" s="2188">
        <f>BC265*$N$389</f>
        <v>0</v>
      </c>
      <c r="BD605" s="2188">
        <f>BD265*$O$389</f>
        <v>0</v>
      </c>
      <c r="BE605" s="2186">
        <f t="shared" si="1412"/>
        <v>0</v>
      </c>
      <c r="BF605" s="2188">
        <f>BF265*$N$389</f>
        <v>0</v>
      </c>
      <c r="BG605" s="2188">
        <f>BG265*$O$389</f>
        <v>0</v>
      </c>
      <c r="BH605" s="2186">
        <f t="shared" si="1413"/>
        <v>0</v>
      </c>
      <c r="BI605" s="2188">
        <f>BI265*$N$389</f>
        <v>0</v>
      </c>
      <c r="BJ605" s="2188">
        <f>BJ265*$O$389</f>
        <v>0</v>
      </c>
      <c r="BK605" s="2186">
        <f t="shared" si="1414"/>
        <v>0</v>
      </c>
      <c r="BL605" s="2188">
        <f>BL265*$N$389</f>
        <v>0</v>
      </c>
      <c r="BM605" s="2188">
        <f>BM265*$O$389</f>
        <v>0</v>
      </c>
      <c r="BN605" s="2186">
        <f t="shared" si="1415"/>
        <v>0</v>
      </c>
      <c r="BO605" s="2188">
        <f>BO265*$N$389</f>
        <v>0</v>
      </c>
      <c r="BP605" s="2188">
        <f>BP265*$O$389</f>
        <v>0</v>
      </c>
      <c r="BQ605" s="2186">
        <f t="shared" si="1416"/>
        <v>0</v>
      </c>
    </row>
    <row r="606" spans="3:69" s="2087" customFormat="1" ht="21.6" hidden="1" customHeight="1">
      <c r="C606" s="2194" t="s">
        <v>2761</v>
      </c>
      <c r="D606" s="2283" t="s">
        <v>2225</v>
      </c>
      <c r="E606" s="2284" t="s">
        <v>1833</v>
      </c>
      <c r="F606" s="2176"/>
      <c r="G606" s="2177"/>
      <c r="H606" s="2177"/>
      <c r="I606" s="2178">
        <f t="shared" si="1316"/>
        <v>0</v>
      </c>
      <c r="J606" s="2176"/>
      <c r="K606" s="2252">
        <f t="shared" si="1417"/>
        <v>0</v>
      </c>
      <c r="L606" s="2252">
        <f t="shared" si="1417"/>
        <v>0</v>
      </c>
      <c r="M606" s="2255">
        <f t="shared" si="1418"/>
        <v>0</v>
      </c>
      <c r="N606" s="2179">
        <f>N266*$N$389</f>
        <v>0</v>
      </c>
      <c r="O606" s="2179">
        <f>O266*$O$389</f>
        <v>0</v>
      </c>
      <c r="P606" s="2178">
        <f t="shared" si="1317"/>
        <v>0</v>
      </c>
      <c r="Q606" s="2184">
        <f>Q266*$Q$389</f>
        <v>0</v>
      </c>
      <c r="R606" s="2179">
        <f>R266*$R$389</f>
        <v>0</v>
      </c>
      <c r="S606" s="2180">
        <f t="shared" si="1318"/>
        <v>0</v>
      </c>
      <c r="T606" s="2251">
        <f t="shared" si="1334"/>
        <v>0</v>
      </c>
      <c r="U606" s="2252">
        <f t="shared" si="1334"/>
        <v>0</v>
      </c>
      <c r="V606" s="2253">
        <f t="shared" si="1335"/>
        <v>0</v>
      </c>
      <c r="W606" s="2187">
        <f>W266*$W$389</f>
        <v>0</v>
      </c>
      <c r="X606" s="2179">
        <f>X266*$X$389</f>
        <v>0</v>
      </c>
      <c r="Y606" s="2183">
        <f t="shared" si="1339"/>
        <v>0</v>
      </c>
      <c r="Z606" s="2254">
        <f t="shared" si="1232"/>
        <v>0</v>
      </c>
      <c r="AA606" s="2252">
        <f t="shared" si="1232"/>
        <v>0</v>
      </c>
      <c r="AB606" s="2255">
        <f t="shared" si="1298"/>
        <v>0</v>
      </c>
      <c r="AC606" s="2184">
        <f>AC266*$AC$389</f>
        <v>0</v>
      </c>
      <c r="AD606" s="2179">
        <f>AD266*$AD$389</f>
        <v>0</v>
      </c>
      <c r="AE606" s="2180">
        <f t="shared" si="1340"/>
        <v>0</v>
      </c>
      <c r="AF606" s="2277"/>
      <c r="AG606" s="2114"/>
      <c r="AH606" s="2188">
        <f>AH266*$N$389</f>
        <v>0</v>
      </c>
      <c r="AI606" s="2188">
        <f>AI266*$O$389</f>
        <v>0</v>
      </c>
      <c r="AJ606" s="2186">
        <f t="shared" si="1405"/>
        <v>0</v>
      </c>
      <c r="AK606" s="2188">
        <f>AK266*$N$389</f>
        <v>0</v>
      </c>
      <c r="AL606" s="2188">
        <f>AL266*$O$389</f>
        <v>0</v>
      </c>
      <c r="AM606" s="2186">
        <f t="shared" si="1406"/>
        <v>0</v>
      </c>
      <c r="AN606" s="2188">
        <f>AN266*$N$389</f>
        <v>0</v>
      </c>
      <c r="AO606" s="2188">
        <f>AO266*$O$389</f>
        <v>0</v>
      </c>
      <c r="AP606" s="2186">
        <f t="shared" si="1407"/>
        <v>0</v>
      </c>
      <c r="AQ606" s="2188">
        <f>AQ266*$N$389</f>
        <v>0</v>
      </c>
      <c r="AR606" s="2188">
        <f>AR266*$O$389</f>
        <v>0</v>
      </c>
      <c r="AS606" s="2186">
        <f t="shared" si="1408"/>
        <v>0</v>
      </c>
      <c r="AT606" s="2188">
        <f>AT266*$N$389</f>
        <v>0</v>
      </c>
      <c r="AU606" s="2188">
        <f>AU266*$O$389</f>
        <v>0</v>
      </c>
      <c r="AV606" s="2186">
        <f t="shared" si="1409"/>
        <v>0</v>
      </c>
      <c r="AW606" s="2188">
        <f>AW266*$N$389</f>
        <v>0</v>
      </c>
      <c r="AX606" s="2188">
        <f>AX266*$O$389</f>
        <v>0</v>
      </c>
      <c r="AY606" s="2186">
        <f t="shared" si="1410"/>
        <v>0</v>
      </c>
      <c r="AZ606" s="2188">
        <f>AZ266*$N$389</f>
        <v>0</v>
      </c>
      <c r="BA606" s="2188">
        <f>BA266*$O$389</f>
        <v>0</v>
      </c>
      <c r="BB606" s="2186">
        <f t="shared" si="1411"/>
        <v>0</v>
      </c>
      <c r="BC606" s="2188">
        <f>BC266*$N$389</f>
        <v>0</v>
      </c>
      <c r="BD606" s="2188">
        <f>BD266*$O$389</f>
        <v>0</v>
      </c>
      <c r="BE606" s="2186">
        <f t="shared" si="1412"/>
        <v>0</v>
      </c>
      <c r="BF606" s="2188">
        <f>BF266*$N$389</f>
        <v>0</v>
      </c>
      <c r="BG606" s="2188">
        <f>BG266*$O$389</f>
        <v>0</v>
      </c>
      <c r="BH606" s="2186">
        <f t="shared" si="1413"/>
        <v>0</v>
      </c>
      <c r="BI606" s="2188">
        <f>BI266*$N$389</f>
        <v>0</v>
      </c>
      <c r="BJ606" s="2188">
        <f>BJ266*$O$389</f>
        <v>0</v>
      </c>
      <c r="BK606" s="2186">
        <f t="shared" si="1414"/>
        <v>0</v>
      </c>
      <c r="BL606" s="2188">
        <f>BL266*$N$389</f>
        <v>0</v>
      </c>
      <c r="BM606" s="2188">
        <f>BM266*$O$389</f>
        <v>0</v>
      </c>
      <c r="BN606" s="2186">
        <f t="shared" si="1415"/>
        <v>0</v>
      </c>
      <c r="BO606" s="2188">
        <f>BO266*$N$389</f>
        <v>0</v>
      </c>
      <c r="BP606" s="2188">
        <f>BP266*$O$389</f>
        <v>0</v>
      </c>
      <c r="BQ606" s="2186">
        <f t="shared" si="1416"/>
        <v>0</v>
      </c>
    </row>
    <row r="607" spans="3:69" s="2087" customFormat="1" ht="21.6" hidden="1" customHeight="1">
      <c r="C607" s="2194" t="s">
        <v>2762</v>
      </c>
      <c r="D607" s="2283" t="s">
        <v>2227</v>
      </c>
      <c r="E607" s="2284" t="s">
        <v>1833</v>
      </c>
      <c r="F607" s="2176"/>
      <c r="G607" s="2177"/>
      <c r="H607" s="2177"/>
      <c r="I607" s="2178">
        <f t="shared" si="1316"/>
        <v>0</v>
      </c>
      <c r="J607" s="2176"/>
      <c r="K607" s="2252">
        <f t="shared" si="1417"/>
        <v>0</v>
      </c>
      <c r="L607" s="2252">
        <f t="shared" si="1417"/>
        <v>0</v>
      </c>
      <c r="M607" s="2255">
        <f t="shared" si="1418"/>
        <v>0</v>
      </c>
      <c r="N607" s="2179">
        <f>N267*$N$389</f>
        <v>0</v>
      </c>
      <c r="O607" s="2179">
        <f>O267*$O$389</f>
        <v>0</v>
      </c>
      <c r="P607" s="2178">
        <f t="shared" si="1317"/>
        <v>0</v>
      </c>
      <c r="Q607" s="2184">
        <f>Q267*$Q$389</f>
        <v>0</v>
      </c>
      <c r="R607" s="2179">
        <f>R267*$R$389</f>
        <v>0</v>
      </c>
      <c r="S607" s="2180">
        <f t="shared" si="1318"/>
        <v>0</v>
      </c>
      <c r="T607" s="2251">
        <f t="shared" si="1334"/>
        <v>0</v>
      </c>
      <c r="U607" s="2252">
        <f t="shared" si="1334"/>
        <v>0</v>
      </c>
      <c r="V607" s="2253">
        <f t="shared" si="1335"/>
        <v>0</v>
      </c>
      <c r="W607" s="2187">
        <f>W267*$W$389</f>
        <v>0</v>
      </c>
      <c r="X607" s="2179">
        <f>X267*$X$389</f>
        <v>0</v>
      </c>
      <c r="Y607" s="2183">
        <f t="shared" si="1339"/>
        <v>0</v>
      </c>
      <c r="Z607" s="2254">
        <f t="shared" si="1232"/>
        <v>0</v>
      </c>
      <c r="AA607" s="2252">
        <f t="shared" si="1232"/>
        <v>0</v>
      </c>
      <c r="AB607" s="2255">
        <f t="shared" si="1298"/>
        <v>0</v>
      </c>
      <c r="AC607" s="2184">
        <f>AC267*$AC$389</f>
        <v>0</v>
      </c>
      <c r="AD607" s="2179">
        <f>AD267*$AD$389</f>
        <v>0</v>
      </c>
      <c r="AE607" s="2180">
        <f t="shared" si="1340"/>
        <v>0</v>
      </c>
      <c r="AF607" s="2277"/>
      <c r="AG607" s="2114"/>
      <c r="AH607" s="2188">
        <f>AH267*$N$389</f>
        <v>0</v>
      </c>
      <c r="AI607" s="2188">
        <f>AI267*$O$389</f>
        <v>0</v>
      </c>
      <c r="AJ607" s="2186">
        <f t="shared" si="1405"/>
        <v>0</v>
      </c>
      <c r="AK607" s="2188">
        <f>AK267*$N$389</f>
        <v>0</v>
      </c>
      <c r="AL607" s="2188">
        <f>AL267*$O$389</f>
        <v>0</v>
      </c>
      <c r="AM607" s="2186">
        <f t="shared" si="1406"/>
        <v>0</v>
      </c>
      <c r="AN607" s="2188">
        <f>AN267*$N$389</f>
        <v>0</v>
      </c>
      <c r="AO607" s="2188">
        <f>AO267*$O$389</f>
        <v>0</v>
      </c>
      <c r="AP607" s="2186">
        <f t="shared" si="1407"/>
        <v>0</v>
      </c>
      <c r="AQ607" s="2188">
        <f>AQ267*$N$389</f>
        <v>0</v>
      </c>
      <c r="AR607" s="2188">
        <f>AR267*$O$389</f>
        <v>0</v>
      </c>
      <c r="AS607" s="2186">
        <f t="shared" si="1408"/>
        <v>0</v>
      </c>
      <c r="AT607" s="2188">
        <f>AT267*$N$389</f>
        <v>0</v>
      </c>
      <c r="AU607" s="2188">
        <f>AU267*$O$389</f>
        <v>0</v>
      </c>
      <c r="AV607" s="2186">
        <f t="shared" si="1409"/>
        <v>0</v>
      </c>
      <c r="AW607" s="2188">
        <f>AW267*$N$389</f>
        <v>0</v>
      </c>
      <c r="AX607" s="2188">
        <f>AX267*$O$389</f>
        <v>0</v>
      </c>
      <c r="AY607" s="2186">
        <f t="shared" si="1410"/>
        <v>0</v>
      </c>
      <c r="AZ607" s="2188">
        <f>AZ267*$N$389</f>
        <v>0</v>
      </c>
      <c r="BA607" s="2188">
        <f>BA267*$O$389</f>
        <v>0</v>
      </c>
      <c r="BB607" s="2186">
        <f t="shared" si="1411"/>
        <v>0</v>
      </c>
      <c r="BC607" s="2188">
        <f>BC267*$N$389</f>
        <v>0</v>
      </c>
      <c r="BD607" s="2188">
        <f>BD267*$O$389</f>
        <v>0</v>
      </c>
      <c r="BE607" s="2186">
        <f t="shared" si="1412"/>
        <v>0</v>
      </c>
      <c r="BF607" s="2188">
        <f>BF267*$N$389</f>
        <v>0</v>
      </c>
      <c r="BG607" s="2188">
        <f>BG267*$O$389</f>
        <v>0</v>
      </c>
      <c r="BH607" s="2186">
        <f t="shared" si="1413"/>
        <v>0</v>
      </c>
      <c r="BI607" s="2188">
        <f>BI267*$N$389</f>
        <v>0</v>
      </c>
      <c r="BJ607" s="2188">
        <f>BJ267*$O$389</f>
        <v>0</v>
      </c>
      <c r="BK607" s="2186">
        <f t="shared" si="1414"/>
        <v>0</v>
      </c>
      <c r="BL607" s="2188">
        <f>BL267*$N$389</f>
        <v>0</v>
      </c>
      <c r="BM607" s="2188">
        <f>BM267*$O$389</f>
        <v>0</v>
      </c>
      <c r="BN607" s="2186">
        <f t="shared" si="1415"/>
        <v>0</v>
      </c>
      <c r="BO607" s="2188">
        <f>BO267*$N$389</f>
        <v>0</v>
      </c>
      <c r="BP607" s="2188">
        <f>BP267*$O$389</f>
        <v>0</v>
      </c>
      <c r="BQ607" s="2186">
        <f t="shared" si="1416"/>
        <v>0</v>
      </c>
    </row>
    <row r="608" spans="3:69" s="2087" customFormat="1" ht="21.6" hidden="1" customHeight="1">
      <c r="C608" s="2194" t="s">
        <v>2763</v>
      </c>
      <c r="D608" s="2283" t="s">
        <v>2229</v>
      </c>
      <c r="E608" s="2284" t="s">
        <v>1833</v>
      </c>
      <c r="F608" s="2176"/>
      <c r="G608" s="2177"/>
      <c r="H608" s="2177"/>
      <c r="I608" s="2186"/>
      <c r="J608" s="2176"/>
      <c r="K608" s="2252">
        <f t="shared" si="1417"/>
        <v>0</v>
      </c>
      <c r="L608" s="2252">
        <f t="shared" si="1417"/>
        <v>0</v>
      </c>
      <c r="M608" s="2255">
        <f t="shared" si="1418"/>
        <v>0</v>
      </c>
      <c r="N608" s="2177"/>
      <c r="O608" s="2177"/>
      <c r="P608" s="2186"/>
      <c r="Q608" s="2177"/>
      <c r="R608" s="2177"/>
      <c r="S608" s="2266"/>
      <c r="T608" s="2251">
        <f t="shared" si="1334"/>
        <v>0</v>
      </c>
      <c r="U608" s="2252">
        <f t="shared" si="1334"/>
        <v>0</v>
      </c>
      <c r="V608" s="2253">
        <f t="shared" si="1335"/>
        <v>0</v>
      </c>
      <c r="W608" s="2182"/>
      <c r="X608" s="2177"/>
      <c r="Y608" s="2271"/>
      <c r="Z608" s="2254">
        <f t="shared" si="1232"/>
        <v>0</v>
      </c>
      <c r="AA608" s="2252">
        <f t="shared" si="1232"/>
        <v>0</v>
      </c>
      <c r="AB608" s="2255">
        <f t="shared" si="1298"/>
        <v>0</v>
      </c>
      <c r="AC608" s="2177"/>
      <c r="AD608" s="2177"/>
      <c r="AE608" s="2266"/>
      <c r="AF608" s="2277"/>
      <c r="AG608" s="2114"/>
      <c r="AH608" s="2177"/>
      <c r="AI608" s="2177"/>
      <c r="AJ608" s="2186"/>
      <c r="AK608" s="2177"/>
      <c r="AL608" s="2177"/>
      <c r="AM608" s="2186"/>
      <c r="AN608" s="2177"/>
      <c r="AO608" s="2177"/>
      <c r="AP608" s="2186"/>
      <c r="AQ608" s="2177"/>
      <c r="AR608" s="2177"/>
      <c r="AS608" s="2186"/>
      <c r="AT608" s="2177"/>
      <c r="AU608" s="2177"/>
      <c r="AV608" s="2186"/>
      <c r="AW608" s="2177"/>
      <c r="AX608" s="2177"/>
      <c r="AY608" s="2186"/>
      <c r="AZ608" s="2177"/>
      <c r="BA608" s="2177"/>
      <c r="BB608" s="2186"/>
      <c r="BC608" s="2177"/>
      <c r="BD608" s="2177"/>
      <c r="BE608" s="2186"/>
      <c r="BF608" s="2177"/>
      <c r="BG608" s="2177"/>
      <c r="BH608" s="2186"/>
      <c r="BI608" s="2177"/>
      <c r="BJ608" s="2177"/>
      <c r="BK608" s="2186"/>
      <c r="BL608" s="2177"/>
      <c r="BM608" s="2177"/>
      <c r="BN608" s="2186"/>
      <c r="BO608" s="2177"/>
      <c r="BP608" s="2177"/>
      <c r="BQ608" s="2186"/>
    </row>
    <row r="609" spans="3:69" s="2159" customFormat="1" ht="21.6" hidden="1" customHeight="1">
      <c r="C609" s="2256" t="s">
        <v>2764</v>
      </c>
      <c r="D609" s="2280" t="str">
        <f>D342</f>
        <v>Прочие контрагенты</v>
      </c>
      <c r="E609" s="2120" t="s">
        <v>1833</v>
      </c>
      <c r="F609" s="2162"/>
      <c r="G609" s="2163">
        <f>G611+G624+G630+G636</f>
        <v>0</v>
      </c>
      <c r="H609" s="2163">
        <f>H611+H624+H630+H636</f>
        <v>0</v>
      </c>
      <c r="I609" s="2164">
        <f>H609-G609</f>
        <v>0</v>
      </c>
      <c r="J609" s="2162"/>
      <c r="K609" s="2259">
        <f t="shared" si="1417"/>
        <v>0</v>
      </c>
      <c r="L609" s="2259">
        <f t="shared" si="1417"/>
        <v>0</v>
      </c>
      <c r="M609" s="2262">
        <f t="shared" si="1418"/>
        <v>0</v>
      </c>
      <c r="N609" s="2163">
        <f>N611+N624+N630+N636</f>
        <v>0</v>
      </c>
      <c r="O609" s="2163">
        <f>O611+O624+O630+O636</f>
        <v>0</v>
      </c>
      <c r="P609" s="2164">
        <f>O609-N609</f>
        <v>0</v>
      </c>
      <c r="Q609" s="2163">
        <f>Q611+Q624+Q630+Q636</f>
        <v>0</v>
      </c>
      <c r="R609" s="2163">
        <f>R611+R624+R630+R636</f>
        <v>0</v>
      </c>
      <c r="S609" s="2166">
        <f>R609-Q609</f>
        <v>0</v>
      </c>
      <c r="T609" s="2258">
        <f t="shared" si="1334"/>
        <v>0</v>
      </c>
      <c r="U609" s="2259">
        <f t="shared" si="1334"/>
        <v>0</v>
      </c>
      <c r="V609" s="2260">
        <f t="shared" si="1335"/>
        <v>0</v>
      </c>
      <c r="W609" s="2168">
        <f>W611+W624+W630+W636</f>
        <v>0</v>
      </c>
      <c r="X609" s="2163">
        <f>X611+X624+X630+X636</f>
        <v>0</v>
      </c>
      <c r="Y609" s="2169">
        <f t="shared" si="1339"/>
        <v>0</v>
      </c>
      <c r="Z609" s="2261">
        <f t="shared" ref="Z609:AA641" si="1419">T609+W609</f>
        <v>0</v>
      </c>
      <c r="AA609" s="2259">
        <f t="shared" si="1419"/>
        <v>0</v>
      </c>
      <c r="AB609" s="2262">
        <f t="shared" si="1298"/>
        <v>0</v>
      </c>
      <c r="AC609" s="2163">
        <f>AC611+AC624+AC630+AC636</f>
        <v>0</v>
      </c>
      <c r="AD609" s="2163">
        <f>AD611+AD624+AD630+AD636</f>
        <v>0</v>
      </c>
      <c r="AE609" s="2166">
        <f t="shared" si="1340"/>
        <v>0</v>
      </c>
      <c r="AF609" s="2281"/>
      <c r="AG609" s="2158"/>
      <c r="AH609" s="2171">
        <f>AH611+AH624+AH630+AH636</f>
        <v>0</v>
      </c>
      <c r="AI609" s="2171">
        <f>AI611+AI624+AI630+AI636</f>
        <v>0</v>
      </c>
      <c r="AJ609" s="2172">
        <f>AI609-AH609</f>
        <v>0</v>
      </c>
      <c r="AK609" s="2171">
        <f>AK611+AK624+AK630+AK636</f>
        <v>0</v>
      </c>
      <c r="AL609" s="2171">
        <f>AL611+AL624+AL630+AL636</f>
        <v>0</v>
      </c>
      <c r="AM609" s="2172">
        <f>AL609-AK609</f>
        <v>0</v>
      </c>
      <c r="AN609" s="2171">
        <f>AN611+AN624+AN630+AN636</f>
        <v>0</v>
      </c>
      <c r="AO609" s="2171">
        <f>AO611+AO624+AO630+AO636</f>
        <v>0</v>
      </c>
      <c r="AP609" s="2172">
        <f>AO609-AN609</f>
        <v>0</v>
      </c>
      <c r="AQ609" s="2171">
        <f>AQ611+AQ624+AQ630+AQ636</f>
        <v>0</v>
      </c>
      <c r="AR609" s="2171">
        <f>AR611+AR624+AR630+AR636</f>
        <v>0</v>
      </c>
      <c r="AS609" s="2172">
        <f>AR609-AQ609</f>
        <v>0</v>
      </c>
      <c r="AT609" s="2171">
        <f>AT611+AT624+AT630+AT636</f>
        <v>0</v>
      </c>
      <c r="AU609" s="2171">
        <f>AU611+AU624+AU630+AU636</f>
        <v>0</v>
      </c>
      <c r="AV609" s="2172">
        <f>AU609-AT609</f>
        <v>0</v>
      </c>
      <c r="AW609" s="2171">
        <f>AW611+AW624+AW630+AW636</f>
        <v>0</v>
      </c>
      <c r="AX609" s="2171">
        <f>AX611+AX624+AX630+AX636</f>
        <v>0</v>
      </c>
      <c r="AY609" s="2172">
        <f>AX609-AW609</f>
        <v>0</v>
      </c>
      <c r="AZ609" s="2171">
        <f>AZ611+AZ624+AZ630+AZ636</f>
        <v>0</v>
      </c>
      <c r="BA609" s="2171">
        <f>BA611+BA624+BA630+BA636</f>
        <v>0</v>
      </c>
      <c r="BB609" s="2172">
        <f>BA609-AZ609</f>
        <v>0</v>
      </c>
      <c r="BC609" s="2171">
        <f>BC611+BC624+BC630+BC636</f>
        <v>0</v>
      </c>
      <c r="BD609" s="2171">
        <f>BD611+BD624+BD630+BD636</f>
        <v>0</v>
      </c>
      <c r="BE609" s="2172">
        <f>BD609-BC609</f>
        <v>0</v>
      </c>
      <c r="BF609" s="2171">
        <f>BF611+BF624+BF630+BF636</f>
        <v>0</v>
      </c>
      <c r="BG609" s="2171">
        <f>BG611+BG624+BG630+BG636</f>
        <v>0</v>
      </c>
      <c r="BH609" s="2172">
        <f>BG609-BF609</f>
        <v>0</v>
      </c>
      <c r="BI609" s="2171">
        <f>BI611+BI624+BI630+BI636</f>
        <v>0</v>
      </c>
      <c r="BJ609" s="2171">
        <f>BJ611+BJ624+BJ630+BJ636</f>
        <v>0</v>
      </c>
      <c r="BK609" s="2172">
        <f>BJ609-BI609</f>
        <v>0</v>
      </c>
      <c r="BL609" s="2171">
        <f>BL611+BL624+BL630+BL636</f>
        <v>0</v>
      </c>
      <c r="BM609" s="2171">
        <f>BM611+BM624+BM630+BM636</f>
        <v>0</v>
      </c>
      <c r="BN609" s="2172">
        <f>BM609-BL609</f>
        <v>0</v>
      </c>
      <c r="BO609" s="2171">
        <f>BO611+BO624+BO630+BO636</f>
        <v>0</v>
      </c>
      <c r="BP609" s="2171">
        <f>BP611+BP624+BP630+BP636</f>
        <v>0</v>
      </c>
      <c r="BQ609" s="2172">
        <f>BP609-BO609</f>
        <v>0</v>
      </c>
    </row>
    <row r="610" spans="3:69" s="2087" customFormat="1" ht="21.6" hidden="1" customHeight="1">
      <c r="C610" s="2285" t="s">
        <v>2765</v>
      </c>
      <c r="D610" s="2289" t="s">
        <v>2211</v>
      </c>
      <c r="E610" s="2290" t="s">
        <v>1833</v>
      </c>
      <c r="F610" s="2176"/>
      <c r="G610" s="2177"/>
      <c r="H610" s="2177"/>
      <c r="I610" s="2178">
        <f t="shared" ref="I610:I640" si="1420">H610-G610</f>
        <v>0</v>
      </c>
      <c r="J610" s="2176"/>
      <c r="K610" s="2252">
        <f t="shared" si="1417"/>
        <v>0</v>
      </c>
      <c r="L610" s="2252">
        <f t="shared" si="1417"/>
        <v>0</v>
      </c>
      <c r="M610" s="2255">
        <f t="shared" si="1418"/>
        <v>0</v>
      </c>
      <c r="N610" s="2177"/>
      <c r="O610" s="2177"/>
      <c r="P610" s="2178">
        <f t="shared" ref="P610:P640" si="1421">O610-N610</f>
        <v>0</v>
      </c>
      <c r="Q610" s="2176"/>
      <c r="R610" s="2177"/>
      <c r="S610" s="2180">
        <f t="shared" ref="S610:S640" si="1422">R610-Q610</f>
        <v>0</v>
      </c>
      <c r="T610" s="2251">
        <f t="shared" si="1334"/>
        <v>0</v>
      </c>
      <c r="U610" s="2252">
        <f t="shared" si="1334"/>
        <v>0</v>
      </c>
      <c r="V610" s="2253">
        <f t="shared" si="1335"/>
        <v>0</v>
      </c>
      <c r="W610" s="2182"/>
      <c r="X610" s="2177"/>
      <c r="Y610" s="2183">
        <f t="shared" si="1339"/>
        <v>0</v>
      </c>
      <c r="Z610" s="2254">
        <f t="shared" si="1419"/>
        <v>0</v>
      </c>
      <c r="AA610" s="2252">
        <f t="shared" si="1419"/>
        <v>0</v>
      </c>
      <c r="AB610" s="2255">
        <f t="shared" si="1298"/>
        <v>0</v>
      </c>
      <c r="AC610" s="2176"/>
      <c r="AD610" s="2177"/>
      <c r="AE610" s="2180">
        <f t="shared" si="1340"/>
        <v>0</v>
      </c>
      <c r="AF610" s="2277"/>
      <c r="AG610" s="2114"/>
      <c r="AH610" s="2177"/>
      <c r="AI610" s="2177"/>
      <c r="AJ610" s="2186">
        <f t="shared" ref="AJ610:AJ616" si="1423">AI610-AH610</f>
        <v>0</v>
      </c>
      <c r="AK610" s="2177"/>
      <c r="AL610" s="2177"/>
      <c r="AM610" s="2186">
        <f t="shared" ref="AM610:AM616" si="1424">AL610-AK610</f>
        <v>0</v>
      </c>
      <c r="AN610" s="2177"/>
      <c r="AO610" s="2177"/>
      <c r="AP610" s="2186">
        <f t="shared" ref="AP610:AP616" si="1425">AO610-AN610</f>
        <v>0</v>
      </c>
      <c r="AQ610" s="2177"/>
      <c r="AR610" s="2177"/>
      <c r="AS610" s="2186">
        <f t="shared" ref="AS610:AS616" si="1426">AR610-AQ610</f>
        <v>0</v>
      </c>
      <c r="AT610" s="2177"/>
      <c r="AU610" s="2177"/>
      <c r="AV610" s="2186">
        <f t="shared" ref="AV610:AV616" si="1427">AU610-AT610</f>
        <v>0</v>
      </c>
      <c r="AW610" s="2177"/>
      <c r="AX610" s="2177"/>
      <c r="AY610" s="2186">
        <f t="shared" ref="AY610:AY616" si="1428">AX610-AW610</f>
        <v>0</v>
      </c>
      <c r="AZ610" s="2177"/>
      <c r="BA610" s="2177"/>
      <c r="BB610" s="2186">
        <f t="shared" ref="BB610:BB616" si="1429">BA610-AZ610</f>
        <v>0</v>
      </c>
      <c r="BC610" s="2177"/>
      <c r="BD610" s="2177"/>
      <c r="BE610" s="2186">
        <f t="shared" ref="BE610:BE616" si="1430">BD610-BC610</f>
        <v>0</v>
      </c>
      <c r="BF610" s="2177"/>
      <c r="BG610" s="2177"/>
      <c r="BH610" s="2186">
        <f t="shared" ref="BH610:BH616" si="1431">BG610-BF610</f>
        <v>0</v>
      </c>
      <c r="BI610" s="2177"/>
      <c r="BJ610" s="2177"/>
      <c r="BK610" s="2186">
        <f t="shared" ref="BK610:BK616" si="1432">BJ610-BI610</f>
        <v>0</v>
      </c>
      <c r="BL610" s="2177"/>
      <c r="BM610" s="2177"/>
      <c r="BN610" s="2186">
        <f t="shared" ref="BN610:BN616" si="1433">BM610-BL610</f>
        <v>0</v>
      </c>
      <c r="BO610" s="2177"/>
      <c r="BP610" s="2177"/>
      <c r="BQ610" s="2186">
        <f t="shared" ref="BQ610:BQ616" si="1434">BP610-BO610</f>
        <v>0</v>
      </c>
    </row>
    <row r="611" spans="3:69" s="2087" customFormat="1" ht="21.6" hidden="1" customHeight="1">
      <c r="C611" s="2285" t="s">
        <v>2766</v>
      </c>
      <c r="D611" s="2287" t="s">
        <v>2217</v>
      </c>
      <c r="E611" s="2284" t="s">
        <v>1833</v>
      </c>
      <c r="F611" s="2176"/>
      <c r="G611" s="2179">
        <f>G612+G618</f>
        <v>0</v>
      </c>
      <c r="H611" s="2179">
        <f>H612+H618</f>
        <v>0</v>
      </c>
      <c r="I611" s="2178">
        <f t="shared" si="1420"/>
        <v>0</v>
      </c>
      <c r="J611" s="2176"/>
      <c r="K611" s="2252">
        <f t="shared" si="1417"/>
        <v>0</v>
      </c>
      <c r="L611" s="2252">
        <f t="shared" si="1417"/>
        <v>0</v>
      </c>
      <c r="M611" s="2255">
        <f t="shared" si="1418"/>
        <v>0</v>
      </c>
      <c r="N611" s="2179">
        <f>N612+N618</f>
        <v>0</v>
      </c>
      <c r="O611" s="2179">
        <f>O612+O618</f>
        <v>0</v>
      </c>
      <c r="P611" s="2178">
        <f t="shared" si="1421"/>
        <v>0</v>
      </c>
      <c r="Q611" s="2184">
        <f t="shared" ref="Q611:R611" si="1435">Q612+Q618</f>
        <v>0</v>
      </c>
      <c r="R611" s="2179">
        <f t="shared" si="1435"/>
        <v>0</v>
      </c>
      <c r="S611" s="2180">
        <f t="shared" si="1422"/>
        <v>0</v>
      </c>
      <c r="T611" s="2251">
        <f t="shared" si="1334"/>
        <v>0</v>
      </c>
      <c r="U611" s="2252">
        <f t="shared" si="1334"/>
        <v>0</v>
      </c>
      <c r="V611" s="2253">
        <f t="shared" si="1335"/>
        <v>0</v>
      </c>
      <c r="W611" s="2187">
        <f>W612+W618</f>
        <v>0</v>
      </c>
      <c r="X611" s="2179">
        <f t="shared" ref="X611" si="1436">X612+X618</f>
        <v>0</v>
      </c>
      <c r="Y611" s="2183">
        <f t="shared" si="1339"/>
        <v>0</v>
      </c>
      <c r="Z611" s="2254">
        <f t="shared" si="1419"/>
        <v>0</v>
      </c>
      <c r="AA611" s="2252">
        <f t="shared" si="1419"/>
        <v>0</v>
      </c>
      <c r="AB611" s="2255">
        <f t="shared" si="1298"/>
        <v>0</v>
      </c>
      <c r="AC611" s="2184">
        <f>AC612+AC618</f>
        <v>0</v>
      </c>
      <c r="AD611" s="2179">
        <f t="shared" ref="AD611" si="1437">AD612+AD618</f>
        <v>0</v>
      </c>
      <c r="AE611" s="2180">
        <f t="shared" si="1340"/>
        <v>0</v>
      </c>
      <c r="AF611" s="2277"/>
      <c r="AG611" s="2114"/>
      <c r="AH611" s="2188">
        <f>AH612+AH618</f>
        <v>0</v>
      </c>
      <c r="AI611" s="2188">
        <f>AI612+AI618</f>
        <v>0</v>
      </c>
      <c r="AJ611" s="2186">
        <f t="shared" si="1423"/>
        <v>0</v>
      </c>
      <c r="AK611" s="2188">
        <f>AK612+AK618</f>
        <v>0</v>
      </c>
      <c r="AL611" s="2188">
        <f>AL612+AL618</f>
        <v>0</v>
      </c>
      <c r="AM611" s="2186">
        <f t="shared" si="1424"/>
        <v>0</v>
      </c>
      <c r="AN611" s="2188">
        <f>AN612+AN618</f>
        <v>0</v>
      </c>
      <c r="AO611" s="2188">
        <f>AO612+AO618</f>
        <v>0</v>
      </c>
      <c r="AP611" s="2186">
        <f t="shared" si="1425"/>
        <v>0</v>
      </c>
      <c r="AQ611" s="2188">
        <f>AQ612+AQ618</f>
        <v>0</v>
      </c>
      <c r="AR611" s="2188">
        <f>AR612+AR618</f>
        <v>0</v>
      </c>
      <c r="AS611" s="2186">
        <f t="shared" si="1426"/>
        <v>0</v>
      </c>
      <c r="AT611" s="2188">
        <f>AT612+AT618</f>
        <v>0</v>
      </c>
      <c r="AU611" s="2188">
        <f>AU612+AU618</f>
        <v>0</v>
      </c>
      <c r="AV611" s="2186">
        <f t="shared" si="1427"/>
        <v>0</v>
      </c>
      <c r="AW611" s="2188">
        <f>AW612+AW618</f>
        <v>0</v>
      </c>
      <c r="AX611" s="2188">
        <f>AX612+AX618</f>
        <v>0</v>
      </c>
      <c r="AY611" s="2186">
        <f t="shared" si="1428"/>
        <v>0</v>
      </c>
      <c r="AZ611" s="2188">
        <f>AZ612+AZ618</f>
        <v>0</v>
      </c>
      <c r="BA611" s="2188">
        <f>BA612+BA618</f>
        <v>0</v>
      </c>
      <c r="BB611" s="2186">
        <f t="shared" si="1429"/>
        <v>0</v>
      </c>
      <c r="BC611" s="2188">
        <f>BC612+BC618</f>
        <v>0</v>
      </c>
      <c r="BD611" s="2188">
        <f>BD612+BD618</f>
        <v>0</v>
      </c>
      <c r="BE611" s="2186">
        <f t="shared" si="1430"/>
        <v>0</v>
      </c>
      <c r="BF611" s="2188">
        <f>BF612+BF618</f>
        <v>0</v>
      </c>
      <c r="BG611" s="2188">
        <f>BG612+BG618</f>
        <v>0</v>
      </c>
      <c r="BH611" s="2186">
        <f t="shared" si="1431"/>
        <v>0</v>
      </c>
      <c r="BI611" s="2188">
        <f>BI612+BI618</f>
        <v>0</v>
      </c>
      <c r="BJ611" s="2188">
        <f>BJ612+BJ618</f>
        <v>0</v>
      </c>
      <c r="BK611" s="2186">
        <f t="shared" si="1432"/>
        <v>0</v>
      </c>
      <c r="BL611" s="2188">
        <f>BL612+BL618</f>
        <v>0</v>
      </c>
      <c r="BM611" s="2188">
        <f>BM612+BM618</f>
        <v>0</v>
      </c>
      <c r="BN611" s="2186">
        <f t="shared" si="1433"/>
        <v>0</v>
      </c>
      <c r="BO611" s="2188">
        <f>BO612+BO618</f>
        <v>0</v>
      </c>
      <c r="BP611" s="2188">
        <f>BP612+BP618</f>
        <v>0</v>
      </c>
      <c r="BQ611" s="2186">
        <f t="shared" si="1434"/>
        <v>0</v>
      </c>
    </row>
    <row r="612" spans="3:69" s="2087" customFormat="1" ht="21.6" hidden="1" customHeight="1">
      <c r="C612" s="2285" t="s">
        <v>2767</v>
      </c>
      <c r="D612" s="2286" t="s">
        <v>2599</v>
      </c>
      <c r="E612" s="2284" t="s">
        <v>1833</v>
      </c>
      <c r="F612" s="2176"/>
      <c r="G612" s="2179">
        <f>G613+G614+G615+G616+G617</f>
        <v>0</v>
      </c>
      <c r="H612" s="2179">
        <f>H613+H614+H615+H616+H617</f>
        <v>0</v>
      </c>
      <c r="I612" s="2178">
        <f t="shared" si="1420"/>
        <v>0</v>
      </c>
      <c r="J612" s="2176"/>
      <c r="K612" s="2252">
        <f t="shared" si="1417"/>
        <v>0</v>
      </c>
      <c r="L612" s="2179">
        <f t="shared" si="1417"/>
        <v>0</v>
      </c>
      <c r="M612" s="2178">
        <f t="shared" si="1418"/>
        <v>0</v>
      </c>
      <c r="N612" s="2179">
        <f>N613+N614+N615+N616+N617</f>
        <v>0</v>
      </c>
      <c r="O612" s="2179">
        <f>O613+O614+O615+O616+O617</f>
        <v>0</v>
      </c>
      <c r="P612" s="2178">
        <f t="shared" si="1421"/>
        <v>0</v>
      </c>
      <c r="Q612" s="2179">
        <f>Q613+Q614+Q615+Q616+Q617</f>
        <v>0</v>
      </c>
      <c r="R612" s="2179">
        <f>R613+R614+R615+R616+R617</f>
        <v>0</v>
      </c>
      <c r="S612" s="2180">
        <f t="shared" si="1422"/>
        <v>0</v>
      </c>
      <c r="T612" s="2181">
        <f t="shared" si="1334"/>
        <v>0</v>
      </c>
      <c r="U612" s="2179">
        <f t="shared" si="1334"/>
        <v>0</v>
      </c>
      <c r="V612" s="2180">
        <f t="shared" si="1335"/>
        <v>0</v>
      </c>
      <c r="W612" s="2187">
        <f>W613+W614+W615+W616+W617</f>
        <v>0</v>
      </c>
      <c r="X612" s="2179">
        <f>X613+X614+X615+X616+X617</f>
        <v>0</v>
      </c>
      <c r="Y612" s="2183">
        <f t="shared" si="1339"/>
        <v>0</v>
      </c>
      <c r="Z612" s="2184">
        <f t="shared" si="1419"/>
        <v>0</v>
      </c>
      <c r="AA612" s="2179">
        <f t="shared" si="1419"/>
        <v>0</v>
      </c>
      <c r="AB612" s="2178">
        <f t="shared" si="1298"/>
        <v>0</v>
      </c>
      <c r="AC612" s="2179">
        <f>AC613+AC614+AC615+AC616+AC617</f>
        <v>0</v>
      </c>
      <c r="AD612" s="2179">
        <f>AD613+AD614+AD615+AD616+AD617</f>
        <v>0</v>
      </c>
      <c r="AE612" s="2180">
        <f t="shared" si="1340"/>
        <v>0</v>
      </c>
      <c r="AF612" s="2277"/>
      <c r="AG612" s="2114"/>
      <c r="AH612" s="2188">
        <f>AH613+AH614+AH615+AH616+AH617</f>
        <v>0</v>
      </c>
      <c r="AI612" s="2188">
        <f>AI613+AI614+AI615+AI616+AI617</f>
        <v>0</v>
      </c>
      <c r="AJ612" s="2186">
        <f t="shared" si="1423"/>
        <v>0</v>
      </c>
      <c r="AK612" s="2188">
        <f>AK613+AK614+AK615+AK616+AK617</f>
        <v>0</v>
      </c>
      <c r="AL612" s="2188">
        <f>AL613+AL614+AL615+AL616+AL617</f>
        <v>0</v>
      </c>
      <c r="AM612" s="2186">
        <f t="shared" si="1424"/>
        <v>0</v>
      </c>
      <c r="AN612" s="2188">
        <f>AN613+AN614+AN615+AN616+AN617</f>
        <v>0</v>
      </c>
      <c r="AO612" s="2188">
        <f>AO613+AO614+AO615+AO616+AO617</f>
        <v>0</v>
      </c>
      <c r="AP612" s="2186">
        <f t="shared" si="1425"/>
        <v>0</v>
      </c>
      <c r="AQ612" s="2188">
        <f>AQ613+AQ614+AQ615+AQ616+AQ617</f>
        <v>0</v>
      </c>
      <c r="AR612" s="2188">
        <f>AR613+AR614+AR615+AR616+AR617</f>
        <v>0</v>
      </c>
      <c r="AS612" s="2186">
        <f t="shared" si="1426"/>
        <v>0</v>
      </c>
      <c r="AT612" s="2188">
        <f>AT613+AT614+AT615+AT616+AT617</f>
        <v>0</v>
      </c>
      <c r="AU612" s="2188">
        <f>AU613+AU614+AU615+AU616+AU617</f>
        <v>0</v>
      </c>
      <c r="AV612" s="2186">
        <f t="shared" si="1427"/>
        <v>0</v>
      </c>
      <c r="AW612" s="2188">
        <f>AW613+AW614+AW615+AW616+AW617</f>
        <v>0</v>
      </c>
      <c r="AX612" s="2188">
        <f>AX613+AX614+AX615+AX616+AX617</f>
        <v>0</v>
      </c>
      <c r="AY612" s="2186">
        <f t="shared" si="1428"/>
        <v>0</v>
      </c>
      <c r="AZ612" s="2188">
        <f>AZ613+AZ614+AZ615+AZ616+AZ617</f>
        <v>0</v>
      </c>
      <c r="BA612" s="2188">
        <f>BA613+BA614+BA615+BA616+BA617</f>
        <v>0</v>
      </c>
      <c r="BB612" s="2186">
        <f t="shared" si="1429"/>
        <v>0</v>
      </c>
      <c r="BC612" s="2188">
        <f>BC613+BC614+BC615+BC616+BC617</f>
        <v>0</v>
      </c>
      <c r="BD612" s="2188">
        <f>BD613+BD614+BD615+BD616+BD617</f>
        <v>0</v>
      </c>
      <c r="BE612" s="2186">
        <f t="shared" si="1430"/>
        <v>0</v>
      </c>
      <c r="BF612" s="2188">
        <f>BF613+BF614+BF615+BF616+BF617</f>
        <v>0</v>
      </c>
      <c r="BG612" s="2188">
        <f>BG613+BG614+BG615+BG616+BG617</f>
        <v>0</v>
      </c>
      <c r="BH612" s="2186">
        <f t="shared" si="1431"/>
        <v>0</v>
      </c>
      <c r="BI612" s="2188">
        <f>BI613+BI614+BI615+BI616+BI617</f>
        <v>0</v>
      </c>
      <c r="BJ612" s="2188">
        <f>BJ613+BJ614+BJ615+BJ616+BJ617</f>
        <v>0</v>
      </c>
      <c r="BK612" s="2186">
        <f t="shared" si="1432"/>
        <v>0</v>
      </c>
      <c r="BL612" s="2188">
        <f>BL613+BL614+BL615+BL616+BL617</f>
        <v>0</v>
      </c>
      <c r="BM612" s="2188">
        <f>BM613+BM614+BM615+BM616+BM617</f>
        <v>0</v>
      </c>
      <c r="BN612" s="2186">
        <f t="shared" si="1433"/>
        <v>0</v>
      </c>
      <c r="BO612" s="2188">
        <f>BO613+BO614+BO615+BO616+BO617</f>
        <v>0</v>
      </c>
      <c r="BP612" s="2188">
        <f>BP613+BP614+BP615+BP616+BP617</f>
        <v>0</v>
      </c>
      <c r="BQ612" s="2186">
        <f t="shared" si="1434"/>
        <v>0</v>
      </c>
    </row>
    <row r="613" spans="3:69" s="2087" customFormat="1" ht="21.6" hidden="1" customHeight="1">
      <c r="C613" s="2194" t="s">
        <v>2768</v>
      </c>
      <c r="D613" s="2283" t="s">
        <v>2221</v>
      </c>
      <c r="E613" s="2284" t="s">
        <v>1833</v>
      </c>
      <c r="F613" s="2176"/>
      <c r="G613" s="2177"/>
      <c r="H613" s="2177"/>
      <c r="I613" s="2178">
        <f t="shared" si="1420"/>
        <v>0</v>
      </c>
      <c r="J613" s="2176"/>
      <c r="K613" s="2252">
        <f t="shared" si="1417"/>
        <v>0</v>
      </c>
      <c r="L613" s="2252">
        <f t="shared" si="1417"/>
        <v>0</v>
      </c>
      <c r="M613" s="2255">
        <f t="shared" si="1418"/>
        <v>0</v>
      </c>
      <c r="N613" s="2179">
        <f>N273*$N$370/1000*3</f>
        <v>0</v>
      </c>
      <c r="O613" s="2179">
        <f>O273*$O$370/1000*3</f>
        <v>0</v>
      </c>
      <c r="P613" s="2178">
        <f t="shared" si="1421"/>
        <v>0</v>
      </c>
      <c r="Q613" s="2184">
        <f>Q273*$Q$370/1000*3</f>
        <v>0</v>
      </c>
      <c r="R613" s="2179">
        <f>R273*$R$370/1000*3</f>
        <v>0</v>
      </c>
      <c r="S613" s="2180">
        <f t="shared" si="1422"/>
        <v>0</v>
      </c>
      <c r="T613" s="2251">
        <f t="shared" si="1334"/>
        <v>0</v>
      </c>
      <c r="U613" s="2252">
        <f t="shared" si="1334"/>
        <v>0</v>
      </c>
      <c r="V613" s="2253">
        <f t="shared" si="1335"/>
        <v>0</v>
      </c>
      <c r="W613" s="2187">
        <f>W273*$W$370/1000*3</f>
        <v>0</v>
      </c>
      <c r="X613" s="2179">
        <f>X273*$X$370/1000*3</f>
        <v>0</v>
      </c>
      <c r="Y613" s="2183">
        <f t="shared" si="1339"/>
        <v>0</v>
      </c>
      <c r="Z613" s="2254">
        <f t="shared" si="1419"/>
        <v>0</v>
      </c>
      <c r="AA613" s="2252">
        <f t="shared" si="1419"/>
        <v>0</v>
      </c>
      <c r="AB613" s="2255">
        <f t="shared" si="1298"/>
        <v>0</v>
      </c>
      <c r="AC613" s="2184">
        <f>AC273*$AC$370/1000*3</f>
        <v>0</v>
      </c>
      <c r="AD613" s="2179">
        <f>AD273*$AD$370/1000*3</f>
        <v>0</v>
      </c>
      <c r="AE613" s="2180">
        <f t="shared" si="1340"/>
        <v>0</v>
      </c>
      <c r="AF613" s="2277"/>
      <c r="AG613" s="2114"/>
      <c r="AH613" s="2188">
        <f>AH273*$N$370/1000*3</f>
        <v>0</v>
      </c>
      <c r="AI613" s="2188">
        <f>AI273*$O$370/1000*3</f>
        <v>0</v>
      </c>
      <c r="AJ613" s="2186">
        <f t="shared" si="1423"/>
        <v>0</v>
      </c>
      <c r="AK613" s="2188">
        <f>AK273*$N$370/1000*3</f>
        <v>0</v>
      </c>
      <c r="AL613" s="2188">
        <f>AL273*$O$370/1000*3</f>
        <v>0</v>
      </c>
      <c r="AM613" s="2186">
        <f t="shared" si="1424"/>
        <v>0</v>
      </c>
      <c r="AN613" s="2188">
        <f>AN273*$N$370/1000*3</f>
        <v>0</v>
      </c>
      <c r="AO613" s="2188">
        <f>AO273*$O$370/1000*3</f>
        <v>0</v>
      </c>
      <c r="AP613" s="2186">
        <f t="shared" si="1425"/>
        <v>0</v>
      </c>
      <c r="AQ613" s="2188">
        <f>AQ273*$N$370/1000*3</f>
        <v>0</v>
      </c>
      <c r="AR613" s="2188">
        <f>AR273*$O$370/1000*3</f>
        <v>0</v>
      </c>
      <c r="AS613" s="2186">
        <f t="shared" si="1426"/>
        <v>0</v>
      </c>
      <c r="AT613" s="2188">
        <f>AT273*$N$370/1000*3</f>
        <v>0</v>
      </c>
      <c r="AU613" s="2188">
        <f>AU273*$O$370/1000*3</f>
        <v>0</v>
      </c>
      <c r="AV613" s="2186">
        <f t="shared" si="1427"/>
        <v>0</v>
      </c>
      <c r="AW613" s="2188">
        <f>AW273*$N$370/1000*3</f>
        <v>0</v>
      </c>
      <c r="AX613" s="2188">
        <f>AX273*$O$370/1000*3</f>
        <v>0</v>
      </c>
      <c r="AY613" s="2186">
        <f t="shared" si="1428"/>
        <v>0</v>
      </c>
      <c r="AZ613" s="2188">
        <f>AZ273*$N$370/1000*3</f>
        <v>0</v>
      </c>
      <c r="BA613" s="2188">
        <f>BA273*$O$370/1000*3</f>
        <v>0</v>
      </c>
      <c r="BB613" s="2186">
        <f t="shared" si="1429"/>
        <v>0</v>
      </c>
      <c r="BC613" s="2188">
        <f>BC273*$N$370/1000*3</f>
        <v>0</v>
      </c>
      <c r="BD613" s="2188">
        <f>BD273*$O$370/1000*3</f>
        <v>0</v>
      </c>
      <c r="BE613" s="2186">
        <f t="shared" si="1430"/>
        <v>0</v>
      </c>
      <c r="BF613" s="2188">
        <f>BF273*$N$370/1000*3</f>
        <v>0</v>
      </c>
      <c r="BG613" s="2188">
        <f>BG273*$O$370/1000*3</f>
        <v>0</v>
      </c>
      <c r="BH613" s="2186">
        <f t="shared" si="1431"/>
        <v>0</v>
      </c>
      <c r="BI613" s="2188">
        <f>BI273*$N$370/1000*3</f>
        <v>0</v>
      </c>
      <c r="BJ613" s="2188">
        <f>BJ273*$O$370/1000*3</f>
        <v>0</v>
      </c>
      <c r="BK613" s="2186">
        <f t="shared" si="1432"/>
        <v>0</v>
      </c>
      <c r="BL613" s="2188">
        <f>BL273*$N$370/1000*3</f>
        <v>0</v>
      </c>
      <c r="BM613" s="2188">
        <f>BM273*$O$370/1000*3</f>
        <v>0</v>
      </c>
      <c r="BN613" s="2186">
        <f t="shared" si="1433"/>
        <v>0</v>
      </c>
      <c r="BO613" s="2188">
        <f>BO273*$N$370/1000*3</f>
        <v>0</v>
      </c>
      <c r="BP613" s="2188">
        <f>BP273*$O$370/1000*3</f>
        <v>0</v>
      </c>
      <c r="BQ613" s="2186">
        <f t="shared" si="1434"/>
        <v>0</v>
      </c>
    </row>
    <row r="614" spans="3:69" s="2087" customFormat="1" ht="21.6" hidden="1" customHeight="1">
      <c r="C614" s="2194" t="s">
        <v>2769</v>
      </c>
      <c r="D614" s="2283" t="s">
        <v>2223</v>
      </c>
      <c r="E614" s="2284" t="s">
        <v>1833</v>
      </c>
      <c r="F614" s="2176"/>
      <c r="G614" s="2177"/>
      <c r="H614" s="2177"/>
      <c r="I614" s="2178">
        <f t="shared" si="1420"/>
        <v>0</v>
      </c>
      <c r="J614" s="2176"/>
      <c r="K614" s="2252">
        <f t="shared" si="1417"/>
        <v>0</v>
      </c>
      <c r="L614" s="2252">
        <f t="shared" si="1417"/>
        <v>0</v>
      </c>
      <c r="M614" s="2255">
        <f t="shared" si="1418"/>
        <v>0</v>
      </c>
      <c r="N614" s="2179">
        <f>N274*$N$371/1000*3</f>
        <v>0</v>
      </c>
      <c r="O614" s="2179">
        <f>O274*$O$371/1000*3</f>
        <v>0</v>
      </c>
      <c r="P614" s="2178">
        <f t="shared" si="1421"/>
        <v>0</v>
      </c>
      <c r="Q614" s="2184">
        <f>Q274*$Q$371/1000*3</f>
        <v>0</v>
      </c>
      <c r="R614" s="2179">
        <f>R274*$R$371/1000*3</f>
        <v>0</v>
      </c>
      <c r="S614" s="2180">
        <f t="shared" si="1422"/>
        <v>0</v>
      </c>
      <c r="T614" s="2251">
        <f t="shared" si="1334"/>
        <v>0</v>
      </c>
      <c r="U614" s="2252">
        <f t="shared" si="1334"/>
        <v>0</v>
      </c>
      <c r="V614" s="2253">
        <f t="shared" si="1335"/>
        <v>0</v>
      </c>
      <c r="W614" s="2187">
        <f>W274*$W$371/1000*3</f>
        <v>0</v>
      </c>
      <c r="X614" s="2179">
        <f>X274*$X$371/1000*3</f>
        <v>0</v>
      </c>
      <c r="Y614" s="2183">
        <f t="shared" si="1339"/>
        <v>0</v>
      </c>
      <c r="Z614" s="2254">
        <f t="shared" si="1419"/>
        <v>0</v>
      </c>
      <c r="AA614" s="2252">
        <f t="shared" si="1419"/>
        <v>0</v>
      </c>
      <c r="AB614" s="2255">
        <f t="shared" si="1298"/>
        <v>0</v>
      </c>
      <c r="AC614" s="2184">
        <f>AC274*$AC$371/1000*3</f>
        <v>0</v>
      </c>
      <c r="AD614" s="2179">
        <f>AD274*$AD$371/1000*3</f>
        <v>0</v>
      </c>
      <c r="AE614" s="2180">
        <f t="shared" si="1340"/>
        <v>0</v>
      </c>
      <c r="AF614" s="2277"/>
      <c r="AG614" s="2114"/>
      <c r="AH614" s="2188">
        <f>AH274*$N$371/1000*3</f>
        <v>0</v>
      </c>
      <c r="AI614" s="2188">
        <f>AI274*$O$371/1000*3</f>
        <v>0</v>
      </c>
      <c r="AJ614" s="2186">
        <f t="shared" si="1423"/>
        <v>0</v>
      </c>
      <c r="AK614" s="2188">
        <f>AK274*$N$371/1000*3</f>
        <v>0</v>
      </c>
      <c r="AL614" s="2188">
        <f>AL274*$O$371/1000*3</f>
        <v>0</v>
      </c>
      <c r="AM614" s="2186">
        <f t="shared" si="1424"/>
        <v>0</v>
      </c>
      <c r="AN614" s="2188">
        <f>AN274*$N$371/1000*3</f>
        <v>0</v>
      </c>
      <c r="AO614" s="2188">
        <f>AO274*$O$371/1000*3</f>
        <v>0</v>
      </c>
      <c r="AP614" s="2186">
        <f t="shared" si="1425"/>
        <v>0</v>
      </c>
      <c r="AQ614" s="2188">
        <f>AQ274*$N$371/1000*3</f>
        <v>0</v>
      </c>
      <c r="AR614" s="2188">
        <f>AR274*$O$371/1000*3</f>
        <v>0</v>
      </c>
      <c r="AS614" s="2186">
        <f t="shared" si="1426"/>
        <v>0</v>
      </c>
      <c r="AT614" s="2188">
        <f>AT274*$N$371/1000*3</f>
        <v>0</v>
      </c>
      <c r="AU614" s="2188">
        <f>AU274*$O$371/1000*3</f>
        <v>0</v>
      </c>
      <c r="AV614" s="2186">
        <f t="shared" si="1427"/>
        <v>0</v>
      </c>
      <c r="AW614" s="2188">
        <f>AW274*$N$371/1000*3</f>
        <v>0</v>
      </c>
      <c r="AX614" s="2188">
        <f>AX274*$O$371/1000*3</f>
        <v>0</v>
      </c>
      <c r="AY614" s="2186">
        <f t="shared" si="1428"/>
        <v>0</v>
      </c>
      <c r="AZ614" s="2188">
        <f>AZ274*$N$371/1000*3</f>
        <v>0</v>
      </c>
      <c r="BA614" s="2188">
        <f>BA274*$O$371/1000*3</f>
        <v>0</v>
      </c>
      <c r="BB614" s="2186">
        <f t="shared" si="1429"/>
        <v>0</v>
      </c>
      <c r="BC614" s="2188">
        <f>BC274*$N$371/1000*3</f>
        <v>0</v>
      </c>
      <c r="BD614" s="2188">
        <f>BD274*$O$371/1000*3</f>
        <v>0</v>
      </c>
      <c r="BE614" s="2186">
        <f t="shared" si="1430"/>
        <v>0</v>
      </c>
      <c r="BF614" s="2188">
        <f>BF274*$N$371/1000*3</f>
        <v>0</v>
      </c>
      <c r="BG614" s="2188">
        <f>BG274*$O$371/1000*3</f>
        <v>0</v>
      </c>
      <c r="BH614" s="2186">
        <f t="shared" si="1431"/>
        <v>0</v>
      </c>
      <c r="BI614" s="2188">
        <f>BI274*$N$371/1000*3</f>
        <v>0</v>
      </c>
      <c r="BJ614" s="2188">
        <f>BJ274*$O$371/1000*3</f>
        <v>0</v>
      </c>
      <c r="BK614" s="2186">
        <f t="shared" si="1432"/>
        <v>0</v>
      </c>
      <c r="BL614" s="2188">
        <f>BL274*$N$371/1000*3</f>
        <v>0</v>
      </c>
      <c r="BM614" s="2188">
        <f>BM274*$O$371/1000*3</f>
        <v>0</v>
      </c>
      <c r="BN614" s="2186">
        <f t="shared" si="1433"/>
        <v>0</v>
      </c>
      <c r="BO614" s="2188">
        <f>BO274*$N$371/1000*3</f>
        <v>0</v>
      </c>
      <c r="BP614" s="2188">
        <f>BP274*$O$371/1000*3</f>
        <v>0</v>
      </c>
      <c r="BQ614" s="2186">
        <f t="shared" si="1434"/>
        <v>0</v>
      </c>
    </row>
    <row r="615" spans="3:69" s="2087" customFormat="1" ht="21.6" hidden="1" customHeight="1">
      <c r="C615" s="2194" t="s">
        <v>2770</v>
      </c>
      <c r="D615" s="2283" t="s">
        <v>2225</v>
      </c>
      <c r="E615" s="2284" t="s">
        <v>1833</v>
      </c>
      <c r="F615" s="2176"/>
      <c r="G615" s="2177"/>
      <c r="H615" s="2177"/>
      <c r="I615" s="2178">
        <f t="shared" si="1420"/>
        <v>0</v>
      </c>
      <c r="J615" s="2176"/>
      <c r="K615" s="2252">
        <f t="shared" si="1417"/>
        <v>0</v>
      </c>
      <c r="L615" s="2252">
        <f t="shared" si="1417"/>
        <v>0</v>
      </c>
      <c r="M615" s="2255">
        <f t="shared" si="1418"/>
        <v>0</v>
      </c>
      <c r="N615" s="2179">
        <f>N275*$N$372/1000*3</f>
        <v>0</v>
      </c>
      <c r="O615" s="2179">
        <f>O275*$O$372/1000*3</f>
        <v>0</v>
      </c>
      <c r="P615" s="2178">
        <f t="shared" si="1421"/>
        <v>0</v>
      </c>
      <c r="Q615" s="2184">
        <f>Q275*$Q$372/1000*3</f>
        <v>0</v>
      </c>
      <c r="R615" s="2179">
        <f>R275*$R$372/1000*3</f>
        <v>0</v>
      </c>
      <c r="S615" s="2180">
        <f t="shared" si="1422"/>
        <v>0</v>
      </c>
      <c r="T615" s="2251">
        <f t="shared" si="1334"/>
        <v>0</v>
      </c>
      <c r="U615" s="2252">
        <f t="shared" si="1334"/>
        <v>0</v>
      </c>
      <c r="V615" s="2253">
        <f t="shared" si="1335"/>
        <v>0</v>
      </c>
      <c r="W615" s="2187">
        <f>W275*$W$372/1000*3</f>
        <v>0</v>
      </c>
      <c r="X615" s="2179">
        <f>X275*$X$372/1000*3</f>
        <v>0</v>
      </c>
      <c r="Y615" s="2183">
        <f t="shared" si="1339"/>
        <v>0</v>
      </c>
      <c r="Z615" s="2254">
        <f t="shared" si="1419"/>
        <v>0</v>
      </c>
      <c r="AA615" s="2252">
        <f t="shared" si="1419"/>
        <v>0</v>
      </c>
      <c r="AB615" s="2255">
        <f t="shared" si="1298"/>
        <v>0</v>
      </c>
      <c r="AC615" s="2184">
        <f>AC275*$AC$372/1000*3</f>
        <v>0</v>
      </c>
      <c r="AD615" s="2179">
        <f>AD275*$AD$372/1000*3</f>
        <v>0</v>
      </c>
      <c r="AE615" s="2180">
        <f t="shared" si="1340"/>
        <v>0</v>
      </c>
      <c r="AF615" s="2277"/>
      <c r="AG615" s="2114"/>
      <c r="AH615" s="2188">
        <f>AH275*$N$372/1000*3</f>
        <v>0</v>
      </c>
      <c r="AI615" s="2188">
        <f>AI275*$O$372/1000*3</f>
        <v>0</v>
      </c>
      <c r="AJ615" s="2186">
        <f t="shared" si="1423"/>
        <v>0</v>
      </c>
      <c r="AK615" s="2188">
        <f>AK275*$N$372/1000*3</f>
        <v>0</v>
      </c>
      <c r="AL615" s="2188">
        <f>AL275*$O$372/1000*3</f>
        <v>0</v>
      </c>
      <c r="AM615" s="2186">
        <f t="shared" si="1424"/>
        <v>0</v>
      </c>
      <c r="AN615" s="2188">
        <f>AN275*$N$372/1000*3</f>
        <v>0</v>
      </c>
      <c r="AO615" s="2188">
        <f>AO275*$O$372/1000*3</f>
        <v>0</v>
      </c>
      <c r="AP615" s="2186">
        <f t="shared" si="1425"/>
        <v>0</v>
      </c>
      <c r="AQ615" s="2188">
        <f>AQ275*$N$372/1000*3</f>
        <v>0</v>
      </c>
      <c r="AR615" s="2188">
        <f>AR275*$O$372/1000*3</f>
        <v>0</v>
      </c>
      <c r="AS615" s="2186">
        <f t="shared" si="1426"/>
        <v>0</v>
      </c>
      <c r="AT615" s="2188">
        <f>AT275*$N$372/1000*3</f>
        <v>0</v>
      </c>
      <c r="AU615" s="2188">
        <f>AU275*$O$372/1000*3</f>
        <v>0</v>
      </c>
      <c r="AV615" s="2186">
        <f t="shared" si="1427"/>
        <v>0</v>
      </c>
      <c r="AW615" s="2188">
        <f>AW275*$N$372/1000*3</f>
        <v>0</v>
      </c>
      <c r="AX615" s="2188">
        <f>AX275*$O$372/1000*3</f>
        <v>0</v>
      </c>
      <c r="AY615" s="2186">
        <f t="shared" si="1428"/>
        <v>0</v>
      </c>
      <c r="AZ615" s="2188">
        <f>AZ275*$N$372/1000*3</f>
        <v>0</v>
      </c>
      <c r="BA615" s="2188">
        <f>BA275*$O$372/1000*3</f>
        <v>0</v>
      </c>
      <c r="BB615" s="2186">
        <f t="shared" si="1429"/>
        <v>0</v>
      </c>
      <c r="BC615" s="2188">
        <f>BC275*$N$372/1000*3</f>
        <v>0</v>
      </c>
      <c r="BD615" s="2188">
        <f>BD275*$O$372/1000*3</f>
        <v>0</v>
      </c>
      <c r="BE615" s="2186">
        <f t="shared" si="1430"/>
        <v>0</v>
      </c>
      <c r="BF615" s="2188">
        <f>BF275*$N$372/1000*3</f>
        <v>0</v>
      </c>
      <c r="BG615" s="2188">
        <f>BG275*$O$372/1000*3</f>
        <v>0</v>
      </c>
      <c r="BH615" s="2186">
        <f t="shared" si="1431"/>
        <v>0</v>
      </c>
      <c r="BI615" s="2188">
        <f>BI275*$N$372/1000*3</f>
        <v>0</v>
      </c>
      <c r="BJ615" s="2188">
        <f>BJ275*$O$372/1000*3</f>
        <v>0</v>
      </c>
      <c r="BK615" s="2186">
        <f t="shared" si="1432"/>
        <v>0</v>
      </c>
      <c r="BL615" s="2188">
        <f>BL275*$N$372/1000*3</f>
        <v>0</v>
      </c>
      <c r="BM615" s="2188">
        <f>BM275*$O$372/1000*3</f>
        <v>0</v>
      </c>
      <c r="BN615" s="2186">
        <f t="shared" si="1433"/>
        <v>0</v>
      </c>
      <c r="BO615" s="2188">
        <f>BO275*$N$372/1000*3</f>
        <v>0</v>
      </c>
      <c r="BP615" s="2188">
        <f>BP275*$O$372/1000*3</f>
        <v>0</v>
      </c>
      <c r="BQ615" s="2186">
        <f t="shared" si="1434"/>
        <v>0</v>
      </c>
    </row>
    <row r="616" spans="3:69" s="2087" customFormat="1" ht="21.6" hidden="1" customHeight="1">
      <c r="C616" s="2194" t="s">
        <v>2771</v>
      </c>
      <c r="D616" s="2283" t="s">
        <v>2227</v>
      </c>
      <c r="E616" s="2284" t="s">
        <v>1833</v>
      </c>
      <c r="F616" s="2176"/>
      <c r="G616" s="2177"/>
      <c r="H616" s="2177"/>
      <c r="I616" s="2178">
        <f t="shared" si="1420"/>
        <v>0</v>
      </c>
      <c r="J616" s="2176"/>
      <c r="K616" s="2252">
        <f t="shared" si="1417"/>
        <v>0</v>
      </c>
      <c r="L616" s="2252">
        <f t="shared" si="1417"/>
        <v>0</v>
      </c>
      <c r="M616" s="2255">
        <f t="shared" si="1418"/>
        <v>0</v>
      </c>
      <c r="N616" s="2179">
        <f>N276*$N$373/1000*3</f>
        <v>0</v>
      </c>
      <c r="O616" s="2179">
        <f>O276*$O$373/1000*3</f>
        <v>0</v>
      </c>
      <c r="P616" s="2178">
        <f t="shared" si="1421"/>
        <v>0</v>
      </c>
      <c r="Q616" s="2184">
        <f>Q276*$Q$373/1000*3</f>
        <v>0</v>
      </c>
      <c r="R616" s="2179">
        <f>R276*$R$373/1000*3</f>
        <v>0</v>
      </c>
      <c r="S616" s="2180">
        <f t="shared" si="1422"/>
        <v>0</v>
      </c>
      <c r="T616" s="2251">
        <f t="shared" si="1334"/>
        <v>0</v>
      </c>
      <c r="U616" s="2252">
        <f t="shared" si="1334"/>
        <v>0</v>
      </c>
      <c r="V616" s="2253">
        <f t="shared" si="1335"/>
        <v>0</v>
      </c>
      <c r="W616" s="2187">
        <f>W276*$W$373/1000*3</f>
        <v>0</v>
      </c>
      <c r="X616" s="2179">
        <f>X276*$X$373/1000*3</f>
        <v>0</v>
      </c>
      <c r="Y616" s="2183">
        <f t="shared" si="1339"/>
        <v>0</v>
      </c>
      <c r="Z616" s="2254">
        <f t="shared" si="1419"/>
        <v>0</v>
      </c>
      <c r="AA616" s="2252">
        <f t="shared" si="1419"/>
        <v>0</v>
      </c>
      <c r="AB616" s="2255">
        <f t="shared" si="1298"/>
        <v>0</v>
      </c>
      <c r="AC616" s="2184">
        <f>AC276*$AC$373/1000*3</f>
        <v>0</v>
      </c>
      <c r="AD616" s="2179">
        <f>AD276*$AD$373/1000*3</f>
        <v>0</v>
      </c>
      <c r="AE616" s="2180">
        <f t="shared" si="1340"/>
        <v>0</v>
      </c>
      <c r="AF616" s="2277"/>
      <c r="AG616" s="2114"/>
      <c r="AH616" s="2188">
        <f>AH276*$N$373/1000*3</f>
        <v>0</v>
      </c>
      <c r="AI616" s="2188">
        <f>AI276*$O$373/1000*3</f>
        <v>0</v>
      </c>
      <c r="AJ616" s="2186">
        <f t="shared" si="1423"/>
        <v>0</v>
      </c>
      <c r="AK616" s="2188">
        <f>AK276*$N$373/1000*3</f>
        <v>0</v>
      </c>
      <c r="AL616" s="2188">
        <f>AL276*$O$373/1000*3</f>
        <v>0</v>
      </c>
      <c r="AM616" s="2186">
        <f t="shared" si="1424"/>
        <v>0</v>
      </c>
      <c r="AN616" s="2188">
        <f>AN276*$N$373/1000*3</f>
        <v>0</v>
      </c>
      <c r="AO616" s="2188">
        <f>AO276*$O$373/1000*3</f>
        <v>0</v>
      </c>
      <c r="AP616" s="2186">
        <f t="shared" si="1425"/>
        <v>0</v>
      </c>
      <c r="AQ616" s="2188">
        <f>AQ276*$N$373/1000*3</f>
        <v>0</v>
      </c>
      <c r="AR616" s="2188">
        <f>AR276*$O$373/1000*3</f>
        <v>0</v>
      </c>
      <c r="AS616" s="2186">
        <f t="shared" si="1426"/>
        <v>0</v>
      </c>
      <c r="AT616" s="2188">
        <f>AT276*$N$373/1000*3</f>
        <v>0</v>
      </c>
      <c r="AU616" s="2188">
        <f>AU276*$O$373/1000*3</f>
        <v>0</v>
      </c>
      <c r="AV616" s="2186">
        <f t="shared" si="1427"/>
        <v>0</v>
      </c>
      <c r="AW616" s="2188">
        <f>AW276*$N$373/1000*3</f>
        <v>0</v>
      </c>
      <c r="AX616" s="2188">
        <f>AX276*$O$373/1000*3</f>
        <v>0</v>
      </c>
      <c r="AY616" s="2186">
        <f t="shared" si="1428"/>
        <v>0</v>
      </c>
      <c r="AZ616" s="2188">
        <f>AZ276*$N$373/1000*3</f>
        <v>0</v>
      </c>
      <c r="BA616" s="2188">
        <f>BA276*$O$373/1000*3</f>
        <v>0</v>
      </c>
      <c r="BB616" s="2186">
        <f t="shared" si="1429"/>
        <v>0</v>
      </c>
      <c r="BC616" s="2188">
        <f>BC276*$N$373/1000*3</f>
        <v>0</v>
      </c>
      <c r="BD616" s="2188">
        <f>BD276*$O$373/1000*3</f>
        <v>0</v>
      </c>
      <c r="BE616" s="2186">
        <f t="shared" si="1430"/>
        <v>0</v>
      </c>
      <c r="BF616" s="2188">
        <f>BF276*$N$373/1000*3</f>
        <v>0</v>
      </c>
      <c r="BG616" s="2188">
        <f>BG276*$O$373/1000*3</f>
        <v>0</v>
      </c>
      <c r="BH616" s="2186">
        <f t="shared" si="1431"/>
        <v>0</v>
      </c>
      <c r="BI616" s="2188">
        <f>BI276*$N$373/1000*3</f>
        <v>0</v>
      </c>
      <c r="BJ616" s="2188">
        <f>BJ276*$O$373/1000*3</f>
        <v>0</v>
      </c>
      <c r="BK616" s="2186">
        <f t="shared" si="1432"/>
        <v>0</v>
      </c>
      <c r="BL616" s="2188">
        <f>BL276*$N$373/1000*3</f>
        <v>0</v>
      </c>
      <c r="BM616" s="2188">
        <f>BM276*$O$373/1000*3</f>
        <v>0</v>
      </c>
      <c r="BN616" s="2186">
        <f t="shared" si="1433"/>
        <v>0</v>
      </c>
      <c r="BO616" s="2188">
        <f>BO276*$N$373/1000*3</f>
        <v>0</v>
      </c>
      <c r="BP616" s="2188">
        <f>BP276*$O$373/1000*3</f>
        <v>0</v>
      </c>
      <c r="BQ616" s="2186">
        <f t="shared" si="1434"/>
        <v>0</v>
      </c>
    </row>
    <row r="617" spans="3:69" s="2087" customFormat="1" ht="21.6" hidden="1" customHeight="1">
      <c r="C617" s="2194" t="s">
        <v>2772</v>
      </c>
      <c r="D617" s="2283" t="s">
        <v>2229</v>
      </c>
      <c r="E617" s="2284" t="s">
        <v>1833</v>
      </c>
      <c r="F617" s="2176"/>
      <c r="G617" s="2177"/>
      <c r="H617" s="2177"/>
      <c r="I617" s="2186"/>
      <c r="J617" s="2176"/>
      <c r="K617" s="2252">
        <f t="shared" si="1417"/>
        <v>0</v>
      </c>
      <c r="L617" s="2252">
        <f t="shared" si="1417"/>
        <v>0</v>
      </c>
      <c r="M617" s="2255">
        <f t="shared" si="1418"/>
        <v>0</v>
      </c>
      <c r="N617" s="2177"/>
      <c r="O617" s="2177"/>
      <c r="P617" s="2186"/>
      <c r="Q617" s="2177"/>
      <c r="R617" s="2177"/>
      <c r="S617" s="2266"/>
      <c r="T617" s="2251">
        <f t="shared" si="1334"/>
        <v>0</v>
      </c>
      <c r="U617" s="2252">
        <f t="shared" si="1334"/>
        <v>0</v>
      </c>
      <c r="V617" s="2253">
        <f t="shared" si="1335"/>
        <v>0</v>
      </c>
      <c r="W617" s="2182"/>
      <c r="X617" s="2177"/>
      <c r="Y617" s="2271"/>
      <c r="Z617" s="2254">
        <f t="shared" si="1419"/>
        <v>0</v>
      </c>
      <c r="AA617" s="2252">
        <f t="shared" si="1419"/>
        <v>0</v>
      </c>
      <c r="AB617" s="2255">
        <f t="shared" si="1298"/>
        <v>0</v>
      </c>
      <c r="AC617" s="2177"/>
      <c r="AD617" s="2177"/>
      <c r="AE617" s="2266"/>
      <c r="AF617" s="2277"/>
      <c r="AG617" s="2114"/>
      <c r="AH617" s="2177"/>
      <c r="AI617" s="2177"/>
      <c r="AJ617" s="2186"/>
      <c r="AK617" s="2177"/>
      <c r="AL617" s="2177"/>
      <c r="AM617" s="2186"/>
      <c r="AN617" s="2177"/>
      <c r="AO617" s="2177"/>
      <c r="AP617" s="2186"/>
      <c r="AQ617" s="2177"/>
      <c r="AR617" s="2177"/>
      <c r="AS617" s="2186"/>
      <c r="AT617" s="2177"/>
      <c r="AU617" s="2177"/>
      <c r="AV617" s="2186"/>
      <c r="AW617" s="2177"/>
      <c r="AX617" s="2177"/>
      <c r="AY617" s="2186"/>
      <c r="AZ617" s="2177"/>
      <c r="BA617" s="2177"/>
      <c r="BB617" s="2186"/>
      <c r="BC617" s="2177"/>
      <c r="BD617" s="2177"/>
      <c r="BE617" s="2186"/>
      <c r="BF617" s="2177"/>
      <c r="BG617" s="2177"/>
      <c r="BH617" s="2186"/>
      <c r="BI617" s="2177"/>
      <c r="BJ617" s="2177"/>
      <c r="BK617" s="2186"/>
      <c r="BL617" s="2177"/>
      <c r="BM617" s="2177"/>
      <c r="BN617" s="2186"/>
      <c r="BO617" s="2177"/>
      <c r="BP617" s="2177"/>
      <c r="BQ617" s="2186"/>
    </row>
    <row r="618" spans="3:69" s="2087" customFormat="1" ht="21.6" hidden="1" customHeight="1">
      <c r="C618" s="2285" t="s">
        <v>2773</v>
      </c>
      <c r="D618" s="2286" t="s">
        <v>2606</v>
      </c>
      <c r="E618" s="2284" t="s">
        <v>1833</v>
      </c>
      <c r="F618" s="2176"/>
      <c r="G618" s="2179">
        <f>G619+G620+G621+G622+G623</f>
        <v>0</v>
      </c>
      <c r="H618" s="2179">
        <f>H619+H620+H621+H622+H623</f>
        <v>0</v>
      </c>
      <c r="I618" s="2178">
        <f t="shared" ref="I618" si="1438">H618-G618</f>
        <v>0</v>
      </c>
      <c r="J618" s="2176"/>
      <c r="K618" s="2252">
        <f t="shared" si="1417"/>
        <v>0</v>
      </c>
      <c r="L618" s="2179">
        <f t="shared" si="1417"/>
        <v>0</v>
      </c>
      <c r="M618" s="2178">
        <f t="shared" si="1418"/>
        <v>0</v>
      </c>
      <c r="N618" s="2179">
        <f>N619+N620+N621+N622+N623</f>
        <v>0</v>
      </c>
      <c r="O618" s="2179">
        <f>O619+O620+O621+O622+O623</f>
        <v>0</v>
      </c>
      <c r="P618" s="2178">
        <f t="shared" ref="P618" si="1439">O618-N618</f>
        <v>0</v>
      </c>
      <c r="Q618" s="2179">
        <f>Q619+Q620+Q621+Q622+Q623</f>
        <v>0</v>
      </c>
      <c r="R618" s="2179">
        <f>R619+R620+R621+R622+R623</f>
        <v>0</v>
      </c>
      <c r="S618" s="2180">
        <f t="shared" ref="S618" si="1440">R618-Q618</f>
        <v>0</v>
      </c>
      <c r="T618" s="2181">
        <f t="shared" si="1334"/>
        <v>0</v>
      </c>
      <c r="U618" s="2179">
        <f t="shared" si="1334"/>
        <v>0</v>
      </c>
      <c r="V618" s="2180">
        <f t="shared" si="1335"/>
        <v>0</v>
      </c>
      <c r="W618" s="2187">
        <f>W619+W620+W621+W622+W623</f>
        <v>0</v>
      </c>
      <c r="X618" s="2179">
        <f>X619+X620+X621+X622+X623</f>
        <v>0</v>
      </c>
      <c r="Y618" s="2183">
        <f t="shared" ref="Y618" si="1441">X618-W618</f>
        <v>0</v>
      </c>
      <c r="Z618" s="2184">
        <f t="shared" si="1419"/>
        <v>0</v>
      </c>
      <c r="AA618" s="2179">
        <f t="shared" si="1419"/>
        <v>0</v>
      </c>
      <c r="AB618" s="2178">
        <f t="shared" si="1298"/>
        <v>0</v>
      </c>
      <c r="AC618" s="2179">
        <f>AC619+AC620+AC621+AC622+AC623</f>
        <v>0</v>
      </c>
      <c r="AD618" s="2179">
        <f>AD619+AD620+AD621+AD622+AD623</f>
        <v>0</v>
      </c>
      <c r="AE618" s="2180">
        <f t="shared" ref="AE618" si="1442">AD618-AC618</f>
        <v>0</v>
      </c>
      <c r="AF618" s="2277"/>
      <c r="AG618" s="2114"/>
      <c r="AH618" s="2188">
        <f>AH619+AH620+AH621+AH622+AH623</f>
        <v>0</v>
      </c>
      <c r="AI618" s="2188">
        <f>AI619+AI620+AI621+AI622+AI623</f>
        <v>0</v>
      </c>
      <c r="AJ618" s="2186">
        <f t="shared" ref="AJ618:AJ622" si="1443">AI618-AH618</f>
        <v>0</v>
      </c>
      <c r="AK618" s="2188">
        <f>AK619+AK620+AK621+AK622+AK623</f>
        <v>0</v>
      </c>
      <c r="AL618" s="2188">
        <f>AL619+AL620+AL621+AL622+AL623</f>
        <v>0</v>
      </c>
      <c r="AM618" s="2186">
        <f t="shared" ref="AM618:AM622" si="1444">AL618-AK618</f>
        <v>0</v>
      </c>
      <c r="AN618" s="2188">
        <f>AN619+AN620+AN621+AN622+AN623</f>
        <v>0</v>
      </c>
      <c r="AO618" s="2188">
        <f>AO619+AO620+AO621+AO622+AO623</f>
        <v>0</v>
      </c>
      <c r="AP618" s="2186">
        <f t="shared" ref="AP618:AP622" si="1445">AO618-AN618</f>
        <v>0</v>
      </c>
      <c r="AQ618" s="2188">
        <f>AQ619+AQ620+AQ621+AQ622+AQ623</f>
        <v>0</v>
      </c>
      <c r="AR618" s="2188">
        <f>AR619+AR620+AR621+AR622+AR623</f>
        <v>0</v>
      </c>
      <c r="AS618" s="2186">
        <f t="shared" ref="AS618:AS622" si="1446">AR618-AQ618</f>
        <v>0</v>
      </c>
      <c r="AT618" s="2188">
        <f>AT619+AT620+AT621+AT622+AT623</f>
        <v>0</v>
      </c>
      <c r="AU618" s="2188">
        <f>AU619+AU620+AU621+AU622+AU623</f>
        <v>0</v>
      </c>
      <c r="AV618" s="2186">
        <f t="shared" ref="AV618:AV622" si="1447">AU618-AT618</f>
        <v>0</v>
      </c>
      <c r="AW618" s="2188">
        <f>AW619+AW620+AW621+AW622+AW623</f>
        <v>0</v>
      </c>
      <c r="AX618" s="2188">
        <f>AX619+AX620+AX621+AX622+AX623</f>
        <v>0</v>
      </c>
      <c r="AY618" s="2186">
        <f t="shared" ref="AY618:AY622" si="1448">AX618-AW618</f>
        <v>0</v>
      </c>
      <c r="AZ618" s="2188">
        <f>AZ619+AZ620+AZ621+AZ622+AZ623</f>
        <v>0</v>
      </c>
      <c r="BA618" s="2188">
        <f>BA619+BA620+BA621+BA622+BA623</f>
        <v>0</v>
      </c>
      <c r="BB618" s="2186">
        <f t="shared" ref="BB618:BB622" si="1449">BA618-AZ618</f>
        <v>0</v>
      </c>
      <c r="BC618" s="2188">
        <f>BC619+BC620+BC621+BC622+BC623</f>
        <v>0</v>
      </c>
      <c r="BD618" s="2188">
        <f>BD619+BD620+BD621+BD622+BD623</f>
        <v>0</v>
      </c>
      <c r="BE618" s="2186">
        <f t="shared" ref="BE618:BE622" si="1450">BD618-BC618</f>
        <v>0</v>
      </c>
      <c r="BF618" s="2188">
        <f>BF619+BF620+BF621+BF622+BF623</f>
        <v>0</v>
      </c>
      <c r="BG618" s="2188">
        <f>BG619+BG620+BG621+BG622+BG623</f>
        <v>0</v>
      </c>
      <c r="BH618" s="2186">
        <f t="shared" ref="BH618:BH622" si="1451">BG618-BF618</f>
        <v>0</v>
      </c>
      <c r="BI618" s="2188">
        <f>BI619+BI620+BI621+BI622+BI623</f>
        <v>0</v>
      </c>
      <c r="BJ618" s="2188">
        <f>BJ619+BJ620+BJ621+BJ622+BJ623</f>
        <v>0</v>
      </c>
      <c r="BK618" s="2186">
        <f t="shared" ref="BK618:BK622" si="1452">BJ618-BI618</f>
        <v>0</v>
      </c>
      <c r="BL618" s="2188">
        <f>BL619+BL620+BL621+BL622+BL623</f>
        <v>0</v>
      </c>
      <c r="BM618" s="2188">
        <f>BM619+BM620+BM621+BM622+BM623</f>
        <v>0</v>
      </c>
      <c r="BN618" s="2186">
        <f t="shared" ref="BN618:BN622" si="1453">BM618-BL618</f>
        <v>0</v>
      </c>
      <c r="BO618" s="2188">
        <f>BO619+BO620+BO621+BO622+BO623</f>
        <v>0</v>
      </c>
      <c r="BP618" s="2188">
        <f>BP619+BP620+BP621+BP622+BP623</f>
        <v>0</v>
      </c>
      <c r="BQ618" s="2186">
        <f t="shared" ref="BQ618:BQ622" si="1454">BP618-BO618</f>
        <v>0</v>
      </c>
    </row>
    <row r="619" spans="3:69" s="2087" customFormat="1" ht="21.6" hidden="1" customHeight="1">
      <c r="C619" s="2194" t="s">
        <v>2774</v>
      </c>
      <c r="D619" s="2283" t="s">
        <v>2221</v>
      </c>
      <c r="E619" s="2284" t="s">
        <v>1833</v>
      </c>
      <c r="F619" s="2176"/>
      <c r="G619" s="2177"/>
      <c r="H619" s="2177"/>
      <c r="I619" s="2178">
        <f t="shared" si="1420"/>
        <v>0</v>
      </c>
      <c r="J619" s="2176"/>
      <c r="K619" s="2252">
        <f t="shared" si="1417"/>
        <v>0</v>
      </c>
      <c r="L619" s="2252">
        <f t="shared" si="1417"/>
        <v>0</v>
      </c>
      <c r="M619" s="2255">
        <f t="shared" si="1418"/>
        <v>0</v>
      </c>
      <c r="N619" s="2179">
        <f>N279*$N$376</f>
        <v>0</v>
      </c>
      <c r="O619" s="2179">
        <f>O279*$O$376</f>
        <v>0</v>
      </c>
      <c r="P619" s="2178">
        <f t="shared" si="1421"/>
        <v>0</v>
      </c>
      <c r="Q619" s="2184">
        <f>Q279*$Q$376</f>
        <v>0</v>
      </c>
      <c r="R619" s="2179">
        <f>R279*$R$376</f>
        <v>0</v>
      </c>
      <c r="S619" s="2180">
        <f t="shared" si="1422"/>
        <v>0</v>
      </c>
      <c r="T619" s="2251">
        <f t="shared" si="1334"/>
        <v>0</v>
      </c>
      <c r="U619" s="2252">
        <f t="shared" si="1334"/>
        <v>0</v>
      </c>
      <c r="V619" s="2253">
        <f t="shared" si="1335"/>
        <v>0</v>
      </c>
      <c r="W619" s="2187">
        <f>W279*$W$376</f>
        <v>0</v>
      </c>
      <c r="X619" s="2179">
        <f>X279*$X$376</f>
        <v>0</v>
      </c>
      <c r="Y619" s="2183">
        <f t="shared" si="1339"/>
        <v>0</v>
      </c>
      <c r="Z619" s="2254">
        <f t="shared" si="1419"/>
        <v>0</v>
      </c>
      <c r="AA619" s="2252">
        <f t="shared" si="1419"/>
        <v>0</v>
      </c>
      <c r="AB619" s="2255">
        <f t="shared" si="1298"/>
        <v>0</v>
      </c>
      <c r="AC619" s="2184">
        <f>AC279*$AC$376</f>
        <v>0</v>
      </c>
      <c r="AD619" s="2179">
        <f>AD279*$AD$376</f>
        <v>0</v>
      </c>
      <c r="AE619" s="2180">
        <f t="shared" si="1340"/>
        <v>0</v>
      </c>
      <c r="AF619" s="2277"/>
      <c r="AG619" s="2114"/>
      <c r="AH619" s="2188">
        <f>AH279*$N$376</f>
        <v>0</v>
      </c>
      <c r="AI619" s="2188">
        <f>AI279*$O$376</f>
        <v>0</v>
      </c>
      <c r="AJ619" s="2186">
        <f t="shared" si="1443"/>
        <v>0</v>
      </c>
      <c r="AK619" s="2188">
        <f>AK279*$N$376</f>
        <v>0</v>
      </c>
      <c r="AL619" s="2188">
        <f>AL279*$O$376</f>
        <v>0</v>
      </c>
      <c r="AM619" s="2186">
        <f t="shared" si="1444"/>
        <v>0</v>
      </c>
      <c r="AN619" s="2188">
        <f>AN279*$N$376</f>
        <v>0</v>
      </c>
      <c r="AO619" s="2188">
        <f>AO279*$O$376</f>
        <v>0</v>
      </c>
      <c r="AP619" s="2186">
        <f t="shared" si="1445"/>
        <v>0</v>
      </c>
      <c r="AQ619" s="2188">
        <f>AQ279*$N$376</f>
        <v>0</v>
      </c>
      <c r="AR619" s="2188">
        <f>AR279*$O$376</f>
        <v>0</v>
      </c>
      <c r="AS619" s="2186">
        <f t="shared" si="1446"/>
        <v>0</v>
      </c>
      <c r="AT619" s="2188">
        <f>AT279*$N$376</f>
        <v>0</v>
      </c>
      <c r="AU619" s="2188">
        <f>AU279*$O$376</f>
        <v>0</v>
      </c>
      <c r="AV619" s="2186">
        <f t="shared" si="1447"/>
        <v>0</v>
      </c>
      <c r="AW619" s="2188">
        <f>AW279*$N$376</f>
        <v>0</v>
      </c>
      <c r="AX619" s="2188">
        <f>AX279*$O$376</f>
        <v>0</v>
      </c>
      <c r="AY619" s="2186">
        <f t="shared" si="1448"/>
        <v>0</v>
      </c>
      <c r="AZ619" s="2188">
        <f>AZ279*$N$376</f>
        <v>0</v>
      </c>
      <c r="BA619" s="2188">
        <f>BA279*$O$376</f>
        <v>0</v>
      </c>
      <c r="BB619" s="2186">
        <f t="shared" si="1449"/>
        <v>0</v>
      </c>
      <c r="BC619" s="2188">
        <f>BC279*$N$376</f>
        <v>0</v>
      </c>
      <c r="BD619" s="2188">
        <f>BD279*$O$376</f>
        <v>0</v>
      </c>
      <c r="BE619" s="2186">
        <f t="shared" si="1450"/>
        <v>0</v>
      </c>
      <c r="BF619" s="2188">
        <f>BF279*$N$376</f>
        <v>0</v>
      </c>
      <c r="BG619" s="2188">
        <f>BG279*$O$376</f>
        <v>0</v>
      </c>
      <c r="BH619" s="2186">
        <f t="shared" si="1451"/>
        <v>0</v>
      </c>
      <c r="BI619" s="2188">
        <f>BI279*$N$376</f>
        <v>0</v>
      </c>
      <c r="BJ619" s="2188">
        <f>BJ279*$O$376</f>
        <v>0</v>
      </c>
      <c r="BK619" s="2186">
        <f t="shared" si="1452"/>
        <v>0</v>
      </c>
      <c r="BL619" s="2188">
        <f>BL279*$N$376</f>
        <v>0</v>
      </c>
      <c r="BM619" s="2188">
        <f>BM279*$O$376</f>
        <v>0</v>
      </c>
      <c r="BN619" s="2186">
        <f t="shared" si="1453"/>
        <v>0</v>
      </c>
      <c r="BO619" s="2188">
        <f>BO279*$N$376</f>
        <v>0</v>
      </c>
      <c r="BP619" s="2188">
        <f>BP279*$O$376</f>
        <v>0</v>
      </c>
      <c r="BQ619" s="2186">
        <f t="shared" si="1454"/>
        <v>0</v>
      </c>
    </row>
    <row r="620" spans="3:69" s="2087" customFormat="1" ht="21.6" hidden="1" customHeight="1">
      <c r="C620" s="2194" t="s">
        <v>2775</v>
      </c>
      <c r="D620" s="2283" t="s">
        <v>2223</v>
      </c>
      <c r="E620" s="2284" t="s">
        <v>1833</v>
      </c>
      <c r="F620" s="2176"/>
      <c r="G620" s="2177"/>
      <c r="H620" s="2177"/>
      <c r="I620" s="2178">
        <f t="shared" si="1420"/>
        <v>0</v>
      </c>
      <c r="J620" s="2176"/>
      <c r="K620" s="2252">
        <f t="shared" si="1417"/>
        <v>0</v>
      </c>
      <c r="L620" s="2252">
        <f t="shared" si="1417"/>
        <v>0</v>
      </c>
      <c r="M620" s="2255">
        <f t="shared" si="1418"/>
        <v>0</v>
      </c>
      <c r="N620" s="2179">
        <f>N280*$N$377</f>
        <v>0</v>
      </c>
      <c r="O620" s="2179">
        <f>O280*$O$377</f>
        <v>0</v>
      </c>
      <c r="P620" s="2178">
        <f t="shared" si="1421"/>
        <v>0</v>
      </c>
      <c r="Q620" s="2184">
        <f>Q280*$Q$377</f>
        <v>0</v>
      </c>
      <c r="R620" s="2179">
        <f>R280*$R$377</f>
        <v>0</v>
      </c>
      <c r="S620" s="2180">
        <f t="shared" si="1422"/>
        <v>0</v>
      </c>
      <c r="T620" s="2251">
        <f t="shared" si="1334"/>
        <v>0</v>
      </c>
      <c r="U620" s="2252">
        <f t="shared" si="1334"/>
        <v>0</v>
      </c>
      <c r="V620" s="2253">
        <f t="shared" si="1335"/>
        <v>0</v>
      </c>
      <c r="W620" s="2187">
        <f>W280*$W$377</f>
        <v>0</v>
      </c>
      <c r="X620" s="2179">
        <f>X280*$X$377</f>
        <v>0</v>
      </c>
      <c r="Y620" s="2183">
        <f t="shared" si="1339"/>
        <v>0</v>
      </c>
      <c r="Z620" s="2254">
        <f t="shared" si="1419"/>
        <v>0</v>
      </c>
      <c r="AA620" s="2252">
        <f t="shared" si="1419"/>
        <v>0</v>
      </c>
      <c r="AB620" s="2255">
        <f t="shared" si="1298"/>
        <v>0</v>
      </c>
      <c r="AC620" s="2184">
        <f>AC280*$AC$377</f>
        <v>0</v>
      </c>
      <c r="AD620" s="2179">
        <f>AD280*$AD$377</f>
        <v>0</v>
      </c>
      <c r="AE620" s="2180">
        <f t="shared" si="1340"/>
        <v>0</v>
      </c>
      <c r="AF620" s="2277"/>
      <c r="AG620" s="2114"/>
      <c r="AH620" s="2188">
        <f>AH280*$N$377</f>
        <v>0</v>
      </c>
      <c r="AI620" s="2188">
        <f>AI280*$O$377</f>
        <v>0</v>
      </c>
      <c r="AJ620" s="2186">
        <f t="shared" si="1443"/>
        <v>0</v>
      </c>
      <c r="AK620" s="2188">
        <f>AK280*$N$377</f>
        <v>0</v>
      </c>
      <c r="AL620" s="2188">
        <f>AL280*$O$377</f>
        <v>0</v>
      </c>
      <c r="AM620" s="2186">
        <f t="shared" si="1444"/>
        <v>0</v>
      </c>
      <c r="AN620" s="2188">
        <f>AN280*$N$377</f>
        <v>0</v>
      </c>
      <c r="AO620" s="2188">
        <f>AO280*$O$377</f>
        <v>0</v>
      </c>
      <c r="AP620" s="2186">
        <f t="shared" si="1445"/>
        <v>0</v>
      </c>
      <c r="AQ620" s="2188">
        <f>AQ280*$N$377</f>
        <v>0</v>
      </c>
      <c r="AR620" s="2188">
        <f>AR280*$O$377</f>
        <v>0</v>
      </c>
      <c r="AS620" s="2186">
        <f t="shared" si="1446"/>
        <v>0</v>
      </c>
      <c r="AT620" s="2188">
        <f>AT280*$N$377</f>
        <v>0</v>
      </c>
      <c r="AU620" s="2188">
        <f>AU280*$O$377</f>
        <v>0</v>
      </c>
      <c r="AV620" s="2186">
        <f t="shared" si="1447"/>
        <v>0</v>
      </c>
      <c r="AW620" s="2188">
        <f>AW280*$N$377</f>
        <v>0</v>
      </c>
      <c r="AX620" s="2188">
        <f>AX280*$O$377</f>
        <v>0</v>
      </c>
      <c r="AY620" s="2186">
        <f t="shared" si="1448"/>
        <v>0</v>
      </c>
      <c r="AZ620" s="2188">
        <f>AZ280*$N$377</f>
        <v>0</v>
      </c>
      <c r="BA620" s="2188">
        <f>BA280*$O$377</f>
        <v>0</v>
      </c>
      <c r="BB620" s="2186">
        <f t="shared" si="1449"/>
        <v>0</v>
      </c>
      <c r="BC620" s="2188">
        <f>BC280*$N$377</f>
        <v>0</v>
      </c>
      <c r="BD620" s="2188">
        <f>BD280*$O$377</f>
        <v>0</v>
      </c>
      <c r="BE620" s="2186">
        <f t="shared" si="1450"/>
        <v>0</v>
      </c>
      <c r="BF620" s="2188">
        <f>BF280*$N$377</f>
        <v>0</v>
      </c>
      <c r="BG620" s="2188">
        <f>BG280*$O$377</f>
        <v>0</v>
      </c>
      <c r="BH620" s="2186">
        <f t="shared" si="1451"/>
        <v>0</v>
      </c>
      <c r="BI620" s="2188">
        <f>BI280*$N$377</f>
        <v>0</v>
      </c>
      <c r="BJ620" s="2188">
        <f>BJ280*$O$377</f>
        <v>0</v>
      </c>
      <c r="BK620" s="2186">
        <f t="shared" si="1452"/>
        <v>0</v>
      </c>
      <c r="BL620" s="2188">
        <f>BL280*$N$377</f>
        <v>0</v>
      </c>
      <c r="BM620" s="2188">
        <f>BM280*$O$377</f>
        <v>0</v>
      </c>
      <c r="BN620" s="2186">
        <f t="shared" si="1453"/>
        <v>0</v>
      </c>
      <c r="BO620" s="2188">
        <f>BO280*$N$377</f>
        <v>0</v>
      </c>
      <c r="BP620" s="2188">
        <f>BP280*$O$377</f>
        <v>0</v>
      </c>
      <c r="BQ620" s="2186">
        <f t="shared" si="1454"/>
        <v>0</v>
      </c>
    </row>
    <row r="621" spans="3:69" s="2087" customFormat="1" ht="21.6" hidden="1" customHeight="1">
      <c r="C621" s="2194" t="s">
        <v>2776</v>
      </c>
      <c r="D621" s="2283" t="s">
        <v>2225</v>
      </c>
      <c r="E621" s="2284" t="s">
        <v>1833</v>
      </c>
      <c r="F621" s="2176"/>
      <c r="G621" s="2177"/>
      <c r="H621" s="2177"/>
      <c r="I621" s="2178">
        <f t="shared" si="1420"/>
        <v>0</v>
      </c>
      <c r="J621" s="2176"/>
      <c r="K621" s="2252">
        <f t="shared" si="1417"/>
        <v>0</v>
      </c>
      <c r="L621" s="2252">
        <f t="shared" si="1417"/>
        <v>0</v>
      </c>
      <c r="M621" s="2255">
        <f t="shared" si="1418"/>
        <v>0</v>
      </c>
      <c r="N621" s="2179">
        <f>N281*$N$378</f>
        <v>0</v>
      </c>
      <c r="O621" s="2179">
        <f>O281*$O$378</f>
        <v>0</v>
      </c>
      <c r="P621" s="2178">
        <f t="shared" si="1421"/>
        <v>0</v>
      </c>
      <c r="Q621" s="2184">
        <f>Q281*$Q$378</f>
        <v>0</v>
      </c>
      <c r="R621" s="2179">
        <f>R281*$R$378</f>
        <v>0</v>
      </c>
      <c r="S621" s="2180">
        <f t="shared" si="1422"/>
        <v>0</v>
      </c>
      <c r="T621" s="2251">
        <f t="shared" si="1334"/>
        <v>0</v>
      </c>
      <c r="U621" s="2252">
        <f t="shared" si="1334"/>
        <v>0</v>
      </c>
      <c r="V621" s="2253">
        <f t="shared" si="1335"/>
        <v>0</v>
      </c>
      <c r="W621" s="2187">
        <f>W281*$W$378</f>
        <v>0</v>
      </c>
      <c r="X621" s="2179">
        <f>X281*$X$378</f>
        <v>0</v>
      </c>
      <c r="Y621" s="2183">
        <f t="shared" si="1339"/>
        <v>0</v>
      </c>
      <c r="Z621" s="2254">
        <f t="shared" si="1419"/>
        <v>0</v>
      </c>
      <c r="AA621" s="2252">
        <f t="shared" si="1419"/>
        <v>0</v>
      </c>
      <c r="AB621" s="2255">
        <f t="shared" si="1298"/>
        <v>0</v>
      </c>
      <c r="AC621" s="2184">
        <f>AC281*$AC$378</f>
        <v>0</v>
      </c>
      <c r="AD621" s="2179">
        <f>AD281*$AD$378</f>
        <v>0</v>
      </c>
      <c r="AE621" s="2180">
        <f t="shared" si="1340"/>
        <v>0</v>
      </c>
      <c r="AF621" s="2277"/>
      <c r="AG621" s="2114"/>
      <c r="AH621" s="2188">
        <f>AH281*$N$378</f>
        <v>0</v>
      </c>
      <c r="AI621" s="2188">
        <f>AI281*$O$378</f>
        <v>0</v>
      </c>
      <c r="AJ621" s="2186">
        <f t="shared" si="1443"/>
        <v>0</v>
      </c>
      <c r="AK621" s="2188">
        <f>AK281*$N$378</f>
        <v>0</v>
      </c>
      <c r="AL621" s="2188">
        <f>AL281*$O$378</f>
        <v>0</v>
      </c>
      <c r="AM621" s="2186">
        <f t="shared" si="1444"/>
        <v>0</v>
      </c>
      <c r="AN621" s="2188">
        <f>AN281*$N$378</f>
        <v>0</v>
      </c>
      <c r="AO621" s="2188">
        <f>AO281*$O$378</f>
        <v>0</v>
      </c>
      <c r="AP621" s="2186">
        <f t="shared" si="1445"/>
        <v>0</v>
      </c>
      <c r="AQ621" s="2188">
        <f>AQ281*$N$378</f>
        <v>0</v>
      </c>
      <c r="AR621" s="2188">
        <f>AR281*$O$378</f>
        <v>0</v>
      </c>
      <c r="AS621" s="2186">
        <f t="shared" si="1446"/>
        <v>0</v>
      </c>
      <c r="AT621" s="2188">
        <f>AT281*$N$378</f>
        <v>0</v>
      </c>
      <c r="AU621" s="2188">
        <f>AU281*$O$378</f>
        <v>0</v>
      </c>
      <c r="AV621" s="2186">
        <f t="shared" si="1447"/>
        <v>0</v>
      </c>
      <c r="AW621" s="2188">
        <f>AW281*$N$378</f>
        <v>0</v>
      </c>
      <c r="AX621" s="2188">
        <f>AX281*$O$378</f>
        <v>0</v>
      </c>
      <c r="AY621" s="2186">
        <f t="shared" si="1448"/>
        <v>0</v>
      </c>
      <c r="AZ621" s="2188">
        <f>AZ281*$N$378</f>
        <v>0</v>
      </c>
      <c r="BA621" s="2188">
        <f>BA281*$O$378</f>
        <v>0</v>
      </c>
      <c r="BB621" s="2186">
        <f t="shared" si="1449"/>
        <v>0</v>
      </c>
      <c r="BC621" s="2188">
        <f>BC281*$N$378</f>
        <v>0</v>
      </c>
      <c r="BD621" s="2188">
        <f>BD281*$O$378</f>
        <v>0</v>
      </c>
      <c r="BE621" s="2186">
        <f t="shared" si="1450"/>
        <v>0</v>
      </c>
      <c r="BF621" s="2188">
        <f>BF281*$N$378</f>
        <v>0</v>
      </c>
      <c r="BG621" s="2188">
        <f>BG281*$O$378</f>
        <v>0</v>
      </c>
      <c r="BH621" s="2186">
        <f t="shared" si="1451"/>
        <v>0</v>
      </c>
      <c r="BI621" s="2188">
        <f>BI281*$N$378</f>
        <v>0</v>
      </c>
      <c r="BJ621" s="2188">
        <f>BJ281*$O$378</f>
        <v>0</v>
      </c>
      <c r="BK621" s="2186">
        <f t="shared" si="1452"/>
        <v>0</v>
      </c>
      <c r="BL621" s="2188">
        <f>BL281*$N$378</f>
        <v>0</v>
      </c>
      <c r="BM621" s="2188">
        <f>BM281*$O$378</f>
        <v>0</v>
      </c>
      <c r="BN621" s="2186">
        <f t="shared" si="1453"/>
        <v>0</v>
      </c>
      <c r="BO621" s="2188">
        <f>BO281*$N$378</f>
        <v>0</v>
      </c>
      <c r="BP621" s="2188">
        <f>BP281*$O$378</f>
        <v>0</v>
      </c>
      <c r="BQ621" s="2186">
        <f t="shared" si="1454"/>
        <v>0</v>
      </c>
    </row>
    <row r="622" spans="3:69" s="2087" customFormat="1" ht="21.6" hidden="1" customHeight="1">
      <c r="C622" s="2194" t="s">
        <v>2777</v>
      </c>
      <c r="D622" s="2283" t="s">
        <v>2227</v>
      </c>
      <c r="E622" s="2284" t="s">
        <v>1833</v>
      </c>
      <c r="F622" s="2176"/>
      <c r="G622" s="2177"/>
      <c r="H622" s="2177"/>
      <c r="I622" s="2178">
        <f t="shared" si="1420"/>
        <v>0</v>
      </c>
      <c r="J622" s="2176"/>
      <c r="K622" s="2252">
        <f t="shared" si="1417"/>
        <v>0</v>
      </c>
      <c r="L622" s="2252">
        <f t="shared" si="1417"/>
        <v>0</v>
      </c>
      <c r="M622" s="2255">
        <f t="shared" si="1418"/>
        <v>0</v>
      </c>
      <c r="N622" s="2179">
        <f>N282*$N$379</f>
        <v>0</v>
      </c>
      <c r="O622" s="2179">
        <f>O282*$O$379</f>
        <v>0</v>
      </c>
      <c r="P622" s="2178">
        <f t="shared" si="1421"/>
        <v>0</v>
      </c>
      <c r="Q622" s="2184">
        <f>Q282*$Q$379</f>
        <v>0</v>
      </c>
      <c r="R622" s="2179">
        <f>R282*$R$379</f>
        <v>0</v>
      </c>
      <c r="S622" s="2180">
        <f t="shared" si="1422"/>
        <v>0</v>
      </c>
      <c r="T622" s="2251">
        <f t="shared" si="1334"/>
        <v>0</v>
      </c>
      <c r="U622" s="2252">
        <f t="shared" si="1334"/>
        <v>0</v>
      </c>
      <c r="V622" s="2253">
        <f t="shared" si="1335"/>
        <v>0</v>
      </c>
      <c r="W622" s="2187">
        <f>W282*$W$379</f>
        <v>0</v>
      </c>
      <c r="X622" s="2179">
        <f>X282*$X$379</f>
        <v>0</v>
      </c>
      <c r="Y622" s="2183">
        <f t="shared" si="1339"/>
        <v>0</v>
      </c>
      <c r="Z622" s="2254">
        <f t="shared" si="1419"/>
        <v>0</v>
      </c>
      <c r="AA622" s="2252">
        <f t="shared" si="1419"/>
        <v>0</v>
      </c>
      <c r="AB622" s="2255">
        <f t="shared" si="1298"/>
        <v>0</v>
      </c>
      <c r="AC622" s="2184">
        <f>AC282*$AC$379</f>
        <v>0</v>
      </c>
      <c r="AD622" s="2179">
        <f>AD282*$AD$379</f>
        <v>0</v>
      </c>
      <c r="AE622" s="2180">
        <f t="shared" si="1340"/>
        <v>0</v>
      </c>
      <c r="AF622" s="2277"/>
      <c r="AG622" s="2114"/>
      <c r="AH622" s="2188">
        <f>AH282*$N$379</f>
        <v>0</v>
      </c>
      <c r="AI622" s="2188">
        <f>AI282*$O$379</f>
        <v>0</v>
      </c>
      <c r="AJ622" s="2186">
        <f t="shared" si="1443"/>
        <v>0</v>
      </c>
      <c r="AK622" s="2188">
        <f>AK282*$N$379</f>
        <v>0</v>
      </c>
      <c r="AL622" s="2188">
        <f>AL282*$O$379</f>
        <v>0</v>
      </c>
      <c r="AM622" s="2186">
        <f t="shared" si="1444"/>
        <v>0</v>
      </c>
      <c r="AN622" s="2188">
        <f>AN282*$N$379</f>
        <v>0</v>
      </c>
      <c r="AO622" s="2188">
        <f>AO282*$O$379</f>
        <v>0</v>
      </c>
      <c r="AP622" s="2186">
        <f t="shared" si="1445"/>
        <v>0</v>
      </c>
      <c r="AQ622" s="2188">
        <f>AQ282*$N$379</f>
        <v>0</v>
      </c>
      <c r="AR622" s="2188">
        <f>AR282*$O$379</f>
        <v>0</v>
      </c>
      <c r="AS622" s="2186">
        <f t="shared" si="1446"/>
        <v>0</v>
      </c>
      <c r="AT622" s="2188">
        <f>AT282*$N$379</f>
        <v>0</v>
      </c>
      <c r="AU622" s="2188">
        <f>AU282*$O$379</f>
        <v>0</v>
      </c>
      <c r="AV622" s="2186">
        <f t="shared" si="1447"/>
        <v>0</v>
      </c>
      <c r="AW622" s="2188">
        <f>AW282*$N$379</f>
        <v>0</v>
      </c>
      <c r="AX622" s="2188">
        <f>AX282*$O$379</f>
        <v>0</v>
      </c>
      <c r="AY622" s="2186">
        <f t="shared" si="1448"/>
        <v>0</v>
      </c>
      <c r="AZ622" s="2188">
        <f>AZ282*$N$379</f>
        <v>0</v>
      </c>
      <c r="BA622" s="2188">
        <f>BA282*$O$379</f>
        <v>0</v>
      </c>
      <c r="BB622" s="2186">
        <f t="shared" si="1449"/>
        <v>0</v>
      </c>
      <c r="BC622" s="2188">
        <f>BC282*$N$379</f>
        <v>0</v>
      </c>
      <c r="BD622" s="2188">
        <f>BD282*$O$379</f>
        <v>0</v>
      </c>
      <c r="BE622" s="2186">
        <f t="shared" si="1450"/>
        <v>0</v>
      </c>
      <c r="BF622" s="2188">
        <f>BF282*$N$379</f>
        <v>0</v>
      </c>
      <c r="BG622" s="2188">
        <f>BG282*$O$379</f>
        <v>0</v>
      </c>
      <c r="BH622" s="2186">
        <f t="shared" si="1451"/>
        <v>0</v>
      </c>
      <c r="BI622" s="2188">
        <f>BI282*$N$379</f>
        <v>0</v>
      </c>
      <c r="BJ622" s="2188">
        <f>BJ282*$O$379</f>
        <v>0</v>
      </c>
      <c r="BK622" s="2186">
        <f t="shared" si="1452"/>
        <v>0</v>
      </c>
      <c r="BL622" s="2188">
        <f>BL282*$N$379</f>
        <v>0</v>
      </c>
      <c r="BM622" s="2188">
        <f>BM282*$O$379</f>
        <v>0</v>
      </c>
      <c r="BN622" s="2186">
        <f t="shared" si="1453"/>
        <v>0</v>
      </c>
      <c r="BO622" s="2188">
        <f>BO282*$N$379</f>
        <v>0</v>
      </c>
      <c r="BP622" s="2188">
        <f>BP282*$O$379</f>
        <v>0</v>
      </c>
      <c r="BQ622" s="2186">
        <f t="shared" si="1454"/>
        <v>0</v>
      </c>
    </row>
    <row r="623" spans="3:69" s="2087" customFormat="1" ht="21.6" hidden="1" customHeight="1">
      <c r="C623" s="2194" t="s">
        <v>2778</v>
      </c>
      <c r="D623" s="2283" t="s">
        <v>2229</v>
      </c>
      <c r="E623" s="2284" t="s">
        <v>1833</v>
      </c>
      <c r="F623" s="2176"/>
      <c r="G623" s="2177"/>
      <c r="H623" s="2177"/>
      <c r="I623" s="2186"/>
      <c r="J623" s="2176"/>
      <c r="K623" s="2252">
        <f t="shared" si="1417"/>
        <v>0</v>
      </c>
      <c r="L623" s="2252">
        <f t="shared" si="1417"/>
        <v>0</v>
      </c>
      <c r="M623" s="2255">
        <f t="shared" si="1418"/>
        <v>0</v>
      </c>
      <c r="N623" s="2177"/>
      <c r="O623" s="2177"/>
      <c r="P623" s="2186"/>
      <c r="Q623" s="2177"/>
      <c r="R623" s="2177"/>
      <c r="S623" s="2266"/>
      <c r="T623" s="2251">
        <f t="shared" si="1334"/>
        <v>0</v>
      </c>
      <c r="U623" s="2252">
        <f t="shared" si="1334"/>
        <v>0</v>
      </c>
      <c r="V623" s="2253">
        <f t="shared" si="1335"/>
        <v>0</v>
      </c>
      <c r="W623" s="2182"/>
      <c r="X623" s="2177"/>
      <c r="Y623" s="2271"/>
      <c r="Z623" s="2254">
        <f t="shared" si="1419"/>
        <v>0</v>
      </c>
      <c r="AA623" s="2252">
        <f t="shared" si="1419"/>
        <v>0</v>
      </c>
      <c r="AB623" s="2255">
        <f t="shared" si="1298"/>
        <v>0</v>
      </c>
      <c r="AC623" s="2177"/>
      <c r="AD623" s="2177"/>
      <c r="AE623" s="2266"/>
      <c r="AF623" s="2277"/>
      <c r="AG623" s="2114"/>
      <c r="AH623" s="2177"/>
      <c r="AI623" s="2177"/>
      <c r="AJ623" s="2186"/>
      <c r="AK623" s="2177"/>
      <c r="AL623" s="2177"/>
      <c r="AM623" s="2186"/>
      <c r="AN623" s="2177"/>
      <c r="AO623" s="2177"/>
      <c r="AP623" s="2186"/>
      <c r="AQ623" s="2177"/>
      <c r="AR623" s="2177"/>
      <c r="AS623" s="2186"/>
      <c r="AT623" s="2177"/>
      <c r="AU623" s="2177"/>
      <c r="AV623" s="2186"/>
      <c r="AW623" s="2177"/>
      <c r="AX623" s="2177"/>
      <c r="AY623" s="2186"/>
      <c r="AZ623" s="2177"/>
      <c r="BA623" s="2177"/>
      <c r="BB623" s="2186"/>
      <c r="BC623" s="2177"/>
      <c r="BD623" s="2177"/>
      <c r="BE623" s="2186"/>
      <c r="BF623" s="2177"/>
      <c r="BG623" s="2177"/>
      <c r="BH623" s="2186"/>
      <c r="BI623" s="2177"/>
      <c r="BJ623" s="2177"/>
      <c r="BK623" s="2186"/>
      <c r="BL623" s="2177"/>
      <c r="BM623" s="2177"/>
      <c r="BN623" s="2186"/>
      <c r="BO623" s="2177"/>
      <c r="BP623" s="2177"/>
      <c r="BQ623" s="2186"/>
    </row>
    <row r="624" spans="3:69" s="2087" customFormat="1" ht="21.6" hidden="1" customHeight="1">
      <c r="C624" s="2285" t="s">
        <v>2779</v>
      </c>
      <c r="D624" s="2287" t="s">
        <v>2238</v>
      </c>
      <c r="E624" s="2284" t="s">
        <v>1833</v>
      </c>
      <c r="F624" s="2176"/>
      <c r="G624" s="2179">
        <f>G625+G626+G627+G628+G629</f>
        <v>0</v>
      </c>
      <c r="H624" s="2179">
        <f>H625+H626+H627+H628+H629</f>
        <v>0</v>
      </c>
      <c r="I624" s="2178">
        <f t="shared" ref="I624" si="1455">H624-G624</f>
        <v>0</v>
      </c>
      <c r="J624" s="2176"/>
      <c r="K624" s="2252">
        <f t="shared" si="1417"/>
        <v>0</v>
      </c>
      <c r="L624" s="2179">
        <f t="shared" si="1417"/>
        <v>0</v>
      </c>
      <c r="M624" s="2178">
        <f t="shared" si="1418"/>
        <v>0</v>
      </c>
      <c r="N624" s="2179">
        <f>N625+N626+N627+N628+N629</f>
        <v>0</v>
      </c>
      <c r="O624" s="2179">
        <f>O625+O626+O627+O628+O629</f>
        <v>0</v>
      </c>
      <c r="P624" s="2178">
        <f t="shared" ref="P624" si="1456">O624-N624</f>
        <v>0</v>
      </c>
      <c r="Q624" s="2179">
        <f>Q625+Q626+Q627+Q628+Q629</f>
        <v>0</v>
      </c>
      <c r="R624" s="2179">
        <f>R625+R626+R627+R628+R629</f>
        <v>0</v>
      </c>
      <c r="S624" s="2180">
        <f t="shared" ref="S624" si="1457">R624-Q624</f>
        <v>0</v>
      </c>
      <c r="T624" s="2181">
        <f t="shared" si="1334"/>
        <v>0</v>
      </c>
      <c r="U624" s="2179">
        <f t="shared" si="1334"/>
        <v>0</v>
      </c>
      <c r="V624" s="2180">
        <f t="shared" si="1335"/>
        <v>0</v>
      </c>
      <c r="W624" s="2187">
        <f>W625+W626+W627+W628+W629</f>
        <v>0</v>
      </c>
      <c r="X624" s="2179">
        <f>X625+X626+X627+X628+X629</f>
        <v>0</v>
      </c>
      <c r="Y624" s="2183">
        <f t="shared" ref="Y624" si="1458">X624-W624</f>
        <v>0</v>
      </c>
      <c r="Z624" s="2184">
        <f t="shared" si="1419"/>
        <v>0</v>
      </c>
      <c r="AA624" s="2179">
        <f t="shared" si="1419"/>
        <v>0</v>
      </c>
      <c r="AB624" s="2178">
        <f t="shared" si="1298"/>
        <v>0</v>
      </c>
      <c r="AC624" s="2179">
        <f>AC625+AC626+AC627+AC628+AC629</f>
        <v>0</v>
      </c>
      <c r="AD624" s="2179">
        <f>AD625+AD626+AD627+AD628+AD629</f>
        <v>0</v>
      </c>
      <c r="AE624" s="2180">
        <f t="shared" ref="AE624" si="1459">AD624-AC624</f>
        <v>0</v>
      </c>
      <c r="AF624" s="2277"/>
      <c r="AG624" s="2114"/>
      <c r="AH624" s="2188">
        <f>AH625+AH626+AH627+AH628+AH629</f>
        <v>0</v>
      </c>
      <c r="AI624" s="2188">
        <f>AI625+AI626+AI627+AI628+AI629</f>
        <v>0</v>
      </c>
      <c r="AJ624" s="2186">
        <f t="shared" ref="AJ624:AJ628" si="1460">AI624-AH624</f>
        <v>0</v>
      </c>
      <c r="AK624" s="2188">
        <f>AK625+AK626+AK627+AK628+AK629</f>
        <v>0</v>
      </c>
      <c r="AL624" s="2188">
        <f>AL625+AL626+AL627+AL628+AL629</f>
        <v>0</v>
      </c>
      <c r="AM624" s="2186">
        <f t="shared" ref="AM624:AM628" si="1461">AL624-AK624</f>
        <v>0</v>
      </c>
      <c r="AN624" s="2188">
        <f>AN625+AN626+AN627+AN628+AN629</f>
        <v>0</v>
      </c>
      <c r="AO624" s="2188">
        <f>AO625+AO626+AO627+AO628+AO629</f>
        <v>0</v>
      </c>
      <c r="AP624" s="2186">
        <f t="shared" ref="AP624:AP628" si="1462">AO624-AN624</f>
        <v>0</v>
      </c>
      <c r="AQ624" s="2188">
        <f>AQ625+AQ626+AQ627+AQ628+AQ629</f>
        <v>0</v>
      </c>
      <c r="AR624" s="2188">
        <f>AR625+AR626+AR627+AR628+AR629</f>
        <v>0</v>
      </c>
      <c r="AS624" s="2186">
        <f t="shared" ref="AS624:AS628" si="1463">AR624-AQ624</f>
        <v>0</v>
      </c>
      <c r="AT624" s="2188">
        <f>AT625+AT626+AT627+AT628+AT629</f>
        <v>0</v>
      </c>
      <c r="AU624" s="2188">
        <f>AU625+AU626+AU627+AU628+AU629</f>
        <v>0</v>
      </c>
      <c r="AV624" s="2186">
        <f t="shared" ref="AV624:AV628" si="1464">AU624-AT624</f>
        <v>0</v>
      </c>
      <c r="AW624" s="2188">
        <f>AW625+AW626+AW627+AW628+AW629</f>
        <v>0</v>
      </c>
      <c r="AX624" s="2188">
        <f>AX625+AX626+AX627+AX628+AX629</f>
        <v>0</v>
      </c>
      <c r="AY624" s="2186">
        <f t="shared" ref="AY624:AY628" si="1465">AX624-AW624</f>
        <v>0</v>
      </c>
      <c r="AZ624" s="2188">
        <f>AZ625+AZ626+AZ627+AZ628+AZ629</f>
        <v>0</v>
      </c>
      <c r="BA624" s="2188">
        <f>BA625+BA626+BA627+BA628+BA629</f>
        <v>0</v>
      </c>
      <c r="BB624" s="2186">
        <f t="shared" ref="BB624:BB628" si="1466">BA624-AZ624</f>
        <v>0</v>
      </c>
      <c r="BC624" s="2188">
        <f>BC625+BC626+BC627+BC628+BC629</f>
        <v>0</v>
      </c>
      <c r="BD624" s="2188">
        <f>BD625+BD626+BD627+BD628+BD629</f>
        <v>0</v>
      </c>
      <c r="BE624" s="2186">
        <f t="shared" ref="BE624:BE628" si="1467">BD624-BC624</f>
        <v>0</v>
      </c>
      <c r="BF624" s="2188">
        <f>BF625+BF626+BF627+BF628+BF629</f>
        <v>0</v>
      </c>
      <c r="BG624" s="2188">
        <f>BG625+BG626+BG627+BG628+BG629</f>
        <v>0</v>
      </c>
      <c r="BH624" s="2186">
        <f t="shared" ref="BH624:BH628" si="1468">BG624-BF624</f>
        <v>0</v>
      </c>
      <c r="BI624" s="2188">
        <f>BI625+BI626+BI627+BI628+BI629</f>
        <v>0</v>
      </c>
      <c r="BJ624" s="2188">
        <f>BJ625+BJ626+BJ627+BJ628+BJ629</f>
        <v>0</v>
      </c>
      <c r="BK624" s="2186">
        <f t="shared" ref="BK624:BK628" si="1469">BJ624-BI624</f>
        <v>0</v>
      </c>
      <c r="BL624" s="2188">
        <f>BL625+BL626+BL627+BL628+BL629</f>
        <v>0</v>
      </c>
      <c r="BM624" s="2188">
        <f>BM625+BM626+BM627+BM628+BM629</f>
        <v>0</v>
      </c>
      <c r="BN624" s="2186">
        <f t="shared" ref="BN624:BN628" si="1470">BM624-BL624</f>
        <v>0</v>
      </c>
      <c r="BO624" s="2188">
        <f>BO625+BO626+BO627+BO628+BO629</f>
        <v>0</v>
      </c>
      <c r="BP624" s="2188">
        <f>BP625+BP626+BP627+BP628+BP629</f>
        <v>0</v>
      </c>
      <c r="BQ624" s="2186">
        <f t="shared" ref="BQ624:BQ628" si="1471">BP624-BO624</f>
        <v>0</v>
      </c>
    </row>
    <row r="625" spans="3:69" s="2087" customFormat="1" ht="21.6" hidden="1" customHeight="1">
      <c r="C625" s="2194" t="s">
        <v>2780</v>
      </c>
      <c r="D625" s="2283" t="s">
        <v>2221</v>
      </c>
      <c r="E625" s="2284" t="s">
        <v>1833</v>
      </c>
      <c r="F625" s="2176"/>
      <c r="G625" s="2177"/>
      <c r="H625" s="2177"/>
      <c r="I625" s="2178">
        <f t="shared" si="1420"/>
        <v>0</v>
      </c>
      <c r="J625" s="2176"/>
      <c r="K625" s="2252">
        <f t="shared" si="1417"/>
        <v>0</v>
      </c>
      <c r="L625" s="2252">
        <f t="shared" si="1417"/>
        <v>0</v>
      </c>
      <c r="M625" s="2255">
        <f t="shared" si="1418"/>
        <v>0</v>
      </c>
      <c r="N625" s="2179">
        <f>N285*$N$382</f>
        <v>0</v>
      </c>
      <c r="O625" s="2179">
        <f>O285*$O$382</f>
        <v>0</v>
      </c>
      <c r="P625" s="2178">
        <f t="shared" si="1421"/>
        <v>0</v>
      </c>
      <c r="Q625" s="2184">
        <f>Q285*$Q$382</f>
        <v>0</v>
      </c>
      <c r="R625" s="2179">
        <f>R285*$R$382</f>
        <v>0</v>
      </c>
      <c r="S625" s="2180">
        <f t="shared" si="1422"/>
        <v>0</v>
      </c>
      <c r="T625" s="2251">
        <f t="shared" si="1334"/>
        <v>0</v>
      </c>
      <c r="U625" s="2252">
        <f t="shared" si="1334"/>
        <v>0</v>
      </c>
      <c r="V625" s="2253">
        <f t="shared" si="1335"/>
        <v>0</v>
      </c>
      <c r="W625" s="2187">
        <f>W285*$W$382</f>
        <v>0</v>
      </c>
      <c r="X625" s="2179">
        <f>X285*$X$382</f>
        <v>0</v>
      </c>
      <c r="Y625" s="2183">
        <f t="shared" si="1339"/>
        <v>0</v>
      </c>
      <c r="Z625" s="2254">
        <f t="shared" si="1419"/>
        <v>0</v>
      </c>
      <c r="AA625" s="2252">
        <f t="shared" si="1419"/>
        <v>0</v>
      </c>
      <c r="AB625" s="2255">
        <f t="shared" si="1298"/>
        <v>0</v>
      </c>
      <c r="AC625" s="2184">
        <f>AC285*$AC$382</f>
        <v>0</v>
      </c>
      <c r="AD625" s="2179">
        <f>AD285*$AD$382</f>
        <v>0</v>
      </c>
      <c r="AE625" s="2180">
        <f t="shared" si="1340"/>
        <v>0</v>
      </c>
      <c r="AF625" s="2277"/>
      <c r="AG625" s="2114"/>
      <c r="AH625" s="2188">
        <f>AH285*$N$382</f>
        <v>0</v>
      </c>
      <c r="AI625" s="2188">
        <f>AI285*$O$382</f>
        <v>0</v>
      </c>
      <c r="AJ625" s="2186">
        <f t="shared" si="1460"/>
        <v>0</v>
      </c>
      <c r="AK625" s="2188">
        <f>AK285*$N$382</f>
        <v>0</v>
      </c>
      <c r="AL625" s="2188">
        <f>AL285*$O$382</f>
        <v>0</v>
      </c>
      <c r="AM625" s="2186">
        <f t="shared" si="1461"/>
        <v>0</v>
      </c>
      <c r="AN625" s="2188">
        <f>AN285*$N$382</f>
        <v>0</v>
      </c>
      <c r="AO625" s="2188">
        <f>AO285*$O$382</f>
        <v>0</v>
      </c>
      <c r="AP625" s="2186">
        <f t="shared" si="1462"/>
        <v>0</v>
      </c>
      <c r="AQ625" s="2188">
        <f>AQ285*$N$382</f>
        <v>0</v>
      </c>
      <c r="AR625" s="2188">
        <f>AR285*$O$382</f>
        <v>0</v>
      </c>
      <c r="AS625" s="2186">
        <f t="shared" si="1463"/>
        <v>0</v>
      </c>
      <c r="AT625" s="2188">
        <f>AT285*$N$382</f>
        <v>0</v>
      </c>
      <c r="AU625" s="2188">
        <f>AU285*$O$382</f>
        <v>0</v>
      </c>
      <c r="AV625" s="2186">
        <f t="shared" si="1464"/>
        <v>0</v>
      </c>
      <c r="AW625" s="2188">
        <f>AW285*$N$382</f>
        <v>0</v>
      </c>
      <c r="AX625" s="2188">
        <f>AX285*$O$382</f>
        <v>0</v>
      </c>
      <c r="AY625" s="2186">
        <f t="shared" si="1465"/>
        <v>0</v>
      </c>
      <c r="AZ625" s="2188">
        <f>AZ285*$N$382</f>
        <v>0</v>
      </c>
      <c r="BA625" s="2188">
        <f>BA285*$O$382</f>
        <v>0</v>
      </c>
      <c r="BB625" s="2186">
        <f t="shared" si="1466"/>
        <v>0</v>
      </c>
      <c r="BC625" s="2188">
        <f>BC285*$N$382</f>
        <v>0</v>
      </c>
      <c r="BD625" s="2188">
        <f>BD285*$O$382</f>
        <v>0</v>
      </c>
      <c r="BE625" s="2186">
        <f t="shared" si="1467"/>
        <v>0</v>
      </c>
      <c r="BF625" s="2188">
        <f>BF285*$N$382</f>
        <v>0</v>
      </c>
      <c r="BG625" s="2188">
        <f>BG285*$O$382</f>
        <v>0</v>
      </c>
      <c r="BH625" s="2186">
        <f t="shared" si="1468"/>
        <v>0</v>
      </c>
      <c r="BI625" s="2188">
        <f>BI285*$N$382</f>
        <v>0</v>
      </c>
      <c r="BJ625" s="2188">
        <f>BJ285*$O$382</f>
        <v>0</v>
      </c>
      <c r="BK625" s="2186">
        <f t="shared" si="1469"/>
        <v>0</v>
      </c>
      <c r="BL625" s="2188">
        <f>BL285*$N$382</f>
        <v>0</v>
      </c>
      <c r="BM625" s="2188">
        <f>BM285*$O$382</f>
        <v>0</v>
      </c>
      <c r="BN625" s="2186">
        <f t="shared" si="1470"/>
        <v>0</v>
      </c>
      <c r="BO625" s="2188">
        <f>BO285*$N$382</f>
        <v>0</v>
      </c>
      <c r="BP625" s="2188">
        <f>BP285*$O$382</f>
        <v>0</v>
      </c>
      <c r="BQ625" s="2186">
        <f t="shared" si="1471"/>
        <v>0</v>
      </c>
    </row>
    <row r="626" spans="3:69" s="2087" customFormat="1" ht="21.6" hidden="1" customHeight="1">
      <c r="C626" s="2194" t="s">
        <v>2781</v>
      </c>
      <c r="D626" s="2283" t="s">
        <v>2223</v>
      </c>
      <c r="E626" s="2284" t="s">
        <v>1833</v>
      </c>
      <c r="F626" s="2176"/>
      <c r="G626" s="2177"/>
      <c r="H626" s="2177"/>
      <c r="I626" s="2178">
        <f t="shared" si="1420"/>
        <v>0</v>
      </c>
      <c r="J626" s="2176"/>
      <c r="K626" s="2252">
        <f t="shared" si="1417"/>
        <v>0</v>
      </c>
      <c r="L626" s="2252">
        <f t="shared" si="1417"/>
        <v>0</v>
      </c>
      <c r="M626" s="2255">
        <f t="shared" si="1418"/>
        <v>0</v>
      </c>
      <c r="N626" s="2179">
        <f>N286*$N$383</f>
        <v>0</v>
      </c>
      <c r="O626" s="2179">
        <f>O286*$O$383</f>
        <v>0</v>
      </c>
      <c r="P626" s="2178">
        <f t="shared" si="1421"/>
        <v>0</v>
      </c>
      <c r="Q626" s="2184">
        <f>Q286*$Q$383</f>
        <v>0</v>
      </c>
      <c r="R626" s="2179">
        <f>R286*$R$383</f>
        <v>0</v>
      </c>
      <c r="S626" s="2180">
        <f t="shared" si="1422"/>
        <v>0</v>
      </c>
      <c r="T626" s="2251">
        <f t="shared" si="1334"/>
        <v>0</v>
      </c>
      <c r="U626" s="2252">
        <f t="shared" si="1334"/>
        <v>0</v>
      </c>
      <c r="V626" s="2253">
        <f t="shared" si="1335"/>
        <v>0</v>
      </c>
      <c r="W626" s="2187">
        <f>W286*$W$383</f>
        <v>0</v>
      </c>
      <c r="X626" s="2179">
        <f>X286*$X$383</f>
        <v>0</v>
      </c>
      <c r="Y626" s="2183">
        <f t="shared" si="1339"/>
        <v>0</v>
      </c>
      <c r="Z626" s="2254">
        <f t="shared" si="1419"/>
        <v>0</v>
      </c>
      <c r="AA626" s="2252">
        <f t="shared" si="1419"/>
        <v>0</v>
      </c>
      <c r="AB626" s="2255">
        <f t="shared" si="1298"/>
        <v>0</v>
      </c>
      <c r="AC626" s="2184">
        <f>AC286*$AC$383</f>
        <v>0</v>
      </c>
      <c r="AD626" s="2179">
        <f>AD286*$AD$383</f>
        <v>0</v>
      </c>
      <c r="AE626" s="2180">
        <f t="shared" si="1340"/>
        <v>0</v>
      </c>
      <c r="AF626" s="2277"/>
      <c r="AG626" s="2114"/>
      <c r="AH626" s="2188">
        <f>AH286*$N$383</f>
        <v>0</v>
      </c>
      <c r="AI626" s="2188">
        <f>AI286*$O$383</f>
        <v>0</v>
      </c>
      <c r="AJ626" s="2186">
        <f t="shared" si="1460"/>
        <v>0</v>
      </c>
      <c r="AK626" s="2188">
        <f>AK286*$N$383</f>
        <v>0</v>
      </c>
      <c r="AL626" s="2188">
        <f>AL286*$O$383</f>
        <v>0</v>
      </c>
      <c r="AM626" s="2186">
        <f t="shared" si="1461"/>
        <v>0</v>
      </c>
      <c r="AN626" s="2188">
        <f>AN286*$N$383</f>
        <v>0</v>
      </c>
      <c r="AO626" s="2188">
        <f>AO286*$O$383</f>
        <v>0</v>
      </c>
      <c r="AP626" s="2186">
        <f t="shared" si="1462"/>
        <v>0</v>
      </c>
      <c r="AQ626" s="2188">
        <f>AQ286*$N$383</f>
        <v>0</v>
      </c>
      <c r="AR626" s="2188">
        <f>AR286*$O$383</f>
        <v>0</v>
      </c>
      <c r="AS626" s="2186">
        <f t="shared" si="1463"/>
        <v>0</v>
      </c>
      <c r="AT626" s="2188">
        <f>AT286*$N$383</f>
        <v>0</v>
      </c>
      <c r="AU626" s="2188">
        <f>AU286*$O$383</f>
        <v>0</v>
      </c>
      <c r="AV626" s="2186">
        <f t="shared" si="1464"/>
        <v>0</v>
      </c>
      <c r="AW626" s="2188">
        <f>AW286*$N$383</f>
        <v>0</v>
      </c>
      <c r="AX626" s="2188">
        <f>AX286*$O$383</f>
        <v>0</v>
      </c>
      <c r="AY626" s="2186">
        <f t="shared" si="1465"/>
        <v>0</v>
      </c>
      <c r="AZ626" s="2188">
        <f>AZ286*$N$383</f>
        <v>0</v>
      </c>
      <c r="BA626" s="2188">
        <f>BA286*$O$383</f>
        <v>0</v>
      </c>
      <c r="BB626" s="2186">
        <f t="shared" si="1466"/>
        <v>0</v>
      </c>
      <c r="BC626" s="2188">
        <f>BC286*$N$383</f>
        <v>0</v>
      </c>
      <c r="BD626" s="2188">
        <f>BD286*$O$383</f>
        <v>0</v>
      </c>
      <c r="BE626" s="2186">
        <f t="shared" si="1467"/>
        <v>0</v>
      </c>
      <c r="BF626" s="2188">
        <f>BF286*$N$383</f>
        <v>0</v>
      </c>
      <c r="BG626" s="2188">
        <f>BG286*$O$383</f>
        <v>0</v>
      </c>
      <c r="BH626" s="2186">
        <f t="shared" si="1468"/>
        <v>0</v>
      </c>
      <c r="BI626" s="2188">
        <f>BI286*$N$383</f>
        <v>0</v>
      </c>
      <c r="BJ626" s="2188">
        <f>BJ286*$O$383</f>
        <v>0</v>
      </c>
      <c r="BK626" s="2186">
        <f t="shared" si="1469"/>
        <v>0</v>
      </c>
      <c r="BL626" s="2188">
        <f>BL286*$N$383</f>
        <v>0</v>
      </c>
      <c r="BM626" s="2188">
        <f>BM286*$O$383</f>
        <v>0</v>
      </c>
      <c r="BN626" s="2186">
        <f t="shared" si="1470"/>
        <v>0</v>
      </c>
      <c r="BO626" s="2188">
        <f>BO286*$N$383</f>
        <v>0</v>
      </c>
      <c r="BP626" s="2188">
        <f>BP286*$O$383</f>
        <v>0</v>
      </c>
      <c r="BQ626" s="2186">
        <f t="shared" si="1471"/>
        <v>0</v>
      </c>
    </row>
    <row r="627" spans="3:69" s="2087" customFormat="1" ht="21.6" hidden="1" customHeight="1">
      <c r="C627" s="2194" t="s">
        <v>2782</v>
      </c>
      <c r="D627" s="2283" t="s">
        <v>2225</v>
      </c>
      <c r="E627" s="2284" t="s">
        <v>1833</v>
      </c>
      <c r="F627" s="2176"/>
      <c r="G627" s="2177"/>
      <c r="H627" s="2177"/>
      <c r="I627" s="2178">
        <f t="shared" si="1420"/>
        <v>0</v>
      </c>
      <c r="J627" s="2176"/>
      <c r="K627" s="2252">
        <f t="shared" si="1417"/>
        <v>0</v>
      </c>
      <c r="L627" s="2252">
        <f t="shared" si="1417"/>
        <v>0</v>
      </c>
      <c r="M627" s="2255">
        <f t="shared" si="1418"/>
        <v>0</v>
      </c>
      <c r="N627" s="2179">
        <f>N287*$N$384</f>
        <v>0</v>
      </c>
      <c r="O627" s="2179">
        <f>O287*$O$384</f>
        <v>0</v>
      </c>
      <c r="P627" s="2178">
        <f t="shared" si="1421"/>
        <v>0</v>
      </c>
      <c r="Q627" s="2184">
        <f>Q287*$Q$384</f>
        <v>0</v>
      </c>
      <c r="R627" s="2179">
        <f>R287*$R$384</f>
        <v>0</v>
      </c>
      <c r="S627" s="2180">
        <f t="shared" si="1422"/>
        <v>0</v>
      </c>
      <c r="T627" s="2251">
        <f t="shared" si="1334"/>
        <v>0</v>
      </c>
      <c r="U627" s="2252">
        <f t="shared" si="1334"/>
        <v>0</v>
      </c>
      <c r="V627" s="2253">
        <f t="shared" si="1335"/>
        <v>0</v>
      </c>
      <c r="W627" s="2187">
        <f>W287*$W$384</f>
        <v>0</v>
      </c>
      <c r="X627" s="2179">
        <f>X287*$X$384</f>
        <v>0</v>
      </c>
      <c r="Y627" s="2183">
        <f t="shared" si="1339"/>
        <v>0</v>
      </c>
      <c r="Z627" s="2254">
        <f t="shared" si="1419"/>
        <v>0</v>
      </c>
      <c r="AA627" s="2252">
        <f t="shared" si="1419"/>
        <v>0</v>
      </c>
      <c r="AB627" s="2255">
        <f t="shared" si="1298"/>
        <v>0</v>
      </c>
      <c r="AC627" s="2184">
        <f>AC287*$AC$384</f>
        <v>0</v>
      </c>
      <c r="AD627" s="2179">
        <f>AD287*$AD$384</f>
        <v>0</v>
      </c>
      <c r="AE627" s="2180">
        <f t="shared" si="1340"/>
        <v>0</v>
      </c>
      <c r="AF627" s="2277"/>
      <c r="AG627" s="2114"/>
      <c r="AH627" s="2188">
        <f>AH287*$N$384</f>
        <v>0</v>
      </c>
      <c r="AI627" s="2188">
        <f>AI287*$O$384</f>
        <v>0</v>
      </c>
      <c r="AJ627" s="2186">
        <f t="shared" si="1460"/>
        <v>0</v>
      </c>
      <c r="AK627" s="2188">
        <f>AK287*$N$384</f>
        <v>0</v>
      </c>
      <c r="AL627" s="2188">
        <f>AL287*$O$384</f>
        <v>0</v>
      </c>
      <c r="AM627" s="2186">
        <f t="shared" si="1461"/>
        <v>0</v>
      </c>
      <c r="AN627" s="2188">
        <f>AN287*$N$384</f>
        <v>0</v>
      </c>
      <c r="AO627" s="2188">
        <f>AO287*$O$384</f>
        <v>0</v>
      </c>
      <c r="AP627" s="2186">
        <f t="shared" si="1462"/>
        <v>0</v>
      </c>
      <c r="AQ627" s="2188">
        <f>AQ287*$N$384</f>
        <v>0</v>
      </c>
      <c r="AR627" s="2188">
        <f>AR287*$O$384</f>
        <v>0</v>
      </c>
      <c r="AS627" s="2186">
        <f t="shared" si="1463"/>
        <v>0</v>
      </c>
      <c r="AT627" s="2188">
        <f>AT287*$N$384</f>
        <v>0</v>
      </c>
      <c r="AU627" s="2188">
        <f>AU287*$O$384</f>
        <v>0</v>
      </c>
      <c r="AV627" s="2186">
        <f t="shared" si="1464"/>
        <v>0</v>
      </c>
      <c r="AW627" s="2188">
        <f>AW287*$N$384</f>
        <v>0</v>
      </c>
      <c r="AX627" s="2188">
        <f>AX287*$O$384</f>
        <v>0</v>
      </c>
      <c r="AY627" s="2186">
        <f t="shared" si="1465"/>
        <v>0</v>
      </c>
      <c r="AZ627" s="2188">
        <f>AZ287*$N$384</f>
        <v>0</v>
      </c>
      <c r="BA627" s="2188">
        <f>BA287*$O$384</f>
        <v>0</v>
      </c>
      <c r="BB627" s="2186">
        <f t="shared" si="1466"/>
        <v>0</v>
      </c>
      <c r="BC627" s="2188">
        <f>BC287*$N$384</f>
        <v>0</v>
      </c>
      <c r="BD627" s="2188">
        <f>BD287*$O$384</f>
        <v>0</v>
      </c>
      <c r="BE627" s="2186">
        <f t="shared" si="1467"/>
        <v>0</v>
      </c>
      <c r="BF627" s="2188">
        <f>BF287*$N$384</f>
        <v>0</v>
      </c>
      <c r="BG627" s="2188">
        <f>BG287*$O$384</f>
        <v>0</v>
      </c>
      <c r="BH627" s="2186">
        <f t="shared" si="1468"/>
        <v>0</v>
      </c>
      <c r="BI627" s="2188">
        <f>BI287*$N$384</f>
        <v>0</v>
      </c>
      <c r="BJ627" s="2188">
        <f>BJ287*$O$384</f>
        <v>0</v>
      </c>
      <c r="BK627" s="2186">
        <f t="shared" si="1469"/>
        <v>0</v>
      </c>
      <c r="BL627" s="2188">
        <f>BL287*$N$384</f>
        <v>0</v>
      </c>
      <c r="BM627" s="2188">
        <f>BM287*$O$384</f>
        <v>0</v>
      </c>
      <c r="BN627" s="2186">
        <f t="shared" si="1470"/>
        <v>0</v>
      </c>
      <c r="BO627" s="2188">
        <f>BO287*$N$384</f>
        <v>0</v>
      </c>
      <c r="BP627" s="2188">
        <f>BP287*$O$384</f>
        <v>0</v>
      </c>
      <c r="BQ627" s="2186">
        <f t="shared" si="1471"/>
        <v>0</v>
      </c>
    </row>
    <row r="628" spans="3:69" s="2087" customFormat="1" ht="21.6" hidden="1" customHeight="1">
      <c r="C628" s="2194" t="s">
        <v>2783</v>
      </c>
      <c r="D628" s="2283" t="s">
        <v>2227</v>
      </c>
      <c r="E628" s="2284" t="s">
        <v>1833</v>
      </c>
      <c r="F628" s="2176"/>
      <c r="G628" s="2177"/>
      <c r="H628" s="2177"/>
      <c r="I628" s="2178">
        <f t="shared" si="1420"/>
        <v>0</v>
      </c>
      <c r="J628" s="2176"/>
      <c r="K628" s="2252">
        <f t="shared" si="1417"/>
        <v>0</v>
      </c>
      <c r="L628" s="2252">
        <f t="shared" si="1417"/>
        <v>0</v>
      </c>
      <c r="M628" s="2255">
        <f t="shared" si="1418"/>
        <v>0</v>
      </c>
      <c r="N628" s="2179">
        <f>N288*$N$385</f>
        <v>0</v>
      </c>
      <c r="O628" s="2179">
        <f>O288*$O$385</f>
        <v>0</v>
      </c>
      <c r="P628" s="2178">
        <f t="shared" si="1421"/>
        <v>0</v>
      </c>
      <c r="Q628" s="2184">
        <f>Q288*$Q$385</f>
        <v>0</v>
      </c>
      <c r="R628" s="2179">
        <f>R288*$R$385</f>
        <v>0</v>
      </c>
      <c r="S628" s="2180">
        <f t="shared" si="1422"/>
        <v>0</v>
      </c>
      <c r="T628" s="2251">
        <f t="shared" si="1334"/>
        <v>0</v>
      </c>
      <c r="U628" s="2252">
        <f t="shared" si="1334"/>
        <v>0</v>
      </c>
      <c r="V628" s="2253">
        <f t="shared" si="1335"/>
        <v>0</v>
      </c>
      <c r="W628" s="2187">
        <f>W288*$W$385</f>
        <v>0</v>
      </c>
      <c r="X628" s="2179">
        <f>X288*$X$385</f>
        <v>0</v>
      </c>
      <c r="Y628" s="2183">
        <f t="shared" si="1339"/>
        <v>0</v>
      </c>
      <c r="Z628" s="2254">
        <f t="shared" si="1419"/>
        <v>0</v>
      </c>
      <c r="AA628" s="2252">
        <f t="shared" si="1419"/>
        <v>0</v>
      </c>
      <c r="AB628" s="2255">
        <f t="shared" si="1298"/>
        <v>0</v>
      </c>
      <c r="AC628" s="2184">
        <f>AC288*$AC$385</f>
        <v>0</v>
      </c>
      <c r="AD628" s="2179">
        <f>AD288*$AD$385</f>
        <v>0</v>
      </c>
      <c r="AE628" s="2180">
        <f t="shared" si="1340"/>
        <v>0</v>
      </c>
      <c r="AF628" s="2277"/>
      <c r="AG628" s="2114"/>
      <c r="AH628" s="2188">
        <f>AH288*$N$385</f>
        <v>0</v>
      </c>
      <c r="AI628" s="2188">
        <f>AI288*$O$385</f>
        <v>0</v>
      </c>
      <c r="AJ628" s="2186">
        <f t="shared" si="1460"/>
        <v>0</v>
      </c>
      <c r="AK628" s="2188">
        <f>AK288*$N$385</f>
        <v>0</v>
      </c>
      <c r="AL628" s="2188">
        <f>AL288*$O$385</f>
        <v>0</v>
      </c>
      <c r="AM628" s="2186">
        <f t="shared" si="1461"/>
        <v>0</v>
      </c>
      <c r="AN628" s="2188">
        <f>AN288*$N$385</f>
        <v>0</v>
      </c>
      <c r="AO628" s="2188">
        <f>AO288*$O$385</f>
        <v>0</v>
      </c>
      <c r="AP628" s="2186">
        <f t="shared" si="1462"/>
        <v>0</v>
      </c>
      <c r="AQ628" s="2188">
        <f>AQ288*$N$385</f>
        <v>0</v>
      </c>
      <c r="AR628" s="2188">
        <f>AR288*$O$385</f>
        <v>0</v>
      </c>
      <c r="AS628" s="2186">
        <f t="shared" si="1463"/>
        <v>0</v>
      </c>
      <c r="AT628" s="2188">
        <f>AT288*$N$385</f>
        <v>0</v>
      </c>
      <c r="AU628" s="2188">
        <f>AU288*$O$385</f>
        <v>0</v>
      </c>
      <c r="AV628" s="2186">
        <f t="shared" si="1464"/>
        <v>0</v>
      </c>
      <c r="AW628" s="2188">
        <f>AW288*$N$385</f>
        <v>0</v>
      </c>
      <c r="AX628" s="2188">
        <f>AX288*$O$385</f>
        <v>0</v>
      </c>
      <c r="AY628" s="2186">
        <f t="shared" si="1465"/>
        <v>0</v>
      </c>
      <c r="AZ628" s="2188">
        <f>AZ288*$N$385</f>
        <v>0</v>
      </c>
      <c r="BA628" s="2188">
        <f>BA288*$O$385</f>
        <v>0</v>
      </c>
      <c r="BB628" s="2186">
        <f t="shared" si="1466"/>
        <v>0</v>
      </c>
      <c r="BC628" s="2188">
        <f>BC288*$N$385</f>
        <v>0</v>
      </c>
      <c r="BD628" s="2188">
        <f>BD288*$O$385</f>
        <v>0</v>
      </c>
      <c r="BE628" s="2186">
        <f t="shared" si="1467"/>
        <v>0</v>
      </c>
      <c r="BF628" s="2188">
        <f>BF288*$N$385</f>
        <v>0</v>
      </c>
      <c r="BG628" s="2188">
        <f>BG288*$O$385</f>
        <v>0</v>
      </c>
      <c r="BH628" s="2186">
        <f t="shared" si="1468"/>
        <v>0</v>
      </c>
      <c r="BI628" s="2188">
        <f>BI288*$N$385</f>
        <v>0</v>
      </c>
      <c r="BJ628" s="2188">
        <f>BJ288*$O$385</f>
        <v>0</v>
      </c>
      <c r="BK628" s="2186">
        <f t="shared" si="1469"/>
        <v>0</v>
      </c>
      <c r="BL628" s="2188">
        <f>BL288*$N$385</f>
        <v>0</v>
      </c>
      <c r="BM628" s="2188">
        <f>BM288*$O$385</f>
        <v>0</v>
      </c>
      <c r="BN628" s="2186">
        <f t="shared" si="1470"/>
        <v>0</v>
      </c>
      <c r="BO628" s="2188">
        <f>BO288*$N$385</f>
        <v>0</v>
      </c>
      <c r="BP628" s="2188">
        <f>BP288*$O$385</f>
        <v>0</v>
      </c>
      <c r="BQ628" s="2186">
        <f t="shared" si="1471"/>
        <v>0</v>
      </c>
    </row>
    <row r="629" spans="3:69" s="2087" customFormat="1" ht="21.6" hidden="1" customHeight="1">
      <c r="C629" s="2194" t="s">
        <v>2784</v>
      </c>
      <c r="D629" s="2283" t="s">
        <v>2229</v>
      </c>
      <c r="E629" s="2284" t="s">
        <v>1833</v>
      </c>
      <c r="F629" s="2176"/>
      <c r="G629" s="2177"/>
      <c r="H629" s="2177"/>
      <c r="I629" s="2186"/>
      <c r="J629" s="2176"/>
      <c r="K629" s="2252">
        <f t="shared" si="1417"/>
        <v>0</v>
      </c>
      <c r="L629" s="2252">
        <f t="shared" si="1417"/>
        <v>0</v>
      </c>
      <c r="M629" s="2255">
        <f t="shared" si="1418"/>
        <v>0</v>
      </c>
      <c r="N629" s="2177"/>
      <c r="O629" s="2177"/>
      <c r="P629" s="2186"/>
      <c r="Q629" s="2177"/>
      <c r="R629" s="2177"/>
      <c r="S629" s="2266"/>
      <c r="T629" s="2251">
        <f t="shared" si="1334"/>
        <v>0</v>
      </c>
      <c r="U629" s="2252">
        <f t="shared" si="1334"/>
        <v>0</v>
      </c>
      <c r="V629" s="2253">
        <f t="shared" si="1335"/>
        <v>0</v>
      </c>
      <c r="W629" s="2182"/>
      <c r="X629" s="2177"/>
      <c r="Y629" s="2271"/>
      <c r="Z629" s="2254">
        <f t="shared" si="1419"/>
        <v>0</v>
      </c>
      <c r="AA629" s="2252">
        <f t="shared" si="1419"/>
        <v>0</v>
      </c>
      <c r="AB629" s="2255">
        <f t="shared" si="1298"/>
        <v>0</v>
      </c>
      <c r="AC629" s="2177"/>
      <c r="AD629" s="2177"/>
      <c r="AE629" s="2266"/>
      <c r="AF629" s="2277"/>
      <c r="AG629" s="2114"/>
      <c r="AH629" s="2177"/>
      <c r="AI629" s="2177"/>
      <c r="AJ629" s="2186"/>
      <c r="AK629" s="2177"/>
      <c r="AL629" s="2177"/>
      <c r="AM629" s="2186"/>
      <c r="AN629" s="2177"/>
      <c r="AO629" s="2177"/>
      <c r="AP629" s="2186"/>
      <c r="AQ629" s="2177"/>
      <c r="AR629" s="2177"/>
      <c r="AS629" s="2186"/>
      <c r="AT629" s="2177"/>
      <c r="AU629" s="2177"/>
      <c r="AV629" s="2186"/>
      <c r="AW629" s="2177"/>
      <c r="AX629" s="2177"/>
      <c r="AY629" s="2186"/>
      <c r="AZ629" s="2177"/>
      <c r="BA629" s="2177"/>
      <c r="BB629" s="2186"/>
      <c r="BC629" s="2177"/>
      <c r="BD629" s="2177"/>
      <c r="BE629" s="2186"/>
      <c r="BF629" s="2177"/>
      <c r="BG629" s="2177"/>
      <c r="BH629" s="2186"/>
      <c r="BI629" s="2177"/>
      <c r="BJ629" s="2177"/>
      <c r="BK629" s="2186"/>
      <c r="BL629" s="2177"/>
      <c r="BM629" s="2177"/>
      <c r="BN629" s="2186"/>
      <c r="BO629" s="2177"/>
      <c r="BP629" s="2177"/>
      <c r="BQ629" s="2186"/>
    </row>
    <row r="630" spans="3:69" s="2087" customFormat="1" ht="21.6" hidden="1" customHeight="1">
      <c r="C630" s="2285" t="s">
        <v>2785</v>
      </c>
      <c r="D630" s="2287" t="s">
        <v>2248</v>
      </c>
      <c r="E630" s="2284" t="s">
        <v>1833</v>
      </c>
      <c r="F630" s="2176"/>
      <c r="G630" s="2179">
        <f>G631+G632+G633+G634+G635</f>
        <v>0</v>
      </c>
      <c r="H630" s="2179">
        <f>H631+H632+H633+H634+H635</f>
        <v>0</v>
      </c>
      <c r="I630" s="2178">
        <f t="shared" ref="I630" si="1472">H630-G630</f>
        <v>0</v>
      </c>
      <c r="J630" s="2176"/>
      <c r="K630" s="2179">
        <f t="shared" si="1417"/>
        <v>0</v>
      </c>
      <c r="L630" s="2179">
        <f t="shared" si="1417"/>
        <v>0</v>
      </c>
      <c r="M630" s="2178">
        <f t="shared" si="1418"/>
        <v>0</v>
      </c>
      <c r="N630" s="2179">
        <f>N631+N632+N633+N634+N635</f>
        <v>0</v>
      </c>
      <c r="O630" s="2179">
        <f>O631+O632+O633+O634+O635</f>
        <v>0</v>
      </c>
      <c r="P630" s="2178">
        <f t="shared" ref="P630" si="1473">O630-N630</f>
        <v>0</v>
      </c>
      <c r="Q630" s="2179">
        <f>Q631+Q632+Q633+Q634+Q635</f>
        <v>0</v>
      </c>
      <c r="R630" s="2179">
        <f>R631+R632+R633+R634+R635</f>
        <v>0</v>
      </c>
      <c r="S630" s="2180">
        <f t="shared" ref="S630" si="1474">R630-Q630</f>
        <v>0</v>
      </c>
      <c r="T630" s="2181">
        <f t="shared" si="1334"/>
        <v>0</v>
      </c>
      <c r="U630" s="2179">
        <f t="shared" si="1334"/>
        <v>0</v>
      </c>
      <c r="V630" s="2180">
        <f t="shared" si="1335"/>
        <v>0</v>
      </c>
      <c r="W630" s="2187">
        <f>W631+W632+W633+W634+W635</f>
        <v>0</v>
      </c>
      <c r="X630" s="2179">
        <f>X631+X632+X633+X634+X635</f>
        <v>0</v>
      </c>
      <c r="Y630" s="2183">
        <f t="shared" ref="Y630" si="1475">X630-W630</f>
        <v>0</v>
      </c>
      <c r="Z630" s="2184">
        <f t="shared" si="1419"/>
        <v>0</v>
      </c>
      <c r="AA630" s="2179">
        <f t="shared" si="1419"/>
        <v>0</v>
      </c>
      <c r="AB630" s="2178">
        <f t="shared" si="1298"/>
        <v>0</v>
      </c>
      <c r="AC630" s="2179">
        <f>AC631+AC632+AC633+AC634+AC635</f>
        <v>0</v>
      </c>
      <c r="AD630" s="2179">
        <f>AD631+AD632+AD633+AD634+AD635</f>
        <v>0</v>
      </c>
      <c r="AE630" s="2180">
        <f t="shared" ref="AE630" si="1476">AD630-AC630</f>
        <v>0</v>
      </c>
      <c r="AF630" s="2277"/>
      <c r="AG630" s="2114"/>
      <c r="AH630" s="2188">
        <f>AH631+AH632+AH633+AH634+AH635</f>
        <v>0</v>
      </c>
      <c r="AI630" s="2188">
        <f>AI631+AI632+AI633+AI634+AI635</f>
        <v>0</v>
      </c>
      <c r="AJ630" s="2186">
        <f t="shared" ref="AJ630:AJ634" si="1477">AI630-AH630</f>
        <v>0</v>
      </c>
      <c r="AK630" s="2188">
        <f>AK631+AK632+AK633+AK634+AK635</f>
        <v>0</v>
      </c>
      <c r="AL630" s="2188">
        <f>AL631+AL632+AL633+AL634+AL635</f>
        <v>0</v>
      </c>
      <c r="AM630" s="2186">
        <f t="shared" ref="AM630:AM634" si="1478">AL630-AK630</f>
        <v>0</v>
      </c>
      <c r="AN630" s="2188">
        <f>AN631+AN632+AN633+AN634+AN635</f>
        <v>0</v>
      </c>
      <c r="AO630" s="2188">
        <f>AO631+AO632+AO633+AO634+AO635</f>
        <v>0</v>
      </c>
      <c r="AP630" s="2186">
        <f t="shared" ref="AP630:AP634" si="1479">AO630-AN630</f>
        <v>0</v>
      </c>
      <c r="AQ630" s="2188">
        <f>AQ631+AQ632+AQ633+AQ634+AQ635</f>
        <v>0</v>
      </c>
      <c r="AR630" s="2188">
        <f>AR631+AR632+AR633+AR634+AR635</f>
        <v>0</v>
      </c>
      <c r="AS630" s="2186">
        <f t="shared" ref="AS630:AS634" si="1480">AR630-AQ630</f>
        <v>0</v>
      </c>
      <c r="AT630" s="2188">
        <f>AT631+AT632+AT633+AT634+AT635</f>
        <v>0</v>
      </c>
      <c r="AU630" s="2188">
        <f>AU631+AU632+AU633+AU634+AU635</f>
        <v>0</v>
      </c>
      <c r="AV630" s="2186">
        <f t="shared" ref="AV630:AV634" si="1481">AU630-AT630</f>
        <v>0</v>
      </c>
      <c r="AW630" s="2188">
        <f>AW631+AW632+AW633+AW634+AW635</f>
        <v>0</v>
      </c>
      <c r="AX630" s="2188">
        <f>AX631+AX632+AX633+AX634+AX635</f>
        <v>0</v>
      </c>
      <c r="AY630" s="2186">
        <f t="shared" ref="AY630:AY634" si="1482">AX630-AW630</f>
        <v>0</v>
      </c>
      <c r="AZ630" s="2188">
        <f>AZ631+AZ632+AZ633+AZ634+AZ635</f>
        <v>0</v>
      </c>
      <c r="BA630" s="2188">
        <f>BA631+BA632+BA633+BA634+BA635</f>
        <v>0</v>
      </c>
      <c r="BB630" s="2186">
        <f t="shared" ref="BB630:BB634" si="1483">BA630-AZ630</f>
        <v>0</v>
      </c>
      <c r="BC630" s="2188">
        <f>BC631+BC632+BC633+BC634+BC635</f>
        <v>0</v>
      </c>
      <c r="BD630" s="2188">
        <f>BD631+BD632+BD633+BD634+BD635</f>
        <v>0</v>
      </c>
      <c r="BE630" s="2186">
        <f t="shared" ref="BE630:BE634" si="1484">BD630-BC630</f>
        <v>0</v>
      </c>
      <c r="BF630" s="2188">
        <f>BF631+BF632+BF633+BF634+BF635</f>
        <v>0</v>
      </c>
      <c r="BG630" s="2188">
        <f>BG631+BG632+BG633+BG634+BG635</f>
        <v>0</v>
      </c>
      <c r="BH630" s="2186">
        <f t="shared" ref="BH630:BH634" si="1485">BG630-BF630</f>
        <v>0</v>
      </c>
      <c r="BI630" s="2188">
        <f>BI631+BI632+BI633+BI634+BI635</f>
        <v>0</v>
      </c>
      <c r="BJ630" s="2188">
        <f>BJ631+BJ632+BJ633+BJ634+BJ635</f>
        <v>0</v>
      </c>
      <c r="BK630" s="2186">
        <f t="shared" ref="BK630:BK634" si="1486">BJ630-BI630</f>
        <v>0</v>
      </c>
      <c r="BL630" s="2188">
        <f>BL631+BL632+BL633+BL634+BL635</f>
        <v>0</v>
      </c>
      <c r="BM630" s="2188">
        <f>BM631+BM632+BM633+BM634+BM635</f>
        <v>0</v>
      </c>
      <c r="BN630" s="2186">
        <f t="shared" ref="BN630:BN634" si="1487">BM630-BL630</f>
        <v>0</v>
      </c>
      <c r="BO630" s="2188">
        <f>BO631+BO632+BO633+BO634+BO635</f>
        <v>0</v>
      </c>
      <c r="BP630" s="2188">
        <f>BP631+BP632+BP633+BP634+BP635</f>
        <v>0</v>
      </c>
      <c r="BQ630" s="2186">
        <f t="shared" ref="BQ630:BQ634" si="1488">BP630-BO630</f>
        <v>0</v>
      </c>
    </row>
    <row r="631" spans="3:69" s="2087" customFormat="1" ht="21.6" hidden="1" customHeight="1">
      <c r="C631" s="2194" t="s">
        <v>2786</v>
      </c>
      <c r="D631" s="2283" t="s">
        <v>2221</v>
      </c>
      <c r="E631" s="2284" t="s">
        <v>1833</v>
      </c>
      <c r="F631" s="2176"/>
      <c r="G631" s="2177"/>
      <c r="H631" s="2177"/>
      <c r="I631" s="2178">
        <f t="shared" si="1420"/>
        <v>0</v>
      </c>
      <c r="J631" s="2176"/>
      <c r="K631" s="2252">
        <f t="shared" si="1417"/>
        <v>0</v>
      </c>
      <c r="L631" s="2252">
        <f t="shared" si="1417"/>
        <v>0</v>
      </c>
      <c r="M631" s="2255">
        <f t="shared" si="1418"/>
        <v>0</v>
      </c>
      <c r="N631" s="2179">
        <f t="shared" ref="N631:O634" si="1489">N291*$N$387</f>
        <v>0</v>
      </c>
      <c r="O631" s="2179">
        <f t="shared" si="1489"/>
        <v>0</v>
      </c>
      <c r="P631" s="2178">
        <f t="shared" si="1421"/>
        <v>0</v>
      </c>
      <c r="Q631" s="2184">
        <f>Q291*$Q$387</f>
        <v>0</v>
      </c>
      <c r="R631" s="2179">
        <f>R291*$R$387</f>
        <v>0</v>
      </c>
      <c r="S631" s="2180">
        <f t="shared" si="1422"/>
        <v>0</v>
      </c>
      <c r="T631" s="2251">
        <f t="shared" si="1334"/>
        <v>0</v>
      </c>
      <c r="U631" s="2252">
        <f t="shared" si="1334"/>
        <v>0</v>
      </c>
      <c r="V631" s="2253">
        <f t="shared" si="1335"/>
        <v>0</v>
      </c>
      <c r="W631" s="2187">
        <f>W291*$W$387</f>
        <v>0</v>
      </c>
      <c r="X631" s="2179">
        <f>X291*$X$387</f>
        <v>0</v>
      </c>
      <c r="Y631" s="2183">
        <f t="shared" si="1339"/>
        <v>0</v>
      </c>
      <c r="Z631" s="2254">
        <f t="shared" si="1419"/>
        <v>0</v>
      </c>
      <c r="AA631" s="2252">
        <f t="shared" si="1419"/>
        <v>0</v>
      </c>
      <c r="AB631" s="2255">
        <f t="shared" si="1298"/>
        <v>0</v>
      </c>
      <c r="AC631" s="2184">
        <f>AC291*$AC$387</f>
        <v>0</v>
      </c>
      <c r="AD631" s="2179">
        <f>AD291*$AD$387</f>
        <v>0</v>
      </c>
      <c r="AE631" s="2180">
        <f t="shared" si="1340"/>
        <v>0</v>
      </c>
      <c r="AF631" s="2277"/>
      <c r="AG631" s="2114"/>
      <c r="AH631" s="2188">
        <f t="shared" ref="AH631:AI634" si="1490">AH291*$N$387</f>
        <v>0</v>
      </c>
      <c r="AI631" s="2188">
        <f t="shared" si="1490"/>
        <v>0</v>
      </c>
      <c r="AJ631" s="2186">
        <f t="shared" si="1477"/>
        <v>0</v>
      </c>
      <c r="AK631" s="2188">
        <f t="shared" ref="AK631:AL634" si="1491">AK291*$N$387</f>
        <v>0</v>
      </c>
      <c r="AL631" s="2188">
        <f t="shared" si="1491"/>
        <v>0</v>
      </c>
      <c r="AM631" s="2186">
        <f t="shared" si="1478"/>
        <v>0</v>
      </c>
      <c r="AN631" s="2188">
        <f t="shared" ref="AN631:AO634" si="1492">AN291*$N$387</f>
        <v>0</v>
      </c>
      <c r="AO631" s="2188">
        <f t="shared" si="1492"/>
        <v>0</v>
      </c>
      <c r="AP631" s="2186">
        <f t="shared" si="1479"/>
        <v>0</v>
      </c>
      <c r="AQ631" s="2188">
        <f t="shared" ref="AQ631:AR634" si="1493">AQ291*$N$387</f>
        <v>0</v>
      </c>
      <c r="AR631" s="2188">
        <f t="shared" si="1493"/>
        <v>0</v>
      </c>
      <c r="AS631" s="2186">
        <f t="shared" si="1480"/>
        <v>0</v>
      </c>
      <c r="AT631" s="2188">
        <f t="shared" ref="AT631:AU634" si="1494">AT291*$N$387</f>
        <v>0</v>
      </c>
      <c r="AU631" s="2188">
        <f t="shared" si="1494"/>
        <v>0</v>
      </c>
      <c r="AV631" s="2186">
        <f t="shared" si="1481"/>
        <v>0</v>
      </c>
      <c r="AW631" s="2188">
        <f t="shared" ref="AW631:AX634" si="1495">AW291*$N$387</f>
        <v>0</v>
      </c>
      <c r="AX631" s="2188">
        <f t="shared" si="1495"/>
        <v>0</v>
      </c>
      <c r="AY631" s="2186">
        <f t="shared" si="1482"/>
        <v>0</v>
      </c>
      <c r="AZ631" s="2188">
        <f t="shared" ref="AZ631:BA634" si="1496">AZ291*$N$387</f>
        <v>0</v>
      </c>
      <c r="BA631" s="2188">
        <f t="shared" si="1496"/>
        <v>0</v>
      </c>
      <c r="BB631" s="2186">
        <f t="shared" si="1483"/>
        <v>0</v>
      </c>
      <c r="BC631" s="2188">
        <f t="shared" ref="BC631:BD634" si="1497">BC291*$N$387</f>
        <v>0</v>
      </c>
      <c r="BD631" s="2188">
        <f t="shared" si="1497"/>
        <v>0</v>
      </c>
      <c r="BE631" s="2186">
        <f t="shared" si="1484"/>
        <v>0</v>
      </c>
      <c r="BF631" s="2188">
        <f t="shared" ref="BF631:BG634" si="1498">BF291*$N$387</f>
        <v>0</v>
      </c>
      <c r="BG631" s="2188">
        <f t="shared" si="1498"/>
        <v>0</v>
      </c>
      <c r="BH631" s="2186">
        <f t="shared" si="1485"/>
        <v>0</v>
      </c>
      <c r="BI631" s="2188">
        <f t="shared" ref="BI631:BJ634" si="1499">BI291*$N$387</f>
        <v>0</v>
      </c>
      <c r="BJ631" s="2188">
        <f t="shared" si="1499"/>
        <v>0</v>
      </c>
      <c r="BK631" s="2186">
        <f t="shared" si="1486"/>
        <v>0</v>
      </c>
      <c r="BL631" s="2188">
        <f t="shared" ref="BL631:BM634" si="1500">BL291*$N$387</f>
        <v>0</v>
      </c>
      <c r="BM631" s="2188">
        <f t="shared" si="1500"/>
        <v>0</v>
      </c>
      <c r="BN631" s="2186">
        <f t="shared" si="1487"/>
        <v>0</v>
      </c>
      <c r="BO631" s="2188">
        <f t="shared" ref="BO631:BP634" si="1501">BO291*$N$387</f>
        <v>0</v>
      </c>
      <c r="BP631" s="2188">
        <f t="shared" si="1501"/>
        <v>0</v>
      </c>
      <c r="BQ631" s="2186">
        <f t="shared" si="1488"/>
        <v>0</v>
      </c>
    </row>
    <row r="632" spans="3:69" s="2087" customFormat="1" ht="21.6" hidden="1" customHeight="1">
      <c r="C632" s="2194" t="s">
        <v>2787</v>
      </c>
      <c r="D632" s="2283" t="s">
        <v>2223</v>
      </c>
      <c r="E632" s="2284" t="s">
        <v>1833</v>
      </c>
      <c r="F632" s="2176"/>
      <c r="G632" s="2177"/>
      <c r="H632" s="2177"/>
      <c r="I632" s="2178">
        <f t="shared" si="1420"/>
        <v>0</v>
      </c>
      <c r="J632" s="2176"/>
      <c r="K632" s="2252">
        <f t="shared" si="1417"/>
        <v>0</v>
      </c>
      <c r="L632" s="2252">
        <f t="shared" si="1417"/>
        <v>0</v>
      </c>
      <c r="M632" s="2255">
        <f t="shared" si="1418"/>
        <v>0</v>
      </c>
      <c r="N632" s="2179">
        <f t="shared" si="1489"/>
        <v>0</v>
      </c>
      <c r="O632" s="2179">
        <f t="shared" si="1489"/>
        <v>0</v>
      </c>
      <c r="P632" s="2178">
        <f t="shared" si="1421"/>
        <v>0</v>
      </c>
      <c r="Q632" s="2184">
        <f>Q292*$Q$387</f>
        <v>0</v>
      </c>
      <c r="R632" s="2179">
        <f>R292*$R$387</f>
        <v>0</v>
      </c>
      <c r="S632" s="2180">
        <f t="shared" si="1422"/>
        <v>0</v>
      </c>
      <c r="T632" s="2251">
        <f t="shared" si="1334"/>
        <v>0</v>
      </c>
      <c r="U632" s="2252">
        <f t="shared" si="1334"/>
        <v>0</v>
      </c>
      <c r="V632" s="2253">
        <f t="shared" si="1335"/>
        <v>0</v>
      </c>
      <c r="W632" s="2187">
        <f>W292*$W$387</f>
        <v>0</v>
      </c>
      <c r="X632" s="2179">
        <f>X292*$X$387</f>
        <v>0</v>
      </c>
      <c r="Y632" s="2183">
        <f t="shared" si="1339"/>
        <v>0</v>
      </c>
      <c r="Z632" s="2254">
        <f t="shared" si="1419"/>
        <v>0</v>
      </c>
      <c r="AA632" s="2252">
        <f t="shared" si="1419"/>
        <v>0</v>
      </c>
      <c r="AB632" s="2255">
        <f t="shared" si="1298"/>
        <v>0</v>
      </c>
      <c r="AC632" s="2184">
        <f>AC292*$AC$387</f>
        <v>0</v>
      </c>
      <c r="AD632" s="2179">
        <f>AD292*$AD$387</f>
        <v>0</v>
      </c>
      <c r="AE632" s="2180">
        <f t="shared" si="1340"/>
        <v>0</v>
      </c>
      <c r="AF632" s="2277"/>
      <c r="AG632" s="2114"/>
      <c r="AH632" s="2188">
        <f t="shared" si="1490"/>
        <v>0</v>
      </c>
      <c r="AI632" s="2188">
        <f t="shared" si="1490"/>
        <v>0</v>
      </c>
      <c r="AJ632" s="2186">
        <f t="shared" si="1477"/>
        <v>0</v>
      </c>
      <c r="AK632" s="2188">
        <f t="shared" si="1491"/>
        <v>0</v>
      </c>
      <c r="AL632" s="2188">
        <f t="shared" si="1491"/>
        <v>0</v>
      </c>
      <c r="AM632" s="2186">
        <f t="shared" si="1478"/>
        <v>0</v>
      </c>
      <c r="AN632" s="2188">
        <f t="shared" si="1492"/>
        <v>0</v>
      </c>
      <c r="AO632" s="2188">
        <f t="shared" si="1492"/>
        <v>0</v>
      </c>
      <c r="AP632" s="2186">
        <f t="shared" si="1479"/>
        <v>0</v>
      </c>
      <c r="AQ632" s="2188">
        <f t="shared" si="1493"/>
        <v>0</v>
      </c>
      <c r="AR632" s="2188">
        <f t="shared" si="1493"/>
        <v>0</v>
      </c>
      <c r="AS632" s="2186">
        <f t="shared" si="1480"/>
        <v>0</v>
      </c>
      <c r="AT632" s="2188">
        <f t="shared" si="1494"/>
        <v>0</v>
      </c>
      <c r="AU632" s="2188">
        <f t="shared" si="1494"/>
        <v>0</v>
      </c>
      <c r="AV632" s="2186">
        <f t="shared" si="1481"/>
        <v>0</v>
      </c>
      <c r="AW632" s="2188">
        <f t="shared" si="1495"/>
        <v>0</v>
      </c>
      <c r="AX632" s="2188">
        <f t="shared" si="1495"/>
        <v>0</v>
      </c>
      <c r="AY632" s="2186">
        <f t="shared" si="1482"/>
        <v>0</v>
      </c>
      <c r="AZ632" s="2188">
        <f t="shared" si="1496"/>
        <v>0</v>
      </c>
      <c r="BA632" s="2188">
        <f t="shared" si="1496"/>
        <v>0</v>
      </c>
      <c r="BB632" s="2186">
        <f t="shared" si="1483"/>
        <v>0</v>
      </c>
      <c r="BC632" s="2188">
        <f t="shared" si="1497"/>
        <v>0</v>
      </c>
      <c r="BD632" s="2188">
        <f t="shared" si="1497"/>
        <v>0</v>
      </c>
      <c r="BE632" s="2186">
        <f t="shared" si="1484"/>
        <v>0</v>
      </c>
      <c r="BF632" s="2188">
        <f t="shared" si="1498"/>
        <v>0</v>
      </c>
      <c r="BG632" s="2188">
        <f t="shared" si="1498"/>
        <v>0</v>
      </c>
      <c r="BH632" s="2186">
        <f t="shared" si="1485"/>
        <v>0</v>
      </c>
      <c r="BI632" s="2188">
        <f t="shared" si="1499"/>
        <v>0</v>
      </c>
      <c r="BJ632" s="2188">
        <f t="shared" si="1499"/>
        <v>0</v>
      </c>
      <c r="BK632" s="2186">
        <f t="shared" si="1486"/>
        <v>0</v>
      </c>
      <c r="BL632" s="2188">
        <f t="shared" si="1500"/>
        <v>0</v>
      </c>
      <c r="BM632" s="2188">
        <f t="shared" si="1500"/>
        <v>0</v>
      </c>
      <c r="BN632" s="2186">
        <f t="shared" si="1487"/>
        <v>0</v>
      </c>
      <c r="BO632" s="2188">
        <f t="shared" si="1501"/>
        <v>0</v>
      </c>
      <c r="BP632" s="2188">
        <f t="shared" si="1501"/>
        <v>0</v>
      </c>
      <c r="BQ632" s="2186">
        <f t="shared" si="1488"/>
        <v>0</v>
      </c>
    </row>
    <row r="633" spans="3:69" s="2087" customFormat="1" ht="21.6" hidden="1" customHeight="1">
      <c r="C633" s="2194" t="s">
        <v>2788</v>
      </c>
      <c r="D633" s="2283" t="s">
        <v>2225</v>
      </c>
      <c r="E633" s="2284" t="s">
        <v>1833</v>
      </c>
      <c r="F633" s="2176"/>
      <c r="G633" s="2177"/>
      <c r="H633" s="2177"/>
      <c r="I633" s="2178">
        <f t="shared" si="1420"/>
        <v>0</v>
      </c>
      <c r="J633" s="2176"/>
      <c r="K633" s="2252">
        <f t="shared" si="1417"/>
        <v>0</v>
      </c>
      <c r="L633" s="2252">
        <f t="shared" si="1417"/>
        <v>0</v>
      </c>
      <c r="M633" s="2255">
        <f t="shared" si="1418"/>
        <v>0</v>
      </c>
      <c r="N633" s="2179">
        <f t="shared" si="1489"/>
        <v>0</v>
      </c>
      <c r="O633" s="2179">
        <f t="shared" si="1489"/>
        <v>0</v>
      </c>
      <c r="P633" s="2178">
        <f t="shared" si="1421"/>
        <v>0</v>
      </c>
      <c r="Q633" s="2184">
        <f>Q293*$Q$387</f>
        <v>0</v>
      </c>
      <c r="R633" s="2179">
        <f>R293*$R$387</f>
        <v>0</v>
      </c>
      <c r="S633" s="2180">
        <f t="shared" si="1422"/>
        <v>0</v>
      </c>
      <c r="T633" s="2251">
        <f t="shared" si="1334"/>
        <v>0</v>
      </c>
      <c r="U633" s="2252">
        <f t="shared" si="1334"/>
        <v>0</v>
      </c>
      <c r="V633" s="2253">
        <f t="shared" si="1335"/>
        <v>0</v>
      </c>
      <c r="W633" s="2187">
        <f>W293*$W$387</f>
        <v>0</v>
      </c>
      <c r="X633" s="2179">
        <f>X293*$X$387</f>
        <v>0</v>
      </c>
      <c r="Y633" s="2183">
        <f t="shared" si="1339"/>
        <v>0</v>
      </c>
      <c r="Z633" s="2254">
        <f t="shared" si="1419"/>
        <v>0</v>
      </c>
      <c r="AA633" s="2252">
        <f t="shared" si="1419"/>
        <v>0</v>
      </c>
      <c r="AB633" s="2255">
        <f t="shared" ref="AB633:AB641" si="1502">AA633-Z633</f>
        <v>0</v>
      </c>
      <c r="AC633" s="2184">
        <f>AC293*$AC$387</f>
        <v>0</v>
      </c>
      <c r="AD633" s="2179">
        <f>AD293*$AD$387</f>
        <v>0</v>
      </c>
      <c r="AE633" s="2180">
        <f t="shared" si="1340"/>
        <v>0</v>
      </c>
      <c r="AF633" s="2277"/>
      <c r="AG633" s="2114"/>
      <c r="AH633" s="2188">
        <f t="shared" si="1490"/>
        <v>0</v>
      </c>
      <c r="AI633" s="2188">
        <f t="shared" si="1490"/>
        <v>0</v>
      </c>
      <c r="AJ633" s="2186">
        <f t="shared" si="1477"/>
        <v>0</v>
      </c>
      <c r="AK633" s="2188">
        <f t="shared" si="1491"/>
        <v>0</v>
      </c>
      <c r="AL633" s="2188">
        <f t="shared" si="1491"/>
        <v>0</v>
      </c>
      <c r="AM633" s="2186">
        <f t="shared" si="1478"/>
        <v>0</v>
      </c>
      <c r="AN633" s="2188">
        <f t="shared" si="1492"/>
        <v>0</v>
      </c>
      <c r="AO633" s="2188">
        <f t="shared" si="1492"/>
        <v>0</v>
      </c>
      <c r="AP633" s="2186">
        <f t="shared" si="1479"/>
        <v>0</v>
      </c>
      <c r="AQ633" s="2188">
        <f t="shared" si="1493"/>
        <v>0</v>
      </c>
      <c r="AR633" s="2188">
        <f t="shared" si="1493"/>
        <v>0</v>
      </c>
      <c r="AS633" s="2186">
        <f t="shared" si="1480"/>
        <v>0</v>
      </c>
      <c r="AT633" s="2188">
        <f t="shared" si="1494"/>
        <v>0</v>
      </c>
      <c r="AU633" s="2188">
        <f t="shared" si="1494"/>
        <v>0</v>
      </c>
      <c r="AV633" s="2186">
        <f t="shared" si="1481"/>
        <v>0</v>
      </c>
      <c r="AW633" s="2188">
        <f t="shared" si="1495"/>
        <v>0</v>
      </c>
      <c r="AX633" s="2188">
        <f t="shared" si="1495"/>
        <v>0</v>
      </c>
      <c r="AY633" s="2186">
        <f t="shared" si="1482"/>
        <v>0</v>
      </c>
      <c r="AZ633" s="2188">
        <f t="shared" si="1496"/>
        <v>0</v>
      </c>
      <c r="BA633" s="2188">
        <f t="shared" si="1496"/>
        <v>0</v>
      </c>
      <c r="BB633" s="2186">
        <f t="shared" si="1483"/>
        <v>0</v>
      </c>
      <c r="BC633" s="2188">
        <f t="shared" si="1497"/>
        <v>0</v>
      </c>
      <c r="BD633" s="2188">
        <f t="shared" si="1497"/>
        <v>0</v>
      </c>
      <c r="BE633" s="2186">
        <f t="shared" si="1484"/>
        <v>0</v>
      </c>
      <c r="BF633" s="2188">
        <f t="shared" si="1498"/>
        <v>0</v>
      </c>
      <c r="BG633" s="2188">
        <f t="shared" si="1498"/>
        <v>0</v>
      </c>
      <c r="BH633" s="2186">
        <f t="shared" si="1485"/>
        <v>0</v>
      </c>
      <c r="BI633" s="2188">
        <f t="shared" si="1499"/>
        <v>0</v>
      </c>
      <c r="BJ633" s="2188">
        <f t="shared" si="1499"/>
        <v>0</v>
      </c>
      <c r="BK633" s="2186">
        <f t="shared" si="1486"/>
        <v>0</v>
      </c>
      <c r="BL633" s="2188">
        <f t="shared" si="1500"/>
        <v>0</v>
      </c>
      <c r="BM633" s="2188">
        <f t="shared" si="1500"/>
        <v>0</v>
      </c>
      <c r="BN633" s="2186">
        <f t="shared" si="1487"/>
        <v>0</v>
      </c>
      <c r="BO633" s="2188">
        <f t="shared" si="1501"/>
        <v>0</v>
      </c>
      <c r="BP633" s="2188">
        <f t="shared" si="1501"/>
        <v>0</v>
      </c>
      <c r="BQ633" s="2186">
        <f t="shared" si="1488"/>
        <v>0</v>
      </c>
    </row>
    <row r="634" spans="3:69" s="2087" customFormat="1" ht="21.6" hidden="1" customHeight="1">
      <c r="C634" s="2194" t="s">
        <v>2789</v>
      </c>
      <c r="D634" s="2283" t="s">
        <v>2227</v>
      </c>
      <c r="E634" s="2284" t="s">
        <v>1833</v>
      </c>
      <c r="F634" s="2176"/>
      <c r="G634" s="2177"/>
      <c r="H634" s="2177"/>
      <c r="I634" s="2178">
        <f t="shared" si="1420"/>
        <v>0</v>
      </c>
      <c r="J634" s="2176"/>
      <c r="K634" s="2252">
        <f t="shared" si="1417"/>
        <v>0</v>
      </c>
      <c r="L634" s="2252">
        <f t="shared" si="1417"/>
        <v>0</v>
      </c>
      <c r="M634" s="2255">
        <f t="shared" si="1418"/>
        <v>0</v>
      </c>
      <c r="N634" s="2179">
        <f t="shared" si="1489"/>
        <v>0</v>
      </c>
      <c r="O634" s="2179">
        <f t="shared" si="1489"/>
        <v>0</v>
      </c>
      <c r="P634" s="2178">
        <f t="shared" si="1421"/>
        <v>0</v>
      </c>
      <c r="Q634" s="2184">
        <f>Q294*$Q$387</f>
        <v>0</v>
      </c>
      <c r="R634" s="2179">
        <f>R294*$R$387</f>
        <v>0</v>
      </c>
      <c r="S634" s="2180">
        <f t="shared" si="1422"/>
        <v>0</v>
      </c>
      <c r="T634" s="2251">
        <f t="shared" si="1334"/>
        <v>0</v>
      </c>
      <c r="U634" s="2252">
        <f t="shared" si="1334"/>
        <v>0</v>
      </c>
      <c r="V634" s="2253">
        <f t="shared" si="1335"/>
        <v>0</v>
      </c>
      <c r="W634" s="2187">
        <f>W294*$W$387</f>
        <v>0</v>
      </c>
      <c r="X634" s="2179">
        <f>X294*$X$387</f>
        <v>0</v>
      </c>
      <c r="Y634" s="2183">
        <f t="shared" si="1339"/>
        <v>0</v>
      </c>
      <c r="Z634" s="2254">
        <f t="shared" si="1419"/>
        <v>0</v>
      </c>
      <c r="AA634" s="2252">
        <f t="shared" si="1419"/>
        <v>0</v>
      </c>
      <c r="AB634" s="2255">
        <f t="shared" si="1502"/>
        <v>0</v>
      </c>
      <c r="AC634" s="2184">
        <f>AC294*$AC$387</f>
        <v>0</v>
      </c>
      <c r="AD634" s="2179">
        <f>AD294*$AD$387</f>
        <v>0</v>
      </c>
      <c r="AE634" s="2180">
        <f t="shared" si="1340"/>
        <v>0</v>
      </c>
      <c r="AF634" s="2277"/>
      <c r="AG634" s="2114"/>
      <c r="AH634" s="2188">
        <f t="shared" si="1490"/>
        <v>0</v>
      </c>
      <c r="AI634" s="2188">
        <f t="shared" si="1490"/>
        <v>0</v>
      </c>
      <c r="AJ634" s="2186">
        <f t="shared" si="1477"/>
        <v>0</v>
      </c>
      <c r="AK634" s="2188">
        <f t="shared" si="1491"/>
        <v>0</v>
      </c>
      <c r="AL634" s="2188">
        <f t="shared" si="1491"/>
        <v>0</v>
      </c>
      <c r="AM634" s="2186">
        <f t="shared" si="1478"/>
        <v>0</v>
      </c>
      <c r="AN634" s="2188">
        <f t="shared" si="1492"/>
        <v>0</v>
      </c>
      <c r="AO634" s="2188">
        <f t="shared" si="1492"/>
        <v>0</v>
      </c>
      <c r="AP634" s="2186">
        <f t="shared" si="1479"/>
        <v>0</v>
      </c>
      <c r="AQ634" s="2188">
        <f t="shared" si="1493"/>
        <v>0</v>
      </c>
      <c r="AR634" s="2188">
        <f t="shared" si="1493"/>
        <v>0</v>
      </c>
      <c r="AS634" s="2186">
        <f t="shared" si="1480"/>
        <v>0</v>
      </c>
      <c r="AT634" s="2188">
        <f t="shared" si="1494"/>
        <v>0</v>
      </c>
      <c r="AU634" s="2188">
        <f t="shared" si="1494"/>
        <v>0</v>
      </c>
      <c r="AV634" s="2186">
        <f t="shared" si="1481"/>
        <v>0</v>
      </c>
      <c r="AW634" s="2188">
        <f t="shared" si="1495"/>
        <v>0</v>
      </c>
      <c r="AX634" s="2188">
        <f t="shared" si="1495"/>
        <v>0</v>
      </c>
      <c r="AY634" s="2186">
        <f t="shared" si="1482"/>
        <v>0</v>
      </c>
      <c r="AZ634" s="2188">
        <f t="shared" si="1496"/>
        <v>0</v>
      </c>
      <c r="BA634" s="2188">
        <f t="shared" si="1496"/>
        <v>0</v>
      </c>
      <c r="BB634" s="2186">
        <f t="shared" si="1483"/>
        <v>0</v>
      </c>
      <c r="BC634" s="2188">
        <f t="shared" si="1497"/>
        <v>0</v>
      </c>
      <c r="BD634" s="2188">
        <f t="shared" si="1497"/>
        <v>0</v>
      </c>
      <c r="BE634" s="2186">
        <f t="shared" si="1484"/>
        <v>0</v>
      </c>
      <c r="BF634" s="2188">
        <f t="shared" si="1498"/>
        <v>0</v>
      </c>
      <c r="BG634" s="2188">
        <f t="shared" si="1498"/>
        <v>0</v>
      </c>
      <c r="BH634" s="2186">
        <f t="shared" si="1485"/>
        <v>0</v>
      </c>
      <c r="BI634" s="2188">
        <f t="shared" si="1499"/>
        <v>0</v>
      </c>
      <c r="BJ634" s="2188">
        <f t="shared" si="1499"/>
        <v>0</v>
      </c>
      <c r="BK634" s="2186">
        <f t="shared" si="1486"/>
        <v>0</v>
      </c>
      <c r="BL634" s="2188">
        <f t="shared" si="1500"/>
        <v>0</v>
      </c>
      <c r="BM634" s="2188">
        <f t="shared" si="1500"/>
        <v>0</v>
      </c>
      <c r="BN634" s="2186">
        <f t="shared" si="1487"/>
        <v>0</v>
      </c>
      <c r="BO634" s="2188">
        <f t="shared" si="1501"/>
        <v>0</v>
      </c>
      <c r="BP634" s="2188">
        <f t="shared" si="1501"/>
        <v>0</v>
      </c>
      <c r="BQ634" s="2186">
        <f t="shared" si="1488"/>
        <v>0</v>
      </c>
    </row>
    <row r="635" spans="3:69" s="2087" customFormat="1" ht="21.6" hidden="1" customHeight="1">
      <c r="C635" s="2194" t="s">
        <v>2790</v>
      </c>
      <c r="D635" s="2283" t="s">
        <v>2229</v>
      </c>
      <c r="E635" s="2284" t="s">
        <v>1833</v>
      </c>
      <c r="F635" s="2176"/>
      <c r="G635" s="2177"/>
      <c r="H635" s="2177"/>
      <c r="I635" s="2186"/>
      <c r="J635" s="2176"/>
      <c r="K635" s="2252">
        <f t="shared" si="1417"/>
        <v>0</v>
      </c>
      <c r="L635" s="2252">
        <f t="shared" si="1417"/>
        <v>0</v>
      </c>
      <c r="M635" s="2255">
        <f t="shared" si="1418"/>
        <v>0</v>
      </c>
      <c r="N635" s="2177"/>
      <c r="O635" s="2177"/>
      <c r="P635" s="2186"/>
      <c r="Q635" s="2177"/>
      <c r="R635" s="2177"/>
      <c r="S635" s="2266"/>
      <c r="T635" s="2251">
        <f t="shared" si="1334"/>
        <v>0</v>
      </c>
      <c r="U635" s="2252">
        <f t="shared" si="1334"/>
        <v>0</v>
      </c>
      <c r="V635" s="2253">
        <f t="shared" si="1335"/>
        <v>0</v>
      </c>
      <c r="W635" s="2182"/>
      <c r="X635" s="2177"/>
      <c r="Y635" s="2271"/>
      <c r="Z635" s="2254">
        <f t="shared" si="1419"/>
        <v>0</v>
      </c>
      <c r="AA635" s="2252">
        <f t="shared" si="1419"/>
        <v>0</v>
      </c>
      <c r="AB635" s="2255">
        <f t="shared" si="1502"/>
        <v>0</v>
      </c>
      <c r="AC635" s="2177"/>
      <c r="AD635" s="2177"/>
      <c r="AE635" s="2266"/>
      <c r="AF635" s="2277"/>
      <c r="AG635" s="2114"/>
      <c r="AH635" s="2177"/>
      <c r="AI635" s="2177"/>
      <c r="AJ635" s="2186"/>
      <c r="AK635" s="2177"/>
      <c r="AL635" s="2177"/>
      <c r="AM635" s="2186"/>
      <c r="AN635" s="2177"/>
      <c r="AO635" s="2177"/>
      <c r="AP635" s="2186"/>
      <c r="AQ635" s="2177"/>
      <c r="AR635" s="2177"/>
      <c r="AS635" s="2186"/>
      <c r="AT635" s="2177"/>
      <c r="AU635" s="2177"/>
      <c r="AV635" s="2186"/>
      <c r="AW635" s="2177"/>
      <c r="AX635" s="2177"/>
      <c r="AY635" s="2186"/>
      <c r="AZ635" s="2177"/>
      <c r="BA635" s="2177"/>
      <c r="BB635" s="2186"/>
      <c r="BC635" s="2177"/>
      <c r="BD635" s="2177"/>
      <c r="BE635" s="2186"/>
      <c r="BF635" s="2177"/>
      <c r="BG635" s="2177"/>
      <c r="BH635" s="2186"/>
      <c r="BI635" s="2177"/>
      <c r="BJ635" s="2177"/>
      <c r="BK635" s="2186"/>
      <c r="BL635" s="2177"/>
      <c r="BM635" s="2177"/>
      <c r="BN635" s="2186"/>
      <c r="BO635" s="2177"/>
      <c r="BP635" s="2177"/>
      <c r="BQ635" s="2186"/>
    </row>
    <row r="636" spans="3:69" s="2087" customFormat="1" ht="21.6" hidden="1" customHeight="1">
      <c r="C636" s="2285" t="s">
        <v>2791</v>
      </c>
      <c r="D636" s="2287" t="s">
        <v>2255</v>
      </c>
      <c r="E636" s="2284" t="s">
        <v>1833</v>
      </c>
      <c r="F636" s="2176"/>
      <c r="G636" s="2179">
        <f>G637+G638+G639+G640+G641</f>
        <v>0</v>
      </c>
      <c r="H636" s="2179">
        <f>H637+H638+H639+H640+H641</f>
        <v>0</v>
      </c>
      <c r="I636" s="2178">
        <f t="shared" ref="I636" si="1503">H636-G636</f>
        <v>0</v>
      </c>
      <c r="J636" s="2176"/>
      <c r="K636" s="2179">
        <f t="shared" si="1417"/>
        <v>0</v>
      </c>
      <c r="L636" s="2179">
        <f t="shared" si="1417"/>
        <v>0</v>
      </c>
      <c r="M636" s="2178">
        <f t="shared" si="1418"/>
        <v>0</v>
      </c>
      <c r="N636" s="2179">
        <f>N637+N638+N639+N640+N641</f>
        <v>0</v>
      </c>
      <c r="O636" s="2179">
        <f>O637+O638+O639+O640+O641</f>
        <v>0</v>
      </c>
      <c r="P636" s="2178">
        <f t="shared" ref="P636" si="1504">O636-N636</f>
        <v>0</v>
      </c>
      <c r="Q636" s="2179">
        <f>Q637+Q638+Q639+Q640+Q641</f>
        <v>0</v>
      </c>
      <c r="R636" s="2179">
        <f>R637+R638+R639+R640+R641</f>
        <v>0</v>
      </c>
      <c r="S636" s="2180">
        <f t="shared" ref="S636" si="1505">R636-Q636</f>
        <v>0</v>
      </c>
      <c r="T636" s="2181">
        <f t="shared" si="1334"/>
        <v>0</v>
      </c>
      <c r="U636" s="2179">
        <f t="shared" si="1334"/>
        <v>0</v>
      </c>
      <c r="V636" s="2180">
        <f t="shared" si="1335"/>
        <v>0</v>
      </c>
      <c r="W636" s="2187">
        <f>W637+W638+W639+W640+W641</f>
        <v>0</v>
      </c>
      <c r="X636" s="2179">
        <f>X637+X638+X639+X640+X641</f>
        <v>0</v>
      </c>
      <c r="Y636" s="2183">
        <f t="shared" ref="Y636" si="1506">X636-W636</f>
        <v>0</v>
      </c>
      <c r="Z636" s="2184">
        <f t="shared" si="1419"/>
        <v>0</v>
      </c>
      <c r="AA636" s="2179">
        <f t="shared" si="1419"/>
        <v>0</v>
      </c>
      <c r="AB636" s="2178">
        <f t="shared" si="1502"/>
        <v>0</v>
      </c>
      <c r="AC636" s="2179">
        <f>AC637+AC638+AC639+AC640+AC641</f>
        <v>0</v>
      </c>
      <c r="AD636" s="2179">
        <f>AD637+AD638+AD639+AD640+AD641</f>
        <v>0</v>
      </c>
      <c r="AE636" s="2180">
        <f t="shared" ref="AE636" si="1507">AD636-AC636</f>
        <v>0</v>
      </c>
      <c r="AF636" s="2277"/>
      <c r="AG636" s="2114"/>
      <c r="AH636" s="2188">
        <f>AH637+AH638+AH639+AH640+AH641</f>
        <v>0</v>
      </c>
      <c r="AI636" s="2188">
        <f>AI637+AI638+AI639+AI640+AI641</f>
        <v>0</v>
      </c>
      <c r="AJ636" s="2186">
        <f t="shared" ref="AJ636:AJ640" si="1508">AI636-AH636</f>
        <v>0</v>
      </c>
      <c r="AK636" s="2188">
        <f>AK637+AK638+AK639+AK640+AK641</f>
        <v>0</v>
      </c>
      <c r="AL636" s="2188">
        <f>AL637+AL638+AL639+AL640+AL641</f>
        <v>0</v>
      </c>
      <c r="AM636" s="2186">
        <f t="shared" ref="AM636:AM640" si="1509">AL636-AK636</f>
        <v>0</v>
      </c>
      <c r="AN636" s="2188">
        <f>AN637+AN638+AN639+AN640+AN641</f>
        <v>0</v>
      </c>
      <c r="AO636" s="2188">
        <f>AO637+AO638+AO639+AO640+AO641</f>
        <v>0</v>
      </c>
      <c r="AP636" s="2186">
        <f t="shared" ref="AP636:AP640" si="1510">AO636-AN636</f>
        <v>0</v>
      </c>
      <c r="AQ636" s="2188">
        <f>AQ637+AQ638+AQ639+AQ640+AQ641</f>
        <v>0</v>
      </c>
      <c r="AR636" s="2188">
        <f>AR637+AR638+AR639+AR640+AR641</f>
        <v>0</v>
      </c>
      <c r="AS636" s="2186">
        <f t="shared" ref="AS636:AS640" si="1511">AR636-AQ636</f>
        <v>0</v>
      </c>
      <c r="AT636" s="2188">
        <f>AT637+AT638+AT639+AT640+AT641</f>
        <v>0</v>
      </c>
      <c r="AU636" s="2188">
        <f>AU637+AU638+AU639+AU640+AU641</f>
        <v>0</v>
      </c>
      <c r="AV636" s="2186">
        <f t="shared" ref="AV636:AV640" si="1512">AU636-AT636</f>
        <v>0</v>
      </c>
      <c r="AW636" s="2188">
        <f>AW637+AW638+AW639+AW640+AW641</f>
        <v>0</v>
      </c>
      <c r="AX636" s="2188">
        <f>AX637+AX638+AX639+AX640+AX641</f>
        <v>0</v>
      </c>
      <c r="AY636" s="2186">
        <f t="shared" ref="AY636:AY640" si="1513">AX636-AW636</f>
        <v>0</v>
      </c>
      <c r="AZ636" s="2188">
        <f>AZ637+AZ638+AZ639+AZ640+AZ641</f>
        <v>0</v>
      </c>
      <c r="BA636" s="2188">
        <f>BA637+BA638+BA639+BA640+BA641</f>
        <v>0</v>
      </c>
      <c r="BB636" s="2186">
        <f t="shared" ref="BB636:BB640" si="1514">BA636-AZ636</f>
        <v>0</v>
      </c>
      <c r="BC636" s="2188">
        <f>BC637+BC638+BC639+BC640+BC641</f>
        <v>0</v>
      </c>
      <c r="BD636" s="2188">
        <f>BD637+BD638+BD639+BD640+BD641</f>
        <v>0</v>
      </c>
      <c r="BE636" s="2186">
        <f t="shared" ref="BE636:BE640" si="1515">BD636-BC636</f>
        <v>0</v>
      </c>
      <c r="BF636" s="2188">
        <f>BF637+BF638+BF639+BF640+BF641</f>
        <v>0</v>
      </c>
      <c r="BG636" s="2188">
        <f>BG637+BG638+BG639+BG640+BG641</f>
        <v>0</v>
      </c>
      <c r="BH636" s="2186">
        <f t="shared" ref="BH636:BH640" si="1516">BG636-BF636</f>
        <v>0</v>
      </c>
      <c r="BI636" s="2188">
        <f>BI637+BI638+BI639+BI640+BI641</f>
        <v>0</v>
      </c>
      <c r="BJ636" s="2188">
        <f>BJ637+BJ638+BJ639+BJ640+BJ641</f>
        <v>0</v>
      </c>
      <c r="BK636" s="2186">
        <f t="shared" ref="BK636:BK640" si="1517">BJ636-BI636</f>
        <v>0</v>
      </c>
      <c r="BL636" s="2188">
        <f>BL637+BL638+BL639+BL640+BL641</f>
        <v>0</v>
      </c>
      <c r="BM636" s="2188">
        <f>BM637+BM638+BM639+BM640+BM641</f>
        <v>0</v>
      </c>
      <c r="BN636" s="2186">
        <f t="shared" ref="BN636:BN640" si="1518">BM636-BL636</f>
        <v>0</v>
      </c>
      <c r="BO636" s="2188">
        <f>BO637+BO638+BO639+BO640+BO641</f>
        <v>0</v>
      </c>
      <c r="BP636" s="2188">
        <f>BP637+BP638+BP639+BP640+BP641</f>
        <v>0</v>
      </c>
      <c r="BQ636" s="2186">
        <f t="shared" ref="BQ636:BQ640" si="1519">BP636-BO636</f>
        <v>0</v>
      </c>
    </row>
    <row r="637" spans="3:69" s="2087" customFormat="1" ht="21.6" hidden="1" customHeight="1">
      <c r="C637" s="2194" t="s">
        <v>2792</v>
      </c>
      <c r="D637" s="2283" t="s">
        <v>2221</v>
      </c>
      <c r="E637" s="2284" t="s">
        <v>1833</v>
      </c>
      <c r="F637" s="2176"/>
      <c r="G637" s="2177"/>
      <c r="H637" s="2177"/>
      <c r="I637" s="2178">
        <f t="shared" si="1420"/>
        <v>0</v>
      </c>
      <c r="J637" s="2176"/>
      <c r="K637" s="2252">
        <f t="shared" si="1417"/>
        <v>0</v>
      </c>
      <c r="L637" s="2252">
        <f t="shared" si="1417"/>
        <v>0</v>
      </c>
      <c r="M637" s="2255">
        <f t="shared" si="1418"/>
        <v>0</v>
      </c>
      <c r="N637" s="2179">
        <f>N297*$N$389</f>
        <v>0</v>
      </c>
      <c r="O637" s="2179">
        <f>O297*$O$389</f>
        <v>0</v>
      </c>
      <c r="P637" s="2178">
        <f t="shared" si="1421"/>
        <v>0</v>
      </c>
      <c r="Q637" s="2184">
        <f>Q297*$Q$389</f>
        <v>0</v>
      </c>
      <c r="R637" s="2179">
        <f>R297*$R$389</f>
        <v>0</v>
      </c>
      <c r="S637" s="2180">
        <f t="shared" si="1422"/>
        <v>0</v>
      </c>
      <c r="T637" s="2251">
        <f t="shared" si="1334"/>
        <v>0</v>
      </c>
      <c r="U637" s="2252">
        <f t="shared" si="1334"/>
        <v>0</v>
      </c>
      <c r="V637" s="2253">
        <f t="shared" si="1335"/>
        <v>0</v>
      </c>
      <c r="W637" s="2187">
        <f>W297*$W$389</f>
        <v>0</v>
      </c>
      <c r="X637" s="2179">
        <f>X297*$X$389</f>
        <v>0</v>
      </c>
      <c r="Y637" s="2183">
        <f t="shared" si="1339"/>
        <v>0</v>
      </c>
      <c r="Z637" s="2254">
        <f t="shared" si="1419"/>
        <v>0</v>
      </c>
      <c r="AA637" s="2252">
        <f t="shared" si="1419"/>
        <v>0</v>
      </c>
      <c r="AB637" s="2255">
        <f t="shared" si="1502"/>
        <v>0</v>
      </c>
      <c r="AC637" s="2184">
        <f>AC297*$AC$389</f>
        <v>0</v>
      </c>
      <c r="AD637" s="2179">
        <f>AD297*$AD$389</f>
        <v>0</v>
      </c>
      <c r="AE637" s="2180">
        <f t="shared" si="1340"/>
        <v>0</v>
      </c>
      <c r="AF637" s="2277"/>
      <c r="AG637" s="2114"/>
      <c r="AH637" s="2188">
        <f>AH297*$N$389</f>
        <v>0</v>
      </c>
      <c r="AI637" s="2188">
        <f>AI297*$O$389</f>
        <v>0</v>
      </c>
      <c r="AJ637" s="2186">
        <f t="shared" si="1508"/>
        <v>0</v>
      </c>
      <c r="AK637" s="2188">
        <f>AK297*$N$389</f>
        <v>0</v>
      </c>
      <c r="AL637" s="2188">
        <f>AL297*$O$389</f>
        <v>0</v>
      </c>
      <c r="AM637" s="2186">
        <f t="shared" si="1509"/>
        <v>0</v>
      </c>
      <c r="AN637" s="2188">
        <f>AN297*$N$389</f>
        <v>0</v>
      </c>
      <c r="AO637" s="2188">
        <f>AO297*$O$389</f>
        <v>0</v>
      </c>
      <c r="AP637" s="2186">
        <f t="shared" si="1510"/>
        <v>0</v>
      </c>
      <c r="AQ637" s="2188">
        <f>AQ297*$N$389</f>
        <v>0</v>
      </c>
      <c r="AR637" s="2188">
        <f>AR297*$O$389</f>
        <v>0</v>
      </c>
      <c r="AS637" s="2186">
        <f t="shared" si="1511"/>
        <v>0</v>
      </c>
      <c r="AT637" s="2188">
        <f>AT297*$N$389</f>
        <v>0</v>
      </c>
      <c r="AU637" s="2188">
        <f>AU297*$O$389</f>
        <v>0</v>
      </c>
      <c r="AV637" s="2186">
        <f t="shared" si="1512"/>
        <v>0</v>
      </c>
      <c r="AW637" s="2188">
        <f>AW297*$N$389</f>
        <v>0</v>
      </c>
      <c r="AX637" s="2188">
        <f>AX297*$O$389</f>
        <v>0</v>
      </c>
      <c r="AY637" s="2186">
        <f t="shared" si="1513"/>
        <v>0</v>
      </c>
      <c r="AZ637" s="2188">
        <f>AZ297*$N$389</f>
        <v>0</v>
      </c>
      <c r="BA637" s="2188">
        <f>BA297*$O$389</f>
        <v>0</v>
      </c>
      <c r="BB637" s="2186">
        <f t="shared" si="1514"/>
        <v>0</v>
      </c>
      <c r="BC637" s="2188">
        <f>BC297*$N$389</f>
        <v>0</v>
      </c>
      <c r="BD637" s="2188">
        <f>BD297*$O$389</f>
        <v>0</v>
      </c>
      <c r="BE637" s="2186">
        <f t="shared" si="1515"/>
        <v>0</v>
      </c>
      <c r="BF637" s="2188">
        <f>BF297*$N$389</f>
        <v>0</v>
      </c>
      <c r="BG637" s="2188">
        <f>BG297*$O$389</f>
        <v>0</v>
      </c>
      <c r="BH637" s="2186">
        <f t="shared" si="1516"/>
        <v>0</v>
      </c>
      <c r="BI637" s="2188">
        <f>BI297*$N$389</f>
        <v>0</v>
      </c>
      <c r="BJ637" s="2188">
        <f>BJ297*$O$389</f>
        <v>0</v>
      </c>
      <c r="BK637" s="2186">
        <f t="shared" si="1517"/>
        <v>0</v>
      </c>
      <c r="BL637" s="2188">
        <f>BL297*$N$389</f>
        <v>0</v>
      </c>
      <c r="BM637" s="2188">
        <f>BM297*$O$389</f>
        <v>0</v>
      </c>
      <c r="BN637" s="2186">
        <f t="shared" si="1518"/>
        <v>0</v>
      </c>
      <c r="BO637" s="2188">
        <f>BO297*$N$389</f>
        <v>0</v>
      </c>
      <c r="BP637" s="2188">
        <f>BP297*$O$389</f>
        <v>0</v>
      </c>
      <c r="BQ637" s="2186">
        <f t="shared" si="1519"/>
        <v>0</v>
      </c>
    </row>
    <row r="638" spans="3:69" s="2087" customFormat="1" ht="21.6" hidden="1" customHeight="1">
      <c r="C638" s="2194" t="s">
        <v>2793</v>
      </c>
      <c r="D638" s="2283" t="s">
        <v>2223</v>
      </c>
      <c r="E638" s="2284" t="s">
        <v>1833</v>
      </c>
      <c r="F638" s="2176"/>
      <c r="G638" s="2177"/>
      <c r="H638" s="2177"/>
      <c r="I638" s="2178">
        <f t="shared" si="1420"/>
        <v>0</v>
      </c>
      <c r="J638" s="2176"/>
      <c r="K638" s="2252">
        <f t="shared" si="1417"/>
        <v>0</v>
      </c>
      <c r="L638" s="2252">
        <f t="shared" si="1417"/>
        <v>0</v>
      </c>
      <c r="M638" s="2255">
        <f t="shared" si="1418"/>
        <v>0</v>
      </c>
      <c r="N638" s="2179">
        <f>N298*$N$389</f>
        <v>0</v>
      </c>
      <c r="O638" s="2179">
        <f>O298*$O$389</f>
        <v>0</v>
      </c>
      <c r="P638" s="2178">
        <f t="shared" si="1421"/>
        <v>0</v>
      </c>
      <c r="Q638" s="2184">
        <f>Q298*$Q$389</f>
        <v>0</v>
      </c>
      <c r="R638" s="2179">
        <f>R298*$R$389</f>
        <v>0</v>
      </c>
      <c r="S638" s="2180">
        <f t="shared" si="1422"/>
        <v>0</v>
      </c>
      <c r="T638" s="2251">
        <f t="shared" si="1334"/>
        <v>0</v>
      </c>
      <c r="U638" s="2252">
        <f t="shared" si="1334"/>
        <v>0</v>
      </c>
      <c r="V638" s="2253">
        <f t="shared" si="1335"/>
        <v>0</v>
      </c>
      <c r="W638" s="2187">
        <f>W298*$W$389</f>
        <v>0</v>
      </c>
      <c r="X638" s="2179">
        <f>X298*$X$389</f>
        <v>0</v>
      </c>
      <c r="Y638" s="2183">
        <f t="shared" si="1339"/>
        <v>0</v>
      </c>
      <c r="Z638" s="2254">
        <f t="shared" si="1419"/>
        <v>0</v>
      </c>
      <c r="AA638" s="2252">
        <f t="shared" si="1419"/>
        <v>0</v>
      </c>
      <c r="AB638" s="2255">
        <f t="shared" si="1502"/>
        <v>0</v>
      </c>
      <c r="AC638" s="2184">
        <f>AC298*$AC$389</f>
        <v>0</v>
      </c>
      <c r="AD638" s="2179">
        <f>AD298*$AD$389</f>
        <v>0</v>
      </c>
      <c r="AE638" s="2180">
        <f t="shared" si="1340"/>
        <v>0</v>
      </c>
      <c r="AF638" s="2277"/>
      <c r="AG638" s="2114"/>
      <c r="AH638" s="2188">
        <f>AH298*$N$389</f>
        <v>0</v>
      </c>
      <c r="AI638" s="2188">
        <f>AI298*$O$389</f>
        <v>0</v>
      </c>
      <c r="AJ638" s="2186">
        <f t="shared" si="1508"/>
        <v>0</v>
      </c>
      <c r="AK638" s="2188">
        <f>AK298*$N$389</f>
        <v>0</v>
      </c>
      <c r="AL638" s="2188">
        <f>AL298*$O$389</f>
        <v>0</v>
      </c>
      <c r="AM638" s="2186">
        <f t="shared" si="1509"/>
        <v>0</v>
      </c>
      <c r="AN638" s="2188">
        <f>AN298*$N$389</f>
        <v>0</v>
      </c>
      <c r="AO638" s="2188">
        <f>AO298*$O$389</f>
        <v>0</v>
      </c>
      <c r="AP638" s="2186">
        <f t="shared" si="1510"/>
        <v>0</v>
      </c>
      <c r="AQ638" s="2188">
        <f>AQ298*$N$389</f>
        <v>0</v>
      </c>
      <c r="AR638" s="2188">
        <f>AR298*$O$389</f>
        <v>0</v>
      </c>
      <c r="AS638" s="2186">
        <f t="shared" si="1511"/>
        <v>0</v>
      </c>
      <c r="AT638" s="2188">
        <f>AT298*$N$389</f>
        <v>0</v>
      </c>
      <c r="AU638" s="2188">
        <f>AU298*$O$389</f>
        <v>0</v>
      </c>
      <c r="AV638" s="2186">
        <f t="shared" si="1512"/>
        <v>0</v>
      </c>
      <c r="AW638" s="2188">
        <f>AW298*$N$389</f>
        <v>0</v>
      </c>
      <c r="AX638" s="2188">
        <f>AX298*$O$389</f>
        <v>0</v>
      </c>
      <c r="AY638" s="2186">
        <f t="shared" si="1513"/>
        <v>0</v>
      </c>
      <c r="AZ638" s="2188">
        <f>AZ298*$N$389</f>
        <v>0</v>
      </c>
      <c r="BA638" s="2188">
        <f>BA298*$O$389</f>
        <v>0</v>
      </c>
      <c r="BB638" s="2186">
        <f t="shared" si="1514"/>
        <v>0</v>
      </c>
      <c r="BC638" s="2188">
        <f>BC298*$N$389</f>
        <v>0</v>
      </c>
      <c r="BD638" s="2188">
        <f>BD298*$O$389</f>
        <v>0</v>
      </c>
      <c r="BE638" s="2186">
        <f t="shared" si="1515"/>
        <v>0</v>
      </c>
      <c r="BF638" s="2188">
        <f>BF298*$N$389</f>
        <v>0</v>
      </c>
      <c r="BG638" s="2188">
        <f>BG298*$O$389</f>
        <v>0</v>
      </c>
      <c r="BH638" s="2186">
        <f t="shared" si="1516"/>
        <v>0</v>
      </c>
      <c r="BI638" s="2188">
        <f>BI298*$N$389</f>
        <v>0</v>
      </c>
      <c r="BJ638" s="2188">
        <f>BJ298*$O$389</f>
        <v>0</v>
      </c>
      <c r="BK638" s="2186">
        <f t="shared" si="1517"/>
        <v>0</v>
      </c>
      <c r="BL638" s="2188">
        <f>BL298*$N$389</f>
        <v>0</v>
      </c>
      <c r="BM638" s="2188">
        <f>BM298*$O$389</f>
        <v>0</v>
      </c>
      <c r="BN638" s="2186">
        <f t="shared" si="1518"/>
        <v>0</v>
      </c>
      <c r="BO638" s="2188">
        <f>BO298*$N$389</f>
        <v>0</v>
      </c>
      <c r="BP638" s="2188">
        <f>BP298*$O$389</f>
        <v>0</v>
      </c>
      <c r="BQ638" s="2186">
        <f t="shared" si="1519"/>
        <v>0</v>
      </c>
    </row>
    <row r="639" spans="3:69" s="2087" customFormat="1" ht="21.6" hidden="1" customHeight="1">
      <c r="C639" s="2194" t="s">
        <v>2794</v>
      </c>
      <c r="D639" s="2283" t="s">
        <v>2225</v>
      </c>
      <c r="E639" s="2284" t="s">
        <v>1833</v>
      </c>
      <c r="F639" s="2176"/>
      <c r="G639" s="2177"/>
      <c r="H639" s="2177"/>
      <c r="I639" s="2178">
        <f t="shared" si="1420"/>
        <v>0</v>
      </c>
      <c r="J639" s="2176"/>
      <c r="K639" s="2252">
        <f t="shared" si="1417"/>
        <v>0</v>
      </c>
      <c r="L639" s="2252">
        <f t="shared" si="1417"/>
        <v>0</v>
      </c>
      <c r="M639" s="2255">
        <f t="shared" si="1418"/>
        <v>0</v>
      </c>
      <c r="N639" s="2179">
        <f>N299*$N$389</f>
        <v>0</v>
      </c>
      <c r="O639" s="2179">
        <f>O299*$O$389</f>
        <v>0</v>
      </c>
      <c r="P639" s="2178">
        <f t="shared" si="1421"/>
        <v>0</v>
      </c>
      <c r="Q639" s="2184">
        <f>Q299*$Q$389</f>
        <v>0</v>
      </c>
      <c r="R639" s="2179">
        <f>R299*$R$389</f>
        <v>0</v>
      </c>
      <c r="S639" s="2180">
        <f t="shared" si="1422"/>
        <v>0</v>
      </c>
      <c r="T639" s="2251">
        <f t="shared" si="1334"/>
        <v>0</v>
      </c>
      <c r="U639" s="2252">
        <f t="shared" si="1334"/>
        <v>0</v>
      </c>
      <c r="V639" s="2253">
        <f t="shared" si="1335"/>
        <v>0</v>
      </c>
      <c r="W639" s="2187">
        <f>W299*$W$389</f>
        <v>0</v>
      </c>
      <c r="X639" s="2179">
        <f>X299*$X$389</f>
        <v>0</v>
      </c>
      <c r="Y639" s="2183">
        <f t="shared" si="1339"/>
        <v>0</v>
      </c>
      <c r="Z639" s="2254">
        <f t="shared" si="1419"/>
        <v>0</v>
      </c>
      <c r="AA639" s="2252">
        <f t="shared" si="1419"/>
        <v>0</v>
      </c>
      <c r="AB639" s="2255">
        <f t="shared" si="1502"/>
        <v>0</v>
      </c>
      <c r="AC639" s="2184">
        <f>AC299*$AC$389</f>
        <v>0</v>
      </c>
      <c r="AD639" s="2179">
        <f>AD299*$AD$389</f>
        <v>0</v>
      </c>
      <c r="AE639" s="2180">
        <f t="shared" si="1340"/>
        <v>0</v>
      </c>
      <c r="AF639" s="2277"/>
      <c r="AG639" s="2114"/>
      <c r="AH639" s="2188">
        <f>AH299*$N$389</f>
        <v>0</v>
      </c>
      <c r="AI639" s="2188">
        <f>AI299*$O$389</f>
        <v>0</v>
      </c>
      <c r="AJ639" s="2186">
        <f t="shared" si="1508"/>
        <v>0</v>
      </c>
      <c r="AK639" s="2188">
        <f>AK299*$N$389</f>
        <v>0</v>
      </c>
      <c r="AL639" s="2188">
        <f>AL299*$O$389</f>
        <v>0</v>
      </c>
      <c r="AM639" s="2186">
        <f t="shared" si="1509"/>
        <v>0</v>
      </c>
      <c r="AN639" s="2188">
        <f>AN299*$N$389</f>
        <v>0</v>
      </c>
      <c r="AO639" s="2188">
        <f>AO299*$O$389</f>
        <v>0</v>
      </c>
      <c r="AP639" s="2186">
        <f t="shared" si="1510"/>
        <v>0</v>
      </c>
      <c r="AQ639" s="2188">
        <f>AQ299*$N$389</f>
        <v>0</v>
      </c>
      <c r="AR639" s="2188">
        <f>AR299*$O$389</f>
        <v>0</v>
      </c>
      <c r="AS639" s="2186">
        <f t="shared" si="1511"/>
        <v>0</v>
      </c>
      <c r="AT639" s="2188">
        <f>AT299*$N$389</f>
        <v>0</v>
      </c>
      <c r="AU639" s="2188">
        <f>AU299*$O$389</f>
        <v>0</v>
      </c>
      <c r="AV639" s="2186">
        <f t="shared" si="1512"/>
        <v>0</v>
      </c>
      <c r="AW639" s="2188">
        <f>AW299*$N$389</f>
        <v>0</v>
      </c>
      <c r="AX639" s="2188">
        <f>AX299*$O$389</f>
        <v>0</v>
      </c>
      <c r="AY639" s="2186">
        <f t="shared" si="1513"/>
        <v>0</v>
      </c>
      <c r="AZ639" s="2188">
        <f>AZ299*$N$389</f>
        <v>0</v>
      </c>
      <c r="BA639" s="2188">
        <f>BA299*$O$389</f>
        <v>0</v>
      </c>
      <c r="BB639" s="2186">
        <f t="shared" si="1514"/>
        <v>0</v>
      </c>
      <c r="BC639" s="2188">
        <f>BC299*$N$389</f>
        <v>0</v>
      </c>
      <c r="BD639" s="2188">
        <f>BD299*$O$389</f>
        <v>0</v>
      </c>
      <c r="BE639" s="2186">
        <f t="shared" si="1515"/>
        <v>0</v>
      </c>
      <c r="BF639" s="2188">
        <f>BF299*$N$389</f>
        <v>0</v>
      </c>
      <c r="BG639" s="2188">
        <f>BG299*$O$389</f>
        <v>0</v>
      </c>
      <c r="BH639" s="2186">
        <f t="shared" si="1516"/>
        <v>0</v>
      </c>
      <c r="BI639" s="2188">
        <f>BI299*$N$389</f>
        <v>0</v>
      </c>
      <c r="BJ639" s="2188">
        <f>BJ299*$O$389</f>
        <v>0</v>
      </c>
      <c r="BK639" s="2186">
        <f t="shared" si="1517"/>
        <v>0</v>
      </c>
      <c r="BL639" s="2188">
        <f>BL299*$N$389</f>
        <v>0</v>
      </c>
      <c r="BM639" s="2188">
        <f>BM299*$O$389</f>
        <v>0</v>
      </c>
      <c r="BN639" s="2186">
        <f t="shared" si="1518"/>
        <v>0</v>
      </c>
      <c r="BO639" s="2188">
        <f>BO299*$N$389</f>
        <v>0</v>
      </c>
      <c r="BP639" s="2188">
        <f>BP299*$O$389</f>
        <v>0</v>
      </c>
      <c r="BQ639" s="2186">
        <f t="shared" si="1519"/>
        <v>0</v>
      </c>
    </row>
    <row r="640" spans="3:69" s="2087" customFormat="1" ht="21.6" hidden="1" customHeight="1">
      <c r="C640" s="2194" t="s">
        <v>2795</v>
      </c>
      <c r="D640" s="2283" t="s">
        <v>2227</v>
      </c>
      <c r="E640" s="2284" t="s">
        <v>1833</v>
      </c>
      <c r="F640" s="2176"/>
      <c r="G640" s="2177"/>
      <c r="H640" s="2177"/>
      <c r="I640" s="2178">
        <f t="shared" si="1420"/>
        <v>0</v>
      </c>
      <c r="J640" s="2176"/>
      <c r="K640" s="2252">
        <f t="shared" si="1417"/>
        <v>0</v>
      </c>
      <c r="L640" s="2252">
        <f t="shared" si="1417"/>
        <v>0</v>
      </c>
      <c r="M640" s="2255">
        <f t="shared" si="1418"/>
        <v>0</v>
      </c>
      <c r="N640" s="2179">
        <f>N300*$N$389</f>
        <v>0</v>
      </c>
      <c r="O640" s="2179">
        <f>O300*$O$389</f>
        <v>0</v>
      </c>
      <c r="P640" s="2178">
        <f t="shared" si="1421"/>
        <v>0</v>
      </c>
      <c r="Q640" s="2184">
        <f>Q300*$Q$389</f>
        <v>0</v>
      </c>
      <c r="R640" s="2179">
        <f>R300*$R$389</f>
        <v>0</v>
      </c>
      <c r="S640" s="2180">
        <f t="shared" si="1422"/>
        <v>0</v>
      </c>
      <c r="T640" s="2251">
        <f t="shared" ref="T640:U641" si="1520">N640+Q640</f>
        <v>0</v>
      </c>
      <c r="U640" s="2252">
        <f t="shared" si="1520"/>
        <v>0</v>
      </c>
      <c r="V640" s="2253">
        <f t="shared" si="1335"/>
        <v>0</v>
      </c>
      <c r="W640" s="2187">
        <f>W300*$W$389</f>
        <v>0</v>
      </c>
      <c r="X640" s="2179">
        <f>X300*$X$389</f>
        <v>0</v>
      </c>
      <c r="Y640" s="2183">
        <f t="shared" si="1339"/>
        <v>0</v>
      </c>
      <c r="Z640" s="2254">
        <f t="shared" si="1419"/>
        <v>0</v>
      </c>
      <c r="AA640" s="2252">
        <f t="shared" si="1419"/>
        <v>0</v>
      </c>
      <c r="AB640" s="2255">
        <f t="shared" si="1502"/>
        <v>0</v>
      </c>
      <c r="AC640" s="2184">
        <f>AC300*$AC$389</f>
        <v>0</v>
      </c>
      <c r="AD640" s="2179">
        <f>AD300*$AD$389</f>
        <v>0</v>
      </c>
      <c r="AE640" s="2180">
        <f t="shared" si="1340"/>
        <v>0</v>
      </c>
      <c r="AF640" s="2277"/>
      <c r="AG640" s="2114"/>
      <c r="AH640" s="2188">
        <f>AH300*$N$389</f>
        <v>0</v>
      </c>
      <c r="AI640" s="2188">
        <f>AI300*$O$389</f>
        <v>0</v>
      </c>
      <c r="AJ640" s="2186">
        <f t="shared" si="1508"/>
        <v>0</v>
      </c>
      <c r="AK640" s="2188">
        <f>AK300*$N$389</f>
        <v>0</v>
      </c>
      <c r="AL640" s="2188">
        <f>AL300*$O$389</f>
        <v>0</v>
      </c>
      <c r="AM640" s="2186">
        <f t="shared" si="1509"/>
        <v>0</v>
      </c>
      <c r="AN640" s="2188">
        <f>AN300*$N$389</f>
        <v>0</v>
      </c>
      <c r="AO640" s="2188">
        <f>AO300*$O$389</f>
        <v>0</v>
      </c>
      <c r="AP640" s="2186">
        <f t="shared" si="1510"/>
        <v>0</v>
      </c>
      <c r="AQ640" s="2188">
        <f>AQ300*$N$389</f>
        <v>0</v>
      </c>
      <c r="AR640" s="2188">
        <f>AR300*$O$389</f>
        <v>0</v>
      </c>
      <c r="AS640" s="2186">
        <f t="shared" si="1511"/>
        <v>0</v>
      </c>
      <c r="AT640" s="2188">
        <f>AT300*$N$389</f>
        <v>0</v>
      </c>
      <c r="AU640" s="2188">
        <f>AU300*$O$389</f>
        <v>0</v>
      </c>
      <c r="AV640" s="2186">
        <f t="shared" si="1512"/>
        <v>0</v>
      </c>
      <c r="AW640" s="2188">
        <f>AW300*$N$389</f>
        <v>0</v>
      </c>
      <c r="AX640" s="2188">
        <f>AX300*$O$389</f>
        <v>0</v>
      </c>
      <c r="AY640" s="2186">
        <f t="shared" si="1513"/>
        <v>0</v>
      </c>
      <c r="AZ640" s="2188">
        <f>AZ300*$N$389</f>
        <v>0</v>
      </c>
      <c r="BA640" s="2188">
        <f>BA300*$O$389</f>
        <v>0</v>
      </c>
      <c r="BB640" s="2186">
        <f t="shared" si="1514"/>
        <v>0</v>
      </c>
      <c r="BC640" s="2188">
        <f>BC300*$N$389</f>
        <v>0</v>
      </c>
      <c r="BD640" s="2188">
        <f>BD300*$O$389</f>
        <v>0</v>
      </c>
      <c r="BE640" s="2186">
        <f t="shared" si="1515"/>
        <v>0</v>
      </c>
      <c r="BF640" s="2188">
        <f>BF300*$N$389</f>
        <v>0</v>
      </c>
      <c r="BG640" s="2188">
        <f>BG300*$O$389</f>
        <v>0</v>
      </c>
      <c r="BH640" s="2186">
        <f t="shared" si="1516"/>
        <v>0</v>
      </c>
      <c r="BI640" s="2188">
        <f>BI300*$N$389</f>
        <v>0</v>
      </c>
      <c r="BJ640" s="2188">
        <f>BJ300*$O$389</f>
        <v>0</v>
      </c>
      <c r="BK640" s="2186">
        <f t="shared" si="1517"/>
        <v>0</v>
      </c>
      <c r="BL640" s="2188">
        <f>BL300*$N$389</f>
        <v>0</v>
      </c>
      <c r="BM640" s="2188">
        <f>BM300*$O$389</f>
        <v>0</v>
      </c>
      <c r="BN640" s="2186">
        <f t="shared" si="1518"/>
        <v>0</v>
      </c>
      <c r="BO640" s="2188">
        <f>BO300*$N$389</f>
        <v>0</v>
      </c>
      <c r="BP640" s="2188">
        <f>BP300*$O$389</f>
        <v>0</v>
      </c>
      <c r="BQ640" s="2186">
        <f t="shared" si="1519"/>
        <v>0</v>
      </c>
    </row>
    <row r="641" spans="3:69" s="2087" customFormat="1" ht="21.6" hidden="1" customHeight="1">
      <c r="C641" s="2194" t="s">
        <v>2796</v>
      </c>
      <c r="D641" s="2283" t="s">
        <v>2229</v>
      </c>
      <c r="E641" s="2284" t="s">
        <v>1833</v>
      </c>
      <c r="F641" s="2176"/>
      <c r="G641" s="2177"/>
      <c r="H641" s="2177"/>
      <c r="I641" s="2186"/>
      <c r="J641" s="2176"/>
      <c r="K641" s="2252">
        <f t="shared" ref="K641:L656" si="1521">N641+Q641+W641+AC641</f>
        <v>0</v>
      </c>
      <c r="L641" s="2252">
        <f t="shared" si="1521"/>
        <v>0</v>
      </c>
      <c r="M641" s="2255">
        <f t="shared" si="1418"/>
        <v>0</v>
      </c>
      <c r="N641" s="2177"/>
      <c r="O641" s="2177"/>
      <c r="P641" s="2186"/>
      <c r="Q641" s="2177"/>
      <c r="R641" s="2177"/>
      <c r="S641" s="2266"/>
      <c r="T641" s="2251">
        <f t="shared" si="1520"/>
        <v>0</v>
      </c>
      <c r="U641" s="2252">
        <f t="shared" si="1520"/>
        <v>0</v>
      </c>
      <c r="V641" s="2253">
        <f t="shared" si="1335"/>
        <v>0</v>
      </c>
      <c r="W641" s="2182"/>
      <c r="X641" s="2177"/>
      <c r="Y641" s="2271"/>
      <c r="Z641" s="2254">
        <f t="shared" si="1419"/>
        <v>0</v>
      </c>
      <c r="AA641" s="2252">
        <f t="shared" si="1419"/>
        <v>0</v>
      </c>
      <c r="AB641" s="2255">
        <f t="shared" si="1502"/>
        <v>0</v>
      </c>
      <c r="AC641" s="2177"/>
      <c r="AD641" s="2177"/>
      <c r="AE641" s="2266"/>
      <c r="AF641" s="2277"/>
      <c r="AG641" s="2114"/>
      <c r="AH641" s="2177"/>
      <c r="AI641" s="2177"/>
      <c r="AJ641" s="2186"/>
      <c r="AK641" s="2177"/>
      <c r="AL641" s="2177"/>
      <c r="AM641" s="2186"/>
      <c r="AN641" s="2177"/>
      <c r="AO641" s="2177"/>
      <c r="AP641" s="2186"/>
      <c r="AQ641" s="2177"/>
      <c r="AR641" s="2177"/>
      <c r="AS641" s="2186"/>
      <c r="AT641" s="2177"/>
      <c r="AU641" s="2177"/>
      <c r="AV641" s="2186"/>
      <c r="AW641" s="2177"/>
      <c r="AX641" s="2177"/>
      <c r="AY641" s="2186"/>
      <c r="AZ641" s="2177"/>
      <c r="BA641" s="2177"/>
      <c r="BB641" s="2186"/>
      <c r="BC641" s="2177"/>
      <c r="BD641" s="2177"/>
      <c r="BE641" s="2186"/>
      <c r="BF641" s="2177"/>
      <c r="BG641" s="2177"/>
      <c r="BH641" s="2186"/>
      <c r="BI641" s="2177"/>
      <c r="BJ641" s="2177"/>
      <c r="BK641" s="2186"/>
      <c r="BL641" s="2177"/>
      <c r="BM641" s="2177"/>
      <c r="BN641" s="2186"/>
      <c r="BO641" s="2177"/>
      <c r="BP641" s="2177"/>
      <c r="BQ641" s="2186"/>
    </row>
    <row r="642" spans="3:69" s="2159" customFormat="1" ht="21.6" hidden="1" customHeight="1" collapsed="1">
      <c r="C642" s="2232" t="s">
        <v>2797</v>
      </c>
      <c r="D642" s="2233" t="s">
        <v>2798</v>
      </c>
      <c r="E642" s="2234" t="s">
        <v>1833</v>
      </c>
      <c r="F642" s="2235"/>
      <c r="G642" s="2236">
        <f>G650+G658+G666+G674+G682</f>
        <v>0</v>
      </c>
      <c r="H642" s="2236">
        <f>H650+H658+H666+H674+H682</f>
        <v>0</v>
      </c>
      <c r="I642" s="2237">
        <f>H642-G642</f>
        <v>0</v>
      </c>
      <c r="J642" s="2235"/>
      <c r="K642" s="2240">
        <f t="shared" si="1521"/>
        <v>0</v>
      </c>
      <c r="L642" s="2240">
        <f t="shared" si="1521"/>
        <v>0</v>
      </c>
      <c r="M642" s="2245">
        <f>L642-K642</f>
        <v>0</v>
      </c>
      <c r="N642" s="2236">
        <f>N650+N658+N666+N674+N682</f>
        <v>0</v>
      </c>
      <c r="O642" s="2236">
        <f>O650+O658+O666+O674+O682</f>
        <v>0</v>
      </c>
      <c r="P642" s="2237">
        <f>O642-N642</f>
        <v>0</v>
      </c>
      <c r="Q642" s="2236">
        <f>Q650+Q658+Q666+Q674+Q682</f>
        <v>0</v>
      </c>
      <c r="R642" s="2236">
        <f>R650+R658+R666+R674+R682</f>
        <v>0</v>
      </c>
      <c r="S642" s="2238">
        <f>R642-Q642</f>
        <v>0</v>
      </c>
      <c r="T642" s="2239">
        <f>N642+Q642</f>
        <v>0</v>
      </c>
      <c r="U642" s="2240">
        <f>O642+R642</f>
        <v>0</v>
      </c>
      <c r="V642" s="2241">
        <f>U642-T642</f>
        <v>0</v>
      </c>
      <c r="W642" s="2242">
        <f>W650+W658+W666+W674+W682</f>
        <v>0</v>
      </c>
      <c r="X642" s="2236">
        <f>X650+X658+X666+X674+X682</f>
        <v>0</v>
      </c>
      <c r="Y642" s="2243">
        <f>X642-W642</f>
        <v>0</v>
      </c>
      <c r="Z642" s="2244">
        <f>T642+W642</f>
        <v>0</v>
      </c>
      <c r="AA642" s="2240">
        <f>U642+X642</f>
        <v>0</v>
      </c>
      <c r="AB642" s="2245">
        <f>AA642-Z642</f>
        <v>0</v>
      </c>
      <c r="AC642" s="2236">
        <f>AC650+AC658+AC666+AC674+AC682</f>
        <v>0</v>
      </c>
      <c r="AD642" s="2236">
        <f>AD650+AD658+AD666+AD674+AD682</f>
        <v>0</v>
      </c>
      <c r="AE642" s="2238">
        <f>AD642-AC642</f>
        <v>0</v>
      </c>
      <c r="AF642" s="2246"/>
      <c r="AG642" s="2247"/>
      <c r="AH642" s="2248">
        <f>AH650+AH658+AH666+AH674+AH682</f>
        <v>0</v>
      </c>
      <c r="AI642" s="2248">
        <f>AI650+AI658+AI666+AI674+AI682</f>
        <v>0</v>
      </c>
      <c r="AJ642" s="2249">
        <f>AI642-AH642</f>
        <v>0</v>
      </c>
      <c r="AK642" s="2248">
        <f>AK650+AK658+AK666+AK674+AK682</f>
        <v>0</v>
      </c>
      <c r="AL642" s="2248">
        <f>AL650+AL658+AL666+AL674+AL682</f>
        <v>0</v>
      </c>
      <c r="AM642" s="2249">
        <f>AL642-AK642</f>
        <v>0</v>
      </c>
      <c r="AN642" s="2248">
        <f>AN650+AN658+AN666+AN674+AN682</f>
        <v>0</v>
      </c>
      <c r="AO642" s="2248">
        <f>AO650+AO658+AO666+AO674+AO682</f>
        <v>0</v>
      </c>
      <c r="AP642" s="2249">
        <f>AO642-AN642</f>
        <v>0</v>
      </c>
      <c r="AQ642" s="2248">
        <f>AQ650+AQ658+AQ666+AQ674+AQ682</f>
        <v>0</v>
      </c>
      <c r="AR642" s="2248">
        <f>AR650+AR658+AR666+AR674+AR682</f>
        <v>0</v>
      </c>
      <c r="AS642" s="2249">
        <f>AR642-AQ642</f>
        <v>0</v>
      </c>
      <c r="AT642" s="2248">
        <f>AT650+AT658+AT666+AT674+AT682</f>
        <v>0</v>
      </c>
      <c r="AU642" s="2248">
        <f>AU650+AU658+AU666+AU674+AU682</f>
        <v>0</v>
      </c>
      <c r="AV642" s="2249">
        <f>AU642-AT642</f>
        <v>0</v>
      </c>
      <c r="AW642" s="2248">
        <f>AW650+AW658+AW666+AW674+AW682</f>
        <v>0</v>
      </c>
      <c r="AX642" s="2248">
        <f>AX650+AX658+AX666+AX674+AX682</f>
        <v>0</v>
      </c>
      <c r="AY642" s="2249">
        <f>AX642-AW642</f>
        <v>0</v>
      </c>
      <c r="AZ642" s="2248">
        <f>AZ650+AZ658+AZ666+AZ674+AZ682</f>
        <v>0</v>
      </c>
      <c r="BA642" s="2248">
        <f>BA650+BA658+BA666+BA674+BA682</f>
        <v>0</v>
      </c>
      <c r="BB642" s="2249">
        <f>BA642-AZ642</f>
        <v>0</v>
      </c>
      <c r="BC642" s="2248">
        <f>BC650+BC658+BC666+BC674+BC682</f>
        <v>0</v>
      </c>
      <c r="BD642" s="2248">
        <f>BD650+BD658+BD666+BD674+BD682</f>
        <v>0</v>
      </c>
      <c r="BE642" s="2249">
        <f>BD642-BC642</f>
        <v>0</v>
      </c>
      <c r="BF642" s="2248">
        <f>BF650+BF658+BF666+BF674+BF682</f>
        <v>0</v>
      </c>
      <c r="BG642" s="2248">
        <f>BG650+BG658+BG666+BG674+BG682</f>
        <v>0</v>
      </c>
      <c r="BH642" s="2249">
        <f>BG642-BF642</f>
        <v>0</v>
      </c>
      <c r="BI642" s="2248">
        <f>BI650+BI658+BI666+BI674+BI682</f>
        <v>0</v>
      </c>
      <c r="BJ642" s="2248">
        <f>BJ650+BJ658+BJ666+BJ674+BJ682</f>
        <v>0</v>
      </c>
      <c r="BK642" s="2249">
        <f>BJ642-BI642</f>
        <v>0</v>
      </c>
      <c r="BL642" s="2248">
        <f>BL650+BL658+BL666+BL674+BL682</f>
        <v>0</v>
      </c>
      <c r="BM642" s="2248">
        <f>BM650+BM658+BM666+BM674+BM682</f>
        <v>0</v>
      </c>
      <c r="BN642" s="2249">
        <f>BM642-BL642</f>
        <v>0</v>
      </c>
      <c r="BO642" s="2248">
        <f>BO650+BO658+BO666+BO674+BO682</f>
        <v>0</v>
      </c>
      <c r="BP642" s="2248">
        <f>BP650+BP658+BP666+BP674+BP682</f>
        <v>0</v>
      </c>
      <c r="BQ642" s="2249">
        <f>BP642-BO642</f>
        <v>0</v>
      </c>
    </row>
    <row r="643" spans="3:69" s="2087" customFormat="1" ht="21.6" hidden="1" customHeight="1">
      <c r="C643" s="2173" t="s">
        <v>2799</v>
      </c>
      <c r="D643" s="2209" t="s">
        <v>2211</v>
      </c>
      <c r="E643" s="2250" t="s">
        <v>1833</v>
      </c>
      <c r="F643" s="2176"/>
      <c r="G643" s="2179">
        <f>G651+G659+G667+G675+G683</f>
        <v>0</v>
      </c>
      <c r="H643" s="2179">
        <f>H651+H659+H667+H675+H683</f>
        <v>0</v>
      </c>
      <c r="I643" s="2178">
        <f t="shared" ref="I643:I705" si="1522">H643-G643</f>
        <v>0</v>
      </c>
      <c r="J643" s="2176"/>
      <c r="K643" s="2252">
        <f t="shared" si="1521"/>
        <v>0</v>
      </c>
      <c r="L643" s="2252">
        <f t="shared" si="1521"/>
        <v>0</v>
      </c>
      <c r="M643" s="2255">
        <f t="shared" ref="M643:M705" si="1523">L643-K643</f>
        <v>0</v>
      </c>
      <c r="N643" s="2179">
        <f>N651+N659+N667+N675+N683</f>
        <v>0</v>
      </c>
      <c r="O643" s="2179">
        <f>O651+O659+O667+O675+O683</f>
        <v>0</v>
      </c>
      <c r="P643" s="2178">
        <f t="shared" ref="P643:P705" si="1524">O643-N643</f>
        <v>0</v>
      </c>
      <c r="Q643" s="2184">
        <f>Q651+Q659+Q667+Q675+Q683</f>
        <v>0</v>
      </c>
      <c r="R643" s="2184">
        <f>R651+R659+R667+R675+R683</f>
        <v>0</v>
      </c>
      <c r="S643" s="2180">
        <f t="shared" ref="S643:S705" si="1525">R643-Q643</f>
        <v>0</v>
      </c>
      <c r="T643" s="2251">
        <f t="shared" ref="T643:U658" si="1526">N643+Q643</f>
        <v>0</v>
      </c>
      <c r="U643" s="2252">
        <f t="shared" si="1526"/>
        <v>0</v>
      </c>
      <c r="V643" s="2253">
        <f t="shared" ref="V643:V705" si="1527">U643-T643</f>
        <v>0</v>
      </c>
      <c r="W643" s="2187">
        <f>W651+W659+W667+W675+W683</f>
        <v>0</v>
      </c>
      <c r="X643" s="2179">
        <f>X651+X659+X667+X675+X683</f>
        <v>0</v>
      </c>
      <c r="Y643" s="2183">
        <f t="shared" ref="Y643:Y705" si="1528">X643-W643</f>
        <v>0</v>
      </c>
      <c r="Z643" s="2254">
        <f t="shared" ref="Z643:AA658" si="1529">T643+W643</f>
        <v>0</v>
      </c>
      <c r="AA643" s="2252">
        <f t="shared" si="1529"/>
        <v>0</v>
      </c>
      <c r="AB643" s="2255">
        <f t="shared" ref="AB643:AB705" si="1530">AA643-Z643</f>
        <v>0</v>
      </c>
      <c r="AC643" s="2184">
        <f>AC651+AC659+AC667+AC675+AC683</f>
        <v>0</v>
      </c>
      <c r="AD643" s="2184">
        <f>AD651+AD659+AD667+AD675+AD683</f>
        <v>0</v>
      </c>
      <c r="AE643" s="2180">
        <f t="shared" ref="AE643:AE705" si="1531">AD643-AC643</f>
        <v>0</v>
      </c>
      <c r="AF643" s="2281"/>
      <c r="AG643" s="2114"/>
      <c r="AH643" s="2188">
        <f>AH651+AH659+AH667+AH675+AH683</f>
        <v>0</v>
      </c>
      <c r="AI643" s="2188">
        <f>AI651+AI659+AI667+AI675+AI683</f>
        <v>0</v>
      </c>
      <c r="AJ643" s="2186">
        <f t="shared" ref="AJ643:AJ705" si="1532">AI643-AH643</f>
        <v>0</v>
      </c>
      <c r="AK643" s="2188">
        <f>AK651+AK659+AK667+AK675+AK683</f>
        <v>0</v>
      </c>
      <c r="AL643" s="2188">
        <f>AL651+AL659+AL667+AL675+AL683</f>
        <v>0</v>
      </c>
      <c r="AM643" s="2186">
        <f t="shared" ref="AM643:AM705" si="1533">AL643-AK643</f>
        <v>0</v>
      </c>
      <c r="AN643" s="2188">
        <f>AN651+AN659+AN667+AN675+AN683</f>
        <v>0</v>
      </c>
      <c r="AO643" s="2188">
        <f>AO651+AO659+AO667+AO675+AO683</f>
        <v>0</v>
      </c>
      <c r="AP643" s="2186">
        <f t="shared" ref="AP643:AP705" si="1534">AO643-AN643</f>
        <v>0</v>
      </c>
      <c r="AQ643" s="2188">
        <f>AQ651+AQ659+AQ667+AQ675+AQ683</f>
        <v>0</v>
      </c>
      <c r="AR643" s="2188">
        <f>AR651+AR659+AR667+AR675+AR683</f>
        <v>0</v>
      </c>
      <c r="AS643" s="2186">
        <f t="shared" ref="AS643:AS705" si="1535">AR643-AQ643</f>
        <v>0</v>
      </c>
      <c r="AT643" s="2188">
        <f>AT651+AT659+AT667+AT675+AT683</f>
        <v>0</v>
      </c>
      <c r="AU643" s="2188">
        <f>AU651+AU659+AU667+AU675+AU683</f>
        <v>0</v>
      </c>
      <c r="AV643" s="2186">
        <f t="shared" ref="AV643:AV705" si="1536">AU643-AT643</f>
        <v>0</v>
      </c>
      <c r="AW643" s="2188">
        <f>AW651+AW659+AW667+AW675+AW683</f>
        <v>0</v>
      </c>
      <c r="AX643" s="2188">
        <f>AX651+AX659+AX667+AX675+AX683</f>
        <v>0</v>
      </c>
      <c r="AY643" s="2186">
        <f t="shared" ref="AY643:AY705" si="1537">AX643-AW643</f>
        <v>0</v>
      </c>
      <c r="AZ643" s="2188">
        <f>AZ651+AZ659+AZ667+AZ675+AZ683</f>
        <v>0</v>
      </c>
      <c r="BA643" s="2188">
        <f>BA651+BA659+BA667+BA675+BA683</f>
        <v>0</v>
      </c>
      <c r="BB643" s="2186">
        <f t="shared" ref="BB643:BB705" si="1538">BA643-AZ643</f>
        <v>0</v>
      </c>
      <c r="BC643" s="2188">
        <f>BC651+BC659+BC667+BC675+BC683</f>
        <v>0</v>
      </c>
      <c r="BD643" s="2188">
        <f>BD651+BD659+BD667+BD675+BD683</f>
        <v>0</v>
      </c>
      <c r="BE643" s="2186">
        <f t="shared" ref="BE643:BE705" si="1539">BD643-BC643</f>
        <v>0</v>
      </c>
      <c r="BF643" s="2188">
        <f>BF651+BF659+BF667+BF675+BF683</f>
        <v>0</v>
      </c>
      <c r="BG643" s="2188">
        <f>BG651+BG659+BG667+BG675+BG683</f>
        <v>0</v>
      </c>
      <c r="BH643" s="2186">
        <f t="shared" ref="BH643:BH705" si="1540">BG643-BF643</f>
        <v>0</v>
      </c>
      <c r="BI643" s="2188">
        <f>BI651+BI659+BI667+BI675+BI683</f>
        <v>0</v>
      </c>
      <c r="BJ643" s="2188">
        <f>BJ651+BJ659+BJ667+BJ675+BJ683</f>
        <v>0</v>
      </c>
      <c r="BK643" s="2186">
        <f t="shared" ref="BK643:BK705" si="1541">BJ643-BI643</f>
        <v>0</v>
      </c>
      <c r="BL643" s="2188">
        <f>BL651+BL659+BL667+BL675+BL683</f>
        <v>0</v>
      </c>
      <c r="BM643" s="2188">
        <f>BM651+BM659+BM667+BM675+BM683</f>
        <v>0</v>
      </c>
      <c r="BN643" s="2186">
        <f t="shared" ref="BN643:BN705" si="1542">BM643-BL643</f>
        <v>0</v>
      </c>
      <c r="BO643" s="2188">
        <f>BO651+BO659+BO667+BO675+BO683</f>
        <v>0</v>
      </c>
      <c r="BP643" s="2188">
        <f>BP651+BP659+BP667+BP675+BP683</f>
        <v>0</v>
      </c>
      <c r="BQ643" s="2186">
        <f t="shared" ref="BQ643:BQ705" si="1543">BP643-BO643</f>
        <v>0</v>
      </c>
    </row>
    <row r="644" spans="3:69" s="2087" customFormat="1" ht="21.6" hidden="1" customHeight="1">
      <c r="C644" s="2173" t="s">
        <v>2800</v>
      </c>
      <c r="D644" s="2263" t="s">
        <v>2801</v>
      </c>
      <c r="E644" s="2250" t="s">
        <v>1833</v>
      </c>
      <c r="F644" s="2176"/>
      <c r="G644" s="2179">
        <f>G652+G660+G668+G676+G653+G661+G669+G677+G684+G685</f>
        <v>0</v>
      </c>
      <c r="H644" s="2179">
        <f>H652+H660+H668+H676+H653+H661+H669+H677+H684+H685</f>
        <v>0</v>
      </c>
      <c r="I644" s="2178">
        <f t="shared" si="1522"/>
        <v>0</v>
      </c>
      <c r="J644" s="2176"/>
      <c r="K644" s="2252">
        <f t="shared" si="1521"/>
        <v>0</v>
      </c>
      <c r="L644" s="2252">
        <f t="shared" si="1521"/>
        <v>0</v>
      </c>
      <c r="M644" s="2255">
        <f t="shared" si="1523"/>
        <v>0</v>
      </c>
      <c r="N644" s="2179">
        <f>N652+N660+N668+N676+N653+N661+N669+N677+N684+N685</f>
        <v>0</v>
      </c>
      <c r="O644" s="2179">
        <f>O652+O660+O668+O676+O653+O661+O669+O677+O684+O685</f>
        <v>0</v>
      </c>
      <c r="P644" s="2178">
        <f t="shared" si="1524"/>
        <v>0</v>
      </c>
      <c r="Q644" s="2179">
        <f>Q652+Q660+Q668+Q676+Q653+Q661+Q669+Q677+Q684+Q685</f>
        <v>0</v>
      </c>
      <c r="R644" s="2179">
        <f>R652+R660+R668+R676+R653+R661+R669+R677+R684+R685</f>
        <v>0</v>
      </c>
      <c r="S644" s="2180">
        <f t="shared" si="1525"/>
        <v>0</v>
      </c>
      <c r="T644" s="2181">
        <f t="shared" si="1526"/>
        <v>0</v>
      </c>
      <c r="U644" s="2179">
        <f t="shared" si="1526"/>
        <v>0</v>
      </c>
      <c r="V644" s="2180">
        <f t="shared" si="1527"/>
        <v>0</v>
      </c>
      <c r="W644" s="2187">
        <f>W652+W660+W668+W676+W653+W661+W669+W677+W684+W685</f>
        <v>0</v>
      </c>
      <c r="X644" s="2179">
        <f>X652+X660+X668+X676+X653+X661+X669+X677+X684+X685</f>
        <v>0</v>
      </c>
      <c r="Y644" s="2183">
        <f t="shared" si="1528"/>
        <v>0</v>
      </c>
      <c r="Z644" s="2184">
        <f t="shared" si="1529"/>
        <v>0</v>
      </c>
      <c r="AA644" s="2179">
        <f t="shared" si="1529"/>
        <v>0</v>
      </c>
      <c r="AB644" s="2178">
        <f t="shared" si="1530"/>
        <v>0</v>
      </c>
      <c r="AC644" s="2179">
        <f>AC652+AC660+AC668+AC676+AC653+AC661+AC669+AC677+AC684+AC685</f>
        <v>0</v>
      </c>
      <c r="AD644" s="2179">
        <f>AD652+AD660+AD668+AD676+AD653+AD661+AD669+AD677+AD684+AD685</f>
        <v>0</v>
      </c>
      <c r="AE644" s="2180">
        <f t="shared" si="1531"/>
        <v>0</v>
      </c>
      <c r="AF644" s="2281"/>
      <c r="AG644" s="2114"/>
      <c r="AH644" s="2188">
        <f>AH652+AH660+AH668+AH676+AH653+AH661+AH669+AH677+AH684+AH685</f>
        <v>0</v>
      </c>
      <c r="AI644" s="2188">
        <f>AI652+AI660+AI668+AI676+AI653+AI661+AI669+AI677+AI684+AI685</f>
        <v>0</v>
      </c>
      <c r="AJ644" s="2186">
        <f t="shared" si="1532"/>
        <v>0</v>
      </c>
      <c r="AK644" s="2188">
        <f>AK652+AK660+AK668+AK676+AK653+AK661+AK669+AK677+AK684+AK685</f>
        <v>0</v>
      </c>
      <c r="AL644" s="2188">
        <f>AL652+AL660+AL668+AL676+AL653+AL661+AL669+AL677+AL684+AL685</f>
        <v>0</v>
      </c>
      <c r="AM644" s="2186">
        <f t="shared" si="1533"/>
        <v>0</v>
      </c>
      <c r="AN644" s="2188">
        <f>AN652+AN660+AN668+AN676+AN653+AN661+AN669+AN677+AN684+AN685</f>
        <v>0</v>
      </c>
      <c r="AO644" s="2188">
        <f>AO652+AO660+AO668+AO676+AO653+AO661+AO669+AO677+AO684+AO685</f>
        <v>0</v>
      </c>
      <c r="AP644" s="2186">
        <f t="shared" si="1534"/>
        <v>0</v>
      </c>
      <c r="AQ644" s="2188">
        <f>AQ652+AQ660+AQ668+AQ676+AQ653+AQ661+AQ669+AQ677+AQ684+AQ685</f>
        <v>0</v>
      </c>
      <c r="AR644" s="2188">
        <f>AR652+AR660+AR668+AR676+AR653+AR661+AR669+AR677+AR684+AR685</f>
        <v>0</v>
      </c>
      <c r="AS644" s="2186">
        <f t="shared" si="1535"/>
        <v>0</v>
      </c>
      <c r="AT644" s="2188">
        <f>AT652+AT660+AT668+AT676+AT653+AT661+AT669+AT677+AT684+AT685</f>
        <v>0</v>
      </c>
      <c r="AU644" s="2188">
        <f>AU652+AU660+AU668+AU676+AU653+AU661+AU669+AU677+AU684+AU685</f>
        <v>0</v>
      </c>
      <c r="AV644" s="2186">
        <f t="shared" si="1536"/>
        <v>0</v>
      </c>
      <c r="AW644" s="2188">
        <f>AW652+AW660+AW668+AW676+AW653+AW661+AW669+AW677+AW684+AW685</f>
        <v>0</v>
      </c>
      <c r="AX644" s="2188">
        <f>AX652+AX660+AX668+AX676+AX653+AX661+AX669+AX677+AX684+AX685</f>
        <v>0</v>
      </c>
      <c r="AY644" s="2186">
        <f t="shared" si="1537"/>
        <v>0</v>
      </c>
      <c r="AZ644" s="2188">
        <f>AZ652+AZ660+AZ668+AZ676+AZ653+AZ661+AZ669+AZ677+AZ684+AZ685</f>
        <v>0</v>
      </c>
      <c r="BA644" s="2188">
        <f>BA652+BA660+BA668+BA676+BA653+BA661+BA669+BA677+BA684+BA685</f>
        <v>0</v>
      </c>
      <c r="BB644" s="2186">
        <f t="shared" si="1538"/>
        <v>0</v>
      </c>
      <c r="BC644" s="2188">
        <f>BC652+BC660+BC668+BC676+BC653+BC661+BC669+BC677+BC684+BC685</f>
        <v>0</v>
      </c>
      <c r="BD644" s="2188">
        <f>BD652+BD660+BD668+BD676+BD653+BD661+BD669+BD677+BD684+BD685</f>
        <v>0</v>
      </c>
      <c r="BE644" s="2186">
        <f t="shared" si="1539"/>
        <v>0</v>
      </c>
      <c r="BF644" s="2188">
        <f>BF652+BF660+BF668+BF676+BF653+BF661+BF669+BF677+BF684+BF685</f>
        <v>0</v>
      </c>
      <c r="BG644" s="2188">
        <f>BG652+BG660+BG668+BG676+BG653+BG661+BG669+BG677+BG684+BG685</f>
        <v>0</v>
      </c>
      <c r="BH644" s="2186">
        <f t="shared" si="1540"/>
        <v>0</v>
      </c>
      <c r="BI644" s="2188">
        <f>BI652+BI660+BI668+BI676+BI653+BI661+BI669+BI677+BI684+BI685</f>
        <v>0</v>
      </c>
      <c r="BJ644" s="2188">
        <f>BJ652+BJ660+BJ668+BJ676+BJ653+BJ661+BJ669+BJ677+BJ684+BJ685</f>
        <v>0</v>
      </c>
      <c r="BK644" s="2186">
        <f t="shared" si="1541"/>
        <v>0</v>
      </c>
      <c r="BL644" s="2188">
        <f>BL652+BL660+BL668+BL676+BL653+BL661+BL669+BL677+BL684+BL685</f>
        <v>0</v>
      </c>
      <c r="BM644" s="2188">
        <f>BM652+BM660+BM668+BM676+BM653+BM661+BM669+BM677+BM684+BM685</f>
        <v>0</v>
      </c>
      <c r="BN644" s="2186">
        <f t="shared" si="1542"/>
        <v>0</v>
      </c>
      <c r="BO644" s="2188">
        <f>BO652+BO660+BO668+BO676+BO653+BO661+BO669+BO677+BO684+BO685</f>
        <v>0</v>
      </c>
      <c r="BP644" s="2188">
        <f>BP652+BP660+BP668+BP676+BP653+BP661+BP669+BP677+BP684+BP685</f>
        <v>0</v>
      </c>
      <c r="BQ644" s="2186">
        <f t="shared" si="1543"/>
        <v>0</v>
      </c>
    </row>
    <row r="645" spans="3:69" s="2087" customFormat="1" ht="21.6" hidden="1" customHeight="1">
      <c r="C645" s="2285" t="s">
        <v>2802</v>
      </c>
      <c r="D645" s="2287" t="s">
        <v>2434</v>
      </c>
      <c r="E645" s="2284" t="s">
        <v>1833</v>
      </c>
      <c r="F645" s="2176"/>
      <c r="G645" s="2179">
        <f>G653+G661+G669+G677+G685</f>
        <v>0</v>
      </c>
      <c r="H645" s="2179">
        <f>H653+H661+H669+H677+H685</f>
        <v>0</v>
      </c>
      <c r="I645" s="2178">
        <f t="shared" si="1522"/>
        <v>0</v>
      </c>
      <c r="J645" s="2176"/>
      <c r="K645" s="2252">
        <f t="shared" si="1521"/>
        <v>0</v>
      </c>
      <c r="L645" s="2252">
        <f t="shared" si="1521"/>
        <v>0</v>
      </c>
      <c r="M645" s="2255">
        <f t="shared" si="1523"/>
        <v>0</v>
      </c>
      <c r="N645" s="2179">
        <f>N653+N661+N669+N677+N685</f>
        <v>0</v>
      </c>
      <c r="O645" s="2179">
        <f>O653+O661+O669+O677+O685</f>
        <v>0</v>
      </c>
      <c r="P645" s="2178">
        <f t="shared" si="1524"/>
        <v>0</v>
      </c>
      <c r="Q645" s="2179">
        <f>Q653+Q661+Q669+Q677+Q685</f>
        <v>0</v>
      </c>
      <c r="R645" s="2179">
        <f>R653+R661+R669+R677+R685</f>
        <v>0</v>
      </c>
      <c r="S645" s="2180">
        <f t="shared" si="1525"/>
        <v>0</v>
      </c>
      <c r="T645" s="2181">
        <f t="shared" si="1526"/>
        <v>0</v>
      </c>
      <c r="U645" s="2179">
        <f t="shared" si="1526"/>
        <v>0</v>
      </c>
      <c r="V645" s="2180">
        <f t="shared" si="1527"/>
        <v>0</v>
      </c>
      <c r="W645" s="2187">
        <f>W653+W661+W669+W677+W685</f>
        <v>0</v>
      </c>
      <c r="X645" s="2179">
        <f>X653+X661+X669+X677+X685</f>
        <v>0</v>
      </c>
      <c r="Y645" s="2183">
        <f t="shared" si="1528"/>
        <v>0</v>
      </c>
      <c r="Z645" s="2184">
        <f t="shared" si="1529"/>
        <v>0</v>
      </c>
      <c r="AA645" s="2179">
        <f t="shared" si="1529"/>
        <v>0</v>
      </c>
      <c r="AB645" s="2178">
        <f t="shared" si="1530"/>
        <v>0</v>
      </c>
      <c r="AC645" s="2179">
        <f>AC653+AC661+AC669+AC677+AC685</f>
        <v>0</v>
      </c>
      <c r="AD645" s="2179">
        <f>AD653+AD661+AD669+AD677+AD685</f>
        <v>0</v>
      </c>
      <c r="AE645" s="2180">
        <f t="shared" si="1531"/>
        <v>0</v>
      </c>
      <c r="AF645" s="2281"/>
      <c r="AG645" s="2114"/>
      <c r="AH645" s="2188">
        <f>AH653+AH661+AH669+AH677+AH685</f>
        <v>0</v>
      </c>
      <c r="AI645" s="2188">
        <f>AI653+AI661+AI669+AI677+AI685</f>
        <v>0</v>
      </c>
      <c r="AJ645" s="2186">
        <f t="shared" si="1532"/>
        <v>0</v>
      </c>
      <c r="AK645" s="2188">
        <f>AK653+AK661+AK669+AK677+AK685</f>
        <v>0</v>
      </c>
      <c r="AL645" s="2188">
        <f>AL653+AL661+AL669+AL677+AL685</f>
        <v>0</v>
      </c>
      <c r="AM645" s="2186">
        <f t="shared" si="1533"/>
        <v>0</v>
      </c>
      <c r="AN645" s="2188">
        <f>AN653+AN661+AN669+AN677+AN685</f>
        <v>0</v>
      </c>
      <c r="AO645" s="2188">
        <f>AO653+AO661+AO669+AO677+AO685</f>
        <v>0</v>
      </c>
      <c r="AP645" s="2186">
        <f t="shared" si="1534"/>
        <v>0</v>
      </c>
      <c r="AQ645" s="2188">
        <f>AQ653+AQ661+AQ669+AQ677+AQ685</f>
        <v>0</v>
      </c>
      <c r="AR645" s="2188">
        <f>AR653+AR661+AR669+AR677+AR685</f>
        <v>0</v>
      </c>
      <c r="AS645" s="2186">
        <f t="shared" si="1535"/>
        <v>0</v>
      </c>
      <c r="AT645" s="2188">
        <f>AT653+AT661+AT669+AT677+AT685</f>
        <v>0</v>
      </c>
      <c r="AU645" s="2188">
        <f>AU653+AU661+AU669+AU677+AU685</f>
        <v>0</v>
      </c>
      <c r="AV645" s="2186">
        <f t="shared" si="1536"/>
        <v>0</v>
      </c>
      <c r="AW645" s="2188">
        <f>AW653+AW661+AW669+AW677+AW685</f>
        <v>0</v>
      </c>
      <c r="AX645" s="2188">
        <f>AX653+AX661+AX669+AX677+AX685</f>
        <v>0</v>
      </c>
      <c r="AY645" s="2186">
        <f t="shared" si="1537"/>
        <v>0</v>
      </c>
      <c r="AZ645" s="2188">
        <f>AZ653+AZ661+AZ669+AZ677+AZ685</f>
        <v>0</v>
      </c>
      <c r="BA645" s="2188">
        <f>BA653+BA661+BA669+BA677+BA685</f>
        <v>0</v>
      </c>
      <c r="BB645" s="2186">
        <f t="shared" si="1538"/>
        <v>0</v>
      </c>
      <c r="BC645" s="2188">
        <f>BC653+BC661+BC669+BC677+BC685</f>
        <v>0</v>
      </c>
      <c r="BD645" s="2188">
        <f>BD653+BD661+BD669+BD677+BD685</f>
        <v>0</v>
      </c>
      <c r="BE645" s="2186">
        <f t="shared" si="1539"/>
        <v>0</v>
      </c>
      <c r="BF645" s="2188">
        <f>BF653+BF661+BF669+BF677+BF685</f>
        <v>0</v>
      </c>
      <c r="BG645" s="2188">
        <f>BG653+BG661+BG669+BG677+BG685</f>
        <v>0</v>
      </c>
      <c r="BH645" s="2186">
        <f t="shared" si="1540"/>
        <v>0</v>
      </c>
      <c r="BI645" s="2188">
        <f>BI653+BI661+BI669+BI677+BI685</f>
        <v>0</v>
      </c>
      <c r="BJ645" s="2188">
        <f>BJ653+BJ661+BJ669+BJ677+BJ685</f>
        <v>0</v>
      </c>
      <c r="BK645" s="2186">
        <f t="shared" si="1541"/>
        <v>0</v>
      </c>
      <c r="BL645" s="2188">
        <f>BL653+BL661+BL669+BL677+BL685</f>
        <v>0</v>
      </c>
      <c r="BM645" s="2188">
        <f>BM653+BM661+BM669+BM677+BM685</f>
        <v>0</v>
      </c>
      <c r="BN645" s="2186">
        <f t="shared" si="1542"/>
        <v>0</v>
      </c>
      <c r="BO645" s="2188">
        <f>BO653+BO661+BO669+BO677+BO685</f>
        <v>0</v>
      </c>
      <c r="BP645" s="2188">
        <f>BP653+BP661+BP669+BP677+BP685</f>
        <v>0</v>
      </c>
      <c r="BQ645" s="2186">
        <f t="shared" si="1543"/>
        <v>0</v>
      </c>
    </row>
    <row r="646" spans="3:69" s="2087" customFormat="1" ht="21.6" hidden="1" customHeight="1">
      <c r="C646" s="2285" t="s">
        <v>2803</v>
      </c>
      <c r="D646" s="2292" t="s">
        <v>2804</v>
      </c>
      <c r="E646" s="2290" t="s">
        <v>1833</v>
      </c>
      <c r="F646" s="2176"/>
      <c r="G646" s="2179">
        <f>G654+G662+G670+G678+G655+G663+G671+G679+G686+G687</f>
        <v>0</v>
      </c>
      <c r="H646" s="2179">
        <f>H654+H662+H670+H678+H655+H663+H671+H679+H686+H687</f>
        <v>0</v>
      </c>
      <c r="I646" s="2178">
        <f t="shared" si="1522"/>
        <v>0</v>
      </c>
      <c r="J646" s="2176"/>
      <c r="K646" s="2252">
        <f t="shared" si="1521"/>
        <v>0</v>
      </c>
      <c r="L646" s="2252">
        <f t="shared" si="1521"/>
        <v>0</v>
      </c>
      <c r="M646" s="2255">
        <f t="shared" si="1523"/>
        <v>0</v>
      </c>
      <c r="N646" s="2179">
        <f>N654+N662+N670+N678+N655+N663+N671+N679+N686+N687</f>
        <v>0</v>
      </c>
      <c r="O646" s="2179">
        <f>O654+O662+O670+O678+O655+O663+O671+O679+O686+O687</f>
        <v>0</v>
      </c>
      <c r="P646" s="2178">
        <f t="shared" si="1524"/>
        <v>0</v>
      </c>
      <c r="Q646" s="2179">
        <f>Q654+Q662+Q670+Q678+Q655+Q663+Q671+Q679+Q686+Q687</f>
        <v>0</v>
      </c>
      <c r="R646" s="2179">
        <f>R654+R662+R670+R678+R655+R663+R671+R679+R686+R687</f>
        <v>0</v>
      </c>
      <c r="S646" s="2180">
        <f t="shared" si="1525"/>
        <v>0</v>
      </c>
      <c r="T646" s="2181">
        <f t="shared" si="1526"/>
        <v>0</v>
      </c>
      <c r="U646" s="2179">
        <f t="shared" si="1526"/>
        <v>0</v>
      </c>
      <c r="V646" s="2180">
        <f t="shared" si="1527"/>
        <v>0</v>
      </c>
      <c r="W646" s="2187">
        <f>W654+W662+W670+W678+W655+W663+W671+W679+W686+W687</f>
        <v>0</v>
      </c>
      <c r="X646" s="2179">
        <f>X654+X662+X670+X678+X655+X663+X671+X679+X686+X687</f>
        <v>0</v>
      </c>
      <c r="Y646" s="2183">
        <f t="shared" si="1528"/>
        <v>0</v>
      </c>
      <c r="Z646" s="2184">
        <f t="shared" si="1529"/>
        <v>0</v>
      </c>
      <c r="AA646" s="2179">
        <f t="shared" si="1529"/>
        <v>0</v>
      </c>
      <c r="AB646" s="2178">
        <f t="shared" si="1530"/>
        <v>0</v>
      </c>
      <c r="AC646" s="2179">
        <f>AC654+AC662+AC670+AC678+AC655+AC663+AC671+AC679+AC686+AC687</f>
        <v>0</v>
      </c>
      <c r="AD646" s="2179">
        <f>AD654+AD662+AD670+AD678+AD655+AD663+AD671+AD679+AD686+AD687</f>
        <v>0</v>
      </c>
      <c r="AE646" s="2180">
        <f t="shared" si="1531"/>
        <v>0</v>
      </c>
      <c r="AF646" s="2281"/>
      <c r="AG646" s="2114"/>
      <c r="AH646" s="2188">
        <f>AH654+AH662+AH670+AH678+AH655+AH663+AH671+AH679+AH686+AH687</f>
        <v>0</v>
      </c>
      <c r="AI646" s="2188">
        <f>AI654+AI662+AI670+AI678+AI655+AI663+AI671+AI679+AI686+AI687</f>
        <v>0</v>
      </c>
      <c r="AJ646" s="2186">
        <f t="shared" si="1532"/>
        <v>0</v>
      </c>
      <c r="AK646" s="2188">
        <f>AK654+AK662+AK670+AK678+AK655+AK663+AK671+AK679+AK686+AK687</f>
        <v>0</v>
      </c>
      <c r="AL646" s="2188">
        <f>AL654+AL662+AL670+AL678+AL655+AL663+AL671+AL679+AL686+AL687</f>
        <v>0</v>
      </c>
      <c r="AM646" s="2186">
        <f t="shared" si="1533"/>
        <v>0</v>
      </c>
      <c r="AN646" s="2188">
        <f>AN654+AN662+AN670+AN678+AN655+AN663+AN671+AN679+AN686+AN687</f>
        <v>0</v>
      </c>
      <c r="AO646" s="2188">
        <f>AO654+AO662+AO670+AO678+AO655+AO663+AO671+AO679+AO686+AO687</f>
        <v>0</v>
      </c>
      <c r="AP646" s="2186">
        <f t="shared" si="1534"/>
        <v>0</v>
      </c>
      <c r="AQ646" s="2188">
        <f>AQ654+AQ662+AQ670+AQ678+AQ655+AQ663+AQ671+AQ679+AQ686+AQ687</f>
        <v>0</v>
      </c>
      <c r="AR646" s="2188">
        <f>AR654+AR662+AR670+AR678+AR655+AR663+AR671+AR679+AR686+AR687</f>
        <v>0</v>
      </c>
      <c r="AS646" s="2186">
        <f t="shared" si="1535"/>
        <v>0</v>
      </c>
      <c r="AT646" s="2188">
        <f>AT654+AT662+AT670+AT678+AT655+AT663+AT671+AT679+AT686+AT687</f>
        <v>0</v>
      </c>
      <c r="AU646" s="2188">
        <f>AU654+AU662+AU670+AU678+AU655+AU663+AU671+AU679+AU686+AU687</f>
        <v>0</v>
      </c>
      <c r="AV646" s="2186">
        <f t="shared" si="1536"/>
        <v>0</v>
      </c>
      <c r="AW646" s="2188">
        <f>AW654+AW662+AW670+AW678+AW655+AW663+AW671+AW679+AW686+AW687</f>
        <v>0</v>
      </c>
      <c r="AX646" s="2188">
        <f>AX654+AX662+AX670+AX678+AX655+AX663+AX671+AX679+AX686+AX687</f>
        <v>0</v>
      </c>
      <c r="AY646" s="2186">
        <f t="shared" si="1537"/>
        <v>0</v>
      </c>
      <c r="AZ646" s="2188">
        <f>AZ654+AZ662+AZ670+AZ678+AZ655+AZ663+AZ671+AZ679+AZ686+AZ687</f>
        <v>0</v>
      </c>
      <c r="BA646" s="2188">
        <f>BA654+BA662+BA670+BA678+BA655+BA663+BA671+BA679+BA686+BA687</f>
        <v>0</v>
      </c>
      <c r="BB646" s="2186">
        <f t="shared" si="1538"/>
        <v>0</v>
      </c>
      <c r="BC646" s="2188">
        <f>BC654+BC662+BC670+BC678+BC655+BC663+BC671+BC679+BC686+BC687</f>
        <v>0</v>
      </c>
      <c r="BD646" s="2188">
        <f>BD654+BD662+BD670+BD678+BD655+BD663+BD671+BD679+BD686+BD687</f>
        <v>0</v>
      </c>
      <c r="BE646" s="2186">
        <f t="shared" si="1539"/>
        <v>0</v>
      </c>
      <c r="BF646" s="2188">
        <f>BF654+BF662+BF670+BF678+BF655+BF663+BF671+BF679+BF686+BF687</f>
        <v>0</v>
      </c>
      <c r="BG646" s="2188">
        <f>BG654+BG662+BG670+BG678+BG655+BG663+BG671+BG679+BG686+BG687</f>
        <v>0</v>
      </c>
      <c r="BH646" s="2186">
        <f t="shared" si="1540"/>
        <v>0</v>
      </c>
      <c r="BI646" s="2188">
        <f>BI654+BI662+BI670+BI678+BI655+BI663+BI671+BI679+BI686+BI687</f>
        <v>0</v>
      </c>
      <c r="BJ646" s="2188">
        <f>BJ654+BJ662+BJ670+BJ678+BJ655+BJ663+BJ671+BJ679+BJ686+BJ687</f>
        <v>0</v>
      </c>
      <c r="BK646" s="2186">
        <f t="shared" si="1541"/>
        <v>0</v>
      </c>
      <c r="BL646" s="2188">
        <f>BL654+BL662+BL670+BL678+BL655+BL663+BL671+BL679+BL686+BL687</f>
        <v>0</v>
      </c>
      <c r="BM646" s="2188">
        <f>BM654+BM662+BM670+BM678+BM655+BM663+BM671+BM679+BM686+BM687</f>
        <v>0</v>
      </c>
      <c r="BN646" s="2186">
        <f t="shared" si="1542"/>
        <v>0</v>
      </c>
      <c r="BO646" s="2188">
        <f>BO654+BO662+BO670+BO678+BO655+BO663+BO671+BO679+BO686+BO687</f>
        <v>0</v>
      </c>
      <c r="BP646" s="2188">
        <f>BP654+BP662+BP670+BP678+BP655+BP663+BP671+BP679+BP686+BP687</f>
        <v>0</v>
      </c>
      <c r="BQ646" s="2186">
        <f t="shared" si="1543"/>
        <v>0</v>
      </c>
    </row>
    <row r="647" spans="3:69" s="2087" customFormat="1" ht="21.6" hidden="1" customHeight="1">
      <c r="C647" s="2285" t="s">
        <v>2805</v>
      </c>
      <c r="D647" s="2287" t="s">
        <v>2434</v>
      </c>
      <c r="E647" s="2284" t="s">
        <v>1833</v>
      </c>
      <c r="F647" s="2176"/>
      <c r="G647" s="2179">
        <f>G655+G663+G671+G679+G687</f>
        <v>0</v>
      </c>
      <c r="H647" s="2179">
        <f>H655+H663+H671+H679+H687</f>
        <v>0</v>
      </c>
      <c r="I647" s="2178">
        <f t="shared" si="1522"/>
        <v>0</v>
      </c>
      <c r="J647" s="2176"/>
      <c r="K647" s="2252">
        <f t="shared" si="1521"/>
        <v>0</v>
      </c>
      <c r="L647" s="2252">
        <f t="shared" si="1521"/>
        <v>0</v>
      </c>
      <c r="M647" s="2255">
        <f t="shared" si="1523"/>
        <v>0</v>
      </c>
      <c r="N647" s="2179">
        <f>N655+N663+N671+N679+N687</f>
        <v>0</v>
      </c>
      <c r="O647" s="2179">
        <f>O655+O663+O671+O679+O687</f>
        <v>0</v>
      </c>
      <c r="P647" s="2178">
        <f t="shared" si="1524"/>
        <v>0</v>
      </c>
      <c r="Q647" s="2179">
        <f>Q655+Q663+Q671+Q679+Q687</f>
        <v>0</v>
      </c>
      <c r="R647" s="2179">
        <f>R655+R663+R671+R679+R687</f>
        <v>0</v>
      </c>
      <c r="S647" s="2180">
        <f t="shared" si="1525"/>
        <v>0</v>
      </c>
      <c r="T647" s="2181">
        <f t="shared" si="1526"/>
        <v>0</v>
      </c>
      <c r="U647" s="2179">
        <f t="shared" si="1526"/>
        <v>0</v>
      </c>
      <c r="V647" s="2180">
        <f t="shared" si="1527"/>
        <v>0</v>
      </c>
      <c r="W647" s="2187">
        <f>W655+W663+W671+W679+W687</f>
        <v>0</v>
      </c>
      <c r="X647" s="2179">
        <f>X655+X663+X671+X679+X687</f>
        <v>0</v>
      </c>
      <c r="Y647" s="2183">
        <f t="shared" si="1528"/>
        <v>0</v>
      </c>
      <c r="Z647" s="2184">
        <f t="shared" si="1529"/>
        <v>0</v>
      </c>
      <c r="AA647" s="2179">
        <f t="shared" si="1529"/>
        <v>0</v>
      </c>
      <c r="AB647" s="2178">
        <f t="shared" si="1530"/>
        <v>0</v>
      </c>
      <c r="AC647" s="2179">
        <f>AC655+AC663+AC671+AC679+AC687</f>
        <v>0</v>
      </c>
      <c r="AD647" s="2179">
        <f>AD655+AD663+AD671+AD679+AD687</f>
        <v>0</v>
      </c>
      <c r="AE647" s="2180">
        <f t="shared" si="1531"/>
        <v>0</v>
      </c>
      <c r="AF647" s="2281"/>
      <c r="AG647" s="2114"/>
      <c r="AH647" s="2188">
        <f>AH655+AH663+AH671+AH679+AH687</f>
        <v>0</v>
      </c>
      <c r="AI647" s="2188">
        <f>AI655+AI663+AI671+AI679+AI687</f>
        <v>0</v>
      </c>
      <c r="AJ647" s="2186">
        <f t="shared" si="1532"/>
        <v>0</v>
      </c>
      <c r="AK647" s="2188">
        <f>AK655+AK663+AK671+AK679+AK687</f>
        <v>0</v>
      </c>
      <c r="AL647" s="2188">
        <f>AL655+AL663+AL671+AL679+AL687</f>
        <v>0</v>
      </c>
      <c r="AM647" s="2186">
        <f t="shared" si="1533"/>
        <v>0</v>
      </c>
      <c r="AN647" s="2188">
        <f>AN655+AN663+AN671+AN679+AN687</f>
        <v>0</v>
      </c>
      <c r="AO647" s="2188">
        <f>AO655+AO663+AO671+AO679+AO687</f>
        <v>0</v>
      </c>
      <c r="AP647" s="2186">
        <f t="shared" si="1534"/>
        <v>0</v>
      </c>
      <c r="AQ647" s="2188">
        <f>AQ655+AQ663+AQ671+AQ679+AQ687</f>
        <v>0</v>
      </c>
      <c r="AR647" s="2188">
        <f>AR655+AR663+AR671+AR679+AR687</f>
        <v>0</v>
      </c>
      <c r="AS647" s="2186">
        <f t="shared" si="1535"/>
        <v>0</v>
      </c>
      <c r="AT647" s="2188">
        <f>AT655+AT663+AT671+AT679+AT687</f>
        <v>0</v>
      </c>
      <c r="AU647" s="2188">
        <f>AU655+AU663+AU671+AU679+AU687</f>
        <v>0</v>
      </c>
      <c r="AV647" s="2186">
        <f t="shared" si="1536"/>
        <v>0</v>
      </c>
      <c r="AW647" s="2188">
        <f>AW655+AW663+AW671+AW679+AW687</f>
        <v>0</v>
      </c>
      <c r="AX647" s="2188">
        <f>AX655+AX663+AX671+AX679+AX687</f>
        <v>0</v>
      </c>
      <c r="AY647" s="2186">
        <f t="shared" si="1537"/>
        <v>0</v>
      </c>
      <c r="AZ647" s="2188">
        <f>AZ655+AZ663+AZ671+AZ679+AZ687</f>
        <v>0</v>
      </c>
      <c r="BA647" s="2188">
        <f>BA655+BA663+BA671+BA679+BA687</f>
        <v>0</v>
      </c>
      <c r="BB647" s="2186">
        <f t="shared" si="1538"/>
        <v>0</v>
      </c>
      <c r="BC647" s="2188">
        <f>BC655+BC663+BC671+BC679+BC687</f>
        <v>0</v>
      </c>
      <c r="BD647" s="2188">
        <f>BD655+BD663+BD671+BD679+BD687</f>
        <v>0</v>
      </c>
      <c r="BE647" s="2186">
        <f t="shared" si="1539"/>
        <v>0</v>
      </c>
      <c r="BF647" s="2188">
        <f>BF655+BF663+BF671+BF679+BF687</f>
        <v>0</v>
      </c>
      <c r="BG647" s="2188">
        <f>BG655+BG663+BG671+BG679+BG687</f>
        <v>0</v>
      </c>
      <c r="BH647" s="2186">
        <f t="shared" si="1540"/>
        <v>0</v>
      </c>
      <c r="BI647" s="2188">
        <f>BI655+BI663+BI671+BI679+BI687</f>
        <v>0</v>
      </c>
      <c r="BJ647" s="2188">
        <f>BJ655+BJ663+BJ671+BJ679+BJ687</f>
        <v>0</v>
      </c>
      <c r="BK647" s="2186">
        <f t="shared" si="1541"/>
        <v>0</v>
      </c>
      <c r="BL647" s="2188">
        <f>BL655+BL663+BL671+BL679+BL687</f>
        <v>0</v>
      </c>
      <c r="BM647" s="2188">
        <f>BM655+BM663+BM671+BM679+BM687</f>
        <v>0</v>
      </c>
      <c r="BN647" s="2186">
        <f t="shared" si="1542"/>
        <v>0</v>
      </c>
      <c r="BO647" s="2188">
        <f>BO655+BO663+BO671+BO679+BO687</f>
        <v>0</v>
      </c>
      <c r="BP647" s="2188">
        <f>BP655+BP663+BP671+BP679+BP687</f>
        <v>0</v>
      </c>
      <c r="BQ647" s="2186">
        <f t="shared" si="1543"/>
        <v>0</v>
      </c>
    </row>
    <row r="648" spans="3:69" s="2087" customFormat="1" ht="21.6" hidden="1" customHeight="1">
      <c r="C648" s="2285" t="s">
        <v>2806</v>
      </c>
      <c r="D648" s="2287" t="s">
        <v>2807</v>
      </c>
      <c r="E648" s="2290" t="s">
        <v>1833</v>
      </c>
      <c r="F648" s="2176"/>
      <c r="G648" s="2179">
        <f>G656+G664+G672+G680+G657+G665+G673+G681+G688+G689</f>
        <v>0</v>
      </c>
      <c r="H648" s="2179">
        <f>H656+H664+H672+H680+H657+H665+H673+H681+H688+H689</f>
        <v>0</v>
      </c>
      <c r="I648" s="2178">
        <f t="shared" si="1522"/>
        <v>0</v>
      </c>
      <c r="J648" s="2176"/>
      <c r="K648" s="2252">
        <f t="shared" si="1521"/>
        <v>0</v>
      </c>
      <c r="L648" s="2252">
        <f t="shared" si="1521"/>
        <v>0</v>
      </c>
      <c r="M648" s="2255">
        <f t="shared" si="1523"/>
        <v>0</v>
      </c>
      <c r="N648" s="2179">
        <f>N656+N664+N672+N680+N657+N665+N673+N681+N688+N689</f>
        <v>0</v>
      </c>
      <c r="O648" s="2179">
        <f>O656+O664+O672+O680+O657+O665+O673+O681+O688+O689</f>
        <v>0</v>
      </c>
      <c r="P648" s="2178">
        <f t="shared" si="1524"/>
        <v>0</v>
      </c>
      <c r="Q648" s="2179">
        <f>Q656+Q664+Q672+Q680+Q657+Q665+Q673+Q681+Q688+Q689</f>
        <v>0</v>
      </c>
      <c r="R648" s="2179">
        <f>R656+R664+R672+R680+R657+R665+R673+R681+R688+R689</f>
        <v>0</v>
      </c>
      <c r="S648" s="2180">
        <f t="shared" si="1525"/>
        <v>0</v>
      </c>
      <c r="T648" s="2181">
        <f t="shared" si="1526"/>
        <v>0</v>
      </c>
      <c r="U648" s="2179">
        <f t="shared" si="1526"/>
        <v>0</v>
      </c>
      <c r="V648" s="2180">
        <f t="shared" si="1527"/>
        <v>0</v>
      </c>
      <c r="W648" s="2187">
        <f>W656+W664+W672+W680+W657+W665+W673+W681+W688+W689</f>
        <v>0</v>
      </c>
      <c r="X648" s="2179">
        <f>X656+X664+X672+X680+X657+X665+X673+X681+X688+X689</f>
        <v>0</v>
      </c>
      <c r="Y648" s="2183">
        <f t="shared" si="1528"/>
        <v>0</v>
      </c>
      <c r="Z648" s="2184">
        <f t="shared" si="1529"/>
        <v>0</v>
      </c>
      <c r="AA648" s="2179">
        <f t="shared" si="1529"/>
        <v>0</v>
      </c>
      <c r="AB648" s="2178">
        <f t="shared" si="1530"/>
        <v>0</v>
      </c>
      <c r="AC648" s="2179">
        <f>AC656+AC664+AC672+AC680+AC657+AC665+AC673+AC681+AC688+AC689</f>
        <v>0</v>
      </c>
      <c r="AD648" s="2179">
        <f>AD656+AD664+AD672+AD680+AD657+AD665+AD673+AD681+AD688+AD689</f>
        <v>0</v>
      </c>
      <c r="AE648" s="2180">
        <f t="shared" si="1531"/>
        <v>0</v>
      </c>
      <c r="AF648" s="2281"/>
      <c r="AG648" s="2114"/>
      <c r="AH648" s="2188">
        <f>AH656+AH664+AH672+AH680+AH657+AH665+AH673+AH681+AH688+AH689</f>
        <v>0</v>
      </c>
      <c r="AI648" s="2188">
        <f>AI656+AI664+AI672+AI680+AI657+AI665+AI673+AI681+AI688+AI689</f>
        <v>0</v>
      </c>
      <c r="AJ648" s="2186">
        <f t="shared" si="1532"/>
        <v>0</v>
      </c>
      <c r="AK648" s="2188">
        <f>AK656+AK664+AK672+AK680+AK657+AK665+AK673+AK681+AK688+AK689</f>
        <v>0</v>
      </c>
      <c r="AL648" s="2188">
        <f>AL656+AL664+AL672+AL680+AL657+AL665+AL673+AL681+AL688+AL689</f>
        <v>0</v>
      </c>
      <c r="AM648" s="2186">
        <f t="shared" si="1533"/>
        <v>0</v>
      </c>
      <c r="AN648" s="2188">
        <f>AN656+AN664+AN672+AN680+AN657+AN665+AN673+AN681+AN688+AN689</f>
        <v>0</v>
      </c>
      <c r="AO648" s="2188">
        <f>AO656+AO664+AO672+AO680+AO657+AO665+AO673+AO681+AO688+AO689</f>
        <v>0</v>
      </c>
      <c r="AP648" s="2186">
        <f t="shared" si="1534"/>
        <v>0</v>
      </c>
      <c r="AQ648" s="2188">
        <f>AQ656+AQ664+AQ672+AQ680+AQ657+AQ665+AQ673+AQ681+AQ688+AQ689</f>
        <v>0</v>
      </c>
      <c r="AR648" s="2188">
        <f>AR656+AR664+AR672+AR680+AR657+AR665+AR673+AR681+AR688+AR689</f>
        <v>0</v>
      </c>
      <c r="AS648" s="2186">
        <f t="shared" si="1535"/>
        <v>0</v>
      </c>
      <c r="AT648" s="2188">
        <f>AT656+AT664+AT672+AT680+AT657+AT665+AT673+AT681+AT688+AT689</f>
        <v>0</v>
      </c>
      <c r="AU648" s="2188">
        <f>AU656+AU664+AU672+AU680+AU657+AU665+AU673+AU681+AU688+AU689</f>
        <v>0</v>
      </c>
      <c r="AV648" s="2186">
        <f t="shared" si="1536"/>
        <v>0</v>
      </c>
      <c r="AW648" s="2188">
        <f>AW656+AW664+AW672+AW680+AW657+AW665+AW673+AW681+AW688+AW689</f>
        <v>0</v>
      </c>
      <c r="AX648" s="2188">
        <f>AX656+AX664+AX672+AX680+AX657+AX665+AX673+AX681+AX688+AX689</f>
        <v>0</v>
      </c>
      <c r="AY648" s="2186">
        <f t="shared" si="1537"/>
        <v>0</v>
      </c>
      <c r="AZ648" s="2188">
        <f>AZ656+AZ664+AZ672+AZ680+AZ657+AZ665+AZ673+AZ681+AZ688+AZ689</f>
        <v>0</v>
      </c>
      <c r="BA648" s="2188">
        <f>BA656+BA664+BA672+BA680+BA657+BA665+BA673+BA681+BA688+BA689</f>
        <v>0</v>
      </c>
      <c r="BB648" s="2186">
        <f t="shared" si="1538"/>
        <v>0</v>
      </c>
      <c r="BC648" s="2188">
        <f>BC656+BC664+BC672+BC680+BC657+BC665+BC673+BC681+BC688+BC689</f>
        <v>0</v>
      </c>
      <c r="BD648" s="2188">
        <f>BD656+BD664+BD672+BD680+BD657+BD665+BD673+BD681+BD688+BD689</f>
        <v>0</v>
      </c>
      <c r="BE648" s="2186">
        <f t="shared" si="1539"/>
        <v>0</v>
      </c>
      <c r="BF648" s="2188">
        <f>BF656+BF664+BF672+BF680+BF657+BF665+BF673+BF681+BF688+BF689</f>
        <v>0</v>
      </c>
      <c r="BG648" s="2188">
        <f>BG656+BG664+BG672+BG680+BG657+BG665+BG673+BG681+BG688+BG689</f>
        <v>0</v>
      </c>
      <c r="BH648" s="2186">
        <f t="shared" si="1540"/>
        <v>0</v>
      </c>
      <c r="BI648" s="2188">
        <f>BI656+BI664+BI672+BI680+BI657+BI665+BI673+BI681+BI688+BI689</f>
        <v>0</v>
      </c>
      <c r="BJ648" s="2188">
        <f>BJ656+BJ664+BJ672+BJ680+BJ657+BJ665+BJ673+BJ681+BJ688+BJ689</f>
        <v>0</v>
      </c>
      <c r="BK648" s="2186">
        <f t="shared" si="1541"/>
        <v>0</v>
      </c>
      <c r="BL648" s="2188">
        <f>BL656+BL664+BL672+BL680+BL657+BL665+BL673+BL681+BL688+BL689</f>
        <v>0</v>
      </c>
      <c r="BM648" s="2188">
        <f>BM656+BM664+BM672+BM680+BM657+BM665+BM673+BM681+BM688+BM689</f>
        <v>0</v>
      </c>
      <c r="BN648" s="2186">
        <f t="shared" si="1542"/>
        <v>0</v>
      </c>
      <c r="BO648" s="2188">
        <f>BO656+BO664+BO672+BO680+BO657+BO665+BO673+BO681+BO688+BO689</f>
        <v>0</v>
      </c>
      <c r="BP648" s="2188">
        <f>BP656+BP664+BP672+BP680+BP657+BP665+BP673+BP681+BP688+BP689</f>
        <v>0</v>
      </c>
      <c r="BQ648" s="2186">
        <f t="shared" si="1543"/>
        <v>0</v>
      </c>
    </row>
    <row r="649" spans="3:69" s="2087" customFormat="1" ht="21.6" hidden="1" customHeight="1">
      <c r="C649" s="2285" t="s">
        <v>2808</v>
      </c>
      <c r="D649" s="2287" t="s">
        <v>2434</v>
      </c>
      <c r="E649" s="2284" t="s">
        <v>1833</v>
      </c>
      <c r="F649" s="2176"/>
      <c r="G649" s="2179">
        <f>G657+G665+G673+G681+G689</f>
        <v>0</v>
      </c>
      <c r="H649" s="2179">
        <f>H657+H665+H673+H681+H689</f>
        <v>0</v>
      </c>
      <c r="I649" s="2178">
        <f t="shared" si="1522"/>
        <v>0</v>
      </c>
      <c r="J649" s="2176"/>
      <c r="K649" s="2252">
        <f t="shared" si="1521"/>
        <v>0</v>
      </c>
      <c r="L649" s="2252">
        <f t="shared" si="1521"/>
        <v>0</v>
      </c>
      <c r="M649" s="2255">
        <f t="shared" si="1523"/>
        <v>0</v>
      </c>
      <c r="N649" s="2179">
        <f>N657+N665+N673+N681+N689</f>
        <v>0</v>
      </c>
      <c r="O649" s="2179">
        <f>O657+O665+O673+O681+O689</f>
        <v>0</v>
      </c>
      <c r="P649" s="2178">
        <f t="shared" si="1524"/>
        <v>0</v>
      </c>
      <c r="Q649" s="2179">
        <f>Q657+Q665+Q673+Q681+Q689</f>
        <v>0</v>
      </c>
      <c r="R649" s="2179">
        <f>R657+R665+R673+R681+R689</f>
        <v>0</v>
      </c>
      <c r="S649" s="2180">
        <f t="shared" si="1525"/>
        <v>0</v>
      </c>
      <c r="T649" s="2181">
        <f t="shared" si="1526"/>
        <v>0</v>
      </c>
      <c r="U649" s="2179">
        <f t="shared" si="1526"/>
        <v>0</v>
      </c>
      <c r="V649" s="2180">
        <f t="shared" si="1527"/>
        <v>0</v>
      </c>
      <c r="W649" s="2187">
        <f>W657+W665+W673+W681+W689</f>
        <v>0</v>
      </c>
      <c r="X649" s="2179">
        <f>X657+X665+X673+X681+X689</f>
        <v>0</v>
      </c>
      <c r="Y649" s="2183">
        <f t="shared" si="1528"/>
        <v>0</v>
      </c>
      <c r="Z649" s="2184">
        <f t="shared" si="1529"/>
        <v>0</v>
      </c>
      <c r="AA649" s="2179">
        <f t="shared" si="1529"/>
        <v>0</v>
      </c>
      <c r="AB649" s="2178">
        <f t="shared" si="1530"/>
        <v>0</v>
      </c>
      <c r="AC649" s="2179">
        <f>AC657+AC665+AC673+AC681+AC689</f>
        <v>0</v>
      </c>
      <c r="AD649" s="2179">
        <f>AD657+AD665+AD673+AD681+AD689</f>
        <v>0</v>
      </c>
      <c r="AE649" s="2180">
        <f t="shared" si="1531"/>
        <v>0</v>
      </c>
      <c r="AF649" s="2281"/>
      <c r="AG649" s="2114"/>
      <c r="AH649" s="2188">
        <f>AH657+AH665+AH673+AH681+AH689</f>
        <v>0</v>
      </c>
      <c r="AI649" s="2188">
        <f>AI657+AI665+AI673+AI681+AI689</f>
        <v>0</v>
      </c>
      <c r="AJ649" s="2186">
        <f t="shared" si="1532"/>
        <v>0</v>
      </c>
      <c r="AK649" s="2188">
        <f>AK657+AK665+AK673+AK681+AK689</f>
        <v>0</v>
      </c>
      <c r="AL649" s="2188">
        <f>AL657+AL665+AL673+AL681+AL689</f>
        <v>0</v>
      </c>
      <c r="AM649" s="2186">
        <f t="shared" si="1533"/>
        <v>0</v>
      </c>
      <c r="AN649" s="2188">
        <f>AN657+AN665+AN673+AN681+AN689</f>
        <v>0</v>
      </c>
      <c r="AO649" s="2188">
        <f>AO657+AO665+AO673+AO681+AO689</f>
        <v>0</v>
      </c>
      <c r="AP649" s="2186">
        <f t="shared" si="1534"/>
        <v>0</v>
      </c>
      <c r="AQ649" s="2188">
        <f>AQ657+AQ665+AQ673+AQ681+AQ689</f>
        <v>0</v>
      </c>
      <c r="AR649" s="2188">
        <f>AR657+AR665+AR673+AR681+AR689</f>
        <v>0</v>
      </c>
      <c r="AS649" s="2186">
        <f t="shared" si="1535"/>
        <v>0</v>
      </c>
      <c r="AT649" s="2188">
        <f>AT657+AT665+AT673+AT681+AT689</f>
        <v>0</v>
      </c>
      <c r="AU649" s="2188">
        <f>AU657+AU665+AU673+AU681+AU689</f>
        <v>0</v>
      </c>
      <c r="AV649" s="2186">
        <f t="shared" si="1536"/>
        <v>0</v>
      </c>
      <c r="AW649" s="2188">
        <f>AW657+AW665+AW673+AW681+AW689</f>
        <v>0</v>
      </c>
      <c r="AX649" s="2188">
        <f>AX657+AX665+AX673+AX681+AX689</f>
        <v>0</v>
      </c>
      <c r="AY649" s="2186">
        <f t="shared" si="1537"/>
        <v>0</v>
      </c>
      <c r="AZ649" s="2188">
        <f>AZ657+AZ665+AZ673+AZ681+AZ689</f>
        <v>0</v>
      </c>
      <c r="BA649" s="2188">
        <f>BA657+BA665+BA673+BA681+BA689</f>
        <v>0</v>
      </c>
      <c r="BB649" s="2186">
        <f t="shared" si="1538"/>
        <v>0</v>
      </c>
      <c r="BC649" s="2188">
        <f>BC657+BC665+BC673+BC681+BC689</f>
        <v>0</v>
      </c>
      <c r="BD649" s="2188">
        <f>BD657+BD665+BD673+BD681+BD689</f>
        <v>0</v>
      </c>
      <c r="BE649" s="2186">
        <f t="shared" si="1539"/>
        <v>0</v>
      </c>
      <c r="BF649" s="2188">
        <f>BF657+BF665+BF673+BF681+BF689</f>
        <v>0</v>
      </c>
      <c r="BG649" s="2188">
        <f>BG657+BG665+BG673+BG681+BG689</f>
        <v>0</v>
      </c>
      <c r="BH649" s="2186">
        <f t="shared" si="1540"/>
        <v>0</v>
      </c>
      <c r="BI649" s="2188">
        <f>BI657+BI665+BI673+BI681+BI689</f>
        <v>0</v>
      </c>
      <c r="BJ649" s="2188">
        <f>BJ657+BJ665+BJ673+BJ681+BJ689</f>
        <v>0</v>
      </c>
      <c r="BK649" s="2186">
        <f t="shared" si="1541"/>
        <v>0</v>
      </c>
      <c r="BL649" s="2188">
        <f>BL657+BL665+BL673+BL681+BL689</f>
        <v>0</v>
      </c>
      <c r="BM649" s="2188">
        <f>BM657+BM665+BM673+BM681+BM689</f>
        <v>0</v>
      </c>
      <c r="BN649" s="2186">
        <f t="shared" si="1542"/>
        <v>0</v>
      </c>
      <c r="BO649" s="2188">
        <f>BO657+BO665+BO673+BO681+BO689</f>
        <v>0</v>
      </c>
      <c r="BP649" s="2188">
        <f>BP657+BP665+BP673+BP681+BP689</f>
        <v>0</v>
      </c>
      <c r="BQ649" s="2186">
        <f t="shared" si="1543"/>
        <v>0</v>
      </c>
    </row>
    <row r="650" spans="3:69" s="2159" customFormat="1" ht="21.6" hidden="1" customHeight="1">
      <c r="C650" s="2256" t="s">
        <v>2809</v>
      </c>
      <c r="D650" s="2280" t="str">
        <f>D310</f>
        <v>Контрагент 1</v>
      </c>
      <c r="E650" s="2297" t="s">
        <v>1833</v>
      </c>
      <c r="F650" s="2162"/>
      <c r="G650" s="2163">
        <f>G652+G654+G656+G653+G655+G657</f>
        <v>0</v>
      </c>
      <c r="H650" s="2163">
        <f>H652+H654+H656+H653+H655+H657</f>
        <v>0</v>
      </c>
      <c r="I650" s="2164">
        <f t="shared" si="1522"/>
        <v>0</v>
      </c>
      <c r="J650" s="2162"/>
      <c r="K650" s="2259">
        <f t="shared" si="1521"/>
        <v>0</v>
      </c>
      <c r="L650" s="2259">
        <f t="shared" si="1521"/>
        <v>0</v>
      </c>
      <c r="M650" s="2262">
        <f t="shared" si="1523"/>
        <v>0</v>
      </c>
      <c r="N650" s="2163">
        <f>N652+N654+N656+N653+N655+N657</f>
        <v>0</v>
      </c>
      <c r="O650" s="2163">
        <f>O652+O654+O656+O653+O655+O657</f>
        <v>0</v>
      </c>
      <c r="P650" s="2164">
        <f t="shared" si="1524"/>
        <v>0</v>
      </c>
      <c r="Q650" s="2163">
        <f>Q652+Q654+Q656+Q653+Q655+Q657</f>
        <v>0</v>
      </c>
      <c r="R650" s="2163">
        <f>R652+R654+R656+R653+R655+R657</f>
        <v>0</v>
      </c>
      <c r="S650" s="2166">
        <f t="shared" si="1525"/>
        <v>0</v>
      </c>
      <c r="T650" s="2167">
        <f t="shared" si="1526"/>
        <v>0</v>
      </c>
      <c r="U650" s="2163">
        <f t="shared" si="1526"/>
        <v>0</v>
      </c>
      <c r="V650" s="2166">
        <f t="shared" si="1527"/>
        <v>0</v>
      </c>
      <c r="W650" s="2168">
        <f>W652+W654+W656+W653+W655+W657</f>
        <v>0</v>
      </c>
      <c r="X650" s="2163">
        <f>X652+X654+X656+X653+X655+X657</f>
        <v>0</v>
      </c>
      <c r="Y650" s="2169">
        <f t="shared" si="1528"/>
        <v>0</v>
      </c>
      <c r="Z650" s="2165">
        <f t="shared" si="1529"/>
        <v>0</v>
      </c>
      <c r="AA650" s="2163">
        <f t="shared" si="1529"/>
        <v>0</v>
      </c>
      <c r="AB650" s="2164">
        <f t="shared" si="1530"/>
        <v>0</v>
      </c>
      <c r="AC650" s="2163">
        <f>AC652+AC654+AC656+AC653+AC655+AC657</f>
        <v>0</v>
      </c>
      <c r="AD650" s="2163">
        <f>AD652+AD654+AD656+AD653+AD655+AD657</f>
        <v>0</v>
      </c>
      <c r="AE650" s="2166">
        <f t="shared" si="1531"/>
        <v>0</v>
      </c>
      <c r="AF650" s="2281"/>
      <c r="AG650" s="2158"/>
      <c r="AH650" s="2171">
        <f>AH652+AH654+AH656+AH653+AH655+AH657</f>
        <v>0</v>
      </c>
      <c r="AI650" s="2171">
        <f>AI652+AI654+AI656+AI653+AI655+AI657</f>
        <v>0</v>
      </c>
      <c r="AJ650" s="2172">
        <f t="shared" si="1532"/>
        <v>0</v>
      </c>
      <c r="AK650" s="2171">
        <f>AK652+AK654+AK656+AK653+AK655+AK657</f>
        <v>0</v>
      </c>
      <c r="AL650" s="2171">
        <f>AL652+AL654+AL656+AL653+AL655+AL657</f>
        <v>0</v>
      </c>
      <c r="AM650" s="2172">
        <f t="shared" si="1533"/>
        <v>0</v>
      </c>
      <c r="AN650" s="2171">
        <f>AN652+AN654+AN656+AN653+AN655+AN657</f>
        <v>0</v>
      </c>
      <c r="AO650" s="2171">
        <f>AO652+AO654+AO656+AO653+AO655+AO657</f>
        <v>0</v>
      </c>
      <c r="AP650" s="2172">
        <f t="shared" si="1534"/>
        <v>0</v>
      </c>
      <c r="AQ650" s="2171">
        <f>AQ652+AQ654+AQ656+AQ653+AQ655+AQ657</f>
        <v>0</v>
      </c>
      <c r="AR650" s="2171">
        <f>AR652+AR654+AR656+AR653+AR655+AR657</f>
        <v>0</v>
      </c>
      <c r="AS650" s="2172">
        <f t="shared" si="1535"/>
        <v>0</v>
      </c>
      <c r="AT650" s="2171">
        <f>AT652+AT654+AT656+AT653+AT655+AT657</f>
        <v>0</v>
      </c>
      <c r="AU650" s="2171">
        <f>AU652+AU654+AU656+AU653+AU655+AU657</f>
        <v>0</v>
      </c>
      <c r="AV650" s="2172">
        <f t="shared" si="1536"/>
        <v>0</v>
      </c>
      <c r="AW650" s="2171">
        <f>AW652+AW654+AW656+AW653+AW655+AW657</f>
        <v>0</v>
      </c>
      <c r="AX650" s="2171">
        <f>AX652+AX654+AX656+AX653+AX655+AX657</f>
        <v>0</v>
      </c>
      <c r="AY650" s="2172">
        <f t="shared" si="1537"/>
        <v>0</v>
      </c>
      <c r="AZ650" s="2171">
        <f>AZ652+AZ654+AZ656+AZ653+AZ655+AZ657</f>
        <v>0</v>
      </c>
      <c r="BA650" s="2171">
        <f>BA652+BA654+BA656+BA653+BA655+BA657</f>
        <v>0</v>
      </c>
      <c r="BB650" s="2172">
        <f t="shared" si="1538"/>
        <v>0</v>
      </c>
      <c r="BC650" s="2171">
        <f>BC652+BC654+BC656+BC653+BC655+BC657</f>
        <v>0</v>
      </c>
      <c r="BD650" s="2171">
        <f>BD652+BD654+BD656+BD653+BD655+BD657</f>
        <v>0</v>
      </c>
      <c r="BE650" s="2172">
        <f t="shared" si="1539"/>
        <v>0</v>
      </c>
      <c r="BF650" s="2171">
        <f>BF652+BF654+BF656+BF653+BF655+BF657</f>
        <v>0</v>
      </c>
      <c r="BG650" s="2171">
        <f>BG652+BG654+BG656+BG653+BG655+BG657</f>
        <v>0</v>
      </c>
      <c r="BH650" s="2172">
        <f t="shared" si="1540"/>
        <v>0</v>
      </c>
      <c r="BI650" s="2171">
        <f>BI652+BI654+BI656+BI653+BI655+BI657</f>
        <v>0</v>
      </c>
      <c r="BJ650" s="2171">
        <f>BJ652+BJ654+BJ656+BJ653+BJ655+BJ657</f>
        <v>0</v>
      </c>
      <c r="BK650" s="2172">
        <f t="shared" si="1541"/>
        <v>0</v>
      </c>
      <c r="BL650" s="2171">
        <f>BL652+BL654+BL656+BL653+BL655+BL657</f>
        <v>0</v>
      </c>
      <c r="BM650" s="2171">
        <f>BM652+BM654+BM656+BM653+BM655+BM657</f>
        <v>0</v>
      </c>
      <c r="BN650" s="2172">
        <f t="shared" si="1542"/>
        <v>0</v>
      </c>
      <c r="BO650" s="2171">
        <f>BO652+BO654+BO656+BO653+BO655+BO657</f>
        <v>0</v>
      </c>
      <c r="BP650" s="2171">
        <f>BP652+BP654+BP656+BP653+BP655+BP657</f>
        <v>0</v>
      </c>
      <c r="BQ650" s="2172">
        <f t="shared" si="1543"/>
        <v>0</v>
      </c>
    </row>
    <row r="651" spans="3:69" s="2087" customFormat="1" ht="21.6" hidden="1" customHeight="1">
      <c r="C651" s="2285" t="s">
        <v>2810</v>
      </c>
      <c r="D651" s="2289" t="s">
        <v>2211</v>
      </c>
      <c r="E651" s="2284" t="s">
        <v>1833</v>
      </c>
      <c r="F651" s="2176"/>
      <c r="G651" s="2177"/>
      <c r="H651" s="2177"/>
      <c r="I651" s="2178">
        <f t="shared" si="1522"/>
        <v>0</v>
      </c>
      <c r="J651" s="2176"/>
      <c r="K651" s="2252">
        <f t="shared" si="1521"/>
        <v>0</v>
      </c>
      <c r="L651" s="2252">
        <f t="shared" si="1521"/>
        <v>0</v>
      </c>
      <c r="M651" s="2255">
        <f t="shared" si="1523"/>
        <v>0</v>
      </c>
      <c r="N651" s="2177"/>
      <c r="O651" s="2177"/>
      <c r="P651" s="2178">
        <f t="shared" si="1524"/>
        <v>0</v>
      </c>
      <c r="Q651" s="2176"/>
      <c r="R651" s="2177"/>
      <c r="S651" s="2180">
        <f t="shared" si="1525"/>
        <v>0</v>
      </c>
      <c r="T651" s="2251">
        <f t="shared" si="1526"/>
        <v>0</v>
      </c>
      <c r="U651" s="2252">
        <f t="shared" si="1526"/>
        <v>0</v>
      </c>
      <c r="V651" s="2253">
        <f t="shared" si="1527"/>
        <v>0</v>
      </c>
      <c r="W651" s="2182"/>
      <c r="X651" s="2177"/>
      <c r="Y651" s="2183">
        <f t="shared" si="1528"/>
        <v>0</v>
      </c>
      <c r="Z651" s="2254">
        <f t="shared" si="1529"/>
        <v>0</v>
      </c>
      <c r="AA651" s="2252">
        <f t="shared" si="1529"/>
        <v>0</v>
      </c>
      <c r="AB651" s="2255">
        <f t="shared" si="1530"/>
        <v>0</v>
      </c>
      <c r="AC651" s="2176"/>
      <c r="AD651" s="2177"/>
      <c r="AE651" s="2180">
        <f t="shared" si="1531"/>
        <v>0</v>
      </c>
      <c r="AF651" s="2281"/>
      <c r="AG651" s="2114"/>
      <c r="AH651" s="2177"/>
      <c r="AI651" s="2177"/>
      <c r="AJ651" s="2186">
        <f t="shared" si="1532"/>
        <v>0</v>
      </c>
      <c r="AK651" s="2177"/>
      <c r="AL651" s="2177"/>
      <c r="AM651" s="2186">
        <f t="shared" si="1533"/>
        <v>0</v>
      </c>
      <c r="AN651" s="2177"/>
      <c r="AO651" s="2177"/>
      <c r="AP651" s="2186">
        <f t="shared" si="1534"/>
        <v>0</v>
      </c>
      <c r="AQ651" s="2177"/>
      <c r="AR651" s="2177"/>
      <c r="AS651" s="2186">
        <f t="shared" si="1535"/>
        <v>0</v>
      </c>
      <c r="AT651" s="2177"/>
      <c r="AU651" s="2177"/>
      <c r="AV651" s="2186">
        <f t="shared" si="1536"/>
        <v>0</v>
      </c>
      <c r="AW651" s="2177"/>
      <c r="AX651" s="2177"/>
      <c r="AY651" s="2186">
        <f t="shared" si="1537"/>
        <v>0</v>
      </c>
      <c r="AZ651" s="2177"/>
      <c r="BA651" s="2177"/>
      <c r="BB651" s="2186">
        <f t="shared" si="1538"/>
        <v>0</v>
      </c>
      <c r="BC651" s="2177"/>
      <c r="BD651" s="2177"/>
      <c r="BE651" s="2186">
        <f t="shared" si="1539"/>
        <v>0</v>
      </c>
      <c r="BF651" s="2177"/>
      <c r="BG651" s="2177"/>
      <c r="BH651" s="2186">
        <f t="shared" si="1540"/>
        <v>0</v>
      </c>
      <c r="BI651" s="2177"/>
      <c r="BJ651" s="2177"/>
      <c r="BK651" s="2186">
        <f t="shared" si="1541"/>
        <v>0</v>
      </c>
      <c r="BL651" s="2177"/>
      <c r="BM651" s="2177"/>
      <c r="BN651" s="2186">
        <f t="shared" si="1542"/>
        <v>0</v>
      </c>
      <c r="BO651" s="2177"/>
      <c r="BP651" s="2177"/>
      <c r="BQ651" s="2186">
        <f t="shared" si="1543"/>
        <v>0</v>
      </c>
    </row>
    <row r="652" spans="3:69" s="2087" customFormat="1" ht="21.6" hidden="1" customHeight="1">
      <c r="C652" s="2285" t="s">
        <v>2811</v>
      </c>
      <c r="D652" s="2287" t="s">
        <v>2801</v>
      </c>
      <c r="E652" s="2284" t="s">
        <v>1833</v>
      </c>
      <c r="F652" s="2176"/>
      <c r="G652" s="2177"/>
      <c r="H652" s="2177"/>
      <c r="I652" s="2178">
        <f t="shared" si="1522"/>
        <v>0</v>
      </c>
      <c r="J652" s="2176"/>
      <c r="K652" s="2252">
        <f t="shared" si="1521"/>
        <v>0</v>
      </c>
      <c r="L652" s="2252">
        <f t="shared" si="1521"/>
        <v>0</v>
      </c>
      <c r="M652" s="2255">
        <f t="shared" si="1523"/>
        <v>0</v>
      </c>
      <c r="N652" s="2179">
        <f>N312*N393*3/1000</f>
        <v>0</v>
      </c>
      <c r="O652" s="2179">
        <f>O312*O393*3/1000</f>
        <v>0</v>
      </c>
      <c r="P652" s="2178">
        <f t="shared" si="1524"/>
        <v>0</v>
      </c>
      <c r="Q652" s="2179">
        <f>Q312*Q393*3/1000</f>
        <v>0</v>
      </c>
      <c r="R652" s="2179">
        <f>R312*R393*3/1000</f>
        <v>0</v>
      </c>
      <c r="S652" s="2180">
        <f t="shared" si="1525"/>
        <v>0</v>
      </c>
      <c r="T652" s="2251">
        <f t="shared" si="1526"/>
        <v>0</v>
      </c>
      <c r="U652" s="2252">
        <f t="shared" si="1526"/>
        <v>0</v>
      </c>
      <c r="V652" s="2253">
        <f t="shared" si="1527"/>
        <v>0</v>
      </c>
      <c r="W652" s="2187">
        <f>W312*W393*3/1000</f>
        <v>0</v>
      </c>
      <c r="X652" s="2179">
        <f>X312*X393*3/1000</f>
        <v>0</v>
      </c>
      <c r="Y652" s="2183">
        <f t="shared" si="1528"/>
        <v>0</v>
      </c>
      <c r="Z652" s="2254">
        <f t="shared" si="1529"/>
        <v>0</v>
      </c>
      <c r="AA652" s="2252">
        <f t="shared" si="1529"/>
        <v>0</v>
      </c>
      <c r="AB652" s="2255">
        <f t="shared" si="1530"/>
        <v>0</v>
      </c>
      <c r="AC652" s="2179">
        <f>AC312*AC393*3/1000</f>
        <v>0</v>
      </c>
      <c r="AD652" s="2179">
        <f>AD312*AD393*3/1000</f>
        <v>0</v>
      </c>
      <c r="AE652" s="2180">
        <f t="shared" si="1531"/>
        <v>0</v>
      </c>
      <c r="AF652" s="2281"/>
      <c r="AG652" s="2114"/>
      <c r="AH652" s="2188">
        <f>AH312*AH393*3/1000</f>
        <v>0</v>
      </c>
      <c r="AI652" s="2188">
        <f>AI312*AI393*3/1000</f>
        <v>0</v>
      </c>
      <c r="AJ652" s="2186">
        <f t="shared" si="1532"/>
        <v>0</v>
      </c>
      <c r="AK652" s="2188">
        <f>AK312*AK393*3/1000</f>
        <v>0</v>
      </c>
      <c r="AL652" s="2188">
        <f>AL312*AL393*3/1000</f>
        <v>0</v>
      </c>
      <c r="AM652" s="2186">
        <f t="shared" si="1533"/>
        <v>0</v>
      </c>
      <c r="AN652" s="2188">
        <f>AN312*AN393*3/1000</f>
        <v>0</v>
      </c>
      <c r="AO652" s="2188">
        <f>AO312*AO393*3/1000</f>
        <v>0</v>
      </c>
      <c r="AP652" s="2186">
        <f t="shared" si="1534"/>
        <v>0</v>
      </c>
      <c r="AQ652" s="2188">
        <f>AQ312*AQ393*3/1000</f>
        <v>0</v>
      </c>
      <c r="AR652" s="2188">
        <f>AR312*AR393*3/1000</f>
        <v>0</v>
      </c>
      <c r="AS652" s="2186">
        <f t="shared" si="1535"/>
        <v>0</v>
      </c>
      <c r="AT652" s="2188">
        <f>AT312*AT393*3/1000</f>
        <v>0</v>
      </c>
      <c r="AU652" s="2188">
        <f>AU312*AU393*3/1000</f>
        <v>0</v>
      </c>
      <c r="AV652" s="2186">
        <f t="shared" si="1536"/>
        <v>0</v>
      </c>
      <c r="AW652" s="2188">
        <f>AW312*AW393*3/1000</f>
        <v>0</v>
      </c>
      <c r="AX652" s="2188">
        <f>AX312*AX393*3/1000</f>
        <v>0</v>
      </c>
      <c r="AY652" s="2186">
        <f t="shared" si="1537"/>
        <v>0</v>
      </c>
      <c r="AZ652" s="2188">
        <f>AZ312*AZ393*3/1000</f>
        <v>0</v>
      </c>
      <c r="BA652" s="2188">
        <f>BA312*BA393*3/1000</f>
        <v>0</v>
      </c>
      <c r="BB652" s="2186">
        <f t="shared" si="1538"/>
        <v>0</v>
      </c>
      <c r="BC652" s="2188">
        <f>BC312*BC393*3/1000</f>
        <v>0</v>
      </c>
      <c r="BD652" s="2188">
        <f>BD312*BD393*3/1000</f>
        <v>0</v>
      </c>
      <c r="BE652" s="2186">
        <f t="shared" si="1539"/>
        <v>0</v>
      </c>
      <c r="BF652" s="2188">
        <f>BF312*BF393*3/1000</f>
        <v>0</v>
      </c>
      <c r="BG652" s="2188">
        <f>BG312*BG393*3/1000</f>
        <v>0</v>
      </c>
      <c r="BH652" s="2186">
        <f t="shared" si="1540"/>
        <v>0</v>
      </c>
      <c r="BI652" s="2188">
        <f>BI312*BI393*3/1000</f>
        <v>0</v>
      </c>
      <c r="BJ652" s="2188">
        <f>BJ312*BJ393*3/1000</f>
        <v>0</v>
      </c>
      <c r="BK652" s="2186">
        <f t="shared" si="1541"/>
        <v>0</v>
      </c>
      <c r="BL652" s="2188">
        <f>BL312*BL393*3/1000</f>
        <v>0</v>
      </c>
      <c r="BM652" s="2188">
        <f>BM312*BM393*3/1000</f>
        <v>0</v>
      </c>
      <c r="BN652" s="2186">
        <f t="shared" si="1542"/>
        <v>0</v>
      </c>
      <c r="BO652" s="2188">
        <f>BO312*BO393*3/1000</f>
        <v>0</v>
      </c>
      <c r="BP652" s="2188">
        <f>BP312*BP393*3/1000</f>
        <v>0</v>
      </c>
      <c r="BQ652" s="2186">
        <f t="shared" si="1543"/>
        <v>0</v>
      </c>
    </row>
    <row r="653" spans="3:69" s="2087" customFormat="1" ht="21.6" hidden="1" customHeight="1">
      <c r="C653" s="2285" t="s">
        <v>2812</v>
      </c>
      <c r="D653" s="2287" t="s">
        <v>2229</v>
      </c>
      <c r="E653" s="2284" t="s">
        <v>1833</v>
      </c>
      <c r="F653" s="2176"/>
      <c r="G653" s="2177"/>
      <c r="H653" s="2177"/>
      <c r="I653" s="2178">
        <f t="shared" si="1522"/>
        <v>0</v>
      </c>
      <c r="J653" s="2176"/>
      <c r="K653" s="2252">
        <f t="shared" si="1521"/>
        <v>0</v>
      </c>
      <c r="L653" s="2252">
        <f t="shared" si="1521"/>
        <v>0</v>
      </c>
      <c r="M653" s="2255">
        <f t="shared" si="1523"/>
        <v>0</v>
      </c>
      <c r="N653" s="2177"/>
      <c r="O653" s="2177"/>
      <c r="P653" s="2178">
        <f t="shared" si="1524"/>
        <v>0</v>
      </c>
      <c r="Q653" s="2177"/>
      <c r="R653" s="2177"/>
      <c r="S653" s="2180">
        <f t="shared" si="1525"/>
        <v>0</v>
      </c>
      <c r="T653" s="2251">
        <f t="shared" si="1526"/>
        <v>0</v>
      </c>
      <c r="U653" s="2252">
        <f t="shared" si="1526"/>
        <v>0</v>
      </c>
      <c r="V653" s="2253">
        <f t="shared" si="1527"/>
        <v>0</v>
      </c>
      <c r="W653" s="2182"/>
      <c r="X653" s="2177"/>
      <c r="Y653" s="2183">
        <f t="shared" si="1528"/>
        <v>0</v>
      </c>
      <c r="Z653" s="2254">
        <f t="shared" si="1529"/>
        <v>0</v>
      </c>
      <c r="AA653" s="2252">
        <f t="shared" si="1529"/>
        <v>0</v>
      </c>
      <c r="AB653" s="2255">
        <f t="shared" si="1530"/>
        <v>0</v>
      </c>
      <c r="AC653" s="2177"/>
      <c r="AD653" s="2177"/>
      <c r="AE653" s="2180">
        <f t="shared" si="1531"/>
        <v>0</v>
      </c>
      <c r="AF653" s="2281"/>
      <c r="AG653" s="2114"/>
      <c r="AH653" s="2177"/>
      <c r="AI653" s="2177"/>
      <c r="AJ653" s="2186">
        <f t="shared" si="1532"/>
        <v>0</v>
      </c>
      <c r="AK653" s="2177"/>
      <c r="AL653" s="2177"/>
      <c r="AM653" s="2186">
        <f t="shared" si="1533"/>
        <v>0</v>
      </c>
      <c r="AN653" s="2177"/>
      <c r="AO653" s="2177"/>
      <c r="AP653" s="2186">
        <f t="shared" si="1534"/>
        <v>0</v>
      </c>
      <c r="AQ653" s="2177"/>
      <c r="AR653" s="2177"/>
      <c r="AS653" s="2186">
        <f t="shared" si="1535"/>
        <v>0</v>
      </c>
      <c r="AT653" s="2177"/>
      <c r="AU653" s="2177"/>
      <c r="AV653" s="2186">
        <f t="shared" si="1536"/>
        <v>0</v>
      </c>
      <c r="AW653" s="2177"/>
      <c r="AX653" s="2177"/>
      <c r="AY653" s="2186">
        <f t="shared" si="1537"/>
        <v>0</v>
      </c>
      <c r="AZ653" s="2177"/>
      <c r="BA653" s="2177"/>
      <c r="BB653" s="2186">
        <f t="shared" si="1538"/>
        <v>0</v>
      </c>
      <c r="BC653" s="2177"/>
      <c r="BD653" s="2177"/>
      <c r="BE653" s="2186">
        <f t="shared" si="1539"/>
        <v>0</v>
      </c>
      <c r="BF653" s="2177"/>
      <c r="BG653" s="2177"/>
      <c r="BH653" s="2186">
        <f t="shared" si="1540"/>
        <v>0</v>
      </c>
      <c r="BI653" s="2177"/>
      <c r="BJ653" s="2177"/>
      <c r="BK653" s="2186">
        <f t="shared" si="1541"/>
        <v>0</v>
      </c>
      <c r="BL653" s="2177"/>
      <c r="BM653" s="2177"/>
      <c r="BN653" s="2186">
        <f t="shared" si="1542"/>
        <v>0</v>
      </c>
      <c r="BO653" s="2177"/>
      <c r="BP653" s="2177"/>
      <c r="BQ653" s="2186">
        <f t="shared" si="1543"/>
        <v>0</v>
      </c>
    </row>
    <row r="654" spans="3:69" s="2087" customFormat="1" ht="21.6" hidden="1" customHeight="1">
      <c r="C654" s="2285" t="s">
        <v>2813</v>
      </c>
      <c r="D654" s="2287" t="s">
        <v>2804</v>
      </c>
      <c r="E654" s="2284" t="s">
        <v>1833</v>
      </c>
      <c r="F654" s="2176"/>
      <c r="G654" s="2177"/>
      <c r="H654" s="2177"/>
      <c r="I654" s="2178">
        <f t="shared" si="1522"/>
        <v>0</v>
      </c>
      <c r="J654" s="2176"/>
      <c r="K654" s="2252">
        <f t="shared" si="1521"/>
        <v>0</v>
      </c>
      <c r="L654" s="2252">
        <f t="shared" si="1521"/>
        <v>0</v>
      </c>
      <c r="M654" s="2255">
        <f t="shared" si="1523"/>
        <v>0</v>
      </c>
      <c r="N654" s="2179">
        <f>N314*N395</f>
        <v>0</v>
      </c>
      <c r="O654" s="2179">
        <f>O314*O395</f>
        <v>0</v>
      </c>
      <c r="P654" s="2178">
        <f t="shared" si="1524"/>
        <v>0</v>
      </c>
      <c r="Q654" s="2184">
        <f>Q314*Q395</f>
        <v>0</v>
      </c>
      <c r="R654" s="2179">
        <f>R314*R395</f>
        <v>0</v>
      </c>
      <c r="S654" s="2180">
        <f t="shared" si="1525"/>
        <v>0</v>
      </c>
      <c r="T654" s="2251">
        <f t="shared" si="1526"/>
        <v>0</v>
      </c>
      <c r="U654" s="2252">
        <f t="shared" si="1526"/>
        <v>0</v>
      </c>
      <c r="V654" s="2253">
        <f t="shared" si="1527"/>
        <v>0</v>
      </c>
      <c r="W654" s="2187">
        <f>W314*W395</f>
        <v>0</v>
      </c>
      <c r="X654" s="2179">
        <f>X314*X395</f>
        <v>0</v>
      </c>
      <c r="Y654" s="2183">
        <f t="shared" si="1528"/>
        <v>0</v>
      </c>
      <c r="Z654" s="2254">
        <f t="shared" si="1529"/>
        <v>0</v>
      </c>
      <c r="AA654" s="2252">
        <f t="shared" si="1529"/>
        <v>0</v>
      </c>
      <c r="AB654" s="2255">
        <f t="shared" si="1530"/>
        <v>0</v>
      </c>
      <c r="AC654" s="2184">
        <f>AC314*AC395</f>
        <v>0</v>
      </c>
      <c r="AD654" s="2179">
        <f>AD314*AD395</f>
        <v>0</v>
      </c>
      <c r="AE654" s="2180">
        <f t="shared" si="1531"/>
        <v>0</v>
      </c>
      <c r="AF654" s="2281"/>
      <c r="AG654" s="2114"/>
      <c r="AH654" s="2188">
        <f>AH314*AH395</f>
        <v>0</v>
      </c>
      <c r="AI654" s="2188">
        <f>AI314*AI395</f>
        <v>0</v>
      </c>
      <c r="AJ654" s="2186">
        <f t="shared" si="1532"/>
        <v>0</v>
      </c>
      <c r="AK654" s="2188">
        <f>AK314*AK395</f>
        <v>0</v>
      </c>
      <c r="AL654" s="2188">
        <f>AL314*AL395</f>
        <v>0</v>
      </c>
      <c r="AM654" s="2186">
        <f t="shared" si="1533"/>
        <v>0</v>
      </c>
      <c r="AN654" s="2188">
        <f>AN314*AN395</f>
        <v>0</v>
      </c>
      <c r="AO654" s="2188">
        <f>AO314*AO395</f>
        <v>0</v>
      </c>
      <c r="AP654" s="2186">
        <f t="shared" si="1534"/>
        <v>0</v>
      </c>
      <c r="AQ654" s="2188">
        <f>AQ314*AQ395</f>
        <v>0</v>
      </c>
      <c r="AR654" s="2188">
        <f>AR314*AR395</f>
        <v>0</v>
      </c>
      <c r="AS654" s="2186">
        <f t="shared" si="1535"/>
        <v>0</v>
      </c>
      <c r="AT654" s="2188">
        <f>AT314*AT395</f>
        <v>0</v>
      </c>
      <c r="AU654" s="2188">
        <f>AU314*AU395</f>
        <v>0</v>
      </c>
      <c r="AV654" s="2186">
        <f t="shared" si="1536"/>
        <v>0</v>
      </c>
      <c r="AW654" s="2188">
        <f>AW314*AW395</f>
        <v>0</v>
      </c>
      <c r="AX654" s="2188">
        <f>AX314*AX395</f>
        <v>0</v>
      </c>
      <c r="AY654" s="2186">
        <f t="shared" si="1537"/>
        <v>0</v>
      </c>
      <c r="AZ654" s="2188">
        <f>AZ314*AZ395</f>
        <v>0</v>
      </c>
      <c r="BA654" s="2188">
        <f>BA314*BA395</f>
        <v>0</v>
      </c>
      <c r="BB654" s="2186">
        <f t="shared" si="1538"/>
        <v>0</v>
      </c>
      <c r="BC654" s="2188">
        <f>BC314*BC395</f>
        <v>0</v>
      </c>
      <c r="BD654" s="2188">
        <f>BD314*BD395</f>
        <v>0</v>
      </c>
      <c r="BE654" s="2186">
        <f t="shared" si="1539"/>
        <v>0</v>
      </c>
      <c r="BF654" s="2188">
        <f>BF314*BF395</f>
        <v>0</v>
      </c>
      <c r="BG654" s="2188">
        <f>BG314*BG395</f>
        <v>0</v>
      </c>
      <c r="BH654" s="2186">
        <f t="shared" si="1540"/>
        <v>0</v>
      </c>
      <c r="BI654" s="2188">
        <f>BI314*BI395</f>
        <v>0</v>
      </c>
      <c r="BJ654" s="2188">
        <f>BJ314*BJ395</f>
        <v>0</v>
      </c>
      <c r="BK654" s="2186">
        <f t="shared" si="1541"/>
        <v>0</v>
      </c>
      <c r="BL654" s="2188">
        <f>BL314*BL395</f>
        <v>0</v>
      </c>
      <c r="BM654" s="2188">
        <f>BM314*BM395</f>
        <v>0</v>
      </c>
      <c r="BN654" s="2186">
        <f t="shared" si="1542"/>
        <v>0</v>
      </c>
      <c r="BO654" s="2188">
        <f>BO314*BO395</f>
        <v>0</v>
      </c>
      <c r="BP654" s="2188">
        <f>BP314*BP395</f>
        <v>0</v>
      </c>
      <c r="BQ654" s="2186">
        <f t="shared" si="1543"/>
        <v>0</v>
      </c>
    </row>
    <row r="655" spans="3:69" s="2087" customFormat="1" ht="21.6" hidden="1" customHeight="1">
      <c r="C655" s="2285" t="s">
        <v>2814</v>
      </c>
      <c r="D655" s="2287" t="s">
        <v>2229</v>
      </c>
      <c r="E655" s="2284" t="s">
        <v>1833</v>
      </c>
      <c r="F655" s="2176"/>
      <c r="G655" s="2177"/>
      <c r="H655" s="2177"/>
      <c r="I655" s="2178">
        <f t="shared" si="1522"/>
        <v>0</v>
      </c>
      <c r="J655" s="2176"/>
      <c r="K655" s="2252">
        <f t="shared" si="1521"/>
        <v>0</v>
      </c>
      <c r="L655" s="2252">
        <f t="shared" si="1521"/>
        <v>0</v>
      </c>
      <c r="M655" s="2255">
        <f t="shared" si="1523"/>
        <v>0</v>
      </c>
      <c r="N655" s="2177"/>
      <c r="O655" s="2177"/>
      <c r="P655" s="2178">
        <f t="shared" si="1524"/>
        <v>0</v>
      </c>
      <c r="Q655" s="2177"/>
      <c r="R655" s="2177"/>
      <c r="S655" s="2180">
        <f t="shared" si="1525"/>
        <v>0</v>
      </c>
      <c r="T655" s="2251">
        <f t="shared" si="1526"/>
        <v>0</v>
      </c>
      <c r="U655" s="2252">
        <f t="shared" si="1526"/>
        <v>0</v>
      </c>
      <c r="V655" s="2253">
        <f t="shared" si="1527"/>
        <v>0</v>
      </c>
      <c r="W655" s="2182"/>
      <c r="X655" s="2177"/>
      <c r="Y655" s="2183">
        <f t="shared" si="1528"/>
        <v>0</v>
      </c>
      <c r="Z655" s="2254">
        <f t="shared" si="1529"/>
        <v>0</v>
      </c>
      <c r="AA655" s="2252">
        <f t="shared" si="1529"/>
        <v>0</v>
      </c>
      <c r="AB655" s="2255">
        <f t="shared" si="1530"/>
        <v>0</v>
      </c>
      <c r="AC655" s="2177"/>
      <c r="AD655" s="2177"/>
      <c r="AE655" s="2180">
        <f t="shared" si="1531"/>
        <v>0</v>
      </c>
      <c r="AF655" s="2281"/>
      <c r="AG655" s="2114"/>
      <c r="AH655" s="2177"/>
      <c r="AI655" s="2177"/>
      <c r="AJ655" s="2186">
        <f t="shared" si="1532"/>
        <v>0</v>
      </c>
      <c r="AK655" s="2177"/>
      <c r="AL655" s="2177"/>
      <c r="AM655" s="2186">
        <f t="shared" si="1533"/>
        <v>0</v>
      </c>
      <c r="AN655" s="2177"/>
      <c r="AO655" s="2177"/>
      <c r="AP655" s="2186">
        <f t="shared" si="1534"/>
        <v>0</v>
      </c>
      <c r="AQ655" s="2177"/>
      <c r="AR655" s="2177"/>
      <c r="AS655" s="2186">
        <f t="shared" si="1535"/>
        <v>0</v>
      </c>
      <c r="AT655" s="2177"/>
      <c r="AU655" s="2177"/>
      <c r="AV655" s="2186">
        <f t="shared" si="1536"/>
        <v>0</v>
      </c>
      <c r="AW655" s="2177"/>
      <c r="AX655" s="2177"/>
      <c r="AY655" s="2186">
        <f t="shared" si="1537"/>
        <v>0</v>
      </c>
      <c r="AZ655" s="2177"/>
      <c r="BA655" s="2177"/>
      <c r="BB655" s="2186">
        <f t="shared" si="1538"/>
        <v>0</v>
      </c>
      <c r="BC655" s="2177"/>
      <c r="BD655" s="2177"/>
      <c r="BE655" s="2186">
        <f t="shared" si="1539"/>
        <v>0</v>
      </c>
      <c r="BF655" s="2177"/>
      <c r="BG655" s="2177"/>
      <c r="BH655" s="2186">
        <f t="shared" si="1540"/>
        <v>0</v>
      </c>
      <c r="BI655" s="2177"/>
      <c r="BJ655" s="2177"/>
      <c r="BK655" s="2186">
        <f t="shared" si="1541"/>
        <v>0</v>
      </c>
      <c r="BL655" s="2177"/>
      <c r="BM655" s="2177"/>
      <c r="BN655" s="2186">
        <f t="shared" si="1542"/>
        <v>0</v>
      </c>
      <c r="BO655" s="2177"/>
      <c r="BP655" s="2177"/>
      <c r="BQ655" s="2186">
        <f t="shared" si="1543"/>
        <v>0</v>
      </c>
    </row>
    <row r="656" spans="3:69" s="2087" customFormat="1" ht="21.6" hidden="1" customHeight="1">
      <c r="C656" s="2285" t="s">
        <v>2815</v>
      </c>
      <c r="D656" s="2287" t="s">
        <v>2807</v>
      </c>
      <c r="E656" s="2284" t="s">
        <v>1833</v>
      </c>
      <c r="F656" s="2176"/>
      <c r="G656" s="2177"/>
      <c r="H656" s="2177"/>
      <c r="I656" s="2178">
        <f t="shared" si="1522"/>
        <v>0</v>
      </c>
      <c r="J656" s="2176"/>
      <c r="K656" s="2252">
        <f t="shared" si="1521"/>
        <v>0</v>
      </c>
      <c r="L656" s="2252">
        <f t="shared" si="1521"/>
        <v>0</v>
      </c>
      <c r="M656" s="2255">
        <f t="shared" si="1523"/>
        <v>0</v>
      </c>
      <c r="N656" s="2179">
        <f>N316*N397</f>
        <v>0</v>
      </c>
      <c r="O656" s="2179">
        <f>O316*O397</f>
        <v>0</v>
      </c>
      <c r="P656" s="2178">
        <f t="shared" si="1524"/>
        <v>0</v>
      </c>
      <c r="Q656" s="2184">
        <f>Q316*Q397</f>
        <v>0</v>
      </c>
      <c r="R656" s="2179">
        <f>R316*R397</f>
        <v>0</v>
      </c>
      <c r="S656" s="2180">
        <f t="shared" si="1525"/>
        <v>0</v>
      </c>
      <c r="T656" s="2251">
        <f t="shared" si="1526"/>
        <v>0</v>
      </c>
      <c r="U656" s="2252">
        <f t="shared" si="1526"/>
        <v>0</v>
      </c>
      <c r="V656" s="2253">
        <f t="shared" si="1527"/>
        <v>0</v>
      </c>
      <c r="W656" s="2187">
        <f>W316*W397</f>
        <v>0</v>
      </c>
      <c r="X656" s="2179">
        <f>X316*X397</f>
        <v>0</v>
      </c>
      <c r="Y656" s="2183">
        <f t="shared" si="1528"/>
        <v>0</v>
      </c>
      <c r="Z656" s="2254">
        <f t="shared" si="1529"/>
        <v>0</v>
      </c>
      <c r="AA656" s="2252">
        <f t="shared" si="1529"/>
        <v>0</v>
      </c>
      <c r="AB656" s="2255">
        <f t="shared" si="1530"/>
        <v>0</v>
      </c>
      <c r="AC656" s="2184">
        <f>AC316*AC397</f>
        <v>0</v>
      </c>
      <c r="AD656" s="2179">
        <f>AD316*AD397</f>
        <v>0</v>
      </c>
      <c r="AE656" s="2180">
        <f t="shared" si="1531"/>
        <v>0</v>
      </c>
      <c r="AF656" s="2281"/>
      <c r="AG656" s="2114"/>
      <c r="AH656" s="2188">
        <f>AH316*AH397</f>
        <v>0</v>
      </c>
      <c r="AI656" s="2188">
        <f>AI316*AI397</f>
        <v>0</v>
      </c>
      <c r="AJ656" s="2186">
        <f t="shared" si="1532"/>
        <v>0</v>
      </c>
      <c r="AK656" s="2188">
        <f>AK316*AK397</f>
        <v>0</v>
      </c>
      <c r="AL656" s="2188">
        <f>AL316*AL397</f>
        <v>0</v>
      </c>
      <c r="AM656" s="2186">
        <f t="shared" si="1533"/>
        <v>0</v>
      </c>
      <c r="AN656" s="2188">
        <f>AN316*AN397</f>
        <v>0</v>
      </c>
      <c r="AO656" s="2188">
        <f>AO316*AO397</f>
        <v>0</v>
      </c>
      <c r="AP656" s="2186">
        <f t="shared" si="1534"/>
        <v>0</v>
      </c>
      <c r="AQ656" s="2188">
        <f>AQ316*AQ397</f>
        <v>0</v>
      </c>
      <c r="AR656" s="2188">
        <f>AR316*AR397</f>
        <v>0</v>
      </c>
      <c r="AS656" s="2186">
        <f t="shared" si="1535"/>
        <v>0</v>
      </c>
      <c r="AT656" s="2188">
        <f>AT316*AT397</f>
        <v>0</v>
      </c>
      <c r="AU656" s="2188">
        <f>AU316*AU397</f>
        <v>0</v>
      </c>
      <c r="AV656" s="2186">
        <f t="shared" si="1536"/>
        <v>0</v>
      </c>
      <c r="AW656" s="2188">
        <f>AW316*AW397</f>
        <v>0</v>
      </c>
      <c r="AX656" s="2188">
        <f>AX316*AX397</f>
        <v>0</v>
      </c>
      <c r="AY656" s="2186">
        <f t="shared" si="1537"/>
        <v>0</v>
      </c>
      <c r="AZ656" s="2188">
        <f>AZ316*AZ397</f>
        <v>0</v>
      </c>
      <c r="BA656" s="2188">
        <f>BA316*BA397</f>
        <v>0</v>
      </c>
      <c r="BB656" s="2186">
        <f t="shared" si="1538"/>
        <v>0</v>
      </c>
      <c r="BC656" s="2188">
        <f>BC316*BC397</f>
        <v>0</v>
      </c>
      <c r="BD656" s="2188">
        <f>BD316*BD397</f>
        <v>0</v>
      </c>
      <c r="BE656" s="2186">
        <f t="shared" si="1539"/>
        <v>0</v>
      </c>
      <c r="BF656" s="2188">
        <f>BF316*BF397</f>
        <v>0</v>
      </c>
      <c r="BG656" s="2188">
        <f>BG316*BG397</f>
        <v>0</v>
      </c>
      <c r="BH656" s="2186">
        <f t="shared" si="1540"/>
        <v>0</v>
      </c>
      <c r="BI656" s="2188">
        <f>BI316*BI397</f>
        <v>0</v>
      </c>
      <c r="BJ656" s="2188">
        <f>BJ316*BJ397</f>
        <v>0</v>
      </c>
      <c r="BK656" s="2186">
        <f t="shared" si="1541"/>
        <v>0</v>
      </c>
      <c r="BL656" s="2188">
        <f>BL316*BL397</f>
        <v>0</v>
      </c>
      <c r="BM656" s="2188">
        <f>BM316*BM397</f>
        <v>0</v>
      </c>
      <c r="BN656" s="2186">
        <f t="shared" si="1542"/>
        <v>0</v>
      </c>
      <c r="BO656" s="2188">
        <f>BO316*BO397</f>
        <v>0</v>
      </c>
      <c r="BP656" s="2188">
        <f>BP316*BP397</f>
        <v>0</v>
      </c>
      <c r="BQ656" s="2186">
        <f t="shared" si="1543"/>
        <v>0</v>
      </c>
    </row>
    <row r="657" spans="3:69" s="2087" customFormat="1" ht="21.6" hidden="1" customHeight="1">
      <c r="C657" s="2285" t="s">
        <v>2816</v>
      </c>
      <c r="D657" s="2287" t="s">
        <v>2229</v>
      </c>
      <c r="E657" s="2284" t="s">
        <v>1833</v>
      </c>
      <c r="F657" s="2176"/>
      <c r="G657" s="2177"/>
      <c r="H657" s="2177"/>
      <c r="I657" s="2178">
        <f t="shared" si="1522"/>
        <v>0</v>
      </c>
      <c r="J657" s="2176"/>
      <c r="K657" s="2252">
        <f t="shared" ref="K657:L705" si="1544">N657+Q657+W657+AC657</f>
        <v>0</v>
      </c>
      <c r="L657" s="2252">
        <f t="shared" si="1544"/>
        <v>0</v>
      </c>
      <c r="M657" s="2255">
        <f t="shared" si="1523"/>
        <v>0</v>
      </c>
      <c r="N657" s="2177"/>
      <c r="O657" s="2177"/>
      <c r="P657" s="2178">
        <f t="shared" si="1524"/>
        <v>0</v>
      </c>
      <c r="Q657" s="2177"/>
      <c r="R657" s="2177"/>
      <c r="S657" s="2180">
        <f t="shared" si="1525"/>
        <v>0</v>
      </c>
      <c r="T657" s="2251">
        <f t="shared" si="1526"/>
        <v>0</v>
      </c>
      <c r="U657" s="2252">
        <f t="shared" si="1526"/>
        <v>0</v>
      </c>
      <c r="V657" s="2253">
        <f t="shared" si="1527"/>
        <v>0</v>
      </c>
      <c r="W657" s="2182"/>
      <c r="X657" s="2177"/>
      <c r="Y657" s="2183">
        <f t="shared" si="1528"/>
        <v>0</v>
      </c>
      <c r="Z657" s="2254">
        <f t="shared" si="1529"/>
        <v>0</v>
      </c>
      <c r="AA657" s="2252">
        <f t="shared" si="1529"/>
        <v>0</v>
      </c>
      <c r="AB657" s="2255">
        <f t="shared" si="1530"/>
        <v>0</v>
      </c>
      <c r="AC657" s="2177"/>
      <c r="AD657" s="2177"/>
      <c r="AE657" s="2180">
        <f t="shared" si="1531"/>
        <v>0</v>
      </c>
      <c r="AF657" s="2281"/>
      <c r="AG657" s="2114"/>
      <c r="AH657" s="2177"/>
      <c r="AI657" s="2177"/>
      <c r="AJ657" s="2186">
        <f t="shared" si="1532"/>
        <v>0</v>
      </c>
      <c r="AK657" s="2177"/>
      <c r="AL657" s="2177"/>
      <c r="AM657" s="2186">
        <f t="shared" si="1533"/>
        <v>0</v>
      </c>
      <c r="AN657" s="2177"/>
      <c r="AO657" s="2177"/>
      <c r="AP657" s="2186">
        <f t="shared" si="1534"/>
        <v>0</v>
      </c>
      <c r="AQ657" s="2177"/>
      <c r="AR657" s="2177"/>
      <c r="AS657" s="2186">
        <f t="shared" si="1535"/>
        <v>0</v>
      </c>
      <c r="AT657" s="2177"/>
      <c r="AU657" s="2177"/>
      <c r="AV657" s="2186">
        <f t="shared" si="1536"/>
        <v>0</v>
      </c>
      <c r="AW657" s="2177"/>
      <c r="AX657" s="2177"/>
      <c r="AY657" s="2186">
        <f t="shared" si="1537"/>
        <v>0</v>
      </c>
      <c r="AZ657" s="2177"/>
      <c r="BA657" s="2177"/>
      <c r="BB657" s="2186">
        <f t="shared" si="1538"/>
        <v>0</v>
      </c>
      <c r="BC657" s="2177"/>
      <c r="BD657" s="2177"/>
      <c r="BE657" s="2186">
        <f t="shared" si="1539"/>
        <v>0</v>
      </c>
      <c r="BF657" s="2177"/>
      <c r="BG657" s="2177"/>
      <c r="BH657" s="2186">
        <f t="shared" si="1540"/>
        <v>0</v>
      </c>
      <c r="BI657" s="2177"/>
      <c r="BJ657" s="2177"/>
      <c r="BK657" s="2186">
        <f t="shared" si="1541"/>
        <v>0</v>
      </c>
      <c r="BL657" s="2177"/>
      <c r="BM657" s="2177"/>
      <c r="BN657" s="2186">
        <f t="shared" si="1542"/>
        <v>0</v>
      </c>
      <c r="BO657" s="2177"/>
      <c r="BP657" s="2177"/>
      <c r="BQ657" s="2186">
        <f t="shared" si="1543"/>
        <v>0</v>
      </c>
    </row>
    <row r="658" spans="3:69" s="2159" customFormat="1" ht="21.6" hidden="1" customHeight="1">
      <c r="C658" s="2256" t="s">
        <v>2817</v>
      </c>
      <c r="D658" s="2280" t="str">
        <f>D318</f>
        <v>Контрагент 2</v>
      </c>
      <c r="E658" s="2297" t="s">
        <v>1833</v>
      </c>
      <c r="F658" s="2162"/>
      <c r="G658" s="2163">
        <f>G660+G662+G664+G661+G663+G665</f>
        <v>0</v>
      </c>
      <c r="H658" s="2163">
        <f>H660+H662+H664+H661+H663+H665</f>
        <v>0</v>
      </c>
      <c r="I658" s="2164">
        <f t="shared" si="1522"/>
        <v>0</v>
      </c>
      <c r="J658" s="2162"/>
      <c r="K658" s="2259">
        <f t="shared" si="1544"/>
        <v>0</v>
      </c>
      <c r="L658" s="2163">
        <f t="shared" si="1544"/>
        <v>0</v>
      </c>
      <c r="M658" s="2164">
        <f t="shared" si="1523"/>
        <v>0</v>
      </c>
      <c r="N658" s="2163">
        <f>N660+N662+N664+N661+N663+N665</f>
        <v>0</v>
      </c>
      <c r="O658" s="2163">
        <f>O660+O662+O664+O661+O663+O665</f>
        <v>0</v>
      </c>
      <c r="P658" s="2164">
        <f t="shared" si="1524"/>
        <v>0</v>
      </c>
      <c r="Q658" s="2163">
        <f>Q660+Q662+Q664+Q661+Q663+Q665</f>
        <v>0</v>
      </c>
      <c r="R658" s="2163">
        <f>R660+R662+R664+R661+R663+R665</f>
        <v>0</v>
      </c>
      <c r="S658" s="2166">
        <f t="shared" si="1525"/>
        <v>0</v>
      </c>
      <c r="T658" s="2167">
        <f t="shared" si="1526"/>
        <v>0</v>
      </c>
      <c r="U658" s="2163">
        <f t="shared" si="1526"/>
        <v>0</v>
      </c>
      <c r="V658" s="2166">
        <f t="shared" si="1527"/>
        <v>0</v>
      </c>
      <c r="W658" s="2168">
        <f>W660+W662+W664+W661+W663+W665</f>
        <v>0</v>
      </c>
      <c r="X658" s="2163">
        <f>X660+X662+X664+X661+X663+X665</f>
        <v>0</v>
      </c>
      <c r="Y658" s="2169">
        <f t="shared" si="1528"/>
        <v>0</v>
      </c>
      <c r="Z658" s="2165">
        <f t="shared" si="1529"/>
        <v>0</v>
      </c>
      <c r="AA658" s="2163">
        <f t="shared" si="1529"/>
        <v>0</v>
      </c>
      <c r="AB658" s="2164">
        <f t="shared" si="1530"/>
        <v>0</v>
      </c>
      <c r="AC658" s="2163">
        <f>AC660+AC662+AC664+AC661+AC663+AC665</f>
        <v>0</v>
      </c>
      <c r="AD658" s="2163">
        <f>AD660+AD662+AD664+AD661+AD663+AD665</f>
        <v>0</v>
      </c>
      <c r="AE658" s="2166">
        <f t="shared" si="1531"/>
        <v>0</v>
      </c>
      <c r="AF658" s="2281"/>
      <c r="AG658" s="2158"/>
      <c r="AH658" s="2171">
        <f>AH660+AH662+AH664+AH661+AH663+AH665</f>
        <v>0</v>
      </c>
      <c r="AI658" s="2171">
        <f>AI660+AI662+AI664+AI661+AI663+AI665</f>
        <v>0</v>
      </c>
      <c r="AJ658" s="2172">
        <f t="shared" si="1532"/>
        <v>0</v>
      </c>
      <c r="AK658" s="2171">
        <f>AK660+AK662+AK664+AK661+AK663+AK665</f>
        <v>0</v>
      </c>
      <c r="AL658" s="2171">
        <f>AL660+AL662+AL664+AL661+AL663+AL665</f>
        <v>0</v>
      </c>
      <c r="AM658" s="2172">
        <f t="shared" si="1533"/>
        <v>0</v>
      </c>
      <c r="AN658" s="2171">
        <f>AN660+AN662+AN664+AN661+AN663+AN665</f>
        <v>0</v>
      </c>
      <c r="AO658" s="2171">
        <f>AO660+AO662+AO664+AO661+AO663+AO665</f>
        <v>0</v>
      </c>
      <c r="AP658" s="2172">
        <f t="shared" si="1534"/>
        <v>0</v>
      </c>
      <c r="AQ658" s="2171">
        <f>AQ660+AQ662+AQ664+AQ661+AQ663+AQ665</f>
        <v>0</v>
      </c>
      <c r="AR658" s="2171">
        <f>AR660+AR662+AR664+AR661+AR663+AR665</f>
        <v>0</v>
      </c>
      <c r="AS658" s="2172">
        <f t="shared" si="1535"/>
        <v>0</v>
      </c>
      <c r="AT658" s="2171">
        <f>AT660+AT662+AT664+AT661+AT663+AT665</f>
        <v>0</v>
      </c>
      <c r="AU658" s="2171">
        <f>AU660+AU662+AU664+AU661+AU663+AU665</f>
        <v>0</v>
      </c>
      <c r="AV658" s="2172">
        <f t="shared" si="1536"/>
        <v>0</v>
      </c>
      <c r="AW658" s="2171">
        <f>AW660+AW662+AW664+AW661+AW663+AW665</f>
        <v>0</v>
      </c>
      <c r="AX658" s="2171">
        <f>AX660+AX662+AX664+AX661+AX663+AX665</f>
        <v>0</v>
      </c>
      <c r="AY658" s="2172">
        <f t="shared" si="1537"/>
        <v>0</v>
      </c>
      <c r="AZ658" s="2171">
        <f>AZ660+AZ662+AZ664+AZ661+AZ663+AZ665</f>
        <v>0</v>
      </c>
      <c r="BA658" s="2171">
        <f>BA660+BA662+BA664+BA661+BA663+BA665</f>
        <v>0</v>
      </c>
      <c r="BB658" s="2172">
        <f t="shared" si="1538"/>
        <v>0</v>
      </c>
      <c r="BC658" s="2171">
        <f>BC660+BC662+BC664+BC661+BC663+BC665</f>
        <v>0</v>
      </c>
      <c r="BD658" s="2171">
        <f>BD660+BD662+BD664+BD661+BD663+BD665</f>
        <v>0</v>
      </c>
      <c r="BE658" s="2172">
        <f t="shared" si="1539"/>
        <v>0</v>
      </c>
      <c r="BF658" s="2171">
        <f>BF660+BF662+BF664+BF661+BF663+BF665</f>
        <v>0</v>
      </c>
      <c r="BG658" s="2171">
        <f>BG660+BG662+BG664+BG661+BG663+BG665</f>
        <v>0</v>
      </c>
      <c r="BH658" s="2172">
        <f t="shared" si="1540"/>
        <v>0</v>
      </c>
      <c r="BI658" s="2171">
        <f>BI660+BI662+BI664+BI661+BI663+BI665</f>
        <v>0</v>
      </c>
      <c r="BJ658" s="2171">
        <f>BJ660+BJ662+BJ664+BJ661+BJ663+BJ665</f>
        <v>0</v>
      </c>
      <c r="BK658" s="2172">
        <f t="shared" si="1541"/>
        <v>0</v>
      </c>
      <c r="BL658" s="2171">
        <f>BL660+BL662+BL664+BL661+BL663+BL665</f>
        <v>0</v>
      </c>
      <c r="BM658" s="2171">
        <f>BM660+BM662+BM664+BM661+BM663+BM665</f>
        <v>0</v>
      </c>
      <c r="BN658" s="2172">
        <f t="shared" si="1542"/>
        <v>0</v>
      </c>
      <c r="BO658" s="2171">
        <f>BO660+BO662+BO664+BO661+BO663+BO665</f>
        <v>0</v>
      </c>
      <c r="BP658" s="2171">
        <f>BP660+BP662+BP664+BP661+BP663+BP665</f>
        <v>0</v>
      </c>
      <c r="BQ658" s="2172">
        <f t="shared" si="1543"/>
        <v>0</v>
      </c>
    </row>
    <row r="659" spans="3:69" s="2087" customFormat="1" ht="21.6" hidden="1" customHeight="1">
      <c r="C659" s="2285" t="s">
        <v>2818</v>
      </c>
      <c r="D659" s="2289" t="s">
        <v>2211</v>
      </c>
      <c r="E659" s="2284" t="s">
        <v>1833</v>
      </c>
      <c r="F659" s="2176"/>
      <c r="G659" s="2177"/>
      <c r="H659" s="2177"/>
      <c r="I659" s="2178">
        <f t="shared" si="1522"/>
        <v>0</v>
      </c>
      <c r="J659" s="2176"/>
      <c r="K659" s="2252">
        <f t="shared" si="1544"/>
        <v>0</v>
      </c>
      <c r="L659" s="2252">
        <f t="shared" si="1544"/>
        <v>0</v>
      </c>
      <c r="M659" s="2255">
        <f t="shared" si="1523"/>
        <v>0</v>
      </c>
      <c r="N659" s="2177"/>
      <c r="O659" s="2177"/>
      <c r="P659" s="2178">
        <f t="shared" si="1524"/>
        <v>0</v>
      </c>
      <c r="Q659" s="2176"/>
      <c r="R659" s="2177"/>
      <c r="S659" s="2180">
        <f t="shared" si="1525"/>
        <v>0</v>
      </c>
      <c r="T659" s="2251">
        <f t="shared" ref="T659:U705" si="1545">N659+Q659</f>
        <v>0</v>
      </c>
      <c r="U659" s="2252">
        <f t="shared" si="1545"/>
        <v>0</v>
      </c>
      <c r="V659" s="2253">
        <f t="shared" si="1527"/>
        <v>0</v>
      </c>
      <c r="W659" s="2182"/>
      <c r="X659" s="2177"/>
      <c r="Y659" s="2183">
        <f t="shared" si="1528"/>
        <v>0</v>
      </c>
      <c r="Z659" s="2254">
        <f t="shared" ref="Z659:AA705" si="1546">T659+W659</f>
        <v>0</v>
      </c>
      <c r="AA659" s="2252">
        <f t="shared" si="1546"/>
        <v>0</v>
      </c>
      <c r="AB659" s="2255">
        <f t="shared" si="1530"/>
        <v>0</v>
      </c>
      <c r="AC659" s="2176"/>
      <c r="AD659" s="2177"/>
      <c r="AE659" s="2180">
        <f t="shared" si="1531"/>
        <v>0</v>
      </c>
      <c r="AF659" s="2281"/>
      <c r="AG659" s="2114"/>
      <c r="AH659" s="2177"/>
      <c r="AI659" s="2177"/>
      <c r="AJ659" s="2186">
        <f t="shared" si="1532"/>
        <v>0</v>
      </c>
      <c r="AK659" s="2177"/>
      <c r="AL659" s="2177"/>
      <c r="AM659" s="2186">
        <f t="shared" si="1533"/>
        <v>0</v>
      </c>
      <c r="AN659" s="2177"/>
      <c r="AO659" s="2177"/>
      <c r="AP659" s="2186">
        <f t="shared" si="1534"/>
        <v>0</v>
      </c>
      <c r="AQ659" s="2177"/>
      <c r="AR659" s="2177"/>
      <c r="AS659" s="2186">
        <f t="shared" si="1535"/>
        <v>0</v>
      </c>
      <c r="AT659" s="2177"/>
      <c r="AU659" s="2177"/>
      <c r="AV659" s="2186">
        <f t="shared" si="1536"/>
        <v>0</v>
      </c>
      <c r="AW659" s="2177"/>
      <c r="AX659" s="2177"/>
      <c r="AY659" s="2186">
        <f t="shared" si="1537"/>
        <v>0</v>
      </c>
      <c r="AZ659" s="2177"/>
      <c r="BA659" s="2177"/>
      <c r="BB659" s="2186">
        <f t="shared" si="1538"/>
        <v>0</v>
      </c>
      <c r="BC659" s="2177"/>
      <c r="BD659" s="2177"/>
      <c r="BE659" s="2186">
        <f t="shared" si="1539"/>
        <v>0</v>
      </c>
      <c r="BF659" s="2177"/>
      <c r="BG659" s="2177"/>
      <c r="BH659" s="2186">
        <f t="shared" si="1540"/>
        <v>0</v>
      </c>
      <c r="BI659" s="2177"/>
      <c r="BJ659" s="2177"/>
      <c r="BK659" s="2186">
        <f t="shared" si="1541"/>
        <v>0</v>
      </c>
      <c r="BL659" s="2177"/>
      <c r="BM659" s="2177"/>
      <c r="BN659" s="2186">
        <f t="shared" si="1542"/>
        <v>0</v>
      </c>
      <c r="BO659" s="2177"/>
      <c r="BP659" s="2177"/>
      <c r="BQ659" s="2186">
        <f t="shared" si="1543"/>
        <v>0</v>
      </c>
    </row>
    <row r="660" spans="3:69" s="2087" customFormat="1" ht="21.6" hidden="1" customHeight="1">
      <c r="C660" s="2285" t="s">
        <v>2819</v>
      </c>
      <c r="D660" s="2287" t="s">
        <v>2801</v>
      </c>
      <c r="E660" s="2284" t="s">
        <v>1833</v>
      </c>
      <c r="F660" s="2176"/>
      <c r="G660" s="2177"/>
      <c r="H660" s="2177"/>
      <c r="I660" s="2178">
        <f t="shared" si="1522"/>
        <v>0</v>
      </c>
      <c r="J660" s="2176"/>
      <c r="K660" s="2252">
        <f t="shared" si="1544"/>
        <v>0</v>
      </c>
      <c r="L660" s="2252">
        <f t="shared" si="1544"/>
        <v>0</v>
      </c>
      <c r="M660" s="2255">
        <f t="shared" si="1523"/>
        <v>0</v>
      </c>
      <c r="N660" s="2179">
        <f>N320*N400*3/1000</f>
        <v>0</v>
      </c>
      <c r="O660" s="2179">
        <f>O320*O400*3/1000</f>
        <v>0</v>
      </c>
      <c r="P660" s="2178">
        <f t="shared" si="1524"/>
        <v>0</v>
      </c>
      <c r="Q660" s="2179">
        <f>Q320*Q400*3/1000</f>
        <v>0</v>
      </c>
      <c r="R660" s="2179">
        <f>R320*R400*3/1000</f>
        <v>0</v>
      </c>
      <c r="S660" s="2180">
        <f t="shared" si="1525"/>
        <v>0</v>
      </c>
      <c r="T660" s="2251">
        <f t="shared" si="1545"/>
        <v>0</v>
      </c>
      <c r="U660" s="2252">
        <f t="shared" si="1545"/>
        <v>0</v>
      </c>
      <c r="V660" s="2253">
        <f t="shared" si="1527"/>
        <v>0</v>
      </c>
      <c r="W660" s="2187">
        <f>W320*W400*3/1000</f>
        <v>0</v>
      </c>
      <c r="X660" s="2179">
        <f>X320*X400*3/1000</f>
        <v>0</v>
      </c>
      <c r="Y660" s="2183">
        <f t="shared" si="1528"/>
        <v>0</v>
      </c>
      <c r="Z660" s="2254">
        <f t="shared" si="1546"/>
        <v>0</v>
      </c>
      <c r="AA660" s="2252">
        <f t="shared" si="1546"/>
        <v>0</v>
      </c>
      <c r="AB660" s="2255">
        <f t="shared" si="1530"/>
        <v>0</v>
      </c>
      <c r="AC660" s="2179">
        <f>AC320*AC400*3/1000</f>
        <v>0</v>
      </c>
      <c r="AD660" s="2179">
        <f>AD320*AD400*3/1000</f>
        <v>0</v>
      </c>
      <c r="AE660" s="2180">
        <f t="shared" si="1531"/>
        <v>0</v>
      </c>
      <c r="AF660" s="2281"/>
      <c r="AG660" s="2114"/>
      <c r="AH660" s="2188">
        <f>AH320*AH400*3/1000</f>
        <v>0</v>
      </c>
      <c r="AI660" s="2188">
        <f>AI320*AI400*3/1000</f>
        <v>0</v>
      </c>
      <c r="AJ660" s="2186">
        <f t="shared" si="1532"/>
        <v>0</v>
      </c>
      <c r="AK660" s="2188">
        <f>AK320*AK400*3/1000</f>
        <v>0</v>
      </c>
      <c r="AL660" s="2188">
        <f>AL320*AL400*3/1000</f>
        <v>0</v>
      </c>
      <c r="AM660" s="2186">
        <f t="shared" si="1533"/>
        <v>0</v>
      </c>
      <c r="AN660" s="2188">
        <f>AN320*AN400*3/1000</f>
        <v>0</v>
      </c>
      <c r="AO660" s="2188">
        <f>AO320*AO400*3/1000</f>
        <v>0</v>
      </c>
      <c r="AP660" s="2186">
        <f t="shared" si="1534"/>
        <v>0</v>
      </c>
      <c r="AQ660" s="2188">
        <f>AQ320*AQ400*3/1000</f>
        <v>0</v>
      </c>
      <c r="AR660" s="2188">
        <f>AR320*AR400*3/1000</f>
        <v>0</v>
      </c>
      <c r="AS660" s="2186">
        <f t="shared" si="1535"/>
        <v>0</v>
      </c>
      <c r="AT660" s="2188">
        <f>AT320*AT400*3/1000</f>
        <v>0</v>
      </c>
      <c r="AU660" s="2188">
        <f>AU320*AU400*3/1000</f>
        <v>0</v>
      </c>
      <c r="AV660" s="2186">
        <f t="shared" si="1536"/>
        <v>0</v>
      </c>
      <c r="AW660" s="2188">
        <f>AW320*AW400*3/1000</f>
        <v>0</v>
      </c>
      <c r="AX660" s="2188">
        <f>AX320*AX400*3/1000</f>
        <v>0</v>
      </c>
      <c r="AY660" s="2186">
        <f t="shared" si="1537"/>
        <v>0</v>
      </c>
      <c r="AZ660" s="2188">
        <f>AZ320*AZ400*3/1000</f>
        <v>0</v>
      </c>
      <c r="BA660" s="2188">
        <f>BA320*BA400*3/1000</f>
        <v>0</v>
      </c>
      <c r="BB660" s="2186">
        <f t="shared" si="1538"/>
        <v>0</v>
      </c>
      <c r="BC660" s="2188">
        <f>BC320*BC400*3/1000</f>
        <v>0</v>
      </c>
      <c r="BD660" s="2188">
        <f>BD320*BD400*3/1000</f>
        <v>0</v>
      </c>
      <c r="BE660" s="2186">
        <f t="shared" si="1539"/>
        <v>0</v>
      </c>
      <c r="BF660" s="2188">
        <f>BF320*BF400*3/1000</f>
        <v>0</v>
      </c>
      <c r="BG660" s="2188">
        <f>BG320*BG400*3/1000</f>
        <v>0</v>
      </c>
      <c r="BH660" s="2186">
        <f t="shared" si="1540"/>
        <v>0</v>
      </c>
      <c r="BI660" s="2188">
        <f>BI320*BI400*3/1000</f>
        <v>0</v>
      </c>
      <c r="BJ660" s="2188">
        <f>BJ320*BJ400*3/1000</f>
        <v>0</v>
      </c>
      <c r="BK660" s="2186">
        <f t="shared" si="1541"/>
        <v>0</v>
      </c>
      <c r="BL660" s="2188">
        <f>BL320*BL400*3/1000</f>
        <v>0</v>
      </c>
      <c r="BM660" s="2188">
        <f>BM320*BM400*3/1000</f>
        <v>0</v>
      </c>
      <c r="BN660" s="2186">
        <f t="shared" si="1542"/>
        <v>0</v>
      </c>
      <c r="BO660" s="2188">
        <f>BO320*BO400*3/1000</f>
        <v>0</v>
      </c>
      <c r="BP660" s="2188">
        <f>BP320*BP400*3/1000</f>
        <v>0</v>
      </c>
      <c r="BQ660" s="2186">
        <f t="shared" si="1543"/>
        <v>0</v>
      </c>
    </row>
    <row r="661" spans="3:69" s="2087" customFormat="1" ht="21.6" hidden="1" customHeight="1">
      <c r="C661" s="2285" t="s">
        <v>2820</v>
      </c>
      <c r="D661" s="2287" t="s">
        <v>2229</v>
      </c>
      <c r="E661" s="2284" t="s">
        <v>1833</v>
      </c>
      <c r="F661" s="2176"/>
      <c r="G661" s="2177"/>
      <c r="H661" s="2177"/>
      <c r="I661" s="2178">
        <f t="shared" si="1522"/>
        <v>0</v>
      </c>
      <c r="J661" s="2176"/>
      <c r="K661" s="2252">
        <f t="shared" si="1544"/>
        <v>0</v>
      </c>
      <c r="L661" s="2252">
        <f t="shared" si="1544"/>
        <v>0</v>
      </c>
      <c r="M661" s="2255">
        <f t="shared" si="1523"/>
        <v>0</v>
      </c>
      <c r="N661" s="2177"/>
      <c r="O661" s="2177"/>
      <c r="P661" s="2178">
        <f t="shared" si="1524"/>
        <v>0</v>
      </c>
      <c r="Q661" s="2177"/>
      <c r="R661" s="2177"/>
      <c r="S661" s="2180">
        <f t="shared" si="1525"/>
        <v>0</v>
      </c>
      <c r="T661" s="2251">
        <f t="shared" si="1545"/>
        <v>0</v>
      </c>
      <c r="U661" s="2252">
        <f t="shared" si="1545"/>
        <v>0</v>
      </c>
      <c r="V661" s="2253">
        <f t="shared" si="1527"/>
        <v>0</v>
      </c>
      <c r="W661" s="2182"/>
      <c r="X661" s="2177"/>
      <c r="Y661" s="2183">
        <f t="shared" si="1528"/>
        <v>0</v>
      </c>
      <c r="Z661" s="2254">
        <f t="shared" si="1546"/>
        <v>0</v>
      </c>
      <c r="AA661" s="2252">
        <f t="shared" si="1546"/>
        <v>0</v>
      </c>
      <c r="AB661" s="2255">
        <f t="shared" si="1530"/>
        <v>0</v>
      </c>
      <c r="AC661" s="2177"/>
      <c r="AD661" s="2177"/>
      <c r="AE661" s="2180">
        <f t="shared" si="1531"/>
        <v>0</v>
      </c>
      <c r="AF661" s="2281"/>
      <c r="AG661" s="2114"/>
      <c r="AH661" s="2177"/>
      <c r="AI661" s="2177"/>
      <c r="AJ661" s="2186">
        <f t="shared" si="1532"/>
        <v>0</v>
      </c>
      <c r="AK661" s="2177"/>
      <c r="AL661" s="2177"/>
      <c r="AM661" s="2186">
        <f t="shared" si="1533"/>
        <v>0</v>
      </c>
      <c r="AN661" s="2177"/>
      <c r="AO661" s="2177"/>
      <c r="AP661" s="2186">
        <f t="shared" si="1534"/>
        <v>0</v>
      </c>
      <c r="AQ661" s="2177"/>
      <c r="AR661" s="2177"/>
      <c r="AS661" s="2186">
        <f t="shared" si="1535"/>
        <v>0</v>
      </c>
      <c r="AT661" s="2177"/>
      <c r="AU661" s="2177"/>
      <c r="AV661" s="2186">
        <f t="shared" si="1536"/>
        <v>0</v>
      </c>
      <c r="AW661" s="2177"/>
      <c r="AX661" s="2177"/>
      <c r="AY661" s="2186">
        <f t="shared" si="1537"/>
        <v>0</v>
      </c>
      <c r="AZ661" s="2177"/>
      <c r="BA661" s="2177"/>
      <c r="BB661" s="2186">
        <f t="shared" si="1538"/>
        <v>0</v>
      </c>
      <c r="BC661" s="2177"/>
      <c r="BD661" s="2177"/>
      <c r="BE661" s="2186">
        <f t="shared" si="1539"/>
        <v>0</v>
      </c>
      <c r="BF661" s="2177"/>
      <c r="BG661" s="2177"/>
      <c r="BH661" s="2186">
        <f t="shared" si="1540"/>
        <v>0</v>
      </c>
      <c r="BI661" s="2177"/>
      <c r="BJ661" s="2177"/>
      <c r="BK661" s="2186">
        <f t="shared" si="1541"/>
        <v>0</v>
      </c>
      <c r="BL661" s="2177"/>
      <c r="BM661" s="2177"/>
      <c r="BN661" s="2186">
        <f t="shared" si="1542"/>
        <v>0</v>
      </c>
      <c r="BO661" s="2177"/>
      <c r="BP661" s="2177"/>
      <c r="BQ661" s="2186">
        <f t="shared" si="1543"/>
        <v>0</v>
      </c>
    </row>
    <row r="662" spans="3:69" s="2087" customFormat="1" ht="21.6" hidden="1" customHeight="1">
      <c r="C662" s="2285" t="s">
        <v>2821</v>
      </c>
      <c r="D662" s="2287" t="s">
        <v>2804</v>
      </c>
      <c r="E662" s="2284" t="s">
        <v>1833</v>
      </c>
      <c r="F662" s="2176"/>
      <c r="G662" s="2177"/>
      <c r="H662" s="2177"/>
      <c r="I662" s="2178">
        <f t="shared" si="1522"/>
        <v>0</v>
      </c>
      <c r="J662" s="2176"/>
      <c r="K662" s="2252">
        <f t="shared" si="1544"/>
        <v>0</v>
      </c>
      <c r="L662" s="2252">
        <f t="shared" si="1544"/>
        <v>0</v>
      </c>
      <c r="M662" s="2255">
        <f t="shared" si="1523"/>
        <v>0</v>
      </c>
      <c r="N662" s="2179">
        <f>N322*N402</f>
        <v>0</v>
      </c>
      <c r="O662" s="2179">
        <f>O322*O402</f>
        <v>0</v>
      </c>
      <c r="P662" s="2178">
        <f t="shared" si="1524"/>
        <v>0</v>
      </c>
      <c r="Q662" s="2184">
        <f>Q322*Q402</f>
        <v>0</v>
      </c>
      <c r="R662" s="2179">
        <f>R322*R402</f>
        <v>0</v>
      </c>
      <c r="S662" s="2180">
        <f t="shared" si="1525"/>
        <v>0</v>
      </c>
      <c r="T662" s="2251">
        <f t="shared" si="1545"/>
        <v>0</v>
      </c>
      <c r="U662" s="2252">
        <f t="shared" si="1545"/>
        <v>0</v>
      </c>
      <c r="V662" s="2253">
        <f t="shared" si="1527"/>
        <v>0</v>
      </c>
      <c r="W662" s="2187">
        <f>W322*W402</f>
        <v>0</v>
      </c>
      <c r="X662" s="2179">
        <f>X322*X402</f>
        <v>0</v>
      </c>
      <c r="Y662" s="2183">
        <f t="shared" si="1528"/>
        <v>0</v>
      </c>
      <c r="Z662" s="2254">
        <f t="shared" si="1546"/>
        <v>0</v>
      </c>
      <c r="AA662" s="2252">
        <f t="shared" si="1546"/>
        <v>0</v>
      </c>
      <c r="AB662" s="2255">
        <f t="shared" si="1530"/>
        <v>0</v>
      </c>
      <c r="AC662" s="2184">
        <f>AC322*AC402</f>
        <v>0</v>
      </c>
      <c r="AD662" s="2179">
        <f>AD322*AD402</f>
        <v>0</v>
      </c>
      <c r="AE662" s="2180">
        <f t="shared" si="1531"/>
        <v>0</v>
      </c>
      <c r="AF662" s="2281"/>
      <c r="AG662" s="2114"/>
      <c r="AH662" s="2188">
        <f>AH322*AH402</f>
        <v>0</v>
      </c>
      <c r="AI662" s="2188">
        <f>AI322*AI402</f>
        <v>0</v>
      </c>
      <c r="AJ662" s="2186">
        <f t="shared" si="1532"/>
        <v>0</v>
      </c>
      <c r="AK662" s="2188">
        <f>AK322*AK402</f>
        <v>0</v>
      </c>
      <c r="AL662" s="2188">
        <f>AL322*AL402</f>
        <v>0</v>
      </c>
      <c r="AM662" s="2186">
        <f t="shared" si="1533"/>
        <v>0</v>
      </c>
      <c r="AN662" s="2188">
        <f>AN322*AN402</f>
        <v>0</v>
      </c>
      <c r="AO662" s="2188">
        <f>AO322*AO402</f>
        <v>0</v>
      </c>
      <c r="AP662" s="2186">
        <f t="shared" si="1534"/>
        <v>0</v>
      </c>
      <c r="AQ662" s="2188">
        <f>AQ322*AQ402</f>
        <v>0</v>
      </c>
      <c r="AR662" s="2188">
        <f>AR322*AR402</f>
        <v>0</v>
      </c>
      <c r="AS662" s="2186">
        <f t="shared" si="1535"/>
        <v>0</v>
      </c>
      <c r="AT662" s="2188">
        <f>AT322*AT402</f>
        <v>0</v>
      </c>
      <c r="AU662" s="2188">
        <f>AU322*AU402</f>
        <v>0</v>
      </c>
      <c r="AV662" s="2186">
        <f t="shared" si="1536"/>
        <v>0</v>
      </c>
      <c r="AW662" s="2188">
        <f>AW322*AW402</f>
        <v>0</v>
      </c>
      <c r="AX662" s="2188">
        <f>AX322*AX402</f>
        <v>0</v>
      </c>
      <c r="AY662" s="2186">
        <f t="shared" si="1537"/>
        <v>0</v>
      </c>
      <c r="AZ662" s="2188">
        <f>AZ322*AZ402</f>
        <v>0</v>
      </c>
      <c r="BA662" s="2188">
        <f>BA322*BA402</f>
        <v>0</v>
      </c>
      <c r="BB662" s="2186">
        <f t="shared" si="1538"/>
        <v>0</v>
      </c>
      <c r="BC662" s="2188">
        <f>BC322*BC402</f>
        <v>0</v>
      </c>
      <c r="BD662" s="2188">
        <f>BD322*BD402</f>
        <v>0</v>
      </c>
      <c r="BE662" s="2186">
        <f t="shared" si="1539"/>
        <v>0</v>
      </c>
      <c r="BF662" s="2188">
        <f>BF322*BF402</f>
        <v>0</v>
      </c>
      <c r="BG662" s="2188">
        <f>BG322*BG402</f>
        <v>0</v>
      </c>
      <c r="BH662" s="2186">
        <f t="shared" si="1540"/>
        <v>0</v>
      </c>
      <c r="BI662" s="2188">
        <f>BI322*BI402</f>
        <v>0</v>
      </c>
      <c r="BJ662" s="2188">
        <f>BJ322*BJ402</f>
        <v>0</v>
      </c>
      <c r="BK662" s="2186">
        <f t="shared" si="1541"/>
        <v>0</v>
      </c>
      <c r="BL662" s="2188">
        <f>BL322*BL402</f>
        <v>0</v>
      </c>
      <c r="BM662" s="2188">
        <f>BM322*BM402</f>
        <v>0</v>
      </c>
      <c r="BN662" s="2186">
        <f t="shared" si="1542"/>
        <v>0</v>
      </c>
      <c r="BO662" s="2188">
        <f>BO322*BO402</f>
        <v>0</v>
      </c>
      <c r="BP662" s="2188">
        <f>BP322*BP402</f>
        <v>0</v>
      </c>
      <c r="BQ662" s="2186">
        <f t="shared" si="1543"/>
        <v>0</v>
      </c>
    </row>
    <row r="663" spans="3:69" s="2087" customFormat="1" ht="21.6" hidden="1" customHeight="1">
      <c r="C663" s="2285" t="s">
        <v>2822</v>
      </c>
      <c r="D663" s="2287" t="s">
        <v>2229</v>
      </c>
      <c r="E663" s="2284" t="s">
        <v>1833</v>
      </c>
      <c r="F663" s="2176"/>
      <c r="G663" s="2177"/>
      <c r="H663" s="2177"/>
      <c r="I663" s="2178">
        <f t="shared" si="1522"/>
        <v>0</v>
      </c>
      <c r="J663" s="2176"/>
      <c r="K663" s="2252">
        <f t="shared" si="1544"/>
        <v>0</v>
      </c>
      <c r="L663" s="2252">
        <f t="shared" si="1544"/>
        <v>0</v>
      </c>
      <c r="M663" s="2255">
        <f t="shared" si="1523"/>
        <v>0</v>
      </c>
      <c r="N663" s="2177"/>
      <c r="O663" s="2177"/>
      <c r="P663" s="2178">
        <f t="shared" si="1524"/>
        <v>0</v>
      </c>
      <c r="Q663" s="2177"/>
      <c r="R663" s="2177"/>
      <c r="S663" s="2180">
        <f t="shared" si="1525"/>
        <v>0</v>
      </c>
      <c r="T663" s="2251">
        <f t="shared" si="1545"/>
        <v>0</v>
      </c>
      <c r="U663" s="2252">
        <f t="shared" si="1545"/>
        <v>0</v>
      </c>
      <c r="V663" s="2253">
        <f t="shared" si="1527"/>
        <v>0</v>
      </c>
      <c r="W663" s="2182"/>
      <c r="X663" s="2177"/>
      <c r="Y663" s="2183">
        <f t="shared" si="1528"/>
        <v>0</v>
      </c>
      <c r="Z663" s="2254">
        <f t="shared" si="1546"/>
        <v>0</v>
      </c>
      <c r="AA663" s="2252">
        <f t="shared" si="1546"/>
        <v>0</v>
      </c>
      <c r="AB663" s="2255">
        <f t="shared" si="1530"/>
        <v>0</v>
      </c>
      <c r="AC663" s="2177"/>
      <c r="AD663" s="2177"/>
      <c r="AE663" s="2180">
        <f t="shared" si="1531"/>
        <v>0</v>
      </c>
      <c r="AF663" s="2281"/>
      <c r="AG663" s="2114"/>
      <c r="AH663" s="2177"/>
      <c r="AI663" s="2177"/>
      <c r="AJ663" s="2186">
        <f t="shared" si="1532"/>
        <v>0</v>
      </c>
      <c r="AK663" s="2177"/>
      <c r="AL663" s="2177"/>
      <c r="AM663" s="2186">
        <f t="shared" si="1533"/>
        <v>0</v>
      </c>
      <c r="AN663" s="2177"/>
      <c r="AO663" s="2177"/>
      <c r="AP663" s="2186">
        <f t="shared" si="1534"/>
        <v>0</v>
      </c>
      <c r="AQ663" s="2177"/>
      <c r="AR663" s="2177"/>
      <c r="AS663" s="2186">
        <f t="shared" si="1535"/>
        <v>0</v>
      </c>
      <c r="AT663" s="2177"/>
      <c r="AU663" s="2177"/>
      <c r="AV663" s="2186">
        <f t="shared" si="1536"/>
        <v>0</v>
      </c>
      <c r="AW663" s="2177"/>
      <c r="AX663" s="2177"/>
      <c r="AY663" s="2186">
        <f t="shared" si="1537"/>
        <v>0</v>
      </c>
      <c r="AZ663" s="2177"/>
      <c r="BA663" s="2177"/>
      <c r="BB663" s="2186">
        <f t="shared" si="1538"/>
        <v>0</v>
      </c>
      <c r="BC663" s="2177"/>
      <c r="BD663" s="2177"/>
      <c r="BE663" s="2186">
        <f t="shared" si="1539"/>
        <v>0</v>
      </c>
      <c r="BF663" s="2177"/>
      <c r="BG663" s="2177"/>
      <c r="BH663" s="2186">
        <f t="shared" si="1540"/>
        <v>0</v>
      </c>
      <c r="BI663" s="2177"/>
      <c r="BJ663" s="2177"/>
      <c r="BK663" s="2186">
        <f t="shared" si="1541"/>
        <v>0</v>
      </c>
      <c r="BL663" s="2177"/>
      <c r="BM663" s="2177"/>
      <c r="BN663" s="2186">
        <f t="shared" si="1542"/>
        <v>0</v>
      </c>
      <c r="BO663" s="2177"/>
      <c r="BP663" s="2177"/>
      <c r="BQ663" s="2186">
        <f t="shared" si="1543"/>
        <v>0</v>
      </c>
    </row>
    <row r="664" spans="3:69" s="2087" customFormat="1" ht="21.6" hidden="1" customHeight="1">
      <c r="C664" s="2285" t="s">
        <v>2823</v>
      </c>
      <c r="D664" s="2287" t="s">
        <v>2807</v>
      </c>
      <c r="E664" s="2284" t="s">
        <v>1833</v>
      </c>
      <c r="F664" s="2176"/>
      <c r="G664" s="2177"/>
      <c r="H664" s="2177"/>
      <c r="I664" s="2178">
        <f t="shared" si="1522"/>
        <v>0</v>
      </c>
      <c r="J664" s="2176"/>
      <c r="K664" s="2252">
        <f t="shared" si="1544"/>
        <v>0</v>
      </c>
      <c r="L664" s="2252">
        <f t="shared" si="1544"/>
        <v>0</v>
      </c>
      <c r="M664" s="2255">
        <f t="shared" si="1523"/>
        <v>0</v>
      </c>
      <c r="N664" s="2179">
        <f>N324*N404</f>
        <v>0</v>
      </c>
      <c r="O664" s="2179">
        <f>O324*O404</f>
        <v>0</v>
      </c>
      <c r="P664" s="2178">
        <f t="shared" si="1524"/>
        <v>0</v>
      </c>
      <c r="Q664" s="2184">
        <f>Q324*Q404</f>
        <v>0</v>
      </c>
      <c r="R664" s="2179">
        <f>R324*R404</f>
        <v>0</v>
      </c>
      <c r="S664" s="2180">
        <f t="shared" si="1525"/>
        <v>0</v>
      </c>
      <c r="T664" s="2251">
        <f t="shared" si="1545"/>
        <v>0</v>
      </c>
      <c r="U664" s="2252">
        <f t="shared" si="1545"/>
        <v>0</v>
      </c>
      <c r="V664" s="2253">
        <f t="shared" si="1527"/>
        <v>0</v>
      </c>
      <c r="W664" s="2187">
        <f>W324*W404</f>
        <v>0</v>
      </c>
      <c r="X664" s="2179">
        <f>X324*X404</f>
        <v>0</v>
      </c>
      <c r="Y664" s="2183">
        <f t="shared" si="1528"/>
        <v>0</v>
      </c>
      <c r="Z664" s="2254">
        <f t="shared" si="1546"/>
        <v>0</v>
      </c>
      <c r="AA664" s="2252">
        <f t="shared" si="1546"/>
        <v>0</v>
      </c>
      <c r="AB664" s="2255">
        <f t="shared" si="1530"/>
        <v>0</v>
      </c>
      <c r="AC664" s="2184">
        <f>AC324*AC404</f>
        <v>0</v>
      </c>
      <c r="AD664" s="2179">
        <f>AD324*AD404</f>
        <v>0</v>
      </c>
      <c r="AE664" s="2180">
        <f t="shared" si="1531"/>
        <v>0</v>
      </c>
      <c r="AF664" s="2281"/>
      <c r="AG664" s="2114"/>
      <c r="AH664" s="2188">
        <f>AH324*AH404</f>
        <v>0</v>
      </c>
      <c r="AI664" s="2188">
        <f>AI324*AI404</f>
        <v>0</v>
      </c>
      <c r="AJ664" s="2186">
        <f t="shared" si="1532"/>
        <v>0</v>
      </c>
      <c r="AK664" s="2188">
        <f>AK324*AK404</f>
        <v>0</v>
      </c>
      <c r="AL664" s="2188">
        <f>AL324*AL404</f>
        <v>0</v>
      </c>
      <c r="AM664" s="2186">
        <f t="shared" si="1533"/>
        <v>0</v>
      </c>
      <c r="AN664" s="2188">
        <f>AN324*AN404</f>
        <v>0</v>
      </c>
      <c r="AO664" s="2188">
        <f>AO324*AO404</f>
        <v>0</v>
      </c>
      <c r="AP664" s="2186">
        <f t="shared" si="1534"/>
        <v>0</v>
      </c>
      <c r="AQ664" s="2188">
        <f>AQ324*AQ404</f>
        <v>0</v>
      </c>
      <c r="AR664" s="2188">
        <f>AR324*AR404</f>
        <v>0</v>
      </c>
      <c r="AS664" s="2186">
        <f t="shared" si="1535"/>
        <v>0</v>
      </c>
      <c r="AT664" s="2188">
        <f>AT324*AT404</f>
        <v>0</v>
      </c>
      <c r="AU664" s="2188">
        <f>AU324*AU404</f>
        <v>0</v>
      </c>
      <c r="AV664" s="2186">
        <f t="shared" si="1536"/>
        <v>0</v>
      </c>
      <c r="AW664" s="2188">
        <f>AW324*AW404</f>
        <v>0</v>
      </c>
      <c r="AX664" s="2188">
        <f>AX324*AX404</f>
        <v>0</v>
      </c>
      <c r="AY664" s="2186">
        <f t="shared" si="1537"/>
        <v>0</v>
      </c>
      <c r="AZ664" s="2188">
        <f>AZ324*AZ404</f>
        <v>0</v>
      </c>
      <c r="BA664" s="2188">
        <f>BA324*BA404</f>
        <v>0</v>
      </c>
      <c r="BB664" s="2186">
        <f t="shared" si="1538"/>
        <v>0</v>
      </c>
      <c r="BC664" s="2188">
        <f>BC324*BC404</f>
        <v>0</v>
      </c>
      <c r="BD664" s="2188">
        <f>BD324*BD404</f>
        <v>0</v>
      </c>
      <c r="BE664" s="2186">
        <f t="shared" si="1539"/>
        <v>0</v>
      </c>
      <c r="BF664" s="2188">
        <f>BF324*BF404</f>
        <v>0</v>
      </c>
      <c r="BG664" s="2188">
        <f>BG324*BG404</f>
        <v>0</v>
      </c>
      <c r="BH664" s="2186">
        <f t="shared" si="1540"/>
        <v>0</v>
      </c>
      <c r="BI664" s="2188">
        <f>BI324*BI404</f>
        <v>0</v>
      </c>
      <c r="BJ664" s="2188">
        <f>BJ324*BJ404</f>
        <v>0</v>
      </c>
      <c r="BK664" s="2186">
        <f t="shared" si="1541"/>
        <v>0</v>
      </c>
      <c r="BL664" s="2188">
        <f>BL324*BL404</f>
        <v>0</v>
      </c>
      <c r="BM664" s="2188">
        <f>BM324*BM404</f>
        <v>0</v>
      </c>
      <c r="BN664" s="2186">
        <f t="shared" si="1542"/>
        <v>0</v>
      </c>
      <c r="BO664" s="2188">
        <f>BO324*BO404</f>
        <v>0</v>
      </c>
      <c r="BP664" s="2188">
        <f>BP324*BP404</f>
        <v>0</v>
      </c>
      <c r="BQ664" s="2186">
        <f t="shared" si="1543"/>
        <v>0</v>
      </c>
    </row>
    <row r="665" spans="3:69" s="2087" customFormat="1" ht="21.6" hidden="1" customHeight="1">
      <c r="C665" s="2285" t="s">
        <v>2824</v>
      </c>
      <c r="D665" s="2287" t="s">
        <v>2229</v>
      </c>
      <c r="E665" s="2284" t="s">
        <v>1833</v>
      </c>
      <c r="F665" s="2176"/>
      <c r="G665" s="2177"/>
      <c r="H665" s="2177"/>
      <c r="I665" s="2178">
        <f t="shared" si="1522"/>
        <v>0</v>
      </c>
      <c r="J665" s="2176"/>
      <c r="K665" s="2252">
        <f t="shared" si="1544"/>
        <v>0</v>
      </c>
      <c r="L665" s="2252">
        <f t="shared" si="1544"/>
        <v>0</v>
      </c>
      <c r="M665" s="2255">
        <f t="shared" si="1523"/>
        <v>0</v>
      </c>
      <c r="N665" s="2177"/>
      <c r="O665" s="2177"/>
      <c r="P665" s="2178">
        <f t="shared" si="1524"/>
        <v>0</v>
      </c>
      <c r="Q665" s="2177"/>
      <c r="R665" s="2177"/>
      <c r="S665" s="2180">
        <f t="shared" si="1525"/>
        <v>0</v>
      </c>
      <c r="T665" s="2251">
        <f t="shared" si="1545"/>
        <v>0</v>
      </c>
      <c r="U665" s="2252">
        <f t="shared" si="1545"/>
        <v>0</v>
      </c>
      <c r="V665" s="2253">
        <f t="shared" si="1527"/>
        <v>0</v>
      </c>
      <c r="W665" s="2182"/>
      <c r="X665" s="2177"/>
      <c r="Y665" s="2183">
        <f t="shared" si="1528"/>
        <v>0</v>
      </c>
      <c r="Z665" s="2254">
        <f t="shared" si="1546"/>
        <v>0</v>
      </c>
      <c r="AA665" s="2252">
        <f t="shared" si="1546"/>
        <v>0</v>
      </c>
      <c r="AB665" s="2255">
        <f t="shared" si="1530"/>
        <v>0</v>
      </c>
      <c r="AC665" s="2177"/>
      <c r="AD665" s="2177"/>
      <c r="AE665" s="2180">
        <f t="shared" si="1531"/>
        <v>0</v>
      </c>
      <c r="AF665" s="2281"/>
      <c r="AG665" s="2114"/>
      <c r="AH665" s="2177"/>
      <c r="AI665" s="2177"/>
      <c r="AJ665" s="2186">
        <f t="shared" si="1532"/>
        <v>0</v>
      </c>
      <c r="AK665" s="2177"/>
      <c r="AL665" s="2177"/>
      <c r="AM665" s="2186">
        <f t="shared" si="1533"/>
        <v>0</v>
      </c>
      <c r="AN665" s="2177"/>
      <c r="AO665" s="2177"/>
      <c r="AP665" s="2186">
        <f t="shared" si="1534"/>
        <v>0</v>
      </c>
      <c r="AQ665" s="2177"/>
      <c r="AR665" s="2177"/>
      <c r="AS665" s="2186">
        <f t="shared" si="1535"/>
        <v>0</v>
      </c>
      <c r="AT665" s="2177"/>
      <c r="AU665" s="2177"/>
      <c r="AV665" s="2186">
        <f t="shared" si="1536"/>
        <v>0</v>
      </c>
      <c r="AW665" s="2177"/>
      <c r="AX665" s="2177"/>
      <c r="AY665" s="2186">
        <f t="shared" si="1537"/>
        <v>0</v>
      </c>
      <c r="AZ665" s="2177"/>
      <c r="BA665" s="2177"/>
      <c r="BB665" s="2186">
        <f t="shared" si="1538"/>
        <v>0</v>
      </c>
      <c r="BC665" s="2177"/>
      <c r="BD665" s="2177"/>
      <c r="BE665" s="2186">
        <f t="shared" si="1539"/>
        <v>0</v>
      </c>
      <c r="BF665" s="2177"/>
      <c r="BG665" s="2177"/>
      <c r="BH665" s="2186">
        <f t="shared" si="1540"/>
        <v>0</v>
      </c>
      <c r="BI665" s="2177"/>
      <c r="BJ665" s="2177"/>
      <c r="BK665" s="2186">
        <f t="shared" si="1541"/>
        <v>0</v>
      </c>
      <c r="BL665" s="2177"/>
      <c r="BM665" s="2177"/>
      <c r="BN665" s="2186">
        <f t="shared" si="1542"/>
        <v>0</v>
      </c>
      <c r="BO665" s="2177"/>
      <c r="BP665" s="2177"/>
      <c r="BQ665" s="2186">
        <f t="shared" si="1543"/>
        <v>0</v>
      </c>
    </row>
    <row r="666" spans="3:69" s="2159" customFormat="1" ht="21.6" hidden="1" customHeight="1">
      <c r="C666" s="2256" t="s">
        <v>2825</v>
      </c>
      <c r="D666" s="2280" t="str">
        <f>D326</f>
        <v>Контрагент 3</v>
      </c>
      <c r="E666" s="2297" t="s">
        <v>1833</v>
      </c>
      <c r="F666" s="2162"/>
      <c r="G666" s="2163">
        <f>G668+G670+G672+G669+G671+G673</f>
        <v>0</v>
      </c>
      <c r="H666" s="2163">
        <f>H668+H670+H672+H669+H671+H673</f>
        <v>0</v>
      </c>
      <c r="I666" s="2164">
        <f t="shared" si="1522"/>
        <v>0</v>
      </c>
      <c r="J666" s="2162"/>
      <c r="K666" s="2259">
        <f t="shared" si="1544"/>
        <v>0</v>
      </c>
      <c r="L666" s="2259">
        <f t="shared" si="1544"/>
        <v>0</v>
      </c>
      <c r="M666" s="2262">
        <f t="shared" si="1523"/>
        <v>0</v>
      </c>
      <c r="N666" s="2163">
        <f>N668+N670+N672+N669+N671+N673</f>
        <v>0</v>
      </c>
      <c r="O666" s="2163">
        <f>O668+O670+O672+O669+O671+O673</f>
        <v>0</v>
      </c>
      <c r="P666" s="2164">
        <f t="shared" si="1524"/>
        <v>0</v>
      </c>
      <c r="Q666" s="2163">
        <f>Q668+Q670+Q672+Q669+Q671+Q673</f>
        <v>0</v>
      </c>
      <c r="R666" s="2163">
        <f>R668+R670+R672+R669+R671+R673</f>
        <v>0</v>
      </c>
      <c r="S666" s="2166">
        <f t="shared" si="1525"/>
        <v>0</v>
      </c>
      <c r="T666" s="2258">
        <f t="shared" si="1545"/>
        <v>0</v>
      </c>
      <c r="U666" s="2259">
        <f t="shared" si="1545"/>
        <v>0</v>
      </c>
      <c r="V666" s="2260">
        <f t="shared" si="1527"/>
        <v>0</v>
      </c>
      <c r="W666" s="2168">
        <f>W668+W670+W672+W669+W671+W673</f>
        <v>0</v>
      </c>
      <c r="X666" s="2163">
        <f>X668+X670+X672+X669+X671+X673</f>
        <v>0</v>
      </c>
      <c r="Y666" s="2169">
        <f t="shared" si="1528"/>
        <v>0</v>
      </c>
      <c r="Z666" s="2261">
        <f t="shared" si="1546"/>
        <v>0</v>
      </c>
      <c r="AA666" s="2259">
        <f t="shared" si="1546"/>
        <v>0</v>
      </c>
      <c r="AB666" s="2262">
        <f t="shared" si="1530"/>
        <v>0</v>
      </c>
      <c r="AC666" s="2163">
        <f>AC668+AC670+AC672+AC669+AC671+AC673</f>
        <v>0</v>
      </c>
      <c r="AD666" s="2163">
        <f>AD668+AD670+AD672+AD669+AD671+AD673</f>
        <v>0</v>
      </c>
      <c r="AE666" s="2166">
        <f t="shared" si="1531"/>
        <v>0</v>
      </c>
      <c r="AF666" s="2281"/>
      <c r="AG666" s="2158"/>
      <c r="AH666" s="2171">
        <f>AH668+AH670+AH672+AH669+AH671+AH673</f>
        <v>0</v>
      </c>
      <c r="AI666" s="2171">
        <f>AI668+AI670+AI672+AI669+AI671+AI673</f>
        <v>0</v>
      </c>
      <c r="AJ666" s="2172">
        <f t="shared" si="1532"/>
        <v>0</v>
      </c>
      <c r="AK666" s="2171">
        <f>AK668+AK670+AK672+AK669+AK671+AK673</f>
        <v>0</v>
      </c>
      <c r="AL666" s="2171">
        <f>AL668+AL670+AL672+AL669+AL671+AL673</f>
        <v>0</v>
      </c>
      <c r="AM666" s="2172">
        <f t="shared" si="1533"/>
        <v>0</v>
      </c>
      <c r="AN666" s="2171">
        <f>AN668+AN670+AN672+AN669+AN671+AN673</f>
        <v>0</v>
      </c>
      <c r="AO666" s="2171">
        <f>AO668+AO670+AO672+AO669+AO671+AO673</f>
        <v>0</v>
      </c>
      <c r="AP666" s="2172">
        <f t="shared" si="1534"/>
        <v>0</v>
      </c>
      <c r="AQ666" s="2171">
        <f>AQ668+AQ670+AQ672+AQ669+AQ671+AQ673</f>
        <v>0</v>
      </c>
      <c r="AR666" s="2171">
        <f>AR668+AR670+AR672+AR669+AR671+AR673</f>
        <v>0</v>
      </c>
      <c r="AS666" s="2172">
        <f t="shared" si="1535"/>
        <v>0</v>
      </c>
      <c r="AT666" s="2171">
        <f>AT668+AT670+AT672+AT669+AT671+AT673</f>
        <v>0</v>
      </c>
      <c r="AU666" s="2171">
        <f>AU668+AU670+AU672+AU669+AU671+AU673</f>
        <v>0</v>
      </c>
      <c r="AV666" s="2172">
        <f t="shared" si="1536"/>
        <v>0</v>
      </c>
      <c r="AW666" s="2171">
        <f>AW668+AW670+AW672+AW669+AW671+AW673</f>
        <v>0</v>
      </c>
      <c r="AX666" s="2171">
        <f>AX668+AX670+AX672+AX669+AX671+AX673</f>
        <v>0</v>
      </c>
      <c r="AY666" s="2172">
        <f t="shared" si="1537"/>
        <v>0</v>
      </c>
      <c r="AZ666" s="2171">
        <f>AZ668+AZ670+AZ672+AZ669+AZ671+AZ673</f>
        <v>0</v>
      </c>
      <c r="BA666" s="2171">
        <f>BA668+BA670+BA672+BA669+BA671+BA673</f>
        <v>0</v>
      </c>
      <c r="BB666" s="2172">
        <f t="shared" si="1538"/>
        <v>0</v>
      </c>
      <c r="BC666" s="2171">
        <f>BC668+BC670+BC672+BC669+BC671+BC673</f>
        <v>0</v>
      </c>
      <c r="BD666" s="2171">
        <f>BD668+BD670+BD672+BD669+BD671+BD673</f>
        <v>0</v>
      </c>
      <c r="BE666" s="2172">
        <f t="shared" si="1539"/>
        <v>0</v>
      </c>
      <c r="BF666" s="2171">
        <f>BF668+BF670+BF672+BF669+BF671+BF673</f>
        <v>0</v>
      </c>
      <c r="BG666" s="2171">
        <f>BG668+BG670+BG672+BG669+BG671+BG673</f>
        <v>0</v>
      </c>
      <c r="BH666" s="2172">
        <f t="shared" si="1540"/>
        <v>0</v>
      </c>
      <c r="BI666" s="2171">
        <f>BI668+BI670+BI672+BI669+BI671+BI673</f>
        <v>0</v>
      </c>
      <c r="BJ666" s="2171">
        <f>BJ668+BJ670+BJ672+BJ669+BJ671+BJ673</f>
        <v>0</v>
      </c>
      <c r="BK666" s="2172">
        <f t="shared" si="1541"/>
        <v>0</v>
      </c>
      <c r="BL666" s="2171">
        <f>BL668+BL670+BL672+BL669+BL671+BL673</f>
        <v>0</v>
      </c>
      <c r="BM666" s="2171">
        <f>BM668+BM670+BM672+BM669+BM671+BM673</f>
        <v>0</v>
      </c>
      <c r="BN666" s="2172">
        <f t="shared" si="1542"/>
        <v>0</v>
      </c>
      <c r="BO666" s="2171">
        <f>BO668+BO670+BO672+BO669+BO671+BO673</f>
        <v>0</v>
      </c>
      <c r="BP666" s="2171">
        <f>BP668+BP670+BP672+BP669+BP671+BP673</f>
        <v>0</v>
      </c>
      <c r="BQ666" s="2172">
        <f t="shared" si="1543"/>
        <v>0</v>
      </c>
    </row>
    <row r="667" spans="3:69" s="2087" customFormat="1" ht="21.6" hidden="1" customHeight="1">
      <c r="C667" s="2285" t="s">
        <v>2826</v>
      </c>
      <c r="D667" s="2289" t="s">
        <v>2211</v>
      </c>
      <c r="E667" s="2284" t="s">
        <v>1833</v>
      </c>
      <c r="F667" s="2176"/>
      <c r="G667" s="2177"/>
      <c r="H667" s="2177"/>
      <c r="I667" s="2178">
        <f t="shared" si="1522"/>
        <v>0</v>
      </c>
      <c r="J667" s="2176"/>
      <c r="K667" s="2252">
        <f t="shared" si="1544"/>
        <v>0</v>
      </c>
      <c r="L667" s="2252">
        <f t="shared" si="1544"/>
        <v>0</v>
      </c>
      <c r="M667" s="2255">
        <f t="shared" si="1523"/>
        <v>0</v>
      </c>
      <c r="N667" s="2177"/>
      <c r="O667" s="2177"/>
      <c r="P667" s="2178">
        <f t="shared" si="1524"/>
        <v>0</v>
      </c>
      <c r="Q667" s="2176"/>
      <c r="R667" s="2177"/>
      <c r="S667" s="2180">
        <f t="shared" si="1525"/>
        <v>0</v>
      </c>
      <c r="T667" s="2251">
        <f t="shared" si="1545"/>
        <v>0</v>
      </c>
      <c r="U667" s="2252">
        <f t="shared" si="1545"/>
        <v>0</v>
      </c>
      <c r="V667" s="2253">
        <f t="shared" si="1527"/>
        <v>0</v>
      </c>
      <c r="W667" s="2182"/>
      <c r="X667" s="2177"/>
      <c r="Y667" s="2183">
        <f t="shared" si="1528"/>
        <v>0</v>
      </c>
      <c r="Z667" s="2254">
        <f t="shared" si="1546"/>
        <v>0</v>
      </c>
      <c r="AA667" s="2252">
        <f t="shared" si="1546"/>
        <v>0</v>
      </c>
      <c r="AB667" s="2255">
        <f t="shared" si="1530"/>
        <v>0</v>
      </c>
      <c r="AC667" s="2176"/>
      <c r="AD667" s="2177"/>
      <c r="AE667" s="2180">
        <f t="shared" si="1531"/>
        <v>0</v>
      </c>
      <c r="AF667" s="2281"/>
      <c r="AG667" s="2114"/>
      <c r="AH667" s="2177"/>
      <c r="AI667" s="2177"/>
      <c r="AJ667" s="2186">
        <f t="shared" si="1532"/>
        <v>0</v>
      </c>
      <c r="AK667" s="2177"/>
      <c r="AL667" s="2177"/>
      <c r="AM667" s="2186">
        <f t="shared" si="1533"/>
        <v>0</v>
      </c>
      <c r="AN667" s="2177"/>
      <c r="AO667" s="2177"/>
      <c r="AP667" s="2186">
        <f t="shared" si="1534"/>
        <v>0</v>
      </c>
      <c r="AQ667" s="2177"/>
      <c r="AR667" s="2177"/>
      <c r="AS667" s="2186">
        <f t="shared" si="1535"/>
        <v>0</v>
      </c>
      <c r="AT667" s="2177"/>
      <c r="AU667" s="2177"/>
      <c r="AV667" s="2186">
        <f t="shared" si="1536"/>
        <v>0</v>
      </c>
      <c r="AW667" s="2177"/>
      <c r="AX667" s="2177"/>
      <c r="AY667" s="2186">
        <f t="shared" si="1537"/>
        <v>0</v>
      </c>
      <c r="AZ667" s="2177"/>
      <c r="BA667" s="2177"/>
      <c r="BB667" s="2186">
        <f t="shared" si="1538"/>
        <v>0</v>
      </c>
      <c r="BC667" s="2177"/>
      <c r="BD667" s="2177"/>
      <c r="BE667" s="2186">
        <f t="shared" si="1539"/>
        <v>0</v>
      </c>
      <c r="BF667" s="2177"/>
      <c r="BG667" s="2177"/>
      <c r="BH667" s="2186">
        <f t="shared" si="1540"/>
        <v>0</v>
      </c>
      <c r="BI667" s="2177"/>
      <c r="BJ667" s="2177"/>
      <c r="BK667" s="2186">
        <f t="shared" si="1541"/>
        <v>0</v>
      </c>
      <c r="BL667" s="2177"/>
      <c r="BM667" s="2177"/>
      <c r="BN667" s="2186">
        <f t="shared" si="1542"/>
        <v>0</v>
      </c>
      <c r="BO667" s="2177"/>
      <c r="BP667" s="2177"/>
      <c r="BQ667" s="2186">
        <f t="shared" si="1543"/>
        <v>0</v>
      </c>
    </row>
    <row r="668" spans="3:69" s="2087" customFormat="1" ht="21.6" hidden="1" customHeight="1">
      <c r="C668" s="2285" t="s">
        <v>2827</v>
      </c>
      <c r="D668" s="2287" t="s">
        <v>2801</v>
      </c>
      <c r="E668" s="2284" t="s">
        <v>1833</v>
      </c>
      <c r="F668" s="2176"/>
      <c r="G668" s="2177"/>
      <c r="H668" s="2177"/>
      <c r="I668" s="2178">
        <f t="shared" si="1522"/>
        <v>0</v>
      </c>
      <c r="J668" s="2176"/>
      <c r="K668" s="2252">
        <f t="shared" si="1544"/>
        <v>0</v>
      </c>
      <c r="L668" s="2252">
        <f t="shared" si="1544"/>
        <v>0</v>
      </c>
      <c r="M668" s="2255">
        <f t="shared" si="1523"/>
        <v>0</v>
      </c>
      <c r="N668" s="2179">
        <f>N328*N407*3/1000</f>
        <v>0</v>
      </c>
      <c r="O668" s="2179">
        <f>O328*O407*3/1000</f>
        <v>0</v>
      </c>
      <c r="P668" s="2178">
        <f t="shared" si="1524"/>
        <v>0</v>
      </c>
      <c r="Q668" s="2179">
        <f>Q328*Q407*3/1000</f>
        <v>0</v>
      </c>
      <c r="R668" s="2179">
        <f>R328*R407*3/1000</f>
        <v>0</v>
      </c>
      <c r="S668" s="2180">
        <f t="shared" si="1525"/>
        <v>0</v>
      </c>
      <c r="T668" s="2251">
        <f t="shared" si="1545"/>
        <v>0</v>
      </c>
      <c r="U668" s="2252">
        <f t="shared" si="1545"/>
        <v>0</v>
      </c>
      <c r="V668" s="2253">
        <f t="shared" si="1527"/>
        <v>0</v>
      </c>
      <c r="W668" s="2187">
        <f>W328*W407*3/1000</f>
        <v>0</v>
      </c>
      <c r="X668" s="2179">
        <f>X328*X407*3/1000</f>
        <v>0</v>
      </c>
      <c r="Y668" s="2183">
        <f t="shared" si="1528"/>
        <v>0</v>
      </c>
      <c r="Z668" s="2254">
        <f t="shared" si="1546"/>
        <v>0</v>
      </c>
      <c r="AA668" s="2252">
        <f t="shared" si="1546"/>
        <v>0</v>
      </c>
      <c r="AB668" s="2255">
        <f t="shared" si="1530"/>
        <v>0</v>
      </c>
      <c r="AC668" s="2179">
        <f>AC328*AC407*3/1000</f>
        <v>0</v>
      </c>
      <c r="AD668" s="2179">
        <f>AD328*AD407*3/1000</f>
        <v>0</v>
      </c>
      <c r="AE668" s="2180">
        <f t="shared" si="1531"/>
        <v>0</v>
      </c>
      <c r="AF668" s="2281"/>
      <c r="AG668" s="2114"/>
      <c r="AH668" s="2188">
        <f>AH328*AH407*3/1000</f>
        <v>0</v>
      </c>
      <c r="AI668" s="2188">
        <f>AI328*AI407*3/1000</f>
        <v>0</v>
      </c>
      <c r="AJ668" s="2186">
        <f t="shared" si="1532"/>
        <v>0</v>
      </c>
      <c r="AK668" s="2188">
        <f>AK328*AK407*3/1000</f>
        <v>0</v>
      </c>
      <c r="AL668" s="2188">
        <f>AL328*AL407*3/1000</f>
        <v>0</v>
      </c>
      <c r="AM668" s="2186">
        <f t="shared" si="1533"/>
        <v>0</v>
      </c>
      <c r="AN668" s="2188">
        <f>AN328*AN407*3/1000</f>
        <v>0</v>
      </c>
      <c r="AO668" s="2188">
        <f>AO328*AO407*3/1000</f>
        <v>0</v>
      </c>
      <c r="AP668" s="2186">
        <f t="shared" si="1534"/>
        <v>0</v>
      </c>
      <c r="AQ668" s="2188">
        <f>AQ328*AQ407*3/1000</f>
        <v>0</v>
      </c>
      <c r="AR668" s="2188">
        <f>AR328*AR407*3/1000</f>
        <v>0</v>
      </c>
      <c r="AS668" s="2186">
        <f t="shared" si="1535"/>
        <v>0</v>
      </c>
      <c r="AT668" s="2188">
        <f>AT328*AT407*3/1000</f>
        <v>0</v>
      </c>
      <c r="AU668" s="2188">
        <f>AU328*AU407*3/1000</f>
        <v>0</v>
      </c>
      <c r="AV668" s="2186">
        <f t="shared" si="1536"/>
        <v>0</v>
      </c>
      <c r="AW668" s="2188">
        <f>AW328*AW407*3/1000</f>
        <v>0</v>
      </c>
      <c r="AX668" s="2188">
        <f>AX328*AX407*3/1000</f>
        <v>0</v>
      </c>
      <c r="AY668" s="2186">
        <f t="shared" si="1537"/>
        <v>0</v>
      </c>
      <c r="AZ668" s="2188">
        <f>AZ328*AZ407*3/1000</f>
        <v>0</v>
      </c>
      <c r="BA668" s="2188">
        <f>BA328*BA407*3/1000</f>
        <v>0</v>
      </c>
      <c r="BB668" s="2186">
        <f t="shared" si="1538"/>
        <v>0</v>
      </c>
      <c r="BC668" s="2188">
        <f>BC328*BC407*3/1000</f>
        <v>0</v>
      </c>
      <c r="BD668" s="2188">
        <f>BD328*BD407*3/1000</f>
        <v>0</v>
      </c>
      <c r="BE668" s="2186">
        <f t="shared" si="1539"/>
        <v>0</v>
      </c>
      <c r="BF668" s="2188">
        <f>BF328*BF407*3/1000</f>
        <v>0</v>
      </c>
      <c r="BG668" s="2188">
        <f>BG328*BG407*3/1000</f>
        <v>0</v>
      </c>
      <c r="BH668" s="2186">
        <f t="shared" si="1540"/>
        <v>0</v>
      </c>
      <c r="BI668" s="2188">
        <f>BI328*BI407*3/1000</f>
        <v>0</v>
      </c>
      <c r="BJ668" s="2188">
        <f>BJ328*BJ407*3/1000</f>
        <v>0</v>
      </c>
      <c r="BK668" s="2186">
        <f t="shared" si="1541"/>
        <v>0</v>
      </c>
      <c r="BL668" s="2188">
        <f>BL328*BL407*3/1000</f>
        <v>0</v>
      </c>
      <c r="BM668" s="2188">
        <f>BM328*BM407*3/1000</f>
        <v>0</v>
      </c>
      <c r="BN668" s="2186">
        <f t="shared" si="1542"/>
        <v>0</v>
      </c>
      <c r="BO668" s="2188">
        <f>BO328*BO407*3/1000</f>
        <v>0</v>
      </c>
      <c r="BP668" s="2188">
        <f>BP328*BP407*3/1000</f>
        <v>0</v>
      </c>
      <c r="BQ668" s="2186">
        <f t="shared" si="1543"/>
        <v>0</v>
      </c>
    </row>
    <row r="669" spans="3:69" s="2087" customFormat="1" ht="21.6" hidden="1" customHeight="1">
      <c r="C669" s="2285" t="s">
        <v>2828</v>
      </c>
      <c r="D669" s="2287" t="s">
        <v>2229</v>
      </c>
      <c r="E669" s="2284" t="s">
        <v>1833</v>
      </c>
      <c r="F669" s="2176"/>
      <c r="G669" s="2177"/>
      <c r="H669" s="2177"/>
      <c r="I669" s="2178">
        <f t="shared" si="1522"/>
        <v>0</v>
      </c>
      <c r="J669" s="2176"/>
      <c r="K669" s="2252">
        <f t="shared" si="1544"/>
        <v>0</v>
      </c>
      <c r="L669" s="2252">
        <f t="shared" si="1544"/>
        <v>0</v>
      </c>
      <c r="M669" s="2255">
        <f t="shared" si="1523"/>
        <v>0</v>
      </c>
      <c r="N669" s="2177"/>
      <c r="O669" s="2177"/>
      <c r="P669" s="2178">
        <f t="shared" si="1524"/>
        <v>0</v>
      </c>
      <c r="Q669" s="2177"/>
      <c r="R669" s="2177"/>
      <c r="S669" s="2180">
        <f t="shared" si="1525"/>
        <v>0</v>
      </c>
      <c r="T669" s="2251">
        <f t="shared" si="1545"/>
        <v>0</v>
      </c>
      <c r="U669" s="2252">
        <f t="shared" si="1545"/>
        <v>0</v>
      </c>
      <c r="V669" s="2253">
        <f t="shared" si="1527"/>
        <v>0</v>
      </c>
      <c r="W669" s="2182"/>
      <c r="X669" s="2177"/>
      <c r="Y669" s="2183">
        <f t="shared" si="1528"/>
        <v>0</v>
      </c>
      <c r="Z669" s="2254">
        <f t="shared" si="1546"/>
        <v>0</v>
      </c>
      <c r="AA669" s="2252">
        <f t="shared" si="1546"/>
        <v>0</v>
      </c>
      <c r="AB669" s="2255">
        <f t="shared" si="1530"/>
        <v>0</v>
      </c>
      <c r="AC669" s="2177"/>
      <c r="AD669" s="2177"/>
      <c r="AE669" s="2180">
        <f t="shared" si="1531"/>
        <v>0</v>
      </c>
      <c r="AF669" s="2281"/>
      <c r="AG669" s="2114"/>
      <c r="AH669" s="2177"/>
      <c r="AI669" s="2177"/>
      <c r="AJ669" s="2186">
        <f t="shared" si="1532"/>
        <v>0</v>
      </c>
      <c r="AK669" s="2177"/>
      <c r="AL669" s="2177"/>
      <c r="AM669" s="2186">
        <f t="shared" si="1533"/>
        <v>0</v>
      </c>
      <c r="AN669" s="2177"/>
      <c r="AO669" s="2177"/>
      <c r="AP669" s="2186">
        <f t="shared" si="1534"/>
        <v>0</v>
      </c>
      <c r="AQ669" s="2177"/>
      <c r="AR669" s="2177"/>
      <c r="AS669" s="2186">
        <f t="shared" si="1535"/>
        <v>0</v>
      </c>
      <c r="AT669" s="2177"/>
      <c r="AU669" s="2177"/>
      <c r="AV669" s="2186">
        <f t="shared" si="1536"/>
        <v>0</v>
      </c>
      <c r="AW669" s="2177"/>
      <c r="AX669" s="2177"/>
      <c r="AY669" s="2186">
        <f t="shared" si="1537"/>
        <v>0</v>
      </c>
      <c r="AZ669" s="2177"/>
      <c r="BA669" s="2177"/>
      <c r="BB669" s="2186">
        <f t="shared" si="1538"/>
        <v>0</v>
      </c>
      <c r="BC669" s="2177"/>
      <c r="BD669" s="2177"/>
      <c r="BE669" s="2186">
        <f t="shared" si="1539"/>
        <v>0</v>
      </c>
      <c r="BF669" s="2177"/>
      <c r="BG669" s="2177"/>
      <c r="BH669" s="2186">
        <f t="shared" si="1540"/>
        <v>0</v>
      </c>
      <c r="BI669" s="2177"/>
      <c r="BJ669" s="2177"/>
      <c r="BK669" s="2186">
        <f t="shared" si="1541"/>
        <v>0</v>
      </c>
      <c r="BL669" s="2177"/>
      <c r="BM669" s="2177"/>
      <c r="BN669" s="2186">
        <f t="shared" si="1542"/>
        <v>0</v>
      </c>
      <c r="BO669" s="2177"/>
      <c r="BP669" s="2177"/>
      <c r="BQ669" s="2186">
        <f t="shared" si="1543"/>
        <v>0</v>
      </c>
    </row>
    <row r="670" spans="3:69" s="2087" customFormat="1" ht="21.6" hidden="1" customHeight="1">
      <c r="C670" s="2285" t="s">
        <v>2829</v>
      </c>
      <c r="D670" s="2287" t="s">
        <v>2804</v>
      </c>
      <c r="E670" s="2284" t="s">
        <v>1833</v>
      </c>
      <c r="F670" s="2176"/>
      <c r="G670" s="2177"/>
      <c r="H670" s="2177"/>
      <c r="I670" s="2178">
        <f t="shared" si="1522"/>
        <v>0</v>
      </c>
      <c r="J670" s="2176"/>
      <c r="K670" s="2252">
        <f t="shared" si="1544"/>
        <v>0</v>
      </c>
      <c r="L670" s="2252">
        <f t="shared" si="1544"/>
        <v>0</v>
      </c>
      <c r="M670" s="2255">
        <f t="shared" si="1523"/>
        <v>0</v>
      </c>
      <c r="N670" s="2179">
        <f>N330*N409</f>
        <v>0</v>
      </c>
      <c r="O670" s="2179">
        <f>O330*O409</f>
        <v>0</v>
      </c>
      <c r="P670" s="2178">
        <f t="shared" si="1524"/>
        <v>0</v>
      </c>
      <c r="Q670" s="2184">
        <f>Q330*Q409</f>
        <v>0</v>
      </c>
      <c r="R670" s="2179">
        <f>R330*R409</f>
        <v>0</v>
      </c>
      <c r="S670" s="2180">
        <f t="shared" si="1525"/>
        <v>0</v>
      </c>
      <c r="T670" s="2251">
        <f t="shared" si="1545"/>
        <v>0</v>
      </c>
      <c r="U670" s="2252">
        <f t="shared" si="1545"/>
        <v>0</v>
      </c>
      <c r="V670" s="2253">
        <f t="shared" si="1527"/>
        <v>0</v>
      </c>
      <c r="W670" s="2187">
        <f>W330*W409</f>
        <v>0</v>
      </c>
      <c r="X670" s="2179">
        <f>X330*X409</f>
        <v>0</v>
      </c>
      <c r="Y670" s="2183">
        <f t="shared" si="1528"/>
        <v>0</v>
      </c>
      <c r="Z670" s="2254">
        <f t="shared" si="1546"/>
        <v>0</v>
      </c>
      <c r="AA670" s="2252">
        <f t="shared" si="1546"/>
        <v>0</v>
      </c>
      <c r="AB670" s="2255">
        <f t="shared" si="1530"/>
        <v>0</v>
      </c>
      <c r="AC670" s="2184">
        <f>AC330*AC409</f>
        <v>0</v>
      </c>
      <c r="AD670" s="2179">
        <f>AD330*AD409</f>
        <v>0</v>
      </c>
      <c r="AE670" s="2180">
        <f t="shared" si="1531"/>
        <v>0</v>
      </c>
      <c r="AF670" s="2281"/>
      <c r="AG670" s="2114"/>
      <c r="AH670" s="2188">
        <f>AH330*AH409</f>
        <v>0</v>
      </c>
      <c r="AI670" s="2188">
        <f>AI330*AI409</f>
        <v>0</v>
      </c>
      <c r="AJ670" s="2186">
        <f t="shared" si="1532"/>
        <v>0</v>
      </c>
      <c r="AK670" s="2188">
        <f>AK330*AK409</f>
        <v>0</v>
      </c>
      <c r="AL670" s="2188">
        <f>AL330*AL409</f>
        <v>0</v>
      </c>
      <c r="AM670" s="2186">
        <f t="shared" si="1533"/>
        <v>0</v>
      </c>
      <c r="AN670" s="2188">
        <f>AN330*AN409</f>
        <v>0</v>
      </c>
      <c r="AO670" s="2188">
        <f>AO330*AO409</f>
        <v>0</v>
      </c>
      <c r="AP670" s="2186">
        <f t="shared" si="1534"/>
        <v>0</v>
      </c>
      <c r="AQ670" s="2188">
        <f>AQ330*AQ409</f>
        <v>0</v>
      </c>
      <c r="AR670" s="2188">
        <f>AR330*AR409</f>
        <v>0</v>
      </c>
      <c r="AS670" s="2186">
        <f t="shared" si="1535"/>
        <v>0</v>
      </c>
      <c r="AT670" s="2188">
        <f>AT330*AT409</f>
        <v>0</v>
      </c>
      <c r="AU670" s="2188">
        <f>AU330*AU409</f>
        <v>0</v>
      </c>
      <c r="AV670" s="2186">
        <f t="shared" si="1536"/>
        <v>0</v>
      </c>
      <c r="AW670" s="2188">
        <f>AW330*AW409</f>
        <v>0</v>
      </c>
      <c r="AX670" s="2188">
        <f>AX330*AX409</f>
        <v>0</v>
      </c>
      <c r="AY670" s="2186">
        <f t="shared" si="1537"/>
        <v>0</v>
      </c>
      <c r="AZ670" s="2188">
        <f>AZ330*AZ409</f>
        <v>0</v>
      </c>
      <c r="BA670" s="2188">
        <f>BA330*BA409</f>
        <v>0</v>
      </c>
      <c r="BB670" s="2186">
        <f t="shared" si="1538"/>
        <v>0</v>
      </c>
      <c r="BC670" s="2188">
        <f>BC330*BC409</f>
        <v>0</v>
      </c>
      <c r="BD670" s="2188">
        <f>BD330*BD409</f>
        <v>0</v>
      </c>
      <c r="BE670" s="2186">
        <f t="shared" si="1539"/>
        <v>0</v>
      </c>
      <c r="BF670" s="2188">
        <f>BF330*BF409</f>
        <v>0</v>
      </c>
      <c r="BG670" s="2188">
        <f>BG330*BG409</f>
        <v>0</v>
      </c>
      <c r="BH670" s="2186">
        <f t="shared" si="1540"/>
        <v>0</v>
      </c>
      <c r="BI670" s="2188">
        <f>BI330*BI409</f>
        <v>0</v>
      </c>
      <c r="BJ670" s="2188">
        <f>BJ330*BJ409</f>
        <v>0</v>
      </c>
      <c r="BK670" s="2186">
        <f t="shared" si="1541"/>
        <v>0</v>
      </c>
      <c r="BL670" s="2188">
        <f>BL330*BL409</f>
        <v>0</v>
      </c>
      <c r="BM670" s="2188">
        <f>BM330*BM409</f>
        <v>0</v>
      </c>
      <c r="BN670" s="2186">
        <f t="shared" si="1542"/>
        <v>0</v>
      </c>
      <c r="BO670" s="2188">
        <f>BO330*BO409</f>
        <v>0</v>
      </c>
      <c r="BP670" s="2188">
        <f>BP330*BP409</f>
        <v>0</v>
      </c>
      <c r="BQ670" s="2186">
        <f t="shared" si="1543"/>
        <v>0</v>
      </c>
    </row>
    <row r="671" spans="3:69" s="2087" customFormat="1" ht="21.6" hidden="1" customHeight="1">
      <c r="C671" s="2285" t="s">
        <v>2830</v>
      </c>
      <c r="D671" s="2287" t="s">
        <v>2229</v>
      </c>
      <c r="E671" s="2284" t="s">
        <v>1833</v>
      </c>
      <c r="F671" s="2176"/>
      <c r="G671" s="2177"/>
      <c r="H671" s="2177"/>
      <c r="I671" s="2178">
        <f t="shared" si="1522"/>
        <v>0</v>
      </c>
      <c r="J671" s="2176"/>
      <c r="K671" s="2252">
        <f t="shared" si="1544"/>
        <v>0</v>
      </c>
      <c r="L671" s="2252">
        <f t="shared" si="1544"/>
        <v>0</v>
      </c>
      <c r="M671" s="2255">
        <f t="shared" si="1523"/>
        <v>0</v>
      </c>
      <c r="N671" s="2177"/>
      <c r="O671" s="2177"/>
      <c r="P671" s="2178">
        <f t="shared" si="1524"/>
        <v>0</v>
      </c>
      <c r="Q671" s="2177"/>
      <c r="R671" s="2177"/>
      <c r="S671" s="2180">
        <f t="shared" si="1525"/>
        <v>0</v>
      </c>
      <c r="T671" s="2251">
        <f t="shared" si="1545"/>
        <v>0</v>
      </c>
      <c r="U671" s="2252">
        <f t="shared" si="1545"/>
        <v>0</v>
      </c>
      <c r="V671" s="2253">
        <f t="shared" si="1527"/>
        <v>0</v>
      </c>
      <c r="W671" s="2182"/>
      <c r="X671" s="2177"/>
      <c r="Y671" s="2183">
        <f t="shared" si="1528"/>
        <v>0</v>
      </c>
      <c r="Z671" s="2254">
        <f t="shared" si="1546"/>
        <v>0</v>
      </c>
      <c r="AA671" s="2252">
        <f t="shared" si="1546"/>
        <v>0</v>
      </c>
      <c r="AB671" s="2255">
        <f t="shared" si="1530"/>
        <v>0</v>
      </c>
      <c r="AC671" s="2177"/>
      <c r="AD671" s="2177"/>
      <c r="AE671" s="2180">
        <f t="shared" si="1531"/>
        <v>0</v>
      </c>
      <c r="AF671" s="2281"/>
      <c r="AG671" s="2114"/>
      <c r="AH671" s="2177"/>
      <c r="AI671" s="2177"/>
      <c r="AJ671" s="2186">
        <f t="shared" si="1532"/>
        <v>0</v>
      </c>
      <c r="AK671" s="2177"/>
      <c r="AL671" s="2177"/>
      <c r="AM671" s="2186">
        <f t="shared" si="1533"/>
        <v>0</v>
      </c>
      <c r="AN671" s="2177"/>
      <c r="AO671" s="2177"/>
      <c r="AP671" s="2186">
        <f t="shared" si="1534"/>
        <v>0</v>
      </c>
      <c r="AQ671" s="2177"/>
      <c r="AR671" s="2177"/>
      <c r="AS671" s="2186">
        <f t="shared" si="1535"/>
        <v>0</v>
      </c>
      <c r="AT671" s="2177"/>
      <c r="AU671" s="2177"/>
      <c r="AV671" s="2186">
        <f t="shared" si="1536"/>
        <v>0</v>
      </c>
      <c r="AW671" s="2177"/>
      <c r="AX671" s="2177"/>
      <c r="AY671" s="2186">
        <f t="shared" si="1537"/>
        <v>0</v>
      </c>
      <c r="AZ671" s="2177"/>
      <c r="BA671" s="2177"/>
      <c r="BB671" s="2186">
        <f t="shared" si="1538"/>
        <v>0</v>
      </c>
      <c r="BC671" s="2177"/>
      <c r="BD671" s="2177"/>
      <c r="BE671" s="2186">
        <f t="shared" si="1539"/>
        <v>0</v>
      </c>
      <c r="BF671" s="2177"/>
      <c r="BG671" s="2177"/>
      <c r="BH671" s="2186">
        <f t="shared" si="1540"/>
        <v>0</v>
      </c>
      <c r="BI671" s="2177"/>
      <c r="BJ671" s="2177"/>
      <c r="BK671" s="2186">
        <f t="shared" si="1541"/>
        <v>0</v>
      </c>
      <c r="BL671" s="2177"/>
      <c r="BM671" s="2177"/>
      <c r="BN671" s="2186">
        <f t="shared" si="1542"/>
        <v>0</v>
      </c>
      <c r="BO671" s="2177"/>
      <c r="BP671" s="2177"/>
      <c r="BQ671" s="2186">
        <f t="shared" si="1543"/>
        <v>0</v>
      </c>
    </row>
    <row r="672" spans="3:69" s="2087" customFormat="1" ht="21.6" hidden="1" customHeight="1">
      <c r="C672" s="2285" t="s">
        <v>2831</v>
      </c>
      <c r="D672" s="2287" t="s">
        <v>2807</v>
      </c>
      <c r="E672" s="2284" t="s">
        <v>1833</v>
      </c>
      <c r="F672" s="2176"/>
      <c r="G672" s="2177"/>
      <c r="H672" s="2177"/>
      <c r="I672" s="2178">
        <f t="shared" si="1522"/>
        <v>0</v>
      </c>
      <c r="J672" s="2176"/>
      <c r="K672" s="2252">
        <f t="shared" si="1544"/>
        <v>0</v>
      </c>
      <c r="L672" s="2252">
        <f t="shared" si="1544"/>
        <v>0</v>
      </c>
      <c r="M672" s="2255">
        <f t="shared" si="1523"/>
        <v>0</v>
      </c>
      <c r="N672" s="2179">
        <f>N332*N411</f>
        <v>0</v>
      </c>
      <c r="O672" s="2179">
        <f>O332*O411</f>
        <v>0</v>
      </c>
      <c r="P672" s="2178">
        <f t="shared" si="1524"/>
        <v>0</v>
      </c>
      <c r="Q672" s="2184">
        <f>Q332*Q411</f>
        <v>0</v>
      </c>
      <c r="R672" s="2179">
        <f>R332*R411</f>
        <v>0</v>
      </c>
      <c r="S672" s="2180">
        <f t="shared" si="1525"/>
        <v>0</v>
      </c>
      <c r="T672" s="2251">
        <f t="shared" si="1545"/>
        <v>0</v>
      </c>
      <c r="U672" s="2252">
        <f t="shared" si="1545"/>
        <v>0</v>
      </c>
      <c r="V672" s="2253">
        <f t="shared" si="1527"/>
        <v>0</v>
      </c>
      <c r="W672" s="2187">
        <f>W332*W411</f>
        <v>0</v>
      </c>
      <c r="X672" s="2179">
        <f>X332*X411</f>
        <v>0</v>
      </c>
      <c r="Y672" s="2183">
        <f t="shared" si="1528"/>
        <v>0</v>
      </c>
      <c r="Z672" s="2254">
        <f t="shared" si="1546"/>
        <v>0</v>
      </c>
      <c r="AA672" s="2252">
        <f t="shared" si="1546"/>
        <v>0</v>
      </c>
      <c r="AB672" s="2255">
        <f t="shared" si="1530"/>
        <v>0</v>
      </c>
      <c r="AC672" s="2184">
        <f>AC332*AC411</f>
        <v>0</v>
      </c>
      <c r="AD672" s="2179">
        <f>AD332*AD411</f>
        <v>0</v>
      </c>
      <c r="AE672" s="2180">
        <f t="shared" si="1531"/>
        <v>0</v>
      </c>
      <c r="AF672" s="2281"/>
      <c r="AG672" s="2114"/>
      <c r="AH672" s="2188">
        <f>AH332*AH411</f>
        <v>0</v>
      </c>
      <c r="AI672" s="2188">
        <f>AI332*AI411</f>
        <v>0</v>
      </c>
      <c r="AJ672" s="2186">
        <f t="shared" si="1532"/>
        <v>0</v>
      </c>
      <c r="AK672" s="2188">
        <f>AK332*AK411</f>
        <v>0</v>
      </c>
      <c r="AL672" s="2188">
        <f>AL332*AL411</f>
        <v>0</v>
      </c>
      <c r="AM672" s="2186">
        <f t="shared" si="1533"/>
        <v>0</v>
      </c>
      <c r="AN672" s="2188">
        <f>AN332*AN411</f>
        <v>0</v>
      </c>
      <c r="AO672" s="2188">
        <f>AO332*AO411</f>
        <v>0</v>
      </c>
      <c r="AP672" s="2186">
        <f t="shared" si="1534"/>
        <v>0</v>
      </c>
      <c r="AQ672" s="2188">
        <f>AQ332*AQ411</f>
        <v>0</v>
      </c>
      <c r="AR672" s="2188">
        <f>AR332*AR411</f>
        <v>0</v>
      </c>
      <c r="AS672" s="2186">
        <f t="shared" si="1535"/>
        <v>0</v>
      </c>
      <c r="AT672" s="2188">
        <f>AT332*AT411</f>
        <v>0</v>
      </c>
      <c r="AU672" s="2188">
        <f>AU332*AU411</f>
        <v>0</v>
      </c>
      <c r="AV672" s="2186">
        <f t="shared" si="1536"/>
        <v>0</v>
      </c>
      <c r="AW672" s="2188">
        <f>AW332*AW411</f>
        <v>0</v>
      </c>
      <c r="AX672" s="2188">
        <f>AX332*AX411</f>
        <v>0</v>
      </c>
      <c r="AY672" s="2186">
        <f t="shared" si="1537"/>
        <v>0</v>
      </c>
      <c r="AZ672" s="2188">
        <f>AZ332*AZ411</f>
        <v>0</v>
      </c>
      <c r="BA672" s="2188">
        <f>BA332*BA411</f>
        <v>0</v>
      </c>
      <c r="BB672" s="2186">
        <f t="shared" si="1538"/>
        <v>0</v>
      </c>
      <c r="BC672" s="2188">
        <f>BC332*BC411</f>
        <v>0</v>
      </c>
      <c r="BD672" s="2188">
        <f>BD332*BD411</f>
        <v>0</v>
      </c>
      <c r="BE672" s="2186">
        <f t="shared" si="1539"/>
        <v>0</v>
      </c>
      <c r="BF672" s="2188">
        <f>BF332*BF411</f>
        <v>0</v>
      </c>
      <c r="BG672" s="2188">
        <f>BG332*BG411</f>
        <v>0</v>
      </c>
      <c r="BH672" s="2186">
        <f t="shared" si="1540"/>
        <v>0</v>
      </c>
      <c r="BI672" s="2188">
        <f>BI332*BI411</f>
        <v>0</v>
      </c>
      <c r="BJ672" s="2188">
        <f>BJ332*BJ411</f>
        <v>0</v>
      </c>
      <c r="BK672" s="2186">
        <f t="shared" si="1541"/>
        <v>0</v>
      </c>
      <c r="BL672" s="2188">
        <f>BL332*BL411</f>
        <v>0</v>
      </c>
      <c r="BM672" s="2188">
        <f>BM332*BM411</f>
        <v>0</v>
      </c>
      <c r="BN672" s="2186">
        <f t="shared" si="1542"/>
        <v>0</v>
      </c>
      <c r="BO672" s="2188">
        <f>BO332*BO411</f>
        <v>0</v>
      </c>
      <c r="BP672" s="2188">
        <f>BP332*BP411</f>
        <v>0</v>
      </c>
      <c r="BQ672" s="2186">
        <f t="shared" si="1543"/>
        <v>0</v>
      </c>
    </row>
    <row r="673" spans="3:69" s="2087" customFormat="1" ht="21.6" hidden="1" customHeight="1">
      <c r="C673" s="2285" t="s">
        <v>2832</v>
      </c>
      <c r="D673" s="2287" t="s">
        <v>2229</v>
      </c>
      <c r="E673" s="2284" t="s">
        <v>1833</v>
      </c>
      <c r="F673" s="2176"/>
      <c r="G673" s="2177"/>
      <c r="H673" s="2177"/>
      <c r="I673" s="2178">
        <f t="shared" si="1522"/>
        <v>0</v>
      </c>
      <c r="J673" s="2176"/>
      <c r="K673" s="2252">
        <f t="shared" si="1544"/>
        <v>0</v>
      </c>
      <c r="L673" s="2252">
        <f t="shared" si="1544"/>
        <v>0</v>
      </c>
      <c r="M673" s="2255">
        <f t="shared" si="1523"/>
        <v>0</v>
      </c>
      <c r="N673" s="2177"/>
      <c r="O673" s="2177"/>
      <c r="P673" s="2178">
        <f t="shared" si="1524"/>
        <v>0</v>
      </c>
      <c r="Q673" s="2177"/>
      <c r="R673" s="2177"/>
      <c r="S673" s="2180">
        <f t="shared" si="1525"/>
        <v>0</v>
      </c>
      <c r="T673" s="2251">
        <f t="shared" si="1545"/>
        <v>0</v>
      </c>
      <c r="U673" s="2252">
        <f t="shared" si="1545"/>
        <v>0</v>
      </c>
      <c r="V673" s="2253">
        <f t="shared" si="1527"/>
        <v>0</v>
      </c>
      <c r="W673" s="2182"/>
      <c r="X673" s="2177"/>
      <c r="Y673" s="2183">
        <f t="shared" si="1528"/>
        <v>0</v>
      </c>
      <c r="Z673" s="2254">
        <f t="shared" si="1546"/>
        <v>0</v>
      </c>
      <c r="AA673" s="2252">
        <f t="shared" si="1546"/>
        <v>0</v>
      </c>
      <c r="AB673" s="2255">
        <f t="shared" si="1530"/>
        <v>0</v>
      </c>
      <c r="AC673" s="2177"/>
      <c r="AD673" s="2177"/>
      <c r="AE673" s="2180">
        <f t="shared" si="1531"/>
        <v>0</v>
      </c>
      <c r="AF673" s="2281"/>
      <c r="AG673" s="2114"/>
      <c r="AH673" s="2177"/>
      <c r="AI673" s="2177"/>
      <c r="AJ673" s="2186">
        <f t="shared" si="1532"/>
        <v>0</v>
      </c>
      <c r="AK673" s="2177"/>
      <c r="AL673" s="2177"/>
      <c r="AM673" s="2186">
        <f t="shared" si="1533"/>
        <v>0</v>
      </c>
      <c r="AN673" s="2177"/>
      <c r="AO673" s="2177"/>
      <c r="AP673" s="2186">
        <f t="shared" si="1534"/>
        <v>0</v>
      </c>
      <c r="AQ673" s="2177"/>
      <c r="AR673" s="2177"/>
      <c r="AS673" s="2186">
        <f t="shared" si="1535"/>
        <v>0</v>
      </c>
      <c r="AT673" s="2177"/>
      <c r="AU673" s="2177"/>
      <c r="AV673" s="2186">
        <f t="shared" si="1536"/>
        <v>0</v>
      </c>
      <c r="AW673" s="2177"/>
      <c r="AX673" s="2177"/>
      <c r="AY673" s="2186">
        <f t="shared" si="1537"/>
        <v>0</v>
      </c>
      <c r="AZ673" s="2177"/>
      <c r="BA673" s="2177"/>
      <c r="BB673" s="2186">
        <f t="shared" si="1538"/>
        <v>0</v>
      </c>
      <c r="BC673" s="2177"/>
      <c r="BD673" s="2177"/>
      <c r="BE673" s="2186">
        <f t="shared" si="1539"/>
        <v>0</v>
      </c>
      <c r="BF673" s="2177"/>
      <c r="BG673" s="2177"/>
      <c r="BH673" s="2186">
        <f t="shared" si="1540"/>
        <v>0</v>
      </c>
      <c r="BI673" s="2177"/>
      <c r="BJ673" s="2177"/>
      <c r="BK673" s="2186">
        <f t="shared" si="1541"/>
        <v>0</v>
      </c>
      <c r="BL673" s="2177"/>
      <c r="BM673" s="2177"/>
      <c r="BN673" s="2186">
        <f t="shared" si="1542"/>
        <v>0</v>
      </c>
      <c r="BO673" s="2177"/>
      <c r="BP673" s="2177"/>
      <c r="BQ673" s="2186">
        <f t="shared" si="1543"/>
        <v>0</v>
      </c>
    </row>
    <row r="674" spans="3:69" s="2159" customFormat="1" ht="21.6" hidden="1" customHeight="1">
      <c r="C674" s="2256" t="s">
        <v>2833</v>
      </c>
      <c r="D674" s="2280" t="str">
        <f>D334</f>
        <v>Контрагент 4</v>
      </c>
      <c r="E674" s="2297" t="s">
        <v>1833</v>
      </c>
      <c r="F674" s="2162"/>
      <c r="G674" s="2163">
        <f>G676+G678+G680+G677+G679+G681</f>
        <v>0</v>
      </c>
      <c r="H674" s="2163">
        <f>H676+H678+H680+H677+H679+H681</f>
        <v>0</v>
      </c>
      <c r="I674" s="2164">
        <f t="shared" si="1522"/>
        <v>0</v>
      </c>
      <c r="J674" s="2162"/>
      <c r="K674" s="2259">
        <f t="shared" si="1544"/>
        <v>0</v>
      </c>
      <c r="L674" s="2259">
        <f t="shared" si="1544"/>
        <v>0</v>
      </c>
      <c r="M674" s="2262">
        <f t="shared" si="1523"/>
        <v>0</v>
      </c>
      <c r="N674" s="2163">
        <f>N676+N678+N680+N677+N679+N681</f>
        <v>0</v>
      </c>
      <c r="O674" s="2163">
        <f>O676+O678+O680+O677+O679+O681</f>
        <v>0</v>
      </c>
      <c r="P674" s="2164">
        <f t="shared" si="1524"/>
        <v>0</v>
      </c>
      <c r="Q674" s="2163">
        <f>Q676+Q678+Q680+Q677+Q679+Q681</f>
        <v>0</v>
      </c>
      <c r="R674" s="2163">
        <f>R676+R678+R680+R677+R679+R681</f>
        <v>0</v>
      </c>
      <c r="S674" s="2166">
        <f t="shared" si="1525"/>
        <v>0</v>
      </c>
      <c r="T674" s="2258">
        <f t="shared" si="1545"/>
        <v>0</v>
      </c>
      <c r="U674" s="2259">
        <f t="shared" si="1545"/>
        <v>0</v>
      </c>
      <c r="V674" s="2260">
        <f t="shared" si="1527"/>
        <v>0</v>
      </c>
      <c r="W674" s="2168">
        <f>W676+W678+W680+W677+W679+W681</f>
        <v>0</v>
      </c>
      <c r="X674" s="2163">
        <f>X676+X678+X680+X677+X679+X681</f>
        <v>0</v>
      </c>
      <c r="Y674" s="2169">
        <f t="shared" si="1528"/>
        <v>0</v>
      </c>
      <c r="Z674" s="2261">
        <f t="shared" si="1546"/>
        <v>0</v>
      </c>
      <c r="AA674" s="2259">
        <f t="shared" si="1546"/>
        <v>0</v>
      </c>
      <c r="AB674" s="2262">
        <f t="shared" si="1530"/>
        <v>0</v>
      </c>
      <c r="AC674" s="2163">
        <f>AC676+AC678+AC680+AC677+AC679+AC681</f>
        <v>0</v>
      </c>
      <c r="AD674" s="2163">
        <f>AD676+AD678+AD680+AD677+AD679+AD681</f>
        <v>0</v>
      </c>
      <c r="AE674" s="2166">
        <f t="shared" si="1531"/>
        <v>0</v>
      </c>
      <c r="AF674" s="2281"/>
      <c r="AG674" s="2158"/>
      <c r="AH674" s="2171">
        <f>AH676+AH678+AH680+AH677+AH679+AH681</f>
        <v>0</v>
      </c>
      <c r="AI674" s="2171">
        <f>AI676+AI678+AI680+AI677+AI679+AI681</f>
        <v>0</v>
      </c>
      <c r="AJ674" s="2172">
        <f t="shared" si="1532"/>
        <v>0</v>
      </c>
      <c r="AK674" s="2171">
        <f>AK676+AK678+AK680+AK677+AK679+AK681</f>
        <v>0</v>
      </c>
      <c r="AL674" s="2171">
        <f>AL676+AL678+AL680+AL677+AL679+AL681</f>
        <v>0</v>
      </c>
      <c r="AM674" s="2172">
        <f t="shared" si="1533"/>
        <v>0</v>
      </c>
      <c r="AN674" s="2171">
        <f>AN676+AN678+AN680+AN677+AN679+AN681</f>
        <v>0</v>
      </c>
      <c r="AO674" s="2171">
        <f>AO676+AO678+AO680+AO677+AO679+AO681</f>
        <v>0</v>
      </c>
      <c r="AP674" s="2172">
        <f t="shared" si="1534"/>
        <v>0</v>
      </c>
      <c r="AQ674" s="2171">
        <f>AQ676+AQ678+AQ680+AQ677+AQ679+AQ681</f>
        <v>0</v>
      </c>
      <c r="AR674" s="2171">
        <f>AR676+AR678+AR680+AR677+AR679+AR681</f>
        <v>0</v>
      </c>
      <c r="AS674" s="2172">
        <f t="shared" si="1535"/>
        <v>0</v>
      </c>
      <c r="AT674" s="2171">
        <f>AT676+AT678+AT680+AT677+AT679+AT681</f>
        <v>0</v>
      </c>
      <c r="AU674" s="2171">
        <f>AU676+AU678+AU680+AU677+AU679+AU681</f>
        <v>0</v>
      </c>
      <c r="AV674" s="2172">
        <f t="shared" si="1536"/>
        <v>0</v>
      </c>
      <c r="AW674" s="2171">
        <f>AW676+AW678+AW680+AW677+AW679+AW681</f>
        <v>0</v>
      </c>
      <c r="AX674" s="2171">
        <f>AX676+AX678+AX680+AX677+AX679+AX681</f>
        <v>0</v>
      </c>
      <c r="AY674" s="2172">
        <f t="shared" si="1537"/>
        <v>0</v>
      </c>
      <c r="AZ674" s="2171">
        <f>AZ676+AZ678+AZ680+AZ677+AZ679+AZ681</f>
        <v>0</v>
      </c>
      <c r="BA674" s="2171">
        <f>BA676+BA678+BA680+BA677+BA679+BA681</f>
        <v>0</v>
      </c>
      <c r="BB674" s="2172">
        <f t="shared" si="1538"/>
        <v>0</v>
      </c>
      <c r="BC674" s="2171">
        <f>BC676+BC678+BC680+BC677+BC679+BC681</f>
        <v>0</v>
      </c>
      <c r="BD674" s="2171">
        <f>BD676+BD678+BD680+BD677+BD679+BD681</f>
        <v>0</v>
      </c>
      <c r="BE674" s="2172">
        <f t="shared" si="1539"/>
        <v>0</v>
      </c>
      <c r="BF674" s="2171">
        <f>BF676+BF678+BF680+BF677+BF679+BF681</f>
        <v>0</v>
      </c>
      <c r="BG674" s="2171">
        <f>BG676+BG678+BG680+BG677+BG679+BG681</f>
        <v>0</v>
      </c>
      <c r="BH674" s="2172">
        <f t="shared" si="1540"/>
        <v>0</v>
      </c>
      <c r="BI674" s="2171">
        <f>BI676+BI678+BI680+BI677+BI679+BI681</f>
        <v>0</v>
      </c>
      <c r="BJ674" s="2171">
        <f>BJ676+BJ678+BJ680+BJ677+BJ679+BJ681</f>
        <v>0</v>
      </c>
      <c r="BK674" s="2172">
        <f t="shared" si="1541"/>
        <v>0</v>
      </c>
      <c r="BL674" s="2171">
        <f>BL676+BL678+BL680+BL677+BL679+BL681</f>
        <v>0</v>
      </c>
      <c r="BM674" s="2171">
        <f>BM676+BM678+BM680+BM677+BM679+BM681</f>
        <v>0</v>
      </c>
      <c r="BN674" s="2172">
        <f t="shared" si="1542"/>
        <v>0</v>
      </c>
      <c r="BO674" s="2171">
        <f>BO676+BO678+BO680+BO677+BO679+BO681</f>
        <v>0</v>
      </c>
      <c r="BP674" s="2171">
        <f>BP676+BP678+BP680+BP677+BP679+BP681</f>
        <v>0</v>
      </c>
      <c r="BQ674" s="2172">
        <f t="shared" si="1543"/>
        <v>0</v>
      </c>
    </row>
    <row r="675" spans="3:69" s="2087" customFormat="1" ht="21.6" hidden="1" customHeight="1">
      <c r="C675" s="2285" t="s">
        <v>2834</v>
      </c>
      <c r="D675" s="2289" t="s">
        <v>2211</v>
      </c>
      <c r="E675" s="2284" t="s">
        <v>1833</v>
      </c>
      <c r="F675" s="2176"/>
      <c r="G675" s="2177"/>
      <c r="H675" s="2177"/>
      <c r="I675" s="2178">
        <f t="shared" si="1522"/>
        <v>0</v>
      </c>
      <c r="J675" s="2176"/>
      <c r="K675" s="2252">
        <f t="shared" si="1544"/>
        <v>0</v>
      </c>
      <c r="L675" s="2252">
        <f t="shared" si="1544"/>
        <v>0</v>
      </c>
      <c r="M675" s="2255">
        <f t="shared" si="1523"/>
        <v>0</v>
      </c>
      <c r="N675" s="2177"/>
      <c r="O675" s="2177"/>
      <c r="P675" s="2178">
        <f t="shared" si="1524"/>
        <v>0</v>
      </c>
      <c r="Q675" s="2176"/>
      <c r="R675" s="2177"/>
      <c r="S675" s="2180">
        <f t="shared" si="1525"/>
        <v>0</v>
      </c>
      <c r="T675" s="2251">
        <f t="shared" si="1545"/>
        <v>0</v>
      </c>
      <c r="U675" s="2252">
        <f t="shared" si="1545"/>
        <v>0</v>
      </c>
      <c r="V675" s="2253">
        <f t="shared" si="1527"/>
        <v>0</v>
      </c>
      <c r="W675" s="2182"/>
      <c r="X675" s="2177"/>
      <c r="Y675" s="2183">
        <f t="shared" si="1528"/>
        <v>0</v>
      </c>
      <c r="Z675" s="2254">
        <f t="shared" si="1546"/>
        <v>0</v>
      </c>
      <c r="AA675" s="2252">
        <f t="shared" si="1546"/>
        <v>0</v>
      </c>
      <c r="AB675" s="2255">
        <f t="shared" si="1530"/>
        <v>0</v>
      </c>
      <c r="AC675" s="2176"/>
      <c r="AD675" s="2177"/>
      <c r="AE675" s="2180">
        <f t="shared" si="1531"/>
        <v>0</v>
      </c>
      <c r="AF675" s="2281"/>
      <c r="AG675" s="2114"/>
      <c r="AH675" s="2177"/>
      <c r="AI675" s="2177"/>
      <c r="AJ675" s="2186">
        <f t="shared" si="1532"/>
        <v>0</v>
      </c>
      <c r="AK675" s="2177"/>
      <c r="AL675" s="2177"/>
      <c r="AM675" s="2186">
        <f t="shared" si="1533"/>
        <v>0</v>
      </c>
      <c r="AN675" s="2177"/>
      <c r="AO675" s="2177"/>
      <c r="AP675" s="2186">
        <f t="shared" si="1534"/>
        <v>0</v>
      </c>
      <c r="AQ675" s="2177"/>
      <c r="AR675" s="2177"/>
      <c r="AS675" s="2186">
        <f t="shared" si="1535"/>
        <v>0</v>
      </c>
      <c r="AT675" s="2177"/>
      <c r="AU675" s="2177"/>
      <c r="AV675" s="2186">
        <f t="shared" si="1536"/>
        <v>0</v>
      </c>
      <c r="AW675" s="2177"/>
      <c r="AX675" s="2177"/>
      <c r="AY675" s="2186">
        <f t="shared" si="1537"/>
        <v>0</v>
      </c>
      <c r="AZ675" s="2177"/>
      <c r="BA675" s="2177"/>
      <c r="BB675" s="2186">
        <f t="shared" si="1538"/>
        <v>0</v>
      </c>
      <c r="BC675" s="2177"/>
      <c r="BD675" s="2177"/>
      <c r="BE675" s="2186">
        <f t="shared" si="1539"/>
        <v>0</v>
      </c>
      <c r="BF675" s="2177"/>
      <c r="BG675" s="2177"/>
      <c r="BH675" s="2186">
        <f t="shared" si="1540"/>
        <v>0</v>
      </c>
      <c r="BI675" s="2177"/>
      <c r="BJ675" s="2177"/>
      <c r="BK675" s="2186">
        <f t="shared" si="1541"/>
        <v>0</v>
      </c>
      <c r="BL675" s="2177"/>
      <c r="BM675" s="2177"/>
      <c r="BN675" s="2186">
        <f t="shared" si="1542"/>
        <v>0</v>
      </c>
      <c r="BO675" s="2177"/>
      <c r="BP675" s="2177"/>
      <c r="BQ675" s="2186">
        <f t="shared" si="1543"/>
        <v>0</v>
      </c>
    </row>
    <row r="676" spans="3:69" s="2087" customFormat="1" ht="21.6" hidden="1" customHeight="1">
      <c r="C676" s="2285" t="s">
        <v>2835</v>
      </c>
      <c r="D676" s="2287" t="s">
        <v>2801</v>
      </c>
      <c r="E676" s="2284" t="s">
        <v>1833</v>
      </c>
      <c r="F676" s="2176"/>
      <c r="G676" s="2177"/>
      <c r="H676" s="2177"/>
      <c r="I676" s="2178">
        <f t="shared" si="1522"/>
        <v>0</v>
      </c>
      <c r="J676" s="2176"/>
      <c r="K676" s="2252">
        <f t="shared" si="1544"/>
        <v>0</v>
      </c>
      <c r="L676" s="2252">
        <f t="shared" si="1544"/>
        <v>0</v>
      </c>
      <c r="M676" s="2255">
        <f t="shared" si="1523"/>
        <v>0</v>
      </c>
      <c r="N676" s="2179">
        <f>N336*N414*3/1000</f>
        <v>0</v>
      </c>
      <c r="O676" s="2179">
        <f>O336*O414*3/1000</f>
        <v>0</v>
      </c>
      <c r="P676" s="2178">
        <f t="shared" si="1524"/>
        <v>0</v>
      </c>
      <c r="Q676" s="2179">
        <f>Q336*Q414*3/1000</f>
        <v>0</v>
      </c>
      <c r="R676" s="2179">
        <f>R336*R414*3/1000</f>
        <v>0</v>
      </c>
      <c r="S676" s="2180">
        <f t="shared" si="1525"/>
        <v>0</v>
      </c>
      <c r="T676" s="2251">
        <f t="shared" si="1545"/>
        <v>0</v>
      </c>
      <c r="U676" s="2252">
        <f t="shared" si="1545"/>
        <v>0</v>
      </c>
      <c r="V676" s="2253">
        <f t="shared" si="1527"/>
        <v>0</v>
      </c>
      <c r="W676" s="2187">
        <f>W336*W414*3/1000</f>
        <v>0</v>
      </c>
      <c r="X676" s="2179">
        <f>X336*X414*3/1000</f>
        <v>0</v>
      </c>
      <c r="Y676" s="2183">
        <f t="shared" si="1528"/>
        <v>0</v>
      </c>
      <c r="Z676" s="2254">
        <f t="shared" si="1546"/>
        <v>0</v>
      </c>
      <c r="AA676" s="2252">
        <f t="shared" si="1546"/>
        <v>0</v>
      </c>
      <c r="AB676" s="2255">
        <f t="shared" si="1530"/>
        <v>0</v>
      </c>
      <c r="AC676" s="2179">
        <f>AC336*AC414*3/1000</f>
        <v>0</v>
      </c>
      <c r="AD676" s="2179">
        <f>AD336*AD414*3/1000</f>
        <v>0</v>
      </c>
      <c r="AE676" s="2180">
        <f t="shared" si="1531"/>
        <v>0</v>
      </c>
      <c r="AF676" s="2281"/>
      <c r="AG676" s="2114"/>
      <c r="AH676" s="2188">
        <f>AH336*AH414*3/1000</f>
        <v>0</v>
      </c>
      <c r="AI676" s="2188">
        <f>AI336*AI414*3/1000</f>
        <v>0</v>
      </c>
      <c r="AJ676" s="2186">
        <f t="shared" si="1532"/>
        <v>0</v>
      </c>
      <c r="AK676" s="2188">
        <f>AK336*AK414*3/1000</f>
        <v>0</v>
      </c>
      <c r="AL676" s="2188">
        <f>AL336*AL414*3/1000</f>
        <v>0</v>
      </c>
      <c r="AM676" s="2186">
        <f t="shared" si="1533"/>
        <v>0</v>
      </c>
      <c r="AN676" s="2188">
        <f>AN336*AN414*3/1000</f>
        <v>0</v>
      </c>
      <c r="AO676" s="2188">
        <f>AO336*AO414*3/1000</f>
        <v>0</v>
      </c>
      <c r="AP676" s="2186">
        <f t="shared" si="1534"/>
        <v>0</v>
      </c>
      <c r="AQ676" s="2188">
        <f>AQ336*AQ414*3/1000</f>
        <v>0</v>
      </c>
      <c r="AR676" s="2188">
        <f>AR336*AR414*3/1000</f>
        <v>0</v>
      </c>
      <c r="AS676" s="2186">
        <f t="shared" si="1535"/>
        <v>0</v>
      </c>
      <c r="AT676" s="2188">
        <f>AT336*AT414*3/1000</f>
        <v>0</v>
      </c>
      <c r="AU676" s="2188">
        <f>AU336*AU414*3/1000</f>
        <v>0</v>
      </c>
      <c r="AV676" s="2186">
        <f t="shared" si="1536"/>
        <v>0</v>
      </c>
      <c r="AW676" s="2188">
        <f>AW336*AW414*3/1000</f>
        <v>0</v>
      </c>
      <c r="AX676" s="2188">
        <f>AX336*AX414*3/1000</f>
        <v>0</v>
      </c>
      <c r="AY676" s="2186">
        <f t="shared" si="1537"/>
        <v>0</v>
      </c>
      <c r="AZ676" s="2188">
        <f>AZ336*AZ414*3/1000</f>
        <v>0</v>
      </c>
      <c r="BA676" s="2188">
        <f>BA336*BA414*3/1000</f>
        <v>0</v>
      </c>
      <c r="BB676" s="2186">
        <f t="shared" si="1538"/>
        <v>0</v>
      </c>
      <c r="BC676" s="2188">
        <f>BC336*BC414*3/1000</f>
        <v>0</v>
      </c>
      <c r="BD676" s="2188">
        <f>BD336*BD414*3/1000</f>
        <v>0</v>
      </c>
      <c r="BE676" s="2186">
        <f t="shared" si="1539"/>
        <v>0</v>
      </c>
      <c r="BF676" s="2188">
        <f>BF336*BF414*3/1000</f>
        <v>0</v>
      </c>
      <c r="BG676" s="2188">
        <f>BG336*BG414*3/1000</f>
        <v>0</v>
      </c>
      <c r="BH676" s="2186">
        <f t="shared" si="1540"/>
        <v>0</v>
      </c>
      <c r="BI676" s="2188">
        <f>BI336*BI414*3/1000</f>
        <v>0</v>
      </c>
      <c r="BJ676" s="2188">
        <f>BJ336*BJ414*3/1000</f>
        <v>0</v>
      </c>
      <c r="BK676" s="2186">
        <f t="shared" si="1541"/>
        <v>0</v>
      </c>
      <c r="BL676" s="2188">
        <f>BL336*BL414*3/1000</f>
        <v>0</v>
      </c>
      <c r="BM676" s="2188">
        <f>BM336*BM414*3/1000</f>
        <v>0</v>
      </c>
      <c r="BN676" s="2186">
        <f t="shared" si="1542"/>
        <v>0</v>
      </c>
      <c r="BO676" s="2188">
        <f>BO336*BO414*3/1000</f>
        <v>0</v>
      </c>
      <c r="BP676" s="2188">
        <f>BP336*BP414*3/1000</f>
        <v>0</v>
      </c>
      <c r="BQ676" s="2186">
        <f t="shared" si="1543"/>
        <v>0</v>
      </c>
    </row>
    <row r="677" spans="3:69" s="2087" customFormat="1" ht="21.6" hidden="1" customHeight="1">
      <c r="C677" s="2285" t="s">
        <v>2836</v>
      </c>
      <c r="D677" s="2287" t="s">
        <v>2229</v>
      </c>
      <c r="E677" s="2284" t="s">
        <v>1833</v>
      </c>
      <c r="F677" s="2176"/>
      <c r="G677" s="2177"/>
      <c r="H677" s="2177"/>
      <c r="I677" s="2178">
        <f t="shared" si="1522"/>
        <v>0</v>
      </c>
      <c r="J677" s="2176"/>
      <c r="K677" s="2252">
        <f t="shared" si="1544"/>
        <v>0</v>
      </c>
      <c r="L677" s="2252">
        <f t="shared" si="1544"/>
        <v>0</v>
      </c>
      <c r="M677" s="2255">
        <f t="shared" si="1523"/>
        <v>0</v>
      </c>
      <c r="N677" s="2177"/>
      <c r="O677" s="2177"/>
      <c r="P677" s="2178">
        <f t="shared" si="1524"/>
        <v>0</v>
      </c>
      <c r="Q677" s="2177"/>
      <c r="R677" s="2177"/>
      <c r="S677" s="2180">
        <f t="shared" si="1525"/>
        <v>0</v>
      </c>
      <c r="T677" s="2251">
        <f t="shared" si="1545"/>
        <v>0</v>
      </c>
      <c r="U677" s="2252">
        <f t="shared" si="1545"/>
        <v>0</v>
      </c>
      <c r="V677" s="2253">
        <f t="shared" si="1527"/>
        <v>0</v>
      </c>
      <c r="W677" s="2182"/>
      <c r="X677" s="2177"/>
      <c r="Y677" s="2183">
        <f t="shared" si="1528"/>
        <v>0</v>
      </c>
      <c r="Z677" s="2254">
        <f t="shared" si="1546"/>
        <v>0</v>
      </c>
      <c r="AA677" s="2252">
        <f t="shared" si="1546"/>
        <v>0</v>
      </c>
      <c r="AB677" s="2255">
        <f t="shared" si="1530"/>
        <v>0</v>
      </c>
      <c r="AC677" s="2177"/>
      <c r="AD677" s="2177"/>
      <c r="AE677" s="2180">
        <f t="shared" si="1531"/>
        <v>0</v>
      </c>
      <c r="AF677" s="2281"/>
      <c r="AG677" s="2114"/>
      <c r="AH677" s="2177"/>
      <c r="AI677" s="2177"/>
      <c r="AJ677" s="2186">
        <f t="shared" si="1532"/>
        <v>0</v>
      </c>
      <c r="AK677" s="2177"/>
      <c r="AL677" s="2177"/>
      <c r="AM677" s="2186">
        <f t="shared" si="1533"/>
        <v>0</v>
      </c>
      <c r="AN677" s="2177"/>
      <c r="AO677" s="2177"/>
      <c r="AP677" s="2186">
        <f t="shared" si="1534"/>
        <v>0</v>
      </c>
      <c r="AQ677" s="2177"/>
      <c r="AR677" s="2177"/>
      <c r="AS677" s="2186">
        <f t="shared" si="1535"/>
        <v>0</v>
      </c>
      <c r="AT677" s="2177"/>
      <c r="AU677" s="2177"/>
      <c r="AV677" s="2186">
        <f t="shared" si="1536"/>
        <v>0</v>
      </c>
      <c r="AW677" s="2177"/>
      <c r="AX677" s="2177"/>
      <c r="AY677" s="2186">
        <f t="shared" si="1537"/>
        <v>0</v>
      </c>
      <c r="AZ677" s="2177"/>
      <c r="BA677" s="2177"/>
      <c r="BB677" s="2186">
        <f t="shared" si="1538"/>
        <v>0</v>
      </c>
      <c r="BC677" s="2177"/>
      <c r="BD677" s="2177"/>
      <c r="BE677" s="2186">
        <f t="shared" si="1539"/>
        <v>0</v>
      </c>
      <c r="BF677" s="2177"/>
      <c r="BG677" s="2177"/>
      <c r="BH677" s="2186">
        <f t="shared" si="1540"/>
        <v>0</v>
      </c>
      <c r="BI677" s="2177"/>
      <c r="BJ677" s="2177"/>
      <c r="BK677" s="2186">
        <f t="shared" si="1541"/>
        <v>0</v>
      </c>
      <c r="BL677" s="2177"/>
      <c r="BM677" s="2177"/>
      <c r="BN677" s="2186">
        <f t="shared" si="1542"/>
        <v>0</v>
      </c>
      <c r="BO677" s="2177"/>
      <c r="BP677" s="2177"/>
      <c r="BQ677" s="2186">
        <f t="shared" si="1543"/>
        <v>0</v>
      </c>
    </row>
    <row r="678" spans="3:69" s="2087" customFormat="1" ht="21.6" hidden="1" customHeight="1">
      <c r="C678" s="2285" t="s">
        <v>2837</v>
      </c>
      <c r="D678" s="2287" t="s">
        <v>2804</v>
      </c>
      <c r="E678" s="2284" t="s">
        <v>1833</v>
      </c>
      <c r="F678" s="2176"/>
      <c r="G678" s="2177"/>
      <c r="H678" s="2177"/>
      <c r="I678" s="2178">
        <f t="shared" si="1522"/>
        <v>0</v>
      </c>
      <c r="J678" s="2176"/>
      <c r="K678" s="2252">
        <f t="shared" si="1544"/>
        <v>0</v>
      </c>
      <c r="L678" s="2252">
        <f t="shared" si="1544"/>
        <v>0</v>
      </c>
      <c r="M678" s="2255">
        <f t="shared" si="1523"/>
        <v>0</v>
      </c>
      <c r="N678" s="2179">
        <f>N338*N416</f>
        <v>0</v>
      </c>
      <c r="O678" s="2179">
        <f>O338*O416</f>
        <v>0</v>
      </c>
      <c r="P678" s="2178">
        <f t="shared" si="1524"/>
        <v>0</v>
      </c>
      <c r="Q678" s="2184">
        <f>Q338*Q416</f>
        <v>0</v>
      </c>
      <c r="R678" s="2179">
        <f>R338*R416</f>
        <v>0</v>
      </c>
      <c r="S678" s="2180">
        <f t="shared" si="1525"/>
        <v>0</v>
      </c>
      <c r="T678" s="2251">
        <f t="shared" si="1545"/>
        <v>0</v>
      </c>
      <c r="U678" s="2252">
        <f t="shared" si="1545"/>
        <v>0</v>
      </c>
      <c r="V678" s="2253">
        <f t="shared" si="1527"/>
        <v>0</v>
      </c>
      <c r="W678" s="2187">
        <f>W338*W416</f>
        <v>0</v>
      </c>
      <c r="X678" s="2179">
        <f>X338*X416</f>
        <v>0</v>
      </c>
      <c r="Y678" s="2183">
        <f t="shared" si="1528"/>
        <v>0</v>
      </c>
      <c r="Z678" s="2254">
        <f t="shared" si="1546"/>
        <v>0</v>
      </c>
      <c r="AA678" s="2252">
        <f t="shared" si="1546"/>
        <v>0</v>
      </c>
      <c r="AB678" s="2255">
        <f t="shared" si="1530"/>
        <v>0</v>
      </c>
      <c r="AC678" s="2184">
        <f>AC338*AC416</f>
        <v>0</v>
      </c>
      <c r="AD678" s="2179">
        <f>AD338*AD416</f>
        <v>0</v>
      </c>
      <c r="AE678" s="2180">
        <f t="shared" si="1531"/>
        <v>0</v>
      </c>
      <c r="AF678" s="2281"/>
      <c r="AG678" s="2114"/>
      <c r="AH678" s="2188">
        <f>AH338*AH416</f>
        <v>0</v>
      </c>
      <c r="AI678" s="2188">
        <f>AI338*AI416</f>
        <v>0</v>
      </c>
      <c r="AJ678" s="2186">
        <f t="shared" si="1532"/>
        <v>0</v>
      </c>
      <c r="AK678" s="2188">
        <f>AK338*AK416</f>
        <v>0</v>
      </c>
      <c r="AL678" s="2188">
        <f>AL338*AL416</f>
        <v>0</v>
      </c>
      <c r="AM678" s="2186">
        <f t="shared" si="1533"/>
        <v>0</v>
      </c>
      <c r="AN678" s="2188">
        <f>AN338*AN416</f>
        <v>0</v>
      </c>
      <c r="AO678" s="2188">
        <f>AO338*AO416</f>
        <v>0</v>
      </c>
      <c r="AP678" s="2186">
        <f t="shared" si="1534"/>
        <v>0</v>
      </c>
      <c r="AQ678" s="2188">
        <f>AQ338*AQ416</f>
        <v>0</v>
      </c>
      <c r="AR678" s="2188">
        <f>AR338*AR416</f>
        <v>0</v>
      </c>
      <c r="AS678" s="2186">
        <f t="shared" si="1535"/>
        <v>0</v>
      </c>
      <c r="AT678" s="2188">
        <f>AT338*AT416</f>
        <v>0</v>
      </c>
      <c r="AU678" s="2188">
        <f>AU338*AU416</f>
        <v>0</v>
      </c>
      <c r="AV678" s="2186">
        <f t="shared" si="1536"/>
        <v>0</v>
      </c>
      <c r="AW678" s="2188">
        <f>AW338*AW416</f>
        <v>0</v>
      </c>
      <c r="AX678" s="2188">
        <f>AX338*AX416</f>
        <v>0</v>
      </c>
      <c r="AY678" s="2186">
        <f t="shared" si="1537"/>
        <v>0</v>
      </c>
      <c r="AZ678" s="2188">
        <f>AZ338*AZ416</f>
        <v>0</v>
      </c>
      <c r="BA678" s="2188">
        <f>BA338*BA416</f>
        <v>0</v>
      </c>
      <c r="BB678" s="2186">
        <f t="shared" si="1538"/>
        <v>0</v>
      </c>
      <c r="BC678" s="2188">
        <f>BC338*BC416</f>
        <v>0</v>
      </c>
      <c r="BD678" s="2188">
        <f>BD338*BD416</f>
        <v>0</v>
      </c>
      <c r="BE678" s="2186">
        <f t="shared" si="1539"/>
        <v>0</v>
      </c>
      <c r="BF678" s="2188">
        <f>BF338*BF416</f>
        <v>0</v>
      </c>
      <c r="BG678" s="2188">
        <f>BG338*BG416</f>
        <v>0</v>
      </c>
      <c r="BH678" s="2186">
        <f t="shared" si="1540"/>
        <v>0</v>
      </c>
      <c r="BI678" s="2188">
        <f>BI338*BI416</f>
        <v>0</v>
      </c>
      <c r="BJ678" s="2188">
        <f>BJ338*BJ416</f>
        <v>0</v>
      </c>
      <c r="BK678" s="2186">
        <f t="shared" si="1541"/>
        <v>0</v>
      </c>
      <c r="BL678" s="2188">
        <f>BL338*BL416</f>
        <v>0</v>
      </c>
      <c r="BM678" s="2188">
        <f>BM338*BM416</f>
        <v>0</v>
      </c>
      <c r="BN678" s="2186">
        <f t="shared" si="1542"/>
        <v>0</v>
      </c>
      <c r="BO678" s="2188">
        <f>BO338*BO416</f>
        <v>0</v>
      </c>
      <c r="BP678" s="2188">
        <f>BP338*BP416</f>
        <v>0</v>
      </c>
      <c r="BQ678" s="2186">
        <f t="shared" si="1543"/>
        <v>0</v>
      </c>
    </row>
    <row r="679" spans="3:69" s="2087" customFormat="1" ht="21.6" hidden="1" customHeight="1">
      <c r="C679" s="2285" t="s">
        <v>2838</v>
      </c>
      <c r="D679" s="2287" t="s">
        <v>2229</v>
      </c>
      <c r="E679" s="2284" t="s">
        <v>1833</v>
      </c>
      <c r="F679" s="2176"/>
      <c r="G679" s="2177"/>
      <c r="H679" s="2177"/>
      <c r="I679" s="2178">
        <f t="shared" si="1522"/>
        <v>0</v>
      </c>
      <c r="J679" s="2176"/>
      <c r="K679" s="2252">
        <f t="shared" si="1544"/>
        <v>0</v>
      </c>
      <c r="L679" s="2252">
        <f t="shared" si="1544"/>
        <v>0</v>
      </c>
      <c r="M679" s="2255">
        <f t="shared" si="1523"/>
        <v>0</v>
      </c>
      <c r="N679" s="2177"/>
      <c r="O679" s="2177"/>
      <c r="P679" s="2178">
        <f t="shared" si="1524"/>
        <v>0</v>
      </c>
      <c r="Q679" s="2177"/>
      <c r="R679" s="2177"/>
      <c r="S679" s="2180">
        <f t="shared" si="1525"/>
        <v>0</v>
      </c>
      <c r="T679" s="2251">
        <f t="shared" si="1545"/>
        <v>0</v>
      </c>
      <c r="U679" s="2252">
        <f t="shared" si="1545"/>
        <v>0</v>
      </c>
      <c r="V679" s="2253">
        <f t="shared" si="1527"/>
        <v>0</v>
      </c>
      <c r="W679" s="2182"/>
      <c r="X679" s="2177"/>
      <c r="Y679" s="2183">
        <f t="shared" si="1528"/>
        <v>0</v>
      </c>
      <c r="Z679" s="2254">
        <f t="shared" si="1546"/>
        <v>0</v>
      </c>
      <c r="AA679" s="2252">
        <f t="shared" si="1546"/>
        <v>0</v>
      </c>
      <c r="AB679" s="2255">
        <f t="shared" si="1530"/>
        <v>0</v>
      </c>
      <c r="AC679" s="2177"/>
      <c r="AD679" s="2177"/>
      <c r="AE679" s="2180">
        <f t="shared" si="1531"/>
        <v>0</v>
      </c>
      <c r="AF679" s="2281"/>
      <c r="AG679" s="2114"/>
      <c r="AH679" s="2177"/>
      <c r="AI679" s="2177"/>
      <c r="AJ679" s="2186">
        <f t="shared" si="1532"/>
        <v>0</v>
      </c>
      <c r="AK679" s="2177"/>
      <c r="AL679" s="2177"/>
      <c r="AM679" s="2186">
        <f t="shared" si="1533"/>
        <v>0</v>
      </c>
      <c r="AN679" s="2177"/>
      <c r="AO679" s="2177"/>
      <c r="AP679" s="2186">
        <f t="shared" si="1534"/>
        <v>0</v>
      </c>
      <c r="AQ679" s="2177"/>
      <c r="AR679" s="2177"/>
      <c r="AS679" s="2186">
        <f t="shared" si="1535"/>
        <v>0</v>
      </c>
      <c r="AT679" s="2177"/>
      <c r="AU679" s="2177"/>
      <c r="AV679" s="2186">
        <f t="shared" si="1536"/>
        <v>0</v>
      </c>
      <c r="AW679" s="2177"/>
      <c r="AX679" s="2177"/>
      <c r="AY679" s="2186">
        <f t="shared" si="1537"/>
        <v>0</v>
      </c>
      <c r="AZ679" s="2177"/>
      <c r="BA679" s="2177"/>
      <c r="BB679" s="2186">
        <f t="shared" si="1538"/>
        <v>0</v>
      </c>
      <c r="BC679" s="2177"/>
      <c r="BD679" s="2177"/>
      <c r="BE679" s="2186">
        <f t="shared" si="1539"/>
        <v>0</v>
      </c>
      <c r="BF679" s="2177"/>
      <c r="BG679" s="2177"/>
      <c r="BH679" s="2186">
        <f t="shared" si="1540"/>
        <v>0</v>
      </c>
      <c r="BI679" s="2177"/>
      <c r="BJ679" s="2177"/>
      <c r="BK679" s="2186">
        <f t="shared" si="1541"/>
        <v>0</v>
      </c>
      <c r="BL679" s="2177"/>
      <c r="BM679" s="2177"/>
      <c r="BN679" s="2186">
        <f t="shared" si="1542"/>
        <v>0</v>
      </c>
      <c r="BO679" s="2177"/>
      <c r="BP679" s="2177"/>
      <c r="BQ679" s="2186">
        <f t="shared" si="1543"/>
        <v>0</v>
      </c>
    </row>
    <row r="680" spans="3:69" s="2087" customFormat="1" ht="21.6" hidden="1" customHeight="1">
      <c r="C680" s="2285" t="s">
        <v>2839</v>
      </c>
      <c r="D680" s="2287" t="s">
        <v>2807</v>
      </c>
      <c r="E680" s="2284" t="s">
        <v>1833</v>
      </c>
      <c r="F680" s="2176"/>
      <c r="G680" s="2177"/>
      <c r="H680" s="2177"/>
      <c r="I680" s="2178">
        <f t="shared" si="1522"/>
        <v>0</v>
      </c>
      <c r="J680" s="2176"/>
      <c r="K680" s="2252">
        <f t="shared" si="1544"/>
        <v>0</v>
      </c>
      <c r="L680" s="2252">
        <f t="shared" si="1544"/>
        <v>0</v>
      </c>
      <c r="M680" s="2255">
        <f t="shared" si="1523"/>
        <v>0</v>
      </c>
      <c r="N680" s="2179">
        <f>N340*N418</f>
        <v>0</v>
      </c>
      <c r="O680" s="2179">
        <f>O340*O418</f>
        <v>0</v>
      </c>
      <c r="P680" s="2178">
        <f t="shared" si="1524"/>
        <v>0</v>
      </c>
      <c r="Q680" s="2184">
        <f>Q340*Q418</f>
        <v>0</v>
      </c>
      <c r="R680" s="2179">
        <f>R340*R418</f>
        <v>0</v>
      </c>
      <c r="S680" s="2180">
        <f t="shared" si="1525"/>
        <v>0</v>
      </c>
      <c r="T680" s="2251">
        <f t="shared" si="1545"/>
        <v>0</v>
      </c>
      <c r="U680" s="2252">
        <f t="shared" si="1545"/>
        <v>0</v>
      </c>
      <c r="V680" s="2253">
        <f t="shared" si="1527"/>
        <v>0</v>
      </c>
      <c r="W680" s="2187">
        <f>W340*W418</f>
        <v>0</v>
      </c>
      <c r="X680" s="2179">
        <f>X340*X418</f>
        <v>0</v>
      </c>
      <c r="Y680" s="2183">
        <f t="shared" si="1528"/>
        <v>0</v>
      </c>
      <c r="Z680" s="2254">
        <f t="shared" si="1546"/>
        <v>0</v>
      </c>
      <c r="AA680" s="2252">
        <f t="shared" si="1546"/>
        <v>0</v>
      </c>
      <c r="AB680" s="2255">
        <f t="shared" si="1530"/>
        <v>0</v>
      </c>
      <c r="AC680" s="2184">
        <f>AC340*AC418</f>
        <v>0</v>
      </c>
      <c r="AD680" s="2179">
        <f>AD340*AD418</f>
        <v>0</v>
      </c>
      <c r="AE680" s="2180">
        <f t="shared" si="1531"/>
        <v>0</v>
      </c>
      <c r="AF680" s="2281"/>
      <c r="AG680" s="2114"/>
      <c r="AH680" s="2188">
        <f>AH340*AH418</f>
        <v>0</v>
      </c>
      <c r="AI680" s="2188">
        <f>AI340*AI418</f>
        <v>0</v>
      </c>
      <c r="AJ680" s="2186">
        <f t="shared" si="1532"/>
        <v>0</v>
      </c>
      <c r="AK680" s="2188">
        <f>AK340*AK418</f>
        <v>0</v>
      </c>
      <c r="AL680" s="2188">
        <f>AL340*AL418</f>
        <v>0</v>
      </c>
      <c r="AM680" s="2186">
        <f t="shared" si="1533"/>
        <v>0</v>
      </c>
      <c r="AN680" s="2188">
        <f>AN340*AN418</f>
        <v>0</v>
      </c>
      <c r="AO680" s="2188">
        <f>AO340*AO418</f>
        <v>0</v>
      </c>
      <c r="AP680" s="2186">
        <f t="shared" si="1534"/>
        <v>0</v>
      </c>
      <c r="AQ680" s="2188">
        <f>AQ340*AQ418</f>
        <v>0</v>
      </c>
      <c r="AR680" s="2188">
        <f>AR340*AR418</f>
        <v>0</v>
      </c>
      <c r="AS680" s="2186">
        <f t="shared" si="1535"/>
        <v>0</v>
      </c>
      <c r="AT680" s="2188">
        <f>AT340*AT418</f>
        <v>0</v>
      </c>
      <c r="AU680" s="2188">
        <f>AU340*AU418</f>
        <v>0</v>
      </c>
      <c r="AV680" s="2186">
        <f t="shared" si="1536"/>
        <v>0</v>
      </c>
      <c r="AW680" s="2188">
        <f>AW340*AW418</f>
        <v>0</v>
      </c>
      <c r="AX680" s="2188">
        <f>AX340*AX418</f>
        <v>0</v>
      </c>
      <c r="AY680" s="2186">
        <f t="shared" si="1537"/>
        <v>0</v>
      </c>
      <c r="AZ680" s="2188">
        <f>AZ340*AZ418</f>
        <v>0</v>
      </c>
      <c r="BA680" s="2188">
        <f>BA340*BA418</f>
        <v>0</v>
      </c>
      <c r="BB680" s="2186">
        <f t="shared" si="1538"/>
        <v>0</v>
      </c>
      <c r="BC680" s="2188">
        <f>BC340*BC418</f>
        <v>0</v>
      </c>
      <c r="BD680" s="2188">
        <f>BD340*BD418</f>
        <v>0</v>
      </c>
      <c r="BE680" s="2186">
        <f t="shared" si="1539"/>
        <v>0</v>
      </c>
      <c r="BF680" s="2188">
        <f>BF340*BF418</f>
        <v>0</v>
      </c>
      <c r="BG680" s="2188">
        <f>BG340*BG418</f>
        <v>0</v>
      </c>
      <c r="BH680" s="2186">
        <f t="shared" si="1540"/>
        <v>0</v>
      </c>
      <c r="BI680" s="2188">
        <f>BI340*BI418</f>
        <v>0</v>
      </c>
      <c r="BJ680" s="2188">
        <f>BJ340*BJ418</f>
        <v>0</v>
      </c>
      <c r="BK680" s="2186">
        <f t="shared" si="1541"/>
        <v>0</v>
      </c>
      <c r="BL680" s="2188">
        <f>BL340*BL418</f>
        <v>0</v>
      </c>
      <c r="BM680" s="2188">
        <f>BM340*BM418</f>
        <v>0</v>
      </c>
      <c r="BN680" s="2186">
        <f t="shared" si="1542"/>
        <v>0</v>
      </c>
      <c r="BO680" s="2188">
        <f>BO340*BO418</f>
        <v>0</v>
      </c>
      <c r="BP680" s="2188">
        <f>BP340*BP418</f>
        <v>0</v>
      </c>
      <c r="BQ680" s="2186">
        <f t="shared" si="1543"/>
        <v>0</v>
      </c>
    </row>
    <row r="681" spans="3:69" s="2087" customFormat="1" ht="21.6" hidden="1" customHeight="1">
      <c r="C681" s="2285" t="s">
        <v>2840</v>
      </c>
      <c r="D681" s="2287" t="s">
        <v>2229</v>
      </c>
      <c r="E681" s="2284" t="s">
        <v>1833</v>
      </c>
      <c r="F681" s="2176"/>
      <c r="G681" s="2177"/>
      <c r="H681" s="2177"/>
      <c r="I681" s="2178">
        <f t="shared" si="1522"/>
        <v>0</v>
      </c>
      <c r="J681" s="2176"/>
      <c r="K681" s="2252">
        <f t="shared" si="1544"/>
        <v>0</v>
      </c>
      <c r="L681" s="2252">
        <f t="shared" si="1544"/>
        <v>0</v>
      </c>
      <c r="M681" s="2255">
        <f t="shared" si="1523"/>
        <v>0</v>
      </c>
      <c r="N681" s="2177"/>
      <c r="O681" s="2177"/>
      <c r="P681" s="2178">
        <f t="shared" si="1524"/>
        <v>0</v>
      </c>
      <c r="Q681" s="2177"/>
      <c r="R681" s="2177"/>
      <c r="S681" s="2180">
        <f t="shared" si="1525"/>
        <v>0</v>
      </c>
      <c r="T681" s="2251">
        <f t="shared" si="1545"/>
        <v>0</v>
      </c>
      <c r="U681" s="2252">
        <f t="shared" si="1545"/>
        <v>0</v>
      </c>
      <c r="V681" s="2253">
        <f t="shared" si="1527"/>
        <v>0</v>
      </c>
      <c r="W681" s="2182"/>
      <c r="X681" s="2177"/>
      <c r="Y681" s="2183">
        <f t="shared" si="1528"/>
        <v>0</v>
      </c>
      <c r="Z681" s="2254">
        <f t="shared" si="1546"/>
        <v>0</v>
      </c>
      <c r="AA681" s="2252">
        <f t="shared" si="1546"/>
        <v>0</v>
      </c>
      <c r="AB681" s="2255">
        <f t="shared" si="1530"/>
        <v>0</v>
      </c>
      <c r="AC681" s="2177"/>
      <c r="AD681" s="2177"/>
      <c r="AE681" s="2180">
        <f t="shared" si="1531"/>
        <v>0</v>
      </c>
      <c r="AF681" s="2281"/>
      <c r="AG681" s="2114"/>
      <c r="AH681" s="2177"/>
      <c r="AI681" s="2177"/>
      <c r="AJ681" s="2186">
        <f t="shared" si="1532"/>
        <v>0</v>
      </c>
      <c r="AK681" s="2177"/>
      <c r="AL681" s="2177"/>
      <c r="AM681" s="2186">
        <f t="shared" si="1533"/>
        <v>0</v>
      </c>
      <c r="AN681" s="2177"/>
      <c r="AO681" s="2177"/>
      <c r="AP681" s="2186">
        <f t="shared" si="1534"/>
        <v>0</v>
      </c>
      <c r="AQ681" s="2177"/>
      <c r="AR681" s="2177"/>
      <c r="AS681" s="2186">
        <f t="shared" si="1535"/>
        <v>0</v>
      </c>
      <c r="AT681" s="2177"/>
      <c r="AU681" s="2177"/>
      <c r="AV681" s="2186">
        <f t="shared" si="1536"/>
        <v>0</v>
      </c>
      <c r="AW681" s="2177"/>
      <c r="AX681" s="2177"/>
      <c r="AY681" s="2186">
        <f t="shared" si="1537"/>
        <v>0</v>
      </c>
      <c r="AZ681" s="2177"/>
      <c r="BA681" s="2177"/>
      <c r="BB681" s="2186">
        <f t="shared" si="1538"/>
        <v>0</v>
      </c>
      <c r="BC681" s="2177"/>
      <c r="BD681" s="2177"/>
      <c r="BE681" s="2186">
        <f t="shared" si="1539"/>
        <v>0</v>
      </c>
      <c r="BF681" s="2177"/>
      <c r="BG681" s="2177"/>
      <c r="BH681" s="2186">
        <f t="shared" si="1540"/>
        <v>0</v>
      </c>
      <c r="BI681" s="2177"/>
      <c r="BJ681" s="2177"/>
      <c r="BK681" s="2186">
        <f t="shared" si="1541"/>
        <v>0</v>
      </c>
      <c r="BL681" s="2177"/>
      <c r="BM681" s="2177"/>
      <c r="BN681" s="2186">
        <f t="shared" si="1542"/>
        <v>0</v>
      </c>
      <c r="BO681" s="2177"/>
      <c r="BP681" s="2177"/>
      <c r="BQ681" s="2186">
        <f t="shared" si="1543"/>
        <v>0</v>
      </c>
    </row>
    <row r="682" spans="3:69" s="2159" customFormat="1" ht="21.6" hidden="1" customHeight="1">
      <c r="C682" s="2256" t="s">
        <v>2841</v>
      </c>
      <c r="D682" s="2280" t="str">
        <f>D342</f>
        <v>Прочие контрагенты</v>
      </c>
      <c r="E682" s="2297" t="s">
        <v>1833</v>
      </c>
      <c r="F682" s="2162"/>
      <c r="G682" s="2163">
        <f>G684+G686+G688+G685+G687+G689</f>
        <v>0</v>
      </c>
      <c r="H682" s="2163">
        <f>H684+H686+H688+H685+H687+H689</f>
        <v>0</v>
      </c>
      <c r="I682" s="2164">
        <f t="shared" si="1522"/>
        <v>0</v>
      </c>
      <c r="J682" s="2162"/>
      <c r="K682" s="2259">
        <f t="shared" si="1544"/>
        <v>0</v>
      </c>
      <c r="L682" s="2259">
        <f t="shared" si="1544"/>
        <v>0</v>
      </c>
      <c r="M682" s="2164">
        <f t="shared" si="1523"/>
        <v>0</v>
      </c>
      <c r="N682" s="2163">
        <f>N684+N686+N688+N685+N687+N689</f>
        <v>0</v>
      </c>
      <c r="O682" s="2163">
        <f>O684+O686+O688+O685+O687+O689</f>
        <v>0</v>
      </c>
      <c r="P682" s="2164">
        <f t="shared" si="1524"/>
        <v>0</v>
      </c>
      <c r="Q682" s="2163">
        <f>Q684+Q686+Q688+Q685+Q687+Q689</f>
        <v>0</v>
      </c>
      <c r="R682" s="2163">
        <f>R684+R686+R688+R685+R687+R689</f>
        <v>0</v>
      </c>
      <c r="S682" s="2166">
        <f t="shared" si="1525"/>
        <v>0</v>
      </c>
      <c r="T682" s="2258">
        <f t="shared" si="1545"/>
        <v>0</v>
      </c>
      <c r="U682" s="2259">
        <f t="shared" si="1545"/>
        <v>0</v>
      </c>
      <c r="V682" s="2260">
        <f t="shared" si="1527"/>
        <v>0</v>
      </c>
      <c r="W682" s="2168">
        <f>W684+W686+W688+W685+W687+W689</f>
        <v>0</v>
      </c>
      <c r="X682" s="2163">
        <f>X684+X686+X688+X685+X687+X689</f>
        <v>0</v>
      </c>
      <c r="Y682" s="2169">
        <f t="shared" si="1528"/>
        <v>0</v>
      </c>
      <c r="Z682" s="2261">
        <f t="shared" si="1546"/>
        <v>0</v>
      </c>
      <c r="AA682" s="2259">
        <f t="shared" si="1546"/>
        <v>0</v>
      </c>
      <c r="AB682" s="2262">
        <f t="shared" si="1530"/>
        <v>0</v>
      </c>
      <c r="AC682" s="2163">
        <f>AC684+AC686+AC688+AC685+AC687+AC689</f>
        <v>0</v>
      </c>
      <c r="AD682" s="2163">
        <f>AD684+AD686+AD688+AD685+AD687+AD689</f>
        <v>0</v>
      </c>
      <c r="AE682" s="2166">
        <f t="shared" si="1531"/>
        <v>0</v>
      </c>
      <c r="AF682" s="2281"/>
      <c r="AG682" s="2158"/>
      <c r="AH682" s="2171">
        <f>AH684+AH686+AH688+AH685+AH687+AH689</f>
        <v>0</v>
      </c>
      <c r="AI682" s="2171">
        <f>AI684+AI686+AI688+AI685+AI687+AI689</f>
        <v>0</v>
      </c>
      <c r="AJ682" s="2172">
        <f t="shared" si="1532"/>
        <v>0</v>
      </c>
      <c r="AK682" s="2171">
        <f>AK684+AK686+AK688+AK685+AK687+AK689</f>
        <v>0</v>
      </c>
      <c r="AL682" s="2171">
        <f>AL684+AL686+AL688+AL685+AL687+AL689</f>
        <v>0</v>
      </c>
      <c r="AM682" s="2172">
        <f t="shared" si="1533"/>
        <v>0</v>
      </c>
      <c r="AN682" s="2171">
        <f>AN684+AN686+AN688+AN685+AN687+AN689</f>
        <v>0</v>
      </c>
      <c r="AO682" s="2171">
        <f>AO684+AO686+AO688+AO685+AO687+AO689</f>
        <v>0</v>
      </c>
      <c r="AP682" s="2172">
        <f t="shared" si="1534"/>
        <v>0</v>
      </c>
      <c r="AQ682" s="2171">
        <f>AQ684+AQ686+AQ688+AQ685+AQ687+AQ689</f>
        <v>0</v>
      </c>
      <c r="AR682" s="2171">
        <f>AR684+AR686+AR688+AR685+AR687+AR689</f>
        <v>0</v>
      </c>
      <c r="AS682" s="2172">
        <f t="shared" si="1535"/>
        <v>0</v>
      </c>
      <c r="AT682" s="2171">
        <f>AT684+AT686+AT688+AT685+AT687+AT689</f>
        <v>0</v>
      </c>
      <c r="AU682" s="2171">
        <f>AU684+AU686+AU688+AU685+AU687+AU689</f>
        <v>0</v>
      </c>
      <c r="AV682" s="2172">
        <f t="shared" si="1536"/>
        <v>0</v>
      </c>
      <c r="AW682" s="2171">
        <f>AW684+AW686+AW688+AW685+AW687+AW689</f>
        <v>0</v>
      </c>
      <c r="AX682" s="2171">
        <f>AX684+AX686+AX688+AX685+AX687+AX689</f>
        <v>0</v>
      </c>
      <c r="AY682" s="2172">
        <f t="shared" si="1537"/>
        <v>0</v>
      </c>
      <c r="AZ682" s="2171">
        <f>AZ684+AZ686+AZ688+AZ685+AZ687+AZ689</f>
        <v>0</v>
      </c>
      <c r="BA682" s="2171">
        <f>BA684+BA686+BA688+BA685+BA687+BA689</f>
        <v>0</v>
      </c>
      <c r="BB682" s="2172">
        <f t="shared" si="1538"/>
        <v>0</v>
      </c>
      <c r="BC682" s="2171">
        <f>BC684+BC686+BC688+BC685+BC687+BC689</f>
        <v>0</v>
      </c>
      <c r="BD682" s="2171">
        <f>BD684+BD686+BD688+BD685+BD687+BD689</f>
        <v>0</v>
      </c>
      <c r="BE682" s="2172">
        <f t="shared" si="1539"/>
        <v>0</v>
      </c>
      <c r="BF682" s="2171">
        <f>BF684+BF686+BF688+BF685+BF687+BF689</f>
        <v>0</v>
      </c>
      <c r="BG682" s="2171">
        <f>BG684+BG686+BG688+BG685+BG687+BG689</f>
        <v>0</v>
      </c>
      <c r="BH682" s="2172">
        <f t="shared" si="1540"/>
        <v>0</v>
      </c>
      <c r="BI682" s="2171">
        <f>BI684+BI686+BI688+BI685+BI687+BI689</f>
        <v>0</v>
      </c>
      <c r="BJ682" s="2171">
        <f>BJ684+BJ686+BJ688+BJ685+BJ687+BJ689</f>
        <v>0</v>
      </c>
      <c r="BK682" s="2172">
        <f t="shared" si="1541"/>
        <v>0</v>
      </c>
      <c r="BL682" s="2171">
        <f>BL684+BL686+BL688+BL685+BL687+BL689</f>
        <v>0</v>
      </c>
      <c r="BM682" s="2171">
        <f>BM684+BM686+BM688+BM685+BM687+BM689</f>
        <v>0</v>
      </c>
      <c r="BN682" s="2172">
        <f t="shared" si="1542"/>
        <v>0</v>
      </c>
      <c r="BO682" s="2171">
        <f>BO684+BO686+BO688+BO685+BO687+BO689</f>
        <v>0</v>
      </c>
      <c r="BP682" s="2171">
        <f>BP684+BP686+BP688+BP685+BP687+BP689</f>
        <v>0</v>
      </c>
      <c r="BQ682" s="2172">
        <f t="shared" si="1543"/>
        <v>0</v>
      </c>
    </row>
    <row r="683" spans="3:69" s="2087" customFormat="1" ht="21.6" hidden="1" customHeight="1">
      <c r="C683" s="2285" t="s">
        <v>2842</v>
      </c>
      <c r="D683" s="2289" t="s">
        <v>2211</v>
      </c>
      <c r="E683" s="2284" t="s">
        <v>1833</v>
      </c>
      <c r="F683" s="2176"/>
      <c r="G683" s="2177"/>
      <c r="H683" s="2177"/>
      <c r="I683" s="2178">
        <f t="shared" si="1522"/>
        <v>0</v>
      </c>
      <c r="J683" s="2176"/>
      <c r="K683" s="2252">
        <f t="shared" si="1544"/>
        <v>0</v>
      </c>
      <c r="L683" s="2252">
        <f t="shared" si="1544"/>
        <v>0</v>
      </c>
      <c r="M683" s="2255">
        <f t="shared" si="1523"/>
        <v>0</v>
      </c>
      <c r="N683" s="2177"/>
      <c r="O683" s="2177"/>
      <c r="P683" s="2178">
        <f t="shared" si="1524"/>
        <v>0</v>
      </c>
      <c r="Q683" s="2176"/>
      <c r="R683" s="2177"/>
      <c r="S683" s="2180">
        <f t="shared" si="1525"/>
        <v>0</v>
      </c>
      <c r="T683" s="2251">
        <f t="shared" si="1545"/>
        <v>0</v>
      </c>
      <c r="U683" s="2252">
        <f t="shared" si="1545"/>
        <v>0</v>
      </c>
      <c r="V683" s="2253">
        <f t="shared" si="1527"/>
        <v>0</v>
      </c>
      <c r="W683" s="2182"/>
      <c r="X683" s="2177"/>
      <c r="Y683" s="2183">
        <f t="shared" si="1528"/>
        <v>0</v>
      </c>
      <c r="Z683" s="2254">
        <f t="shared" si="1546"/>
        <v>0</v>
      </c>
      <c r="AA683" s="2252">
        <f t="shared" si="1546"/>
        <v>0</v>
      </c>
      <c r="AB683" s="2255">
        <f t="shared" si="1530"/>
        <v>0</v>
      </c>
      <c r="AC683" s="2176"/>
      <c r="AD683" s="2177"/>
      <c r="AE683" s="2180">
        <f t="shared" si="1531"/>
        <v>0</v>
      </c>
      <c r="AF683" s="2281"/>
      <c r="AG683" s="2114"/>
      <c r="AH683" s="2177"/>
      <c r="AI683" s="2177"/>
      <c r="AJ683" s="2186">
        <f t="shared" si="1532"/>
        <v>0</v>
      </c>
      <c r="AK683" s="2177"/>
      <c r="AL683" s="2177"/>
      <c r="AM683" s="2186">
        <f t="shared" si="1533"/>
        <v>0</v>
      </c>
      <c r="AN683" s="2177"/>
      <c r="AO683" s="2177"/>
      <c r="AP683" s="2186">
        <f t="shared" si="1534"/>
        <v>0</v>
      </c>
      <c r="AQ683" s="2177"/>
      <c r="AR683" s="2177"/>
      <c r="AS683" s="2186">
        <f t="shared" si="1535"/>
        <v>0</v>
      </c>
      <c r="AT683" s="2177"/>
      <c r="AU683" s="2177"/>
      <c r="AV683" s="2186">
        <f t="shared" si="1536"/>
        <v>0</v>
      </c>
      <c r="AW683" s="2177"/>
      <c r="AX683" s="2177"/>
      <c r="AY683" s="2186">
        <f t="shared" si="1537"/>
        <v>0</v>
      </c>
      <c r="AZ683" s="2177"/>
      <c r="BA683" s="2177"/>
      <c r="BB683" s="2186">
        <f t="shared" si="1538"/>
        <v>0</v>
      </c>
      <c r="BC683" s="2177"/>
      <c r="BD683" s="2177"/>
      <c r="BE683" s="2186">
        <f t="shared" si="1539"/>
        <v>0</v>
      </c>
      <c r="BF683" s="2177"/>
      <c r="BG683" s="2177"/>
      <c r="BH683" s="2186">
        <f t="shared" si="1540"/>
        <v>0</v>
      </c>
      <c r="BI683" s="2177"/>
      <c r="BJ683" s="2177"/>
      <c r="BK683" s="2186">
        <f t="shared" si="1541"/>
        <v>0</v>
      </c>
      <c r="BL683" s="2177"/>
      <c r="BM683" s="2177"/>
      <c r="BN683" s="2186">
        <f t="shared" si="1542"/>
        <v>0</v>
      </c>
      <c r="BO683" s="2177"/>
      <c r="BP683" s="2177"/>
      <c r="BQ683" s="2186">
        <f t="shared" si="1543"/>
        <v>0</v>
      </c>
    </row>
    <row r="684" spans="3:69" s="2087" customFormat="1" ht="21.6" hidden="1" customHeight="1">
      <c r="C684" s="2285" t="s">
        <v>2843</v>
      </c>
      <c r="D684" s="2287" t="s">
        <v>2801</v>
      </c>
      <c r="E684" s="2284" t="s">
        <v>1833</v>
      </c>
      <c r="F684" s="2176"/>
      <c r="G684" s="2177"/>
      <c r="H684" s="2177"/>
      <c r="I684" s="2178">
        <f t="shared" si="1522"/>
        <v>0</v>
      </c>
      <c r="J684" s="2176"/>
      <c r="K684" s="2252">
        <f t="shared" si="1544"/>
        <v>0</v>
      </c>
      <c r="L684" s="2252">
        <f t="shared" si="1544"/>
        <v>0</v>
      </c>
      <c r="M684" s="2255">
        <f t="shared" si="1523"/>
        <v>0</v>
      </c>
      <c r="N684" s="2177"/>
      <c r="O684" s="2177"/>
      <c r="P684" s="2178">
        <f t="shared" si="1524"/>
        <v>0</v>
      </c>
      <c r="Q684" s="2176"/>
      <c r="R684" s="2177"/>
      <c r="S684" s="2180">
        <f t="shared" si="1525"/>
        <v>0</v>
      </c>
      <c r="T684" s="2251">
        <f t="shared" si="1545"/>
        <v>0</v>
      </c>
      <c r="U684" s="2252">
        <f t="shared" si="1545"/>
        <v>0</v>
      </c>
      <c r="V684" s="2253">
        <f t="shared" si="1527"/>
        <v>0</v>
      </c>
      <c r="W684" s="2182"/>
      <c r="X684" s="2177"/>
      <c r="Y684" s="2183">
        <f t="shared" si="1528"/>
        <v>0</v>
      </c>
      <c r="Z684" s="2254">
        <f t="shared" si="1546"/>
        <v>0</v>
      </c>
      <c r="AA684" s="2252">
        <f t="shared" si="1546"/>
        <v>0</v>
      </c>
      <c r="AB684" s="2255">
        <f t="shared" si="1530"/>
        <v>0</v>
      </c>
      <c r="AC684" s="2176"/>
      <c r="AD684" s="2177"/>
      <c r="AE684" s="2180">
        <f t="shared" si="1531"/>
        <v>0</v>
      </c>
      <c r="AF684" s="2281"/>
      <c r="AG684" s="2114"/>
      <c r="AH684" s="2177"/>
      <c r="AI684" s="2177"/>
      <c r="AJ684" s="2186">
        <f t="shared" si="1532"/>
        <v>0</v>
      </c>
      <c r="AK684" s="2177"/>
      <c r="AL684" s="2177"/>
      <c r="AM684" s="2186">
        <f t="shared" si="1533"/>
        <v>0</v>
      </c>
      <c r="AN684" s="2177"/>
      <c r="AO684" s="2177"/>
      <c r="AP684" s="2186">
        <f t="shared" si="1534"/>
        <v>0</v>
      </c>
      <c r="AQ684" s="2177"/>
      <c r="AR684" s="2177"/>
      <c r="AS684" s="2186">
        <f t="shared" si="1535"/>
        <v>0</v>
      </c>
      <c r="AT684" s="2177"/>
      <c r="AU684" s="2177"/>
      <c r="AV684" s="2186">
        <f t="shared" si="1536"/>
        <v>0</v>
      </c>
      <c r="AW684" s="2177"/>
      <c r="AX684" s="2177"/>
      <c r="AY684" s="2186">
        <f t="shared" si="1537"/>
        <v>0</v>
      </c>
      <c r="AZ684" s="2177"/>
      <c r="BA684" s="2177"/>
      <c r="BB684" s="2186">
        <f t="shared" si="1538"/>
        <v>0</v>
      </c>
      <c r="BC684" s="2177"/>
      <c r="BD684" s="2177"/>
      <c r="BE684" s="2186">
        <f t="shared" si="1539"/>
        <v>0</v>
      </c>
      <c r="BF684" s="2177"/>
      <c r="BG684" s="2177"/>
      <c r="BH684" s="2186">
        <f t="shared" si="1540"/>
        <v>0</v>
      </c>
      <c r="BI684" s="2177"/>
      <c r="BJ684" s="2177"/>
      <c r="BK684" s="2186">
        <f t="shared" si="1541"/>
        <v>0</v>
      </c>
      <c r="BL684" s="2177"/>
      <c r="BM684" s="2177"/>
      <c r="BN684" s="2186">
        <f t="shared" si="1542"/>
        <v>0</v>
      </c>
      <c r="BO684" s="2177"/>
      <c r="BP684" s="2177"/>
      <c r="BQ684" s="2186">
        <f t="shared" si="1543"/>
        <v>0</v>
      </c>
    </row>
    <row r="685" spans="3:69" s="2087" customFormat="1" ht="21.6" hidden="1" customHeight="1">
      <c r="C685" s="2285" t="s">
        <v>2844</v>
      </c>
      <c r="D685" s="2287" t="s">
        <v>2229</v>
      </c>
      <c r="E685" s="2284" t="s">
        <v>1833</v>
      </c>
      <c r="F685" s="2176"/>
      <c r="G685" s="2177"/>
      <c r="H685" s="2177"/>
      <c r="I685" s="2178">
        <f t="shared" si="1522"/>
        <v>0</v>
      </c>
      <c r="J685" s="2176"/>
      <c r="K685" s="2252">
        <f t="shared" si="1544"/>
        <v>0</v>
      </c>
      <c r="L685" s="2252">
        <f t="shared" si="1544"/>
        <v>0</v>
      </c>
      <c r="M685" s="2255">
        <f t="shared" si="1523"/>
        <v>0</v>
      </c>
      <c r="N685" s="2177"/>
      <c r="O685" s="2177"/>
      <c r="P685" s="2178">
        <f t="shared" si="1524"/>
        <v>0</v>
      </c>
      <c r="Q685" s="2177"/>
      <c r="R685" s="2177"/>
      <c r="S685" s="2180">
        <f t="shared" si="1525"/>
        <v>0</v>
      </c>
      <c r="T685" s="2251">
        <f t="shared" si="1545"/>
        <v>0</v>
      </c>
      <c r="U685" s="2252">
        <f t="shared" si="1545"/>
        <v>0</v>
      </c>
      <c r="V685" s="2253">
        <f t="shared" si="1527"/>
        <v>0</v>
      </c>
      <c r="W685" s="2182"/>
      <c r="X685" s="2177"/>
      <c r="Y685" s="2183">
        <f t="shared" si="1528"/>
        <v>0</v>
      </c>
      <c r="Z685" s="2254">
        <f t="shared" si="1546"/>
        <v>0</v>
      </c>
      <c r="AA685" s="2252">
        <f t="shared" si="1546"/>
        <v>0</v>
      </c>
      <c r="AB685" s="2255">
        <f t="shared" si="1530"/>
        <v>0</v>
      </c>
      <c r="AC685" s="2177"/>
      <c r="AD685" s="2177"/>
      <c r="AE685" s="2180">
        <f t="shared" si="1531"/>
        <v>0</v>
      </c>
      <c r="AF685" s="2281"/>
      <c r="AG685" s="2114"/>
      <c r="AH685" s="2177"/>
      <c r="AI685" s="2177"/>
      <c r="AJ685" s="2186">
        <f t="shared" si="1532"/>
        <v>0</v>
      </c>
      <c r="AK685" s="2177"/>
      <c r="AL685" s="2177"/>
      <c r="AM685" s="2186">
        <f t="shared" si="1533"/>
        <v>0</v>
      </c>
      <c r="AN685" s="2177"/>
      <c r="AO685" s="2177"/>
      <c r="AP685" s="2186">
        <f t="shared" si="1534"/>
        <v>0</v>
      </c>
      <c r="AQ685" s="2177"/>
      <c r="AR685" s="2177"/>
      <c r="AS685" s="2186">
        <f t="shared" si="1535"/>
        <v>0</v>
      </c>
      <c r="AT685" s="2177"/>
      <c r="AU685" s="2177"/>
      <c r="AV685" s="2186">
        <f t="shared" si="1536"/>
        <v>0</v>
      </c>
      <c r="AW685" s="2177"/>
      <c r="AX685" s="2177"/>
      <c r="AY685" s="2186">
        <f t="shared" si="1537"/>
        <v>0</v>
      </c>
      <c r="AZ685" s="2177"/>
      <c r="BA685" s="2177"/>
      <c r="BB685" s="2186">
        <f t="shared" si="1538"/>
        <v>0</v>
      </c>
      <c r="BC685" s="2177"/>
      <c r="BD685" s="2177"/>
      <c r="BE685" s="2186">
        <f t="shared" si="1539"/>
        <v>0</v>
      </c>
      <c r="BF685" s="2177"/>
      <c r="BG685" s="2177"/>
      <c r="BH685" s="2186">
        <f t="shared" si="1540"/>
        <v>0</v>
      </c>
      <c r="BI685" s="2177"/>
      <c r="BJ685" s="2177"/>
      <c r="BK685" s="2186">
        <f t="shared" si="1541"/>
        <v>0</v>
      </c>
      <c r="BL685" s="2177"/>
      <c r="BM685" s="2177"/>
      <c r="BN685" s="2186">
        <f t="shared" si="1542"/>
        <v>0</v>
      </c>
      <c r="BO685" s="2177"/>
      <c r="BP685" s="2177"/>
      <c r="BQ685" s="2186">
        <f t="shared" si="1543"/>
        <v>0</v>
      </c>
    </row>
    <row r="686" spans="3:69" s="2087" customFormat="1" ht="21.6" hidden="1" customHeight="1">
      <c r="C686" s="2285" t="s">
        <v>2845</v>
      </c>
      <c r="D686" s="2287" t="s">
        <v>2804</v>
      </c>
      <c r="E686" s="2284" t="s">
        <v>1833</v>
      </c>
      <c r="F686" s="2176"/>
      <c r="G686" s="2177"/>
      <c r="H686" s="2177"/>
      <c r="I686" s="2178">
        <f t="shared" si="1522"/>
        <v>0</v>
      </c>
      <c r="J686" s="2176"/>
      <c r="K686" s="2252">
        <f t="shared" si="1544"/>
        <v>0</v>
      </c>
      <c r="L686" s="2252">
        <f t="shared" si="1544"/>
        <v>0</v>
      </c>
      <c r="M686" s="2255">
        <f t="shared" si="1523"/>
        <v>0</v>
      </c>
      <c r="N686" s="2177"/>
      <c r="O686" s="2177"/>
      <c r="P686" s="2178">
        <f t="shared" si="1524"/>
        <v>0</v>
      </c>
      <c r="Q686" s="2176"/>
      <c r="R686" s="2177"/>
      <c r="S686" s="2180">
        <f t="shared" si="1525"/>
        <v>0</v>
      </c>
      <c r="T686" s="2251">
        <f t="shared" si="1545"/>
        <v>0</v>
      </c>
      <c r="U686" s="2252">
        <f t="shared" si="1545"/>
        <v>0</v>
      </c>
      <c r="V686" s="2253">
        <f t="shared" si="1527"/>
        <v>0</v>
      </c>
      <c r="W686" s="2182"/>
      <c r="X686" s="2177"/>
      <c r="Y686" s="2183">
        <f t="shared" si="1528"/>
        <v>0</v>
      </c>
      <c r="Z686" s="2254">
        <f t="shared" si="1546"/>
        <v>0</v>
      </c>
      <c r="AA686" s="2252">
        <f t="shared" si="1546"/>
        <v>0</v>
      </c>
      <c r="AB686" s="2255">
        <f t="shared" si="1530"/>
        <v>0</v>
      </c>
      <c r="AC686" s="2176"/>
      <c r="AD686" s="2177"/>
      <c r="AE686" s="2180">
        <f t="shared" si="1531"/>
        <v>0</v>
      </c>
      <c r="AF686" s="2281"/>
      <c r="AG686" s="2114"/>
      <c r="AH686" s="2177"/>
      <c r="AI686" s="2177"/>
      <c r="AJ686" s="2186">
        <f t="shared" si="1532"/>
        <v>0</v>
      </c>
      <c r="AK686" s="2177"/>
      <c r="AL686" s="2177"/>
      <c r="AM686" s="2186">
        <f t="shared" si="1533"/>
        <v>0</v>
      </c>
      <c r="AN686" s="2177"/>
      <c r="AO686" s="2177"/>
      <c r="AP686" s="2186">
        <f t="shared" si="1534"/>
        <v>0</v>
      </c>
      <c r="AQ686" s="2177"/>
      <c r="AR686" s="2177"/>
      <c r="AS686" s="2186">
        <f t="shared" si="1535"/>
        <v>0</v>
      </c>
      <c r="AT686" s="2177"/>
      <c r="AU686" s="2177"/>
      <c r="AV686" s="2186">
        <f t="shared" si="1536"/>
        <v>0</v>
      </c>
      <c r="AW686" s="2177"/>
      <c r="AX686" s="2177"/>
      <c r="AY686" s="2186">
        <f t="shared" si="1537"/>
        <v>0</v>
      </c>
      <c r="AZ686" s="2177"/>
      <c r="BA686" s="2177"/>
      <c r="BB686" s="2186">
        <f t="shared" si="1538"/>
        <v>0</v>
      </c>
      <c r="BC686" s="2177"/>
      <c r="BD686" s="2177"/>
      <c r="BE686" s="2186">
        <f t="shared" si="1539"/>
        <v>0</v>
      </c>
      <c r="BF686" s="2177"/>
      <c r="BG686" s="2177"/>
      <c r="BH686" s="2186">
        <f t="shared" si="1540"/>
        <v>0</v>
      </c>
      <c r="BI686" s="2177"/>
      <c r="BJ686" s="2177"/>
      <c r="BK686" s="2186">
        <f t="shared" si="1541"/>
        <v>0</v>
      </c>
      <c r="BL686" s="2177"/>
      <c r="BM686" s="2177"/>
      <c r="BN686" s="2186">
        <f t="shared" si="1542"/>
        <v>0</v>
      </c>
      <c r="BO686" s="2177"/>
      <c r="BP686" s="2177"/>
      <c r="BQ686" s="2186">
        <f t="shared" si="1543"/>
        <v>0</v>
      </c>
    </row>
    <row r="687" spans="3:69" s="2087" customFormat="1" ht="21.6" hidden="1" customHeight="1">
      <c r="C687" s="2285" t="s">
        <v>2846</v>
      </c>
      <c r="D687" s="2287" t="s">
        <v>2229</v>
      </c>
      <c r="E687" s="2284" t="s">
        <v>1833</v>
      </c>
      <c r="F687" s="2176"/>
      <c r="G687" s="2177"/>
      <c r="H687" s="2177"/>
      <c r="I687" s="2178">
        <f t="shared" si="1522"/>
        <v>0</v>
      </c>
      <c r="J687" s="2176"/>
      <c r="K687" s="2252">
        <f t="shared" si="1544"/>
        <v>0</v>
      </c>
      <c r="L687" s="2252">
        <f t="shared" si="1544"/>
        <v>0</v>
      </c>
      <c r="M687" s="2255">
        <f t="shared" si="1523"/>
        <v>0</v>
      </c>
      <c r="N687" s="2177"/>
      <c r="O687" s="2177"/>
      <c r="P687" s="2178">
        <f t="shared" si="1524"/>
        <v>0</v>
      </c>
      <c r="Q687" s="2177"/>
      <c r="R687" s="2177"/>
      <c r="S687" s="2180">
        <f t="shared" si="1525"/>
        <v>0</v>
      </c>
      <c r="T687" s="2251">
        <f t="shared" si="1545"/>
        <v>0</v>
      </c>
      <c r="U687" s="2252">
        <f t="shared" si="1545"/>
        <v>0</v>
      </c>
      <c r="V687" s="2253">
        <f t="shared" si="1527"/>
        <v>0</v>
      </c>
      <c r="W687" s="2182"/>
      <c r="X687" s="2177"/>
      <c r="Y687" s="2183">
        <f t="shared" si="1528"/>
        <v>0</v>
      </c>
      <c r="Z687" s="2254">
        <f t="shared" si="1546"/>
        <v>0</v>
      </c>
      <c r="AA687" s="2252">
        <f t="shared" si="1546"/>
        <v>0</v>
      </c>
      <c r="AB687" s="2255">
        <f t="shared" si="1530"/>
        <v>0</v>
      </c>
      <c r="AC687" s="2177"/>
      <c r="AD687" s="2177"/>
      <c r="AE687" s="2180">
        <f t="shared" si="1531"/>
        <v>0</v>
      </c>
      <c r="AF687" s="2281"/>
      <c r="AG687" s="2114"/>
      <c r="AH687" s="2177"/>
      <c r="AI687" s="2177"/>
      <c r="AJ687" s="2186">
        <f t="shared" si="1532"/>
        <v>0</v>
      </c>
      <c r="AK687" s="2177"/>
      <c r="AL687" s="2177"/>
      <c r="AM687" s="2186">
        <f t="shared" si="1533"/>
        <v>0</v>
      </c>
      <c r="AN687" s="2177"/>
      <c r="AO687" s="2177"/>
      <c r="AP687" s="2186">
        <f t="shared" si="1534"/>
        <v>0</v>
      </c>
      <c r="AQ687" s="2177"/>
      <c r="AR687" s="2177"/>
      <c r="AS687" s="2186">
        <f t="shared" si="1535"/>
        <v>0</v>
      </c>
      <c r="AT687" s="2177"/>
      <c r="AU687" s="2177"/>
      <c r="AV687" s="2186">
        <f t="shared" si="1536"/>
        <v>0</v>
      </c>
      <c r="AW687" s="2177"/>
      <c r="AX687" s="2177"/>
      <c r="AY687" s="2186">
        <f t="shared" si="1537"/>
        <v>0</v>
      </c>
      <c r="AZ687" s="2177"/>
      <c r="BA687" s="2177"/>
      <c r="BB687" s="2186">
        <f t="shared" si="1538"/>
        <v>0</v>
      </c>
      <c r="BC687" s="2177"/>
      <c r="BD687" s="2177"/>
      <c r="BE687" s="2186">
        <f t="shared" si="1539"/>
        <v>0</v>
      </c>
      <c r="BF687" s="2177"/>
      <c r="BG687" s="2177"/>
      <c r="BH687" s="2186">
        <f t="shared" si="1540"/>
        <v>0</v>
      </c>
      <c r="BI687" s="2177"/>
      <c r="BJ687" s="2177"/>
      <c r="BK687" s="2186">
        <f t="shared" si="1541"/>
        <v>0</v>
      </c>
      <c r="BL687" s="2177"/>
      <c r="BM687" s="2177"/>
      <c r="BN687" s="2186">
        <f t="shared" si="1542"/>
        <v>0</v>
      </c>
      <c r="BO687" s="2177"/>
      <c r="BP687" s="2177"/>
      <c r="BQ687" s="2186">
        <f t="shared" si="1543"/>
        <v>0</v>
      </c>
    </row>
    <row r="688" spans="3:69" s="2087" customFormat="1" ht="21.6" hidden="1" customHeight="1">
      <c r="C688" s="2285" t="s">
        <v>2847</v>
      </c>
      <c r="D688" s="2287" t="s">
        <v>2807</v>
      </c>
      <c r="E688" s="2284" t="s">
        <v>1833</v>
      </c>
      <c r="F688" s="2176"/>
      <c r="G688" s="2177"/>
      <c r="H688" s="2177"/>
      <c r="I688" s="2178">
        <f t="shared" si="1522"/>
        <v>0</v>
      </c>
      <c r="J688" s="2176"/>
      <c r="K688" s="2252">
        <f t="shared" si="1544"/>
        <v>0</v>
      </c>
      <c r="L688" s="2252">
        <f t="shared" si="1544"/>
        <v>0</v>
      </c>
      <c r="M688" s="2255">
        <f t="shared" si="1523"/>
        <v>0</v>
      </c>
      <c r="N688" s="2177"/>
      <c r="O688" s="2177"/>
      <c r="P688" s="2178">
        <f t="shared" si="1524"/>
        <v>0</v>
      </c>
      <c r="Q688" s="2176"/>
      <c r="R688" s="2177"/>
      <c r="S688" s="2180">
        <f t="shared" si="1525"/>
        <v>0</v>
      </c>
      <c r="T688" s="2251">
        <f t="shared" si="1545"/>
        <v>0</v>
      </c>
      <c r="U688" s="2252">
        <f t="shared" si="1545"/>
        <v>0</v>
      </c>
      <c r="V688" s="2253">
        <f t="shared" si="1527"/>
        <v>0</v>
      </c>
      <c r="W688" s="2182"/>
      <c r="X688" s="2177"/>
      <c r="Y688" s="2183">
        <f t="shared" si="1528"/>
        <v>0</v>
      </c>
      <c r="Z688" s="2254">
        <f t="shared" si="1546"/>
        <v>0</v>
      </c>
      <c r="AA688" s="2252">
        <f t="shared" si="1546"/>
        <v>0</v>
      </c>
      <c r="AB688" s="2255">
        <f t="shared" si="1530"/>
        <v>0</v>
      </c>
      <c r="AC688" s="2176"/>
      <c r="AD688" s="2177"/>
      <c r="AE688" s="2180">
        <f t="shared" si="1531"/>
        <v>0</v>
      </c>
      <c r="AF688" s="2281"/>
      <c r="AG688" s="2114"/>
      <c r="AH688" s="2177"/>
      <c r="AI688" s="2177"/>
      <c r="AJ688" s="2186">
        <f t="shared" si="1532"/>
        <v>0</v>
      </c>
      <c r="AK688" s="2177"/>
      <c r="AL688" s="2177"/>
      <c r="AM688" s="2186">
        <f t="shared" si="1533"/>
        <v>0</v>
      </c>
      <c r="AN688" s="2177"/>
      <c r="AO688" s="2177"/>
      <c r="AP688" s="2186">
        <f t="shared" si="1534"/>
        <v>0</v>
      </c>
      <c r="AQ688" s="2177"/>
      <c r="AR688" s="2177"/>
      <c r="AS688" s="2186">
        <f t="shared" si="1535"/>
        <v>0</v>
      </c>
      <c r="AT688" s="2177"/>
      <c r="AU688" s="2177"/>
      <c r="AV688" s="2186">
        <f t="shared" si="1536"/>
        <v>0</v>
      </c>
      <c r="AW688" s="2177"/>
      <c r="AX688" s="2177"/>
      <c r="AY688" s="2186">
        <f t="shared" si="1537"/>
        <v>0</v>
      </c>
      <c r="AZ688" s="2177"/>
      <c r="BA688" s="2177"/>
      <c r="BB688" s="2186">
        <f t="shared" si="1538"/>
        <v>0</v>
      </c>
      <c r="BC688" s="2177"/>
      <c r="BD688" s="2177"/>
      <c r="BE688" s="2186">
        <f t="shared" si="1539"/>
        <v>0</v>
      </c>
      <c r="BF688" s="2177"/>
      <c r="BG688" s="2177"/>
      <c r="BH688" s="2186">
        <f t="shared" si="1540"/>
        <v>0</v>
      </c>
      <c r="BI688" s="2177"/>
      <c r="BJ688" s="2177"/>
      <c r="BK688" s="2186">
        <f t="shared" si="1541"/>
        <v>0</v>
      </c>
      <c r="BL688" s="2177"/>
      <c r="BM688" s="2177"/>
      <c r="BN688" s="2186">
        <f t="shared" si="1542"/>
        <v>0</v>
      </c>
      <c r="BO688" s="2177"/>
      <c r="BP688" s="2177"/>
      <c r="BQ688" s="2186">
        <f t="shared" si="1543"/>
        <v>0</v>
      </c>
    </row>
    <row r="689" spans="3:69" s="2087" customFormat="1" ht="21.6" hidden="1" customHeight="1">
      <c r="C689" s="2285" t="s">
        <v>2848</v>
      </c>
      <c r="D689" s="2287" t="s">
        <v>2229</v>
      </c>
      <c r="E689" s="2284" t="s">
        <v>1833</v>
      </c>
      <c r="F689" s="2176"/>
      <c r="G689" s="2177"/>
      <c r="H689" s="2177"/>
      <c r="I689" s="2178">
        <f t="shared" si="1522"/>
        <v>0</v>
      </c>
      <c r="J689" s="2176"/>
      <c r="K689" s="2252">
        <f t="shared" si="1544"/>
        <v>0</v>
      </c>
      <c r="L689" s="2252">
        <f t="shared" si="1544"/>
        <v>0</v>
      </c>
      <c r="M689" s="2255">
        <f t="shared" si="1523"/>
        <v>0</v>
      </c>
      <c r="N689" s="2177"/>
      <c r="O689" s="2177"/>
      <c r="P689" s="2178">
        <f t="shared" si="1524"/>
        <v>0</v>
      </c>
      <c r="Q689" s="2177"/>
      <c r="R689" s="2177"/>
      <c r="S689" s="2180">
        <f t="shared" si="1525"/>
        <v>0</v>
      </c>
      <c r="T689" s="2251">
        <f t="shared" si="1545"/>
        <v>0</v>
      </c>
      <c r="U689" s="2252">
        <f t="shared" si="1545"/>
        <v>0</v>
      </c>
      <c r="V689" s="2253">
        <f t="shared" si="1527"/>
        <v>0</v>
      </c>
      <c r="W689" s="2182"/>
      <c r="X689" s="2177"/>
      <c r="Y689" s="2183">
        <f t="shared" si="1528"/>
        <v>0</v>
      </c>
      <c r="Z689" s="2254">
        <f t="shared" si="1546"/>
        <v>0</v>
      </c>
      <c r="AA689" s="2252">
        <f t="shared" si="1546"/>
        <v>0</v>
      </c>
      <c r="AB689" s="2255">
        <f t="shared" si="1530"/>
        <v>0</v>
      </c>
      <c r="AC689" s="2177"/>
      <c r="AD689" s="2177"/>
      <c r="AE689" s="2180">
        <f t="shared" si="1531"/>
        <v>0</v>
      </c>
      <c r="AF689" s="2281"/>
      <c r="AG689" s="2114"/>
      <c r="AH689" s="2177"/>
      <c r="AI689" s="2177"/>
      <c r="AJ689" s="2186">
        <f t="shared" si="1532"/>
        <v>0</v>
      </c>
      <c r="AK689" s="2177"/>
      <c r="AL689" s="2177"/>
      <c r="AM689" s="2186">
        <f t="shared" si="1533"/>
        <v>0</v>
      </c>
      <c r="AN689" s="2177"/>
      <c r="AO689" s="2177"/>
      <c r="AP689" s="2186">
        <f t="shared" si="1534"/>
        <v>0</v>
      </c>
      <c r="AQ689" s="2177"/>
      <c r="AR689" s="2177"/>
      <c r="AS689" s="2186">
        <f t="shared" si="1535"/>
        <v>0</v>
      </c>
      <c r="AT689" s="2177"/>
      <c r="AU689" s="2177"/>
      <c r="AV689" s="2186">
        <f t="shared" si="1536"/>
        <v>0</v>
      </c>
      <c r="AW689" s="2177"/>
      <c r="AX689" s="2177"/>
      <c r="AY689" s="2186">
        <f t="shared" si="1537"/>
        <v>0</v>
      </c>
      <c r="AZ689" s="2177"/>
      <c r="BA689" s="2177"/>
      <c r="BB689" s="2186">
        <f t="shared" si="1538"/>
        <v>0</v>
      </c>
      <c r="BC689" s="2177"/>
      <c r="BD689" s="2177"/>
      <c r="BE689" s="2186">
        <f t="shared" si="1539"/>
        <v>0</v>
      </c>
      <c r="BF689" s="2177"/>
      <c r="BG689" s="2177"/>
      <c r="BH689" s="2186">
        <f t="shared" si="1540"/>
        <v>0</v>
      </c>
      <c r="BI689" s="2177"/>
      <c r="BJ689" s="2177"/>
      <c r="BK689" s="2186">
        <f t="shared" si="1541"/>
        <v>0</v>
      </c>
      <c r="BL689" s="2177"/>
      <c r="BM689" s="2177"/>
      <c r="BN689" s="2186">
        <f t="shared" si="1542"/>
        <v>0</v>
      </c>
      <c r="BO689" s="2177"/>
      <c r="BP689" s="2177"/>
      <c r="BQ689" s="2186">
        <f t="shared" si="1543"/>
        <v>0</v>
      </c>
    </row>
    <row r="690" spans="3:69" s="2159" customFormat="1" ht="21.6" hidden="1" customHeight="1">
      <c r="C690" s="2256" t="s">
        <v>2849</v>
      </c>
      <c r="D690" s="2161" t="s">
        <v>2850</v>
      </c>
      <c r="E690" s="2120" t="s">
        <v>2851</v>
      </c>
      <c r="F690" s="2162"/>
      <c r="G690" s="2163">
        <f>G691+G694+G703+G697+G700</f>
        <v>0</v>
      </c>
      <c r="H690" s="2163">
        <f>H691+H694+H703+H697+H700</f>
        <v>0</v>
      </c>
      <c r="I690" s="2164">
        <f t="shared" si="1522"/>
        <v>0</v>
      </c>
      <c r="J690" s="2162"/>
      <c r="K690" s="2259">
        <f t="shared" si="1544"/>
        <v>0</v>
      </c>
      <c r="L690" s="2259">
        <f t="shared" si="1544"/>
        <v>0</v>
      </c>
      <c r="M690" s="2262">
        <f t="shared" si="1523"/>
        <v>0</v>
      </c>
      <c r="N690" s="2163">
        <f>N691+N694+N703+N697+N700</f>
        <v>0</v>
      </c>
      <c r="O690" s="2163">
        <f>O691+O694+O703+O697+O700</f>
        <v>0</v>
      </c>
      <c r="P690" s="2164">
        <f t="shared" si="1524"/>
        <v>0</v>
      </c>
      <c r="Q690" s="2165">
        <f>Q691+Q694+Q703+Q697+Q700</f>
        <v>0</v>
      </c>
      <c r="R690" s="2163">
        <f>R691+R694+R703+R697+R700</f>
        <v>0</v>
      </c>
      <c r="S690" s="2166">
        <f t="shared" si="1525"/>
        <v>0</v>
      </c>
      <c r="T690" s="2258">
        <f t="shared" si="1545"/>
        <v>0</v>
      </c>
      <c r="U690" s="2259">
        <f t="shared" si="1545"/>
        <v>0</v>
      </c>
      <c r="V690" s="2260">
        <f t="shared" si="1527"/>
        <v>0</v>
      </c>
      <c r="W690" s="2168">
        <f>W691+W694+W703+W697+W700</f>
        <v>0</v>
      </c>
      <c r="X690" s="2163">
        <f>X691+X694+X703+X697+X700</f>
        <v>0</v>
      </c>
      <c r="Y690" s="2169">
        <f t="shared" si="1528"/>
        <v>0</v>
      </c>
      <c r="Z690" s="2261">
        <f t="shared" si="1546"/>
        <v>0</v>
      </c>
      <c r="AA690" s="2259">
        <f t="shared" si="1546"/>
        <v>0</v>
      </c>
      <c r="AB690" s="2262">
        <f t="shared" si="1530"/>
        <v>0</v>
      </c>
      <c r="AC690" s="2165">
        <f>AC691+AC694+AC703+AC697+AC700</f>
        <v>0</v>
      </c>
      <c r="AD690" s="2163">
        <f>AD691+AD694+AD703+AD697+AD700</f>
        <v>0</v>
      </c>
      <c r="AE690" s="2166">
        <f t="shared" si="1531"/>
        <v>0</v>
      </c>
      <c r="AF690" s="2170"/>
      <c r="AG690" s="2158"/>
      <c r="AH690" s="2171">
        <f>AH691+AH694+AH703+AH697+AH700</f>
        <v>0</v>
      </c>
      <c r="AI690" s="2171">
        <f>AI691+AI694+AI703+AI697+AI700</f>
        <v>0</v>
      </c>
      <c r="AJ690" s="2172">
        <f t="shared" si="1532"/>
        <v>0</v>
      </c>
      <c r="AK690" s="2171">
        <f>AK691+AK694+AK703+AK697+AK700</f>
        <v>0</v>
      </c>
      <c r="AL690" s="2171">
        <f>AL691+AL694+AL703+AL697+AL700</f>
        <v>0</v>
      </c>
      <c r="AM690" s="2172">
        <f t="shared" si="1533"/>
        <v>0</v>
      </c>
      <c r="AN690" s="2171">
        <f>AN691+AN694+AN703+AN697+AN700</f>
        <v>0</v>
      </c>
      <c r="AO690" s="2171">
        <f>AO691+AO694+AO703+AO697+AO700</f>
        <v>0</v>
      </c>
      <c r="AP690" s="2172">
        <f t="shared" si="1534"/>
        <v>0</v>
      </c>
      <c r="AQ690" s="2171">
        <f>AQ691+AQ694+AQ703+AQ697+AQ700</f>
        <v>0</v>
      </c>
      <c r="AR690" s="2171">
        <f>AR691+AR694+AR703+AR697+AR700</f>
        <v>0</v>
      </c>
      <c r="AS690" s="2172">
        <f t="shared" si="1535"/>
        <v>0</v>
      </c>
      <c r="AT690" s="2171">
        <f>AT691+AT694+AT703+AT697+AT700</f>
        <v>0</v>
      </c>
      <c r="AU690" s="2171">
        <f>AU691+AU694+AU703+AU697+AU700</f>
        <v>0</v>
      </c>
      <c r="AV690" s="2172">
        <f t="shared" si="1536"/>
        <v>0</v>
      </c>
      <c r="AW690" s="2171">
        <f>AW691+AW694+AW703+AW697+AW700</f>
        <v>0</v>
      </c>
      <c r="AX690" s="2171">
        <f>AX691+AX694+AX703+AX697+AX700</f>
        <v>0</v>
      </c>
      <c r="AY690" s="2172">
        <f t="shared" si="1537"/>
        <v>0</v>
      </c>
      <c r="AZ690" s="2171">
        <f>AZ691+AZ694+AZ703+AZ697+AZ700</f>
        <v>0</v>
      </c>
      <c r="BA690" s="2171">
        <f>BA691+BA694+BA703+BA697+BA700</f>
        <v>0</v>
      </c>
      <c r="BB690" s="2172">
        <f t="shared" si="1538"/>
        <v>0</v>
      </c>
      <c r="BC690" s="2171">
        <f>BC691+BC694+BC703+BC697+BC700</f>
        <v>0</v>
      </c>
      <c r="BD690" s="2171">
        <f>BD691+BD694+BD703+BD697+BD700</f>
        <v>0</v>
      </c>
      <c r="BE690" s="2172">
        <f t="shared" si="1539"/>
        <v>0</v>
      </c>
      <c r="BF690" s="2171">
        <f>BF691+BF694+BF703+BF697+BF700</f>
        <v>0</v>
      </c>
      <c r="BG690" s="2171">
        <f>BG691+BG694+BG703+BG697+BG700</f>
        <v>0</v>
      </c>
      <c r="BH690" s="2172">
        <f t="shared" si="1540"/>
        <v>0</v>
      </c>
      <c r="BI690" s="2171">
        <f>BI691+BI694+BI703+BI697+BI700</f>
        <v>0</v>
      </c>
      <c r="BJ690" s="2171">
        <f>BJ691+BJ694+BJ703+BJ697+BJ700</f>
        <v>0</v>
      </c>
      <c r="BK690" s="2172">
        <f t="shared" si="1541"/>
        <v>0</v>
      </c>
      <c r="BL690" s="2171">
        <f>BL691+BL694+BL703+BL697+BL700</f>
        <v>0</v>
      </c>
      <c r="BM690" s="2171">
        <f>BM691+BM694+BM703+BM697+BM700</f>
        <v>0</v>
      </c>
      <c r="BN690" s="2172">
        <f t="shared" si="1542"/>
        <v>0</v>
      </c>
      <c r="BO690" s="2171">
        <f>BO691+BO694+BO703+BO697+BO700</f>
        <v>0</v>
      </c>
      <c r="BP690" s="2171">
        <f>BP691+BP694+BP703+BP697+BP700</f>
        <v>0</v>
      </c>
      <c r="BQ690" s="2172">
        <f t="shared" si="1543"/>
        <v>0</v>
      </c>
    </row>
    <row r="691" spans="3:69" ht="21.6" hidden="1" customHeight="1">
      <c r="C691" s="2355" t="s">
        <v>2852</v>
      </c>
      <c r="D691" s="2362" t="s">
        <v>2092</v>
      </c>
      <c r="E691" s="2349" t="s">
        <v>2851</v>
      </c>
      <c r="F691" s="2176"/>
      <c r="G691" s="2177"/>
      <c r="H691" s="2177"/>
      <c r="I691" s="2178">
        <f t="shared" si="1522"/>
        <v>0</v>
      </c>
      <c r="J691" s="2176"/>
      <c r="K691" s="2252">
        <f t="shared" si="1544"/>
        <v>0</v>
      </c>
      <c r="L691" s="2252">
        <f t="shared" si="1544"/>
        <v>0</v>
      </c>
      <c r="M691" s="2255">
        <f t="shared" si="1523"/>
        <v>0</v>
      </c>
      <c r="N691" s="2179">
        <v>0</v>
      </c>
      <c r="O691" s="2179">
        <v>0</v>
      </c>
      <c r="P691" s="2178">
        <f t="shared" si="1524"/>
        <v>0</v>
      </c>
      <c r="Q691" s="2179">
        <v>0</v>
      </c>
      <c r="R691" s="2179">
        <v>0</v>
      </c>
      <c r="S691" s="2180">
        <f t="shared" si="1525"/>
        <v>0</v>
      </c>
      <c r="T691" s="2251">
        <f t="shared" si="1545"/>
        <v>0</v>
      </c>
      <c r="U691" s="2252">
        <f t="shared" si="1545"/>
        <v>0</v>
      </c>
      <c r="V691" s="2253">
        <f t="shared" si="1527"/>
        <v>0</v>
      </c>
      <c r="W691" s="2187">
        <v>0</v>
      </c>
      <c r="X691" s="2179">
        <v>0</v>
      </c>
      <c r="Y691" s="2183">
        <f t="shared" si="1528"/>
        <v>0</v>
      </c>
      <c r="Z691" s="2254">
        <f t="shared" si="1546"/>
        <v>0</v>
      </c>
      <c r="AA691" s="2252">
        <f t="shared" si="1546"/>
        <v>0</v>
      </c>
      <c r="AB691" s="2255">
        <f t="shared" si="1530"/>
        <v>0</v>
      </c>
      <c r="AC691" s="2179">
        <v>0</v>
      </c>
      <c r="AD691" s="2179">
        <v>0</v>
      </c>
      <c r="AE691" s="2180">
        <f t="shared" si="1531"/>
        <v>0</v>
      </c>
      <c r="AF691" s="2185"/>
      <c r="AG691" s="2145"/>
      <c r="AH691" s="2188">
        <v>0</v>
      </c>
      <c r="AI691" s="2188">
        <v>0</v>
      </c>
      <c r="AJ691" s="2186">
        <f t="shared" si="1532"/>
        <v>0</v>
      </c>
      <c r="AK691" s="2188">
        <v>0</v>
      </c>
      <c r="AL691" s="2188">
        <v>0</v>
      </c>
      <c r="AM691" s="2186">
        <f t="shared" si="1533"/>
        <v>0</v>
      </c>
      <c r="AN691" s="2188">
        <v>0</v>
      </c>
      <c r="AO691" s="2188">
        <v>0</v>
      </c>
      <c r="AP691" s="2186">
        <f t="shared" si="1534"/>
        <v>0</v>
      </c>
      <c r="AQ691" s="2188">
        <v>0</v>
      </c>
      <c r="AR691" s="2188">
        <v>0</v>
      </c>
      <c r="AS691" s="2186">
        <f t="shared" si="1535"/>
        <v>0</v>
      </c>
      <c r="AT691" s="2188">
        <v>0</v>
      </c>
      <c r="AU691" s="2188">
        <v>0</v>
      </c>
      <c r="AV691" s="2186">
        <f t="shared" si="1536"/>
        <v>0</v>
      </c>
      <c r="AW691" s="2188">
        <v>0</v>
      </c>
      <c r="AX691" s="2188">
        <v>0</v>
      </c>
      <c r="AY691" s="2186">
        <f t="shared" si="1537"/>
        <v>0</v>
      </c>
      <c r="AZ691" s="2188">
        <v>0</v>
      </c>
      <c r="BA691" s="2188">
        <v>0</v>
      </c>
      <c r="BB691" s="2186">
        <f t="shared" si="1538"/>
        <v>0</v>
      </c>
      <c r="BC691" s="2188">
        <v>0</v>
      </c>
      <c r="BD691" s="2188">
        <v>0</v>
      </c>
      <c r="BE691" s="2186">
        <f t="shared" si="1539"/>
        <v>0</v>
      </c>
      <c r="BF691" s="2188">
        <v>0</v>
      </c>
      <c r="BG691" s="2188">
        <v>0</v>
      </c>
      <c r="BH691" s="2186">
        <f t="shared" si="1540"/>
        <v>0</v>
      </c>
      <c r="BI691" s="2188">
        <v>0</v>
      </c>
      <c r="BJ691" s="2188">
        <v>0</v>
      </c>
      <c r="BK691" s="2186">
        <f t="shared" si="1541"/>
        <v>0</v>
      </c>
      <c r="BL691" s="2188">
        <v>0</v>
      </c>
      <c r="BM691" s="2188">
        <v>0</v>
      </c>
      <c r="BN691" s="2186">
        <f t="shared" si="1542"/>
        <v>0</v>
      </c>
      <c r="BO691" s="2188">
        <v>0</v>
      </c>
      <c r="BP691" s="2188">
        <v>0</v>
      </c>
      <c r="BQ691" s="2186">
        <f t="shared" si="1543"/>
        <v>0</v>
      </c>
    </row>
    <row r="692" spans="3:69" ht="21.6" hidden="1" customHeight="1">
      <c r="C692" s="2355" t="s">
        <v>2853</v>
      </c>
      <c r="D692" s="2209" t="s">
        <v>2211</v>
      </c>
      <c r="E692" s="2349" t="s">
        <v>2851</v>
      </c>
      <c r="F692" s="2176"/>
      <c r="G692" s="2177"/>
      <c r="H692" s="2177"/>
      <c r="I692" s="2178">
        <f t="shared" si="1522"/>
        <v>0</v>
      </c>
      <c r="J692" s="2176"/>
      <c r="K692" s="2252">
        <f t="shared" si="1544"/>
        <v>0</v>
      </c>
      <c r="L692" s="2252">
        <f t="shared" si="1544"/>
        <v>0</v>
      </c>
      <c r="M692" s="2255">
        <f t="shared" si="1523"/>
        <v>0</v>
      </c>
      <c r="N692" s="2177"/>
      <c r="O692" s="2177"/>
      <c r="P692" s="2178">
        <f t="shared" si="1524"/>
        <v>0</v>
      </c>
      <c r="Q692" s="2176"/>
      <c r="R692" s="2177"/>
      <c r="S692" s="2180">
        <f t="shared" si="1525"/>
        <v>0</v>
      </c>
      <c r="T692" s="2251">
        <f t="shared" si="1545"/>
        <v>0</v>
      </c>
      <c r="U692" s="2252">
        <f t="shared" si="1545"/>
        <v>0</v>
      </c>
      <c r="V692" s="2253">
        <f t="shared" si="1527"/>
        <v>0</v>
      </c>
      <c r="W692" s="2182"/>
      <c r="X692" s="2177"/>
      <c r="Y692" s="2183">
        <f t="shared" si="1528"/>
        <v>0</v>
      </c>
      <c r="Z692" s="2254">
        <f t="shared" si="1546"/>
        <v>0</v>
      </c>
      <c r="AA692" s="2252">
        <f t="shared" si="1546"/>
        <v>0</v>
      </c>
      <c r="AB692" s="2255">
        <f t="shared" si="1530"/>
        <v>0</v>
      </c>
      <c r="AC692" s="2176"/>
      <c r="AD692" s="2177"/>
      <c r="AE692" s="2180">
        <f t="shared" si="1531"/>
        <v>0</v>
      </c>
      <c r="AF692" s="2185"/>
      <c r="AG692" s="2145"/>
      <c r="AH692" s="2177"/>
      <c r="AI692" s="2177"/>
      <c r="AJ692" s="2186">
        <f t="shared" si="1532"/>
        <v>0</v>
      </c>
      <c r="AK692" s="2177"/>
      <c r="AL692" s="2177"/>
      <c r="AM692" s="2186">
        <f t="shared" si="1533"/>
        <v>0</v>
      </c>
      <c r="AN692" s="2177"/>
      <c r="AO692" s="2177"/>
      <c r="AP692" s="2186">
        <f t="shared" si="1534"/>
        <v>0</v>
      </c>
      <c r="AQ692" s="2177"/>
      <c r="AR692" s="2177"/>
      <c r="AS692" s="2186">
        <f t="shared" si="1535"/>
        <v>0</v>
      </c>
      <c r="AT692" s="2177"/>
      <c r="AU692" s="2177"/>
      <c r="AV692" s="2186">
        <f t="shared" si="1536"/>
        <v>0</v>
      </c>
      <c r="AW692" s="2177"/>
      <c r="AX692" s="2177"/>
      <c r="AY692" s="2186">
        <f t="shared" si="1537"/>
        <v>0</v>
      </c>
      <c r="AZ692" s="2177"/>
      <c r="BA692" s="2177"/>
      <c r="BB692" s="2186">
        <f t="shared" si="1538"/>
        <v>0</v>
      </c>
      <c r="BC692" s="2177"/>
      <c r="BD692" s="2177"/>
      <c r="BE692" s="2186">
        <f t="shared" si="1539"/>
        <v>0</v>
      </c>
      <c r="BF692" s="2177"/>
      <c r="BG692" s="2177"/>
      <c r="BH692" s="2186">
        <f t="shared" si="1540"/>
        <v>0</v>
      </c>
      <c r="BI692" s="2177"/>
      <c r="BJ692" s="2177"/>
      <c r="BK692" s="2186">
        <f t="shared" si="1541"/>
        <v>0</v>
      </c>
      <c r="BL692" s="2177"/>
      <c r="BM692" s="2177"/>
      <c r="BN692" s="2186">
        <f t="shared" si="1542"/>
        <v>0</v>
      </c>
      <c r="BO692" s="2177"/>
      <c r="BP692" s="2177"/>
      <c r="BQ692" s="2186">
        <f t="shared" si="1543"/>
        <v>0</v>
      </c>
    </row>
    <row r="693" spans="3:69" ht="21.6" hidden="1" customHeight="1">
      <c r="C693" s="2357" t="s">
        <v>2854</v>
      </c>
      <c r="D693" s="2286" t="s">
        <v>2488</v>
      </c>
      <c r="E693" s="2284" t="s">
        <v>1833</v>
      </c>
      <c r="F693" s="2176"/>
      <c r="G693" s="2177"/>
      <c r="H693" s="2177"/>
      <c r="I693" s="2178">
        <f t="shared" si="1522"/>
        <v>0</v>
      </c>
      <c r="J693" s="2176"/>
      <c r="K693" s="2252">
        <f t="shared" si="1544"/>
        <v>0</v>
      </c>
      <c r="L693" s="2252">
        <f t="shared" si="1544"/>
        <v>0</v>
      </c>
      <c r="M693" s="2255">
        <f t="shared" si="1523"/>
        <v>0</v>
      </c>
      <c r="N693" s="2177"/>
      <c r="O693" s="2177"/>
      <c r="P693" s="2178">
        <f t="shared" si="1524"/>
        <v>0</v>
      </c>
      <c r="Q693" s="2176"/>
      <c r="R693" s="2177"/>
      <c r="S693" s="2180">
        <f t="shared" si="1525"/>
        <v>0</v>
      </c>
      <c r="T693" s="2251">
        <f t="shared" si="1545"/>
        <v>0</v>
      </c>
      <c r="U693" s="2252">
        <f t="shared" si="1545"/>
        <v>0</v>
      </c>
      <c r="V693" s="2253">
        <f t="shared" si="1527"/>
        <v>0</v>
      </c>
      <c r="W693" s="2182"/>
      <c r="X693" s="2177"/>
      <c r="Y693" s="2183">
        <f t="shared" si="1528"/>
        <v>0</v>
      </c>
      <c r="Z693" s="2254">
        <f t="shared" si="1546"/>
        <v>0</v>
      </c>
      <c r="AA693" s="2252">
        <f t="shared" si="1546"/>
        <v>0</v>
      </c>
      <c r="AB693" s="2255">
        <f t="shared" si="1530"/>
        <v>0</v>
      </c>
      <c r="AC693" s="2176"/>
      <c r="AD693" s="2177"/>
      <c r="AE693" s="2180">
        <f t="shared" si="1531"/>
        <v>0</v>
      </c>
      <c r="AF693" s="2185"/>
      <c r="AG693" s="2145"/>
      <c r="AH693" s="2177"/>
      <c r="AI693" s="2177"/>
      <c r="AJ693" s="2186">
        <f t="shared" si="1532"/>
        <v>0</v>
      </c>
      <c r="AK693" s="2177"/>
      <c r="AL693" s="2177"/>
      <c r="AM693" s="2186">
        <f t="shared" si="1533"/>
        <v>0</v>
      </c>
      <c r="AN693" s="2177"/>
      <c r="AO693" s="2177"/>
      <c r="AP693" s="2186">
        <f t="shared" si="1534"/>
        <v>0</v>
      </c>
      <c r="AQ693" s="2177"/>
      <c r="AR693" s="2177"/>
      <c r="AS693" s="2186">
        <f t="shared" si="1535"/>
        <v>0</v>
      </c>
      <c r="AT693" s="2177"/>
      <c r="AU693" s="2177"/>
      <c r="AV693" s="2186">
        <f t="shared" si="1536"/>
        <v>0</v>
      </c>
      <c r="AW693" s="2177"/>
      <c r="AX693" s="2177"/>
      <c r="AY693" s="2186">
        <f t="shared" si="1537"/>
        <v>0</v>
      </c>
      <c r="AZ693" s="2177"/>
      <c r="BA693" s="2177"/>
      <c r="BB693" s="2186">
        <f t="shared" si="1538"/>
        <v>0</v>
      </c>
      <c r="BC693" s="2177"/>
      <c r="BD693" s="2177"/>
      <c r="BE693" s="2186">
        <f t="shared" si="1539"/>
        <v>0</v>
      </c>
      <c r="BF693" s="2177"/>
      <c r="BG693" s="2177"/>
      <c r="BH693" s="2186">
        <f t="shared" si="1540"/>
        <v>0</v>
      </c>
      <c r="BI693" s="2177"/>
      <c r="BJ693" s="2177"/>
      <c r="BK693" s="2186">
        <f t="shared" si="1541"/>
        <v>0</v>
      </c>
      <c r="BL693" s="2177"/>
      <c r="BM693" s="2177"/>
      <c r="BN693" s="2186">
        <f t="shared" si="1542"/>
        <v>0</v>
      </c>
      <c r="BO693" s="2177"/>
      <c r="BP693" s="2177"/>
      <c r="BQ693" s="2186">
        <f t="shared" si="1543"/>
        <v>0</v>
      </c>
    </row>
    <row r="694" spans="3:69" ht="21.6" hidden="1" customHeight="1">
      <c r="C694" s="2355" t="s">
        <v>2855</v>
      </c>
      <c r="D694" s="2362" t="s">
        <v>2094</v>
      </c>
      <c r="E694" s="2349" t="s">
        <v>2851</v>
      </c>
      <c r="F694" s="2176"/>
      <c r="G694" s="2177"/>
      <c r="H694" s="2177"/>
      <c r="I694" s="2178">
        <f t="shared" si="1522"/>
        <v>0</v>
      </c>
      <c r="J694" s="2176"/>
      <c r="K694" s="2252">
        <f t="shared" si="1544"/>
        <v>0</v>
      </c>
      <c r="L694" s="2252">
        <f t="shared" si="1544"/>
        <v>0</v>
      </c>
      <c r="M694" s="2255">
        <f t="shared" si="1523"/>
        <v>0</v>
      </c>
      <c r="N694" s="2179">
        <v>0</v>
      </c>
      <c r="O694" s="2179">
        <v>0</v>
      </c>
      <c r="P694" s="2178">
        <f t="shared" si="1524"/>
        <v>0</v>
      </c>
      <c r="Q694" s="2179">
        <v>0</v>
      </c>
      <c r="R694" s="2179">
        <v>0</v>
      </c>
      <c r="S694" s="2180">
        <f t="shared" si="1525"/>
        <v>0</v>
      </c>
      <c r="T694" s="2251">
        <f t="shared" si="1545"/>
        <v>0</v>
      </c>
      <c r="U694" s="2252">
        <f t="shared" si="1545"/>
        <v>0</v>
      </c>
      <c r="V694" s="2253">
        <f t="shared" si="1527"/>
        <v>0</v>
      </c>
      <c r="W694" s="2187">
        <v>0</v>
      </c>
      <c r="X694" s="2179">
        <v>0</v>
      </c>
      <c r="Y694" s="2183">
        <f t="shared" si="1528"/>
        <v>0</v>
      </c>
      <c r="Z694" s="2254">
        <f t="shared" si="1546"/>
        <v>0</v>
      </c>
      <c r="AA694" s="2252">
        <f t="shared" si="1546"/>
        <v>0</v>
      </c>
      <c r="AB694" s="2255">
        <f t="shared" si="1530"/>
        <v>0</v>
      </c>
      <c r="AC694" s="2179">
        <v>0</v>
      </c>
      <c r="AD694" s="2179">
        <v>0</v>
      </c>
      <c r="AE694" s="2180">
        <f t="shared" si="1531"/>
        <v>0</v>
      </c>
      <c r="AF694" s="2185"/>
      <c r="AG694" s="2145"/>
      <c r="AH694" s="2188">
        <v>0</v>
      </c>
      <c r="AI694" s="2188">
        <v>0</v>
      </c>
      <c r="AJ694" s="2186">
        <f t="shared" si="1532"/>
        <v>0</v>
      </c>
      <c r="AK694" s="2188">
        <v>0</v>
      </c>
      <c r="AL694" s="2188">
        <v>0</v>
      </c>
      <c r="AM694" s="2186">
        <f t="shared" si="1533"/>
        <v>0</v>
      </c>
      <c r="AN694" s="2188">
        <v>0</v>
      </c>
      <c r="AO694" s="2188">
        <v>0</v>
      </c>
      <c r="AP694" s="2186">
        <f t="shared" si="1534"/>
        <v>0</v>
      </c>
      <c r="AQ694" s="2188">
        <v>0</v>
      </c>
      <c r="AR694" s="2188">
        <v>0</v>
      </c>
      <c r="AS694" s="2186">
        <f t="shared" si="1535"/>
        <v>0</v>
      </c>
      <c r="AT694" s="2188">
        <v>0</v>
      </c>
      <c r="AU694" s="2188">
        <v>0</v>
      </c>
      <c r="AV694" s="2186">
        <f t="shared" si="1536"/>
        <v>0</v>
      </c>
      <c r="AW694" s="2188">
        <v>0</v>
      </c>
      <c r="AX694" s="2188">
        <v>0</v>
      </c>
      <c r="AY694" s="2186">
        <f t="shared" si="1537"/>
        <v>0</v>
      </c>
      <c r="AZ694" s="2188">
        <v>0</v>
      </c>
      <c r="BA694" s="2188">
        <v>0</v>
      </c>
      <c r="BB694" s="2186">
        <f t="shared" si="1538"/>
        <v>0</v>
      </c>
      <c r="BC694" s="2188">
        <v>0</v>
      </c>
      <c r="BD694" s="2188">
        <v>0</v>
      </c>
      <c r="BE694" s="2186">
        <f t="shared" si="1539"/>
        <v>0</v>
      </c>
      <c r="BF694" s="2188">
        <v>0</v>
      </c>
      <c r="BG694" s="2188">
        <v>0</v>
      </c>
      <c r="BH694" s="2186">
        <f t="shared" si="1540"/>
        <v>0</v>
      </c>
      <c r="BI694" s="2188">
        <v>0</v>
      </c>
      <c r="BJ694" s="2188">
        <v>0</v>
      </c>
      <c r="BK694" s="2186">
        <f t="shared" si="1541"/>
        <v>0</v>
      </c>
      <c r="BL694" s="2188">
        <v>0</v>
      </c>
      <c r="BM694" s="2188">
        <v>0</v>
      </c>
      <c r="BN694" s="2186">
        <f t="shared" si="1542"/>
        <v>0</v>
      </c>
      <c r="BO694" s="2188">
        <v>0</v>
      </c>
      <c r="BP694" s="2188">
        <v>0</v>
      </c>
      <c r="BQ694" s="2186">
        <f t="shared" si="1543"/>
        <v>0</v>
      </c>
    </row>
    <row r="695" spans="3:69" ht="21.6" hidden="1" customHeight="1">
      <c r="C695" s="2355" t="s">
        <v>2856</v>
      </c>
      <c r="D695" s="2209" t="s">
        <v>2211</v>
      </c>
      <c r="E695" s="2349" t="s">
        <v>2851</v>
      </c>
      <c r="F695" s="2176"/>
      <c r="G695" s="2177"/>
      <c r="H695" s="2177"/>
      <c r="I695" s="2178">
        <f t="shared" si="1522"/>
        <v>0</v>
      </c>
      <c r="J695" s="2176"/>
      <c r="K695" s="2252">
        <f t="shared" si="1544"/>
        <v>0</v>
      </c>
      <c r="L695" s="2252">
        <f t="shared" si="1544"/>
        <v>0</v>
      </c>
      <c r="M695" s="2255">
        <f t="shared" si="1523"/>
        <v>0</v>
      </c>
      <c r="N695" s="2177"/>
      <c r="O695" s="2177"/>
      <c r="P695" s="2178">
        <f t="shared" si="1524"/>
        <v>0</v>
      </c>
      <c r="Q695" s="2176"/>
      <c r="R695" s="2177"/>
      <c r="S695" s="2180">
        <f t="shared" si="1525"/>
        <v>0</v>
      </c>
      <c r="T695" s="2251">
        <f t="shared" si="1545"/>
        <v>0</v>
      </c>
      <c r="U695" s="2252">
        <f t="shared" si="1545"/>
        <v>0</v>
      </c>
      <c r="V695" s="2253">
        <f t="shared" si="1527"/>
        <v>0</v>
      </c>
      <c r="W695" s="2182"/>
      <c r="X695" s="2177"/>
      <c r="Y695" s="2183">
        <f t="shared" si="1528"/>
        <v>0</v>
      </c>
      <c r="Z695" s="2254">
        <f t="shared" si="1546"/>
        <v>0</v>
      </c>
      <c r="AA695" s="2252">
        <f t="shared" si="1546"/>
        <v>0</v>
      </c>
      <c r="AB695" s="2255">
        <f t="shared" si="1530"/>
        <v>0</v>
      </c>
      <c r="AC695" s="2176"/>
      <c r="AD695" s="2177"/>
      <c r="AE695" s="2180">
        <f t="shared" si="1531"/>
        <v>0</v>
      </c>
      <c r="AF695" s="2185"/>
      <c r="AG695" s="2145"/>
      <c r="AH695" s="2177"/>
      <c r="AI695" s="2177"/>
      <c r="AJ695" s="2186">
        <f t="shared" si="1532"/>
        <v>0</v>
      </c>
      <c r="AK695" s="2177"/>
      <c r="AL695" s="2177"/>
      <c r="AM695" s="2186">
        <f t="shared" si="1533"/>
        <v>0</v>
      </c>
      <c r="AN695" s="2177"/>
      <c r="AO695" s="2177"/>
      <c r="AP695" s="2186">
        <f t="shared" si="1534"/>
        <v>0</v>
      </c>
      <c r="AQ695" s="2177"/>
      <c r="AR695" s="2177"/>
      <c r="AS695" s="2186">
        <f t="shared" si="1535"/>
        <v>0</v>
      </c>
      <c r="AT695" s="2177"/>
      <c r="AU695" s="2177"/>
      <c r="AV695" s="2186">
        <f t="shared" si="1536"/>
        <v>0</v>
      </c>
      <c r="AW695" s="2177"/>
      <c r="AX695" s="2177"/>
      <c r="AY695" s="2186">
        <f t="shared" si="1537"/>
        <v>0</v>
      </c>
      <c r="AZ695" s="2177"/>
      <c r="BA695" s="2177"/>
      <c r="BB695" s="2186">
        <f t="shared" si="1538"/>
        <v>0</v>
      </c>
      <c r="BC695" s="2177"/>
      <c r="BD695" s="2177"/>
      <c r="BE695" s="2186">
        <f t="shared" si="1539"/>
        <v>0</v>
      </c>
      <c r="BF695" s="2177"/>
      <c r="BG695" s="2177"/>
      <c r="BH695" s="2186">
        <f t="shared" si="1540"/>
        <v>0</v>
      </c>
      <c r="BI695" s="2177"/>
      <c r="BJ695" s="2177"/>
      <c r="BK695" s="2186">
        <f t="shared" si="1541"/>
        <v>0</v>
      </c>
      <c r="BL695" s="2177"/>
      <c r="BM695" s="2177"/>
      <c r="BN695" s="2186">
        <f t="shared" si="1542"/>
        <v>0</v>
      </c>
      <c r="BO695" s="2177"/>
      <c r="BP695" s="2177"/>
      <c r="BQ695" s="2186">
        <f t="shared" si="1543"/>
        <v>0</v>
      </c>
    </row>
    <row r="696" spans="3:69" ht="21.6" hidden="1" customHeight="1">
      <c r="C696" s="2357" t="s">
        <v>2857</v>
      </c>
      <c r="D696" s="2286" t="s">
        <v>2488</v>
      </c>
      <c r="E696" s="2284" t="s">
        <v>1833</v>
      </c>
      <c r="F696" s="2176"/>
      <c r="G696" s="2177"/>
      <c r="H696" s="2177"/>
      <c r="I696" s="2178">
        <f t="shared" si="1522"/>
        <v>0</v>
      </c>
      <c r="J696" s="2176"/>
      <c r="K696" s="2252">
        <f t="shared" si="1544"/>
        <v>0</v>
      </c>
      <c r="L696" s="2252">
        <f t="shared" si="1544"/>
        <v>0</v>
      </c>
      <c r="M696" s="2255">
        <f t="shared" si="1523"/>
        <v>0</v>
      </c>
      <c r="N696" s="2177"/>
      <c r="O696" s="2177"/>
      <c r="P696" s="2178">
        <f t="shared" si="1524"/>
        <v>0</v>
      </c>
      <c r="Q696" s="2176"/>
      <c r="R696" s="2177"/>
      <c r="S696" s="2180">
        <f t="shared" si="1525"/>
        <v>0</v>
      </c>
      <c r="T696" s="2251">
        <f t="shared" si="1545"/>
        <v>0</v>
      </c>
      <c r="U696" s="2252">
        <f t="shared" si="1545"/>
        <v>0</v>
      </c>
      <c r="V696" s="2253">
        <f t="shared" si="1527"/>
        <v>0</v>
      </c>
      <c r="W696" s="2182"/>
      <c r="X696" s="2177"/>
      <c r="Y696" s="2183">
        <f t="shared" si="1528"/>
        <v>0</v>
      </c>
      <c r="Z696" s="2254">
        <f t="shared" si="1546"/>
        <v>0</v>
      </c>
      <c r="AA696" s="2252">
        <f t="shared" si="1546"/>
        <v>0</v>
      </c>
      <c r="AB696" s="2255">
        <f t="shared" si="1530"/>
        <v>0</v>
      </c>
      <c r="AC696" s="2176"/>
      <c r="AD696" s="2177"/>
      <c r="AE696" s="2180">
        <f t="shared" si="1531"/>
        <v>0</v>
      </c>
      <c r="AF696" s="2185"/>
      <c r="AG696" s="2145"/>
      <c r="AH696" s="2177"/>
      <c r="AI696" s="2177"/>
      <c r="AJ696" s="2186">
        <f t="shared" si="1532"/>
        <v>0</v>
      </c>
      <c r="AK696" s="2177"/>
      <c r="AL696" s="2177"/>
      <c r="AM696" s="2186">
        <f t="shared" si="1533"/>
        <v>0</v>
      </c>
      <c r="AN696" s="2177"/>
      <c r="AO696" s="2177"/>
      <c r="AP696" s="2186">
        <f t="shared" si="1534"/>
        <v>0</v>
      </c>
      <c r="AQ696" s="2177"/>
      <c r="AR696" s="2177"/>
      <c r="AS696" s="2186">
        <f t="shared" si="1535"/>
        <v>0</v>
      </c>
      <c r="AT696" s="2177"/>
      <c r="AU696" s="2177"/>
      <c r="AV696" s="2186">
        <f t="shared" si="1536"/>
        <v>0</v>
      </c>
      <c r="AW696" s="2177"/>
      <c r="AX696" s="2177"/>
      <c r="AY696" s="2186">
        <f t="shared" si="1537"/>
        <v>0</v>
      </c>
      <c r="AZ696" s="2177"/>
      <c r="BA696" s="2177"/>
      <c r="BB696" s="2186">
        <f t="shared" si="1538"/>
        <v>0</v>
      </c>
      <c r="BC696" s="2177"/>
      <c r="BD696" s="2177"/>
      <c r="BE696" s="2186">
        <f t="shared" si="1539"/>
        <v>0</v>
      </c>
      <c r="BF696" s="2177"/>
      <c r="BG696" s="2177"/>
      <c r="BH696" s="2186">
        <f t="shared" si="1540"/>
        <v>0</v>
      </c>
      <c r="BI696" s="2177"/>
      <c r="BJ696" s="2177"/>
      <c r="BK696" s="2186">
        <f t="shared" si="1541"/>
        <v>0</v>
      </c>
      <c r="BL696" s="2177"/>
      <c r="BM696" s="2177"/>
      <c r="BN696" s="2186">
        <f t="shared" si="1542"/>
        <v>0</v>
      </c>
      <c r="BO696" s="2177"/>
      <c r="BP696" s="2177"/>
      <c r="BQ696" s="2186">
        <f t="shared" si="1543"/>
        <v>0</v>
      </c>
    </row>
    <row r="697" spans="3:69" ht="21.6" hidden="1" customHeight="1">
      <c r="C697" s="2355" t="s">
        <v>2858</v>
      </c>
      <c r="D697" s="2362" t="s">
        <v>2096</v>
      </c>
      <c r="E697" s="2349" t="s">
        <v>2851</v>
      </c>
      <c r="F697" s="2176"/>
      <c r="G697" s="2177"/>
      <c r="H697" s="2177"/>
      <c r="I697" s="2178">
        <f t="shared" si="1522"/>
        <v>0</v>
      </c>
      <c r="J697" s="2176"/>
      <c r="K697" s="2252">
        <f t="shared" si="1544"/>
        <v>0</v>
      </c>
      <c r="L697" s="2252">
        <f t="shared" si="1544"/>
        <v>0</v>
      </c>
      <c r="M697" s="2255">
        <f t="shared" si="1523"/>
        <v>0</v>
      </c>
      <c r="N697" s="2179">
        <v>0</v>
      </c>
      <c r="O697" s="2179">
        <v>0</v>
      </c>
      <c r="P697" s="2178">
        <f t="shared" si="1524"/>
        <v>0</v>
      </c>
      <c r="Q697" s="2179">
        <v>0</v>
      </c>
      <c r="R697" s="2179">
        <v>0</v>
      </c>
      <c r="S697" s="2180">
        <f t="shared" si="1525"/>
        <v>0</v>
      </c>
      <c r="T697" s="2251">
        <f t="shared" si="1545"/>
        <v>0</v>
      </c>
      <c r="U697" s="2252">
        <f t="shared" si="1545"/>
        <v>0</v>
      </c>
      <c r="V697" s="2253">
        <f t="shared" si="1527"/>
        <v>0</v>
      </c>
      <c r="W697" s="2187">
        <v>0</v>
      </c>
      <c r="X697" s="2179">
        <v>0</v>
      </c>
      <c r="Y697" s="2183">
        <f t="shared" si="1528"/>
        <v>0</v>
      </c>
      <c r="Z697" s="2254">
        <f t="shared" si="1546"/>
        <v>0</v>
      </c>
      <c r="AA697" s="2252">
        <f t="shared" si="1546"/>
        <v>0</v>
      </c>
      <c r="AB697" s="2255">
        <f t="shared" si="1530"/>
        <v>0</v>
      </c>
      <c r="AC697" s="2179">
        <v>0</v>
      </c>
      <c r="AD697" s="2179">
        <v>0</v>
      </c>
      <c r="AE697" s="2180">
        <f t="shared" si="1531"/>
        <v>0</v>
      </c>
      <c r="AF697" s="2185"/>
      <c r="AG697" s="2145"/>
      <c r="AH697" s="2188">
        <v>0</v>
      </c>
      <c r="AI697" s="2188">
        <v>0</v>
      </c>
      <c r="AJ697" s="2186">
        <f t="shared" si="1532"/>
        <v>0</v>
      </c>
      <c r="AK697" s="2188">
        <v>0</v>
      </c>
      <c r="AL697" s="2188">
        <v>0</v>
      </c>
      <c r="AM697" s="2186">
        <f t="shared" si="1533"/>
        <v>0</v>
      </c>
      <c r="AN697" s="2188">
        <v>0</v>
      </c>
      <c r="AO697" s="2188">
        <v>0</v>
      </c>
      <c r="AP697" s="2186">
        <f t="shared" si="1534"/>
        <v>0</v>
      </c>
      <c r="AQ697" s="2188">
        <v>0</v>
      </c>
      <c r="AR697" s="2188">
        <v>0</v>
      </c>
      <c r="AS697" s="2186">
        <f t="shared" si="1535"/>
        <v>0</v>
      </c>
      <c r="AT697" s="2188">
        <v>0</v>
      </c>
      <c r="AU697" s="2188">
        <v>0</v>
      </c>
      <c r="AV697" s="2186">
        <f t="shared" si="1536"/>
        <v>0</v>
      </c>
      <c r="AW697" s="2188">
        <v>0</v>
      </c>
      <c r="AX697" s="2188">
        <v>0</v>
      </c>
      <c r="AY697" s="2186">
        <f t="shared" si="1537"/>
        <v>0</v>
      </c>
      <c r="AZ697" s="2188">
        <v>0</v>
      </c>
      <c r="BA697" s="2188">
        <v>0</v>
      </c>
      <c r="BB697" s="2186">
        <f t="shared" si="1538"/>
        <v>0</v>
      </c>
      <c r="BC697" s="2188">
        <v>0</v>
      </c>
      <c r="BD697" s="2188">
        <v>0</v>
      </c>
      <c r="BE697" s="2186">
        <f t="shared" si="1539"/>
        <v>0</v>
      </c>
      <c r="BF697" s="2188">
        <v>0</v>
      </c>
      <c r="BG697" s="2188">
        <v>0</v>
      </c>
      <c r="BH697" s="2186">
        <f t="shared" si="1540"/>
        <v>0</v>
      </c>
      <c r="BI697" s="2188">
        <v>0</v>
      </c>
      <c r="BJ697" s="2188">
        <v>0</v>
      </c>
      <c r="BK697" s="2186">
        <f t="shared" si="1541"/>
        <v>0</v>
      </c>
      <c r="BL697" s="2188">
        <v>0</v>
      </c>
      <c r="BM697" s="2188">
        <v>0</v>
      </c>
      <c r="BN697" s="2186">
        <f t="shared" si="1542"/>
        <v>0</v>
      </c>
      <c r="BO697" s="2188">
        <v>0</v>
      </c>
      <c r="BP697" s="2188">
        <v>0</v>
      </c>
      <c r="BQ697" s="2186">
        <f t="shared" si="1543"/>
        <v>0</v>
      </c>
    </row>
    <row r="698" spans="3:69" ht="21.6" hidden="1" customHeight="1">
      <c r="C698" s="2355" t="s">
        <v>2859</v>
      </c>
      <c r="D698" s="2209" t="s">
        <v>2211</v>
      </c>
      <c r="E698" s="2349" t="s">
        <v>2851</v>
      </c>
      <c r="F698" s="2176"/>
      <c r="G698" s="2177"/>
      <c r="H698" s="2177"/>
      <c r="I698" s="2178">
        <f t="shared" si="1522"/>
        <v>0</v>
      </c>
      <c r="J698" s="2176"/>
      <c r="K698" s="2252">
        <f t="shared" si="1544"/>
        <v>0</v>
      </c>
      <c r="L698" s="2252">
        <f t="shared" si="1544"/>
        <v>0</v>
      </c>
      <c r="M698" s="2255">
        <f t="shared" si="1523"/>
        <v>0</v>
      </c>
      <c r="N698" s="2177"/>
      <c r="O698" s="2177"/>
      <c r="P698" s="2178">
        <f t="shared" si="1524"/>
        <v>0</v>
      </c>
      <c r="Q698" s="2176"/>
      <c r="R698" s="2177"/>
      <c r="S698" s="2180">
        <f t="shared" si="1525"/>
        <v>0</v>
      </c>
      <c r="T698" s="2251">
        <f t="shared" si="1545"/>
        <v>0</v>
      </c>
      <c r="U698" s="2252">
        <f t="shared" si="1545"/>
        <v>0</v>
      </c>
      <c r="V698" s="2253">
        <f t="shared" si="1527"/>
        <v>0</v>
      </c>
      <c r="W698" s="2182"/>
      <c r="X698" s="2177"/>
      <c r="Y698" s="2183">
        <f t="shared" si="1528"/>
        <v>0</v>
      </c>
      <c r="Z698" s="2254">
        <f t="shared" si="1546"/>
        <v>0</v>
      </c>
      <c r="AA698" s="2252">
        <f t="shared" si="1546"/>
        <v>0</v>
      </c>
      <c r="AB698" s="2255">
        <f t="shared" si="1530"/>
        <v>0</v>
      </c>
      <c r="AC698" s="2176"/>
      <c r="AD698" s="2177"/>
      <c r="AE698" s="2180">
        <f t="shared" si="1531"/>
        <v>0</v>
      </c>
      <c r="AF698" s="2185"/>
      <c r="AG698" s="2145"/>
      <c r="AH698" s="2177"/>
      <c r="AI698" s="2177"/>
      <c r="AJ698" s="2186">
        <f t="shared" si="1532"/>
        <v>0</v>
      </c>
      <c r="AK698" s="2177"/>
      <c r="AL698" s="2177"/>
      <c r="AM698" s="2186">
        <f t="shared" si="1533"/>
        <v>0</v>
      </c>
      <c r="AN698" s="2177"/>
      <c r="AO698" s="2177"/>
      <c r="AP698" s="2186">
        <f t="shared" si="1534"/>
        <v>0</v>
      </c>
      <c r="AQ698" s="2177"/>
      <c r="AR698" s="2177"/>
      <c r="AS698" s="2186">
        <f t="shared" si="1535"/>
        <v>0</v>
      </c>
      <c r="AT698" s="2177"/>
      <c r="AU698" s="2177"/>
      <c r="AV698" s="2186">
        <f t="shared" si="1536"/>
        <v>0</v>
      </c>
      <c r="AW698" s="2177"/>
      <c r="AX698" s="2177"/>
      <c r="AY698" s="2186">
        <f t="shared" si="1537"/>
        <v>0</v>
      </c>
      <c r="AZ698" s="2177"/>
      <c r="BA698" s="2177"/>
      <c r="BB698" s="2186">
        <f t="shared" si="1538"/>
        <v>0</v>
      </c>
      <c r="BC698" s="2177"/>
      <c r="BD698" s="2177"/>
      <c r="BE698" s="2186">
        <f t="shared" si="1539"/>
        <v>0</v>
      </c>
      <c r="BF698" s="2177"/>
      <c r="BG698" s="2177"/>
      <c r="BH698" s="2186">
        <f t="shared" si="1540"/>
        <v>0</v>
      </c>
      <c r="BI698" s="2177"/>
      <c r="BJ698" s="2177"/>
      <c r="BK698" s="2186">
        <f t="shared" si="1541"/>
        <v>0</v>
      </c>
      <c r="BL698" s="2177"/>
      <c r="BM698" s="2177"/>
      <c r="BN698" s="2186">
        <f t="shared" si="1542"/>
        <v>0</v>
      </c>
      <c r="BO698" s="2177"/>
      <c r="BP698" s="2177"/>
      <c r="BQ698" s="2186">
        <f t="shared" si="1543"/>
        <v>0</v>
      </c>
    </row>
    <row r="699" spans="3:69" ht="21.6" hidden="1" customHeight="1">
      <c r="C699" s="2357" t="s">
        <v>2860</v>
      </c>
      <c r="D699" s="2286" t="s">
        <v>2488</v>
      </c>
      <c r="E699" s="2284" t="s">
        <v>1833</v>
      </c>
      <c r="F699" s="2176"/>
      <c r="G699" s="2177"/>
      <c r="H699" s="2177"/>
      <c r="I699" s="2178">
        <f t="shared" si="1522"/>
        <v>0</v>
      </c>
      <c r="J699" s="2176"/>
      <c r="K699" s="2252">
        <f t="shared" si="1544"/>
        <v>0</v>
      </c>
      <c r="L699" s="2252">
        <f t="shared" si="1544"/>
        <v>0</v>
      </c>
      <c r="M699" s="2255">
        <f t="shared" si="1523"/>
        <v>0</v>
      </c>
      <c r="N699" s="2177"/>
      <c r="O699" s="2177"/>
      <c r="P699" s="2178">
        <f t="shared" si="1524"/>
        <v>0</v>
      </c>
      <c r="Q699" s="2176"/>
      <c r="R699" s="2177"/>
      <c r="S699" s="2180">
        <f t="shared" si="1525"/>
        <v>0</v>
      </c>
      <c r="T699" s="2251">
        <f t="shared" si="1545"/>
        <v>0</v>
      </c>
      <c r="U699" s="2252">
        <f t="shared" si="1545"/>
        <v>0</v>
      </c>
      <c r="V699" s="2253">
        <f t="shared" si="1527"/>
        <v>0</v>
      </c>
      <c r="W699" s="2182"/>
      <c r="X699" s="2177"/>
      <c r="Y699" s="2183">
        <f t="shared" si="1528"/>
        <v>0</v>
      </c>
      <c r="Z699" s="2254">
        <f t="shared" si="1546"/>
        <v>0</v>
      </c>
      <c r="AA699" s="2252">
        <f t="shared" si="1546"/>
        <v>0</v>
      </c>
      <c r="AB699" s="2255">
        <f t="shared" si="1530"/>
        <v>0</v>
      </c>
      <c r="AC699" s="2176"/>
      <c r="AD699" s="2177"/>
      <c r="AE699" s="2180">
        <f t="shared" si="1531"/>
        <v>0</v>
      </c>
      <c r="AF699" s="2185"/>
      <c r="AG699" s="2145"/>
      <c r="AH699" s="2177"/>
      <c r="AI699" s="2177"/>
      <c r="AJ699" s="2186">
        <f t="shared" si="1532"/>
        <v>0</v>
      </c>
      <c r="AK699" s="2177"/>
      <c r="AL699" s="2177"/>
      <c r="AM699" s="2186">
        <f t="shared" si="1533"/>
        <v>0</v>
      </c>
      <c r="AN699" s="2177"/>
      <c r="AO699" s="2177"/>
      <c r="AP699" s="2186">
        <f t="shared" si="1534"/>
        <v>0</v>
      </c>
      <c r="AQ699" s="2177"/>
      <c r="AR699" s="2177"/>
      <c r="AS699" s="2186">
        <f t="shared" si="1535"/>
        <v>0</v>
      </c>
      <c r="AT699" s="2177"/>
      <c r="AU699" s="2177"/>
      <c r="AV699" s="2186">
        <f t="shared" si="1536"/>
        <v>0</v>
      </c>
      <c r="AW699" s="2177"/>
      <c r="AX699" s="2177"/>
      <c r="AY699" s="2186">
        <f t="shared" si="1537"/>
        <v>0</v>
      </c>
      <c r="AZ699" s="2177"/>
      <c r="BA699" s="2177"/>
      <c r="BB699" s="2186">
        <f t="shared" si="1538"/>
        <v>0</v>
      </c>
      <c r="BC699" s="2177"/>
      <c r="BD699" s="2177"/>
      <c r="BE699" s="2186">
        <f t="shared" si="1539"/>
        <v>0</v>
      </c>
      <c r="BF699" s="2177"/>
      <c r="BG699" s="2177"/>
      <c r="BH699" s="2186">
        <f t="shared" si="1540"/>
        <v>0</v>
      </c>
      <c r="BI699" s="2177"/>
      <c r="BJ699" s="2177"/>
      <c r="BK699" s="2186">
        <f t="shared" si="1541"/>
        <v>0</v>
      </c>
      <c r="BL699" s="2177"/>
      <c r="BM699" s="2177"/>
      <c r="BN699" s="2186">
        <f t="shared" si="1542"/>
        <v>0</v>
      </c>
      <c r="BO699" s="2177"/>
      <c r="BP699" s="2177"/>
      <c r="BQ699" s="2186">
        <f t="shared" si="1543"/>
        <v>0</v>
      </c>
    </row>
    <row r="700" spans="3:69" ht="21.6" hidden="1" customHeight="1">
      <c r="C700" s="2355" t="s">
        <v>2861</v>
      </c>
      <c r="D700" s="2362" t="s">
        <v>2098</v>
      </c>
      <c r="E700" s="2349" t="s">
        <v>2851</v>
      </c>
      <c r="F700" s="2176"/>
      <c r="G700" s="2177"/>
      <c r="H700" s="2177"/>
      <c r="I700" s="2178">
        <f t="shared" si="1522"/>
        <v>0</v>
      </c>
      <c r="J700" s="2176"/>
      <c r="K700" s="2252">
        <f t="shared" si="1544"/>
        <v>0</v>
      </c>
      <c r="L700" s="2252">
        <f t="shared" si="1544"/>
        <v>0</v>
      </c>
      <c r="M700" s="2255">
        <f t="shared" si="1523"/>
        <v>0</v>
      </c>
      <c r="N700" s="2179">
        <v>0</v>
      </c>
      <c r="O700" s="2179">
        <v>0</v>
      </c>
      <c r="P700" s="2178">
        <f t="shared" si="1524"/>
        <v>0</v>
      </c>
      <c r="Q700" s="2179">
        <v>0</v>
      </c>
      <c r="R700" s="2179">
        <v>0</v>
      </c>
      <c r="S700" s="2180">
        <f t="shared" si="1525"/>
        <v>0</v>
      </c>
      <c r="T700" s="2251">
        <f t="shared" si="1545"/>
        <v>0</v>
      </c>
      <c r="U700" s="2252">
        <f t="shared" si="1545"/>
        <v>0</v>
      </c>
      <c r="V700" s="2253">
        <f t="shared" si="1527"/>
        <v>0</v>
      </c>
      <c r="W700" s="2187">
        <v>0</v>
      </c>
      <c r="X700" s="2179">
        <v>0</v>
      </c>
      <c r="Y700" s="2183">
        <f t="shared" si="1528"/>
        <v>0</v>
      </c>
      <c r="Z700" s="2254">
        <f t="shared" si="1546"/>
        <v>0</v>
      </c>
      <c r="AA700" s="2252">
        <f t="shared" si="1546"/>
        <v>0</v>
      </c>
      <c r="AB700" s="2255">
        <f t="shared" si="1530"/>
        <v>0</v>
      </c>
      <c r="AC700" s="2179">
        <v>0</v>
      </c>
      <c r="AD700" s="2179">
        <v>0</v>
      </c>
      <c r="AE700" s="2180">
        <f t="shared" si="1531"/>
        <v>0</v>
      </c>
      <c r="AF700" s="2185"/>
      <c r="AG700" s="2145"/>
      <c r="AH700" s="2188">
        <v>0</v>
      </c>
      <c r="AI700" s="2188">
        <v>0</v>
      </c>
      <c r="AJ700" s="2186">
        <f t="shared" si="1532"/>
        <v>0</v>
      </c>
      <c r="AK700" s="2188">
        <v>0</v>
      </c>
      <c r="AL700" s="2188">
        <v>0</v>
      </c>
      <c r="AM700" s="2186">
        <f t="shared" si="1533"/>
        <v>0</v>
      </c>
      <c r="AN700" s="2188">
        <v>0</v>
      </c>
      <c r="AO700" s="2188">
        <v>0</v>
      </c>
      <c r="AP700" s="2186">
        <f t="shared" si="1534"/>
        <v>0</v>
      </c>
      <c r="AQ700" s="2188">
        <v>0</v>
      </c>
      <c r="AR700" s="2188">
        <v>0</v>
      </c>
      <c r="AS700" s="2186">
        <f t="shared" si="1535"/>
        <v>0</v>
      </c>
      <c r="AT700" s="2188">
        <v>0</v>
      </c>
      <c r="AU700" s="2188">
        <v>0</v>
      </c>
      <c r="AV700" s="2186">
        <f t="shared" si="1536"/>
        <v>0</v>
      </c>
      <c r="AW700" s="2188">
        <v>0</v>
      </c>
      <c r="AX700" s="2188">
        <v>0</v>
      </c>
      <c r="AY700" s="2186">
        <f t="shared" si="1537"/>
        <v>0</v>
      </c>
      <c r="AZ700" s="2188">
        <v>0</v>
      </c>
      <c r="BA700" s="2188">
        <v>0</v>
      </c>
      <c r="BB700" s="2186">
        <f t="shared" si="1538"/>
        <v>0</v>
      </c>
      <c r="BC700" s="2188">
        <v>0</v>
      </c>
      <c r="BD700" s="2188">
        <v>0</v>
      </c>
      <c r="BE700" s="2186">
        <f t="shared" si="1539"/>
        <v>0</v>
      </c>
      <c r="BF700" s="2188">
        <v>0</v>
      </c>
      <c r="BG700" s="2188">
        <v>0</v>
      </c>
      <c r="BH700" s="2186">
        <f t="shared" si="1540"/>
        <v>0</v>
      </c>
      <c r="BI700" s="2188">
        <v>0</v>
      </c>
      <c r="BJ700" s="2188">
        <v>0</v>
      </c>
      <c r="BK700" s="2186">
        <f t="shared" si="1541"/>
        <v>0</v>
      </c>
      <c r="BL700" s="2188">
        <v>0</v>
      </c>
      <c r="BM700" s="2188">
        <v>0</v>
      </c>
      <c r="BN700" s="2186">
        <f t="shared" si="1542"/>
        <v>0</v>
      </c>
      <c r="BO700" s="2188">
        <v>0</v>
      </c>
      <c r="BP700" s="2188">
        <v>0</v>
      </c>
      <c r="BQ700" s="2186">
        <f t="shared" si="1543"/>
        <v>0</v>
      </c>
    </row>
    <row r="701" spans="3:69" ht="21.6" hidden="1" customHeight="1">
      <c r="C701" s="2355" t="s">
        <v>2862</v>
      </c>
      <c r="D701" s="2209" t="s">
        <v>2211</v>
      </c>
      <c r="E701" s="2349" t="s">
        <v>2851</v>
      </c>
      <c r="F701" s="2176"/>
      <c r="G701" s="2177"/>
      <c r="H701" s="2177"/>
      <c r="I701" s="2178">
        <f t="shared" si="1522"/>
        <v>0</v>
      </c>
      <c r="J701" s="2176"/>
      <c r="K701" s="2252">
        <f t="shared" si="1544"/>
        <v>0</v>
      </c>
      <c r="L701" s="2252">
        <f t="shared" si="1544"/>
        <v>0</v>
      </c>
      <c r="M701" s="2255">
        <f t="shared" si="1523"/>
        <v>0</v>
      </c>
      <c r="N701" s="2177"/>
      <c r="O701" s="2177"/>
      <c r="P701" s="2178">
        <f t="shared" si="1524"/>
        <v>0</v>
      </c>
      <c r="Q701" s="2176"/>
      <c r="R701" s="2177"/>
      <c r="S701" s="2180">
        <f t="shared" si="1525"/>
        <v>0</v>
      </c>
      <c r="T701" s="2251">
        <f t="shared" si="1545"/>
        <v>0</v>
      </c>
      <c r="U701" s="2252">
        <f t="shared" si="1545"/>
        <v>0</v>
      </c>
      <c r="V701" s="2253">
        <f t="shared" si="1527"/>
        <v>0</v>
      </c>
      <c r="W701" s="2182"/>
      <c r="X701" s="2177"/>
      <c r="Y701" s="2183">
        <f t="shared" si="1528"/>
        <v>0</v>
      </c>
      <c r="Z701" s="2254">
        <f t="shared" si="1546"/>
        <v>0</v>
      </c>
      <c r="AA701" s="2252">
        <f t="shared" si="1546"/>
        <v>0</v>
      </c>
      <c r="AB701" s="2255">
        <f t="shared" si="1530"/>
        <v>0</v>
      </c>
      <c r="AC701" s="2176"/>
      <c r="AD701" s="2177"/>
      <c r="AE701" s="2180">
        <f t="shared" si="1531"/>
        <v>0</v>
      </c>
      <c r="AF701" s="2185"/>
      <c r="AG701" s="2145"/>
      <c r="AH701" s="2177"/>
      <c r="AI701" s="2177"/>
      <c r="AJ701" s="2186">
        <f t="shared" si="1532"/>
        <v>0</v>
      </c>
      <c r="AK701" s="2177"/>
      <c r="AL701" s="2177"/>
      <c r="AM701" s="2186">
        <f t="shared" si="1533"/>
        <v>0</v>
      </c>
      <c r="AN701" s="2177"/>
      <c r="AO701" s="2177"/>
      <c r="AP701" s="2186">
        <f t="shared" si="1534"/>
        <v>0</v>
      </c>
      <c r="AQ701" s="2177"/>
      <c r="AR701" s="2177"/>
      <c r="AS701" s="2186">
        <f t="shared" si="1535"/>
        <v>0</v>
      </c>
      <c r="AT701" s="2177"/>
      <c r="AU701" s="2177"/>
      <c r="AV701" s="2186">
        <f t="shared" si="1536"/>
        <v>0</v>
      </c>
      <c r="AW701" s="2177"/>
      <c r="AX701" s="2177"/>
      <c r="AY701" s="2186">
        <f t="shared" si="1537"/>
        <v>0</v>
      </c>
      <c r="AZ701" s="2177"/>
      <c r="BA701" s="2177"/>
      <c r="BB701" s="2186">
        <f t="shared" si="1538"/>
        <v>0</v>
      </c>
      <c r="BC701" s="2177"/>
      <c r="BD701" s="2177"/>
      <c r="BE701" s="2186">
        <f t="shared" si="1539"/>
        <v>0</v>
      </c>
      <c r="BF701" s="2177"/>
      <c r="BG701" s="2177"/>
      <c r="BH701" s="2186">
        <f t="shared" si="1540"/>
        <v>0</v>
      </c>
      <c r="BI701" s="2177"/>
      <c r="BJ701" s="2177"/>
      <c r="BK701" s="2186">
        <f t="shared" si="1541"/>
        <v>0</v>
      </c>
      <c r="BL701" s="2177"/>
      <c r="BM701" s="2177"/>
      <c r="BN701" s="2186">
        <f t="shared" si="1542"/>
        <v>0</v>
      </c>
      <c r="BO701" s="2177"/>
      <c r="BP701" s="2177"/>
      <c r="BQ701" s="2186">
        <f t="shared" si="1543"/>
        <v>0</v>
      </c>
    </row>
    <row r="702" spans="3:69" ht="21.6" hidden="1" customHeight="1">
      <c r="C702" s="2357" t="s">
        <v>2863</v>
      </c>
      <c r="D702" s="2286" t="s">
        <v>2488</v>
      </c>
      <c r="E702" s="2284" t="s">
        <v>1833</v>
      </c>
      <c r="F702" s="2176"/>
      <c r="G702" s="2177"/>
      <c r="H702" s="2177"/>
      <c r="I702" s="2178">
        <f t="shared" si="1522"/>
        <v>0</v>
      </c>
      <c r="J702" s="2176"/>
      <c r="K702" s="2252">
        <f t="shared" si="1544"/>
        <v>0</v>
      </c>
      <c r="L702" s="2252">
        <f t="shared" si="1544"/>
        <v>0</v>
      </c>
      <c r="M702" s="2255">
        <f t="shared" si="1523"/>
        <v>0</v>
      </c>
      <c r="N702" s="2177"/>
      <c r="O702" s="2177"/>
      <c r="P702" s="2178">
        <f t="shared" si="1524"/>
        <v>0</v>
      </c>
      <c r="Q702" s="2176"/>
      <c r="R702" s="2177"/>
      <c r="S702" s="2180">
        <f t="shared" si="1525"/>
        <v>0</v>
      </c>
      <c r="T702" s="2251">
        <f t="shared" si="1545"/>
        <v>0</v>
      </c>
      <c r="U702" s="2252">
        <f t="shared" si="1545"/>
        <v>0</v>
      </c>
      <c r="V702" s="2253">
        <f t="shared" si="1527"/>
        <v>0</v>
      </c>
      <c r="W702" s="2182"/>
      <c r="X702" s="2177"/>
      <c r="Y702" s="2183">
        <f t="shared" si="1528"/>
        <v>0</v>
      </c>
      <c r="Z702" s="2254">
        <f t="shared" si="1546"/>
        <v>0</v>
      </c>
      <c r="AA702" s="2252">
        <f t="shared" si="1546"/>
        <v>0</v>
      </c>
      <c r="AB702" s="2255">
        <f t="shared" si="1530"/>
        <v>0</v>
      </c>
      <c r="AC702" s="2176"/>
      <c r="AD702" s="2177"/>
      <c r="AE702" s="2180">
        <f t="shared" si="1531"/>
        <v>0</v>
      </c>
      <c r="AF702" s="2185"/>
      <c r="AG702" s="2145"/>
      <c r="AH702" s="2177"/>
      <c r="AI702" s="2177"/>
      <c r="AJ702" s="2186">
        <f t="shared" si="1532"/>
        <v>0</v>
      </c>
      <c r="AK702" s="2177"/>
      <c r="AL702" s="2177"/>
      <c r="AM702" s="2186">
        <f t="shared" si="1533"/>
        <v>0</v>
      </c>
      <c r="AN702" s="2177"/>
      <c r="AO702" s="2177"/>
      <c r="AP702" s="2186">
        <f t="shared" si="1534"/>
        <v>0</v>
      </c>
      <c r="AQ702" s="2177"/>
      <c r="AR702" s="2177"/>
      <c r="AS702" s="2186">
        <f t="shared" si="1535"/>
        <v>0</v>
      </c>
      <c r="AT702" s="2177"/>
      <c r="AU702" s="2177"/>
      <c r="AV702" s="2186">
        <f t="shared" si="1536"/>
        <v>0</v>
      </c>
      <c r="AW702" s="2177"/>
      <c r="AX702" s="2177"/>
      <c r="AY702" s="2186">
        <f t="shared" si="1537"/>
        <v>0</v>
      </c>
      <c r="AZ702" s="2177"/>
      <c r="BA702" s="2177"/>
      <c r="BB702" s="2186">
        <f t="shared" si="1538"/>
        <v>0</v>
      </c>
      <c r="BC702" s="2177"/>
      <c r="BD702" s="2177"/>
      <c r="BE702" s="2186">
        <f t="shared" si="1539"/>
        <v>0</v>
      </c>
      <c r="BF702" s="2177"/>
      <c r="BG702" s="2177"/>
      <c r="BH702" s="2186">
        <f t="shared" si="1540"/>
        <v>0</v>
      </c>
      <c r="BI702" s="2177"/>
      <c r="BJ702" s="2177"/>
      <c r="BK702" s="2186">
        <f t="shared" si="1541"/>
        <v>0</v>
      </c>
      <c r="BL702" s="2177"/>
      <c r="BM702" s="2177"/>
      <c r="BN702" s="2186">
        <f t="shared" si="1542"/>
        <v>0</v>
      </c>
      <c r="BO702" s="2177"/>
      <c r="BP702" s="2177"/>
      <c r="BQ702" s="2186">
        <f t="shared" si="1543"/>
        <v>0</v>
      </c>
    </row>
    <row r="703" spans="3:69" ht="21.6" hidden="1" customHeight="1">
      <c r="C703" s="2355" t="s">
        <v>2864</v>
      </c>
      <c r="D703" s="2362" t="s">
        <v>2395</v>
      </c>
      <c r="E703" s="2349" t="s">
        <v>2851</v>
      </c>
      <c r="F703" s="2176"/>
      <c r="G703" s="2177"/>
      <c r="H703" s="2177"/>
      <c r="I703" s="2178">
        <f t="shared" si="1522"/>
        <v>0</v>
      </c>
      <c r="J703" s="2176"/>
      <c r="K703" s="2252">
        <f t="shared" si="1544"/>
        <v>0</v>
      </c>
      <c r="L703" s="2252">
        <f t="shared" si="1544"/>
        <v>0</v>
      </c>
      <c r="M703" s="2255">
        <f t="shared" si="1523"/>
        <v>0</v>
      </c>
      <c r="N703" s="2177"/>
      <c r="O703" s="2177"/>
      <c r="P703" s="2178">
        <f t="shared" si="1524"/>
        <v>0</v>
      </c>
      <c r="Q703" s="2176"/>
      <c r="R703" s="2177"/>
      <c r="S703" s="2180">
        <f t="shared" si="1525"/>
        <v>0</v>
      </c>
      <c r="T703" s="2251">
        <f t="shared" si="1545"/>
        <v>0</v>
      </c>
      <c r="U703" s="2252">
        <f t="shared" si="1545"/>
        <v>0</v>
      </c>
      <c r="V703" s="2253">
        <f t="shared" si="1527"/>
        <v>0</v>
      </c>
      <c r="W703" s="2182"/>
      <c r="X703" s="2177"/>
      <c r="Y703" s="2183">
        <f t="shared" si="1528"/>
        <v>0</v>
      </c>
      <c r="Z703" s="2254">
        <f t="shared" si="1546"/>
        <v>0</v>
      </c>
      <c r="AA703" s="2252">
        <f t="shared" si="1546"/>
        <v>0</v>
      </c>
      <c r="AB703" s="2255">
        <f t="shared" si="1530"/>
        <v>0</v>
      </c>
      <c r="AC703" s="2176"/>
      <c r="AD703" s="2177"/>
      <c r="AE703" s="2180">
        <f t="shared" si="1531"/>
        <v>0</v>
      </c>
      <c r="AF703" s="2185"/>
      <c r="AG703" s="2145"/>
      <c r="AH703" s="2177"/>
      <c r="AI703" s="2177"/>
      <c r="AJ703" s="2186">
        <f t="shared" si="1532"/>
        <v>0</v>
      </c>
      <c r="AK703" s="2177"/>
      <c r="AL703" s="2177"/>
      <c r="AM703" s="2186">
        <f t="shared" si="1533"/>
        <v>0</v>
      </c>
      <c r="AN703" s="2177"/>
      <c r="AO703" s="2177"/>
      <c r="AP703" s="2186">
        <f t="shared" si="1534"/>
        <v>0</v>
      </c>
      <c r="AQ703" s="2177"/>
      <c r="AR703" s="2177"/>
      <c r="AS703" s="2186">
        <f t="shared" si="1535"/>
        <v>0</v>
      </c>
      <c r="AT703" s="2177"/>
      <c r="AU703" s="2177"/>
      <c r="AV703" s="2186">
        <f t="shared" si="1536"/>
        <v>0</v>
      </c>
      <c r="AW703" s="2177"/>
      <c r="AX703" s="2177"/>
      <c r="AY703" s="2186">
        <f t="shared" si="1537"/>
        <v>0</v>
      </c>
      <c r="AZ703" s="2177"/>
      <c r="BA703" s="2177"/>
      <c r="BB703" s="2186">
        <f t="shared" si="1538"/>
        <v>0</v>
      </c>
      <c r="BC703" s="2177"/>
      <c r="BD703" s="2177"/>
      <c r="BE703" s="2186">
        <f t="shared" si="1539"/>
        <v>0</v>
      </c>
      <c r="BF703" s="2177"/>
      <c r="BG703" s="2177"/>
      <c r="BH703" s="2186">
        <f t="shared" si="1540"/>
        <v>0</v>
      </c>
      <c r="BI703" s="2177"/>
      <c r="BJ703" s="2177"/>
      <c r="BK703" s="2186">
        <f t="shared" si="1541"/>
        <v>0</v>
      </c>
      <c r="BL703" s="2177"/>
      <c r="BM703" s="2177"/>
      <c r="BN703" s="2186">
        <f t="shared" si="1542"/>
        <v>0</v>
      </c>
      <c r="BO703" s="2177"/>
      <c r="BP703" s="2177"/>
      <c r="BQ703" s="2186">
        <f t="shared" si="1543"/>
        <v>0</v>
      </c>
    </row>
    <row r="704" spans="3:69" ht="21.6" hidden="1" customHeight="1">
      <c r="C704" s="2357" t="s">
        <v>2865</v>
      </c>
      <c r="D704" s="2289" t="s">
        <v>2211</v>
      </c>
      <c r="E704" s="2290" t="s">
        <v>2851</v>
      </c>
      <c r="F704" s="2176"/>
      <c r="G704" s="2177"/>
      <c r="H704" s="2177"/>
      <c r="I704" s="2178">
        <f t="shared" si="1522"/>
        <v>0</v>
      </c>
      <c r="J704" s="2176"/>
      <c r="K704" s="2252">
        <f t="shared" si="1544"/>
        <v>0</v>
      </c>
      <c r="L704" s="2252">
        <f t="shared" si="1544"/>
        <v>0</v>
      </c>
      <c r="M704" s="2255">
        <f t="shared" si="1523"/>
        <v>0</v>
      </c>
      <c r="N704" s="2177"/>
      <c r="O704" s="2177"/>
      <c r="P704" s="2178">
        <f t="shared" si="1524"/>
        <v>0</v>
      </c>
      <c r="Q704" s="2176"/>
      <c r="R704" s="2177"/>
      <c r="S704" s="2180">
        <f t="shared" si="1525"/>
        <v>0</v>
      </c>
      <c r="T704" s="2251">
        <f t="shared" si="1545"/>
        <v>0</v>
      </c>
      <c r="U704" s="2252">
        <f t="shared" si="1545"/>
        <v>0</v>
      </c>
      <c r="V704" s="2253">
        <f t="shared" si="1527"/>
        <v>0</v>
      </c>
      <c r="W704" s="2182"/>
      <c r="X704" s="2177"/>
      <c r="Y704" s="2183">
        <f t="shared" si="1528"/>
        <v>0</v>
      </c>
      <c r="Z704" s="2254">
        <f t="shared" si="1546"/>
        <v>0</v>
      </c>
      <c r="AA704" s="2252">
        <f t="shared" si="1546"/>
        <v>0</v>
      </c>
      <c r="AB704" s="2255">
        <f t="shared" si="1530"/>
        <v>0</v>
      </c>
      <c r="AC704" s="2176"/>
      <c r="AD704" s="2177"/>
      <c r="AE704" s="2180">
        <f t="shared" si="1531"/>
        <v>0</v>
      </c>
      <c r="AF704" s="2185"/>
      <c r="AG704" s="2145"/>
      <c r="AH704" s="2177"/>
      <c r="AI704" s="2177"/>
      <c r="AJ704" s="2186">
        <f t="shared" si="1532"/>
        <v>0</v>
      </c>
      <c r="AK704" s="2177"/>
      <c r="AL704" s="2177"/>
      <c r="AM704" s="2186">
        <f t="shared" si="1533"/>
        <v>0</v>
      </c>
      <c r="AN704" s="2177"/>
      <c r="AO704" s="2177"/>
      <c r="AP704" s="2186">
        <f t="shared" si="1534"/>
        <v>0</v>
      </c>
      <c r="AQ704" s="2177"/>
      <c r="AR704" s="2177"/>
      <c r="AS704" s="2186">
        <f t="shared" si="1535"/>
        <v>0</v>
      </c>
      <c r="AT704" s="2177"/>
      <c r="AU704" s="2177"/>
      <c r="AV704" s="2186">
        <f t="shared" si="1536"/>
        <v>0</v>
      </c>
      <c r="AW704" s="2177"/>
      <c r="AX704" s="2177"/>
      <c r="AY704" s="2186">
        <f t="shared" si="1537"/>
        <v>0</v>
      </c>
      <c r="AZ704" s="2177"/>
      <c r="BA704" s="2177"/>
      <c r="BB704" s="2186">
        <f t="shared" si="1538"/>
        <v>0</v>
      </c>
      <c r="BC704" s="2177"/>
      <c r="BD704" s="2177"/>
      <c r="BE704" s="2186">
        <f t="shared" si="1539"/>
        <v>0</v>
      </c>
      <c r="BF704" s="2177"/>
      <c r="BG704" s="2177"/>
      <c r="BH704" s="2186">
        <f t="shared" si="1540"/>
        <v>0</v>
      </c>
      <c r="BI704" s="2177"/>
      <c r="BJ704" s="2177"/>
      <c r="BK704" s="2186">
        <f t="shared" si="1541"/>
        <v>0</v>
      </c>
      <c r="BL704" s="2177"/>
      <c r="BM704" s="2177"/>
      <c r="BN704" s="2186">
        <f t="shared" si="1542"/>
        <v>0</v>
      </c>
      <c r="BO704" s="2177"/>
      <c r="BP704" s="2177"/>
      <c r="BQ704" s="2186">
        <f t="shared" si="1543"/>
        <v>0</v>
      </c>
    </row>
    <row r="705" spans="3:69" ht="21.6" hidden="1" customHeight="1">
      <c r="C705" s="2357" t="s">
        <v>2866</v>
      </c>
      <c r="D705" s="2286" t="s">
        <v>2488</v>
      </c>
      <c r="E705" s="2284" t="s">
        <v>1833</v>
      </c>
      <c r="F705" s="2176"/>
      <c r="G705" s="2177"/>
      <c r="H705" s="2177"/>
      <c r="I705" s="2178">
        <f t="shared" si="1522"/>
        <v>0</v>
      </c>
      <c r="J705" s="2176"/>
      <c r="K705" s="2252">
        <f t="shared" si="1544"/>
        <v>0</v>
      </c>
      <c r="L705" s="2252">
        <f t="shared" si="1544"/>
        <v>0</v>
      </c>
      <c r="M705" s="2255">
        <f t="shared" si="1523"/>
        <v>0</v>
      </c>
      <c r="N705" s="2177"/>
      <c r="O705" s="2177"/>
      <c r="P705" s="2178">
        <f t="shared" si="1524"/>
        <v>0</v>
      </c>
      <c r="Q705" s="2176"/>
      <c r="R705" s="2177"/>
      <c r="S705" s="2180">
        <f t="shared" si="1525"/>
        <v>0</v>
      </c>
      <c r="T705" s="2251">
        <f t="shared" si="1545"/>
        <v>0</v>
      </c>
      <c r="U705" s="2252">
        <f t="shared" si="1545"/>
        <v>0</v>
      </c>
      <c r="V705" s="2253">
        <f t="shared" si="1527"/>
        <v>0</v>
      </c>
      <c r="W705" s="2182"/>
      <c r="X705" s="2177"/>
      <c r="Y705" s="2183">
        <f t="shared" si="1528"/>
        <v>0</v>
      </c>
      <c r="Z705" s="2254">
        <f t="shared" si="1546"/>
        <v>0</v>
      </c>
      <c r="AA705" s="2252">
        <f t="shared" si="1546"/>
        <v>0</v>
      </c>
      <c r="AB705" s="2255">
        <f t="shared" si="1530"/>
        <v>0</v>
      </c>
      <c r="AC705" s="2176"/>
      <c r="AD705" s="2177"/>
      <c r="AE705" s="2180">
        <f t="shared" si="1531"/>
        <v>0</v>
      </c>
      <c r="AF705" s="2185"/>
      <c r="AG705" s="2145"/>
      <c r="AH705" s="2177"/>
      <c r="AI705" s="2177"/>
      <c r="AJ705" s="2186">
        <f t="shared" si="1532"/>
        <v>0</v>
      </c>
      <c r="AK705" s="2177"/>
      <c r="AL705" s="2177"/>
      <c r="AM705" s="2186">
        <f t="shared" si="1533"/>
        <v>0</v>
      </c>
      <c r="AN705" s="2177"/>
      <c r="AO705" s="2177"/>
      <c r="AP705" s="2186">
        <f t="shared" si="1534"/>
        <v>0</v>
      </c>
      <c r="AQ705" s="2177"/>
      <c r="AR705" s="2177"/>
      <c r="AS705" s="2186">
        <f t="shared" si="1535"/>
        <v>0</v>
      </c>
      <c r="AT705" s="2177"/>
      <c r="AU705" s="2177"/>
      <c r="AV705" s="2186">
        <f t="shared" si="1536"/>
        <v>0</v>
      </c>
      <c r="AW705" s="2177"/>
      <c r="AX705" s="2177"/>
      <c r="AY705" s="2186">
        <f t="shared" si="1537"/>
        <v>0</v>
      </c>
      <c r="AZ705" s="2177"/>
      <c r="BA705" s="2177"/>
      <c r="BB705" s="2186">
        <f t="shared" si="1538"/>
        <v>0</v>
      </c>
      <c r="BC705" s="2177"/>
      <c r="BD705" s="2177"/>
      <c r="BE705" s="2186">
        <f t="shared" si="1539"/>
        <v>0</v>
      </c>
      <c r="BF705" s="2177"/>
      <c r="BG705" s="2177"/>
      <c r="BH705" s="2186">
        <f t="shared" si="1540"/>
        <v>0</v>
      </c>
      <c r="BI705" s="2177"/>
      <c r="BJ705" s="2177"/>
      <c r="BK705" s="2186">
        <f t="shared" si="1541"/>
        <v>0</v>
      </c>
      <c r="BL705" s="2177"/>
      <c r="BM705" s="2177"/>
      <c r="BN705" s="2186">
        <f t="shared" si="1542"/>
        <v>0</v>
      </c>
      <c r="BO705" s="2177"/>
      <c r="BP705" s="2177"/>
      <c r="BQ705" s="2186">
        <f t="shared" si="1543"/>
        <v>0</v>
      </c>
    </row>
    <row r="706" spans="3:69" s="2207" customFormat="1" ht="21.6" customHeight="1">
      <c r="C706" s="2134" t="s">
        <v>41</v>
      </c>
      <c r="D706" s="2146" t="s">
        <v>2867</v>
      </c>
      <c r="E706" s="2136"/>
      <c r="F706" s="2224"/>
      <c r="G706" s="2225"/>
      <c r="H706" s="2225"/>
      <c r="I706" s="2226"/>
      <c r="J706" s="2224"/>
      <c r="K706" s="2225"/>
      <c r="L706" s="2225"/>
      <c r="M706" s="2226"/>
      <c r="N706" s="2225"/>
      <c r="O706" s="2225"/>
      <c r="P706" s="2226"/>
      <c r="Q706" s="2224"/>
      <c r="R706" s="2225"/>
      <c r="S706" s="2227"/>
      <c r="T706" s="2228"/>
      <c r="U706" s="2225"/>
      <c r="V706" s="2227"/>
      <c r="W706" s="2229"/>
      <c r="X706" s="2225"/>
      <c r="Y706" s="2230"/>
      <c r="Z706" s="2224"/>
      <c r="AA706" s="2225"/>
      <c r="AB706" s="2226"/>
      <c r="AC706" s="2224"/>
      <c r="AD706" s="2225"/>
      <c r="AE706" s="2227"/>
      <c r="AF706" s="2231"/>
      <c r="AG706" s="2206"/>
      <c r="AH706" s="2225"/>
      <c r="AI706" s="2225"/>
      <c r="AJ706" s="2226"/>
      <c r="AK706" s="2225"/>
      <c r="AL706" s="2225"/>
      <c r="AM706" s="2226"/>
      <c r="AN706" s="2225"/>
      <c r="AO706" s="2225"/>
      <c r="AP706" s="2226"/>
      <c r="AQ706" s="2225"/>
      <c r="AR706" s="2225"/>
      <c r="AS706" s="2226"/>
      <c r="AT706" s="2225"/>
      <c r="AU706" s="2225"/>
      <c r="AV706" s="2226"/>
      <c r="AW706" s="2225"/>
      <c r="AX706" s="2225"/>
      <c r="AY706" s="2226"/>
      <c r="AZ706" s="2225"/>
      <c r="BA706" s="2225"/>
      <c r="BB706" s="2226"/>
      <c r="BC706" s="2225"/>
      <c r="BD706" s="2225"/>
      <c r="BE706" s="2226"/>
      <c r="BF706" s="2225"/>
      <c r="BG706" s="2225"/>
      <c r="BH706" s="2226"/>
      <c r="BI706" s="2225"/>
      <c r="BJ706" s="2225"/>
      <c r="BK706" s="2226"/>
      <c r="BL706" s="2225"/>
      <c r="BM706" s="2225"/>
      <c r="BN706" s="2226"/>
      <c r="BO706" s="2225"/>
      <c r="BP706" s="2225"/>
      <c r="BQ706" s="2226"/>
    </row>
    <row r="707" spans="3:69" s="2159" customFormat="1" ht="12" customHeight="1">
      <c r="C707" s="2147" t="s">
        <v>2008</v>
      </c>
      <c r="D707" s="2148" t="s">
        <v>2080</v>
      </c>
      <c r="E707" s="2149"/>
      <c r="F707" s="2150"/>
      <c r="G707" s="2151"/>
      <c r="H707" s="2151"/>
      <c r="I707" s="2152"/>
      <c r="J707" s="2150"/>
      <c r="K707" s="2151"/>
      <c r="L707" s="2151"/>
      <c r="M707" s="2152"/>
      <c r="N707" s="2151"/>
      <c r="O707" s="2151"/>
      <c r="P707" s="2152"/>
      <c r="Q707" s="2150"/>
      <c r="R707" s="2151"/>
      <c r="S707" s="2153"/>
      <c r="T707" s="2154"/>
      <c r="U707" s="2151"/>
      <c r="V707" s="2153"/>
      <c r="W707" s="2155"/>
      <c r="X707" s="2151"/>
      <c r="Y707" s="2156"/>
      <c r="Z707" s="2150"/>
      <c r="AA707" s="2151"/>
      <c r="AB707" s="2152"/>
      <c r="AC707" s="2150"/>
      <c r="AD707" s="2151"/>
      <c r="AE707" s="2153"/>
      <c r="AF707" s="2157"/>
      <c r="AG707" s="2158"/>
      <c r="AH707" s="2151"/>
      <c r="AI707" s="2151"/>
      <c r="AJ707" s="2152"/>
      <c r="AK707" s="2151"/>
      <c r="AL707" s="2151"/>
      <c r="AM707" s="2152"/>
      <c r="AN707" s="2151"/>
      <c r="AO707" s="2151"/>
      <c r="AP707" s="2152"/>
      <c r="AQ707" s="2151"/>
      <c r="AR707" s="2151"/>
      <c r="AS707" s="2152"/>
      <c r="AT707" s="2151"/>
      <c r="AU707" s="2151"/>
      <c r="AV707" s="2152"/>
      <c r="AW707" s="2151"/>
      <c r="AX707" s="2151"/>
      <c r="AY707" s="2152"/>
      <c r="AZ707" s="2151"/>
      <c r="BA707" s="2151"/>
      <c r="BB707" s="2152"/>
      <c r="BC707" s="2151"/>
      <c r="BD707" s="2151"/>
      <c r="BE707" s="2152"/>
      <c r="BF707" s="2151"/>
      <c r="BG707" s="2151"/>
      <c r="BH707" s="2152"/>
      <c r="BI707" s="2151"/>
      <c r="BJ707" s="2151"/>
      <c r="BK707" s="2152"/>
      <c r="BL707" s="2151"/>
      <c r="BM707" s="2151"/>
      <c r="BN707" s="2152"/>
      <c r="BO707" s="2151"/>
      <c r="BP707" s="2151"/>
      <c r="BQ707" s="2152"/>
    </row>
    <row r="708" spans="3:69" s="2159" customFormat="1" ht="12" customHeight="1">
      <c r="C708" s="2256" t="s">
        <v>2010</v>
      </c>
      <c r="D708" s="2161" t="s">
        <v>2082</v>
      </c>
      <c r="E708" s="2120" t="s">
        <v>240</v>
      </c>
      <c r="F708" s="2363">
        <v>868.87</v>
      </c>
      <c r="G708" s="2364">
        <f>G709+G737</f>
        <v>805.09384099999988</v>
      </c>
      <c r="H708" s="2364">
        <f>H709+H737</f>
        <v>818.86797999999999</v>
      </c>
      <c r="I708" s="2365">
        <f>H708-G708</f>
        <v>13.774139000000105</v>
      </c>
      <c r="J708" s="2363">
        <f>J709+J737</f>
        <v>803.7971</v>
      </c>
      <c r="K708" s="2364">
        <f t="shared" ref="K708:L723" si="1547">N708+Q708+W708+AC708</f>
        <v>791.51916859811979</v>
      </c>
      <c r="L708" s="2364">
        <f t="shared" si="1547"/>
        <v>0</v>
      </c>
      <c r="M708" s="2365">
        <f>L708-K708</f>
        <v>-791.51916859811979</v>
      </c>
      <c r="N708" s="2364">
        <f>N709+N737</f>
        <v>207.56801199374681</v>
      </c>
      <c r="O708" s="2364">
        <f>O709+O737</f>
        <v>0</v>
      </c>
      <c r="P708" s="2365">
        <f>O708-N708</f>
        <v>-207.56801199374681</v>
      </c>
      <c r="Q708" s="2366">
        <f>Q709+Q737</f>
        <v>170.12131527172855</v>
      </c>
      <c r="R708" s="2364">
        <f>R709+R737</f>
        <v>0</v>
      </c>
      <c r="S708" s="2367">
        <f>R708-Q708</f>
        <v>-170.12131527172855</v>
      </c>
      <c r="T708" s="2368">
        <f>N708+Q708</f>
        <v>377.68932726547536</v>
      </c>
      <c r="U708" s="2364">
        <f>O708+R708</f>
        <v>0</v>
      </c>
      <c r="V708" s="2367">
        <f>U708-T708</f>
        <v>-377.68932726547536</v>
      </c>
      <c r="W708" s="2369">
        <f>W709+W737</f>
        <v>158.17420993701734</v>
      </c>
      <c r="X708" s="2364">
        <f>X709+X737</f>
        <v>0</v>
      </c>
      <c r="Y708" s="2370">
        <f>X708-W708</f>
        <v>-158.17420993701734</v>
      </c>
      <c r="Z708" s="2366">
        <f>T708+W708</f>
        <v>535.86353720249269</v>
      </c>
      <c r="AA708" s="2364">
        <f>U708+X708</f>
        <v>0</v>
      </c>
      <c r="AB708" s="2365">
        <f>AA708-Z708</f>
        <v>-535.86353720249269</v>
      </c>
      <c r="AC708" s="2366">
        <f>AC709+AC737</f>
        <v>255.65563139562713</v>
      </c>
      <c r="AD708" s="2364">
        <f>AD709+AD737</f>
        <v>0</v>
      </c>
      <c r="AE708" s="2367">
        <f>AD708-AC708</f>
        <v>-255.65563139562713</v>
      </c>
      <c r="AF708" s="2371"/>
      <c r="AG708" s="2158"/>
      <c r="AH708" s="2372">
        <f>AH709+AH737</f>
        <v>57.180133000000005</v>
      </c>
      <c r="AI708" s="2372">
        <f>AI709+AI737</f>
        <v>0</v>
      </c>
      <c r="AJ708" s="2373">
        <f>AI708-AH708</f>
        <v>-57.180133000000005</v>
      </c>
      <c r="AK708" s="2372">
        <f>AK709+AK737</f>
        <v>77.395754003501949</v>
      </c>
      <c r="AL708" s="2372">
        <f>AL709+AL737</f>
        <v>0</v>
      </c>
      <c r="AM708" s="2373">
        <f>AL708-AK708</f>
        <v>-77.395754003501949</v>
      </c>
      <c r="AN708" s="2372">
        <f>AN709+AN737</f>
        <v>72.992124990244875</v>
      </c>
      <c r="AO708" s="2372">
        <f>AO709+AO737</f>
        <v>0</v>
      </c>
      <c r="AP708" s="2373">
        <f>AO708-AN708</f>
        <v>-72.992124990244875</v>
      </c>
      <c r="AQ708" s="2372">
        <f>AQ709+AQ737</f>
        <v>63.25006804011182</v>
      </c>
      <c r="AR708" s="2372">
        <f>AR709+AR737</f>
        <v>0</v>
      </c>
      <c r="AS708" s="2373">
        <f>AR708-AQ708</f>
        <v>-63.25006804011182</v>
      </c>
      <c r="AT708" s="2372">
        <f>AT709+AT737</f>
        <v>60.087094418443151</v>
      </c>
      <c r="AU708" s="2372">
        <f>AU709+AU737</f>
        <v>0</v>
      </c>
      <c r="AV708" s="2373">
        <f>AU708-AT708</f>
        <v>-60.087094418443151</v>
      </c>
      <c r="AW708" s="2372">
        <f>AW709+AW737</f>
        <v>46.784152813173563</v>
      </c>
      <c r="AX708" s="2372">
        <f>AX709+AX737</f>
        <v>0</v>
      </c>
      <c r="AY708" s="2373">
        <f>AX708-AW708</f>
        <v>-46.784152813173563</v>
      </c>
      <c r="AZ708" s="2372">
        <f>AZ709+AZ737</f>
        <v>47.61744976746629</v>
      </c>
      <c r="BA708" s="2372">
        <f>BA709+BA737</f>
        <v>0</v>
      </c>
      <c r="BB708" s="2373">
        <f>BA708-AZ708</f>
        <v>-47.61744976746629</v>
      </c>
      <c r="BC708" s="2372">
        <f>BC709+BC737</f>
        <v>48.955996164223123</v>
      </c>
      <c r="BD708" s="2372">
        <f>BD709+BD737</f>
        <v>0</v>
      </c>
      <c r="BE708" s="2373">
        <f>BD708-BC708</f>
        <v>-48.955996164223123</v>
      </c>
      <c r="BF708" s="2372">
        <f>BF709+BF737</f>
        <v>61.600764005327896</v>
      </c>
      <c r="BG708" s="2372">
        <f>BG709+BG737</f>
        <v>0</v>
      </c>
      <c r="BH708" s="2373">
        <f>BG708-BF708</f>
        <v>-61.600764005327896</v>
      </c>
      <c r="BI708" s="2372">
        <f>BI709+BI737</f>
        <v>78.93641270410032</v>
      </c>
      <c r="BJ708" s="2372">
        <f>BJ709+BJ737</f>
        <v>0</v>
      </c>
      <c r="BK708" s="2373">
        <f>BJ708-BI708</f>
        <v>-78.93641270410032</v>
      </c>
      <c r="BL708" s="2372">
        <f>BL709+BL737</f>
        <v>84.937997493273627</v>
      </c>
      <c r="BM708" s="2372">
        <f>BM709+BM737</f>
        <v>0</v>
      </c>
      <c r="BN708" s="2373">
        <f>BM708-BL708</f>
        <v>-84.937997493273627</v>
      </c>
      <c r="BO708" s="2372">
        <f>BO709+BO737</f>
        <v>91.781221198253149</v>
      </c>
      <c r="BP708" s="2372">
        <f>BP709+BP737</f>
        <v>0</v>
      </c>
      <c r="BQ708" s="2373">
        <f>BP708-BO708</f>
        <v>-91.781221198253149</v>
      </c>
    </row>
    <row r="709" spans="3:69" s="2159" customFormat="1" ht="24.6" customHeight="1">
      <c r="C709" s="2256" t="s">
        <v>2868</v>
      </c>
      <c r="D709" s="2161" t="s">
        <v>2869</v>
      </c>
      <c r="E709" s="2120" t="s">
        <v>240</v>
      </c>
      <c r="F709" s="2363">
        <v>793.84</v>
      </c>
      <c r="G709" s="2364">
        <f t="shared" ref="G709:H712" si="1548">G713+G717+G721+G725+G729+G733</f>
        <v>742.87763999999993</v>
      </c>
      <c r="H709" s="2364">
        <f t="shared" si="1548"/>
        <v>755.17537200000004</v>
      </c>
      <c r="I709" s="2365">
        <f>H709-G709</f>
        <v>12.29773200000011</v>
      </c>
      <c r="J709" s="2363">
        <f>J713+J717+J721+J725+J729+J733</f>
        <v>731.78844642499996</v>
      </c>
      <c r="K709" s="2364">
        <f t="shared" si="1547"/>
        <v>732.77794455486514</v>
      </c>
      <c r="L709" s="2364">
        <f t="shared" si="1547"/>
        <v>0</v>
      </c>
      <c r="M709" s="2365">
        <f t="shared" ref="M709:M749" si="1549">L709-K709</f>
        <v>-732.77794455486514</v>
      </c>
      <c r="N709" s="2364">
        <f>N713+N717+N721+N725+N729+N733</f>
        <v>195.67586630486497</v>
      </c>
      <c r="O709" s="2364">
        <f>O713+O717+O721+O725+O729+O733</f>
        <v>0</v>
      </c>
      <c r="P709" s="2365">
        <f>O709-N709</f>
        <v>-195.67586630486497</v>
      </c>
      <c r="Q709" s="2366">
        <f>Q713+Q717+Q721+Q725+Q729+Q733</f>
        <v>156.47098175000005</v>
      </c>
      <c r="R709" s="2364">
        <f>R713+R717+R721+R725+R729+R733</f>
        <v>0</v>
      </c>
      <c r="S709" s="2367">
        <f>R709-Q709</f>
        <v>-156.47098175000005</v>
      </c>
      <c r="T709" s="2368">
        <f t="shared" ref="T709:U736" si="1550">N709+Q709</f>
        <v>352.14684805486502</v>
      </c>
      <c r="U709" s="2364">
        <f t="shared" si="1550"/>
        <v>0</v>
      </c>
      <c r="V709" s="2367">
        <f t="shared" ref="V709:V752" si="1551">U709-T709</f>
        <v>-352.14684805486502</v>
      </c>
      <c r="W709" s="2369">
        <f>W713+W717+W721+W725+W729+W733</f>
        <v>145.48022075000003</v>
      </c>
      <c r="X709" s="2364">
        <f>X713+X717+X721+X725+X729+X733</f>
        <v>0</v>
      </c>
      <c r="Y709" s="2370">
        <f>X709-W709</f>
        <v>-145.48022075000003</v>
      </c>
      <c r="Z709" s="2366">
        <f t="shared" ref="Z709:AA736" si="1552">T709+W709</f>
        <v>497.62706880486508</v>
      </c>
      <c r="AA709" s="2364">
        <f t="shared" si="1552"/>
        <v>0</v>
      </c>
      <c r="AB709" s="2365">
        <f t="shared" ref="AB709:AB752" si="1553">AA709-Z709</f>
        <v>-497.62706880486508</v>
      </c>
      <c r="AC709" s="2366">
        <f>AC713+AC717+AC721+AC725+AC729+AC733</f>
        <v>235.15087575000001</v>
      </c>
      <c r="AD709" s="2364">
        <f>AD713+AD717+AD721+AD725+AD729+AD733</f>
        <v>0</v>
      </c>
      <c r="AE709" s="2367">
        <f>AD709-AC709</f>
        <v>-235.15087575000001</v>
      </c>
      <c r="AF709" s="2371"/>
      <c r="AG709" s="2158"/>
      <c r="AH709" s="2372">
        <f>AH713+AH717+AH721+AH725+AH729+AH733</f>
        <v>57.180120000000002</v>
      </c>
      <c r="AI709" s="2372">
        <f>AI713+AI717+AI721+AI725+AI729+AI733</f>
        <v>0</v>
      </c>
      <c r="AJ709" s="2373">
        <f>AI709-AH709</f>
        <v>-57.180120000000002</v>
      </c>
      <c r="AK709" s="2372">
        <f>AK713+AK717+AK721+AK725+AK729+AK733</f>
        <v>71.293202481288162</v>
      </c>
      <c r="AL709" s="2372">
        <f>AL713+AL717+AL721+AL725+AL729+AL733</f>
        <v>0</v>
      </c>
      <c r="AM709" s="2373">
        <f>AL709-AK709</f>
        <v>-71.293202481288162</v>
      </c>
      <c r="AN709" s="2372">
        <f>AN713+AN717+AN721+AN725+AN729+AN733</f>
        <v>67.202543823576832</v>
      </c>
      <c r="AO709" s="2372">
        <f>AO713+AO717+AO721+AO725+AO729+AO733</f>
        <v>0</v>
      </c>
      <c r="AP709" s="2373">
        <f>AO709-AN709</f>
        <v>-67.202543823576832</v>
      </c>
      <c r="AQ709" s="2372">
        <f>AQ713+AQ717+AQ721+AQ725+AQ729+AQ733</f>
        <v>58.172242235328461</v>
      </c>
      <c r="AR709" s="2372">
        <f>AR713+AR717+AR721+AR725+AR729+AR733</f>
        <v>0</v>
      </c>
      <c r="AS709" s="2373">
        <f>AR709-AQ709</f>
        <v>-58.172242235328461</v>
      </c>
      <c r="AT709" s="2372">
        <f>AT713+AT717+AT721+AT725+AT729+AT733</f>
        <v>55.268641295914421</v>
      </c>
      <c r="AU709" s="2372">
        <f>AU713+AU717+AU721+AU725+AU729+AU733</f>
        <v>0</v>
      </c>
      <c r="AV709" s="2373">
        <f>AU709-AT709</f>
        <v>-55.268641295914421</v>
      </c>
      <c r="AW709" s="2372">
        <f>AW713+AW717+AW721+AW725+AW729+AW733</f>
        <v>43.030098218757168</v>
      </c>
      <c r="AX709" s="2372">
        <f>AX713+AX717+AX721+AX725+AX729+AX733</f>
        <v>0</v>
      </c>
      <c r="AY709" s="2373">
        <f>AX709-AW709</f>
        <v>-43.030098218757168</v>
      </c>
      <c r="AZ709" s="2372">
        <f>AZ713+AZ717+AZ721+AZ725+AZ729+AZ733</f>
        <v>43.637099866000597</v>
      </c>
      <c r="BA709" s="2372">
        <f>BA713+BA717+BA721+BA725+BA729+BA733</f>
        <v>0</v>
      </c>
      <c r="BB709" s="2373">
        <f>BA709-AZ709</f>
        <v>-43.637099866000597</v>
      </c>
      <c r="BC709" s="2372">
        <f>BC713+BC717+BC721+BC725+BC729+BC733</f>
        <v>44.866414734078781</v>
      </c>
      <c r="BD709" s="2372">
        <f>BD713+BD717+BD721+BD725+BD729+BD733</f>
        <v>0</v>
      </c>
      <c r="BE709" s="2373">
        <f>BD709-BC709</f>
        <v>-44.866414734078781</v>
      </c>
      <c r="BF709" s="2372">
        <f>BF713+BF717+BF721+BF725+BF729+BF733</f>
        <v>56.976706149920631</v>
      </c>
      <c r="BG709" s="2372">
        <f>BG713+BG717+BG721+BG725+BG729+BG733</f>
        <v>0</v>
      </c>
      <c r="BH709" s="2373">
        <f>BG709-BF709</f>
        <v>-56.976706149920631</v>
      </c>
      <c r="BI709" s="2372">
        <f>BI713+BI717+BI721+BI725+BI729+BI733</f>
        <v>73.003942594999842</v>
      </c>
      <c r="BJ709" s="2372">
        <f>BJ713+BJ717+BJ721+BJ725+BJ729+BJ733</f>
        <v>0</v>
      </c>
      <c r="BK709" s="2373">
        <f>BJ709-BI709</f>
        <v>-73.003942594999842</v>
      </c>
      <c r="BL709" s="2372">
        <f>BL713+BL717+BL721+BL725+BL729+BL733</f>
        <v>77.960641741637062</v>
      </c>
      <c r="BM709" s="2372">
        <f>BM713+BM717+BM721+BM725+BM729+BM733</f>
        <v>0</v>
      </c>
      <c r="BN709" s="2373">
        <f>BM709-BL709</f>
        <v>-77.960641741637062</v>
      </c>
      <c r="BO709" s="2372">
        <f>BO713+BO717+BO721+BO725+BO729+BO733</f>
        <v>84.186291413363094</v>
      </c>
      <c r="BP709" s="2372">
        <f>BP713+BP717+BP721+BP725+BP729+BP733</f>
        <v>0</v>
      </c>
      <c r="BQ709" s="2373">
        <f>BP709-BO709</f>
        <v>-84.186291413363094</v>
      </c>
    </row>
    <row r="710" spans="3:69" s="2159" customFormat="1" ht="12" customHeight="1">
      <c r="C710" s="2374" t="s">
        <v>2870</v>
      </c>
      <c r="D710" s="2375" t="s">
        <v>28</v>
      </c>
      <c r="E710" s="2250" t="s">
        <v>240</v>
      </c>
      <c r="F710" s="2376">
        <v>301.82</v>
      </c>
      <c r="G710" s="2300">
        <f t="shared" si="1548"/>
        <v>323.99140799999998</v>
      </c>
      <c r="H710" s="2300">
        <f t="shared" si="1548"/>
        <v>329.56004799999999</v>
      </c>
      <c r="I710" s="2303">
        <f t="shared" ref="I710:I736" si="1554">H710-G710</f>
        <v>5.5686400000000162</v>
      </c>
      <c r="J710" s="2376">
        <f>J714+J718+J722+J726+J730+J734</f>
        <v>321.39170000000001</v>
      </c>
      <c r="K710" s="2300">
        <f t="shared" si="1547"/>
        <v>311.765874</v>
      </c>
      <c r="L710" s="2300">
        <f t="shared" si="1547"/>
        <v>0</v>
      </c>
      <c r="M710" s="2303">
        <f t="shared" si="1549"/>
        <v>-311.765874</v>
      </c>
      <c r="N710" s="2300">
        <f>N714+N718+N722+N726+N730+N734</f>
        <v>83.093787999999989</v>
      </c>
      <c r="O710" s="2300">
        <f>O714+O718+O722+O726+O730+O734</f>
        <v>0</v>
      </c>
      <c r="P710" s="2303">
        <f t="shared" ref="P710:P736" si="1555">O710-N710</f>
        <v>-83.093787999999989</v>
      </c>
      <c r="Q710" s="2307">
        <f>Q714+Q718+Q722+Q726+Q730+Q734</f>
        <v>59.212609</v>
      </c>
      <c r="R710" s="2300">
        <f>R714+R718+R722+R726+R730+R734</f>
        <v>0</v>
      </c>
      <c r="S710" s="2301">
        <f t="shared" ref="S710:S736" si="1556">R710-Q710</f>
        <v>-59.212609</v>
      </c>
      <c r="T710" s="2304">
        <f t="shared" si="1550"/>
        <v>142.306397</v>
      </c>
      <c r="U710" s="2300">
        <f t="shared" si="1550"/>
        <v>0</v>
      </c>
      <c r="V710" s="2301">
        <f t="shared" si="1551"/>
        <v>-142.306397</v>
      </c>
      <c r="W710" s="2305">
        <f>W714+W718+W722+W726+W730+W734</f>
        <v>66.547736</v>
      </c>
      <c r="X710" s="2300">
        <f>X714+X718+X722+X726+X730+X734</f>
        <v>0</v>
      </c>
      <c r="Y710" s="2306">
        <f t="shared" ref="Y710:Y736" si="1557">X710-W710</f>
        <v>-66.547736</v>
      </c>
      <c r="Z710" s="2307">
        <f t="shared" si="1552"/>
        <v>208.85413299999999</v>
      </c>
      <c r="AA710" s="2300">
        <f t="shared" si="1552"/>
        <v>0</v>
      </c>
      <c r="AB710" s="2303">
        <f t="shared" si="1553"/>
        <v>-208.85413299999999</v>
      </c>
      <c r="AC710" s="2307">
        <f>AC714+AC718+AC722+AC726+AC730+AC734</f>
        <v>102.91174100000001</v>
      </c>
      <c r="AD710" s="2300">
        <f>AD714+AD718+AD722+AD726+AD730+AD734</f>
        <v>0</v>
      </c>
      <c r="AE710" s="2301">
        <f t="shared" ref="AE710:AE736" si="1558">AD710-AC710</f>
        <v>-102.91174100000001</v>
      </c>
      <c r="AF710" s="2377"/>
      <c r="AG710" s="2158"/>
      <c r="AH710" s="2309">
        <f>AH714+AH718+AH722+AH726+AH730+AH734</f>
        <v>24.830238999999999</v>
      </c>
      <c r="AI710" s="2309">
        <f>AI714+AI718+AI722+AI726+AI730+AI734</f>
        <v>0</v>
      </c>
      <c r="AJ710" s="2310">
        <f t="shared" ref="AJ710:AJ736" si="1559">AI710-AH710</f>
        <v>-24.830238999999999</v>
      </c>
      <c r="AK710" s="2309">
        <f>AK714+AK718+AK722+AK726+AK730+AK734</f>
        <v>28.188816000000003</v>
      </c>
      <c r="AL710" s="2309">
        <f>AL714+AL718+AL722+AL726+AL730+AL734</f>
        <v>0</v>
      </c>
      <c r="AM710" s="2310">
        <f t="shared" ref="AM710:AM714" si="1560">AL710-AK710</f>
        <v>-28.188816000000003</v>
      </c>
      <c r="AN710" s="2309">
        <f>AN714+AN718+AN722+AN726+AN730+AN734</f>
        <v>30.074732999999995</v>
      </c>
      <c r="AO710" s="2309">
        <f>AO714+AO718+AO722+AO726+AO730+AO734</f>
        <v>0</v>
      </c>
      <c r="AP710" s="2310">
        <f t="shared" ref="AP710:AP714" si="1561">AO710-AN710</f>
        <v>-30.074732999999995</v>
      </c>
      <c r="AQ710" s="2309">
        <f>AQ714+AQ718+AQ722+AQ726+AQ730+AQ734</f>
        <v>21.406728000000001</v>
      </c>
      <c r="AR710" s="2309">
        <f>AR714+AR718+AR722+AR726+AR730+AR734</f>
        <v>0</v>
      </c>
      <c r="AS710" s="2310">
        <f t="shared" ref="AS710:AS714" si="1562">AR710-AQ710</f>
        <v>-21.406728000000001</v>
      </c>
      <c r="AT710" s="2309">
        <f>AT714+AT718+AT722+AT726+AT730+AT734</f>
        <v>21.216256000000001</v>
      </c>
      <c r="AU710" s="2309">
        <f>AU714+AU718+AU722+AU726+AU730+AU734</f>
        <v>0</v>
      </c>
      <c r="AV710" s="2310">
        <f t="shared" ref="AV710:AV714" si="1563">AU710-AT710</f>
        <v>-21.216256000000001</v>
      </c>
      <c r="AW710" s="2309">
        <f>AW714+AW718+AW722+AW726+AW730+AW734</f>
        <v>16.589625000000002</v>
      </c>
      <c r="AX710" s="2309">
        <f>AX714+AX718+AX722+AX726+AX730+AX734</f>
        <v>0</v>
      </c>
      <c r="AY710" s="2310">
        <f t="shared" ref="AY710:AY714" si="1564">AX710-AW710</f>
        <v>-16.589625000000002</v>
      </c>
      <c r="AZ710" s="2309">
        <f>AZ714+AZ718+AZ722+AZ726+AZ730+AZ734</f>
        <v>20.035665999999999</v>
      </c>
      <c r="BA710" s="2309">
        <f>BA714+BA718+BA722+BA726+BA730+BA734</f>
        <v>0</v>
      </c>
      <c r="BB710" s="2310">
        <f t="shared" ref="BB710:BB714" si="1565">BA710-AZ710</f>
        <v>-20.035665999999999</v>
      </c>
      <c r="BC710" s="2309">
        <f>BC714+BC718+BC722+BC726+BC730+BC734</f>
        <v>20.708938</v>
      </c>
      <c r="BD710" s="2309">
        <f>BD714+BD718+BD722+BD726+BD730+BD734</f>
        <v>0</v>
      </c>
      <c r="BE710" s="2310">
        <f t="shared" ref="BE710:BE714" si="1566">BD710-BC710</f>
        <v>-20.708938</v>
      </c>
      <c r="BF710" s="2309">
        <f>BF714+BF718+BF722+BF726+BF730+BF734</f>
        <v>25.803132000000002</v>
      </c>
      <c r="BG710" s="2309">
        <f>BG714+BG718+BG722+BG726+BG730+BG734</f>
        <v>0</v>
      </c>
      <c r="BH710" s="2310">
        <f t="shared" ref="BH710:BH714" si="1567">BG710-BF710</f>
        <v>-25.803132000000002</v>
      </c>
      <c r="BI710" s="2309">
        <f>BI714+BI718+BI722+BI726+BI730+BI734</f>
        <v>31.063386999999999</v>
      </c>
      <c r="BJ710" s="2309">
        <f>BJ714+BJ718+BJ722+BJ726+BJ730+BJ734</f>
        <v>0</v>
      </c>
      <c r="BK710" s="2310">
        <f t="shared" ref="BK710:BK714" si="1568">BJ710-BI710</f>
        <v>-31.063386999999999</v>
      </c>
      <c r="BL710" s="2309">
        <f>BL714+BL718+BL722+BL726+BL730+BL734</f>
        <v>32.240681000000002</v>
      </c>
      <c r="BM710" s="2309">
        <f>BM714+BM718+BM722+BM726+BM730+BM734</f>
        <v>0</v>
      </c>
      <c r="BN710" s="2310">
        <f t="shared" ref="BN710:BN714" si="1569">BM710-BL710</f>
        <v>-32.240681000000002</v>
      </c>
      <c r="BO710" s="2309">
        <f>BO714+BO718+BO722+BO726+BO730+BO734</f>
        <v>39.607673000000005</v>
      </c>
      <c r="BP710" s="2309">
        <f>BP714+BP718+BP722+BP726+BP730+BP734</f>
        <v>0</v>
      </c>
      <c r="BQ710" s="2310">
        <f t="shared" ref="BQ710:BQ714" si="1570">BP710-BO710</f>
        <v>-39.607673000000005</v>
      </c>
    </row>
    <row r="711" spans="3:69" s="2159" customFormat="1" ht="12" customHeight="1">
      <c r="C711" s="2374" t="s">
        <v>2871</v>
      </c>
      <c r="D711" s="2375" t="s">
        <v>2872</v>
      </c>
      <c r="E711" s="2250" t="s">
        <v>240</v>
      </c>
      <c r="F711" s="2376">
        <v>58.88</v>
      </c>
      <c r="G711" s="2300">
        <f t="shared" si="1548"/>
        <v>0.51883000000000001</v>
      </c>
      <c r="H711" s="2300">
        <f t="shared" si="1548"/>
        <v>55.33628199999999</v>
      </c>
      <c r="I711" s="2303">
        <f t="shared" si="1554"/>
        <v>54.817451999999989</v>
      </c>
      <c r="J711" s="2376">
        <f t="shared" ref="J711:J712" si="1571">J715+J719+J723+J727+J731+J735</f>
        <v>55.33628199999999</v>
      </c>
      <c r="K711" s="2300">
        <f t="shared" si="1547"/>
        <v>53.241020695696122</v>
      </c>
      <c r="L711" s="2300">
        <f t="shared" si="1547"/>
        <v>0</v>
      </c>
      <c r="M711" s="2303">
        <f t="shared" si="1549"/>
        <v>-53.241020695696122</v>
      </c>
      <c r="N711" s="2300">
        <f t="shared" ref="N711:O712" si="1572">N715+N719+N723+N727+N731+N735</f>
        <v>15.057755183812048</v>
      </c>
      <c r="O711" s="2300">
        <f t="shared" si="1572"/>
        <v>0</v>
      </c>
      <c r="P711" s="2303">
        <f t="shared" si="1555"/>
        <v>-15.057755183812048</v>
      </c>
      <c r="Q711" s="2307">
        <f t="shared" ref="Q711:R712" si="1573">Q715+Q719+Q723+Q727+Q731+Q735</f>
        <v>12.376212718016854</v>
      </c>
      <c r="R711" s="2300">
        <f t="shared" si="1573"/>
        <v>0</v>
      </c>
      <c r="S711" s="2301">
        <f t="shared" si="1556"/>
        <v>-12.376212718016854</v>
      </c>
      <c r="T711" s="2304">
        <f t="shared" si="1550"/>
        <v>27.4339679018289</v>
      </c>
      <c r="U711" s="2300">
        <f t="shared" si="1550"/>
        <v>0</v>
      </c>
      <c r="V711" s="2301">
        <f t="shared" si="1551"/>
        <v>-27.4339679018289</v>
      </c>
      <c r="W711" s="2305">
        <f t="shared" ref="W711:X712" si="1574">W715+W719+W723+W727+W731+W735</f>
        <v>10.591994644163712</v>
      </c>
      <c r="X711" s="2300">
        <f t="shared" si="1574"/>
        <v>0</v>
      </c>
      <c r="Y711" s="2306">
        <f t="shared" si="1557"/>
        <v>-10.591994644163712</v>
      </c>
      <c r="Z711" s="2307">
        <f t="shared" si="1552"/>
        <v>38.025962545992613</v>
      </c>
      <c r="AA711" s="2300">
        <f t="shared" si="1552"/>
        <v>0</v>
      </c>
      <c r="AB711" s="2303">
        <f t="shared" si="1553"/>
        <v>-38.025962545992613</v>
      </c>
      <c r="AC711" s="2307">
        <f t="shared" ref="AC711:AD712" si="1575">AC715+AC719+AC723+AC727+AC731+AC735</f>
        <v>15.215058149703513</v>
      </c>
      <c r="AD711" s="2300">
        <f t="shared" si="1575"/>
        <v>0</v>
      </c>
      <c r="AE711" s="2301">
        <f t="shared" si="1558"/>
        <v>-15.215058149703513</v>
      </c>
      <c r="AF711" s="2377"/>
      <c r="AG711" s="2158"/>
      <c r="AH711" s="2309">
        <f t="shared" ref="AH711:AI712" si="1576">AH715+AH719+AH723+AH727+AH731+AH735</f>
        <v>4.1623080000000003</v>
      </c>
      <c r="AI711" s="2309">
        <f t="shared" si="1576"/>
        <v>0</v>
      </c>
      <c r="AJ711" s="2310">
        <f t="shared" si="1559"/>
        <v>-4.1623080000000003</v>
      </c>
      <c r="AK711" s="2309">
        <f t="shared" ref="AK711:AL712" si="1577">AK715+AK719+AK723+AK727+AK731+AK735</f>
        <v>5.6089653452999109</v>
      </c>
      <c r="AL711" s="2309">
        <f t="shared" si="1577"/>
        <v>0</v>
      </c>
      <c r="AM711" s="2310">
        <f t="shared" si="1560"/>
        <v>-5.6089653452999109</v>
      </c>
      <c r="AN711" s="2309">
        <f t="shared" ref="AN711:AO712" si="1578">AN715+AN719+AN723+AN727+AN731+AN735</f>
        <v>5.286481838512139</v>
      </c>
      <c r="AO711" s="2309">
        <f t="shared" si="1578"/>
        <v>0</v>
      </c>
      <c r="AP711" s="2310">
        <f t="shared" si="1561"/>
        <v>-5.286481838512139</v>
      </c>
      <c r="AQ711" s="2309">
        <f t="shared" ref="AQ711:AR712" si="1579">AQ715+AQ719+AQ723+AQ727+AQ731+AQ735</f>
        <v>4.6004473515404447</v>
      </c>
      <c r="AR711" s="2309">
        <f t="shared" si="1579"/>
        <v>0</v>
      </c>
      <c r="AS711" s="2310">
        <f t="shared" si="1562"/>
        <v>-4.6004473515404447</v>
      </c>
      <c r="AT711" s="2309">
        <f t="shared" ref="AT711:AU712" si="1580">AT715+AT719+AT723+AT727+AT731+AT735</f>
        <v>4.371349001632546</v>
      </c>
      <c r="AU711" s="2309">
        <f t="shared" si="1580"/>
        <v>0</v>
      </c>
      <c r="AV711" s="2310">
        <f t="shared" si="1563"/>
        <v>-4.371349001632546</v>
      </c>
      <c r="AW711" s="2309">
        <f t="shared" ref="AW711:AX712" si="1581">AW715+AW719+AW723+AW727+AW731+AW735</f>
        <v>3.404416364843863</v>
      </c>
      <c r="AX711" s="2309">
        <f t="shared" si="1581"/>
        <v>0</v>
      </c>
      <c r="AY711" s="2310">
        <f t="shared" si="1564"/>
        <v>-3.404416364843863</v>
      </c>
      <c r="AZ711" s="2309">
        <f t="shared" ref="AZ711:BA712" si="1582">AZ715+AZ719+AZ723+AZ727+AZ731+AZ735</f>
        <v>3.1761203748506905</v>
      </c>
      <c r="BA711" s="2309">
        <f t="shared" si="1582"/>
        <v>0</v>
      </c>
      <c r="BB711" s="2310">
        <f t="shared" si="1565"/>
        <v>-3.1761203748506905</v>
      </c>
      <c r="BC711" s="2309">
        <f t="shared" ref="BC711:BD712" si="1583">BC715+BC719+BC723+BC727+BC731+BC735</f>
        <v>3.2647431843560852</v>
      </c>
      <c r="BD711" s="2309">
        <f t="shared" si="1583"/>
        <v>0</v>
      </c>
      <c r="BE711" s="2310">
        <f t="shared" si="1566"/>
        <v>-3.2647431843560852</v>
      </c>
      <c r="BF711" s="2309">
        <f t="shared" ref="BF711:BG712" si="1584">BF715+BF719+BF723+BF727+BF731+BF735</f>
        <v>4.1511310849569361</v>
      </c>
      <c r="BG711" s="2309">
        <f t="shared" si="1584"/>
        <v>0</v>
      </c>
      <c r="BH711" s="2310">
        <f t="shared" si="1567"/>
        <v>-4.1511310849569361</v>
      </c>
      <c r="BI711" s="2309">
        <f t="shared" ref="BI711:BJ712" si="1585">BI715+BI719+BI723+BI727+BI731+BI735</f>
        <v>4.7279466772208325</v>
      </c>
      <c r="BJ711" s="2309">
        <f t="shared" si="1585"/>
        <v>0</v>
      </c>
      <c r="BK711" s="2310">
        <f t="shared" si="1568"/>
        <v>-4.7279466772208325</v>
      </c>
      <c r="BL711" s="2309">
        <f t="shared" ref="BL711:BM712" si="1586">BL715+BL719+BL723+BL727+BL731+BL735</f>
        <v>5.0425095141188327</v>
      </c>
      <c r="BM711" s="2309">
        <f t="shared" si="1586"/>
        <v>0</v>
      </c>
      <c r="BN711" s="2310">
        <f t="shared" si="1569"/>
        <v>-5.0425095141188327</v>
      </c>
      <c r="BO711" s="2309">
        <f t="shared" ref="BO711:BP712" si="1587">BO715+BO719+BO723+BO727+BO731+BO735</f>
        <v>5.4446019583638483</v>
      </c>
      <c r="BP711" s="2309">
        <f t="shared" si="1587"/>
        <v>0</v>
      </c>
      <c r="BQ711" s="2310">
        <f t="shared" si="1570"/>
        <v>-5.4446019583638483</v>
      </c>
    </row>
    <row r="712" spans="3:69" s="2159" customFormat="1" ht="12" customHeight="1">
      <c r="C712" s="2374" t="s">
        <v>2873</v>
      </c>
      <c r="D712" s="2375" t="s">
        <v>42</v>
      </c>
      <c r="E712" s="2250" t="s">
        <v>240</v>
      </c>
      <c r="F712" s="2376">
        <v>433.14</v>
      </c>
      <c r="G712" s="2300">
        <f t="shared" si="1548"/>
        <v>418.36740200000003</v>
      </c>
      <c r="H712" s="2300">
        <f t="shared" si="1548"/>
        <v>370.279042</v>
      </c>
      <c r="I712" s="2303">
        <f t="shared" si="1554"/>
        <v>-48.088360000000023</v>
      </c>
      <c r="J712" s="2376">
        <f t="shared" si="1571"/>
        <v>355.06046442499985</v>
      </c>
      <c r="K712" s="2300">
        <f t="shared" si="1547"/>
        <v>367.77104985916895</v>
      </c>
      <c r="L712" s="2300">
        <f t="shared" si="1547"/>
        <v>0</v>
      </c>
      <c r="M712" s="2303">
        <f t="shared" si="1549"/>
        <v>-367.77104985916895</v>
      </c>
      <c r="N712" s="2300">
        <f t="shared" si="1572"/>
        <v>97.524323121052944</v>
      </c>
      <c r="O712" s="2300">
        <f t="shared" si="1572"/>
        <v>0</v>
      </c>
      <c r="P712" s="2303">
        <f t="shared" si="1555"/>
        <v>-97.524323121052944</v>
      </c>
      <c r="Q712" s="2307">
        <f t="shared" si="1573"/>
        <v>84.88216003198319</v>
      </c>
      <c r="R712" s="2300">
        <f t="shared" si="1573"/>
        <v>0</v>
      </c>
      <c r="S712" s="2301">
        <f t="shared" si="1556"/>
        <v>-84.88216003198319</v>
      </c>
      <c r="T712" s="2304">
        <f t="shared" si="1550"/>
        <v>182.40648315303613</v>
      </c>
      <c r="U712" s="2300">
        <f t="shared" si="1550"/>
        <v>0</v>
      </c>
      <c r="V712" s="2301">
        <f t="shared" si="1551"/>
        <v>-182.40648315303613</v>
      </c>
      <c r="W712" s="2305">
        <f t="shared" si="1574"/>
        <v>68.340490105836309</v>
      </c>
      <c r="X712" s="2300">
        <f t="shared" si="1574"/>
        <v>0</v>
      </c>
      <c r="Y712" s="2306">
        <f t="shared" si="1557"/>
        <v>-68.340490105836309</v>
      </c>
      <c r="Z712" s="2307">
        <f t="shared" si="1552"/>
        <v>250.74697325887246</v>
      </c>
      <c r="AA712" s="2300">
        <f t="shared" si="1552"/>
        <v>0</v>
      </c>
      <c r="AB712" s="2303">
        <f t="shared" si="1553"/>
        <v>-250.74697325887246</v>
      </c>
      <c r="AC712" s="2307">
        <f t="shared" si="1575"/>
        <v>117.02407660029648</v>
      </c>
      <c r="AD712" s="2300">
        <f t="shared" si="1575"/>
        <v>0</v>
      </c>
      <c r="AE712" s="2301">
        <f t="shared" si="1558"/>
        <v>-117.02407660029648</v>
      </c>
      <c r="AF712" s="2377"/>
      <c r="AG712" s="2158"/>
      <c r="AH712" s="2309">
        <f t="shared" si="1576"/>
        <v>28.187573000000004</v>
      </c>
      <c r="AI712" s="2309">
        <f t="shared" si="1576"/>
        <v>0</v>
      </c>
      <c r="AJ712" s="2310">
        <f t="shared" si="1559"/>
        <v>-28.187573000000004</v>
      </c>
      <c r="AK712" s="2309">
        <f t="shared" si="1577"/>
        <v>37.495421135988245</v>
      </c>
      <c r="AL712" s="2309">
        <f t="shared" si="1577"/>
        <v>0</v>
      </c>
      <c r="AM712" s="2310">
        <f t="shared" si="1560"/>
        <v>-37.495421135988245</v>
      </c>
      <c r="AN712" s="2309">
        <f t="shared" si="1578"/>
        <v>31.841328985064692</v>
      </c>
      <c r="AO712" s="2309">
        <f t="shared" si="1578"/>
        <v>0</v>
      </c>
      <c r="AP712" s="2310">
        <f t="shared" si="1561"/>
        <v>-31.841328985064692</v>
      </c>
      <c r="AQ712" s="2309">
        <f t="shared" si="1579"/>
        <v>32.165066883788015</v>
      </c>
      <c r="AR712" s="2309">
        <f t="shared" si="1579"/>
        <v>0</v>
      </c>
      <c r="AS712" s="2310">
        <f t="shared" si="1562"/>
        <v>-32.165066883788015</v>
      </c>
      <c r="AT712" s="2309">
        <f t="shared" si="1580"/>
        <v>29.681036294281874</v>
      </c>
      <c r="AU712" s="2309">
        <f t="shared" si="1580"/>
        <v>0</v>
      </c>
      <c r="AV712" s="2310">
        <f t="shared" si="1563"/>
        <v>-29.681036294281874</v>
      </c>
      <c r="AW712" s="2309">
        <f t="shared" si="1581"/>
        <v>23.036056853913301</v>
      </c>
      <c r="AX712" s="2309">
        <f t="shared" si="1581"/>
        <v>0</v>
      </c>
      <c r="AY712" s="2310">
        <f t="shared" si="1564"/>
        <v>-23.036056853913301</v>
      </c>
      <c r="AZ712" s="2309">
        <f t="shared" si="1582"/>
        <v>20.425313491149907</v>
      </c>
      <c r="BA712" s="2309">
        <f t="shared" si="1582"/>
        <v>0</v>
      </c>
      <c r="BB712" s="2310">
        <f t="shared" si="1565"/>
        <v>-20.425313491149907</v>
      </c>
      <c r="BC712" s="2309">
        <f t="shared" si="1583"/>
        <v>20.892733549722699</v>
      </c>
      <c r="BD712" s="2309">
        <f t="shared" si="1583"/>
        <v>0</v>
      </c>
      <c r="BE712" s="2310">
        <f t="shared" si="1566"/>
        <v>-20.892733549722699</v>
      </c>
      <c r="BF712" s="2309">
        <f t="shared" si="1584"/>
        <v>27.022443064963703</v>
      </c>
      <c r="BG712" s="2309">
        <f t="shared" si="1584"/>
        <v>0</v>
      </c>
      <c r="BH712" s="2310">
        <f t="shared" si="1567"/>
        <v>-27.022443064963703</v>
      </c>
      <c r="BI712" s="2309">
        <f t="shared" si="1585"/>
        <v>37.212608917779015</v>
      </c>
      <c r="BJ712" s="2309">
        <f t="shared" si="1585"/>
        <v>0</v>
      </c>
      <c r="BK712" s="2310">
        <f t="shared" si="1568"/>
        <v>-37.212608917779015</v>
      </c>
      <c r="BL712" s="2309">
        <f t="shared" si="1586"/>
        <v>40.677451227518247</v>
      </c>
      <c r="BM712" s="2309">
        <f t="shared" si="1586"/>
        <v>0</v>
      </c>
      <c r="BN712" s="2310">
        <f t="shared" si="1569"/>
        <v>-40.677451227518247</v>
      </c>
      <c r="BO712" s="2309">
        <f t="shared" si="1587"/>
        <v>39.134016454999241</v>
      </c>
      <c r="BP712" s="2309">
        <f t="shared" si="1587"/>
        <v>0</v>
      </c>
      <c r="BQ712" s="2310">
        <f t="shared" si="1570"/>
        <v>-39.134016454999241</v>
      </c>
    </row>
    <row r="713" spans="3:69" s="2087" customFormat="1" ht="12" customHeight="1">
      <c r="C713" s="2173" t="s">
        <v>2874</v>
      </c>
      <c r="D713" s="2362" t="s">
        <v>2875</v>
      </c>
      <c r="E713" s="2197" t="s">
        <v>240</v>
      </c>
      <c r="F713" s="2376">
        <f>SUM(F714:F716)</f>
        <v>791.89035799999999</v>
      </c>
      <c r="G713" s="2300">
        <f>G714+G715+G716</f>
        <v>739.68851999999993</v>
      </c>
      <c r="H713" s="2300">
        <f>H714+H715+H716</f>
        <v>748.64433400000007</v>
      </c>
      <c r="I713" s="2303">
        <f t="shared" si="1554"/>
        <v>8.9558140000001458</v>
      </c>
      <c r="J713" s="2363">
        <f>J714+J715+J716</f>
        <v>730.14927642499993</v>
      </c>
      <c r="K713" s="2364">
        <f t="shared" si="1547"/>
        <v>709.88984155486503</v>
      </c>
      <c r="L713" s="2300">
        <f t="shared" si="1547"/>
        <v>0</v>
      </c>
      <c r="M713" s="2303">
        <f t="shared" si="1549"/>
        <v>-709.88984155486503</v>
      </c>
      <c r="N713" s="2300">
        <f>N714+N715+N716</f>
        <v>177.40317530486499</v>
      </c>
      <c r="O713" s="2300">
        <f>O714+O715+O716</f>
        <v>0</v>
      </c>
      <c r="P713" s="2303">
        <f t="shared" si="1555"/>
        <v>-177.40317530486499</v>
      </c>
      <c r="Q713" s="2307">
        <f>Q714+Q715+Q716</f>
        <v>155.12994475000005</v>
      </c>
      <c r="R713" s="2300">
        <f>R714+R715+R716</f>
        <v>0</v>
      </c>
      <c r="S713" s="2301">
        <f t="shared" si="1556"/>
        <v>-155.12994475000005</v>
      </c>
      <c r="T713" s="2304">
        <f t="shared" si="1550"/>
        <v>332.53312005486504</v>
      </c>
      <c r="U713" s="2300">
        <f t="shared" si="1550"/>
        <v>0</v>
      </c>
      <c r="V713" s="2301">
        <f t="shared" si="1551"/>
        <v>-332.53312005486504</v>
      </c>
      <c r="W713" s="2305">
        <f>W714+W715+W716</f>
        <v>144.20884975000001</v>
      </c>
      <c r="X713" s="2300">
        <f>X714+X715+X716</f>
        <v>0</v>
      </c>
      <c r="Y713" s="2306">
        <f t="shared" si="1557"/>
        <v>-144.20884975000001</v>
      </c>
      <c r="Z713" s="2307">
        <f t="shared" si="1552"/>
        <v>476.74196980486505</v>
      </c>
      <c r="AA713" s="2300">
        <f t="shared" si="1552"/>
        <v>0</v>
      </c>
      <c r="AB713" s="2303">
        <f t="shared" si="1553"/>
        <v>-476.74196980486505</v>
      </c>
      <c r="AC713" s="2307">
        <f>AC714+AC715+AC716</f>
        <v>233.14787175000001</v>
      </c>
      <c r="AD713" s="2300">
        <f>AD714+AD715+AD716</f>
        <v>0</v>
      </c>
      <c r="AE713" s="2301">
        <f t="shared" si="1558"/>
        <v>-233.14787175000001</v>
      </c>
      <c r="AF713" s="2371"/>
      <c r="AG713" s="2114"/>
      <c r="AH713" s="2309">
        <f>AH714+AH715+AH716</f>
        <v>40.101706000000007</v>
      </c>
      <c r="AI713" s="2309">
        <f>AI714+AI715+AI716</f>
        <v>0</v>
      </c>
      <c r="AJ713" s="2310">
        <f t="shared" si="1559"/>
        <v>-40.101706000000007</v>
      </c>
      <c r="AK713" s="2309">
        <f>AK714+AK715+AK716</f>
        <v>70.682659481288155</v>
      </c>
      <c r="AL713" s="2309">
        <f>AL714+AL715+AL716</f>
        <v>0</v>
      </c>
      <c r="AM713" s="2310">
        <f t="shared" si="1560"/>
        <v>-70.682659481288155</v>
      </c>
      <c r="AN713" s="2309">
        <f>AN714+AN715+AN716</f>
        <v>66.618809823576825</v>
      </c>
      <c r="AO713" s="2309">
        <f>AO714+AO715+AO716</f>
        <v>0</v>
      </c>
      <c r="AP713" s="2310">
        <f t="shared" si="1561"/>
        <v>-66.618809823576825</v>
      </c>
      <c r="AQ713" s="2309">
        <f>AQ714+AQ715+AQ716</f>
        <v>57.664421235328462</v>
      </c>
      <c r="AR713" s="2309">
        <f>AR714+AR715+AR716</f>
        <v>0</v>
      </c>
      <c r="AS713" s="2310">
        <f t="shared" si="1562"/>
        <v>-57.664421235328462</v>
      </c>
      <c r="AT713" s="2309">
        <f>AT714+AT715+AT716</f>
        <v>54.792782295914421</v>
      </c>
      <c r="AU713" s="2309">
        <f>AU714+AU715+AU716</f>
        <v>0</v>
      </c>
      <c r="AV713" s="2310">
        <f t="shared" si="1563"/>
        <v>-54.792782295914421</v>
      </c>
      <c r="AW713" s="2309">
        <f>AW714+AW715+AW716</f>
        <v>42.672741218757167</v>
      </c>
      <c r="AX713" s="2309">
        <f>AX714+AX715+AX716</f>
        <v>0</v>
      </c>
      <c r="AY713" s="2310">
        <f t="shared" si="1564"/>
        <v>-42.672741218757167</v>
      </c>
      <c r="AZ713" s="2309">
        <f>AZ714+AZ715+AZ716</f>
        <v>43.242531866000597</v>
      </c>
      <c r="BA713" s="2309">
        <f>BA714+BA715+BA716</f>
        <v>0</v>
      </c>
      <c r="BB713" s="2310">
        <f t="shared" si="1565"/>
        <v>-43.242531866000597</v>
      </c>
      <c r="BC713" s="2309">
        <f>BC714+BC715+BC716</f>
        <v>44.449121734078787</v>
      </c>
      <c r="BD713" s="2309">
        <f>BD714+BD715+BD716</f>
        <v>0</v>
      </c>
      <c r="BE713" s="2310">
        <f t="shared" si="1566"/>
        <v>-44.449121734078787</v>
      </c>
      <c r="BF713" s="2309">
        <f>BF714+BF715+BF716</f>
        <v>56.517196149920636</v>
      </c>
      <c r="BG713" s="2309">
        <f>BG714+BG715+BG716</f>
        <v>0</v>
      </c>
      <c r="BH713" s="2310">
        <f t="shared" si="1567"/>
        <v>-56.517196149920636</v>
      </c>
      <c r="BI713" s="2309">
        <f>BI714+BI715+BI716</f>
        <v>72.448668594999845</v>
      </c>
      <c r="BJ713" s="2309">
        <f>BJ714+BJ715+BJ716</f>
        <v>0</v>
      </c>
      <c r="BK713" s="2310">
        <f t="shared" si="1568"/>
        <v>-72.448668594999845</v>
      </c>
      <c r="BL713" s="2309">
        <f>BL714+BL715+BL716</f>
        <v>77.268870741637073</v>
      </c>
      <c r="BM713" s="2309">
        <f>BM714+BM715+BM716</f>
        <v>0</v>
      </c>
      <c r="BN713" s="2310">
        <f t="shared" si="1569"/>
        <v>-77.268870741637073</v>
      </c>
      <c r="BO713" s="2309">
        <f>BO714+BO715+BO716</f>
        <v>83.430332413363089</v>
      </c>
      <c r="BP713" s="2309">
        <f>BP714+BP715+BP716</f>
        <v>0</v>
      </c>
      <c r="BQ713" s="2310">
        <f t="shared" si="1570"/>
        <v>-83.430332413363089</v>
      </c>
    </row>
    <row r="714" spans="3:69" s="2087" customFormat="1" ht="12" customHeight="1">
      <c r="C714" s="2378" t="s">
        <v>2876</v>
      </c>
      <c r="D714" s="2375" t="s">
        <v>28</v>
      </c>
      <c r="E714" s="2197" t="s">
        <v>240</v>
      </c>
      <c r="F714" s="2376">
        <v>301.8184</v>
      </c>
      <c r="G714" s="2316">
        <v>323.99140799999998</v>
      </c>
      <c r="H714" s="2316">
        <v>329.56004799999999</v>
      </c>
      <c r="I714" s="2303">
        <f t="shared" si="1554"/>
        <v>5.5686400000000162</v>
      </c>
      <c r="J714" s="2376">
        <v>321.39170000000001</v>
      </c>
      <c r="K714" s="2300">
        <f t="shared" si="1547"/>
        <v>311.765874</v>
      </c>
      <c r="L714" s="2300">
        <f t="shared" si="1547"/>
        <v>0</v>
      </c>
      <c r="M714" s="2303">
        <f t="shared" si="1549"/>
        <v>-311.765874</v>
      </c>
      <c r="N714" s="2316">
        <f>AH714+AK714+AN714</f>
        <v>83.093787999999989</v>
      </c>
      <c r="O714" s="2316"/>
      <c r="P714" s="2303">
        <f t="shared" si="1555"/>
        <v>-83.093787999999989</v>
      </c>
      <c r="Q714" s="2316">
        <f>AQ714+AT714+AW714</f>
        <v>59.212609</v>
      </c>
      <c r="R714" s="2316"/>
      <c r="S714" s="2301">
        <f t="shared" si="1556"/>
        <v>-59.212609</v>
      </c>
      <c r="T714" s="2304">
        <f t="shared" si="1550"/>
        <v>142.306397</v>
      </c>
      <c r="U714" s="2300">
        <f t="shared" si="1550"/>
        <v>0</v>
      </c>
      <c r="V714" s="2301">
        <f t="shared" si="1551"/>
        <v>-142.306397</v>
      </c>
      <c r="W714" s="2317">
        <f>AZ714+BC714+BF714</f>
        <v>66.547736</v>
      </c>
      <c r="X714" s="2316"/>
      <c r="Y714" s="2306">
        <f t="shared" si="1557"/>
        <v>-66.547736</v>
      </c>
      <c r="Z714" s="2307">
        <f t="shared" si="1552"/>
        <v>208.85413299999999</v>
      </c>
      <c r="AA714" s="2300">
        <f t="shared" si="1552"/>
        <v>0</v>
      </c>
      <c r="AB714" s="2303">
        <f t="shared" si="1553"/>
        <v>-208.85413299999999</v>
      </c>
      <c r="AC714" s="2316">
        <f>BI714+BL714+BO714</f>
        <v>102.91174100000001</v>
      </c>
      <c r="AD714" s="2316"/>
      <c r="AE714" s="2301">
        <f t="shared" si="1558"/>
        <v>-102.91174100000001</v>
      </c>
      <c r="AF714" s="2377"/>
      <c r="AG714" s="2114"/>
      <c r="AH714" s="2316">
        <f>'Шаблон 46 ГП'!C27/1000000</f>
        <v>24.830238999999999</v>
      </c>
      <c r="AI714" s="2316"/>
      <c r="AJ714" s="2310">
        <f t="shared" si="1559"/>
        <v>-24.830238999999999</v>
      </c>
      <c r="AK714" s="2316">
        <f>AK158+AK164</f>
        <v>28.188816000000003</v>
      </c>
      <c r="AL714" s="2316"/>
      <c r="AM714" s="2310">
        <f t="shared" si="1560"/>
        <v>-28.188816000000003</v>
      </c>
      <c r="AN714" s="2316">
        <f>AN158+AN164</f>
        <v>30.074732999999995</v>
      </c>
      <c r="AO714" s="2316"/>
      <c r="AP714" s="2310">
        <f t="shared" si="1561"/>
        <v>-30.074732999999995</v>
      </c>
      <c r="AQ714" s="2316">
        <f>AQ158+AQ164</f>
        <v>21.406728000000001</v>
      </c>
      <c r="AR714" s="2316"/>
      <c r="AS714" s="2310">
        <f t="shared" si="1562"/>
        <v>-21.406728000000001</v>
      </c>
      <c r="AT714" s="2316">
        <f>AT158+AT164</f>
        <v>21.216256000000001</v>
      </c>
      <c r="AU714" s="2316"/>
      <c r="AV714" s="2310">
        <f t="shared" si="1563"/>
        <v>-21.216256000000001</v>
      </c>
      <c r="AW714" s="2316">
        <f>AW158+AW164</f>
        <v>16.589625000000002</v>
      </c>
      <c r="AX714" s="2316"/>
      <c r="AY714" s="2310">
        <f t="shared" si="1564"/>
        <v>-16.589625000000002</v>
      </c>
      <c r="AZ714" s="2316">
        <f>AZ158+AZ164</f>
        <v>20.035665999999999</v>
      </c>
      <c r="BA714" s="2316"/>
      <c r="BB714" s="2310">
        <f t="shared" si="1565"/>
        <v>-20.035665999999999</v>
      </c>
      <c r="BC714" s="2316">
        <f>BC158+BC164</f>
        <v>20.708938</v>
      </c>
      <c r="BD714" s="2316"/>
      <c r="BE714" s="2310">
        <f t="shared" si="1566"/>
        <v>-20.708938</v>
      </c>
      <c r="BF714" s="2316">
        <f>BF158+BF164</f>
        <v>25.803132000000002</v>
      </c>
      <c r="BG714" s="2316"/>
      <c r="BH714" s="2310">
        <f t="shared" si="1567"/>
        <v>-25.803132000000002</v>
      </c>
      <c r="BI714" s="2316">
        <f>BI158+BI164</f>
        <v>31.063386999999999</v>
      </c>
      <c r="BJ714" s="2316"/>
      <c r="BK714" s="2310">
        <f t="shared" si="1568"/>
        <v>-31.063386999999999</v>
      </c>
      <c r="BL714" s="2316">
        <f>BL158+BL164</f>
        <v>32.240681000000002</v>
      </c>
      <c r="BM714" s="2316"/>
      <c r="BN714" s="2310">
        <f t="shared" si="1569"/>
        <v>-32.240681000000002</v>
      </c>
      <c r="BO714" s="2316">
        <f>BO158+BO164</f>
        <v>39.607673000000005</v>
      </c>
      <c r="BP714" s="2316"/>
      <c r="BQ714" s="2310">
        <f t="shared" si="1570"/>
        <v>-39.607673000000005</v>
      </c>
    </row>
    <row r="715" spans="3:69" s="2087" customFormat="1" ht="12" customHeight="1">
      <c r="C715" s="2378" t="s">
        <v>2877</v>
      </c>
      <c r="D715" s="2375" t="s">
        <v>2872</v>
      </c>
      <c r="E715" s="2197" t="s">
        <v>240</v>
      </c>
      <c r="F715" s="2376">
        <v>58.88</v>
      </c>
      <c r="G715" s="2316">
        <v>0.51883000000000001</v>
      </c>
      <c r="H715" s="2316">
        <v>55.33628199999999</v>
      </c>
      <c r="I715" s="2303">
        <f t="shared" si="1554"/>
        <v>54.817451999999989</v>
      </c>
      <c r="J715" s="2376">
        <v>55.33628199999999</v>
      </c>
      <c r="K715" s="2300">
        <f t="shared" si="1547"/>
        <v>53.241020695696122</v>
      </c>
      <c r="L715" s="2300">
        <f t="shared" si="1547"/>
        <v>0</v>
      </c>
      <c r="M715" s="2303">
        <f t="shared" si="1549"/>
        <v>-53.241020695696122</v>
      </c>
      <c r="N715" s="2316">
        <f t="shared" ref="N715:N716" si="1588">AH715+AK715+AN715</f>
        <v>15.057755183812048</v>
      </c>
      <c r="O715" s="2316"/>
      <c r="P715" s="2303">
        <f t="shared" si="1555"/>
        <v>-15.057755183812048</v>
      </c>
      <c r="Q715" s="2316">
        <f t="shared" ref="Q715:Q716" si="1589">AQ715+AT715+AW715</f>
        <v>12.376212718016854</v>
      </c>
      <c r="R715" s="2316"/>
      <c r="S715" s="2301">
        <f t="shared" si="1556"/>
        <v>-12.376212718016854</v>
      </c>
      <c r="T715" s="2304">
        <f t="shared" si="1550"/>
        <v>27.4339679018289</v>
      </c>
      <c r="U715" s="2300">
        <f t="shared" si="1550"/>
        <v>0</v>
      </c>
      <c r="V715" s="2301">
        <f t="shared" si="1551"/>
        <v>-27.4339679018289</v>
      </c>
      <c r="W715" s="2317">
        <f t="shared" ref="W715:W716" si="1590">AZ715+BC715+BF715</f>
        <v>10.591994644163712</v>
      </c>
      <c r="X715" s="2316"/>
      <c r="Y715" s="2306">
        <f t="shared" si="1557"/>
        <v>-10.591994644163712</v>
      </c>
      <c r="Z715" s="2307">
        <f t="shared" si="1552"/>
        <v>38.025962545992613</v>
      </c>
      <c r="AA715" s="2300">
        <f t="shared" si="1552"/>
        <v>0</v>
      </c>
      <c r="AB715" s="2303">
        <f t="shared" si="1553"/>
        <v>-38.025962545992613</v>
      </c>
      <c r="AC715" s="2316">
        <f t="shared" ref="AC715:AC716" si="1591">BI715+BL715+BO715</f>
        <v>15.215058149703513</v>
      </c>
      <c r="AD715" s="2316"/>
      <c r="AE715" s="2301">
        <f t="shared" si="1558"/>
        <v>-15.215058149703513</v>
      </c>
      <c r="AF715" s="2379"/>
      <c r="AG715" s="2114"/>
      <c r="AH715" s="2316">
        <f>'Форма 1'!AS19/1000</f>
        <v>4.1623080000000003</v>
      </c>
      <c r="AI715" s="2316"/>
      <c r="AJ715" s="2310">
        <f>AI715-AH715</f>
        <v>-4.1623080000000003</v>
      </c>
      <c r="AK715" s="2316">
        <v>5.6089653452999109</v>
      </c>
      <c r="AL715" s="2316"/>
      <c r="AM715" s="2310">
        <f>AL715-AK715</f>
        <v>-5.6089653452999109</v>
      </c>
      <c r="AN715" s="2316">
        <v>5.286481838512139</v>
      </c>
      <c r="AO715" s="2316"/>
      <c r="AP715" s="2310">
        <f>AO715-AN715</f>
        <v>-5.286481838512139</v>
      </c>
      <c r="AQ715" s="2316">
        <v>4.6004473515404447</v>
      </c>
      <c r="AR715" s="2316"/>
      <c r="AS715" s="2310">
        <f>AR715-AQ715</f>
        <v>-4.6004473515404447</v>
      </c>
      <c r="AT715" s="2316">
        <v>4.371349001632546</v>
      </c>
      <c r="AU715" s="2316"/>
      <c r="AV715" s="2310">
        <f>AU715-AT715</f>
        <v>-4.371349001632546</v>
      </c>
      <c r="AW715" s="2316">
        <v>3.404416364843863</v>
      </c>
      <c r="AX715" s="2316"/>
      <c r="AY715" s="2310">
        <f>AX715-AW715</f>
        <v>-3.404416364843863</v>
      </c>
      <c r="AZ715" s="2316">
        <v>3.1761203748506905</v>
      </c>
      <c r="BA715" s="2316"/>
      <c r="BB715" s="2310">
        <f>BA715-AZ715</f>
        <v>-3.1761203748506905</v>
      </c>
      <c r="BC715" s="2316">
        <v>3.2647431843560852</v>
      </c>
      <c r="BD715" s="2316"/>
      <c r="BE715" s="2310">
        <f>BD715-BC715</f>
        <v>-3.2647431843560852</v>
      </c>
      <c r="BF715" s="2316">
        <v>4.1511310849569361</v>
      </c>
      <c r="BG715" s="2316"/>
      <c r="BH715" s="2310">
        <f>BG715-BF715</f>
        <v>-4.1511310849569361</v>
      </c>
      <c r="BI715" s="2316">
        <v>4.7279466772208325</v>
      </c>
      <c r="BJ715" s="2316"/>
      <c r="BK715" s="2310">
        <f>BJ715-BI715</f>
        <v>-4.7279466772208325</v>
      </c>
      <c r="BL715" s="2316">
        <v>5.0425095141188327</v>
      </c>
      <c r="BM715" s="2316"/>
      <c r="BN715" s="2310">
        <f>BM715-BL715</f>
        <v>-5.0425095141188327</v>
      </c>
      <c r="BO715" s="2316">
        <v>5.4446019583638483</v>
      </c>
      <c r="BP715" s="2316"/>
      <c r="BQ715" s="2310">
        <f>BP715-BO715</f>
        <v>-5.4446019583638483</v>
      </c>
    </row>
    <row r="716" spans="3:69" s="2087" customFormat="1" ht="12" customHeight="1">
      <c r="C716" s="2378" t="s">
        <v>2878</v>
      </c>
      <c r="D716" s="2375" t="s">
        <v>42</v>
      </c>
      <c r="E716" s="2197" t="s">
        <v>240</v>
      </c>
      <c r="F716" s="2376">
        <v>431.191958</v>
      </c>
      <c r="G716" s="2316">
        <v>415.17828200000002</v>
      </c>
      <c r="H716" s="2316">
        <v>363.74800400000004</v>
      </c>
      <c r="I716" s="2303">
        <f t="shared" si="1554"/>
        <v>-51.430277999999987</v>
      </c>
      <c r="J716" s="2376">
        <v>353.42129442499987</v>
      </c>
      <c r="K716" s="2300">
        <f t="shared" si="1547"/>
        <v>344.8829468591689</v>
      </c>
      <c r="L716" s="2300">
        <f t="shared" si="1547"/>
        <v>0</v>
      </c>
      <c r="M716" s="2303">
        <f t="shared" si="1549"/>
        <v>-344.8829468591689</v>
      </c>
      <c r="N716" s="2316">
        <f t="shared" si="1588"/>
        <v>79.25163212105295</v>
      </c>
      <c r="O716" s="2316"/>
      <c r="P716" s="2303">
        <f t="shared" si="1555"/>
        <v>-79.25163212105295</v>
      </c>
      <c r="Q716" s="2316">
        <f t="shared" si="1589"/>
        <v>83.54112303198319</v>
      </c>
      <c r="R716" s="2316"/>
      <c r="S716" s="2301">
        <f t="shared" si="1556"/>
        <v>-83.54112303198319</v>
      </c>
      <c r="T716" s="2304">
        <f t="shared" si="1550"/>
        <v>162.79275515303613</v>
      </c>
      <c r="U716" s="2300">
        <f t="shared" si="1550"/>
        <v>0</v>
      </c>
      <c r="V716" s="2301">
        <f t="shared" si="1551"/>
        <v>-162.79275515303613</v>
      </c>
      <c r="W716" s="2317">
        <f t="shared" si="1590"/>
        <v>67.069119105836307</v>
      </c>
      <c r="X716" s="2316"/>
      <c r="Y716" s="2306">
        <f t="shared" si="1557"/>
        <v>-67.069119105836307</v>
      </c>
      <c r="Z716" s="2307">
        <f t="shared" si="1552"/>
        <v>229.86187425887243</v>
      </c>
      <c r="AA716" s="2300">
        <f t="shared" si="1552"/>
        <v>0</v>
      </c>
      <c r="AB716" s="2303">
        <f t="shared" si="1553"/>
        <v>-229.86187425887243</v>
      </c>
      <c r="AC716" s="2316">
        <f t="shared" si="1591"/>
        <v>115.02107260029649</v>
      </c>
      <c r="AD716" s="2316"/>
      <c r="AE716" s="2301">
        <f t="shared" si="1558"/>
        <v>-115.02107260029649</v>
      </c>
      <c r="AF716" s="2379"/>
      <c r="AG716" s="2114"/>
      <c r="AH716" s="2316">
        <f>'Шаблон 46 ГП'!C9/1000000+'Шаблон 46 ЭСК'!C9/1000000-'Шаблон 46 ГП'!C27/1000000-'Шаблон 46 ГП'!F298/1000000-'Форма 1'!AS19/1000-'Шаблон 46 ГП'!C173/1000000-'Шаблон 46 ЭСК'!C9/1000000</f>
        <v>11.109159000000005</v>
      </c>
      <c r="AI716" s="2316"/>
      <c r="AJ716" s="2310">
        <f t="shared" si="1559"/>
        <v>-11.109159000000005</v>
      </c>
      <c r="AK716" s="2316">
        <v>36.884878135988245</v>
      </c>
      <c r="AL716" s="2316"/>
      <c r="AM716" s="2310">
        <f t="shared" ref="AM716:AM736" si="1592">AL716-AK716</f>
        <v>-36.884878135988245</v>
      </c>
      <c r="AN716" s="2316">
        <v>31.257594985064692</v>
      </c>
      <c r="AO716" s="2316"/>
      <c r="AP716" s="2310">
        <f t="shared" ref="AP716:AP736" si="1593">AO716-AN716</f>
        <v>-31.257594985064692</v>
      </c>
      <c r="AQ716" s="2316">
        <v>31.657245883788015</v>
      </c>
      <c r="AR716" s="2316"/>
      <c r="AS716" s="2310">
        <f t="shared" ref="AS716:AS736" si="1594">AR716-AQ716</f>
        <v>-31.657245883788015</v>
      </c>
      <c r="AT716" s="2316">
        <v>29.205177294281874</v>
      </c>
      <c r="AU716" s="2316"/>
      <c r="AV716" s="2310">
        <f t="shared" ref="AV716:AV736" si="1595">AU716-AT716</f>
        <v>-29.205177294281874</v>
      </c>
      <c r="AW716" s="2316">
        <v>22.678699853913301</v>
      </c>
      <c r="AX716" s="2316"/>
      <c r="AY716" s="2310">
        <f t="shared" ref="AY716:AY736" si="1596">AX716-AW716</f>
        <v>-22.678699853913301</v>
      </c>
      <c r="AZ716" s="2316">
        <v>20.030745491149908</v>
      </c>
      <c r="BA716" s="2316"/>
      <c r="BB716" s="2310">
        <f t="shared" ref="BB716:BB736" si="1597">BA716-AZ716</f>
        <v>-20.030745491149908</v>
      </c>
      <c r="BC716" s="2316">
        <v>20.475440549722698</v>
      </c>
      <c r="BD716" s="2316"/>
      <c r="BE716" s="2310">
        <f t="shared" ref="BE716:BE736" si="1598">BD716-BC716</f>
        <v>-20.475440549722698</v>
      </c>
      <c r="BF716" s="2316">
        <v>26.562933064963701</v>
      </c>
      <c r="BG716" s="2316"/>
      <c r="BH716" s="2310">
        <f t="shared" ref="BH716:BH736" si="1599">BG716-BF716</f>
        <v>-26.562933064963701</v>
      </c>
      <c r="BI716" s="2316">
        <v>36.657334917779018</v>
      </c>
      <c r="BJ716" s="2316"/>
      <c r="BK716" s="2310">
        <f t="shared" ref="BK716:BK736" si="1600">BJ716-BI716</f>
        <v>-36.657334917779018</v>
      </c>
      <c r="BL716" s="2316">
        <v>39.985680227518245</v>
      </c>
      <c r="BM716" s="2316"/>
      <c r="BN716" s="2310">
        <f t="shared" ref="BN716:BN736" si="1601">BM716-BL716</f>
        <v>-39.985680227518245</v>
      </c>
      <c r="BO716" s="2316">
        <v>38.378057454999237</v>
      </c>
      <c r="BP716" s="2316"/>
      <c r="BQ716" s="2310">
        <f t="shared" ref="BQ716:BQ736" si="1602">BP716-BO716</f>
        <v>-38.378057454999237</v>
      </c>
    </row>
    <row r="717" spans="3:69" s="2087" customFormat="1" ht="12" customHeight="1">
      <c r="C717" s="2173" t="s">
        <v>2879</v>
      </c>
      <c r="D717" s="2362" t="s">
        <v>1821</v>
      </c>
      <c r="E717" s="2197" t="s">
        <v>240</v>
      </c>
      <c r="F717" s="2376">
        <f>F720</f>
        <v>1.9480420000000001</v>
      </c>
      <c r="G717" s="2300">
        <f>G718+G719+G720</f>
        <v>0</v>
      </c>
      <c r="H717" s="2300">
        <f>H718+H719+H720</f>
        <v>1.6652209999999998</v>
      </c>
      <c r="I717" s="2303">
        <f t="shared" si="1554"/>
        <v>1.6652209999999998</v>
      </c>
      <c r="J717" s="2363">
        <f>J718+J719+J720</f>
        <v>1.6391700000000002</v>
      </c>
      <c r="K717" s="2364">
        <f t="shared" si="1547"/>
        <v>18.561223999999999</v>
      </c>
      <c r="L717" s="2300">
        <f t="shared" si="1547"/>
        <v>0</v>
      </c>
      <c r="M717" s="2303">
        <f t="shared" si="1549"/>
        <v>-18.561223999999999</v>
      </c>
      <c r="N717" s="2300">
        <f>N718+N719+N720</f>
        <v>17.363173999999997</v>
      </c>
      <c r="O717" s="2300">
        <f>O718+O719+O720</f>
        <v>0</v>
      </c>
      <c r="P717" s="2303">
        <f t="shared" si="1555"/>
        <v>-17.363173999999997</v>
      </c>
      <c r="Q717" s="2307">
        <f>Q718+Q719+Q720</f>
        <v>0.36884499999999998</v>
      </c>
      <c r="R717" s="2300">
        <f>R718+R719+R720</f>
        <v>0</v>
      </c>
      <c r="S717" s="2301">
        <f t="shared" si="1556"/>
        <v>-0.36884499999999998</v>
      </c>
      <c r="T717" s="2304">
        <f t="shared" si="1550"/>
        <v>17.732018999999998</v>
      </c>
      <c r="U717" s="2300">
        <f t="shared" si="1550"/>
        <v>0</v>
      </c>
      <c r="V717" s="2301">
        <f t="shared" si="1551"/>
        <v>-17.732018999999998</v>
      </c>
      <c r="W717" s="2305">
        <f>W718+W719+W720</f>
        <v>0.39570000000000005</v>
      </c>
      <c r="X717" s="2300">
        <f>X718+X719+X720</f>
        <v>0</v>
      </c>
      <c r="Y717" s="2306">
        <f t="shared" si="1557"/>
        <v>-0.39570000000000005</v>
      </c>
      <c r="Z717" s="2307">
        <f t="shared" si="1552"/>
        <v>18.127718999999999</v>
      </c>
      <c r="AA717" s="2300">
        <f t="shared" si="1552"/>
        <v>0</v>
      </c>
      <c r="AB717" s="2303">
        <f t="shared" si="1553"/>
        <v>-18.127718999999999</v>
      </c>
      <c r="AC717" s="2307">
        <f>AC718+AC719+AC720</f>
        <v>0.43350499999999997</v>
      </c>
      <c r="AD717" s="2300">
        <f>AD718+AD719+AD720</f>
        <v>0</v>
      </c>
      <c r="AE717" s="2301">
        <f t="shared" si="1558"/>
        <v>-0.43350499999999997</v>
      </c>
      <c r="AF717" s="2377"/>
      <c r="AG717" s="2114"/>
      <c r="AH717" s="2309">
        <f>AH718+AH719+AH720</f>
        <v>17.078413999999999</v>
      </c>
      <c r="AI717" s="2309">
        <f>AI718+AI719+AI720</f>
        <v>0</v>
      </c>
      <c r="AJ717" s="2310">
        <f t="shared" si="1559"/>
        <v>-17.078413999999999</v>
      </c>
      <c r="AK717" s="2309">
        <f>AK718+AK719+AK720</f>
        <v>0.14784</v>
      </c>
      <c r="AL717" s="2309">
        <f>AL718+AL719+AL720</f>
        <v>0</v>
      </c>
      <c r="AM717" s="2310">
        <f t="shared" si="1592"/>
        <v>-0.14784</v>
      </c>
      <c r="AN717" s="2309">
        <f>AN718+AN719+AN720</f>
        <v>0.13691999999999999</v>
      </c>
      <c r="AO717" s="2309">
        <f>AO718+AO719+AO720</f>
        <v>0</v>
      </c>
      <c r="AP717" s="2310">
        <f t="shared" si="1593"/>
        <v>-0.13691999999999999</v>
      </c>
      <c r="AQ717" s="2309">
        <f>AQ718+AQ719+AQ720</f>
        <v>0.14712</v>
      </c>
      <c r="AR717" s="2309">
        <f>AR718+AR719+AR720</f>
        <v>0</v>
      </c>
      <c r="AS717" s="2310">
        <f t="shared" si="1594"/>
        <v>-0.14712</v>
      </c>
      <c r="AT717" s="2309">
        <f>AT718+AT719+AT720</f>
        <v>0.1152</v>
      </c>
      <c r="AU717" s="2309">
        <f>AU718+AU719+AU720</f>
        <v>0</v>
      </c>
      <c r="AV717" s="2310">
        <f t="shared" si="1595"/>
        <v>-0.1152</v>
      </c>
      <c r="AW717" s="2309">
        <f>AW718+AW719+AW720</f>
        <v>0.10652499999999999</v>
      </c>
      <c r="AX717" s="2309">
        <f>AX718+AX719+AX720</f>
        <v>0</v>
      </c>
      <c r="AY717" s="2310">
        <f t="shared" si="1596"/>
        <v>-0.10652499999999999</v>
      </c>
      <c r="AZ717" s="2309">
        <f>AZ718+AZ719+AZ720</f>
        <v>0.1416</v>
      </c>
      <c r="BA717" s="2309">
        <f>BA718+BA719+BA720</f>
        <v>0</v>
      </c>
      <c r="BB717" s="2310">
        <f t="shared" si="1597"/>
        <v>-0.1416</v>
      </c>
      <c r="BC717" s="2309">
        <f>BC718+BC719+BC720</f>
        <v>0.12828000000000001</v>
      </c>
      <c r="BD717" s="2309">
        <f>BD718+BD719+BD720</f>
        <v>0</v>
      </c>
      <c r="BE717" s="2310">
        <f t="shared" si="1598"/>
        <v>-0.12828000000000001</v>
      </c>
      <c r="BF717" s="2309">
        <f>BF718+BF719+BF720</f>
        <v>0.12582000000000002</v>
      </c>
      <c r="BG717" s="2309">
        <f>BG718+BG719+BG720</f>
        <v>0</v>
      </c>
      <c r="BH717" s="2310">
        <f t="shared" si="1599"/>
        <v>-0.12582000000000002</v>
      </c>
      <c r="BI717" s="2309">
        <f>BI718+BI719+BI720</f>
        <v>0.13439399999999999</v>
      </c>
      <c r="BJ717" s="2309">
        <f>BJ718+BJ719+BJ720</f>
        <v>0</v>
      </c>
      <c r="BK717" s="2310">
        <f t="shared" si="1600"/>
        <v>-0.13439399999999999</v>
      </c>
      <c r="BL717" s="2309">
        <f>BL718+BL719+BL720</f>
        <v>0.14930700000000002</v>
      </c>
      <c r="BM717" s="2309">
        <f>BM718+BM719+BM720</f>
        <v>0</v>
      </c>
      <c r="BN717" s="2310">
        <f t="shared" si="1601"/>
        <v>-0.14930700000000002</v>
      </c>
      <c r="BO717" s="2309">
        <f>BO718+BO719+BO720</f>
        <v>0.14980399999999999</v>
      </c>
      <c r="BP717" s="2309">
        <f>BP718+BP719+BP720</f>
        <v>0</v>
      </c>
      <c r="BQ717" s="2310">
        <f t="shared" si="1602"/>
        <v>-0.14980399999999999</v>
      </c>
    </row>
    <row r="718" spans="3:69" s="2087" customFormat="1" ht="12" customHeight="1">
      <c r="C718" s="2378" t="s">
        <v>2880</v>
      </c>
      <c r="D718" s="2375" t="s">
        <v>28</v>
      </c>
      <c r="E718" s="2197" t="s">
        <v>240</v>
      </c>
      <c r="F718" s="2376"/>
      <c r="G718" s="2316"/>
      <c r="H718" s="2316"/>
      <c r="I718" s="2303">
        <f t="shared" si="1554"/>
        <v>0</v>
      </c>
      <c r="J718" s="2376">
        <f t="shared" ref="J718:J723" si="1603">K718</f>
        <v>0</v>
      </c>
      <c r="K718" s="2300">
        <f t="shared" si="1547"/>
        <v>0</v>
      </c>
      <c r="L718" s="2300">
        <f t="shared" si="1547"/>
        <v>0</v>
      </c>
      <c r="M718" s="2303">
        <f t="shared" si="1549"/>
        <v>0</v>
      </c>
      <c r="N718" s="2316"/>
      <c r="O718" s="2316"/>
      <c r="P718" s="2303">
        <f t="shared" si="1555"/>
        <v>0</v>
      </c>
      <c r="Q718" s="2316">
        <f>AQ718+AT718+AW718</f>
        <v>0</v>
      </c>
      <c r="R718" s="2316"/>
      <c r="S718" s="2301">
        <f t="shared" si="1556"/>
        <v>0</v>
      </c>
      <c r="T718" s="2304">
        <f t="shared" si="1550"/>
        <v>0</v>
      </c>
      <c r="U718" s="2300">
        <f t="shared" si="1550"/>
        <v>0</v>
      </c>
      <c r="V718" s="2301">
        <f t="shared" si="1551"/>
        <v>0</v>
      </c>
      <c r="W718" s="2317">
        <f>AZ718+BC718+BF718</f>
        <v>0</v>
      </c>
      <c r="X718" s="2316"/>
      <c r="Y718" s="2306">
        <f t="shared" si="1557"/>
        <v>0</v>
      </c>
      <c r="Z718" s="2307">
        <f t="shared" si="1552"/>
        <v>0</v>
      </c>
      <c r="AA718" s="2300">
        <f t="shared" si="1552"/>
        <v>0</v>
      </c>
      <c r="AB718" s="2303">
        <f t="shared" si="1553"/>
        <v>0</v>
      </c>
      <c r="AC718" s="2316">
        <f>BI718+BL718+BO718</f>
        <v>0</v>
      </c>
      <c r="AD718" s="2316"/>
      <c r="AE718" s="2301">
        <f t="shared" si="1558"/>
        <v>0</v>
      </c>
      <c r="AF718" s="2377"/>
      <c r="AG718" s="2114"/>
      <c r="AH718" s="2316"/>
      <c r="AI718" s="2316"/>
      <c r="AJ718" s="2310">
        <f t="shared" si="1559"/>
        <v>0</v>
      </c>
      <c r="AK718" s="2316"/>
      <c r="AL718" s="2316"/>
      <c r="AM718" s="2310">
        <f t="shared" si="1592"/>
        <v>0</v>
      </c>
      <c r="AN718" s="2316"/>
      <c r="AO718" s="2316"/>
      <c r="AP718" s="2310">
        <f t="shared" si="1593"/>
        <v>0</v>
      </c>
      <c r="AQ718" s="2316"/>
      <c r="AR718" s="2316"/>
      <c r="AS718" s="2310">
        <f t="shared" si="1594"/>
        <v>0</v>
      </c>
      <c r="AT718" s="2316"/>
      <c r="AU718" s="2316"/>
      <c r="AV718" s="2310">
        <f t="shared" si="1595"/>
        <v>0</v>
      </c>
      <c r="AW718" s="2316"/>
      <c r="AX718" s="2316"/>
      <c r="AY718" s="2310">
        <f t="shared" si="1596"/>
        <v>0</v>
      </c>
      <c r="AZ718" s="2316"/>
      <c r="BA718" s="2316"/>
      <c r="BB718" s="2310">
        <f t="shared" si="1597"/>
        <v>0</v>
      </c>
      <c r="BC718" s="2316"/>
      <c r="BD718" s="2316"/>
      <c r="BE718" s="2310">
        <f t="shared" si="1598"/>
        <v>0</v>
      </c>
      <c r="BF718" s="2316"/>
      <c r="BG718" s="2316"/>
      <c r="BH718" s="2310">
        <f t="shared" si="1599"/>
        <v>0</v>
      </c>
      <c r="BI718" s="2316"/>
      <c r="BJ718" s="2316"/>
      <c r="BK718" s="2310">
        <f t="shared" si="1600"/>
        <v>0</v>
      </c>
      <c r="BL718" s="2316"/>
      <c r="BM718" s="2316"/>
      <c r="BN718" s="2310">
        <f t="shared" si="1601"/>
        <v>0</v>
      </c>
      <c r="BO718" s="2316"/>
      <c r="BP718" s="2316"/>
      <c r="BQ718" s="2310">
        <f t="shared" si="1602"/>
        <v>0</v>
      </c>
    </row>
    <row r="719" spans="3:69" s="2087" customFormat="1" ht="12" customHeight="1">
      <c r="C719" s="2378" t="s">
        <v>2881</v>
      </c>
      <c r="D719" s="2375" t="s">
        <v>2872</v>
      </c>
      <c r="E719" s="2197" t="s">
        <v>240</v>
      </c>
      <c r="F719" s="2376"/>
      <c r="G719" s="2316"/>
      <c r="H719" s="2316"/>
      <c r="I719" s="2303">
        <f t="shared" si="1554"/>
        <v>0</v>
      </c>
      <c r="J719" s="2376">
        <f t="shared" si="1603"/>
        <v>0</v>
      </c>
      <c r="K719" s="2300">
        <f t="shared" si="1547"/>
        <v>0</v>
      </c>
      <c r="L719" s="2300">
        <f t="shared" si="1547"/>
        <v>0</v>
      </c>
      <c r="M719" s="2303">
        <f t="shared" si="1549"/>
        <v>0</v>
      </c>
      <c r="N719" s="2316"/>
      <c r="O719" s="2316"/>
      <c r="P719" s="2303">
        <f t="shared" si="1555"/>
        <v>0</v>
      </c>
      <c r="Q719" s="2316">
        <f t="shared" ref="Q719:Q720" si="1604">AQ719+AT719+AW719</f>
        <v>0</v>
      </c>
      <c r="R719" s="2316"/>
      <c r="S719" s="2301">
        <f t="shared" si="1556"/>
        <v>0</v>
      </c>
      <c r="T719" s="2304">
        <f t="shared" si="1550"/>
        <v>0</v>
      </c>
      <c r="U719" s="2300">
        <f t="shared" si="1550"/>
        <v>0</v>
      </c>
      <c r="V719" s="2301">
        <f t="shared" si="1551"/>
        <v>0</v>
      </c>
      <c r="W719" s="2317">
        <f t="shared" ref="W719:W720" si="1605">AZ719+BC719+BF719</f>
        <v>0</v>
      </c>
      <c r="X719" s="2316"/>
      <c r="Y719" s="2306">
        <f t="shared" si="1557"/>
        <v>0</v>
      </c>
      <c r="Z719" s="2307">
        <f t="shared" si="1552"/>
        <v>0</v>
      </c>
      <c r="AA719" s="2300">
        <f t="shared" si="1552"/>
        <v>0</v>
      </c>
      <c r="AB719" s="2303">
        <f t="shared" si="1553"/>
        <v>0</v>
      </c>
      <c r="AC719" s="2316">
        <f t="shared" ref="AC719:AC720" si="1606">BI719+BL719+BO719</f>
        <v>0</v>
      </c>
      <c r="AD719" s="2316"/>
      <c r="AE719" s="2301">
        <f t="shared" si="1558"/>
        <v>0</v>
      </c>
      <c r="AF719" s="2377"/>
      <c r="AG719" s="2114"/>
      <c r="AH719" s="2316"/>
      <c r="AI719" s="2316"/>
      <c r="AJ719" s="2310">
        <f t="shared" si="1559"/>
        <v>0</v>
      </c>
      <c r="AK719" s="2316"/>
      <c r="AL719" s="2316"/>
      <c r="AM719" s="2310">
        <f t="shared" si="1592"/>
        <v>0</v>
      </c>
      <c r="AN719" s="2316"/>
      <c r="AO719" s="2316"/>
      <c r="AP719" s="2310">
        <f t="shared" si="1593"/>
        <v>0</v>
      </c>
      <c r="AQ719" s="2316"/>
      <c r="AR719" s="2316"/>
      <c r="AS719" s="2310">
        <f t="shared" si="1594"/>
        <v>0</v>
      </c>
      <c r="AT719" s="2316"/>
      <c r="AU719" s="2316"/>
      <c r="AV719" s="2310">
        <f t="shared" si="1595"/>
        <v>0</v>
      </c>
      <c r="AW719" s="2316"/>
      <c r="AX719" s="2316"/>
      <c r="AY719" s="2310">
        <f t="shared" si="1596"/>
        <v>0</v>
      </c>
      <c r="AZ719" s="2316"/>
      <c r="BA719" s="2316"/>
      <c r="BB719" s="2310">
        <f t="shared" si="1597"/>
        <v>0</v>
      </c>
      <c r="BC719" s="2316"/>
      <c r="BD719" s="2316"/>
      <c r="BE719" s="2310">
        <f t="shared" si="1598"/>
        <v>0</v>
      </c>
      <c r="BF719" s="2316"/>
      <c r="BG719" s="2316"/>
      <c r="BH719" s="2310">
        <f t="shared" si="1599"/>
        <v>0</v>
      </c>
      <c r="BI719" s="2316"/>
      <c r="BJ719" s="2316"/>
      <c r="BK719" s="2310">
        <f t="shared" si="1600"/>
        <v>0</v>
      </c>
      <c r="BL719" s="2316"/>
      <c r="BM719" s="2316"/>
      <c r="BN719" s="2310">
        <f t="shared" si="1601"/>
        <v>0</v>
      </c>
      <c r="BO719" s="2316"/>
      <c r="BP719" s="2316"/>
      <c r="BQ719" s="2310">
        <f t="shared" si="1602"/>
        <v>0</v>
      </c>
    </row>
    <row r="720" spans="3:69" s="2087" customFormat="1" ht="12" customHeight="1">
      <c r="C720" s="2378" t="s">
        <v>2882</v>
      </c>
      <c r="D720" s="2375" t="s">
        <v>42</v>
      </c>
      <c r="E720" s="2197" t="s">
        <v>240</v>
      </c>
      <c r="F720" s="2376">
        <v>1.9480420000000001</v>
      </c>
      <c r="G720" s="2316"/>
      <c r="H720" s="2316">
        <v>1.6652209999999998</v>
      </c>
      <c r="I720" s="2303">
        <f t="shared" si="1554"/>
        <v>1.6652209999999998</v>
      </c>
      <c r="J720" s="2376">
        <v>1.6391700000000002</v>
      </c>
      <c r="K720" s="2300">
        <f t="shared" si="1547"/>
        <v>18.561223999999999</v>
      </c>
      <c r="L720" s="2300">
        <f t="shared" si="1547"/>
        <v>0</v>
      </c>
      <c r="M720" s="2303">
        <f t="shared" si="1549"/>
        <v>-18.561223999999999</v>
      </c>
      <c r="N720" s="2316">
        <f>AH720+AK720+AN720</f>
        <v>17.363173999999997</v>
      </c>
      <c r="O720" s="2316"/>
      <c r="P720" s="2303">
        <f t="shared" si="1555"/>
        <v>-17.363173999999997</v>
      </c>
      <c r="Q720" s="2316">
        <f t="shared" si="1604"/>
        <v>0.36884499999999998</v>
      </c>
      <c r="R720" s="2316"/>
      <c r="S720" s="2301">
        <f t="shared" si="1556"/>
        <v>-0.36884499999999998</v>
      </c>
      <c r="T720" s="2304">
        <f t="shared" si="1550"/>
        <v>17.732018999999998</v>
      </c>
      <c r="U720" s="2300">
        <f t="shared" si="1550"/>
        <v>0</v>
      </c>
      <c r="V720" s="2301">
        <f t="shared" si="1551"/>
        <v>-17.732018999999998</v>
      </c>
      <c r="W720" s="2317">
        <f t="shared" si="1605"/>
        <v>0.39570000000000005</v>
      </c>
      <c r="X720" s="2316"/>
      <c r="Y720" s="2306">
        <f t="shared" si="1557"/>
        <v>-0.39570000000000005</v>
      </c>
      <c r="Z720" s="2307">
        <f t="shared" si="1552"/>
        <v>18.127718999999999</v>
      </c>
      <c r="AA720" s="2300">
        <f t="shared" si="1552"/>
        <v>0</v>
      </c>
      <c r="AB720" s="2303">
        <f t="shared" si="1553"/>
        <v>-18.127718999999999</v>
      </c>
      <c r="AC720" s="2316">
        <f t="shared" si="1606"/>
        <v>0.43350499999999997</v>
      </c>
      <c r="AD720" s="2316"/>
      <c r="AE720" s="2301">
        <f t="shared" si="1558"/>
        <v>-0.43350499999999997</v>
      </c>
      <c r="AF720" s="2377"/>
      <c r="AG720" s="2114"/>
      <c r="AH720" s="2316">
        <f>'Шаблон 46 ГП'!F298/1000000</f>
        <v>17.078413999999999</v>
      </c>
      <c r="AI720" s="2316"/>
      <c r="AJ720" s="2310">
        <f t="shared" si="1559"/>
        <v>-17.078413999999999</v>
      </c>
      <c r="AK720" s="2316">
        <f>AK185</f>
        <v>0.14784</v>
      </c>
      <c r="AL720" s="2316"/>
      <c r="AM720" s="2310">
        <f t="shared" si="1592"/>
        <v>-0.14784</v>
      </c>
      <c r="AN720" s="2316">
        <f>AN185</f>
        <v>0.13691999999999999</v>
      </c>
      <c r="AO720" s="2316"/>
      <c r="AP720" s="2310">
        <f t="shared" si="1593"/>
        <v>-0.13691999999999999</v>
      </c>
      <c r="AQ720" s="2316">
        <f>AQ185</f>
        <v>0.14712</v>
      </c>
      <c r="AR720" s="2316"/>
      <c r="AS720" s="2310">
        <f t="shared" si="1594"/>
        <v>-0.14712</v>
      </c>
      <c r="AT720" s="2316">
        <f>AT185</f>
        <v>0.1152</v>
      </c>
      <c r="AU720" s="2316"/>
      <c r="AV720" s="2310">
        <f t="shared" si="1595"/>
        <v>-0.1152</v>
      </c>
      <c r="AW720" s="2316">
        <f>AW185</f>
        <v>0.10652499999999999</v>
      </c>
      <c r="AX720" s="2316"/>
      <c r="AY720" s="2310">
        <f t="shared" si="1596"/>
        <v>-0.10652499999999999</v>
      </c>
      <c r="AZ720" s="2316">
        <f>AZ185</f>
        <v>0.1416</v>
      </c>
      <c r="BA720" s="2316"/>
      <c r="BB720" s="2310">
        <f t="shared" si="1597"/>
        <v>-0.1416</v>
      </c>
      <c r="BC720" s="2316">
        <f>BC185</f>
        <v>0.12828000000000001</v>
      </c>
      <c r="BD720" s="2316"/>
      <c r="BE720" s="2310">
        <f t="shared" si="1598"/>
        <v>-0.12828000000000001</v>
      </c>
      <c r="BF720" s="2316">
        <f>BF185</f>
        <v>0.12582000000000002</v>
      </c>
      <c r="BG720" s="2316"/>
      <c r="BH720" s="2310">
        <f t="shared" si="1599"/>
        <v>-0.12582000000000002</v>
      </c>
      <c r="BI720" s="2316">
        <f>BI185</f>
        <v>0.13439399999999999</v>
      </c>
      <c r="BJ720" s="2316"/>
      <c r="BK720" s="2310">
        <f t="shared" si="1600"/>
        <v>-0.13439399999999999</v>
      </c>
      <c r="BL720" s="2316">
        <f>BL185</f>
        <v>0.14930700000000002</v>
      </c>
      <c r="BM720" s="2316"/>
      <c r="BN720" s="2310">
        <f t="shared" si="1601"/>
        <v>-0.14930700000000002</v>
      </c>
      <c r="BO720" s="2316">
        <f>BO185</f>
        <v>0.14980399999999999</v>
      </c>
      <c r="BP720" s="2316"/>
      <c r="BQ720" s="2310">
        <f t="shared" si="1602"/>
        <v>-0.14980399999999999</v>
      </c>
    </row>
    <row r="721" spans="3:69" s="2087" customFormat="1" ht="12" customHeight="1">
      <c r="C721" s="2173" t="s">
        <v>2883</v>
      </c>
      <c r="D721" s="2362" t="s">
        <v>2884</v>
      </c>
      <c r="E721" s="2197" t="s">
        <v>240</v>
      </c>
      <c r="F721" s="2376"/>
      <c r="G721" s="2300">
        <f>G722+G723+G724</f>
        <v>3.1891200000000004</v>
      </c>
      <c r="H721" s="2300">
        <f>H722+H723+H724</f>
        <v>4.8658169999999998</v>
      </c>
      <c r="I721" s="2303">
        <f t="shared" si="1554"/>
        <v>1.6766969999999994</v>
      </c>
      <c r="J721" s="2363">
        <f>J722+J723+J724</f>
        <v>0</v>
      </c>
      <c r="K721" s="2364">
        <f t="shared" si="1547"/>
        <v>4.3268789999999999</v>
      </c>
      <c r="L721" s="2300">
        <f t="shared" si="1547"/>
        <v>0</v>
      </c>
      <c r="M721" s="2303">
        <f t="shared" si="1549"/>
        <v>-4.3268789999999999</v>
      </c>
      <c r="N721" s="2300">
        <f>N722+N723+N724</f>
        <v>0.90951699999999991</v>
      </c>
      <c r="O721" s="2300">
        <f>O722+O723+O724</f>
        <v>0</v>
      </c>
      <c r="P721" s="2303">
        <f t="shared" si="1555"/>
        <v>-0.90951699999999991</v>
      </c>
      <c r="Q721" s="2307">
        <f>Q722+Q723+Q724</f>
        <v>0.97219199999999995</v>
      </c>
      <c r="R721" s="2300">
        <f>R722+R723+R724</f>
        <v>0</v>
      </c>
      <c r="S721" s="2301">
        <f t="shared" si="1556"/>
        <v>-0.97219199999999995</v>
      </c>
      <c r="T721" s="2304">
        <f t="shared" si="1550"/>
        <v>1.8817089999999999</v>
      </c>
      <c r="U721" s="2300">
        <f t="shared" si="1550"/>
        <v>0</v>
      </c>
      <c r="V721" s="2301">
        <f t="shared" si="1551"/>
        <v>-1.8817089999999999</v>
      </c>
      <c r="W721" s="2305">
        <f>W722+W723+W724</f>
        <v>0.87567100000000009</v>
      </c>
      <c r="X721" s="2300">
        <f>X722+X723+X724</f>
        <v>0</v>
      </c>
      <c r="Y721" s="2306">
        <f t="shared" si="1557"/>
        <v>-0.87567100000000009</v>
      </c>
      <c r="Z721" s="2307">
        <f t="shared" si="1552"/>
        <v>2.7573799999999999</v>
      </c>
      <c r="AA721" s="2300">
        <f t="shared" si="1552"/>
        <v>0</v>
      </c>
      <c r="AB721" s="2303">
        <f t="shared" si="1553"/>
        <v>-2.7573799999999999</v>
      </c>
      <c r="AC721" s="2307">
        <f>AC722+AC723+AC724</f>
        <v>1.569499</v>
      </c>
      <c r="AD721" s="2300">
        <f>AD722+AD723+AD724</f>
        <v>0</v>
      </c>
      <c r="AE721" s="2301">
        <f t="shared" si="1558"/>
        <v>-1.569499</v>
      </c>
      <c r="AF721" s="2377"/>
      <c r="AG721" s="2114"/>
      <c r="AH721" s="2309">
        <f>AH722+AH723+AH724</f>
        <v>0</v>
      </c>
      <c r="AI721" s="2309">
        <f>AI722+AI723+AI724</f>
        <v>0</v>
      </c>
      <c r="AJ721" s="2310">
        <f t="shared" si="1559"/>
        <v>0</v>
      </c>
      <c r="AK721" s="2309">
        <f>AK722+AK723+AK724</f>
        <v>0.46270299999999998</v>
      </c>
      <c r="AL721" s="2309">
        <f>AL722+AL723+AL724</f>
        <v>0</v>
      </c>
      <c r="AM721" s="2310">
        <f t="shared" si="1592"/>
        <v>-0.46270299999999998</v>
      </c>
      <c r="AN721" s="2309">
        <f>AN722+AN723+AN724</f>
        <v>0.44681399999999999</v>
      </c>
      <c r="AO721" s="2309">
        <f>AO722+AO723+AO724</f>
        <v>0</v>
      </c>
      <c r="AP721" s="2310">
        <f t="shared" si="1593"/>
        <v>-0.44681399999999999</v>
      </c>
      <c r="AQ721" s="2309">
        <f>AQ722+AQ723+AQ724</f>
        <v>0.36070099999999999</v>
      </c>
      <c r="AR721" s="2309">
        <f>AR722+AR723+AR724</f>
        <v>0</v>
      </c>
      <c r="AS721" s="2310">
        <f t="shared" si="1594"/>
        <v>-0.36070099999999999</v>
      </c>
      <c r="AT721" s="2309">
        <f>AT722+AT723+AT724</f>
        <v>0.36065900000000001</v>
      </c>
      <c r="AU721" s="2309">
        <f>AU722+AU723+AU724</f>
        <v>0</v>
      </c>
      <c r="AV721" s="2310">
        <f t="shared" si="1595"/>
        <v>-0.36065900000000001</v>
      </c>
      <c r="AW721" s="2309">
        <f>AW722+AW723+AW724</f>
        <v>0.250832</v>
      </c>
      <c r="AX721" s="2309">
        <f>AX722+AX723+AX724</f>
        <v>0</v>
      </c>
      <c r="AY721" s="2310">
        <f t="shared" si="1596"/>
        <v>-0.250832</v>
      </c>
      <c r="AZ721" s="2309">
        <f>AZ722+AZ723+AZ724</f>
        <v>0.25296800000000003</v>
      </c>
      <c r="BA721" s="2309">
        <f>BA722+BA723+BA724</f>
        <v>0</v>
      </c>
      <c r="BB721" s="2310">
        <f t="shared" si="1597"/>
        <v>-0.25296800000000003</v>
      </c>
      <c r="BC721" s="2309">
        <f>BC722+BC723+BC724</f>
        <v>0.28901300000000002</v>
      </c>
      <c r="BD721" s="2309">
        <f>BD722+BD723+BD724</f>
        <v>0</v>
      </c>
      <c r="BE721" s="2310">
        <f t="shared" si="1598"/>
        <v>-0.28901300000000002</v>
      </c>
      <c r="BF721" s="2309">
        <f>BF722+BF723+BF724</f>
        <v>0.33368999999999999</v>
      </c>
      <c r="BG721" s="2309">
        <f>BG722+BG723+BG724</f>
        <v>0</v>
      </c>
      <c r="BH721" s="2310">
        <f t="shared" si="1599"/>
        <v>-0.33368999999999999</v>
      </c>
      <c r="BI721" s="2309">
        <f>BI722+BI723+BI724</f>
        <v>0.42087999999999998</v>
      </c>
      <c r="BJ721" s="2309">
        <f>BJ722+BJ723+BJ724</f>
        <v>0</v>
      </c>
      <c r="BK721" s="2310">
        <f t="shared" si="1600"/>
        <v>-0.42087999999999998</v>
      </c>
      <c r="BL721" s="2309">
        <f>BL722+BL723+BL724</f>
        <v>0.54246399999999995</v>
      </c>
      <c r="BM721" s="2309">
        <f>BM722+BM723+BM724</f>
        <v>0</v>
      </c>
      <c r="BN721" s="2310">
        <f t="shared" si="1601"/>
        <v>-0.54246399999999995</v>
      </c>
      <c r="BO721" s="2309">
        <f>BO722+BO723+BO724</f>
        <v>0.606155</v>
      </c>
      <c r="BP721" s="2309">
        <f>BP722+BP723+BP724</f>
        <v>0</v>
      </c>
      <c r="BQ721" s="2310">
        <f t="shared" si="1602"/>
        <v>-0.606155</v>
      </c>
    </row>
    <row r="722" spans="3:69" s="2087" customFormat="1" ht="12" customHeight="1">
      <c r="C722" s="2378" t="s">
        <v>2885</v>
      </c>
      <c r="D722" s="2375" t="s">
        <v>28</v>
      </c>
      <c r="E722" s="2197" t="s">
        <v>240</v>
      </c>
      <c r="F722" s="2376"/>
      <c r="G722" s="2316"/>
      <c r="H722" s="2316"/>
      <c r="I722" s="2303">
        <f t="shared" si="1554"/>
        <v>0</v>
      </c>
      <c r="J722" s="2376">
        <f t="shared" si="1603"/>
        <v>0</v>
      </c>
      <c r="K722" s="2300">
        <f t="shared" si="1547"/>
        <v>0</v>
      </c>
      <c r="L722" s="2300">
        <f t="shared" si="1547"/>
        <v>0</v>
      </c>
      <c r="M722" s="2303">
        <f t="shared" si="1549"/>
        <v>0</v>
      </c>
      <c r="N722" s="2316"/>
      <c r="O722" s="2316"/>
      <c r="P722" s="2303">
        <f t="shared" si="1555"/>
        <v>0</v>
      </c>
      <c r="Q722" s="2316">
        <f>AQ722+AT722+AW722</f>
        <v>0</v>
      </c>
      <c r="R722" s="2316"/>
      <c r="S722" s="2301">
        <f t="shared" si="1556"/>
        <v>0</v>
      </c>
      <c r="T722" s="2304">
        <f t="shared" si="1550"/>
        <v>0</v>
      </c>
      <c r="U722" s="2300">
        <f t="shared" si="1550"/>
        <v>0</v>
      </c>
      <c r="V722" s="2301">
        <f t="shared" si="1551"/>
        <v>0</v>
      </c>
      <c r="W722" s="2317">
        <f>AZ722+BC722+BF722</f>
        <v>0</v>
      </c>
      <c r="X722" s="2316"/>
      <c r="Y722" s="2306">
        <f t="shared" si="1557"/>
        <v>0</v>
      </c>
      <c r="Z722" s="2307">
        <f t="shared" si="1552"/>
        <v>0</v>
      </c>
      <c r="AA722" s="2300">
        <f t="shared" si="1552"/>
        <v>0</v>
      </c>
      <c r="AB722" s="2303">
        <f t="shared" si="1553"/>
        <v>0</v>
      </c>
      <c r="AC722" s="2316">
        <f>BI722+BL722+BO722</f>
        <v>0</v>
      </c>
      <c r="AD722" s="2316"/>
      <c r="AE722" s="2301">
        <f t="shared" si="1558"/>
        <v>0</v>
      </c>
      <c r="AF722" s="2377"/>
      <c r="AG722" s="2114"/>
      <c r="AH722" s="2316"/>
      <c r="AI722" s="2316"/>
      <c r="AJ722" s="2310">
        <f t="shared" si="1559"/>
        <v>0</v>
      </c>
      <c r="AK722" s="2316"/>
      <c r="AL722" s="2316"/>
      <c r="AM722" s="2310">
        <f t="shared" si="1592"/>
        <v>0</v>
      </c>
      <c r="AN722" s="2316"/>
      <c r="AO722" s="2316"/>
      <c r="AP722" s="2310">
        <f t="shared" si="1593"/>
        <v>0</v>
      </c>
      <c r="AQ722" s="2316"/>
      <c r="AR722" s="2316"/>
      <c r="AS722" s="2310">
        <f t="shared" si="1594"/>
        <v>0</v>
      </c>
      <c r="AT722" s="2316"/>
      <c r="AU722" s="2316"/>
      <c r="AV722" s="2310">
        <f t="shared" si="1595"/>
        <v>0</v>
      </c>
      <c r="AW722" s="2316"/>
      <c r="AX722" s="2316"/>
      <c r="AY722" s="2310">
        <f t="shared" si="1596"/>
        <v>0</v>
      </c>
      <c r="AZ722" s="2316"/>
      <c r="BA722" s="2316"/>
      <c r="BB722" s="2310">
        <f t="shared" si="1597"/>
        <v>0</v>
      </c>
      <c r="BC722" s="2316"/>
      <c r="BD722" s="2316"/>
      <c r="BE722" s="2310">
        <f t="shared" si="1598"/>
        <v>0</v>
      </c>
      <c r="BF722" s="2316"/>
      <c r="BG722" s="2316"/>
      <c r="BH722" s="2310">
        <f t="shared" si="1599"/>
        <v>0</v>
      </c>
      <c r="BI722" s="2316"/>
      <c r="BJ722" s="2316"/>
      <c r="BK722" s="2310">
        <f t="shared" si="1600"/>
        <v>0</v>
      </c>
      <c r="BL722" s="2316"/>
      <c r="BM722" s="2316"/>
      <c r="BN722" s="2310">
        <f t="shared" si="1601"/>
        <v>0</v>
      </c>
      <c r="BO722" s="2316"/>
      <c r="BP722" s="2316"/>
      <c r="BQ722" s="2310">
        <f t="shared" si="1602"/>
        <v>0</v>
      </c>
    </row>
    <row r="723" spans="3:69" s="2087" customFormat="1" ht="12" customHeight="1">
      <c r="C723" s="2378" t="s">
        <v>2886</v>
      </c>
      <c r="D723" s="2375" t="s">
        <v>2872</v>
      </c>
      <c r="E723" s="2197" t="s">
        <v>240</v>
      </c>
      <c r="F723" s="2376"/>
      <c r="G723" s="2316"/>
      <c r="H723" s="2316"/>
      <c r="I723" s="2303">
        <f t="shared" si="1554"/>
        <v>0</v>
      </c>
      <c r="J723" s="2376">
        <f t="shared" si="1603"/>
        <v>0</v>
      </c>
      <c r="K723" s="2300">
        <f t="shared" si="1547"/>
        <v>0</v>
      </c>
      <c r="L723" s="2300">
        <f t="shared" si="1547"/>
        <v>0</v>
      </c>
      <c r="M723" s="2303">
        <f t="shared" si="1549"/>
        <v>0</v>
      </c>
      <c r="N723" s="2316"/>
      <c r="O723" s="2316"/>
      <c r="P723" s="2303">
        <f t="shared" si="1555"/>
        <v>0</v>
      </c>
      <c r="Q723" s="2316">
        <f t="shared" ref="Q723:Q724" si="1607">AQ723+AT723+AW723</f>
        <v>0</v>
      </c>
      <c r="R723" s="2316"/>
      <c r="S723" s="2301">
        <f t="shared" si="1556"/>
        <v>0</v>
      </c>
      <c r="T723" s="2304">
        <f t="shared" si="1550"/>
        <v>0</v>
      </c>
      <c r="U723" s="2300">
        <f t="shared" si="1550"/>
        <v>0</v>
      </c>
      <c r="V723" s="2301">
        <f t="shared" si="1551"/>
        <v>0</v>
      </c>
      <c r="W723" s="2317">
        <f t="shared" ref="W723:W724" si="1608">AZ723+BC723+BF723</f>
        <v>0</v>
      </c>
      <c r="X723" s="2316"/>
      <c r="Y723" s="2306">
        <f t="shared" si="1557"/>
        <v>0</v>
      </c>
      <c r="Z723" s="2307">
        <f t="shared" si="1552"/>
        <v>0</v>
      </c>
      <c r="AA723" s="2300">
        <f t="shared" si="1552"/>
        <v>0</v>
      </c>
      <c r="AB723" s="2303">
        <f t="shared" si="1553"/>
        <v>0</v>
      </c>
      <c r="AC723" s="2316">
        <f t="shared" ref="AC723:AC724" si="1609">BI723+BL723+BO723</f>
        <v>0</v>
      </c>
      <c r="AD723" s="2316"/>
      <c r="AE723" s="2301">
        <f t="shared" si="1558"/>
        <v>0</v>
      </c>
      <c r="AF723" s="2377"/>
      <c r="AG723" s="2114"/>
      <c r="AH723" s="2316"/>
      <c r="AI723" s="2316"/>
      <c r="AJ723" s="2310">
        <f t="shared" si="1559"/>
        <v>0</v>
      </c>
      <c r="AK723" s="2316"/>
      <c r="AL723" s="2316"/>
      <c r="AM723" s="2310">
        <f t="shared" si="1592"/>
        <v>0</v>
      </c>
      <c r="AN723" s="2316"/>
      <c r="AO723" s="2316"/>
      <c r="AP723" s="2310">
        <f t="shared" si="1593"/>
        <v>0</v>
      </c>
      <c r="AQ723" s="2316"/>
      <c r="AR723" s="2316"/>
      <c r="AS723" s="2310">
        <f t="shared" si="1594"/>
        <v>0</v>
      </c>
      <c r="AT723" s="2316"/>
      <c r="AU723" s="2316"/>
      <c r="AV723" s="2310">
        <f t="shared" si="1595"/>
        <v>0</v>
      </c>
      <c r="AW723" s="2316"/>
      <c r="AX723" s="2316"/>
      <c r="AY723" s="2310">
        <f t="shared" si="1596"/>
        <v>0</v>
      </c>
      <c r="AZ723" s="2316"/>
      <c r="BA723" s="2316"/>
      <c r="BB723" s="2310">
        <f t="shared" si="1597"/>
        <v>0</v>
      </c>
      <c r="BC723" s="2316"/>
      <c r="BD723" s="2316"/>
      <c r="BE723" s="2310">
        <f t="shared" si="1598"/>
        <v>0</v>
      </c>
      <c r="BF723" s="2316"/>
      <c r="BG723" s="2316"/>
      <c r="BH723" s="2310">
        <f t="shared" si="1599"/>
        <v>0</v>
      </c>
      <c r="BI723" s="2316"/>
      <c r="BJ723" s="2316"/>
      <c r="BK723" s="2310">
        <f t="shared" si="1600"/>
        <v>0</v>
      </c>
      <c r="BL723" s="2316"/>
      <c r="BM723" s="2316"/>
      <c r="BN723" s="2310">
        <f t="shared" si="1601"/>
        <v>0</v>
      </c>
      <c r="BO723" s="2316"/>
      <c r="BP723" s="2316"/>
      <c r="BQ723" s="2310">
        <f t="shared" si="1602"/>
        <v>0</v>
      </c>
    </row>
    <row r="724" spans="3:69" s="2087" customFormat="1" ht="12" customHeight="1">
      <c r="C724" s="2378" t="s">
        <v>2887</v>
      </c>
      <c r="D724" s="2375" t="s">
        <v>42</v>
      </c>
      <c r="E724" s="2197" t="s">
        <v>240</v>
      </c>
      <c r="F724" s="2376"/>
      <c r="G724" s="2316">
        <v>3.1891200000000004</v>
      </c>
      <c r="H724" s="2316">
        <v>4.8658169999999998</v>
      </c>
      <c r="I724" s="2303">
        <f t="shared" si="1554"/>
        <v>1.6766969999999994</v>
      </c>
      <c r="J724" s="2376"/>
      <c r="K724" s="2300">
        <f t="shared" ref="K724:L749" si="1610">N724+Q724+W724+AC724</f>
        <v>4.3268789999999999</v>
      </c>
      <c r="L724" s="2300">
        <f t="shared" si="1610"/>
        <v>0</v>
      </c>
      <c r="M724" s="2303">
        <f t="shared" si="1549"/>
        <v>-4.3268789999999999</v>
      </c>
      <c r="N724" s="2316">
        <f>AH724+AK724+AN724</f>
        <v>0.90951699999999991</v>
      </c>
      <c r="O724" s="2316"/>
      <c r="P724" s="2303">
        <f t="shared" si="1555"/>
        <v>-0.90951699999999991</v>
      </c>
      <c r="Q724" s="2316">
        <f t="shared" si="1607"/>
        <v>0.97219199999999995</v>
      </c>
      <c r="R724" s="2316"/>
      <c r="S724" s="2301">
        <f t="shared" si="1556"/>
        <v>-0.97219199999999995</v>
      </c>
      <c r="T724" s="2304">
        <f t="shared" si="1550"/>
        <v>1.8817089999999999</v>
      </c>
      <c r="U724" s="2300">
        <f t="shared" si="1550"/>
        <v>0</v>
      </c>
      <c r="V724" s="2301">
        <f t="shared" si="1551"/>
        <v>-1.8817089999999999</v>
      </c>
      <c r="W724" s="2317">
        <f t="shared" si="1608"/>
        <v>0.87567100000000009</v>
      </c>
      <c r="X724" s="2316"/>
      <c r="Y724" s="2306">
        <f t="shared" si="1557"/>
        <v>-0.87567100000000009</v>
      </c>
      <c r="Z724" s="2307">
        <f t="shared" si="1552"/>
        <v>2.7573799999999999</v>
      </c>
      <c r="AA724" s="2300">
        <f t="shared" si="1552"/>
        <v>0</v>
      </c>
      <c r="AB724" s="2303">
        <f t="shared" si="1553"/>
        <v>-2.7573799999999999</v>
      </c>
      <c r="AC724" s="2316">
        <f t="shared" si="1609"/>
        <v>1.569499</v>
      </c>
      <c r="AD724" s="2316"/>
      <c r="AE724" s="2301">
        <f t="shared" si="1558"/>
        <v>-1.569499</v>
      </c>
      <c r="AF724" s="2377"/>
      <c r="AG724" s="2114"/>
      <c r="AH724" s="2316">
        <f>'Шаблон 46 ЭСК'!C9/1000000</f>
        <v>0</v>
      </c>
      <c r="AI724" s="2316"/>
      <c r="AJ724" s="2310">
        <f t="shared" si="1559"/>
        <v>0</v>
      </c>
      <c r="AK724" s="2316">
        <v>0.46270299999999998</v>
      </c>
      <c r="AL724" s="2316"/>
      <c r="AM724" s="2310">
        <f t="shared" si="1592"/>
        <v>-0.46270299999999998</v>
      </c>
      <c r="AN724" s="2316">
        <v>0.44681399999999999</v>
      </c>
      <c r="AO724" s="2316"/>
      <c r="AP724" s="2310">
        <f t="shared" si="1593"/>
        <v>-0.44681399999999999</v>
      </c>
      <c r="AQ724" s="2316">
        <v>0.36070099999999999</v>
      </c>
      <c r="AR724" s="2316"/>
      <c r="AS724" s="2310">
        <f t="shared" si="1594"/>
        <v>-0.36070099999999999</v>
      </c>
      <c r="AT724" s="2316">
        <v>0.36065900000000001</v>
      </c>
      <c r="AU724" s="2316"/>
      <c r="AV724" s="2310">
        <f t="shared" si="1595"/>
        <v>-0.36065900000000001</v>
      </c>
      <c r="AW724" s="2316">
        <v>0.250832</v>
      </c>
      <c r="AX724" s="2316"/>
      <c r="AY724" s="2310">
        <f t="shared" si="1596"/>
        <v>-0.250832</v>
      </c>
      <c r="AZ724" s="2316">
        <v>0.25296800000000003</v>
      </c>
      <c r="BA724" s="2316"/>
      <c r="BB724" s="2310">
        <f t="shared" si="1597"/>
        <v>-0.25296800000000003</v>
      </c>
      <c r="BC724" s="2316">
        <v>0.28901300000000002</v>
      </c>
      <c r="BD724" s="2316"/>
      <c r="BE724" s="2310">
        <f t="shared" si="1598"/>
        <v>-0.28901300000000002</v>
      </c>
      <c r="BF724" s="2316">
        <v>0.33368999999999999</v>
      </c>
      <c r="BG724" s="2316"/>
      <c r="BH724" s="2310">
        <f t="shared" si="1599"/>
        <v>-0.33368999999999999</v>
      </c>
      <c r="BI724" s="2316">
        <v>0.42087999999999998</v>
      </c>
      <c r="BJ724" s="2316"/>
      <c r="BK724" s="2310">
        <f t="shared" si="1600"/>
        <v>-0.42087999999999998</v>
      </c>
      <c r="BL724" s="2316">
        <v>0.54246399999999995</v>
      </c>
      <c r="BM724" s="2316"/>
      <c r="BN724" s="2310">
        <f t="shared" si="1601"/>
        <v>-0.54246399999999995</v>
      </c>
      <c r="BO724" s="2316">
        <v>0.606155</v>
      </c>
      <c r="BP724" s="2316"/>
      <c r="BQ724" s="2310">
        <f t="shared" si="1602"/>
        <v>-0.606155</v>
      </c>
    </row>
    <row r="725" spans="3:69" s="2087" customFormat="1" ht="12" hidden="1" customHeight="1">
      <c r="C725" s="2173" t="s">
        <v>2888</v>
      </c>
      <c r="D725" s="2362"/>
      <c r="E725" s="2197" t="s">
        <v>240</v>
      </c>
      <c r="F725" s="2376"/>
      <c r="G725" s="2300">
        <f>G726+G727+G728</f>
        <v>0</v>
      </c>
      <c r="H725" s="2300">
        <f>H726+H727+H728</f>
        <v>0</v>
      </c>
      <c r="I725" s="2303">
        <f t="shared" si="1554"/>
        <v>0</v>
      </c>
      <c r="J725" s="2376"/>
      <c r="K725" s="2300">
        <f t="shared" si="1610"/>
        <v>0</v>
      </c>
      <c r="L725" s="2300">
        <f t="shared" si="1610"/>
        <v>0</v>
      </c>
      <c r="M725" s="2303">
        <f t="shared" si="1549"/>
        <v>0</v>
      </c>
      <c r="N725" s="2300">
        <f>N726+N727+N728</f>
        <v>0</v>
      </c>
      <c r="O725" s="2300">
        <f>O726+O727+O728</f>
        <v>0</v>
      </c>
      <c r="P725" s="2303">
        <f t="shared" si="1555"/>
        <v>0</v>
      </c>
      <c r="Q725" s="2307">
        <f>Q726+Q727+Q728</f>
        <v>0</v>
      </c>
      <c r="R725" s="2300">
        <f>R726+R727+R728</f>
        <v>0</v>
      </c>
      <c r="S725" s="2301">
        <f t="shared" si="1556"/>
        <v>0</v>
      </c>
      <c r="T725" s="2304">
        <f t="shared" si="1550"/>
        <v>0</v>
      </c>
      <c r="U725" s="2300">
        <f t="shared" si="1550"/>
        <v>0</v>
      </c>
      <c r="V725" s="2301">
        <f t="shared" si="1551"/>
        <v>0</v>
      </c>
      <c r="W725" s="2305">
        <f>W726+W727+W728</f>
        <v>0</v>
      </c>
      <c r="X725" s="2300">
        <f>X726+X727+X728</f>
        <v>0</v>
      </c>
      <c r="Y725" s="2306">
        <f t="shared" si="1557"/>
        <v>0</v>
      </c>
      <c r="Z725" s="2307">
        <f t="shared" si="1552"/>
        <v>0</v>
      </c>
      <c r="AA725" s="2300">
        <f t="shared" si="1552"/>
        <v>0</v>
      </c>
      <c r="AB725" s="2303">
        <f t="shared" si="1553"/>
        <v>0</v>
      </c>
      <c r="AC725" s="2307">
        <f>AC726+AC727+AC728</f>
        <v>0</v>
      </c>
      <c r="AD725" s="2300">
        <f>AD726+AD727+AD728</f>
        <v>0</v>
      </c>
      <c r="AE725" s="2301">
        <f t="shared" si="1558"/>
        <v>0</v>
      </c>
      <c r="AF725" s="2377"/>
      <c r="AG725" s="2114"/>
      <c r="AH725" s="2309">
        <f>AH726+AH727+AH728</f>
        <v>0</v>
      </c>
      <c r="AI725" s="2309">
        <f>AI726+AI727+AI728</f>
        <v>0</v>
      </c>
      <c r="AJ725" s="2310">
        <f t="shared" si="1559"/>
        <v>0</v>
      </c>
      <c r="AK725" s="2309">
        <f>AK726+AK727+AK728</f>
        <v>0</v>
      </c>
      <c r="AL725" s="2309">
        <f>AL726+AL727+AL728</f>
        <v>0</v>
      </c>
      <c r="AM725" s="2310">
        <f t="shared" si="1592"/>
        <v>0</v>
      </c>
      <c r="AN725" s="2309">
        <f>AN726+AN727+AN728</f>
        <v>0</v>
      </c>
      <c r="AO725" s="2309">
        <f>AO726+AO727+AO728</f>
        <v>0</v>
      </c>
      <c r="AP725" s="2310">
        <f t="shared" si="1593"/>
        <v>0</v>
      </c>
      <c r="AQ725" s="2309">
        <f>AQ726+AQ727+AQ728</f>
        <v>0</v>
      </c>
      <c r="AR725" s="2309">
        <f>AR726+AR727+AR728</f>
        <v>0</v>
      </c>
      <c r="AS725" s="2310">
        <f t="shared" si="1594"/>
        <v>0</v>
      </c>
      <c r="AT725" s="2309">
        <f>AT726+AT727+AT728</f>
        <v>0</v>
      </c>
      <c r="AU725" s="2309">
        <f>AU726+AU727+AU728</f>
        <v>0</v>
      </c>
      <c r="AV725" s="2310">
        <f t="shared" si="1595"/>
        <v>0</v>
      </c>
      <c r="AW725" s="2309">
        <f>AW726+AW727+AW728</f>
        <v>0</v>
      </c>
      <c r="AX725" s="2309">
        <f>AX726+AX727+AX728</f>
        <v>0</v>
      </c>
      <c r="AY725" s="2310">
        <f t="shared" si="1596"/>
        <v>0</v>
      </c>
      <c r="AZ725" s="2309">
        <f>AZ726+AZ727+AZ728</f>
        <v>0</v>
      </c>
      <c r="BA725" s="2309">
        <f>BA726+BA727+BA728</f>
        <v>0</v>
      </c>
      <c r="BB725" s="2310">
        <f t="shared" si="1597"/>
        <v>0</v>
      </c>
      <c r="BC725" s="2309">
        <f>BC726+BC727+BC728</f>
        <v>0</v>
      </c>
      <c r="BD725" s="2309">
        <f>BD726+BD727+BD728</f>
        <v>0</v>
      </c>
      <c r="BE725" s="2310">
        <f t="shared" si="1598"/>
        <v>0</v>
      </c>
      <c r="BF725" s="2309">
        <f>BF726+BF727+BF728</f>
        <v>0</v>
      </c>
      <c r="BG725" s="2309">
        <f>BG726+BG727+BG728</f>
        <v>0</v>
      </c>
      <c r="BH725" s="2310">
        <f t="shared" si="1599"/>
        <v>0</v>
      </c>
      <c r="BI725" s="2309">
        <f>BI726+BI727+BI728</f>
        <v>0</v>
      </c>
      <c r="BJ725" s="2309">
        <f>BJ726+BJ727+BJ728</f>
        <v>0</v>
      </c>
      <c r="BK725" s="2310">
        <f t="shared" si="1600"/>
        <v>0</v>
      </c>
      <c r="BL725" s="2309">
        <f>BL726+BL727+BL728</f>
        <v>0</v>
      </c>
      <c r="BM725" s="2309">
        <f>BM726+BM727+BM728</f>
        <v>0</v>
      </c>
      <c r="BN725" s="2310">
        <f t="shared" si="1601"/>
        <v>0</v>
      </c>
      <c r="BO725" s="2309">
        <f>BO726+BO727+BO728</f>
        <v>0</v>
      </c>
      <c r="BP725" s="2309">
        <f>BP726+BP727+BP728</f>
        <v>0</v>
      </c>
      <c r="BQ725" s="2310">
        <f t="shared" si="1602"/>
        <v>0</v>
      </c>
    </row>
    <row r="726" spans="3:69" s="2087" customFormat="1" ht="12" hidden="1" customHeight="1">
      <c r="C726" s="2378" t="s">
        <v>2889</v>
      </c>
      <c r="D726" s="2375" t="s">
        <v>28</v>
      </c>
      <c r="E726" s="2197" t="s">
        <v>240</v>
      </c>
      <c r="F726" s="2376"/>
      <c r="G726" s="2316"/>
      <c r="H726" s="2316"/>
      <c r="I726" s="2303">
        <f t="shared" si="1554"/>
        <v>0</v>
      </c>
      <c r="J726" s="2376"/>
      <c r="K726" s="2300">
        <f t="shared" si="1610"/>
        <v>0</v>
      </c>
      <c r="L726" s="2300">
        <f t="shared" si="1610"/>
        <v>0</v>
      </c>
      <c r="M726" s="2303">
        <f t="shared" si="1549"/>
        <v>0</v>
      </c>
      <c r="N726" s="2316"/>
      <c r="O726" s="2316"/>
      <c r="P726" s="2303">
        <f t="shared" si="1555"/>
        <v>0</v>
      </c>
      <c r="Q726" s="2376"/>
      <c r="R726" s="2316"/>
      <c r="S726" s="2301">
        <f t="shared" si="1556"/>
        <v>0</v>
      </c>
      <c r="T726" s="2304">
        <f t="shared" si="1550"/>
        <v>0</v>
      </c>
      <c r="U726" s="2300">
        <f t="shared" si="1550"/>
        <v>0</v>
      </c>
      <c r="V726" s="2301">
        <f t="shared" si="1551"/>
        <v>0</v>
      </c>
      <c r="W726" s="2317"/>
      <c r="X726" s="2316"/>
      <c r="Y726" s="2306">
        <f t="shared" si="1557"/>
        <v>0</v>
      </c>
      <c r="Z726" s="2307">
        <f t="shared" si="1552"/>
        <v>0</v>
      </c>
      <c r="AA726" s="2300">
        <f t="shared" si="1552"/>
        <v>0</v>
      </c>
      <c r="AB726" s="2303">
        <f t="shared" si="1553"/>
        <v>0</v>
      </c>
      <c r="AC726" s="2376"/>
      <c r="AD726" s="2316"/>
      <c r="AE726" s="2301">
        <f t="shared" si="1558"/>
        <v>0</v>
      </c>
      <c r="AF726" s="2377"/>
      <c r="AG726" s="2114"/>
      <c r="AH726" s="2316"/>
      <c r="AI726" s="2316"/>
      <c r="AJ726" s="2310">
        <f t="shared" si="1559"/>
        <v>0</v>
      </c>
      <c r="AK726" s="2316"/>
      <c r="AL726" s="2316"/>
      <c r="AM726" s="2310">
        <f t="shared" si="1592"/>
        <v>0</v>
      </c>
      <c r="AN726" s="2316"/>
      <c r="AO726" s="2316"/>
      <c r="AP726" s="2310">
        <f t="shared" si="1593"/>
        <v>0</v>
      </c>
      <c r="AQ726" s="2316"/>
      <c r="AR726" s="2316"/>
      <c r="AS726" s="2310">
        <f t="shared" si="1594"/>
        <v>0</v>
      </c>
      <c r="AT726" s="2316"/>
      <c r="AU726" s="2316"/>
      <c r="AV726" s="2310">
        <f t="shared" si="1595"/>
        <v>0</v>
      </c>
      <c r="AW726" s="2316"/>
      <c r="AX726" s="2316"/>
      <c r="AY726" s="2310">
        <f t="shared" si="1596"/>
        <v>0</v>
      </c>
      <c r="AZ726" s="2316"/>
      <c r="BA726" s="2316"/>
      <c r="BB726" s="2310">
        <f t="shared" si="1597"/>
        <v>0</v>
      </c>
      <c r="BC726" s="2316"/>
      <c r="BD726" s="2316"/>
      <c r="BE726" s="2310">
        <f t="shared" si="1598"/>
        <v>0</v>
      </c>
      <c r="BF726" s="2316"/>
      <c r="BG726" s="2316"/>
      <c r="BH726" s="2310">
        <f t="shared" si="1599"/>
        <v>0</v>
      </c>
      <c r="BI726" s="2316"/>
      <c r="BJ726" s="2316"/>
      <c r="BK726" s="2310">
        <f t="shared" si="1600"/>
        <v>0</v>
      </c>
      <c r="BL726" s="2316"/>
      <c r="BM726" s="2316"/>
      <c r="BN726" s="2310">
        <f t="shared" si="1601"/>
        <v>0</v>
      </c>
      <c r="BO726" s="2316"/>
      <c r="BP726" s="2316"/>
      <c r="BQ726" s="2310">
        <f t="shared" si="1602"/>
        <v>0</v>
      </c>
    </row>
    <row r="727" spans="3:69" s="2087" customFormat="1" ht="12" hidden="1" customHeight="1">
      <c r="C727" s="2378" t="s">
        <v>2890</v>
      </c>
      <c r="D727" s="2375" t="s">
        <v>2872</v>
      </c>
      <c r="E727" s="2197" t="s">
        <v>240</v>
      </c>
      <c r="F727" s="2376"/>
      <c r="G727" s="2316"/>
      <c r="H727" s="2316"/>
      <c r="I727" s="2303">
        <f t="shared" si="1554"/>
        <v>0</v>
      </c>
      <c r="J727" s="2376"/>
      <c r="K727" s="2300">
        <f t="shared" si="1610"/>
        <v>0</v>
      </c>
      <c r="L727" s="2300">
        <f t="shared" si="1610"/>
        <v>0</v>
      </c>
      <c r="M727" s="2303">
        <f t="shared" si="1549"/>
        <v>0</v>
      </c>
      <c r="N727" s="2316"/>
      <c r="O727" s="2316"/>
      <c r="P727" s="2303">
        <f t="shared" si="1555"/>
        <v>0</v>
      </c>
      <c r="Q727" s="2376"/>
      <c r="R727" s="2316"/>
      <c r="S727" s="2301">
        <f t="shared" si="1556"/>
        <v>0</v>
      </c>
      <c r="T727" s="2304">
        <f t="shared" si="1550"/>
        <v>0</v>
      </c>
      <c r="U727" s="2300">
        <f t="shared" si="1550"/>
        <v>0</v>
      </c>
      <c r="V727" s="2301">
        <f t="shared" si="1551"/>
        <v>0</v>
      </c>
      <c r="W727" s="2317"/>
      <c r="X727" s="2316"/>
      <c r="Y727" s="2306">
        <f t="shared" si="1557"/>
        <v>0</v>
      </c>
      <c r="Z727" s="2307">
        <f t="shared" si="1552"/>
        <v>0</v>
      </c>
      <c r="AA727" s="2300">
        <f t="shared" si="1552"/>
        <v>0</v>
      </c>
      <c r="AB727" s="2303">
        <f t="shared" si="1553"/>
        <v>0</v>
      </c>
      <c r="AC727" s="2376"/>
      <c r="AD727" s="2316"/>
      <c r="AE727" s="2301">
        <f t="shared" si="1558"/>
        <v>0</v>
      </c>
      <c r="AF727" s="2377"/>
      <c r="AG727" s="2114"/>
      <c r="AH727" s="2316"/>
      <c r="AI727" s="2316"/>
      <c r="AJ727" s="2310">
        <f t="shared" si="1559"/>
        <v>0</v>
      </c>
      <c r="AK727" s="2316"/>
      <c r="AL727" s="2316"/>
      <c r="AM727" s="2310">
        <f t="shared" si="1592"/>
        <v>0</v>
      </c>
      <c r="AN727" s="2316"/>
      <c r="AO727" s="2316"/>
      <c r="AP727" s="2310">
        <f t="shared" si="1593"/>
        <v>0</v>
      </c>
      <c r="AQ727" s="2316"/>
      <c r="AR727" s="2316"/>
      <c r="AS727" s="2310">
        <f t="shared" si="1594"/>
        <v>0</v>
      </c>
      <c r="AT727" s="2316"/>
      <c r="AU727" s="2316"/>
      <c r="AV727" s="2310">
        <f t="shared" si="1595"/>
        <v>0</v>
      </c>
      <c r="AW727" s="2316"/>
      <c r="AX727" s="2316"/>
      <c r="AY727" s="2310">
        <f t="shared" si="1596"/>
        <v>0</v>
      </c>
      <c r="AZ727" s="2316"/>
      <c r="BA727" s="2316"/>
      <c r="BB727" s="2310">
        <f t="shared" si="1597"/>
        <v>0</v>
      </c>
      <c r="BC727" s="2316"/>
      <c r="BD727" s="2316"/>
      <c r="BE727" s="2310">
        <f t="shared" si="1598"/>
        <v>0</v>
      </c>
      <c r="BF727" s="2316"/>
      <c r="BG727" s="2316"/>
      <c r="BH727" s="2310">
        <f t="shared" si="1599"/>
        <v>0</v>
      </c>
      <c r="BI727" s="2316"/>
      <c r="BJ727" s="2316"/>
      <c r="BK727" s="2310">
        <f t="shared" si="1600"/>
        <v>0</v>
      </c>
      <c r="BL727" s="2316"/>
      <c r="BM727" s="2316"/>
      <c r="BN727" s="2310">
        <f t="shared" si="1601"/>
        <v>0</v>
      </c>
      <c r="BO727" s="2316"/>
      <c r="BP727" s="2316"/>
      <c r="BQ727" s="2310">
        <f t="shared" si="1602"/>
        <v>0</v>
      </c>
    </row>
    <row r="728" spans="3:69" s="2087" customFormat="1" ht="12" hidden="1" customHeight="1">
      <c r="C728" s="2378" t="s">
        <v>2891</v>
      </c>
      <c r="D728" s="2375" t="s">
        <v>42</v>
      </c>
      <c r="E728" s="2197" t="s">
        <v>240</v>
      </c>
      <c r="F728" s="2376"/>
      <c r="G728" s="2316"/>
      <c r="H728" s="2316"/>
      <c r="I728" s="2303">
        <f t="shared" si="1554"/>
        <v>0</v>
      </c>
      <c r="J728" s="2376"/>
      <c r="K728" s="2300">
        <f t="shared" si="1610"/>
        <v>0</v>
      </c>
      <c r="L728" s="2300">
        <f t="shared" si="1610"/>
        <v>0</v>
      </c>
      <c r="M728" s="2303">
        <f t="shared" si="1549"/>
        <v>0</v>
      </c>
      <c r="N728" s="2316"/>
      <c r="O728" s="2316"/>
      <c r="P728" s="2303">
        <f t="shared" si="1555"/>
        <v>0</v>
      </c>
      <c r="Q728" s="2376"/>
      <c r="R728" s="2316"/>
      <c r="S728" s="2301">
        <f t="shared" si="1556"/>
        <v>0</v>
      </c>
      <c r="T728" s="2304">
        <f t="shared" si="1550"/>
        <v>0</v>
      </c>
      <c r="U728" s="2300">
        <f t="shared" si="1550"/>
        <v>0</v>
      </c>
      <c r="V728" s="2301">
        <f t="shared" si="1551"/>
        <v>0</v>
      </c>
      <c r="W728" s="2317"/>
      <c r="X728" s="2316"/>
      <c r="Y728" s="2306">
        <f t="shared" si="1557"/>
        <v>0</v>
      </c>
      <c r="Z728" s="2307">
        <f t="shared" si="1552"/>
        <v>0</v>
      </c>
      <c r="AA728" s="2300">
        <f t="shared" si="1552"/>
        <v>0</v>
      </c>
      <c r="AB728" s="2303">
        <f t="shared" si="1553"/>
        <v>0</v>
      </c>
      <c r="AC728" s="2376"/>
      <c r="AD728" s="2316"/>
      <c r="AE728" s="2301">
        <f t="shared" si="1558"/>
        <v>0</v>
      </c>
      <c r="AF728" s="2377"/>
      <c r="AG728" s="2114"/>
      <c r="AH728" s="2316"/>
      <c r="AI728" s="2316"/>
      <c r="AJ728" s="2310">
        <f t="shared" si="1559"/>
        <v>0</v>
      </c>
      <c r="AK728" s="2316"/>
      <c r="AL728" s="2316"/>
      <c r="AM728" s="2310">
        <f t="shared" si="1592"/>
        <v>0</v>
      </c>
      <c r="AN728" s="2316"/>
      <c r="AO728" s="2316"/>
      <c r="AP728" s="2310">
        <f t="shared" si="1593"/>
        <v>0</v>
      </c>
      <c r="AQ728" s="2316"/>
      <c r="AR728" s="2316"/>
      <c r="AS728" s="2310">
        <f t="shared" si="1594"/>
        <v>0</v>
      </c>
      <c r="AT728" s="2316"/>
      <c r="AU728" s="2316"/>
      <c r="AV728" s="2310">
        <f t="shared" si="1595"/>
        <v>0</v>
      </c>
      <c r="AW728" s="2316"/>
      <c r="AX728" s="2316"/>
      <c r="AY728" s="2310">
        <f t="shared" si="1596"/>
        <v>0</v>
      </c>
      <c r="AZ728" s="2316"/>
      <c r="BA728" s="2316"/>
      <c r="BB728" s="2310">
        <f t="shared" si="1597"/>
        <v>0</v>
      </c>
      <c r="BC728" s="2316"/>
      <c r="BD728" s="2316"/>
      <c r="BE728" s="2310">
        <f t="shared" si="1598"/>
        <v>0</v>
      </c>
      <c r="BF728" s="2316"/>
      <c r="BG728" s="2316"/>
      <c r="BH728" s="2310">
        <f t="shared" si="1599"/>
        <v>0</v>
      </c>
      <c r="BI728" s="2316"/>
      <c r="BJ728" s="2316"/>
      <c r="BK728" s="2310">
        <f t="shared" si="1600"/>
        <v>0</v>
      </c>
      <c r="BL728" s="2316"/>
      <c r="BM728" s="2316"/>
      <c r="BN728" s="2310">
        <f t="shared" si="1601"/>
        <v>0</v>
      </c>
      <c r="BO728" s="2316"/>
      <c r="BP728" s="2316"/>
      <c r="BQ728" s="2310">
        <f t="shared" si="1602"/>
        <v>0</v>
      </c>
    </row>
    <row r="729" spans="3:69" s="2087" customFormat="1" ht="12" hidden="1" customHeight="1">
      <c r="C729" s="2173" t="s">
        <v>2892</v>
      </c>
      <c r="D729" s="2362" t="s">
        <v>2893</v>
      </c>
      <c r="E729" s="2197" t="s">
        <v>240</v>
      </c>
      <c r="F729" s="2376"/>
      <c r="G729" s="2300">
        <f>G730+G731+G732</f>
        <v>0</v>
      </c>
      <c r="H729" s="2300">
        <f>H730+H731+H732</f>
        <v>0</v>
      </c>
      <c r="I729" s="2303">
        <f t="shared" si="1554"/>
        <v>0</v>
      </c>
      <c r="J729" s="2376"/>
      <c r="K729" s="2300">
        <f t="shared" si="1610"/>
        <v>0</v>
      </c>
      <c r="L729" s="2300">
        <f t="shared" si="1610"/>
        <v>0</v>
      </c>
      <c r="M729" s="2303">
        <f t="shared" si="1549"/>
        <v>0</v>
      </c>
      <c r="N729" s="2300">
        <f>N730+N731+N732</f>
        <v>0</v>
      </c>
      <c r="O729" s="2300">
        <f>O730+O731+O732</f>
        <v>0</v>
      </c>
      <c r="P729" s="2303">
        <f t="shared" si="1555"/>
        <v>0</v>
      </c>
      <c r="Q729" s="2307">
        <f>Q730+Q731+Q732</f>
        <v>0</v>
      </c>
      <c r="R729" s="2300">
        <f>R730+R731+R732</f>
        <v>0</v>
      </c>
      <c r="S729" s="2301">
        <f t="shared" si="1556"/>
        <v>0</v>
      </c>
      <c r="T729" s="2304">
        <f t="shared" si="1550"/>
        <v>0</v>
      </c>
      <c r="U729" s="2300">
        <f t="shared" si="1550"/>
        <v>0</v>
      </c>
      <c r="V729" s="2301">
        <f t="shared" si="1551"/>
        <v>0</v>
      </c>
      <c r="W729" s="2305">
        <f>W730+W731+W732</f>
        <v>0</v>
      </c>
      <c r="X729" s="2300">
        <f>X730+X731+X732</f>
        <v>0</v>
      </c>
      <c r="Y729" s="2306">
        <f t="shared" si="1557"/>
        <v>0</v>
      </c>
      <c r="Z729" s="2307">
        <f t="shared" si="1552"/>
        <v>0</v>
      </c>
      <c r="AA729" s="2300">
        <f t="shared" si="1552"/>
        <v>0</v>
      </c>
      <c r="AB729" s="2303">
        <f t="shared" si="1553"/>
        <v>0</v>
      </c>
      <c r="AC729" s="2307">
        <f>AC730+AC731+AC732</f>
        <v>0</v>
      </c>
      <c r="AD729" s="2300">
        <f>AD730+AD731+AD732</f>
        <v>0</v>
      </c>
      <c r="AE729" s="2301">
        <f t="shared" si="1558"/>
        <v>0</v>
      </c>
      <c r="AF729" s="2377"/>
      <c r="AG729" s="2114"/>
      <c r="AH729" s="2309">
        <f>AH730+AH731+AH732</f>
        <v>0</v>
      </c>
      <c r="AI729" s="2309">
        <f>AI730+AI731+AI732</f>
        <v>0</v>
      </c>
      <c r="AJ729" s="2310">
        <f t="shared" si="1559"/>
        <v>0</v>
      </c>
      <c r="AK729" s="2309">
        <f>AK730+AK731+AK732</f>
        <v>0</v>
      </c>
      <c r="AL729" s="2309">
        <f>AL730+AL731+AL732</f>
        <v>0</v>
      </c>
      <c r="AM729" s="2310">
        <f t="shared" si="1592"/>
        <v>0</v>
      </c>
      <c r="AN729" s="2309">
        <f>AN730+AN731+AN732</f>
        <v>0</v>
      </c>
      <c r="AO729" s="2309">
        <f>AO730+AO731+AO732</f>
        <v>0</v>
      </c>
      <c r="AP729" s="2310">
        <f t="shared" si="1593"/>
        <v>0</v>
      </c>
      <c r="AQ729" s="2309">
        <f>AQ730+AQ731+AQ732</f>
        <v>0</v>
      </c>
      <c r="AR729" s="2309">
        <f>AR730+AR731+AR732</f>
        <v>0</v>
      </c>
      <c r="AS729" s="2310">
        <f t="shared" si="1594"/>
        <v>0</v>
      </c>
      <c r="AT729" s="2309">
        <f>AT730+AT731+AT732</f>
        <v>0</v>
      </c>
      <c r="AU729" s="2309">
        <f>AU730+AU731+AU732</f>
        <v>0</v>
      </c>
      <c r="AV729" s="2310">
        <f t="shared" si="1595"/>
        <v>0</v>
      </c>
      <c r="AW729" s="2309">
        <f>AW730+AW731+AW732</f>
        <v>0</v>
      </c>
      <c r="AX729" s="2309">
        <f>AX730+AX731+AX732</f>
        <v>0</v>
      </c>
      <c r="AY729" s="2310">
        <f t="shared" si="1596"/>
        <v>0</v>
      </c>
      <c r="AZ729" s="2309">
        <f>AZ730+AZ731+AZ732</f>
        <v>0</v>
      </c>
      <c r="BA729" s="2309">
        <f>BA730+BA731+BA732</f>
        <v>0</v>
      </c>
      <c r="BB729" s="2310">
        <f t="shared" si="1597"/>
        <v>0</v>
      </c>
      <c r="BC729" s="2309">
        <f>BC730+BC731+BC732</f>
        <v>0</v>
      </c>
      <c r="BD729" s="2309">
        <f>BD730+BD731+BD732</f>
        <v>0</v>
      </c>
      <c r="BE729" s="2310">
        <f t="shared" si="1598"/>
        <v>0</v>
      </c>
      <c r="BF729" s="2309">
        <f>BF730+BF731+BF732</f>
        <v>0</v>
      </c>
      <c r="BG729" s="2309">
        <f>BG730+BG731+BG732</f>
        <v>0</v>
      </c>
      <c r="BH729" s="2310">
        <f t="shared" si="1599"/>
        <v>0</v>
      </c>
      <c r="BI729" s="2309">
        <f>BI730+BI731+BI732</f>
        <v>0</v>
      </c>
      <c r="BJ729" s="2309">
        <f>BJ730+BJ731+BJ732</f>
        <v>0</v>
      </c>
      <c r="BK729" s="2310">
        <f t="shared" si="1600"/>
        <v>0</v>
      </c>
      <c r="BL729" s="2309">
        <f>BL730+BL731+BL732</f>
        <v>0</v>
      </c>
      <c r="BM729" s="2309">
        <f>BM730+BM731+BM732</f>
        <v>0</v>
      </c>
      <c r="BN729" s="2310">
        <f t="shared" si="1601"/>
        <v>0</v>
      </c>
      <c r="BO729" s="2309">
        <f>BO730+BO731+BO732</f>
        <v>0</v>
      </c>
      <c r="BP729" s="2309">
        <f>BP730+BP731+BP732</f>
        <v>0</v>
      </c>
      <c r="BQ729" s="2310">
        <f t="shared" si="1602"/>
        <v>0</v>
      </c>
    </row>
    <row r="730" spans="3:69" s="2159" customFormat="1" ht="12" hidden="1" customHeight="1">
      <c r="C730" s="2378" t="s">
        <v>2894</v>
      </c>
      <c r="D730" s="2375" t="s">
        <v>28</v>
      </c>
      <c r="E730" s="2197" t="s">
        <v>240</v>
      </c>
      <c r="F730" s="2376"/>
      <c r="G730" s="2316"/>
      <c r="H730" s="2316"/>
      <c r="I730" s="2303">
        <f t="shared" si="1554"/>
        <v>0</v>
      </c>
      <c r="J730" s="2376"/>
      <c r="K730" s="2300">
        <f t="shared" si="1610"/>
        <v>0</v>
      </c>
      <c r="L730" s="2300">
        <f t="shared" si="1610"/>
        <v>0</v>
      </c>
      <c r="M730" s="2303">
        <f t="shared" si="1549"/>
        <v>0</v>
      </c>
      <c r="N730" s="2316"/>
      <c r="O730" s="2316"/>
      <c r="P730" s="2303">
        <f t="shared" si="1555"/>
        <v>0</v>
      </c>
      <c r="Q730" s="2376"/>
      <c r="R730" s="2316"/>
      <c r="S730" s="2301">
        <f t="shared" si="1556"/>
        <v>0</v>
      </c>
      <c r="T730" s="2304">
        <f t="shared" si="1550"/>
        <v>0</v>
      </c>
      <c r="U730" s="2300">
        <f t="shared" si="1550"/>
        <v>0</v>
      </c>
      <c r="V730" s="2301">
        <f t="shared" si="1551"/>
        <v>0</v>
      </c>
      <c r="W730" s="2317"/>
      <c r="X730" s="2316"/>
      <c r="Y730" s="2306">
        <f t="shared" si="1557"/>
        <v>0</v>
      </c>
      <c r="Z730" s="2307">
        <f t="shared" si="1552"/>
        <v>0</v>
      </c>
      <c r="AA730" s="2300">
        <f t="shared" si="1552"/>
        <v>0</v>
      </c>
      <c r="AB730" s="2303">
        <f t="shared" si="1553"/>
        <v>0</v>
      </c>
      <c r="AC730" s="2376"/>
      <c r="AD730" s="2316"/>
      <c r="AE730" s="2301">
        <f t="shared" si="1558"/>
        <v>0</v>
      </c>
      <c r="AF730" s="2377"/>
      <c r="AG730" s="2158"/>
      <c r="AH730" s="2316"/>
      <c r="AI730" s="2316"/>
      <c r="AJ730" s="2310">
        <f t="shared" si="1559"/>
        <v>0</v>
      </c>
      <c r="AK730" s="2316"/>
      <c r="AL730" s="2316"/>
      <c r="AM730" s="2310">
        <f t="shared" si="1592"/>
        <v>0</v>
      </c>
      <c r="AN730" s="2316"/>
      <c r="AO730" s="2316"/>
      <c r="AP730" s="2310">
        <f t="shared" si="1593"/>
        <v>0</v>
      </c>
      <c r="AQ730" s="2316"/>
      <c r="AR730" s="2316"/>
      <c r="AS730" s="2310">
        <f t="shared" si="1594"/>
        <v>0</v>
      </c>
      <c r="AT730" s="2316"/>
      <c r="AU730" s="2316"/>
      <c r="AV730" s="2310">
        <f t="shared" si="1595"/>
        <v>0</v>
      </c>
      <c r="AW730" s="2316"/>
      <c r="AX730" s="2316"/>
      <c r="AY730" s="2310">
        <f t="shared" si="1596"/>
        <v>0</v>
      </c>
      <c r="AZ730" s="2316"/>
      <c r="BA730" s="2316"/>
      <c r="BB730" s="2310">
        <f t="shared" si="1597"/>
        <v>0</v>
      </c>
      <c r="BC730" s="2316"/>
      <c r="BD730" s="2316"/>
      <c r="BE730" s="2310">
        <f t="shared" si="1598"/>
        <v>0</v>
      </c>
      <c r="BF730" s="2316"/>
      <c r="BG730" s="2316"/>
      <c r="BH730" s="2310">
        <f t="shared" si="1599"/>
        <v>0</v>
      </c>
      <c r="BI730" s="2316"/>
      <c r="BJ730" s="2316"/>
      <c r="BK730" s="2310">
        <f t="shared" si="1600"/>
        <v>0</v>
      </c>
      <c r="BL730" s="2316"/>
      <c r="BM730" s="2316"/>
      <c r="BN730" s="2310">
        <f t="shared" si="1601"/>
        <v>0</v>
      </c>
      <c r="BO730" s="2316"/>
      <c r="BP730" s="2316"/>
      <c r="BQ730" s="2310">
        <f t="shared" si="1602"/>
        <v>0</v>
      </c>
    </row>
    <row r="731" spans="3:69" s="2159" customFormat="1" ht="12" hidden="1" customHeight="1">
      <c r="C731" s="2378" t="s">
        <v>2895</v>
      </c>
      <c r="D731" s="2375" t="s">
        <v>2872</v>
      </c>
      <c r="E731" s="2197" t="s">
        <v>240</v>
      </c>
      <c r="F731" s="2376"/>
      <c r="G731" s="2316"/>
      <c r="H731" s="2316"/>
      <c r="I731" s="2303">
        <f t="shared" si="1554"/>
        <v>0</v>
      </c>
      <c r="J731" s="2376"/>
      <c r="K731" s="2300">
        <f t="shared" si="1610"/>
        <v>0</v>
      </c>
      <c r="L731" s="2300">
        <f t="shared" si="1610"/>
        <v>0</v>
      </c>
      <c r="M731" s="2303">
        <f t="shared" si="1549"/>
        <v>0</v>
      </c>
      <c r="N731" s="2316"/>
      <c r="O731" s="2316"/>
      <c r="P731" s="2303">
        <f t="shared" si="1555"/>
        <v>0</v>
      </c>
      <c r="Q731" s="2376"/>
      <c r="R731" s="2316"/>
      <c r="S731" s="2301">
        <f t="shared" si="1556"/>
        <v>0</v>
      </c>
      <c r="T731" s="2304">
        <f t="shared" si="1550"/>
        <v>0</v>
      </c>
      <c r="U731" s="2300">
        <f t="shared" si="1550"/>
        <v>0</v>
      </c>
      <c r="V731" s="2301">
        <f t="shared" si="1551"/>
        <v>0</v>
      </c>
      <c r="W731" s="2317"/>
      <c r="X731" s="2316"/>
      <c r="Y731" s="2306">
        <f t="shared" si="1557"/>
        <v>0</v>
      </c>
      <c r="Z731" s="2307">
        <f t="shared" si="1552"/>
        <v>0</v>
      </c>
      <c r="AA731" s="2300">
        <f t="shared" si="1552"/>
        <v>0</v>
      </c>
      <c r="AB731" s="2303">
        <f t="shared" si="1553"/>
        <v>0</v>
      </c>
      <c r="AC731" s="2376"/>
      <c r="AD731" s="2316"/>
      <c r="AE731" s="2301">
        <f t="shared" si="1558"/>
        <v>0</v>
      </c>
      <c r="AF731" s="2377"/>
      <c r="AG731" s="2158"/>
      <c r="AH731" s="2316"/>
      <c r="AI731" s="2316"/>
      <c r="AJ731" s="2310">
        <f t="shared" si="1559"/>
        <v>0</v>
      </c>
      <c r="AK731" s="2316"/>
      <c r="AL731" s="2316"/>
      <c r="AM731" s="2310">
        <f t="shared" si="1592"/>
        <v>0</v>
      </c>
      <c r="AN731" s="2316"/>
      <c r="AO731" s="2316"/>
      <c r="AP731" s="2310">
        <f t="shared" si="1593"/>
        <v>0</v>
      </c>
      <c r="AQ731" s="2316"/>
      <c r="AR731" s="2316"/>
      <c r="AS731" s="2310">
        <f t="shared" si="1594"/>
        <v>0</v>
      </c>
      <c r="AT731" s="2316"/>
      <c r="AU731" s="2316"/>
      <c r="AV731" s="2310">
        <f t="shared" si="1595"/>
        <v>0</v>
      </c>
      <c r="AW731" s="2316"/>
      <c r="AX731" s="2316"/>
      <c r="AY731" s="2310">
        <f t="shared" si="1596"/>
        <v>0</v>
      </c>
      <c r="AZ731" s="2316"/>
      <c r="BA731" s="2316"/>
      <c r="BB731" s="2310">
        <f t="shared" si="1597"/>
        <v>0</v>
      </c>
      <c r="BC731" s="2316"/>
      <c r="BD731" s="2316"/>
      <c r="BE731" s="2310">
        <f t="shared" si="1598"/>
        <v>0</v>
      </c>
      <c r="BF731" s="2316"/>
      <c r="BG731" s="2316"/>
      <c r="BH731" s="2310">
        <f t="shared" si="1599"/>
        <v>0</v>
      </c>
      <c r="BI731" s="2316"/>
      <c r="BJ731" s="2316"/>
      <c r="BK731" s="2310">
        <f t="shared" si="1600"/>
        <v>0</v>
      </c>
      <c r="BL731" s="2316"/>
      <c r="BM731" s="2316"/>
      <c r="BN731" s="2310">
        <f t="shared" si="1601"/>
        <v>0</v>
      </c>
      <c r="BO731" s="2316"/>
      <c r="BP731" s="2316"/>
      <c r="BQ731" s="2310">
        <f t="shared" si="1602"/>
        <v>0</v>
      </c>
    </row>
    <row r="732" spans="3:69" s="2159" customFormat="1" ht="12" hidden="1" customHeight="1">
      <c r="C732" s="2378" t="s">
        <v>2896</v>
      </c>
      <c r="D732" s="2375" t="s">
        <v>42</v>
      </c>
      <c r="E732" s="2197" t="s">
        <v>240</v>
      </c>
      <c r="F732" s="2376"/>
      <c r="G732" s="2316"/>
      <c r="H732" s="2316"/>
      <c r="I732" s="2303">
        <f t="shared" si="1554"/>
        <v>0</v>
      </c>
      <c r="J732" s="2376"/>
      <c r="K732" s="2300">
        <f t="shared" si="1610"/>
        <v>0</v>
      </c>
      <c r="L732" s="2300">
        <f t="shared" si="1610"/>
        <v>0</v>
      </c>
      <c r="M732" s="2303">
        <f t="shared" si="1549"/>
        <v>0</v>
      </c>
      <c r="N732" s="2316"/>
      <c r="O732" s="2316"/>
      <c r="P732" s="2303">
        <f t="shared" si="1555"/>
        <v>0</v>
      </c>
      <c r="Q732" s="2376"/>
      <c r="R732" s="2316"/>
      <c r="S732" s="2301">
        <f t="shared" si="1556"/>
        <v>0</v>
      </c>
      <c r="T732" s="2304">
        <f t="shared" si="1550"/>
        <v>0</v>
      </c>
      <c r="U732" s="2300">
        <f t="shared" si="1550"/>
        <v>0</v>
      </c>
      <c r="V732" s="2301">
        <f t="shared" si="1551"/>
        <v>0</v>
      </c>
      <c r="W732" s="2317"/>
      <c r="X732" s="2316"/>
      <c r="Y732" s="2306">
        <f t="shared" si="1557"/>
        <v>0</v>
      </c>
      <c r="Z732" s="2307">
        <f t="shared" si="1552"/>
        <v>0</v>
      </c>
      <c r="AA732" s="2300">
        <f t="shared" si="1552"/>
        <v>0</v>
      </c>
      <c r="AB732" s="2303">
        <f t="shared" si="1553"/>
        <v>0</v>
      </c>
      <c r="AC732" s="2376"/>
      <c r="AD732" s="2316"/>
      <c r="AE732" s="2301">
        <f t="shared" si="1558"/>
        <v>0</v>
      </c>
      <c r="AF732" s="2377"/>
      <c r="AG732" s="2158"/>
      <c r="AH732" s="2316"/>
      <c r="AI732" s="2316"/>
      <c r="AJ732" s="2310">
        <f t="shared" si="1559"/>
        <v>0</v>
      </c>
      <c r="AK732" s="2316"/>
      <c r="AL732" s="2316"/>
      <c r="AM732" s="2310">
        <f t="shared" si="1592"/>
        <v>0</v>
      </c>
      <c r="AN732" s="2316"/>
      <c r="AO732" s="2316"/>
      <c r="AP732" s="2310">
        <f t="shared" si="1593"/>
        <v>0</v>
      </c>
      <c r="AQ732" s="2316"/>
      <c r="AR732" s="2316"/>
      <c r="AS732" s="2310">
        <f t="shared" si="1594"/>
        <v>0</v>
      </c>
      <c r="AT732" s="2316"/>
      <c r="AU732" s="2316"/>
      <c r="AV732" s="2310">
        <f t="shared" si="1595"/>
        <v>0</v>
      </c>
      <c r="AW732" s="2316"/>
      <c r="AX732" s="2316"/>
      <c r="AY732" s="2310">
        <f t="shared" si="1596"/>
        <v>0</v>
      </c>
      <c r="AZ732" s="2316"/>
      <c r="BA732" s="2316"/>
      <c r="BB732" s="2310">
        <f t="shared" si="1597"/>
        <v>0</v>
      </c>
      <c r="BC732" s="2316"/>
      <c r="BD732" s="2316"/>
      <c r="BE732" s="2310">
        <f t="shared" si="1598"/>
        <v>0</v>
      </c>
      <c r="BF732" s="2316"/>
      <c r="BG732" s="2316"/>
      <c r="BH732" s="2310">
        <f t="shared" si="1599"/>
        <v>0</v>
      </c>
      <c r="BI732" s="2316"/>
      <c r="BJ732" s="2316"/>
      <c r="BK732" s="2310">
        <f t="shared" si="1600"/>
        <v>0</v>
      </c>
      <c r="BL732" s="2316"/>
      <c r="BM732" s="2316"/>
      <c r="BN732" s="2310">
        <f t="shared" si="1601"/>
        <v>0</v>
      </c>
      <c r="BO732" s="2316"/>
      <c r="BP732" s="2316"/>
      <c r="BQ732" s="2310">
        <f t="shared" si="1602"/>
        <v>0</v>
      </c>
    </row>
    <row r="733" spans="3:69" s="2087" customFormat="1" ht="12" hidden="1" customHeight="1">
      <c r="C733" s="2173" t="s">
        <v>2897</v>
      </c>
      <c r="D733" s="2362" t="s">
        <v>2898</v>
      </c>
      <c r="E733" s="2197" t="s">
        <v>240</v>
      </c>
      <c r="F733" s="2376"/>
      <c r="G733" s="2300">
        <f>G734+G735+G736</f>
        <v>0</v>
      </c>
      <c r="H733" s="2300">
        <f>H734+H735+H736</f>
        <v>0</v>
      </c>
      <c r="I733" s="2303">
        <f t="shared" si="1554"/>
        <v>0</v>
      </c>
      <c r="J733" s="2376"/>
      <c r="K733" s="2300">
        <f t="shared" si="1610"/>
        <v>0</v>
      </c>
      <c r="L733" s="2300">
        <f t="shared" si="1610"/>
        <v>0</v>
      </c>
      <c r="M733" s="2303">
        <f t="shared" si="1549"/>
        <v>0</v>
      </c>
      <c r="N733" s="2300">
        <f>N734+N735+N736</f>
        <v>0</v>
      </c>
      <c r="O733" s="2300">
        <f>O734+O735+O736</f>
        <v>0</v>
      </c>
      <c r="P733" s="2303">
        <f t="shared" si="1555"/>
        <v>0</v>
      </c>
      <c r="Q733" s="2307">
        <f>Q734+Q735+Q736</f>
        <v>0</v>
      </c>
      <c r="R733" s="2300">
        <f>R734+R735+R736</f>
        <v>0</v>
      </c>
      <c r="S733" s="2301">
        <f t="shared" si="1556"/>
        <v>0</v>
      </c>
      <c r="T733" s="2304">
        <f t="shared" si="1550"/>
        <v>0</v>
      </c>
      <c r="U733" s="2300">
        <f t="shared" si="1550"/>
        <v>0</v>
      </c>
      <c r="V733" s="2301">
        <f t="shared" si="1551"/>
        <v>0</v>
      </c>
      <c r="W733" s="2305">
        <f>W734+W735+W736</f>
        <v>0</v>
      </c>
      <c r="X733" s="2300">
        <f>X734+X735+X736</f>
        <v>0</v>
      </c>
      <c r="Y733" s="2306">
        <f t="shared" si="1557"/>
        <v>0</v>
      </c>
      <c r="Z733" s="2307">
        <f t="shared" si="1552"/>
        <v>0</v>
      </c>
      <c r="AA733" s="2300">
        <f t="shared" si="1552"/>
        <v>0</v>
      </c>
      <c r="AB733" s="2303">
        <f t="shared" si="1553"/>
        <v>0</v>
      </c>
      <c r="AC733" s="2307">
        <f>AC734+AC735+AC736</f>
        <v>0</v>
      </c>
      <c r="AD733" s="2300">
        <f>AD734+AD735+AD736</f>
        <v>0</v>
      </c>
      <c r="AE733" s="2301">
        <f t="shared" si="1558"/>
        <v>0</v>
      </c>
      <c r="AF733" s="2377"/>
      <c r="AG733" s="2114"/>
      <c r="AH733" s="2309">
        <f>AH734+AH735+AH736</f>
        <v>0</v>
      </c>
      <c r="AI733" s="2309">
        <f>AI734+AI735+AI736</f>
        <v>0</v>
      </c>
      <c r="AJ733" s="2310">
        <f t="shared" si="1559"/>
        <v>0</v>
      </c>
      <c r="AK733" s="2309">
        <f>AK734+AK735+AK736</f>
        <v>0</v>
      </c>
      <c r="AL733" s="2309">
        <f>AL734+AL735+AL736</f>
        <v>0</v>
      </c>
      <c r="AM733" s="2310">
        <f t="shared" si="1592"/>
        <v>0</v>
      </c>
      <c r="AN733" s="2309">
        <f>AN734+AN735+AN736</f>
        <v>0</v>
      </c>
      <c r="AO733" s="2309">
        <f>AO734+AO735+AO736</f>
        <v>0</v>
      </c>
      <c r="AP733" s="2310">
        <f t="shared" si="1593"/>
        <v>0</v>
      </c>
      <c r="AQ733" s="2309">
        <f>AQ734+AQ735+AQ736</f>
        <v>0</v>
      </c>
      <c r="AR733" s="2309">
        <f>AR734+AR735+AR736</f>
        <v>0</v>
      </c>
      <c r="AS733" s="2310">
        <f t="shared" si="1594"/>
        <v>0</v>
      </c>
      <c r="AT733" s="2309">
        <f>AT734+AT735+AT736</f>
        <v>0</v>
      </c>
      <c r="AU733" s="2309">
        <f>AU734+AU735+AU736</f>
        <v>0</v>
      </c>
      <c r="AV733" s="2310">
        <f t="shared" si="1595"/>
        <v>0</v>
      </c>
      <c r="AW733" s="2309">
        <f>AW734+AW735+AW736</f>
        <v>0</v>
      </c>
      <c r="AX733" s="2309">
        <f>AX734+AX735+AX736</f>
        <v>0</v>
      </c>
      <c r="AY733" s="2310">
        <f t="shared" si="1596"/>
        <v>0</v>
      </c>
      <c r="AZ733" s="2309">
        <f>AZ734+AZ735+AZ736</f>
        <v>0</v>
      </c>
      <c r="BA733" s="2309">
        <f>BA734+BA735+BA736</f>
        <v>0</v>
      </c>
      <c r="BB733" s="2310">
        <f t="shared" si="1597"/>
        <v>0</v>
      </c>
      <c r="BC733" s="2309">
        <f>BC734+BC735+BC736</f>
        <v>0</v>
      </c>
      <c r="BD733" s="2309">
        <f>BD734+BD735+BD736</f>
        <v>0</v>
      </c>
      <c r="BE733" s="2310">
        <f t="shared" si="1598"/>
        <v>0</v>
      </c>
      <c r="BF733" s="2309">
        <f>BF734+BF735+BF736</f>
        <v>0</v>
      </c>
      <c r="BG733" s="2309">
        <f>BG734+BG735+BG736</f>
        <v>0</v>
      </c>
      <c r="BH733" s="2310">
        <f t="shared" si="1599"/>
        <v>0</v>
      </c>
      <c r="BI733" s="2309">
        <f>BI734+BI735+BI736</f>
        <v>0</v>
      </c>
      <c r="BJ733" s="2309">
        <f>BJ734+BJ735+BJ736</f>
        <v>0</v>
      </c>
      <c r="BK733" s="2310">
        <f t="shared" si="1600"/>
        <v>0</v>
      </c>
      <c r="BL733" s="2309">
        <f>BL734+BL735+BL736</f>
        <v>0</v>
      </c>
      <c r="BM733" s="2309">
        <f>BM734+BM735+BM736</f>
        <v>0</v>
      </c>
      <c r="BN733" s="2310">
        <f t="shared" si="1601"/>
        <v>0</v>
      </c>
      <c r="BO733" s="2309">
        <f>BO734+BO735+BO736</f>
        <v>0</v>
      </c>
      <c r="BP733" s="2309">
        <f>BP734+BP735+BP736</f>
        <v>0</v>
      </c>
      <c r="BQ733" s="2310">
        <f t="shared" si="1602"/>
        <v>0</v>
      </c>
    </row>
    <row r="734" spans="3:69" s="2159" customFormat="1" ht="12" hidden="1" customHeight="1">
      <c r="C734" s="2378" t="s">
        <v>2899</v>
      </c>
      <c r="D734" s="2375" t="s">
        <v>28</v>
      </c>
      <c r="E734" s="2197" t="s">
        <v>240</v>
      </c>
      <c r="F734" s="2376"/>
      <c r="G734" s="2316"/>
      <c r="H734" s="2316"/>
      <c r="I734" s="2303">
        <f t="shared" si="1554"/>
        <v>0</v>
      </c>
      <c r="J734" s="2376"/>
      <c r="K734" s="2300">
        <f t="shared" si="1610"/>
        <v>0</v>
      </c>
      <c r="L734" s="2300">
        <f t="shared" si="1610"/>
        <v>0</v>
      </c>
      <c r="M734" s="2303">
        <f t="shared" si="1549"/>
        <v>0</v>
      </c>
      <c r="N734" s="2316"/>
      <c r="O734" s="2316"/>
      <c r="P734" s="2303">
        <f t="shared" si="1555"/>
        <v>0</v>
      </c>
      <c r="Q734" s="2376"/>
      <c r="R734" s="2316"/>
      <c r="S734" s="2301">
        <f t="shared" si="1556"/>
        <v>0</v>
      </c>
      <c r="T734" s="2304">
        <f t="shared" si="1550"/>
        <v>0</v>
      </c>
      <c r="U734" s="2300">
        <f t="shared" si="1550"/>
        <v>0</v>
      </c>
      <c r="V734" s="2301">
        <f t="shared" si="1551"/>
        <v>0</v>
      </c>
      <c r="W734" s="2317"/>
      <c r="X734" s="2316"/>
      <c r="Y734" s="2306">
        <f t="shared" si="1557"/>
        <v>0</v>
      </c>
      <c r="Z734" s="2307">
        <f t="shared" si="1552"/>
        <v>0</v>
      </c>
      <c r="AA734" s="2300">
        <f t="shared" si="1552"/>
        <v>0</v>
      </c>
      <c r="AB734" s="2303">
        <f t="shared" si="1553"/>
        <v>0</v>
      </c>
      <c r="AC734" s="2376"/>
      <c r="AD734" s="2316"/>
      <c r="AE734" s="2301">
        <f t="shared" si="1558"/>
        <v>0</v>
      </c>
      <c r="AF734" s="2377"/>
      <c r="AG734" s="2158"/>
      <c r="AH734" s="2316"/>
      <c r="AI734" s="2316"/>
      <c r="AJ734" s="2310">
        <f t="shared" si="1559"/>
        <v>0</v>
      </c>
      <c r="AK734" s="2316"/>
      <c r="AL734" s="2316"/>
      <c r="AM734" s="2310">
        <f t="shared" si="1592"/>
        <v>0</v>
      </c>
      <c r="AN734" s="2316"/>
      <c r="AO734" s="2316"/>
      <c r="AP734" s="2310">
        <f t="shared" si="1593"/>
        <v>0</v>
      </c>
      <c r="AQ734" s="2316"/>
      <c r="AR734" s="2316"/>
      <c r="AS734" s="2310">
        <f t="shared" si="1594"/>
        <v>0</v>
      </c>
      <c r="AT734" s="2316"/>
      <c r="AU734" s="2316"/>
      <c r="AV734" s="2310">
        <f t="shared" si="1595"/>
        <v>0</v>
      </c>
      <c r="AW734" s="2316"/>
      <c r="AX734" s="2316"/>
      <c r="AY734" s="2310">
        <f t="shared" si="1596"/>
        <v>0</v>
      </c>
      <c r="AZ734" s="2316"/>
      <c r="BA734" s="2316"/>
      <c r="BB734" s="2310">
        <f t="shared" si="1597"/>
        <v>0</v>
      </c>
      <c r="BC734" s="2316"/>
      <c r="BD734" s="2316"/>
      <c r="BE734" s="2310">
        <f t="shared" si="1598"/>
        <v>0</v>
      </c>
      <c r="BF734" s="2316"/>
      <c r="BG734" s="2316"/>
      <c r="BH734" s="2310">
        <f t="shared" si="1599"/>
        <v>0</v>
      </c>
      <c r="BI734" s="2316"/>
      <c r="BJ734" s="2316"/>
      <c r="BK734" s="2310">
        <f t="shared" si="1600"/>
        <v>0</v>
      </c>
      <c r="BL734" s="2316"/>
      <c r="BM734" s="2316"/>
      <c r="BN734" s="2310">
        <f t="shared" si="1601"/>
        <v>0</v>
      </c>
      <c r="BO734" s="2316"/>
      <c r="BP734" s="2316"/>
      <c r="BQ734" s="2310">
        <f t="shared" si="1602"/>
        <v>0</v>
      </c>
    </row>
    <row r="735" spans="3:69" s="2159" customFormat="1" ht="12" hidden="1" customHeight="1">
      <c r="C735" s="2378" t="s">
        <v>2900</v>
      </c>
      <c r="D735" s="2375" t="s">
        <v>2872</v>
      </c>
      <c r="E735" s="2197" t="s">
        <v>240</v>
      </c>
      <c r="F735" s="2376"/>
      <c r="G735" s="2316"/>
      <c r="H735" s="2316"/>
      <c r="I735" s="2303">
        <f t="shared" si="1554"/>
        <v>0</v>
      </c>
      <c r="J735" s="2376"/>
      <c r="K735" s="2300">
        <f t="shared" si="1610"/>
        <v>0</v>
      </c>
      <c r="L735" s="2300">
        <f t="shared" si="1610"/>
        <v>0</v>
      </c>
      <c r="M735" s="2303">
        <f t="shared" si="1549"/>
        <v>0</v>
      </c>
      <c r="N735" s="2316"/>
      <c r="O735" s="2316"/>
      <c r="P735" s="2303">
        <f t="shared" si="1555"/>
        <v>0</v>
      </c>
      <c r="Q735" s="2376"/>
      <c r="R735" s="2316"/>
      <c r="S735" s="2301">
        <f t="shared" si="1556"/>
        <v>0</v>
      </c>
      <c r="T735" s="2304">
        <f t="shared" si="1550"/>
        <v>0</v>
      </c>
      <c r="U735" s="2300">
        <f t="shared" si="1550"/>
        <v>0</v>
      </c>
      <c r="V735" s="2301">
        <f t="shared" si="1551"/>
        <v>0</v>
      </c>
      <c r="W735" s="2317"/>
      <c r="X735" s="2316"/>
      <c r="Y735" s="2306">
        <f t="shared" si="1557"/>
        <v>0</v>
      </c>
      <c r="Z735" s="2307">
        <f t="shared" si="1552"/>
        <v>0</v>
      </c>
      <c r="AA735" s="2300">
        <f t="shared" si="1552"/>
        <v>0</v>
      </c>
      <c r="AB735" s="2303">
        <f t="shared" si="1553"/>
        <v>0</v>
      </c>
      <c r="AC735" s="2376"/>
      <c r="AD735" s="2316"/>
      <c r="AE735" s="2301">
        <f t="shared" si="1558"/>
        <v>0</v>
      </c>
      <c r="AF735" s="2377"/>
      <c r="AG735" s="2158"/>
      <c r="AH735" s="2316"/>
      <c r="AI735" s="2316"/>
      <c r="AJ735" s="2310">
        <f t="shared" si="1559"/>
        <v>0</v>
      </c>
      <c r="AK735" s="2316"/>
      <c r="AL735" s="2316"/>
      <c r="AM735" s="2310">
        <f t="shared" si="1592"/>
        <v>0</v>
      </c>
      <c r="AN735" s="2316"/>
      <c r="AO735" s="2316"/>
      <c r="AP735" s="2310">
        <f t="shared" si="1593"/>
        <v>0</v>
      </c>
      <c r="AQ735" s="2316"/>
      <c r="AR735" s="2316"/>
      <c r="AS735" s="2310">
        <f t="shared" si="1594"/>
        <v>0</v>
      </c>
      <c r="AT735" s="2316"/>
      <c r="AU735" s="2316"/>
      <c r="AV735" s="2310">
        <f t="shared" si="1595"/>
        <v>0</v>
      </c>
      <c r="AW735" s="2316"/>
      <c r="AX735" s="2316"/>
      <c r="AY735" s="2310">
        <f t="shared" si="1596"/>
        <v>0</v>
      </c>
      <c r="AZ735" s="2316"/>
      <c r="BA735" s="2316"/>
      <c r="BB735" s="2310">
        <f t="shared" si="1597"/>
        <v>0</v>
      </c>
      <c r="BC735" s="2316"/>
      <c r="BD735" s="2316"/>
      <c r="BE735" s="2310">
        <f t="shared" si="1598"/>
        <v>0</v>
      </c>
      <c r="BF735" s="2316"/>
      <c r="BG735" s="2316"/>
      <c r="BH735" s="2310">
        <f t="shared" si="1599"/>
        <v>0</v>
      </c>
      <c r="BI735" s="2316"/>
      <c r="BJ735" s="2316"/>
      <c r="BK735" s="2310">
        <f t="shared" si="1600"/>
        <v>0</v>
      </c>
      <c r="BL735" s="2316"/>
      <c r="BM735" s="2316"/>
      <c r="BN735" s="2310">
        <f t="shared" si="1601"/>
        <v>0</v>
      </c>
      <c r="BO735" s="2316"/>
      <c r="BP735" s="2316"/>
      <c r="BQ735" s="2310">
        <f t="shared" si="1602"/>
        <v>0</v>
      </c>
    </row>
    <row r="736" spans="3:69" s="2087" customFormat="1" ht="12" hidden="1" customHeight="1">
      <c r="C736" s="2378" t="s">
        <v>2901</v>
      </c>
      <c r="D736" s="2375" t="s">
        <v>42</v>
      </c>
      <c r="E736" s="2197" t="s">
        <v>240</v>
      </c>
      <c r="F736" s="2376"/>
      <c r="G736" s="2316"/>
      <c r="H736" s="2316"/>
      <c r="I736" s="2303">
        <f t="shared" si="1554"/>
        <v>0</v>
      </c>
      <c r="J736" s="2376"/>
      <c r="K736" s="2300">
        <f t="shared" si="1610"/>
        <v>0</v>
      </c>
      <c r="L736" s="2300">
        <f t="shared" si="1610"/>
        <v>0</v>
      </c>
      <c r="M736" s="2303">
        <f t="shared" si="1549"/>
        <v>0</v>
      </c>
      <c r="N736" s="2316"/>
      <c r="O736" s="2316"/>
      <c r="P736" s="2303">
        <f t="shared" si="1555"/>
        <v>0</v>
      </c>
      <c r="Q736" s="2376"/>
      <c r="R736" s="2316"/>
      <c r="S736" s="2301">
        <f t="shared" si="1556"/>
        <v>0</v>
      </c>
      <c r="T736" s="2304">
        <f t="shared" si="1550"/>
        <v>0</v>
      </c>
      <c r="U736" s="2300">
        <f t="shared" si="1550"/>
        <v>0</v>
      </c>
      <c r="V736" s="2301">
        <f t="shared" si="1551"/>
        <v>0</v>
      </c>
      <c r="W736" s="2317"/>
      <c r="X736" s="2316"/>
      <c r="Y736" s="2306">
        <f t="shared" si="1557"/>
        <v>0</v>
      </c>
      <c r="Z736" s="2307">
        <f t="shared" si="1552"/>
        <v>0</v>
      </c>
      <c r="AA736" s="2300">
        <f t="shared" si="1552"/>
        <v>0</v>
      </c>
      <c r="AB736" s="2303">
        <f t="shared" si="1553"/>
        <v>0</v>
      </c>
      <c r="AC736" s="2376"/>
      <c r="AD736" s="2316"/>
      <c r="AE736" s="2301">
        <f t="shared" si="1558"/>
        <v>0</v>
      </c>
      <c r="AF736" s="2380"/>
      <c r="AG736" s="2114"/>
      <c r="AH736" s="2316"/>
      <c r="AI736" s="2316"/>
      <c r="AJ736" s="2310">
        <f t="shared" si="1559"/>
        <v>0</v>
      </c>
      <c r="AK736" s="2316"/>
      <c r="AL736" s="2316"/>
      <c r="AM736" s="2310">
        <f t="shared" si="1592"/>
        <v>0</v>
      </c>
      <c r="AN736" s="2316"/>
      <c r="AO736" s="2316"/>
      <c r="AP736" s="2310">
        <f t="shared" si="1593"/>
        <v>0</v>
      </c>
      <c r="AQ736" s="2316"/>
      <c r="AR736" s="2316"/>
      <c r="AS736" s="2310">
        <f t="shared" si="1594"/>
        <v>0</v>
      </c>
      <c r="AT736" s="2316"/>
      <c r="AU736" s="2316"/>
      <c r="AV736" s="2310">
        <f t="shared" si="1595"/>
        <v>0</v>
      </c>
      <c r="AW736" s="2316"/>
      <c r="AX736" s="2316"/>
      <c r="AY736" s="2310">
        <f t="shared" si="1596"/>
        <v>0</v>
      </c>
      <c r="AZ736" s="2316"/>
      <c r="BA736" s="2316"/>
      <c r="BB736" s="2310">
        <f t="shared" si="1597"/>
        <v>0</v>
      </c>
      <c r="BC736" s="2316"/>
      <c r="BD736" s="2316"/>
      <c r="BE736" s="2310">
        <f t="shared" si="1598"/>
        <v>0</v>
      </c>
      <c r="BF736" s="2316"/>
      <c r="BG736" s="2316"/>
      <c r="BH736" s="2310">
        <f t="shared" si="1599"/>
        <v>0</v>
      </c>
      <c r="BI736" s="2316"/>
      <c r="BJ736" s="2316"/>
      <c r="BK736" s="2310">
        <f t="shared" si="1600"/>
        <v>0</v>
      </c>
      <c r="BL736" s="2316"/>
      <c r="BM736" s="2316"/>
      <c r="BN736" s="2310">
        <f t="shared" si="1601"/>
        <v>0</v>
      </c>
      <c r="BO736" s="2316"/>
      <c r="BP736" s="2316"/>
      <c r="BQ736" s="2310">
        <f t="shared" si="1602"/>
        <v>0</v>
      </c>
    </row>
    <row r="737" spans="3:69" s="2159" customFormat="1" ht="22.5">
      <c r="C737" s="2256" t="s">
        <v>2902</v>
      </c>
      <c r="D737" s="2161" t="s">
        <v>2903</v>
      </c>
      <c r="E737" s="2120" t="s">
        <v>240</v>
      </c>
      <c r="F737" s="2363">
        <f>F738+F740</f>
        <v>75.03</v>
      </c>
      <c r="G737" s="2364">
        <f>G738+G740+G742+G744+G746+G748</f>
        <v>62.216201000000005</v>
      </c>
      <c r="H737" s="2364">
        <f>H738+H740+H742+H744+H746+H748</f>
        <v>63.692608000000007</v>
      </c>
      <c r="I737" s="2365">
        <f>H737-G737</f>
        <v>1.4764070000000018</v>
      </c>
      <c r="J737" s="2363">
        <f>J738+J740+J742+J744+J746+J748</f>
        <v>72.008653574999997</v>
      </c>
      <c r="K737" s="2364">
        <f t="shared" si="1610"/>
        <v>58.741224043254718</v>
      </c>
      <c r="L737" s="2364">
        <f t="shared" si="1610"/>
        <v>0</v>
      </c>
      <c r="M737" s="2365">
        <f t="shared" si="1549"/>
        <v>-58.741224043254718</v>
      </c>
      <c r="N737" s="2364">
        <f>N738+N740+N742+N744+N746+N748</f>
        <v>11.892145688881833</v>
      </c>
      <c r="O737" s="2364">
        <f>O738+O740+O742+O744+O746+O748</f>
        <v>0</v>
      </c>
      <c r="P737" s="2365">
        <f>O737-N737</f>
        <v>-11.892145688881833</v>
      </c>
      <c r="Q737" s="2366">
        <f>Q738+Q740+Q742+Q744+Q746+Q748</f>
        <v>13.65033352172849</v>
      </c>
      <c r="R737" s="2364">
        <f>R738+R740+R742+R744+R746+R748</f>
        <v>0</v>
      </c>
      <c r="S737" s="2367">
        <f>R737-Q737</f>
        <v>-13.65033352172849</v>
      </c>
      <c r="T737" s="2368">
        <f t="shared" ref="T737:U752" si="1611">N737+Q737</f>
        <v>25.542479210610324</v>
      </c>
      <c r="U737" s="2364">
        <f t="shared" si="1611"/>
        <v>0</v>
      </c>
      <c r="V737" s="2367">
        <f t="shared" si="1551"/>
        <v>-25.542479210610324</v>
      </c>
      <c r="W737" s="2369">
        <f>W738+W740+W742+W744+W746+W748</f>
        <v>12.693989187017298</v>
      </c>
      <c r="X737" s="2364">
        <f>X738+X740+X742+X744+X746+X748</f>
        <v>0</v>
      </c>
      <c r="Y737" s="2370">
        <f>X737-W737</f>
        <v>-12.693989187017298</v>
      </c>
      <c r="Z737" s="2366">
        <f t="shared" ref="Z737:AA752" si="1612">T737+W737</f>
        <v>38.236468397627618</v>
      </c>
      <c r="AA737" s="2364">
        <f t="shared" si="1612"/>
        <v>0</v>
      </c>
      <c r="AB737" s="2365">
        <f t="shared" si="1553"/>
        <v>-38.236468397627618</v>
      </c>
      <c r="AC737" s="2366">
        <f>AC738+AC740+AC742+AC744+AC746+AC748</f>
        <v>20.504755645627103</v>
      </c>
      <c r="AD737" s="2364">
        <f>AD738+AD740+AD742+AD744+AD746+AD748</f>
        <v>0</v>
      </c>
      <c r="AE737" s="2367">
        <f>AD737-AC737</f>
        <v>-20.504755645627103</v>
      </c>
      <c r="AF737" s="2381"/>
      <c r="AG737" s="2158"/>
      <c r="AH737" s="2372">
        <f>AH738+AH740+AH742+AH744+AH746+AH748</f>
        <v>1.2999999999999999E-5</v>
      </c>
      <c r="AI737" s="2372">
        <f>AI738+AI740+AI742+AI744+AI746+AI748</f>
        <v>0</v>
      </c>
      <c r="AJ737" s="2373">
        <f>AI737-AH737</f>
        <v>-1.2999999999999999E-5</v>
      </c>
      <c r="AK737" s="2372">
        <f>AK738+AK740+AK742+AK744+AK746+AK748</f>
        <v>6.1025515222137887</v>
      </c>
      <c r="AL737" s="2372">
        <f>AL738+AL740+AL742+AL744+AL746+AL748</f>
        <v>0</v>
      </c>
      <c r="AM737" s="2373">
        <f>AL737-AK737</f>
        <v>-6.1025515222137887</v>
      </c>
      <c r="AN737" s="2372">
        <f>AN738+AN740+AN742+AN744+AN746+AN748</f>
        <v>5.7895811666680439</v>
      </c>
      <c r="AO737" s="2372">
        <f>AO738+AO740+AO742+AO744+AO746+AO748</f>
        <v>0</v>
      </c>
      <c r="AP737" s="2373">
        <f>AO737-AN737</f>
        <v>-5.7895811666680439</v>
      </c>
      <c r="AQ737" s="2372">
        <f>AQ738+AQ740+AQ742+AQ744+AQ746+AQ748</f>
        <v>5.0778258047833589</v>
      </c>
      <c r="AR737" s="2372">
        <f>AR738+AR740+AR742+AR744+AR746+AR748</f>
        <v>0</v>
      </c>
      <c r="AS737" s="2373">
        <f>AR737-AQ737</f>
        <v>-5.0778258047833589</v>
      </c>
      <c r="AT737" s="2372">
        <f>AT738+AT740+AT742+AT744+AT746+AT748</f>
        <v>4.818453122528731</v>
      </c>
      <c r="AU737" s="2372">
        <f>AU738+AU740+AU742+AU744+AU746+AU748</f>
        <v>0</v>
      </c>
      <c r="AV737" s="2373">
        <f>AU737-AT737</f>
        <v>-4.818453122528731</v>
      </c>
      <c r="AW737" s="2372">
        <f>AW738+AW740+AW742+AW744+AW746+AW748</f>
        <v>3.7540545944163983</v>
      </c>
      <c r="AX737" s="2372">
        <f>AX738+AX740+AX742+AX744+AX746+AX748</f>
        <v>0</v>
      </c>
      <c r="AY737" s="2373">
        <f>AX737-AW737</f>
        <v>-3.7540545944163983</v>
      </c>
      <c r="AZ737" s="2372">
        <f>AZ738+AZ740+AZ742+AZ744+AZ746+AZ748</f>
        <v>3.9803499014656953</v>
      </c>
      <c r="BA737" s="2372">
        <f>BA738+BA740+BA742+BA744+BA746+BA748</f>
        <v>0</v>
      </c>
      <c r="BB737" s="2373">
        <f>BA737-AZ737</f>
        <v>-3.9803499014656953</v>
      </c>
      <c r="BC737" s="2372">
        <f>BC738+BC740+BC742+BC744+BC746+BC748</f>
        <v>4.0895814301443405</v>
      </c>
      <c r="BD737" s="2372">
        <f>BD738+BD740+BD742+BD744+BD746+BD748</f>
        <v>0</v>
      </c>
      <c r="BE737" s="2373">
        <f>BD737-BC737</f>
        <v>-4.0895814301443405</v>
      </c>
      <c r="BF737" s="2372">
        <f>BF738+BF740+BF742+BF744+BF746+BF748</f>
        <v>4.6240578554072638</v>
      </c>
      <c r="BG737" s="2372">
        <f>BG738+BG740+BG742+BG744+BG746+BG748</f>
        <v>0</v>
      </c>
      <c r="BH737" s="2373">
        <f>BG737-BF737</f>
        <v>-4.6240578554072638</v>
      </c>
      <c r="BI737" s="2372">
        <f>BI738+BI740+BI742+BI744+BI746+BI748</f>
        <v>5.9324701091004801</v>
      </c>
      <c r="BJ737" s="2372">
        <f>BJ738+BJ740+BJ742+BJ744+BJ746+BJ748</f>
        <v>0</v>
      </c>
      <c r="BK737" s="2373">
        <f>BJ737-BI737</f>
        <v>-5.9324701091004801</v>
      </c>
      <c r="BL737" s="2372">
        <f>BL738+BL740+BL742+BL744+BL746+BL748</f>
        <v>6.9773557516365621</v>
      </c>
      <c r="BM737" s="2372">
        <f>BM738+BM740+BM742+BM744+BM746+BM748</f>
        <v>0</v>
      </c>
      <c r="BN737" s="2373">
        <f>BM737-BL737</f>
        <v>-6.9773557516365621</v>
      </c>
      <c r="BO737" s="2372">
        <f>BO738+BO740+BO742+BO744+BO746+BO748</f>
        <v>7.5949297848900601</v>
      </c>
      <c r="BP737" s="2372">
        <f>BP738+BP740+BP742+BP744+BP746+BP748</f>
        <v>0</v>
      </c>
      <c r="BQ737" s="2373">
        <f>BP737-BO737</f>
        <v>-7.5949297848900601</v>
      </c>
    </row>
    <row r="738" spans="3:69" s="2087" customFormat="1" ht="12" customHeight="1">
      <c r="C738" s="2173" t="s">
        <v>2904</v>
      </c>
      <c r="D738" s="2362" t="s">
        <v>2875</v>
      </c>
      <c r="E738" s="2197" t="s">
        <v>240</v>
      </c>
      <c r="F738" s="2376">
        <v>74.978449999999995</v>
      </c>
      <c r="G738" s="2316">
        <v>62.216201000000005</v>
      </c>
      <c r="H738" s="2316">
        <v>63.642388000000004</v>
      </c>
      <c r="I738" s="2303">
        <f t="shared" ref="I738:I749" si="1613">H738-G738</f>
        <v>1.4261869999999988</v>
      </c>
      <c r="J738" s="2376">
        <v>71.958092574999995</v>
      </c>
      <c r="K738" s="2300">
        <f t="shared" si="1610"/>
        <v>58.694952043254716</v>
      </c>
      <c r="L738" s="2300">
        <f t="shared" si="1610"/>
        <v>0</v>
      </c>
      <c r="M738" s="2303">
        <f t="shared" si="1549"/>
        <v>-58.694952043254716</v>
      </c>
      <c r="N738" s="2316">
        <f t="shared" ref="N738:N740" si="1614">AH738+AK738+AN738</f>
        <v>11.883784688881832</v>
      </c>
      <c r="O738" s="2316"/>
      <c r="P738" s="2303">
        <f t="shared" ref="P738:P749" si="1615">O738-N738</f>
        <v>-11.883784688881832</v>
      </c>
      <c r="Q738" s="2316">
        <f>AQ738+AT738+AW738</f>
        <v>13.637949521728489</v>
      </c>
      <c r="R738" s="2316"/>
      <c r="S738" s="2301">
        <f t="shared" ref="S738:S749" si="1616">R738-Q738</f>
        <v>-13.637949521728489</v>
      </c>
      <c r="T738" s="2304">
        <f t="shared" si="1611"/>
        <v>25.521734210610319</v>
      </c>
      <c r="U738" s="2300">
        <f t="shared" si="1611"/>
        <v>0</v>
      </c>
      <c r="V738" s="2301">
        <f t="shared" si="1551"/>
        <v>-25.521734210610319</v>
      </c>
      <c r="W738" s="2317">
        <f>AZ738+BC738+BF738</f>
        <v>12.681326187017298</v>
      </c>
      <c r="X738" s="2316"/>
      <c r="Y738" s="2306">
        <f t="shared" ref="Y738:Y749" si="1617">X738-W738</f>
        <v>-12.681326187017298</v>
      </c>
      <c r="Z738" s="2307">
        <f t="shared" si="1612"/>
        <v>38.203060397627617</v>
      </c>
      <c r="AA738" s="2300">
        <f t="shared" si="1612"/>
        <v>0</v>
      </c>
      <c r="AB738" s="2303">
        <f t="shared" si="1553"/>
        <v>-38.203060397627617</v>
      </c>
      <c r="AC738" s="2316">
        <f>BI738+BL738+BO738</f>
        <v>20.491891645627103</v>
      </c>
      <c r="AD738" s="2316"/>
      <c r="AE738" s="2301">
        <f t="shared" ref="AE738:AE749" si="1618">AD738-AC738</f>
        <v>-20.491891645627103</v>
      </c>
      <c r="AF738" s="2382"/>
      <c r="AG738" s="2114"/>
      <c r="AH738" s="2316">
        <f>'Шаблон 46 ГП'!C174/1000000</f>
        <v>0</v>
      </c>
      <c r="AI738" s="2316"/>
      <c r="AJ738" s="2310">
        <f t="shared" ref="AJ738:AJ749" si="1619">AI738-AH738</f>
        <v>0</v>
      </c>
      <c r="AK738" s="2316">
        <v>6.0983495222137885</v>
      </c>
      <c r="AL738" s="2316"/>
      <c r="AM738" s="2310">
        <f t="shared" ref="AM738:AM749" si="1620">AL738-AK738</f>
        <v>-6.0983495222137885</v>
      </c>
      <c r="AN738" s="2316">
        <v>5.7854351666680435</v>
      </c>
      <c r="AO738" s="2316"/>
      <c r="AP738" s="2310">
        <f t="shared" ref="AP738:AP749" si="1621">AO738-AN738</f>
        <v>-5.7854351666680435</v>
      </c>
      <c r="AQ738" s="2316">
        <v>5.0736208047833591</v>
      </c>
      <c r="AR738" s="2316"/>
      <c r="AS738" s="2310">
        <f t="shared" ref="AS738:AS749" si="1622">AR738-AQ738</f>
        <v>-5.0736208047833591</v>
      </c>
      <c r="AT738" s="2316">
        <v>4.814354122528731</v>
      </c>
      <c r="AU738" s="2316"/>
      <c r="AV738" s="2310">
        <f t="shared" ref="AV738:AV749" si="1623">AU738-AT738</f>
        <v>-4.814354122528731</v>
      </c>
      <c r="AW738" s="2316">
        <v>3.7499745944163982</v>
      </c>
      <c r="AX738" s="2316"/>
      <c r="AY738" s="2310">
        <f t="shared" ref="AY738:AY749" si="1624">AX738-AW738</f>
        <v>-3.7499745944163982</v>
      </c>
      <c r="AZ738" s="2316">
        <v>3.9761619014656953</v>
      </c>
      <c r="BA738" s="2316"/>
      <c r="BB738" s="2310">
        <f t="shared" ref="BB738:BB749" si="1625">BA738-AZ738</f>
        <v>-3.9761619014656953</v>
      </c>
      <c r="BC738" s="2316">
        <v>4.0854394301443406</v>
      </c>
      <c r="BD738" s="2316"/>
      <c r="BE738" s="2310">
        <f t="shared" ref="BE738:BE749" si="1626">BD738-BC738</f>
        <v>-4.0854394301443406</v>
      </c>
      <c r="BF738" s="2316">
        <v>4.6197248554072639</v>
      </c>
      <c r="BG738" s="2316"/>
      <c r="BH738" s="2310">
        <f t="shared" ref="BH738:BH749" si="1627">BG738-BF738</f>
        <v>-4.6197248554072639</v>
      </c>
      <c r="BI738" s="2316">
        <v>5.92826910910048</v>
      </c>
      <c r="BJ738" s="2316"/>
      <c r="BK738" s="2310">
        <f t="shared" ref="BK738:BK749" si="1628">BJ738-BI738</f>
        <v>-5.92826910910048</v>
      </c>
      <c r="BL738" s="2316">
        <v>6.9730357516365622</v>
      </c>
      <c r="BM738" s="2316"/>
      <c r="BN738" s="2310">
        <f t="shared" ref="BN738:BN749" si="1629">BM738-BL738</f>
        <v>-6.9730357516365622</v>
      </c>
      <c r="BO738" s="2316">
        <v>7.5905867848900597</v>
      </c>
      <c r="BP738" s="2316"/>
      <c r="BQ738" s="2310">
        <f t="shared" ref="BQ738:BQ749" si="1630">BP738-BO738</f>
        <v>-7.5905867848900597</v>
      </c>
    </row>
    <row r="739" spans="3:69" s="2087" customFormat="1" ht="12" customHeight="1">
      <c r="C739" s="2173" t="s">
        <v>2905</v>
      </c>
      <c r="D739" s="2209" t="s">
        <v>2211</v>
      </c>
      <c r="E739" s="2197" t="s">
        <v>240</v>
      </c>
      <c r="F739" s="2376"/>
      <c r="G739" s="2316"/>
      <c r="H739" s="2316"/>
      <c r="I739" s="2303">
        <f t="shared" si="1613"/>
        <v>0</v>
      </c>
      <c r="J739" s="2376">
        <f t="shared" ref="J739:J741" si="1631">K739</f>
        <v>0</v>
      </c>
      <c r="K739" s="2300">
        <f t="shared" si="1610"/>
        <v>0</v>
      </c>
      <c r="L739" s="2300">
        <f t="shared" si="1610"/>
        <v>0</v>
      </c>
      <c r="M739" s="2303">
        <f t="shared" si="1549"/>
        <v>0</v>
      </c>
      <c r="N739" s="2316">
        <f t="shared" si="1614"/>
        <v>0</v>
      </c>
      <c r="O739" s="2316"/>
      <c r="P739" s="2303">
        <f t="shared" si="1615"/>
        <v>0</v>
      </c>
      <c r="Q739" s="2316">
        <f t="shared" ref="Q739:Q740" si="1632">AQ739+AT739+AW739</f>
        <v>0</v>
      </c>
      <c r="R739" s="2316"/>
      <c r="S739" s="2301">
        <f t="shared" si="1616"/>
        <v>0</v>
      </c>
      <c r="T739" s="2304">
        <f t="shared" si="1611"/>
        <v>0</v>
      </c>
      <c r="U739" s="2300">
        <f t="shared" si="1611"/>
        <v>0</v>
      </c>
      <c r="V739" s="2301">
        <f t="shared" si="1551"/>
        <v>0</v>
      </c>
      <c r="W739" s="2317">
        <f t="shared" ref="W739:W740" si="1633">AZ739+BC739+BF739</f>
        <v>0</v>
      </c>
      <c r="X739" s="2316"/>
      <c r="Y739" s="2306">
        <f t="shared" si="1617"/>
        <v>0</v>
      </c>
      <c r="Z739" s="2307">
        <f t="shared" si="1612"/>
        <v>0</v>
      </c>
      <c r="AA739" s="2300">
        <f t="shared" si="1612"/>
        <v>0</v>
      </c>
      <c r="AB739" s="2303">
        <f t="shared" si="1553"/>
        <v>0</v>
      </c>
      <c r="AC739" s="2316">
        <f t="shared" ref="AC739:AC740" si="1634">BI739+BL739+BO739</f>
        <v>0</v>
      </c>
      <c r="AD739" s="2316"/>
      <c r="AE739" s="2301">
        <f t="shared" si="1618"/>
        <v>0</v>
      </c>
      <c r="AF739" s="2380"/>
      <c r="AG739" s="2114"/>
      <c r="AH739" s="2316"/>
      <c r="AI739" s="2316"/>
      <c r="AJ739" s="2310">
        <f t="shared" si="1619"/>
        <v>0</v>
      </c>
      <c r="AK739" s="2316"/>
      <c r="AL739" s="2316"/>
      <c r="AM739" s="2310">
        <f t="shared" si="1620"/>
        <v>0</v>
      </c>
      <c r="AN739" s="2316"/>
      <c r="AO739" s="2316"/>
      <c r="AP739" s="2310">
        <f t="shared" si="1621"/>
        <v>0</v>
      </c>
      <c r="AQ739" s="2316"/>
      <c r="AR739" s="2316"/>
      <c r="AS739" s="2310">
        <f t="shared" si="1622"/>
        <v>0</v>
      </c>
      <c r="AT739" s="2316"/>
      <c r="AU739" s="2316"/>
      <c r="AV739" s="2310">
        <f t="shared" si="1623"/>
        <v>0</v>
      </c>
      <c r="AW739" s="2316"/>
      <c r="AX739" s="2316"/>
      <c r="AY739" s="2310">
        <f t="shared" si="1624"/>
        <v>0</v>
      </c>
      <c r="AZ739" s="2316"/>
      <c r="BA739" s="2316"/>
      <c r="BB739" s="2310">
        <f t="shared" si="1625"/>
        <v>0</v>
      </c>
      <c r="BC739" s="2316"/>
      <c r="BD739" s="2316"/>
      <c r="BE739" s="2310">
        <f t="shared" si="1626"/>
        <v>0</v>
      </c>
      <c r="BF739" s="2316"/>
      <c r="BG739" s="2316"/>
      <c r="BH739" s="2310">
        <f t="shared" si="1627"/>
        <v>0</v>
      </c>
      <c r="BI739" s="2316"/>
      <c r="BJ739" s="2316"/>
      <c r="BK739" s="2310">
        <f t="shared" si="1628"/>
        <v>0</v>
      </c>
      <c r="BL739" s="2316"/>
      <c r="BM739" s="2316"/>
      <c r="BN739" s="2310">
        <f t="shared" si="1629"/>
        <v>0</v>
      </c>
      <c r="BO739" s="2316"/>
      <c r="BP739" s="2316"/>
      <c r="BQ739" s="2310">
        <f t="shared" si="1630"/>
        <v>0</v>
      </c>
    </row>
    <row r="740" spans="3:69" s="2087" customFormat="1" ht="12" customHeight="1">
      <c r="C740" s="2173" t="s">
        <v>2906</v>
      </c>
      <c r="D740" s="2362" t="s">
        <v>1821</v>
      </c>
      <c r="E740" s="2197" t="s">
        <v>240</v>
      </c>
      <c r="F740" s="2376">
        <v>5.1549999999999999E-2</v>
      </c>
      <c r="G740" s="2316"/>
      <c r="H740" s="2316">
        <v>5.0220000000000001E-2</v>
      </c>
      <c r="I740" s="2303">
        <f t="shared" si="1613"/>
        <v>5.0220000000000001E-2</v>
      </c>
      <c r="J740" s="2376">
        <v>5.0561000000000002E-2</v>
      </c>
      <c r="K740" s="2300">
        <f t="shared" si="1610"/>
        <v>4.6272000000000001E-2</v>
      </c>
      <c r="L740" s="2300">
        <f t="shared" si="1610"/>
        <v>0</v>
      </c>
      <c r="M740" s="2303">
        <f t="shared" si="1549"/>
        <v>-4.6272000000000001E-2</v>
      </c>
      <c r="N740" s="2316">
        <f t="shared" si="1614"/>
        <v>8.3610000000000004E-3</v>
      </c>
      <c r="O740" s="2316"/>
      <c r="P740" s="2303">
        <f t="shared" si="1615"/>
        <v>-8.3610000000000004E-3</v>
      </c>
      <c r="Q740" s="2316">
        <f t="shared" si="1632"/>
        <v>1.2384000000000001E-2</v>
      </c>
      <c r="R740" s="2316"/>
      <c r="S740" s="2301">
        <f t="shared" si="1616"/>
        <v>-1.2384000000000001E-2</v>
      </c>
      <c r="T740" s="2304">
        <f t="shared" si="1611"/>
        <v>2.0745E-2</v>
      </c>
      <c r="U740" s="2300">
        <f t="shared" si="1611"/>
        <v>0</v>
      </c>
      <c r="V740" s="2301">
        <f t="shared" si="1551"/>
        <v>-2.0745E-2</v>
      </c>
      <c r="W740" s="2317">
        <f t="shared" si="1633"/>
        <v>1.2663000000000001E-2</v>
      </c>
      <c r="X740" s="2316"/>
      <c r="Y740" s="2306">
        <f t="shared" si="1617"/>
        <v>-1.2663000000000001E-2</v>
      </c>
      <c r="Z740" s="2307">
        <f t="shared" si="1612"/>
        <v>3.3408E-2</v>
      </c>
      <c r="AA740" s="2300">
        <f t="shared" si="1612"/>
        <v>0</v>
      </c>
      <c r="AB740" s="2303">
        <f t="shared" si="1553"/>
        <v>-3.3408E-2</v>
      </c>
      <c r="AC740" s="2316">
        <f t="shared" si="1634"/>
        <v>1.2864E-2</v>
      </c>
      <c r="AD740" s="2316"/>
      <c r="AE740" s="2301">
        <f t="shared" si="1618"/>
        <v>-1.2864E-2</v>
      </c>
      <c r="AF740" s="2380"/>
      <c r="AG740" s="2114"/>
      <c r="AH740" s="2316">
        <f>'Шаблон 46 ГП'!C176/1000000</f>
        <v>1.2999999999999999E-5</v>
      </c>
      <c r="AI740" s="2316"/>
      <c r="AJ740" s="2310">
        <f t="shared" si="1619"/>
        <v>-1.2999999999999999E-5</v>
      </c>
      <c r="AK740" s="2316">
        <v>4.202E-3</v>
      </c>
      <c r="AL740" s="2316"/>
      <c r="AM740" s="2310">
        <f t="shared" si="1620"/>
        <v>-4.202E-3</v>
      </c>
      <c r="AN740" s="2316">
        <v>4.1460000000000004E-3</v>
      </c>
      <c r="AO740" s="2316"/>
      <c r="AP740" s="2310">
        <f t="shared" si="1621"/>
        <v>-4.1460000000000004E-3</v>
      </c>
      <c r="AQ740" s="2316">
        <v>4.2050000000000004E-3</v>
      </c>
      <c r="AR740" s="2316"/>
      <c r="AS740" s="2310">
        <f t="shared" si="1622"/>
        <v>-4.2050000000000004E-3</v>
      </c>
      <c r="AT740" s="2316">
        <v>4.0990000000000002E-3</v>
      </c>
      <c r="AU740" s="2316"/>
      <c r="AV740" s="2310">
        <f t="shared" si="1623"/>
        <v>-4.0990000000000002E-3</v>
      </c>
      <c r="AW740" s="2316">
        <v>4.0800000000000003E-3</v>
      </c>
      <c r="AX740" s="2316"/>
      <c r="AY740" s="2310">
        <f t="shared" si="1624"/>
        <v>-4.0800000000000003E-3</v>
      </c>
      <c r="AZ740" s="2316">
        <v>4.1879999999999999E-3</v>
      </c>
      <c r="BA740" s="2316"/>
      <c r="BB740" s="2310">
        <f t="shared" si="1625"/>
        <v>-4.1879999999999999E-3</v>
      </c>
      <c r="BC740" s="2316">
        <v>4.1419999999999998E-3</v>
      </c>
      <c r="BD740" s="2316"/>
      <c r="BE740" s="2310">
        <f t="shared" si="1626"/>
        <v>-4.1419999999999998E-3</v>
      </c>
      <c r="BF740" s="2316">
        <v>4.333E-3</v>
      </c>
      <c r="BG740" s="2316"/>
      <c r="BH740" s="2310">
        <f t="shared" si="1627"/>
        <v>-4.333E-3</v>
      </c>
      <c r="BI740" s="2316">
        <v>4.2009999999999999E-3</v>
      </c>
      <c r="BJ740" s="2316"/>
      <c r="BK740" s="2310">
        <f t="shared" si="1628"/>
        <v>-4.2009999999999999E-3</v>
      </c>
      <c r="BL740" s="2316">
        <v>4.3200000000000001E-3</v>
      </c>
      <c r="BM740" s="2316"/>
      <c r="BN740" s="2310">
        <f t="shared" si="1629"/>
        <v>-4.3200000000000001E-3</v>
      </c>
      <c r="BO740" s="2316">
        <v>4.3429999999999996E-3</v>
      </c>
      <c r="BP740" s="2316"/>
      <c r="BQ740" s="2310">
        <f t="shared" si="1630"/>
        <v>-4.3429999999999996E-3</v>
      </c>
    </row>
    <row r="741" spans="3:69" s="2087" customFormat="1" ht="12" customHeight="1">
      <c r="C741" s="2173" t="s">
        <v>2907</v>
      </c>
      <c r="D741" s="2209" t="s">
        <v>2211</v>
      </c>
      <c r="E741" s="2197" t="s">
        <v>240</v>
      </c>
      <c r="F741" s="2376"/>
      <c r="G741" s="2316"/>
      <c r="H741" s="2316"/>
      <c r="I741" s="2303">
        <f t="shared" si="1613"/>
        <v>0</v>
      </c>
      <c r="J741" s="2376">
        <f t="shared" si="1631"/>
        <v>0</v>
      </c>
      <c r="K741" s="2300">
        <f t="shared" si="1610"/>
        <v>0</v>
      </c>
      <c r="L741" s="2300">
        <f t="shared" si="1610"/>
        <v>0</v>
      </c>
      <c r="M741" s="2303">
        <f t="shared" si="1549"/>
        <v>0</v>
      </c>
      <c r="N741" s="2316"/>
      <c r="O741" s="2316"/>
      <c r="P741" s="2303">
        <f t="shared" si="1615"/>
        <v>0</v>
      </c>
      <c r="Q741" s="2376"/>
      <c r="R741" s="2316"/>
      <c r="S741" s="2301">
        <f t="shared" si="1616"/>
        <v>0</v>
      </c>
      <c r="T741" s="2304">
        <f t="shared" si="1611"/>
        <v>0</v>
      </c>
      <c r="U741" s="2300">
        <f t="shared" si="1611"/>
        <v>0</v>
      </c>
      <c r="V741" s="2301">
        <f t="shared" si="1551"/>
        <v>0</v>
      </c>
      <c r="W741" s="2317"/>
      <c r="X741" s="2316"/>
      <c r="Y741" s="2306">
        <f t="shared" si="1617"/>
        <v>0</v>
      </c>
      <c r="Z741" s="2307">
        <f t="shared" si="1612"/>
        <v>0</v>
      </c>
      <c r="AA741" s="2300">
        <f t="shared" si="1612"/>
        <v>0</v>
      </c>
      <c r="AB741" s="2303">
        <f t="shared" si="1553"/>
        <v>0</v>
      </c>
      <c r="AC741" s="2376"/>
      <c r="AD741" s="2316"/>
      <c r="AE741" s="2301">
        <f t="shared" si="1618"/>
        <v>0</v>
      </c>
      <c r="AF741" s="2380"/>
      <c r="AG741" s="2114"/>
      <c r="AH741" s="2316"/>
      <c r="AI741" s="2316"/>
      <c r="AJ741" s="2310">
        <f t="shared" si="1619"/>
        <v>0</v>
      </c>
      <c r="AK741" s="2316"/>
      <c r="AL741" s="2316"/>
      <c r="AM741" s="2310">
        <f t="shared" si="1620"/>
        <v>0</v>
      </c>
      <c r="AN741" s="2316"/>
      <c r="AO741" s="2316"/>
      <c r="AP741" s="2310">
        <f t="shared" si="1621"/>
        <v>0</v>
      </c>
      <c r="AQ741" s="2316"/>
      <c r="AR741" s="2316"/>
      <c r="AS741" s="2310">
        <f t="shared" si="1622"/>
        <v>0</v>
      </c>
      <c r="AT741" s="2316"/>
      <c r="AU741" s="2316"/>
      <c r="AV741" s="2310">
        <f t="shared" si="1623"/>
        <v>0</v>
      </c>
      <c r="AW741" s="2316"/>
      <c r="AX741" s="2316"/>
      <c r="AY741" s="2310">
        <f t="shared" si="1624"/>
        <v>0</v>
      </c>
      <c r="AZ741" s="2316"/>
      <c r="BA741" s="2316"/>
      <c r="BB741" s="2310">
        <f t="shared" si="1625"/>
        <v>0</v>
      </c>
      <c r="BC741" s="2316"/>
      <c r="BD741" s="2316"/>
      <c r="BE741" s="2310">
        <f t="shared" si="1626"/>
        <v>0</v>
      </c>
      <c r="BF741" s="2316"/>
      <c r="BG741" s="2316"/>
      <c r="BH741" s="2310">
        <f t="shared" si="1627"/>
        <v>0</v>
      </c>
      <c r="BI741" s="2316"/>
      <c r="BJ741" s="2316"/>
      <c r="BK741" s="2310">
        <f t="shared" si="1628"/>
        <v>0</v>
      </c>
      <c r="BL741" s="2316"/>
      <c r="BM741" s="2316"/>
      <c r="BN741" s="2310">
        <f t="shared" si="1629"/>
        <v>0</v>
      </c>
      <c r="BO741" s="2316"/>
      <c r="BP741" s="2316"/>
      <c r="BQ741" s="2310">
        <f t="shared" si="1630"/>
        <v>0</v>
      </c>
    </row>
    <row r="742" spans="3:69" s="2087" customFormat="1" ht="12" hidden="1" customHeight="1">
      <c r="C742" s="2173" t="s">
        <v>2908</v>
      </c>
      <c r="D742" s="2362"/>
      <c r="E742" s="2197" t="s">
        <v>240</v>
      </c>
      <c r="F742" s="2376"/>
      <c r="G742" s="2316"/>
      <c r="H742" s="2316"/>
      <c r="I742" s="2303">
        <f t="shared" si="1613"/>
        <v>0</v>
      </c>
      <c r="J742" s="2376"/>
      <c r="K742" s="2300">
        <f t="shared" si="1610"/>
        <v>0</v>
      </c>
      <c r="L742" s="2300">
        <f t="shared" si="1610"/>
        <v>0</v>
      </c>
      <c r="M742" s="2303">
        <f t="shared" si="1549"/>
        <v>0</v>
      </c>
      <c r="N742" s="2316"/>
      <c r="O742" s="2316"/>
      <c r="P742" s="2303">
        <f t="shared" si="1615"/>
        <v>0</v>
      </c>
      <c r="Q742" s="2376"/>
      <c r="R742" s="2316"/>
      <c r="S742" s="2301">
        <f t="shared" si="1616"/>
        <v>0</v>
      </c>
      <c r="T742" s="2304">
        <f t="shared" si="1611"/>
        <v>0</v>
      </c>
      <c r="U742" s="2300">
        <f t="shared" si="1611"/>
        <v>0</v>
      </c>
      <c r="V742" s="2301">
        <f t="shared" si="1551"/>
        <v>0</v>
      </c>
      <c r="W742" s="2317"/>
      <c r="X742" s="2316"/>
      <c r="Y742" s="2306">
        <f t="shared" si="1617"/>
        <v>0</v>
      </c>
      <c r="Z742" s="2307">
        <f t="shared" si="1612"/>
        <v>0</v>
      </c>
      <c r="AA742" s="2300">
        <f t="shared" si="1612"/>
        <v>0</v>
      </c>
      <c r="AB742" s="2303">
        <f t="shared" si="1553"/>
        <v>0</v>
      </c>
      <c r="AC742" s="2376"/>
      <c r="AD742" s="2316"/>
      <c r="AE742" s="2301">
        <f t="shared" si="1618"/>
        <v>0</v>
      </c>
      <c r="AF742" s="2381"/>
      <c r="AG742" s="2114"/>
      <c r="AH742" s="2316"/>
      <c r="AI742" s="2316"/>
      <c r="AJ742" s="2310">
        <f t="shared" si="1619"/>
        <v>0</v>
      </c>
      <c r="AK742" s="2316"/>
      <c r="AL742" s="2316"/>
      <c r="AM742" s="2310">
        <f t="shared" si="1620"/>
        <v>0</v>
      </c>
      <c r="AN742" s="2316"/>
      <c r="AO742" s="2316"/>
      <c r="AP742" s="2310">
        <f t="shared" si="1621"/>
        <v>0</v>
      </c>
      <c r="AQ742" s="2316"/>
      <c r="AR742" s="2316"/>
      <c r="AS742" s="2310">
        <f t="shared" si="1622"/>
        <v>0</v>
      </c>
      <c r="AT742" s="2316"/>
      <c r="AU742" s="2316"/>
      <c r="AV742" s="2310">
        <f t="shared" si="1623"/>
        <v>0</v>
      </c>
      <c r="AW742" s="2316"/>
      <c r="AX742" s="2316"/>
      <c r="AY742" s="2310">
        <f t="shared" si="1624"/>
        <v>0</v>
      </c>
      <c r="AZ742" s="2316"/>
      <c r="BA742" s="2316"/>
      <c r="BB742" s="2310">
        <f t="shared" si="1625"/>
        <v>0</v>
      </c>
      <c r="BC742" s="2316"/>
      <c r="BD742" s="2316"/>
      <c r="BE742" s="2310">
        <f t="shared" si="1626"/>
        <v>0</v>
      </c>
      <c r="BF742" s="2316"/>
      <c r="BG742" s="2316"/>
      <c r="BH742" s="2310">
        <f t="shared" si="1627"/>
        <v>0</v>
      </c>
      <c r="BI742" s="2316"/>
      <c r="BJ742" s="2316"/>
      <c r="BK742" s="2310">
        <f t="shared" si="1628"/>
        <v>0</v>
      </c>
      <c r="BL742" s="2316"/>
      <c r="BM742" s="2316"/>
      <c r="BN742" s="2310">
        <f t="shared" si="1629"/>
        <v>0</v>
      </c>
      <c r="BO742" s="2316"/>
      <c r="BP742" s="2316"/>
      <c r="BQ742" s="2310">
        <f t="shared" si="1630"/>
        <v>0</v>
      </c>
    </row>
    <row r="743" spans="3:69" s="2087" customFormat="1" ht="12" hidden="1" customHeight="1">
      <c r="C743" s="2173" t="s">
        <v>2909</v>
      </c>
      <c r="D743" s="2209" t="s">
        <v>2211</v>
      </c>
      <c r="E743" s="2197" t="s">
        <v>240</v>
      </c>
      <c r="F743" s="2376"/>
      <c r="G743" s="2316"/>
      <c r="H743" s="2316"/>
      <c r="I743" s="2303">
        <f t="shared" si="1613"/>
        <v>0</v>
      </c>
      <c r="J743" s="2376"/>
      <c r="K743" s="2300">
        <f t="shared" si="1610"/>
        <v>0</v>
      </c>
      <c r="L743" s="2300">
        <f t="shared" si="1610"/>
        <v>0</v>
      </c>
      <c r="M743" s="2303">
        <f t="shared" si="1549"/>
        <v>0</v>
      </c>
      <c r="N743" s="2316"/>
      <c r="O743" s="2316"/>
      <c r="P743" s="2303">
        <f t="shared" si="1615"/>
        <v>0</v>
      </c>
      <c r="Q743" s="2376"/>
      <c r="R743" s="2316"/>
      <c r="S743" s="2301">
        <f t="shared" si="1616"/>
        <v>0</v>
      </c>
      <c r="T743" s="2304">
        <f t="shared" si="1611"/>
        <v>0</v>
      </c>
      <c r="U743" s="2300">
        <f t="shared" si="1611"/>
        <v>0</v>
      </c>
      <c r="V743" s="2301">
        <f t="shared" si="1551"/>
        <v>0</v>
      </c>
      <c r="W743" s="2317"/>
      <c r="X743" s="2316"/>
      <c r="Y743" s="2306">
        <f t="shared" si="1617"/>
        <v>0</v>
      </c>
      <c r="Z743" s="2307">
        <f t="shared" si="1612"/>
        <v>0</v>
      </c>
      <c r="AA743" s="2300">
        <f t="shared" si="1612"/>
        <v>0</v>
      </c>
      <c r="AB743" s="2303">
        <f t="shared" si="1553"/>
        <v>0</v>
      </c>
      <c r="AC743" s="2376"/>
      <c r="AD743" s="2316"/>
      <c r="AE743" s="2301">
        <f t="shared" si="1618"/>
        <v>0</v>
      </c>
      <c r="AF743" s="2381"/>
      <c r="AG743" s="2114"/>
      <c r="AH743" s="2316"/>
      <c r="AI743" s="2316"/>
      <c r="AJ743" s="2310">
        <f t="shared" si="1619"/>
        <v>0</v>
      </c>
      <c r="AK743" s="2316"/>
      <c r="AL743" s="2316"/>
      <c r="AM743" s="2310">
        <f t="shared" si="1620"/>
        <v>0</v>
      </c>
      <c r="AN743" s="2316"/>
      <c r="AO743" s="2316"/>
      <c r="AP743" s="2310">
        <f t="shared" si="1621"/>
        <v>0</v>
      </c>
      <c r="AQ743" s="2316"/>
      <c r="AR743" s="2316"/>
      <c r="AS743" s="2310">
        <f t="shared" si="1622"/>
        <v>0</v>
      </c>
      <c r="AT743" s="2316"/>
      <c r="AU743" s="2316"/>
      <c r="AV743" s="2310">
        <f t="shared" si="1623"/>
        <v>0</v>
      </c>
      <c r="AW743" s="2316"/>
      <c r="AX743" s="2316"/>
      <c r="AY743" s="2310">
        <f t="shared" si="1624"/>
        <v>0</v>
      </c>
      <c r="AZ743" s="2316"/>
      <c r="BA743" s="2316"/>
      <c r="BB743" s="2310">
        <f t="shared" si="1625"/>
        <v>0</v>
      </c>
      <c r="BC743" s="2316"/>
      <c r="BD743" s="2316"/>
      <c r="BE743" s="2310">
        <f t="shared" si="1626"/>
        <v>0</v>
      </c>
      <c r="BF743" s="2316"/>
      <c r="BG743" s="2316"/>
      <c r="BH743" s="2310">
        <f t="shared" si="1627"/>
        <v>0</v>
      </c>
      <c r="BI743" s="2316"/>
      <c r="BJ743" s="2316"/>
      <c r="BK743" s="2310">
        <f t="shared" si="1628"/>
        <v>0</v>
      </c>
      <c r="BL743" s="2316"/>
      <c r="BM743" s="2316"/>
      <c r="BN743" s="2310">
        <f t="shared" si="1629"/>
        <v>0</v>
      </c>
      <c r="BO743" s="2316"/>
      <c r="BP743" s="2316"/>
      <c r="BQ743" s="2310">
        <f t="shared" si="1630"/>
        <v>0</v>
      </c>
    </row>
    <row r="744" spans="3:69" s="2087" customFormat="1" ht="12" hidden="1" customHeight="1">
      <c r="C744" s="2173" t="s">
        <v>2910</v>
      </c>
      <c r="D744" s="2362" t="s">
        <v>2098</v>
      </c>
      <c r="E744" s="2197" t="s">
        <v>240</v>
      </c>
      <c r="F744" s="2376"/>
      <c r="G744" s="2316"/>
      <c r="H744" s="2316"/>
      <c r="I744" s="2303">
        <f t="shared" si="1613"/>
        <v>0</v>
      </c>
      <c r="J744" s="2376"/>
      <c r="K744" s="2300">
        <f t="shared" si="1610"/>
        <v>0</v>
      </c>
      <c r="L744" s="2300">
        <f t="shared" si="1610"/>
        <v>0</v>
      </c>
      <c r="M744" s="2303">
        <f t="shared" si="1549"/>
        <v>0</v>
      </c>
      <c r="N744" s="2316"/>
      <c r="O744" s="2316"/>
      <c r="P744" s="2303">
        <f t="shared" si="1615"/>
        <v>0</v>
      </c>
      <c r="Q744" s="2376"/>
      <c r="R744" s="2316"/>
      <c r="S744" s="2301">
        <f t="shared" si="1616"/>
        <v>0</v>
      </c>
      <c r="T744" s="2304">
        <f t="shared" si="1611"/>
        <v>0</v>
      </c>
      <c r="U744" s="2300">
        <f t="shared" si="1611"/>
        <v>0</v>
      </c>
      <c r="V744" s="2301">
        <f t="shared" si="1551"/>
        <v>0</v>
      </c>
      <c r="W744" s="2317"/>
      <c r="X744" s="2316"/>
      <c r="Y744" s="2306">
        <f t="shared" si="1617"/>
        <v>0</v>
      </c>
      <c r="Z744" s="2307">
        <f t="shared" si="1612"/>
        <v>0</v>
      </c>
      <c r="AA744" s="2300">
        <f t="shared" si="1612"/>
        <v>0</v>
      </c>
      <c r="AB744" s="2303">
        <f t="shared" si="1553"/>
        <v>0</v>
      </c>
      <c r="AC744" s="2376"/>
      <c r="AD744" s="2316"/>
      <c r="AE744" s="2301">
        <f t="shared" si="1618"/>
        <v>0</v>
      </c>
      <c r="AF744" s="2381"/>
      <c r="AG744" s="2114"/>
      <c r="AH744" s="2316"/>
      <c r="AI744" s="2316"/>
      <c r="AJ744" s="2310">
        <f t="shared" si="1619"/>
        <v>0</v>
      </c>
      <c r="AK744" s="2316"/>
      <c r="AL744" s="2316"/>
      <c r="AM744" s="2310">
        <f t="shared" si="1620"/>
        <v>0</v>
      </c>
      <c r="AN744" s="2316"/>
      <c r="AO744" s="2316"/>
      <c r="AP744" s="2310">
        <f t="shared" si="1621"/>
        <v>0</v>
      </c>
      <c r="AQ744" s="2316"/>
      <c r="AR744" s="2316"/>
      <c r="AS744" s="2310">
        <f t="shared" si="1622"/>
        <v>0</v>
      </c>
      <c r="AT744" s="2316"/>
      <c r="AU744" s="2316"/>
      <c r="AV744" s="2310">
        <f t="shared" si="1623"/>
        <v>0</v>
      </c>
      <c r="AW744" s="2316"/>
      <c r="AX744" s="2316"/>
      <c r="AY744" s="2310">
        <f t="shared" si="1624"/>
        <v>0</v>
      </c>
      <c r="AZ744" s="2316"/>
      <c r="BA744" s="2316"/>
      <c r="BB744" s="2310">
        <f t="shared" si="1625"/>
        <v>0</v>
      </c>
      <c r="BC744" s="2316"/>
      <c r="BD744" s="2316"/>
      <c r="BE744" s="2310">
        <f t="shared" si="1626"/>
        <v>0</v>
      </c>
      <c r="BF744" s="2316"/>
      <c r="BG744" s="2316"/>
      <c r="BH744" s="2310">
        <f t="shared" si="1627"/>
        <v>0</v>
      </c>
      <c r="BI744" s="2316"/>
      <c r="BJ744" s="2316"/>
      <c r="BK744" s="2310">
        <f t="shared" si="1628"/>
        <v>0</v>
      </c>
      <c r="BL744" s="2316"/>
      <c r="BM744" s="2316"/>
      <c r="BN744" s="2310">
        <f t="shared" si="1629"/>
        <v>0</v>
      </c>
      <c r="BO744" s="2316"/>
      <c r="BP744" s="2316"/>
      <c r="BQ744" s="2310">
        <f t="shared" si="1630"/>
        <v>0</v>
      </c>
    </row>
    <row r="745" spans="3:69" s="2087" customFormat="1" ht="12" hidden="1" customHeight="1">
      <c r="C745" s="2173" t="s">
        <v>2911</v>
      </c>
      <c r="D745" s="2209" t="s">
        <v>2211</v>
      </c>
      <c r="E745" s="2197" t="s">
        <v>240</v>
      </c>
      <c r="F745" s="2376"/>
      <c r="G745" s="2316"/>
      <c r="H745" s="2316"/>
      <c r="I745" s="2303">
        <f t="shared" si="1613"/>
        <v>0</v>
      </c>
      <c r="J745" s="2376"/>
      <c r="K745" s="2300">
        <f t="shared" si="1610"/>
        <v>0</v>
      </c>
      <c r="L745" s="2300">
        <f t="shared" si="1610"/>
        <v>0</v>
      </c>
      <c r="M745" s="2303">
        <f t="shared" si="1549"/>
        <v>0</v>
      </c>
      <c r="N745" s="2316"/>
      <c r="O745" s="2316"/>
      <c r="P745" s="2303">
        <f t="shared" si="1615"/>
        <v>0</v>
      </c>
      <c r="Q745" s="2376"/>
      <c r="R745" s="2316"/>
      <c r="S745" s="2301">
        <f t="shared" si="1616"/>
        <v>0</v>
      </c>
      <c r="T745" s="2304">
        <f t="shared" si="1611"/>
        <v>0</v>
      </c>
      <c r="U745" s="2300">
        <f t="shared" si="1611"/>
        <v>0</v>
      </c>
      <c r="V745" s="2301">
        <f t="shared" si="1551"/>
        <v>0</v>
      </c>
      <c r="W745" s="2317"/>
      <c r="X745" s="2316"/>
      <c r="Y745" s="2306">
        <f t="shared" si="1617"/>
        <v>0</v>
      </c>
      <c r="Z745" s="2307">
        <f t="shared" si="1612"/>
        <v>0</v>
      </c>
      <c r="AA745" s="2300">
        <f t="shared" si="1612"/>
        <v>0</v>
      </c>
      <c r="AB745" s="2303">
        <f t="shared" si="1553"/>
        <v>0</v>
      </c>
      <c r="AC745" s="2376"/>
      <c r="AD745" s="2316"/>
      <c r="AE745" s="2301">
        <f t="shared" si="1618"/>
        <v>0</v>
      </c>
      <c r="AF745" s="2381"/>
      <c r="AG745" s="2114"/>
      <c r="AH745" s="2316"/>
      <c r="AI745" s="2316"/>
      <c r="AJ745" s="2310">
        <f t="shared" si="1619"/>
        <v>0</v>
      </c>
      <c r="AK745" s="2316"/>
      <c r="AL745" s="2316"/>
      <c r="AM745" s="2310">
        <f t="shared" si="1620"/>
        <v>0</v>
      </c>
      <c r="AN745" s="2316"/>
      <c r="AO745" s="2316"/>
      <c r="AP745" s="2310">
        <f t="shared" si="1621"/>
        <v>0</v>
      </c>
      <c r="AQ745" s="2316"/>
      <c r="AR745" s="2316"/>
      <c r="AS745" s="2310">
        <f t="shared" si="1622"/>
        <v>0</v>
      </c>
      <c r="AT745" s="2316"/>
      <c r="AU745" s="2316"/>
      <c r="AV745" s="2310">
        <f t="shared" si="1623"/>
        <v>0</v>
      </c>
      <c r="AW745" s="2316"/>
      <c r="AX745" s="2316"/>
      <c r="AY745" s="2310">
        <f t="shared" si="1624"/>
        <v>0</v>
      </c>
      <c r="AZ745" s="2316"/>
      <c r="BA745" s="2316"/>
      <c r="BB745" s="2310">
        <f t="shared" si="1625"/>
        <v>0</v>
      </c>
      <c r="BC745" s="2316"/>
      <c r="BD745" s="2316"/>
      <c r="BE745" s="2310">
        <f t="shared" si="1626"/>
        <v>0</v>
      </c>
      <c r="BF745" s="2316"/>
      <c r="BG745" s="2316"/>
      <c r="BH745" s="2310">
        <f t="shared" si="1627"/>
        <v>0</v>
      </c>
      <c r="BI745" s="2316"/>
      <c r="BJ745" s="2316"/>
      <c r="BK745" s="2310">
        <f t="shared" si="1628"/>
        <v>0</v>
      </c>
      <c r="BL745" s="2316"/>
      <c r="BM745" s="2316"/>
      <c r="BN745" s="2310">
        <f t="shared" si="1629"/>
        <v>0</v>
      </c>
      <c r="BO745" s="2316"/>
      <c r="BP745" s="2316"/>
      <c r="BQ745" s="2310">
        <f t="shared" si="1630"/>
        <v>0</v>
      </c>
    </row>
    <row r="746" spans="3:69" s="2087" customFormat="1" ht="12" hidden="1" customHeight="1">
      <c r="C746" s="2173" t="s">
        <v>2912</v>
      </c>
      <c r="D746" s="2362" t="s">
        <v>2100</v>
      </c>
      <c r="E746" s="2197" t="s">
        <v>240</v>
      </c>
      <c r="F746" s="2376"/>
      <c r="G746" s="2316"/>
      <c r="H746" s="2316"/>
      <c r="I746" s="2303">
        <f t="shared" si="1613"/>
        <v>0</v>
      </c>
      <c r="J746" s="2376"/>
      <c r="K746" s="2300">
        <f t="shared" si="1610"/>
        <v>0</v>
      </c>
      <c r="L746" s="2300">
        <f t="shared" si="1610"/>
        <v>0</v>
      </c>
      <c r="M746" s="2303">
        <f t="shared" si="1549"/>
        <v>0</v>
      </c>
      <c r="N746" s="2316"/>
      <c r="O746" s="2316"/>
      <c r="P746" s="2303">
        <f t="shared" si="1615"/>
        <v>0</v>
      </c>
      <c r="Q746" s="2376"/>
      <c r="R746" s="2316"/>
      <c r="S746" s="2301">
        <f t="shared" si="1616"/>
        <v>0</v>
      </c>
      <c r="T746" s="2304">
        <f t="shared" si="1611"/>
        <v>0</v>
      </c>
      <c r="U746" s="2300">
        <f t="shared" si="1611"/>
        <v>0</v>
      </c>
      <c r="V746" s="2301">
        <f t="shared" si="1551"/>
        <v>0</v>
      </c>
      <c r="W746" s="2317"/>
      <c r="X746" s="2316"/>
      <c r="Y746" s="2306">
        <f t="shared" si="1617"/>
        <v>0</v>
      </c>
      <c r="Z746" s="2307">
        <f t="shared" si="1612"/>
        <v>0</v>
      </c>
      <c r="AA746" s="2300">
        <f t="shared" si="1612"/>
        <v>0</v>
      </c>
      <c r="AB746" s="2303">
        <f t="shared" si="1553"/>
        <v>0</v>
      </c>
      <c r="AC746" s="2376"/>
      <c r="AD746" s="2316"/>
      <c r="AE746" s="2301">
        <f t="shared" si="1618"/>
        <v>0</v>
      </c>
      <c r="AF746" s="2381"/>
      <c r="AG746" s="2114"/>
      <c r="AH746" s="2316"/>
      <c r="AI746" s="2316"/>
      <c r="AJ746" s="2310">
        <f t="shared" si="1619"/>
        <v>0</v>
      </c>
      <c r="AK746" s="2316"/>
      <c r="AL746" s="2316"/>
      <c r="AM746" s="2310">
        <f t="shared" si="1620"/>
        <v>0</v>
      </c>
      <c r="AN746" s="2316"/>
      <c r="AO746" s="2316"/>
      <c r="AP746" s="2310">
        <f t="shared" si="1621"/>
        <v>0</v>
      </c>
      <c r="AQ746" s="2316"/>
      <c r="AR746" s="2316"/>
      <c r="AS746" s="2310">
        <f t="shared" si="1622"/>
        <v>0</v>
      </c>
      <c r="AT746" s="2316"/>
      <c r="AU746" s="2316"/>
      <c r="AV746" s="2310">
        <f t="shared" si="1623"/>
        <v>0</v>
      </c>
      <c r="AW746" s="2316"/>
      <c r="AX746" s="2316"/>
      <c r="AY746" s="2310">
        <f t="shared" si="1624"/>
        <v>0</v>
      </c>
      <c r="AZ746" s="2316"/>
      <c r="BA746" s="2316"/>
      <c r="BB746" s="2310">
        <f t="shared" si="1625"/>
        <v>0</v>
      </c>
      <c r="BC746" s="2316"/>
      <c r="BD746" s="2316"/>
      <c r="BE746" s="2310">
        <f t="shared" si="1626"/>
        <v>0</v>
      </c>
      <c r="BF746" s="2316"/>
      <c r="BG746" s="2316"/>
      <c r="BH746" s="2310">
        <f t="shared" si="1627"/>
        <v>0</v>
      </c>
      <c r="BI746" s="2316"/>
      <c r="BJ746" s="2316"/>
      <c r="BK746" s="2310">
        <f t="shared" si="1628"/>
        <v>0</v>
      </c>
      <c r="BL746" s="2316"/>
      <c r="BM746" s="2316"/>
      <c r="BN746" s="2310">
        <f t="shared" si="1629"/>
        <v>0</v>
      </c>
      <c r="BO746" s="2316"/>
      <c r="BP746" s="2316"/>
      <c r="BQ746" s="2310">
        <f t="shared" si="1630"/>
        <v>0</v>
      </c>
    </row>
    <row r="747" spans="3:69" s="2087" customFormat="1" ht="12" hidden="1" customHeight="1">
      <c r="C747" s="2173" t="s">
        <v>2913</v>
      </c>
      <c r="D747" s="2209" t="s">
        <v>2211</v>
      </c>
      <c r="E747" s="2197" t="s">
        <v>240</v>
      </c>
      <c r="F747" s="2376"/>
      <c r="G747" s="2316"/>
      <c r="H747" s="2316"/>
      <c r="I747" s="2303">
        <f t="shared" si="1613"/>
        <v>0</v>
      </c>
      <c r="J747" s="2376"/>
      <c r="K747" s="2300">
        <f t="shared" si="1610"/>
        <v>0</v>
      </c>
      <c r="L747" s="2300">
        <f t="shared" si="1610"/>
        <v>0</v>
      </c>
      <c r="M747" s="2303">
        <f t="shared" si="1549"/>
        <v>0</v>
      </c>
      <c r="N747" s="2316"/>
      <c r="O747" s="2316"/>
      <c r="P747" s="2303">
        <f t="shared" si="1615"/>
        <v>0</v>
      </c>
      <c r="Q747" s="2376"/>
      <c r="R747" s="2316"/>
      <c r="S747" s="2301">
        <f t="shared" si="1616"/>
        <v>0</v>
      </c>
      <c r="T747" s="2304">
        <f t="shared" si="1611"/>
        <v>0</v>
      </c>
      <c r="U747" s="2300">
        <f t="shared" si="1611"/>
        <v>0</v>
      </c>
      <c r="V747" s="2301">
        <f t="shared" si="1551"/>
        <v>0</v>
      </c>
      <c r="W747" s="2317"/>
      <c r="X747" s="2316"/>
      <c r="Y747" s="2306">
        <f t="shared" si="1617"/>
        <v>0</v>
      </c>
      <c r="Z747" s="2307">
        <f t="shared" si="1612"/>
        <v>0</v>
      </c>
      <c r="AA747" s="2300">
        <f t="shared" si="1612"/>
        <v>0</v>
      </c>
      <c r="AB747" s="2303">
        <f t="shared" si="1553"/>
        <v>0</v>
      </c>
      <c r="AC747" s="2376"/>
      <c r="AD747" s="2316"/>
      <c r="AE747" s="2301">
        <f t="shared" si="1618"/>
        <v>0</v>
      </c>
      <c r="AF747" s="2381"/>
      <c r="AG747" s="2114"/>
      <c r="AH747" s="2316"/>
      <c r="AI747" s="2316"/>
      <c r="AJ747" s="2310">
        <f t="shared" si="1619"/>
        <v>0</v>
      </c>
      <c r="AK747" s="2316"/>
      <c r="AL747" s="2316"/>
      <c r="AM747" s="2310">
        <f t="shared" si="1620"/>
        <v>0</v>
      </c>
      <c r="AN747" s="2316"/>
      <c r="AO747" s="2316"/>
      <c r="AP747" s="2310">
        <f t="shared" si="1621"/>
        <v>0</v>
      </c>
      <c r="AQ747" s="2316"/>
      <c r="AR747" s="2316"/>
      <c r="AS747" s="2310">
        <f t="shared" si="1622"/>
        <v>0</v>
      </c>
      <c r="AT747" s="2316"/>
      <c r="AU747" s="2316"/>
      <c r="AV747" s="2310">
        <f t="shared" si="1623"/>
        <v>0</v>
      </c>
      <c r="AW747" s="2316"/>
      <c r="AX747" s="2316"/>
      <c r="AY747" s="2310">
        <f t="shared" si="1624"/>
        <v>0</v>
      </c>
      <c r="AZ747" s="2316"/>
      <c r="BA747" s="2316"/>
      <c r="BB747" s="2310">
        <f t="shared" si="1625"/>
        <v>0</v>
      </c>
      <c r="BC747" s="2316"/>
      <c r="BD747" s="2316"/>
      <c r="BE747" s="2310">
        <f t="shared" si="1626"/>
        <v>0</v>
      </c>
      <c r="BF747" s="2316"/>
      <c r="BG747" s="2316"/>
      <c r="BH747" s="2310">
        <f t="shared" si="1627"/>
        <v>0</v>
      </c>
      <c r="BI747" s="2316"/>
      <c r="BJ747" s="2316"/>
      <c r="BK747" s="2310">
        <f t="shared" si="1628"/>
        <v>0</v>
      </c>
      <c r="BL747" s="2316"/>
      <c r="BM747" s="2316"/>
      <c r="BN747" s="2310">
        <f t="shared" si="1629"/>
        <v>0</v>
      </c>
      <c r="BO747" s="2316"/>
      <c r="BP747" s="2316"/>
      <c r="BQ747" s="2310">
        <f t="shared" si="1630"/>
        <v>0</v>
      </c>
    </row>
    <row r="748" spans="3:69" s="2087" customFormat="1" ht="12" hidden="1" customHeight="1">
      <c r="C748" s="2173" t="s">
        <v>2914</v>
      </c>
      <c r="D748" s="2362" t="s">
        <v>2395</v>
      </c>
      <c r="E748" s="2197" t="s">
        <v>240</v>
      </c>
      <c r="F748" s="2376"/>
      <c r="G748" s="2316"/>
      <c r="H748" s="2316"/>
      <c r="I748" s="2303">
        <f t="shared" si="1613"/>
        <v>0</v>
      </c>
      <c r="J748" s="2376"/>
      <c r="K748" s="2300">
        <f t="shared" si="1610"/>
        <v>0</v>
      </c>
      <c r="L748" s="2300">
        <f t="shared" si="1610"/>
        <v>0</v>
      </c>
      <c r="M748" s="2303">
        <f t="shared" si="1549"/>
        <v>0</v>
      </c>
      <c r="N748" s="2316"/>
      <c r="O748" s="2316"/>
      <c r="P748" s="2303">
        <f t="shared" si="1615"/>
        <v>0</v>
      </c>
      <c r="Q748" s="2376"/>
      <c r="R748" s="2316"/>
      <c r="S748" s="2301">
        <f t="shared" si="1616"/>
        <v>0</v>
      </c>
      <c r="T748" s="2304">
        <f t="shared" si="1611"/>
        <v>0</v>
      </c>
      <c r="U748" s="2300">
        <f t="shared" si="1611"/>
        <v>0</v>
      </c>
      <c r="V748" s="2301">
        <f t="shared" si="1551"/>
        <v>0</v>
      </c>
      <c r="W748" s="2317"/>
      <c r="X748" s="2316"/>
      <c r="Y748" s="2306">
        <f t="shared" si="1617"/>
        <v>0</v>
      </c>
      <c r="Z748" s="2307">
        <f t="shared" si="1612"/>
        <v>0</v>
      </c>
      <c r="AA748" s="2300">
        <f t="shared" si="1612"/>
        <v>0</v>
      </c>
      <c r="AB748" s="2303">
        <f t="shared" si="1553"/>
        <v>0</v>
      </c>
      <c r="AC748" s="2376"/>
      <c r="AD748" s="2316"/>
      <c r="AE748" s="2301">
        <f t="shared" si="1618"/>
        <v>0</v>
      </c>
      <c r="AF748" s="2381"/>
      <c r="AG748" s="2114"/>
      <c r="AH748" s="2316"/>
      <c r="AI748" s="2316"/>
      <c r="AJ748" s="2310">
        <f t="shared" si="1619"/>
        <v>0</v>
      </c>
      <c r="AK748" s="2316"/>
      <c r="AL748" s="2316"/>
      <c r="AM748" s="2310">
        <f t="shared" si="1620"/>
        <v>0</v>
      </c>
      <c r="AN748" s="2316"/>
      <c r="AO748" s="2316"/>
      <c r="AP748" s="2310">
        <f t="shared" si="1621"/>
        <v>0</v>
      </c>
      <c r="AQ748" s="2316"/>
      <c r="AR748" s="2316"/>
      <c r="AS748" s="2310">
        <f t="shared" si="1622"/>
        <v>0</v>
      </c>
      <c r="AT748" s="2316"/>
      <c r="AU748" s="2316"/>
      <c r="AV748" s="2310">
        <f t="shared" si="1623"/>
        <v>0</v>
      </c>
      <c r="AW748" s="2316"/>
      <c r="AX748" s="2316"/>
      <c r="AY748" s="2310">
        <f t="shared" si="1624"/>
        <v>0</v>
      </c>
      <c r="AZ748" s="2316"/>
      <c r="BA748" s="2316"/>
      <c r="BB748" s="2310">
        <f t="shared" si="1625"/>
        <v>0</v>
      </c>
      <c r="BC748" s="2316"/>
      <c r="BD748" s="2316"/>
      <c r="BE748" s="2310">
        <f t="shared" si="1626"/>
        <v>0</v>
      </c>
      <c r="BF748" s="2316"/>
      <c r="BG748" s="2316"/>
      <c r="BH748" s="2310">
        <f t="shared" si="1627"/>
        <v>0</v>
      </c>
      <c r="BI748" s="2316"/>
      <c r="BJ748" s="2316"/>
      <c r="BK748" s="2310">
        <f t="shared" si="1628"/>
        <v>0</v>
      </c>
      <c r="BL748" s="2316"/>
      <c r="BM748" s="2316"/>
      <c r="BN748" s="2310">
        <f t="shared" si="1629"/>
        <v>0</v>
      </c>
      <c r="BO748" s="2316"/>
      <c r="BP748" s="2316"/>
      <c r="BQ748" s="2310">
        <f t="shared" si="1630"/>
        <v>0</v>
      </c>
    </row>
    <row r="749" spans="3:69" s="2087" customFormat="1" ht="12" hidden="1" customHeight="1">
      <c r="C749" s="2173" t="s">
        <v>2915</v>
      </c>
      <c r="D749" s="2209" t="s">
        <v>2211</v>
      </c>
      <c r="E749" s="2197" t="s">
        <v>240</v>
      </c>
      <c r="F749" s="2376"/>
      <c r="G749" s="2316"/>
      <c r="H749" s="2316"/>
      <c r="I749" s="2303">
        <f t="shared" si="1613"/>
        <v>0</v>
      </c>
      <c r="J749" s="2376"/>
      <c r="K749" s="2300">
        <f t="shared" si="1610"/>
        <v>0</v>
      </c>
      <c r="L749" s="2300">
        <f t="shared" si="1610"/>
        <v>0</v>
      </c>
      <c r="M749" s="2303">
        <f t="shared" si="1549"/>
        <v>0</v>
      </c>
      <c r="N749" s="2316"/>
      <c r="O749" s="2316"/>
      <c r="P749" s="2303">
        <f t="shared" si="1615"/>
        <v>0</v>
      </c>
      <c r="Q749" s="2376"/>
      <c r="R749" s="2316"/>
      <c r="S749" s="2301">
        <f t="shared" si="1616"/>
        <v>0</v>
      </c>
      <c r="T749" s="2304">
        <f t="shared" si="1611"/>
        <v>0</v>
      </c>
      <c r="U749" s="2300">
        <f t="shared" si="1611"/>
        <v>0</v>
      </c>
      <c r="V749" s="2301">
        <f t="shared" si="1551"/>
        <v>0</v>
      </c>
      <c r="W749" s="2317"/>
      <c r="X749" s="2316"/>
      <c r="Y749" s="2306">
        <f t="shared" si="1617"/>
        <v>0</v>
      </c>
      <c r="Z749" s="2307">
        <f t="shared" si="1612"/>
        <v>0</v>
      </c>
      <c r="AA749" s="2300">
        <f t="shared" si="1612"/>
        <v>0</v>
      </c>
      <c r="AB749" s="2303">
        <f t="shared" si="1553"/>
        <v>0</v>
      </c>
      <c r="AC749" s="2376"/>
      <c r="AD749" s="2316"/>
      <c r="AE749" s="2301">
        <f t="shared" si="1618"/>
        <v>0</v>
      </c>
      <c r="AF749" s="2381"/>
      <c r="AG749" s="2114"/>
      <c r="AH749" s="2316"/>
      <c r="AI749" s="2316"/>
      <c r="AJ749" s="2310">
        <f t="shared" si="1619"/>
        <v>0</v>
      </c>
      <c r="AK749" s="2316"/>
      <c r="AL749" s="2316"/>
      <c r="AM749" s="2310">
        <f t="shared" si="1620"/>
        <v>0</v>
      </c>
      <c r="AN749" s="2316"/>
      <c r="AO749" s="2316"/>
      <c r="AP749" s="2310">
        <f t="shared" si="1621"/>
        <v>0</v>
      </c>
      <c r="AQ749" s="2316"/>
      <c r="AR749" s="2316"/>
      <c r="AS749" s="2310">
        <f t="shared" si="1622"/>
        <v>0</v>
      </c>
      <c r="AT749" s="2316"/>
      <c r="AU749" s="2316"/>
      <c r="AV749" s="2310">
        <f t="shared" si="1623"/>
        <v>0</v>
      </c>
      <c r="AW749" s="2316"/>
      <c r="AX749" s="2316"/>
      <c r="AY749" s="2310">
        <f t="shared" si="1624"/>
        <v>0</v>
      </c>
      <c r="AZ749" s="2316"/>
      <c r="BA749" s="2316"/>
      <c r="BB749" s="2310">
        <f t="shared" si="1625"/>
        <v>0</v>
      </c>
      <c r="BC749" s="2316"/>
      <c r="BD749" s="2316"/>
      <c r="BE749" s="2310">
        <f t="shared" si="1626"/>
        <v>0</v>
      </c>
      <c r="BF749" s="2316"/>
      <c r="BG749" s="2316"/>
      <c r="BH749" s="2310">
        <f t="shared" si="1627"/>
        <v>0</v>
      </c>
      <c r="BI749" s="2316"/>
      <c r="BJ749" s="2316"/>
      <c r="BK749" s="2310">
        <f t="shared" si="1628"/>
        <v>0</v>
      </c>
      <c r="BL749" s="2316"/>
      <c r="BM749" s="2316"/>
      <c r="BN749" s="2310">
        <f t="shared" si="1629"/>
        <v>0</v>
      </c>
      <c r="BO749" s="2316"/>
      <c r="BP749" s="2316"/>
      <c r="BQ749" s="2310">
        <f t="shared" si="1630"/>
        <v>0</v>
      </c>
    </row>
    <row r="750" spans="3:69" s="2087" customFormat="1" ht="12" hidden="1" customHeight="1">
      <c r="C750" s="2201" t="s">
        <v>2916</v>
      </c>
      <c r="D750" s="2161" t="s">
        <v>2917</v>
      </c>
      <c r="E750" s="2213" t="s">
        <v>2483</v>
      </c>
      <c r="F750" s="2313"/>
      <c r="G750" s="2300">
        <f>G708</f>
        <v>805.09384099999988</v>
      </c>
      <c r="H750" s="2300">
        <f>H708</f>
        <v>818.86797999999999</v>
      </c>
      <c r="I750" s="2303">
        <f>H750-G750</f>
        <v>13.774139000000105</v>
      </c>
      <c r="J750" s="2376"/>
      <c r="K750" s="2300">
        <f>K708</f>
        <v>791.51916859811979</v>
      </c>
      <c r="L750" s="2300">
        <f>L708</f>
        <v>0</v>
      </c>
      <c r="M750" s="2303">
        <f>L750-K750</f>
        <v>-791.51916859811979</v>
      </c>
      <c r="N750" s="2300">
        <f>N708</f>
        <v>207.56801199374681</v>
      </c>
      <c r="O750" s="2300">
        <f>O708</f>
        <v>0</v>
      </c>
      <c r="P750" s="2303">
        <f>O750-N750</f>
        <v>-207.56801199374681</v>
      </c>
      <c r="Q750" s="2300">
        <f>Q708</f>
        <v>170.12131527172855</v>
      </c>
      <c r="R750" s="2300">
        <f>R708</f>
        <v>0</v>
      </c>
      <c r="S750" s="2303">
        <f>R750-Q750</f>
        <v>-170.12131527172855</v>
      </c>
      <c r="T750" s="2304">
        <f t="shared" si="1611"/>
        <v>377.68932726547536</v>
      </c>
      <c r="U750" s="2300">
        <f t="shared" si="1611"/>
        <v>0</v>
      </c>
      <c r="V750" s="2301">
        <f t="shared" si="1551"/>
        <v>-377.68932726547536</v>
      </c>
      <c r="W750" s="2305">
        <f>W708</f>
        <v>158.17420993701734</v>
      </c>
      <c r="X750" s="2300">
        <f>X708</f>
        <v>0</v>
      </c>
      <c r="Y750" s="2306">
        <f>X750-W750</f>
        <v>-158.17420993701734</v>
      </c>
      <c r="Z750" s="2307">
        <f t="shared" si="1612"/>
        <v>535.86353720249269</v>
      </c>
      <c r="AA750" s="2300">
        <f t="shared" si="1612"/>
        <v>0</v>
      </c>
      <c r="AB750" s="2303">
        <f t="shared" si="1553"/>
        <v>-535.86353720249269</v>
      </c>
      <c r="AC750" s="2300">
        <f>AC708</f>
        <v>255.65563139562713</v>
      </c>
      <c r="AD750" s="2300">
        <f>AD708</f>
        <v>0</v>
      </c>
      <c r="AE750" s="2303">
        <f>AD750-AC750</f>
        <v>-255.65563139562713</v>
      </c>
      <c r="AF750" s="2381"/>
      <c r="AG750" s="2114"/>
      <c r="AH750" s="2309">
        <f>AH708</f>
        <v>57.180133000000005</v>
      </c>
      <c r="AI750" s="2309">
        <f>AI708</f>
        <v>0</v>
      </c>
      <c r="AJ750" s="2310">
        <f>AI750-AH750</f>
        <v>-57.180133000000005</v>
      </c>
      <c r="AK750" s="2309">
        <f>AK708</f>
        <v>77.395754003501949</v>
      </c>
      <c r="AL750" s="2309">
        <f>AL708</f>
        <v>0</v>
      </c>
      <c r="AM750" s="2310">
        <f>AL750-AK750</f>
        <v>-77.395754003501949</v>
      </c>
      <c r="AN750" s="2309">
        <f>AN708</f>
        <v>72.992124990244875</v>
      </c>
      <c r="AO750" s="2309">
        <f>AO708</f>
        <v>0</v>
      </c>
      <c r="AP750" s="2310">
        <f>AO750-AN750</f>
        <v>-72.992124990244875</v>
      </c>
      <c r="AQ750" s="2309">
        <f>AQ708</f>
        <v>63.25006804011182</v>
      </c>
      <c r="AR750" s="2309">
        <f>AR708</f>
        <v>0</v>
      </c>
      <c r="AS750" s="2310">
        <f>AR750-AQ750</f>
        <v>-63.25006804011182</v>
      </c>
      <c r="AT750" s="2309">
        <f>AT708</f>
        <v>60.087094418443151</v>
      </c>
      <c r="AU750" s="2309">
        <f>AU708</f>
        <v>0</v>
      </c>
      <c r="AV750" s="2310">
        <f>AU750-AT750</f>
        <v>-60.087094418443151</v>
      </c>
      <c r="AW750" s="2309">
        <f>AW708</f>
        <v>46.784152813173563</v>
      </c>
      <c r="AX750" s="2309">
        <f>AX708</f>
        <v>0</v>
      </c>
      <c r="AY750" s="2310">
        <f>AX750-AW750</f>
        <v>-46.784152813173563</v>
      </c>
      <c r="AZ750" s="2309">
        <f>AZ708</f>
        <v>47.61744976746629</v>
      </c>
      <c r="BA750" s="2309">
        <f>BA708</f>
        <v>0</v>
      </c>
      <c r="BB750" s="2310">
        <f>BA750-AZ750</f>
        <v>-47.61744976746629</v>
      </c>
      <c r="BC750" s="2309">
        <f>BC708</f>
        <v>48.955996164223123</v>
      </c>
      <c r="BD750" s="2309">
        <f>BD708</f>
        <v>0</v>
      </c>
      <c r="BE750" s="2310">
        <f>BD750-BC750</f>
        <v>-48.955996164223123</v>
      </c>
      <c r="BF750" s="2309">
        <f>BF708</f>
        <v>61.600764005327896</v>
      </c>
      <c r="BG750" s="2309">
        <f>BG708</f>
        <v>0</v>
      </c>
      <c r="BH750" s="2310">
        <f>BG750-BF750</f>
        <v>-61.600764005327896</v>
      </c>
      <c r="BI750" s="2309">
        <f>BI708</f>
        <v>78.93641270410032</v>
      </c>
      <c r="BJ750" s="2309">
        <f>BJ708</f>
        <v>0</v>
      </c>
      <c r="BK750" s="2310">
        <f>BJ750-BI750</f>
        <v>-78.93641270410032</v>
      </c>
      <c r="BL750" s="2309">
        <f>BL708</f>
        <v>84.937997493273627</v>
      </c>
      <c r="BM750" s="2309">
        <f>BM708</f>
        <v>0</v>
      </c>
      <c r="BN750" s="2310">
        <f>BM750-BL750</f>
        <v>-84.937997493273627</v>
      </c>
      <c r="BO750" s="2309">
        <f>BO708</f>
        <v>91.781221198253149</v>
      </c>
      <c r="BP750" s="2309">
        <f>BP708</f>
        <v>0</v>
      </c>
      <c r="BQ750" s="2310">
        <f>BP750-BO750</f>
        <v>-91.781221198253149</v>
      </c>
    </row>
    <row r="751" spans="3:69" s="2087" customFormat="1" ht="12" hidden="1" customHeight="1">
      <c r="C751" s="2173" t="s">
        <v>2918</v>
      </c>
      <c r="D751" s="2383" t="s">
        <v>2919</v>
      </c>
      <c r="E751" s="2384" t="s">
        <v>2483</v>
      </c>
      <c r="F751" s="2313"/>
      <c r="G751" s="2316"/>
      <c r="H751" s="2316"/>
      <c r="I751" s="2303">
        <f>H751-G751</f>
        <v>0</v>
      </c>
      <c r="J751" s="2376"/>
      <c r="K751" s="2316"/>
      <c r="L751" s="2316"/>
      <c r="M751" s="2303">
        <f>L751-K751</f>
        <v>0</v>
      </c>
      <c r="N751" s="2316"/>
      <c r="O751" s="2316"/>
      <c r="P751" s="2303">
        <f>O751-N751</f>
        <v>0</v>
      </c>
      <c r="Q751" s="2316"/>
      <c r="R751" s="2316"/>
      <c r="S751" s="2303">
        <f>R751-Q751</f>
        <v>0</v>
      </c>
      <c r="T751" s="2304">
        <f t="shared" si="1611"/>
        <v>0</v>
      </c>
      <c r="U751" s="2300">
        <f t="shared" si="1611"/>
        <v>0</v>
      </c>
      <c r="V751" s="2301">
        <f t="shared" si="1551"/>
        <v>0</v>
      </c>
      <c r="W751" s="2317"/>
      <c r="X751" s="2316"/>
      <c r="Y751" s="2306">
        <f>X751-W751</f>
        <v>0</v>
      </c>
      <c r="Z751" s="2307">
        <f t="shared" si="1612"/>
        <v>0</v>
      </c>
      <c r="AA751" s="2300">
        <f t="shared" si="1612"/>
        <v>0</v>
      </c>
      <c r="AB751" s="2303">
        <f t="shared" si="1553"/>
        <v>0</v>
      </c>
      <c r="AC751" s="2316"/>
      <c r="AD751" s="2316"/>
      <c r="AE751" s="2303">
        <f>AD751-AC751</f>
        <v>0</v>
      </c>
      <c r="AF751" s="2381"/>
      <c r="AG751" s="2114"/>
      <c r="AH751" s="2316"/>
      <c r="AI751" s="2316"/>
      <c r="AJ751" s="2310">
        <f>AI751-AH751</f>
        <v>0</v>
      </c>
      <c r="AK751" s="2316"/>
      <c r="AL751" s="2316"/>
      <c r="AM751" s="2310">
        <f>AL751-AK751</f>
        <v>0</v>
      </c>
      <c r="AN751" s="2316"/>
      <c r="AO751" s="2316"/>
      <c r="AP751" s="2310">
        <f>AO751-AN751</f>
        <v>0</v>
      </c>
      <c r="AQ751" s="2316"/>
      <c r="AR751" s="2316"/>
      <c r="AS751" s="2310">
        <f>AR751-AQ751</f>
        <v>0</v>
      </c>
      <c r="AT751" s="2316"/>
      <c r="AU751" s="2316"/>
      <c r="AV751" s="2310">
        <f>AU751-AT751</f>
        <v>0</v>
      </c>
      <c r="AW751" s="2316"/>
      <c r="AX751" s="2316"/>
      <c r="AY751" s="2310">
        <f>AX751-AW751</f>
        <v>0</v>
      </c>
      <c r="AZ751" s="2316"/>
      <c r="BA751" s="2316"/>
      <c r="BB751" s="2310">
        <f>BA751-AZ751</f>
        <v>0</v>
      </c>
      <c r="BC751" s="2316"/>
      <c r="BD751" s="2316"/>
      <c r="BE751" s="2310">
        <f>BD751-BC751</f>
        <v>0</v>
      </c>
      <c r="BF751" s="2316"/>
      <c r="BG751" s="2316"/>
      <c r="BH751" s="2310">
        <f>BG751-BF751</f>
        <v>0</v>
      </c>
      <c r="BI751" s="2316"/>
      <c r="BJ751" s="2316"/>
      <c r="BK751" s="2310">
        <f>BJ751-BI751</f>
        <v>0</v>
      </c>
      <c r="BL751" s="2316"/>
      <c r="BM751" s="2316"/>
      <c r="BN751" s="2310">
        <f>BM751-BL751</f>
        <v>0</v>
      </c>
      <c r="BO751" s="2316"/>
      <c r="BP751" s="2316"/>
      <c r="BQ751" s="2310">
        <f>BP751-BO751</f>
        <v>0</v>
      </c>
    </row>
    <row r="752" spans="3:69" s="2087" customFormat="1" ht="12" hidden="1" customHeight="1">
      <c r="C752" s="2173" t="s">
        <v>2920</v>
      </c>
      <c r="D752" s="2383" t="s">
        <v>2921</v>
      </c>
      <c r="E752" s="2384" t="s">
        <v>2483</v>
      </c>
      <c r="F752" s="2313"/>
      <c r="G752" s="2316"/>
      <c r="H752" s="2316"/>
      <c r="I752" s="2303">
        <f>H752-G752</f>
        <v>0</v>
      </c>
      <c r="J752" s="2376"/>
      <c r="K752" s="2316"/>
      <c r="L752" s="2316"/>
      <c r="M752" s="2303">
        <f>L752-K752</f>
        <v>0</v>
      </c>
      <c r="N752" s="2316"/>
      <c r="O752" s="2316"/>
      <c r="P752" s="2303">
        <f>O752-N752</f>
        <v>0</v>
      </c>
      <c r="Q752" s="2316"/>
      <c r="R752" s="2316"/>
      <c r="S752" s="2303">
        <f>R752-Q752</f>
        <v>0</v>
      </c>
      <c r="T752" s="2304">
        <f t="shared" si="1611"/>
        <v>0</v>
      </c>
      <c r="U752" s="2300">
        <f t="shared" si="1611"/>
        <v>0</v>
      </c>
      <c r="V752" s="2301">
        <f t="shared" si="1551"/>
        <v>0</v>
      </c>
      <c r="W752" s="2317"/>
      <c r="X752" s="2316"/>
      <c r="Y752" s="2306">
        <f>X752-W752</f>
        <v>0</v>
      </c>
      <c r="Z752" s="2307">
        <f t="shared" si="1612"/>
        <v>0</v>
      </c>
      <c r="AA752" s="2300">
        <f t="shared" si="1612"/>
        <v>0</v>
      </c>
      <c r="AB752" s="2303">
        <f t="shared" si="1553"/>
        <v>0</v>
      </c>
      <c r="AC752" s="2316"/>
      <c r="AD752" s="2316"/>
      <c r="AE752" s="2303">
        <f>AD752-AC752</f>
        <v>0</v>
      </c>
      <c r="AF752" s="2381"/>
      <c r="AG752" s="2114"/>
      <c r="AH752" s="2316"/>
      <c r="AI752" s="2316"/>
      <c r="AJ752" s="2310">
        <f>AI752-AH752</f>
        <v>0</v>
      </c>
      <c r="AK752" s="2316"/>
      <c r="AL752" s="2316"/>
      <c r="AM752" s="2310">
        <f>AL752-AK752</f>
        <v>0</v>
      </c>
      <c r="AN752" s="2316"/>
      <c r="AO752" s="2316"/>
      <c r="AP752" s="2310">
        <f>AO752-AN752</f>
        <v>0</v>
      </c>
      <c r="AQ752" s="2316"/>
      <c r="AR752" s="2316"/>
      <c r="AS752" s="2310">
        <f>AR752-AQ752</f>
        <v>0</v>
      </c>
      <c r="AT752" s="2316"/>
      <c r="AU752" s="2316"/>
      <c r="AV752" s="2310">
        <f>AU752-AT752</f>
        <v>0</v>
      </c>
      <c r="AW752" s="2316"/>
      <c r="AX752" s="2316"/>
      <c r="AY752" s="2310">
        <f>AX752-AW752</f>
        <v>0</v>
      </c>
      <c r="AZ752" s="2316"/>
      <c r="BA752" s="2316"/>
      <c r="BB752" s="2310">
        <f>BA752-AZ752</f>
        <v>0</v>
      </c>
      <c r="BC752" s="2316"/>
      <c r="BD752" s="2316"/>
      <c r="BE752" s="2310">
        <f>BD752-BC752</f>
        <v>0</v>
      </c>
      <c r="BF752" s="2316"/>
      <c r="BG752" s="2316"/>
      <c r="BH752" s="2310">
        <f>BG752-BF752</f>
        <v>0</v>
      </c>
      <c r="BI752" s="2316"/>
      <c r="BJ752" s="2316"/>
      <c r="BK752" s="2310">
        <f>BJ752-BI752</f>
        <v>0</v>
      </c>
      <c r="BL752" s="2316"/>
      <c r="BM752" s="2316"/>
      <c r="BN752" s="2310">
        <f>BM752-BL752</f>
        <v>0</v>
      </c>
      <c r="BO752" s="2316"/>
      <c r="BP752" s="2316"/>
      <c r="BQ752" s="2310">
        <f>BP752-BO752</f>
        <v>0</v>
      </c>
    </row>
    <row r="753" spans="3:69" s="2159" customFormat="1" ht="12" customHeight="1">
      <c r="C753" s="2147" t="s">
        <v>2013</v>
      </c>
      <c r="D753" s="2148" t="s">
        <v>2133</v>
      </c>
      <c r="E753" s="2149"/>
      <c r="F753" s="2385"/>
      <c r="G753" s="2386"/>
      <c r="H753" s="2386"/>
      <c r="I753" s="2387"/>
      <c r="J753" s="2385"/>
      <c r="K753" s="2386"/>
      <c r="L753" s="2386"/>
      <c r="M753" s="2387"/>
      <c r="N753" s="2386"/>
      <c r="O753" s="2386"/>
      <c r="P753" s="2387"/>
      <c r="Q753" s="2385"/>
      <c r="R753" s="2386"/>
      <c r="S753" s="2388"/>
      <c r="T753" s="2389"/>
      <c r="U753" s="2386"/>
      <c r="V753" s="2388"/>
      <c r="W753" s="2390"/>
      <c r="X753" s="2386"/>
      <c r="Y753" s="2391"/>
      <c r="Z753" s="2385"/>
      <c r="AA753" s="2386"/>
      <c r="AB753" s="2387"/>
      <c r="AC753" s="2385"/>
      <c r="AD753" s="2386"/>
      <c r="AE753" s="2388"/>
      <c r="AF753" s="2392"/>
      <c r="AG753" s="2158"/>
      <c r="AH753" s="2386"/>
      <c r="AI753" s="2386"/>
      <c r="AJ753" s="2387"/>
      <c r="AK753" s="2386"/>
      <c r="AL753" s="2386"/>
      <c r="AM753" s="2387"/>
      <c r="AN753" s="2386"/>
      <c r="AO753" s="2386"/>
      <c r="AP753" s="2387"/>
      <c r="AQ753" s="2386"/>
      <c r="AR753" s="2386"/>
      <c r="AS753" s="2387"/>
      <c r="AT753" s="2386"/>
      <c r="AU753" s="2386"/>
      <c r="AV753" s="2387"/>
      <c r="AW753" s="2386"/>
      <c r="AX753" s="2386"/>
      <c r="AY753" s="2387"/>
      <c r="AZ753" s="2386"/>
      <c r="BA753" s="2386"/>
      <c r="BB753" s="2387"/>
      <c r="BC753" s="2386"/>
      <c r="BD753" s="2386"/>
      <c r="BE753" s="2387"/>
      <c r="BF753" s="2386"/>
      <c r="BG753" s="2386"/>
      <c r="BH753" s="2387"/>
      <c r="BI753" s="2386"/>
      <c r="BJ753" s="2386"/>
      <c r="BK753" s="2387"/>
      <c r="BL753" s="2386"/>
      <c r="BM753" s="2386"/>
      <c r="BN753" s="2387"/>
      <c r="BO753" s="2386"/>
      <c r="BP753" s="2386"/>
      <c r="BQ753" s="2387"/>
    </row>
    <row r="754" spans="3:69" s="2396" customFormat="1" ht="12" customHeight="1">
      <c r="C754" s="2393" t="s">
        <v>2015</v>
      </c>
      <c r="D754" s="2353" t="s">
        <v>2922</v>
      </c>
      <c r="E754" s="2120" t="s">
        <v>2923</v>
      </c>
      <c r="F754" s="2363"/>
      <c r="G754" s="2364">
        <v>1.5512303490593964</v>
      </c>
      <c r="H754" s="2364">
        <v>1.6068850095343945</v>
      </c>
      <c r="I754" s="2365">
        <f>H754-G754</f>
        <v>5.5654660474998119E-2</v>
      </c>
      <c r="J754" s="2363">
        <v>1.5980362082446675</v>
      </c>
      <c r="K754" s="2364">
        <v>1.6111673214771072</v>
      </c>
      <c r="L754" s="2364">
        <v>0</v>
      </c>
      <c r="M754" s="2365">
        <f>L754-K754</f>
        <v>-1.6111673214771072</v>
      </c>
      <c r="N754" s="2364">
        <v>1.5878130164361701</v>
      </c>
      <c r="O754" s="2364">
        <v>0</v>
      </c>
      <c r="P754" s="2365">
        <f>O754-N754</f>
        <v>-1.5878130164361701</v>
      </c>
      <c r="Q754" s="2366">
        <v>1.5870750456788532</v>
      </c>
      <c r="R754" s="2364">
        <v>0</v>
      </c>
      <c r="S754" s="2367">
        <f>R754-Q754</f>
        <v>-1.5870750456788532</v>
      </c>
      <c r="T754" s="2368">
        <v>1.5875046914101332</v>
      </c>
      <c r="U754" s="2364">
        <v>0</v>
      </c>
      <c r="V754" s="2367">
        <f>U754-T754</f>
        <v>-1.5875046914101332</v>
      </c>
      <c r="W754" s="2369">
        <v>1.633772121119788</v>
      </c>
      <c r="X754" s="2364">
        <v>0</v>
      </c>
      <c r="Y754" s="2370">
        <f>X754-W754</f>
        <v>-1.633772121119788</v>
      </c>
      <c r="Z754" s="2366">
        <v>1.6004492855941972</v>
      </c>
      <c r="AA754" s="2364">
        <v>0</v>
      </c>
      <c r="AB754" s="2365">
        <f>AA754-Z754</f>
        <v>-1.6004492855941972</v>
      </c>
      <c r="AC754" s="2366">
        <v>1.6348691718476327</v>
      </c>
      <c r="AD754" s="2364">
        <v>0</v>
      </c>
      <c r="AE754" s="2367">
        <f>AD754-AC754</f>
        <v>-1.6348691718476327</v>
      </c>
      <c r="AF754" s="2394"/>
      <c r="AG754" s="2395"/>
      <c r="AH754" s="2372">
        <v>0</v>
      </c>
      <c r="AI754" s="2372">
        <v>0</v>
      </c>
      <c r="AJ754" s="2373">
        <f>AI754-AH754</f>
        <v>0</v>
      </c>
      <c r="AK754" s="2372">
        <v>0</v>
      </c>
      <c r="AL754" s="2372">
        <v>0</v>
      </c>
      <c r="AM754" s="2373">
        <f>AL754-AK754</f>
        <v>0</v>
      </c>
      <c r="AN754" s="2372">
        <v>0</v>
      </c>
      <c r="AO754" s="2372">
        <v>0</v>
      </c>
      <c r="AP754" s="2373">
        <f>AO754-AN754</f>
        <v>0</v>
      </c>
      <c r="AQ754" s="2372">
        <v>0</v>
      </c>
      <c r="AR754" s="2372">
        <v>0</v>
      </c>
      <c r="AS754" s="2373">
        <f>AR754-AQ754</f>
        <v>0</v>
      </c>
      <c r="AT754" s="2372">
        <v>0</v>
      </c>
      <c r="AU754" s="2372">
        <v>0</v>
      </c>
      <c r="AV754" s="2373">
        <f>AU754-AT754</f>
        <v>0</v>
      </c>
      <c r="AW754" s="2372">
        <v>0</v>
      </c>
      <c r="AX754" s="2372">
        <v>0</v>
      </c>
      <c r="AY754" s="2373">
        <f>AX754-AW754</f>
        <v>0</v>
      </c>
      <c r="AZ754" s="2372">
        <v>0</v>
      </c>
      <c r="BA754" s="2372">
        <v>0</v>
      </c>
      <c r="BB754" s="2373">
        <f>BA754-AZ754</f>
        <v>0</v>
      </c>
      <c r="BC754" s="2372">
        <v>0</v>
      </c>
      <c r="BD754" s="2372">
        <v>0</v>
      </c>
      <c r="BE754" s="2373">
        <f>BD754-BC754</f>
        <v>0</v>
      </c>
      <c r="BF754" s="2372">
        <v>0</v>
      </c>
      <c r="BG754" s="2372">
        <v>0</v>
      </c>
      <c r="BH754" s="2373">
        <f>BG754-BF754</f>
        <v>0</v>
      </c>
      <c r="BI754" s="2372">
        <v>0</v>
      </c>
      <c r="BJ754" s="2372">
        <v>0</v>
      </c>
      <c r="BK754" s="2373">
        <f>BJ754-BI754</f>
        <v>0</v>
      </c>
      <c r="BL754" s="2372">
        <v>0</v>
      </c>
      <c r="BM754" s="2372">
        <v>0</v>
      </c>
      <c r="BN754" s="2373">
        <f>BM754-BL754</f>
        <v>0</v>
      </c>
      <c r="BO754" s="2372">
        <v>0</v>
      </c>
      <c r="BP754" s="2372">
        <v>0</v>
      </c>
      <c r="BQ754" s="2373">
        <f>BP754-BO754</f>
        <v>0</v>
      </c>
    </row>
    <row r="755" spans="3:69" s="2087" customFormat="1" ht="12" customHeight="1">
      <c r="C755" s="2397" t="s">
        <v>2924</v>
      </c>
      <c r="D755" s="2174" t="s">
        <v>2919</v>
      </c>
      <c r="E755" s="2250" t="s">
        <v>2923</v>
      </c>
      <c r="F755" s="2376"/>
      <c r="G755" s="2300">
        <v>1.5512303490593964</v>
      </c>
      <c r="H755" s="2300">
        <v>1.5962250280654353</v>
      </c>
      <c r="I755" s="2303">
        <f t="shared" ref="I755:I756" si="1635">H755-G755</f>
        <v>4.4994679006038929E-2</v>
      </c>
      <c r="J755" s="2376">
        <v>1.5980362082446675</v>
      </c>
      <c r="K755" s="2300">
        <v>1.6002458026788382</v>
      </c>
      <c r="L755" s="2300">
        <v>0</v>
      </c>
      <c r="M755" s="2303">
        <f t="shared" ref="M755:M756" si="1636">L755-K755</f>
        <v>-1.6002458026788382</v>
      </c>
      <c r="N755" s="2300">
        <v>1.576407802309489</v>
      </c>
      <c r="O755" s="2300">
        <v>0</v>
      </c>
      <c r="P755" s="2303">
        <f t="shared" ref="P755:P756" si="1637">O755-N755</f>
        <v>-1.576407802309489</v>
      </c>
      <c r="Q755" s="2307">
        <v>1.5764078023094887</v>
      </c>
      <c r="R755" s="2300">
        <v>0</v>
      </c>
      <c r="S755" s="2301">
        <f t="shared" ref="S755:S756" si="1638">R755-Q755</f>
        <v>-1.5764078023094887</v>
      </c>
      <c r="T755" s="2304">
        <v>1.5764078023094887</v>
      </c>
      <c r="U755" s="2300">
        <v>0</v>
      </c>
      <c r="V755" s="2301">
        <f t="shared" ref="V755:V756" si="1639">U755-T755</f>
        <v>-1.5764078023094887</v>
      </c>
      <c r="W755" s="2305">
        <v>1.6237000363787735</v>
      </c>
      <c r="X755" s="2300">
        <v>0</v>
      </c>
      <c r="Y755" s="2306">
        <f t="shared" ref="Y755:Y756" si="1640">X755-W755</f>
        <v>-1.6237000363787735</v>
      </c>
      <c r="Z755" s="2307">
        <v>1.5896430319165653</v>
      </c>
      <c r="AA755" s="2300">
        <v>0</v>
      </c>
      <c r="AB755" s="2303">
        <f t="shared" ref="AB755:AB756" si="1641">AA755-Z755</f>
        <v>-1.5896430319165653</v>
      </c>
      <c r="AC755" s="2307">
        <v>1.6237000363787735</v>
      </c>
      <c r="AD755" s="2300">
        <v>0</v>
      </c>
      <c r="AE755" s="2301">
        <f t="shared" ref="AE755:AE756" si="1642">AD755-AC755</f>
        <v>-1.6237000363787735</v>
      </c>
      <c r="AF755" s="2380"/>
      <c r="AG755" s="2114"/>
      <c r="AH755" s="2309">
        <v>1.6444891012261147</v>
      </c>
      <c r="AI755" s="2309">
        <v>0</v>
      </c>
      <c r="AJ755" s="2310">
        <f t="shared" ref="AJ755:AJ756" si="1643">AI755-AH755</f>
        <v>-1.6444891012261147</v>
      </c>
      <c r="AK755" s="2309">
        <v>0</v>
      </c>
      <c r="AL755" s="2309">
        <v>0</v>
      </c>
      <c r="AM755" s="2310">
        <f t="shared" ref="AM755:AM756" si="1644">AL755-AK755</f>
        <v>0</v>
      </c>
      <c r="AN755" s="2309">
        <v>0</v>
      </c>
      <c r="AO755" s="2309">
        <v>0</v>
      </c>
      <c r="AP755" s="2310">
        <f t="shared" ref="AP755:AP756" si="1645">AO755-AN755</f>
        <v>0</v>
      </c>
      <c r="AQ755" s="2309">
        <v>0</v>
      </c>
      <c r="AR755" s="2309">
        <v>0</v>
      </c>
      <c r="AS755" s="2310">
        <f t="shared" ref="AS755:AS756" si="1646">AR755-AQ755</f>
        <v>0</v>
      </c>
      <c r="AT755" s="2309">
        <v>0</v>
      </c>
      <c r="AU755" s="2309">
        <v>0</v>
      </c>
      <c r="AV755" s="2310">
        <f t="shared" ref="AV755:AV756" si="1647">AU755-AT755</f>
        <v>0</v>
      </c>
      <c r="AW755" s="2309">
        <v>0</v>
      </c>
      <c r="AX755" s="2309">
        <v>0</v>
      </c>
      <c r="AY755" s="2310">
        <f t="shared" ref="AY755:AY756" si="1648">AX755-AW755</f>
        <v>0</v>
      </c>
      <c r="AZ755" s="2309">
        <v>0</v>
      </c>
      <c r="BA755" s="2309">
        <v>0</v>
      </c>
      <c r="BB755" s="2310">
        <f t="shared" ref="BB755:BB756" si="1649">BA755-AZ755</f>
        <v>0</v>
      </c>
      <c r="BC755" s="2309">
        <v>0</v>
      </c>
      <c r="BD755" s="2309">
        <v>0</v>
      </c>
      <c r="BE755" s="2310">
        <f t="shared" ref="BE755:BE756" si="1650">BD755-BC755</f>
        <v>0</v>
      </c>
      <c r="BF755" s="2309">
        <v>0</v>
      </c>
      <c r="BG755" s="2309">
        <v>0</v>
      </c>
      <c r="BH755" s="2310">
        <f t="shared" ref="BH755:BH756" si="1651">BG755-BF755</f>
        <v>0</v>
      </c>
      <c r="BI755" s="2309">
        <v>0</v>
      </c>
      <c r="BJ755" s="2309">
        <v>0</v>
      </c>
      <c r="BK755" s="2310">
        <f t="shared" ref="BK755:BK756" si="1652">BJ755-BI755</f>
        <v>0</v>
      </c>
      <c r="BL755" s="2309">
        <v>0</v>
      </c>
      <c r="BM755" s="2309">
        <v>0</v>
      </c>
      <c r="BN755" s="2310">
        <f t="shared" ref="BN755:BN756" si="1653">BM755-BL755</f>
        <v>0</v>
      </c>
      <c r="BO755" s="2309">
        <v>0</v>
      </c>
      <c r="BP755" s="2309">
        <v>0</v>
      </c>
      <c r="BQ755" s="2310">
        <f t="shared" ref="BQ755:BQ756" si="1654">BP755-BO755</f>
        <v>0</v>
      </c>
    </row>
    <row r="756" spans="3:69" s="2087" customFormat="1" ht="12" customHeight="1">
      <c r="C756" s="2397" t="s">
        <v>2925</v>
      </c>
      <c r="D756" s="2174" t="s">
        <v>2921</v>
      </c>
      <c r="E756" s="2250" t="s">
        <v>2923</v>
      </c>
      <c r="F756" s="2376"/>
      <c r="G756" s="2300">
        <v>0</v>
      </c>
      <c r="H756" s="2300">
        <v>3.3901925143733216</v>
      </c>
      <c r="I756" s="2303">
        <f t="shared" si="1635"/>
        <v>3.3901925143733216</v>
      </c>
      <c r="J756" s="2376">
        <v>0</v>
      </c>
      <c r="K756" s="2300">
        <v>3.443040500701116</v>
      </c>
      <c r="L756" s="2300">
        <v>0</v>
      </c>
      <c r="M756" s="2303">
        <f t="shared" si="1636"/>
        <v>-3.443040500701116</v>
      </c>
      <c r="N756" s="2300">
        <v>3.4430405007011164</v>
      </c>
      <c r="O756" s="2300">
        <v>0</v>
      </c>
      <c r="P756" s="2303">
        <f t="shared" si="1637"/>
        <v>-3.4430405007011164</v>
      </c>
      <c r="Q756" s="2307">
        <v>3.4430405007011164</v>
      </c>
      <c r="R756" s="2300">
        <v>0</v>
      </c>
      <c r="S756" s="2301">
        <f t="shared" si="1638"/>
        <v>-3.4430405007011164</v>
      </c>
      <c r="T756" s="2304">
        <v>3.4430405007011169</v>
      </c>
      <c r="U756" s="2300">
        <v>0</v>
      </c>
      <c r="V756" s="2301">
        <f t="shared" si="1639"/>
        <v>-3.4430405007011169</v>
      </c>
      <c r="W756" s="2305">
        <v>3.443040500701116</v>
      </c>
      <c r="X756" s="2300">
        <v>0</v>
      </c>
      <c r="Y756" s="2306">
        <f t="shared" si="1640"/>
        <v>-3.443040500701116</v>
      </c>
      <c r="Z756" s="2307">
        <v>3.4430405007011164</v>
      </c>
      <c r="AA756" s="2300">
        <v>0</v>
      </c>
      <c r="AB756" s="2303">
        <f t="shared" si="1641"/>
        <v>-3.4430405007011164</v>
      </c>
      <c r="AC756" s="2307">
        <v>3.443040500701116</v>
      </c>
      <c r="AD756" s="2300">
        <v>0</v>
      </c>
      <c r="AE756" s="2301">
        <f t="shared" si="1642"/>
        <v>-3.443040500701116</v>
      </c>
      <c r="AF756" s="2380"/>
      <c r="AG756" s="2114"/>
      <c r="AH756" s="2309">
        <v>3.5948283347323247</v>
      </c>
      <c r="AI756" s="2309">
        <v>0</v>
      </c>
      <c r="AJ756" s="2310">
        <f t="shared" si="1643"/>
        <v>-3.5948283347323247</v>
      </c>
      <c r="AK756" s="2309">
        <v>0</v>
      </c>
      <c r="AL756" s="2309">
        <v>0</v>
      </c>
      <c r="AM756" s="2310">
        <f t="shared" si="1644"/>
        <v>0</v>
      </c>
      <c r="AN756" s="2309">
        <v>0</v>
      </c>
      <c r="AO756" s="2309">
        <v>0</v>
      </c>
      <c r="AP756" s="2310">
        <f t="shared" si="1645"/>
        <v>0</v>
      </c>
      <c r="AQ756" s="2309">
        <v>0</v>
      </c>
      <c r="AR756" s="2309">
        <v>0</v>
      </c>
      <c r="AS756" s="2310">
        <f t="shared" si="1646"/>
        <v>0</v>
      </c>
      <c r="AT756" s="2309">
        <v>0</v>
      </c>
      <c r="AU756" s="2309">
        <v>0</v>
      </c>
      <c r="AV756" s="2310">
        <f t="shared" si="1647"/>
        <v>0</v>
      </c>
      <c r="AW756" s="2309">
        <v>0</v>
      </c>
      <c r="AX756" s="2309">
        <v>0</v>
      </c>
      <c r="AY756" s="2310">
        <f t="shared" si="1648"/>
        <v>0</v>
      </c>
      <c r="AZ756" s="2309">
        <v>0</v>
      </c>
      <c r="BA756" s="2309">
        <v>0</v>
      </c>
      <c r="BB756" s="2310">
        <f t="shared" si="1649"/>
        <v>0</v>
      </c>
      <c r="BC756" s="2309">
        <v>0</v>
      </c>
      <c r="BD756" s="2309">
        <v>0</v>
      </c>
      <c r="BE756" s="2310">
        <f t="shared" si="1650"/>
        <v>0</v>
      </c>
      <c r="BF756" s="2309">
        <v>0</v>
      </c>
      <c r="BG756" s="2309">
        <v>0</v>
      </c>
      <c r="BH756" s="2310">
        <f t="shared" si="1651"/>
        <v>0</v>
      </c>
      <c r="BI756" s="2309">
        <v>0</v>
      </c>
      <c r="BJ756" s="2309">
        <v>0</v>
      </c>
      <c r="BK756" s="2310">
        <f t="shared" si="1652"/>
        <v>0</v>
      </c>
      <c r="BL756" s="2309">
        <v>0</v>
      </c>
      <c r="BM756" s="2309">
        <v>0</v>
      </c>
      <c r="BN756" s="2310">
        <f t="shared" si="1653"/>
        <v>0</v>
      </c>
      <c r="BO756" s="2309">
        <v>0</v>
      </c>
      <c r="BP756" s="2309">
        <v>0</v>
      </c>
      <c r="BQ756" s="2310">
        <f t="shared" si="1654"/>
        <v>0</v>
      </c>
    </row>
    <row r="757" spans="3:69" s="2396" customFormat="1" ht="12" customHeight="1">
      <c r="C757" s="2256" t="s">
        <v>2016</v>
      </c>
      <c r="D757" s="2161" t="s">
        <v>2926</v>
      </c>
      <c r="E757" s="2120" t="s">
        <v>2923</v>
      </c>
      <c r="F757" s="2363"/>
      <c r="G757" s="2364">
        <f>IFERROR(G770/G709/1000,0)</f>
        <v>3.2339168130030136</v>
      </c>
      <c r="H757" s="2364">
        <f>IFERROR(H770/H709/1000,0)</f>
        <v>3.2130573188573521</v>
      </c>
      <c r="I757" s="2365">
        <f>H757-G757</f>
        <v>-2.0859494145661461E-2</v>
      </c>
      <c r="J757" s="2363">
        <f t="shared" ref="J757:L758" si="1655">IFERROR(J770/J709/1000,0)</f>
        <v>3.3050426265158022</v>
      </c>
      <c r="K757" s="2364">
        <f t="shared" si="1655"/>
        <v>3.5323658644758482</v>
      </c>
      <c r="L757" s="2364">
        <f t="shared" si="1655"/>
        <v>0</v>
      </c>
      <c r="M757" s="2365">
        <f>L757-K757</f>
        <v>-3.5323658644758482</v>
      </c>
      <c r="N757" s="2364">
        <f>IFERROR(N770/N709/1000,0)</f>
        <v>4.0166310778433179</v>
      </c>
      <c r="O757" s="2364">
        <f>IFERROR(O770/O709/1000,0)</f>
        <v>0</v>
      </c>
      <c r="P757" s="2365">
        <f>O757-N757</f>
        <v>-4.0166310778433179</v>
      </c>
      <c r="Q757" s="2366">
        <f>IFERROR(Q770/Q709/1000,0)</f>
        <v>3.3948287793699077</v>
      </c>
      <c r="R757" s="2364">
        <f>IFERROR(R770/R709/1000,0)</f>
        <v>0</v>
      </c>
      <c r="S757" s="2367">
        <f>R757-Q757</f>
        <v>-3.3948287793699077</v>
      </c>
      <c r="T757" s="2368">
        <f>IFERROR(T770/T709/1000,0)</f>
        <v>3.740342885477097</v>
      </c>
      <c r="U757" s="2364">
        <f>IFERROR(U770/U709/1000,0)</f>
        <v>0</v>
      </c>
      <c r="V757" s="2367">
        <f>U757-T757</f>
        <v>-3.740342885477097</v>
      </c>
      <c r="W757" s="2369">
        <f>IFERROR(W770/W709/1000,0)</f>
        <v>3.3044901407055556</v>
      </c>
      <c r="X757" s="2364">
        <f>IFERROR(X770/X709/1000,0)</f>
        <v>0</v>
      </c>
      <c r="Y757" s="2370">
        <f>X757-W757</f>
        <v>-3.3044901407055556</v>
      </c>
      <c r="Z757" s="2366">
        <f>IFERROR(Z770/Z709/1000,0)</f>
        <v>3.6129222576640996</v>
      </c>
      <c r="AA757" s="2364">
        <f>IFERROR(AA770/AA709/1000,0)</f>
        <v>0</v>
      </c>
      <c r="AB757" s="2365">
        <f>AA757-Z757</f>
        <v>-3.6129222576640996</v>
      </c>
      <c r="AC757" s="2366">
        <f>IFERROR(AC770/AC709/1000,0)</f>
        <v>3.3618921561049731</v>
      </c>
      <c r="AD757" s="2364">
        <f>IFERROR(AD770/AD709/1000,0)</f>
        <v>0</v>
      </c>
      <c r="AE757" s="2367">
        <f>AD757-AC757</f>
        <v>-3.3618921561049731</v>
      </c>
      <c r="AF757" s="2381"/>
      <c r="AG757" s="2395"/>
      <c r="AH757" s="2372">
        <f>IFERROR(AH770/AH709/1000,0)</f>
        <v>5.635336023772985</v>
      </c>
      <c r="AI757" s="2372">
        <f>IFERROR(AI770/AI709/1000,0)</f>
        <v>0</v>
      </c>
      <c r="AJ757" s="2373">
        <f>AI757-AH757</f>
        <v>-5.635336023772985</v>
      </c>
      <c r="AK757" s="2372">
        <f>IFERROR(AK770/AK709/1000,0)</f>
        <v>4.1842800362527779</v>
      </c>
      <c r="AL757" s="2372">
        <f>IFERROR(AL770/AL709/1000,0)</f>
        <v>0</v>
      </c>
      <c r="AM757" s="2373">
        <f>AL757-AK757</f>
        <v>-4.1842800362527779</v>
      </c>
      <c r="AN757" s="2372">
        <f>IFERROR(AN770/AN709/1000,0)</f>
        <v>3.9561980817463049</v>
      </c>
      <c r="AO757" s="2372">
        <f>IFERROR(AO770/AO709/1000,0)</f>
        <v>0</v>
      </c>
      <c r="AP757" s="2373">
        <f>AO757-AN757</f>
        <v>-3.9561980817463049</v>
      </c>
      <c r="AQ757" s="2372">
        <f>IFERROR(AQ770/AQ709/1000,0)</f>
        <v>3.4244852003994795</v>
      </c>
      <c r="AR757" s="2372">
        <f>IFERROR(AR770/AR709/1000,0)</f>
        <v>0</v>
      </c>
      <c r="AS757" s="2373">
        <f>AR757-AQ757</f>
        <v>-3.4244852003994795</v>
      </c>
      <c r="AT757" s="2372">
        <f>IFERROR(AT770/AT709/1000,0)</f>
        <v>3.3790353681282523</v>
      </c>
      <c r="AU757" s="2372">
        <f>IFERROR(AU770/AU709/1000,0)</f>
        <v>0</v>
      </c>
      <c r="AV757" s="2373">
        <f>AU757-AT757</f>
        <v>-3.3790353681282523</v>
      </c>
      <c r="AW757" s="2372">
        <f>IFERROR(AW770/AW709/1000,0)</f>
        <v>3.3750217103068016</v>
      </c>
      <c r="AX757" s="2372">
        <f>IFERROR(AX770/AX709/1000,0)</f>
        <v>0</v>
      </c>
      <c r="AY757" s="2373">
        <f>AX757-AW757</f>
        <v>-3.3750217103068016</v>
      </c>
      <c r="AZ757" s="2372">
        <f>IFERROR(AZ770/AZ709/1000,0)</f>
        <v>3.2997178534655216</v>
      </c>
      <c r="BA757" s="2372">
        <f>IFERROR(BA770/BA709/1000,0)</f>
        <v>0</v>
      </c>
      <c r="BB757" s="2373">
        <f>BA757-AZ757</f>
        <v>-3.2997178534655216</v>
      </c>
      <c r="BC757" s="2372">
        <f>IFERROR(BC770/BC709/1000,0)</f>
        <v>3.2918255199289037</v>
      </c>
      <c r="BD757" s="2372">
        <f>IFERROR(BD770/BD709/1000,0)</f>
        <v>0</v>
      </c>
      <c r="BE757" s="2373">
        <f>BD757-BC757</f>
        <v>-3.2918255199289037</v>
      </c>
      <c r="BF757" s="2372">
        <f>IFERROR(BF770/BF709/1000,0)</f>
        <v>3.3181179011635691</v>
      </c>
      <c r="BG757" s="2372">
        <f>IFERROR(BG770/BG709/1000,0)</f>
        <v>0</v>
      </c>
      <c r="BH757" s="2373">
        <f>BG757-BF757</f>
        <v>-3.3181179011635691</v>
      </c>
      <c r="BI757" s="2372">
        <f>IFERROR(BI770/BI709/1000,0)</f>
        <v>3.3986599832528603</v>
      </c>
      <c r="BJ757" s="2372">
        <f>IFERROR(BJ770/BJ709/1000,0)</f>
        <v>0</v>
      </c>
      <c r="BK757" s="2373">
        <f>BJ757-BI757</f>
        <v>-3.3986599832528603</v>
      </c>
      <c r="BL757" s="2372">
        <f>IFERROR(BL770/BL709/1000,0)</f>
        <v>3.4323271038773355</v>
      </c>
      <c r="BM757" s="2372">
        <f>IFERROR(BM770/BM709/1000,0)</f>
        <v>0</v>
      </c>
      <c r="BN757" s="2373">
        <f>BM757-BL757</f>
        <v>-3.4323271038773355</v>
      </c>
      <c r="BO757" s="2372">
        <f>IFERROR(BO770/BO709/1000,0)</f>
        <v>3.2647819267010276</v>
      </c>
      <c r="BP757" s="2372">
        <f>IFERROR(BP770/BP709/1000,0)</f>
        <v>0</v>
      </c>
      <c r="BQ757" s="2373">
        <f>BP757-BO757</f>
        <v>-3.2647819267010276</v>
      </c>
    </row>
    <row r="758" spans="3:69" s="2087" customFormat="1" ht="12" customHeight="1">
      <c r="C758" s="2173" t="s">
        <v>2927</v>
      </c>
      <c r="D758" s="2174" t="s">
        <v>28</v>
      </c>
      <c r="E758" s="2250" t="s">
        <v>2923</v>
      </c>
      <c r="F758" s="2376"/>
      <c r="G758" s="2300">
        <f>IFERROR(G771/G710/1000,0)</f>
        <v>1.6027894171810879</v>
      </c>
      <c r="H758" s="2300">
        <f>IFERROR(H771/H710/1000,0)</f>
        <v>1.6359637897757127</v>
      </c>
      <c r="I758" s="2303">
        <f t="shared" ref="I758:I766" si="1656">H758-G758</f>
        <v>3.3174372594624746E-2</v>
      </c>
      <c r="J758" s="2376">
        <f t="shared" si="1655"/>
        <v>1.6798667153004729</v>
      </c>
      <c r="K758" s="2300">
        <f t="shared" si="1655"/>
        <v>1.7317328945496926</v>
      </c>
      <c r="L758" s="2300">
        <f t="shared" si="1655"/>
        <v>0</v>
      </c>
      <c r="M758" s="2303">
        <f t="shared" ref="M758:M766" si="1657">L758-K758</f>
        <v>-1.7317328945496926</v>
      </c>
      <c r="N758" s="2300">
        <f>IFERROR(N771/N710/1000,0)</f>
        <v>1.8273037944869075</v>
      </c>
      <c r="O758" s="2300">
        <f>IFERROR(O771/O710/1000,0)</f>
        <v>0</v>
      </c>
      <c r="P758" s="2303">
        <f t="shared" ref="P758:P765" si="1658">O758-N758</f>
        <v>-1.8273037944869075</v>
      </c>
      <c r="Q758" s="2307">
        <f>IFERROR(Q771/Q710/1000,0)</f>
        <v>1.6375995046590812</v>
      </c>
      <c r="R758" s="2300">
        <f>IFERROR(R771/R710/1000,0)</f>
        <v>0</v>
      </c>
      <c r="S758" s="2301">
        <f t="shared" ref="S758:S765" si="1659">R758-Q758</f>
        <v>-1.6375995046590812</v>
      </c>
      <c r="T758" s="2304">
        <f>IFERROR(T771/T710/1000,0)</f>
        <v>1.7483692829259285</v>
      </c>
      <c r="U758" s="2300">
        <f>IFERROR(U771/U710/1000,0)</f>
        <v>0</v>
      </c>
      <c r="V758" s="2301">
        <f t="shared" ref="V758:V766" si="1660">U758-T758</f>
        <v>-1.7483692829259285</v>
      </c>
      <c r="W758" s="2305">
        <f>IFERROR(W771/W710/1000,0)</f>
        <v>1.717761050015286</v>
      </c>
      <c r="X758" s="2300">
        <f>IFERROR(X771/X710/1000,0)</f>
        <v>0</v>
      </c>
      <c r="Y758" s="2306">
        <f t="shared" ref="Y758:Y765" si="1661">X758-W758</f>
        <v>-1.717761050015286</v>
      </c>
      <c r="Z758" s="2307">
        <f>IFERROR(Z771/Z710/1000,0)</f>
        <v>1.7386165020069895</v>
      </c>
      <c r="AA758" s="2300">
        <f>IFERROR(AA771/AA710/1000,0)</f>
        <v>0</v>
      </c>
      <c r="AB758" s="2303">
        <f t="shared" ref="AB758:AB767" si="1662">AA758-Z758</f>
        <v>-1.7386165020069895</v>
      </c>
      <c r="AC758" s="2307">
        <f>IFERROR(AC771/AC710/1000,0)</f>
        <v>1.7177629640691063</v>
      </c>
      <c r="AD758" s="2300">
        <f>IFERROR(AD771/AD710/1000,0)</f>
        <v>0</v>
      </c>
      <c r="AE758" s="2301">
        <f t="shared" ref="AE758:AE765" si="1663">AD758-AC758</f>
        <v>-1.7177629640691063</v>
      </c>
      <c r="AF758" s="2381"/>
      <c r="AG758" s="2114"/>
      <c r="AH758" s="2309">
        <f>IFERROR(AH771/AH710/1000,0)</f>
        <v>2.2970870219976551</v>
      </c>
      <c r="AI758" s="2309">
        <f>IFERROR(AI771/AI710/1000,0)</f>
        <v>0</v>
      </c>
      <c r="AJ758" s="2310">
        <f t="shared" ref="AJ758:AJ765" si="1664">AI758-AH758</f>
        <v>-2.2970870219976551</v>
      </c>
      <c r="AK758" s="2309">
        <f>IFERROR(AK771/AK710/1000,0)</f>
        <v>1.6375994003285459</v>
      </c>
      <c r="AL758" s="2309">
        <f>IFERROR(AL771/AL710/1000,0)</f>
        <v>0</v>
      </c>
      <c r="AM758" s="2310">
        <f t="shared" ref="AM758:AM765" si="1665">AL758-AK758</f>
        <v>-1.6375994003285459</v>
      </c>
      <c r="AN758" s="2309">
        <f>IFERROR(AN771/AN710/1000,0)</f>
        <v>1.6375994003285459</v>
      </c>
      <c r="AO758" s="2309">
        <f>IFERROR(AO771/AO710/1000,0)</f>
        <v>0</v>
      </c>
      <c r="AP758" s="2310">
        <f t="shared" ref="AP758:AP765" si="1666">AO758-AN758</f>
        <v>-1.6375994003285459</v>
      </c>
      <c r="AQ758" s="2309">
        <f>IFERROR(AQ771/AQ710/1000,0)</f>
        <v>1.6375995046590812</v>
      </c>
      <c r="AR758" s="2309">
        <f>IFERROR(AR771/AR710/1000,0)</f>
        <v>0</v>
      </c>
      <c r="AS758" s="2310">
        <f t="shared" ref="AS758:AS765" si="1667">AR758-AQ758</f>
        <v>-1.6375995046590812</v>
      </c>
      <c r="AT758" s="2309">
        <f>IFERROR(AT771/AT710/1000,0)</f>
        <v>1.637599504659081</v>
      </c>
      <c r="AU758" s="2309">
        <f>IFERROR(AU771/AU710/1000,0)</f>
        <v>0</v>
      </c>
      <c r="AV758" s="2310">
        <f t="shared" ref="AV758:AV765" si="1668">AU758-AT758</f>
        <v>-1.637599504659081</v>
      </c>
      <c r="AW758" s="2309">
        <f>IFERROR(AW771/AW710/1000,0)</f>
        <v>1.6375995046590812</v>
      </c>
      <c r="AX758" s="2309">
        <f>IFERROR(AX771/AX710/1000,0)</f>
        <v>0</v>
      </c>
      <c r="AY758" s="2310">
        <f t="shared" ref="AY758:AY765" si="1669">AX758-AW758</f>
        <v>-1.6375995046590812</v>
      </c>
      <c r="AZ758" s="2309">
        <f>IFERROR(AZ771/AZ710/1000,0)</f>
        <v>1.7177610500152862</v>
      </c>
      <c r="BA758" s="2309">
        <f>IFERROR(BA771/BA710/1000,0)</f>
        <v>0</v>
      </c>
      <c r="BB758" s="2310">
        <f t="shared" ref="BB758:BB765" si="1670">BA758-AZ758</f>
        <v>-1.7177610500152862</v>
      </c>
      <c r="BC758" s="2309">
        <f>IFERROR(BC771/BC710/1000,0)</f>
        <v>1.7177610500152862</v>
      </c>
      <c r="BD758" s="2309">
        <f>IFERROR(BD771/BD710/1000,0)</f>
        <v>0</v>
      </c>
      <c r="BE758" s="2310">
        <f t="shared" ref="BE758:BE765" si="1671">BD758-BC758</f>
        <v>-1.7177610500152862</v>
      </c>
      <c r="BF758" s="2309">
        <f>IFERROR(BF771/BF710/1000,0)</f>
        <v>1.717761050015286</v>
      </c>
      <c r="BG758" s="2309">
        <f>IFERROR(BG771/BG710/1000,0)</f>
        <v>0</v>
      </c>
      <c r="BH758" s="2310">
        <f t="shared" ref="BH758:BH765" si="1672">BG758-BF758</f>
        <v>-1.717761050015286</v>
      </c>
      <c r="BI758" s="2309">
        <f>IFERROR(BI771/BI710/1000,0)</f>
        <v>1.7177629640691061</v>
      </c>
      <c r="BJ758" s="2309">
        <f>IFERROR(BJ771/BJ710/1000,0)</f>
        <v>0</v>
      </c>
      <c r="BK758" s="2310">
        <f t="shared" ref="BK758:BK765" si="1673">BJ758-BI758</f>
        <v>-1.7177629640691061</v>
      </c>
      <c r="BL758" s="2309">
        <f>IFERROR(BL771/BL710/1000,0)</f>
        <v>1.7177629640691063</v>
      </c>
      <c r="BM758" s="2309">
        <f>IFERROR(BM771/BM710/1000,0)</f>
        <v>0</v>
      </c>
      <c r="BN758" s="2310">
        <f t="shared" ref="BN758:BN765" si="1674">BM758-BL758</f>
        <v>-1.7177629640691063</v>
      </c>
      <c r="BO758" s="2309">
        <f>IFERROR(BO771/BO710/1000,0)</f>
        <v>1.7177629640691063</v>
      </c>
      <c r="BP758" s="2309">
        <f>IFERROR(BP771/BP710/1000,0)</f>
        <v>0</v>
      </c>
      <c r="BQ758" s="2310">
        <f t="shared" ref="BQ758:BQ765" si="1675">BP758-BO758</f>
        <v>-1.7177629640691063</v>
      </c>
    </row>
    <row r="759" spans="3:69" s="2087" customFormat="1" ht="12" customHeight="1">
      <c r="C759" s="2173" t="s">
        <v>2928</v>
      </c>
      <c r="D759" s="2174" t="s">
        <v>42</v>
      </c>
      <c r="E759" s="2250" t="s">
        <v>2923</v>
      </c>
      <c r="F759" s="2376"/>
      <c r="G759" s="2300">
        <f>IFERROR((G773+G772)/(G712+G711)/1000,0)</f>
        <v>4.4955272962993922</v>
      </c>
      <c r="H759" s="2300">
        <f>IFERROR((H773+H772)/(H712+H711)/1000,0)</f>
        <v>4.4342234513639784</v>
      </c>
      <c r="I759" s="2303">
        <f t="shared" si="1656"/>
        <v>-6.1303844935413743E-2</v>
      </c>
      <c r="J759" s="2376">
        <f>IFERROR((J773+J772)/(J712+J711)/1000,0)</f>
        <v>4.5777575138888142</v>
      </c>
      <c r="K759" s="2300">
        <f>IFERROR((K773+K772)/(K712+K711)/1000,0)</f>
        <v>4.8657621038814991</v>
      </c>
      <c r="L759" s="2300">
        <f>IFERROR((L773+L772)/(L712+L711)/1000,0)</f>
        <v>0</v>
      </c>
      <c r="M759" s="2303">
        <f t="shared" si="1657"/>
        <v>-4.8657621038814991</v>
      </c>
      <c r="N759" s="2300">
        <f>IFERROR((N773+N772)/(N712+N711)/1000,0)</f>
        <v>5.6325143506072752</v>
      </c>
      <c r="O759" s="2300">
        <f>IFERROR((O773+O772)/(O712+O711)/1000,0)</f>
        <v>0</v>
      </c>
      <c r="P759" s="2303">
        <f t="shared" si="1658"/>
        <v>-5.6325143506072752</v>
      </c>
      <c r="Q759" s="2307">
        <f>IFERROR((Q773+Q772)/(Q712+Q711)/1000,0)</f>
        <v>4.46466088764776</v>
      </c>
      <c r="R759" s="2300">
        <f>IFERROR((R773+R772)/(R712+R711)/1000,0)</f>
        <v>0</v>
      </c>
      <c r="S759" s="2301">
        <f t="shared" si="1659"/>
        <v>-4.46466088764776</v>
      </c>
      <c r="T759" s="2304">
        <f>IFERROR((T773+T772)/(T712+T711)/1000,0)</f>
        <v>5.0912291653776771</v>
      </c>
      <c r="U759" s="2300">
        <f>IFERROR((U773+U772)/(U712+U711)/1000,0)</f>
        <v>0</v>
      </c>
      <c r="V759" s="2301">
        <f t="shared" si="1660"/>
        <v>-5.0912291653776771</v>
      </c>
      <c r="W759" s="2305">
        <f>IFERROR((W773+W772)/(W712+W711)/1000,0)</f>
        <v>4.6422565744522917</v>
      </c>
      <c r="X759" s="2300">
        <f>IFERROR((X773+X772)/(X712+X711)/1000,0)</f>
        <v>0</v>
      </c>
      <c r="Y759" s="2306">
        <f t="shared" si="1661"/>
        <v>-4.6422565744522917</v>
      </c>
      <c r="Z759" s="2307">
        <f>IFERROR((Z773+Z772)/(Z712+Z711)/1000,0)</f>
        <v>4.9685081005119116</v>
      </c>
      <c r="AA759" s="2300">
        <f>IFERROR((AA773+AA772)/(AA712+AA711)/1000,0)</f>
        <v>0</v>
      </c>
      <c r="AB759" s="2303">
        <f t="shared" si="1662"/>
        <v>-4.9685081005119116</v>
      </c>
      <c r="AC759" s="2307">
        <f>IFERROR((AC773+AC772)/(AC712+AC711)/1000,0)</f>
        <v>4.6413938550627725</v>
      </c>
      <c r="AD759" s="2300">
        <f>IFERROR((AD773+AD772)/(AD712+AD711)/1000,0)</f>
        <v>0</v>
      </c>
      <c r="AE759" s="2301">
        <f t="shared" si="1663"/>
        <v>-4.6413938550627725</v>
      </c>
      <c r="AF759" s="2381"/>
      <c r="AG759" s="2114"/>
      <c r="AH759" s="2309">
        <f>IFERROR((AH773+AH772)/(AH712+AH711)/1000,0)</f>
        <v>8.1976181093111933</v>
      </c>
      <c r="AI759" s="2309">
        <f>IFERROR((AI773+AI772)/(AI712+AI711)/1000,0)</f>
        <v>0</v>
      </c>
      <c r="AJ759" s="2310">
        <f t="shared" si="1664"/>
        <v>-8.1976181093111933</v>
      </c>
      <c r="AK759" s="2309">
        <f>IFERROR((AK773+AK772)/(AK712+AK711)/1000,0)</f>
        <v>5.849723340682937</v>
      </c>
      <c r="AL759" s="2309">
        <f>IFERROR((AL773+AL772)/(AL712+AL711)/1000,0)</f>
        <v>0</v>
      </c>
      <c r="AM759" s="2310">
        <f t="shared" si="1665"/>
        <v>-5.849723340682937</v>
      </c>
      <c r="AN759" s="2309">
        <f>IFERROR((AN773+AN772)/(AN712+AN711)/1000,0)</f>
        <v>5.8343383418639458</v>
      </c>
      <c r="AO759" s="2309">
        <f>IFERROR((AO773+AO772)/(AO712+AO711)/1000,0)</f>
        <v>0</v>
      </c>
      <c r="AP759" s="2310">
        <f t="shared" si="1666"/>
        <v>-5.8343383418639458</v>
      </c>
      <c r="AQ759" s="2309">
        <f>IFERROR((AQ773+AQ772)/(AQ712+AQ711)/1000,0)</f>
        <v>4.4648997533135582</v>
      </c>
      <c r="AR759" s="2309">
        <f>IFERROR((AR773+AR772)/(AR712+AR711)/1000,0)</f>
        <v>0</v>
      </c>
      <c r="AS759" s="2310">
        <f t="shared" si="1667"/>
        <v>-4.4648997533135582</v>
      </c>
      <c r="AT759" s="2309">
        <f>IFERROR((AT773+AT772)/(AT712+AT711)/1000,0)</f>
        <v>4.4640327557084936</v>
      </c>
      <c r="AU759" s="2309">
        <f>IFERROR((AU773+AU772)/(AU712+AU711)/1000,0)</f>
        <v>0</v>
      </c>
      <c r="AV759" s="2310">
        <f t="shared" si="1668"/>
        <v>-4.4640327557084936</v>
      </c>
      <c r="AW759" s="2309">
        <f>IFERROR((AW773+AW772)/(AW712+AW711)/1000,0)</f>
        <v>4.4651377086059956</v>
      </c>
      <c r="AX759" s="2309">
        <f>IFERROR((AX773+AX772)/(AX712+AX711)/1000,0)</f>
        <v>0</v>
      </c>
      <c r="AY759" s="2310">
        <f t="shared" si="1669"/>
        <v>-4.4651377086059956</v>
      </c>
      <c r="AZ759" s="2309">
        <f>IFERROR((AZ773+AZ772)/(AZ712+AZ711)/1000,0)</f>
        <v>4.6426683843659378</v>
      </c>
      <c r="BA759" s="2309">
        <f>IFERROR((BA773+BA772)/(BA712+BA711)/1000,0)</f>
        <v>0</v>
      </c>
      <c r="BB759" s="2310">
        <f t="shared" si="1670"/>
        <v>-4.6426683843659378</v>
      </c>
      <c r="BC759" s="2309">
        <f>IFERROR((BC773+BC772)/(BC712+BC711)/1000,0)</f>
        <v>4.6411884469542795</v>
      </c>
      <c r="BD759" s="2309">
        <f>IFERROR((BD773+BD772)/(BD712+BD711)/1000,0)</f>
        <v>0</v>
      </c>
      <c r="BE759" s="2310">
        <f t="shared" si="1671"/>
        <v>-4.6411884469542795</v>
      </c>
      <c r="BF759" s="2309">
        <f>IFERROR((BF773+BF772)/(BF712+BF711)/1000,0)</f>
        <v>4.6427725230138064</v>
      </c>
      <c r="BG759" s="2309">
        <f>IFERROR((BG773+BG772)/(BG712+BG711)/1000,0)</f>
        <v>0</v>
      </c>
      <c r="BH759" s="2310">
        <f t="shared" si="1672"/>
        <v>-4.6427725230138064</v>
      </c>
      <c r="BI759" s="2309">
        <f>IFERROR((BI773+BI772)/(BI712+BI711)/1000,0)</f>
        <v>4.6436209493940996</v>
      </c>
      <c r="BJ759" s="2309">
        <f>IFERROR((BJ773+BJ772)/(BJ712+BJ711)/1000,0)</f>
        <v>0</v>
      </c>
      <c r="BK759" s="2310">
        <f t="shared" si="1673"/>
        <v>-4.6436209493940996</v>
      </c>
      <c r="BL759" s="2309">
        <f>IFERROR((BL773+BL772)/(BL712+BL711)/1000,0)</f>
        <v>4.6413989094717403</v>
      </c>
      <c r="BM759" s="2309">
        <f>IFERROR((BM773+BM772)/(BM712+BM711)/1000,0)</f>
        <v>0</v>
      </c>
      <c r="BN759" s="2310">
        <f t="shared" si="1674"/>
        <v>-4.6413989094717403</v>
      </c>
      <c r="BO759" s="2309">
        <f>IFERROR((BO773+BO772)/(BO712+BO711)/1000,0)</f>
        <v>4.6392933713705782</v>
      </c>
      <c r="BP759" s="2309">
        <f>IFERROR((BP773+BP772)/(BP712+BP711)/1000,0)</f>
        <v>0</v>
      </c>
      <c r="BQ759" s="2310">
        <f t="shared" si="1675"/>
        <v>-4.6392933713705782</v>
      </c>
    </row>
    <row r="760" spans="3:69" s="2399" customFormat="1" ht="22.5">
      <c r="C760" s="2256" t="s">
        <v>2017</v>
      </c>
      <c r="D760" s="2161" t="s">
        <v>2929</v>
      </c>
      <c r="E760" s="2120" t="s">
        <v>2923</v>
      </c>
      <c r="F760" s="2363"/>
      <c r="G760" s="2364">
        <f>IFERROR(G798/G737/1000,0)</f>
        <v>1.9497556949807977</v>
      </c>
      <c r="H760" s="2364">
        <f>IFERROR(H798/H737/1000,0)</f>
        <v>1.9736284283104546</v>
      </c>
      <c r="I760" s="2365">
        <f t="shared" si="1656"/>
        <v>2.3872733329656892E-2</v>
      </c>
      <c r="J760" s="2363">
        <f t="shared" ref="J760:L761" si="1676">IFERROR(J798/J737/1000,0)</f>
        <v>2.0078303999283018</v>
      </c>
      <c r="K760" s="2364">
        <f t="shared" si="1676"/>
        <v>2.018245807436013</v>
      </c>
      <c r="L760" s="2364">
        <f t="shared" si="1676"/>
        <v>0</v>
      </c>
      <c r="M760" s="2365">
        <f t="shared" si="1657"/>
        <v>-2.018245807436013</v>
      </c>
      <c r="N760" s="2364">
        <f>IFERROR(N798/N737/1000,0)</f>
        <v>1.9736284283104544</v>
      </c>
      <c r="O760" s="2364">
        <f>IFERROR(O798/O737/1000,0)</f>
        <v>0</v>
      </c>
      <c r="P760" s="2365">
        <f t="shared" si="1658"/>
        <v>-1.9736284283104544</v>
      </c>
      <c r="Q760" s="2366">
        <f>IFERROR(Q798/Q737/1000,0)</f>
        <v>1.9736284283104544</v>
      </c>
      <c r="R760" s="2364">
        <f>IFERROR(R798/R737/1000,0)</f>
        <v>0</v>
      </c>
      <c r="S760" s="2367">
        <f t="shared" si="1659"/>
        <v>-1.9736284283104544</v>
      </c>
      <c r="T760" s="2368">
        <f>IFERROR(T798/T737/1000,0)</f>
        <v>1.9736284283104542</v>
      </c>
      <c r="U760" s="2364">
        <f>IFERROR(U798/U737/1000,0)</f>
        <v>0</v>
      </c>
      <c r="V760" s="2367">
        <f t="shared" si="1660"/>
        <v>-1.9736284283104542</v>
      </c>
      <c r="W760" s="2369">
        <f>IFERROR(W798/W737/1000,0)</f>
        <v>2.0525735654428727</v>
      </c>
      <c r="X760" s="2364">
        <f>IFERROR(X798/X737/1000,0)</f>
        <v>0</v>
      </c>
      <c r="Y760" s="2370">
        <f t="shared" si="1661"/>
        <v>-2.0525735654428727</v>
      </c>
      <c r="Z760" s="2366">
        <f>IFERROR(Z798/Z737/1000,0)</f>
        <v>1.999837143684092</v>
      </c>
      <c r="AA760" s="2364">
        <f>IFERROR(AA798/AA737/1000,0)</f>
        <v>0</v>
      </c>
      <c r="AB760" s="2365">
        <f t="shared" si="1662"/>
        <v>-1.999837143684092</v>
      </c>
      <c r="AC760" s="2366">
        <f>IFERROR(AC798/AC737/1000,0)</f>
        <v>2.0525735654428727</v>
      </c>
      <c r="AD760" s="2364">
        <f>IFERROR(AD798/AD737/1000,0)</f>
        <v>0</v>
      </c>
      <c r="AE760" s="2367">
        <f t="shared" si="1663"/>
        <v>-2.0525735654428727</v>
      </c>
      <c r="AF760" s="2381"/>
      <c r="AG760" s="2398"/>
      <c r="AH760" s="2372">
        <f>IFERROR(AH798/AH737/1000,0)</f>
        <v>0</v>
      </c>
      <c r="AI760" s="2372">
        <f>IFERROR(AI798/AI737/1000,0)</f>
        <v>0</v>
      </c>
      <c r="AJ760" s="2373">
        <f t="shared" si="1664"/>
        <v>0</v>
      </c>
      <c r="AK760" s="2372">
        <f>IFERROR(AK798/AK737/1000,0)</f>
        <v>1.9736284283104544</v>
      </c>
      <c r="AL760" s="2372">
        <f>IFERROR(AL798/AL737/1000,0)</f>
        <v>0</v>
      </c>
      <c r="AM760" s="2373">
        <f t="shared" si="1665"/>
        <v>-1.9736284283104544</v>
      </c>
      <c r="AN760" s="2372">
        <f>IFERROR(AN798/AN737/1000,0)</f>
        <v>1.9736284283104544</v>
      </c>
      <c r="AO760" s="2372">
        <f>IFERROR(AO798/AO737/1000,0)</f>
        <v>0</v>
      </c>
      <c r="AP760" s="2373">
        <f t="shared" si="1666"/>
        <v>-1.9736284283104544</v>
      </c>
      <c r="AQ760" s="2372">
        <f>IFERROR(AQ798/AQ737/1000,0)</f>
        <v>1.9736284283104544</v>
      </c>
      <c r="AR760" s="2372">
        <f>IFERROR(AR798/AR737/1000,0)</f>
        <v>0</v>
      </c>
      <c r="AS760" s="2373">
        <f t="shared" si="1667"/>
        <v>-1.9736284283104544</v>
      </c>
      <c r="AT760" s="2372">
        <f>IFERROR(AT798/AT737/1000,0)</f>
        <v>1.9736284283104544</v>
      </c>
      <c r="AU760" s="2372">
        <f>IFERROR(AU798/AU737/1000,0)</f>
        <v>0</v>
      </c>
      <c r="AV760" s="2373">
        <f t="shared" si="1668"/>
        <v>-1.9736284283104544</v>
      </c>
      <c r="AW760" s="2372">
        <f>IFERROR(AW798/AW737/1000,0)</f>
        <v>1.9736284283104546</v>
      </c>
      <c r="AX760" s="2372">
        <f>IFERROR(AX798/AX737/1000,0)</f>
        <v>0</v>
      </c>
      <c r="AY760" s="2373">
        <f t="shared" si="1669"/>
        <v>-1.9736284283104546</v>
      </c>
      <c r="AZ760" s="2372">
        <f>IFERROR(AZ798/AZ737/1000,0)</f>
        <v>2.0525735654428727</v>
      </c>
      <c r="BA760" s="2372">
        <f>IFERROR(BA798/BA737/1000,0)</f>
        <v>0</v>
      </c>
      <c r="BB760" s="2373">
        <f t="shared" si="1670"/>
        <v>-2.0525735654428727</v>
      </c>
      <c r="BC760" s="2372">
        <f>IFERROR(BC798/BC737/1000,0)</f>
        <v>2.0525735654428727</v>
      </c>
      <c r="BD760" s="2372">
        <f>IFERROR(BD798/BD737/1000,0)</f>
        <v>0</v>
      </c>
      <c r="BE760" s="2373">
        <f t="shared" si="1671"/>
        <v>-2.0525735654428727</v>
      </c>
      <c r="BF760" s="2372">
        <f>IFERROR(BF798/BF737/1000,0)</f>
        <v>2.0525735654428732</v>
      </c>
      <c r="BG760" s="2372">
        <f>IFERROR(BG798/BG737/1000,0)</f>
        <v>0</v>
      </c>
      <c r="BH760" s="2373">
        <f t="shared" si="1672"/>
        <v>-2.0525735654428732</v>
      </c>
      <c r="BI760" s="2372">
        <f>IFERROR(BI798/BI737/1000,0)</f>
        <v>2.0525735654428727</v>
      </c>
      <c r="BJ760" s="2372">
        <f>IFERROR(BJ798/BJ737/1000,0)</f>
        <v>0</v>
      </c>
      <c r="BK760" s="2373">
        <f t="shared" si="1673"/>
        <v>-2.0525735654428727</v>
      </c>
      <c r="BL760" s="2372">
        <f>IFERROR(BL798/BL737/1000,0)</f>
        <v>2.0525735654428727</v>
      </c>
      <c r="BM760" s="2372">
        <f>IFERROR(BM798/BM737/1000,0)</f>
        <v>0</v>
      </c>
      <c r="BN760" s="2373">
        <f t="shared" si="1674"/>
        <v>-2.0525735654428727</v>
      </c>
      <c r="BO760" s="2372">
        <f>IFERROR(BO798/BO737/1000,0)</f>
        <v>2.0525735654428727</v>
      </c>
      <c r="BP760" s="2372">
        <f>IFERROR(BP798/BP737/1000,0)</f>
        <v>0</v>
      </c>
      <c r="BQ760" s="2373">
        <f t="shared" si="1675"/>
        <v>-2.0525735654428727</v>
      </c>
    </row>
    <row r="761" spans="3:69" s="2087" customFormat="1" ht="12" customHeight="1">
      <c r="C761" s="2173" t="s">
        <v>2930</v>
      </c>
      <c r="D761" s="2311" t="s">
        <v>2875</v>
      </c>
      <c r="E761" s="2250" t="s">
        <v>2923</v>
      </c>
      <c r="F761" s="2376">
        <v>1.7397603424366317</v>
      </c>
      <c r="G761" s="2300">
        <f>IFERROR(G799/G738/1000,0)</f>
        <v>1.9497556949807977</v>
      </c>
      <c r="H761" s="2300">
        <f>IFERROR(H799/H738/1000,0)</f>
        <v>1.9724665858104891</v>
      </c>
      <c r="I761" s="2303">
        <f t="shared" si="1656"/>
        <v>2.2710890829691355E-2</v>
      </c>
      <c r="J761" s="2376">
        <f t="shared" si="1676"/>
        <v>2.0078264261344119</v>
      </c>
      <c r="K761" s="2300">
        <f t="shared" si="1676"/>
        <v>2.0182466474205367</v>
      </c>
      <c r="L761" s="2300">
        <f t="shared" si="1676"/>
        <v>0</v>
      </c>
      <c r="M761" s="2303">
        <f t="shared" si="1657"/>
        <v>-2.0182466474205367</v>
      </c>
      <c r="N761" s="2316">
        <v>1.9736284283104546</v>
      </c>
      <c r="O761" s="2316"/>
      <c r="P761" s="2303">
        <f t="shared" si="1658"/>
        <v>-1.9736284283104546</v>
      </c>
      <c r="Q761" s="2376">
        <v>1.9736284283104546</v>
      </c>
      <c r="R761" s="2316"/>
      <c r="S761" s="2301">
        <f t="shared" si="1659"/>
        <v>-1.9736284283104546</v>
      </c>
      <c r="T761" s="2304">
        <f>IFERROR(T799/T738/1000,0)</f>
        <v>1.9736284283104546</v>
      </c>
      <c r="U761" s="2300">
        <f>IFERROR(U799/U738/1000,0)</f>
        <v>0</v>
      </c>
      <c r="V761" s="2301">
        <f t="shared" si="1660"/>
        <v>-1.9736284283104546</v>
      </c>
      <c r="W761" s="2317">
        <v>2.0525735654428727</v>
      </c>
      <c r="X761" s="2316"/>
      <c r="Y761" s="2306">
        <f t="shared" si="1661"/>
        <v>-2.0525735654428727</v>
      </c>
      <c r="Z761" s="2307">
        <f>IFERROR(Z799/Z738/1000,0)</f>
        <v>1.99983389521376</v>
      </c>
      <c r="AA761" s="2300">
        <f>IFERROR(AA799/AA738/1000,0)</f>
        <v>0</v>
      </c>
      <c r="AB761" s="2303">
        <f t="shared" si="1662"/>
        <v>-1.99983389521376</v>
      </c>
      <c r="AC761" s="2376">
        <v>2.0525735654428727</v>
      </c>
      <c r="AD761" s="2316"/>
      <c r="AE761" s="2301">
        <f t="shared" si="1663"/>
        <v>-2.0525735654428727</v>
      </c>
      <c r="AF761" s="2380"/>
      <c r="AG761" s="2114"/>
      <c r="AH761" s="2316">
        <f>'Шаблон 46 ГП'!J176</f>
        <v>0</v>
      </c>
      <c r="AI761" s="2316"/>
      <c r="AJ761" s="2310">
        <f t="shared" si="1664"/>
        <v>0</v>
      </c>
      <c r="AK761" s="2316">
        <v>1.9736284283104546</v>
      </c>
      <c r="AL761" s="2316"/>
      <c r="AM761" s="2310">
        <f t="shared" si="1665"/>
        <v>-1.9736284283104546</v>
      </c>
      <c r="AN761" s="2316">
        <v>1.9736284283104546</v>
      </c>
      <c r="AO761" s="2316"/>
      <c r="AP761" s="2310">
        <f t="shared" si="1666"/>
        <v>-1.9736284283104546</v>
      </c>
      <c r="AQ761" s="2316">
        <v>1.9736284283104546</v>
      </c>
      <c r="AR761" s="2316"/>
      <c r="AS761" s="2310">
        <f t="shared" si="1667"/>
        <v>-1.9736284283104546</v>
      </c>
      <c r="AT761" s="2316">
        <v>1.9736284283104546</v>
      </c>
      <c r="AU761" s="2316"/>
      <c r="AV761" s="2310">
        <f t="shared" si="1668"/>
        <v>-1.9736284283104546</v>
      </c>
      <c r="AW761" s="2316">
        <v>1.9736284283104546</v>
      </c>
      <c r="AX761" s="2316"/>
      <c r="AY761" s="2310">
        <f t="shared" si="1669"/>
        <v>-1.9736284283104546</v>
      </c>
      <c r="AZ761" s="2316">
        <v>2.0525735654428727</v>
      </c>
      <c r="BA761" s="2316"/>
      <c r="BB761" s="2310">
        <f t="shared" si="1670"/>
        <v>-2.0525735654428727</v>
      </c>
      <c r="BC761" s="2316">
        <v>2.0525735654428727</v>
      </c>
      <c r="BD761" s="2316"/>
      <c r="BE761" s="2310">
        <f t="shared" si="1671"/>
        <v>-2.0525735654428727</v>
      </c>
      <c r="BF761" s="2316">
        <v>2.0525735654428727</v>
      </c>
      <c r="BG761" s="2316"/>
      <c r="BH761" s="2310">
        <f t="shared" si="1672"/>
        <v>-2.0525735654428727</v>
      </c>
      <c r="BI761" s="2316">
        <v>2.0525735654428727</v>
      </c>
      <c r="BJ761" s="2316"/>
      <c r="BK761" s="2310">
        <f t="shared" si="1673"/>
        <v>-2.0525735654428727</v>
      </c>
      <c r="BL761" s="2316">
        <v>2.0525735654428727</v>
      </c>
      <c r="BM761" s="2316"/>
      <c r="BN761" s="2310">
        <f t="shared" si="1674"/>
        <v>-2.0525735654428727</v>
      </c>
      <c r="BO761" s="2316">
        <v>2.0525735654428727</v>
      </c>
      <c r="BP761" s="2316"/>
      <c r="BQ761" s="2310">
        <f t="shared" si="1675"/>
        <v>-2.0525735654428727</v>
      </c>
    </row>
    <row r="762" spans="3:69" s="2087" customFormat="1" ht="12" customHeight="1">
      <c r="C762" s="2173" t="s">
        <v>2931</v>
      </c>
      <c r="D762" s="2362" t="s">
        <v>1821</v>
      </c>
      <c r="E762" s="2250" t="s">
        <v>2923</v>
      </c>
      <c r="F762" s="2376">
        <v>1.7397603424366317</v>
      </c>
      <c r="G762" s="2300">
        <f>IFERROR(G801/G740/1000,0)</f>
        <v>0</v>
      </c>
      <c r="H762" s="2300">
        <f>IFERROR(H801/H740/1000,0)</f>
        <v>1.9696827180742642</v>
      </c>
      <c r="I762" s="2303">
        <f t="shared" si="1656"/>
        <v>1.9696827180742642</v>
      </c>
      <c r="J762" s="2376">
        <f>IFERROR(J801/J740/1000,0)</f>
        <v>2.0134858780361173</v>
      </c>
      <c r="K762" s="2300">
        <f>IFERROR(K801/K740/1000,0)</f>
        <v>2.0171803066727305</v>
      </c>
      <c r="L762" s="2300">
        <f>IFERROR(L801/L740/1000,0)</f>
        <v>0</v>
      </c>
      <c r="M762" s="2303">
        <f t="shared" si="1657"/>
        <v>-2.0171803066727305</v>
      </c>
      <c r="N762" s="2316">
        <v>1.9736284283104546</v>
      </c>
      <c r="O762" s="2316"/>
      <c r="P762" s="2303">
        <f t="shared" si="1658"/>
        <v>-1.9736284283104546</v>
      </c>
      <c r="Q762" s="2376">
        <v>1.9736284283104546</v>
      </c>
      <c r="R762" s="2316"/>
      <c r="S762" s="2301">
        <f t="shared" si="1659"/>
        <v>-1.9736284283104546</v>
      </c>
      <c r="T762" s="2304">
        <f>IFERROR(T801/T740/1000,0)</f>
        <v>1.9736284283104546</v>
      </c>
      <c r="U762" s="2300">
        <f>IFERROR(U801/U740/1000,0)</f>
        <v>0</v>
      </c>
      <c r="V762" s="2301">
        <f t="shared" si="1660"/>
        <v>-1.9736284283104546</v>
      </c>
      <c r="W762" s="2317">
        <v>2.0525735654428727</v>
      </c>
      <c r="X762" s="2316"/>
      <c r="Y762" s="2306">
        <f t="shared" si="1661"/>
        <v>-2.0525735654428727</v>
      </c>
      <c r="Z762" s="2307">
        <f>IFERROR(Z801/Z740/1000,0)</f>
        <v>2.0035518679508941</v>
      </c>
      <c r="AA762" s="2300">
        <f>IFERROR(AA801/AA740/1000,0)</f>
        <v>0</v>
      </c>
      <c r="AB762" s="2303">
        <f t="shared" si="1662"/>
        <v>-2.0035518679508941</v>
      </c>
      <c r="AC762" s="2376">
        <v>2.0525735654428727</v>
      </c>
      <c r="AD762" s="2316"/>
      <c r="AE762" s="2301">
        <f t="shared" si="1663"/>
        <v>-2.0525735654428727</v>
      </c>
      <c r="AF762" s="2380"/>
      <c r="AG762" s="2114"/>
      <c r="AH762" s="2316">
        <f>AH761</f>
        <v>0</v>
      </c>
      <c r="AI762" s="2316"/>
      <c r="AJ762" s="2310">
        <f t="shared" si="1664"/>
        <v>0</v>
      </c>
      <c r="AK762" s="2316">
        <v>1.9736284283104546</v>
      </c>
      <c r="AL762" s="2316"/>
      <c r="AM762" s="2310">
        <f t="shared" si="1665"/>
        <v>-1.9736284283104546</v>
      </c>
      <c r="AN762" s="2316">
        <v>1.9736284283104546</v>
      </c>
      <c r="AO762" s="2316"/>
      <c r="AP762" s="2310">
        <f t="shared" si="1666"/>
        <v>-1.9736284283104546</v>
      </c>
      <c r="AQ762" s="2316">
        <v>1.9736284283104546</v>
      </c>
      <c r="AR762" s="2316"/>
      <c r="AS762" s="2310">
        <f t="shared" si="1667"/>
        <v>-1.9736284283104546</v>
      </c>
      <c r="AT762" s="2316">
        <v>1.9736284283104546</v>
      </c>
      <c r="AU762" s="2316"/>
      <c r="AV762" s="2310">
        <f t="shared" si="1668"/>
        <v>-1.9736284283104546</v>
      </c>
      <c r="AW762" s="2316">
        <v>1.9736284283104546</v>
      </c>
      <c r="AX762" s="2316"/>
      <c r="AY762" s="2310">
        <f t="shared" si="1669"/>
        <v>-1.9736284283104546</v>
      </c>
      <c r="AZ762" s="2316">
        <v>2.0525735654428727</v>
      </c>
      <c r="BA762" s="2316"/>
      <c r="BB762" s="2310">
        <f t="shared" si="1670"/>
        <v>-2.0525735654428727</v>
      </c>
      <c r="BC762" s="2316">
        <v>2.0525735654428727</v>
      </c>
      <c r="BD762" s="2316"/>
      <c r="BE762" s="2310">
        <f t="shared" si="1671"/>
        <v>-2.0525735654428727</v>
      </c>
      <c r="BF762" s="2316">
        <v>2.0525735654428727</v>
      </c>
      <c r="BG762" s="2316"/>
      <c r="BH762" s="2310">
        <f t="shared" si="1672"/>
        <v>-2.0525735654428727</v>
      </c>
      <c r="BI762" s="2316">
        <v>2.0525735654428727</v>
      </c>
      <c r="BJ762" s="2316"/>
      <c r="BK762" s="2310">
        <f t="shared" si="1673"/>
        <v>-2.0525735654428727</v>
      </c>
      <c r="BL762" s="2316">
        <v>2.0525735654428727</v>
      </c>
      <c r="BM762" s="2316"/>
      <c r="BN762" s="2310">
        <f t="shared" si="1674"/>
        <v>-2.0525735654428727</v>
      </c>
      <c r="BO762" s="2316">
        <v>2.0525735654428727</v>
      </c>
      <c r="BP762" s="2316"/>
      <c r="BQ762" s="2310">
        <f t="shared" si="1675"/>
        <v>-2.0525735654428727</v>
      </c>
    </row>
    <row r="763" spans="3:69" s="2087" customFormat="1" ht="12" hidden="1" customHeight="1">
      <c r="C763" s="2173" t="s">
        <v>2932</v>
      </c>
      <c r="D763" s="2311" t="s">
        <v>2096</v>
      </c>
      <c r="E763" s="2250" t="s">
        <v>2923</v>
      </c>
      <c r="F763" s="2376"/>
      <c r="G763" s="2300">
        <f>IFERROR(G803/G742/1000,0)</f>
        <v>0</v>
      </c>
      <c r="H763" s="2300">
        <f>IFERROR(H803/H742/1000,0)</f>
        <v>0</v>
      </c>
      <c r="I763" s="2303">
        <f t="shared" si="1656"/>
        <v>0</v>
      </c>
      <c r="J763" s="2376">
        <f>IFERROR(J803/J742/1000,0)</f>
        <v>0</v>
      </c>
      <c r="K763" s="2300">
        <f>IFERROR(K803/K742/1000,0)</f>
        <v>0</v>
      </c>
      <c r="L763" s="2300">
        <f>IFERROR(L803/L742/1000,0)</f>
        <v>0</v>
      </c>
      <c r="M763" s="2303">
        <f t="shared" si="1657"/>
        <v>0</v>
      </c>
      <c r="N763" s="2316"/>
      <c r="O763" s="2316"/>
      <c r="P763" s="2303">
        <f t="shared" si="1658"/>
        <v>0</v>
      </c>
      <c r="Q763" s="2376"/>
      <c r="R763" s="2316"/>
      <c r="S763" s="2301">
        <f t="shared" si="1659"/>
        <v>0</v>
      </c>
      <c r="T763" s="2304">
        <f>IFERROR(T803/T742/1000,0)</f>
        <v>0</v>
      </c>
      <c r="U763" s="2300">
        <f>IFERROR(U803/U742/1000,0)</f>
        <v>0</v>
      </c>
      <c r="V763" s="2301">
        <f t="shared" si="1660"/>
        <v>0</v>
      </c>
      <c r="W763" s="2317"/>
      <c r="X763" s="2316"/>
      <c r="Y763" s="2306">
        <f t="shared" si="1661"/>
        <v>0</v>
      </c>
      <c r="Z763" s="2307">
        <f>IFERROR(Z803/Z742/1000,0)</f>
        <v>0</v>
      </c>
      <c r="AA763" s="2300">
        <f>IFERROR(AA803/AA742/1000,0)</f>
        <v>0</v>
      </c>
      <c r="AB763" s="2303">
        <f t="shared" si="1662"/>
        <v>0</v>
      </c>
      <c r="AC763" s="2376"/>
      <c r="AD763" s="2316"/>
      <c r="AE763" s="2301">
        <f t="shared" si="1663"/>
        <v>0</v>
      </c>
      <c r="AF763" s="2380"/>
      <c r="AG763" s="2114"/>
      <c r="AH763" s="2316"/>
      <c r="AI763" s="2316"/>
      <c r="AJ763" s="2310">
        <f t="shared" si="1664"/>
        <v>0</v>
      </c>
      <c r="AK763" s="2316"/>
      <c r="AL763" s="2316"/>
      <c r="AM763" s="2310">
        <f t="shared" si="1665"/>
        <v>0</v>
      </c>
      <c r="AN763" s="2316"/>
      <c r="AO763" s="2316"/>
      <c r="AP763" s="2310">
        <f t="shared" si="1666"/>
        <v>0</v>
      </c>
      <c r="AQ763" s="2316"/>
      <c r="AR763" s="2316"/>
      <c r="AS763" s="2310">
        <f t="shared" si="1667"/>
        <v>0</v>
      </c>
      <c r="AT763" s="2316"/>
      <c r="AU763" s="2316"/>
      <c r="AV763" s="2310">
        <f t="shared" si="1668"/>
        <v>0</v>
      </c>
      <c r="AW763" s="2316"/>
      <c r="AX763" s="2316"/>
      <c r="AY763" s="2310">
        <f t="shared" si="1669"/>
        <v>0</v>
      </c>
      <c r="AZ763" s="2316"/>
      <c r="BA763" s="2316"/>
      <c r="BB763" s="2310">
        <f t="shared" si="1670"/>
        <v>0</v>
      </c>
      <c r="BC763" s="2316"/>
      <c r="BD763" s="2316"/>
      <c r="BE763" s="2310">
        <f t="shared" si="1671"/>
        <v>0</v>
      </c>
      <c r="BF763" s="2316"/>
      <c r="BG763" s="2316"/>
      <c r="BH763" s="2310">
        <f t="shared" si="1672"/>
        <v>0</v>
      </c>
      <c r="BI763" s="2316"/>
      <c r="BJ763" s="2316"/>
      <c r="BK763" s="2310">
        <f t="shared" si="1673"/>
        <v>0</v>
      </c>
      <c r="BL763" s="2316"/>
      <c r="BM763" s="2316"/>
      <c r="BN763" s="2310">
        <f t="shared" si="1674"/>
        <v>0</v>
      </c>
      <c r="BO763" s="2316"/>
      <c r="BP763" s="2316"/>
      <c r="BQ763" s="2310">
        <f t="shared" si="1675"/>
        <v>0</v>
      </c>
    </row>
    <row r="764" spans="3:69" s="2087" customFormat="1" ht="12" hidden="1" customHeight="1">
      <c r="C764" s="2173" t="s">
        <v>2933</v>
      </c>
      <c r="D764" s="2311" t="s">
        <v>2098</v>
      </c>
      <c r="E764" s="2250" t="s">
        <v>2923</v>
      </c>
      <c r="F764" s="2376"/>
      <c r="G764" s="2300">
        <f>IFERROR(G805/G744/1000,0)</f>
        <v>0</v>
      </c>
      <c r="H764" s="2300">
        <f>IFERROR(H805/H744/1000,0)</f>
        <v>0</v>
      </c>
      <c r="I764" s="2303">
        <f t="shared" si="1656"/>
        <v>0</v>
      </c>
      <c r="J764" s="2376">
        <f>IFERROR(J805/J744/1000,0)</f>
        <v>0</v>
      </c>
      <c r="K764" s="2300">
        <f>IFERROR(K805/K744/1000,0)</f>
        <v>0</v>
      </c>
      <c r="L764" s="2300">
        <f>IFERROR(L805/L744/1000,0)</f>
        <v>0</v>
      </c>
      <c r="M764" s="2303">
        <f t="shared" si="1657"/>
        <v>0</v>
      </c>
      <c r="N764" s="2316"/>
      <c r="O764" s="2316"/>
      <c r="P764" s="2303">
        <f t="shared" si="1658"/>
        <v>0</v>
      </c>
      <c r="Q764" s="2376"/>
      <c r="R764" s="2316"/>
      <c r="S764" s="2301">
        <f t="shared" si="1659"/>
        <v>0</v>
      </c>
      <c r="T764" s="2304">
        <f>IFERROR(T805/T744/1000,0)</f>
        <v>0</v>
      </c>
      <c r="U764" s="2300">
        <f>IFERROR(U805/U744/1000,0)</f>
        <v>0</v>
      </c>
      <c r="V764" s="2301">
        <f t="shared" si="1660"/>
        <v>0</v>
      </c>
      <c r="W764" s="2317"/>
      <c r="X764" s="2316"/>
      <c r="Y764" s="2306">
        <f t="shared" si="1661"/>
        <v>0</v>
      </c>
      <c r="Z764" s="2307">
        <f>IFERROR(Z805/Z744/1000,0)</f>
        <v>0</v>
      </c>
      <c r="AA764" s="2300">
        <f>IFERROR(AA805/AA744/1000,0)</f>
        <v>0</v>
      </c>
      <c r="AB764" s="2303">
        <f t="shared" si="1662"/>
        <v>0</v>
      </c>
      <c r="AC764" s="2376"/>
      <c r="AD764" s="2316"/>
      <c r="AE764" s="2301">
        <f t="shared" si="1663"/>
        <v>0</v>
      </c>
      <c r="AF764" s="2380"/>
      <c r="AG764" s="2114"/>
      <c r="AH764" s="2316"/>
      <c r="AI764" s="2316"/>
      <c r="AJ764" s="2310">
        <f t="shared" si="1664"/>
        <v>0</v>
      </c>
      <c r="AK764" s="2316"/>
      <c r="AL764" s="2316"/>
      <c r="AM764" s="2310">
        <f t="shared" si="1665"/>
        <v>0</v>
      </c>
      <c r="AN764" s="2316"/>
      <c r="AO764" s="2316"/>
      <c r="AP764" s="2310">
        <f t="shared" si="1666"/>
        <v>0</v>
      </c>
      <c r="AQ764" s="2316"/>
      <c r="AR764" s="2316"/>
      <c r="AS764" s="2310">
        <f t="shared" si="1667"/>
        <v>0</v>
      </c>
      <c r="AT764" s="2316"/>
      <c r="AU764" s="2316"/>
      <c r="AV764" s="2310">
        <f t="shared" si="1668"/>
        <v>0</v>
      </c>
      <c r="AW764" s="2316"/>
      <c r="AX764" s="2316"/>
      <c r="AY764" s="2310">
        <f t="shared" si="1669"/>
        <v>0</v>
      </c>
      <c r="AZ764" s="2316"/>
      <c r="BA764" s="2316"/>
      <c r="BB764" s="2310">
        <f t="shared" si="1670"/>
        <v>0</v>
      </c>
      <c r="BC764" s="2316"/>
      <c r="BD764" s="2316"/>
      <c r="BE764" s="2310">
        <f t="shared" si="1671"/>
        <v>0</v>
      </c>
      <c r="BF764" s="2316"/>
      <c r="BG764" s="2316"/>
      <c r="BH764" s="2310">
        <f t="shared" si="1672"/>
        <v>0</v>
      </c>
      <c r="BI764" s="2316"/>
      <c r="BJ764" s="2316"/>
      <c r="BK764" s="2310">
        <f t="shared" si="1673"/>
        <v>0</v>
      </c>
      <c r="BL764" s="2316"/>
      <c r="BM764" s="2316"/>
      <c r="BN764" s="2310">
        <f t="shared" si="1674"/>
        <v>0</v>
      </c>
      <c r="BO764" s="2316"/>
      <c r="BP764" s="2316"/>
      <c r="BQ764" s="2310">
        <f t="shared" si="1675"/>
        <v>0</v>
      </c>
    </row>
    <row r="765" spans="3:69" s="2087" customFormat="1" ht="12" hidden="1" customHeight="1">
      <c r="C765" s="2173" t="s">
        <v>2934</v>
      </c>
      <c r="D765" s="2311" t="s">
        <v>2100</v>
      </c>
      <c r="E765" s="2250" t="s">
        <v>2923</v>
      </c>
      <c r="F765" s="2376"/>
      <c r="G765" s="2300">
        <f>IFERROR(G807/G746/1000,0)</f>
        <v>0</v>
      </c>
      <c r="H765" s="2300">
        <f>IFERROR(H807/H746/1000,0)</f>
        <v>0</v>
      </c>
      <c r="I765" s="2303">
        <f t="shared" si="1656"/>
        <v>0</v>
      </c>
      <c r="J765" s="2376">
        <f>IFERROR(J807/J746/1000,0)</f>
        <v>0</v>
      </c>
      <c r="K765" s="2300">
        <f>IFERROR(K807/K746/1000,0)</f>
        <v>0</v>
      </c>
      <c r="L765" s="2300">
        <f>IFERROR(L807/L746/1000,0)</f>
        <v>0</v>
      </c>
      <c r="M765" s="2303">
        <f t="shared" si="1657"/>
        <v>0</v>
      </c>
      <c r="N765" s="2316"/>
      <c r="O765" s="2316"/>
      <c r="P765" s="2303">
        <f t="shared" si="1658"/>
        <v>0</v>
      </c>
      <c r="Q765" s="2376"/>
      <c r="R765" s="2316"/>
      <c r="S765" s="2301">
        <f t="shared" si="1659"/>
        <v>0</v>
      </c>
      <c r="T765" s="2304">
        <f>IFERROR(T807/T746/1000,0)</f>
        <v>0</v>
      </c>
      <c r="U765" s="2300">
        <f>IFERROR(U807/U746/1000,0)</f>
        <v>0</v>
      </c>
      <c r="V765" s="2301">
        <f t="shared" si="1660"/>
        <v>0</v>
      </c>
      <c r="W765" s="2317"/>
      <c r="X765" s="2316"/>
      <c r="Y765" s="2306">
        <f t="shared" si="1661"/>
        <v>0</v>
      </c>
      <c r="Z765" s="2307">
        <f>IFERROR(Z807/Z746/1000,0)</f>
        <v>0</v>
      </c>
      <c r="AA765" s="2300">
        <f>IFERROR(AA807/AA746/1000,0)</f>
        <v>0</v>
      </c>
      <c r="AB765" s="2303">
        <f t="shared" si="1662"/>
        <v>0</v>
      </c>
      <c r="AC765" s="2376"/>
      <c r="AD765" s="2316"/>
      <c r="AE765" s="2301">
        <f t="shared" si="1663"/>
        <v>0</v>
      </c>
      <c r="AF765" s="2381"/>
      <c r="AG765" s="2114"/>
      <c r="AH765" s="2316"/>
      <c r="AI765" s="2316"/>
      <c r="AJ765" s="2310">
        <f t="shared" si="1664"/>
        <v>0</v>
      </c>
      <c r="AK765" s="2316"/>
      <c r="AL765" s="2316"/>
      <c r="AM765" s="2310">
        <f t="shared" si="1665"/>
        <v>0</v>
      </c>
      <c r="AN765" s="2316"/>
      <c r="AO765" s="2316"/>
      <c r="AP765" s="2310">
        <f t="shared" si="1666"/>
        <v>0</v>
      </c>
      <c r="AQ765" s="2316"/>
      <c r="AR765" s="2316"/>
      <c r="AS765" s="2310">
        <f t="shared" si="1667"/>
        <v>0</v>
      </c>
      <c r="AT765" s="2316"/>
      <c r="AU765" s="2316"/>
      <c r="AV765" s="2310">
        <f t="shared" si="1668"/>
        <v>0</v>
      </c>
      <c r="AW765" s="2316"/>
      <c r="AX765" s="2316"/>
      <c r="AY765" s="2310">
        <f t="shared" si="1669"/>
        <v>0</v>
      </c>
      <c r="AZ765" s="2316"/>
      <c r="BA765" s="2316"/>
      <c r="BB765" s="2310">
        <f t="shared" si="1670"/>
        <v>0</v>
      </c>
      <c r="BC765" s="2316"/>
      <c r="BD765" s="2316"/>
      <c r="BE765" s="2310">
        <f t="shared" si="1671"/>
        <v>0</v>
      </c>
      <c r="BF765" s="2316"/>
      <c r="BG765" s="2316"/>
      <c r="BH765" s="2310">
        <f t="shared" si="1672"/>
        <v>0</v>
      </c>
      <c r="BI765" s="2316"/>
      <c r="BJ765" s="2316"/>
      <c r="BK765" s="2310">
        <f t="shared" si="1673"/>
        <v>0</v>
      </c>
      <c r="BL765" s="2316"/>
      <c r="BM765" s="2316"/>
      <c r="BN765" s="2310">
        <f t="shared" si="1674"/>
        <v>0</v>
      </c>
      <c r="BO765" s="2316"/>
      <c r="BP765" s="2316"/>
      <c r="BQ765" s="2310">
        <f t="shared" si="1675"/>
        <v>0</v>
      </c>
    </row>
    <row r="766" spans="3:69" s="2087" customFormat="1" ht="12" hidden="1" customHeight="1">
      <c r="C766" s="2173" t="s">
        <v>2935</v>
      </c>
      <c r="D766" s="2311" t="s">
        <v>2395</v>
      </c>
      <c r="E766" s="2250" t="s">
        <v>2923</v>
      </c>
      <c r="F766" s="2376"/>
      <c r="G766" s="2300">
        <f>IFERROR(G809/G748/1000,0)</f>
        <v>0</v>
      </c>
      <c r="H766" s="2300">
        <f>IFERROR(H809/H748/1000,0)</f>
        <v>0</v>
      </c>
      <c r="I766" s="2303">
        <f t="shared" si="1656"/>
        <v>0</v>
      </c>
      <c r="J766" s="2376">
        <f>IFERROR(J809/J748/1000,0)</f>
        <v>0</v>
      </c>
      <c r="K766" s="2300">
        <f>IFERROR(K809/K748/1000,0)</f>
        <v>0</v>
      </c>
      <c r="L766" s="2300">
        <f>IFERROR(L809/L748/1000,0)</f>
        <v>0</v>
      </c>
      <c r="M766" s="2303">
        <f t="shared" si="1657"/>
        <v>0</v>
      </c>
      <c r="N766" s="2300">
        <f>IFERROR(N809/N748/1000,0)</f>
        <v>0</v>
      </c>
      <c r="O766" s="2300">
        <f>IFERROR(O809/O748/1000,0)</f>
        <v>0</v>
      </c>
      <c r="P766" s="2303">
        <f>O766-N766</f>
        <v>0</v>
      </c>
      <c r="Q766" s="2307">
        <f>IFERROR(Q809/Q748/1000,0)</f>
        <v>0</v>
      </c>
      <c r="R766" s="2300">
        <f>IFERROR(R809/R748/1000,0)</f>
        <v>0</v>
      </c>
      <c r="S766" s="2301">
        <f>R766-Q766</f>
        <v>0</v>
      </c>
      <c r="T766" s="2304">
        <f>IFERROR(T809/T748/1000,0)</f>
        <v>0</v>
      </c>
      <c r="U766" s="2300">
        <f>IFERROR(U809/U748/1000,0)</f>
        <v>0</v>
      </c>
      <c r="V766" s="2301">
        <f t="shared" si="1660"/>
        <v>0</v>
      </c>
      <c r="W766" s="2305">
        <f>IFERROR(W809/W748/1000,0)</f>
        <v>0</v>
      </c>
      <c r="X766" s="2300">
        <f>IFERROR(X809/X748/1000,0)</f>
        <v>0</v>
      </c>
      <c r="Y766" s="2306">
        <f>X766-W766</f>
        <v>0</v>
      </c>
      <c r="Z766" s="2307">
        <f>IFERROR(Z809/Z748/1000,0)</f>
        <v>0</v>
      </c>
      <c r="AA766" s="2300">
        <f>IFERROR(AA809/AA748/1000,0)</f>
        <v>0</v>
      </c>
      <c r="AB766" s="2303">
        <f t="shared" si="1662"/>
        <v>0</v>
      </c>
      <c r="AC766" s="2307">
        <f>IFERROR(AC809/AC748/1000,0)</f>
        <v>0</v>
      </c>
      <c r="AD766" s="2300">
        <f>IFERROR(AD809/AD748/1000,0)</f>
        <v>0</v>
      </c>
      <c r="AE766" s="2301">
        <f>AD766-AC766</f>
        <v>0</v>
      </c>
      <c r="AF766" s="2380"/>
      <c r="AG766" s="2114"/>
      <c r="AH766" s="2309">
        <f>IFERROR(AH809/AH748/1000,0)</f>
        <v>0</v>
      </c>
      <c r="AI766" s="2309">
        <f>IFERROR(AI809/AI748/1000,0)</f>
        <v>0</v>
      </c>
      <c r="AJ766" s="2310">
        <f>AI766-AH766</f>
        <v>0</v>
      </c>
      <c r="AK766" s="2309">
        <f>IFERROR(AK809/AK748/1000,0)</f>
        <v>0</v>
      </c>
      <c r="AL766" s="2309">
        <f>IFERROR(AL809/AL748/1000,0)</f>
        <v>0</v>
      </c>
      <c r="AM766" s="2310">
        <f>AL766-AK766</f>
        <v>0</v>
      </c>
      <c r="AN766" s="2309">
        <f>IFERROR(AN809/AN748/1000,0)</f>
        <v>0</v>
      </c>
      <c r="AO766" s="2309">
        <f>IFERROR(AO809/AO748/1000,0)</f>
        <v>0</v>
      </c>
      <c r="AP766" s="2310">
        <f>AO766-AN766</f>
        <v>0</v>
      </c>
      <c r="AQ766" s="2309">
        <f>IFERROR(AQ809/AQ748/1000,0)</f>
        <v>0</v>
      </c>
      <c r="AR766" s="2309">
        <f>IFERROR(AR809/AR748/1000,0)</f>
        <v>0</v>
      </c>
      <c r="AS766" s="2310">
        <f>AR766-AQ766</f>
        <v>0</v>
      </c>
      <c r="AT766" s="2309">
        <f>IFERROR(AT809/AT748/1000,0)</f>
        <v>0</v>
      </c>
      <c r="AU766" s="2309">
        <f>IFERROR(AU809/AU748/1000,0)</f>
        <v>0</v>
      </c>
      <c r="AV766" s="2310">
        <f>AU766-AT766</f>
        <v>0</v>
      </c>
      <c r="AW766" s="2309">
        <f>IFERROR(AW809/AW748/1000,0)</f>
        <v>0</v>
      </c>
      <c r="AX766" s="2309">
        <f>IFERROR(AX809/AX748/1000,0)</f>
        <v>0</v>
      </c>
      <c r="AY766" s="2310">
        <f>AX766-AW766</f>
        <v>0</v>
      </c>
      <c r="AZ766" s="2309">
        <f>IFERROR(AZ809/AZ748/1000,0)</f>
        <v>0</v>
      </c>
      <c r="BA766" s="2309">
        <f>IFERROR(BA809/BA748/1000,0)</f>
        <v>0</v>
      </c>
      <c r="BB766" s="2310">
        <f>BA766-AZ766</f>
        <v>0</v>
      </c>
      <c r="BC766" s="2309">
        <f>IFERROR(BC809/BC748/1000,0)</f>
        <v>0</v>
      </c>
      <c r="BD766" s="2309">
        <f>IFERROR(BD809/BD748/1000,0)</f>
        <v>0</v>
      </c>
      <c r="BE766" s="2310">
        <f>BD766-BC766</f>
        <v>0</v>
      </c>
      <c r="BF766" s="2309">
        <f>IFERROR(BF809/BF748/1000,0)</f>
        <v>0</v>
      </c>
      <c r="BG766" s="2309">
        <f>IFERROR(BG809/BG748/1000,0)</f>
        <v>0</v>
      </c>
      <c r="BH766" s="2310">
        <f>BG766-BF766</f>
        <v>0</v>
      </c>
      <c r="BI766" s="2309">
        <f>IFERROR(BI809/BI748/1000,0)</f>
        <v>0</v>
      </c>
      <c r="BJ766" s="2309">
        <f>IFERROR(BJ809/BJ748/1000,0)</f>
        <v>0</v>
      </c>
      <c r="BK766" s="2310">
        <f>BJ766-BI766</f>
        <v>0</v>
      </c>
      <c r="BL766" s="2309">
        <f>IFERROR(BL809/BL748/1000,0)</f>
        <v>0</v>
      </c>
      <c r="BM766" s="2309">
        <f>IFERROR(BM809/BM748/1000,0)</f>
        <v>0</v>
      </c>
      <c r="BN766" s="2310">
        <f>BM766-BL766</f>
        <v>0</v>
      </c>
      <c r="BO766" s="2309">
        <f>IFERROR(BO809/BO748/1000,0)</f>
        <v>0</v>
      </c>
      <c r="BP766" s="2309">
        <f>IFERROR(BP809/BP748/1000,0)</f>
        <v>0</v>
      </c>
      <c r="BQ766" s="2310">
        <f>BP766-BO766</f>
        <v>0</v>
      </c>
    </row>
    <row r="767" spans="3:69" s="2396" customFormat="1" ht="12" customHeight="1">
      <c r="C767" s="2393" t="s">
        <v>2936</v>
      </c>
      <c r="D767" s="2353" t="s">
        <v>2937</v>
      </c>
      <c r="E767" s="2120" t="s">
        <v>2923</v>
      </c>
      <c r="F767" s="2363"/>
      <c r="G767" s="2364">
        <v>0.30155518696360251</v>
      </c>
      <c r="H767" s="2364">
        <v>0.24737158948106294</v>
      </c>
      <c r="I767" s="2365">
        <f>H767-G767</f>
        <v>-5.4183597482539564E-2</v>
      </c>
      <c r="J767" s="2363">
        <v>0.2862481116238263</v>
      </c>
      <c r="K767" s="2364">
        <v>0.27764568377532739</v>
      </c>
      <c r="L767" s="2364">
        <v>0</v>
      </c>
      <c r="M767" s="2365">
        <f>L767-K767</f>
        <v>-0.27764568377532739</v>
      </c>
      <c r="N767" s="2364">
        <v>0.28106777082542272</v>
      </c>
      <c r="O767" s="2364">
        <v>0</v>
      </c>
      <c r="P767" s="2365">
        <f>O767-N767</f>
        <v>-0.28106777082542272</v>
      </c>
      <c r="Q767" s="2366">
        <v>0.31979867485083102</v>
      </c>
      <c r="R767" s="2364">
        <v>0</v>
      </c>
      <c r="S767" s="2367">
        <f>R767-Q767</f>
        <v>-0.31979867485083102</v>
      </c>
      <c r="T767" s="2368">
        <v>0.29724958680345248</v>
      </c>
      <c r="U767" s="2364">
        <v>0</v>
      </c>
      <c r="V767" s="2367">
        <f>U767-T767</f>
        <v>-0.29724958680345248</v>
      </c>
      <c r="W767" s="2369">
        <v>0.25111452086038077</v>
      </c>
      <c r="X767" s="2364">
        <v>0</v>
      </c>
      <c r="Y767" s="2370">
        <f>X767-W767</f>
        <v>-0.25111452086038077</v>
      </c>
      <c r="Z767" s="2366">
        <v>0.28434202504703437</v>
      </c>
      <c r="AA767" s="2364">
        <v>0</v>
      </c>
      <c r="AB767" s="2365">
        <f t="shared" si="1662"/>
        <v>-0.28434202504703437</v>
      </c>
      <c r="AC767" s="2366">
        <v>0.26283740354694896</v>
      </c>
      <c r="AD767" s="2364">
        <v>0</v>
      </c>
      <c r="AE767" s="2367">
        <f>AD767-AC767</f>
        <v>-0.26283740354694896</v>
      </c>
      <c r="AF767" s="2400">
        <v>0</v>
      </c>
      <c r="AG767" s="2395"/>
      <c r="AH767" s="2372">
        <v>0</v>
      </c>
      <c r="AI767" s="2372">
        <v>0</v>
      </c>
      <c r="AJ767" s="2373">
        <f>AI767-AH767</f>
        <v>0</v>
      </c>
      <c r="AK767" s="2372">
        <v>0</v>
      </c>
      <c r="AL767" s="2372">
        <v>0</v>
      </c>
      <c r="AM767" s="2373">
        <f>AL767-AK767</f>
        <v>0</v>
      </c>
      <c r="AN767" s="2372">
        <v>0</v>
      </c>
      <c r="AO767" s="2372">
        <v>0</v>
      </c>
      <c r="AP767" s="2373">
        <f>AO767-AN767</f>
        <v>0</v>
      </c>
      <c r="AQ767" s="2372">
        <v>0</v>
      </c>
      <c r="AR767" s="2372">
        <v>0</v>
      </c>
      <c r="AS767" s="2373">
        <f>AR767-AQ767</f>
        <v>0</v>
      </c>
      <c r="AT767" s="2372">
        <v>0</v>
      </c>
      <c r="AU767" s="2372">
        <v>0</v>
      </c>
      <c r="AV767" s="2373">
        <f>AU767-AT767</f>
        <v>0</v>
      </c>
      <c r="AW767" s="2372">
        <v>0</v>
      </c>
      <c r="AX767" s="2372">
        <v>0</v>
      </c>
      <c r="AY767" s="2373">
        <f>AX767-AW767</f>
        <v>0</v>
      </c>
      <c r="AZ767" s="2372">
        <v>0</v>
      </c>
      <c r="BA767" s="2372">
        <v>0</v>
      </c>
      <c r="BB767" s="2373">
        <f>BA767-AZ767</f>
        <v>0</v>
      </c>
      <c r="BC767" s="2372">
        <v>0</v>
      </c>
      <c r="BD767" s="2372">
        <v>0</v>
      </c>
      <c r="BE767" s="2373">
        <f>BD767-BC767</f>
        <v>0</v>
      </c>
      <c r="BF767" s="2372">
        <v>0</v>
      </c>
      <c r="BG767" s="2372">
        <v>0</v>
      </c>
      <c r="BH767" s="2373">
        <f>BG767-BF767</f>
        <v>0</v>
      </c>
      <c r="BI767" s="2372">
        <v>0</v>
      </c>
      <c r="BJ767" s="2372">
        <v>0</v>
      </c>
      <c r="BK767" s="2373">
        <f>BJ767-BI767</f>
        <v>0</v>
      </c>
      <c r="BL767" s="2372">
        <v>0</v>
      </c>
      <c r="BM767" s="2372">
        <v>0</v>
      </c>
      <c r="BN767" s="2373">
        <f>BM767-BL767</f>
        <v>0</v>
      </c>
      <c r="BO767" s="2372">
        <v>0</v>
      </c>
      <c r="BP767" s="2372">
        <v>0</v>
      </c>
      <c r="BQ767" s="2373">
        <f>BP767-BO767</f>
        <v>0</v>
      </c>
    </row>
    <row r="768" spans="3:69" s="2159" customFormat="1" ht="12" customHeight="1">
      <c r="C768" s="2147" t="s">
        <v>2018</v>
      </c>
      <c r="D768" s="2148" t="s">
        <v>1420</v>
      </c>
      <c r="E768" s="2149"/>
      <c r="F768" s="2150"/>
      <c r="G768" s="2151"/>
      <c r="H768" s="2386"/>
      <c r="I768" s="2387"/>
      <c r="J768" s="2150"/>
      <c r="K768" s="2151"/>
      <c r="L768" s="2151"/>
      <c r="M768" s="2152"/>
      <c r="N768" s="2151"/>
      <c r="O768" s="2151"/>
      <c r="P768" s="2152"/>
      <c r="Q768" s="2150"/>
      <c r="R768" s="2151"/>
      <c r="S768" s="2153"/>
      <c r="T768" s="2154"/>
      <c r="U768" s="2151"/>
      <c r="V768" s="2153"/>
      <c r="W768" s="2155"/>
      <c r="X768" s="2151"/>
      <c r="Y768" s="2156"/>
      <c r="Z768" s="2150"/>
      <c r="AA768" s="2151"/>
      <c r="AB768" s="2152"/>
      <c r="AC768" s="2150"/>
      <c r="AD768" s="2151"/>
      <c r="AE768" s="2153"/>
      <c r="AF768" s="2157"/>
      <c r="AG768" s="2158"/>
      <c r="AH768" s="2151"/>
      <c r="AI768" s="2151"/>
      <c r="AJ768" s="2152"/>
      <c r="AK768" s="2151"/>
      <c r="AL768" s="2151"/>
      <c r="AM768" s="2152"/>
      <c r="AN768" s="2151"/>
      <c r="AO768" s="2151"/>
      <c r="AP768" s="2152"/>
      <c r="AQ768" s="2151"/>
      <c r="AR768" s="2151"/>
      <c r="AS768" s="2152"/>
      <c r="AT768" s="2151"/>
      <c r="AU768" s="2151"/>
      <c r="AV768" s="2152"/>
      <c r="AW768" s="2151"/>
      <c r="AX768" s="2151"/>
      <c r="AY768" s="2152"/>
      <c r="AZ768" s="2151"/>
      <c r="BA768" s="2151"/>
      <c r="BB768" s="2152"/>
      <c r="BC768" s="2151"/>
      <c r="BD768" s="2151"/>
      <c r="BE768" s="2152"/>
      <c r="BF768" s="2151"/>
      <c r="BG768" s="2151"/>
      <c r="BH768" s="2152"/>
      <c r="BI768" s="2151"/>
      <c r="BJ768" s="2151"/>
      <c r="BK768" s="2152"/>
      <c r="BL768" s="2151"/>
      <c r="BM768" s="2151"/>
      <c r="BN768" s="2152"/>
      <c r="BO768" s="2151"/>
      <c r="BP768" s="2151"/>
      <c r="BQ768" s="2152"/>
    </row>
    <row r="769" spans="3:71" s="2159" customFormat="1" ht="21.6" customHeight="1">
      <c r="C769" s="2256" t="s">
        <v>2020</v>
      </c>
      <c r="D769" s="2161" t="s">
        <v>2938</v>
      </c>
      <c r="E769" s="2120" t="s">
        <v>2590</v>
      </c>
      <c r="F769" s="2162">
        <f>F770+F798</f>
        <v>2837718.7482801597</v>
      </c>
      <c r="G769" s="2163">
        <f>G770+G798</f>
        <v>2523710.8822198198</v>
      </c>
      <c r="H769" s="2163">
        <f>H770+H798</f>
        <v>2552127.2978474577</v>
      </c>
      <c r="I769" s="2164">
        <f>H769-G769</f>
        <v>28416.415627637878</v>
      </c>
      <c r="J769" s="2162">
        <f>J770+J798</f>
        <v>2563173.1727321912</v>
      </c>
      <c r="K769" s="2163">
        <f t="shared" ref="K769:L784" si="1677">N769+Q769+W769+AC769</f>
        <v>2706994.0267353398</v>
      </c>
      <c r="L769" s="2163">
        <f t="shared" si="1677"/>
        <v>0</v>
      </c>
      <c r="M769" s="2164">
        <f>L769-K769</f>
        <v>-2706994.0267353398</v>
      </c>
      <c r="N769" s="2163">
        <f>N770+N798</f>
        <v>809428.44258922152</v>
      </c>
      <c r="O769" s="2163">
        <f>O770+O798</f>
        <v>0</v>
      </c>
      <c r="P769" s="2164">
        <f>O769-N769</f>
        <v>-809428.44258922152</v>
      </c>
      <c r="Q769" s="2165">
        <f>Q770+Q798</f>
        <v>558132.87827556627</v>
      </c>
      <c r="R769" s="2163">
        <f>R770+R798</f>
        <v>0</v>
      </c>
      <c r="S769" s="2166">
        <f>R769-Q769</f>
        <v>-558132.87827556627</v>
      </c>
      <c r="T769" s="2167">
        <f>N769+Q769</f>
        <v>1367561.3208647878</v>
      </c>
      <c r="U769" s="2163">
        <f>O769+R769</f>
        <v>0</v>
      </c>
      <c r="V769" s="2166">
        <f>U769-T769</f>
        <v>-1367561.3208647878</v>
      </c>
      <c r="W769" s="2168">
        <f>W770+W798</f>
        <v>506793.30178133224</v>
      </c>
      <c r="X769" s="2163">
        <f>X770+X798</f>
        <v>0</v>
      </c>
      <c r="Y769" s="2169">
        <f>X769-W769</f>
        <v>-506793.30178133224</v>
      </c>
      <c r="Z769" s="2165">
        <f>T769+W769</f>
        <v>1874354.6226461199</v>
      </c>
      <c r="AA769" s="2163">
        <f>U769+X769</f>
        <v>0</v>
      </c>
      <c r="AB769" s="2164">
        <f>AA769-Z769</f>
        <v>-1874354.6226461199</v>
      </c>
      <c r="AC769" s="2165">
        <f>AC770+AC798</f>
        <v>832639.40408921975</v>
      </c>
      <c r="AD769" s="2163">
        <f>AD770+AD798</f>
        <v>0</v>
      </c>
      <c r="AE769" s="2166">
        <f>AD769-AC769</f>
        <v>-832639.40408921975</v>
      </c>
      <c r="AF769" s="2401"/>
      <c r="AG769" s="2158"/>
      <c r="AH769" s="2171">
        <f>AH770+AH798</f>
        <v>322229.19007966213</v>
      </c>
      <c r="AI769" s="2171">
        <f>AI770+AI798</f>
        <v>0</v>
      </c>
      <c r="AJ769" s="2172">
        <f>AI769-AH769</f>
        <v>-322229.19007966213</v>
      </c>
      <c r="AK769" s="2171">
        <f>AK770+AK798</f>
        <v>310354.89303245145</v>
      </c>
      <c r="AL769" s="2171">
        <f>AL770+AL798</f>
        <v>0</v>
      </c>
      <c r="AM769" s="2172">
        <f>AL769-AK769</f>
        <v>-310354.89303245145</v>
      </c>
      <c r="AN769" s="2171">
        <f>AN770+AN798</f>
        <v>277293.05694185355</v>
      </c>
      <c r="AO769" s="2171">
        <f>AO770+AO798</f>
        <v>0</v>
      </c>
      <c r="AP769" s="2172">
        <f>AO769-AN769</f>
        <v>-277293.05694185355</v>
      </c>
      <c r="AQ769" s="2171">
        <f>AQ770+AQ798</f>
        <v>209231.72397126467</v>
      </c>
      <c r="AR769" s="2171">
        <f>AR770+AR798</f>
        <v>0</v>
      </c>
      <c r="AS769" s="2172">
        <f>AR769-AQ769</f>
        <v>-209231.72397126467</v>
      </c>
      <c r="AT769" s="2171">
        <f>AT770+AT798</f>
        <v>196264.52975039248</v>
      </c>
      <c r="AU769" s="2171">
        <f>AU770+AU798</f>
        <v>0</v>
      </c>
      <c r="AV769" s="2172">
        <f>AU769-AT769</f>
        <v>-196264.52975039248</v>
      </c>
      <c r="AW769" s="2171">
        <f>AW770+AW798</f>
        <v>152636.62455390918</v>
      </c>
      <c r="AX769" s="2171">
        <f>AX770+AX798</f>
        <v>0</v>
      </c>
      <c r="AY769" s="2172">
        <f>AX769-AW769</f>
        <v>-152636.62455390918</v>
      </c>
      <c r="AZ769" s="2171">
        <f>AZ770+AZ798</f>
        <v>152160.07849026172</v>
      </c>
      <c r="BA769" s="2171">
        <f>BA770+BA798</f>
        <v>0</v>
      </c>
      <c r="BB769" s="2172">
        <f>BA769-AZ769</f>
        <v>-152160.07849026172</v>
      </c>
      <c r="BC769" s="2171">
        <f>BC770+BC798</f>
        <v>156086.57574659504</v>
      </c>
      <c r="BD769" s="2171">
        <f>BD770+BD798</f>
        <v>0</v>
      </c>
      <c r="BE769" s="2172">
        <f>BD769-BC769</f>
        <v>-156086.57574659504</v>
      </c>
      <c r="BF769" s="2171">
        <f>BF770+BF798</f>
        <v>198546.64754447548</v>
      </c>
      <c r="BG769" s="2171">
        <f>BG770+BG798</f>
        <v>0</v>
      </c>
      <c r="BH769" s="2172">
        <f>BG769-BF769</f>
        <v>-198546.64754447548</v>
      </c>
      <c r="BI769" s="2171">
        <f>BI770+BI798</f>
        <v>260292.40964103458</v>
      </c>
      <c r="BJ769" s="2171">
        <f>BJ770+BJ798</f>
        <v>0</v>
      </c>
      <c r="BK769" s="2172">
        <f>BJ769-BI769</f>
        <v>-260292.40964103458</v>
      </c>
      <c r="BL769" s="2171">
        <f>BL770+BL798</f>
        <v>281907.95965799165</v>
      </c>
      <c r="BM769" s="2171">
        <f>BM770+BM798</f>
        <v>0</v>
      </c>
      <c r="BN769" s="2172">
        <f>BM769-BL769</f>
        <v>-281907.95965799165</v>
      </c>
      <c r="BO769" s="2171">
        <f>BO770+BO798</f>
        <v>290439.03479019384</v>
      </c>
      <c r="BP769" s="2171">
        <f>BP770+BP798</f>
        <v>0</v>
      </c>
      <c r="BQ769" s="2172">
        <f>BP769-BO769</f>
        <v>-290439.03479019384</v>
      </c>
      <c r="BS769" s="2402" t="e">
        <v>#VALUE!</v>
      </c>
    </row>
    <row r="770" spans="3:71" s="2159" customFormat="1" ht="21.6" customHeight="1">
      <c r="C770" s="2256" t="s">
        <v>2939</v>
      </c>
      <c r="D770" s="2161" t="s">
        <v>2940</v>
      </c>
      <c r="E770" s="2120" t="s">
        <v>2590</v>
      </c>
      <c r="F770" s="2162">
        <f>SUM(F771:F773)</f>
        <v>2707184.529787139</v>
      </c>
      <c r="G770" s="2163">
        <f>G774+G778+G782+G786+G790+G794</f>
        <v>2402404.4899999998</v>
      </c>
      <c r="H770" s="2163">
        <f>H774+H778+H782+H786+H790+H794</f>
        <v>2426421.7560254238</v>
      </c>
      <c r="I770" s="2164">
        <f>H770-G770</f>
        <v>24017.266025424004</v>
      </c>
      <c r="J770" s="2162">
        <f>J774+J778+J782+J786+J790+J794</f>
        <v>2418592.0090264003</v>
      </c>
      <c r="K770" s="2163">
        <f t="shared" si="1677"/>
        <v>2588439.7975863814</v>
      </c>
      <c r="L770" s="2163">
        <f t="shared" si="1677"/>
        <v>0</v>
      </c>
      <c r="M770" s="2164">
        <f t="shared" ref="M770:M812" si="1678">L770-K770</f>
        <v>-2588439.7975863814</v>
      </c>
      <c r="N770" s="2163">
        <f>N774+N778+N782+N786+N790+N794</f>
        <v>785957.76578403474</v>
      </c>
      <c r="O770" s="2163">
        <f>O774+O778+O782+O786+O790+O794</f>
        <v>0</v>
      </c>
      <c r="P770" s="2164">
        <f>O770-N770</f>
        <v>-785957.76578403474</v>
      </c>
      <c r="Q770" s="2165">
        <f>Q774+Q778+Q782+Q786+Q790+Q794</f>
        <v>531192.19198116381</v>
      </c>
      <c r="R770" s="2163">
        <f>R774+R778+R782+R786+R790+R794</f>
        <v>0</v>
      </c>
      <c r="S770" s="2166">
        <f>R770-Q770</f>
        <v>-531192.19198116381</v>
      </c>
      <c r="T770" s="2167">
        <f t="shared" ref="T770:U809" si="1679">N770+Q770</f>
        <v>1317149.9577651985</v>
      </c>
      <c r="U770" s="2163">
        <f t="shared" si="1679"/>
        <v>0</v>
      </c>
      <c r="V770" s="2166">
        <f t="shared" ref="V770:V809" si="1680">U770-T770</f>
        <v>-1317149.9577651985</v>
      </c>
      <c r="W770" s="2168">
        <f>W774+W778+W782+W786+W790+W794</f>
        <v>480737.95513604284</v>
      </c>
      <c r="X770" s="2163">
        <f>X774+X778+X782+X786+X790+X794</f>
        <v>0</v>
      </c>
      <c r="Y770" s="2169">
        <f>X770-W770</f>
        <v>-480737.95513604284</v>
      </c>
      <c r="Z770" s="2165">
        <f t="shared" ref="Z770:AA809" si="1681">T770+W770</f>
        <v>1797887.9129012413</v>
      </c>
      <c r="AA770" s="2163">
        <f t="shared" si="1681"/>
        <v>0</v>
      </c>
      <c r="AB770" s="2164">
        <f t="shared" ref="AB770:AB809" si="1682">AA770-Z770</f>
        <v>-1797887.9129012413</v>
      </c>
      <c r="AC770" s="2165">
        <f>AC774+AC778+AC782+AC786+AC790+AC794</f>
        <v>790551.8846851401</v>
      </c>
      <c r="AD770" s="2163">
        <f>AD774+AD778+AD782+AD786+AD790+AD794</f>
        <v>0</v>
      </c>
      <c r="AE770" s="2166">
        <f>AD770-AC770</f>
        <v>-790551.8846851401</v>
      </c>
      <c r="AF770" s="2401"/>
      <c r="AG770" s="2158"/>
      <c r="AH770" s="2171">
        <f>AH774+AH778+AH782+AH786+AH790+AH794</f>
        <v>322229.19007966213</v>
      </c>
      <c r="AI770" s="2171">
        <f>AI774+AI778+AI782+AI786+AI790+AI794</f>
        <v>0</v>
      </c>
      <c r="AJ770" s="2172">
        <f>AI770-AH770</f>
        <v>-322229.19007966213</v>
      </c>
      <c r="AK770" s="2171">
        <f>AK774+AK778+AK782+AK786+AK790+AK794</f>
        <v>298310.72386298107</v>
      </c>
      <c r="AL770" s="2171">
        <f>AL774+AL778+AL782+AL786+AL790+AL794</f>
        <v>0</v>
      </c>
      <c r="AM770" s="2172">
        <f>AL770-AK770</f>
        <v>-298310.72386298107</v>
      </c>
      <c r="AN770" s="2171">
        <f>AN774+AN778+AN782+AN786+AN790+AN794</f>
        <v>265866.57496330666</v>
      </c>
      <c r="AO770" s="2171">
        <f>AO774+AO778+AO782+AO786+AO790+AO794</f>
        <v>0</v>
      </c>
      <c r="AP770" s="2172">
        <f>AO770-AN770</f>
        <v>-265866.57496330666</v>
      </c>
      <c r="AQ770" s="2171">
        <f>AQ774+AQ778+AQ782+AQ786+AQ790+AQ794</f>
        <v>199209.98260893582</v>
      </c>
      <c r="AR770" s="2171">
        <f>AR774+AR778+AR782+AR786+AR790+AR794</f>
        <v>0</v>
      </c>
      <c r="AS770" s="2172">
        <f>AR770-AQ770</f>
        <v>-199209.98260893582</v>
      </c>
      <c r="AT770" s="2171">
        <f>AT774+AT778+AT782+AT786+AT790+AT794</f>
        <v>186754.6936872885</v>
      </c>
      <c r="AU770" s="2171">
        <f>AU774+AU778+AU782+AU786+AU790+AU794</f>
        <v>0</v>
      </c>
      <c r="AV770" s="2172">
        <f>AU770-AT770</f>
        <v>-186754.6936872885</v>
      </c>
      <c r="AW770" s="2171">
        <f>AW774+AW778+AW782+AW786+AW790+AW794</f>
        <v>145227.51568493948</v>
      </c>
      <c r="AX770" s="2171">
        <f>AX774+AX778+AX782+AX786+AX790+AX794</f>
        <v>0</v>
      </c>
      <c r="AY770" s="2172">
        <f>AX770-AW770</f>
        <v>-145227.51568493948</v>
      </c>
      <c r="AZ770" s="2171">
        <f>AZ774+AZ778+AZ782+AZ786+AZ790+AZ794</f>
        <v>143990.11750130009</v>
      </c>
      <c r="BA770" s="2171">
        <f>BA774+BA778+BA782+BA786+BA790+BA794</f>
        <v>0</v>
      </c>
      <c r="BB770" s="2172">
        <f>BA770-AZ770</f>
        <v>-143990.11750130009</v>
      </c>
      <c r="BC770" s="2171">
        <f>BC774+BC778+BC782+BC786+BC790+BC794</f>
        <v>147692.40900935471</v>
      </c>
      <c r="BD770" s="2171">
        <f>BD774+BD778+BD782+BD786+BD790+BD794</f>
        <v>0</v>
      </c>
      <c r="BE770" s="2172">
        <f>BD770-BC770</f>
        <v>-147692.40900935471</v>
      </c>
      <c r="BF770" s="2171">
        <f>BF774+BF778+BF782+BF786+BF790+BF794</f>
        <v>189055.42862538807</v>
      </c>
      <c r="BG770" s="2171">
        <f>BG774+BG778+BG782+BG786+BG790+BG794</f>
        <v>0</v>
      </c>
      <c r="BH770" s="2172">
        <f>BG770-BF770</f>
        <v>-189055.42862538807</v>
      </c>
      <c r="BI770" s="2171">
        <f>BI774+BI778+BI782+BI786+BI790+BI794</f>
        <v>248115.57831731494</v>
      </c>
      <c r="BJ770" s="2171">
        <f>BJ774+BJ778+BJ782+BJ786+BJ790+BJ794</f>
        <v>0</v>
      </c>
      <c r="BK770" s="2172">
        <f>BJ770-BI770</f>
        <v>-248115.57831731494</v>
      </c>
      <c r="BL770" s="2171">
        <f>BL774+BL778+BL782+BL786+BL790+BL794</f>
        <v>267586.42368549167</v>
      </c>
      <c r="BM770" s="2171">
        <f>BM774+BM778+BM782+BM786+BM790+BM794</f>
        <v>0</v>
      </c>
      <c r="BN770" s="2172">
        <f>BM770-BL770</f>
        <v>-267586.42368549167</v>
      </c>
      <c r="BO770" s="2171">
        <f>BO774+BO778+BO782+BO786+BO790+BO794</f>
        <v>274849.88268233376</v>
      </c>
      <c r="BP770" s="2171">
        <f>BP774+BP778+BP782+BP786+BP790+BP794</f>
        <v>0</v>
      </c>
      <c r="BQ770" s="2172">
        <f>BP770-BO770</f>
        <v>-274849.88268233376</v>
      </c>
    </row>
    <row r="771" spans="3:71" s="2087" customFormat="1" ht="12" customHeight="1">
      <c r="C771" s="2374" t="s">
        <v>2941</v>
      </c>
      <c r="D771" s="2375" t="s">
        <v>28</v>
      </c>
      <c r="E771" s="2250" t="s">
        <v>2590</v>
      </c>
      <c r="F771" s="2176">
        <f>F775+F779+F791</f>
        <v>491412.60486779665</v>
      </c>
      <c r="G771" s="2179">
        <f>G775+G779+G783+G787+G791+G795</f>
        <v>519290</v>
      </c>
      <c r="H771" s="2179">
        <f>H775+H779+H783+H787+H791+H795</f>
        <v>539148.30508474575</v>
      </c>
      <c r="I771" s="2178">
        <f t="shared" ref="I771:I797" si="1683">H771-G771</f>
        <v>19858.305084745749</v>
      </c>
      <c r="J771" s="2176">
        <f>J775+J779+J783+J787+J791+J795</f>
        <v>539895.21940383501</v>
      </c>
      <c r="K771" s="2179">
        <f t="shared" si="1677"/>
        <v>539895.21940383478</v>
      </c>
      <c r="L771" s="2179">
        <f t="shared" si="1677"/>
        <v>0</v>
      </c>
      <c r="M771" s="2178">
        <f t="shared" si="1678"/>
        <v>-539895.21940383478</v>
      </c>
      <c r="N771" s="2179">
        <f>N775+N779+N783+N787+N791+N795</f>
        <v>151837.59411069064</v>
      </c>
      <c r="O771" s="2179">
        <f>O775+O779+O783+O787+O791+O795</f>
        <v>0</v>
      </c>
      <c r="P771" s="2178">
        <f t="shared" ref="P771:P797" si="1684">O771-N771</f>
        <v>-151837.59411069064</v>
      </c>
      <c r="Q771" s="2184">
        <f>Q775+Q779+Q783+Q787+Q791+Q795</f>
        <v>96966.53916797186</v>
      </c>
      <c r="R771" s="2179">
        <f>R775+R779+R783+R787+R791+R795</f>
        <v>0</v>
      </c>
      <c r="S771" s="2180">
        <f t="shared" ref="S771:S797" si="1685">R771-Q771</f>
        <v>-96966.53916797186</v>
      </c>
      <c r="T771" s="2181">
        <f t="shared" si="1679"/>
        <v>248804.13327866251</v>
      </c>
      <c r="U771" s="2179">
        <f t="shared" si="1679"/>
        <v>0</v>
      </c>
      <c r="V771" s="2180">
        <f t="shared" si="1680"/>
        <v>-248804.13327866251</v>
      </c>
      <c r="W771" s="2187">
        <f>W775+W779+W783+W787+W791+W795</f>
        <v>114313.10886750005</v>
      </c>
      <c r="X771" s="2179">
        <f>X775+X779+X783+X787+X791+X795</f>
        <v>0</v>
      </c>
      <c r="Y771" s="2183">
        <f t="shared" ref="Y771:Y797" si="1686">X771-W771</f>
        <v>-114313.10886750005</v>
      </c>
      <c r="Z771" s="2184">
        <f t="shared" si="1681"/>
        <v>363117.24214616255</v>
      </c>
      <c r="AA771" s="2179">
        <f t="shared" si="1681"/>
        <v>0</v>
      </c>
      <c r="AB771" s="2178">
        <f t="shared" si="1682"/>
        <v>-363117.24214616255</v>
      </c>
      <c r="AC771" s="2184">
        <f>AC775+AC779+AC783+AC787+AC791+AC795</f>
        <v>176777.9772576722</v>
      </c>
      <c r="AD771" s="2179">
        <f>AD775+AD779+AD783+AD787+AD791+AD795</f>
        <v>0</v>
      </c>
      <c r="AE771" s="2180">
        <f t="shared" ref="AE771:AE797" si="1687">AD771-AC771</f>
        <v>-176777.9772576722</v>
      </c>
      <c r="AF771" s="2403"/>
      <c r="AG771" s="2114"/>
      <c r="AH771" s="2188">
        <f>AH775+AH779+AH783+AH787+AH791+AH795</f>
        <v>57037.219760000029</v>
      </c>
      <c r="AI771" s="2188">
        <f>AI775+AI779+AI783+AI787+AI791+AI795</f>
        <v>0</v>
      </c>
      <c r="AJ771" s="2186">
        <f t="shared" ref="AJ771:AJ797" si="1688">AI771-AH771</f>
        <v>-57037.219760000029</v>
      </c>
      <c r="AK771" s="2188">
        <f>AK775+AK779+AK783+AK787+AK791+AK795</f>
        <v>46161.988177571722</v>
      </c>
      <c r="AL771" s="2188">
        <f>AL775+AL779+AL783+AL787+AL791+AL795</f>
        <v>0</v>
      </c>
      <c r="AM771" s="2186">
        <f t="shared" ref="AM771:AM797" si="1689">AL771-AK771</f>
        <v>-46161.988177571722</v>
      </c>
      <c r="AN771" s="2188">
        <f>AN775+AN779+AN783+AN787+AN791+AN795</f>
        <v>49250.364725841122</v>
      </c>
      <c r="AO771" s="2188">
        <f>AO775+AO779+AO783+AO787+AO791+AO795</f>
        <v>0</v>
      </c>
      <c r="AP771" s="2186">
        <f t="shared" ref="AP771:AP797" si="1690">AO771-AN771</f>
        <v>-49250.364725841122</v>
      </c>
      <c r="AQ771" s="2188">
        <f>AQ775+AQ779+AQ783+AQ787+AQ791+AQ795</f>
        <v>35055.647169171687</v>
      </c>
      <c r="AR771" s="2188">
        <f>AR775+AR779+AR783+AR787+AR791+AR795</f>
        <v>0</v>
      </c>
      <c r="AS771" s="2186">
        <f t="shared" ref="AS771:AS797" si="1691">AR771-AQ771</f>
        <v>-35055.647169171687</v>
      </c>
      <c r="AT771" s="2188">
        <f>AT775+AT779+AT783+AT787+AT791+AT795</f>
        <v>34743.73031632026</v>
      </c>
      <c r="AU771" s="2188">
        <f>AU775+AU779+AU783+AU787+AU791+AU795</f>
        <v>0</v>
      </c>
      <c r="AV771" s="2186">
        <f t="shared" ref="AV771:AV797" si="1692">AU771-AT771</f>
        <v>-34743.73031632026</v>
      </c>
      <c r="AW771" s="2188">
        <f>AW775+AW779+AW783+AW787+AW791+AW795</f>
        <v>27167.161682479913</v>
      </c>
      <c r="AX771" s="2188">
        <f>AX775+AX779+AX783+AX787+AX791+AX795</f>
        <v>0</v>
      </c>
      <c r="AY771" s="2186">
        <f t="shared" ref="AY771:AY797" si="1693">AX771-AW771</f>
        <v>-27167.161682479913</v>
      </c>
      <c r="AZ771" s="2188">
        <f>AZ775+AZ779+AZ783+AZ787+AZ791+AZ795</f>
        <v>34416.486665915567</v>
      </c>
      <c r="BA771" s="2188">
        <f>BA775+BA779+BA783+BA787+BA791+BA795</f>
        <v>0</v>
      </c>
      <c r="BB771" s="2186">
        <f t="shared" ref="BB771:BB797" si="1694">BA771-AZ771</f>
        <v>-34416.486665915567</v>
      </c>
      <c r="BC771" s="2188">
        <f>BC775+BC779+BC783+BC787+BC791+BC795</f>
        <v>35573.007083581462</v>
      </c>
      <c r="BD771" s="2188">
        <f>BD775+BD779+BD783+BD787+BD791+BD795</f>
        <v>0</v>
      </c>
      <c r="BE771" s="2186">
        <f t="shared" ref="BE771:BE797" si="1695">BD771-BC771</f>
        <v>-35573.007083581462</v>
      </c>
      <c r="BF771" s="2188">
        <f>BF775+BF779+BF783+BF787+BF791+BF795</f>
        <v>44323.615118003028</v>
      </c>
      <c r="BG771" s="2188">
        <f>BG775+BG779+BG783+BG787+BG791+BG795</f>
        <v>0</v>
      </c>
      <c r="BH771" s="2186">
        <f t="shared" ref="BH771:BH797" si="1696">BG771-BF771</f>
        <v>-44323.615118003028</v>
      </c>
      <c r="BI771" s="2188">
        <f>BI775+BI779+BI783+BI787+BI791+BI795</f>
        <v>53359.53572714574</v>
      </c>
      <c r="BJ771" s="2188">
        <f>BJ775+BJ779+BJ783+BJ787+BJ791+BJ795</f>
        <v>0</v>
      </c>
      <c r="BK771" s="2186">
        <f t="shared" ref="BK771:BK797" si="1697">BJ771-BI771</f>
        <v>-53359.53572714574</v>
      </c>
      <c r="BL771" s="2188">
        <f>BL775+BL779+BL783+BL787+BL791+BL795</f>
        <v>55381.847758166521</v>
      </c>
      <c r="BM771" s="2188">
        <f>BM775+BM779+BM783+BM787+BM791+BM795</f>
        <v>0</v>
      </c>
      <c r="BN771" s="2186">
        <f t="shared" ref="BN771:BN797" si="1698">BM771-BL771</f>
        <v>-55381.847758166521</v>
      </c>
      <c r="BO771" s="2188">
        <f>BO775+BO779+BO783+BO787+BO791+BO795</f>
        <v>68036.59377235992</v>
      </c>
      <c r="BP771" s="2188">
        <f>BP775+BP779+BP783+BP787+BP791+BP795</f>
        <v>0</v>
      </c>
      <c r="BQ771" s="2186">
        <f t="shared" ref="BQ771:BQ797" si="1699">BP771-BO771</f>
        <v>-68036.59377235992</v>
      </c>
    </row>
    <row r="772" spans="3:71" s="2087" customFormat="1" ht="12" customHeight="1">
      <c r="C772" s="2374" t="s">
        <v>2942</v>
      </c>
      <c r="D772" s="2375" t="s">
        <v>2872</v>
      </c>
      <c r="E772" s="2250" t="s">
        <v>2851</v>
      </c>
      <c r="F772" s="2176">
        <f>F776+F780+F792</f>
        <v>265161.27584092296</v>
      </c>
      <c r="G772" s="2179">
        <f t="shared" ref="G772:H773" si="1700">G776+G780+G784+G788+G792+G796</f>
        <v>189969.49</v>
      </c>
      <c r="H772" s="2179">
        <f t="shared" si="1700"/>
        <v>246128.93796169548</v>
      </c>
      <c r="I772" s="2178">
        <f t="shared" si="1683"/>
        <v>56159.447961695492</v>
      </c>
      <c r="J772" s="2176">
        <f t="shared" ref="J772:J773" si="1701">J776+J780+J784+J788+J792+J796</f>
        <v>251768.75884086816</v>
      </c>
      <c r="K772" s="2179">
        <f t="shared" si="1677"/>
        <v>251390.72742232782</v>
      </c>
      <c r="L772" s="2179">
        <f t="shared" si="1677"/>
        <v>0</v>
      </c>
      <c r="M772" s="2178">
        <f t="shared" si="1678"/>
        <v>-251390.72742232782</v>
      </c>
      <c r="N772" s="2179">
        <f t="shared" ref="N772:O773" si="1702">N776+N780+N784+N788+N792+N796</f>
        <v>76136.366114630349</v>
      </c>
      <c r="O772" s="2179">
        <f t="shared" si="1702"/>
        <v>0</v>
      </c>
      <c r="P772" s="2178">
        <f t="shared" si="1684"/>
        <v>-76136.366114630349</v>
      </c>
      <c r="Q772" s="2184">
        <f t="shared" ref="Q772:R773" si="1703">Q776+Q780+Q784+Q788+Q792+Q796</f>
        <v>55098.405047410095</v>
      </c>
      <c r="R772" s="2179">
        <f t="shared" si="1703"/>
        <v>0</v>
      </c>
      <c r="S772" s="2180">
        <f t="shared" si="1685"/>
        <v>-55098.405047410095</v>
      </c>
      <c r="T772" s="2181">
        <f t="shared" si="1679"/>
        <v>131234.77116204044</v>
      </c>
      <c r="U772" s="2179">
        <f t="shared" si="1679"/>
        <v>0</v>
      </c>
      <c r="V772" s="2180">
        <f t="shared" si="1680"/>
        <v>-131234.77116204044</v>
      </c>
      <c r="W772" s="2187">
        <f t="shared" ref="W772:X773" si="1704">W776+W780+W784+W788+W792+W796</f>
        <v>49315.622289212639</v>
      </c>
      <c r="X772" s="2179">
        <f t="shared" si="1704"/>
        <v>0</v>
      </c>
      <c r="Y772" s="2183">
        <f t="shared" si="1686"/>
        <v>-49315.622289212639</v>
      </c>
      <c r="Z772" s="2184">
        <f t="shared" si="1681"/>
        <v>180550.39345125307</v>
      </c>
      <c r="AA772" s="2179">
        <f t="shared" si="1681"/>
        <v>0</v>
      </c>
      <c r="AB772" s="2178">
        <f t="shared" si="1682"/>
        <v>-180550.39345125307</v>
      </c>
      <c r="AC772" s="2184">
        <f t="shared" ref="AC772:AD773" si="1705">AC776+AC780+AC784+AC788+AC792+AC796</f>
        <v>70840.333971074753</v>
      </c>
      <c r="AD772" s="2179">
        <f t="shared" si="1705"/>
        <v>0</v>
      </c>
      <c r="AE772" s="2180">
        <f t="shared" si="1687"/>
        <v>-70840.333971074753</v>
      </c>
      <c r="AF772" s="2403"/>
      <c r="AG772" s="2114"/>
      <c r="AH772" s="2188">
        <f t="shared" ref="AH772:AI773" si="1706">AH776+AH780+AH784+AH788+AH792+AH796</f>
        <v>39815.277999999998</v>
      </c>
      <c r="AI772" s="2188">
        <f t="shared" si="1706"/>
        <v>0</v>
      </c>
      <c r="AJ772" s="2186">
        <f t="shared" si="1688"/>
        <v>-39815.277999999998</v>
      </c>
      <c r="AK772" s="2188">
        <f t="shared" ref="AK772:AL773" si="1707">AK776+AK780+AK784+AK788+AK792+AK796</f>
        <v>28360.551346533197</v>
      </c>
      <c r="AL772" s="2188">
        <f t="shared" si="1707"/>
        <v>0</v>
      </c>
      <c r="AM772" s="2186">
        <f t="shared" si="1689"/>
        <v>-28360.551346533197</v>
      </c>
      <c r="AN772" s="2188">
        <f t="shared" ref="AN772:AO773" si="1708">AN776+AN780+AN784+AN788+AN792+AN796</f>
        <v>26729.981448231272</v>
      </c>
      <c r="AO772" s="2188">
        <f t="shared" si="1708"/>
        <v>0</v>
      </c>
      <c r="AP772" s="2186">
        <f t="shared" si="1690"/>
        <v>-26729.981448231272</v>
      </c>
      <c r="AQ772" s="2188">
        <f t="shared" ref="AQ772:AR773" si="1709">AQ776+AQ780+AQ784+AQ788+AQ792+AQ796</f>
        <v>20481.00799087407</v>
      </c>
      <c r="AR772" s="2188">
        <f t="shared" si="1709"/>
        <v>0</v>
      </c>
      <c r="AS772" s="2186">
        <f t="shared" si="1691"/>
        <v>-20481.00799087407</v>
      </c>
      <c r="AT772" s="2188">
        <f t="shared" ref="AT772:AU773" si="1710">AT776+AT780+AT784+AT788+AT792+AT796</f>
        <v>19461.07128111288</v>
      </c>
      <c r="AU772" s="2188">
        <f t="shared" si="1710"/>
        <v>0</v>
      </c>
      <c r="AV772" s="2186">
        <f t="shared" si="1692"/>
        <v>-19461.07128111288</v>
      </c>
      <c r="AW772" s="2188">
        <f t="shared" ref="AW772:AX773" si="1711">AW776+AW780+AW784+AW788+AW792+AW796</f>
        <v>15156.325775423149</v>
      </c>
      <c r="AX772" s="2188">
        <f t="shared" si="1711"/>
        <v>0</v>
      </c>
      <c r="AY772" s="2186">
        <f t="shared" si="1693"/>
        <v>-15156.325775423149</v>
      </c>
      <c r="AZ772" s="2188">
        <f t="shared" ref="AZ772:BA773" si="1712">AZ776+AZ780+AZ784+AZ788+AZ792+AZ796</f>
        <v>14787.805131445662</v>
      </c>
      <c r="BA772" s="2188">
        <f t="shared" si="1712"/>
        <v>0</v>
      </c>
      <c r="BB772" s="2186">
        <f t="shared" si="1694"/>
        <v>-14787.805131445662</v>
      </c>
      <c r="BC772" s="2188">
        <f t="shared" ref="BC772:BD773" si="1713">BC776+BC780+BC784+BC788+BC792+BC796</f>
        <v>15200.427035685869</v>
      </c>
      <c r="BD772" s="2188">
        <f t="shared" si="1713"/>
        <v>0</v>
      </c>
      <c r="BE772" s="2186">
        <f t="shared" si="1695"/>
        <v>-15200.427035685869</v>
      </c>
      <c r="BF772" s="2188">
        <f t="shared" ref="BF772:BG773" si="1714">BF776+BF780+BF784+BF788+BF792+BF796</f>
        <v>19327.390122081106</v>
      </c>
      <c r="BG772" s="2188">
        <f t="shared" si="1714"/>
        <v>0</v>
      </c>
      <c r="BH772" s="2186">
        <f t="shared" si="1696"/>
        <v>-19327.390122081106</v>
      </c>
      <c r="BI772" s="2188">
        <f t="shared" ref="BI772:BJ773" si="1715">BI776+BI780+BI784+BI788+BI792+BI796</f>
        <v>22013.016205152227</v>
      </c>
      <c r="BJ772" s="2188">
        <f t="shared" si="1715"/>
        <v>0</v>
      </c>
      <c r="BK772" s="2186">
        <f t="shared" si="1697"/>
        <v>-22013.016205152227</v>
      </c>
      <c r="BL772" s="2188">
        <f t="shared" ref="BL772:BM773" si="1716">BL776+BL780+BL784+BL788+BL792+BL796</f>
        <v>23477.600579493072</v>
      </c>
      <c r="BM772" s="2188">
        <f t="shared" si="1716"/>
        <v>0</v>
      </c>
      <c r="BN772" s="2186">
        <f t="shared" si="1698"/>
        <v>-23477.600579493072</v>
      </c>
      <c r="BO772" s="2188">
        <f t="shared" ref="BO772:BP773" si="1717">BO776+BO780+BO784+BO788+BO792+BO796</f>
        <v>25349.717186429451</v>
      </c>
      <c r="BP772" s="2188">
        <f t="shared" si="1717"/>
        <v>0</v>
      </c>
      <c r="BQ772" s="2186">
        <f t="shared" si="1699"/>
        <v>-25349.717186429451</v>
      </c>
    </row>
    <row r="773" spans="3:71" s="2087" customFormat="1" ht="12" customHeight="1">
      <c r="C773" s="2374" t="s">
        <v>2943</v>
      </c>
      <c r="D773" s="2375" t="s">
        <v>42</v>
      </c>
      <c r="E773" s="2250" t="s">
        <v>2851</v>
      </c>
      <c r="F773" s="2176">
        <f>F777+F781+F793</f>
        <v>1950610.6490784197</v>
      </c>
      <c r="G773" s="2179">
        <f t="shared" si="1700"/>
        <v>1693145</v>
      </c>
      <c r="H773" s="2179">
        <f t="shared" si="1700"/>
        <v>1641144.5129789824</v>
      </c>
      <c r="I773" s="2178">
        <f t="shared" si="1683"/>
        <v>-52000.487021017587</v>
      </c>
      <c r="J773" s="2176">
        <f t="shared" si="1701"/>
        <v>1626928.030781697</v>
      </c>
      <c r="K773" s="2179">
        <f t="shared" si="1677"/>
        <v>1797153.8507602187</v>
      </c>
      <c r="L773" s="2179">
        <f t="shared" si="1677"/>
        <v>0</v>
      </c>
      <c r="M773" s="2178">
        <f t="shared" si="1678"/>
        <v>-1797153.8507602187</v>
      </c>
      <c r="N773" s="2179">
        <f t="shared" si="1702"/>
        <v>557983.80555871374</v>
      </c>
      <c r="O773" s="2179">
        <f t="shared" si="1702"/>
        <v>0</v>
      </c>
      <c r="P773" s="2178">
        <f t="shared" si="1684"/>
        <v>-557983.80555871374</v>
      </c>
      <c r="Q773" s="2184">
        <f t="shared" si="1703"/>
        <v>379127.24776578182</v>
      </c>
      <c r="R773" s="2179">
        <f t="shared" si="1703"/>
        <v>0</v>
      </c>
      <c r="S773" s="2180">
        <f t="shared" si="1685"/>
        <v>-379127.24776578182</v>
      </c>
      <c r="T773" s="2181">
        <f t="shared" si="1679"/>
        <v>937111.05332449556</v>
      </c>
      <c r="U773" s="2179">
        <f t="shared" si="1679"/>
        <v>0</v>
      </c>
      <c r="V773" s="2180">
        <f t="shared" si="1680"/>
        <v>-937111.05332449556</v>
      </c>
      <c r="W773" s="2187">
        <f t="shared" si="1704"/>
        <v>317109.22397933016</v>
      </c>
      <c r="X773" s="2179">
        <f t="shared" si="1704"/>
        <v>0</v>
      </c>
      <c r="Y773" s="2183">
        <f t="shared" si="1686"/>
        <v>-317109.22397933016</v>
      </c>
      <c r="Z773" s="2184">
        <f t="shared" si="1681"/>
        <v>1254220.2773038256</v>
      </c>
      <c r="AA773" s="2179">
        <f t="shared" si="1681"/>
        <v>0</v>
      </c>
      <c r="AB773" s="2178">
        <f t="shared" si="1682"/>
        <v>-1254220.2773038256</v>
      </c>
      <c r="AC773" s="2184">
        <f t="shared" si="1705"/>
        <v>542933.57345639321</v>
      </c>
      <c r="AD773" s="2179">
        <f t="shared" si="1705"/>
        <v>0</v>
      </c>
      <c r="AE773" s="2180">
        <f t="shared" si="1687"/>
        <v>-542933.57345639321</v>
      </c>
      <c r="AF773" s="2403"/>
      <c r="AG773" s="2114"/>
      <c r="AH773" s="2188">
        <f>AH777+AH781+AH785+AH789+AH793+AH797</f>
        <v>225376.69231966214</v>
      </c>
      <c r="AI773" s="2188">
        <f t="shared" si="1706"/>
        <v>0</v>
      </c>
      <c r="AJ773" s="2186">
        <f t="shared" si="1688"/>
        <v>-225376.69231966214</v>
      </c>
      <c r="AK773" s="2188">
        <f t="shared" si="1707"/>
        <v>223788.18433887619</v>
      </c>
      <c r="AL773" s="2188">
        <f t="shared" si="1707"/>
        <v>0</v>
      </c>
      <c r="AM773" s="2186">
        <f t="shared" si="1689"/>
        <v>-223788.18433887619</v>
      </c>
      <c r="AN773" s="2188">
        <f t="shared" si="1708"/>
        <v>189886.22878923424</v>
      </c>
      <c r="AO773" s="2188">
        <f t="shared" si="1708"/>
        <v>0</v>
      </c>
      <c r="AP773" s="2186">
        <f t="shared" si="1690"/>
        <v>-189886.22878923424</v>
      </c>
      <c r="AQ773" s="2188">
        <f t="shared" si="1709"/>
        <v>143673.32744889008</v>
      </c>
      <c r="AR773" s="2188">
        <f t="shared" si="1709"/>
        <v>0</v>
      </c>
      <c r="AS773" s="2186">
        <f t="shared" si="1691"/>
        <v>-143673.32744889008</v>
      </c>
      <c r="AT773" s="2188">
        <f t="shared" si="1710"/>
        <v>132549.89208985536</v>
      </c>
      <c r="AU773" s="2188">
        <f t="shared" si="1710"/>
        <v>0</v>
      </c>
      <c r="AV773" s="2186">
        <f t="shared" si="1692"/>
        <v>-132549.89208985536</v>
      </c>
      <c r="AW773" s="2188">
        <f t="shared" si="1711"/>
        <v>102904.0282270364</v>
      </c>
      <c r="AX773" s="2188">
        <f t="shared" si="1711"/>
        <v>0</v>
      </c>
      <c r="AY773" s="2186">
        <f t="shared" si="1693"/>
        <v>-102904.0282270364</v>
      </c>
      <c r="AZ773" s="2188">
        <f t="shared" si="1712"/>
        <v>94785.825703938855</v>
      </c>
      <c r="BA773" s="2188">
        <f t="shared" si="1712"/>
        <v>0</v>
      </c>
      <c r="BB773" s="2186">
        <f t="shared" si="1694"/>
        <v>-94785.825703938855</v>
      </c>
      <c r="BC773" s="2188">
        <f t="shared" si="1713"/>
        <v>96918.974890087382</v>
      </c>
      <c r="BD773" s="2188">
        <f t="shared" si="1713"/>
        <v>0</v>
      </c>
      <c r="BE773" s="2186">
        <f t="shared" si="1695"/>
        <v>-96918.974890087382</v>
      </c>
      <c r="BF773" s="2188">
        <f t="shared" si="1714"/>
        <v>125404.42338530392</v>
      </c>
      <c r="BG773" s="2188">
        <f t="shared" si="1714"/>
        <v>0</v>
      </c>
      <c r="BH773" s="2186">
        <f t="shared" si="1696"/>
        <v>-125404.42338530392</v>
      </c>
      <c r="BI773" s="2188">
        <f t="shared" si="1715"/>
        <v>172743.02638501697</v>
      </c>
      <c r="BJ773" s="2188">
        <f t="shared" si="1715"/>
        <v>0</v>
      </c>
      <c r="BK773" s="2186">
        <f t="shared" si="1697"/>
        <v>-172743.02638501697</v>
      </c>
      <c r="BL773" s="2188">
        <f t="shared" si="1716"/>
        <v>188726.97534783202</v>
      </c>
      <c r="BM773" s="2188">
        <f t="shared" si="1716"/>
        <v>0</v>
      </c>
      <c r="BN773" s="2186">
        <f t="shared" si="1698"/>
        <v>-188726.97534783202</v>
      </c>
      <c r="BO773" s="2188">
        <f t="shared" si="1717"/>
        <v>181463.57172354433</v>
      </c>
      <c r="BP773" s="2188">
        <f t="shared" si="1717"/>
        <v>0</v>
      </c>
      <c r="BQ773" s="2186">
        <f t="shared" si="1699"/>
        <v>-181463.57172354433</v>
      </c>
    </row>
    <row r="774" spans="3:71" s="2087" customFormat="1" ht="12" customHeight="1">
      <c r="C774" s="2173" t="s">
        <v>2944</v>
      </c>
      <c r="D774" s="2362" t="s">
        <v>2875</v>
      </c>
      <c r="E774" s="2197" t="s">
        <v>2851</v>
      </c>
      <c r="F774" s="2176">
        <f>SUM(F775:F777)</f>
        <v>2698411.681585514</v>
      </c>
      <c r="G774" s="2179">
        <f>G775+G776+G777</f>
        <v>2398185.19</v>
      </c>
      <c r="H774" s="2179">
        <f>H775+H776+H777</f>
        <v>2402767.6363070244</v>
      </c>
      <c r="I774" s="2178">
        <f t="shared" si="1683"/>
        <v>4582.4463070244528</v>
      </c>
      <c r="J774" s="2176">
        <f>J775+J776+J777</f>
        <v>2411176.4877613485</v>
      </c>
      <c r="K774" s="2179">
        <f t="shared" si="1677"/>
        <v>2489234.9026292823</v>
      </c>
      <c r="L774" s="2179">
        <f t="shared" si="1677"/>
        <v>0</v>
      </c>
      <c r="M774" s="2178">
        <f t="shared" si="1678"/>
        <v>-2489234.9026292823</v>
      </c>
      <c r="N774" s="2179">
        <f>N775+N776+N777</f>
        <v>703978.48321467848</v>
      </c>
      <c r="O774" s="2179">
        <f>O775+O776+O777</f>
        <v>0</v>
      </c>
      <c r="P774" s="2178">
        <f t="shared" si="1684"/>
        <v>-703978.48321467848</v>
      </c>
      <c r="Q774" s="2184">
        <f>Q775+Q776+Q777</f>
        <v>526209.35440178786</v>
      </c>
      <c r="R774" s="2179">
        <f>R775+R776+R777</f>
        <v>0</v>
      </c>
      <c r="S774" s="2180">
        <f t="shared" si="1685"/>
        <v>-526209.35440178786</v>
      </c>
      <c r="T774" s="2181">
        <f t="shared" si="1679"/>
        <v>1230187.8376164665</v>
      </c>
      <c r="U774" s="2179">
        <f t="shared" si="1679"/>
        <v>0</v>
      </c>
      <c r="V774" s="2180">
        <f t="shared" si="1680"/>
        <v>-1230187.8376164665</v>
      </c>
      <c r="W774" s="2187">
        <f>W775+W776+W777</f>
        <v>475898.17730926047</v>
      </c>
      <c r="X774" s="2179">
        <f>X775+X776+X777</f>
        <v>0</v>
      </c>
      <c r="Y774" s="2183">
        <f t="shared" si="1686"/>
        <v>-475898.17730926047</v>
      </c>
      <c r="Z774" s="2184">
        <f t="shared" si="1681"/>
        <v>1706086.0149257269</v>
      </c>
      <c r="AA774" s="2179">
        <f t="shared" si="1681"/>
        <v>0</v>
      </c>
      <c r="AB774" s="2178">
        <f t="shared" si="1682"/>
        <v>-1706086.0149257269</v>
      </c>
      <c r="AC774" s="2184">
        <f>AC775+AC776+AC777</f>
        <v>783148.8877035554</v>
      </c>
      <c r="AD774" s="2179">
        <f>AD775+AD776+AD777</f>
        <v>0</v>
      </c>
      <c r="AE774" s="2180">
        <f t="shared" si="1687"/>
        <v>-783148.8877035554</v>
      </c>
      <c r="AF774" s="2401"/>
      <c r="AG774" s="2114"/>
      <c r="AH774" s="2188">
        <f>AH775+AH776+AH777</f>
        <v>172629.33133304218</v>
      </c>
      <c r="AI774" s="2188">
        <f>AI775+AI776+AI777</f>
        <v>0</v>
      </c>
      <c r="AJ774" s="2186">
        <f t="shared" si="1688"/>
        <v>-172629.33133304218</v>
      </c>
      <c r="AK774" s="2188">
        <f>AK775+AK776+AK777</f>
        <v>296062.06309913553</v>
      </c>
      <c r="AL774" s="2188">
        <f>AL775+AL776+AL777</f>
        <v>0</v>
      </c>
      <c r="AM774" s="2186">
        <f t="shared" si="1689"/>
        <v>-296062.06309913553</v>
      </c>
      <c r="AN774" s="2188">
        <f>AN775+AN776+AN777</f>
        <v>263721.04239006562</v>
      </c>
      <c r="AO774" s="2188">
        <f>AO775+AO776+AO777</f>
        <v>0</v>
      </c>
      <c r="AP774" s="2186">
        <f t="shared" si="1690"/>
        <v>-263721.04239006562</v>
      </c>
      <c r="AQ774" s="2188">
        <f>AQ775+AQ776+AQ777</f>
        <v>197315.71150312776</v>
      </c>
      <c r="AR774" s="2188">
        <f>AR775+AR776+AR777</f>
        <v>0</v>
      </c>
      <c r="AS774" s="2186">
        <f t="shared" si="1691"/>
        <v>-197315.71150312776</v>
      </c>
      <c r="AT774" s="2188">
        <f>AT775+AT776+AT777</f>
        <v>185002.10760174901</v>
      </c>
      <c r="AU774" s="2188">
        <f>AU775+AU776+AU777</f>
        <v>0</v>
      </c>
      <c r="AV774" s="2186">
        <f t="shared" si="1692"/>
        <v>-185002.10760174901</v>
      </c>
      <c r="AW774" s="2188">
        <f>AW775+AW776+AW777</f>
        <v>143891.53529691105</v>
      </c>
      <c r="AX774" s="2188">
        <f>AX775+AX776+AX777</f>
        <v>0</v>
      </c>
      <c r="AY774" s="2186">
        <f t="shared" si="1693"/>
        <v>-143891.53529691105</v>
      </c>
      <c r="AZ774" s="2188">
        <f>AZ775+AZ776+AZ777</f>
        <v>142466.13694957705</v>
      </c>
      <c r="BA774" s="2188">
        <f>BA775+BA776+BA777</f>
        <v>0</v>
      </c>
      <c r="BB774" s="2186">
        <f t="shared" si="1694"/>
        <v>-142466.13694957705</v>
      </c>
      <c r="BC774" s="2188">
        <f>BC775+BC776+BC777</f>
        <v>146105.75047341097</v>
      </c>
      <c r="BD774" s="2188">
        <f>BD775+BD776+BD777</f>
        <v>0</v>
      </c>
      <c r="BE774" s="2186">
        <f t="shared" si="1695"/>
        <v>-146105.75047341097</v>
      </c>
      <c r="BF774" s="2188">
        <f>BF775+BF776+BF777</f>
        <v>187326.28988627245</v>
      </c>
      <c r="BG774" s="2188">
        <f>BG775+BG776+BG777</f>
        <v>0</v>
      </c>
      <c r="BH774" s="2186">
        <f t="shared" si="1696"/>
        <v>-187326.28988627245</v>
      </c>
      <c r="BI774" s="2188">
        <f>BI775+BI776+BI777</f>
        <v>246046.70108379633</v>
      </c>
      <c r="BJ774" s="2188">
        <f>BJ775+BJ776+BJ777</f>
        <v>0</v>
      </c>
      <c r="BK774" s="2186">
        <f t="shared" si="1697"/>
        <v>-246046.70108379633</v>
      </c>
      <c r="BL774" s="2188">
        <f>BL775+BL776+BL777</f>
        <v>265030.1551384324</v>
      </c>
      <c r="BM774" s="2188">
        <f>BM775+BM776+BM777</f>
        <v>0</v>
      </c>
      <c r="BN774" s="2186">
        <f t="shared" si="1698"/>
        <v>-265030.1551384324</v>
      </c>
      <c r="BO774" s="2188">
        <f>BO775+BO776+BO777</f>
        <v>272072.03148132679</v>
      </c>
      <c r="BP774" s="2188">
        <f>BP775+BP776+BP777</f>
        <v>0</v>
      </c>
      <c r="BQ774" s="2186">
        <f t="shared" si="1699"/>
        <v>-272072.03148132679</v>
      </c>
    </row>
    <row r="775" spans="3:71" s="2087" customFormat="1" ht="12" customHeight="1">
      <c r="C775" s="2378" t="s">
        <v>2945</v>
      </c>
      <c r="D775" s="2375" t="s">
        <v>28</v>
      </c>
      <c r="E775" s="2197" t="s">
        <v>2851</v>
      </c>
      <c r="F775" s="2176">
        <v>491412.60486779665</v>
      </c>
      <c r="G775" s="2177">
        <v>519290</v>
      </c>
      <c r="H775" s="2177">
        <v>539148.30508474575</v>
      </c>
      <c r="I775" s="2178">
        <f t="shared" si="1683"/>
        <v>19858.305084745749</v>
      </c>
      <c r="J775" s="2404">
        <v>539895.21940383501</v>
      </c>
      <c r="K775" s="2179">
        <f t="shared" si="1677"/>
        <v>539895.21940383478</v>
      </c>
      <c r="L775" s="2179">
        <f t="shared" si="1677"/>
        <v>0</v>
      </c>
      <c r="M775" s="2178">
        <f t="shared" si="1678"/>
        <v>-539895.21940383478</v>
      </c>
      <c r="N775" s="2177">
        <v>151837.59411069064</v>
      </c>
      <c r="O775" s="2177"/>
      <c r="P775" s="2178">
        <f t="shared" si="1684"/>
        <v>-151837.59411069064</v>
      </c>
      <c r="Q775" s="2177">
        <v>96966.53916797186</v>
      </c>
      <c r="R775" s="2177"/>
      <c r="S775" s="2180">
        <f t="shared" si="1685"/>
        <v>-96966.53916797186</v>
      </c>
      <c r="T775" s="2181">
        <f t="shared" si="1679"/>
        <v>248804.13327866251</v>
      </c>
      <c r="U775" s="2179">
        <f t="shared" si="1679"/>
        <v>0</v>
      </c>
      <c r="V775" s="2180">
        <f t="shared" si="1680"/>
        <v>-248804.13327866251</v>
      </c>
      <c r="W775" s="2182">
        <v>114313.10886750005</v>
      </c>
      <c r="X775" s="2177"/>
      <c r="Y775" s="2183">
        <f t="shared" si="1686"/>
        <v>-114313.10886750005</v>
      </c>
      <c r="Z775" s="2184">
        <f t="shared" si="1681"/>
        <v>363117.24214616255</v>
      </c>
      <c r="AA775" s="2179">
        <f t="shared" si="1681"/>
        <v>0</v>
      </c>
      <c r="AB775" s="2178">
        <f t="shared" si="1682"/>
        <v>-363117.24214616255</v>
      </c>
      <c r="AC775" s="2177">
        <v>176777.9772576722</v>
      </c>
      <c r="AD775" s="2177"/>
      <c r="AE775" s="2180">
        <f t="shared" si="1687"/>
        <v>-176777.9772576722</v>
      </c>
      <c r="AF775" s="2403"/>
      <c r="AG775" s="2114"/>
      <c r="AH775" s="2177">
        <f>'Шаблон 46 ГП'!L27/1000</f>
        <v>57037.219760000029</v>
      </c>
      <c r="AI775" s="2177"/>
      <c r="AJ775" s="2186">
        <f t="shared" si="1688"/>
        <v>-57037.219760000029</v>
      </c>
      <c r="AK775" s="2177">
        <f>AK714*AK1*1000</f>
        <v>46161.988177571722</v>
      </c>
      <c r="AL775" s="2177"/>
      <c r="AM775" s="2186">
        <f t="shared" si="1689"/>
        <v>-46161.988177571722</v>
      </c>
      <c r="AN775" s="2177">
        <f>AN714*AN1*1000</f>
        <v>49250.364725841122</v>
      </c>
      <c r="AO775" s="2177"/>
      <c r="AP775" s="2186">
        <f t="shared" si="1690"/>
        <v>-49250.364725841122</v>
      </c>
      <c r="AQ775" s="2177">
        <f>AQ714*AQ1*1000</f>
        <v>35055.647169171687</v>
      </c>
      <c r="AR775" s="2177"/>
      <c r="AS775" s="2186">
        <f t="shared" si="1691"/>
        <v>-35055.647169171687</v>
      </c>
      <c r="AT775" s="2177">
        <f>AT714*AT1*1000</f>
        <v>34743.73031632026</v>
      </c>
      <c r="AU775" s="2177"/>
      <c r="AV775" s="2186">
        <f t="shared" si="1692"/>
        <v>-34743.73031632026</v>
      </c>
      <c r="AW775" s="2177">
        <f>AW714*AW1*1000</f>
        <v>27167.161682479913</v>
      </c>
      <c r="AX775" s="2177"/>
      <c r="AY775" s="2186">
        <f t="shared" si="1693"/>
        <v>-27167.161682479913</v>
      </c>
      <c r="AZ775" s="2177">
        <f>AZ714*AZ1*1000</f>
        <v>34416.486665915567</v>
      </c>
      <c r="BA775" s="2177"/>
      <c r="BB775" s="2186">
        <f t="shared" si="1694"/>
        <v>-34416.486665915567</v>
      </c>
      <c r="BC775" s="2177">
        <f>BC714*BC1*1000</f>
        <v>35573.007083581462</v>
      </c>
      <c r="BD775" s="2177"/>
      <c r="BE775" s="2186">
        <f t="shared" si="1695"/>
        <v>-35573.007083581462</v>
      </c>
      <c r="BF775" s="2177">
        <f>BF714*BF1*1000</f>
        <v>44323.615118003028</v>
      </c>
      <c r="BG775" s="2177"/>
      <c r="BH775" s="2186">
        <f t="shared" si="1696"/>
        <v>-44323.615118003028</v>
      </c>
      <c r="BI775" s="2177">
        <f>BI714*BI1*1000</f>
        <v>53359.53572714574</v>
      </c>
      <c r="BJ775" s="2177"/>
      <c r="BK775" s="2186">
        <f t="shared" si="1697"/>
        <v>-53359.53572714574</v>
      </c>
      <c r="BL775" s="2177">
        <f>BL714*BL1*1000</f>
        <v>55381.847758166521</v>
      </c>
      <c r="BM775" s="2177"/>
      <c r="BN775" s="2186">
        <f t="shared" si="1698"/>
        <v>-55381.847758166521</v>
      </c>
      <c r="BO775" s="2177">
        <f>BO714*BO1*1000</f>
        <v>68036.59377235992</v>
      </c>
      <c r="BP775" s="2177"/>
      <c r="BQ775" s="2186">
        <f t="shared" si="1699"/>
        <v>-68036.59377235992</v>
      </c>
    </row>
    <row r="776" spans="3:71" s="2087" customFormat="1" ht="12" customHeight="1">
      <c r="C776" s="2378" t="s">
        <v>2946</v>
      </c>
      <c r="D776" s="2375" t="s">
        <v>2872</v>
      </c>
      <c r="E776" s="2197" t="s">
        <v>2851</v>
      </c>
      <c r="F776" s="2176">
        <v>265161.27584092296</v>
      </c>
      <c r="G776" s="2177">
        <v>189969.49</v>
      </c>
      <c r="H776" s="2177">
        <v>246128.93796169548</v>
      </c>
      <c r="I776" s="2178">
        <f t="shared" si="1683"/>
        <v>56159.447961695492</v>
      </c>
      <c r="J776" s="2404">
        <v>251768.75884086816</v>
      </c>
      <c r="K776" s="2179">
        <f t="shared" si="1677"/>
        <v>251390.72742232782</v>
      </c>
      <c r="L776" s="2179">
        <f t="shared" si="1677"/>
        <v>0</v>
      </c>
      <c r="M776" s="2178">
        <f t="shared" si="1678"/>
        <v>-251390.72742232782</v>
      </c>
      <c r="N776" s="2177">
        <v>76136.366114630349</v>
      </c>
      <c r="O776" s="2177"/>
      <c r="P776" s="2178">
        <f t="shared" si="1684"/>
        <v>-76136.366114630349</v>
      </c>
      <c r="Q776" s="2177">
        <v>55098.405047410095</v>
      </c>
      <c r="R776" s="2177"/>
      <c r="S776" s="2180">
        <f t="shared" si="1685"/>
        <v>-55098.405047410095</v>
      </c>
      <c r="T776" s="2181">
        <f t="shared" si="1679"/>
        <v>131234.77116204044</v>
      </c>
      <c r="U776" s="2179">
        <f t="shared" si="1679"/>
        <v>0</v>
      </c>
      <c r="V776" s="2180">
        <f t="shared" si="1680"/>
        <v>-131234.77116204044</v>
      </c>
      <c r="W776" s="2182">
        <v>49315.622289212639</v>
      </c>
      <c r="X776" s="2177"/>
      <c r="Y776" s="2183">
        <f t="shared" si="1686"/>
        <v>-49315.622289212639</v>
      </c>
      <c r="Z776" s="2184">
        <f t="shared" si="1681"/>
        <v>180550.39345125307</v>
      </c>
      <c r="AA776" s="2179">
        <f t="shared" si="1681"/>
        <v>0</v>
      </c>
      <c r="AB776" s="2178">
        <f t="shared" si="1682"/>
        <v>-180550.39345125307</v>
      </c>
      <c r="AC776" s="2177">
        <v>70840.333971074753</v>
      </c>
      <c r="AD776" s="2177"/>
      <c r="AE776" s="2180">
        <f t="shared" si="1687"/>
        <v>-70840.333971074753</v>
      </c>
      <c r="AF776" s="2403"/>
      <c r="AG776" s="2114"/>
      <c r="AH776" s="2177">
        <f>ККП!D14*1000</f>
        <v>39815.277999999998</v>
      </c>
      <c r="AI776" s="2177"/>
      <c r="AJ776" s="2186">
        <f t="shared" si="1688"/>
        <v>-39815.277999999998</v>
      </c>
      <c r="AK776" s="2177">
        <f>AK715*$M$2/1000*1000</f>
        <v>28360.551346533197</v>
      </c>
      <c r="AL776" s="2177"/>
      <c r="AM776" s="2186">
        <f t="shared" si="1689"/>
        <v>-28360.551346533197</v>
      </c>
      <c r="AN776" s="2177">
        <f>AN715*$M$2/1000*1000</f>
        <v>26729.981448231272</v>
      </c>
      <c r="AO776" s="2177"/>
      <c r="AP776" s="2186">
        <f t="shared" si="1690"/>
        <v>-26729.981448231272</v>
      </c>
      <c r="AQ776" s="2177">
        <f>AQ715*$P$2/1000*1000</f>
        <v>20481.00799087407</v>
      </c>
      <c r="AR776" s="2177"/>
      <c r="AS776" s="2186">
        <f t="shared" si="1691"/>
        <v>-20481.00799087407</v>
      </c>
      <c r="AT776" s="2177">
        <f>AT715*$P$2/1000*1000</f>
        <v>19461.07128111288</v>
      </c>
      <c r="AU776" s="2177"/>
      <c r="AV776" s="2186">
        <f t="shared" si="1692"/>
        <v>-19461.07128111288</v>
      </c>
      <c r="AW776" s="2177">
        <f>AW715*$P$2/1000*1000</f>
        <v>15156.325775423149</v>
      </c>
      <c r="AX776" s="2177"/>
      <c r="AY776" s="2186">
        <f t="shared" si="1693"/>
        <v>-15156.325775423149</v>
      </c>
      <c r="AZ776" s="2177">
        <f>AZ715*$S$2/1000*1000</f>
        <v>14787.805131445662</v>
      </c>
      <c r="BA776" s="2177"/>
      <c r="BB776" s="2186">
        <f t="shared" si="1694"/>
        <v>-14787.805131445662</v>
      </c>
      <c r="BC776" s="2177">
        <f>BC715*$S$2/1000*1000</f>
        <v>15200.427035685869</v>
      </c>
      <c r="BD776" s="2177"/>
      <c r="BE776" s="2186">
        <f t="shared" si="1695"/>
        <v>-15200.427035685869</v>
      </c>
      <c r="BF776" s="2177">
        <f>BF715*$S$2/1000*1000</f>
        <v>19327.390122081106</v>
      </c>
      <c r="BG776" s="2177"/>
      <c r="BH776" s="2186">
        <f t="shared" si="1696"/>
        <v>-19327.390122081106</v>
      </c>
      <c r="BI776" s="2177">
        <f>BI715*$Y$2/1000*1000</f>
        <v>22013.016205152227</v>
      </c>
      <c r="BJ776" s="2177"/>
      <c r="BK776" s="2186">
        <f t="shared" si="1697"/>
        <v>-22013.016205152227</v>
      </c>
      <c r="BL776" s="2177">
        <f>BL715*$Y$2/1000*1000</f>
        <v>23477.600579493072</v>
      </c>
      <c r="BM776" s="2177"/>
      <c r="BN776" s="2186">
        <f t="shared" si="1698"/>
        <v>-23477.600579493072</v>
      </c>
      <c r="BO776" s="2177">
        <f>BO715*$Y$2/1000*1000</f>
        <v>25349.717186429451</v>
      </c>
      <c r="BP776" s="2177"/>
      <c r="BQ776" s="2186">
        <f t="shared" si="1699"/>
        <v>-25349.717186429451</v>
      </c>
    </row>
    <row r="777" spans="3:71" s="2087" customFormat="1" ht="12" customHeight="1">
      <c r="C777" s="2378" t="s">
        <v>2947</v>
      </c>
      <c r="D777" s="2375" t="s">
        <v>42</v>
      </c>
      <c r="E777" s="2197" t="s">
        <v>2851</v>
      </c>
      <c r="F777" s="2176">
        <v>1941837.8008767944</v>
      </c>
      <c r="G777" s="2177">
        <v>1688925.7</v>
      </c>
      <c r="H777" s="2177">
        <v>1617490.393260583</v>
      </c>
      <c r="I777" s="2178">
        <f t="shared" si="1683"/>
        <v>-71435.306739416905</v>
      </c>
      <c r="J777" s="2404">
        <f>1619109.66956125+402.83995539532</f>
        <v>1619512.5095166452</v>
      </c>
      <c r="K777" s="2179">
        <f t="shared" si="1677"/>
        <v>1697948.9558031196</v>
      </c>
      <c r="L777" s="2179">
        <f t="shared" si="1677"/>
        <v>0</v>
      </c>
      <c r="M777" s="2178">
        <f t="shared" si="1678"/>
        <v>-1697948.9558031196</v>
      </c>
      <c r="N777" s="2177">
        <v>476004.52298935741</v>
      </c>
      <c r="O777" s="2177"/>
      <c r="P777" s="2178">
        <f t="shared" si="1684"/>
        <v>-476004.52298935741</v>
      </c>
      <c r="Q777" s="2177">
        <v>374144.41018640588</v>
      </c>
      <c r="R777" s="2177"/>
      <c r="S777" s="2180">
        <f t="shared" si="1685"/>
        <v>-374144.41018640588</v>
      </c>
      <c r="T777" s="2181">
        <f t="shared" si="1679"/>
        <v>850148.93317576335</v>
      </c>
      <c r="U777" s="2179">
        <f t="shared" si="1679"/>
        <v>0</v>
      </c>
      <c r="V777" s="2180">
        <f t="shared" si="1680"/>
        <v>-850148.93317576335</v>
      </c>
      <c r="W777" s="2182">
        <v>312269.44615254778</v>
      </c>
      <c r="X777" s="2177"/>
      <c r="Y777" s="2183">
        <f t="shared" si="1686"/>
        <v>-312269.44615254778</v>
      </c>
      <c r="Z777" s="2184">
        <f t="shared" si="1681"/>
        <v>1162418.3793283112</v>
      </c>
      <c r="AA777" s="2179">
        <f t="shared" si="1681"/>
        <v>0</v>
      </c>
      <c r="AB777" s="2178">
        <f t="shared" si="1682"/>
        <v>-1162418.3793283112</v>
      </c>
      <c r="AC777" s="2177">
        <v>535530.57647480851</v>
      </c>
      <c r="AD777" s="2177"/>
      <c r="AE777" s="2180">
        <f t="shared" si="1687"/>
        <v>-535530.57647480851</v>
      </c>
      <c r="AF777" s="2403"/>
      <c r="AG777" s="2114"/>
      <c r="AH777" s="2177">
        <f>ККП!D12*1000-ККП!D14*1000-ККП!D15*1000-ККП!D18*1000-ККП!D19*1000-ККП!D17*1000-AH781</f>
        <v>75776.833573042153</v>
      </c>
      <c r="AI777" s="2177"/>
      <c r="AJ777" s="2186">
        <f t="shared" si="1688"/>
        <v>-75776.833573042153</v>
      </c>
      <c r="AK777" s="2177">
        <f>AK716*$O$2/1000*1000</f>
        <v>221539.52357503062</v>
      </c>
      <c r="AL777" s="2177"/>
      <c r="AM777" s="2186">
        <f t="shared" si="1689"/>
        <v>-221539.52357503062</v>
      </c>
      <c r="AN777" s="2177">
        <f>AN716*$O$2/1000*1000</f>
        <v>187740.6962159932</v>
      </c>
      <c r="AO777" s="2177"/>
      <c r="AP777" s="2186">
        <f t="shared" si="1690"/>
        <v>-187740.6962159932</v>
      </c>
      <c r="AQ777" s="2177">
        <f>AQ716*$R$2/1000*1000</f>
        <v>141779.05634308202</v>
      </c>
      <c r="AR777" s="2177"/>
      <c r="AS777" s="2186">
        <f t="shared" si="1691"/>
        <v>-141779.05634308202</v>
      </c>
      <c r="AT777" s="2177">
        <f>AT716*$R$2/1000*1000</f>
        <v>130797.30600431586</v>
      </c>
      <c r="AU777" s="2177"/>
      <c r="AV777" s="2186">
        <f t="shared" si="1692"/>
        <v>-130797.30600431586</v>
      </c>
      <c r="AW777" s="2177">
        <f>AW716*$R$2/1000*1000</f>
        <v>101568.047839008</v>
      </c>
      <c r="AX777" s="2177"/>
      <c r="AY777" s="2186">
        <f t="shared" si="1693"/>
        <v>-101568.047839008</v>
      </c>
      <c r="AZ777" s="2177">
        <f>AZ716*$X$2/1000*1000</f>
        <v>93261.845152215828</v>
      </c>
      <c r="BA777" s="2177"/>
      <c r="BB777" s="2186">
        <f t="shared" si="1694"/>
        <v>-93261.845152215828</v>
      </c>
      <c r="BC777" s="2177">
        <f>BC716*$X$2/1000*1000</f>
        <v>95332.316354143637</v>
      </c>
      <c r="BD777" s="2177"/>
      <c r="BE777" s="2186">
        <f t="shared" si="1695"/>
        <v>-95332.316354143637</v>
      </c>
      <c r="BF777" s="2177">
        <f>BF716*$X$2/1000*1000</f>
        <v>123675.28464618833</v>
      </c>
      <c r="BG777" s="2177"/>
      <c r="BH777" s="2186">
        <f t="shared" si="1696"/>
        <v>-123675.28464618833</v>
      </c>
      <c r="BI777" s="2177">
        <f>BI716*$AD$2/1000*1000</f>
        <v>170674.14915149836</v>
      </c>
      <c r="BJ777" s="2177"/>
      <c r="BK777" s="2186">
        <f t="shared" si="1697"/>
        <v>-170674.14915149836</v>
      </c>
      <c r="BL777" s="2177">
        <f>BL716*$AD$2/1000*1000</f>
        <v>186170.70680077278</v>
      </c>
      <c r="BM777" s="2177"/>
      <c r="BN777" s="2186">
        <f t="shared" si="1698"/>
        <v>-186170.70680077278</v>
      </c>
      <c r="BO777" s="2177">
        <f>BO716*$AD$2/1000*1000</f>
        <v>178685.72052253739</v>
      </c>
      <c r="BP777" s="2177"/>
      <c r="BQ777" s="2186">
        <f t="shared" si="1699"/>
        <v>-178685.72052253739</v>
      </c>
    </row>
    <row r="778" spans="3:71" s="2087" customFormat="1" ht="12" customHeight="1">
      <c r="C778" s="2173" t="s">
        <v>2948</v>
      </c>
      <c r="D778" s="2362" t="s">
        <v>1821</v>
      </c>
      <c r="E778" s="2197" t="s">
        <v>2851</v>
      </c>
      <c r="F778" s="2176">
        <f>SUM(F779:F781)</f>
        <v>8772.8482016253947</v>
      </c>
      <c r="G778" s="2179">
        <f>G779+G780+G781</f>
        <v>0</v>
      </c>
      <c r="H778" s="2179">
        <f>H779+H780+H781</f>
        <v>3728.1200883994002</v>
      </c>
      <c r="I778" s="2178">
        <f t="shared" si="1683"/>
        <v>3728.1200883994002</v>
      </c>
      <c r="J778" s="2176">
        <f>J779+J780+J781</f>
        <v>7415.5212650518224</v>
      </c>
      <c r="K778" s="2179">
        <f t="shared" si="1677"/>
        <v>82451.689957099428</v>
      </c>
      <c r="L778" s="2179">
        <f t="shared" si="1677"/>
        <v>0</v>
      </c>
      <c r="M778" s="2178">
        <f t="shared" si="1678"/>
        <v>-82451.689957099428</v>
      </c>
      <c r="N778" s="2179">
        <f>N779+N780+N781</f>
        <v>76992.193340913291</v>
      </c>
      <c r="O778" s="2179">
        <f>O779+O780+O781</f>
        <v>0</v>
      </c>
      <c r="P778" s="2178">
        <f t="shared" si="1684"/>
        <v>-76992.193340913291</v>
      </c>
      <c r="Q778" s="2184">
        <f>Q779+Q780+Q781</f>
        <v>1635.5411489183464</v>
      </c>
      <c r="R778" s="2179">
        <f>R779+R780+R781</f>
        <v>0</v>
      </c>
      <c r="S778" s="2180">
        <f t="shared" si="1685"/>
        <v>-1635.5411489183464</v>
      </c>
      <c r="T778" s="2181">
        <f t="shared" si="1679"/>
        <v>78627.734489831637</v>
      </c>
      <c r="U778" s="2179">
        <f t="shared" si="1679"/>
        <v>0</v>
      </c>
      <c r="V778" s="2180">
        <f t="shared" si="1680"/>
        <v>-78627.734489831637</v>
      </c>
      <c r="W778" s="2187">
        <f>W779+W780+W781</f>
        <v>1824.8071084929156</v>
      </c>
      <c r="X778" s="2179">
        <f>X779+X780+X781</f>
        <v>0</v>
      </c>
      <c r="Y778" s="2183">
        <f t="shared" si="1686"/>
        <v>-1824.8071084929156</v>
      </c>
      <c r="Z778" s="2184">
        <f t="shared" si="1681"/>
        <v>80452.541598324548</v>
      </c>
      <c r="AA778" s="2179">
        <f t="shared" si="1681"/>
        <v>0</v>
      </c>
      <c r="AB778" s="2178">
        <f t="shared" si="1682"/>
        <v>-80452.541598324548</v>
      </c>
      <c r="AC778" s="2184">
        <f>AC779+AC780+AC781</f>
        <v>1999.148358774883</v>
      </c>
      <c r="AD778" s="2179">
        <f>AD779+AD780+AD781</f>
        <v>0</v>
      </c>
      <c r="AE778" s="2180">
        <f t="shared" si="1687"/>
        <v>-1999.148358774883</v>
      </c>
      <c r="AF778" s="2401"/>
      <c r="AG778" s="2114"/>
      <c r="AH778" s="2188">
        <f>AH779+AH780+AH781</f>
        <v>149441.75837661998</v>
      </c>
      <c r="AI778" s="2188">
        <f>AI779+AI780+AI781</f>
        <v>0</v>
      </c>
      <c r="AJ778" s="2186">
        <f t="shared" si="1688"/>
        <v>-149441.75837661998</v>
      </c>
      <c r="AK778" s="2188">
        <f>AK779+AK780+AK781</f>
        <v>655.55559504965061</v>
      </c>
      <c r="AL778" s="2188">
        <f>AL779+AL780+AL781</f>
        <v>0</v>
      </c>
      <c r="AM778" s="2186">
        <f t="shared" si="1689"/>
        <v>-655.55559504965061</v>
      </c>
      <c r="AN778" s="2188">
        <f>AN779+AN780+AN781</f>
        <v>607.13387496075586</v>
      </c>
      <c r="AO778" s="2188">
        <f>AO779+AO780+AO781</f>
        <v>0</v>
      </c>
      <c r="AP778" s="2186">
        <f t="shared" si="1690"/>
        <v>-607.13387496075586</v>
      </c>
      <c r="AQ778" s="2188">
        <f>AQ779+AQ780+AQ781</f>
        <v>652.36295416466851</v>
      </c>
      <c r="AR778" s="2188">
        <f>AR779+AR780+AR781</f>
        <v>0</v>
      </c>
      <c r="AS778" s="2186">
        <f t="shared" si="1691"/>
        <v>-652.36295416466851</v>
      </c>
      <c r="AT778" s="2188">
        <f>AT779+AT780+AT781</f>
        <v>510.82254159713034</v>
      </c>
      <c r="AU778" s="2188">
        <f>AU779+AU780+AU781</f>
        <v>0</v>
      </c>
      <c r="AV778" s="2186">
        <f t="shared" si="1692"/>
        <v>-510.82254159713034</v>
      </c>
      <c r="AW778" s="2188">
        <f>AW779+AW780+AW781</f>
        <v>472.35565315654782</v>
      </c>
      <c r="AX778" s="2188">
        <f>AX779+AX780+AX781</f>
        <v>0</v>
      </c>
      <c r="AY778" s="2186">
        <f t="shared" si="1693"/>
        <v>-472.35565315654782</v>
      </c>
      <c r="AZ778" s="2188">
        <f>AZ779+AZ780+AZ781</f>
        <v>653.001482341665</v>
      </c>
      <c r="BA778" s="2188">
        <f>BA779+BA780+BA781</f>
        <v>0</v>
      </c>
      <c r="BB778" s="2186">
        <f t="shared" si="1694"/>
        <v>-653.001482341665</v>
      </c>
      <c r="BC778" s="2188">
        <f>BC779+BC780+BC781</f>
        <v>591.57507171461009</v>
      </c>
      <c r="BD778" s="2188">
        <f>BD779+BD780+BD781</f>
        <v>0</v>
      </c>
      <c r="BE778" s="2186">
        <f t="shared" si="1695"/>
        <v>-591.57507171461009</v>
      </c>
      <c r="BF778" s="2188">
        <f>BF779+BF780+BF781</f>
        <v>580.23055443664055</v>
      </c>
      <c r="BG778" s="2188">
        <f>BG779+BG780+BG781</f>
        <v>0</v>
      </c>
      <c r="BH778" s="2186">
        <f t="shared" si="1696"/>
        <v>-580.23055443664055</v>
      </c>
      <c r="BI778" s="2188">
        <f>BI779+BI780+BI781</f>
        <v>619.77034758351488</v>
      </c>
      <c r="BJ778" s="2188">
        <f>BJ779+BJ780+BJ781</f>
        <v>0</v>
      </c>
      <c r="BK778" s="2186">
        <f t="shared" si="1697"/>
        <v>-619.77034758351488</v>
      </c>
      <c r="BL778" s="2188">
        <f>BL779+BL780+BL781</f>
        <v>688.54302488691371</v>
      </c>
      <c r="BM778" s="2188">
        <f>BM779+BM780+BM781</f>
        <v>0</v>
      </c>
      <c r="BN778" s="2186">
        <f t="shared" si="1698"/>
        <v>-688.54302488691371</v>
      </c>
      <c r="BO778" s="2188">
        <f>BO779+BO780+BO781</f>
        <v>690.83498630445467</v>
      </c>
      <c r="BP778" s="2188">
        <f>BP779+BP780+BP781</f>
        <v>0</v>
      </c>
      <c r="BQ778" s="2186">
        <f t="shared" si="1699"/>
        <v>-690.83498630445467</v>
      </c>
    </row>
    <row r="779" spans="3:71" s="2087" customFormat="1" ht="12" customHeight="1">
      <c r="C779" s="2378" t="s">
        <v>2949</v>
      </c>
      <c r="D779" s="2375" t="s">
        <v>28</v>
      </c>
      <c r="E779" s="2197" t="s">
        <v>2851</v>
      </c>
      <c r="F779" s="2176"/>
      <c r="G779" s="2177"/>
      <c r="H779" s="2177"/>
      <c r="I779" s="2178">
        <f t="shared" si="1683"/>
        <v>0</v>
      </c>
      <c r="J779" s="2176"/>
      <c r="K779" s="2179">
        <f t="shared" si="1677"/>
        <v>0</v>
      </c>
      <c r="L779" s="2179">
        <f t="shared" si="1677"/>
        <v>0</v>
      </c>
      <c r="M779" s="2178">
        <f t="shared" si="1678"/>
        <v>0</v>
      </c>
      <c r="N779" s="2177"/>
      <c r="O779" s="2177"/>
      <c r="P779" s="2178">
        <f t="shared" si="1684"/>
        <v>0</v>
      </c>
      <c r="Q779" s="2176"/>
      <c r="R779" s="2177"/>
      <c r="S779" s="2180">
        <f t="shared" si="1685"/>
        <v>0</v>
      </c>
      <c r="T779" s="2181">
        <f t="shared" si="1679"/>
        <v>0</v>
      </c>
      <c r="U779" s="2179">
        <f t="shared" si="1679"/>
        <v>0</v>
      </c>
      <c r="V779" s="2180">
        <f t="shared" si="1680"/>
        <v>0</v>
      </c>
      <c r="W779" s="2182"/>
      <c r="X779" s="2177"/>
      <c r="Y779" s="2183">
        <f t="shared" si="1686"/>
        <v>0</v>
      </c>
      <c r="Z779" s="2184">
        <f t="shared" si="1681"/>
        <v>0</v>
      </c>
      <c r="AA779" s="2179">
        <f t="shared" si="1681"/>
        <v>0</v>
      </c>
      <c r="AB779" s="2178">
        <f t="shared" si="1682"/>
        <v>0</v>
      </c>
      <c r="AC779" s="2176"/>
      <c r="AD779" s="2177"/>
      <c r="AE779" s="2180">
        <f t="shared" si="1687"/>
        <v>0</v>
      </c>
      <c r="AF779" s="2403"/>
      <c r="AG779" s="2114"/>
      <c r="AH779" s="2177"/>
      <c r="AI779" s="2177"/>
      <c r="AJ779" s="2186">
        <f t="shared" si="1688"/>
        <v>0</v>
      </c>
      <c r="AK779" s="2177"/>
      <c r="AL779" s="2177"/>
      <c r="AM779" s="2186">
        <f t="shared" si="1689"/>
        <v>0</v>
      </c>
      <c r="AN779" s="2177"/>
      <c r="AO779" s="2177"/>
      <c r="AP779" s="2186">
        <f t="shared" si="1690"/>
        <v>0</v>
      </c>
      <c r="AQ779" s="2177"/>
      <c r="AR779" s="2177"/>
      <c r="AS779" s="2186">
        <f t="shared" si="1691"/>
        <v>0</v>
      </c>
      <c r="AT779" s="2177"/>
      <c r="AU779" s="2177"/>
      <c r="AV779" s="2186">
        <f t="shared" si="1692"/>
        <v>0</v>
      </c>
      <c r="AW779" s="2177"/>
      <c r="AX779" s="2177"/>
      <c r="AY779" s="2186">
        <f t="shared" si="1693"/>
        <v>0</v>
      </c>
      <c r="AZ779" s="2177"/>
      <c r="BA779" s="2177"/>
      <c r="BB779" s="2186">
        <f t="shared" si="1694"/>
        <v>0</v>
      </c>
      <c r="BC779" s="2177"/>
      <c r="BD779" s="2177"/>
      <c r="BE779" s="2186">
        <f t="shared" si="1695"/>
        <v>0</v>
      </c>
      <c r="BF779" s="2177"/>
      <c r="BG779" s="2177"/>
      <c r="BH779" s="2186">
        <f t="shared" si="1696"/>
        <v>0</v>
      </c>
      <c r="BI779" s="2177"/>
      <c r="BJ779" s="2177"/>
      <c r="BK779" s="2186">
        <f t="shared" si="1697"/>
        <v>0</v>
      </c>
      <c r="BL779" s="2177"/>
      <c r="BM779" s="2177"/>
      <c r="BN779" s="2186">
        <f t="shared" si="1698"/>
        <v>0</v>
      </c>
      <c r="BO779" s="2177"/>
      <c r="BP779" s="2177"/>
      <c r="BQ779" s="2186">
        <f t="shared" si="1699"/>
        <v>0</v>
      </c>
    </row>
    <row r="780" spans="3:71" s="2087" customFormat="1" ht="12" customHeight="1">
      <c r="C780" s="2378" t="s">
        <v>2950</v>
      </c>
      <c r="D780" s="2375" t="s">
        <v>2872</v>
      </c>
      <c r="E780" s="2197" t="s">
        <v>2851</v>
      </c>
      <c r="F780" s="2176"/>
      <c r="G780" s="2177"/>
      <c r="H780" s="2177"/>
      <c r="I780" s="2178">
        <f t="shared" si="1683"/>
        <v>0</v>
      </c>
      <c r="J780" s="2176"/>
      <c r="K780" s="2179">
        <f t="shared" si="1677"/>
        <v>0</v>
      </c>
      <c r="L780" s="2179">
        <f t="shared" si="1677"/>
        <v>0</v>
      </c>
      <c r="M780" s="2178">
        <f t="shared" si="1678"/>
        <v>0</v>
      </c>
      <c r="N780" s="2177"/>
      <c r="O780" s="2177"/>
      <c r="P780" s="2178">
        <f t="shared" si="1684"/>
        <v>0</v>
      </c>
      <c r="Q780" s="2176"/>
      <c r="R780" s="2177"/>
      <c r="S780" s="2180">
        <f t="shared" si="1685"/>
        <v>0</v>
      </c>
      <c r="T780" s="2181">
        <f t="shared" si="1679"/>
        <v>0</v>
      </c>
      <c r="U780" s="2179">
        <f t="shared" si="1679"/>
        <v>0</v>
      </c>
      <c r="V780" s="2180">
        <f t="shared" si="1680"/>
        <v>0</v>
      </c>
      <c r="W780" s="2182"/>
      <c r="X780" s="2177"/>
      <c r="Y780" s="2183">
        <f t="shared" si="1686"/>
        <v>0</v>
      </c>
      <c r="Z780" s="2184">
        <f t="shared" si="1681"/>
        <v>0</v>
      </c>
      <c r="AA780" s="2179">
        <f t="shared" si="1681"/>
        <v>0</v>
      </c>
      <c r="AB780" s="2178">
        <f t="shared" si="1682"/>
        <v>0</v>
      </c>
      <c r="AC780" s="2176"/>
      <c r="AD780" s="2177"/>
      <c r="AE780" s="2180">
        <f t="shared" si="1687"/>
        <v>0</v>
      </c>
      <c r="AF780" s="2403"/>
      <c r="AG780" s="2114"/>
      <c r="AH780" s="2177"/>
      <c r="AI780" s="2177"/>
      <c r="AJ780" s="2186">
        <f t="shared" si="1688"/>
        <v>0</v>
      </c>
      <c r="AK780" s="2177"/>
      <c r="AL780" s="2177"/>
      <c r="AM780" s="2186">
        <f t="shared" si="1689"/>
        <v>0</v>
      </c>
      <c r="AN780" s="2177"/>
      <c r="AO780" s="2177"/>
      <c r="AP780" s="2186">
        <f t="shared" si="1690"/>
        <v>0</v>
      </c>
      <c r="AQ780" s="2177"/>
      <c r="AR780" s="2177"/>
      <c r="AS780" s="2186">
        <f t="shared" si="1691"/>
        <v>0</v>
      </c>
      <c r="AT780" s="2177"/>
      <c r="AU780" s="2177"/>
      <c r="AV780" s="2186">
        <f t="shared" si="1692"/>
        <v>0</v>
      </c>
      <c r="AW780" s="2177"/>
      <c r="AX780" s="2177"/>
      <c r="AY780" s="2186">
        <f t="shared" si="1693"/>
        <v>0</v>
      </c>
      <c r="AZ780" s="2177"/>
      <c r="BA780" s="2177"/>
      <c r="BB780" s="2186">
        <f t="shared" si="1694"/>
        <v>0</v>
      </c>
      <c r="BC780" s="2177"/>
      <c r="BD780" s="2177"/>
      <c r="BE780" s="2186">
        <f t="shared" si="1695"/>
        <v>0</v>
      </c>
      <c r="BF780" s="2177"/>
      <c r="BG780" s="2177"/>
      <c r="BH780" s="2186">
        <f t="shared" si="1696"/>
        <v>0</v>
      </c>
      <c r="BI780" s="2177"/>
      <c r="BJ780" s="2177"/>
      <c r="BK780" s="2186">
        <f t="shared" si="1697"/>
        <v>0</v>
      </c>
      <c r="BL780" s="2177"/>
      <c r="BM780" s="2177"/>
      <c r="BN780" s="2186">
        <f t="shared" si="1698"/>
        <v>0</v>
      </c>
      <c r="BO780" s="2177"/>
      <c r="BP780" s="2177"/>
      <c r="BQ780" s="2186">
        <f t="shared" si="1699"/>
        <v>0</v>
      </c>
    </row>
    <row r="781" spans="3:71" s="2087" customFormat="1" ht="12" customHeight="1">
      <c r="C781" s="2378" t="s">
        <v>2951</v>
      </c>
      <c r="D781" s="2375" t="s">
        <v>42</v>
      </c>
      <c r="E781" s="2197" t="s">
        <v>2851</v>
      </c>
      <c r="F781" s="2176">
        <v>8772.8482016253947</v>
      </c>
      <c r="G781" s="2177"/>
      <c r="H781" s="2177">
        <v>3728.1200883994002</v>
      </c>
      <c r="I781" s="2178">
        <f t="shared" si="1683"/>
        <v>3728.1200883994002</v>
      </c>
      <c r="J781" s="2176">
        <v>7415.5212650518224</v>
      </c>
      <c r="K781" s="2179">
        <f t="shared" si="1677"/>
        <v>82451.689957099428</v>
      </c>
      <c r="L781" s="2179">
        <f t="shared" si="1677"/>
        <v>0</v>
      </c>
      <c r="M781" s="2178">
        <f t="shared" si="1678"/>
        <v>-82451.689957099428</v>
      </c>
      <c r="N781" s="2177">
        <f>N720*$H$759*1000</f>
        <v>76992.193340913291</v>
      </c>
      <c r="O781" s="2177"/>
      <c r="P781" s="2178">
        <f t="shared" si="1684"/>
        <v>-76992.193340913291</v>
      </c>
      <c r="Q781" s="2177">
        <f>Q720*$H$759*1000</f>
        <v>1635.5411489183464</v>
      </c>
      <c r="R781" s="2177"/>
      <c r="S781" s="2180">
        <f t="shared" si="1685"/>
        <v>-1635.5411489183464</v>
      </c>
      <c r="T781" s="2181">
        <f t="shared" si="1679"/>
        <v>78627.734489831637</v>
      </c>
      <c r="U781" s="2179">
        <f t="shared" si="1679"/>
        <v>0</v>
      </c>
      <c r="V781" s="2180">
        <f t="shared" si="1680"/>
        <v>-78627.734489831637</v>
      </c>
      <c r="W781" s="2182">
        <f>(W720*$H$759*1000)*1.04</f>
        <v>1824.8071084929156</v>
      </c>
      <c r="X781" s="2177"/>
      <c r="Y781" s="2183">
        <f t="shared" si="1686"/>
        <v>-1824.8071084929156</v>
      </c>
      <c r="Z781" s="2184">
        <f t="shared" si="1681"/>
        <v>80452.541598324548</v>
      </c>
      <c r="AA781" s="2179">
        <f t="shared" si="1681"/>
        <v>0</v>
      </c>
      <c r="AB781" s="2178">
        <f t="shared" si="1682"/>
        <v>-80452.541598324548</v>
      </c>
      <c r="AC781" s="2177">
        <f>(AC720*$H$759*1000)*1.04</f>
        <v>1999.148358774883</v>
      </c>
      <c r="AD781" s="2177"/>
      <c r="AE781" s="2180">
        <f t="shared" si="1687"/>
        <v>-1999.148358774883</v>
      </c>
      <c r="AF781" s="2403"/>
      <c r="AG781" s="2114"/>
      <c r="AH781" s="2177">
        <f>'Шаблон 46 ГП'!F298*'Шаблон 46 ГП'!J68/1000</f>
        <v>149441.75837661998</v>
      </c>
      <c r="AI781" s="2177"/>
      <c r="AJ781" s="2186">
        <f t="shared" si="1688"/>
        <v>-149441.75837661998</v>
      </c>
      <c r="AK781" s="2177">
        <f>AK720*$N$3/1000*1000</f>
        <v>655.55559504965061</v>
      </c>
      <c r="AL781" s="2177"/>
      <c r="AM781" s="2186">
        <f t="shared" si="1689"/>
        <v>-655.55559504965061</v>
      </c>
      <c r="AN781" s="2177">
        <f>AN720*$N$3/1000*1000</f>
        <v>607.13387496075586</v>
      </c>
      <c r="AO781" s="2177"/>
      <c r="AP781" s="2186">
        <f t="shared" si="1690"/>
        <v>-607.13387496075586</v>
      </c>
      <c r="AQ781" s="2177">
        <f>AQ720*$N$3/1000*1000</f>
        <v>652.36295416466851</v>
      </c>
      <c r="AR781" s="2177"/>
      <c r="AS781" s="2186">
        <f t="shared" si="1691"/>
        <v>-652.36295416466851</v>
      </c>
      <c r="AT781" s="2177">
        <f>AT720*$N$3/1000*1000</f>
        <v>510.82254159713034</v>
      </c>
      <c r="AU781" s="2177"/>
      <c r="AV781" s="2186">
        <f t="shared" si="1692"/>
        <v>-510.82254159713034</v>
      </c>
      <c r="AW781" s="2177">
        <f>AW720*$N$3/1000*1000</f>
        <v>472.35565315654782</v>
      </c>
      <c r="AX781" s="2177"/>
      <c r="AY781" s="2186">
        <f t="shared" si="1693"/>
        <v>-472.35565315654782</v>
      </c>
      <c r="AZ781" s="2177">
        <f>AZ720*$W$3/1000*1000</f>
        <v>653.001482341665</v>
      </c>
      <c r="BA781" s="2177"/>
      <c r="BB781" s="2186">
        <f t="shared" si="1694"/>
        <v>-653.001482341665</v>
      </c>
      <c r="BC781" s="2177">
        <f>BC720*$W$3/1000*1000</f>
        <v>591.57507171461009</v>
      </c>
      <c r="BD781" s="2177"/>
      <c r="BE781" s="2186">
        <f t="shared" si="1695"/>
        <v>-591.57507171461009</v>
      </c>
      <c r="BF781" s="2177">
        <f>BF720*$W$3/1000*1000</f>
        <v>580.23055443664055</v>
      </c>
      <c r="BG781" s="2177"/>
      <c r="BH781" s="2186">
        <f t="shared" si="1696"/>
        <v>-580.23055443664055</v>
      </c>
      <c r="BI781" s="2177">
        <f>BI720*$W$3/1000*1000</f>
        <v>619.77034758351488</v>
      </c>
      <c r="BJ781" s="2177"/>
      <c r="BK781" s="2186">
        <f t="shared" si="1697"/>
        <v>-619.77034758351488</v>
      </c>
      <c r="BL781" s="2177">
        <f>BL720*$W$3/1000*1000</f>
        <v>688.54302488691371</v>
      </c>
      <c r="BM781" s="2177"/>
      <c r="BN781" s="2186">
        <f t="shared" si="1698"/>
        <v>-688.54302488691371</v>
      </c>
      <c r="BO781" s="2177">
        <f>BO720*$W$3/1000*1000</f>
        <v>690.83498630445467</v>
      </c>
      <c r="BP781" s="2177"/>
      <c r="BQ781" s="2186">
        <f t="shared" si="1699"/>
        <v>-690.83498630445467</v>
      </c>
    </row>
    <row r="782" spans="3:71" s="2087" customFormat="1" ht="12" customHeight="1">
      <c r="C782" s="2173" t="s">
        <v>2952</v>
      </c>
      <c r="D782" s="2362" t="s">
        <v>2884</v>
      </c>
      <c r="E782" s="2197" t="s">
        <v>2851</v>
      </c>
      <c r="F782" s="2176">
        <f>SUM(F783:F785)</f>
        <v>0</v>
      </c>
      <c r="G782" s="2179">
        <f>G783+G784+G785</f>
        <v>4219.3</v>
      </c>
      <c r="H782" s="2179">
        <f>H783+H784+H785</f>
        <v>16753.205000000002</v>
      </c>
      <c r="I782" s="2178">
        <f t="shared" si="1683"/>
        <v>12533.905000000002</v>
      </c>
      <c r="J782" s="2162">
        <f>J783+J784+J785</f>
        <v>0</v>
      </c>
      <c r="K782" s="2179">
        <f t="shared" si="1677"/>
        <v>16753.205000000002</v>
      </c>
      <c r="L782" s="2179">
        <f t="shared" si="1677"/>
        <v>0</v>
      </c>
      <c r="M782" s="2178">
        <f t="shared" si="1678"/>
        <v>-16753.205000000002</v>
      </c>
      <c r="N782" s="2179">
        <f>N783+N784+N785</f>
        <v>4987.0892284430356</v>
      </c>
      <c r="O782" s="2179">
        <f>O783+O784+O785</f>
        <v>0</v>
      </c>
      <c r="P782" s="2178">
        <f t="shared" si="1684"/>
        <v>-4987.0892284430356</v>
      </c>
      <c r="Q782" s="2184">
        <f>Q783+Q784+Q785</f>
        <v>3347.2964304576194</v>
      </c>
      <c r="R782" s="2179">
        <f>R783+R784+R785</f>
        <v>0</v>
      </c>
      <c r="S782" s="2180">
        <f t="shared" si="1685"/>
        <v>-3347.2964304576194</v>
      </c>
      <c r="T782" s="2181">
        <f t="shared" si="1679"/>
        <v>8334.3856589006555</v>
      </c>
      <c r="U782" s="2179">
        <f t="shared" si="1679"/>
        <v>0</v>
      </c>
      <c r="V782" s="2180">
        <f t="shared" si="1680"/>
        <v>-8334.3856589006555</v>
      </c>
      <c r="W782" s="2187">
        <f>W783+W784+W785</f>
        <v>3014.9707182894472</v>
      </c>
      <c r="X782" s="2179">
        <f>X783+X784+X785</f>
        <v>0</v>
      </c>
      <c r="Y782" s="2183">
        <f t="shared" si="1686"/>
        <v>-3014.9707182894472</v>
      </c>
      <c r="Z782" s="2184">
        <f t="shared" si="1681"/>
        <v>11349.356377190103</v>
      </c>
      <c r="AA782" s="2179">
        <f t="shared" si="1681"/>
        <v>0</v>
      </c>
      <c r="AB782" s="2178">
        <f t="shared" si="1682"/>
        <v>-11349.356377190103</v>
      </c>
      <c r="AC782" s="2184">
        <f>AC783+AC784+AC785</f>
        <v>5403.8486228099009</v>
      </c>
      <c r="AD782" s="2179">
        <f>AD783+AD784+AD785</f>
        <v>0</v>
      </c>
      <c r="AE782" s="2180">
        <f t="shared" si="1687"/>
        <v>-5403.8486228099009</v>
      </c>
      <c r="AF782" s="2403"/>
      <c r="AG782" s="2114"/>
      <c r="AH782" s="2188">
        <f>AH783+AH784+AH785</f>
        <v>0</v>
      </c>
      <c r="AI782" s="2188">
        <f>AI783+AI784+AI785</f>
        <v>0</v>
      </c>
      <c r="AJ782" s="2186">
        <f t="shared" si="1688"/>
        <v>0</v>
      </c>
      <c r="AK782" s="2188">
        <f>AK783+AK784+AK785</f>
        <v>1593.1051687959084</v>
      </c>
      <c r="AL782" s="2188">
        <f>AL783+AL784+AL785</f>
        <v>0</v>
      </c>
      <c r="AM782" s="2186">
        <f t="shared" si="1689"/>
        <v>-1593.1051687959084</v>
      </c>
      <c r="AN782" s="2188">
        <f>AN783+AN784+AN785</f>
        <v>1538.3986982802685</v>
      </c>
      <c r="AO782" s="2188">
        <f>AO783+AO784+AO785</f>
        <v>0</v>
      </c>
      <c r="AP782" s="2186">
        <f t="shared" si="1690"/>
        <v>-1538.3986982802685</v>
      </c>
      <c r="AQ782" s="2188">
        <f>AQ783+AQ784+AQ785</f>
        <v>1241.9081516433932</v>
      </c>
      <c r="AR782" s="2188">
        <f>AR783+AR784+AR785</f>
        <v>0</v>
      </c>
      <c r="AS782" s="2186">
        <f t="shared" si="1691"/>
        <v>-1241.9081516433932</v>
      </c>
      <c r="AT782" s="2188">
        <f>AT783+AT784+AT785</f>
        <v>1241.7635439423639</v>
      </c>
      <c r="AU782" s="2188">
        <f>AU783+AU784+AU785</f>
        <v>0</v>
      </c>
      <c r="AV782" s="2186">
        <f t="shared" si="1692"/>
        <v>-1241.7635439423639</v>
      </c>
      <c r="AW782" s="2188">
        <f>AW783+AW784+AW785</f>
        <v>863.6247348718623</v>
      </c>
      <c r="AX782" s="2188">
        <f>AX783+AX784+AX785</f>
        <v>0</v>
      </c>
      <c r="AY782" s="2186">
        <f t="shared" si="1693"/>
        <v>-863.6247348718623</v>
      </c>
      <c r="AZ782" s="2188">
        <f>AZ783+AZ784+AZ785</f>
        <v>870.97906938136009</v>
      </c>
      <c r="BA782" s="2188">
        <f>BA783+BA784+BA785</f>
        <v>0</v>
      </c>
      <c r="BB782" s="2186">
        <f t="shared" si="1694"/>
        <v>-870.97906938136009</v>
      </c>
      <c r="BC782" s="2188">
        <f>BC783+BC784+BC785</f>
        <v>995.08346422913178</v>
      </c>
      <c r="BD782" s="2188">
        <f>BD783+BD784+BD785</f>
        <v>0</v>
      </c>
      <c r="BE782" s="2186">
        <f t="shared" si="1695"/>
        <v>-995.08346422913178</v>
      </c>
      <c r="BF782" s="2188">
        <f>BF783+BF784+BF785</f>
        <v>1148.9081846789552</v>
      </c>
      <c r="BG782" s="2188">
        <f>BG783+BG784+BG785</f>
        <v>0</v>
      </c>
      <c r="BH782" s="2186">
        <f t="shared" si="1696"/>
        <v>-1148.9081846789552</v>
      </c>
      <c r="BI782" s="2188">
        <f>BI783+BI784+BI785</f>
        <v>1449.1068859350855</v>
      </c>
      <c r="BJ782" s="2188">
        <f>BJ783+BJ784+BJ785</f>
        <v>0</v>
      </c>
      <c r="BK782" s="2186">
        <f t="shared" si="1697"/>
        <v>-1449.1068859350855</v>
      </c>
      <c r="BL782" s="2188">
        <f>BL783+BL784+BL785</f>
        <v>1867.7255221723299</v>
      </c>
      <c r="BM782" s="2188">
        <f>BM783+BM784+BM785</f>
        <v>0</v>
      </c>
      <c r="BN782" s="2186">
        <f t="shared" si="1698"/>
        <v>-1867.7255221723299</v>
      </c>
      <c r="BO782" s="2188">
        <f>BO783+BO784+BO785</f>
        <v>2087.0162147024848</v>
      </c>
      <c r="BP782" s="2188">
        <f>BP783+BP784+BP785</f>
        <v>0</v>
      </c>
      <c r="BQ782" s="2186">
        <f t="shared" si="1699"/>
        <v>-2087.0162147024848</v>
      </c>
    </row>
    <row r="783" spans="3:71" s="2087" customFormat="1" ht="12" customHeight="1">
      <c r="C783" s="2378" t="s">
        <v>2953</v>
      </c>
      <c r="D783" s="2375" t="s">
        <v>28</v>
      </c>
      <c r="E783" s="2197" t="s">
        <v>2851</v>
      </c>
      <c r="F783" s="2176"/>
      <c r="G783" s="2177"/>
      <c r="H783" s="2177"/>
      <c r="I783" s="2178">
        <f t="shared" si="1683"/>
        <v>0</v>
      </c>
      <c r="J783" s="2176"/>
      <c r="K783" s="2179">
        <f t="shared" si="1677"/>
        <v>0</v>
      </c>
      <c r="L783" s="2179">
        <f t="shared" si="1677"/>
        <v>0</v>
      </c>
      <c r="M783" s="2178">
        <f t="shared" si="1678"/>
        <v>0</v>
      </c>
      <c r="N783" s="2177"/>
      <c r="O783" s="2177"/>
      <c r="P783" s="2178">
        <f t="shared" si="1684"/>
        <v>0</v>
      </c>
      <c r="Q783" s="2176"/>
      <c r="R783" s="2177"/>
      <c r="S783" s="2180">
        <f t="shared" si="1685"/>
        <v>0</v>
      </c>
      <c r="T783" s="2181">
        <f t="shared" si="1679"/>
        <v>0</v>
      </c>
      <c r="U783" s="2179">
        <f t="shared" si="1679"/>
        <v>0</v>
      </c>
      <c r="V783" s="2180">
        <f t="shared" si="1680"/>
        <v>0</v>
      </c>
      <c r="W783" s="2182"/>
      <c r="X783" s="2177"/>
      <c r="Y783" s="2183">
        <f t="shared" si="1686"/>
        <v>0</v>
      </c>
      <c r="Z783" s="2184">
        <f t="shared" si="1681"/>
        <v>0</v>
      </c>
      <c r="AA783" s="2179">
        <f t="shared" si="1681"/>
        <v>0</v>
      </c>
      <c r="AB783" s="2178">
        <f t="shared" si="1682"/>
        <v>0</v>
      </c>
      <c r="AC783" s="2176"/>
      <c r="AD783" s="2177"/>
      <c r="AE783" s="2180">
        <f t="shared" si="1687"/>
        <v>0</v>
      </c>
      <c r="AF783" s="2403"/>
      <c r="AG783" s="2114"/>
      <c r="AH783" s="2177"/>
      <c r="AI783" s="2177"/>
      <c r="AJ783" s="2186">
        <f t="shared" si="1688"/>
        <v>0</v>
      </c>
      <c r="AK783" s="2177"/>
      <c r="AL783" s="2177"/>
      <c r="AM783" s="2186">
        <f t="shared" si="1689"/>
        <v>0</v>
      </c>
      <c r="AN783" s="2177"/>
      <c r="AO783" s="2177"/>
      <c r="AP783" s="2186">
        <f t="shared" si="1690"/>
        <v>0</v>
      </c>
      <c r="AQ783" s="2177"/>
      <c r="AR783" s="2177"/>
      <c r="AS783" s="2186">
        <f t="shared" si="1691"/>
        <v>0</v>
      </c>
      <c r="AT783" s="2177"/>
      <c r="AU783" s="2177"/>
      <c r="AV783" s="2186">
        <f t="shared" si="1692"/>
        <v>0</v>
      </c>
      <c r="AW783" s="2177"/>
      <c r="AX783" s="2177"/>
      <c r="AY783" s="2186">
        <f t="shared" si="1693"/>
        <v>0</v>
      </c>
      <c r="AZ783" s="2177"/>
      <c r="BA783" s="2177"/>
      <c r="BB783" s="2186">
        <f t="shared" si="1694"/>
        <v>0</v>
      </c>
      <c r="BC783" s="2177"/>
      <c r="BD783" s="2177"/>
      <c r="BE783" s="2186">
        <f t="shared" si="1695"/>
        <v>0</v>
      </c>
      <c r="BF783" s="2177"/>
      <c r="BG783" s="2177"/>
      <c r="BH783" s="2186">
        <f t="shared" si="1696"/>
        <v>0</v>
      </c>
      <c r="BI783" s="2177"/>
      <c r="BJ783" s="2177"/>
      <c r="BK783" s="2186">
        <f t="shared" si="1697"/>
        <v>0</v>
      </c>
      <c r="BL783" s="2177"/>
      <c r="BM783" s="2177"/>
      <c r="BN783" s="2186">
        <f t="shared" si="1698"/>
        <v>0</v>
      </c>
      <c r="BO783" s="2177"/>
      <c r="BP783" s="2177"/>
      <c r="BQ783" s="2186">
        <f t="shared" si="1699"/>
        <v>0</v>
      </c>
    </row>
    <row r="784" spans="3:71" s="2087" customFormat="1" ht="12" customHeight="1">
      <c r="C784" s="2378" t="s">
        <v>2954</v>
      </c>
      <c r="D784" s="2375" t="s">
        <v>2872</v>
      </c>
      <c r="E784" s="2197" t="s">
        <v>2851</v>
      </c>
      <c r="F784" s="2176"/>
      <c r="G784" s="2177"/>
      <c r="H784" s="2177"/>
      <c r="I784" s="2178">
        <f t="shared" si="1683"/>
        <v>0</v>
      </c>
      <c r="J784" s="2176"/>
      <c r="K784" s="2179">
        <f t="shared" si="1677"/>
        <v>0</v>
      </c>
      <c r="L784" s="2179">
        <f t="shared" si="1677"/>
        <v>0</v>
      </c>
      <c r="M784" s="2178">
        <f t="shared" si="1678"/>
        <v>0</v>
      </c>
      <c r="N784" s="2177"/>
      <c r="O784" s="2177"/>
      <c r="P784" s="2178">
        <f t="shared" si="1684"/>
        <v>0</v>
      </c>
      <c r="Q784" s="2176"/>
      <c r="R784" s="2177"/>
      <c r="S784" s="2180">
        <f t="shared" si="1685"/>
        <v>0</v>
      </c>
      <c r="T784" s="2181">
        <f t="shared" si="1679"/>
        <v>0</v>
      </c>
      <c r="U784" s="2179">
        <f t="shared" si="1679"/>
        <v>0</v>
      </c>
      <c r="V784" s="2180">
        <f t="shared" si="1680"/>
        <v>0</v>
      </c>
      <c r="W784" s="2182"/>
      <c r="X784" s="2177"/>
      <c r="Y784" s="2183">
        <f t="shared" si="1686"/>
        <v>0</v>
      </c>
      <c r="Z784" s="2184">
        <f t="shared" si="1681"/>
        <v>0</v>
      </c>
      <c r="AA784" s="2179">
        <f t="shared" si="1681"/>
        <v>0</v>
      </c>
      <c r="AB784" s="2178">
        <f t="shared" si="1682"/>
        <v>0</v>
      </c>
      <c r="AC784" s="2176"/>
      <c r="AD784" s="2177"/>
      <c r="AE784" s="2180">
        <f t="shared" si="1687"/>
        <v>0</v>
      </c>
      <c r="AF784" s="2403"/>
      <c r="AG784" s="2114"/>
      <c r="AH784" s="2177"/>
      <c r="AI784" s="2177"/>
      <c r="AJ784" s="2186">
        <f t="shared" si="1688"/>
        <v>0</v>
      </c>
      <c r="AK784" s="2177"/>
      <c r="AL784" s="2177"/>
      <c r="AM784" s="2186">
        <f t="shared" si="1689"/>
        <v>0</v>
      </c>
      <c r="AN784" s="2177"/>
      <c r="AO784" s="2177"/>
      <c r="AP784" s="2186">
        <f t="shared" si="1690"/>
        <v>0</v>
      </c>
      <c r="AQ784" s="2177"/>
      <c r="AR784" s="2177"/>
      <c r="AS784" s="2186">
        <f t="shared" si="1691"/>
        <v>0</v>
      </c>
      <c r="AT784" s="2177"/>
      <c r="AU784" s="2177"/>
      <c r="AV784" s="2186">
        <f t="shared" si="1692"/>
        <v>0</v>
      </c>
      <c r="AW784" s="2177"/>
      <c r="AX784" s="2177"/>
      <c r="AY784" s="2186">
        <f t="shared" si="1693"/>
        <v>0</v>
      </c>
      <c r="AZ784" s="2177"/>
      <c r="BA784" s="2177"/>
      <c r="BB784" s="2186">
        <f t="shared" si="1694"/>
        <v>0</v>
      </c>
      <c r="BC784" s="2177"/>
      <c r="BD784" s="2177"/>
      <c r="BE784" s="2186">
        <f t="shared" si="1695"/>
        <v>0</v>
      </c>
      <c r="BF784" s="2177"/>
      <c r="BG784" s="2177"/>
      <c r="BH784" s="2186">
        <f t="shared" si="1696"/>
        <v>0</v>
      </c>
      <c r="BI784" s="2177"/>
      <c r="BJ784" s="2177"/>
      <c r="BK784" s="2186">
        <f t="shared" si="1697"/>
        <v>0</v>
      </c>
      <c r="BL784" s="2177"/>
      <c r="BM784" s="2177"/>
      <c r="BN784" s="2186">
        <f t="shared" si="1698"/>
        <v>0</v>
      </c>
      <c r="BO784" s="2177"/>
      <c r="BP784" s="2177"/>
      <c r="BQ784" s="2186">
        <f t="shared" si="1699"/>
        <v>0</v>
      </c>
    </row>
    <row r="785" spans="3:69" s="2087" customFormat="1" ht="12" customHeight="1">
      <c r="C785" s="2378" t="s">
        <v>2955</v>
      </c>
      <c r="D785" s="2375" t="s">
        <v>42</v>
      </c>
      <c r="E785" s="2197" t="s">
        <v>2851</v>
      </c>
      <c r="F785" s="2176"/>
      <c r="G785" s="2177">
        <v>4219.3</v>
      </c>
      <c r="H785" s="2177">
        <v>16753.205000000002</v>
      </c>
      <c r="I785" s="2178">
        <f t="shared" si="1683"/>
        <v>12533.905000000002</v>
      </c>
      <c r="J785" s="2405">
        <v>0</v>
      </c>
      <c r="K785" s="2179">
        <f t="shared" ref="J785:L812" si="1718">N785+Q785+W785+AC785</f>
        <v>16753.205000000002</v>
      </c>
      <c r="L785" s="2179">
        <f t="shared" si="1718"/>
        <v>0</v>
      </c>
      <c r="M785" s="2178">
        <f t="shared" si="1678"/>
        <v>-16753.205000000002</v>
      </c>
      <c r="N785" s="2177">
        <v>4987.0892284430356</v>
      </c>
      <c r="O785" s="2177"/>
      <c r="P785" s="2178">
        <f t="shared" si="1684"/>
        <v>-4987.0892284430356</v>
      </c>
      <c r="Q785" s="2176">
        <v>3347.2964304576194</v>
      </c>
      <c r="R785" s="2177"/>
      <c r="S785" s="2180">
        <f t="shared" si="1685"/>
        <v>-3347.2964304576194</v>
      </c>
      <c r="T785" s="2181">
        <f t="shared" si="1679"/>
        <v>8334.3856589006555</v>
      </c>
      <c r="U785" s="2179">
        <f t="shared" si="1679"/>
        <v>0</v>
      </c>
      <c r="V785" s="2180">
        <f t="shared" si="1680"/>
        <v>-8334.3856589006555</v>
      </c>
      <c r="W785" s="2182">
        <v>3014.9707182894472</v>
      </c>
      <c r="X785" s="2177"/>
      <c r="Y785" s="2183">
        <f t="shared" si="1686"/>
        <v>-3014.9707182894472</v>
      </c>
      <c r="Z785" s="2184">
        <f t="shared" si="1681"/>
        <v>11349.356377190103</v>
      </c>
      <c r="AA785" s="2179">
        <f t="shared" si="1681"/>
        <v>0</v>
      </c>
      <c r="AB785" s="2178">
        <f t="shared" si="1682"/>
        <v>-11349.356377190103</v>
      </c>
      <c r="AC785" s="2176">
        <v>5403.8486228099009</v>
      </c>
      <c r="AD785" s="2177"/>
      <c r="AE785" s="2180">
        <f t="shared" si="1687"/>
        <v>-5403.8486228099009</v>
      </c>
      <c r="AF785" s="2401"/>
      <c r="AG785" s="2114"/>
      <c r="AH785" s="2177">
        <f>ККП!D19*1000</f>
        <v>0</v>
      </c>
      <c r="AI785" s="2177"/>
      <c r="AJ785" s="2186">
        <f t="shared" si="1688"/>
        <v>0</v>
      </c>
      <c r="AK785" s="2177">
        <f>AK724*AK3*1000</f>
        <v>1593.1051687959084</v>
      </c>
      <c r="AL785" s="2177"/>
      <c r="AM785" s="2186">
        <f t="shared" si="1689"/>
        <v>-1593.1051687959084</v>
      </c>
      <c r="AN785" s="2177">
        <f>AN724*AN3*1000</f>
        <v>1538.3986982802685</v>
      </c>
      <c r="AO785" s="2177"/>
      <c r="AP785" s="2186">
        <f t="shared" si="1690"/>
        <v>-1538.3986982802685</v>
      </c>
      <c r="AQ785" s="2177">
        <f>AQ724*AQ3*1000</f>
        <v>1241.9081516433932</v>
      </c>
      <c r="AR785" s="2177"/>
      <c r="AS785" s="2186">
        <f t="shared" si="1691"/>
        <v>-1241.9081516433932</v>
      </c>
      <c r="AT785" s="2177">
        <f>AT724*AT3*1000</f>
        <v>1241.7635439423639</v>
      </c>
      <c r="AU785" s="2177"/>
      <c r="AV785" s="2186">
        <f t="shared" si="1692"/>
        <v>-1241.7635439423639</v>
      </c>
      <c r="AW785" s="2177">
        <f>AW724*AW3*1000</f>
        <v>863.6247348718623</v>
      </c>
      <c r="AX785" s="2177"/>
      <c r="AY785" s="2186">
        <f t="shared" si="1693"/>
        <v>-863.6247348718623</v>
      </c>
      <c r="AZ785" s="2177">
        <f>AZ724*AZ3*1000</f>
        <v>870.97906938136009</v>
      </c>
      <c r="BA785" s="2177"/>
      <c r="BB785" s="2186">
        <f t="shared" si="1694"/>
        <v>-870.97906938136009</v>
      </c>
      <c r="BC785" s="2177">
        <f>BC724*BC3*1000</f>
        <v>995.08346422913178</v>
      </c>
      <c r="BD785" s="2177"/>
      <c r="BE785" s="2186">
        <f t="shared" si="1695"/>
        <v>-995.08346422913178</v>
      </c>
      <c r="BF785" s="2177">
        <f>BF724*BF3*1000</f>
        <v>1148.9081846789552</v>
      </c>
      <c r="BG785" s="2177"/>
      <c r="BH785" s="2186">
        <f t="shared" si="1696"/>
        <v>-1148.9081846789552</v>
      </c>
      <c r="BI785" s="2177">
        <f>BI724*BI3*1000</f>
        <v>1449.1068859350855</v>
      </c>
      <c r="BJ785" s="2177"/>
      <c r="BK785" s="2186">
        <f t="shared" si="1697"/>
        <v>-1449.1068859350855</v>
      </c>
      <c r="BL785" s="2177">
        <f>BL724*BL3*1000</f>
        <v>1867.7255221723299</v>
      </c>
      <c r="BM785" s="2177"/>
      <c r="BN785" s="2186">
        <f t="shared" si="1698"/>
        <v>-1867.7255221723299</v>
      </c>
      <c r="BO785" s="2177">
        <f>BO724*BO3*1000</f>
        <v>2087.0162147024848</v>
      </c>
      <c r="BP785" s="2177"/>
      <c r="BQ785" s="2186">
        <f t="shared" si="1699"/>
        <v>-2087.0162147024848</v>
      </c>
    </row>
    <row r="786" spans="3:69" s="2087" customFormat="1" ht="12" customHeight="1">
      <c r="C786" s="2173" t="s">
        <v>2956</v>
      </c>
      <c r="D786" s="2362" t="s">
        <v>2957</v>
      </c>
      <c r="E786" s="2197" t="s">
        <v>2851</v>
      </c>
      <c r="F786" s="2176"/>
      <c r="G786" s="2179">
        <f>G787+G788+G789</f>
        <v>0</v>
      </c>
      <c r="H786" s="2179">
        <f>H787+H788+H789</f>
        <v>3172.7946299999999</v>
      </c>
      <c r="I786" s="2178">
        <f t="shared" si="1683"/>
        <v>3172.7946299999999</v>
      </c>
      <c r="J786" s="2176">
        <f>J787+J788+J789</f>
        <v>0</v>
      </c>
      <c r="K786" s="2179">
        <f t="shared" si="1718"/>
        <v>0</v>
      </c>
      <c r="L786" s="2179">
        <f t="shared" si="1718"/>
        <v>0</v>
      </c>
      <c r="M786" s="2178">
        <f t="shared" si="1678"/>
        <v>0</v>
      </c>
      <c r="N786" s="2179">
        <f>N787+N788+N789</f>
        <v>0</v>
      </c>
      <c r="O786" s="2179">
        <f>O787+O788+O789</f>
        <v>0</v>
      </c>
      <c r="P786" s="2178">
        <f t="shared" si="1684"/>
        <v>0</v>
      </c>
      <c r="Q786" s="2184">
        <f>Q787+Q788+Q789</f>
        <v>0</v>
      </c>
      <c r="R786" s="2179">
        <f>R787+R788+R789</f>
        <v>0</v>
      </c>
      <c r="S786" s="2180">
        <f t="shared" si="1685"/>
        <v>0</v>
      </c>
      <c r="T786" s="2181">
        <f t="shared" si="1679"/>
        <v>0</v>
      </c>
      <c r="U786" s="2179">
        <f t="shared" si="1679"/>
        <v>0</v>
      </c>
      <c r="V786" s="2180">
        <f t="shared" si="1680"/>
        <v>0</v>
      </c>
      <c r="W786" s="2187">
        <f>W787+W788+W789</f>
        <v>0</v>
      </c>
      <c r="X786" s="2179">
        <f>X787+X788+X789</f>
        <v>0</v>
      </c>
      <c r="Y786" s="2183">
        <f t="shared" si="1686"/>
        <v>0</v>
      </c>
      <c r="Z786" s="2184">
        <f t="shared" si="1681"/>
        <v>0</v>
      </c>
      <c r="AA786" s="2179">
        <f t="shared" si="1681"/>
        <v>0</v>
      </c>
      <c r="AB786" s="2178">
        <f t="shared" si="1682"/>
        <v>0</v>
      </c>
      <c r="AC786" s="2184">
        <f>AC787+AC788+AC789</f>
        <v>0</v>
      </c>
      <c r="AD786" s="2179">
        <f>AD787+AD788+AD789</f>
        <v>0</v>
      </c>
      <c r="AE786" s="2180">
        <f t="shared" si="1687"/>
        <v>0</v>
      </c>
      <c r="AF786" s="2401"/>
      <c r="AG786" s="2114"/>
      <c r="AH786" s="2188">
        <f>AH787+AH788+AH789</f>
        <v>158.10037</v>
      </c>
      <c r="AI786" s="2188">
        <f>AI787+AI788+AI789</f>
        <v>0</v>
      </c>
      <c r="AJ786" s="2186">
        <f t="shared" si="1688"/>
        <v>-158.10037</v>
      </c>
      <c r="AK786" s="2188">
        <f>AK787+AK788+AK789</f>
        <v>0</v>
      </c>
      <c r="AL786" s="2188">
        <f>AL787+AL788+AL789</f>
        <v>0</v>
      </c>
      <c r="AM786" s="2186">
        <f t="shared" si="1689"/>
        <v>0</v>
      </c>
      <c r="AN786" s="2188">
        <f>AN787+AN788+AN789</f>
        <v>0</v>
      </c>
      <c r="AO786" s="2188">
        <f>AO787+AO788+AO789</f>
        <v>0</v>
      </c>
      <c r="AP786" s="2186">
        <f t="shared" si="1690"/>
        <v>0</v>
      </c>
      <c r="AQ786" s="2188">
        <f>AQ787+AQ788+AQ789</f>
        <v>0</v>
      </c>
      <c r="AR786" s="2188">
        <f>AR787+AR788+AR789</f>
        <v>0</v>
      </c>
      <c r="AS786" s="2186">
        <f t="shared" si="1691"/>
        <v>0</v>
      </c>
      <c r="AT786" s="2188">
        <f>AT787+AT788+AT789</f>
        <v>0</v>
      </c>
      <c r="AU786" s="2188">
        <f>AU787+AU788+AU789</f>
        <v>0</v>
      </c>
      <c r="AV786" s="2186">
        <f t="shared" si="1692"/>
        <v>0</v>
      </c>
      <c r="AW786" s="2188">
        <f>AW787+AW788+AW789</f>
        <v>0</v>
      </c>
      <c r="AX786" s="2188">
        <f>AX787+AX788+AX789</f>
        <v>0</v>
      </c>
      <c r="AY786" s="2186">
        <f t="shared" si="1693"/>
        <v>0</v>
      </c>
      <c r="AZ786" s="2188">
        <f>AZ787+AZ788+AZ789</f>
        <v>0</v>
      </c>
      <c r="BA786" s="2188">
        <f>BA787+BA788+BA789</f>
        <v>0</v>
      </c>
      <c r="BB786" s="2186">
        <f t="shared" si="1694"/>
        <v>0</v>
      </c>
      <c r="BC786" s="2188">
        <f>BC787+BC788+BC789</f>
        <v>0</v>
      </c>
      <c r="BD786" s="2188">
        <f>BD787+BD788+BD789</f>
        <v>0</v>
      </c>
      <c r="BE786" s="2186">
        <f t="shared" si="1695"/>
        <v>0</v>
      </c>
      <c r="BF786" s="2188">
        <f>BF787+BF788+BF789</f>
        <v>0</v>
      </c>
      <c r="BG786" s="2188">
        <f>BG787+BG788+BG789</f>
        <v>0</v>
      </c>
      <c r="BH786" s="2186">
        <f t="shared" si="1696"/>
        <v>0</v>
      </c>
      <c r="BI786" s="2188">
        <f>BI787+BI788+BI789</f>
        <v>0</v>
      </c>
      <c r="BJ786" s="2188">
        <f>BJ787+BJ788+BJ789</f>
        <v>0</v>
      </c>
      <c r="BK786" s="2186">
        <f t="shared" si="1697"/>
        <v>0</v>
      </c>
      <c r="BL786" s="2188">
        <f>BL787+BL788+BL789</f>
        <v>0</v>
      </c>
      <c r="BM786" s="2188">
        <f>BM787+BM788+BM789</f>
        <v>0</v>
      </c>
      <c r="BN786" s="2186">
        <f t="shared" si="1698"/>
        <v>0</v>
      </c>
      <c r="BO786" s="2188">
        <f>BO787+BO788+BO789</f>
        <v>0</v>
      </c>
      <c r="BP786" s="2188">
        <f>BP787+BP788+BP789</f>
        <v>0</v>
      </c>
      <c r="BQ786" s="2186">
        <f t="shared" si="1699"/>
        <v>0</v>
      </c>
    </row>
    <row r="787" spans="3:69" s="2087" customFormat="1" ht="12" customHeight="1">
      <c r="C787" s="2378" t="s">
        <v>2958</v>
      </c>
      <c r="D787" s="2375" t="s">
        <v>28</v>
      </c>
      <c r="E787" s="2197" t="s">
        <v>2851</v>
      </c>
      <c r="F787" s="2176"/>
      <c r="G787" s="2177"/>
      <c r="H787" s="2177"/>
      <c r="I787" s="2178">
        <f t="shared" si="1683"/>
        <v>0</v>
      </c>
      <c r="J787" s="2176"/>
      <c r="K787" s="2179">
        <f t="shared" si="1718"/>
        <v>0</v>
      </c>
      <c r="L787" s="2179">
        <f t="shared" si="1718"/>
        <v>0</v>
      </c>
      <c r="M787" s="2178">
        <f t="shared" si="1678"/>
        <v>0</v>
      </c>
      <c r="N787" s="2177"/>
      <c r="O787" s="2177"/>
      <c r="P787" s="2178">
        <f t="shared" si="1684"/>
        <v>0</v>
      </c>
      <c r="Q787" s="2176"/>
      <c r="R787" s="2177"/>
      <c r="S787" s="2180">
        <f t="shared" si="1685"/>
        <v>0</v>
      </c>
      <c r="T787" s="2181">
        <f t="shared" si="1679"/>
        <v>0</v>
      </c>
      <c r="U787" s="2179">
        <f t="shared" si="1679"/>
        <v>0</v>
      </c>
      <c r="V787" s="2180">
        <f t="shared" si="1680"/>
        <v>0</v>
      </c>
      <c r="W787" s="2182"/>
      <c r="X787" s="2177"/>
      <c r="Y787" s="2183">
        <f t="shared" si="1686"/>
        <v>0</v>
      </c>
      <c r="Z787" s="2184">
        <f t="shared" si="1681"/>
        <v>0</v>
      </c>
      <c r="AA787" s="2179">
        <f t="shared" si="1681"/>
        <v>0</v>
      </c>
      <c r="AB787" s="2178">
        <f t="shared" si="1682"/>
        <v>0</v>
      </c>
      <c r="AC787" s="2176"/>
      <c r="AD787" s="2177"/>
      <c r="AE787" s="2180">
        <f t="shared" si="1687"/>
        <v>0</v>
      </c>
      <c r="AF787" s="2403"/>
      <c r="AG787" s="2114"/>
      <c r="AH787" s="2177"/>
      <c r="AI787" s="2177"/>
      <c r="AJ787" s="2186">
        <f t="shared" si="1688"/>
        <v>0</v>
      </c>
      <c r="AK787" s="2177"/>
      <c r="AL787" s="2177"/>
      <c r="AM787" s="2186">
        <f t="shared" si="1689"/>
        <v>0</v>
      </c>
      <c r="AN787" s="2177"/>
      <c r="AO787" s="2177"/>
      <c r="AP787" s="2186">
        <f t="shared" si="1690"/>
        <v>0</v>
      </c>
      <c r="AQ787" s="2177"/>
      <c r="AR787" s="2177"/>
      <c r="AS787" s="2186">
        <f t="shared" si="1691"/>
        <v>0</v>
      </c>
      <c r="AT787" s="2177"/>
      <c r="AU787" s="2177"/>
      <c r="AV787" s="2186">
        <f t="shared" si="1692"/>
        <v>0</v>
      </c>
      <c r="AW787" s="2177"/>
      <c r="AX787" s="2177"/>
      <c r="AY787" s="2186">
        <f t="shared" si="1693"/>
        <v>0</v>
      </c>
      <c r="AZ787" s="2177"/>
      <c r="BA787" s="2177"/>
      <c r="BB787" s="2186">
        <f t="shared" si="1694"/>
        <v>0</v>
      </c>
      <c r="BC787" s="2177"/>
      <c r="BD787" s="2177"/>
      <c r="BE787" s="2186">
        <f t="shared" si="1695"/>
        <v>0</v>
      </c>
      <c r="BF787" s="2177"/>
      <c r="BG787" s="2177"/>
      <c r="BH787" s="2186">
        <f t="shared" si="1696"/>
        <v>0</v>
      </c>
      <c r="BI787" s="2177"/>
      <c r="BJ787" s="2177"/>
      <c r="BK787" s="2186">
        <f t="shared" si="1697"/>
        <v>0</v>
      </c>
      <c r="BL787" s="2177"/>
      <c r="BM787" s="2177"/>
      <c r="BN787" s="2186">
        <f t="shared" si="1698"/>
        <v>0</v>
      </c>
      <c r="BO787" s="2177"/>
      <c r="BP787" s="2177"/>
      <c r="BQ787" s="2186">
        <f t="shared" si="1699"/>
        <v>0</v>
      </c>
    </row>
    <row r="788" spans="3:69" s="2087" customFormat="1" ht="12" customHeight="1">
      <c r="C788" s="2378" t="s">
        <v>2959</v>
      </c>
      <c r="D788" s="2375" t="s">
        <v>2872</v>
      </c>
      <c r="E788" s="2197" t="s">
        <v>2851</v>
      </c>
      <c r="F788" s="2176"/>
      <c r="G788" s="2177"/>
      <c r="H788" s="2177"/>
      <c r="I788" s="2178">
        <f t="shared" si="1683"/>
        <v>0</v>
      </c>
      <c r="J788" s="2176"/>
      <c r="K788" s="2179">
        <f t="shared" si="1718"/>
        <v>0</v>
      </c>
      <c r="L788" s="2179">
        <f t="shared" si="1718"/>
        <v>0</v>
      </c>
      <c r="M788" s="2178">
        <f t="shared" si="1678"/>
        <v>0</v>
      </c>
      <c r="N788" s="2177"/>
      <c r="O788" s="2177"/>
      <c r="P788" s="2178">
        <f t="shared" si="1684"/>
        <v>0</v>
      </c>
      <c r="Q788" s="2176"/>
      <c r="R788" s="2177"/>
      <c r="S788" s="2180">
        <f t="shared" si="1685"/>
        <v>0</v>
      </c>
      <c r="T788" s="2181">
        <f t="shared" si="1679"/>
        <v>0</v>
      </c>
      <c r="U788" s="2179">
        <f t="shared" si="1679"/>
        <v>0</v>
      </c>
      <c r="V788" s="2180">
        <f t="shared" si="1680"/>
        <v>0</v>
      </c>
      <c r="W788" s="2182"/>
      <c r="X788" s="2177"/>
      <c r="Y788" s="2183">
        <f t="shared" si="1686"/>
        <v>0</v>
      </c>
      <c r="Z788" s="2184">
        <f t="shared" si="1681"/>
        <v>0</v>
      </c>
      <c r="AA788" s="2179">
        <f t="shared" si="1681"/>
        <v>0</v>
      </c>
      <c r="AB788" s="2178">
        <f t="shared" si="1682"/>
        <v>0</v>
      </c>
      <c r="AC788" s="2176"/>
      <c r="AD788" s="2177"/>
      <c r="AE788" s="2180">
        <f t="shared" si="1687"/>
        <v>0</v>
      </c>
      <c r="AF788" s="2403"/>
      <c r="AG788" s="2114"/>
      <c r="AH788" s="2177"/>
      <c r="AI788" s="2177"/>
      <c r="AJ788" s="2186">
        <f t="shared" si="1688"/>
        <v>0</v>
      </c>
      <c r="AK788" s="2177"/>
      <c r="AL788" s="2177"/>
      <c r="AM788" s="2186">
        <f t="shared" si="1689"/>
        <v>0</v>
      </c>
      <c r="AN788" s="2177"/>
      <c r="AO788" s="2177"/>
      <c r="AP788" s="2186">
        <f t="shared" si="1690"/>
        <v>0</v>
      </c>
      <c r="AQ788" s="2177"/>
      <c r="AR788" s="2177"/>
      <c r="AS788" s="2186">
        <f t="shared" si="1691"/>
        <v>0</v>
      </c>
      <c r="AT788" s="2177"/>
      <c r="AU788" s="2177"/>
      <c r="AV788" s="2186">
        <f t="shared" si="1692"/>
        <v>0</v>
      </c>
      <c r="AW788" s="2177"/>
      <c r="AX788" s="2177"/>
      <c r="AY788" s="2186">
        <f t="shared" si="1693"/>
        <v>0</v>
      </c>
      <c r="AZ788" s="2177"/>
      <c r="BA788" s="2177"/>
      <c r="BB788" s="2186">
        <f t="shared" si="1694"/>
        <v>0</v>
      </c>
      <c r="BC788" s="2177"/>
      <c r="BD788" s="2177"/>
      <c r="BE788" s="2186">
        <f t="shared" si="1695"/>
        <v>0</v>
      </c>
      <c r="BF788" s="2177"/>
      <c r="BG788" s="2177"/>
      <c r="BH788" s="2186">
        <f t="shared" si="1696"/>
        <v>0</v>
      </c>
      <c r="BI788" s="2177"/>
      <c r="BJ788" s="2177"/>
      <c r="BK788" s="2186">
        <f t="shared" si="1697"/>
        <v>0</v>
      </c>
      <c r="BL788" s="2177"/>
      <c r="BM788" s="2177"/>
      <c r="BN788" s="2186">
        <f t="shared" si="1698"/>
        <v>0</v>
      </c>
      <c r="BO788" s="2177"/>
      <c r="BP788" s="2177"/>
      <c r="BQ788" s="2186">
        <f t="shared" si="1699"/>
        <v>0</v>
      </c>
    </row>
    <row r="789" spans="3:69" s="2087" customFormat="1" ht="12" customHeight="1">
      <c r="C789" s="2378" t="s">
        <v>2960</v>
      </c>
      <c r="D789" s="2375" t="s">
        <v>42</v>
      </c>
      <c r="E789" s="2197" t="s">
        <v>2851</v>
      </c>
      <c r="F789" s="2176"/>
      <c r="G789" s="2177"/>
      <c r="H789" s="2177">
        <v>3172.7946299999999</v>
      </c>
      <c r="I789" s="2178">
        <f t="shared" si="1683"/>
        <v>3172.7946299999999</v>
      </c>
      <c r="J789" s="2176"/>
      <c r="K789" s="2179">
        <f t="shared" si="1718"/>
        <v>0</v>
      </c>
      <c r="L789" s="2179">
        <f t="shared" si="1718"/>
        <v>0</v>
      </c>
      <c r="M789" s="2178">
        <f t="shared" si="1678"/>
        <v>0</v>
      </c>
      <c r="N789" s="2177"/>
      <c r="O789" s="2177"/>
      <c r="P789" s="2178">
        <f t="shared" si="1684"/>
        <v>0</v>
      </c>
      <c r="Q789" s="2176"/>
      <c r="R789" s="2177"/>
      <c r="S789" s="2180">
        <f t="shared" si="1685"/>
        <v>0</v>
      </c>
      <c r="T789" s="2181">
        <f t="shared" si="1679"/>
        <v>0</v>
      </c>
      <c r="U789" s="2179">
        <f t="shared" si="1679"/>
        <v>0</v>
      </c>
      <c r="V789" s="2180">
        <f t="shared" si="1680"/>
        <v>0</v>
      </c>
      <c r="W789" s="2182"/>
      <c r="X789" s="2177"/>
      <c r="Y789" s="2183">
        <f t="shared" si="1686"/>
        <v>0</v>
      </c>
      <c r="Z789" s="2184">
        <f t="shared" si="1681"/>
        <v>0</v>
      </c>
      <c r="AA789" s="2179">
        <f t="shared" si="1681"/>
        <v>0</v>
      </c>
      <c r="AB789" s="2178">
        <f t="shared" si="1682"/>
        <v>0</v>
      </c>
      <c r="AC789" s="2176"/>
      <c r="AD789" s="2177"/>
      <c r="AE789" s="2180">
        <f t="shared" si="1687"/>
        <v>0</v>
      </c>
      <c r="AF789" s="2403"/>
      <c r="AG789" s="2114"/>
      <c r="AH789" s="2177">
        <f>ККП!D18*1000</f>
        <v>158.10037</v>
      </c>
      <c r="AI789" s="2177"/>
      <c r="AJ789" s="2186">
        <f t="shared" si="1688"/>
        <v>-158.10037</v>
      </c>
      <c r="AK789" s="2177"/>
      <c r="AL789" s="2177"/>
      <c r="AM789" s="2186">
        <f t="shared" si="1689"/>
        <v>0</v>
      </c>
      <c r="AN789" s="2177"/>
      <c r="AO789" s="2177"/>
      <c r="AP789" s="2186">
        <f t="shared" si="1690"/>
        <v>0</v>
      </c>
      <c r="AQ789" s="2177"/>
      <c r="AR789" s="2177"/>
      <c r="AS789" s="2186">
        <f t="shared" si="1691"/>
        <v>0</v>
      </c>
      <c r="AT789" s="2177"/>
      <c r="AU789" s="2177"/>
      <c r="AV789" s="2186">
        <f t="shared" si="1692"/>
        <v>0</v>
      </c>
      <c r="AW789" s="2177"/>
      <c r="AX789" s="2177"/>
      <c r="AY789" s="2186">
        <f t="shared" si="1693"/>
        <v>0</v>
      </c>
      <c r="AZ789" s="2177"/>
      <c r="BA789" s="2177"/>
      <c r="BB789" s="2186">
        <f t="shared" si="1694"/>
        <v>0</v>
      </c>
      <c r="BC789" s="2177"/>
      <c r="BD789" s="2177"/>
      <c r="BE789" s="2186">
        <f t="shared" si="1695"/>
        <v>0</v>
      </c>
      <c r="BF789" s="2177"/>
      <c r="BG789" s="2177"/>
      <c r="BH789" s="2186">
        <f t="shared" si="1696"/>
        <v>0</v>
      </c>
      <c r="BI789" s="2177"/>
      <c r="BJ789" s="2177"/>
      <c r="BK789" s="2186">
        <f t="shared" si="1697"/>
        <v>0</v>
      </c>
      <c r="BL789" s="2177"/>
      <c r="BM789" s="2177"/>
      <c r="BN789" s="2186">
        <f t="shared" si="1698"/>
        <v>0</v>
      </c>
      <c r="BO789" s="2177"/>
      <c r="BP789" s="2177"/>
      <c r="BQ789" s="2186">
        <f t="shared" si="1699"/>
        <v>0</v>
      </c>
    </row>
    <row r="790" spans="3:69" s="2087" customFormat="1" ht="12" hidden="1" customHeight="1">
      <c r="C790" s="2173" t="s">
        <v>2961</v>
      </c>
      <c r="D790" s="2362" t="s">
        <v>2893</v>
      </c>
      <c r="E790" s="2197" t="s">
        <v>2851</v>
      </c>
      <c r="F790" s="2176"/>
      <c r="G790" s="2179">
        <f>G791+G792+G793</f>
        <v>0</v>
      </c>
      <c r="H790" s="2179">
        <f>H791+H792+H793</f>
        <v>0</v>
      </c>
      <c r="I790" s="2178">
        <f t="shared" si="1683"/>
        <v>0</v>
      </c>
      <c r="J790" s="2176"/>
      <c r="K790" s="2179">
        <f t="shared" si="1718"/>
        <v>0</v>
      </c>
      <c r="L790" s="2179">
        <f t="shared" si="1718"/>
        <v>0</v>
      </c>
      <c r="M790" s="2178">
        <f t="shared" si="1678"/>
        <v>0</v>
      </c>
      <c r="N790" s="2179">
        <f>N791+N792+N793</f>
        <v>0</v>
      </c>
      <c r="O790" s="2179">
        <f>O791+O792+O793</f>
        <v>0</v>
      </c>
      <c r="P790" s="2178">
        <f t="shared" si="1684"/>
        <v>0</v>
      </c>
      <c r="Q790" s="2184">
        <f>Q791+Q792+Q793</f>
        <v>0</v>
      </c>
      <c r="R790" s="2179">
        <f>R791+R792+R793</f>
        <v>0</v>
      </c>
      <c r="S790" s="2180">
        <f t="shared" si="1685"/>
        <v>0</v>
      </c>
      <c r="T790" s="2181">
        <f t="shared" si="1679"/>
        <v>0</v>
      </c>
      <c r="U790" s="2179">
        <f t="shared" si="1679"/>
        <v>0</v>
      </c>
      <c r="V790" s="2180">
        <f t="shared" si="1680"/>
        <v>0</v>
      </c>
      <c r="W790" s="2187">
        <f>W791+W792+W793</f>
        <v>0</v>
      </c>
      <c r="X790" s="2179">
        <f>X791+X792+X793</f>
        <v>0</v>
      </c>
      <c r="Y790" s="2183">
        <f t="shared" si="1686"/>
        <v>0</v>
      </c>
      <c r="Z790" s="2184">
        <f t="shared" si="1681"/>
        <v>0</v>
      </c>
      <c r="AA790" s="2179">
        <f t="shared" si="1681"/>
        <v>0</v>
      </c>
      <c r="AB790" s="2178">
        <f t="shared" si="1682"/>
        <v>0</v>
      </c>
      <c r="AC790" s="2184">
        <f>AC791+AC792+AC793</f>
        <v>0</v>
      </c>
      <c r="AD790" s="2179">
        <f>AD791+AD792+AD793</f>
        <v>0</v>
      </c>
      <c r="AE790" s="2180">
        <f t="shared" si="1687"/>
        <v>0</v>
      </c>
      <c r="AF790" s="2403"/>
      <c r="AG790" s="2114"/>
      <c r="AH790" s="2188">
        <f>AH791+AH792+AH793</f>
        <v>0</v>
      </c>
      <c r="AI790" s="2188">
        <f>AI791+AI792+AI793</f>
        <v>0</v>
      </c>
      <c r="AJ790" s="2186">
        <f t="shared" si="1688"/>
        <v>0</v>
      </c>
      <c r="AK790" s="2188">
        <f>AK791+AK792+AK793</f>
        <v>0</v>
      </c>
      <c r="AL790" s="2188">
        <f>AL791+AL792+AL793</f>
        <v>0</v>
      </c>
      <c r="AM790" s="2186">
        <f t="shared" si="1689"/>
        <v>0</v>
      </c>
      <c r="AN790" s="2188">
        <f>AN791+AN792+AN793</f>
        <v>0</v>
      </c>
      <c r="AO790" s="2188">
        <f>AO791+AO792+AO793</f>
        <v>0</v>
      </c>
      <c r="AP790" s="2186">
        <f t="shared" si="1690"/>
        <v>0</v>
      </c>
      <c r="AQ790" s="2188">
        <f>AQ791+AQ792+AQ793</f>
        <v>0</v>
      </c>
      <c r="AR790" s="2188">
        <f>AR791+AR792+AR793</f>
        <v>0</v>
      </c>
      <c r="AS790" s="2186">
        <f t="shared" si="1691"/>
        <v>0</v>
      </c>
      <c r="AT790" s="2188">
        <f>AT791+AT792+AT793</f>
        <v>0</v>
      </c>
      <c r="AU790" s="2188">
        <f>AU791+AU792+AU793</f>
        <v>0</v>
      </c>
      <c r="AV790" s="2186">
        <f t="shared" si="1692"/>
        <v>0</v>
      </c>
      <c r="AW790" s="2188">
        <f>AW791+AW792+AW793</f>
        <v>0</v>
      </c>
      <c r="AX790" s="2188">
        <f>AX791+AX792+AX793</f>
        <v>0</v>
      </c>
      <c r="AY790" s="2186">
        <f t="shared" si="1693"/>
        <v>0</v>
      </c>
      <c r="AZ790" s="2188">
        <f>AZ791+AZ792+AZ793</f>
        <v>0</v>
      </c>
      <c r="BA790" s="2188">
        <f>BA791+BA792+BA793</f>
        <v>0</v>
      </c>
      <c r="BB790" s="2186">
        <f t="shared" si="1694"/>
        <v>0</v>
      </c>
      <c r="BC790" s="2188">
        <f>BC791+BC792+BC793</f>
        <v>0</v>
      </c>
      <c r="BD790" s="2188">
        <f>BD791+BD792+BD793</f>
        <v>0</v>
      </c>
      <c r="BE790" s="2186">
        <f t="shared" si="1695"/>
        <v>0</v>
      </c>
      <c r="BF790" s="2188">
        <f>BF791+BF792+BF793</f>
        <v>0</v>
      </c>
      <c r="BG790" s="2188">
        <f>BG791+BG792+BG793</f>
        <v>0</v>
      </c>
      <c r="BH790" s="2186">
        <f t="shared" si="1696"/>
        <v>0</v>
      </c>
      <c r="BI790" s="2188">
        <f>BI791+BI792+BI793</f>
        <v>0</v>
      </c>
      <c r="BJ790" s="2188">
        <f>BJ791+BJ792+BJ793</f>
        <v>0</v>
      </c>
      <c r="BK790" s="2186">
        <f t="shared" si="1697"/>
        <v>0</v>
      </c>
      <c r="BL790" s="2188">
        <f>BL791+BL792+BL793</f>
        <v>0</v>
      </c>
      <c r="BM790" s="2188">
        <f>BM791+BM792+BM793</f>
        <v>0</v>
      </c>
      <c r="BN790" s="2186">
        <f t="shared" si="1698"/>
        <v>0</v>
      </c>
      <c r="BO790" s="2188">
        <f>BO791+BO792+BO793</f>
        <v>0</v>
      </c>
      <c r="BP790" s="2188">
        <f>BP791+BP792+BP793</f>
        <v>0</v>
      </c>
      <c r="BQ790" s="2186">
        <f t="shared" si="1699"/>
        <v>0</v>
      </c>
    </row>
    <row r="791" spans="3:69" s="2087" customFormat="1" ht="12" hidden="1" customHeight="1">
      <c r="C791" s="2378" t="s">
        <v>2962</v>
      </c>
      <c r="D791" s="2375" t="s">
        <v>28</v>
      </c>
      <c r="E791" s="2197" t="s">
        <v>2851</v>
      </c>
      <c r="F791" s="2176"/>
      <c r="G791" s="2177"/>
      <c r="H791" s="2177"/>
      <c r="I791" s="2178">
        <f t="shared" si="1683"/>
        <v>0</v>
      </c>
      <c r="J791" s="2176"/>
      <c r="K791" s="2179">
        <f t="shared" si="1718"/>
        <v>0</v>
      </c>
      <c r="L791" s="2179">
        <f t="shared" si="1718"/>
        <v>0</v>
      </c>
      <c r="M791" s="2178">
        <f t="shared" si="1678"/>
        <v>0</v>
      </c>
      <c r="N791" s="2177"/>
      <c r="O791" s="2177"/>
      <c r="P791" s="2178">
        <f t="shared" si="1684"/>
        <v>0</v>
      </c>
      <c r="Q791" s="2176"/>
      <c r="R791" s="2177"/>
      <c r="S791" s="2180">
        <f t="shared" si="1685"/>
        <v>0</v>
      </c>
      <c r="T791" s="2181">
        <f t="shared" si="1679"/>
        <v>0</v>
      </c>
      <c r="U791" s="2179">
        <f t="shared" si="1679"/>
        <v>0</v>
      </c>
      <c r="V791" s="2180">
        <f t="shared" si="1680"/>
        <v>0</v>
      </c>
      <c r="W791" s="2182"/>
      <c r="X791" s="2177"/>
      <c r="Y791" s="2183">
        <f t="shared" si="1686"/>
        <v>0</v>
      </c>
      <c r="Z791" s="2184">
        <f t="shared" si="1681"/>
        <v>0</v>
      </c>
      <c r="AA791" s="2179">
        <f t="shared" si="1681"/>
        <v>0</v>
      </c>
      <c r="AB791" s="2178">
        <f t="shared" si="1682"/>
        <v>0</v>
      </c>
      <c r="AC791" s="2176"/>
      <c r="AD791" s="2177"/>
      <c r="AE791" s="2180">
        <f t="shared" si="1687"/>
        <v>0</v>
      </c>
      <c r="AF791" s="2403"/>
      <c r="AG791" s="2114"/>
      <c r="AH791" s="2177"/>
      <c r="AI791" s="2177"/>
      <c r="AJ791" s="2186">
        <f t="shared" si="1688"/>
        <v>0</v>
      </c>
      <c r="AK791" s="2177"/>
      <c r="AL791" s="2177"/>
      <c r="AM791" s="2186">
        <f t="shared" si="1689"/>
        <v>0</v>
      </c>
      <c r="AN791" s="2177"/>
      <c r="AO791" s="2177"/>
      <c r="AP791" s="2186">
        <f t="shared" si="1690"/>
        <v>0</v>
      </c>
      <c r="AQ791" s="2177"/>
      <c r="AR791" s="2177"/>
      <c r="AS791" s="2186">
        <f t="shared" si="1691"/>
        <v>0</v>
      </c>
      <c r="AT791" s="2177"/>
      <c r="AU791" s="2177"/>
      <c r="AV791" s="2186">
        <f t="shared" si="1692"/>
        <v>0</v>
      </c>
      <c r="AW791" s="2177"/>
      <c r="AX791" s="2177"/>
      <c r="AY791" s="2186">
        <f t="shared" si="1693"/>
        <v>0</v>
      </c>
      <c r="AZ791" s="2177"/>
      <c r="BA791" s="2177"/>
      <c r="BB791" s="2186">
        <f t="shared" si="1694"/>
        <v>0</v>
      </c>
      <c r="BC791" s="2177"/>
      <c r="BD791" s="2177"/>
      <c r="BE791" s="2186">
        <f t="shared" si="1695"/>
        <v>0</v>
      </c>
      <c r="BF791" s="2177"/>
      <c r="BG791" s="2177"/>
      <c r="BH791" s="2186">
        <f t="shared" si="1696"/>
        <v>0</v>
      </c>
      <c r="BI791" s="2177"/>
      <c r="BJ791" s="2177"/>
      <c r="BK791" s="2186">
        <f t="shared" si="1697"/>
        <v>0</v>
      </c>
      <c r="BL791" s="2177"/>
      <c r="BM791" s="2177"/>
      <c r="BN791" s="2186">
        <f t="shared" si="1698"/>
        <v>0</v>
      </c>
      <c r="BO791" s="2177"/>
      <c r="BP791" s="2177"/>
      <c r="BQ791" s="2186">
        <f t="shared" si="1699"/>
        <v>0</v>
      </c>
    </row>
    <row r="792" spans="3:69" s="2087" customFormat="1" ht="12" hidden="1" customHeight="1">
      <c r="C792" s="2378" t="s">
        <v>2963</v>
      </c>
      <c r="D792" s="2375" t="s">
        <v>2872</v>
      </c>
      <c r="E792" s="2197" t="s">
        <v>2851</v>
      </c>
      <c r="F792" s="2176"/>
      <c r="G792" s="2177"/>
      <c r="H792" s="2177"/>
      <c r="I792" s="2178">
        <f t="shared" si="1683"/>
        <v>0</v>
      </c>
      <c r="J792" s="2176"/>
      <c r="K792" s="2179">
        <f t="shared" si="1718"/>
        <v>0</v>
      </c>
      <c r="L792" s="2179">
        <f t="shared" si="1718"/>
        <v>0</v>
      </c>
      <c r="M792" s="2178">
        <f t="shared" si="1678"/>
        <v>0</v>
      </c>
      <c r="N792" s="2177"/>
      <c r="O792" s="2177"/>
      <c r="P792" s="2178">
        <f t="shared" si="1684"/>
        <v>0</v>
      </c>
      <c r="Q792" s="2176"/>
      <c r="R792" s="2177"/>
      <c r="S792" s="2180">
        <f t="shared" si="1685"/>
        <v>0</v>
      </c>
      <c r="T792" s="2181">
        <f t="shared" si="1679"/>
        <v>0</v>
      </c>
      <c r="U792" s="2179">
        <f t="shared" si="1679"/>
        <v>0</v>
      </c>
      <c r="V792" s="2180">
        <f t="shared" si="1680"/>
        <v>0</v>
      </c>
      <c r="W792" s="2182"/>
      <c r="X792" s="2177"/>
      <c r="Y792" s="2183">
        <f t="shared" si="1686"/>
        <v>0</v>
      </c>
      <c r="Z792" s="2184">
        <f t="shared" si="1681"/>
        <v>0</v>
      </c>
      <c r="AA792" s="2179">
        <f t="shared" si="1681"/>
        <v>0</v>
      </c>
      <c r="AB792" s="2178">
        <f t="shared" si="1682"/>
        <v>0</v>
      </c>
      <c r="AC792" s="2176"/>
      <c r="AD792" s="2177"/>
      <c r="AE792" s="2180">
        <f t="shared" si="1687"/>
        <v>0</v>
      </c>
      <c r="AF792" s="2403"/>
      <c r="AG792" s="2114"/>
      <c r="AH792" s="2177"/>
      <c r="AI792" s="2177"/>
      <c r="AJ792" s="2186">
        <f t="shared" si="1688"/>
        <v>0</v>
      </c>
      <c r="AK792" s="2177"/>
      <c r="AL792" s="2177"/>
      <c r="AM792" s="2186">
        <f t="shared" si="1689"/>
        <v>0</v>
      </c>
      <c r="AN792" s="2177"/>
      <c r="AO792" s="2177"/>
      <c r="AP792" s="2186">
        <f t="shared" si="1690"/>
        <v>0</v>
      </c>
      <c r="AQ792" s="2177"/>
      <c r="AR792" s="2177"/>
      <c r="AS792" s="2186">
        <f t="shared" si="1691"/>
        <v>0</v>
      </c>
      <c r="AT792" s="2177"/>
      <c r="AU792" s="2177"/>
      <c r="AV792" s="2186">
        <f t="shared" si="1692"/>
        <v>0</v>
      </c>
      <c r="AW792" s="2177"/>
      <c r="AX792" s="2177"/>
      <c r="AY792" s="2186">
        <f t="shared" si="1693"/>
        <v>0</v>
      </c>
      <c r="AZ792" s="2177"/>
      <c r="BA792" s="2177"/>
      <c r="BB792" s="2186">
        <f t="shared" si="1694"/>
        <v>0</v>
      </c>
      <c r="BC792" s="2177"/>
      <c r="BD792" s="2177"/>
      <c r="BE792" s="2186">
        <f t="shared" si="1695"/>
        <v>0</v>
      </c>
      <c r="BF792" s="2177"/>
      <c r="BG792" s="2177"/>
      <c r="BH792" s="2186">
        <f t="shared" si="1696"/>
        <v>0</v>
      </c>
      <c r="BI792" s="2177"/>
      <c r="BJ792" s="2177"/>
      <c r="BK792" s="2186">
        <f t="shared" si="1697"/>
        <v>0</v>
      </c>
      <c r="BL792" s="2177"/>
      <c r="BM792" s="2177"/>
      <c r="BN792" s="2186">
        <f t="shared" si="1698"/>
        <v>0</v>
      </c>
      <c r="BO792" s="2177"/>
      <c r="BP792" s="2177"/>
      <c r="BQ792" s="2186">
        <f t="shared" si="1699"/>
        <v>0</v>
      </c>
    </row>
    <row r="793" spans="3:69" s="2087" customFormat="1" ht="12" hidden="1" customHeight="1">
      <c r="C793" s="2378" t="s">
        <v>2964</v>
      </c>
      <c r="D793" s="2375" t="s">
        <v>42</v>
      </c>
      <c r="E793" s="2197" t="s">
        <v>2851</v>
      </c>
      <c r="F793" s="2176"/>
      <c r="G793" s="2177"/>
      <c r="H793" s="2177"/>
      <c r="I793" s="2178">
        <f t="shared" si="1683"/>
        <v>0</v>
      </c>
      <c r="J793" s="2176"/>
      <c r="K793" s="2179">
        <f t="shared" si="1718"/>
        <v>0</v>
      </c>
      <c r="L793" s="2179">
        <f t="shared" si="1718"/>
        <v>0</v>
      </c>
      <c r="M793" s="2178">
        <f t="shared" si="1678"/>
        <v>0</v>
      </c>
      <c r="N793" s="2177"/>
      <c r="O793" s="2177"/>
      <c r="P793" s="2178">
        <f t="shared" si="1684"/>
        <v>0</v>
      </c>
      <c r="Q793" s="2176"/>
      <c r="R793" s="2177"/>
      <c r="S793" s="2180">
        <f t="shared" si="1685"/>
        <v>0</v>
      </c>
      <c r="T793" s="2181">
        <f t="shared" si="1679"/>
        <v>0</v>
      </c>
      <c r="U793" s="2179">
        <f t="shared" si="1679"/>
        <v>0</v>
      </c>
      <c r="V793" s="2180">
        <f t="shared" si="1680"/>
        <v>0</v>
      </c>
      <c r="W793" s="2182"/>
      <c r="X793" s="2177"/>
      <c r="Y793" s="2183">
        <f t="shared" si="1686"/>
        <v>0</v>
      </c>
      <c r="Z793" s="2184">
        <f t="shared" si="1681"/>
        <v>0</v>
      </c>
      <c r="AA793" s="2179">
        <f t="shared" si="1681"/>
        <v>0</v>
      </c>
      <c r="AB793" s="2178">
        <f t="shared" si="1682"/>
        <v>0</v>
      </c>
      <c r="AC793" s="2176"/>
      <c r="AD793" s="2177"/>
      <c r="AE793" s="2180">
        <f t="shared" si="1687"/>
        <v>0</v>
      </c>
      <c r="AF793" s="2403"/>
      <c r="AG793" s="2114"/>
      <c r="AH793" s="2177"/>
      <c r="AI793" s="2177"/>
      <c r="AJ793" s="2186">
        <f t="shared" si="1688"/>
        <v>0</v>
      </c>
      <c r="AK793" s="2177"/>
      <c r="AL793" s="2177"/>
      <c r="AM793" s="2186">
        <f t="shared" si="1689"/>
        <v>0</v>
      </c>
      <c r="AN793" s="2177"/>
      <c r="AO793" s="2177"/>
      <c r="AP793" s="2186">
        <f t="shared" si="1690"/>
        <v>0</v>
      </c>
      <c r="AQ793" s="2177"/>
      <c r="AR793" s="2177"/>
      <c r="AS793" s="2186">
        <f t="shared" si="1691"/>
        <v>0</v>
      </c>
      <c r="AT793" s="2177"/>
      <c r="AU793" s="2177"/>
      <c r="AV793" s="2186">
        <f t="shared" si="1692"/>
        <v>0</v>
      </c>
      <c r="AW793" s="2177"/>
      <c r="AX793" s="2177"/>
      <c r="AY793" s="2186">
        <f t="shared" si="1693"/>
        <v>0</v>
      </c>
      <c r="AZ793" s="2177"/>
      <c r="BA793" s="2177"/>
      <c r="BB793" s="2186">
        <f t="shared" si="1694"/>
        <v>0</v>
      </c>
      <c r="BC793" s="2177"/>
      <c r="BD793" s="2177"/>
      <c r="BE793" s="2186">
        <f t="shared" si="1695"/>
        <v>0</v>
      </c>
      <c r="BF793" s="2177"/>
      <c r="BG793" s="2177"/>
      <c r="BH793" s="2186">
        <f t="shared" si="1696"/>
        <v>0</v>
      </c>
      <c r="BI793" s="2177"/>
      <c r="BJ793" s="2177"/>
      <c r="BK793" s="2186">
        <f t="shared" si="1697"/>
        <v>0</v>
      </c>
      <c r="BL793" s="2177"/>
      <c r="BM793" s="2177"/>
      <c r="BN793" s="2186">
        <f t="shared" si="1698"/>
        <v>0</v>
      </c>
      <c r="BO793" s="2177"/>
      <c r="BP793" s="2177"/>
      <c r="BQ793" s="2186">
        <f t="shared" si="1699"/>
        <v>0</v>
      </c>
    </row>
    <row r="794" spans="3:69" s="2087" customFormat="1" ht="12" hidden="1" customHeight="1">
      <c r="C794" s="2173" t="s">
        <v>2965</v>
      </c>
      <c r="D794" s="2362" t="s">
        <v>2898</v>
      </c>
      <c r="E794" s="2197" t="s">
        <v>2851</v>
      </c>
      <c r="F794" s="2176"/>
      <c r="G794" s="2179">
        <f>G795+G796+G797</f>
        <v>0</v>
      </c>
      <c r="H794" s="2179">
        <f>H795+H796+H797</f>
        <v>0</v>
      </c>
      <c r="I794" s="2178">
        <f t="shared" si="1683"/>
        <v>0</v>
      </c>
      <c r="J794" s="2176"/>
      <c r="K794" s="2179">
        <f t="shared" si="1718"/>
        <v>0</v>
      </c>
      <c r="L794" s="2179">
        <f t="shared" si="1718"/>
        <v>0</v>
      </c>
      <c r="M794" s="2178">
        <f t="shared" si="1678"/>
        <v>0</v>
      </c>
      <c r="N794" s="2179">
        <f>N795+N796+N797</f>
        <v>0</v>
      </c>
      <c r="O794" s="2179">
        <f>O795+O796+O797</f>
        <v>0</v>
      </c>
      <c r="P794" s="2178">
        <f t="shared" si="1684"/>
        <v>0</v>
      </c>
      <c r="Q794" s="2184">
        <f>Q795+Q796+Q797</f>
        <v>0</v>
      </c>
      <c r="R794" s="2179">
        <f>R795+R796+R797</f>
        <v>0</v>
      </c>
      <c r="S794" s="2180">
        <f t="shared" si="1685"/>
        <v>0</v>
      </c>
      <c r="T794" s="2181">
        <f t="shared" si="1679"/>
        <v>0</v>
      </c>
      <c r="U794" s="2179">
        <f t="shared" si="1679"/>
        <v>0</v>
      </c>
      <c r="V794" s="2180">
        <f t="shared" si="1680"/>
        <v>0</v>
      </c>
      <c r="W794" s="2187">
        <f>W795+W796+W797</f>
        <v>0</v>
      </c>
      <c r="X794" s="2179">
        <f>X795+X796+X797</f>
        <v>0</v>
      </c>
      <c r="Y794" s="2183">
        <f t="shared" si="1686"/>
        <v>0</v>
      </c>
      <c r="Z794" s="2184">
        <f t="shared" si="1681"/>
        <v>0</v>
      </c>
      <c r="AA794" s="2179">
        <f t="shared" si="1681"/>
        <v>0</v>
      </c>
      <c r="AB794" s="2178">
        <f t="shared" si="1682"/>
        <v>0</v>
      </c>
      <c r="AC794" s="2184">
        <f>AC795+AC796+AC797</f>
        <v>0</v>
      </c>
      <c r="AD794" s="2179">
        <f>AD795+AD796+AD797</f>
        <v>0</v>
      </c>
      <c r="AE794" s="2180">
        <f t="shared" si="1687"/>
        <v>0</v>
      </c>
      <c r="AF794" s="2403"/>
      <c r="AG794" s="2114"/>
      <c r="AH794" s="2188">
        <f>AH795+AH796+AH797</f>
        <v>0</v>
      </c>
      <c r="AI794" s="2188">
        <f>AI795+AI796+AI797</f>
        <v>0</v>
      </c>
      <c r="AJ794" s="2186">
        <f t="shared" si="1688"/>
        <v>0</v>
      </c>
      <c r="AK794" s="2188">
        <f>AK795+AK796+AK797</f>
        <v>0</v>
      </c>
      <c r="AL794" s="2188">
        <f>AL795+AL796+AL797</f>
        <v>0</v>
      </c>
      <c r="AM794" s="2186">
        <f t="shared" si="1689"/>
        <v>0</v>
      </c>
      <c r="AN794" s="2188">
        <f>AN795+AN796+AN797</f>
        <v>0</v>
      </c>
      <c r="AO794" s="2188">
        <f>AO795+AO796+AO797</f>
        <v>0</v>
      </c>
      <c r="AP794" s="2186">
        <f t="shared" si="1690"/>
        <v>0</v>
      </c>
      <c r="AQ794" s="2188">
        <f>AQ795+AQ796+AQ797</f>
        <v>0</v>
      </c>
      <c r="AR794" s="2188">
        <f>AR795+AR796+AR797</f>
        <v>0</v>
      </c>
      <c r="AS794" s="2186">
        <f t="shared" si="1691"/>
        <v>0</v>
      </c>
      <c r="AT794" s="2188">
        <f>AT795+AT796+AT797</f>
        <v>0</v>
      </c>
      <c r="AU794" s="2188">
        <f>AU795+AU796+AU797</f>
        <v>0</v>
      </c>
      <c r="AV794" s="2186">
        <f t="shared" si="1692"/>
        <v>0</v>
      </c>
      <c r="AW794" s="2188">
        <f>AW795+AW796+AW797</f>
        <v>0</v>
      </c>
      <c r="AX794" s="2188">
        <f>AX795+AX796+AX797</f>
        <v>0</v>
      </c>
      <c r="AY794" s="2186">
        <f t="shared" si="1693"/>
        <v>0</v>
      </c>
      <c r="AZ794" s="2188">
        <f>AZ795+AZ796+AZ797</f>
        <v>0</v>
      </c>
      <c r="BA794" s="2188">
        <f>BA795+BA796+BA797</f>
        <v>0</v>
      </c>
      <c r="BB794" s="2186">
        <f t="shared" si="1694"/>
        <v>0</v>
      </c>
      <c r="BC794" s="2188">
        <f>BC795+BC796+BC797</f>
        <v>0</v>
      </c>
      <c r="BD794" s="2188">
        <f>BD795+BD796+BD797</f>
        <v>0</v>
      </c>
      <c r="BE794" s="2186">
        <f t="shared" si="1695"/>
        <v>0</v>
      </c>
      <c r="BF794" s="2188">
        <f>BF795+BF796+BF797</f>
        <v>0</v>
      </c>
      <c r="BG794" s="2188">
        <f>BG795+BG796+BG797</f>
        <v>0</v>
      </c>
      <c r="BH794" s="2186">
        <f t="shared" si="1696"/>
        <v>0</v>
      </c>
      <c r="BI794" s="2188">
        <f>BI795+BI796+BI797</f>
        <v>0</v>
      </c>
      <c r="BJ794" s="2188">
        <f>BJ795+BJ796+BJ797</f>
        <v>0</v>
      </c>
      <c r="BK794" s="2186">
        <f t="shared" si="1697"/>
        <v>0</v>
      </c>
      <c r="BL794" s="2188">
        <f>BL795+BL796+BL797</f>
        <v>0</v>
      </c>
      <c r="BM794" s="2188">
        <f>BM795+BM796+BM797</f>
        <v>0</v>
      </c>
      <c r="BN794" s="2186">
        <f t="shared" si="1698"/>
        <v>0</v>
      </c>
      <c r="BO794" s="2188">
        <f>BO795+BO796+BO797</f>
        <v>0</v>
      </c>
      <c r="BP794" s="2188">
        <f>BP795+BP796+BP797</f>
        <v>0</v>
      </c>
      <c r="BQ794" s="2186">
        <f t="shared" si="1699"/>
        <v>0</v>
      </c>
    </row>
    <row r="795" spans="3:69" s="2087" customFormat="1" ht="12" hidden="1" customHeight="1">
      <c r="C795" s="2378" t="s">
        <v>2966</v>
      </c>
      <c r="D795" s="2375" t="s">
        <v>28</v>
      </c>
      <c r="E795" s="2197" t="s">
        <v>2851</v>
      </c>
      <c r="F795" s="2176"/>
      <c r="G795" s="2177"/>
      <c r="H795" s="2177"/>
      <c r="I795" s="2178">
        <f t="shared" si="1683"/>
        <v>0</v>
      </c>
      <c r="J795" s="2176"/>
      <c r="K795" s="2179">
        <f t="shared" si="1718"/>
        <v>0</v>
      </c>
      <c r="L795" s="2179">
        <f t="shared" si="1718"/>
        <v>0</v>
      </c>
      <c r="M795" s="2178">
        <f t="shared" si="1678"/>
        <v>0</v>
      </c>
      <c r="N795" s="2177"/>
      <c r="O795" s="2177"/>
      <c r="P795" s="2178">
        <f t="shared" si="1684"/>
        <v>0</v>
      </c>
      <c r="Q795" s="2176"/>
      <c r="R795" s="2177"/>
      <c r="S795" s="2180">
        <f t="shared" si="1685"/>
        <v>0</v>
      </c>
      <c r="T795" s="2181">
        <f t="shared" si="1679"/>
        <v>0</v>
      </c>
      <c r="U795" s="2179">
        <f t="shared" si="1679"/>
        <v>0</v>
      </c>
      <c r="V795" s="2180">
        <f t="shared" si="1680"/>
        <v>0</v>
      </c>
      <c r="W795" s="2182"/>
      <c r="X795" s="2177"/>
      <c r="Y795" s="2183">
        <f t="shared" si="1686"/>
        <v>0</v>
      </c>
      <c r="Z795" s="2184">
        <f t="shared" si="1681"/>
        <v>0</v>
      </c>
      <c r="AA795" s="2179">
        <f t="shared" si="1681"/>
        <v>0</v>
      </c>
      <c r="AB795" s="2178">
        <f t="shared" si="1682"/>
        <v>0</v>
      </c>
      <c r="AC795" s="2176"/>
      <c r="AD795" s="2177"/>
      <c r="AE795" s="2180">
        <f t="shared" si="1687"/>
        <v>0</v>
      </c>
      <c r="AF795" s="2403"/>
      <c r="AG795" s="2114"/>
      <c r="AH795" s="2177"/>
      <c r="AI795" s="2177"/>
      <c r="AJ795" s="2186">
        <f t="shared" si="1688"/>
        <v>0</v>
      </c>
      <c r="AK795" s="2177"/>
      <c r="AL795" s="2177"/>
      <c r="AM795" s="2186">
        <f t="shared" si="1689"/>
        <v>0</v>
      </c>
      <c r="AN795" s="2177"/>
      <c r="AO795" s="2177"/>
      <c r="AP795" s="2186">
        <f t="shared" si="1690"/>
        <v>0</v>
      </c>
      <c r="AQ795" s="2177"/>
      <c r="AR795" s="2177"/>
      <c r="AS795" s="2186">
        <f t="shared" si="1691"/>
        <v>0</v>
      </c>
      <c r="AT795" s="2177"/>
      <c r="AU795" s="2177"/>
      <c r="AV795" s="2186">
        <f t="shared" si="1692"/>
        <v>0</v>
      </c>
      <c r="AW795" s="2177"/>
      <c r="AX795" s="2177"/>
      <c r="AY795" s="2186">
        <f t="shared" si="1693"/>
        <v>0</v>
      </c>
      <c r="AZ795" s="2177"/>
      <c r="BA795" s="2177"/>
      <c r="BB795" s="2186">
        <f t="shared" si="1694"/>
        <v>0</v>
      </c>
      <c r="BC795" s="2177"/>
      <c r="BD795" s="2177"/>
      <c r="BE795" s="2186">
        <f t="shared" si="1695"/>
        <v>0</v>
      </c>
      <c r="BF795" s="2177"/>
      <c r="BG795" s="2177"/>
      <c r="BH795" s="2186">
        <f t="shared" si="1696"/>
        <v>0</v>
      </c>
      <c r="BI795" s="2177"/>
      <c r="BJ795" s="2177"/>
      <c r="BK795" s="2186">
        <f t="shared" si="1697"/>
        <v>0</v>
      </c>
      <c r="BL795" s="2177"/>
      <c r="BM795" s="2177"/>
      <c r="BN795" s="2186">
        <f t="shared" si="1698"/>
        <v>0</v>
      </c>
      <c r="BO795" s="2177"/>
      <c r="BP795" s="2177"/>
      <c r="BQ795" s="2186">
        <f t="shared" si="1699"/>
        <v>0</v>
      </c>
    </row>
    <row r="796" spans="3:69" s="2087" customFormat="1" ht="12" hidden="1" customHeight="1">
      <c r="C796" s="2378" t="s">
        <v>2967</v>
      </c>
      <c r="D796" s="2375" t="s">
        <v>2872</v>
      </c>
      <c r="E796" s="2197" t="s">
        <v>2851</v>
      </c>
      <c r="F796" s="2176"/>
      <c r="G796" s="2177"/>
      <c r="H796" s="2177"/>
      <c r="I796" s="2178">
        <f t="shared" si="1683"/>
        <v>0</v>
      </c>
      <c r="J796" s="2176"/>
      <c r="K796" s="2179">
        <f t="shared" si="1718"/>
        <v>0</v>
      </c>
      <c r="L796" s="2179">
        <f t="shared" si="1718"/>
        <v>0</v>
      </c>
      <c r="M796" s="2178">
        <f t="shared" si="1678"/>
        <v>0</v>
      </c>
      <c r="N796" s="2177"/>
      <c r="O796" s="2177"/>
      <c r="P796" s="2178">
        <f t="shared" si="1684"/>
        <v>0</v>
      </c>
      <c r="Q796" s="2176"/>
      <c r="R796" s="2177"/>
      <c r="S796" s="2180">
        <f t="shared" si="1685"/>
        <v>0</v>
      </c>
      <c r="T796" s="2181">
        <f t="shared" si="1679"/>
        <v>0</v>
      </c>
      <c r="U796" s="2179">
        <f t="shared" si="1679"/>
        <v>0</v>
      </c>
      <c r="V796" s="2180">
        <f t="shared" si="1680"/>
        <v>0</v>
      </c>
      <c r="W796" s="2182"/>
      <c r="X796" s="2177"/>
      <c r="Y796" s="2183">
        <f t="shared" si="1686"/>
        <v>0</v>
      </c>
      <c r="Z796" s="2184">
        <f t="shared" si="1681"/>
        <v>0</v>
      </c>
      <c r="AA796" s="2179">
        <f t="shared" si="1681"/>
        <v>0</v>
      </c>
      <c r="AB796" s="2178">
        <f t="shared" si="1682"/>
        <v>0</v>
      </c>
      <c r="AC796" s="2176"/>
      <c r="AD796" s="2177"/>
      <c r="AE796" s="2180">
        <f t="shared" si="1687"/>
        <v>0</v>
      </c>
      <c r="AF796" s="2403"/>
      <c r="AG796" s="2114"/>
      <c r="AH796" s="2177"/>
      <c r="AI796" s="2177"/>
      <c r="AJ796" s="2186">
        <f t="shared" si="1688"/>
        <v>0</v>
      </c>
      <c r="AK796" s="2177"/>
      <c r="AL796" s="2177"/>
      <c r="AM796" s="2186">
        <f t="shared" si="1689"/>
        <v>0</v>
      </c>
      <c r="AN796" s="2177"/>
      <c r="AO796" s="2177"/>
      <c r="AP796" s="2186">
        <f t="shared" si="1690"/>
        <v>0</v>
      </c>
      <c r="AQ796" s="2177"/>
      <c r="AR796" s="2177"/>
      <c r="AS796" s="2186">
        <f t="shared" si="1691"/>
        <v>0</v>
      </c>
      <c r="AT796" s="2177"/>
      <c r="AU796" s="2177"/>
      <c r="AV796" s="2186">
        <f t="shared" si="1692"/>
        <v>0</v>
      </c>
      <c r="AW796" s="2177"/>
      <c r="AX796" s="2177"/>
      <c r="AY796" s="2186">
        <f t="shared" si="1693"/>
        <v>0</v>
      </c>
      <c r="AZ796" s="2177"/>
      <c r="BA796" s="2177"/>
      <c r="BB796" s="2186">
        <f t="shared" si="1694"/>
        <v>0</v>
      </c>
      <c r="BC796" s="2177"/>
      <c r="BD796" s="2177"/>
      <c r="BE796" s="2186">
        <f t="shared" si="1695"/>
        <v>0</v>
      </c>
      <c r="BF796" s="2177"/>
      <c r="BG796" s="2177"/>
      <c r="BH796" s="2186">
        <f t="shared" si="1696"/>
        <v>0</v>
      </c>
      <c r="BI796" s="2177"/>
      <c r="BJ796" s="2177"/>
      <c r="BK796" s="2186">
        <f t="shared" si="1697"/>
        <v>0</v>
      </c>
      <c r="BL796" s="2177"/>
      <c r="BM796" s="2177"/>
      <c r="BN796" s="2186">
        <f t="shared" si="1698"/>
        <v>0</v>
      </c>
      <c r="BO796" s="2177"/>
      <c r="BP796" s="2177"/>
      <c r="BQ796" s="2186">
        <f t="shared" si="1699"/>
        <v>0</v>
      </c>
    </row>
    <row r="797" spans="3:69" s="2087" customFormat="1" ht="12" hidden="1" customHeight="1">
      <c r="C797" s="2378" t="s">
        <v>2968</v>
      </c>
      <c r="D797" s="2375" t="s">
        <v>42</v>
      </c>
      <c r="E797" s="2197" t="s">
        <v>2851</v>
      </c>
      <c r="F797" s="2176"/>
      <c r="G797" s="2177"/>
      <c r="H797" s="2177"/>
      <c r="I797" s="2178">
        <f t="shared" si="1683"/>
        <v>0</v>
      </c>
      <c r="J797" s="2176"/>
      <c r="K797" s="2179">
        <f t="shared" si="1718"/>
        <v>0</v>
      </c>
      <c r="L797" s="2179">
        <f t="shared" si="1718"/>
        <v>0</v>
      </c>
      <c r="M797" s="2178">
        <f t="shared" si="1678"/>
        <v>0</v>
      </c>
      <c r="N797" s="2177"/>
      <c r="O797" s="2177"/>
      <c r="P797" s="2178">
        <f t="shared" si="1684"/>
        <v>0</v>
      </c>
      <c r="Q797" s="2176"/>
      <c r="R797" s="2177"/>
      <c r="S797" s="2180">
        <f t="shared" si="1685"/>
        <v>0</v>
      </c>
      <c r="T797" s="2181">
        <f t="shared" si="1679"/>
        <v>0</v>
      </c>
      <c r="U797" s="2179">
        <f t="shared" si="1679"/>
        <v>0</v>
      </c>
      <c r="V797" s="2180">
        <f t="shared" si="1680"/>
        <v>0</v>
      </c>
      <c r="W797" s="2182"/>
      <c r="X797" s="2177"/>
      <c r="Y797" s="2183">
        <f t="shared" si="1686"/>
        <v>0</v>
      </c>
      <c r="Z797" s="2184">
        <f t="shared" si="1681"/>
        <v>0</v>
      </c>
      <c r="AA797" s="2179">
        <f t="shared" si="1681"/>
        <v>0</v>
      </c>
      <c r="AB797" s="2178">
        <f t="shared" si="1682"/>
        <v>0</v>
      </c>
      <c r="AC797" s="2176"/>
      <c r="AD797" s="2177"/>
      <c r="AE797" s="2180">
        <f t="shared" si="1687"/>
        <v>0</v>
      </c>
      <c r="AF797" s="2403"/>
      <c r="AG797" s="2114"/>
      <c r="AH797" s="2177"/>
      <c r="AI797" s="2177"/>
      <c r="AJ797" s="2186">
        <f t="shared" si="1688"/>
        <v>0</v>
      </c>
      <c r="AK797" s="2177"/>
      <c r="AL797" s="2177"/>
      <c r="AM797" s="2186">
        <f t="shared" si="1689"/>
        <v>0</v>
      </c>
      <c r="AN797" s="2177"/>
      <c r="AO797" s="2177"/>
      <c r="AP797" s="2186">
        <f t="shared" si="1690"/>
        <v>0</v>
      </c>
      <c r="AQ797" s="2177"/>
      <c r="AR797" s="2177"/>
      <c r="AS797" s="2186">
        <f t="shared" si="1691"/>
        <v>0</v>
      </c>
      <c r="AT797" s="2177"/>
      <c r="AU797" s="2177"/>
      <c r="AV797" s="2186">
        <f t="shared" si="1692"/>
        <v>0</v>
      </c>
      <c r="AW797" s="2177"/>
      <c r="AX797" s="2177"/>
      <c r="AY797" s="2186">
        <f t="shared" si="1693"/>
        <v>0</v>
      </c>
      <c r="AZ797" s="2177"/>
      <c r="BA797" s="2177"/>
      <c r="BB797" s="2186">
        <f t="shared" si="1694"/>
        <v>0</v>
      </c>
      <c r="BC797" s="2177"/>
      <c r="BD797" s="2177"/>
      <c r="BE797" s="2186">
        <f t="shared" si="1695"/>
        <v>0</v>
      </c>
      <c r="BF797" s="2177"/>
      <c r="BG797" s="2177"/>
      <c r="BH797" s="2186">
        <f t="shared" si="1696"/>
        <v>0</v>
      </c>
      <c r="BI797" s="2177"/>
      <c r="BJ797" s="2177"/>
      <c r="BK797" s="2186">
        <f t="shared" si="1697"/>
        <v>0</v>
      </c>
      <c r="BL797" s="2177"/>
      <c r="BM797" s="2177"/>
      <c r="BN797" s="2186">
        <f t="shared" si="1698"/>
        <v>0</v>
      </c>
      <c r="BO797" s="2177"/>
      <c r="BP797" s="2177"/>
      <c r="BQ797" s="2186">
        <f t="shared" si="1699"/>
        <v>0</v>
      </c>
    </row>
    <row r="798" spans="3:69" s="2159" customFormat="1" ht="21" customHeight="1">
      <c r="C798" s="2256" t="s">
        <v>2969</v>
      </c>
      <c r="D798" s="2161" t="s">
        <v>2970</v>
      </c>
      <c r="E798" s="2120" t="s">
        <v>2590</v>
      </c>
      <c r="F798" s="2162">
        <f>F799+F801+F803</f>
        <v>130534.21849302047</v>
      </c>
      <c r="G798" s="2163">
        <f>G799+G801+G803+G805+G807+G809</f>
        <v>121306.39221982002</v>
      </c>
      <c r="H798" s="2163">
        <f>H799+H801+H803+H805+H807+H809</f>
        <v>125705.54182203391</v>
      </c>
      <c r="I798" s="2164">
        <f>H798-G798</f>
        <v>4399.149602213889</v>
      </c>
      <c r="J798" s="2162">
        <f>J799+J801+J803</f>
        <v>144581.16370579079</v>
      </c>
      <c r="K798" s="2163">
        <f t="shared" si="1718"/>
        <v>118554.22914895837</v>
      </c>
      <c r="L798" s="2163">
        <f t="shared" si="1718"/>
        <v>0</v>
      </c>
      <c r="M798" s="2164">
        <f t="shared" si="1678"/>
        <v>-118554.22914895837</v>
      </c>
      <c r="N798" s="2163">
        <f>N799+N801+N803+N805+N807+N809</f>
        <v>23470.676805186798</v>
      </c>
      <c r="O798" s="2163">
        <f>O799+O801+O803+O805+O807+O809</f>
        <v>0</v>
      </c>
      <c r="P798" s="2164">
        <f>O798-N798</f>
        <v>-23470.676805186798</v>
      </c>
      <c r="Q798" s="2165">
        <f>Q799+Q801+Q803+Q805+Q807+Q809</f>
        <v>26940.686294402509</v>
      </c>
      <c r="R798" s="2163">
        <f>R799+R801+R803+R805+R807+R809</f>
        <v>0</v>
      </c>
      <c r="S798" s="2166">
        <f>R798-Q798</f>
        <v>-26940.686294402509</v>
      </c>
      <c r="T798" s="2167">
        <f t="shared" si="1679"/>
        <v>50411.363099589304</v>
      </c>
      <c r="U798" s="2163">
        <f t="shared" si="1679"/>
        <v>0</v>
      </c>
      <c r="V798" s="2166">
        <f t="shared" si="1680"/>
        <v>-50411.363099589304</v>
      </c>
      <c r="W798" s="2168">
        <f>W799+W801+W803+W805+W807+W809</f>
        <v>26055.346645289366</v>
      </c>
      <c r="X798" s="2163">
        <f>X799+X801+X803+X805+X807+X809</f>
        <v>0</v>
      </c>
      <c r="Y798" s="2169">
        <f>X798-W798</f>
        <v>-26055.346645289366</v>
      </c>
      <c r="Z798" s="2165">
        <f t="shared" si="1681"/>
        <v>76466.709744878666</v>
      </c>
      <c r="AA798" s="2163">
        <f t="shared" si="1681"/>
        <v>0</v>
      </c>
      <c r="AB798" s="2164">
        <f t="shared" si="1682"/>
        <v>-76466.709744878666</v>
      </c>
      <c r="AC798" s="2165">
        <f>AC799+AC801+AC803+AC805+AC807+AC809</f>
        <v>42087.5194040797</v>
      </c>
      <c r="AD798" s="2163">
        <f>AD799+AD801+AD803+AD805+AD807+AD809</f>
        <v>0</v>
      </c>
      <c r="AE798" s="2166">
        <f>AD798-AC798</f>
        <v>-42087.5194040797</v>
      </c>
      <c r="AF798" s="2401"/>
      <c r="AG798" s="2158"/>
      <c r="AH798" s="2171">
        <f>AH799+AH801+AH803+AH805+AH807+AH809</f>
        <v>0</v>
      </c>
      <c r="AI798" s="2171">
        <f>AI799+AI801+AI803+AI805+AI807+AI809</f>
        <v>0</v>
      </c>
      <c r="AJ798" s="2172">
        <f>AI798-AH798</f>
        <v>0</v>
      </c>
      <c r="AK798" s="2171">
        <f>AK799+AK801+AK803+AK805+AK807+AK809</f>
        <v>12044.169169470371</v>
      </c>
      <c r="AL798" s="2171">
        <f>AL799+AL801+AL803+AL805+AL807+AL809</f>
        <v>0</v>
      </c>
      <c r="AM798" s="2172">
        <f>AL798-AK798</f>
        <v>-12044.169169470371</v>
      </c>
      <c r="AN798" s="2171">
        <f>AN799+AN801+AN803+AN805+AN807+AN809</f>
        <v>11426.481978546859</v>
      </c>
      <c r="AO798" s="2171">
        <f>AO799+AO801+AO803+AO805+AO807+AO809</f>
        <v>0</v>
      </c>
      <c r="AP798" s="2172">
        <f>AO798-AN798</f>
        <v>-11426.481978546859</v>
      </c>
      <c r="AQ798" s="2171">
        <f>AQ799+AQ801+AQ803+AQ805+AQ807+AQ809</f>
        <v>10021.741362328848</v>
      </c>
      <c r="AR798" s="2171">
        <f>AR799+AR801+AR803+AR805+AR807+AR809</f>
        <v>0</v>
      </c>
      <c r="AS798" s="2172">
        <f>AR798-AQ798</f>
        <v>-10021.741362328848</v>
      </c>
      <c r="AT798" s="2171">
        <f>AT799+AT801+AT803+AT805+AT807+AT809</f>
        <v>9509.8360631039814</v>
      </c>
      <c r="AU798" s="2171">
        <f>AU799+AU801+AU803+AU805+AU807+AU809</f>
        <v>0</v>
      </c>
      <c r="AV798" s="2172">
        <f>AU798-AT798</f>
        <v>-9509.8360631039814</v>
      </c>
      <c r="AW798" s="2171">
        <f>AW799+AW801+AW803+AW805+AW807+AW809</f>
        <v>7409.1088689696771</v>
      </c>
      <c r="AX798" s="2171">
        <f>AX799+AX801+AX803+AX805+AX807+AX809</f>
        <v>0</v>
      </c>
      <c r="AY798" s="2172">
        <f>AX798-AW798</f>
        <v>-7409.1088689696771</v>
      </c>
      <c r="AZ798" s="2171">
        <f>AZ799+AZ801+AZ803+AZ805+AZ807+AZ809</f>
        <v>8169.9609889616295</v>
      </c>
      <c r="BA798" s="2171">
        <f>BA799+BA801+BA803+BA805+BA807+BA809</f>
        <v>0</v>
      </c>
      <c r="BB798" s="2172">
        <f>BA798-AZ798</f>
        <v>-8169.9609889616295</v>
      </c>
      <c r="BC798" s="2171">
        <f>BC799+BC801+BC803+BC805+BC807+BC809</f>
        <v>8394.1667372403317</v>
      </c>
      <c r="BD798" s="2171">
        <f>BD799+BD801+BD803+BD805+BD807+BD809</f>
        <v>0</v>
      </c>
      <c r="BE798" s="2172">
        <f>BD798-BC798</f>
        <v>-8394.1667372403317</v>
      </c>
      <c r="BF798" s="2171">
        <f>BF799+BF801+BF803+BF805+BF807+BF809</f>
        <v>9491.2189190874124</v>
      </c>
      <c r="BG798" s="2171">
        <f>BG799+BG801+BG803+BG805+BG807+BG809</f>
        <v>0</v>
      </c>
      <c r="BH798" s="2172">
        <f>BG798-BF798</f>
        <v>-9491.2189190874124</v>
      </c>
      <c r="BI798" s="2171">
        <f>BI799+BI801+BI803+BI805+BI807+BI809</f>
        <v>12176.83132371964</v>
      </c>
      <c r="BJ798" s="2171">
        <f>BJ799+BJ801+BJ803+BJ805+BJ807+BJ809</f>
        <v>0</v>
      </c>
      <c r="BK798" s="2172">
        <f>BJ798-BI798</f>
        <v>-12176.83132371964</v>
      </c>
      <c r="BL798" s="2171">
        <f>BL799+BL801+BL803+BL805+BL807+BL809</f>
        <v>14321.535972499993</v>
      </c>
      <c r="BM798" s="2171">
        <f>BM799+BM801+BM803+BM805+BM807+BM809</f>
        <v>0</v>
      </c>
      <c r="BN798" s="2172">
        <f>BM798-BL798</f>
        <v>-14321.535972499993</v>
      </c>
      <c r="BO798" s="2171">
        <f>BO799+BO801+BO803+BO805+BO807+BO809</f>
        <v>15589.15210786006</v>
      </c>
      <c r="BP798" s="2171">
        <f>BP799+BP801+BP803+BP805+BP807+BP809</f>
        <v>0</v>
      </c>
      <c r="BQ798" s="2172">
        <f>BP798-BO798</f>
        <v>-15589.15210786006</v>
      </c>
    </row>
    <row r="799" spans="3:69" s="2087" customFormat="1" ht="12" customHeight="1">
      <c r="C799" s="2173" t="s">
        <v>2971</v>
      </c>
      <c r="D799" s="2362" t="s">
        <v>2875</v>
      </c>
      <c r="E799" s="2197" t="s">
        <v>2590</v>
      </c>
      <c r="F799" s="2176">
        <v>130444.53384736786</v>
      </c>
      <c r="G799" s="2177">
        <v>121306.39221982002</v>
      </c>
      <c r="H799" s="2177">
        <v>125532.48377118645</v>
      </c>
      <c r="I799" s="2178">
        <f t="shared" ref="I799:I811" si="1719">H799-G799</f>
        <v>4226.0915513664368</v>
      </c>
      <c r="J799" s="2176">
        <v>144479.35984631142</v>
      </c>
      <c r="K799" s="2179">
        <f t="shared" si="1718"/>
        <v>118460.890181808</v>
      </c>
      <c r="L799" s="2179">
        <f t="shared" si="1718"/>
        <v>0</v>
      </c>
      <c r="M799" s="2178">
        <f t="shared" si="1678"/>
        <v>-118460.890181808</v>
      </c>
      <c r="N799" s="2179">
        <f>N738*N761*1000</f>
        <v>23454.175297897695</v>
      </c>
      <c r="O799" s="2179">
        <f>O738*O761*1000</f>
        <v>0</v>
      </c>
      <c r="P799" s="2178">
        <f t="shared" ref="P799:P812" si="1720">O799-N799</f>
        <v>-23454.175297897695</v>
      </c>
      <c r="Q799" s="2184">
        <f>Q738*Q761*1000</f>
        <v>26916.244879946313</v>
      </c>
      <c r="R799" s="2179">
        <f>R738*R761*1000</f>
        <v>0</v>
      </c>
      <c r="S799" s="2180">
        <f>R799-Q799</f>
        <v>-26916.244879946313</v>
      </c>
      <c r="T799" s="2181">
        <f t="shared" si="1679"/>
        <v>50370.420177844004</v>
      </c>
      <c r="U799" s="2179">
        <f t="shared" si="1679"/>
        <v>0</v>
      </c>
      <c r="V799" s="2180">
        <f t="shared" si="1680"/>
        <v>-50370.420177844004</v>
      </c>
      <c r="W799" s="2187">
        <f>W738*W761*1000</f>
        <v>26029.354906230164</v>
      </c>
      <c r="X799" s="2179">
        <f>X738*X761*1000</f>
        <v>0</v>
      </c>
      <c r="Y799" s="2183">
        <f>X799-W799</f>
        <v>-26029.354906230164</v>
      </c>
      <c r="Z799" s="2184">
        <f t="shared" si="1681"/>
        <v>76399.775084074165</v>
      </c>
      <c r="AA799" s="2179">
        <f t="shared" si="1681"/>
        <v>0</v>
      </c>
      <c r="AB799" s="2178">
        <f t="shared" si="1682"/>
        <v>-76399.775084074165</v>
      </c>
      <c r="AC799" s="2184">
        <f>AC738*AC761*1000</f>
        <v>42061.11509773384</v>
      </c>
      <c r="AD799" s="2179">
        <f>AD738*AD761*1000</f>
        <v>0</v>
      </c>
      <c r="AE799" s="2180">
        <f>AD799-AC799</f>
        <v>-42061.11509773384</v>
      </c>
      <c r="AF799" s="2403"/>
      <c r="AG799" s="2114"/>
      <c r="AH799" s="2188">
        <f>AH738*AH761*1000</f>
        <v>0</v>
      </c>
      <c r="AI799" s="2188">
        <f>AI738*AI761*1000</f>
        <v>0</v>
      </c>
      <c r="AJ799" s="2186">
        <f t="shared" ref="AJ799:AJ812" si="1721">AI799-AH799</f>
        <v>0</v>
      </c>
      <c r="AK799" s="2188">
        <f>AK738*AK761*1000</f>
        <v>12035.87598281461</v>
      </c>
      <c r="AL799" s="2188">
        <f>AL738*AL761*1000</f>
        <v>0</v>
      </c>
      <c r="AM799" s="2186">
        <f t="shared" ref="AM799:AM812" si="1722">AL799-AK799</f>
        <v>-12035.87598281461</v>
      </c>
      <c r="AN799" s="2188">
        <f>AN738*AN761*1000</f>
        <v>11418.299315083084</v>
      </c>
      <c r="AO799" s="2188">
        <f>AO738*AO761*1000</f>
        <v>0</v>
      </c>
      <c r="AP799" s="2186">
        <f t="shared" ref="AP799:AP812" si="1723">AO799-AN799</f>
        <v>-11418.299315083084</v>
      </c>
      <c r="AQ799" s="2188">
        <f>AQ738*AQ761*1000</f>
        <v>10013.442254787804</v>
      </c>
      <c r="AR799" s="2188">
        <f>AR738*AR761*1000</f>
        <v>0</v>
      </c>
      <c r="AS799" s="2186">
        <f t="shared" ref="AS799:AS812" si="1724">AR799-AQ799</f>
        <v>-10013.442254787804</v>
      </c>
      <c r="AT799" s="2188">
        <f>AT738*AT761*1000</f>
        <v>9501.7461601763371</v>
      </c>
      <c r="AU799" s="2188">
        <f>AU738*AU761*1000</f>
        <v>0</v>
      </c>
      <c r="AV799" s="2186">
        <f t="shared" ref="AV799:AV812" si="1725">AU799-AT799</f>
        <v>-9501.7461601763371</v>
      </c>
      <c r="AW799" s="2188">
        <f>AW738*AW761*1000</f>
        <v>7401.0564649821708</v>
      </c>
      <c r="AX799" s="2188">
        <f>AX738*AX761*1000</f>
        <v>0</v>
      </c>
      <c r="AY799" s="2186">
        <f t="shared" ref="AY799:AY812" si="1726">AX799-AW799</f>
        <v>-7401.0564649821708</v>
      </c>
      <c r="AZ799" s="2188">
        <f>AZ738*AZ761*1000</f>
        <v>8161.3648108695552</v>
      </c>
      <c r="BA799" s="2188">
        <f>BA738*BA761*1000</f>
        <v>0</v>
      </c>
      <c r="BB799" s="2186">
        <f t="shared" ref="BB799:BB812" si="1727">BA799-AZ799</f>
        <v>-8161.3648108695552</v>
      </c>
      <c r="BC799" s="2188">
        <f>BC738*BC761*1000</f>
        <v>8385.6649775322676</v>
      </c>
      <c r="BD799" s="2188">
        <f>BD738*BD761*1000</f>
        <v>0</v>
      </c>
      <c r="BE799" s="2186">
        <f t="shared" ref="BE799:BE812" si="1728">BD799-BC799</f>
        <v>-8385.6649775322676</v>
      </c>
      <c r="BF799" s="2188">
        <f>BF738*BF761*1000</f>
        <v>9482.3251178283481</v>
      </c>
      <c r="BG799" s="2188">
        <f>BG738*BG761*1000</f>
        <v>0</v>
      </c>
      <c r="BH799" s="2186">
        <f t="shared" ref="BH799:BH812" si="1729">BG799-BF799</f>
        <v>-9482.3251178283481</v>
      </c>
      <c r="BI799" s="2188">
        <f>BI738*BI761*1000</f>
        <v>12168.208462171215</v>
      </c>
      <c r="BJ799" s="2188">
        <f>BJ738*BJ761*1000</f>
        <v>0</v>
      </c>
      <c r="BK799" s="2186">
        <f t="shared" ref="BK799:BK812" si="1730">BJ799-BI799</f>
        <v>-12168.208462171215</v>
      </c>
      <c r="BL799" s="2188">
        <f>BL738*BL761*1000</f>
        <v>14312.66885469728</v>
      </c>
      <c r="BM799" s="2188">
        <f>BM738*BM761*1000</f>
        <v>0</v>
      </c>
      <c r="BN799" s="2186">
        <f t="shared" ref="BN799:BN812" si="1731">BM799-BL799</f>
        <v>-14312.66885469728</v>
      </c>
      <c r="BO799" s="2188">
        <f>BO738*BO761*1000</f>
        <v>15580.237780865342</v>
      </c>
      <c r="BP799" s="2188">
        <f>BP738*BP761*1000</f>
        <v>0</v>
      </c>
      <c r="BQ799" s="2186">
        <f t="shared" ref="BQ799:BQ812" si="1732">BP799-BO799</f>
        <v>-15580.237780865342</v>
      </c>
    </row>
    <row r="800" spans="3:69" s="2087" customFormat="1" ht="12" customHeight="1">
      <c r="C800" s="2173" t="s">
        <v>2972</v>
      </c>
      <c r="D800" s="2209" t="s">
        <v>2211</v>
      </c>
      <c r="E800" s="2197" t="s">
        <v>2590</v>
      </c>
      <c r="F800" s="2176"/>
      <c r="G800" s="2177"/>
      <c r="H800" s="2177"/>
      <c r="I800" s="2178">
        <f t="shared" si="1719"/>
        <v>0</v>
      </c>
      <c r="J800" s="2176"/>
      <c r="K800" s="2179">
        <f t="shared" si="1718"/>
        <v>0</v>
      </c>
      <c r="L800" s="2179">
        <f t="shared" si="1718"/>
        <v>0</v>
      </c>
      <c r="M800" s="2178">
        <f t="shared" si="1678"/>
        <v>0</v>
      </c>
      <c r="N800" s="2177"/>
      <c r="O800" s="2177"/>
      <c r="P800" s="2178">
        <f t="shared" si="1720"/>
        <v>0</v>
      </c>
      <c r="Q800" s="2176"/>
      <c r="R800" s="2177"/>
      <c r="S800" s="2406"/>
      <c r="T800" s="2216"/>
      <c r="U800" s="2177"/>
      <c r="V800" s="2406"/>
      <c r="W800" s="2182"/>
      <c r="X800" s="2177"/>
      <c r="Y800" s="2407"/>
      <c r="Z800" s="2176"/>
      <c r="AA800" s="2177"/>
      <c r="AB800" s="2408"/>
      <c r="AC800" s="2176"/>
      <c r="AD800" s="2177"/>
      <c r="AE800" s="2406"/>
      <c r="AF800" s="2403"/>
      <c r="AG800" s="2114"/>
      <c r="AH800" s="2177"/>
      <c r="AI800" s="2177"/>
      <c r="AJ800" s="2186">
        <f t="shared" si="1721"/>
        <v>0</v>
      </c>
      <c r="AK800" s="2177"/>
      <c r="AL800" s="2177"/>
      <c r="AM800" s="2186">
        <f t="shared" si="1722"/>
        <v>0</v>
      </c>
      <c r="AN800" s="2177"/>
      <c r="AO800" s="2177"/>
      <c r="AP800" s="2186">
        <f t="shared" si="1723"/>
        <v>0</v>
      </c>
      <c r="AQ800" s="2177"/>
      <c r="AR800" s="2177"/>
      <c r="AS800" s="2186">
        <f t="shared" si="1724"/>
        <v>0</v>
      </c>
      <c r="AT800" s="2177"/>
      <c r="AU800" s="2177"/>
      <c r="AV800" s="2186">
        <f t="shared" si="1725"/>
        <v>0</v>
      </c>
      <c r="AW800" s="2177"/>
      <c r="AX800" s="2177"/>
      <c r="AY800" s="2186">
        <f t="shared" si="1726"/>
        <v>0</v>
      </c>
      <c r="AZ800" s="2177"/>
      <c r="BA800" s="2177"/>
      <c r="BB800" s="2186">
        <f t="shared" si="1727"/>
        <v>0</v>
      </c>
      <c r="BC800" s="2177"/>
      <c r="BD800" s="2177"/>
      <c r="BE800" s="2186">
        <f t="shared" si="1728"/>
        <v>0</v>
      </c>
      <c r="BF800" s="2177"/>
      <c r="BG800" s="2177"/>
      <c r="BH800" s="2186">
        <f t="shared" si="1729"/>
        <v>0</v>
      </c>
      <c r="BI800" s="2177"/>
      <c r="BJ800" s="2177"/>
      <c r="BK800" s="2186">
        <f t="shared" si="1730"/>
        <v>0</v>
      </c>
      <c r="BL800" s="2177"/>
      <c r="BM800" s="2177"/>
      <c r="BN800" s="2186">
        <f t="shared" si="1731"/>
        <v>0</v>
      </c>
      <c r="BO800" s="2177"/>
      <c r="BP800" s="2177"/>
      <c r="BQ800" s="2186">
        <f t="shared" si="1732"/>
        <v>0</v>
      </c>
    </row>
    <row r="801" spans="3:69" s="2087" customFormat="1" ht="12" customHeight="1">
      <c r="C801" s="2173" t="s">
        <v>2973</v>
      </c>
      <c r="D801" s="2362" t="s">
        <v>1821</v>
      </c>
      <c r="E801" s="2197" t="s">
        <v>2590</v>
      </c>
      <c r="F801" s="2176">
        <v>89.684645652608367</v>
      </c>
      <c r="G801" s="2177"/>
      <c r="H801" s="2177">
        <v>98.917466101689541</v>
      </c>
      <c r="I801" s="2178">
        <f t="shared" si="1719"/>
        <v>98.917466101689541</v>
      </c>
      <c r="J801" s="2176">
        <v>101.80385947938413</v>
      </c>
      <c r="K801" s="2179">
        <f t="shared" si="1718"/>
        <v>93.338967150360588</v>
      </c>
      <c r="L801" s="2179">
        <f t="shared" si="1718"/>
        <v>0</v>
      </c>
      <c r="M801" s="2178">
        <f t="shared" si="1678"/>
        <v>-93.338967150360588</v>
      </c>
      <c r="N801" s="2179">
        <f>N740*N762*1000</f>
        <v>16.501507289103714</v>
      </c>
      <c r="O801" s="2179">
        <f>O740*O762*1000</f>
        <v>0</v>
      </c>
      <c r="P801" s="2178">
        <f t="shared" si="1720"/>
        <v>-16.501507289103714</v>
      </c>
      <c r="Q801" s="2184">
        <f>Q740*Q762*1000</f>
        <v>24.441414456196672</v>
      </c>
      <c r="R801" s="2179">
        <f>R740*R762*1000</f>
        <v>0</v>
      </c>
      <c r="S801" s="2180">
        <f t="shared" ref="S801:S809" si="1733">R801-Q801</f>
        <v>-24.441414456196672</v>
      </c>
      <c r="T801" s="2181">
        <f t="shared" si="1679"/>
        <v>40.942921745300382</v>
      </c>
      <c r="U801" s="2179">
        <f t="shared" si="1679"/>
        <v>0</v>
      </c>
      <c r="V801" s="2180">
        <f t="shared" si="1680"/>
        <v>-40.942921745300382</v>
      </c>
      <c r="W801" s="2187">
        <f>W740*W762*1000</f>
        <v>25.991739059203098</v>
      </c>
      <c r="X801" s="2179">
        <f>X740*X762*1000</f>
        <v>0</v>
      </c>
      <c r="Y801" s="2183">
        <f t="shared" ref="Y801:Y809" si="1734">X801-W801</f>
        <v>-25.991739059203098</v>
      </c>
      <c r="Z801" s="2184">
        <f t="shared" si="1681"/>
        <v>66.93466080450348</v>
      </c>
      <c r="AA801" s="2179">
        <f t="shared" si="1681"/>
        <v>0</v>
      </c>
      <c r="AB801" s="2178">
        <f t="shared" si="1682"/>
        <v>-66.93466080450348</v>
      </c>
      <c r="AC801" s="2184">
        <f>AC740*AC762*1000</f>
        <v>26.404306345857115</v>
      </c>
      <c r="AD801" s="2179">
        <f>AD740*AD762*1000</f>
        <v>0</v>
      </c>
      <c r="AE801" s="2180">
        <f t="shared" ref="AE801:AE809" si="1735">AD801-AC801</f>
        <v>-26.404306345857115</v>
      </c>
      <c r="AF801" s="2403"/>
      <c r="AG801" s="2114"/>
      <c r="AH801" s="2188">
        <f>AH740*AH762*1000</f>
        <v>0</v>
      </c>
      <c r="AI801" s="2188">
        <f>AI740*AI762*1000</f>
        <v>0</v>
      </c>
      <c r="AJ801" s="2186">
        <f t="shared" si="1721"/>
        <v>0</v>
      </c>
      <c r="AK801" s="2188">
        <f>AK740*AK762*1000</f>
        <v>8.2931866557605307</v>
      </c>
      <c r="AL801" s="2188">
        <f>AL740*AL762*1000</f>
        <v>0</v>
      </c>
      <c r="AM801" s="2186">
        <f t="shared" si="1722"/>
        <v>-8.2931866557605307</v>
      </c>
      <c r="AN801" s="2188">
        <f>AN740*AN762*1000</f>
        <v>8.1826634637751443</v>
      </c>
      <c r="AO801" s="2188">
        <f>AO740*AO762*1000</f>
        <v>0</v>
      </c>
      <c r="AP801" s="2186">
        <f t="shared" si="1723"/>
        <v>-8.1826634637751443</v>
      </c>
      <c r="AQ801" s="2188">
        <f>AQ740*AQ762*1000</f>
        <v>8.299107541045462</v>
      </c>
      <c r="AR801" s="2188">
        <f>AR740*AR762*1000</f>
        <v>0</v>
      </c>
      <c r="AS801" s="2186">
        <f t="shared" si="1724"/>
        <v>-8.299107541045462</v>
      </c>
      <c r="AT801" s="2188">
        <f>AT740*AT762*1000</f>
        <v>8.0899029276445553</v>
      </c>
      <c r="AU801" s="2188">
        <f>AU740*AU762*1000</f>
        <v>0</v>
      </c>
      <c r="AV801" s="2186">
        <f t="shared" si="1725"/>
        <v>-8.0899029276445553</v>
      </c>
      <c r="AW801" s="2188">
        <f>AW740*AW762*1000</f>
        <v>8.052403987506656</v>
      </c>
      <c r="AX801" s="2188">
        <f>AX740*AX762*1000</f>
        <v>0</v>
      </c>
      <c r="AY801" s="2186">
        <f t="shared" si="1726"/>
        <v>-8.052403987506656</v>
      </c>
      <c r="AZ801" s="2188">
        <f>AZ740*AZ762*1000</f>
        <v>8.5961780920747497</v>
      </c>
      <c r="BA801" s="2188">
        <f>BA740*BA762*1000</f>
        <v>0</v>
      </c>
      <c r="BB801" s="2186">
        <f t="shared" si="1727"/>
        <v>-8.5961780920747497</v>
      </c>
      <c r="BC801" s="2188">
        <f>BC740*BC762*1000</f>
        <v>8.5017597080643785</v>
      </c>
      <c r="BD801" s="2188">
        <f>BD740*BD762*1000</f>
        <v>0</v>
      </c>
      <c r="BE801" s="2186">
        <f t="shared" si="1728"/>
        <v>-8.5017597080643785</v>
      </c>
      <c r="BF801" s="2188">
        <f>BF740*BF762*1000</f>
        <v>8.8938012590639683</v>
      </c>
      <c r="BG801" s="2188">
        <f>BG740*BG762*1000</f>
        <v>0</v>
      </c>
      <c r="BH801" s="2186">
        <f t="shared" si="1729"/>
        <v>-8.8938012590639683</v>
      </c>
      <c r="BI801" s="2188">
        <f>BI740*BI762*1000</f>
        <v>8.622861548425508</v>
      </c>
      <c r="BJ801" s="2188">
        <f>BJ740*BJ762*1000</f>
        <v>0</v>
      </c>
      <c r="BK801" s="2186">
        <f t="shared" si="1730"/>
        <v>-8.622861548425508</v>
      </c>
      <c r="BL801" s="2188">
        <f>BL740*BL762*1000</f>
        <v>8.86711780271321</v>
      </c>
      <c r="BM801" s="2188">
        <f>BM740*BM762*1000</f>
        <v>0</v>
      </c>
      <c r="BN801" s="2186">
        <f t="shared" si="1731"/>
        <v>-8.86711780271321</v>
      </c>
      <c r="BO801" s="2188">
        <f>BO740*BO762*1000</f>
        <v>8.9143269947183938</v>
      </c>
      <c r="BP801" s="2188">
        <f>BP740*BP762*1000</f>
        <v>0</v>
      </c>
      <c r="BQ801" s="2186">
        <f t="shared" si="1732"/>
        <v>-8.9143269947183938</v>
      </c>
    </row>
    <row r="802" spans="3:69" s="2087" customFormat="1" ht="12" customHeight="1">
      <c r="C802" s="2173" t="s">
        <v>2974</v>
      </c>
      <c r="D802" s="2209" t="s">
        <v>2211</v>
      </c>
      <c r="E802" s="2197" t="s">
        <v>2590</v>
      </c>
      <c r="F802" s="2176"/>
      <c r="G802" s="2177"/>
      <c r="H802" s="2177"/>
      <c r="I802" s="2178">
        <f t="shared" si="1719"/>
        <v>0</v>
      </c>
      <c r="J802" s="2176"/>
      <c r="K802" s="2179">
        <f t="shared" si="1718"/>
        <v>0</v>
      </c>
      <c r="L802" s="2179">
        <f t="shared" si="1718"/>
        <v>0</v>
      </c>
      <c r="M802" s="2178">
        <f t="shared" si="1678"/>
        <v>0</v>
      </c>
      <c r="N802" s="2177"/>
      <c r="O802" s="2177"/>
      <c r="P802" s="2178">
        <f t="shared" si="1720"/>
        <v>0</v>
      </c>
      <c r="Q802" s="2176"/>
      <c r="R802" s="2177"/>
      <c r="S802" s="2406"/>
      <c r="T802" s="2216"/>
      <c r="U802" s="2177"/>
      <c r="V802" s="2406"/>
      <c r="W802" s="2182"/>
      <c r="X802" s="2177"/>
      <c r="Y802" s="2407"/>
      <c r="Z802" s="2176"/>
      <c r="AA802" s="2177"/>
      <c r="AB802" s="2408"/>
      <c r="AC802" s="2176"/>
      <c r="AD802" s="2177"/>
      <c r="AE802" s="2406"/>
      <c r="AF802" s="2403"/>
      <c r="AG802" s="2114"/>
      <c r="AH802" s="2177"/>
      <c r="AI802" s="2177"/>
      <c r="AJ802" s="2186">
        <f t="shared" si="1721"/>
        <v>0</v>
      </c>
      <c r="AK802" s="2177"/>
      <c r="AL802" s="2177"/>
      <c r="AM802" s="2186">
        <f t="shared" si="1722"/>
        <v>0</v>
      </c>
      <c r="AN802" s="2177"/>
      <c r="AO802" s="2177"/>
      <c r="AP802" s="2186">
        <f t="shared" si="1723"/>
        <v>0</v>
      </c>
      <c r="AQ802" s="2177"/>
      <c r="AR802" s="2177"/>
      <c r="AS802" s="2186">
        <f t="shared" si="1724"/>
        <v>0</v>
      </c>
      <c r="AT802" s="2177"/>
      <c r="AU802" s="2177"/>
      <c r="AV802" s="2186">
        <f t="shared" si="1725"/>
        <v>0</v>
      </c>
      <c r="AW802" s="2177"/>
      <c r="AX802" s="2177"/>
      <c r="AY802" s="2186">
        <f t="shared" si="1726"/>
        <v>0</v>
      </c>
      <c r="AZ802" s="2177"/>
      <c r="BA802" s="2177"/>
      <c r="BB802" s="2186">
        <f t="shared" si="1727"/>
        <v>0</v>
      </c>
      <c r="BC802" s="2177"/>
      <c r="BD802" s="2177"/>
      <c r="BE802" s="2186">
        <f t="shared" si="1728"/>
        <v>0</v>
      </c>
      <c r="BF802" s="2177"/>
      <c r="BG802" s="2177"/>
      <c r="BH802" s="2186">
        <f t="shared" si="1729"/>
        <v>0</v>
      </c>
      <c r="BI802" s="2177"/>
      <c r="BJ802" s="2177"/>
      <c r="BK802" s="2186">
        <f t="shared" si="1730"/>
        <v>0</v>
      </c>
      <c r="BL802" s="2177"/>
      <c r="BM802" s="2177"/>
      <c r="BN802" s="2186">
        <f t="shared" si="1731"/>
        <v>0</v>
      </c>
      <c r="BO802" s="2177"/>
      <c r="BP802" s="2177"/>
      <c r="BQ802" s="2186">
        <f t="shared" si="1732"/>
        <v>0</v>
      </c>
    </row>
    <row r="803" spans="3:69" s="2087" customFormat="1" ht="12" customHeight="1">
      <c r="C803" s="2173" t="s">
        <v>2975</v>
      </c>
      <c r="D803" s="2362" t="s">
        <v>909</v>
      </c>
      <c r="E803" s="2197" t="s">
        <v>2590</v>
      </c>
      <c r="F803" s="2176"/>
      <c r="G803" s="2177"/>
      <c r="H803" s="2177">
        <v>74.140584745762709</v>
      </c>
      <c r="I803" s="2178">
        <f t="shared" si="1719"/>
        <v>74.140584745762709</v>
      </c>
      <c r="J803" s="2176">
        <f t="shared" si="1718"/>
        <v>0</v>
      </c>
      <c r="K803" s="2179">
        <f t="shared" si="1718"/>
        <v>0</v>
      </c>
      <c r="L803" s="2179">
        <f t="shared" si="1718"/>
        <v>0</v>
      </c>
      <c r="M803" s="2178">
        <f t="shared" si="1678"/>
        <v>0</v>
      </c>
      <c r="N803" s="2179">
        <f>N742*N763*1000</f>
        <v>0</v>
      </c>
      <c r="O803" s="2179">
        <f>O742*O763*1000</f>
        <v>0</v>
      </c>
      <c r="P803" s="2178">
        <f t="shared" si="1720"/>
        <v>0</v>
      </c>
      <c r="Q803" s="2184">
        <f>Q742*Q763*1000</f>
        <v>0</v>
      </c>
      <c r="R803" s="2179">
        <f>R742*R763*1000</f>
        <v>0</v>
      </c>
      <c r="S803" s="2180">
        <f t="shared" si="1733"/>
        <v>0</v>
      </c>
      <c r="T803" s="2181">
        <f t="shared" si="1679"/>
        <v>0</v>
      </c>
      <c r="U803" s="2179">
        <f t="shared" si="1679"/>
        <v>0</v>
      </c>
      <c r="V803" s="2180">
        <f t="shared" si="1680"/>
        <v>0</v>
      </c>
      <c r="W803" s="2187">
        <f>W742*W763*1000</f>
        <v>0</v>
      </c>
      <c r="X803" s="2179">
        <f>X742*X763*1000</f>
        <v>0</v>
      </c>
      <c r="Y803" s="2183">
        <f t="shared" si="1734"/>
        <v>0</v>
      </c>
      <c r="Z803" s="2184">
        <f t="shared" si="1681"/>
        <v>0</v>
      </c>
      <c r="AA803" s="2179">
        <f t="shared" si="1681"/>
        <v>0</v>
      </c>
      <c r="AB803" s="2178">
        <f t="shared" si="1682"/>
        <v>0</v>
      </c>
      <c r="AC803" s="2184">
        <f>AC742*AC763*1000</f>
        <v>0</v>
      </c>
      <c r="AD803" s="2179">
        <f>AD742*AD763*1000</f>
        <v>0</v>
      </c>
      <c r="AE803" s="2180">
        <f t="shared" si="1735"/>
        <v>0</v>
      </c>
      <c r="AF803" s="2403"/>
      <c r="AG803" s="2114"/>
      <c r="AH803" s="2188">
        <f>AH742*AH763*1000</f>
        <v>0</v>
      </c>
      <c r="AI803" s="2188">
        <f>AI742*AI763*1000</f>
        <v>0</v>
      </c>
      <c r="AJ803" s="2186">
        <f t="shared" si="1721"/>
        <v>0</v>
      </c>
      <c r="AK803" s="2188">
        <f>AK742*AK763*1000</f>
        <v>0</v>
      </c>
      <c r="AL803" s="2188">
        <f>AL742*AL763*1000</f>
        <v>0</v>
      </c>
      <c r="AM803" s="2186">
        <f t="shared" si="1722"/>
        <v>0</v>
      </c>
      <c r="AN803" s="2188">
        <f>AN742*AN763*1000</f>
        <v>0</v>
      </c>
      <c r="AO803" s="2188">
        <f>AO742*AO763*1000</f>
        <v>0</v>
      </c>
      <c r="AP803" s="2186">
        <f t="shared" si="1723"/>
        <v>0</v>
      </c>
      <c r="AQ803" s="2188">
        <f>AQ742*AQ763*1000</f>
        <v>0</v>
      </c>
      <c r="AR803" s="2188">
        <f>AR742*AR763*1000</f>
        <v>0</v>
      </c>
      <c r="AS803" s="2186">
        <f t="shared" si="1724"/>
        <v>0</v>
      </c>
      <c r="AT803" s="2188">
        <f>AT742*AT763*1000</f>
        <v>0</v>
      </c>
      <c r="AU803" s="2188">
        <f>AU742*AU763*1000</f>
        <v>0</v>
      </c>
      <c r="AV803" s="2186">
        <f t="shared" si="1725"/>
        <v>0</v>
      </c>
      <c r="AW803" s="2188">
        <f>AW742*AW763*1000</f>
        <v>0</v>
      </c>
      <c r="AX803" s="2188">
        <f>AX742*AX763*1000</f>
        <v>0</v>
      </c>
      <c r="AY803" s="2186">
        <f t="shared" si="1726"/>
        <v>0</v>
      </c>
      <c r="AZ803" s="2188">
        <f>AZ742*AZ763*1000</f>
        <v>0</v>
      </c>
      <c r="BA803" s="2188">
        <f>BA742*BA763*1000</f>
        <v>0</v>
      </c>
      <c r="BB803" s="2186">
        <f t="shared" si="1727"/>
        <v>0</v>
      </c>
      <c r="BC803" s="2188">
        <f>BC742*BC763*1000</f>
        <v>0</v>
      </c>
      <c r="BD803" s="2188">
        <f>BD742*BD763*1000</f>
        <v>0</v>
      </c>
      <c r="BE803" s="2186">
        <f t="shared" si="1728"/>
        <v>0</v>
      </c>
      <c r="BF803" s="2188">
        <f>BF742*BF763*1000</f>
        <v>0</v>
      </c>
      <c r="BG803" s="2188">
        <f>BG742*BG763*1000</f>
        <v>0</v>
      </c>
      <c r="BH803" s="2186">
        <f t="shared" si="1729"/>
        <v>0</v>
      </c>
      <c r="BI803" s="2188">
        <f>BI742*BI763*1000</f>
        <v>0</v>
      </c>
      <c r="BJ803" s="2188">
        <f>BJ742*BJ763*1000</f>
        <v>0</v>
      </c>
      <c r="BK803" s="2186">
        <f t="shared" si="1730"/>
        <v>0</v>
      </c>
      <c r="BL803" s="2188">
        <f>BL742*BL763*1000</f>
        <v>0</v>
      </c>
      <c r="BM803" s="2188">
        <f>BM742*BM763*1000</f>
        <v>0</v>
      </c>
      <c r="BN803" s="2186">
        <f t="shared" si="1731"/>
        <v>0</v>
      </c>
      <c r="BO803" s="2188">
        <f>BO742*BO763*1000</f>
        <v>0</v>
      </c>
      <c r="BP803" s="2188">
        <f>BP742*BP763*1000</f>
        <v>0</v>
      </c>
      <c r="BQ803" s="2186">
        <f t="shared" si="1732"/>
        <v>0</v>
      </c>
    </row>
    <row r="804" spans="3:69" s="2087" customFormat="1" ht="12" customHeight="1">
      <c r="C804" s="2173" t="s">
        <v>2976</v>
      </c>
      <c r="D804" s="2209" t="s">
        <v>2211</v>
      </c>
      <c r="E804" s="2197" t="s">
        <v>2590</v>
      </c>
      <c r="F804" s="2176"/>
      <c r="G804" s="2177"/>
      <c r="H804" s="2177"/>
      <c r="I804" s="2178">
        <f t="shared" si="1719"/>
        <v>0</v>
      </c>
      <c r="J804" s="2176"/>
      <c r="K804" s="2179">
        <f t="shared" si="1718"/>
        <v>0</v>
      </c>
      <c r="L804" s="2179">
        <f t="shared" si="1718"/>
        <v>0</v>
      </c>
      <c r="M804" s="2178">
        <f t="shared" si="1678"/>
        <v>0</v>
      </c>
      <c r="N804" s="2177"/>
      <c r="O804" s="2177"/>
      <c r="P804" s="2178">
        <f t="shared" si="1720"/>
        <v>0</v>
      </c>
      <c r="Q804" s="2176"/>
      <c r="R804" s="2177"/>
      <c r="S804" s="2406"/>
      <c r="T804" s="2216"/>
      <c r="U804" s="2177"/>
      <c r="V804" s="2406"/>
      <c r="W804" s="2182"/>
      <c r="X804" s="2177"/>
      <c r="Y804" s="2407"/>
      <c r="Z804" s="2176"/>
      <c r="AA804" s="2177"/>
      <c r="AB804" s="2408"/>
      <c r="AC804" s="2176"/>
      <c r="AD804" s="2177"/>
      <c r="AE804" s="2406"/>
      <c r="AF804" s="2403"/>
      <c r="AG804" s="2114"/>
      <c r="AH804" s="2177"/>
      <c r="AI804" s="2177"/>
      <c r="AJ804" s="2186">
        <f t="shared" si="1721"/>
        <v>0</v>
      </c>
      <c r="AK804" s="2177"/>
      <c r="AL804" s="2177"/>
      <c r="AM804" s="2186">
        <f t="shared" si="1722"/>
        <v>0</v>
      </c>
      <c r="AN804" s="2177"/>
      <c r="AO804" s="2177"/>
      <c r="AP804" s="2186">
        <f t="shared" si="1723"/>
        <v>0</v>
      </c>
      <c r="AQ804" s="2177"/>
      <c r="AR804" s="2177"/>
      <c r="AS804" s="2186">
        <f t="shared" si="1724"/>
        <v>0</v>
      </c>
      <c r="AT804" s="2177"/>
      <c r="AU804" s="2177"/>
      <c r="AV804" s="2186">
        <f t="shared" si="1725"/>
        <v>0</v>
      </c>
      <c r="AW804" s="2177"/>
      <c r="AX804" s="2177"/>
      <c r="AY804" s="2186">
        <f t="shared" si="1726"/>
        <v>0</v>
      </c>
      <c r="AZ804" s="2177"/>
      <c r="BA804" s="2177"/>
      <c r="BB804" s="2186">
        <f t="shared" si="1727"/>
        <v>0</v>
      </c>
      <c r="BC804" s="2177"/>
      <c r="BD804" s="2177"/>
      <c r="BE804" s="2186">
        <f t="shared" si="1728"/>
        <v>0</v>
      </c>
      <c r="BF804" s="2177"/>
      <c r="BG804" s="2177"/>
      <c r="BH804" s="2186">
        <f t="shared" si="1729"/>
        <v>0</v>
      </c>
      <c r="BI804" s="2177"/>
      <c r="BJ804" s="2177"/>
      <c r="BK804" s="2186">
        <f t="shared" si="1730"/>
        <v>0</v>
      </c>
      <c r="BL804" s="2177"/>
      <c r="BM804" s="2177"/>
      <c r="BN804" s="2186">
        <f t="shared" si="1731"/>
        <v>0</v>
      </c>
      <c r="BO804" s="2177"/>
      <c r="BP804" s="2177"/>
      <c r="BQ804" s="2186">
        <f t="shared" si="1732"/>
        <v>0</v>
      </c>
    </row>
    <row r="805" spans="3:69" s="2159" customFormat="1" ht="12" hidden="1" customHeight="1">
      <c r="C805" s="2173" t="s">
        <v>2977</v>
      </c>
      <c r="D805" s="2362" t="s">
        <v>2098</v>
      </c>
      <c r="E805" s="2197" t="s">
        <v>2590</v>
      </c>
      <c r="F805" s="2176"/>
      <c r="G805" s="2177"/>
      <c r="H805" s="2177"/>
      <c r="I805" s="2178">
        <f t="shared" si="1719"/>
        <v>0</v>
      </c>
      <c r="J805" s="2176"/>
      <c r="K805" s="2179">
        <f t="shared" si="1718"/>
        <v>0</v>
      </c>
      <c r="L805" s="2179">
        <f t="shared" si="1718"/>
        <v>0</v>
      </c>
      <c r="M805" s="2178">
        <f t="shared" si="1678"/>
        <v>0</v>
      </c>
      <c r="N805" s="2179">
        <f>N744*N764*1000</f>
        <v>0</v>
      </c>
      <c r="O805" s="2179">
        <f>O744*O764*1000</f>
        <v>0</v>
      </c>
      <c r="P805" s="2178">
        <f t="shared" si="1720"/>
        <v>0</v>
      </c>
      <c r="Q805" s="2184">
        <f>Q744*Q764*1000</f>
        <v>0</v>
      </c>
      <c r="R805" s="2179">
        <f>R744*R764*1000</f>
        <v>0</v>
      </c>
      <c r="S805" s="2180">
        <f t="shared" si="1733"/>
        <v>0</v>
      </c>
      <c r="T805" s="2181">
        <f t="shared" si="1679"/>
        <v>0</v>
      </c>
      <c r="U805" s="2179">
        <f t="shared" si="1679"/>
        <v>0</v>
      </c>
      <c r="V805" s="2180">
        <f t="shared" si="1680"/>
        <v>0</v>
      </c>
      <c r="W805" s="2187">
        <f>W744*W764*1000</f>
        <v>0</v>
      </c>
      <c r="X805" s="2179">
        <f>X744*X764*1000</f>
        <v>0</v>
      </c>
      <c r="Y805" s="2183">
        <f t="shared" si="1734"/>
        <v>0</v>
      </c>
      <c r="Z805" s="2184">
        <f t="shared" si="1681"/>
        <v>0</v>
      </c>
      <c r="AA805" s="2179">
        <f t="shared" si="1681"/>
        <v>0</v>
      </c>
      <c r="AB805" s="2178">
        <f t="shared" si="1682"/>
        <v>0</v>
      </c>
      <c r="AC805" s="2184">
        <f>AC744*AC764*1000</f>
        <v>0</v>
      </c>
      <c r="AD805" s="2179">
        <f>AD744*AD764*1000</f>
        <v>0</v>
      </c>
      <c r="AE805" s="2180">
        <f t="shared" si="1735"/>
        <v>0</v>
      </c>
      <c r="AF805" s="2403"/>
      <c r="AG805" s="2158"/>
      <c r="AH805" s="2188">
        <f>AH744*AH764*1000</f>
        <v>0</v>
      </c>
      <c r="AI805" s="2188">
        <f>AI744*AI764*1000</f>
        <v>0</v>
      </c>
      <c r="AJ805" s="2186">
        <f t="shared" si="1721"/>
        <v>0</v>
      </c>
      <c r="AK805" s="2188">
        <f>AK744*AK764*1000</f>
        <v>0</v>
      </c>
      <c r="AL805" s="2188">
        <f>AL744*AL764*1000</f>
        <v>0</v>
      </c>
      <c r="AM805" s="2186">
        <f t="shared" si="1722"/>
        <v>0</v>
      </c>
      <c r="AN805" s="2188">
        <f>AN744*AN764*1000</f>
        <v>0</v>
      </c>
      <c r="AO805" s="2188">
        <f>AO744*AO764*1000</f>
        <v>0</v>
      </c>
      <c r="AP805" s="2186">
        <f t="shared" si="1723"/>
        <v>0</v>
      </c>
      <c r="AQ805" s="2188">
        <f>AQ744*AQ764*1000</f>
        <v>0</v>
      </c>
      <c r="AR805" s="2188">
        <f>AR744*AR764*1000</f>
        <v>0</v>
      </c>
      <c r="AS805" s="2186">
        <f t="shared" si="1724"/>
        <v>0</v>
      </c>
      <c r="AT805" s="2188">
        <f>AT744*AT764*1000</f>
        <v>0</v>
      </c>
      <c r="AU805" s="2188">
        <f>AU744*AU764*1000</f>
        <v>0</v>
      </c>
      <c r="AV805" s="2186">
        <f t="shared" si="1725"/>
        <v>0</v>
      </c>
      <c r="AW805" s="2188">
        <f>AW744*AW764*1000</f>
        <v>0</v>
      </c>
      <c r="AX805" s="2188">
        <f>AX744*AX764*1000</f>
        <v>0</v>
      </c>
      <c r="AY805" s="2186">
        <f t="shared" si="1726"/>
        <v>0</v>
      </c>
      <c r="AZ805" s="2188">
        <f>AZ744*AZ764*1000</f>
        <v>0</v>
      </c>
      <c r="BA805" s="2188">
        <f>BA744*BA764*1000</f>
        <v>0</v>
      </c>
      <c r="BB805" s="2186">
        <f t="shared" si="1727"/>
        <v>0</v>
      </c>
      <c r="BC805" s="2188">
        <f>BC744*BC764*1000</f>
        <v>0</v>
      </c>
      <c r="BD805" s="2188">
        <f>BD744*BD764*1000</f>
        <v>0</v>
      </c>
      <c r="BE805" s="2186">
        <f t="shared" si="1728"/>
        <v>0</v>
      </c>
      <c r="BF805" s="2188">
        <f>BF744*BF764*1000</f>
        <v>0</v>
      </c>
      <c r="BG805" s="2188">
        <f>BG744*BG764*1000</f>
        <v>0</v>
      </c>
      <c r="BH805" s="2186">
        <f t="shared" si="1729"/>
        <v>0</v>
      </c>
      <c r="BI805" s="2188">
        <f>BI744*BI764*1000</f>
        <v>0</v>
      </c>
      <c r="BJ805" s="2188">
        <f>BJ744*BJ764*1000</f>
        <v>0</v>
      </c>
      <c r="BK805" s="2186">
        <f t="shared" si="1730"/>
        <v>0</v>
      </c>
      <c r="BL805" s="2188">
        <f>BL744*BL764*1000</f>
        <v>0</v>
      </c>
      <c r="BM805" s="2188">
        <f>BM744*BM764*1000</f>
        <v>0</v>
      </c>
      <c r="BN805" s="2186">
        <f t="shared" si="1731"/>
        <v>0</v>
      </c>
      <c r="BO805" s="2188">
        <f>BO744*BO764*1000</f>
        <v>0</v>
      </c>
      <c r="BP805" s="2188">
        <f>BP744*BP764*1000</f>
        <v>0</v>
      </c>
      <c r="BQ805" s="2186">
        <f t="shared" si="1732"/>
        <v>0</v>
      </c>
    </row>
    <row r="806" spans="3:69" s="2159" customFormat="1" ht="12" hidden="1" customHeight="1">
      <c r="C806" s="2173" t="s">
        <v>2978</v>
      </c>
      <c r="D806" s="2209" t="s">
        <v>2211</v>
      </c>
      <c r="E806" s="2197" t="s">
        <v>2590</v>
      </c>
      <c r="F806" s="2176"/>
      <c r="G806" s="2177"/>
      <c r="H806" s="2177"/>
      <c r="I806" s="2178">
        <f t="shared" si="1719"/>
        <v>0</v>
      </c>
      <c r="J806" s="2176"/>
      <c r="K806" s="2179">
        <f t="shared" si="1718"/>
        <v>0</v>
      </c>
      <c r="L806" s="2179">
        <f t="shared" si="1718"/>
        <v>0</v>
      </c>
      <c r="M806" s="2178">
        <f t="shared" si="1678"/>
        <v>0</v>
      </c>
      <c r="N806" s="2177"/>
      <c r="O806" s="2177"/>
      <c r="P806" s="2178">
        <f t="shared" si="1720"/>
        <v>0</v>
      </c>
      <c r="Q806" s="2176"/>
      <c r="R806" s="2177"/>
      <c r="S806" s="2406"/>
      <c r="T806" s="2216"/>
      <c r="U806" s="2177"/>
      <c r="V806" s="2406"/>
      <c r="W806" s="2182"/>
      <c r="X806" s="2177"/>
      <c r="Y806" s="2407"/>
      <c r="Z806" s="2176"/>
      <c r="AA806" s="2177"/>
      <c r="AB806" s="2408"/>
      <c r="AC806" s="2176"/>
      <c r="AD806" s="2177"/>
      <c r="AE806" s="2406"/>
      <c r="AF806" s="2403"/>
      <c r="AG806" s="2158"/>
      <c r="AH806" s="2177"/>
      <c r="AI806" s="2177"/>
      <c r="AJ806" s="2186">
        <f t="shared" si="1721"/>
        <v>0</v>
      </c>
      <c r="AK806" s="2177"/>
      <c r="AL806" s="2177"/>
      <c r="AM806" s="2186">
        <f t="shared" si="1722"/>
        <v>0</v>
      </c>
      <c r="AN806" s="2177"/>
      <c r="AO806" s="2177"/>
      <c r="AP806" s="2186">
        <f t="shared" si="1723"/>
        <v>0</v>
      </c>
      <c r="AQ806" s="2177"/>
      <c r="AR806" s="2177"/>
      <c r="AS806" s="2186">
        <f t="shared" si="1724"/>
        <v>0</v>
      </c>
      <c r="AT806" s="2177"/>
      <c r="AU806" s="2177"/>
      <c r="AV806" s="2186">
        <f t="shared" si="1725"/>
        <v>0</v>
      </c>
      <c r="AW806" s="2177"/>
      <c r="AX806" s="2177"/>
      <c r="AY806" s="2186">
        <f t="shared" si="1726"/>
        <v>0</v>
      </c>
      <c r="AZ806" s="2177"/>
      <c r="BA806" s="2177"/>
      <c r="BB806" s="2186">
        <f t="shared" si="1727"/>
        <v>0</v>
      </c>
      <c r="BC806" s="2177"/>
      <c r="BD806" s="2177"/>
      <c r="BE806" s="2186">
        <f t="shared" si="1728"/>
        <v>0</v>
      </c>
      <c r="BF806" s="2177"/>
      <c r="BG806" s="2177"/>
      <c r="BH806" s="2186">
        <f t="shared" si="1729"/>
        <v>0</v>
      </c>
      <c r="BI806" s="2177"/>
      <c r="BJ806" s="2177"/>
      <c r="BK806" s="2186">
        <f t="shared" si="1730"/>
        <v>0</v>
      </c>
      <c r="BL806" s="2177"/>
      <c r="BM806" s="2177"/>
      <c r="BN806" s="2186">
        <f t="shared" si="1731"/>
        <v>0</v>
      </c>
      <c r="BO806" s="2177"/>
      <c r="BP806" s="2177"/>
      <c r="BQ806" s="2186">
        <f t="shared" si="1732"/>
        <v>0</v>
      </c>
    </row>
    <row r="807" spans="3:69" s="2159" customFormat="1" ht="12" hidden="1" customHeight="1">
      <c r="C807" s="2173" t="s">
        <v>2979</v>
      </c>
      <c r="D807" s="2362" t="s">
        <v>2100</v>
      </c>
      <c r="E807" s="2197" t="s">
        <v>2590</v>
      </c>
      <c r="F807" s="2176"/>
      <c r="G807" s="2177"/>
      <c r="H807" s="2177"/>
      <c r="I807" s="2178">
        <f t="shared" si="1719"/>
        <v>0</v>
      </c>
      <c r="J807" s="2176"/>
      <c r="K807" s="2179">
        <f t="shared" si="1718"/>
        <v>0</v>
      </c>
      <c r="L807" s="2179">
        <f t="shared" si="1718"/>
        <v>0</v>
      </c>
      <c r="M807" s="2178">
        <f t="shared" si="1678"/>
        <v>0</v>
      </c>
      <c r="N807" s="2179">
        <f>N746*N765*1000</f>
        <v>0</v>
      </c>
      <c r="O807" s="2179">
        <f t="shared" ref="O807" si="1736">O746*O765*1000</f>
        <v>0</v>
      </c>
      <c r="P807" s="2178">
        <f t="shared" si="1720"/>
        <v>0</v>
      </c>
      <c r="Q807" s="2184">
        <f t="shared" ref="Q807:R807" si="1737">Q746*Q765*1000</f>
        <v>0</v>
      </c>
      <c r="R807" s="2179">
        <f t="shared" si="1737"/>
        <v>0</v>
      </c>
      <c r="S807" s="2180">
        <f t="shared" si="1733"/>
        <v>0</v>
      </c>
      <c r="T807" s="2181">
        <f t="shared" si="1679"/>
        <v>0</v>
      </c>
      <c r="U807" s="2179">
        <f t="shared" si="1679"/>
        <v>0</v>
      </c>
      <c r="V807" s="2180">
        <f t="shared" si="1680"/>
        <v>0</v>
      </c>
      <c r="W807" s="2187">
        <f t="shared" ref="W807:X807" si="1738">W746*W765*1000</f>
        <v>0</v>
      </c>
      <c r="X807" s="2179">
        <f t="shared" si="1738"/>
        <v>0</v>
      </c>
      <c r="Y807" s="2183">
        <f t="shared" si="1734"/>
        <v>0</v>
      </c>
      <c r="Z807" s="2184">
        <f t="shared" si="1681"/>
        <v>0</v>
      </c>
      <c r="AA807" s="2179">
        <f t="shared" si="1681"/>
        <v>0</v>
      </c>
      <c r="AB807" s="2178">
        <f t="shared" si="1682"/>
        <v>0</v>
      </c>
      <c r="AC807" s="2184">
        <f t="shared" ref="AC807:AD807" si="1739">AC746*AC765*1000</f>
        <v>0</v>
      </c>
      <c r="AD807" s="2179">
        <f t="shared" si="1739"/>
        <v>0</v>
      </c>
      <c r="AE807" s="2180">
        <f t="shared" si="1735"/>
        <v>0</v>
      </c>
      <c r="AF807" s="2403"/>
      <c r="AG807" s="2158"/>
      <c r="AH807" s="2188">
        <f>AH746*AH765*1000</f>
        <v>0</v>
      </c>
      <c r="AI807" s="2188">
        <f t="shared" ref="AI807" si="1740">AI746*AI765*1000</f>
        <v>0</v>
      </c>
      <c r="AJ807" s="2186">
        <f t="shared" si="1721"/>
        <v>0</v>
      </c>
      <c r="AK807" s="2188">
        <f>AK746*AK765*1000</f>
        <v>0</v>
      </c>
      <c r="AL807" s="2188">
        <f t="shared" ref="AL807" si="1741">AL746*AL765*1000</f>
        <v>0</v>
      </c>
      <c r="AM807" s="2186">
        <f t="shared" si="1722"/>
        <v>0</v>
      </c>
      <c r="AN807" s="2188">
        <f>AN746*AN765*1000</f>
        <v>0</v>
      </c>
      <c r="AO807" s="2188">
        <f t="shared" ref="AO807" si="1742">AO746*AO765*1000</f>
        <v>0</v>
      </c>
      <c r="AP807" s="2186">
        <f t="shared" si="1723"/>
        <v>0</v>
      </c>
      <c r="AQ807" s="2188">
        <f>AQ746*AQ765*1000</f>
        <v>0</v>
      </c>
      <c r="AR807" s="2188">
        <f t="shared" ref="AR807" si="1743">AR746*AR765*1000</f>
        <v>0</v>
      </c>
      <c r="AS807" s="2186">
        <f t="shared" si="1724"/>
        <v>0</v>
      </c>
      <c r="AT807" s="2188">
        <f>AT746*AT765*1000</f>
        <v>0</v>
      </c>
      <c r="AU807" s="2188">
        <f t="shared" ref="AU807" si="1744">AU746*AU765*1000</f>
        <v>0</v>
      </c>
      <c r="AV807" s="2186">
        <f t="shared" si="1725"/>
        <v>0</v>
      </c>
      <c r="AW807" s="2188">
        <f>AW746*AW765*1000</f>
        <v>0</v>
      </c>
      <c r="AX807" s="2188">
        <f t="shared" ref="AX807" si="1745">AX746*AX765*1000</f>
        <v>0</v>
      </c>
      <c r="AY807" s="2186">
        <f t="shared" si="1726"/>
        <v>0</v>
      </c>
      <c r="AZ807" s="2188">
        <f>AZ746*AZ765*1000</f>
        <v>0</v>
      </c>
      <c r="BA807" s="2188">
        <f t="shared" ref="BA807" si="1746">BA746*BA765*1000</f>
        <v>0</v>
      </c>
      <c r="BB807" s="2186">
        <f t="shared" si="1727"/>
        <v>0</v>
      </c>
      <c r="BC807" s="2188">
        <f>BC746*BC765*1000</f>
        <v>0</v>
      </c>
      <c r="BD807" s="2188">
        <f t="shared" ref="BD807" si="1747">BD746*BD765*1000</f>
        <v>0</v>
      </c>
      <c r="BE807" s="2186">
        <f t="shared" si="1728"/>
        <v>0</v>
      </c>
      <c r="BF807" s="2188">
        <f>BF746*BF765*1000</f>
        <v>0</v>
      </c>
      <c r="BG807" s="2188">
        <f t="shared" ref="BG807" si="1748">BG746*BG765*1000</f>
        <v>0</v>
      </c>
      <c r="BH807" s="2186">
        <f t="shared" si="1729"/>
        <v>0</v>
      </c>
      <c r="BI807" s="2188">
        <f>BI746*BI765*1000</f>
        <v>0</v>
      </c>
      <c r="BJ807" s="2188">
        <f t="shared" ref="BJ807" si="1749">BJ746*BJ765*1000</f>
        <v>0</v>
      </c>
      <c r="BK807" s="2186">
        <f t="shared" si="1730"/>
        <v>0</v>
      </c>
      <c r="BL807" s="2188">
        <f>BL746*BL765*1000</f>
        <v>0</v>
      </c>
      <c r="BM807" s="2188">
        <f t="shared" ref="BM807" si="1750">BM746*BM765*1000</f>
        <v>0</v>
      </c>
      <c r="BN807" s="2186">
        <f t="shared" si="1731"/>
        <v>0</v>
      </c>
      <c r="BO807" s="2188">
        <f>BO746*BO765*1000</f>
        <v>0</v>
      </c>
      <c r="BP807" s="2188">
        <f t="shared" ref="BP807" si="1751">BP746*BP765*1000</f>
        <v>0</v>
      </c>
      <c r="BQ807" s="2186">
        <f t="shared" si="1732"/>
        <v>0</v>
      </c>
    </row>
    <row r="808" spans="3:69" s="2159" customFormat="1" ht="12" hidden="1" customHeight="1">
      <c r="C808" s="2173" t="s">
        <v>2980</v>
      </c>
      <c r="D808" s="2209" t="s">
        <v>2211</v>
      </c>
      <c r="E808" s="2197" t="s">
        <v>2590</v>
      </c>
      <c r="F808" s="2176"/>
      <c r="G808" s="2177"/>
      <c r="H808" s="2177"/>
      <c r="I808" s="2178">
        <f t="shared" si="1719"/>
        <v>0</v>
      </c>
      <c r="J808" s="2176"/>
      <c r="K808" s="2179">
        <f t="shared" si="1718"/>
        <v>0</v>
      </c>
      <c r="L808" s="2179">
        <f t="shared" si="1718"/>
        <v>0</v>
      </c>
      <c r="M808" s="2178">
        <f t="shared" si="1678"/>
        <v>0</v>
      </c>
      <c r="N808" s="2177"/>
      <c r="O808" s="2177"/>
      <c r="P808" s="2178">
        <f t="shared" si="1720"/>
        <v>0</v>
      </c>
      <c r="Q808" s="2176"/>
      <c r="R808" s="2177"/>
      <c r="S808" s="2406"/>
      <c r="T808" s="2216"/>
      <c r="U808" s="2177"/>
      <c r="V808" s="2406"/>
      <c r="W808" s="2182"/>
      <c r="X808" s="2177"/>
      <c r="Y808" s="2407"/>
      <c r="Z808" s="2176"/>
      <c r="AA808" s="2177"/>
      <c r="AB808" s="2408"/>
      <c r="AC808" s="2176"/>
      <c r="AD808" s="2177"/>
      <c r="AE808" s="2406"/>
      <c r="AF808" s="2403"/>
      <c r="AG808" s="2158"/>
      <c r="AH808" s="2177"/>
      <c r="AI808" s="2177"/>
      <c r="AJ808" s="2186">
        <f t="shared" si="1721"/>
        <v>0</v>
      </c>
      <c r="AK808" s="2177"/>
      <c r="AL808" s="2177"/>
      <c r="AM808" s="2186">
        <f t="shared" si="1722"/>
        <v>0</v>
      </c>
      <c r="AN808" s="2177"/>
      <c r="AO808" s="2177"/>
      <c r="AP808" s="2186">
        <f t="shared" si="1723"/>
        <v>0</v>
      </c>
      <c r="AQ808" s="2177"/>
      <c r="AR808" s="2177"/>
      <c r="AS808" s="2186">
        <f t="shared" si="1724"/>
        <v>0</v>
      </c>
      <c r="AT808" s="2177"/>
      <c r="AU808" s="2177"/>
      <c r="AV808" s="2186">
        <f t="shared" si="1725"/>
        <v>0</v>
      </c>
      <c r="AW808" s="2177"/>
      <c r="AX808" s="2177"/>
      <c r="AY808" s="2186">
        <f t="shared" si="1726"/>
        <v>0</v>
      </c>
      <c r="AZ808" s="2177"/>
      <c r="BA808" s="2177"/>
      <c r="BB808" s="2186">
        <f t="shared" si="1727"/>
        <v>0</v>
      </c>
      <c r="BC808" s="2177"/>
      <c r="BD808" s="2177"/>
      <c r="BE808" s="2186">
        <f t="shared" si="1728"/>
        <v>0</v>
      </c>
      <c r="BF808" s="2177"/>
      <c r="BG808" s="2177"/>
      <c r="BH808" s="2186">
        <f t="shared" si="1729"/>
        <v>0</v>
      </c>
      <c r="BI808" s="2177"/>
      <c r="BJ808" s="2177"/>
      <c r="BK808" s="2186">
        <f t="shared" si="1730"/>
        <v>0</v>
      </c>
      <c r="BL808" s="2177"/>
      <c r="BM808" s="2177"/>
      <c r="BN808" s="2186">
        <f t="shared" si="1731"/>
        <v>0</v>
      </c>
      <c r="BO808" s="2177"/>
      <c r="BP808" s="2177"/>
      <c r="BQ808" s="2186">
        <f t="shared" si="1732"/>
        <v>0</v>
      </c>
    </row>
    <row r="809" spans="3:69" s="2087" customFormat="1" ht="12" hidden="1" customHeight="1">
      <c r="C809" s="2173" t="s">
        <v>2981</v>
      </c>
      <c r="D809" s="2362" t="s">
        <v>2395</v>
      </c>
      <c r="E809" s="2197" t="s">
        <v>2590</v>
      </c>
      <c r="F809" s="2176"/>
      <c r="G809" s="2177"/>
      <c r="H809" s="2177"/>
      <c r="I809" s="2178">
        <f t="shared" si="1719"/>
        <v>0</v>
      </c>
      <c r="J809" s="2176"/>
      <c r="K809" s="2179">
        <f t="shared" si="1718"/>
        <v>0</v>
      </c>
      <c r="L809" s="2179">
        <f t="shared" si="1718"/>
        <v>0</v>
      </c>
      <c r="M809" s="2178">
        <f t="shared" si="1678"/>
        <v>0</v>
      </c>
      <c r="N809" s="2177"/>
      <c r="O809" s="2177"/>
      <c r="P809" s="2178">
        <f t="shared" si="1720"/>
        <v>0</v>
      </c>
      <c r="Q809" s="2176"/>
      <c r="R809" s="2177"/>
      <c r="S809" s="2180">
        <f t="shared" si="1733"/>
        <v>0</v>
      </c>
      <c r="T809" s="2181">
        <f t="shared" si="1679"/>
        <v>0</v>
      </c>
      <c r="U809" s="2179">
        <f t="shared" si="1679"/>
        <v>0</v>
      </c>
      <c r="V809" s="2180">
        <f t="shared" si="1680"/>
        <v>0</v>
      </c>
      <c r="W809" s="2182"/>
      <c r="X809" s="2177"/>
      <c r="Y809" s="2183">
        <f t="shared" si="1734"/>
        <v>0</v>
      </c>
      <c r="Z809" s="2184">
        <f t="shared" si="1681"/>
        <v>0</v>
      </c>
      <c r="AA809" s="2179">
        <f t="shared" si="1681"/>
        <v>0</v>
      </c>
      <c r="AB809" s="2178">
        <f t="shared" si="1682"/>
        <v>0</v>
      </c>
      <c r="AC809" s="2176"/>
      <c r="AD809" s="2177"/>
      <c r="AE809" s="2180">
        <f t="shared" si="1735"/>
        <v>0</v>
      </c>
      <c r="AF809" s="2403"/>
      <c r="AG809" s="2114"/>
      <c r="AH809" s="2177"/>
      <c r="AI809" s="2177"/>
      <c r="AJ809" s="2186">
        <f t="shared" si="1721"/>
        <v>0</v>
      </c>
      <c r="AK809" s="2177"/>
      <c r="AL809" s="2177"/>
      <c r="AM809" s="2186">
        <f t="shared" si="1722"/>
        <v>0</v>
      </c>
      <c r="AN809" s="2177"/>
      <c r="AO809" s="2177"/>
      <c r="AP809" s="2186">
        <f t="shared" si="1723"/>
        <v>0</v>
      </c>
      <c r="AQ809" s="2177"/>
      <c r="AR809" s="2177"/>
      <c r="AS809" s="2186">
        <f t="shared" si="1724"/>
        <v>0</v>
      </c>
      <c r="AT809" s="2177"/>
      <c r="AU809" s="2177"/>
      <c r="AV809" s="2186">
        <f t="shared" si="1725"/>
        <v>0</v>
      </c>
      <c r="AW809" s="2177"/>
      <c r="AX809" s="2177"/>
      <c r="AY809" s="2186">
        <f t="shared" si="1726"/>
        <v>0</v>
      </c>
      <c r="AZ809" s="2177"/>
      <c r="BA809" s="2177"/>
      <c r="BB809" s="2186">
        <f t="shared" si="1727"/>
        <v>0</v>
      </c>
      <c r="BC809" s="2177"/>
      <c r="BD809" s="2177"/>
      <c r="BE809" s="2186">
        <f t="shared" si="1728"/>
        <v>0</v>
      </c>
      <c r="BF809" s="2177"/>
      <c r="BG809" s="2177"/>
      <c r="BH809" s="2186">
        <f t="shared" si="1729"/>
        <v>0</v>
      </c>
      <c r="BI809" s="2177"/>
      <c r="BJ809" s="2177"/>
      <c r="BK809" s="2186">
        <f t="shared" si="1730"/>
        <v>0</v>
      </c>
      <c r="BL809" s="2177"/>
      <c r="BM809" s="2177"/>
      <c r="BN809" s="2186">
        <f t="shared" si="1731"/>
        <v>0</v>
      </c>
      <c r="BO809" s="2177"/>
      <c r="BP809" s="2177"/>
      <c r="BQ809" s="2186">
        <f t="shared" si="1732"/>
        <v>0</v>
      </c>
    </row>
    <row r="810" spans="3:69" s="2087" customFormat="1" ht="12" hidden="1" customHeight="1">
      <c r="C810" s="2173" t="s">
        <v>2982</v>
      </c>
      <c r="D810" s="2209" t="s">
        <v>2211</v>
      </c>
      <c r="E810" s="2197" t="s">
        <v>2590</v>
      </c>
      <c r="F810" s="2176"/>
      <c r="G810" s="2177"/>
      <c r="H810" s="2177"/>
      <c r="I810" s="2178">
        <f t="shared" si="1719"/>
        <v>0</v>
      </c>
      <c r="J810" s="2176"/>
      <c r="K810" s="2179">
        <f t="shared" si="1718"/>
        <v>0</v>
      </c>
      <c r="L810" s="2179">
        <f t="shared" si="1718"/>
        <v>0</v>
      </c>
      <c r="M810" s="2178">
        <f t="shared" si="1678"/>
        <v>0</v>
      </c>
      <c r="N810" s="2177"/>
      <c r="O810" s="2177"/>
      <c r="P810" s="2178">
        <f t="shared" si="1720"/>
        <v>0</v>
      </c>
      <c r="Q810" s="2176"/>
      <c r="R810" s="2177"/>
      <c r="S810" s="2406"/>
      <c r="T810" s="2216"/>
      <c r="U810" s="2177"/>
      <c r="V810" s="2406"/>
      <c r="W810" s="2182"/>
      <c r="X810" s="2177"/>
      <c r="Y810" s="2407"/>
      <c r="Z810" s="2176"/>
      <c r="AA810" s="2177"/>
      <c r="AB810" s="2408"/>
      <c r="AC810" s="2176"/>
      <c r="AD810" s="2177"/>
      <c r="AE810" s="2406"/>
      <c r="AF810" s="2403"/>
      <c r="AG810" s="2114"/>
      <c r="AH810" s="2177"/>
      <c r="AI810" s="2177"/>
      <c r="AJ810" s="2186">
        <f t="shared" si="1721"/>
        <v>0</v>
      </c>
      <c r="AK810" s="2177"/>
      <c r="AL810" s="2177"/>
      <c r="AM810" s="2186">
        <f t="shared" si="1722"/>
        <v>0</v>
      </c>
      <c r="AN810" s="2177"/>
      <c r="AO810" s="2177"/>
      <c r="AP810" s="2186">
        <f t="shared" si="1723"/>
        <v>0</v>
      </c>
      <c r="AQ810" s="2177"/>
      <c r="AR810" s="2177"/>
      <c r="AS810" s="2186">
        <f t="shared" si="1724"/>
        <v>0</v>
      </c>
      <c r="AT810" s="2177"/>
      <c r="AU810" s="2177"/>
      <c r="AV810" s="2186">
        <f t="shared" si="1725"/>
        <v>0</v>
      </c>
      <c r="AW810" s="2177"/>
      <c r="AX810" s="2177"/>
      <c r="AY810" s="2186">
        <f t="shared" si="1726"/>
        <v>0</v>
      </c>
      <c r="AZ810" s="2177"/>
      <c r="BA810" s="2177"/>
      <c r="BB810" s="2186">
        <f t="shared" si="1727"/>
        <v>0</v>
      </c>
      <c r="BC810" s="2177"/>
      <c r="BD810" s="2177"/>
      <c r="BE810" s="2186">
        <f t="shared" si="1728"/>
        <v>0</v>
      </c>
      <c r="BF810" s="2177"/>
      <c r="BG810" s="2177"/>
      <c r="BH810" s="2186">
        <f t="shared" si="1729"/>
        <v>0</v>
      </c>
      <c r="BI810" s="2177"/>
      <c r="BJ810" s="2177"/>
      <c r="BK810" s="2186">
        <f t="shared" si="1730"/>
        <v>0</v>
      </c>
      <c r="BL810" s="2177"/>
      <c r="BM810" s="2177"/>
      <c r="BN810" s="2186">
        <f t="shared" si="1731"/>
        <v>0</v>
      </c>
      <c r="BO810" s="2177"/>
      <c r="BP810" s="2177"/>
      <c r="BQ810" s="2186">
        <f t="shared" si="1732"/>
        <v>0</v>
      </c>
    </row>
    <row r="811" spans="3:69" s="2159" customFormat="1" ht="12" customHeight="1">
      <c r="C811" s="2256" t="s">
        <v>2021</v>
      </c>
      <c r="D811" s="2161" t="s">
        <v>2983</v>
      </c>
      <c r="E811" s="2120" t="s">
        <v>2590</v>
      </c>
      <c r="F811" s="2162"/>
      <c r="G811" s="2218"/>
      <c r="H811" s="2218"/>
      <c r="I811" s="2164">
        <f t="shared" si="1719"/>
        <v>0</v>
      </c>
      <c r="J811" s="2162"/>
      <c r="K811" s="2163">
        <f t="shared" si="1718"/>
        <v>0</v>
      </c>
      <c r="L811" s="2163">
        <f t="shared" si="1718"/>
        <v>0</v>
      </c>
      <c r="M811" s="2164">
        <f t="shared" si="1678"/>
        <v>0</v>
      </c>
      <c r="N811" s="2218"/>
      <c r="O811" s="2218"/>
      <c r="P811" s="2164">
        <f t="shared" si="1720"/>
        <v>0</v>
      </c>
      <c r="Q811" s="2162"/>
      <c r="R811" s="2218"/>
      <c r="S811" s="2166">
        <f t="shared" ref="S811:S821" si="1752">R811-Q811</f>
        <v>0</v>
      </c>
      <c r="T811" s="2167">
        <f>N811+Q811</f>
        <v>0</v>
      </c>
      <c r="U811" s="2163">
        <f>O811+R811</f>
        <v>0</v>
      </c>
      <c r="V811" s="2166">
        <f>U811-T811</f>
        <v>0</v>
      </c>
      <c r="W811" s="2220"/>
      <c r="X811" s="2218"/>
      <c r="Y811" s="2169">
        <f t="shared" ref="Y811:Y821" si="1753">X811-W811</f>
        <v>0</v>
      </c>
      <c r="Z811" s="2165">
        <f>T811+W811</f>
        <v>0</v>
      </c>
      <c r="AA811" s="2163">
        <f>U811+X811</f>
        <v>0</v>
      </c>
      <c r="AB811" s="2164">
        <f>AA811-Z811</f>
        <v>0</v>
      </c>
      <c r="AC811" s="2162"/>
      <c r="AD811" s="2218"/>
      <c r="AE811" s="2166">
        <f>AD811-AC811</f>
        <v>0</v>
      </c>
      <c r="AF811" s="2409"/>
      <c r="AG811" s="2158"/>
      <c r="AH811" s="2218"/>
      <c r="AI811" s="2218"/>
      <c r="AJ811" s="2172">
        <f t="shared" si="1721"/>
        <v>0</v>
      </c>
      <c r="AK811" s="2218"/>
      <c r="AL811" s="2218"/>
      <c r="AM811" s="2172">
        <f t="shared" si="1722"/>
        <v>0</v>
      </c>
      <c r="AN811" s="2218"/>
      <c r="AO811" s="2218"/>
      <c r="AP811" s="2172">
        <f t="shared" si="1723"/>
        <v>0</v>
      </c>
      <c r="AQ811" s="2218"/>
      <c r="AR811" s="2218"/>
      <c r="AS811" s="2172">
        <f t="shared" si="1724"/>
        <v>0</v>
      </c>
      <c r="AT811" s="2218"/>
      <c r="AU811" s="2218"/>
      <c r="AV811" s="2172">
        <f t="shared" si="1725"/>
        <v>0</v>
      </c>
      <c r="AW811" s="2218"/>
      <c r="AX811" s="2218"/>
      <c r="AY811" s="2172">
        <f t="shared" si="1726"/>
        <v>0</v>
      </c>
      <c r="AZ811" s="2218"/>
      <c r="BA811" s="2218"/>
      <c r="BB811" s="2172">
        <f t="shared" si="1727"/>
        <v>0</v>
      </c>
      <c r="BC811" s="2218"/>
      <c r="BD811" s="2218"/>
      <c r="BE811" s="2172">
        <f t="shared" si="1728"/>
        <v>0</v>
      </c>
      <c r="BF811" s="2218"/>
      <c r="BG811" s="2218"/>
      <c r="BH811" s="2172">
        <f t="shared" si="1729"/>
        <v>0</v>
      </c>
      <c r="BI811" s="2218"/>
      <c r="BJ811" s="2218"/>
      <c r="BK811" s="2172">
        <f t="shared" si="1730"/>
        <v>0</v>
      </c>
      <c r="BL811" s="2218"/>
      <c r="BM811" s="2218"/>
      <c r="BN811" s="2172">
        <f t="shared" si="1731"/>
        <v>0</v>
      </c>
      <c r="BO811" s="2218"/>
      <c r="BP811" s="2218"/>
      <c r="BQ811" s="2172">
        <f t="shared" si="1732"/>
        <v>0</v>
      </c>
    </row>
    <row r="812" spans="3:69" s="2159" customFormat="1" ht="12" customHeight="1">
      <c r="C812" s="2256" t="s">
        <v>2022</v>
      </c>
      <c r="D812" s="2161" t="s">
        <v>2984</v>
      </c>
      <c r="E812" s="2120" t="s">
        <v>2590</v>
      </c>
      <c r="F812" s="2162">
        <f>F811+F769</f>
        <v>2837718.7482801597</v>
      </c>
      <c r="G812" s="2163">
        <f>G811+G769</f>
        <v>2523710.8822198198</v>
      </c>
      <c r="H812" s="2163">
        <f>H811+H769</f>
        <v>2552127.2978474577</v>
      </c>
      <c r="I812" s="2164">
        <f>H812-G812</f>
        <v>28416.415627637878</v>
      </c>
      <c r="J812" s="2162">
        <f>J811+J769</f>
        <v>2563173.1727321912</v>
      </c>
      <c r="K812" s="2163">
        <f t="shared" si="1718"/>
        <v>2706994.0267353398</v>
      </c>
      <c r="L812" s="2163">
        <f t="shared" si="1718"/>
        <v>0</v>
      </c>
      <c r="M812" s="2164">
        <f t="shared" si="1678"/>
        <v>-2706994.0267353398</v>
      </c>
      <c r="N812" s="2163">
        <f>N811+N769</f>
        <v>809428.44258922152</v>
      </c>
      <c r="O812" s="2163">
        <f>O811+O769</f>
        <v>0</v>
      </c>
      <c r="P812" s="2164">
        <f t="shared" si="1720"/>
        <v>-809428.44258922152</v>
      </c>
      <c r="Q812" s="2165">
        <f>Q811+Q769</f>
        <v>558132.87827556627</v>
      </c>
      <c r="R812" s="2163">
        <f>R811+R769</f>
        <v>0</v>
      </c>
      <c r="S812" s="2166">
        <f t="shared" si="1752"/>
        <v>-558132.87827556627</v>
      </c>
      <c r="T812" s="2167">
        <f>N812+Q812</f>
        <v>1367561.3208647878</v>
      </c>
      <c r="U812" s="2163">
        <f>O812+R812</f>
        <v>0</v>
      </c>
      <c r="V812" s="2166">
        <f>U812-T812</f>
        <v>-1367561.3208647878</v>
      </c>
      <c r="W812" s="2168">
        <f>W811+W769</f>
        <v>506793.30178133224</v>
      </c>
      <c r="X812" s="2163">
        <f>X811+X769</f>
        <v>0</v>
      </c>
      <c r="Y812" s="2169">
        <f t="shared" si="1753"/>
        <v>-506793.30178133224</v>
      </c>
      <c r="Z812" s="2165">
        <f>T812+W812</f>
        <v>1874354.6226461199</v>
      </c>
      <c r="AA812" s="2163">
        <f>U812+X812</f>
        <v>0</v>
      </c>
      <c r="AB812" s="2164">
        <f>AA812-Z812</f>
        <v>-1874354.6226461199</v>
      </c>
      <c r="AC812" s="2165">
        <f>AC811+AC769</f>
        <v>832639.40408921975</v>
      </c>
      <c r="AD812" s="2163">
        <f>AD811+AD769</f>
        <v>0</v>
      </c>
      <c r="AE812" s="2166">
        <f>AD812-AC812</f>
        <v>-832639.40408921975</v>
      </c>
      <c r="AF812" s="2409"/>
      <c r="AG812" s="2158"/>
      <c r="AH812" s="2171">
        <f>AH811+AH769</f>
        <v>322229.19007966213</v>
      </c>
      <c r="AI812" s="2171">
        <f>AI811+AI769</f>
        <v>0</v>
      </c>
      <c r="AJ812" s="2172">
        <f t="shared" si="1721"/>
        <v>-322229.19007966213</v>
      </c>
      <c r="AK812" s="2171">
        <f>AK811+AK769</f>
        <v>310354.89303245145</v>
      </c>
      <c r="AL812" s="2171">
        <f>AL811+AL769</f>
        <v>0</v>
      </c>
      <c r="AM812" s="2172">
        <f t="shared" si="1722"/>
        <v>-310354.89303245145</v>
      </c>
      <c r="AN812" s="2171">
        <f>AN811+AN769</f>
        <v>277293.05694185355</v>
      </c>
      <c r="AO812" s="2171">
        <f>AO811+AO769</f>
        <v>0</v>
      </c>
      <c r="AP812" s="2172">
        <f t="shared" si="1723"/>
        <v>-277293.05694185355</v>
      </c>
      <c r="AQ812" s="2171">
        <f>AQ811+AQ769</f>
        <v>209231.72397126467</v>
      </c>
      <c r="AR812" s="2171">
        <f>AR811+AR769</f>
        <v>0</v>
      </c>
      <c r="AS812" s="2172">
        <f t="shared" si="1724"/>
        <v>-209231.72397126467</v>
      </c>
      <c r="AT812" s="2171">
        <f>AT811+AT769</f>
        <v>196264.52975039248</v>
      </c>
      <c r="AU812" s="2171">
        <f>AU811+AU769</f>
        <v>0</v>
      </c>
      <c r="AV812" s="2172">
        <f t="shared" si="1725"/>
        <v>-196264.52975039248</v>
      </c>
      <c r="AW812" s="2171">
        <f>AW811+AW769</f>
        <v>152636.62455390918</v>
      </c>
      <c r="AX812" s="2171">
        <f>AX811+AX769</f>
        <v>0</v>
      </c>
      <c r="AY812" s="2172">
        <f t="shared" si="1726"/>
        <v>-152636.62455390918</v>
      </c>
      <c r="AZ812" s="2171">
        <f>AZ811+AZ769</f>
        <v>152160.07849026172</v>
      </c>
      <c r="BA812" s="2171">
        <f>BA811+BA769</f>
        <v>0</v>
      </c>
      <c r="BB812" s="2172">
        <f t="shared" si="1727"/>
        <v>-152160.07849026172</v>
      </c>
      <c r="BC812" s="2171">
        <f>BC811+BC769</f>
        <v>156086.57574659504</v>
      </c>
      <c r="BD812" s="2171">
        <f>BD811+BD769</f>
        <v>0</v>
      </c>
      <c r="BE812" s="2172">
        <f t="shared" si="1728"/>
        <v>-156086.57574659504</v>
      </c>
      <c r="BF812" s="2171">
        <f>BF811+BF769</f>
        <v>198546.64754447548</v>
      </c>
      <c r="BG812" s="2171">
        <f>BG811+BG769</f>
        <v>0</v>
      </c>
      <c r="BH812" s="2172">
        <f t="shared" si="1729"/>
        <v>-198546.64754447548</v>
      </c>
      <c r="BI812" s="2171">
        <f>BI811+BI769</f>
        <v>260292.40964103458</v>
      </c>
      <c r="BJ812" s="2171">
        <f>BJ811+BJ769</f>
        <v>0</v>
      </c>
      <c r="BK812" s="2172">
        <f t="shared" si="1730"/>
        <v>-260292.40964103458</v>
      </c>
      <c r="BL812" s="2171">
        <f>BL811+BL769</f>
        <v>281907.95965799165</v>
      </c>
      <c r="BM812" s="2171">
        <f>BM811+BM769</f>
        <v>0</v>
      </c>
      <c r="BN812" s="2172">
        <f t="shared" si="1731"/>
        <v>-281907.95965799165</v>
      </c>
      <c r="BO812" s="2171">
        <f>BO811+BO769</f>
        <v>290439.03479019384</v>
      </c>
      <c r="BP812" s="2171">
        <f>BP811+BP769</f>
        <v>0</v>
      </c>
      <c r="BQ812" s="2172">
        <f t="shared" si="1732"/>
        <v>-290439.03479019384</v>
      </c>
    </row>
    <row r="813" spans="3:69" s="2159" customFormat="1" ht="26.45" customHeight="1">
      <c r="C813" s="2256" t="s">
        <v>2985</v>
      </c>
      <c r="D813" s="2161" t="s">
        <v>2986</v>
      </c>
      <c r="E813" s="2120" t="s">
        <v>2590</v>
      </c>
      <c r="F813" s="2219">
        <v>1559790.0885518678</v>
      </c>
      <c r="G813" s="2163">
        <f>G814+G815</f>
        <v>1248886</v>
      </c>
      <c r="H813" s="2163">
        <f>H814+H815</f>
        <v>1299330.6254799997</v>
      </c>
      <c r="I813" s="2164">
        <f>H813-G813</f>
        <v>50444.625479999697</v>
      </c>
      <c r="J813" s="2162">
        <f>J814+J815</f>
        <v>1284496.8698820597</v>
      </c>
      <c r="K813" s="2163">
        <f>K814+K815</f>
        <v>1322788.2622121957</v>
      </c>
      <c r="L813" s="2163">
        <f>L814+L815</f>
        <v>0</v>
      </c>
      <c r="M813" s="2164">
        <f>L813-K813</f>
        <v>-1322788.2622121957</v>
      </c>
      <c r="N813" s="2163">
        <f>N814+N815</f>
        <v>376408.81979536108</v>
      </c>
      <c r="O813" s="2163">
        <f>O814+O815</f>
        <v>0</v>
      </c>
      <c r="P813" s="2164">
        <f>O813-N813</f>
        <v>-376408.81979536108</v>
      </c>
      <c r="Q813" s="2163">
        <f>Q814+Q815</f>
        <v>269995.27992214973</v>
      </c>
      <c r="R813" s="2163">
        <f>R814+R815</f>
        <v>0</v>
      </c>
      <c r="S813" s="2164">
        <f t="shared" si="1752"/>
        <v>-269995.27992214973</v>
      </c>
      <c r="T813" s="2167">
        <f t="shared" ref="T813:U826" si="1754">N813+Q813</f>
        <v>646404.09971751086</v>
      </c>
      <c r="U813" s="2163">
        <f t="shared" si="1754"/>
        <v>0</v>
      </c>
      <c r="V813" s="2166">
        <f t="shared" ref="V813:V826" si="1755">U813-T813</f>
        <v>-646404.09971751086</v>
      </c>
      <c r="W813" s="2168">
        <f>W814+W815</f>
        <v>258420.55565945109</v>
      </c>
      <c r="X813" s="2163">
        <f>X814+X815</f>
        <v>0</v>
      </c>
      <c r="Y813" s="2169">
        <f t="shared" si="1753"/>
        <v>-258420.55565945109</v>
      </c>
      <c r="Z813" s="2165">
        <f t="shared" ref="Z813:AA826" si="1756">T813+W813</f>
        <v>904824.65537696192</v>
      </c>
      <c r="AA813" s="2163">
        <f t="shared" si="1756"/>
        <v>0</v>
      </c>
      <c r="AB813" s="2164">
        <f t="shared" ref="AB813:AB826" si="1757">AA813-Z813</f>
        <v>-904824.65537696192</v>
      </c>
      <c r="AC813" s="2163">
        <f>AC814+AC815</f>
        <v>417963.60683523369</v>
      </c>
      <c r="AD813" s="2163">
        <f>AD814+AD815</f>
        <v>0</v>
      </c>
      <c r="AE813" s="2365">
        <f t="shared" ref="AE813:AE821" si="1758">AD813-AC813</f>
        <v>-417963.60683523369</v>
      </c>
      <c r="AF813" s="2409"/>
      <c r="AG813" s="2158"/>
      <c r="AH813" s="2171">
        <f>AH814+AH815</f>
        <v>53818.308530000002</v>
      </c>
      <c r="AI813" s="2171">
        <f>AI814+AI815</f>
        <v>0</v>
      </c>
      <c r="AJ813" s="2172">
        <f>AI813-AH813</f>
        <v>-53818.308530000002</v>
      </c>
      <c r="AK813" s="2171">
        <f>AK814+AK815</f>
        <v>141028.89305031075</v>
      </c>
      <c r="AL813" s="2171">
        <f>AL814+AL815</f>
        <v>0</v>
      </c>
      <c r="AM813" s="2172">
        <f>AL813-AK813</f>
        <v>-141028.89305031075</v>
      </c>
      <c r="AN813" s="2171">
        <f>AN814+AN815</f>
        <v>133061.92625494426</v>
      </c>
      <c r="AO813" s="2171">
        <f>AO814+AO815</f>
        <v>0</v>
      </c>
      <c r="AP813" s="2172">
        <f>AO813-AN813</f>
        <v>-133061.92625494426</v>
      </c>
      <c r="AQ813" s="2171">
        <f>AQ814+AQ815</f>
        <v>100380.00305567989</v>
      </c>
      <c r="AR813" s="2171">
        <f>AR814+AR815</f>
        <v>0</v>
      </c>
      <c r="AS813" s="2172">
        <f>AR813-AQ813</f>
        <v>-100380.00305567989</v>
      </c>
      <c r="AT813" s="2171">
        <f>AT814+AT815</f>
        <v>95422.216680936137</v>
      </c>
      <c r="AU813" s="2171">
        <f>AU814+AU815</f>
        <v>0</v>
      </c>
      <c r="AV813" s="2172">
        <f>AU813-AT813</f>
        <v>-95422.216680936137</v>
      </c>
      <c r="AW813" s="2171">
        <f>AW814+AW815</f>
        <v>74193.060185533657</v>
      </c>
      <c r="AX813" s="2171">
        <f>AX814+AX815</f>
        <v>0</v>
      </c>
      <c r="AY813" s="2172">
        <f>AX813-AW813</f>
        <v>-74193.060185533657</v>
      </c>
      <c r="AZ813" s="2171">
        <f>AZ814+AZ815</f>
        <v>77759.383418666534</v>
      </c>
      <c r="BA813" s="2171">
        <f>BA814+BA815</f>
        <v>0</v>
      </c>
      <c r="BB813" s="2172">
        <f>BA813-AZ813</f>
        <v>-77759.383418666534</v>
      </c>
      <c r="BC813" s="2171">
        <f>BC814+BC815</f>
        <v>80044.85296634605</v>
      </c>
      <c r="BD813" s="2171">
        <f>BD814+BD815</f>
        <v>0</v>
      </c>
      <c r="BE813" s="2172">
        <f>BD813-BC813</f>
        <v>-80044.85296634605</v>
      </c>
      <c r="BF813" s="2171">
        <f>BF814+BF815</f>
        <v>100616.31927443846</v>
      </c>
      <c r="BG813" s="2171">
        <f>BG814+BG815</f>
        <v>0</v>
      </c>
      <c r="BH813" s="2172">
        <f>BG813-BF813</f>
        <v>-100616.31927443846</v>
      </c>
      <c r="BI813" s="2171">
        <f>BI814+BI815</f>
        <v>128831.3482298148</v>
      </c>
      <c r="BJ813" s="2171">
        <f>BJ814+BJ815</f>
        <v>127382.24134387971</v>
      </c>
      <c r="BK813" s="2172">
        <f>BJ813-BI813</f>
        <v>-1449.1068859350926</v>
      </c>
      <c r="BL813" s="2171">
        <f>BL814+BL815</f>
        <v>138934.91828290961</v>
      </c>
      <c r="BM813" s="2171">
        <f>BM814+BM815</f>
        <v>137067.19276073729</v>
      </c>
      <c r="BN813" s="2172">
        <f>BM813-BL813</f>
        <v>-1867.7255221723171</v>
      </c>
      <c r="BO813" s="2171">
        <f>BO814+BO815</f>
        <v>150197.3403225092</v>
      </c>
      <c r="BP813" s="2171">
        <f>BP814+BP815</f>
        <v>148110.32410780672</v>
      </c>
      <c r="BQ813" s="2172">
        <f>BP813-BO813</f>
        <v>-2087.0162147024821</v>
      </c>
    </row>
    <row r="814" spans="3:69" s="2159" customFormat="1" ht="12" customHeight="1">
      <c r="C814" s="2173" t="s">
        <v>2987</v>
      </c>
      <c r="D814" s="2174" t="s">
        <v>2988</v>
      </c>
      <c r="E814" s="2197" t="s">
        <v>2851</v>
      </c>
      <c r="F814" s="2219">
        <v>1559790.0885518678</v>
      </c>
      <c r="G814" s="2218">
        <v>1248886</v>
      </c>
      <c r="H814" s="2218">
        <f>1283199.36085-364.791739710839</f>
        <v>1282834.5691102892</v>
      </c>
      <c r="I814" s="2164">
        <f>H814-G814</f>
        <v>33948.569110289216</v>
      </c>
      <c r="J814" s="2162">
        <v>1284496.8698820597</v>
      </c>
      <c r="K814" s="2218">
        <f>N814+Q814+W814+AC814</f>
        <v>1306035.0572121956</v>
      </c>
      <c r="L814" s="2218"/>
      <c r="M814" s="2164">
        <f>L814-K814</f>
        <v>-1306035.0572121956</v>
      </c>
      <c r="N814" s="2218">
        <v>371421.73056691804</v>
      </c>
      <c r="O814" s="2177"/>
      <c r="P814" s="2164">
        <f>O814-N814</f>
        <v>-371421.73056691804</v>
      </c>
      <c r="Q814" s="2218">
        <v>266647.98349169211</v>
      </c>
      <c r="R814" s="2177"/>
      <c r="S814" s="2164">
        <f t="shared" si="1752"/>
        <v>-266647.98349169211</v>
      </c>
      <c r="T814" s="2167">
        <f t="shared" si="1754"/>
        <v>638069.71405861015</v>
      </c>
      <c r="U814" s="2163">
        <f t="shared" si="1754"/>
        <v>0</v>
      </c>
      <c r="V814" s="2166">
        <f t="shared" si="1755"/>
        <v>-638069.71405861015</v>
      </c>
      <c r="W814" s="2220">
        <v>255405.58494116165</v>
      </c>
      <c r="X814" s="2177"/>
      <c r="Y814" s="2169">
        <f t="shared" si="1753"/>
        <v>-255405.58494116165</v>
      </c>
      <c r="Z814" s="2165">
        <f t="shared" si="1756"/>
        <v>893475.29899977183</v>
      </c>
      <c r="AA814" s="2163">
        <f t="shared" si="1756"/>
        <v>0</v>
      </c>
      <c r="AB814" s="2164">
        <f t="shared" si="1757"/>
        <v>-893475.29899977183</v>
      </c>
      <c r="AC814" s="2218">
        <v>412559.75821242377</v>
      </c>
      <c r="AD814" s="2177"/>
      <c r="AE814" s="2365">
        <f t="shared" si="1758"/>
        <v>-412559.75821242377</v>
      </c>
      <c r="AF814" s="2410"/>
      <c r="AG814" s="2158"/>
      <c r="AH814" s="2218">
        <f>ККП!D443*1000</f>
        <v>53818.308530000002</v>
      </c>
      <c r="AI814" s="2218"/>
      <c r="AJ814" s="2172">
        <f>AI814-AH814</f>
        <v>-53818.308530000002</v>
      </c>
      <c r="AK814" s="2218">
        <f>$N$814/$N$708*AK708</f>
        <v>138491.78692995425</v>
      </c>
      <c r="AL814" s="2218"/>
      <c r="AM814" s="2172">
        <f>AL814-AK814</f>
        <v>-138491.78692995425</v>
      </c>
      <c r="AN814" s="2218">
        <f>$N$814/$N$708*AN708</f>
        <v>130611.94314685771</v>
      </c>
      <c r="AO814" s="2218"/>
      <c r="AP814" s="2172">
        <f>AO814-AN814</f>
        <v>-130611.94314685771</v>
      </c>
      <c r="AQ814" s="2218">
        <f>$Q$814/$Q$708*AQ708</f>
        <v>99138.094904036494</v>
      </c>
      <c r="AR814" s="2218"/>
      <c r="AS814" s="2172">
        <f>AR814-AQ814</f>
        <v>-99138.094904036494</v>
      </c>
      <c r="AT814" s="2218">
        <f>$Q$814/$Q$708*AT708</f>
        <v>94180.453136993776</v>
      </c>
      <c r="AU814" s="2218"/>
      <c r="AV814" s="2172">
        <f>AU814-AT814</f>
        <v>-94180.453136993776</v>
      </c>
      <c r="AW814" s="2218">
        <f>$Q$814/$Q$708*AW708</f>
        <v>73329.435450661796</v>
      </c>
      <c r="AX814" s="2218"/>
      <c r="AY814" s="2172">
        <f>AX814-AW814</f>
        <v>-73329.435450661796</v>
      </c>
      <c r="AZ814" s="2218">
        <f>$W$814/$W$708*AZ708</f>
        <v>76888.404349285178</v>
      </c>
      <c r="BA814" s="2218"/>
      <c r="BB814" s="2172">
        <f>BA814-AZ814</f>
        <v>-76888.404349285178</v>
      </c>
      <c r="BC814" s="2218">
        <f>$W$814/$W$708*BC708</f>
        <v>79049.76950211692</v>
      </c>
      <c r="BD814" s="2218"/>
      <c r="BE814" s="2172">
        <f>BD814-BC814</f>
        <v>-79049.76950211692</v>
      </c>
      <c r="BF814" s="2218">
        <f>$W$814/$W$708*BF708</f>
        <v>99467.411089759509</v>
      </c>
      <c r="BG814" s="2218"/>
      <c r="BH814" s="2172">
        <f>BG814-BF814</f>
        <v>-99467.411089759509</v>
      </c>
      <c r="BI814" s="2218">
        <f>$AC$814/$AC$708*BI708</f>
        <v>127382.24134387971</v>
      </c>
      <c r="BJ814" s="2218">
        <f>BI814</f>
        <v>127382.24134387971</v>
      </c>
      <c r="BK814" s="2172">
        <f>BJ814-BI814</f>
        <v>0</v>
      </c>
      <c r="BL814" s="2218">
        <f>$AC$814/$AC$708*BL708</f>
        <v>137067.19276073729</v>
      </c>
      <c r="BM814" s="2218">
        <f>BL814</f>
        <v>137067.19276073729</v>
      </c>
      <c r="BN814" s="2172">
        <f>BM814-BL814</f>
        <v>0</v>
      </c>
      <c r="BO814" s="2218">
        <f>$AC$814/$AC$708*BO708</f>
        <v>148110.32410780672</v>
      </c>
      <c r="BP814" s="2218">
        <f>BO814</f>
        <v>148110.32410780672</v>
      </c>
      <c r="BQ814" s="2172">
        <f>BP814-BO814</f>
        <v>0</v>
      </c>
    </row>
    <row r="815" spans="3:69" s="2159" customFormat="1" ht="12" customHeight="1">
      <c r="C815" s="2173" t="s">
        <v>2989</v>
      </c>
      <c r="D815" s="2174" t="s">
        <v>2990</v>
      </c>
      <c r="E815" s="2197" t="s">
        <v>2851</v>
      </c>
      <c r="F815" s="2219"/>
      <c r="G815" s="2218"/>
      <c r="H815" s="2218">
        <v>16496.056369710452</v>
      </c>
      <c r="I815" s="2164">
        <f>H815-G815</f>
        <v>16496.056369710452</v>
      </c>
      <c r="J815" s="2162"/>
      <c r="K815" s="2218">
        <f>N815+Q815+W815+AC815</f>
        <v>16753.205000000002</v>
      </c>
      <c r="L815" s="2218"/>
      <c r="M815" s="2164">
        <f>L815-K815</f>
        <v>-16753.205000000002</v>
      </c>
      <c r="N815" s="2218">
        <v>4987.0892284430356</v>
      </c>
      <c r="O815" s="2177"/>
      <c r="P815" s="2164">
        <f>O815-N815</f>
        <v>-4987.0892284430356</v>
      </c>
      <c r="Q815" s="2218">
        <v>3347.2964304576194</v>
      </c>
      <c r="R815" s="2177"/>
      <c r="S815" s="2164">
        <f t="shared" si="1752"/>
        <v>-3347.2964304576194</v>
      </c>
      <c r="T815" s="2167">
        <f t="shared" si="1754"/>
        <v>8334.3856589006555</v>
      </c>
      <c r="U815" s="2163">
        <f t="shared" si="1754"/>
        <v>0</v>
      </c>
      <c r="V815" s="2166">
        <f t="shared" si="1755"/>
        <v>-8334.3856589006555</v>
      </c>
      <c r="W815" s="2220">
        <v>3014.9707182894472</v>
      </c>
      <c r="X815" s="2177"/>
      <c r="Y815" s="2169">
        <f t="shared" si="1753"/>
        <v>-3014.9707182894472</v>
      </c>
      <c r="Z815" s="2165">
        <f t="shared" si="1756"/>
        <v>11349.356377190103</v>
      </c>
      <c r="AA815" s="2163">
        <f t="shared" si="1756"/>
        <v>0</v>
      </c>
      <c r="AB815" s="2164">
        <f t="shared" si="1757"/>
        <v>-11349.356377190103</v>
      </c>
      <c r="AC815" s="2218">
        <v>5403.8486228099009</v>
      </c>
      <c r="AD815" s="2177"/>
      <c r="AE815" s="2365">
        <f t="shared" si="1758"/>
        <v>-5403.8486228099009</v>
      </c>
      <c r="AF815" s="2410"/>
      <c r="AG815" s="2158"/>
      <c r="AH815" s="2218">
        <f>ККП!D446*1000</f>
        <v>0</v>
      </c>
      <c r="AI815" s="2218"/>
      <c r="AJ815" s="2172">
        <f>AI815-AH815</f>
        <v>0</v>
      </c>
      <c r="AK815" s="2218">
        <f>$N$815/$N$724*AK724</f>
        <v>2537.1061203564946</v>
      </c>
      <c r="AL815" s="2218"/>
      <c r="AM815" s="2172">
        <f>AL815-AK815</f>
        <v>-2537.1061203564946</v>
      </c>
      <c r="AN815" s="2218">
        <f>$N$815/$N$724*AN724</f>
        <v>2449.9831080865411</v>
      </c>
      <c r="AO815" s="2218"/>
      <c r="AP815" s="2172">
        <f>AO815-AN815</f>
        <v>-2449.9831080865411</v>
      </c>
      <c r="AQ815" s="2218">
        <f>$Q$815/$Q$724*AQ724</f>
        <v>1241.9081516433932</v>
      </c>
      <c r="AR815" s="2218"/>
      <c r="AS815" s="2172">
        <f>AR815-AQ815</f>
        <v>-1241.9081516433932</v>
      </c>
      <c r="AT815" s="2218">
        <f>$Q$815/$Q$724*AT724</f>
        <v>1241.7635439423639</v>
      </c>
      <c r="AU815" s="2218"/>
      <c r="AV815" s="2172">
        <f>AU815-AT815</f>
        <v>-1241.7635439423639</v>
      </c>
      <c r="AW815" s="2218">
        <f>$Q$815/$Q$724*AW724</f>
        <v>863.62473487186242</v>
      </c>
      <c r="AX815" s="2218"/>
      <c r="AY815" s="2172">
        <f>AX815-AW815</f>
        <v>-863.62473487186242</v>
      </c>
      <c r="AZ815" s="2218">
        <f>$W$815/$W$724*AZ724</f>
        <v>870.97906938135998</v>
      </c>
      <c r="BA815" s="2218"/>
      <c r="BB815" s="2172">
        <f>BA815-AZ815</f>
        <v>-870.97906938135998</v>
      </c>
      <c r="BC815" s="2218">
        <f>$W$815/$W$724*BC724</f>
        <v>995.08346422913166</v>
      </c>
      <c r="BD815" s="2218"/>
      <c r="BE815" s="2172">
        <f>BD815-BC815</f>
        <v>-995.08346422913166</v>
      </c>
      <c r="BF815" s="2218">
        <f>$W$815/$W$724*BF724</f>
        <v>1148.9081846789554</v>
      </c>
      <c r="BG815" s="2218"/>
      <c r="BH815" s="2172">
        <f>BG815-BF815</f>
        <v>-1148.9081846789554</v>
      </c>
      <c r="BI815" s="2218">
        <f>$AC$815/$AC$724*BI724</f>
        <v>1449.1068859350855</v>
      </c>
      <c r="BJ815" s="2218"/>
      <c r="BK815" s="2172">
        <f>BJ815-BI815</f>
        <v>-1449.1068859350855</v>
      </c>
      <c r="BL815" s="2218">
        <f>$AC$815/$AC$724*BL724</f>
        <v>1867.7255221723299</v>
      </c>
      <c r="BM815" s="2218"/>
      <c r="BN815" s="2172">
        <f>BM815-BL815</f>
        <v>-1867.7255221723299</v>
      </c>
      <c r="BO815" s="2218">
        <f>$AC$815/$AC$724*BO724</f>
        <v>2087.0162147024848</v>
      </c>
      <c r="BP815" s="2218"/>
      <c r="BQ815" s="2172">
        <f>BP815-BO815</f>
        <v>-2087.0162147024848</v>
      </c>
    </row>
    <row r="816" spans="3:69" s="2159" customFormat="1" ht="30" customHeight="1">
      <c r="C816" s="2256" t="s">
        <v>2991</v>
      </c>
      <c r="D816" s="2161" t="s">
        <v>2992</v>
      </c>
      <c r="E816" s="2120" t="s">
        <v>2590</v>
      </c>
      <c r="F816" s="2219">
        <v>2237.6322229719999</v>
      </c>
      <c r="G816" s="2163">
        <f>G817+G818+G819+G820+G821</f>
        <v>2237.6322229719999</v>
      </c>
      <c r="H816" s="2163">
        <f>H817+H818+H819+H820+H821</f>
        <v>2302.8914499999996</v>
      </c>
      <c r="I816" s="2164">
        <f>H816-G816</f>
        <v>65.259227027999714</v>
      </c>
      <c r="J816" s="2162">
        <f>J817+J818+J819</f>
        <v>2116.6530495136294</v>
      </c>
      <c r="K816" s="2163">
        <f>K817+K818+K819+K820+K821</f>
        <v>2161.9862594635624</v>
      </c>
      <c r="L816" s="2163">
        <f>L817+L818+L819+L820+L821</f>
        <v>0</v>
      </c>
      <c r="M816" s="2164">
        <f>L816-K816</f>
        <v>-2161.9862594635624</v>
      </c>
      <c r="N816" s="2163">
        <f>N817+N818+N819+N820+N821</f>
        <v>631.77725946356225</v>
      </c>
      <c r="O816" s="2163">
        <f>O817+O818+O819+O820+O821</f>
        <v>0</v>
      </c>
      <c r="P816" s="2164">
        <f>O816-N816</f>
        <v>-631.77725946356225</v>
      </c>
      <c r="Q816" s="2163">
        <f>Q817+Q818+Q819+Q820+Q821</f>
        <v>498.43200000000002</v>
      </c>
      <c r="R816" s="2163">
        <f>R817+R818+R819+R820+R821</f>
        <v>0</v>
      </c>
      <c r="S816" s="2164">
        <f t="shared" si="1752"/>
        <v>-498.43200000000002</v>
      </c>
      <c r="T816" s="2167">
        <f t="shared" si="1754"/>
        <v>1130.2092594635624</v>
      </c>
      <c r="U816" s="2163">
        <f t="shared" si="1754"/>
        <v>0</v>
      </c>
      <c r="V816" s="2166">
        <f t="shared" si="1755"/>
        <v>-1130.2092594635624</v>
      </c>
      <c r="W816" s="2168">
        <f>W817+W818+W819+W820+W821</f>
        <v>416.46600000000001</v>
      </c>
      <c r="X816" s="2163">
        <f>X817+X818+X819+X820+X821</f>
        <v>0</v>
      </c>
      <c r="Y816" s="2169">
        <f t="shared" si="1753"/>
        <v>-416.46600000000001</v>
      </c>
      <c r="Z816" s="2165">
        <f t="shared" si="1756"/>
        <v>1546.6752594635623</v>
      </c>
      <c r="AA816" s="2163">
        <f t="shared" si="1756"/>
        <v>0</v>
      </c>
      <c r="AB816" s="2164">
        <f t="shared" si="1757"/>
        <v>-1546.6752594635623</v>
      </c>
      <c r="AC816" s="2163">
        <f>AC817+AC818+AC819+AC820+AC821</f>
        <v>615.31099999999992</v>
      </c>
      <c r="AD816" s="2364">
        <f>AD817+AD818+AD819+AD820+AD821</f>
        <v>0</v>
      </c>
      <c r="AE816" s="2365">
        <f t="shared" si="1758"/>
        <v>-615.31099999999992</v>
      </c>
      <c r="AF816" s="2409"/>
      <c r="AG816" s="2158"/>
      <c r="AH816" s="2171">
        <f>AH817+AH818+AH819+AH820+AH821</f>
        <v>245.45550956</v>
      </c>
      <c r="AI816" s="2171">
        <f>AI817+AI818+AI819+AI820+AI821</f>
        <v>0</v>
      </c>
      <c r="AJ816" s="2172">
        <f>AI816-AH816</f>
        <v>-245.45550956</v>
      </c>
      <c r="AK816" s="2171">
        <f>AK817+AK818+AK819+AK820+AK821</f>
        <v>235.57038914031492</v>
      </c>
      <c r="AL816" s="2171">
        <f>AL817+AL818+AL819+AL820+AL821</f>
        <v>0</v>
      </c>
      <c r="AM816" s="2172">
        <f>AL816-AK816</f>
        <v>-235.57038914031492</v>
      </c>
      <c r="AN816" s="2171">
        <f>AN817+AN818+AN819+AN820+AN821</f>
        <v>222.16701044546284</v>
      </c>
      <c r="AO816" s="2171">
        <f>AO817+AO818+AO819+AO820+AO821</f>
        <v>0</v>
      </c>
      <c r="AP816" s="2172">
        <f>AO816-AN816</f>
        <v>-222.16701044546284</v>
      </c>
      <c r="AQ816" s="2171">
        <f>AQ817+AQ818+AQ819+AQ820+AQ821</f>
        <v>185.3139793976664</v>
      </c>
      <c r="AR816" s="2171">
        <f>AR817+AR818+AR819+AR820+AR821</f>
        <v>0</v>
      </c>
      <c r="AS816" s="2172">
        <f>AR816-AQ816</f>
        <v>-185.3139793976664</v>
      </c>
      <c r="AT816" s="2171">
        <f>AT817+AT818+AT819+AT820+AT821</f>
        <v>176.04690274899701</v>
      </c>
      <c r="AU816" s="2171">
        <f>AU817+AU818+AU819+AU820+AU821</f>
        <v>0</v>
      </c>
      <c r="AV816" s="2172">
        <f>AU816-AT816</f>
        <v>-176.04690274899701</v>
      </c>
      <c r="AW816" s="2171">
        <f>AW817+AW818+AW819+AW820+AW821</f>
        <v>137.07111785333655</v>
      </c>
      <c r="AX816" s="2171">
        <f>AX817+AX818+AX819+AX820+AX821</f>
        <v>0</v>
      </c>
      <c r="AY816" s="2172">
        <f>AX816-AW816</f>
        <v>-137.07111785333655</v>
      </c>
      <c r="AZ816" s="2171">
        <f>AZ817+AZ818+AZ819+AZ820+AZ821</f>
        <v>125.37472981691548</v>
      </c>
      <c r="BA816" s="2171">
        <f>BA817+BA818+BA819+BA820+BA821</f>
        <v>0</v>
      </c>
      <c r="BB816" s="2172">
        <f>BA816-AZ816</f>
        <v>-125.37472981691548</v>
      </c>
      <c r="BC816" s="2171">
        <f>BC817+BC818+BC819+BC820+BC821</f>
        <v>128.89906582525529</v>
      </c>
      <c r="BD816" s="2171">
        <f>BD817+BD818+BD819+BD820+BD821</f>
        <v>0</v>
      </c>
      <c r="BE816" s="2172">
        <f>BD816-BC816</f>
        <v>-128.89906582525529</v>
      </c>
      <c r="BF816" s="2171">
        <f>BF817+BF818+BF819+BF820+BF821</f>
        <v>162.19220435782916</v>
      </c>
      <c r="BG816" s="2171">
        <f>BG817+BG818+BG819+BG820+BG821</f>
        <v>0</v>
      </c>
      <c r="BH816" s="2172">
        <f>BG816-BF816</f>
        <v>-162.19220435782916</v>
      </c>
      <c r="BI816" s="2171">
        <f>BI817+BI818+BI819+BI820+BI821</f>
        <v>189.98385747353205</v>
      </c>
      <c r="BJ816" s="2171">
        <f>BJ817+BJ818+BJ819+BJ820+BJ821</f>
        <v>0</v>
      </c>
      <c r="BK816" s="2172">
        <f>BJ816-BI816</f>
        <v>-189.98385747353205</v>
      </c>
      <c r="BL816" s="2171">
        <f>BL817+BL818+BL819+BL820+BL821</f>
        <v>204.42844888758287</v>
      </c>
      <c r="BM816" s="2171">
        <f>BM817+BM818+BM819+BM820+BM821</f>
        <v>0</v>
      </c>
      <c r="BN816" s="2172">
        <f>BM816-BL816</f>
        <v>-204.42844888758287</v>
      </c>
      <c r="BO816" s="2171">
        <f>BO817+BO818+BO819+BO820+BO821</f>
        <v>220.89869363888499</v>
      </c>
      <c r="BP816" s="2171">
        <f>BP817+BP818+BP819+BP820+BP821</f>
        <v>0</v>
      </c>
      <c r="BQ816" s="2172">
        <f>BP816-BO816</f>
        <v>-220.89869363888499</v>
      </c>
    </row>
    <row r="817" spans="3:69" s="2159" customFormat="1" ht="12" customHeight="1">
      <c r="C817" s="2173" t="s">
        <v>2993</v>
      </c>
      <c r="D817" s="2174" t="s">
        <v>2994</v>
      </c>
      <c r="E817" s="2197" t="s">
        <v>2590</v>
      </c>
      <c r="F817" s="2219">
        <v>884.26855674399997</v>
      </c>
      <c r="G817" s="2218">
        <v>884.26855674399997</v>
      </c>
      <c r="H817" s="2218">
        <v>893.93953999999997</v>
      </c>
      <c r="I817" s="2164">
        <f t="shared" ref="I817:I826" si="1759">H817-G817</f>
        <v>9.6709832559999995</v>
      </c>
      <c r="J817" s="2162">
        <v>840.29995772922632</v>
      </c>
      <c r="K817" s="2218">
        <f>SUM(N817,Q817,W817,AC817)</f>
        <v>858.29700000000003</v>
      </c>
      <c r="L817" s="2218"/>
      <c r="M817" s="2164">
        <f t="shared" ref="M817:M821" si="1760">L817-K817</f>
        <v>-858.29700000000003</v>
      </c>
      <c r="N817" s="2218">
        <v>248.50299999999999</v>
      </c>
      <c r="O817" s="2218"/>
      <c r="P817" s="2164">
        <f t="shared" ref="P817:P821" si="1761">O817-N817</f>
        <v>-248.50299999999999</v>
      </c>
      <c r="Q817" s="2218">
        <v>183.30799999999999</v>
      </c>
      <c r="R817" s="2218"/>
      <c r="S817" s="2164">
        <f t="shared" si="1752"/>
        <v>-183.30799999999999</v>
      </c>
      <c r="T817" s="2167">
        <f t="shared" si="1754"/>
        <v>431.81099999999998</v>
      </c>
      <c r="U817" s="2163">
        <f t="shared" si="1754"/>
        <v>0</v>
      </c>
      <c r="V817" s="2166">
        <f t="shared" si="1755"/>
        <v>-431.81099999999998</v>
      </c>
      <c r="W817" s="2220">
        <v>171.49299999999999</v>
      </c>
      <c r="X817" s="2218"/>
      <c r="Y817" s="2169">
        <f t="shared" si="1753"/>
        <v>-171.49299999999999</v>
      </c>
      <c r="Z817" s="2165">
        <f t="shared" si="1756"/>
        <v>603.30399999999997</v>
      </c>
      <c r="AA817" s="2163">
        <f t="shared" si="1756"/>
        <v>0</v>
      </c>
      <c r="AB817" s="2164">
        <f t="shared" si="1757"/>
        <v>-603.30399999999997</v>
      </c>
      <c r="AC817" s="2218">
        <v>254.99299999999999</v>
      </c>
      <c r="AD817" s="2411"/>
      <c r="AE817" s="2365">
        <f t="shared" si="1758"/>
        <v>-254.99299999999999</v>
      </c>
      <c r="AF817" s="2410"/>
      <c r="AG817" s="2158"/>
      <c r="AH817" s="2218">
        <f>ККП!D570*1000</f>
        <v>63.069672359999998</v>
      </c>
      <c r="AI817" s="2218"/>
      <c r="AJ817" s="2172">
        <f t="shared" ref="AJ817:AJ821" si="1762">AI817-AH817</f>
        <v>-63.069672359999998</v>
      </c>
      <c r="AK817" s="2218">
        <f>$N$817/$N$708*AK708</f>
        <v>92.659157219811206</v>
      </c>
      <c r="AL817" s="2218"/>
      <c r="AM817" s="2172">
        <f t="shared" ref="AM817:AM821" si="1763">AL817-AK817</f>
        <v>-92.659157219811206</v>
      </c>
      <c r="AN817" s="2218">
        <f>$N$817/$N$708*AN708</f>
        <v>87.38707791351429</v>
      </c>
      <c r="AO817" s="2218"/>
      <c r="AP817" s="2172">
        <f t="shared" ref="AP817:AP821" si="1764">AO817-AN817</f>
        <v>-87.38707791351429</v>
      </c>
      <c r="AQ817" s="2218">
        <f>$Q$817/$Q$708*AQ708</f>
        <v>68.152797042379774</v>
      </c>
      <c r="AR817" s="2218"/>
      <c r="AS817" s="2172">
        <f t="shared" ref="AS817:AS821" si="1765">AR817-AQ817</f>
        <v>-68.152797042379774</v>
      </c>
      <c r="AT817" s="2218">
        <f>$Q$817/$Q$708*AT708</f>
        <v>64.744650522264109</v>
      </c>
      <c r="AU817" s="2218"/>
      <c r="AV817" s="2172">
        <f t="shared" ref="AV817:AV821" si="1766">AU817-AT817</f>
        <v>-64.744650522264109</v>
      </c>
      <c r="AW817" s="2218">
        <f>$Q$817/$Q$708*AW708</f>
        <v>50.410552435356109</v>
      </c>
      <c r="AX817" s="2218"/>
      <c r="AY817" s="2172">
        <f t="shared" ref="AY817:AY821" si="1767">AX817-AW817</f>
        <v>-50.410552435356109</v>
      </c>
      <c r="AZ817" s="2218">
        <f>$W$817/$W$708*AZ708</f>
        <v>51.62699605848325</v>
      </c>
      <c r="BA817" s="2218"/>
      <c r="BB817" s="2172">
        <f t="shared" ref="BB817:BB821" si="1768">BA817-AZ817</f>
        <v>-51.62699605848325</v>
      </c>
      <c r="BC817" s="2218">
        <f>$W$817/$W$708*BC708</f>
        <v>53.078252475761545</v>
      </c>
      <c r="BD817" s="2218"/>
      <c r="BE817" s="2172">
        <f t="shared" ref="BE817:BE821" si="1769">BD817-BC817</f>
        <v>-53.078252475761545</v>
      </c>
      <c r="BF817" s="2218">
        <f>$W$817/$W$708*BF708</f>
        <v>66.787751465755179</v>
      </c>
      <c r="BG817" s="2218"/>
      <c r="BH817" s="2172">
        <f t="shared" ref="BH817:BH821" si="1770">BG817-BF817</f>
        <v>-66.787751465755179</v>
      </c>
      <c r="BI817" s="2218">
        <f>$AC$817/$AC$708*BI708</f>
        <v>78.73181816796442</v>
      </c>
      <c r="BJ817" s="2218"/>
      <c r="BK817" s="2172">
        <f t="shared" ref="BK817:BK821" si="1771">BJ817-BI817</f>
        <v>-78.73181816796442</v>
      </c>
      <c r="BL817" s="2218">
        <f>$AC$817/$AC$708*BL708</f>
        <v>84.717847506694042</v>
      </c>
      <c r="BM817" s="2218"/>
      <c r="BN817" s="2172">
        <f t="shared" ref="BN817:BN821" si="1772">BM817-BL817</f>
        <v>-84.717847506694042</v>
      </c>
      <c r="BO817" s="2218">
        <f>$AC$817/$AC$708*BO708</f>
        <v>91.54333432534149</v>
      </c>
      <c r="BP817" s="2218"/>
      <c r="BQ817" s="2172">
        <f t="shared" ref="BQ817:BQ821" si="1773">BP817-BO817</f>
        <v>-91.54333432534149</v>
      </c>
    </row>
    <row r="818" spans="3:69" s="2159" customFormat="1" ht="12" customHeight="1">
      <c r="C818" s="2173" t="s">
        <v>2995</v>
      </c>
      <c r="D818" s="2174" t="s">
        <v>2996</v>
      </c>
      <c r="E818" s="2197" t="s">
        <v>2590</v>
      </c>
      <c r="F818" s="2219">
        <v>256.02001538400003</v>
      </c>
      <c r="G818" s="2218">
        <v>256.02001538400003</v>
      </c>
      <c r="H818" s="2218">
        <v>413.19966999999997</v>
      </c>
      <c r="I818" s="2164">
        <f t="shared" si="1759"/>
        <v>157.17965461599994</v>
      </c>
      <c r="J818" s="2162">
        <v>273.1234061258462</v>
      </c>
      <c r="K818" s="2218">
        <f>SUM(N818,Q818,W818,AC818)</f>
        <v>278.97299999999996</v>
      </c>
      <c r="L818" s="2218"/>
      <c r="M818" s="2164">
        <f t="shared" si="1760"/>
        <v>-278.97299999999996</v>
      </c>
      <c r="N818" s="2218">
        <v>82.430999999999997</v>
      </c>
      <c r="O818" s="2218"/>
      <c r="P818" s="2164">
        <f t="shared" si="1761"/>
        <v>-82.430999999999997</v>
      </c>
      <c r="Q818" s="2218">
        <v>60.798999999999999</v>
      </c>
      <c r="R818" s="2218"/>
      <c r="S818" s="2164">
        <f t="shared" si="1752"/>
        <v>-60.798999999999999</v>
      </c>
      <c r="T818" s="2167">
        <f t="shared" si="1754"/>
        <v>143.22999999999999</v>
      </c>
      <c r="U818" s="2163">
        <f t="shared" si="1754"/>
        <v>0</v>
      </c>
      <c r="V818" s="2166">
        <f t="shared" si="1755"/>
        <v>-143.22999999999999</v>
      </c>
      <c r="W818" s="2220">
        <v>54.542000000000002</v>
      </c>
      <c r="X818" s="2218"/>
      <c r="Y818" s="2169">
        <f t="shared" si="1753"/>
        <v>-54.542000000000002</v>
      </c>
      <c r="Z818" s="2165">
        <f t="shared" si="1756"/>
        <v>197.77199999999999</v>
      </c>
      <c r="AA818" s="2163">
        <f t="shared" si="1756"/>
        <v>0</v>
      </c>
      <c r="AB818" s="2164">
        <f t="shared" si="1757"/>
        <v>-197.77199999999999</v>
      </c>
      <c r="AC818" s="2218">
        <v>81.200999999999993</v>
      </c>
      <c r="AD818" s="2411"/>
      <c r="AE818" s="2365">
        <f t="shared" si="1758"/>
        <v>-81.200999999999993</v>
      </c>
      <c r="AF818" s="2410"/>
      <c r="AG818" s="2158"/>
      <c r="AH818" s="2218">
        <f>ККП!D571*1000</f>
        <v>17.725837200000001</v>
      </c>
      <c r="AI818" s="2218"/>
      <c r="AJ818" s="2172">
        <f t="shared" si="1762"/>
        <v>-17.725837200000001</v>
      </c>
      <c r="AK818" s="2218">
        <f>$N$818/$N$708*AK708</f>
        <v>30.735995093766505</v>
      </c>
      <c r="AL818" s="2218"/>
      <c r="AM818" s="2172">
        <f t="shared" si="1763"/>
        <v>-30.735995093766505</v>
      </c>
      <c r="AN818" s="2218">
        <f>$N$818/$N$708*AN708</f>
        <v>28.987192184757916</v>
      </c>
      <c r="AO818" s="2218"/>
      <c r="AP818" s="2172">
        <f t="shared" si="1764"/>
        <v>-28.987192184757916</v>
      </c>
      <c r="AQ818" s="2218">
        <f>$Q$818/$Q$708*AQ708</f>
        <v>22.604697598466231</v>
      </c>
      <c r="AR818" s="2218"/>
      <c r="AS818" s="2172">
        <f t="shared" si="1765"/>
        <v>-22.604697598466231</v>
      </c>
      <c r="AT818" s="2218">
        <f>$Q$818/$Q$708*AT708</f>
        <v>21.474294668553121</v>
      </c>
      <c r="AU818" s="2218"/>
      <c r="AV818" s="2172">
        <f t="shared" si="1766"/>
        <v>-21.474294668553121</v>
      </c>
      <c r="AW818" s="2218">
        <f>$Q$818/$Q$708*AW708</f>
        <v>16.720007732980644</v>
      </c>
      <c r="AX818" s="2218"/>
      <c r="AY818" s="2172">
        <f t="shared" si="1767"/>
        <v>-16.720007732980644</v>
      </c>
      <c r="AZ818" s="2218">
        <f>$W$818/$W$708*AZ708</f>
        <v>16.419560092958857</v>
      </c>
      <c r="BA818" s="2218"/>
      <c r="BB818" s="2172">
        <f t="shared" si="1768"/>
        <v>-16.419560092958857</v>
      </c>
      <c r="BC818" s="2218">
        <f>$W$818/$W$708*BC708</f>
        <v>16.881120783547935</v>
      </c>
      <c r="BD818" s="2218"/>
      <c r="BE818" s="2172">
        <f t="shared" si="1769"/>
        <v>-16.881120783547935</v>
      </c>
      <c r="BF818" s="2218">
        <f>$W$818/$W$708*BF708</f>
        <v>21.241319123493199</v>
      </c>
      <c r="BG818" s="2218"/>
      <c r="BH818" s="2172">
        <f t="shared" si="1770"/>
        <v>-21.241319123493199</v>
      </c>
      <c r="BI818" s="2218">
        <f>$AC$818/$AC$708*BI708</f>
        <v>25.071677916871753</v>
      </c>
      <c r="BJ818" s="2218"/>
      <c r="BK818" s="2172">
        <f t="shared" si="1771"/>
        <v>-25.071677916871753</v>
      </c>
      <c r="BL818" s="2218">
        <f>$AC$818/$AC$708*BL708</f>
        <v>26.977893257426917</v>
      </c>
      <c r="BM818" s="2218"/>
      <c r="BN818" s="2172">
        <f t="shared" si="1772"/>
        <v>-26.977893257426917</v>
      </c>
      <c r="BO818" s="2218">
        <f>$AC$818/$AC$708*BO708</f>
        <v>29.151428825701306</v>
      </c>
      <c r="BP818" s="2218"/>
      <c r="BQ818" s="2172">
        <f t="shared" si="1773"/>
        <v>-29.151428825701306</v>
      </c>
    </row>
    <row r="819" spans="3:69" s="2159" customFormat="1" ht="12" customHeight="1">
      <c r="C819" s="2173" t="s">
        <v>2997</v>
      </c>
      <c r="D819" s="2174" t="s">
        <v>2998</v>
      </c>
      <c r="E819" s="2197" t="s">
        <v>2590</v>
      </c>
      <c r="F819" s="2219">
        <v>1097.343650844</v>
      </c>
      <c r="G819" s="2218">
        <v>1097.343650844</v>
      </c>
      <c r="H819" s="2218">
        <v>995.75223999999992</v>
      </c>
      <c r="I819" s="2164">
        <f t="shared" si="1759"/>
        <v>-101.59141084400005</v>
      </c>
      <c r="J819" s="2162">
        <v>1003.2296856585568</v>
      </c>
      <c r="K819" s="2218">
        <f>SUM(N819,Q819,W819,AC819)</f>
        <v>1024.7162594635622</v>
      </c>
      <c r="L819" s="2218"/>
      <c r="M819" s="2164">
        <f t="shared" si="1760"/>
        <v>-1024.7162594635622</v>
      </c>
      <c r="N819" s="2218">
        <v>300.84325946356228</v>
      </c>
      <c r="O819" s="2218"/>
      <c r="P819" s="2164">
        <f t="shared" si="1761"/>
        <v>-300.84325946356228</v>
      </c>
      <c r="Q819" s="2218">
        <v>254.32499999999999</v>
      </c>
      <c r="R819" s="2218"/>
      <c r="S819" s="2164">
        <f t="shared" si="1752"/>
        <v>-254.32499999999999</v>
      </c>
      <c r="T819" s="2167">
        <f t="shared" si="1754"/>
        <v>555.16825946356221</v>
      </c>
      <c r="U819" s="2163">
        <f t="shared" si="1754"/>
        <v>0</v>
      </c>
      <c r="V819" s="2166">
        <f t="shared" si="1755"/>
        <v>-555.16825946356221</v>
      </c>
      <c r="W819" s="2220">
        <v>190.43100000000001</v>
      </c>
      <c r="X819" s="2218"/>
      <c r="Y819" s="2169">
        <f t="shared" si="1753"/>
        <v>-190.43100000000001</v>
      </c>
      <c r="Z819" s="2165">
        <f t="shared" si="1756"/>
        <v>745.59925946356225</v>
      </c>
      <c r="AA819" s="2163">
        <f t="shared" si="1756"/>
        <v>0</v>
      </c>
      <c r="AB819" s="2164">
        <f t="shared" si="1757"/>
        <v>-745.59925946356225</v>
      </c>
      <c r="AC819" s="2218">
        <v>279.11700000000002</v>
      </c>
      <c r="AD819" s="2411"/>
      <c r="AE819" s="2365">
        <f t="shared" si="1758"/>
        <v>-279.11700000000002</v>
      </c>
      <c r="AF819" s="2410"/>
      <c r="AG819" s="2158"/>
      <c r="AH819" s="2218">
        <v>164.66</v>
      </c>
      <c r="AI819" s="2218"/>
      <c r="AJ819" s="2172">
        <f t="shared" si="1762"/>
        <v>-164.66</v>
      </c>
      <c r="AK819" s="2218">
        <f>$N$819/$N$708*AK708</f>
        <v>112.1752368267372</v>
      </c>
      <c r="AL819" s="2218"/>
      <c r="AM819" s="2172">
        <f t="shared" si="1763"/>
        <v>-112.1752368267372</v>
      </c>
      <c r="AN819" s="2218">
        <f>$N$819/$N$708*AN708</f>
        <v>105.79274034719063</v>
      </c>
      <c r="AO819" s="2218"/>
      <c r="AP819" s="2172">
        <f t="shared" si="1764"/>
        <v>-105.79274034719063</v>
      </c>
      <c r="AQ819" s="2218">
        <f>$Q$819/$Q$708*AQ708</f>
        <v>94.556484756820396</v>
      </c>
      <c r="AR819" s="2218"/>
      <c r="AS819" s="2172">
        <f t="shared" si="1765"/>
        <v>-94.556484756820396</v>
      </c>
      <c r="AT819" s="2218">
        <f>$Q$819/$Q$708*AT708</f>
        <v>89.827957558179776</v>
      </c>
      <c r="AU819" s="2218"/>
      <c r="AV819" s="2172">
        <f t="shared" si="1766"/>
        <v>-89.827957558179776</v>
      </c>
      <c r="AW819" s="2218">
        <f>$Q$819/$Q$708*AW708</f>
        <v>69.940557684999789</v>
      </c>
      <c r="AX819" s="2218"/>
      <c r="AY819" s="2172">
        <f t="shared" si="1767"/>
        <v>-69.940557684999789</v>
      </c>
      <c r="AZ819" s="2218">
        <f>$W$819/$W$708*AZ708</f>
        <v>57.328173665473365</v>
      </c>
      <c r="BA819" s="2218"/>
      <c r="BB819" s="2172">
        <f t="shared" si="1768"/>
        <v>-57.328173665473365</v>
      </c>
      <c r="BC819" s="2218">
        <f>$W$819/$W$708*BC708</f>
        <v>58.939692565945812</v>
      </c>
      <c r="BD819" s="2218"/>
      <c r="BE819" s="2172">
        <f t="shared" si="1769"/>
        <v>-58.939692565945812</v>
      </c>
      <c r="BF819" s="2218">
        <f>$W$819/$W$708*BF708</f>
        <v>74.163133768580778</v>
      </c>
      <c r="BG819" s="2218"/>
      <c r="BH819" s="2172">
        <f t="shared" si="1770"/>
        <v>-74.163133768580778</v>
      </c>
      <c r="BI819" s="2218">
        <f>$AC$819/$AC$708*BI708</f>
        <v>86.180361388695886</v>
      </c>
      <c r="BJ819" s="2218"/>
      <c r="BK819" s="2172">
        <f t="shared" si="1771"/>
        <v>-86.180361388695886</v>
      </c>
      <c r="BL819" s="2218">
        <f>$AC$819/$AC$708*BL708</f>
        <v>92.732708123461919</v>
      </c>
      <c r="BM819" s="2218"/>
      <c r="BN819" s="2172">
        <f t="shared" si="1772"/>
        <v>-92.732708123461919</v>
      </c>
      <c r="BO819" s="2218">
        <f>$AC$819/$AC$708*BO708</f>
        <v>100.20393048784219</v>
      </c>
      <c r="BP819" s="2218"/>
      <c r="BQ819" s="2172">
        <f t="shared" si="1773"/>
        <v>-100.20393048784219</v>
      </c>
    </row>
    <row r="820" spans="3:69" s="2159" customFormat="1" ht="12" customHeight="1">
      <c r="C820" s="2173" t="s">
        <v>2999</v>
      </c>
      <c r="D820" s="2174" t="s">
        <v>3000</v>
      </c>
      <c r="E820" s="2197" t="s">
        <v>2590</v>
      </c>
      <c r="F820" s="2219"/>
      <c r="G820" s="2218"/>
      <c r="H820" s="2218"/>
      <c r="I820" s="2164">
        <f t="shared" si="1759"/>
        <v>0</v>
      </c>
      <c r="J820" s="2162"/>
      <c r="K820" s="2218"/>
      <c r="L820" s="2218"/>
      <c r="M820" s="2164">
        <f t="shared" si="1760"/>
        <v>0</v>
      </c>
      <c r="N820" s="2218"/>
      <c r="O820" s="2218"/>
      <c r="P820" s="2164">
        <f t="shared" si="1761"/>
        <v>0</v>
      </c>
      <c r="Q820" s="2218"/>
      <c r="R820" s="2218"/>
      <c r="S820" s="2164">
        <f t="shared" si="1752"/>
        <v>0</v>
      </c>
      <c r="T820" s="2167">
        <f t="shared" si="1754"/>
        <v>0</v>
      </c>
      <c r="U820" s="2163">
        <f t="shared" si="1754"/>
        <v>0</v>
      </c>
      <c r="V820" s="2166">
        <f t="shared" si="1755"/>
        <v>0</v>
      </c>
      <c r="W820" s="2220"/>
      <c r="X820" s="2218"/>
      <c r="Y820" s="2169">
        <f t="shared" si="1753"/>
        <v>0</v>
      </c>
      <c r="Z820" s="2165">
        <f t="shared" si="1756"/>
        <v>0</v>
      </c>
      <c r="AA820" s="2163">
        <f t="shared" si="1756"/>
        <v>0</v>
      </c>
      <c r="AB820" s="2164">
        <f t="shared" si="1757"/>
        <v>0</v>
      </c>
      <c r="AC820" s="2218"/>
      <c r="AD820" s="2411"/>
      <c r="AE820" s="2365">
        <f t="shared" si="1758"/>
        <v>0</v>
      </c>
      <c r="AF820" s="2410"/>
      <c r="AG820" s="2158"/>
      <c r="AH820" s="2218"/>
      <c r="AI820" s="2218"/>
      <c r="AJ820" s="2172">
        <f t="shared" si="1762"/>
        <v>0</v>
      </c>
      <c r="AK820" s="2218"/>
      <c r="AL820" s="2218"/>
      <c r="AM820" s="2172">
        <f t="shared" si="1763"/>
        <v>0</v>
      </c>
      <c r="AN820" s="2218"/>
      <c r="AO820" s="2218"/>
      <c r="AP820" s="2172">
        <f t="shared" si="1764"/>
        <v>0</v>
      </c>
      <c r="AQ820" s="2218"/>
      <c r="AR820" s="2218"/>
      <c r="AS820" s="2172">
        <f t="shared" si="1765"/>
        <v>0</v>
      </c>
      <c r="AT820" s="2218"/>
      <c r="AU820" s="2218"/>
      <c r="AV820" s="2172">
        <f t="shared" si="1766"/>
        <v>0</v>
      </c>
      <c r="AW820" s="2218"/>
      <c r="AX820" s="2218"/>
      <c r="AY820" s="2172">
        <f t="shared" si="1767"/>
        <v>0</v>
      </c>
      <c r="AZ820" s="2218"/>
      <c r="BA820" s="2218"/>
      <c r="BB820" s="2172">
        <f t="shared" si="1768"/>
        <v>0</v>
      </c>
      <c r="BC820" s="2218"/>
      <c r="BD820" s="2218"/>
      <c r="BE820" s="2172">
        <f t="shared" si="1769"/>
        <v>0</v>
      </c>
      <c r="BF820" s="2218"/>
      <c r="BG820" s="2218"/>
      <c r="BH820" s="2172">
        <f t="shared" si="1770"/>
        <v>0</v>
      </c>
      <c r="BI820" s="2218"/>
      <c r="BJ820" s="2218"/>
      <c r="BK820" s="2172">
        <f t="shared" si="1771"/>
        <v>0</v>
      </c>
      <c r="BL820" s="2218"/>
      <c r="BM820" s="2218"/>
      <c r="BN820" s="2172">
        <f t="shared" si="1772"/>
        <v>0</v>
      </c>
      <c r="BO820" s="2218"/>
      <c r="BP820" s="2218"/>
      <c r="BQ820" s="2172">
        <f t="shared" si="1773"/>
        <v>0</v>
      </c>
    </row>
    <row r="821" spans="3:69" s="2159" customFormat="1" ht="12" customHeight="1">
      <c r="C821" s="2173" t="s">
        <v>3001</v>
      </c>
      <c r="D821" s="2174" t="s">
        <v>3002</v>
      </c>
      <c r="E821" s="2197" t="s">
        <v>2590</v>
      </c>
      <c r="F821" s="2219"/>
      <c r="G821" s="2218"/>
      <c r="H821" s="2218"/>
      <c r="I821" s="2164">
        <f t="shared" si="1759"/>
        <v>0</v>
      </c>
      <c r="J821" s="2162"/>
      <c r="K821" s="2218"/>
      <c r="L821" s="2218"/>
      <c r="M821" s="2164">
        <f t="shared" si="1760"/>
        <v>0</v>
      </c>
      <c r="N821" s="2218"/>
      <c r="O821" s="2218"/>
      <c r="P821" s="2164">
        <f t="shared" si="1761"/>
        <v>0</v>
      </c>
      <c r="Q821" s="2218"/>
      <c r="R821" s="2218"/>
      <c r="S821" s="2164">
        <f t="shared" si="1752"/>
        <v>0</v>
      </c>
      <c r="T821" s="2167">
        <f t="shared" si="1754"/>
        <v>0</v>
      </c>
      <c r="U821" s="2163">
        <f t="shared" si="1754"/>
        <v>0</v>
      </c>
      <c r="V821" s="2166">
        <f t="shared" si="1755"/>
        <v>0</v>
      </c>
      <c r="W821" s="2220"/>
      <c r="X821" s="2218"/>
      <c r="Y821" s="2169">
        <f t="shared" si="1753"/>
        <v>0</v>
      </c>
      <c r="Z821" s="2165">
        <f t="shared" si="1756"/>
        <v>0</v>
      </c>
      <c r="AA821" s="2163">
        <f t="shared" si="1756"/>
        <v>0</v>
      </c>
      <c r="AB821" s="2164">
        <f t="shared" si="1757"/>
        <v>0</v>
      </c>
      <c r="AC821" s="2218"/>
      <c r="AD821" s="2411"/>
      <c r="AE821" s="2365">
        <f t="shared" si="1758"/>
        <v>0</v>
      </c>
      <c r="AF821" s="2410"/>
      <c r="AG821" s="2158"/>
      <c r="AH821" s="2218"/>
      <c r="AI821" s="2218"/>
      <c r="AJ821" s="2172">
        <f t="shared" si="1762"/>
        <v>0</v>
      </c>
      <c r="AK821" s="2218"/>
      <c r="AL821" s="2218"/>
      <c r="AM821" s="2172">
        <f t="shared" si="1763"/>
        <v>0</v>
      </c>
      <c r="AN821" s="2218"/>
      <c r="AO821" s="2218"/>
      <c r="AP821" s="2172">
        <f t="shared" si="1764"/>
        <v>0</v>
      </c>
      <c r="AQ821" s="2218"/>
      <c r="AR821" s="2218"/>
      <c r="AS821" s="2172">
        <f t="shared" si="1765"/>
        <v>0</v>
      </c>
      <c r="AT821" s="2218"/>
      <c r="AU821" s="2218"/>
      <c r="AV821" s="2172">
        <f t="shared" si="1766"/>
        <v>0</v>
      </c>
      <c r="AW821" s="2218"/>
      <c r="AX821" s="2218"/>
      <c r="AY821" s="2172">
        <f t="shared" si="1767"/>
        <v>0</v>
      </c>
      <c r="AZ821" s="2218"/>
      <c r="BA821" s="2218"/>
      <c r="BB821" s="2172">
        <f t="shared" si="1768"/>
        <v>0</v>
      </c>
      <c r="BC821" s="2218"/>
      <c r="BD821" s="2218"/>
      <c r="BE821" s="2172">
        <f t="shared" si="1769"/>
        <v>0</v>
      </c>
      <c r="BF821" s="2218"/>
      <c r="BG821" s="2218"/>
      <c r="BH821" s="2172">
        <f t="shared" si="1770"/>
        <v>0</v>
      </c>
      <c r="BI821" s="2218"/>
      <c r="BJ821" s="2218"/>
      <c r="BK821" s="2172">
        <f t="shared" si="1771"/>
        <v>0</v>
      </c>
      <c r="BL821" s="2218"/>
      <c r="BM821" s="2218"/>
      <c r="BN821" s="2172">
        <f t="shared" si="1772"/>
        <v>0</v>
      </c>
      <c r="BO821" s="2218"/>
      <c r="BP821" s="2218"/>
      <c r="BQ821" s="2172">
        <f t="shared" si="1773"/>
        <v>0</v>
      </c>
    </row>
    <row r="822" spans="3:69" s="2159" customFormat="1" ht="28.15" customHeight="1">
      <c r="C822" s="2256" t="s">
        <v>3003</v>
      </c>
      <c r="D822" s="2161" t="s">
        <v>3004</v>
      </c>
      <c r="E822" s="2120" t="s">
        <v>2590</v>
      </c>
      <c r="F822" s="2219">
        <v>1029807.02750532</v>
      </c>
      <c r="G822" s="2163">
        <f>G823+G824+G825+G826</f>
        <v>1029807.02750532</v>
      </c>
      <c r="H822" s="2163">
        <f>H823+H824+H825+H826</f>
        <v>1031433.05076</v>
      </c>
      <c r="I822" s="2164">
        <f>H822-G822</f>
        <v>1626.0232546799816</v>
      </c>
      <c r="J822" s="2162">
        <f>J826</f>
        <v>1046474.2477969099</v>
      </c>
      <c r="K822" s="2163">
        <f>K823+K824+K825+K826</f>
        <v>1093112.8640050967</v>
      </c>
      <c r="L822" s="2163">
        <f>L823+L824+L825+L826</f>
        <v>0</v>
      </c>
      <c r="M822" s="2164">
        <f>L822-K822</f>
        <v>-1093112.8640050967</v>
      </c>
      <c r="N822" s="2163">
        <f>N823+N824+N825+N826</f>
        <v>304777.20935167378</v>
      </c>
      <c r="O822" s="2163">
        <f>O823+O824+O825+O826</f>
        <v>0</v>
      </c>
      <c r="P822" s="2164">
        <f>O822-N822</f>
        <v>-304777.20935167378</v>
      </c>
      <c r="Q822" s="2163">
        <f>Q823+Q824+Q825+Q826</f>
        <v>233234.59804382539</v>
      </c>
      <c r="R822" s="2163">
        <f>R823+R824+R825+R826</f>
        <v>0</v>
      </c>
      <c r="S822" s="2164">
        <f>R822-Q822</f>
        <v>-233234.59804382539</v>
      </c>
      <c r="T822" s="2167">
        <f t="shared" si="1754"/>
        <v>538011.8073954992</v>
      </c>
      <c r="U822" s="2163">
        <f t="shared" si="1754"/>
        <v>0</v>
      </c>
      <c r="V822" s="2166">
        <f t="shared" si="1755"/>
        <v>-538011.8073954992</v>
      </c>
      <c r="W822" s="2168">
        <f>W823+W824+W825+W826</f>
        <v>208236.44822120052</v>
      </c>
      <c r="X822" s="2163">
        <f>X823+X824+X825+X826</f>
        <v>0</v>
      </c>
      <c r="Y822" s="2169">
        <f>X822-W822</f>
        <v>-208236.44822120052</v>
      </c>
      <c r="Z822" s="2165">
        <f t="shared" si="1756"/>
        <v>746248.25561669969</v>
      </c>
      <c r="AA822" s="2163">
        <f t="shared" si="1756"/>
        <v>0</v>
      </c>
      <c r="AB822" s="2164">
        <f t="shared" si="1757"/>
        <v>-746248.25561669969</v>
      </c>
      <c r="AC822" s="2163">
        <f>AC823+AC824+AC825+AC826</f>
        <v>346864.60838839691</v>
      </c>
      <c r="AD822" s="2364">
        <f>AD823+AD824+AD825+AD826</f>
        <v>0</v>
      </c>
      <c r="AE822" s="2365">
        <f>AD822-AC822</f>
        <v>-346864.60838839691</v>
      </c>
      <c r="AF822" s="2409"/>
      <c r="AG822" s="2158"/>
      <c r="AH822" s="2171">
        <f>AH823+AH824+AH825+AH826</f>
        <v>5.9800113249860107E-2</v>
      </c>
      <c r="AI822" s="2171">
        <f>AI823+AI824+AI825+AI826</f>
        <v>0</v>
      </c>
      <c r="AJ822" s="2172">
        <f>AI822-AH822</f>
        <v>-5.9800113249860107E-2</v>
      </c>
      <c r="AK822" s="2171">
        <f>AK823+AK824+AK825+AK826</f>
        <v>0</v>
      </c>
      <c r="AL822" s="2171">
        <f>AL823+AL824+AL825+AL826</f>
        <v>0</v>
      </c>
      <c r="AM822" s="2172">
        <f>AL822-AK822</f>
        <v>0</v>
      </c>
      <c r="AN822" s="2171">
        <f>AN823+AN824+AN825+AN826</f>
        <v>0</v>
      </c>
      <c r="AO822" s="2171">
        <f>AO823+AO824+AO825+AO826</f>
        <v>0</v>
      </c>
      <c r="AP822" s="2172">
        <f>AO822-AN822</f>
        <v>0</v>
      </c>
      <c r="AQ822" s="2171">
        <f>AQ823+AQ824+AQ825+AQ826</f>
        <v>0</v>
      </c>
      <c r="AR822" s="2171">
        <f>AR823+AR824+AR825+AR826</f>
        <v>0</v>
      </c>
      <c r="AS822" s="2172">
        <f>AR822-AQ822</f>
        <v>0</v>
      </c>
      <c r="AT822" s="2171">
        <f>AT823+AT824+AT825+AT826</f>
        <v>0</v>
      </c>
      <c r="AU822" s="2171">
        <f>AU823+AU824+AU825+AU826</f>
        <v>0</v>
      </c>
      <c r="AV822" s="2172">
        <f>AU822-AT822</f>
        <v>0</v>
      </c>
      <c r="AW822" s="2171">
        <f>AW823+AW824+AW825+AW826</f>
        <v>0</v>
      </c>
      <c r="AX822" s="2171">
        <f>AX823+AX824+AX825+AX826</f>
        <v>0</v>
      </c>
      <c r="AY822" s="2172">
        <f>AX822-AW822</f>
        <v>0</v>
      </c>
      <c r="AZ822" s="2171">
        <f>AZ823+AZ824+AZ825+AZ826</f>
        <v>0</v>
      </c>
      <c r="BA822" s="2171">
        <f>BA823+BA824+BA825+BA826</f>
        <v>0</v>
      </c>
      <c r="BB822" s="2172">
        <f>BA822-AZ822</f>
        <v>0</v>
      </c>
      <c r="BC822" s="2171">
        <f>BC823+BC824+BC825+BC826</f>
        <v>0</v>
      </c>
      <c r="BD822" s="2171">
        <f>BD823+BD824+BD825+BD826</f>
        <v>0</v>
      </c>
      <c r="BE822" s="2172">
        <f>BD822-BC822</f>
        <v>0</v>
      </c>
      <c r="BF822" s="2171">
        <f>BF823+BF824+BF825+BF826</f>
        <v>0</v>
      </c>
      <c r="BG822" s="2171">
        <f>BG823+BG824+BG825+BG826</f>
        <v>0</v>
      </c>
      <c r="BH822" s="2172">
        <f>BG822-BF822</f>
        <v>0</v>
      </c>
      <c r="BI822" s="2171">
        <f>BI823+BI824+BI825+BI826</f>
        <v>0</v>
      </c>
      <c r="BJ822" s="2171">
        <f>BJ823+BJ824+BJ825+BJ826</f>
        <v>0</v>
      </c>
      <c r="BK822" s="2172">
        <f>BJ822-BI822</f>
        <v>0</v>
      </c>
      <c r="BL822" s="2171">
        <f>BL823+BL824+BL825+BL826</f>
        <v>0</v>
      </c>
      <c r="BM822" s="2171">
        <f>BM823+BM824+BM825+BM826</f>
        <v>0</v>
      </c>
      <c r="BN822" s="2172">
        <f>BM822-BL822</f>
        <v>0</v>
      </c>
      <c r="BO822" s="2171">
        <f>BO823+BO824+BO825+BO826</f>
        <v>0</v>
      </c>
      <c r="BP822" s="2171">
        <f>BP823+BP824+BP825+BP826</f>
        <v>0</v>
      </c>
      <c r="BQ822" s="2172">
        <f>BP822-BO822</f>
        <v>0</v>
      </c>
    </row>
    <row r="823" spans="3:69" s="2159" customFormat="1" ht="12" customHeight="1">
      <c r="C823" s="2173" t="s">
        <v>3005</v>
      </c>
      <c r="D823" s="2174" t="s">
        <v>3006</v>
      </c>
      <c r="E823" s="2197" t="s">
        <v>2590</v>
      </c>
      <c r="F823" s="2219"/>
      <c r="G823" s="2218"/>
      <c r="H823" s="2218"/>
      <c r="I823" s="2164">
        <f t="shared" si="1759"/>
        <v>0</v>
      </c>
      <c r="J823" s="2162"/>
      <c r="K823" s="2218"/>
      <c r="L823" s="2218"/>
      <c r="M823" s="2164">
        <f t="shared" ref="M823:M826" si="1774">L823-K823</f>
        <v>0</v>
      </c>
      <c r="N823" s="2218"/>
      <c r="O823" s="2218"/>
      <c r="P823" s="2164">
        <f t="shared" ref="P823:P826" si="1775">O823-N823</f>
        <v>0</v>
      </c>
      <c r="Q823" s="2218"/>
      <c r="R823" s="2218"/>
      <c r="S823" s="2164">
        <f t="shared" ref="S823:S826" si="1776">R823-Q823</f>
        <v>0</v>
      </c>
      <c r="T823" s="2167">
        <f t="shared" si="1754"/>
        <v>0</v>
      </c>
      <c r="U823" s="2163">
        <f t="shared" si="1754"/>
        <v>0</v>
      </c>
      <c r="V823" s="2166">
        <f t="shared" si="1755"/>
        <v>0</v>
      </c>
      <c r="W823" s="2220"/>
      <c r="X823" s="2218"/>
      <c r="Y823" s="2169">
        <f t="shared" ref="Y823:Y826" si="1777">X823-W823</f>
        <v>0</v>
      </c>
      <c r="Z823" s="2165">
        <f t="shared" si="1756"/>
        <v>0</v>
      </c>
      <c r="AA823" s="2163">
        <f t="shared" si="1756"/>
        <v>0</v>
      </c>
      <c r="AB823" s="2164">
        <f t="shared" si="1757"/>
        <v>0</v>
      </c>
      <c r="AC823" s="2218"/>
      <c r="AD823" s="2411"/>
      <c r="AE823" s="2365">
        <f t="shared" ref="AE823:AE826" si="1778">AD823-AC823</f>
        <v>0</v>
      </c>
      <c r="AF823" s="2410"/>
      <c r="AG823" s="2158"/>
      <c r="AH823" s="2218"/>
      <c r="AI823" s="2218"/>
      <c r="AJ823" s="2172">
        <f t="shared" ref="AJ823:AJ826" si="1779">AI823-AH823</f>
        <v>0</v>
      </c>
      <c r="AK823" s="2218"/>
      <c r="AL823" s="2218"/>
      <c r="AM823" s="2172">
        <f t="shared" ref="AM823:AM826" si="1780">AL823-AK823</f>
        <v>0</v>
      </c>
      <c r="AN823" s="2218"/>
      <c r="AO823" s="2218"/>
      <c r="AP823" s="2172">
        <f t="shared" ref="AP823:AP826" si="1781">AO823-AN823</f>
        <v>0</v>
      </c>
      <c r="AQ823" s="2218"/>
      <c r="AR823" s="2218"/>
      <c r="AS823" s="2172">
        <f t="shared" ref="AS823:AS826" si="1782">AR823-AQ823</f>
        <v>0</v>
      </c>
      <c r="AT823" s="2218"/>
      <c r="AU823" s="2218"/>
      <c r="AV823" s="2172">
        <f t="shared" ref="AV823:AV826" si="1783">AU823-AT823</f>
        <v>0</v>
      </c>
      <c r="AW823" s="2218"/>
      <c r="AX823" s="2218"/>
      <c r="AY823" s="2172">
        <f t="shared" ref="AY823:AY826" si="1784">AX823-AW823</f>
        <v>0</v>
      </c>
      <c r="AZ823" s="2218"/>
      <c r="BA823" s="2218"/>
      <c r="BB823" s="2172">
        <f t="shared" ref="BB823:BB826" si="1785">BA823-AZ823</f>
        <v>0</v>
      </c>
      <c r="BC823" s="2218"/>
      <c r="BD823" s="2218"/>
      <c r="BE823" s="2172">
        <f t="shared" ref="BE823:BE826" si="1786">BD823-BC823</f>
        <v>0</v>
      </c>
      <c r="BF823" s="2218"/>
      <c r="BG823" s="2218"/>
      <c r="BH823" s="2172">
        <f t="shared" ref="BH823:BH826" si="1787">BG823-BF823</f>
        <v>0</v>
      </c>
      <c r="BI823" s="2218"/>
      <c r="BJ823" s="2218"/>
      <c r="BK823" s="2172">
        <f t="shared" ref="BK823:BK826" si="1788">BJ823-BI823</f>
        <v>0</v>
      </c>
      <c r="BL823" s="2218"/>
      <c r="BM823" s="2218"/>
      <c r="BN823" s="2172">
        <f t="shared" ref="BN823:BN826" si="1789">BM823-BL823</f>
        <v>0</v>
      </c>
      <c r="BO823" s="2218"/>
      <c r="BP823" s="2218"/>
      <c r="BQ823" s="2172">
        <f t="shared" ref="BQ823:BQ826" si="1790">BP823-BO823</f>
        <v>0</v>
      </c>
    </row>
    <row r="824" spans="3:69" s="2159" customFormat="1" ht="12" customHeight="1">
      <c r="C824" s="2173" t="s">
        <v>3007</v>
      </c>
      <c r="D824" s="2174" t="s">
        <v>3008</v>
      </c>
      <c r="E824" s="2197" t="s">
        <v>2590</v>
      </c>
      <c r="F824" s="2219"/>
      <c r="G824" s="2218"/>
      <c r="H824" s="2218"/>
      <c r="I824" s="2164">
        <f t="shared" si="1759"/>
        <v>0</v>
      </c>
      <c r="J824" s="2162"/>
      <c r="K824" s="2218"/>
      <c r="L824" s="2218"/>
      <c r="M824" s="2164">
        <f t="shared" si="1774"/>
        <v>0</v>
      </c>
      <c r="N824" s="2218"/>
      <c r="O824" s="2218"/>
      <c r="P824" s="2164">
        <f t="shared" si="1775"/>
        <v>0</v>
      </c>
      <c r="Q824" s="2218"/>
      <c r="R824" s="2218"/>
      <c r="S824" s="2164">
        <f t="shared" si="1776"/>
        <v>0</v>
      </c>
      <c r="T824" s="2167">
        <f t="shared" si="1754"/>
        <v>0</v>
      </c>
      <c r="U824" s="2163">
        <f t="shared" si="1754"/>
        <v>0</v>
      </c>
      <c r="V824" s="2166">
        <f t="shared" si="1755"/>
        <v>0</v>
      </c>
      <c r="W824" s="2220"/>
      <c r="X824" s="2218"/>
      <c r="Y824" s="2169">
        <f t="shared" si="1777"/>
        <v>0</v>
      </c>
      <c r="Z824" s="2165">
        <f t="shared" si="1756"/>
        <v>0</v>
      </c>
      <c r="AA824" s="2163">
        <f t="shared" si="1756"/>
        <v>0</v>
      </c>
      <c r="AB824" s="2164">
        <f t="shared" si="1757"/>
        <v>0</v>
      </c>
      <c r="AC824" s="2218"/>
      <c r="AD824" s="2411"/>
      <c r="AE824" s="2365">
        <f t="shared" si="1778"/>
        <v>0</v>
      </c>
      <c r="AF824" s="2410"/>
      <c r="AG824" s="2158"/>
      <c r="AH824" s="2218"/>
      <c r="AI824" s="2218"/>
      <c r="AJ824" s="2172">
        <f t="shared" si="1779"/>
        <v>0</v>
      </c>
      <c r="AK824" s="2218"/>
      <c r="AL824" s="2218"/>
      <c r="AM824" s="2172">
        <f t="shared" si="1780"/>
        <v>0</v>
      </c>
      <c r="AN824" s="2218"/>
      <c r="AO824" s="2218"/>
      <c r="AP824" s="2172">
        <f t="shared" si="1781"/>
        <v>0</v>
      </c>
      <c r="AQ824" s="2218"/>
      <c r="AR824" s="2218"/>
      <c r="AS824" s="2172">
        <f t="shared" si="1782"/>
        <v>0</v>
      </c>
      <c r="AT824" s="2218"/>
      <c r="AU824" s="2218"/>
      <c r="AV824" s="2172">
        <f t="shared" si="1783"/>
        <v>0</v>
      </c>
      <c r="AW824" s="2218"/>
      <c r="AX824" s="2218"/>
      <c r="AY824" s="2172">
        <f t="shared" si="1784"/>
        <v>0</v>
      </c>
      <c r="AZ824" s="2218"/>
      <c r="BA824" s="2218"/>
      <c r="BB824" s="2172">
        <f t="shared" si="1785"/>
        <v>0</v>
      </c>
      <c r="BC824" s="2218"/>
      <c r="BD824" s="2218"/>
      <c r="BE824" s="2172">
        <f t="shared" si="1786"/>
        <v>0</v>
      </c>
      <c r="BF824" s="2218"/>
      <c r="BG824" s="2218"/>
      <c r="BH824" s="2172">
        <f t="shared" si="1787"/>
        <v>0</v>
      </c>
      <c r="BI824" s="2218"/>
      <c r="BJ824" s="2218"/>
      <c r="BK824" s="2172">
        <f t="shared" si="1788"/>
        <v>0</v>
      </c>
      <c r="BL824" s="2218"/>
      <c r="BM824" s="2218"/>
      <c r="BN824" s="2172">
        <f t="shared" si="1789"/>
        <v>0</v>
      </c>
      <c r="BO824" s="2218"/>
      <c r="BP824" s="2218"/>
      <c r="BQ824" s="2172">
        <f t="shared" si="1790"/>
        <v>0</v>
      </c>
    </row>
    <row r="825" spans="3:69" s="2159" customFormat="1" ht="12" customHeight="1">
      <c r="C825" s="2173" t="s">
        <v>3009</v>
      </c>
      <c r="D825" s="2174" t="s">
        <v>3010</v>
      </c>
      <c r="E825" s="2197" t="s">
        <v>2590</v>
      </c>
      <c r="F825" s="2219"/>
      <c r="G825" s="2218"/>
      <c r="H825" s="2218"/>
      <c r="I825" s="2164">
        <f t="shared" si="1759"/>
        <v>0</v>
      </c>
      <c r="J825" s="2162"/>
      <c r="K825" s="2218"/>
      <c r="L825" s="2218"/>
      <c r="M825" s="2164">
        <f t="shared" si="1774"/>
        <v>0</v>
      </c>
      <c r="N825" s="2218"/>
      <c r="O825" s="2218"/>
      <c r="P825" s="2164">
        <f t="shared" si="1775"/>
        <v>0</v>
      </c>
      <c r="Q825" s="2218"/>
      <c r="R825" s="2218"/>
      <c r="S825" s="2164">
        <f t="shared" si="1776"/>
        <v>0</v>
      </c>
      <c r="T825" s="2167">
        <f t="shared" si="1754"/>
        <v>0</v>
      </c>
      <c r="U825" s="2163">
        <f t="shared" si="1754"/>
        <v>0</v>
      </c>
      <c r="V825" s="2166">
        <f t="shared" si="1755"/>
        <v>0</v>
      </c>
      <c r="W825" s="2220"/>
      <c r="X825" s="2218"/>
      <c r="Y825" s="2169">
        <f t="shared" si="1777"/>
        <v>0</v>
      </c>
      <c r="Z825" s="2165">
        <f t="shared" si="1756"/>
        <v>0</v>
      </c>
      <c r="AA825" s="2163">
        <f t="shared" si="1756"/>
        <v>0</v>
      </c>
      <c r="AB825" s="2164">
        <f t="shared" si="1757"/>
        <v>0</v>
      </c>
      <c r="AC825" s="2218"/>
      <c r="AD825" s="2411"/>
      <c r="AE825" s="2365">
        <f t="shared" si="1778"/>
        <v>0</v>
      </c>
      <c r="AF825" s="2410"/>
      <c r="AG825" s="2158"/>
      <c r="AH825" s="2218"/>
      <c r="AI825" s="2218"/>
      <c r="AJ825" s="2172">
        <f t="shared" si="1779"/>
        <v>0</v>
      </c>
      <c r="AK825" s="2218"/>
      <c r="AL825" s="2218"/>
      <c r="AM825" s="2172">
        <f t="shared" si="1780"/>
        <v>0</v>
      </c>
      <c r="AN825" s="2218"/>
      <c r="AO825" s="2218"/>
      <c r="AP825" s="2172">
        <f t="shared" si="1781"/>
        <v>0</v>
      </c>
      <c r="AQ825" s="2218"/>
      <c r="AR825" s="2218"/>
      <c r="AS825" s="2172">
        <f t="shared" si="1782"/>
        <v>0</v>
      </c>
      <c r="AT825" s="2218"/>
      <c r="AU825" s="2218"/>
      <c r="AV825" s="2172">
        <f t="shared" si="1783"/>
        <v>0</v>
      </c>
      <c r="AW825" s="2218"/>
      <c r="AX825" s="2218"/>
      <c r="AY825" s="2172">
        <f t="shared" si="1784"/>
        <v>0</v>
      </c>
      <c r="AZ825" s="2218"/>
      <c r="BA825" s="2218"/>
      <c r="BB825" s="2172">
        <f t="shared" si="1785"/>
        <v>0</v>
      </c>
      <c r="BC825" s="2218"/>
      <c r="BD825" s="2218"/>
      <c r="BE825" s="2172">
        <f t="shared" si="1786"/>
        <v>0</v>
      </c>
      <c r="BF825" s="2218"/>
      <c r="BG825" s="2218"/>
      <c r="BH825" s="2172">
        <f t="shared" si="1787"/>
        <v>0</v>
      </c>
      <c r="BI825" s="2218"/>
      <c r="BJ825" s="2218"/>
      <c r="BK825" s="2172">
        <f t="shared" si="1788"/>
        <v>0</v>
      </c>
      <c r="BL825" s="2218"/>
      <c r="BM825" s="2218"/>
      <c r="BN825" s="2172">
        <f t="shared" si="1789"/>
        <v>0</v>
      </c>
      <c r="BO825" s="2218"/>
      <c r="BP825" s="2218"/>
      <c r="BQ825" s="2172">
        <f t="shared" si="1790"/>
        <v>0</v>
      </c>
    </row>
    <row r="826" spans="3:69" s="2159" customFormat="1" ht="12" customHeight="1" thickBot="1">
      <c r="C826" s="2173" t="s">
        <v>3011</v>
      </c>
      <c r="D826" s="2174" t="s">
        <v>3012</v>
      </c>
      <c r="E826" s="2197" t="s">
        <v>2590</v>
      </c>
      <c r="F826" s="2219">
        <v>1029807.02750532</v>
      </c>
      <c r="G826" s="2218">
        <v>1029807.02750532</v>
      </c>
      <c r="H826" s="2218">
        <v>1031433.05076</v>
      </c>
      <c r="I826" s="2164">
        <f t="shared" si="1759"/>
        <v>1626.0232546799816</v>
      </c>
      <c r="J826" s="2162">
        <v>1046474.2477969099</v>
      </c>
      <c r="K826" s="2218">
        <f>SUM(N826,Q826,W826,AC826)</f>
        <v>1093112.8640050967</v>
      </c>
      <c r="L826" s="2218"/>
      <c r="M826" s="2164">
        <f t="shared" si="1774"/>
        <v>-1093112.8640050967</v>
      </c>
      <c r="N826" s="2218">
        <v>304777.20935167378</v>
      </c>
      <c r="O826" s="2218"/>
      <c r="P826" s="2164">
        <f t="shared" si="1775"/>
        <v>-304777.20935167378</v>
      </c>
      <c r="Q826" s="2218">
        <v>233234.59804382539</v>
      </c>
      <c r="R826" s="2218"/>
      <c r="S826" s="2164">
        <f t="shared" si="1776"/>
        <v>-233234.59804382539</v>
      </c>
      <c r="T826" s="2167">
        <f t="shared" si="1754"/>
        <v>538011.8073954992</v>
      </c>
      <c r="U826" s="2163">
        <f t="shared" si="1754"/>
        <v>0</v>
      </c>
      <c r="V826" s="2166">
        <f t="shared" si="1755"/>
        <v>-538011.8073954992</v>
      </c>
      <c r="W826" s="2412">
        <v>208236.44822120052</v>
      </c>
      <c r="X826" s="2413"/>
      <c r="Y826" s="2414">
        <f t="shared" si="1777"/>
        <v>-208236.44822120052</v>
      </c>
      <c r="Z826" s="2165">
        <f t="shared" si="1756"/>
        <v>746248.25561669969</v>
      </c>
      <c r="AA826" s="2163">
        <f t="shared" si="1756"/>
        <v>0</v>
      </c>
      <c r="AB826" s="2164">
        <f t="shared" si="1757"/>
        <v>-746248.25561669969</v>
      </c>
      <c r="AC826" s="2218">
        <v>346864.60838839691</v>
      </c>
      <c r="AD826" s="2411"/>
      <c r="AE826" s="2365">
        <f t="shared" si="1778"/>
        <v>-346864.60838839691</v>
      </c>
      <c r="AF826" s="2409"/>
      <c r="AG826" s="2158"/>
      <c r="AH826" s="2218">
        <v>5.9800113249860107E-2</v>
      </c>
      <c r="AI826" s="2218"/>
      <c r="AJ826" s="2172">
        <f t="shared" si="1779"/>
        <v>-5.9800113249860107E-2</v>
      </c>
      <c r="AK826" s="2218">
        <v>0</v>
      </c>
      <c r="AL826" s="2218"/>
      <c r="AM826" s="2172">
        <f t="shared" si="1780"/>
        <v>0</v>
      </c>
      <c r="AN826" s="2218">
        <v>0</v>
      </c>
      <c r="AO826" s="2218"/>
      <c r="AP826" s="2172">
        <f t="shared" si="1781"/>
        <v>0</v>
      </c>
      <c r="AQ826" s="2218">
        <v>0</v>
      </c>
      <c r="AR826" s="2218"/>
      <c r="AS826" s="2172">
        <f t="shared" si="1782"/>
        <v>0</v>
      </c>
      <c r="AT826" s="2218">
        <v>0</v>
      </c>
      <c r="AU826" s="2218"/>
      <c r="AV826" s="2172">
        <f t="shared" si="1783"/>
        <v>0</v>
      </c>
      <c r="AW826" s="2218">
        <v>0</v>
      </c>
      <c r="AX826" s="2218"/>
      <c r="AY826" s="2172">
        <f t="shared" si="1784"/>
        <v>0</v>
      </c>
      <c r="AZ826" s="2218">
        <v>0</v>
      </c>
      <c r="BA826" s="2218"/>
      <c r="BB826" s="2172">
        <f t="shared" si="1785"/>
        <v>0</v>
      </c>
      <c r="BC826" s="2218">
        <v>0</v>
      </c>
      <c r="BD826" s="2218"/>
      <c r="BE826" s="2172">
        <f t="shared" si="1786"/>
        <v>0</v>
      </c>
      <c r="BF826" s="2218">
        <v>0</v>
      </c>
      <c r="BG826" s="2218"/>
      <c r="BH826" s="2172">
        <f t="shared" si="1787"/>
        <v>0</v>
      </c>
      <c r="BI826" s="2218">
        <v>0</v>
      </c>
      <c r="BJ826" s="2218"/>
      <c r="BK826" s="2172">
        <f t="shared" si="1788"/>
        <v>0</v>
      </c>
      <c r="BL826" s="2218">
        <v>0</v>
      </c>
      <c r="BM826" s="2218"/>
      <c r="BN826" s="2172">
        <f t="shared" si="1789"/>
        <v>0</v>
      </c>
      <c r="BO826" s="2218">
        <v>0</v>
      </c>
      <c r="BP826" s="2218"/>
      <c r="BQ826" s="2172">
        <f t="shared" si="1790"/>
        <v>0</v>
      </c>
    </row>
    <row r="827" spans="3:69" s="2207" customFormat="1" ht="12" hidden="1" customHeight="1">
      <c r="C827" s="2134" t="s">
        <v>44</v>
      </c>
      <c r="D827" s="2146" t="s">
        <v>3013</v>
      </c>
      <c r="E827" s="2136"/>
      <c r="F827" s="2224"/>
      <c r="G827" s="2225"/>
      <c r="H827" s="2225"/>
      <c r="I827" s="2226"/>
      <c r="J827" s="2224"/>
      <c r="K827" s="2225"/>
      <c r="L827" s="2225"/>
      <c r="M827" s="2226"/>
      <c r="N827" s="2225"/>
      <c r="O827" s="2225"/>
      <c r="P827" s="2226"/>
      <c r="Q827" s="2224"/>
      <c r="R827" s="2225"/>
      <c r="S827" s="2227"/>
      <c r="T827" s="2228"/>
      <c r="U827" s="2225"/>
      <c r="V827" s="2226"/>
      <c r="W827" s="2415"/>
      <c r="X827" s="2416"/>
      <c r="Y827" s="2417"/>
      <c r="Z827" s="2228"/>
      <c r="AA827" s="2225"/>
      <c r="AB827" s="2226"/>
      <c r="AC827" s="2224"/>
      <c r="AD827" s="2225"/>
      <c r="AE827" s="2227"/>
      <c r="AF827" s="2231"/>
      <c r="AG827" s="2206"/>
      <c r="AH827" s="2225"/>
      <c r="AI827" s="2225"/>
      <c r="AJ827" s="2226"/>
      <c r="AK827" s="2225"/>
      <c r="AL827" s="2225"/>
      <c r="AM827" s="2226"/>
      <c r="AN827" s="2225"/>
      <c r="AO827" s="2225"/>
      <c r="AP827" s="2226"/>
      <c r="AQ827" s="2225"/>
      <c r="AR827" s="2225"/>
      <c r="AS827" s="2226"/>
      <c r="AT827" s="2225"/>
      <c r="AU827" s="2225"/>
      <c r="AV827" s="2226"/>
      <c r="AW827" s="2225"/>
      <c r="AX827" s="2225"/>
      <c r="AY827" s="2226"/>
      <c r="AZ827" s="2225"/>
      <c r="BA827" s="2225"/>
      <c r="BB827" s="2226"/>
      <c r="BC827" s="2225"/>
      <c r="BD827" s="2225"/>
      <c r="BE827" s="2226"/>
      <c r="BF827" s="2225"/>
      <c r="BG827" s="2225"/>
      <c r="BH827" s="2226"/>
      <c r="BI827" s="2225"/>
      <c r="BJ827" s="2225"/>
      <c r="BK827" s="2226"/>
      <c r="BL827" s="2225"/>
      <c r="BM827" s="2225"/>
      <c r="BN827" s="2226"/>
      <c r="BO827" s="2225"/>
      <c r="BP827" s="2225"/>
      <c r="BQ827" s="2226"/>
    </row>
    <row r="828" spans="3:69" s="2159" customFormat="1" ht="12" hidden="1" customHeight="1">
      <c r="C828" s="2147" t="s">
        <v>285</v>
      </c>
      <c r="D828" s="2148" t="s">
        <v>2080</v>
      </c>
      <c r="E828" s="2149"/>
      <c r="F828" s="2150"/>
      <c r="G828" s="2151"/>
      <c r="H828" s="2151"/>
      <c r="I828" s="2152"/>
      <c r="J828" s="2150"/>
      <c r="K828" s="2151"/>
      <c r="L828" s="2151"/>
      <c r="M828" s="2152"/>
      <c r="N828" s="2151"/>
      <c r="O828" s="2151"/>
      <c r="P828" s="2152"/>
      <c r="Q828" s="2150"/>
      <c r="R828" s="2151"/>
      <c r="S828" s="2153"/>
      <c r="T828" s="2154"/>
      <c r="U828" s="2151"/>
      <c r="V828" s="2152"/>
      <c r="W828" s="2150"/>
      <c r="X828" s="2151"/>
      <c r="Y828" s="2153"/>
      <c r="Z828" s="2154"/>
      <c r="AA828" s="2151"/>
      <c r="AB828" s="2152"/>
      <c r="AC828" s="2150"/>
      <c r="AD828" s="2151"/>
      <c r="AE828" s="2153"/>
      <c r="AF828" s="2157"/>
      <c r="AG828" s="2158"/>
      <c r="AH828" s="2151"/>
      <c r="AI828" s="2151"/>
      <c r="AJ828" s="2152"/>
      <c r="AK828" s="2151"/>
      <c r="AL828" s="2151"/>
      <c r="AM828" s="2152"/>
      <c r="AN828" s="2151"/>
      <c r="AO828" s="2151"/>
      <c r="AP828" s="2152"/>
      <c r="AQ828" s="2151"/>
      <c r="AR828" s="2151"/>
      <c r="AS828" s="2152"/>
      <c r="AT828" s="2151"/>
      <c r="AU828" s="2151"/>
      <c r="AV828" s="2152"/>
      <c r="AW828" s="2151"/>
      <c r="AX828" s="2151"/>
      <c r="AY828" s="2152"/>
      <c r="AZ828" s="2151"/>
      <c r="BA828" s="2151"/>
      <c r="BB828" s="2152"/>
      <c r="BC828" s="2151"/>
      <c r="BD828" s="2151"/>
      <c r="BE828" s="2152"/>
      <c r="BF828" s="2151"/>
      <c r="BG828" s="2151"/>
      <c r="BH828" s="2152"/>
      <c r="BI828" s="2151"/>
      <c r="BJ828" s="2151"/>
      <c r="BK828" s="2152"/>
      <c r="BL828" s="2151"/>
      <c r="BM828" s="2151"/>
      <c r="BN828" s="2152"/>
      <c r="BO828" s="2151"/>
      <c r="BP828" s="2151"/>
      <c r="BQ828" s="2152"/>
    </row>
    <row r="829" spans="3:69" s="2396" customFormat="1" ht="12" hidden="1" customHeight="1">
      <c r="C829" s="2160" t="s">
        <v>1835</v>
      </c>
      <c r="D829" s="2202" t="s">
        <v>3014</v>
      </c>
      <c r="E829" s="2213" t="s">
        <v>3015</v>
      </c>
      <c r="F829" s="2162"/>
      <c r="G829" s="2163">
        <f>G836+G844+G851</f>
        <v>0</v>
      </c>
      <c r="H829" s="2163">
        <f>H836+H844+H851</f>
        <v>0</v>
      </c>
      <c r="I829" s="2164">
        <f>H829-G829</f>
        <v>0</v>
      </c>
      <c r="J829" s="2162"/>
      <c r="K829" s="2163">
        <f t="shared" ref="K829:L844" si="1791">N829+Q829+W829+AC829</f>
        <v>0</v>
      </c>
      <c r="L829" s="2163">
        <f t="shared" si="1791"/>
        <v>0</v>
      </c>
      <c r="M829" s="2164">
        <f>L829-K829</f>
        <v>0</v>
      </c>
      <c r="N829" s="2163">
        <f>N836+N844+N851</f>
        <v>0</v>
      </c>
      <c r="O829" s="2163">
        <f>O836+O844+O851</f>
        <v>0</v>
      </c>
      <c r="P829" s="2164">
        <f>O829-N829</f>
        <v>0</v>
      </c>
      <c r="Q829" s="2165">
        <f>Q836+Q844+Q851</f>
        <v>0</v>
      </c>
      <c r="R829" s="2163">
        <f>R836+R844+R851</f>
        <v>0</v>
      </c>
      <c r="S829" s="2166">
        <f>R829-Q829</f>
        <v>0</v>
      </c>
      <c r="T829" s="2167">
        <f>N829+Q829</f>
        <v>0</v>
      </c>
      <c r="U829" s="2163">
        <f>O829+R829</f>
        <v>0</v>
      </c>
      <c r="V829" s="2164">
        <f>U829-T829</f>
        <v>0</v>
      </c>
      <c r="W829" s="2165">
        <f>W836+W844+W851</f>
        <v>0</v>
      </c>
      <c r="X829" s="2163">
        <f>X836+X844+X851</f>
        <v>0</v>
      </c>
      <c r="Y829" s="2166">
        <f>X829-W829</f>
        <v>0</v>
      </c>
      <c r="Z829" s="2167">
        <f>T829+W829</f>
        <v>0</v>
      </c>
      <c r="AA829" s="2163">
        <f>U829+X829</f>
        <v>0</v>
      </c>
      <c r="AB829" s="2164">
        <f>AA829-Z829</f>
        <v>0</v>
      </c>
      <c r="AC829" s="2165">
        <f>AC836+AC844+AC851</f>
        <v>0</v>
      </c>
      <c r="AD829" s="2163">
        <f>AD836+AD844+AD851</f>
        <v>0</v>
      </c>
      <c r="AE829" s="2166">
        <f>AD829-AC829</f>
        <v>0</v>
      </c>
      <c r="AF829" s="2170"/>
      <c r="AG829" s="2395"/>
      <c r="AH829" s="2171">
        <f>AH836+AH844+AH851</f>
        <v>0</v>
      </c>
      <c r="AI829" s="2171">
        <f>AI836+AI844+AI851</f>
        <v>0</v>
      </c>
      <c r="AJ829" s="2172">
        <f>AI829-AH829</f>
        <v>0</v>
      </c>
      <c r="AK829" s="2171">
        <f>AK836+AK844+AK851</f>
        <v>0</v>
      </c>
      <c r="AL829" s="2171">
        <f>AL836+AL844+AL851</f>
        <v>0</v>
      </c>
      <c r="AM829" s="2172">
        <f>AL829-AK829</f>
        <v>0</v>
      </c>
      <c r="AN829" s="2171">
        <f>AN836+AN844+AN851</f>
        <v>0</v>
      </c>
      <c r="AO829" s="2171">
        <f>AO836+AO844+AO851</f>
        <v>0</v>
      </c>
      <c r="AP829" s="2172">
        <f>AO829-AN829</f>
        <v>0</v>
      </c>
      <c r="AQ829" s="2171">
        <f>AQ836+AQ844+AQ851</f>
        <v>0</v>
      </c>
      <c r="AR829" s="2171">
        <f>AR836+AR844+AR851</f>
        <v>0</v>
      </c>
      <c r="AS829" s="2172">
        <f>AR829-AQ829</f>
        <v>0</v>
      </c>
      <c r="AT829" s="2171">
        <f>AT836+AT844+AT851</f>
        <v>0</v>
      </c>
      <c r="AU829" s="2171">
        <f>AU836+AU844+AU851</f>
        <v>0</v>
      </c>
      <c r="AV829" s="2172">
        <f>AU829-AT829</f>
        <v>0</v>
      </c>
      <c r="AW829" s="2171">
        <f>AW836+AW844+AW851</f>
        <v>0</v>
      </c>
      <c r="AX829" s="2171">
        <f>AX836+AX844+AX851</f>
        <v>0</v>
      </c>
      <c r="AY829" s="2172">
        <f>AX829-AW829</f>
        <v>0</v>
      </c>
      <c r="AZ829" s="2171">
        <f>AZ836+AZ844+AZ851</f>
        <v>0</v>
      </c>
      <c r="BA829" s="2171">
        <f>BA836+BA844+BA851</f>
        <v>0</v>
      </c>
      <c r="BB829" s="2172">
        <f>BA829-AZ829</f>
        <v>0</v>
      </c>
      <c r="BC829" s="2171">
        <f>BC836+BC844+BC851</f>
        <v>0</v>
      </c>
      <c r="BD829" s="2171">
        <f>BD836+BD844+BD851</f>
        <v>0</v>
      </c>
      <c r="BE829" s="2172">
        <f>BD829-BC829</f>
        <v>0</v>
      </c>
      <c r="BF829" s="2171">
        <f>BF836+BF844+BF851</f>
        <v>0</v>
      </c>
      <c r="BG829" s="2171">
        <f>BG836+BG844+BG851</f>
        <v>0</v>
      </c>
      <c r="BH829" s="2172">
        <f>BG829-BF829</f>
        <v>0</v>
      </c>
      <c r="BI829" s="2171">
        <f>BI836+BI844+BI851</f>
        <v>0</v>
      </c>
      <c r="BJ829" s="2171">
        <f>BJ836+BJ844+BJ851</f>
        <v>0</v>
      </c>
      <c r="BK829" s="2172">
        <f>BJ829-BI829</f>
        <v>0</v>
      </c>
      <c r="BL829" s="2171">
        <f>BL836+BL844+BL851</f>
        <v>0</v>
      </c>
      <c r="BM829" s="2171">
        <f>BM836+BM844+BM851</f>
        <v>0</v>
      </c>
      <c r="BN829" s="2172">
        <f>BM829-BL829</f>
        <v>0</v>
      </c>
      <c r="BO829" s="2171">
        <f>BO836+BO844+BO851</f>
        <v>0</v>
      </c>
      <c r="BP829" s="2171">
        <f>BP836+BP844+BP851</f>
        <v>0</v>
      </c>
      <c r="BQ829" s="2172">
        <f>BP829-BO829</f>
        <v>0</v>
      </c>
    </row>
    <row r="830" spans="3:69" s="2420" customFormat="1" ht="12" hidden="1" customHeight="1">
      <c r="C830" s="2357" t="s">
        <v>3016</v>
      </c>
      <c r="D830" s="2418" t="s">
        <v>28</v>
      </c>
      <c r="E830" s="2384" t="s">
        <v>3015</v>
      </c>
      <c r="F830" s="2176"/>
      <c r="G830" s="2300">
        <f>G845</f>
        <v>0</v>
      </c>
      <c r="H830" s="2300">
        <f>H845</f>
        <v>0</v>
      </c>
      <c r="I830" s="2178">
        <f t="shared" ref="I830:I852" si="1792">H830-G830</f>
        <v>0</v>
      </c>
      <c r="J830" s="2176"/>
      <c r="K830" s="2179">
        <f t="shared" si="1791"/>
        <v>0</v>
      </c>
      <c r="L830" s="2179">
        <f t="shared" si="1791"/>
        <v>0</v>
      </c>
      <c r="M830" s="2178">
        <f t="shared" ref="M830:M857" si="1793">L830-K830</f>
        <v>0</v>
      </c>
      <c r="N830" s="2300">
        <f>N845</f>
        <v>0</v>
      </c>
      <c r="O830" s="2300">
        <f>O845</f>
        <v>0</v>
      </c>
      <c r="P830" s="2178">
        <f t="shared" ref="P830:P857" si="1794">O830-N830</f>
        <v>0</v>
      </c>
      <c r="Q830" s="2300">
        <f>Q845</f>
        <v>0</v>
      </c>
      <c r="R830" s="2300">
        <f>R845</f>
        <v>0</v>
      </c>
      <c r="S830" s="2180">
        <f t="shared" ref="S830:S857" si="1795">R830-Q830</f>
        <v>0</v>
      </c>
      <c r="T830" s="2181">
        <f t="shared" ref="T830:U845" si="1796">N830+Q830</f>
        <v>0</v>
      </c>
      <c r="U830" s="2179">
        <f t="shared" si="1796"/>
        <v>0</v>
      </c>
      <c r="V830" s="2178">
        <f t="shared" ref="V830:V857" si="1797">U830-T830</f>
        <v>0</v>
      </c>
      <c r="W830" s="2300">
        <f>W845</f>
        <v>0</v>
      </c>
      <c r="X830" s="2300">
        <f>X845</f>
        <v>0</v>
      </c>
      <c r="Y830" s="2180">
        <f t="shared" ref="Y830:Y857" si="1798">X830-W830</f>
        <v>0</v>
      </c>
      <c r="Z830" s="2181">
        <f t="shared" ref="Z830:AA845" si="1799">T830+W830</f>
        <v>0</v>
      </c>
      <c r="AA830" s="2179">
        <f t="shared" si="1799"/>
        <v>0</v>
      </c>
      <c r="AB830" s="2178">
        <f t="shared" ref="AB830:AB857" si="1800">AA830-Z830</f>
        <v>0</v>
      </c>
      <c r="AC830" s="2300">
        <f>AC845</f>
        <v>0</v>
      </c>
      <c r="AD830" s="2300">
        <f>AD845</f>
        <v>0</v>
      </c>
      <c r="AE830" s="2180">
        <f t="shared" ref="AE830:AE857" si="1801">AD830-AC830</f>
        <v>0</v>
      </c>
      <c r="AF830" s="2276"/>
      <c r="AG830" s="2419"/>
      <c r="AH830" s="2309">
        <f>AH845</f>
        <v>0</v>
      </c>
      <c r="AI830" s="2309">
        <f>AI845</f>
        <v>0</v>
      </c>
      <c r="AJ830" s="2186">
        <f t="shared" ref="AJ830:AJ857" si="1802">AI830-AH830</f>
        <v>0</v>
      </c>
      <c r="AK830" s="2309">
        <f>AK845</f>
        <v>0</v>
      </c>
      <c r="AL830" s="2309">
        <f>AL845</f>
        <v>0</v>
      </c>
      <c r="AM830" s="2186">
        <f t="shared" ref="AM830:AM857" si="1803">AL830-AK830</f>
        <v>0</v>
      </c>
      <c r="AN830" s="2309">
        <f>AN845</f>
        <v>0</v>
      </c>
      <c r="AO830" s="2309">
        <f>AO845</f>
        <v>0</v>
      </c>
      <c r="AP830" s="2186">
        <f t="shared" ref="AP830:AP857" si="1804">AO830-AN830</f>
        <v>0</v>
      </c>
      <c r="AQ830" s="2309">
        <f>AQ845</f>
        <v>0</v>
      </c>
      <c r="AR830" s="2309">
        <f>AR845</f>
        <v>0</v>
      </c>
      <c r="AS830" s="2186">
        <f t="shared" ref="AS830:AS857" si="1805">AR830-AQ830</f>
        <v>0</v>
      </c>
      <c r="AT830" s="2309">
        <f>AT845</f>
        <v>0</v>
      </c>
      <c r="AU830" s="2309">
        <f>AU845</f>
        <v>0</v>
      </c>
      <c r="AV830" s="2186">
        <f t="shared" ref="AV830:AV857" si="1806">AU830-AT830</f>
        <v>0</v>
      </c>
      <c r="AW830" s="2309">
        <f>AW845</f>
        <v>0</v>
      </c>
      <c r="AX830" s="2309">
        <f>AX845</f>
        <v>0</v>
      </c>
      <c r="AY830" s="2186">
        <f t="shared" ref="AY830:AY857" si="1807">AX830-AW830</f>
        <v>0</v>
      </c>
      <c r="AZ830" s="2309">
        <f>AZ845</f>
        <v>0</v>
      </c>
      <c r="BA830" s="2309">
        <f>BA845</f>
        <v>0</v>
      </c>
      <c r="BB830" s="2186">
        <f t="shared" ref="BB830:BB857" si="1808">BA830-AZ830</f>
        <v>0</v>
      </c>
      <c r="BC830" s="2309">
        <f>BC845</f>
        <v>0</v>
      </c>
      <c r="BD830" s="2309">
        <f>BD845</f>
        <v>0</v>
      </c>
      <c r="BE830" s="2186">
        <f t="shared" ref="BE830:BE857" si="1809">BD830-BC830</f>
        <v>0</v>
      </c>
      <c r="BF830" s="2309">
        <f>BF845</f>
        <v>0</v>
      </c>
      <c r="BG830" s="2309">
        <f>BG845</f>
        <v>0</v>
      </c>
      <c r="BH830" s="2186">
        <f t="shared" ref="BH830:BH857" si="1810">BG830-BF830</f>
        <v>0</v>
      </c>
      <c r="BI830" s="2309">
        <f>BI845</f>
        <v>0</v>
      </c>
      <c r="BJ830" s="2309">
        <f>BJ845</f>
        <v>0</v>
      </c>
      <c r="BK830" s="2186">
        <f t="shared" ref="BK830:BK857" si="1811">BJ830-BI830</f>
        <v>0</v>
      </c>
      <c r="BL830" s="2309">
        <f>BL845</f>
        <v>0</v>
      </c>
      <c r="BM830" s="2309">
        <f>BM845</f>
        <v>0</v>
      </c>
      <c r="BN830" s="2186">
        <f t="shared" ref="BN830:BN857" si="1812">BM830-BL830</f>
        <v>0</v>
      </c>
      <c r="BO830" s="2309">
        <f>BO845</f>
        <v>0</v>
      </c>
      <c r="BP830" s="2309">
        <f>BP845</f>
        <v>0</v>
      </c>
      <c r="BQ830" s="2186">
        <f t="shared" ref="BQ830:BQ857" si="1813">BP830-BO830</f>
        <v>0</v>
      </c>
    </row>
    <row r="831" spans="3:69" s="2420" customFormat="1" ht="12" hidden="1" customHeight="1">
      <c r="C831" s="2357" t="s">
        <v>3017</v>
      </c>
      <c r="D831" s="2421" t="s">
        <v>2434</v>
      </c>
      <c r="E831" s="2384" t="s">
        <v>3015</v>
      </c>
      <c r="F831" s="2176"/>
      <c r="G831" s="2300">
        <f>G846</f>
        <v>0</v>
      </c>
      <c r="H831" s="2300">
        <f>H846</f>
        <v>0</v>
      </c>
      <c r="I831" s="2178">
        <f t="shared" si="1792"/>
        <v>0</v>
      </c>
      <c r="J831" s="2176"/>
      <c r="K831" s="2179">
        <f t="shared" si="1791"/>
        <v>0</v>
      </c>
      <c r="L831" s="2179">
        <f t="shared" si="1791"/>
        <v>0</v>
      </c>
      <c r="M831" s="2178">
        <f t="shared" si="1793"/>
        <v>0</v>
      </c>
      <c r="N831" s="2300">
        <f>N846</f>
        <v>0</v>
      </c>
      <c r="O831" s="2300">
        <f>O846</f>
        <v>0</v>
      </c>
      <c r="P831" s="2178">
        <f t="shared" si="1794"/>
        <v>0</v>
      </c>
      <c r="Q831" s="2300">
        <f>Q846</f>
        <v>0</v>
      </c>
      <c r="R831" s="2300">
        <f>R846</f>
        <v>0</v>
      </c>
      <c r="S831" s="2180">
        <f t="shared" si="1795"/>
        <v>0</v>
      </c>
      <c r="T831" s="2181">
        <f t="shared" si="1796"/>
        <v>0</v>
      </c>
      <c r="U831" s="2179">
        <f t="shared" si="1796"/>
        <v>0</v>
      </c>
      <c r="V831" s="2178">
        <f t="shared" si="1797"/>
        <v>0</v>
      </c>
      <c r="W831" s="2300">
        <f>W846</f>
        <v>0</v>
      </c>
      <c r="X831" s="2300">
        <f>X846</f>
        <v>0</v>
      </c>
      <c r="Y831" s="2180">
        <f t="shared" si="1798"/>
        <v>0</v>
      </c>
      <c r="Z831" s="2181">
        <f t="shared" si="1799"/>
        <v>0</v>
      </c>
      <c r="AA831" s="2179">
        <f t="shared" si="1799"/>
        <v>0</v>
      </c>
      <c r="AB831" s="2178">
        <f t="shared" si="1800"/>
        <v>0</v>
      </c>
      <c r="AC831" s="2300">
        <f>AC846</f>
        <v>0</v>
      </c>
      <c r="AD831" s="2300">
        <f>AD846</f>
        <v>0</v>
      </c>
      <c r="AE831" s="2180">
        <f t="shared" si="1801"/>
        <v>0</v>
      </c>
      <c r="AF831" s="2276"/>
      <c r="AG831" s="2419"/>
      <c r="AH831" s="2309">
        <f>AH846</f>
        <v>0</v>
      </c>
      <c r="AI831" s="2309">
        <f>AI846</f>
        <v>0</v>
      </c>
      <c r="AJ831" s="2186">
        <f t="shared" si="1802"/>
        <v>0</v>
      </c>
      <c r="AK831" s="2309">
        <f>AK846</f>
        <v>0</v>
      </c>
      <c r="AL831" s="2309">
        <f>AL846</f>
        <v>0</v>
      </c>
      <c r="AM831" s="2186">
        <f t="shared" si="1803"/>
        <v>0</v>
      </c>
      <c r="AN831" s="2309">
        <f>AN846</f>
        <v>0</v>
      </c>
      <c r="AO831" s="2309">
        <f>AO846</f>
        <v>0</v>
      </c>
      <c r="AP831" s="2186">
        <f t="shared" si="1804"/>
        <v>0</v>
      </c>
      <c r="AQ831" s="2309">
        <f>AQ846</f>
        <v>0</v>
      </c>
      <c r="AR831" s="2309">
        <f>AR846</f>
        <v>0</v>
      </c>
      <c r="AS831" s="2186">
        <f t="shared" si="1805"/>
        <v>0</v>
      </c>
      <c r="AT831" s="2309">
        <f>AT846</f>
        <v>0</v>
      </c>
      <c r="AU831" s="2309">
        <f>AU846</f>
        <v>0</v>
      </c>
      <c r="AV831" s="2186">
        <f t="shared" si="1806"/>
        <v>0</v>
      </c>
      <c r="AW831" s="2309">
        <f>AW846</f>
        <v>0</v>
      </c>
      <c r="AX831" s="2309">
        <f>AX846</f>
        <v>0</v>
      </c>
      <c r="AY831" s="2186">
        <f t="shared" si="1807"/>
        <v>0</v>
      </c>
      <c r="AZ831" s="2309">
        <f>AZ846</f>
        <v>0</v>
      </c>
      <c r="BA831" s="2309">
        <f>BA846</f>
        <v>0</v>
      </c>
      <c r="BB831" s="2186">
        <f t="shared" si="1808"/>
        <v>0</v>
      </c>
      <c r="BC831" s="2309">
        <f>BC846</f>
        <v>0</v>
      </c>
      <c r="BD831" s="2309">
        <f>BD846</f>
        <v>0</v>
      </c>
      <c r="BE831" s="2186">
        <f t="shared" si="1809"/>
        <v>0</v>
      </c>
      <c r="BF831" s="2309">
        <f>BF846</f>
        <v>0</v>
      </c>
      <c r="BG831" s="2309">
        <f>BG846</f>
        <v>0</v>
      </c>
      <c r="BH831" s="2186">
        <f t="shared" si="1810"/>
        <v>0</v>
      </c>
      <c r="BI831" s="2309">
        <f>BI846</f>
        <v>0</v>
      </c>
      <c r="BJ831" s="2309">
        <f>BJ846</f>
        <v>0</v>
      </c>
      <c r="BK831" s="2186">
        <f t="shared" si="1811"/>
        <v>0</v>
      </c>
      <c r="BL831" s="2309">
        <f>BL846</f>
        <v>0</v>
      </c>
      <c r="BM831" s="2309">
        <f>BM846</f>
        <v>0</v>
      </c>
      <c r="BN831" s="2186">
        <f t="shared" si="1812"/>
        <v>0</v>
      </c>
      <c r="BO831" s="2309">
        <f>BO846</f>
        <v>0</v>
      </c>
      <c r="BP831" s="2309">
        <f>BP846</f>
        <v>0</v>
      </c>
      <c r="BQ831" s="2186">
        <f t="shared" si="1813"/>
        <v>0</v>
      </c>
    </row>
    <row r="832" spans="3:69" s="2420" customFormat="1" ht="12" hidden="1" customHeight="1">
      <c r="C832" s="2357" t="s">
        <v>3018</v>
      </c>
      <c r="D832" s="2418" t="s">
        <v>2872</v>
      </c>
      <c r="E832" s="2384" t="s">
        <v>3015</v>
      </c>
      <c r="F832" s="2176"/>
      <c r="G832" s="2300">
        <f>G837+G847</f>
        <v>0</v>
      </c>
      <c r="H832" s="2300">
        <f>H837+H847</f>
        <v>0</v>
      </c>
      <c r="I832" s="2178">
        <f t="shared" si="1792"/>
        <v>0</v>
      </c>
      <c r="J832" s="2176"/>
      <c r="K832" s="2179">
        <f t="shared" si="1791"/>
        <v>0</v>
      </c>
      <c r="L832" s="2179">
        <f t="shared" si="1791"/>
        <v>0</v>
      </c>
      <c r="M832" s="2178">
        <f t="shared" si="1793"/>
        <v>0</v>
      </c>
      <c r="N832" s="2300">
        <f>N837+N847</f>
        <v>0</v>
      </c>
      <c r="O832" s="2300">
        <f>O837+O847</f>
        <v>0</v>
      </c>
      <c r="P832" s="2178">
        <f t="shared" si="1794"/>
        <v>0</v>
      </c>
      <c r="Q832" s="2300">
        <f>Q837+Q847</f>
        <v>0</v>
      </c>
      <c r="R832" s="2300">
        <f>R837+R847</f>
        <v>0</v>
      </c>
      <c r="S832" s="2180">
        <f t="shared" si="1795"/>
        <v>0</v>
      </c>
      <c r="T832" s="2181">
        <f t="shared" si="1796"/>
        <v>0</v>
      </c>
      <c r="U832" s="2179">
        <f t="shared" si="1796"/>
        <v>0</v>
      </c>
      <c r="V832" s="2178">
        <f t="shared" si="1797"/>
        <v>0</v>
      </c>
      <c r="W832" s="2300">
        <f>W837+W847</f>
        <v>0</v>
      </c>
      <c r="X832" s="2300">
        <f>X837+X847</f>
        <v>0</v>
      </c>
      <c r="Y832" s="2180">
        <f t="shared" si="1798"/>
        <v>0</v>
      </c>
      <c r="Z832" s="2181">
        <f t="shared" si="1799"/>
        <v>0</v>
      </c>
      <c r="AA832" s="2179">
        <f t="shared" si="1799"/>
        <v>0</v>
      </c>
      <c r="AB832" s="2178">
        <f t="shared" si="1800"/>
        <v>0</v>
      </c>
      <c r="AC832" s="2300">
        <f>AC837+AC847</f>
        <v>0</v>
      </c>
      <c r="AD832" s="2300">
        <f>AD837+AD847</f>
        <v>0</v>
      </c>
      <c r="AE832" s="2180">
        <f t="shared" si="1801"/>
        <v>0</v>
      </c>
      <c r="AF832" s="2276"/>
      <c r="AG832" s="2419"/>
      <c r="AH832" s="2309">
        <f>AH837+AH847</f>
        <v>0</v>
      </c>
      <c r="AI832" s="2309">
        <f>AI837+AI847</f>
        <v>0</v>
      </c>
      <c r="AJ832" s="2186">
        <f t="shared" si="1802"/>
        <v>0</v>
      </c>
      <c r="AK832" s="2309">
        <f>AK837+AK847</f>
        <v>0</v>
      </c>
      <c r="AL832" s="2309">
        <f>AL837+AL847</f>
        <v>0</v>
      </c>
      <c r="AM832" s="2186">
        <f t="shared" si="1803"/>
        <v>0</v>
      </c>
      <c r="AN832" s="2309">
        <f>AN837+AN847</f>
        <v>0</v>
      </c>
      <c r="AO832" s="2309">
        <f>AO837+AO847</f>
        <v>0</v>
      </c>
      <c r="AP832" s="2186">
        <f t="shared" si="1804"/>
        <v>0</v>
      </c>
      <c r="AQ832" s="2309">
        <f>AQ837+AQ847</f>
        <v>0</v>
      </c>
      <c r="AR832" s="2309">
        <f>AR837+AR847</f>
        <v>0</v>
      </c>
      <c r="AS832" s="2186">
        <f t="shared" si="1805"/>
        <v>0</v>
      </c>
      <c r="AT832" s="2309">
        <f>AT837+AT847</f>
        <v>0</v>
      </c>
      <c r="AU832" s="2309">
        <f>AU837+AU847</f>
        <v>0</v>
      </c>
      <c r="AV832" s="2186">
        <f t="shared" si="1806"/>
        <v>0</v>
      </c>
      <c r="AW832" s="2309">
        <f>AW837+AW847</f>
        <v>0</v>
      </c>
      <c r="AX832" s="2309">
        <f>AX837+AX847</f>
        <v>0</v>
      </c>
      <c r="AY832" s="2186">
        <f t="shared" si="1807"/>
        <v>0</v>
      </c>
      <c r="AZ832" s="2309">
        <f>AZ837+AZ847</f>
        <v>0</v>
      </c>
      <c r="BA832" s="2309">
        <f>BA837+BA847</f>
        <v>0</v>
      </c>
      <c r="BB832" s="2186">
        <f t="shared" si="1808"/>
        <v>0</v>
      </c>
      <c r="BC832" s="2309">
        <f>BC837+BC847</f>
        <v>0</v>
      </c>
      <c r="BD832" s="2309">
        <f>BD837+BD847</f>
        <v>0</v>
      </c>
      <c r="BE832" s="2186">
        <f t="shared" si="1809"/>
        <v>0</v>
      </c>
      <c r="BF832" s="2309">
        <f>BF837+BF847</f>
        <v>0</v>
      </c>
      <c r="BG832" s="2309">
        <f>BG837+BG847</f>
        <v>0</v>
      </c>
      <c r="BH832" s="2186">
        <f t="shared" si="1810"/>
        <v>0</v>
      </c>
      <c r="BI832" s="2309">
        <f>BI837+BI847</f>
        <v>0</v>
      </c>
      <c r="BJ832" s="2309">
        <f>BJ837+BJ847</f>
        <v>0</v>
      </c>
      <c r="BK832" s="2186">
        <f t="shared" si="1811"/>
        <v>0</v>
      </c>
      <c r="BL832" s="2309">
        <f>BL837+BL847</f>
        <v>0</v>
      </c>
      <c r="BM832" s="2309">
        <f>BM837+BM847</f>
        <v>0</v>
      </c>
      <c r="BN832" s="2186">
        <f t="shared" si="1812"/>
        <v>0</v>
      </c>
      <c r="BO832" s="2309">
        <f>BO837+BO847</f>
        <v>0</v>
      </c>
      <c r="BP832" s="2309">
        <f>BP837+BP847</f>
        <v>0</v>
      </c>
      <c r="BQ832" s="2186">
        <f t="shared" si="1813"/>
        <v>0</v>
      </c>
    </row>
    <row r="833" spans="3:69" s="2420" customFormat="1" ht="12" hidden="1" customHeight="1">
      <c r="C833" s="2357" t="s">
        <v>3019</v>
      </c>
      <c r="D833" s="2421" t="s">
        <v>2434</v>
      </c>
      <c r="E833" s="2384" t="s">
        <v>3015</v>
      </c>
      <c r="F833" s="2176"/>
      <c r="G833" s="2300">
        <f>G838+G848</f>
        <v>0</v>
      </c>
      <c r="H833" s="2300">
        <f>H838+H848</f>
        <v>0</v>
      </c>
      <c r="I833" s="2178">
        <f t="shared" si="1792"/>
        <v>0</v>
      </c>
      <c r="J833" s="2176"/>
      <c r="K833" s="2179">
        <f t="shared" si="1791"/>
        <v>0</v>
      </c>
      <c r="L833" s="2179">
        <f t="shared" si="1791"/>
        <v>0</v>
      </c>
      <c r="M833" s="2178">
        <f t="shared" si="1793"/>
        <v>0</v>
      </c>
      <c r="N833" s="2300">
        <f>N838+N848</f>
        <v>0</v>
      </c>
      <c r="O833" s="2300">
        <f>O838+O848</f>
        <v>0</v>
      </c>
      <c r="P833" s="2178">
        <f t="shared" si="1794"/>
        <v>0</v>
      </c>
      <c r="Q833" s="2300">
        <f>Q838+Q848</f>
        <v>0</v>
      </c>
      <c r="R833" s="2300">
        <f>R838+R848</f>
        <v>0</v>
      </c>
      <c r="S833" s="2180">
        <f t="shared" si="1795"/>
        <v>0</v>
      </c>
      <c r="T833" s="2181">
        <f t="shared" si="1796"/>
        <v>0</v>
      </c>
      <c r="U833" s="2179">
        <f t="shared" si="1796"/>
        <v>0</v>
      </c>
      <c r="V833" s="2178">
        <f t="shared" si="1797"/>
        <v>0</v>
      </c>
      <c r="W833" s="2300">
        <f>W838+W848</f>
        <v>0</v>
      </c>
      <c r="X833" s="2300">
        <f>X838+X848</f>
        <v>0</v>
      </c>
      <c r="Y833" s="2180">
        <f t="shared" si="1798"/>
        <v>0</v>
      </c>
      <c r="Z833" s="2181">
        <f t="shared" si="1799"/>
        <v>0</v>
      </c>
      <c r="AA833" s="2179">
        <f t="shared" si="1799"/>
        <v>0</v>
      </c>
      <c r="AB833" s="2178">
        <f t="shared" si="1800"/>
        <v>0</v>
      </c>
      <c r="AC833" s="2300">
        <f>AC838+AC848</f>
        <v>0</v>
      </c>
      <c r="AD833" s="2300">
        <f>AD838+AD848</f>
        <v>0</v>
      </c>
      <c r="AE833" s="2180">
        <f t="shared" si="1801"/>
        <v>0</v>
      </c>
      <c r="AF833" s="2276"/>
      <c r="AG833" s="2419"/>
      <c r="AH833" s="2309">
        <f>AH838+AH848</f>
        <v>0</v>
      </c>
      <c r="AI833" s="2309">
        <f>AI838+AI848</f>
        <v>0</v>
      </c>
      <c r="AJ833" s="2186">
        <f t="shared" si="1802"/>
        <v>0</v>
      </c>
      <c r="AK833" s="2309">
        <f>AK838+AK848</f>
        <v>0</v>
      </c>
      <c r="AL833" s="2309">
        <f>AL838+AL848</f>
        <v>0</v>
      </c>
      <c r="AM833" s="2186">
        <f t="shared" si="1803"/>
        <v>0</v>
      </c>
      <c r="AN833" s="2309">
        <f>AN838+AN848</f>
        <v>0</v>
      </c>
      <c r="AO833" s="2309">
        <f>AO838+AO848</f>
        <v>0</v>
      </c>
      <c r="AP833" s="2186">
        <f t="shared" si="1804"/>
        <v>0</v>
      </c>
      <c r="AQ833" s="2309">
        <f>AQ838+AQ848</f>
        <v>0</v>
      </c>
      <c r="AR833" s="2309">
        <f>AR838+AR848</f>
        <v>0</v>
      </c>
      <c r="AS833" s="2186">
        <f t="shared" si="1805"/>
        <v>0</v>
      </c>
      <c r="AT833" s="2309">
        <f>AT838+AT848</f>
        <v>0</v>
      </c>
      <c r="AU833" s="2309">
        <f>AU838+AU848</f>
        <v>0</v>
      </c>
      <c r="AV833" s="2186">
        <f t="shared" si="1806"/>
        <v>0</v>
      </c>
      <c r="AW833" s="2309">
        <f>AW838+AW848</f>
        <v>0</v>
      </c>
      <c r="AX833" s="2309">
        <f>AX838+AX848</f>
        <v>0</v>
      </c>
      <c r="AY833" s="2186">
        <f t="shared" si="1807"/>
        <v>0</v>
      </c>
      <c r="AZ833" s="2309">
        <f>AZ838+AZ848</f>
        <v>0</v>
      </c>
      <c r="BA833" s="2309">
        <f>BA838+BA848</f>
        <v>0</v>
      </c>
      <c r="BB833" s="2186">
        <f t="shared" si="1808"/>
        <v>0</v>
      </c>
      <c r="BC833" s="2309">
        <f>BC838+BC848</f>
        <v>0</v>
      </c>
      <c r="BD833" s="2309">
        <f>BD838+BD848</f>
        <v>0</v>
      </c>
      <c r="BE833" s="2186">
        <f t="shared" si="1809"/>
        <v>0</v>
      </c>
      <c r="BF833" s="2309">
        <f>BF838+BF848</f>
        <v>0</v>
      </c>
      <c r="BG833" s="2309">
        <f>BG838+BG848</f>
        <v>0</v>
      </c>
      <c r="BH833" s="2186">
        <f t="shared" si="1810"/>
        <v>0</v>
      </c>
      <c r="BI833" s="2309">
        <f>BI838+BI848</f>
        <v>0</v>
      </c>
      <c r="BJ833" s="2309">
        <f>BJ838+BJ848</f>
        <v>0</v>
      </c>
      <c r="BK833" s="2186">
        <f t="shared" si="1811"/>
        <v>0</v>
      </c>
      <c r="BL833" s="2309">
        <f>BL838+BL848</f>
        <v>0</v>
      </c>
      <c r="BM833" s="2309">
        <f>BM838+BM848</f>
        <v>0</v>
      </c>
      <c r="BN833" s="2186">
        <f t="shared" si="1812"/>
        <v>0</v>
      </c>
      <c r="BO833" s="2309">
        <f>BO838+BO848</f>
        <v>0</v>
      </c>
      <c r="BP833" s="2309">
        <f>BP838+BP848</f>
        <v>0</v>
      </c>
      <c r="BQ833" s="2186">
        <f t="shared" si="1813"/>
        <v>0</v>
      </c>
    </row>
    <row r="834" spans="3:69" s="2420" customFormat="1" ht="12" hidden="1" customHeight="1">
      <c r="C834" s="2357" t="s">
        <v>3020</v>
      </c>
      <c r="D834" s="2418" t="s">
        <v>42</v>
      </c>
      <c r="E834" s="2384" t="s">
        <v>3015</v>
      </c>
      <c r="F834" s="2176"/>
      <c r="G834" s="2300">
        <f>G839+G849+G851</f>
        <v>0</v>
      </c>
      <c r="H834" s="2300">
        <f>H839+H849+H851</f>
        <v>0</v>
      </c>
      <c r="I834" s="2178">
        <f t="shared" si="1792"/>
        <v>0</v>
      </c>
      <c r="J834" s="2176"/>
      <c r="K834" s="2179">
        <f t="shared" si="1791"/>
        <v>0</v>
      </c>
      <c r="L834" s="2179">
        <f t="shared" si="1791"/>
        <v>0</v>
      </c>
      <c r="M834" s="2178">
        <f t="shared" si="1793"/>
        <v>0</v>
      </c>
      <c r="N834" s="2300">
        <f>N839+N849+N851</f>
        <v>0</v>
      </c>
      <c r="O834" s="2300">
        <f>O839+O849+O851</f>
        <v>0</v>
      </c>
      <c r="P834" s="2178">
        <f t="shared" si="1794"/>
        <v>0</v>
      </c>
      <c r="Q834" s="2300">
        <f>Q839+Q849+Q851</f>
        <v>0</v>
      </c>
      <c r="R834" s="2300">
        <f>R839+R849+R851</f>
        <v>0</v>
      </c>
      <c r="S834" s="2180">
        <f t="shared" si="1795"/>
        <v>0</v>
      </c>
      <c r="T834" s="2181">
        <f t="shared" si="1796"/>
        <v>0</v>
      </c>
      <c r="U834" s="2179">
        <f t="shared" si="1796"/>
        <v>0</v>
      </c>
      <c r="V834" s="2178">
        <f t="shared" si="1797"/>
        <v>0</v>
      </c>
      <c r="W834" s="2300">
        <f>W839+W849+W851</f>
        <v>0</v>
      </c>
      <c r="X834" s="2300">
        <f>X839+X849+X851</f>
        <v>0</v>
      </c>
      <c r="Y834" s="2180">
        <f t="shared" si="1798"/>
        <v>0</v>
      </c>
      <c r="Z834" s="2181">
        <f t="shared" si="1799"/>
        <v>0</v>
      </c>
      <c r="AA834" s="2179">
        <f t="shared" si="1799"/>
        <v>0</v>
      </c>
      <c r="AB834" s="2178">
        <f t="shared" si="1800"/>
        <v>0</v>
      </c>
      <c r="AC834" s="2300">
        <f>AC839+AC849+AC851</f>
        <v>0</v>
      </c>
      <c r="AD834" s="2300">
        <f>AD839+AD849+AD851</f>
        <v>0</v>
      </c>
      <c r="AE834" s="2180">
        <f t="shared" si="1801"/>
        <v>0</v>
      </c>
      <c r="AF834" s="2276"/>
      <c r="AG834" s="2419"/>
      <c r="AH834" s="2309">
        <f>AH839+AH849+AH851</f>
        <v>0</v>
      </c>
      <c r="AI834" s="2309">
        <f>AI839+AI849+AI851</f>
        <v>0</v>
      </c>
      <c r="AJ834" s="2186">
        <f t="shared" si="1802"/>
        <v>0</v>
      </c>
      <c r="AK834" s="2309">
        <f>AK839+AK849+AK851</f>
        <v>0</v>
      </c>
      <c r="AL834" s="2309">
        <f>AL839+AL849+AL851</f>
        <v>0</v>
      </c>
      <c r="AM834" s="2186">
        <f t="shared" si="1803"/>
        <v>0</v>
      </c>
      <c r="AN834" s="2309">
        <f>AN839+AN849+AN851</f>
        <v>0</v>
      </c>
      <c r="AO834" s="2309">
        <f>AO839+AO849+AO851</f>
        <v>0</v>
      </c>
      <c r="AP834" s="2186">
        <f t="shared" si="1804"/>
        <v>0</v>
      </c>
      <c r="AQ834" s="2309">
        <f>AQ839+AQ849+AQ851</f>
        <v>0</v>
      </c>
      <c r="AR834" s="2309">
        <f>AR839+AR849+AR851</f>
        <v>0</v>
      </c>
      <c r="AS834" s="2186">
        <f t="shared" si="1805"/>
        <v>0</v>
      </c>
      <c r="AT834" s="2309">
        <f>AT839+AT849+AT851</f>
        <v>0</v>
      </c>
      <c r="AU834" s="2309">
        <f>AU839+AU849+AU851</f>
        <v>0</v>
      </c>
      <c r="AV834" s="2186">
        <f t="shared" si="1806"/>
        <v>0</v>
      </c>
      <c r="AW834" s="2309">
        <f>AW839+AW849+AW851</f>
        <v>0</v>
      </c>
      <c r="AX834" s="2309">
        <f>AX839+AX849+AX851</f>
        <v>0</v>
      </c>
      <c r="AY834" s="2186">
        <f t="shared" si="1807"/>
        <v>0</v>
      </c>
      <c r="AZ834" s="2309">
        <f>AZ839+AZ849+AZ851</f>
        <v>0</v>
      </c>
      <c r="BA834" s="2309">
        <f>BA839+BA849+BA851</f>
        <v>0</v>
      </c>
      <c r="BB834" s="2186">
        <f t="shared" si="1808"/>
        <v>0</v>
      </c>
      <c r="BC834" s="2309">
        <f>BC839+BC849+BC851</f>
        <v>0</v>
      </c>
      <c r="BD834" s="2309">
        <f>BD839+BD849+BD851</f>
        <v>0</v>
      </c>
      <c r="BE834" s="2186">
        <f t="shared" si="1809"/>
        <v>0</v>
      </c>
      <c r="BF834" s="2309">
        <f>BF839+BF849+BF851</f>
        <v>0</v>
      </c>
      <c r="BG834" s="2309">
        <f>BG839+BG849+BG851</f>
        <v>0</v>
      </c>
      <c r="BH834" s="2186">
        <f t="shared" si="1810"/>
        <v>0</v>
      </c>
      <c r="BI834" s="2309">
        <f>BI839+BI849+BI851</f>
        <v>0</v>
      </c>
      <c r="BJ834" s="2309">
        <f>BJ839+BJ849+BJ851</f>
        <v>0</v>
      </c>
      <c r="BK834" s="2186">
        <f t="shared" si="1811"/>
        <v>0</v>
      </c>
      <c r="BL834" s="2309">
        <f>BL839+BL849+BL851</f>
        <v>0</v>
      </c>
      <c r="BM834" s="2309">
        <f>BM839+BM849+BM851</f>
        <v>0</v>
      </c>
      <c r="BN834" s="2186">
        <f t="shared" si="1812"/>
        <v>0</v>
      </c>
      <c r="BO834" s="2309">
        <f>BO839+BO849+BO851</f>
        <v>0</v>
      </c>
      <c r="BP834" s="2309">
        <f>BP839+BP849+BP851</f>
        <v>0</v>
      </c>
      <c r="BQ834" s="2186">
        <f t="shared" si="1813"/>
        <v>0</v>
      </c>
    </row>
    <row r="835" spans="3:69" s="2420" customFormat="1" ht="12" hidden="1" customHeight="1">
      <c r="C835" s="2357" t="s">
        <v>3021</v>
      </c>
      <c r="D835" s="2421" t="s">
        <v>2434</v>
      </c>
      <c r="E835" s="2384" t="s">
        <v>3015</v>
      </c>
      <c r="F835" s="2176"/>
      <c r="G835" s="2300">
        <f>G841+G843+G850+G852</f>
        <v>0</v>
      </c>
      <c r="H835" s="2300">
        <f>H841+H843+H850+H852</f>
        <v>0</v>
      </c>
      <c r="I835" s="2178">
        <f t="shared" si="1792"/>
        <v>0</v>
      </c>
      <c r="J835" s="2176"/>
      <c r="K835" s="2179">
        <f t="shared" si="1791"/>
        <v>0</v>
      </c>
      <c r="L835" s="2179">
        <f t="shared" si="1791"/>
        <v>0</v>
      </c>
      <c r="M835" s="2178">
        <f t="shared" si="1793"/>
        <v>0</v>
      </c>
      <c r="N835" s="2300">
        <f>N841+N843+N850+N852</f>
        <v>0</v>
      </c>
      <c r="O835" s="2300">
        <f>O841+O843+O850+O852</f>
        <v>0</v>
      </c>
      <c r="P835" s="2178">
        <f t="shared" si="1794"/>
        <v>0</v>
      </c>
      <c r="Q835" s="2300">
        <f>Q841+Q843+Q850+Q852</f>
        <v>0</v>
      </c>
      <c r="R835" s="2300">
        <f>R841+R843+R850+R852</f>
        <v>0</v>
      </c>
      <c r="S835" s="2180">
        <f t="shared" si="1795"/>
        <v>0</v>
      </c>
      <c r="T835" s="2181">
        <f t="shared" si="1796"/>
        <v>0</v>
      </c>
      <c r="U835" s="2179">
        <f t="shared" si="1796"/>
        <v>0</v>
      </c>
      <c r="V835" s="2178">
        <f t="shared" si="1797"/>
        <v>0</v>
      </c>
      <c r="W835" s="2300">
        <f>W841+W843+W850+W852</f>
        <v>0</v>
      </c>
      <c r="X835" s="2300">
        <f>X841+X843+X850+X852</f>
        <v>0</v>
      </c>
      <c r="Y835" s="2180">
        <f t="shared" si="1798"/>
        <v>0</v>
      </c>
      <c r="Z835" s="2181">
        <f t="shared" si="1799"/>
        <v>0</v>
      </c>
      <c r="AA835" s="2179">
        <f t="shared" si="1799"/>
        <v>0</v>
      </c>
      <c r="AB835" s="2178">
        <f t="shared" si="1800"/>
        <v>0</v>
      </c>
      <c r="AC835" s="2300">
        <f>AC841+AC843+AC850+AC852</f>
        <v>0</v>
      </c>
      <c r="AD835" s="2300">
        <f>AD841+AD843+AD850+AD852</f>
        <v>0</v>
      </c>
      <c r="AE835" s="2180">
        <f t="shared" si="1801"/>
        <v>0</v>
      </c>
      <c r="AF835" s="2276"/>
      <c r="AG835" s="2419"/>
      <c r="AH835" s="2309">
        <f>AH841+AH843+AH850+AH852</f>
        <v>0</v>
      </c>
      <c r="AI835" s="2309">
        <f>AI841+AI843+AI850+AI852</f>
        <v>0</v>
      </c>
      <c r="AJ835" s="2186">
        <f t="shared" si="1802"/>
        <v>0</v>
      </c>
      <c r="AK835" s="2309">
        <f>AK841+AK843+AK850+AK852</f>
        <v>0</v>
      </c>
      <c r="AL835" s="2309">
        <f>AL841+AL843+AL850+AL852</f>
        <v>0</v>
      </c>
      <c r="AM835" s="2186">
        <f t="shared" si="1803"/>
        <v>0</v>
      </c>
      <c r="AN835" s="2309">
        <f>AN841+AN843+AN850+AN852</f>
        <v>0</v>
      </c>
      <c r="AO835" s="2309">
        <f>AO841+AO843+AO850+AO852</f>
        <v>0</v>
      </c>
      <c r="AP835" s="2186">
        <f t="shared" si="1804"/>
        <v>0</v>
      </c>
      <c r="AQ835" s="2309">
        <f>AQ841+AQ843+AQ850+AQ852</f>
        <v>0</v>
      </c>
      <c r="AR835" s="2309">
        <f>AR841+AR843+AR850+AR852</f>
        <v>0</v>
      </c>
      <c r="AS835" s="2186">
        <f t="shared" si="1805"/>
        <v>0</v>
      </c>
      <c r="AT835" s="2309">
        <f>AT841+AT843+AT850+AT852</f>
        <v>0</v>
      </c>
      <c r="AU835" s="2309">
        <f>AU841+AU843+AU850+AU852</f>
        <v>0</v>
      </c>
      <c r="AV835" s="2186">
        <f t="shared" si="1806"/>
        <v>0</v>
      </c>
      <c r="AW835" s="2309">
        <f>AW841+AW843+AW850+AW852</f>
        <v>0</v>
      </c>
      <c r="AX835" s="2309">
        <f>AX841+AX843+AX850+AX852</f>
        <v>0</v>
      </c>
      <c r="AY835" s="2186">
        <f t="shared" si="1807"/>
        <v>0</v>
      </c>
      <c r="AZ835" s="2309">
        <f>AZ841+AZ843+AZ850+AZ852</f>
        <v>0</v>
      </c>
      <c r="BA835" s="2309">
        <f>BA841+BA843+BA850+BA852</f>
        <v>0</v>
      </c>
      <c r="BB835" s="2186">
        <f t="shared" si="1808"/>
        <v>0</v>
      </c>
      <c r="BC835" s="2309">
        <f>BC841+BC843+BC850+BC852</f>
        <v>0</v>
      </c>
      <c r="BD835" s="2309">
        <f>BD841+BD843+BD850+BD852</f>
        <v>0</v>
      </c>
      <c r="BE835" s="2186">
        <f t="shared" si="1809"/>
        <v>0</v>
      </c>
      <c r="BF835" s="2309">
        <f>BF841+BF843+BF850+BF852</f>
        <v>0</v>
      </c>
      <c r="BG835" s="2309">
        <f>BG841+BG843+BG850+BG852</f>
        <v>0</v>
      </c>
      <c r="BH835" s="2186">
        <f t="shared" si="1810"/>
        <v>0</v>
      </c>
      <c r="BI835" s="2309">
        <f>BI841+BI843+BI850+BI852</f>
        <v>0</v>
      </c>
      <c r="BJ835" s="2309">
        <f>BJ841+BJ843+BJ850+BJ852</f>
        <v>0</v>
      </c>
      <c r="BK835" s="2186">
        <f t="shared" si="1811"/>
        <v>0</v>
      </c>
      <c r="BL835" s="2309">
        <f>BL841+BL843+BL850+BL852</f>
        <v>0</v>
      </c>
      <c r="BM835" s="2309">
        <f>BM841+BM843+BM850+BM852</f>
        <v>0</v>
      </c>
      <c r="BN835" s="2186">
        <f t="shared" si="1812"/>
        <v>0</v>
      </c>
      <c r="BO835" s="2309">
        <f>BO841+BO843+BO850+BO852</f>
        <v>0</v>
      </c>
      <c r="BP835" s="2309">
        <f>BP841+BP843+BP850+BP852</f>
        <v>0</v>
      </c>
      <c r="BQ835" s="2186">
        <f t="shared" si="1813"/>
        <v>0</v>
      </c>
    </row>
    <row r="836" spans="3:69" s="2396" customFormat="1" ht="12" hidden="1" thickBot="1">
      <c r="C836" s="2196" t="s">
        <v>3022</v>
      </c>
      <c r="D836" s="2422" t="s">
        <v>3023</v>
      </c>
      <c r="E836" s="2213" t="s">
        <v>3015</v>
      </c>
      <c r="F836" s="2162"/>
      <c r="G836" s="2364">
        <f>G837+G839</f>
        <v>0</v>
      </c>
      <c r="H836" s="2364">
        <f>H837+H839</f>
        <v>0</v>
      </c>
      <c r="I836" s="2164">
        <f t="shared" si="1792"/>
        <v>0</v>
      </c>
      <c r="J836" s="2162"/>
      <c r="K836" s="2163">
        <f t="shared" si="1791"/>
        <v>0</v>
      </c>
      <c r="L836" s="2163">
        <f t="shared" si="1791"/>
        <v>0</v>
      </c>
      <c r="M836" s="2164">
        <f t="shared" si="1793"/>
        <v>0</v>
      </c>
      <c r="N836" s="2163">
        <f>N837+N839</f>
        <v>0</v>
      </c>
      <c r="O836" s="2163">
        <f>O837+O839</f>
        <v>0</v>
      </c>
      <c r="P836" s="2164">
        <f t="shared" si="1794"/>
        <v>0</v>
      </c>
      <c r="Q836" s="2165">
        <f>Q837+Q839</f>
        <v>0</v>
      </c>
      <c r="R836" s="2163">
        <f>R837+R839</f>
        <v>0</v>
      </c>
      <c r="S836" s="2166">
        <f t="shared" si="1795"/>
        <v>0</v>
      </c>
      <c r="T836" s="2167">
        <f t="shared" si="1796"/>
        <v>0</v>
      </c>
      <c r="U836" s="2163">
        <f t="shared" si="1796"/>
        <v>0</v>
      </c>
      <c r="V836" s="2164">
        <f t="shared" si="1797"/>
        <v>0</v>
      </c>
      <c r="W836" s="2165">
        <f>W837+W839</f>
        <v>0</v>
      </c>
      <c r="X836" s="2163">
        <f>X837+X839</f>
        <v>0</v>
      </c>
      <c r="Y836" s="2166">
        <f t="shared" si="1798"/>
        <v>0</v>
      </c>
      <c r="Z836" s="2167">
        <f t="shared" si="1799"/>
        <v>0</v>
      </c>
      <c r="AA836" s="2163">
        <f t="shared" si="1799"/>
        <v>0</v>
      </c>
      <c r="AB836" s="2164">
        <f t="shared" si="1800"/>
        <v>0</v>
      </c>
      <c r="AC836" s="2165">
        <f>AC837+AC839</f>
        <v>0</v>
      </c>
      <c r="AD836" s="2163">
        <f>AD837+AD839</f>
        <v>0</v>
      </c>
      <c r="AE836" s="2166">
        <f t="shared" si="1801"/>
        <v>0</v>
      </c>
      <c r="AF836" s="2170"/>
      <c r="AG836" s="2395"/>
      <c r="AH836" s="2171">
        <f>AH837+AH839</f>
        <v>0</v>
      </c>
      <c r="AI836" s="2171">
        <f>AI837+AI839</f>
        <v>0</v>
      </c>
      <c r="AJ836" s="2172">
        <f t="shared" si="1802"/>
        <v>0</v>
      </c>
      <c r="AK836" s="2171">
        <f>AK837+AK839</f>
        <v>0</v>
      </c>
      <c r="AL836" s="2171">
        <f>AL837+AL839</f>
        <v>0</v>
      </c>
      <c r="AM836" s="2172">
        <f t="shared" si="1803"/>
        <v>0</v>
      </c>
      <c r="AN836" s="2171">
        <f>AN837+AN839</f>
        <v>0</v>
      </c>
      <c r="AO836" s="2171">
        <f>AO837+AO839</f>
        <v>0</v>
      </c>
      <c r="AP836" s="2172">
        <f t="shared" si="1804"/>
        <v>0</v>
      </c>
      <c r="AQ836" s="2171">
        <f>AQ837+AQ839</f>
        <v>0</v>
      </c>
      <c r="AR836" s="2171">
        <f>AR837+AR839</f>
        <v>0</v>
      </c>
      <c r="AS836" s="2172">
        <f t="shared" si="1805"/>
        <v>0</v>
      </c>
      <c r="AT836" s="2171">
        <f>AT837+AT839</f>
        <v>0</v>
      </c>
      <c r="AU836" s="2171">
        <f>AU837+AU839</f>
        <v>0</v>
      </c>
      <c r="AV836" s="2172">
        <f t="shared" si="1806"/>
        <v>0</v>
      </c>
      <c r="AW836" s="2171">
        <f>AW837+AW839</f>
        <v>0</v>
      </c>
      <c r="AX836" s="2171">
        <f>AX837+AX839</f>
        <v>0</v>
      </c>
      <c r="AY836" s="2172">
        <f t="shared" si="1807"/>
        <v>0</v>
      </c>
      <c r="AZ836" s="2171">
        <f>AZ837+AZ839</f>
        <v>0</v>
      </c>
      <c r="BA836" s="2171">
        <f>BA837+BA839</f>
        <v>0</v>
      </c>
      <c r="BB836" s="2172">
        <f t="shared" si="1808"/>
        <v>0</v>
      </c>
      <c r="BC836" s="2171">
        <f>BC837+BC839</f>
        <v>0</v>
      </c>
      <c r="BD836" s="2171">
        <f>BD837+BD839</f>
        <v>0</v>
      </c>
      <c r="BE836" s="2172">
        <f t="shared" si="1809"/>
        <v>0</v>
      </c>
      <c r="BF836" s="2171">
        <f>BF837+BF839</f>
        <v>0</v>
      </c>
      <c r="BG836" s="2171">
        <f>BG837+BG839</f>
        <v>0</v>
      </c>
      <c r="BH836" s="2172">
        <f t="shared" si="1810"/>
        <v>0</v>
      </c>
      <c r="BI836" s="2171">
        <f>BI837+BI839</f>
        <v>0</v>
      </c>
      <c r="BJ836" s="2171">
        <f>BJ837+BJ839</f>
        <v>0</v>
      </c>
      <c r="BK836" s="2172">
        <f t="shared" si="1811"/>
        <v>0</v>
      </c>
      <c r="BL836" s="2171">
        <f>BL837+BL839</f>
        <v>0</v>
      </c>
      <c r="BM836" s="2171">
        <f>BM837+BM839</f>
        <v>0</v>
      </c>
      <c r="BN836" s="2172">
        <f t="shared" si="1812"/>
        <v>0</v>
      </c>
      <c r="BO836" s="2171">
        <f>BO837+BO839</f>
        <v>0</v>
      </c>
      <c r="BP836" s="2171">
        <f>BP837+BP839</f>
        <v>0</v>
      </c>
      <c r="BQ836" s="2172">
        <f t="shared" si="1813"/>
        <v>0</v>
      </c>
    </row>
    <row r="837" spans="3:69" s="2087" customFormat="1" ht="12" hidden="1" customHeight="1">
      <c r="C837" s="2423" t="s">
        <v>3024</v>
      </c>
      <c r="D837" s="2418" t="s">
        <v>2872</v>
      </c>
      <c r="E837" s="2250" t="s">
        <v>2590</v>
      </c>
      <c r="F837" s="2176"/>
      <c r="G837" s="2177"/>
      <c r="H837" s="2177"/>
      <c r="I837" s="2178">
        <f t="shared" si="1792"/>
        <v>0</v>
      </c>
      <c r="J837" s="2176"/>
      <c r="K837" s="2179">
        <f t="shared" si="1791"/>
        <v>0</v>
      </c>
      <c r="L837" s="2179">
        <f t="shared" si="1791"/>
        <v>0</v>
      </c>
      <c r="M837" s="2178">
        <f t="shared" si="1793"/>
        <v>0</v>
      </c>
      <c r="N837" s="2177"/>
      <c r="O837" s="2177"/>
      <c r="P837" s="2178">
        <f t="shared" si="1794"/>
        <v>0</v>
      </c>
      <c r="Q837" s="2176"/>
      <c r="R837" s="2177"/>
      <c r="S837" s="2180">
        <f t="shared" si="1795"/>
        <v>0</v>
      </c>
      <c r="T837" s="2181">
        <f t="shared" si="1796"/>
        <v>0</v>
      </c>
      <c r="U837" s="2179">
        <f t="shared" si="1796"/>
        <v>0</v>
      </c>
      <c r="V837" s="2178">
        <f t="shared" si="1797"/>
        <v>0</v>
      </c>
      <c r="W837" s="2176"/>
      <c r="X837" s="2177"/>
      <c r="Y837" s="2180">
        <f t="shared" si="1798"/>
        <v>0</v>
      </c>
      <c r="Z837" s="2181">
        <f t="shared" si="1799"/>
        <v>0</v>
      </c>
      <c r="AA837" s="2179">
        <f t="shared" si="1799"/>
        <v>0</v>
      </c>
      <c r="AB837" s="2178">
        <f t="shared" si="1800"/>
        <v>0</v>
      </c>
      <c r="AC837" s="2176"/>
      <c r="AD837" s="2177"/>
      <c r="AE837" s="2180">
        <f t="shared" si="1801"/>
        <v>0</v>
      </c>
      <c r="AF837" s="2204"/>
      <c r="AG837" s="2114"/>
      <c r="AH837" s="2177"/>
      <c r="AI837" s="2177"/>
      <c r="AJ837" s="2186">
        <f t="shared" si="1802"/>
        <v>0</v>
      </c>
      <c r="AK837" s="2177"/>
      <c r="AL837" s="2177"/>
      <c r="AM837" s="2186">
        <f t="shared" si="1803"/>
        <v>0</v>
      </c>
      <c r="AN837" s="2177"/>
      <c r="AO837" s="2177"/>
      <c r="AP837" s="2186">
        <f t="shared" si="1804"/>
        <v>0</v>
      </c>
      <c r="AQ837" s="2177"/>
      <c r="AR837" s="2177"/>
      <c r="AS837" s="2186">
        <f t="shared" si="1805"/>
        <v>0</v>
      </c>
      <c r="AT837" s="2177"/>
      <c r="AU837" s="2177"/>
      <c r="AV837" s="2186">
        <f t="shared" si="1806"/>
        <v>0</v>
      </c>
      <c r="AW837" s="2177"/>
      <c r="AX837" s="2177"/>
      <c r="AY837" s="2186">
        <f t="shared" si="1807"/>
        <v>0</v>
      </c>
      <c r="AZ837" s="2177"/>
      <c r="BA837" s="2177"/>
      <c r="BB837" s="2186">
        <f t="shared" si="1808"/>
        <v>0</v>
      </c>
      <c r="BC837" s="2177"/>
      <c r="BD837" s="2177"/>
      <c r="BE837" s="2186">
        <f t="shared" si="1809"/>
        <v>0</v>
      </c>
      <c r="BF837" s="2177"/>
      <c r="BG837" s="2177"/>
      <c r="BH837" s="2186">
        <f t="shared" si="1810"/>
        <v>0</v>
      </c>
      <c r="BI837" s="2177"/>
      <c r="BJ837" s="2177"/>
      <c r="BK837" s="2186">
        <f t="shared" si="1811"/>
        <v>0</v>
      </c>
      <c r="BL837" s="2177"/>
      <c r="BM837" s="2177"/>
      <c r="BN837" s="2186">
        <f t="shared" si="1812"/>
        <v>0</v>
      </c>
      <c r="BO837" s="2177"/>
      <c r="BP837" s="2177"/>
      <c r="BQ837" s="2186">
        <f t="shared" si="1813"/>
        <v>0</v>
      </c>
    </row>
    <row r="838" spans="3:69" s="2087" customFormat="1" ht="12" hidden="1" customHeight="1">
      <c r="C838" s="2423" t="s">
        <v>3025</v>
      </c>
      <c r="D838" s="2421" t="s">
        <v>2434</v>
      </c>
      <c r="E838" s="2384" t="s">
        <v>3015</v>
      </c>
      <c r="F838" s="2176"/>
      <c r="G838" s="2177"/>
      <c r="H838" s="2177"/>
      <c r="I838" s="2178">
        <f t="shared" si="1792"/>
        <v>0</v>
      </c>
      <c r="J838" s="2176"/>
      <c r="K838" s="2179">
        <f t="shared" si="1791"/>
        <v>0</v>
      </c>
      <c r="L838" s="2179">
        <f t="shared" si="1791"/>
        <v>0</v>
      </c>
      <c r="M838" s="2178">
        <f t="shared" si="1793"/>
        <v>0</v>
      </c>
      <c r="N838" s="2177"/>
      <c r="O838" s="2177"/>
      <c r="P838" s="2178">
        <f t="shared" si="1794"/>
        <v>0</v>
      </c>
      <c r="Q838" s="2176"/>
      <c r="R838" s="2177"/>
      <c r="S838" s="2180">
        <f t="shared" si="1795"/>
        <v>0</v>
      </c>
      <c r="T838" s="2181">
        <f t="shared" si="1796"/>
        <v>0</v>
      </c>
      <c r="U838" s="2179">
        <f t="shared" si="1796"/>
        <v>0</v>
      </c>
      <c r="V838" s="2178">
        <f t="shared" si="1797"/>
        <v>0</v>
      </c>
      <c r="W838" s="2176"/>
      <c r="X838" s="2177"/>
      <c r="Y838" s="2180">
        <f t="shared" si="1798"/>
        <v>0</v>
      </c>
      <c r="Z838" s="2181">
        <f t="shared" si="1799"/>
        <v>0</v>
      </c>
      <c r="AA838" s="2179">
        <f t="shared" si="1799"/>
        <v>0</v>
      </c>
      <c r="AB838" s="2178">
        <f t="shared" si="1800"/>
        <v>0</v>
      </c>
      <c r="AC838" s="2176"/>
      <c r="AD838" s="2177"/>
      <c r="AE838" s="2180">
        <f t="shared" si="1801"/>
        <v>0</v>
      </c>
      <c r="AF838" s="2204"/>
      <c r="AG838" s="2114"/>
      <c r="AH838" s="2177"/>
      <c r="AI838" s="2177"/>
      <c r="AJ838" s="2186">
        <f t="shared" si="1802"/>
        <v>0</v>
      </c>
      <c r="AK838" s="2177"/>
      <c r="AL838" s="2177"/>
      <c r="AM838" s="2186">
        <f t="shared" si="1803"/>
        <v>0</v>
      </c>
      <c r="AN838" s="2177"/>
      <c r="AO838" s="2177"/>
      <c r="AP838" s="2186">
        <f t="shared" si="1804"/>
        <v>0</v>
      </c>
      <c r="AQ838" s="2177"/>
      <c r="AR838" s="2177"/>
      <c r="AS838" s="2186">
        <f t="shared" si="1805"/>
        <v>0</v>
      </c>
      <c r="AT838" s="2177"/>
      <c r="AU838" s="2177"/>
      <c r="AV838" s="2186">
        <f t="shared" si="1806"/>
        <v>0</v>
      </c>
      <c r="AW838" s="2177"/>
      <c r="AX838" s="2177"/>
      <c r="AY838" s="2186">
        <f t="shared" si="1807"/>
        <v>0</v>
      </c>
      <c r="AZ838" s="2177"/>
      <c r="BA838" s="2177"/>
      <c r="BB838" s="2186">
        <f t="shared" si="1808"/>
        <v>0</v>
      </c>
      <c r="BC838" s="2177"/>
      <c r="BD838" s="2177"/>
      <c r="BE838" s="2186">
        <f t="shared" si="1809"/>
        <v>0</v>
      </c>
      <c r="BF838" s="2177"/>
      <c r="BG838" s="2177"/>
      <c r="BH838" s="2186">
        <f t="shared" si="1810"/>
        <v>0</v>
      </c>
      <c r="BI838" s="2177"/>
      <c r="BJ838" s="2177"/>
      <c r="BK838" s="2186">
        <f t="shared" si="1811"/>
        <v>0</v>
      </c>
      <c r="BL838" s="2177"/>
      <c r="BM838" s="2177"/>
      <c r="BN838" s="2186">
        <f t="shared" si="1812"/>
        <v>0</v>
      </c>
      <c r="BO838" s="2177"/>
      <c r="BP838" s="2177"/>
      <c r="BQ838" s="2186">
        <f t="shared" si="1813"/>
        <v>0</v>
      </c>
    </row>
    <row r="839" spans="3:69" s="2087" customFormat="1" ht="12" hidden="1" customHeight="1">
      <c r="C839" s="2423" t="s">
        <v>3026</v>
      </c>
      <c r="D839" s="2418" t="s">
        <v>42</v>
      </c>
      <c r="E839" s="2250" t="s">
        <v>2590</v>
      </c>
      <c r="F839" s="2176"/>
      <c r="G839" s="2179">
        <f>G840+G842</f>
        <v>0</v>
      </c>
      <c r="H839" s="2179">
        <f>H840+H842</f>
        <v>0</v>
      </c>
      <c r="I839" s="2178">
        <f t="shared" si="1792"/>
        <v>0</v>
      </c>
      <c r="J839" s="2176"/>
      <c r="K839" s="2179">
        <f t="shared" si="1791"/>
        <v>0</v>
      </c>
      <c r="L839" s="2179">
        <f t="shared" si="1791"/>
        <v>0</v>
      </c>
      <c r="M839" s="2178">
        <f t="shared" si="1793"/>
        <v>0</v>
      </c>
      <c r="N839" s="2179">
        <f>N840+N842</f>
        <v>0</v>
      </c>
      <c r="O839" s="2179">
        <f>O840+O842</f>
        <v>0</v>
      </c>
      <c r="P839" s="2178">
        <f t="shared" si="1794"/>
        <v>0</v>
      </c>
      <c r="Q839" s="2184">
        <f>Q840+Q842</f>
        <v>0</v>
      </c>
      <c r="R839" s="2179">
        <f>R840+R842</f>
        <v>0</v>
      </c>
      <c r="S839" s="2180">
        <f t="shared" si="1795"/>
        <v>0</v>
      </c>
      <c r="T839" s="2181">
        <f t="shared" si="1796"/>
        <v>0</v>
      </c>
      <c r="U839" s="2179">
        <f t="shared" si="1796"/>
        <v>0</v>
      </c>
      <c r="V839" s="2178">
        <f t="shared" si="1797"/>
        <v>0</v>
      </c>
      <c r="W839" s="2184">
        <f>W840+W842</f>
        <v>0</v>
      </c>
      <c r="X839" s="2179">
        <f>X840+X842</f>
        <v>0</v>
      </c>
      <c r="Y839" s="2180">
        <f t="shared" si="1798"/>
        <v>0</v>
      </c>
      <c r="Z839" s="2181">
        <f t="shared" si="1799"/>
        <v>0</v>
      </c>
      <c r="AA839" s="2179">
        <f t="shared" si="1799"/>
        <v>0</v>
      </c>
      <c r="AB839" s="2178">
        <f t="shared" si="1800"/>
        <v>0</v>
      </c>
      <c r="AC839" s="2184">
        <f>AC840+AC842</f>
        <v>0</v>
      </c>
      <c r="AD839" s="2179">
        <f>AD840+AD842</f>
        <v>0</v>
      </c>
      <c r="AE839" s="2180">
        <f t="shared" si="1801"/>
        <v>0</v>
      </c>
      <c r="AF839" s="2191"/>
      <c r="AG839" s="2114"/>
      <c r="AH839" s="2188">
        <f>AH840+AH842</f>
        <v>0</v>
      </c>
      <c r="AI839" s="2188">
        <f>AI840+AI842</f>
        <v>0</v>
      </c>
      <c r="AJ839" s="2186">
        <f t="shared" si="1802"/>
        <v>0</v>
      </c>
      <c r="AK839" s="2188">
        <f>AK840+AK842</f>
        <v>0</v>
      </c>
      <c r="AL839" s="2188">
        <f>AL840+AL842</f>
        <v>0</v>
      </c>
      <c r="AM839" s="2186">
        <f t="shared" si="1803"/>
        <v>0</v>
      </c>
      <c r="AN839" s="2188">
        <f>AN840+AN842</f>
        <v>0</v>
      </c>
      <c r="AO839" s="2188">
        <f>AO840+AO842</f>
        <v>0</v>
      </c>
      <c r="AP839" s="2186">
        <f t="shared" si="1804"/>
        <v>0</v>
      </c>
      <c r="AQ839" s="2188">
        <f>AQ840+AQ842</f>
        <v>0</v>
      </c>
      <c r="AR839" s="2188">
        <f>AR840+AR842</f>
        <v>0</v>
      </c>
      <c r="AS839" s="2186">
        <f t="shared" si="1805"/>
        <v>0</v>
      </c>
      <c r="AT839" s="2188">
        <f>AT840+AT842</f>
        <v>0</v>
      </c>
      <c r="AU839" s="2188">
        <f>AU840+AU842</f>
        <v>0</v>
      </c>
      <c r="AV839" s="2186">
        <f t="shared" si="1806"/>
        <v>0</v>
      </c>
      <c r="AW839" s="2188">
        <f>AW840+AW842</f>
        <v>0</v>
      </c>
      <c r="AX839" s="2188">
        <f>AX840+AX842</f>
        <v>0</v>
      </c>
      <c r="AY839" s="2186">
        <f t="shared" si="1807"/>
        <v>0</v>
      </c>
      <c r="AZ839" s="2188">
        <f>AZ840+AZ842</f>
        <v>0</v>
      </c>
      <c r="BA839" s="2188">
        <f>BA840+BA842</f>
        <v>0</v>
      </c>
      <c r="BB839" s="2186">
        <f t="shared" si="1808"/>
        <v>0</v>
      </c>
      <c r="BC839" s="2188">
        <f>BC840+BC842</f>
        <v>0</v>
      </c>
      <c r="BD839" s="2188">
        <f>BD840+BD842</f>
        <v>0</v>
      </c>
      <c r="BE839" s="2186">
        <f t="shared" si="1809"/>
        <v>0</v>
      </c>
      <c r="BF839" s="2188">
        <f>BF840+BF842</f>
        <v>0</v>
      </c>
      <c r="BG839" s="2188">
        <f>BG840+BG842</f>
        <v>0</v>
      </c>
      <c r="BH839" s="2186">
        <f t="shared" si="1810"/>
        <v>0</v>
      </c>
      <c r="BI839" s="2188">
        <f>BI840+BI842</f>
        <v>0</v>
      </c>
      <c r="BJ839" s="2188">
        <f>BJ840+BJ842</f>
        <v>0</v>
      </c>
      <c r="BK839" s="2186">
        <f t="shared" si="1811"/>
        <v>0</v>
      </c>
      <c r="BL839" s="2188">
        <f>BL840+BL842</f>
        <v>0</v>
      </c>
      <c r="BM839" s="2188">
        <f>BM840+BM842</f>
        <v>0</v>
      </c>
      <c r="BN839" s="2186">
        <f t="shared" si="1812"/>
        <v>0</v>
      </c>
      <c r="BO839" s="2188">
        <f>BO840+BO842</f>
        <v>0</v>
      </c>
      <c r="BP839" s="2188">
        <f>BP840+BP842</f>
        <v>0</v>
      </c>
      <c r="BQ839" s="2186">
        <f t="shared" si="1813"/>
        <v>0</v>
      </c>
    </row>
    <row r="840" spans="3:69" s="2087" customFormat="1" ht="12" hidden="1" customHeight="1">
      <c r="C840" s="2424" t="s">
        <v>3027</v>
      </c>
      <c r="D840" s="2425" t="s">
        <v>2092</v>
      </c>
      <c r="E840" s="2250" t="s">
        <v>2590</v>
      </c>
      <c r="F840" s="2176"/>
      <c r="G840" s="2177"/>
      <c r="H840" s="2177"/>
      <c r="I840" s="2178">
        <f t="shared" si="1792"/>
        <v>0</v>
      </c>
      <c r="J840" s="2176"/>
      <c r="K840" s="2179">
        <f t="shared" si="1791"/>
        <v>0</v>
      </c>
      <c r="L840" s="2179">
        <f t="shared" si="1791"/>
        <v>0</v>
      </c>
      <c r="M840" s="2178">
        <f t="shared" si="1793"/>
        <v>0</v>
      </c>
      <c r="N840" s="2177"/>
      <c r="O840" s="2177"/>
      <c r="P840" s="2178">
        <f t="shared" si="1794"/>
        <v>0</v>
      </c>
      <c r="Q840" s="2176"/>
      <c r="R840" s="2177"/>
      <c r="S840" s="2180">
        <f t="shared" si="1795"/>
        <v>0</v>
      </c>
      <c r="T840" s="2181">
        <f t="shared" si="1796"/>
        <v>0</v>
      </c>
      <c r="U840" s="2179">
        <f t="shared" si="1796"/>
        <v>0</v>
      </c>
      <c r="V840" s="2178">
        <f t="shared" si="1797"/>
        <v>0</v>
      </c>
      <c r="W840" s="2176"/>
      <c r="X840" s="2177"/>
      <c r="Y840" s="2180">
        <f t="shared" si="1798"/>
        <v>0</v>
      </c>
      <c r="Z840" s="2181">
        <f t="shared" si="1799"/>
        <v>0</v>
      </c>
      <c r="AA840" s="2179">
        <f t="shared" si="1799"/>
        <v>0</v>
      </c>
      <c r="AB840" s="2178">
        <f t="shared" si="1800"/>
        <v>0</v>
      </c>
      <c r="AC840" s="2176"/>
      <c r="AD840" s="2177"/>
      <c r="AE840" s="2180">
        <f t="shared" si="1801"/>
        <v>0</v>
      </c>
      <c r="AF840" s="2191"/>
      <c r="AG840" s="2114"/>
      <c r="AH840" s="2177"/>
      <c r="AI840" s="2177"/>
      <c r="AJ840" s="2186">
        <f t="shared" si="1802"/>
        <v>0</v>
      </c>
      <c r="AK840" s="2177"/>
      <c r="AL840" s="2177"/>
      <c r="AM840" s="2186">
        <f t="shared" si="1803"/>
        <v>0</v>
      </c>
      <c r="AN840" s="2177"/>
      <c r="AO840" s="2177"/>
      <c r="AP840" s="2186">
        <f t="shared" si="1804"/>
        <v>0</v>
      </c>
      <c r="AQ840" s="2177"/>
      <c r="AR840" s="2177"/>
      <c r="AS840" s="2186">
        <f t="shared" si="1805"/>
        <v>0</v>
      </c>
      <c r="AT840" s="2177"/>
      <c r="AU840" s="2177"/>
      <c r="AV840" s="2186">
        <f t="shared" si="1806"/>
        <v>0</v>
      </c>
      <c r="AW840" s="2177"/>
      <c r="AX840" s="2177"/>
      <c r="AY840" s="2186">
        <f t="shared" si="1807"/>
        <v>0</v>
      </c>
      <c r="AZ840" s="2177"/>
      <c r="BA840" s="2177"/>
      <c r="BB840" s="2186">
        <f t="shared" si="1808"/>
        <v>0</v>
      </c>
      <c r="BC840" s="2177"/>
      <c r="BD840" s="2177"/>
      <c r="BE840" s="2186">
        <f t="shared" si="1809"/>
        <v>0</v>
      </c>
      <c r="BF840" s="2177"/>
      <c r="BG840" s="2177"/>
      <c r="BH840" s="2186">
        <f t="shared" si="1810"/>
        <v>0</v>
      </c>
      <c r="BI840" s="2177"/>
      <c r="BJ840" s="2177"/>
      <c r="BK840" s="2186">
        <f t="shared" si="1811"/>
        <v>0</v>
      </c>
      <c r="BL840" s="2177"/>
      <c r="BM840" s="2177"/>
      <c r="BN840" s="2186">
        <f t="shared" si="1812"/>
        <v>0</v>
      </c>
      <c r="BO840" s="2177"/>
      <c r="BP840" s="2177"/>
      <c r="BQ840" s="2186">
        <f t="shared" si="1813"/>
        <v>0</v>
      </c>
    </row>
    <row r="841" spans="3:69" s="2087" customFormat="1" ht="12" hidden="1" customHeight="1">
      <c r="C841" s="2423" t="s">
        <v>3028</v>
      </c>
      <c r="D841" s="2334" t="s">
        <v>2434</v>
      </c>
      <c r="E841" s="2335" t="s">
        <v>3015</v>
      </c>
      <c r="F841" s="2176"/>
      <c r="G841" s="2177"/>
      <c r="H841" s="2177"/>
      <c r="I841" s="2178">
        <f t="shared" si="1792"/>
        <v>0</v>
      </c>
      <c r="J841" s="2176"/>
      <c r="K841" s="2179">
        <f t="shared" si="1791"/>
        <v>0</v>
      </c>
      <c r="L841" s="2179">
        <f t="shared" si="1791"/>
        <v>0</v>
      </c>
      <c r="M841" s="2178">
        <f t="shared" si="1793"/>
        <v>0</v>
      </c>
      <c r="N841" s="2177"/>
      <c r="O841" s="2177"/>
      <c r="P841" s="2178">
        <f t="shared" si="1794"/>
        <v>0</v>
      </c>
      <c r="Q841" s="2176"/>
      <c r="R841" s="2177"/>
      <c r="S841" s="2180">
        <f t="shared" si="1795"/>
        <v>0</v>
      </c>
      <c r="T841" s="2181">
        <f t="shared" si="1796"/>
        <v>0</v>
      </c>
      <c r="U841" s="2179">
        <f t="shared" si="1796"/>
        <v>0</v>
      </c>
      <c r="V841" s="2178">
        <f t="shared" si="1797"/>
        <v>0</v>
      </c>
      <c r="W841" s="2176"/>
      <c r="X841" s="2177"/>
      <c r="Y841" s="2180">
        <f t="shared" si="1798"/>
        <v>0</v>
      </c>
      <c r="Z841" s="2181">
        <f t="shared" si="1799"/>
        <v>0</v>
      </c>
      <c r="AA841" s="2179">
        <f t="shared" si="1799"/>
        <v>0</v>
      </c>
      <c r="AB841" s="2178">
        <f t="shared" si="1800"/>
        <v>0</v>
      </c>
      <c r="AC841" s="2176"/>
      <c r="AD841" s="2177"/>
      <c r="AE841" s="2180">
        <f t="shared" si="1801"/>
        <v>0</v>
      </c>
      <c r="AF841" s="2191"/>
      <c r="AG841" s="2114"/>
      <c r="AH841" s="2177"/>
      <c r="AI841" s="2177"/>
      <c r="AJ841" s="2186">
        <f t="shared" si="1802"/>
        <v>0</v>
      </c>
      <c r="AK841" s="2177"/>
      <c r="AL841" s="2177"/>
      <c r="AM841" s="2186">
        <f t="shared" si="1803"/>
        <v>0</v>
      </c>
      <c r="AN841" s="2177"/>
      <c r="AO841" s="2177"/>
      <c r="AP841" s="2186">
        <f t="shared" si="1804"/>
        <v>0</v>
      </c>
      <c r="AQ841" s="2177"/>
      <c r="AR841" s="2177"/>
      <c r="AS841" s="2186">
        <f t="shared" si="1805"/>
        <v>0</v>
      </c>
      <c r="AT841" s="2177"/>
      <c r="AU841" s="2177"/>
      <c r="AV841" s="2186">
        <f t="shared" si="1806"/>
        <v>0</v>
      </c>
      <c r="AW841" s="2177"/>
      <c r="AX841" s="2177"/>
      <c r="AY841" s="2186">
        <f t="shared" si="1807"/>
        <v>0</v>
      </c>
      <c r="AZ841" s="2177"/>
      <c r="BA841" s="2177"/>
      <c r="BB841" s="2186">
        <f t="shared" si="1808"/>
        <v>0</v>
      </c>
      <c r="BC841" s="2177"/>
      <c r="BD841" s="2177"/>
      <c r="BE841" s="2186">
        <f t="shared" si="1809"/>
        <v>0</v>
      </c>
      <c r="BF841" s="2177"/>
      <c r="BG841" s="2177"/>
      <c r="BH841" s="2186">
        <f t="shared" si="1810"/>
        <v>0</v>
      </c>
      <c r="BI841" s="2177"/>
      <c r="BJ841" s="2177"/>
      <c r="BK841" s="2186">
        <f t="shared" si="1811"/>
        <v>0</v>
      </c>
      <c r="BL841" s="2177"/>
      <c r="BM841" s="2177"/>
      <c r="BN841" s="2186">
        <f t="shared" si="1812"/>
        <v>0</v>
      </c>
      <c r="BO841" s="2177"/>
      <c r="BP841" s="2177"/>
      <c r="BQ841" s="2186">
        <f t="shared" si="1813"/>
        <v>0</v>
      </c>
    </row>
    <row r="842" spans="3:69" s="2087" customFormat="1" ht="12" hidden="1" customHeight="1">
      <c r="C842" s="2424" t="s">
        <v>3029</v>
      </c>
      <c r="D842" s="2425" t="s">
        <v>2094</v>
      </c>
      <c r="E842" s="2250" t="s">
        <v>2590</v>
      </c>
      <c r="F842" s="2176"/>
      <c r="G842" s="2177"/>
      <c r="H842" s="2177"/>
      <c r="I842" s="2178">
        <f t="shared" si="1792"/>
        <v>0</v>
      </c>
      <c r="J842" s="2176"/>
      <c r="K842" s="2179">
        <f t="shared" si="1791"/>
        <v>0</v>
      </c>
      <c r="L842" s="2179">
        <f t="shared" si="1791"/>
        <v>0</v>
      </c>
      <c r="M842" s="2178">
        <f t="shared" si="1793"/>
        <v>0</v>
      </c>
      <c r="N842" s="2177"/>
      <c r="O842" s="2177"/>
      <c r="P842" s="2178">
        <f t="shared" si="1794"/>
        <v>0</v>
      </c>
      <c r="Q842" s="2176"/>
      <c r="R842" s="2177"/>
      <c r="S842" s="2180">
        <f t="shared" si="1795"/>
        <v>0</v>
      </c>
      <c r="T842" s="2181">
        <f t="shared" si="1796"/>
        <v>0</v>
      </c>
      <c r="U842" s="2179">
        <f t="shared" si="1796"/>
        <v>0</v>
      </c>
      <c r="V842" s="2178">
        <f t="shared" si="1797"/>
        <v>0</v>
      </c>
      <c r="W842" s="2176"/>
      <c r="X842" s="2177"/>
      <c r="Y842" s="2180">
        <f t="shared" si="1798"/>
        <v>0</v>
      </c>
      <c r="Z842" s="2181">
        <f t="shared" si="1799"/>
        <v>0</v>
      </c>
      <c r="AA842" s="2179">
        <f t="shared" si="1799"/>
        <v>0</v>
      </c>
      <c r="AB842" s="2178">
        <f t="shared" si="1800"/>
        <v>0</v>
      </c>
      <c r="AC842" s="2176"/>
      <c r="AD842" s="2177"/>
      <c r="AE842" s="2180">
        <f t="shared" si="1801"/>
        <v>0</v>
      </c>
      <c r="AF842" s="2191"/>
      <c r="AG842" s="2114"/>
      <c r="AH842" s="2177"/>
      <c r="AI842" s="2177"/>
      <c r="AJ842" s="2186">
        <f t="shared" si="1802"/>
        <v>0</v>
      </c>
      <c r="AK842" s="2177"/>
      <c r="AL842" s="2177"/>
      <c r="AM842" s="2186">
        <f t="shared" si="1803"/>
        <v>0</v>
      </c>
      <c r="AN842" s="2177"/>
      <c r="AO842" s="2177"/>
      <c r="AP842" s="2186">
        <f t="shared" si="1804"/>
        <v>0</v>
      </c>
      <c r="AQ842" s="2177"/>
      <c r="AR842" s="2177"/>
      <c r="AS842" s="2186">
        <f t="shared" si="1805"/>
        <v>0</v>
      </c>
      <c r="AT842" s="2177"/>
      <c r="AU842" s="2177"/>
      <c r="AV842" s="2186">
        <f t="shared" si="1806"/>
        <v>0</v>
      </c>
      <c r="AW842" s="2177"/>
      <c r="AX842" s="2177"/>
      <c r="AY842" s="2186">
        <f t="shared" si="1807"/>
        <v>0</v>
      </c>
      <c r="AZ842" s="2177"/>
      <c r="BA842" s="2177"/>
      <c r="BB842" s="2186">
        <f t="shared" si="1808"/>
        <v>0</v>
      </c>
      <c r="BC842" s="2177"/>
      <c r="BD842" s="2177"/>
      <c r="BE842" s="2186">
        <f t="shared" si="1809"/>
        <v>0</v>
      </c>
      <c r="BF842" s="2177"/>
      <c r="BG842" s="2177"/>
      <c r="BH842" s="2186">
        <f t="shared" si="1810"/>
        <v>0</v>
      </c>
      <c r="BI842" s="2177"/>
      <c r="BJ842" s="2177"/>
      <c r="BK842" s="2186">
        <f t="shared" si="1811"/>
        <v>0</v>
      </c>
      <c r="BL842" s="2177"/>
      <c r="BM842" s="2177"/>
      <c r="BN842" s="2186">
        <f t="shared" si="1812"/>
        <v>0</v>
      </c>
      <c r="BO842" s="2177"/>
      <c r="BP842" s="2177"/>
      <c r="BQ842" s="2186">
        <f t="shared" si="1813"/>
        <v>0</v>
      </c>
    </row>
    <row r="843" spans="3:69" s="2087" customFormat="1" ht="12" hidden="1" customHeight="1">
      <c r="C843" s="2423" t="s">
        <v>3030</v>
      </c>
      <c r="D843" s="2334" t="s">
        <v>2434</v>
      </c>
      <c r="E843" s="2335" t="s">
        <v>3015</v>
      </c>
      <c r="F843" s="2176"/>
      <c r="G843" s="2177"/>
      <c r="H843" s="2177"/>
      <c r="I843" s="2178">
        <f t="shared" si="1792"/>
        <v>0</v>
      </c>
      <c r="J843" s="2176"/>
      <c r="K843" s="2179">
        <f t="shared" si="1791"/>
        <v>0</v>
      </c>
      <c r="L843" s="2179">
        <f t="shared" si="1791"/>
        <v>0</v>
      </c>
      <c r="M843" s="2178">
        <f t="shared" si="1793"/>
        <v>0</v>
      </c>
      <c r="N843" s="2177"/>
      <c r="O843" s="2177"/>
      <c r="P843" s="2178">
        <f t="shared" si="1794"/>
        <v>0</v>
      </c>
      <c r="Q843" s="2176"/>
      <c r="R843" s="2177"/>
      <c r="S843" s="2180">
        <f t="shared" si="1795"/>
        <v>0</v>
      </c>
      <c r="T843" s="2181">
        <f t="shared" si="1796"/>
        <v>0</v>
      </c>
      <c r="U843" s="2179">
        <f t="shared" si="1796"/>
        <v>0</v>
      </c>
      <c r="V843" s="2178">
        <f t="shared" si="1797"/>
        <v>0</v>
      </c>
      <c r="W843" s="2176"/>
      <c r="X843" s="2177"/>
      <c r="Y843" s="2180">
        <f t="shared" si="1798"/>
        <v>0</v>
      </c>
      <c r="Z843" s="2181">
        <f t="shared" si="1799"/>
        <v>0</v>
      </c>
      <c r="AA843" s="2179">
        <f t="shared" si="1799"/>
        <v>0</v>
      </c>
      <c r="AB843" s="2178">
        <f t="shared" si="1800"/>
        <v>0</v>
      </c>
      <c r="AC843" s="2176"/>
      <c r="AD843" s="2177"/>
      <c r="AE843" s="2180">
        <f t="shared" si="1801"/>
        <v>0</v>
      </c>
      <c r="AF843" s="2191"/>
      <c r="AG843" s="2114"/>
      <c r="AH843" s="2177"/>
      <c r="AI843" s="2177"/>
      <c r="AJ843" s="2186">
        <f t="shared" si="1802"/>
        <v>0</v>
      </c>
      <c r="AK843" s="2177"/>
      <c r="AL843" s="2177"/>
      <c r="AM843" s="2186">
        <f t="shared" si="1803"/>
        <v>0</v>
      </c>
      <c r="AN843" s="2177"/>
      <c r="AO843" s="2177"/>
      <c r="AP843" s="2186">
        <f t="shared" si="1804"/>
        <v>0</v>
      </c>
      <c r="AQ843" s="2177"/>
      <c r="AR843" s="2177"/>
      <c r="AS843" s="2186">
        <f t="shared" si="1805"/>
        <v>0</v>
      </c>
      <c r="AT843" s="2177"/>
      <c r="AU843" s="2177"/>
      <c r="AV843" s="2186">
        <f t="shared" si="1806"/>
        <v>0</v>
      </c>
      <c r="AW843" s="2177"/>
      <c r="AX843" s="2177"/>
      <c r="AY843" s="2186">
        <f t="shared" si="1807"/>
        <v>0</v>
      </c>
      <c r="AZ843" s="2177"/>
      <c r="BA843" s="2177"/>
      <c r="BB843" s="2186">
        <f t="shared" si="1808"/>
        <v>0</v>
      </c>
      <c r="BC843" s="2177"/>
      <c r="BD843" s="2177"/>
      <c r="BE843" s="2186">
        <f t="shared" si="1809"/>
        <v>0</v>
      </c>
      <c r="BF843" s="2177"/>
      <c r="BG843" s="2177"/>
      <c r="BH843" s="2186">
        <f t="shared" si="1810"/>
        <v>0</v>
      </c>
      <c r="BI843" s="2177"/>
      <c r="BJ843" s="2177"/>
      <c r="BK843" s="2186">
        <f t="shared" si="1811"/>
        <v>0</v>
      </c>
      <c r="BL843" s="2177"/>
      <c r="BM843" s="2177"/>
      <c r="BN843" s="2186">
        <f t="shared" si="1812"/>
        <v>0</v>
      </c>
      <c r="BO843" s="2177"/>
      <c r="BP843" s="2177"/>
      <c r="BQ843" s="2186">
        <f t="shared" si="1813"/>
        <v>0</v>
      </c>
    </row>
    <row r="844" spans="3:69" s="2396" customFormat="1" ht="12" hidden="1" customHeight="1">
      <c r="C844" s="2160" t="s">
        <v>3031</v>
      </c>
      <c r="D844" s="2426" t="s">
        <v>3032</v>
      </c>
      <c r="E844" s="2213" t="s">
        <v>3015</v>
      </c>
      <c r="F844" s="2162"/>
      <c r="G844" s="2163">
        <f>G845+G847+G849</f>
        <v>0</v>
      </c>
      <c r="H844" s="2163">
        <f>H845+H847+H849</f>
        <v>0</v>
      </c>
      <c r="I844" s="2164">
        <f t="shared" si="1792"/>
        <v>0</v>
      </c>
      <c r="J844" s="2162"/>
      <c r="K844" s="2163">
        <f t="shared" si="1791"/>
        <v>0</v>
      </c>
      <c r="L844" s="2163">
        <f t="shared" si="1791"/>
        <v>0</v>
      </c>
      <c r="M844" s="2164">
        <f t="shared" si="1793"/>
        <v>0</v>
      </c>
      <c r="N844" s="2163">
        <f>N845+N847+N849</f>
        <v>0</v>
      </c>
      <c r="O844" s="2163">
        <f>O845+O847+O849</f>
        <v>0</v>
      </c>
      <c r="P844" s="2164">
        <f t="shared" si="1794"/>
        <v>0</v>
      </c>
      <c r="Q844" s="2165">
        <f>Q845+Q847+Q849</f>
        <v>0</v>
      </c>
      <c r="R844" s="2163">
        <f>R845+R847+R849</f>
        <v>0</v>
      </c>
      <c r="S844" s="2166">
        <f t="shared" si="1795"/>
        <v>0</v>
      </c>
      <c r="T844" s="2167">
        <f t="shared" si="1796"/>
        <v>0</v>
      </c>
      <c r="U844" s="2163">
        <f t="shared" si="1796"/>
        <v>0</v>
      </c>
      <c r="V844" s="2164">
        <f t="shared" si="1797"/>
        <v>0</v>
      </c>
      <c r="W844" s="2165">
        <f>W845+W847+W849</f>
        <v>0</v>
      </c>
      <c r="X844" s="2163">
        <f>X845+X847+X849</f>
        <v>0</v>
      </c>
      <c r="Y844" s="2166">
        <f t="shared" si="1798"/>
        <v>0</v>
      </c>
      <c r="Z844" s="2167">
        <f t="shared" si="1799"/>
        <v>0</v>
      </c>
      <c r="AA844" s="2163">
        <f t="shared" si="1799"/>
        <v>0</v>
      </c>
      <c r="AB844" s="2164">
        <f t="shared" si="1800"/>
        <v>0</v>
      </c>
      <c r="AC844" s="2165">
        <f>AC845+AC847+AC849</f>
        <v>0</v>
      </c>
      <c r="AD844" s="2163">
        <f>AD845+AD847+AD849</f>
        <v>0</v>
      </c>
      <c r="AE844" s="2166">
        <f t="shared" si="1801"/>
        <v>0</v>
      </c>
      <c r="AF844" s="2170"/>
      <c r="AG844" s="2395"/>
      <c r="AH844" s="2171">
        <f>AH845+AH847+AH849</f>
        <v>0</v>
      </c>
      <c r="AI844" s="2171">
        <f>AI845+AI847+AI849</f>
        <v>0</v>
      </c>
      <c r="AJ844" s="2172">
        <f t="shared" si="1802"/>
        <v>0</v>
      </c>
      <c r="AK844" s="2171">
        <f>AK845+AK847+AK849</f>
        <v>0</v>
      </c>
      <c r="AL844" s="2171">
        <f>AL845+AL847+AL849</f>
        <v>0</v>
      </c>
      <c r="AM844" s="2172">
        <f t="shared" si="1803"/>
        <v>0</v>
      </c>
      <c r="AN844" s="2171">
        <f>AN845+AN847+AN849</f>
        <v>0</v>
      </c>
      <c r="AO844" s="2171">
        <f>AO845+AO847+AO849</f>
        <v>0</v>
      </c>
      <c r="AP844" s="2172">
        <f t="shared" si="1804"/>
        <v>0</v>
      </c>
      <c r="AQ844" s="2171">
        <f>AQ845+AQ847+AQ849</f>
        <v>0</v>
      </c>
      <c r="AR844" s="2171">
        <f>AR845+AR847+AR849</f>
        <v>0</v>
      </c>
      <c r="AS844" s="2172">
        <f t="shared" si="1805"/>
        <v>0</v>
      </c>
      <c r="AT844" s="2171">
        <f>AT845+AT847+AT849</f>
        <v>0</v>
      </c>
      <c r="AU844" s="2171">
        <f>AU845+AU847+AU849</f>
        <v>0</v>
      </c>
      <c r="AV844" s="2172">
        <f t="shared" si="1806"/>
        <v>0</v>
      </c>
      <c r="AW844" s="2171">
        <f>AW845+AW847+AW849</f>
        <v>0</v>
      </c>
      <c r="AX844" s="2171">
        <f>AX845+AX847+AX849</f>
        <v>0</v>
      </c>
      <c r="AY844" s="2172">
        <f t="shared" si="1807"/>
        <v>0</v>
      </c>
      <c r="AZ844" s="2171">
        <f>AZ845+AZ847+AZ849</f>
        <v>0</v>
      </c>
      <c r="BA844" s="2171">
        <f>BA845+BA847+BA849</f>
        <v>0</v>
      </c>
      <c r="BB844" s="2172">
        <f t="shared" si="1808"/>
        <v>0</v>
      </c>
      <c r="BC844" s="2171">
        <f>BC845+BC847+BC849</f>
        <v>0</v>
      </c>
      <c r="BD844" s="2171">
        <f>BD845+BD847+BD849</f>
        <v>0</v>
      </c>
      <c r="BE844" s="2172">
        <f t="shared" si="1809"/>
        <v>0</v>
      </c>
      <c r="BF844" s="2171">
        <f>BF845+BF847+BF849</f>
        <v>0</v>
      </c>
      <c r="BG844" s="2171">
        <f>BG845+BG847+BG849</f>
        <v>0</v>
      </c>
      <c r="BH844" s="2172">
        <f t="shared" si="1810"/>
        <v>0</v>
      </c>
      <c r="BI844" s="2171">
        <f>BI845+BI847+BI849</f>
        <v>0</v>
      </c>
      <c r="BJ844" s="2171">
        <f>BJ845+BJ847+BJ849</f>
        <v>0</v>
      </c>
      <c r="BK844" s="2172">
        <f t="shared" si="1811"/>
        <v>0</v>
      </c>
      <c r="BL844" s="2171">
        <f>BL845+BL847+BL849</f>
        <v>0</v>
      </c>
      <c r="BM844" s="2171">
        <f>BM845+BM847+BM849</f>
        <v>0</v>
      </c>
      <c r="BN844" s="2172">
        <f t="shared" si="1812"/>
        <v>0</v>
      </c>
      <c r="BO844" s="2171">
        <f>BO845+BO847+BO849</f>
        <v>0</v>
      </c>
      <c r="BP844" s="2171">
        <f>BP845+BP847+BP849</f>
        <v>0</v>
      </c>
      <c r="BQ844" s="2172">
        <f t="shared" si="1813"/>
        <v>0</v>
      </c>
    </row>
    <row r="845" spans="3:69" s="2087" customFormat="1" ht="12" hidden="1" customHeight="1">
      <c r="C845" s="2424" t="s">
        <v>3033</v>
      </c>
      <c r="D845" s="2383" t="s">
        <v>28</v>
      </c>
      <c r="E845" s="2250" t="s">
        <v>3015</v>
      </c>
      <c r="F845" s="2176"/>
      <c r="G845" s="2177"/>
      <c r="H845" s="2177"/>
      <c r="I845" s="2178">
        <f t="shared" si="1792"/>
        <v>0</v>
      </c>
      <c r="J845" s="2176"/>
      <c r="K845" s="2179">
        <f t="shared" ref="K845:L857" si="1814">N845+Q845+W845+AC845</f>
        <v>0</v>
      </c>
      <c r="L845" s="2179">
        <f t="shared" si="1814"/>
        <v>0</v>
      </c>
      <c r="M845" s="2178">
        <f t="shared" si="1793"/>
        <v>0</v>
      </c>
      <c r="N845" s="2177"/>
      <c r="O845" s="2177"/>
      <c r="P845" s="2178">
        <f t="shared" si="1794"/>
        <v>0</v>
      </c>
      <c r="Q845" s="2176"/>
      <c r="R845" s="2177"/>
      <c r="S845" s="2180">
        <f t="shared" si="1795"/>
        <v>0</v>
      </c>
      <c r="T845" s="2181">
        <f t="shared" si="1796"/>
        <v>0</v>
      </c>
      <c r="U845" s="2179">
        <f t="shared" si="1796"/>
        <v>0</v>
      </c>
      <c r="V845" s="2178">
        <f t="shared" si="1797"/>
        <v>0</v>
      </c>
      <c r="W845" s="2176"/>
      <c r="X845" s="2177"/>
      <c r="Y845" s="2180">
        <f t="shared" si="1798"/>
        <v>0</v>
      </c>
      <c r="Z845" s="2181">
        <f t="shared" si="1799"/>
        <v>0</v>
      </c>
      <c r="AA845" s="2179">
        <f t="shared" si="1799"/>
        <v>0</v>
      </c>
      <c r="AB845" s="2178">
        <f t="shared" si="1800"/>
        <v>0</v>
      </c>
      <c r="AC845" s="2176"/>
      <c r="AD845" s="2177"/>
      <c r="AE845" s="2180">
        <f t="shared" si="1801"/>
        <v>0</v>
      </c>
      <c r="AF845" s="2185"/>
      <c r="AG845" s="2114"/>
      <c r="AH845" s="2177"/>
      <c r="AI845" s="2177"/>
      <c r="AJ845" s="2186">
        <f t="shared" si="1802"/>
        <v>0</v>
      </c>
      <c r="AK845" s="2177"/>
      <c r="AL845" s="2177"/>
      <c r="AM845" s="2186">
        <f t="shared" si="1803"/>
        <v>0</v>
      </c>
      <c r="AN845" s="2177"/>
      <c r="AO845" s="2177"/>
      <c r="AP845" s="2186">
        <f t="shared" si="1804"/>
        <v>0</v>
      </c>
      <c r="AQ845" s="2177"/>
      <c r="AR845" s="2177"/>
      <c r="AS845" s="2186">
        <f t="shared" si="1805"/>
        <v>0</v>
      </c>
      <c r="AT845" s="2177"/>
      <c r="AU845" s="2177"/>
      <c r="AV845" s="2186">
        <f t="shared" si="1806"/>
        <v>0</v>
      </c>
      <c r="AW845" s="2177"/>
      <c r="AX845" s="2177"/>
      <c r="AY845" s="2186">
        <f t="shared" si="1807"/>
        <v>0</v>
      </c>
      <c r="AZ845" s="2177"/>
      <c r="BA845" s="2177"/>
      <c r="BB845" s="2186">
        <f t="shared" si="1808"/>
        <v>0</v>
      </c>
      <c r="BC845" s="2177"/>
      <c r="BD845" s="2177"/>
      <c r="BE845" s="2186">
        <f t="shared" si="1809"/>
        <v>0</v>
      </c>
      <c r="BF845" s="2177"/>
      <c r="BG845" s="2177"/>
      <c r="BH845" s="2186">
        <f t="shared" si="1810"/>
        <v>0</v>
      </c>
      <c r="BI845" s="2177"/>
      <c r="BJ845" s="2177"/>
      <c r="BK845" s="2186">
        <f t="shared" si="1811"/>
        <v>0</v>
      </c>
      <c r="BL845" s="2177"/>
      <c r="BM845" s="2177"/>
      <c r="BN845" s="2186">
        <f t="shared" si="1812"/>
        <v>0</v>
      </c>
      <c r="BO845" s="2177"/>
      <c r="BP845" s="2177"/>
      <c r="BQ845" s="2186">
        <f t="shared" si="1813"/>
        <v>0</v>
      </c>
    </row>
    <row r="846" spans="3:69" s="2087" customFormat="1" ht="12" hidden="1" customHeight="1">
      <c r="C846" s="2423" t="s">
        <v>3034</v>
      </c>
      <c r="D846" s="2421" t="s">
        <v>2434</v>
      </c>
      <c r="E846" s="2335" t="s">
        <v>3015</v>
      </c>
      <c r="F846" s="2176"/>
      <c r="G846" s="2177"/>
      <c r="H846" s="2177"/>
      <c r="I846" s="2178">
        <f t="shared" si="1792"/>
        <v>0</v>
      </c>
      <c r="J846" s="2176"/>
      <c r="K846" s="2179">
        <f t="shared" si="1814"/>
        <v>0</v>
      </c>
      <c r="L846" s="2179">
        <f t="shared" si="1814"/>
        <v>0</v>
      </c>
      <c r="M846" s="2178">
        <f t="shared" si="1793"/>
        <v>0</v>
      </c>
      <c r="N846" s="2177"/>
      <c r="O846" s="2177"/>
      <c r="P846" s="2178">
        <f t="shared" si="1794"/>
        <v>0</v>
      </c>
      <c r="Q846" s="2176"/>
      <c r="R846" s="2177"/>
      <c r="S846" s="2180">
        <f t="shared" si="1795"/>
        <v>0</v>
      </c>
      <c r="T846" s="2181">
        <f t="shared" ref="T846:U857" si="1815">N846+Q846</f>
        <v>0</v>
      </c>
      <c r="U846" s="2179">
        <f t="shared" si="1815"/>
        <v>0</v>
      </c>
      <c r="V846" s="2178">
        <f t="shared" si="1797"/>
        <v>0</v>
      </c>
      <c r="W846" s="2176"/>
      <c r="X846" s="2177"/>
      <c r="Y846" s="2180">
        <f t="shared" si="1798"/>
        <v>0</v>
      </c>
      <c r="Z846" s="2181">
        <f t="shared" ref="Z846:AA857" si="1816">T846+W846</f>
        <v>0</v>
      </c>
      <c r="AA846" s="2179">
        <f t="shared" si="1816"/>
        <v>0</v>
      </c>
      <c r="AB846" s="2178">
        <f t="shared" si="1800"/>
        <v>0</v>
      </c>
      <c r="AC846" s="2176"/>
      <c r="AD846" s="2177"/>
      <c r="AE846" s="2180">
        <f t="shared" si="1801"/>
        <v>0</v>
      </c>
      <c r="AF846" s="2185"/>
      <c r="AG846" s="2114"/>
      <c r="AH846" s="2177"/>
      <c r="AI846" s="2177"/>
      <c r="AJ846" s="2186">
        <f t="shared" si="1802"/>
        <v>0</v>
      </c>
      <c r="AK846" s="2177"/>
      <c r="AL846" s="2177"/>
      <c r="AM846" s="2186">
        <f t="shared" si="1803"/>
        <v>0</v>
      </c>
      <c r="AN846" s="2177"/>
      <c r="AO846" s="2177"/>
      <c r="AP846" s="2186">
        <f t="shared" si="1804"/>
        <v>0</v>
      </c>
      <c r="AQ846" s="2177"/>
      <c r="AR846" s="2177"/>
      <c r="AS846" s="2186">
        <f t="shared" si="1805"/>
        <v>0</v>
      </c>
      <c r="AT846" s="2177"/>
      <c r="AU846" s="2177"/>
      <c r="AV846" s="2186">
        <f t="shared" si="1806"/>
        <v>0</v>
      </c>
      <c r="AW846" s="2177"/>
      <c r="AX846" s="2177"/>
      <c r="AY846" s="2186">
        <f t="shared" si="1807"/>
        <v>0</v>
      </c>
      <c r="AZ846" s="2177"/>
      <c r="BA846" s="2177"/>
      <c r="BB846" s="2186">
        <f t="shared" si="1808"/>
        <v>0</v>
      </c>
      <c r="BC846" s="2177"/>
      <c r="BD846" s="2177"/>
      <c r="BE846" s="2186">
        <f t="shared" si="1809"/>
        <v>0</v>
      </c>
      <c r="BF846" s="2177"/>
      <c r="BG846" s="2177"/>
      <c r="BH846" s="2186">
        <f t="shared" si="1810"/>
        <v>0</v>
      </c>
      <c r="BI846" s="2177"/>
      <c r="BJ846" s="2177"/>
      <c r="BK846" s="2186">
        <f t="shared" si="1811"/>
        <v>0</v>
      </c>
      <c r="BL846" s="2177"/>
      <c r="BM846" s="2177"/>
      <c r="BN846" s="2186">
        <f t="shared" si="1812"/>
        <v>0</v>
      </c>
      <c r="BO846" s="2177"/>
      <c r="BP846" s="2177"/>
      <c r="BQ846" s="2186">
        <f t="shared" si="1813"/>
        <v>0</v>
      </c>
    </row>
    <row r="847" spans="3:69" s="2087" customFormat="1" ht="12" hidden="1" customHeight="1">
      <c r="C847" s="2424" t="s">
        <v>3035</v>
      </c>
      <c r="D847" s="2383" t="s">
        <v>2872</v>
      </c>
      <c r="E847" s="2250" t="s">
        <v>3015</v>
      </c>
      <c r="F847" s="2176"/>
      <c r="G847" s="2177"/>
      <c r="H847" s="2177"/>
      <c r="I847" s="2178">
        <f t="shared" si="1792"/>
        <v>0</v>
      </c>
      <c r="J847" s="2176"/>
      <c r="K847" s="2179">
        <f t="shared" si="1814"/>
        <v>0</v>
      </c>
      <c r="L847" s="2179">
        <f t="shared" si="1814"/>
        <v>0</v>
      </c>
      <c r="M847" s="2178">
        <f t="shared" si="1793"/>
        <v>0</v>
      </c>
      <c r="N847" s="2177"/>
      <c r="O847" s="2177"/>
      <c r="P847" s="2178">
        <f t="shared" si="1794"/>
        <v>0</v>
      </c>
      <c r="Q847" s="2176"/>
      <c r="R847" s="2177"/>
      <c r="S847" s="2180">
        <f t="shared" si="1795"/>
        <v>0</v>
      </c>
      <c r="T847" s="2181">
        <f t="shared" si="1815"/>
        <v>0</v>
      </c>
      <c r="U847" s="2179">
        <f t="shared" si="1815"/>
        <v>0</v>
      </c>
      <c r="V847" s="2178">
        <f t="shared" si="1797"/>
        <v>0</v>
      </c>
      <c r="W847" s="2176"/>
      <c r="X847" s="2177"/>
      <c r="Y847" s="2180">
        <f t="shared" si="1798"/>
        <v>0</v>
      </c>
      <c r="Z847" s="2181">
        <f t="shared" si="1816"/>
        <v>0</v>
      </c>
      <c r="AA847" s="2179">
        <f t="shared" si="1816"/>
        <v>0</v>
      </c>
      <c r="AB847" s="2178">
        <f t="shared" si="1800"/>
        <v>0</v>
      </c>
      <c r="AC847" s="2176"/>
      <c r="AD847" s="2177"/>
      <c r="AE847" s="2180">
        <f t="shared" si="1801"/>
        <v>0</v>
      </c>
      <c r="AF847" s="2185"/>
      <c r="AG847" s="2114"/>
      <c r="AH847" s="2177"/>
      <c r="AI847" s="2177"/>
      <c r="AJ847" s="2186">
        <f t="shared" si="1802"/>
        <v>0</v>
      </c>
      <c r="AK847" s="2177"/>
      <c r="AL847" s="2177"/>
      <c r="AM847" s="2186">
        <f t="shared" si="1803"/>
        <v>0</v>
      </c>
      <c r="AN847" s="2177"/>
      <c r="AO847" s="2177"/>
      <c r="AP847" s="2186">
        <f t="shared" si="1804"/>
        <v>0</v>
      </c>
      <c r="AQ847" s="2177"/>
      <c r="AR847" s="2177"/>
      <c r="AS847" s="2186">
        <f t="shared" si="1805"/>
        <v>0</v>
      </c>
      <c r="AT847" s="2177"/>
      <c r="AU847" s="2177"/>
      <c r="AV847" s="2186">
        <f t="shared" si="1806"/>
        <v>0</v>
      </c>
      <c r="AW847" s="2177"/>
      <c r="AX847" s="2177"/>
      <c r="AY847" s="2186">
        <f t="shared" si="1807"/>
        <v>0</v>
      </c>
      <c r="AZ847" s="2177"/>
      <c r="BA847" s="2177"/>
      <c r="BB847" s="2186">
        <f t="shared" si="1808"/>
        <v>0</v>
      </c>
      <c r="BC847" s="2177"/>
      <c r="BD847" s="2177"/>
      <c r="BE847" s="2186">
        <f t="shared" si="1809"/>
        <v>0</v>
      </c>
      <c r="BF847" s="2177"/>
      <c r="BG847" s="2177"/>
      <c r="BH847" s="2186">
        <f t="shared" si="1810"/>
        <v>0</v>
      </c>
      <c r="BI847" s="2177"/>
      <c r="BJ847" s="2177"/>
      <c r="BK847" s="2186">
        <f t="shared" si="1811"/>
        <v>0</v>
      </c>
      <c r="BL847" s="2177"/>
      <c r="BM847" s="2177"/>
      <c r="BN847" s="2186">
        <f t="shared" si="1812"/>
        <v>0</v>
      </c>
      <c r="BO847" s="2177"/>
      <c r="BP847" s="2177"/>
      <c r="BQ847" s="2186">
        <f t="shared" si="1813"/>
        <v>0</v>
      </c>
    </row>
    <row r="848" spans="3:69" s="2087" customFormat="1" ht="12" hidden="1" customHeight="1">
      <c r="C848" s="2423" t="s">
        <v>3036</v>
      </c>
      <c r="D848" s="2421" t="s">
        <v>2434</v>
      </c>
      <c r="E848" s="2335" t="s">
        <v>3015</v>
      </c>
      <c r="F848" s="2176"/>
      <c r="G848" s="2177"/>
      <c r="H848" s="2177"/>
      <c r="I848" s="2178">
        <f t="shared" si="1792"/>
        <v>0</v>
      </c>
      <c r="J848" s="2176"/>
      <c r="K848" s="2179">
        <f t="shared" si="1814"/>
        <v>0</v>
      </c>
      <c r="L848" s="2179">
        <f t="shared" si="1814"/>
        <v>0</v>
      </c>
      <c r="M848" s="2178">
        <f t="shared" si="1793"/>
        <v>0</v>
      </c>
      <c r="N848" s="2177"/>
      <c r="O848" s="2177"/>
      <c r="P848" s="2178">
        <f t="shared" si="1794"/>
        <v>0</v>
      </c>
      <c r="Q848" s="2176"/>
      <c r="R848" s="2177"/>
      <c r="S848" s="2180">
        <f t="shared" si="1795"/>
        <v>0</v>
      </c>
      <c r="T848" s="2181">
        <f t="shared" si="1815"/>
        <v>0</v>
      </c>
      <c r="U848" s="2179">
        <f t="shared" si="1815"/>
        <v>0</v>
      </c>
      <c r="V848" s="2178">
        <f t="shared" si="1797"/>
        <v>0</v>
      </c>
      <c r="W848" s="2176"/>
      <c r="X848" s="2177"/>
      <c r="Y848" s="2180">
        <f t="shared" si="1798"/>
        <v>0</v>
      </c>
      <c r="Z848" s="2181">
        <f t="shared" si="1816"/>
        <v>0</v>
      </c>
      <c r="AA848" s="2179">
        <f t="shared" si="1816"/>
        <v>0</v>
      </c>
      <c r="AB848" s="2178">
        <f t="shared" si="1800"/>
        <v>0</v>
      </c>
      <c r="AC848" s="2176"/>
      <c r="AD848" s="2177"/>
      <c r="AE848" s="2180">
        <f t="shared" si="1801"/>
        <v>0</v>
      </c>
      <c r="AF848" s="2185"/>
      <c r="AG848" s="2114"/>
      <c r="AH848" s="2177"/>
      <c r="AI848" s="2177"/>
      <c r="AJ848" s="2186">
        <f t="shared" si="1802"/>
        <v>0</v>
      </c>
      <c r="AK848" s="2177"/>
      <c r="AL848" s="2177"/>
      <c r="AM848" s="2186">
        <f t="shared" si="1803"/>
        <v>0</v>
      </c>
      <c r="AN848" s="2177"/>
      <c r="AO848" s="2177"/>
      <c r="AP848" s="2186">
        <f t="shared" si="1804"/>
        <v>0</v>
      </c>
      <c r="AQ848" s="2177"/>
      <c r="AR848" s="2177"/>
      <c r="AS848" s="2186">
        <f t="shared" si="1805"/>
        <v>0</v>
      </c>
      <c r="AT848" s="2177"/>
      <c r="AU848" s="2177"/>
      <c r="AV848" s="2186">
        <f t="shared" si="1806"/>
        <v>0</v>
      </c>
      <c r="AW848" s="2177"/>
      <c r="AX848" s="2177"/>
      <c r="AY848" s="2186">
        <f t="shared" si="1807"/>
        <v>0</v>
      </c>
      <c r="AZ848" s="2177"/>
      <c r="BA848" s="2177"/>
      <c r="BB848" s="2186">
        <f t="shared" si="1808"/>
        <v>0</v>
      </c>
      <c r="BC848" s="2177"/>
      <c r="BD848" s="2177"/>
      <c r="BE848" s="2186">
        <f t="shared" si="1809"/>
        <v>0</v>
      </c>
      <c r="BF848" s="2177"/>
      <c r="BG848" s="2177"/>
      <c r="BH848" s="2186">
        <f t="shared" si="1810"/>
        <v>0</v>
      </c>
      <c r="BI848" s="2177"/>
      <c r="BJ848" s="2177"/>
      <c r="BK848" s="2186">
        <f t="shared" si="1811"/>
        <v>0</v>
      </c>
      <c r="BL848" s="2177"/>
      <c r="BM848" s="2177"/>
      <c r="BN848" s="2186">
        <f t="shared" si="1812"/>
        <v>0</v>
      </c>
      <c r="BO848" s="2177"/>
      <c r="BP848" s="2177"/>
      <c r="BQ848" s="2186">
        <f t="shared" si="1813"/>
        <v>0</v>
      </c>
    </row>
    <row r="849" spans="3:69" s="2087" customFormat="1" ht="12" hidden="1" customHeight="1">
      <c r="C849" s="2424" t="s">
        <v>3037</v>
      </c>
      <c r="D849" s="2383" t="s">
        <v>42</v>
      </c>
      <c r="E849" s="2250" t="s">
        <v>3015</v>
      </c>
      <c r="F849" s="2176"/>
      <c r="G849" s="2177"/>
      <c r="H849" s="2177"/>
      <c r="I849" s="2178">
        <f t="shared" si="1792"/>
        <v>0</v>
      </c>
      <c r="J849" s="2176"/>
      <c r="K849" s="2179">
        <f t="shared" si="1814"/>
        <v>0</v>
      </c>
      <c r="L849" s="2179">
        <f t="shared" si="1814"/>
        <v>0</v>
      </c>
      <c r="M849" s="2178">
        <f t="shared" si="1793"/>
        <v>0</v>
      </c>
      <c r="N849" s="2177"/>
      <c r="O849" s="2177"/>
      <c r="P849" s="2178">
        <f t="shared" si="1794"/>
        <v>0</v>
      </c>
      <c r="Q849" s="2176"/>
      <c r="R849" s="2177"/>
      <c r="S849" s="2180">
        <f t="shared" si="1795"/>
        <v>0</v>
      </c>
      <c r="T849" s="2181">
        <f t="shared" si="1815"/>
        <v>0</v>
      </c>
      <c r="U849" s="2179">
        <f t="shared" si="1815"/>
        <v>0</v>
      </c>
      <c r="V849" s="2178">
        <f t="shared" si="1797"/>
        <v>0</v>
      </c>
      <c r="W849" s="2176"/>
      <c r="X849" s="2177"/>
      <c r="Y849" s="2180">
        <f t="shared" si="1798"/>
        <v>0</v>
      </c>
      <c r="Z849" s="2181">
        <f t="shared" si="1816"/>
        <v>0</v>
      </c>
      <c r="AA849" s="2179">
        <f t="shared" si="1816"/>
        <v>0</v>
      </c>
      <c r="AB849" s="2178">
        <f t="shared" si="1800"/>
        <v>0</v>
      </c>
      <c r="AC849" s="2176"/>
      <c r="AD849" s="2177"/>
      <c r="AE849" s="2180">
        <f t="shared" si="1801"/>
        <v>0</v>
      </c>
      <c r="AF849" s="2185"/>
      <c r="AG849" s="2114"/>
      <c r="AH849" s="2177"/>
      <c r="AI849" s="2177"/>
      <c r="AJ849" s="2186">
        <f t="shared" si="1802"/>
        <v>0</v>
      </c>
      <c r="AK849" s="2177"/>
      <c r="AL849" s="2177"/>
      <c r="AM849" s="2186">
        <f t="shared" si="1803"/>
        <v>0</v>
      </c>
      <c r="AN849" s="2177"/>
      <c r="AO849" s="2177"/>
      <c r="AP849" s="2186">
        <f t="shared" si="1804"/>
        <v>0</v>
      </c>
      <c r="AQ849" s="2177"/>
      <c r="AR849" s="2177"/>
      <c r="AS849" s="2186">
        <f t="shared" si="1805"/>
        <v>0</v>
      </c>
      <c r="AT849" s="2177"/>
      <c r="AU849" s="2177"/>
      <c r="AV849" s="2186">
        <f t="shared" si="1806"/>
        <v>0</v>
      </c>
      <c r="AW849" s="2177"/>
      <c r="AX849" s="2177"/>
      <c r="AY849" s="2186">
        <f t="shared" si="1807"/>
        <v>0</v>
      </c>
      <c r="AZ849" s="2177"/>
      <c r="BA849" s="2177"/>
      <c r="BB849" s="2186">
        <f t="shared" si="1808"/>
        <v>0</v>
      </c>
      <c r="BC849" s="2177"/>
      <c r="BD849" s="2177"/>
      <c r="BE849" s="2186">
        <f t="shared" si="1809"/>
        <v>0</v>
      </c>
      <c r="BF849" s="2177"/>
      <c r="BG849" s="2177"/>
      <c r="BH849" s="2186">
        <f t="shared" si="1810"/>
        <v>0</v>
      </c>
      <c r="BI849" s="2177"/>
      <c r="BJ849" s="2177"/>
      <c r="BK849" s="2186">
        <f t="shared" si="1811"/>
        <v>0</v>
      </c>
      <c r="BL849" s="2177"/>
      <c r="BM849" s="2177"/>
      <c r="BN849" s="2186">
        <f t="shared" si="1812"/>
        <v>0</v>
      </c>
      <c r="BO849" s="2177"/>
      <c r="BP849" s="2177"/>
      <c r="BQ849" s="2186">
        <f t="shared" si="1813"/>
        <v>0</v>
      </c>
    </row>
    <row r="850" spans="3:69" s="2087" customFormat="1" ht="12" hidden="1" customHeight="1">
      <c r="C850" s="2423" t="s">
        <v>3038</v>
      </c>
      <c r="D850" s="2421" t="s">
        <v>2434</v>
      </c>
      <c r="E850" s="2335" t="s">
        <v>3015</v>
      </c>
      <c r="F850" s="2427"/>
      <c r="G850" s="2428"/>
      <c r="H850" s="2428"/>
      <c r="I850" s="2178">
        <f t="shared" si="1792"/>
        <v>0</v>
      </c>
      <c r="J850" s="2427"/>
      <c r="K850" s="2179">
        <f t="shared" si="1814"/>
        <v>0</v>
      </c>
      <c r="L850" s="2179">
        <f t="shared" si="1814"/>
        <v>0</v>
      </c>
      <c r="M850" s="2178">
        <f t="shared" si="1793"/>
        <v>0</v>
      </c>
      <c r="N850" s="2428"/>
      <c r="O850" s="2428"/>
      <c r="P850" s="2178">
        <f t="shared" si="1794"/>
        <v>0</v>
      </c>
      <c r="Q850" s="2427"/>
      <c r="R850" s="2428"/>
      <c r="S850" s="2180">
        <f t="shared" si="1795"/>
        <v>0</v>
      </c>
      <c r="T850" s="2181">
        <f t="shared" si="1815"/>
        <v>0</v>
      </c>
      <c r="U850" s="2179">
        <f t="shared" si="1815"/>
        <v>0</v>
      </c>
      <c r="V850" s="2178">
        <f t="shared" si="1797"/>
        <v>0</v>
      </c>
      <c r="W850" s="2427"/>
      <c r="X850" s="2428"/>
      <c r="Y850" s="2180">
        <f t="shared" si="1798"/>
        <v>0</v>
      </c>
      <c r="Z850" s="2181">
        <f t="shared" si="1816"/>
        <v>0</v>
      </c>
      <c r="AA850" s="2179">
        <f t="shared" si="1816"/>
        <v>0</v>
      </c>
      <c r="AB850" s="2178">
        <f t="shared" si="1800"/>
        <v>0</v>
      </c>
      <c r="AC850" s="2427"/>
      <c r="AD850" s="2428"/>
      <c r="AE850" s="2180">
        <f t="shared" si="1801"/>
        <v>0</v>
      </c>
      <c r="AF850" s="2185"/>
      <c r="AG850" s="2114"/>
      <c r="AH850" s="2428"/>
      <c r="AI850" s="2428"/>
      <c r="AJ850" s="2186">
        <f t="shared" si="1802"/>
        <v>0</v>
      </c>
      <c r="AK850" s="2428"/>
      <c r="AL850" s="2428"/>
      <c r="AM850" s="2186">
        <f t="shared" si="1803"/>
        <v>0</v>
      </c>
      <c r="AN850" s="2428"/>
      <c r="AO850" s="2428"/>
      <c r="AP850" s="2186">
        <f t="shared" si="1804"/>
        <v>0</v>
      </c>
      <c r="AQ850" s="2428"/>
      <c r="AR850" s="2428"/>
      <c r="AS850" s="2186">
        <f t="shared" si="1805"/>
        <v>0</v>
      </c>
      <c r="AT850" s="2428"/>
      <c r="AU850" s="2428"/>
      <c r="AV850" s="2186">
        <f t="shared" si="1806"/>
        <v>0</v>
      </c>
      <c r="AW850" s="2428"/>
      <c r="AX850" s="2428"/>
      <c r="AY850" s="2186">
        <f t="shared" si="1807"/>
        <v>0</v>
      </c>
      <c r="AZ850" s="2428"/>
      <c r="BA850" s="2428"/>
      <c r="BB850" s="2186">
        <f t="shared" si="1808"/>
        <v>0</v>
      </c>
      <c r="BC850" s="2428"/>
      <c r="BD850" s="2428"/>
      <c r="BE850" s="2186">
        <f t="shared" si="1809"/>
        <v>0</v>
      </c>
      <c r="BF850" s="2428"/>
      <c r="BG850" s="2428"/>
      <c r="BH850" s="2186">
        <f t="shared" si="1810"/>
        <v>0</v>
      </c>
      <c r="BI850" s="2428"/>
      <c r="BJ850" s="2428"/>
      <c r="BK850" s="2186">
        <f t="shared" si="1811"/>
        <v>0</v>
      </c>
      <c r="BL850" s="2428"/>
      <c r="BM850" s="2428"/>
      <c r="BN850" s="2186">
        <f t="shared" si="1812"/>
        <v>0</v>
      </c>
      <c r="BO850" s="2428"/>
      <c r="BP850" s="2428"/>
      <c r="BQ850" s="2186">
        <f t="shared" si="1813"/>
        <v>0</v>
      </c>
    </row>
    <row r="851" spans="3:69" s="2159" customFormat="1" ht="12" hidden="1" customHeight="1">
      <c r="C851" s="2429" t="s">
        <v>3039</v>
      </c>
      <c r="D851" s="2430" t="s">
        <v>3040</v>
      </c>
      <c r="E851" s="2431" t="s">
        <v>3015</v>
      </c>
      <c r="F851" s="2432"/>
      <c r="G851" s="2433"/>
      <c r="H851" s="2433"/>
      <c r="I851" s="2164">
        <f t="shared" si="1792"/>
        <v>0</v>
      </c>
      <c r="J851" s="2432"/>
      <c r="K851" s="2163">
        <f t="shared" si="1814"/>
        <v>0</v>
      </c>
      <c r="L851" s="2163">
        <f t="shared" si="1814"/>
        <v>0</v>
      </c>
      <c r="M851" s="2164">
        <f t="shared" si="1793"/>
        <v>0</v>
      </c>
      <c r="N851" s="2433"/>
      <c r="O851" s="2433"/>
      <c r="P851" s="2164">
        <f t="shared" si="1794"/>
        <v>0</v>
      </c>
      <c r="Q851" s="2432"/>
      <c r="R851" s="2433"/>
      <c r="S851" s="2166">
        <f t="shared" si="1795"/>
        <v>0</v>
      </c>
      <c r="T851" s="2167">
        <f t="shared" si="1815"/>
        <v>0</v>
      </c>
      <c r="U851" s="2163">
        <f t="shared" si="1815"/>
        <v>0</v>
      </c>
      <c r="V851" s="2164">
        <f t="shared" si="1797"/>
        <v>0</v>
      </c>
      <c r="W851" s="2432"/>
      <c r="X851" s="2433"/>
      <c r="Y851" s="2166">
        <f t="shared" si="1798"/>
        <v>0</v>
      </c>
      <c r="Z851" s="2167">
        <f t="shared" si="1816"/>
        <v>0</v>
      </c>
      <c r="AA851" s="2163">
        <f t="shared" si="1816"/>
        <v>0</v>
      </c>
      <c r="AB851" s="2164">
        <f t="shared" si="1800"/>
        <v>0</v>
      </c>
      <c r="AC851" s="2432"/>
      <c r="AD851" s="2433"/>
      <c r="AE851" s="2166">
        <f t="shared" si="1801"/>
        <v>0</v>
      </c>
      <c r="AF851" s="2204"/>
      <c r="AG851" s="2158"/>
      <c r="AH851" s="2433"/>
      <c r="AI851" s="2433"/>
      <c r="AJ851" s="2172">
        <f t="shared" si="1802"/>
        <v>0</v>
      </c>
      <c r="AK851" s="2433"/>
      <c r="AL851" s="2433"/>
      <c r="AM851" s="2172">
        <f t="shared" si="1803"/>
        <v>0</v>
      </c>
      <c r="AN851" s="2433"/>
      <c r="AO851" s="2433"/>
      <c r="AP851" s="2172">
        <f t="shared" si="1804"/>
        <v>0</v>
      </c>
      <c r="AQ851" s="2433"/>
      <c r="AR851" s="2433"/>
      <c r="AS851" s="2172">
        <f t="shared" si="1805"/>
        <v>0</v>
      </c>
      <c r="AT851" s="2433"/>
      <c r="AU851" s="2433"/>
      <c r="AV851" s="2172">
        <f t="shared" si="1806"/>
        <v>0</v>
      </c>
      <c r="AW851" s="2433"/>
      <c r="AX851" s="2433"/>
      <c r="AY851" s="2172">
        <f t="shared" si="1807"/>
        <v>0</v>
      </c>
      <c r="AZ851" s="2433"/>
      <c r="BA851" s="2433"/>
      <c r="BB851" s="2172">
        <f t="shared" si="1808"/>
        <v>0</v>
      </c>
      <c r="BC851" s="2433"/>
      <c r="BD851" s="2433"/>
      <c r="BE851" s="2172">
        <f t="shared" si="1809"/>
        <v>0</v>
      </c>
      <c r="BF851" s="2433"/>
      <c r="BG851" s="2433"/>
      <c r="BH851" s="2172">
        <f t="shared" si="1810"/>
        <v>0</v>
      </c>
      <c r="BI851" s="2433"/>
      <c r="BJ851" s="2433"/>
      <c r="BK851" s="2172">
        <f t="shared" si="1811"/>
        <v>0</v>
      </c>
      <c r="BL851" s="2433"/>
      <c r="BM851" s="2433"/>
      <c r="BN851" s="2172">
        <f t="shared" si="1812"/>
        <v>0</v>
      </c>
      <c r="BO851" s="2433"/>
      <c r="BP851" s="2433"/>
      <c r="BQ851" s="2172">
        <f t="shared" si="1813"/>
        <v>0</v>
      </c>
    </row>
    <row r="852" spans="3:69" s="2159" customFormat="1" ht="12" hidden="1" customHeight="1">
      <c r="C852" s="2434" t="s">
        <v>3041</v>
      </c>
      <c r="D852" s="2435" t="s">
        <v>2434</v>
      </c>
      <c r="E852" s="2436" t="s">
        <v>3015</v>
      </c>
      <c r="F852" s="2437"/>
      <c r="G852" s="2438"/>
      <c r="H852" s="2438"/>
      <c r="I852" s="2439">
        <f t="shared" si="1792"/>
        <v>0</v>
      </c>
      <c r="J852" s="2437"/>
      <c r="K852" s="2440">
        <f t="shared" si="1814"/>
        <v>0</v>
      </c>
      <c r="L852" s="2440">
        <f t="shared" si="1814"/>
        <v>0</v>
      </c>
      <c r="M852" s="2439">
        <f t="shared" si="1793"/>
        <v>0</v>
      </c>
      <c r="N852" s="2438"/>
      <c r="O852" s="2438"/>
      <c r="P852" s="2439">
        <f t="shared" si="1794"/>
        <v>0</v>
      </c>
      <c r="Q852" s="2437"/>
      <c r="R852" s="2438"/>
      <c r="S852" s="2441">
        <f t="shared" si="1795"/>
        <v>0</v>
      </c>
      <c r="T852" s="2442">
        <f t="shared" si="1815"/>
        <v>0</v>
      </c>
      <c r="U852" s="2440">
        <f t="shared" si="1815"/>
        <v>0</v>
      </c>
      <c r="V852" s="2439">
        <f t="shared" si="1797"/>
        <v>0</v>
      </c>
      <c r="W852" s="2437"/>
      <c r="X852" s="2438"/>
      <c r="Y852" s="2441">
        <f t="shared" si="1798"/>
        <v>0</v>
      </c>
      <c r="Z852" s="2442">
        <f t="shared" si="1816"/>
        <v>0</v>
      </c>
      <c r="AA852" s="2440">
        <f t="shared" si="1816"/>
        <v>0</v>
      </c>
      <c r="AB852" s="2439">
        <f t="shared" si="1800"/>
        <v>0</v>
      </c>
      <c r="AC852" s="2437"/>
      <c r="AD852" s="2438"/>
      <c r="AE852" s="2441">
        <f t="shared" si="1801"/>
        <v>0</v>
      </c>
      <c r="AF852" s="2443"/>
      <c r="AG852" s="2158"/>
      <c r="AH852" s="2438"/>
      <c r="AI852" s="2438"/>
      <c r="AJ852" s="2444">
        <f t="shared" si="1802"/>
        <v>0</v>
      </c>
      <c r="AK852" s="2438"/>
      <c r="AL852" s="2438"/>
      <c r="AM852" s="2444">
        <f t="shared" si="1803"/>
        <v>0</v>
      </c>
      <c r="AN852" s="2438"/>
      <c r="AO852" s="2438"/>
      <c r="AP852" s="2444">
        <f t="shared" si="1804"/>
        <v>0</v>
      </c>
      <c r="AQ852" s="2438"/>
      <c r="AR852" s="2438"/>
      <c r="AS852" s="2444">
        <f t="shared" si="1805"/>
        <v>0</v>
      </c>
      <c r="AT852" s="2438"/>
      <c r="AU852" s="2438"/>
      <c r="AV852" s="2444">
        <f t="shared" si="1806"/>
        <v>0</v>
      </c>
      <c r="AW852" s="2438"/>
      <c r="AX852" s="2438"/>
      <c r="AY852" s="2444">
        <f t="shared" si="1807"/>
        <v>0</v>
      </c>
      <c r="AZ852" s="2438"/>
      <c r="BA852" s="2438"/>
      <c r="BB852" s="2444">
        <f t="shared" si="1808"/>
        <v>0</v>
      </c>
      <c r="BC852" s="2438"/>
      <c r="BD852" s="2438"/>
      <c r="BE852" s="2444">
        <f t="shared" si="1809"/>
        <v>0</v>
      </c>
      <c r="BF852" s="2438"/>
      <c r="BG852" s="2438"/>
      <c r="BH852" s="2444">
        <f t="shared" si="1810"/>
        <v>0</v>
      </c>
      <c r="BI852" s="2438"/>
      <c r="BJ852" s="2438"/>
      <c r="BK852" s="2444">
        <f t="shared" si="1811"/>
        <v>0</v>
      </c>
      <c r="BL852" s="2438"/>
      <c r="BM852" s="2438"/>
      <c r="BN852" s="2444">
        <f t="shared" si="1812"/>
        <v>0</v>
      </c>
      <c r="BO852" s="2438"/>
      <c r="BP852" s="2438"/>
      <c r="BQ852" s="2444">
        <f t="shared" si="1813"/>
        <v>0</v>
      </c>
    </row>
    <row r="853" spans="3:69" s="2396" customFormat="1" ht="12" hidden="1" customHeight="1">
      <c r="C853" s="2160" t="s">
        <v>1837</v>
      </c>
      <c r="D853" s="2161" t="s">
        <v>3042</v>
      </c>
      <c r="E853" s="2120" t="s">
        <v>3043</v>
      </c>
      <c r="F853" s="2445"/>
      <c r="G853" s="2364">
        <f>G854+G856</f>
        <v>0</v>
      </c>
      <c r="H853" s="2364">
        <f>H854+H856</f>
        <v>0</v>
      </c>
      <c r="I853" s="2303">
        <f>H853-G853</f>
        <v>0</v>
      </c>
      <c r="J853" s="2363"/>
      <c r="K853" s="2364">
        <f t="shared" si="1814"/>
        <v>0</v>
      </c>
      <c r="L853" s="2364">
        <f t="shared" si="1814"/>
        <v>0</v>
      </c>
      <c r="M853" s="2303">
        <f t="shared" si="1793"/>
        <v>0</v>
      </c>
      <c r="N853" s="2364">
        <f>N854+N856</f>
        <v>0</v>
      </c>
      <c r="O853" s="2364">
        <f>O854+O856</f>
        <v>0</v>
      </c>
      <c r="P853" s="2303">
        <f t="shared" si="1794"/>
        <v>0</v>
      </c>
      <c r="Q853" s="2364">
        <f>Q854+Q856</f>
        <v>0</v>
      </c>
      <c r="R853" s="2364">
        <f>R854+R856</f>
        <v>0</v>
      </c>
      <c r="S853" s="2303">
        <f t="shared" si="1795"/>
        <v>0</v>
      </c>
      <c r="T853" s="2368">
        <f t="shared" si="1815"/>
        <v>0</v>
      </c>
      <c r="U853" s="2364">
        <f t="shared" si="1815"/>
        <v>0</v>
      </c>
      <c r="V853" s="2303">
        <f t="shared" si="1797"/>
        <v>0</v>
      </c>
      <c r="W853" s="2364">
        <f>W854+W856</f>
        <v>0</v>
      </c>
      <c r="X853" s="2364">
        <f>X854+X856</f>
        <v>0</v>
      </c>
      <c r="Y853" s="2303">
        <f t="shared" si="1798"/>
        <v>0</v>
      </c>
      <c r="Z853" s="2368">
        <f t="shared" si="1816"/>
        <v>0</v>
      </c>
      <c r="AA853" s="2364">
        <f t="shared" si="1816"/>
        <v>0</v>
      </c>
      <c r="AB853" s="2303">
        <f t="shared" si="1800"/>
        <v>0</v>
      </c>
      <c r="AC853" s="2364">
        <f>AC854+AC856</f>
        <v>0</v>
      </c>
      <c r="AD853" s="2364">
        <f>AD854+AD856</f>
        <v>0</v>
      </c>
      <c r="AE853" s="2178">
        <f t="shared" si="1801"/>
        <v>0</v>
      </c>
      <c r="AF853" s="2204"/>
      <c r="AG853" s="2395"/>
      <c r="AH853" s="2372">
        <f>AH854+AH856</f>
        <v>0</v>
      </c>
      <c r="AI853" s="2372">
        <f>AI854+AI856</f>
        <v>0</v>
      </c>
      <c r="AJ853" s="2310">
        <f t="shared" si="1802"/>
        <v>0</v>
      </c>
      <c r="AK853" s="2372">
        <f>AK854+AK856</f>
        <v>0</v>
      </c>
      <c r="AL853" s="2372">
        <f>AL854+AL856</f>
        <v>0</v>
      </c>
      <c r="AM853" s="2310">
        <f t="shared" si="1803"/>
        <v>0</v>
      </c>
      <c r="AN853" s="2372">
        <f>AN854+AN856</f>
        <v>0</v>
      </c>
      <c r="AO853" s="2372">
        <f>AO854+AO856</f>
        <v>0</v>
      </c>
      <c r="AP853" s="2310">
        <f t="shared" si="1804"/>
        <v>0</v>
      </c>
      <c r="AQ853" s="2372">
        <f>AQ854+AQ856</f>
        <v>0</v>
      </c>
      <c r="AR853" s="2372">
        <f>AR854+AR856</f>
        <v>0</v>
      </c>
      <c r="AS853" s="2310">
        <f t="shared" si="1805"/>
        <v>0</v>
      </c>
      <c r="AT853" s="2372">
        <f>AT854+AT856</f>
        <v>0</v>
      </c>
      <c r="AU853" s="2372">
        <f>AU854+AU856</f>
        <v>0</v>
      </c>
      <c r="AV853" s="2310">
        <f t="shared" si="1806"/>
        <v>0</v>
      </c>
      <c r="AW853" s="2372">
        <f>AW854+AW856</f>
        <v>0</v>
      </c>
      <c r="AX853" s="2372">
        <f>AX854+AX856</f>
        <v>0</v>
      </c>
      <c r="AY853" s="2310">
        <f t="shared" si="1807"/>
        <v>0</v>
      </c>
      <c r="AZ853" s="2372">
        <f>AZ854+AZ856</f>
        <v>0</v>
      </c>
      <c r="BA853" s="2372">
        <f>BA854+BA856</f>
        <v>0</v>
      </c>
      <c r="BB853" s="2310">
        <f t="shared" si="1808"/>
        <v>0</v>
      </c>
      <c r="BC853" s="2372">
        <f>BC854+BC856</f>
        <v>0</v>
      </c>
      <c r="BD853" s="2372">
        <f>BD854+BD856</f>
        <v>0</v>
      </c>
      <c r="BE853" s="2310">
        <f t="shared" si="1809"/>
        <v>0</v>
      </c>
      <c r="BF853" s="2372">
        <f>BF854+BF856</f>
        <v>0</v>
      </c>
      <c r="BG853" s="2372">
        <f>BG854+BG856</f>
        <v>0</v>
      </c>
      <c r="BH853" s="2310">
        <f t="shared" si="1810"/>
        <v>0</v>
      </c>
      <c r="BI853" s="2372">
        <f>BI854+BI856</f>
        <v>0</v>
      </c>
      <c r="BJ853" s="2372">
        <f>BJ854+BJ856</f>
        <v>0</v>
      </c>
      <c r="BK853" s="2310">
        <f t="shared" si="1811"/>
        <v>0</v>
      </c>
      <c r="BL853" s="2372">
        <f>BL854+BL856</f>
        <v>0</v>
      </c>
      <c r="BM853" s="2372">
        <f>BM854+BM856</f>
        <v>0</v>
      </c>
      <c r="BN853" s="2310">
        <f t="shared" si="1812"/>
        <v>0</v>
      </c>
      <c r="BO853" s="2372">
        <f>BO854+BO856</f>
        <v>0</v>
      </c>
      <c r="BP853" s="2372">
        <f>BP854+BP856</f>
        <v>0</v>
      </c>
      <c r="BQ853" s="2310">
        <f t="shared" si="1813"/>
        <v>0</v>
      </c>
    </row>
    <row r="854" spans="3:69" s="2087" customFormat="1" ht="45.75" hidden="1" thickBot="1">
      <c r="C854" s="2424" t="s">
        <v>3044</v>
      </c>
      <c r="D854" s="2174" t="s">
        <v>3045</v>
      </c>
      <c r="E854" s="2250" t="s">
        <v>3046</v>
      </c>
      <c r="F854" s="2176"/>
      <c r="G854" s="2177"/>
      <c r="H854" s="2177"/>
      <c r="I854" s="2178">
        <f t="shared" ref="I854" si="1817">H854-G854</f>
        <v>0</v>
      </c>
      <c r="J854" s="2176"/>
      <c r="K854" s="2179">
        <f t="shared" si="1814"/>
        <v>0</v>
      </c>
      <c r="L854" s="2179">
        <f t="shared" si="1814"/>
        <v>0</v>
      </c>
      <c r="M854" s="2178">
        <f t="shared" si="1793"/>
        <v>0</v>
      </c>
      <c r="N854" s="2177"/>
      <c r="O854" s="2177"/>
      <c r="P854" s="2178">
        <f t="shared" si="1794"/>
        <v>0</v>
      </c>
      <c r="Q854" s="2176"/>
      <c r="R854" s="2177"/>
      <c r="S854" s="2180">
        <f t="shared" si="1795"/>
        <v>0</v>
      </c>
      <c r="T854" s="2181">
        <f t="shared" si="1815"/>
        <v>0</v>
      </c>
      <c r="U854" s="2179">
        <f t="shared" si="1815"/>
        <v>0</v>
      </c>
      <c r="V854" s="2178">
        <f t="shared" si="1797"/>
        <v>0</v>
      </c>
      <c r="W854" s="2176"/>
      <c r="X854" s="2177"/>
      <c r="Y854" s="2180">
        <f t="shared" si="1798"/>
        <v>0</v>
      </c>
      <c r="Z854" s="2181">
        <f t="shared" si="1816"/>
        <v>0</v>
      </c>
      <c r="AA854" s="2179">
        <f t="shared" si="1816"/>
        <v>0</v>
      </c>
      <c r="AB854" s="2178">
        <f t="shared" si="1800"/>
        <v>0</v>
      </c>
      <c r="AC854" s="2176"/>
      <c r="AD854" s="2177"/>
      <c r="AE854" s="2180">
        <f t="shared" si="1801"/>
        <v>0</v>
      </c>
      <c r="AF854" s="2185"/>
      <c r="AG854" s="2114"/>
      <c r="AH854" s="2177"/>
      <c r="AI854" s="2177"/>
      <c r="AJ854" s="2186">
        <f t="shared" si="1802"/>
        <v>0</v>
      </c>
      <c r="AK854" s="2177"/>
      <c r="AL854" s="2177"/>
      <c r="AM854" s="2186">
        <f t="shared" si="1803"/>
        <v>0</v>
      </c>
      <c r="AN854" s="2177"/>
      <c r="AO854" s="2177"/>
      <c r="AP854" s="2186">
        <f t="shared" si="1804"/>
        <v>0</v>
      </c>
      <c r="AQ854" s="2177"/>
      <c r="AR854" s="2177"/>
      <c r="AS854" s="2186">
        <f t="shared" si="1805"/>
        <v>0</v>
      </c>
      <c r="AT854" s="2177"/>
      <c r="AU854" s="2177"/>
      <c r="AV854" s="2186">
        <f t="shared" si="1806"/>
        <v>0</v>
      </c>
      <c r="AW854" s="2177"/>
      <c r="AX854" s="2177"/>
      <c r="AY854" s="2186">
        <f t="shared" si="1807"/>
        <v>0</v>
      </c>
      <c r="AZ854" s="2177"/>
      <c r="BA854" s="2177"/>
      <c r="BB854" s="2186">
        <f t="shared" si="1808"/>
        <v>0</v>
      </c>
      <c r="BC854" s="2177"/>
      <c r="BD854" s="2177"/>
      <c r="BE854" s="2186">
        <f t="shared" si="1809"/>
        <v>0</v>
      </c>
      <c r="BF854" s="2177"/>
      <c r="BG854" s="2177"/>
      <c r="BH854" s="2186">
        <f t="shared" si="1810"/>
        <v>0</v>
      </c>
      <c r="BI854" s="2177"/>
      <c r="BJ854" s="2177"/>
      <c r="BK854" s="2186">
        <f t="shared" si="1811"/>
        <v>0</v>
      </c>
      <c r="BL854" s="2177"/>
      <c r="BM854" s="2177"/>
      <c r="BN854" s="2186">
        <f t="shared" si="1812"/>
        <v>0</v>
      </c>
      <c r="BO854" s="2177"/>
      <c r="BP854" s="2177"/>
      <c r="BQ854" s="2186">
        <f t="shared" si="1813"/>
        <v>0</v>
      </c>
    </row>
    <row r="855" spans="3:69" s="2087" customFormat="1" ht="12" hidden="1" thickBot="1">
      <c r="C855" s="2423" t="s">
        <v>3047</v>
      </c>
      <c r="D855" s="2286" t="s">
        <v>2434</v>
      </c>
      <c r="E855" s="2290" t="s">
        <v>3046</v>
      </c>
      <c r="F855" s="2176"/>
      <c r="G855" s="2177"/>
      <c r="H855" s="2177"/>
      <c r="I855" s="2178">
        <f>H855-G855</f>
        <v>0</v>
      </c>
      <c r="J855" s="2176"/>
      <c r="K855" s="2179">
        <f t="shared" si="1814"/>
        <v>0</v>
      </c>
      <c r="L855" s="2179">
        <f t="shared" si="1814"/>
        <v>0</v>
      </c>
      <c r="M855" s="2178">
        <f t="shared" si="1793"/>
        <v>0</v>
      </c>
      <c r="N855" s="2177"/>
      <c r="O855" s="2177"/>
      <c r="P855" s="2178">
        <f t="shared" si="1794"/>
        <v>0</v>
      </c>
      <c r="Q855" s="2176"/>
      <c r="R855" s="2177"/>
      <c r="S855" s="2180">
        <f t="shared" si="1795"/>
        <v>0</v>
      </c>
      <c r="T855" s="2181">
        <f t="shared" si="1815"/>
        <v>0</v>
      </c>
      <c r="U855" s="2179">
        <f t="shared" si="1815"/>
        <v>0</v>
      </c>
      <c r="V855" s="2178">
        <f t="shared" si="1797"/>
        <v>0</v>
      </c>
      <c r="W855" s="2176"/>
      <c r="X855" s="2177"/>
      <c r="Y855" s="2180">
        <f t="shared" si="1798"/>
        <v>0</v>
      </c>
      <c r="Z855" s="2181">
        <f t="shared" si="1816"/>
        <v>0</v>
      </c>
      <c r="AA855" s="2179">
        <f t="shared" si="1816"/>
        <v>0</v>
      </c>
      <c r="AB855" s="2178">
        <f t="shared" si="1800"/>
        <v>0</v>
      </c>
      <c r="AC855" s="2176"/>
      <c r="AD855" s="2177"/>
      <c r="AE855" s="2180">
        <f t="shared" si="1801"/>
        <v>0</v>
      </c>
      <c r="AF855" s="2185"/>
      <c r="AG855" s="2114"/>
      <c r="AH855" s="2177"/>
      <c r="AI855" s="2177"/>
      <c r="AJ855" s="2186">
        <f t="shared" si="1802"/>
        <v>0</v>
      </c>
      <c r="AK855" s="2177"/>
      <c r="AL855" s="2177"/>
      <c r="AM855" s="2186">
        <f t="shared" si="1803"/>
        <v>0</v>
      </c>
      <c r="AN855" s="2177"/>
      <c r="AO855" s="2177"/>
      <c r="AP855" s="2186">
        <f t="shared" si="1804"/>
        <v>0</v>
      </c>
      <c r="AQ855" s="2177"/>
      <c r="AR855" s="2177"/>
      <c r="AS855" s="2186">
        <f t="shared" si="1805"/>
        <v>0</v>
      </c>
      <c r="AT855" s="2177"/>
      <c r="AU855" s="2177"/>
      <c r="AV855" s="2186">
        <f t="shared" si="1806"/>
        <v>0</v>
      </c>
      <c r="AW855" s="2177"/>
      <c r="AX855" s="2177"/>
      <c r="AY855" s="2186">
        <f t="shared" si="1807"/>
        <v>0</v>
      </c>
      <c r="AZ855" s="2177"/>
      <c r="BA855" s="2177"/>
      <c r="BB855" s="2186">
        <f t="shared" si="1808"/>
        <v>0</v>
      </c>
      <c r="BC855" s="2177"/>
      <c r="BD855" s="2177"/>
      <c r="BE855" s="2186">
        <f t="shared" si="1809"/>
        <v>0</v>
      </c>
      <c r="BF855" s="2177"/>
      <c r="BG855" s="2177"/>
      <c r="BH855" s="2186">
        <f t="shared" si="1810"/>
        <v>0</v>
      </c>
      <c r="BI855" s="2177"/>
      <c r="BJ855" s="2177"/>
      <c r="BK855" s="2186">
        <f t="shared" si="1811"/>
        <v>0</v>
      </c>
      <c r="BL855" s="2177"/>
      <c r="BM855" s="2177"/>
      <c r="BN855" s="2186">
        <f t="shared" si="1812"/>
        <v>0</v>
      </c>
      <c r="BO855" s="2177"/>
      <c r="BP855" s="2177"/>
      <c r="BQ855" s="2186">
        <f t="shared" si="1813"/>
        <v>0</v>
      </c>
    </row>
    <row r="856" spans="3:69" s="2087" customFormat="1" ht="23.25" hidden="1" thickBot="1">
      <c r="C856" s="2173" t="s">
        <v>3048</v>
      </c>
      <c r="D856" s="2174" t="s">
        <v>3049</v>
      </c>
      <c r="E856" s="2250" t="s">
        <v>3046</v>
      </c>
      <c r="F856" s="2176"/>
      <c r="G856" s="2177"/>
      <c r="H856" s="2177"/>
      <c r="I856" s="2178">
        <f t="shared" ref="I856:I857" si="1818">H856-G856</f>
        <v>0</v>
      </c>
      <c r="J856" s="2176"/>
      <c r="K856" s="2179">
        <f t="shared" si="1814"/>
        <v>0</v>
      </c>
      <c r="L856" s="2179">
        <f t="shared" si="1814"/>
        <v>0</v>
      </c>
      <c r="M856" s="2178">
        <f t="shared" si="1793"/>
        <v>0</v>
      </c>
      <c r="N856" s="2177"/>
      <c r="O856" s="2177"/>
      <c r="P856" s="2178">
        <f t="shared" si="1794"/>
        <v>0</v>
      </c>
      <c r="Q856" s="2176"/>
      <c r="R856" s="2177"/>
      <c r="S856" s="2180">
        <f t="shared" si="1795"/>
        <v>0</v>
      </c>
      <c r="T856" s="2181">
        <f t="shared" si="1815"/>
        <v>0</v>
      </c>
      <c r="U856" s="2179">
        <f t="shared" si="1815"/>
        <v>0</v>
      </c>
      <c r="V856" s="2178">
        <f t="shared" si="1797"/>
        <v>0</v>
      </c>
      <c r="W856" s="2176"/>
      <c r="X856" s="2177"/>
      <c r="Y856" s="2180">
        <f t="shared" si="1798"/>
        <v>0</v>
      </c>
      <c r="Z856" s="2181">
        <f t="shared" si="1816"/>
        <v>0</v>
      </c>
      <c r="AA856" s="2179">
        <f t="shared" si="1816"/>
        <v>0</v>
      </c>
      <c r="AB856" s="2178">
        <f t="shared" si="1800"/>
        <v>0</v>
      </c>
      <c r="AC856" s="2176"/>
      <c r="AD856" s="2177"/>
      <c r="AE856" s="2180">
        <f t="shared" si="1801"/>
        <v>0</v>
      </c>
      <c r="AF856" s="2185"/>
      <c r="AG856" s="2114"/>
      <c r="AH856" s="2177"/>
      <c r="AI856" s="2177"/>
      <c r="AJ856" s="2186">
        <f t="shared" si="1802"/>
        <v>0</v>
      </c>
      <c r="AK856" s="2177"/>
      <c r="AL856" s="2177"/>
      <c r="AM856" s="2186">
        <f t="shared" si="1803"/>
        <v>0</v>
      </c>
      <c r="AN856" s="2177"/>
      <c r="AO856" s="2177"/>
      <c r="AP856" s="2186">
        <f t="shared" si="1804"/>
        <v>0</v>
      </c>
      <c r="AQ856" s="2177"/>
      <c r="AR856" s="2177"/>
      <c r="AS856" s="2186">
        <f t="shared" si="1805"/>
        <v>0</v>
      </c>
      <c r="AT856" s="2177"/>
      <c r="AU856" s="2177"/>
      <c r="AV856" s="2186">
        <f t="shared" si="1806"/>
        <v>0</v>
      </c>
      <c r="AW856" s="2177"/>
      <c r="AX856" s="2177"/>
      <c r="AY856" s="2186">
        <f t="shared" si="1807"/>
        <v>0</v>
      </c>
      <c r="AZ856" s="2177"/>
      <c r="BA856" s="2177"/>
      <c r="BB856" s="2186">
        <f t="shared" si="1808"/>
        <v>0</v>
      </c>
      <c r="BC856" s="2177"/>
      <c r="BD856" s="2177"/>
      <c r="BE856" s="2186">
        <f t="shared" si="1809"/>
        <v>0</v>
      </c>
      <c r="BF856" s="2177"/>
      <c r="BG856" s="2177"/>
      <c r="BH856" s="2186">
        <f t="shared" si="1810"/>
        <v>0</v>
      </c>
      <c r="BI856" s="2177"/>
      <c r="BJ856" s="2177"/>
      <c r="BK856" s="2186">
        <f t="shared" si="1811"/>
        <v>0</v>
      </c>
      <c r="BL856" s="2177"/>
      <c r="BM856" s="2177"/>
      <c r="BN856" s="2186">
        <f t="shared" si="1812"/>
        <v>0</v>
      </c>
      <c r="BO856" s="2177"/>
      <c r="BP856" s="2177"/>
      <c r="BQ856" s="2186">
        <f t="shared" si="1813"/>
        <v>0</v>
      </c>
    </row>
    <row r="857" spans="3:69" s="2087" customFormat="1" ht="12" hidden="1" thickBot="1">
      <c r="C857" s="2285" t="s">
        <v>3050</v>
      </c>
      <c r="D857" s="2286" t="s">
        <v>2434</v>
      </c>
      <c r="E857" s="2290" t="s">
        <v>3046</v>
      </c>
      <c r="F857" s="2176"/>
      <c r="G857" s="2177"/>
      <c r="H857" s="2177"/>
      <c r="I857" s="2178">
        <f t="shared" si="1818"/>
        <v>0</v>
      </c>
      <c r="J857" s="2176"/>
      <c r="K857" s="2179">
        <f t="shared" si="1814"/>
        <v>0</v>
      </c>
      <c r="L857" s="2179">
        <f t="shared" si="1814"/>
        <v>0</v>
      </c>
      <c r="M857" s="2178">
        <f t="shared" si="1793"/>
        <v>0</v>
      </c>
      <c r="N857" s="2177"/>
      <c r="O857" s="2177"/>
      <c r="P857" s="2178">
        <f t="shared" si="1794"/>
        <v>0</v>
      </c>
      <c r="Q857" s="2176"/>
      <c r="R857" s="2177"/>
      <c r="S857" s="2180">
        <f t="shared" si="1795"/>
        <v>0</v>
      </c>
      <c r="T857" s="2181">
        <f t="shared" si="1815"/>
        <v>0</v>
      </c>
      <c r="U857" s="2179">
        <f t="shared" si="1815"/>
        <v>0</v>
      </c>
      <c r="V857" s="2178">
        <f t="shared" si="1797"/>
        <v>0</v>
      </c>
      <c r="W857" s="2176"/>
      <c r="X857" s="2177"/>
      <c r="Y857" s="2180">
        <f t="shared" si="1798"/>
        <v>0</v>
      </c>
      <c r="Z857" s="2181">
        <f t="shared" si="1816"/>
        <v>0</v>
      </c>
      <c r="AA857" s="2179">
        <f t="shared" si="1816"/>
        <v>0</v>
      </c>
      <c r="AB857" s="2178">
        <f t="shared" si="1800"/>
        <v>0</v>
      </c>
      <c r="AC857" s="2176"/>
      <c r="AD857" s="2177"/>
      <c r="AE857" s="2180">
        <f t="shared" si="1801"/>
        <v>0</v>
      </c>
      <c r="AF857" s="2185"/>
      <c r="AG857" s="2114"/>
      <c r="AH857" s="2177"/>
      <c r="AI857" s="2177"/>
      <c r="AJ857" s="2186">
        <f t="shared" si="1802"/>
        <v>0</v>
      </c>
      <c r="AK857" s="2177"/>
      <c r="AL857" s="2177"/>
      <c r="AM857" s="2186">
        <f t="shared" si="1803"/>
        <v>0</v>
      </c>
      <c r="AN857" s="2177"/>
      <c r="AO857" s="2177"/>
      <c r="AP857" s="2186">
        <f t="shared" si="1804"/>
        <v>0</v>
      </c>
      <c r="AQ857" s="2177"/>
      <c r="AR857" s="2177"/>
      <c r="AS857" s="2186">
        <f t="shared" si="1805"/>
        <v>0</v>
      </c>
      <c r="AT857" s="2177"/>
      <c r="AU857" s="2177"/>
      <c r="AV857" s="2186">
        <f t="shared" si="1806"/>
        <v>0</v>
      </c>
      <c r="AW857" s="2177"/>
      <c r="AX857" s="2177"/>
      <c r="AY857" s="2186">
        <f t="shared" si="1807"/>
        <v>0</v>
      </c>
      <c r="AZ857" s="2177"/>
      <c r="BA857" s="2177"/>
      <c r="BB857" s="2186">
        <f t="shared" si="1808"/>
        <v>0</v>
      </c>
      <c r="BC857" s="2177"/>
      <c r="BD857" s="2177"/>
      <c r="BE857" s="2186">
        <f t="shared" si="1809"/>
        <v>0</v>
      </c>
      <c r="BF857" s="2177"/>
      <c r="BG857" s="2177"/>
      <c r="BH857" s="2186">
        <f t="shared" si="1810"/>
        <v>0</v>
      </c>
      <c r="BI857" s="2177"/>
      <c r="BJ857" s="2177"/>
      <c r="BK857" s="2186">
        <f t="shared" si="1811"/>
        <v>0</v>
      </c>
      <c r="BL857" s="2177"/>
      <c r="BM857" s="2177"/>
      <c r="BN857" s="2186">
        <f t="shared" si="1812"/>
        <v>0</v>
      </c>
      <c r="BO857" s="2177"/>
      <c r="BP857" s="2177"/>
      <c r="BQ857" s="2186">
        <f t="shared" si="1813"/>
        <v>0</v>
      </c>
    </row>
    <row r="858" spans="3:69" s="2159" customFormat="1" ht="12" hidden="1" customHeight="1">
      <c r="C858" s="2147" t="s">
        <v>286</v>
      </c>
      <c r="D858" s="2148" t="s">
        <v>2133</v>
      </c>
      <c r="E858" s="2149"/>
      <c r="F858" s="2150"/>
      <c r="G858" s="2151"/>
      <c r="H858" s="2151"/>
      <c r="I858" s="2152"/>
      <c r="J858" s="2150"/>
      <c r="K858" s="2151"/>
      <c r="L858" s="2151"/>
      <c r="M858" s="2152"/>
      <c r="N858" s="2151"/>
      <c r="O858" s="2151"/>
      <c r="P858" s="2152"/>
      <c r="Q858" s="2150"/>
      <c r="R858" s="2151"/>
      <c r="S858" s="2153"/>
      <c r="T858" s="2154"/>
      <c r="U858" s="2151"/>
      <c r="V858" s="2152"/>
      <c r="W858" s="2150"/>
      <c r="X858" s="2151"/>
      <c r="Y858" s="2153"/>
      <c r="Z858" s="2154"/>
      <c r="AA858" s="2151"/>
      <c r="AB858" s="2152"/>
      <c r="AC858" s="2150"/>
      <c r="AD858" s="2151"/>
      <c r="AE858" s="2153"/>
      <c r="AF858" s="2157"/>
      <c r="AG858" s="2158"/>
      <c r="AH858" s="2151"/>
      <c r="AI858" s="2151"/>
      <c r="AJ858" s="2152"/>
      <c r="AK858" s="2151"/>
      <c r="AL858" s="2151"/>
      <c r="AM858" s="2152"/>
      <c r="AN858" s="2151"/>
      <c r="AO858" s="2151"/>
      <c r="AP858" s="2152"/>
      <c r="AQ858" s="2151"/>
      <c r="AR858" s="2151"/>
      <c r="AS858" s="2152"/>
      <c r="AT858" s="2151"/>
      <c r="AU858" s="2151"/>
      <c r="AV858" s="2152"/>
      <c r="AW858" s="2151"/>
      <c r="AX858" s="2151"/>
      <c r="AY858" s="2152"/>
      <c r="AZ858" s="2151"/>
      <c r="BA858" s="2151"/>
      <c r="BB858" s="2152"/>
      <c r="BC858" s="2151"/>
      <c r="BD858" s="2151"/>
      <c r="BE858" s="2152"/>
      <c r="BF858" s="2151"/>
      <c r="BG858" s="2151"/>
      <c r="BH858" s="2152"/>
      <c r="BI858" s="2151"/>
      <c r="BJ858" s="2151"/>
      <c r="BK858" s="2152"/>
      <c r="BL858" s="2151"/>
      <c r="BM858" s="2151"/>
      <c r="BN858" s="2152"/>
      <c r="BO858" s="2151"/>
      <c r="BP858" s="2151"/>
      <c r="BQ858" s="2152"/>
    </row>
    <row r="859" spans="3:69" s="2159" customFormat="1" ht="12" hidden="1" customHeight="1">
      <c r="C859" s="2160" t="s">
        <v>1842</v>
      </c>
      <c r="D859" s="2161" t="s">
        <v>3051</v>
      </c>
      <c r="E859" s="2120" t="s">
        <v>3052</v>
      </c>
      <c r="F859" s="2162"/>
      <c r="G859" s="2163">
        <f t="shared" ref="G859:H861" si="1819">IFERROR(G885/G829,0)</f>
        <v>0</v>
      </c>
      <c r="H859" s="2163">
        <f t="shared" si="1819"/>
        <v>0</v>
      </c>
      <c r="I859" s="2164">
        <f>H859-G859</f>
        <v>0</v>
      </c>
      <c r="J859" s="2162"/>
      <c r="K859" s="2163">
        <f t="shared" ref="K859:L861" si="1820">IFERROR(K885/K829,0)</f>
        <v>0</v>
      </c>
      <c r="L859" s="2163">
        <f t="shared" si="1820"/>
        <v>0</v>
      </c>
      <c r="M859" s="2164">
        <f>L859-K859</f>
        <v>0</v>
      </c>
      <c r="N859" s="2163">
        <f t="shared" ref="N859:O861" si="1821">IFERROR(N885/N829,0)</f>
        <v>0</v>
      </c>
      <c r="O859" s="2163">
        <f t="shared" si="1821"/>
        <v>0</v>
      </c>
      <c r="P859" s="2164">
        <f>O859-N859</f>
        <v>0</v>
      </c>
      <c r="Q859" s="2163">
        <f t="shared" ref="Q859:R861" si="1822">IFERROR(Q885/Q829,0)</f>
        <v>0</v>
      </c>
      <c r="R859" s="2163">
        <f t="shared" si="1822"/>
        <v>0</v>
      </c>
      <c r="S859" s="2164">
        <f>R859-Q859</f>
        <v>0</v>
      </c>
      <c r="T859" s="2163">
        <f t="shared" ref="T859:U861" si="1823">IFERROR(T885/T829,0)</f>
        <v>0</v>
      </c>
      <c r="U859" s="2163">
        <f t="shared" si="1823"/>
        <v>0</v>
      </c>
      <c r="V859" s="2164">
        <f>U859-T859</f>
        <v>0</v>
      </c>
      <c r="W859" s="2163">
        <f t="shared" ref="W859:X861" si="1824">IFERROR(W885/W829,0)</f>
        <v>0</v>
      </c>
      <c r="X859" s="2163">
        <f t="shared" si="1824"/>
        <v>0</v>
      </c>
      <c r="Y859" s="2164">
        <f>X859-W859</f>
        <v>0</v>
      </c>
      <c r="Z859" s="2163">
        <f t="shared" ref="Z859:AA861" si="1825">IFERROR(Z885/Z829,0)</f>
        <v>0</v>
      </c>
      <c r="AA859" s="2163">
        <f t="shared" si="1825"/>
        <v>0</v>
      </c>
      <c r="AB859" s="2164">
        <f>AA859-Z859</f>
        <v>0</v>
      </c>
      <c r="AC859" s="2163">
        <f t="shared" ref="AC859:AD861" si="1826">IFERROR(AC885/AC829,0)</f>
        <v>0</v>
      </c>
      <c r="AD859" s="2163">
        <f t="shared" si="1826"/>
        <v>0</v>
      </c>
      <c r="AE859" s="2164">
        <f>AD859-AC859</f>
        <v>0</v>
      </c>
      <c r="AF859" s="2204"/>
      <c r="AG859" s="2158"/>
      <c r="AH859" s="2171">
        <f t="shared" ref="AH859:AI861" si="1827">IFERROR(AH885/AH829,0)</f>
        <v>0</v>
      </c>
      <c r="AI859" s="2171">
        <f t="shared" si="1827"/>
        <v>0</v>
      </c>
      <c r="AJ859" s="2172">
        <f>AI859-AH859</f>
        <v>0</v>
      </c>
      <c r="AK859" s="2171">
        <f t="shared" ref="AK859:AL861" si="1828">IFERROR(AK885/AK829,0)</f>
        <v>0</v>
      </c>
      <c r="AL859" s="2171">
        <f t="shared" si="1828"/>
        <v>0</v>
      </c>
      <c r="AM859" s="2172">
        <f>AL859-AK859</f>
        <v>0</v>
      </c>
      <c r="AN859" s="2171">
        <f t="shared" ref="AN859:AO861" si="1829">IFERROR(AN885/AN829,0)</f>
        <v>0</v>
      </c>
      <c r="AO859" s="2171">
        <f t="shared" si="1829"/>
        <v>0</v>
      </c>
      <c r="AP859" s="2172">
        <f>AO859-AN859</f>
        <v>0</v>
      </c>
      <c r="AQ859" s="2171">
        <f t="shared" ref="AQ859:AR861" si="1830">IFERROR(AQ885/AQ829,0)</f>
        <v>0</v>
      </c>
      <c r="AR859" s="2171">
        <f t="shared" si="1830"/>
        <v>0</v>
      </c>
      <c r="AS859" s="2172">
        <f>AR859-AQ859</f>
        <v>0</v>
      </c>
      <c r="AT859" s="2171">
        <f t="shared" ref="AT859:AU861" si="1831">IFERROR(AT885/AT829,0)</f>
        <v>0</v>
      </c>
      <c r="AU859" s="2171">
        <f t="shared" si="1831"/>
        <v>0</v>
      </c>
      <c r="AV859" s="2172">
        <f>AU859-AT859</f>
        <v>0</v>
      </c>
      <c r="AW859" s="2171">
        <f t="shared" ref="AW859:AX861" si="1832">IFERROR(AW885/AW829,0)</f>
        <v>0</v>
      </c>
      <c r="AX859" s="2171">
        <f t="shared" si="1832"/>
        <v>0</v>
      </c>
      <c r="AY859" s="2172">
        <f>AX859-AW859</f>
        <v>0</v>
      </c>
      <c r="AZ859" s="2171">
        <f t="shared" ref="AZ859:BA861" si="1833">IFERROR(AZ885/AZ829,0)</f>
        <v>0</v>
      </c>
      <c r="BA859" s="2171">
        <f t="shared" si="1833"/>
        <v>0</v>
      </c>
      <c r="BB859" s="2172">
        <f>BA859-AZ859</f>
        <v>0</v>
      </c>
      <c r="BC859" s="2171">
        <f t="shared" ref="BC859:BD861" si="1834">IFERROR(BC885/BC829,0)</f>
        <v>0</v>
      </c>
      <c r="BD859" s="2171">
        <f t="shared" si="1834"/>
        <v>0</v>
      </c>
      <c r="BE859" s="2172">
        <f>BD859-BC859</f>
        <v>0</v>
      </c>
      <c r="BF859" s="2171">
        <f t="shared" ref="BF859:BG861" si="1835">IFERROR(BF885/BF829,0)</f>
        <v>0</v>
      </c>
      <c r="BG859" s="2171">
        <f t="shared" si="1835"/>
        <v>0</v>
      </c>
      <c r="BH859" s="2172">
        <f>BG859-BF859</f>
        <v>0</v>
      </c>
      <c r="BI859" s="2171">
        <f t="shared" ref="BI859:BJ861" si="1836">IFERROR(BI885/BI829,0)</f>
        <v>0</v>
      </c>
      <c r="BJ859" s="2171">
        <f t="shared" si="1836"/>
        <v>0</v>
      </c>
      <c r="BK859" s="2172">
        <f>BJ859-BI859</f>
        <v>0</v>
      </c>
      <c r="BL859" s="2171">
        <f t="shared" ref="BL859:BM861" si="1837">IFERROR(BL885/BL829,0)</f>
        <v>0</v>
      </c>
      <c r="BM859" s="2171">
        <f t="shared" si="1837"/>
        <v>0</v>
      </c>
      <c r="BN859" s="2172">
        <f>BM859-BL859</f>
        <v>0</v>
      </c>
      <c r="BO859" s="2171">
        <f t="shared" ref="BO859:BP861" si="1838">IFERROR(BO885/BO829,0)</f>
        <v>0</v>
      </c>
      <c r="BP859" s="2171">
        <f t="shared" si="1838"/>
        <v>0</v>
      </c>
      <c r="BQ859" s="2172">
        <f>BP859-BO859</f>
        <v>0</v>
      </c>
    </row>
    <row r="860" spans="3:69" s="2087" customFormat="1" ht="12" hidden="1" customHeight="1">
      <c r="C860" s="2424" t="s">
        <v>3053</v>
      </c>
      <c r="D860" s="2383" t="s">
        <v>28</v>
      </c>
      <c r="E860" s="2214" t="s">
        <v>3052</v>
      </c>
      <c r="F860" s="2176"/>
      <c r="G860" s="2179">
        <f t="shared" si="1819"/>
        <v>0</v>
      </c>
      <c r="H860" s="2179">
        <f t="shared" si="1819"/>
        <v>0</v>
      </c>
      <c r="I860" s="2178">
        <f t="shared" ref="I860:I883" si="1839">H860-G860</f>
        <v>0</v>
      </c>
      <c r="J860" s="2176"/>
      <c r="K860" s="2179">
        <f t="shared" si="1820"/>
        <v>0</v>
      </c>
      <c r="L860" s="2179">
        <f t="shared" si="1820"/>
        <v>0</v>
      </c>
      <c r="M860" s="2178">
        <f t="shared" ref="M860:M883" si="1840">L860-K860</f>
        <v>0</v>
      </c>
      <c r="N860" s="2179">
        <f t="shared" si="1821"/>
        <v>0</v>
      </c>
      <c r="O860" s="2179">
        <f t="shared" si="1821"/>
        <v>0</v>
      </c>
      <c r="P860" s="2178">
        <f t="shared" ref="P860:P883" si="1841">O860-N860</f>
        <v>0</v>
      </c>
      <c r="Q860" s="2179">
        <f t="shared" si="1822"/>
        <v>0</v>
      </c>
      <c r="R860" s="2179">
        <f t="shared" si="1822"/>
        <v>0</v>
      </c>
      <c r="S860" s="2178">
        <f t="shared" ref="S860:S883" si="1842">R860-Q860</f>
        <v>0</v>
      </c>
      <c r="T860" s="2179">
        <f t="shared" si="1823"/>
        <v>0</v>
      </c>
      <c r="U860" s="2179">
        <f t="shared" si="1823"/>
        <v>0</v>
      </c>
      <c r="V860" s="2178">
        <f t="shared" ref="V860:V883" si="1843">U860-T860</f>
        <v>0</v>
      </c>
      <c r="W860" s="2179">
        <f t="shared" si="1824"/>
        <v>0</v>
      </c>
      <c r="X860" s="2179">
        <f t="shared" si="1824"/>
        <v>0</v>
      </c>
      <c r="Y860" s="2178">
        <f t="shared" ref="Y860:Y883" si="1844">X860-W860</f>
        <v>0</v>
      </c>
      <c r="Z860" s="2179">
        <f t="shared" si="1825"/>
        <v>0</v>
      </c>
      <c r="AA860" s="2179">
        <f t="shared" si="1825"/>
        <v>0</v>
      </c>
      <c r="AB860" s="2178">
        <f t="shared" ref="AB860:AB883" si="1845">AA860-Z860</f>
        <v>0</v>
      </c>
      <c r="AC860" s="2179">
        <f t="shared" si="1826"/>
        <v>0</v>
      </c>
      <c r="AD860" s="2179">
        <f t="shared" si="1826"/>
        <v>0</v>
      </c>
      <c r="AE860" s="2178">
        <f t="shared" ref="AE860:AE883" si="1846">AD860-AC860</f>
        <v>0</v>
      </c>
      <c r="AF860" s="2204"/>
      <c r="AG860" s="2114"/>
      <c r="AH860" s="2188">
        <f t="shared" si="1827"/>
        <v>0</v>
      </c>
      <c r="AI860" s="2188">
        <f t="shared" si="1827"/>
        <v>0</v>
      </c>
      <c r="AJ860" s="2186">
        <f t="shared" ref="AJ860:AJ883" si="1847">AI860-AH860</f>
        <v>0</v>
      </c>
      <c r="AK860" s="2188">
        <f t="shared" si="1828"/>
        <v>0</v>
      </c>
      <c r="AL860" s="2188">
        <f t="shared" si="1828"/>
        <v>0</v>
      </c>
      <c r="AM860" s="2186">
        <f t="shared" ref="AM860:AM883" si="1848">AL860-AK860</f>
        <v>0</v>
      </c>
      <c r="AN860" s="2188">
        <f t="shared" si="1829"/>
        <v>0</v>
      </c>
      <c r="AO860" s="2188">
        <f t="shared" si="1829"/>
        <v>0</v>
      </c>
      <c r="AP860" s="2186">
        <f t="shared" ref="AP860:AP883" si="1849">AO860-AN860</f>
        <v>0</v>
      </c>
      <c r="AQ860" s="2188">
        <f t="shared" si="1830"/>
        <v>0</v>
      </c>
      <c r="AR860" s="2188">
        <f t="shared" si="1830"/>
        <v>0</v>
      </c>
      <c r="AS860" s="2186">
        <f t="shared" ref="AS860:AS883" si="1850">AR860-AQ860</f>
        <v>0</v>
      </c>
      <c r="AT860" s="2188">
        <f t="shared" si="1831"/>
        <v>0</v>
      </c>
      <c r="AU860" s="2188">
        <f t="shared" si="1831"/>
        <v>0</v>
      </c>
      <c r="AV860" s="2186">
        <f t="shared" ref="AV860:AV883" si="1851">AU860-AT860</f>
        <v>0</v>
      </c>
      <c r="AW860" s="2188">
        <f t="shared" si="1832"/>
        <v>0</v>
      </c>
      <c r="AX860" s="2188">
        <f t="shared" si="1832"/>
        <v>0</v>
      </c>
      <c r="AY860" s="2186">
        <f t="shared" ref="AY860:AY883" si="1852">AX860-AW860</f>
        <v>0</v>
      </c>
      <c r="AZ860" s="2188">
        <f t="shared" si="1833"/>
        <v>0</v>
      </c>
      <c r="BA860" s="2188">
        <f t="shared" si="1833"/>
        <v>0</v>
      </c>
      <c r="BB860" s="2186">
        <f t="shared" ref="BB860:BB883" si="1853">BA860-AZ860</f>
        <v>0</v>
      </c>
      <c r="BC860" s="2188">
        <f t="shared" si="1834"/>
        <v>0</v>
      </c>
      <c r="BD860" s="2188">
        <f t="shared" si="1834"/>
        <v>0</v>
      </c>
      <c r="BE860" s="2186">
        <f t="shared" ref="BE860:BE883" si="1854">BD860-BC860</f>
        <v>0</v>
      </c>
      <c r="BF860" s="2188">
        <f t="shared" si="1835"/>
        <v>0</v>
      </c>
      <c r="BG860" s="2188">
        <f t="shared" si="1835"/>
        <v>0</v>
      </c>
      <c r="BH860" s="2186">
        <f t="shared" ref="BH860:BH883" si="1855">BG860-BF860</f>
        <v>0</v>
      </c>
      <c r="BI860" s="2188">
        <f t="shared" si="1836"/>
        <v>0</v>
      </c>
      <c r="BJ860" s="2188">
        <f t="shared" si="1836"/>
        <v>0</v>
      </c>
      <c r="BK860" s="2186">
        <f t="shared" ref="BK860:BK883" si="1856">BJ860-BI860</f>
        <v>0</v>
      </c>
      <c r="BL860" s="2188">
        <f t="shared" si="1837"/>
        <v>0</v>
      </c>
      <c r="BM860" s="2188">
        <f t="shared" si="1837"/>
        <v>0</v>
      </c>
      <c r="BN860" s="2186">
        <f t="shared" ref="BN860:BN883" si="1857">BM860-BL860</f>
        <v>0</v>
      </c>
      <c r="BO860" s="2188">
        <f t="shared" si="1838"/>
        <v>0</v>
      </c>
      <c r="BP860" s="2188">
        <f t="shared" si="1838"/>
        <v>0</v>
      </c>
      <c r="BQ860" s="2186">
        <f t="shared" ref="BQ860:BQ883" si="1858">BP860-BO860</f>
        <v>0</v>
      </c>
    </row>
    <row r="861" spans="3:69" s="2087" customFormat="1" ht="12" hidden="1" customHeight="1">
      <c r="C861" s="2423" t="s">
        <v>3054</v>
      </c>
      <c r="D861" s="2421" t="s">
        <v>2434</v>
      </c>
      <c r="E861" s="2335" t="s">
        <v>3052</v>
      </c>
      <c r="F861" s="2176"/>
      <c r="G861" s="2179">
        <f t="shared" si="1819"/>
        <v>0</v>
      </c>
      <c r="H861" s="2179">
        <f t="shared" si="1819"/>
        <v>0</v>
      </c>
      <c r="I861" s="2178">
        <f t="shared" si="1839"/>
        <v>0</v>
      </c>
      <c r="J861" s="2176"/>
      <c r="K861" s="2179">
        <f t="shared" si="1820"/>
        <v>0</v>
      </c>
      <c r="L861" s="2179">
        <f t="shared" si="1820"/>
        <v>0</v>
      </c>
      <c r="M861" s="2178">
        <f t="shared" si="1840"/>
        <v>0</v>
      </c>
      <c r="N861" s="2179">
        <f t="shared" si="1821"/>
        <v>0</v>
      </c>
      <c r="O861" s="2179">
        <f t="shared" si="1821"/>
        <v>0</v>
      </c>
      <c r="P861" s="2178">
        <f t="shared" si="1841"/>
        <v>0</v>
      </c>
      <c r="Q861" s="2179">
        <f t="shared" si="1822"/>
        <v>0</v>
      </c>
      <c r="R861" s="2179">
        <f t="shared" si="1822"/>
        <v>0</v>
      </c>
      <c r="S861" s="2178">
        <f t="shared" si="1842"/>
        <v>0</v>
      </c>
      <c r="T861" s="2179">
        <f t="shared" si="1823"/>
        <v>0</v>
      </c>
      <c r="U861" s="2179">
        <f t="shared" si="1823"/>
        <v>0</v>
      </c>
      <c r="V861" s="2178">
        <f t="shared" si="1843"/>
        <v>0</v>
      </c>
      <c r="W861" s="2179">
        <f t="shared" si="1824"/>
        <v>0</v>
      </c>
      <c r="X861" s="2179">
        <f t="shared" si="1824"/>
        <v>0</v>
      </c>
      <c r="Y861" s="2178">
        <f t="shared" si="1844"/>
        <v>0</v>
      </c>
      <c r="Z861" s="2179">
        <f t="shared" si="1825"/>
        <v>0</v>
      </c>
      <c r="AA861" s="2179">
        <f t="shared" si="1825"/>
        <v>0</v>
      </c>
      <c r="AB861" s="2178">
        <f t="shared" si="1845"/>
        <v>0</v>
      </c>
      <c r="AC861" s="2179">
        <f t="shared" si="1826"/>
        <v>0</v>
      </c>
      <c r="AD861" s="2179">
        <f t="shared" si="1826"/>
        <v>0</v>
      </c>
      <c r="AE861" s="2178">
        <f t="shared" si="1846"/>
        <v>0</v>
      </c>
      <c r="AF861" s="2204"/>
      <c r="AG861" s="2114"/>
      <c r="AH861" s="2188">
        <f t="shared" si="1827"/>
        <v>0</v>
      </c>
      <c r="AI861" s="2188">
        <f t="shared" si="1827"/>
        <v>0</v>
      </c>
      <c r="AJ861" s="2186">
        <f t="shared" si="1847"/>
        <v>0</v>
      </c>
      <c r="AK861" s="2188">
        <f t="shared" si="1828"/>
        <v>0</v>
      </c>
      <c r="AL861" s="2188">
        <f t="shared" si="1828"/>
        <v>0</v>
      </c>
      <c r="AM861" s="2186">
        <f t="shared" si="1848"/>
        <v>0</v>
      </c>
      <c r="AN861" s="2188">
        <f t="shared" si="1829"/>
        <v>0</v>
      </c>
      <c r="AO861" s="2188">
        <f t="shared" si="1829"/>
        <v>0</v>
      </c>
      <c r="AP861" s="2186">
        <f t="shared" si="1849"/>
        <v>0</v>
      </c>
      <c r="AQ861" s="2188">
        <f t="shared" si="1830"/>
        <v>0</v>
      </c>
      <c r="AR861" s="2188">
        <f t="shared" si="1830"/>
        <v>0</v>
      </c>
      <c r="AS861" s="2186">
        <f t="shared" si="1850"/>
        <v>0</v>
      </c>
      <c r="AT861" s="2188">
        <f t="shared" si="1831"/>
        <v>0</v>
      </c>
      <c r="AU861" s="2188">
        <f t="shared" si="1831"/>
        <v>0</v>
      </c>
      <c r="AV861" s="2186">
        <f t="shared" si="1851"/>
        <v>0</v>
      </c>
      <c r="AW861" s="2188">
        <f t="shared" si="1832"/>
        <v>0</v>
      </c>
      <c r="AX861" s="2188">
        <f t="shared" si="1832"/>
        <v>0</v>
      </c>
      <c r="AY861" s="2186">
        <f t="shared" si="1852"/>
        <v>0</v>
      </c>
      <c r="AZ861" s="2188">
        <f t="shared" si="1833"/>
        <v>0</v>
      </c>
      <c r="BA861" s="2188">
        <f t="shared" si="1833"/>
        <v>0</v>
      </c>
      <c r="BB861" s="2186">
        <f t="shared" si="1853"/>
        <v>0</v>
      </c>
      <c r="BC861" s="2188">
        <f t="shared" si="1834"/>
        <v>0</v>
      </c>
      <c r="BD861" s="2188">
        <f t="shared" si="1834"/>
        <v>0</v>
      </c>
      <c r="BE861" s="2186">
        <f t="shared" si="1854"/>
        <v>0</v>
      </c>
      <c r="BF861" s="2188">
        <f t="shared" si="1835"/>
        <v>0</v>
      </c>
      <c r="BG861" s="2188">
        <f t="shared" si="1835"/>
        <v>0</v>
      </c>
      <c r="BH861" s="2186">
        <f t="shared" si="1855"/>
        <v>0</v>
      </c>
      <c r="BI861" s="2188">
        <f t="shared" si="1836"/>
        <v>0</v>
      </c>
      <c r="BJ861" s="2188">
        <f t="shared" si="1836"/>
        <v>0</v>
      </c>
      <c r="BK861" s="2186">
        <f t="shared" si="1856"/>
        <v>0</v>
      </c>
      <c r="BL861" s="2188">
        <f t="shared" si="1837"/>
        <v>0</v>
      </c>
      <c r="BM861" s="2188">
        <f t="shared" si="1837"/>
        <v>0</v>
      </c>
      <c r="BN861" s="2186">
        <f t="shared" si="1857"/>
        <v>0</v>
      </c>
      <c r="BO861" s="2188">
        <f t="shared" si="1838"/>
        <v>0</v>
      </c>
      <c r="BP861" s="2188">
        <f t="shared" si="1838"/>
        <v>0</v>
      </c>
      <c r="BQ861" s="2186">
        <f t="shared" si="1858"/>
        <v>0</v>
      </c>
    </row>
    <row r="862" spans="3:69" s="2087" customFormat="1" ht="12" hidden="1" customHeight="1">
      <c r="C862" s="2424" t="s">
        <v>3055</v>
      </c>
      <c r="D862" s="2383" t="s">
        <v>42</v>
      </c>
      <c r="E862" s="2214" t="s">
        <v>3052</v>
      </c>
      <c r="F862" s="2176"/>
      <c r="G862" s="2179">
        <f>IFERROR((G890+G888)/(G834+G832),0)</f>
        <v>0</v>
      </c>
      <c r="H862" s="2179">
        <f>IFERROR((H890+H888)/(H834+H832),0)</f>
        <v>0</v>
      </c>
      <c r="I862" s="2178">
        <f t="shared" si="1839"/>
        <v>0</v>
      </c>
      <c r="J862" s="2176"/>
      <c r="K862" s="2179">
        <f>IFERROR((K890+K888)/(K834+K832),0)</f>
        <v>0</v>
      </c>
      <c r="L862" s="2179">
        <f>IFERROR((L890+L888)/(L834+L832),0)</f>
        <v>0</v>
      </c>
      <c r="M862" s="2178">
        <f t="shared" si="1840"/>
        <v>0</v>
      </c>
      <c r="N862" s="2179">
        <f>IFERROR((N890+N888)/(N834+N832),0)</f>
        <v>0</v>
      </c>
      <c r="O862" s="2179">
        <f>IFERROR((O890+O888)/(O834+O832),0)</f>
        <v>0</v>
      </c>
      <c r="P862" s="2178">
        <f t="shared" si="1841"/>
        <v>0</v>
      </c>
      <c r="Q862" s="2179">
        <f>IFERROR((Q890+Q888)/(Q834+Q832),0)</f>
        <v>0</v>
      </c>
      <c r="R862" s="2179">
        <f>IFERROR((R890+R888)/(R834+R832),0)</f>
        <v>0</v>
      </c>
      <c r="S862" s="2178">
        <f t="shared" si="1842"/>
        <v>0</v>
      </c>
      <c r="T862" s="2179">
        <f>IFERROR((T890+T888)/(T834+T832),0)</f>
        <v>0</v>
      </c>
      <c r="U862" s="2179">
        <f>IFERROR((U890+U888)/(U834+U832),0)</f>
        <v>0</v>
      </c>
      <c r="V862" s="2178">
        <f t="shared" si="1843"/>
        <v>0</v>
      </c>
      <c r="W862" s="2179">
        <f>IFERROR((W890+W888)/(W834+W832),0)</f>
        <v>0</v>
      </c>
      <c r="X862" s="2179">
        <f>IFERROR((X890+X888)/(X834+X832),0)</f>
        <v>0</v>
      </c>
      <c r="Y862" s="2178">
        <f t="shared" si="1844"/>
        <v>0</v>
      </c>
      <c r="Z862" s="2179">
        <f>IFERROR((Z890+Z888)/(Z834+Z832),0)</f>
        <v>0</v>
      </c>
      <c r="AA862" s="2179">
        <f>IFERROR((AA890+AA888)/(AA834+AA832),0)</f>
        <v>0</v>
      </c>
      <c r="AB862" s="2178">
        <f t="shared" si="1845"/>
        <v>0</v>
      </c>
      <c r="AC862" s="2179">
        <f>IFERROR((AC890+AC888)/(AC834+AC832),0)</f>
        <v>0</v>
      </c>
      <c r="AD862" s="2179">
        <f>IFERROR((AD890+AD888)/(AD834+AD832),0)</f>
        <v>0</v>
      </c>
      <c r="AE862" s="2178">
        <f t="shared" si="1846"/>
        <v>0</v>
      </c>
      <c r="AF862" s="2204"/>
      <c r="AG862" s="2114"/>
      <c r="AH862" s="2188">
        <f>IFERROR((AH890+AH888)/(AH834+AH832),0)</f>
        <v>0</v>
      </c>
      <c r="AI862" s="2188">
        <f>IFERROR((AI890+AI888)/(AI834+AI832),0)</f>
        <v>0</v>
      </c>
      <c r="AJ862" s="2186">
        <f t="shared" si="1847"/>
        <v>0</v>
      </c>
      <c r="AK862" s="2188">
        <f>IFERROR((AK890+AK888)/(AK834+AK832),0)</f>
        <v>0</v>
      </c>
      <c r="AL862" s="2188">
        <f>IFERROR((AL890+AL888)/(AL834+AL832),0)</f>
        <v>0</v>
      </c>
      <c r="AM862" s="2186">
        <f t="shared" si="1848"/>
        <v>0</v>
      </c>
      <c r="AN862" s="2188">
        <f>IFERROR((AN890+AN888)/(AN834+AN832),0)</f>
        <v>0</v>
      </c>
      <c r="AO862" s="2188">
        <f>IFERROR((AO890+AO888)/(AO834+AO832),0)</f>
        <v>0</v>
      </c>
      <c r="AP862" s="2186">
        <f t="shared" si="1849"/>
        <v>0</v>
      </c>
      <c r="AQ862" s="2188">
        <f>IFERROR((AQ890+AQ888)/(AQ834+AQ832),0)</f>
        <v>0</v>
      </c>
      <c r="AR862" s="2188">
        <f>IFERROR((AR890+AR888)/(AR834+AR832),0)</f>
        <v>0</v>
      </c>
      <c r="AS862" s="2186">
        <f t="shared" si="1850"/>
        <v>0</v>
      </c>
      <c r="AT862" s="2188">
        <f>IFERROR((AT890+AT888)/(AT834+AT832),0)</f>
        <v>0</v>
      </c>
      <c r="AU862" s="2188">
        <f>IFERROR((AU890+AU888)/(AU834+AU832),0)</f>
        <v>0</v>
      </c>
      <c r="AV862" s="2186">
        <f t="shared" si="1851"/>
        <v>0</v>
      </c>
      <c r="AW862" s="2188">
        <f>IFERROR((AW890+AW888)/(AW834+AW832),0)</f>
        <v>0</v>
      </c>
      <c r="AX862" s="2188">
        <f>IFERROR((AX890+AX888)/(AX834+AX832),0)</f>
        <v>0</v>
      </c>
      <c r="AY862" s="2186">
        <f t="shared" si="1852"/>
        <v>0</v>
      </c>
      <c r="AZ862" s="2188">
        <f>IFERROR((AZ890+AZ888)/(AZ834+AZ832),0)</f>
        <v>0</v>
      </c>
      <c r="BA862" s="2188">
        <f>IFERROR((BA890+BA888)/(BA834+BA832),0)</f>
        <v>0</v>
      </c>
      <c r="BB862" s="2186">
        <f t="shared" si="1853"/>
        <v>0</v>
      </c>
      <c r="BC862" s="2188">
        <f>IFERROR((BC890+BC888)/(BC834+BC832),0)</f>
        <v>0</v>
      </c>
      <c r="BD862" s="2188">
        <f>IFERROR((BD890+BD888)/(BD834+BD832),0)</f>
        <v>0</v>
      </c>
      <c r="BE862" s="2186">
        <f t="shared" si="1854"/>
        <v>0</v>
      </c>
      <c r="BF862" s="2188">
        <f>IFERROR((BF890+BF888)/(BF834+BF832),0)</f>
        <v>0</v>
      </c>
      <c r="BG862" s="2188">
        <f>IFERROR((BG890+BG888)/(BG834+BG832),0)</f>
        <v>0</v>
      </c>
      <c r="BH862" s="2186">
        <f t="shared" si="1855"/>
        <v>0</v>
      </c>
      <c r="BI862" s="2188">
        <f>IFERROR((BI890+BI888)/(BI834+BI832),0)</f>
        <v>0</v>
      </c>
      <c r="BJ862" s="2188">
        <f>IFERROR((BJ890+BJ888)/(BJ834+BJ832),0)</f>
        <v>0</v>
      </c>
      <c r="BK862" s="2186">
        <f t="shared" si="1856"/>
        <v>0</v>
      </c>
      <c r="BL862" s="2188">
        <f>IFERROR((BL890+BL888)/(BL834+BL832),0)</f>
        <v>0</v>
      </c>
      <c r="BM862" s="2188">
        <f>IFERROR((BM890+BM888)/(BM834+BM832),0)</f>
        <v>0</v>
      </c>
      <c r="BN862" s="2186">
        <f t="shared" si="1857"/>
        <v>0</v>
      </c>
      <c r="BO862" s="2188">
        <f>IFERROR((BO890+BO888)/(BO834+BO832),0)</f>
        <v>0</v>
      </c>
      <c r="BP862" s="2188">
        <f>IFERROR((BP890+BP888)/(BP834+BP832),0)</f>
        <v>0</v>
      </c>
      <c r="BQ862" s="2186">
        <f t="shared" si="1858"/>
        <v>0</v>
      </c>
    </row>
    <row r="863" spans="3:69" s="2087" customFormat="1" ht="12" hidden="1" customHeight="1">
      <c r="C863" s="2423" t="s">
        <v>3056</v>
      </c>
      <c r="D863" s="2421" t="s">
        <v>2434</v>
      </c>
      <c r="E863" s="2335" t="s">
        <v>3052</v>
      </c>
      <c r="F863" s="2176"/>
      <c r="G863" s="2179">
        <f>IFERROR((G891+G889)/(G835+G833),0)</f>
        <v>0</v>
      </c>
      <c r="H863" s="2179">
        <f>IFERROR((H891+H889)/(H835+H833),0)</f>
        <v>0</v>
      </c>
      <c r="I863" s="2178">
        <f t="shared" si="1839"/>
        <v>0</v>
      </c>
      <c r="J863" s="2176"/>
      <c r="K863" s="2179">
        <f>IFERROR((K891+K889)/(K835+K833),0)</f>
        <v>0</v>
      </c>
      <c r="L863" s="2179">
        <f>IFERROR((L891+L889)/(L835+L833),0)</f>
        <v>0</v>
      </c>
      <c r="M863" s="2178">
        <f t="shared" si="1840"/>
        <v>0</v>
      </c>
      <c r="N863" s="2179">
        <f>IFERROR((N891+N889)/(N835+N833),0)</f>
        <v>0</v>
      </c>
      <c r="O863" s="2179">
        <f>IFERROR((O891+O889)/(O835+O833),0)</f>
        <v>0</v>
      </c>
      <c r="P863" s="2178">
        <f t="shared" si="1841"/>
        <v>0</v>
      </c>
      <c r="Q863" s="2179">
        <f>IFERROR((Q891+Q889)/(Q835+Q833),0)</f>
        <v>0</v>
      </c>
      <c r="R863" s="2179">
        <f>IFERROR((R891+R889)/(R835+R833),0)</f>
        <v>0</v>
      </c>
      <c r="S863" s="2178">
        <f t="shared" si="1842"/>
        <v>0</v>
      </c>
      <c r="T863" s="2179">
        <f>IFERROR((T891+T889)/(T835+T833),0)</f>
        <v>0</v>
      </c>
      <c r="U863" s="2179">
        <f>IFERROR((U891+U889)/(U835+U833),0)</f>
        <v>0</v>
      </c>
      <c r="V863" s="2178">
        <f t="shared" si="1843"/>
        <v>0</v>
      </c>
      <c r="W863" s="2179">
        <f>IFERROR((W891+W889)/(W835+W833),0)</f>
        <v>0</v>
      </c>
      <c r="X863" s="2179">
        <f>IFERROR((X891+X889)/(X835+X833),0)</f>
        <v>0</v>
      </c>
      <c r="Y863" s="2178">
        <f t="shared" si="1844"/>
        <v>0</v>
      </c>
      <c r="Z863" s="2179">
        <f>IFERROR((Z891+Z889)/(Z835+Z833),0)</f>
        <v>0</v>
      </c>
      <c r="AA863" s="2179">
        <f>IFERROR((AA891+AA889)/(AA835+AA833),0)</f>
        <v>0</v>
      </c>
      <c r="AB863" s="2178">
        <f t="shared" si="1845"/>
        <v>0</v>
      </c>
      <c r="AC863" s="2179">
        <f>IFERROR((AC891+AC889)/(AC835+AC833),0)</f>
        <v>0</v>
      </c>
      <c r="AD863" s="2179">
        <f>IFERROR((AD891+AD889)/(AD835+AD833),0)</f>
        <v>0</v>
      </c>
      <c r="AE863" s="2178">
        <f t="shared" si="1846"/>
        <v>0</v>
      </c>
      <c r="AF863" s="2204"/>
      <c r="AG863" s="2114"/>
      <c r="AH863" s="2188">
        <f>IFERROR((AH891+AH889)/(AH835+AH833),0)</f>
        <v>0</v>
      </c>
      <c r="AI863" s="2188">
        <f>IFERROR((AI891+AI889)/(AI835+AI833),0)</f>
        <v>0</v>
      </c>
      <c r="AJ863" s="2186">
        <f t="shared" si="1847"/>
        <v>0</v>
      </c>
      <c r="AK863" s="2188">
        <f>IFERROR((AK891+AK889)/(AK835+AK833),0)</f>
        <v>0</v>
      </c>
      <c r="AL863" s="2188">
        <f>IFERROR((AL891+AL889)/(AL835+AL833),0)</f>
        <v>0</v>
      </c>
      <c r="AM863" s="2186">
        <f t="shared" si="1848"/>
        <v>0</v>
      </c>
      <c r="AN863" s="2188">
        <f>IFERROR((AN891+AN889)/(AN835+AN833),0)</f>
        <v>0</v>
      </c>
      <c r="AO863" s="2188">
        <f>IFERROR((AO891+AO889)/(AO835+AO833),0)</f>
        <v>0</v>
      </c>
      <c r="AP863" s="2186">
        <f t="shared" si="1849"/>
        <v>0</v>
      </c>
      <c r="AQ863" s="2188">
        <f>IFERROR((AQ891+AQ889)/(AQ835+AQ833),0)</f>
        <v>0</v>
      </c>
      <c r="AR863" s="2188">
        <f>IFERROR((AR891+AR889)/(AR835+AR833),0)</f>
        <v>0</v>
      </c>
      <c r="AS863" s="2186">
        <f t="shared" si="1850"/>
        <v>0</v>
      </c>
      <c r="AT863" s="2188">
        <f>IFERROR((AT891+AT889)/(AT835+AT833),0)</f>
        <v>0</v>
      </c>
      <c r="AU863" s="2188">
        <f>IFERROR((AU891+AU889)/(AU835+AU833),0)</f>
        <v>0</v>
      </c>
      <c r="AV863" s="2186">
        <f t="shared" si="1851"/>
        <v>0</v>
      </c>
      <c r="AW863" s="2188">
        <f>IFERROR((AW891+AW889)/(AW835+AW833),0)</f>
        <v>0</v>
      </c>
      <c r="AX863" s="2188">
        <f>IFERROR((AX891+AX889)/(AX835+AX833),0)</f>
        <v>0</v>
      </c>
      <c r="AY863" s="2186">
        <f t="shared" si="1852"/>
        <v>0</v>
      </c>
      <c r="AZ863" s="2188">
        <f>IFERROR((AZ891+AZ889)/(AZ835+AZ833),0)</f>
        <v>0</v>
      </c>
      <c r="BA863" s="2188">
        <f>IFERROR((BA891+BA889)/(BA835+BA833),0)</f>
        <v>0</v>
      </c>
      <c r="BB863" s="2186">
        <f t="shared" si="1853"/>
        <v>0</v>
      </c>
      <c r="BC863" s="2188">
        <f>IFERROR((BC891+BC889)/(BC835+BC833),0)</f>
        <v>0</v>
      </c>
      <c r="BD863" s="2188">
        <f>IFERROR((BD891+BD889)/(BD835+BD833),0)</f>
        <v>0</v>
      </c>
      <c r="BE863" s="2186">
        <f t="shared" si="1854"/>
        <v>0</v>
      </c>
      <c r="BF863" s="2188">
        <f>IFERROR((BF891+BF889)/(BF835+BF833),0)</f>
        <v>0</v>
      </c>
      <c r="BG863" s="2188">
        <f>IFERROR((BG891+BG889)/(BG835+BG833),0)</f>
        <v>0</v>
      </c>
      <c r="BH863" s="2186">
        <f t="shared" si="1855"/>
        <v>0</v>
      </c>
      <c r="BI863" s="2188">
        <f>IFERROR((BI891+BI889)/(BI835+BI833),0)</f>
        <v>0</v>
      </c>
      <c r="BJ863" s="2188">
        <f>IFERROR((BJ891+BJ889)/(BJ835+BJ833),0)</f>
        <v>0</v>
      </c>
      <c r="BK863" s="2186">
        <f t="shared" si="1856"/>
        <v>0</v>
      </c>
      <c r="BL863" s="2188">
        <f>IFERROR((BL891+BL889)/(BL835+BL833),0)</f>
        <v>0</v>
      </c>
      <c r="BM863" s="2188">
        <f>IFERROR((BM891+BM889)/(BM835+BM833),0)</f>
        <v>0</v>
      </c>
      <c r="BN863" s="2186">
        <f t="shared" si="1857"/>
        <v>0</v>
      </c>
      <c r="BO863" s="2188">
        <f>IFERROR((BO891+BO889)/(BO835+BO833),0)</f>
        <v>0</v>
      </c>
      <c r="BP863" s="2188">
        <f>IFERROR((BP891+BP889)/(BP835+BP833),0)</f>
        <v>0</v>
      </c>
      <c r="BQ863" s="2186">
        <f t="shared" si="1858"/>
        <v>0</v>
      </c>
    </row>
    <row r="864" spans="3:69" s="2449" customFormat="1" ht="12" hidden="1" customHeight="1">
      <c r="C864" s="2160" t="s">
        <v>3057</v>
      </c>
      <c r="D864" s="2426" t="s">
        <v>3058</v>
      </c>
      <c r="E864" s="2446" t="s">
        <v>3052</v>
      </c>
      <c r="F864" s="2162"/>
      <c r="G864" s="2163">
        <f t="shared" ref="G864:H874" si="1859">IFERROR(G892/G836,0)</f>
        <v>0</v>
      </c>
      <c r="H864" s="2163">
        <f t="shared" si="1859"/>
        <v>0</v>
      </c>
      <c r="I864" s="2164">
        <f t="shared" si="1839"/>
        <v>0</v>
      </c>
      <c r="J864" s="2162"/>
      <c r="K864" s="2163">
        <f t="shared" ref="K864:L874" si="1860">IFERROR(K892/K836,0)</f>
        <v>0</v>
      </c>
      <c r="L864" s="2163">
        <f t="shared" si="1860"/>
        <v>0</v>
      </c>
      <c r="M864" s="2164">
        <f t="shared" si="1840"/>
        <v>0</v>
      </c>
      <c r="N864" s="2163">
        <f t="shared" ref="N864:O874" si="1861">IFERROR(N892/N836,0)</f>
        <v>0</v>
      </c>
      <c r="O864" s="2163">
        <f t="shared" si="1861"/>
        <v>0</v>
      </c>
      <c r="P864" s="2164">
        <f t="shared" si="1841"/>
        <v>0</v>
      </c>
      <c r="Q864" s="2163">
        <f t="shared" ref="Q864:R874" si="1862">IFERROR(Q892/Q836,0)</f>
        <v>0</v>
      </c>
      <c r="R864" s="2163">
        <f t="shared" si="1862"/>
        <v>0</v>
      </c>
      <c r="S864" s="2164">
        <f t="shared" si="1842"/>
        <v>0</v>
      </c>
      <c r="T864" s="2163">
        <f t="shared" ref="T864:U874" si="1863">IFERROR(T892/T836,0)</f>
        <v>0</v>
      </c>
      <c r="U864" s="2163">
        <f t="shared" si="1863"/>
        <v>0</v>
      </c>
      <c r="V864" s="2164">
        <f t="shared" si="1843"/>
        <v>0</v>
      </c>
      <c r="W864" s="2163">
        <f t="shared" ref="W864:X874" si="1864">IFERROR(W892/W836,0)</f>
        <v>0</v>
      </c>
      <c r="X864" s="2163">
        <f t="shared" si="1864"/>
        <v>0</v>
      </c>
      <c r="Y864" s="2164">
        <f t="shared" si="1844"/>
        <v>0</v>
      </c>
      <c r="Z864" s="2163">
        <f t="shared" ref="Z864:AA874" si="1865">IFERROR(Z892/Z836,0)</f>
        <v>0</v>
      </c>
      <c r="AA864" s="2163">
        <f t="shared" si="1865"/>
        <v>0</v>
      </c>
      <c r="AB864" s="2164">
        <f t="shared" si="1845"/>
        <v>0</v>
      </c>
      <c r="AC864" s="2163">
        <f t="shared" ref="AC864:AD874" si="1866">IFERROR(AC892/AC836,0)</f>
        <v>0</v>
      </c>
      <c r="AD864" s="2163">
        <f t="shared" si="1866"/>
        <v>0</v>
      </c>
      <c r="AE864" s="2164">
        <f t="shared" si="1846"/>
        <v>0</v>
      </c>
      <c r="AF864" s="2447"/>
      <c r="AG864" s="2448"/>
      <c r="AH864" s="2171">
        <f t="shared" ref="AH864:AI874" si="1867">IFERROR(AH892/AH836,0)</f>
        <v>0</v>
      </c>
      <c r="AI864" s="2171">
        <f t="shared" si="1867"/>
        <v>0</v>
      </c>
      <c r="AJ864" s="2172">
        <f t="shared" si="1847"/>
        <v>0</v>
      </c>
      <c r="AK864" s="2171">
        <f t="shared" ref="AK864:AL874" si="1868">IFERROR(AK892/AK836,0)</f>
        <v>0</v>
      </c>
      <c r="AL864" s="2171">
        <f t="shared" si="1868"/>
        <v>0</v>
      </c>
      <c r="AM864" s="2172">
        <f t="shared" si="1848"/>
        <v>0</v>
      </c>
      <c r="AN864" s="2171">
        <f t="shared" ref="AN864:AO874" si="1869">IFERROR(AN892/AN836,0)</f>
        <v>0</v>
      </c>
      <c r="AO864" s="2171">
        <f t="shared" si="1869"/>
        <v>0</v>
      </c>
      <c r="AP864" s="2172">
        <f t="shared" si="1849"/>
        <v>0</v>
      </c>
      <c r="AQ864" s="2171">
        <f t="shared" ref="AQ864:AR874" si="1870">IFERROR(AQ892/AQ836,0)</f>
        <v>0</v>
      </c>
      <c r="AR864" s="2171">
        <f t="shared" si="1870"/>
        <v>0</v>
      </c>
      <c r="AS864" s="2172">
        <f t="shared" si="1850"/>
        <v>0</v>
      </c>
      <c r="AT864" s="2171">
        <f t="shared" ref="AT864:AU874" si="1871">IFERROR(AT892/AT836,0)</f>
        <v>0</v>
      </c>
      <c r="AU864" s="2171">
        <f t="shared" si="1871"/>
        <v>0</v>
      </c>
      <c r="AV864" s="2172">
        <f t="shared" si="1851"/>
        <v>0</v>
      </c>
      <c r="AW864" s="2171">
        <f t="shared" ref="AW864:AX874" si="1872">IFERROR(AW892/AW836,0)</f>
        <v>0</v>
      </c>
      <c r="AX864" s="2171">
        <f t="shared" si="1872"/>
        <v>0</v>
      </c>
      <c r="AY864" s="2172">
        <f t="shared" si="1852"/>
        <v>0</v>
      </c>
      <c r="AZ864" s="2171">
        <f t="shared" ref="AZ864:BA874" si="1873">IFERROR(AZ892/AZ836,0)</f>
        <v>0</v>
      </c>
      <c r="BA864" s="2171">
        <f t="shared" si="1873"/>
        <v>0</v>
      </c>
      <c r="BB864" s="2172">
        <f t="shared" si="1853"/>
        <v>0</v>
      </c>
      <c r="BC864" s="2171">
        <f t="shared" ref="BC864:BD874" si="1874">IFERROR(BC892/BC836,0)</f>
        <v>0</v>
      </c>
      <c r="BD864" s="2171">
        <f t="shared" si="1874"/>
        <v>0</v>
      </c>
      <c r="BE864" s="2172">
        <f t="shared" si="1854"/>
        <v>0</v>
      </c>
      <c r="BF864" s="2171">
        <f t="shared" ref="BF864:BG874" si="1875">IFERROR(BF892/BF836,0)</f>
        <v>0</v>
      </c>
      <c r="BG864" s="2171">
        <f t="shared" si="1875"/>
        <v>0</v>
      </c>
      <c r="BH864" s="2172">
        <f t="shared" si="1855"/>
        <v>0</v>
      </c>
      <c r="BI864" s="2171">
        <f t="shared" ref="BI864:BJ874" si="1876">IFERROR(BI892/BI836,0)</f>
        <v>0</v>
      </c>
      <c r="BJ864" s="2171">
        <f t="shared" si="1876"/>
        <v>0</v>
      </c>
      <c r="BK864" s="2172">
        <f t="shared" si="1856"/>
        <v>0</v>
      </c>
      <c r="BL864" s="2171">
        <f t="shared" ref="BL864:BM874" si="1877">IFERROR(BL892/BL836,0)</f>
        <v>0</v>
      </c>
      <c r="BM864" s="2171">
        <f t="shared" si="1877"/>
        <v>0</v>
      </c>
      <c r="BN864" s="2172">
        <f t="shared" si="1857"/>
        <v>0</v>
      </c>
      <c r="BO864" s="2171">
        <f t="shared" ref="BO864:BP874" si="1878">IFERROR(BO892/BO836,0)</f>
        <v>0</v>
      </c>
      <c r="BP864" s="2171">
        <f t="shared" si="1878"/>
        <v>0</v>
      </c>
      <c r="BQ864" s="2172">
        <f t="shared" si="1858"/>
        <v>0</v>
      </c>
    </row>
    <row r="865" spans="3:69" s="2449" customFormat="1" ht="12" hidden="1" customHeight="1">
      <c r="C865" s="2424" t="s">
        <v>3059</v>
      </c>
      <c r="D865" s="2383" t="s">
        <v>2872</v>
      </c>
      <c r="E865" s="2217"/>
      <c r="F865" s="2176"/>
      <c r="G865" s="2179">
        <f t="shared" si="1859"/>
        <v>0</v>
      </c>
      <c r="H865" s="2179">
        <f t="shared" si="1859"/>
        <v>0</v>
      </c>
      <c r="I865" s="2178">
        <f t="shared" si="1839"/>
        <v>0</v>
      </c>
      <c r="J865" s="2176"/>
      <c r="K865" s="2179">
        <f t="shared" si="1860"/>
        <v>0</v>
      </c>
      <c r="L865" s="2179">
        <f t="shared" si="1860"/>
        <v>0</v>
      </c>
      <c r="M865" s="2178">
        <f t="shared" si="1840"/>
        <v>0</v>
      </c>
      <c r="N865" s="2179">
        <f t="shared" si="1861"/>
        <v>0</v>
      </c>
      <c r="O865" s="2179">
        <f t="shared" si="1861"/>
        <v>0</v>
      </c>
      <c r="P865" s="2178">
        <f t="shared" si="1841"/>
        <v>0</v>
      </c>
      <c r="Q865" s="2179">
        <f t="shared" si="1862"/>
        <v>0</v>
      </c>
      <c r="R865" s="2179">
        <f t="shared" si="1862"/>
        <v>0</v>
      </c>
      <c r="S865" s="2178">
        <f t="shared" si="1842"/>
        <v>0</v>
      </c>
      <c r="T865" s="2179">
        <f t="shared" si="1863"/>
        <v>0</v>
      </c>
      <c r="U865" s="2179">
        <f t="shared" si="1863"/>
        <v>0</v>
      </c>
      <c r="V865" s="2178">
        <f t="shared" si="1843"/>
        <v>0</v>
      </c>
      <c r="W865" s="2179">
        <f t="shared" si="1864"/>
        <v>0</v>
      </c>
      <c r="X865" s="2179">
        <f t="shared" si="1864"/>
        <v>0</v>
      </c>
      <c r="Y865" s="2178">
        <f t="shared" si="1844"/>
        <v>0</v>
      </c>
      <c r="Z865" s="2179">
        <f t="shared" si="1865"/>
        <v>0</v>
      </c>
      <c r="AA865" s="2179">
        <f t="shared" si="1865"/>
        <v>0</v>
      </c>
      <c r="AB865" s="2178">
        <f t="shared" si="1845"/>
        <v>0</v>
      </c>
      <c r="AC865" s="2179">
        <f t="shared" si="1866"/>
        <v>0</v>
      </c>
      <c r="AD865" s="2179">
        <f t="shared" si="1866"/>
        <v>0</v>
      </c>
      <c r="AE865" s="2178">
        <f t="shared" si="1846"/>
        <v>0</v>
      </c>
      <c r="AF865" s="2447"/>
      <c r="AG865" s="2448"/>
      <c r="AH865" s="2188">
        <f t="shared" si="1867"/>
        <v>0</v>
      </c>
      <c r="AI865" s="2188">
        <f t="shared" si="1867"/>
        <v>0</v>
      </c>
      <c r="AJ865" s="2186">
        <f t="shared" si="1847"/>
        <v>0</v>
      </c>
      <c r="AK865" s="2188">
        <f t="shared" si="1868"/>
        <v>0</v>
      </c>
      <c r="AL865" s="2188">
        <f t="shared" si="1868"/>
        <v>0</v>
      </c>
      <c r="AM865" s="2186">
        <f t="shared" si="1848"/>
        <v>0</v>
      </c>
      <c r="AN865" s="2188">
        <f t="shared" si="1869"/>
        <v>0</v>
      </c>
      <c r="AO865" s="2188">
        <f t="shared" si="1869"/>
        <v>0</v>
      </c>
      <c r="AP865" s="2186">
        <f t="shared" si="1849"/>
        <v>0</v>
      </c>
      <c r="AQ865" s="2188">
        <f t="shared" si="1870"/>
        <v>0</v>
      </c>
      <c r="AR865" s="2188">
        <f t="shared" si="1870"/>
        <v>0</v>
      </c>
      <c r="AS865" s="2186">
        <f t="shared" si="1850"/>
        <v>0</v>
      </c>
      <c r="AT865" s="2188">
        <f t="shared" si="1871"/>
        <v>0</v>
      </c>
      <c r="AU865" s="2188">
        <f t="shared" si="1871"/>
        <v>0</v>
      </c>
      <c r="AV865" s="2186">
        <f t="shared" si="1851"/>
        <v>0</v>
      </c>
      <c r="AW865" s="2188">
        <f t="shared" si="1872"/>
        <v>0</v>
      </c>
      <c r="AX865" s="2188">
        <f t="shared" si="1872"/>
        <v>0</v>
      </c>
      <c r="AY865" s="2186">
        <f t="shared" si="1852"/>
        <v>0</v>
      </c>
      <c r="AZ865" s="2188">
        <f t="shared" si="1873"/>
        <v>0</v>
      </c>
      <c r="BA865" s="2188">
        <f t="shared" si="1873"/>
        <v>0</v>
      </c>
      <c r="BB865" s="2186">
        <f t="shared" si="1853"/>
        <v>0</v>
      </c>
      <c r="BC865" s="2188">
        <f t="shared" si="1874"/>
        <v>0</v>
      </c>
      <c r="BD865" s="2188">
        <f t="shared" si="1874"/>
        <v>0</v>
      </c>
      <c r="BE865" s="2186">
        <f t="shared" si="1854"/>
        <v>0</v>
      </c>
      <c r="BF865" s="2188">
        <f t="shared" si="1875"/>
        <v>0</v>
      </c>
      <c r="BG865" s="2188">
        <f t="shared" si="1875"/>
        <v>0</v>
      </c>
      <c r="BH865" s="2186">
        <f t="shared" si="1855"/>
        <v>0</v>
      </c>
      <c r="BI865" s="2188">
        <f t="shared" si="1876"/>
        <v>0</v>
      </c>
      <c r="BJ865" s="2188">
        <f t="shared" si="1876"/>
        <v>0</v>
      </c>
      <c r="BK865" s="2186">
        <f t="shared" si="1856"/>
        <v>0</v>
      </c>
      <c r="BL865" s="2188">
        <f t="shared" si="1877"/>
        <v>0</v>
      </c>
      <c r="BM865" s="2188">
        <f t="shared" si="1877"/>
        <v>0</v>
      </c>
      <c r="BN865" s="2186">
        <f t="shared" si="1857"/>
        <v>0</v>
      </c>
      <c r="BO865" s="2188">
        <f t="shared" si="1878"/>
        <v>0</v>
      </c>
      <c r="BP865" s="2188">
        <f t="shared" si="1878"/>
        <v>0</v>
      </c>
      <c r="BQ865" s="2186">
        <f t="shared" si="1858"/>
        <v>0</v>
      </c>
    </row>
    <row r="866" spans="3:69" s="2449" customFormat="1" ht="12" hidden="1" customHeight="1">
      <c r="C866" s="2423" t="s">
        <v>3060</v>
      </c>
      <c r="D866" s="2421" t="s">
        <v>2434</v>
      </c>
      <c r="E866" s="2335" t="s">
        <v>3052</v>
      </c>
      <c r="F866" s="2176"/>
      <c r="G866" s="2179">
        <f t="shared" si="1859"/>
        <v>0</v>
      </c>
      <c r="H866" s="2179">
        <f t="shared" si="1859"/>
        <v>0</v>
      </c>
      <c r="I866" s="2178">
        <f t="shared" si="1839"/>
        <v>0</v>
      </c>
      <c r="J866" s="2176"/>
      <c r="K866" s="2179">
        <f t="shared" si="1860"/>
        <v>0</v>
      </c>
      <c r="L866" s="2179">
        <f t="shared" si="1860"/>
        <v>0</v>
      </c>
      <c r="M866" s="2178">
        <f t="shared" si="1840"/>
        <v>0</v>
      </c>
      <c r="N866" s="2179">
        <f t="shared" si="1861"/>
        <v>0</v>
      </c>
      <c r="O866" s="2179">
        <f t="shared" si="1861"/>
        <v>0</v>
      </c>
      <c r="P866" s="2178">
        <f t="shared" si="1841"/>
        <v>0</v>
      </c>
      <c r="Q866" s="2179">
        <f t="shared" si="1862"/>
        <v>0</v>
      </c>
      <c r="R866" s="2179">
        <f t="shared" si="1862"/>
        <v>0</v>
      </c>
      <c r="S866" s="2178">
        <f t="shared" si="1842"/>
        <v>0</v>
      </c>
      <c r="T866" s="2179">
        <f t="shared" si="1863"/>
        <v>0</v>
      </c>
      <c r="U866" s="2179">
        <f t="shared" si="1863"/>
        <v>0</v>
      </c>
      <c r="V866" s="2178">
        <f t="shared" si="1843"/>
        <v>0</v>
      </c>
      <c r="W866" s="2179">
        <f t="shared" si="1864"/>
        <v>0</v>
      </c>
      <c r="X866" s="2179">
        <f t="shared" si="1864"/>
        <v>0</v>
      </c>
      <c r="Y866" s="2178">
        <f t="shared" si="1844"/>
        <v>0</v>
      </c>
      <c r="Z866" s="2179">
        <f t="shared" si="1865"/>
        <v>0</v>
      </c>
      <c r="AA866" s="2179">
        <f t="shared" si="1865"/>
        <v>0</v>
      </c>
      <c r="AB866" s="2178">
        <f t="shared" si="1845"/>
        <v>0</v>
      </c>
      <c r="AC866" s="2179">
        <f t="shared" si="1866"/>
        <v>0</v>
      </c>
      <c r="AD866" s="2179">
        <f t="shared" si="1866"/>
        <v>0</v>
      </c>
      <c r="AE866" s="2178">
        <f t="shared" si="1846"/>
        <v>0</v>
      </c>
      <c r="AF866" s="2447"/>
      <c r="AG866" s="2448"/>
      <c r="AH866" s="2188">
        <f t="shared" si="1867"/>
        <v>0</v>
      </c>
      <c r="AI866" s="2188">
        <f t="shared" si="1867"/>
        <v>0</v>
      </c>
      <c r="AJ866" s="2186">
        <f t="shared" si="1847"/>
        <v>0</v>
      </c>
      <c r="AK866" s="2188">
        <f t="shared" si="1868"/>
        <v>0</v>
      </c>
      <c r="AL866" s="2188">
        <f t="shared" si="1868"/>
        <v>0</v>
      </c>
      <c r="AM866" s="2186">
        <f t="shared" si="1848"/>
        <v>0</v>
      </c>
      <c r="AN866" s="2188">
        <f t="shared" si="1869"/>
        <v>0</v>
      </c>
      <c r="AO866" s="2188">
        <f t="shared" si="1869"/>
        <v>0</v>
      </c>
      <c r="AP866" s="2186">
        <f t="shared" si="1849"/>
        <v>0</v>
      </c>
      <c r="AQ866" s="2188">
        <f t="shared" si="1870"/>
        <v>0</v>
      </c>
      <c r="AR866" s="2188">
        <f t="shared" si="1870"/>
        <v>0</v>
      </c>
      <c r="AS866" s="2186">
        <f t="shared" si="1850"/>
        <v>0</v>
      </c>
      <c r="AT866" s="2188">
        <f t="shared" si="1871"/>
        <v>0</v>
      </c>
      <c r="AU866" s="2188">
        <f t="shared" si="1871"/>
        <v>0</v>
      </c>
      <c r="AV866" s="2186">
        <f t="shared" si="1851"/>
        <v>0</v>
      </c>
      <c r="AW866" s="2188">
        <f t="shared" si="1872"/>
        <v>0</v>
      </c>
      <c r="AX866" s="2188">
        <f t="shared" si="1872"/>
        <v>0</v>
      </c>
      <c r="AY866" s="2186">
        <f t="shared" si="1852"/>
        <v>0</v>
      </c>
      <c r="AZ866" s="2188">
        <f t="shared" si="1873"/>
        <v>0</v>
      </c>
      <c r="BA866" s="2188">
        <f t="shared" si="1873"/>
        <v>0</v>
      </c>
      <c r="BB866" s="2186">
        <f t="shared" si="1853"/>
        <v>0</v>
      </c>
      <c r="BC866" s="2188">
        <f t="shared" si="1874"/>
        <v>0</v>
      </c>
      <c r="BD866" s="2188">
        <f t="shared" si="1874"/>
        <v>0</v>
      </c>
      <c r="BE866" s="2186">
        <f t="shared" si="1854"/>
        <v>0</v>
      </c>
      <c r="BF866" s="2188">
        <f t="shared" si="1875"/>
        <v>0</v>
      </c>
      <c r="BG866" s="2188">
        <f t="shared" si="1875"/>
        <v>0</v>
      </c>
      <c r="BH866" s="2186">
        <f t="shared" si="1855"/>
        <v>0</v>
      </c>
      <c r="BI866" s="2188">
        <f t="shared" si="1876"/>
        <v>0</v>
      </c>
      <c r="BJ866" s="2188">
        <f t="shared" si="1876"/>
        <v>0</v>
      </c>
      <c r="BK866" s="2186">
        <f t="shared" si="1856"/>
        <v>0</v>
      </c>
      <c r="BL866" s="2188">
        <f t="shared" si="1877"/>
        <v>0</v>
      </c>
      <c r="BM866" s="2188">
        <f t="shared" si="1877"/>
        <v>0</v>
      </c>
      <c r="BN866" s="2186">
        <f t="shared" si="1857"/>
        <v>0</v>
      </c>
      <c r="BO866" s="2188">
        <f t="shared" si="1878"/>
        <v>0</v>
      </c>
      <c r="BP866" s="2188">
        <f t="shared" si="1878"/>
        <v>0</v>
      </c>
      <c r="BQ866" s="2186">
        <f t="shared" si="1858"/>
        <v>0</v>
      </c>
    </row>
    <row r="867" spans="3:69" s="2449" customFormat="1" ht="12" hidden="1" customHeight="1">
      <c r="C867" s="2424" t="s">
        <v>3061</v>
      </c>
      <c r="D867" s="2383" t="s">
        <v>42</v>
      </c>
      <c r="E867" s="2217"/>
      <c r="F867" s="2176"/>
      <c r="G867" s="2179">
        <f t="shared" si="1859"/>
        <v>0</v>
      </c>
      <c r="H867" s="2179">
        <f t="shared" si="1859"/>
        <v>0</v>
      </c>
      <c r="I867" s="2178">
        <f t="shared" si="1839"/>
        <v>0</v>
      </c>
      <c r="J867" s="2176"/>
      <c r="K867" s="2179">
        <f t="shared" si="1860"/>
        <v>0</v>
      </c>
      <c r="L867" s="2179">
        <f t="shared" si="1860"/>
        <v>0</v>
      </c>
      <c r="M867" s="2178">
        <f t="shared" si="1840"/>
        <v>0</v>
      </c>
      <c r="N867" s="2179">
        <f t="shared" si="1861"/>
        <v>0</v>
      </c>
      <c r="O867" s="2179">
        <f t="shared" si="1861"/>
        <v>0</v>
      </c>
      <c r="P867" s="2178">
        <f t="shared" si="1841"/>
        <v>0</v>
      </c>
      <c r="Q867" s="2179">
        <f t="shared" si="1862"/>
        <v>0</v>
      </c>
      <c r="R867" s="2179">
        <f t="shared" si="1862"/>
        <v>0</v>
      </c>
      <c r="S867" s="2178">
        <f t="shared" si="1842"/>
        <v>0</v>
      </c>
      <c r="T867" s="2179">
        <f t="shared" si="1863"/>
        <v>0</v>
      </c>
      <c r="U867" s="2179">
        <f t="shared" si="1863"/>
        <v>0</v>
      </c>
      <c r="V867" s="2178">
        <f t="shared" si="1843"/>
        <v>0</v>
      </c>
      <c r="W867" s="2179">
        <f t="shared" si="1864"/>
        <v>0</v>
      </c>
      <c r="X867" s="2179">
        <f t="shared" si="1864"/>
        <v>0</v>
      </c>
      <c r="Y867" s="2178">
        <f t="shared" si="1844"/>
        <v>0</v>
      </c>
      <c r="Z867" s="2179">
        <f t="shared" si="1865"/>
        <v>0</v>
      </c>
      <c r="AA867" s="2179">
        <f t="shared" si="1865"/>
        <v>0</v>
      </c>
      <c r="AB867" s="2178">
        <f t="shared" si="1845"/>
        <v>0</v>
      </c>
      <c r="AC867" s="2179">
        <f t="shared" si="1866"/>
        <v>0</v>
      </c>
      <c r="AD867" s="2179">
        <f t="shared" si="1866"/>
        <v>0</v>
      </c>
      <c r="AE867" s="2178">
        <f t="shared" si="1846"/>
        <v>0</v>
      </c>
      <c r="AF867" s="2447"/>
      <c r="AG867" s="2448"/>
      <c r="AH867" s="2188">
        <f t="shared" si="1867"/>
        <v>0</v>
      </c>
      <c r="AI867" s="2188">
        <f t="shared" si="1867"/>
        <v>0</v>
      </c>
      <c r="AJ867" s="2186">
        <f t="shared" si="1847"/>
        <v>0</v>
      </c>
      <c r="AK867" s="2188">
        <f t="shared" si="1868"/>
        <v>0</v>
      </c>
      <c r="AL867" s="2188">
        <f t="shared" si="1868"/>
        <v>0</v>
      </c>
      <c r="AM867" s="2186">
        <f t="shared" si="1848"/>
        <v>0</v>
      </c>
      <c r="AN867" s="2188">
        <f t="shared" si="1869"/>
        <v>0</v>
      </c>
      <c r="AO867" s="2188">
        <f t="shared" si="1869"/>
        <v>0</v>
      </c>
      <c r="AP867" s="2186">
        <f t="shared" si="1849"/>
        <v>0</v>
      </c>
      <c r="AQ867" s="2188">
        <f t="shared" si="1870"/>
        <v>0</v>
      </c>
      <c r="AR867" s="2188">
        <f t="shared" si="1870"/>
        <v>0</v>
      </c>
      <c r="AS867" s="2186">
        <f t="shared" si="1850"/>
        <v>0</v>
      </c>
      <c r="AT867" s="2188">
        <f t="shared" si="1871"/>
        <v>0</v>
      </c>
      <c r="AU867" s="2188">
        <f t="shared" si="1871"/>
        <v>0</v>
      </c>
      <c r="AV867" s="2186">
        <f t="shared" si="1851"/>
        <v>0</v>
      </c>
      <c r="AW867" s="2188">
        <f t="shared" si="1872"/>
        <v>0</v>
      </c>
      <c r="AX867" s="2188">
        <f t="shared" si="1872"/>
        <v>0</v>
      </c>
      <c r="AY867" s="2186">
        <f t="shared" si="1852"/>
        <v>0</v>
      </c>
      <c r="AZ867" s="2188">
        <f t="shared" si="1873"/>
        <v>0</v>
      </c>
      <c r="BA867" s="2188">
        <f t="shared" si="1873"/>
        <v>0</v>
      </c>
      <c r="BB867" s="2186">
        <f t="shared" si="1853"/>
        <v>0</v>
      </c>
      <c r="BC867" s="2188">
        <f t="shared" si="1874"/>
        <v>0</v>
      </c>
      <c r="BD867" s="2188">
        <f t="shared" si="1874"/>
        <v>0</v>
      </c>
      <c r="BE867" s="2186">
        <f t="shared" si="1854"/>
        <v>0</v>
      </c>
      <c r="BF867" s="2188">
        <f t="shared" si="1875"/>
        <v>0</v>
      </c>
      <c r="BG867" s="2188">
        <f t="shared" si="1875"/>
        <v>0</v>
      </c>
      <c r="BH867" s="2186">
        <f t="shared" si="1855"/>
        <v>0</v>
      </c>
      <c r="BI867" s="2188">
        <f t="shared" si="1876"/>
        <v>0</v>
      </c>
      <c r="BJ867" s="2188">
        <f t="shared" si="1876"/>
        <v>0</v>
      </c>
      <c r="BK867" s="2186">
        <f t="shared" si="1856"/>
        <v>0</v>
      </c>
      <c r="BL867" s="2188">
        <f t="shared" si="1877"/>
        <v>0</v>
      </c>
      <c r="BM867" s="2188">
        <f t="shared" si="1877"/>
        <v>0</v>
      </c>
      <c r="BN867" s="2186">
        <f t="shared" si="1857"/>
        <v>0</v>
      </c>
      <c r="BO867" s="2188">
        <f t="shared" si="1878"/>
        <v>0</v>
      </c>
      <c r="BP867" s="2188">
        <f t="shared" si="1878"/>
        <v>0</v>
      </c>
      <c r="BQ867" s="2186">
        <f t="shared" si="1858"/>
        <v>0</v>
      </c>
    </row>
    <row r="868" spans="3:69" s="2449" customFormat="1" ht="12" hidden="1" customHeight="1">
      <c r="C868" s="2450" t="s">
        <v>3062</v>
      </c>
      <c r="D868" s="2425" t="s">
        <v>2092</v>
      </c>
      <c r="E868" s="2446" t="s">
        <v>3052</v>
      </c>
      <c r="F868" s="2176"/>
      <c r="G868" s="2179">
        <f t="shared" si="1859"/>
        <v>0</v>
      </c>
      <c r="H868" s="2179">
        <f t="shared" si="1859"/>
        <v>0</v>
      </c>
      <c r="I868" s="2178">
        <f t="shared" si="1839"/>
        <v>0</v>
      </c>
      <c r="J868" s="2176"/>
      <c r="K868" s="2179">
        <f t="shared" si="1860"/>
        <v>0</v>
      </c>
      <c r="L868" s="2179">
        <f t="shared" si="1860"/>
        <v>0</v>
      </c>
      <c r="M868" s="2178">
        <f t="shared" si="1840"/>
        <v>0</v>
      </c>
      <c r="N868" s="2179">
        <f t="shared" si="1861"/>
        <v>0</v>
      </c>
      <c r="O868" s="2179">
        <f t="shared" si="1861"/>
        <v>0</v>
      </c>
      <c r="P868" s="2178">
        <f t="shared" si="1841"/>
        <v>0</v>
      </c>
      <c r="Q868" s="2179">
        <f t="shared" si="1862"/>
        <v>0</v>
      </c>
      <c r="R868" s="2179">
        <f t="shared" si="1862"/>
        <v>0</v>
      </c>
      <c r="S868" s="2178">
        <f t="shared" si="1842"/>
        <v>0</v>
      </c>
      <c r="T868" s="2179">
        <f t="shared" si="1863"/>
        <v>0</v>
      </c>
      <c r="U868" s="2179">
        <f t="shared" si="1863"/>
        <v>0</v>
      </c>
      <c r="V868" s="2178">
        <f t="shared" si="1843"/>
        <v>0</v>
      </c>
      <c r="W868" s="2179">
        <f t="shared" si="1864"/>
        <v>0</v>
      </c>
      <c r="X868" s="2179">
        <f t="shared" si="1864"/>
        <v>0</v>
      </c>
      <c r="Y868" s="2178">
        <f t="shared" si="1844"/>
        <v>0</v>
      </c>
      <c r="Z868" s="2179">
        <f t="shared" si="1865"/>
        <v>0</v>
      </c>
      <c r="AA868" s="2179">
        <f t="shared" si="1865"/>
        <v>0</v>
      </c>
      <c r="AB868" s="2178">
        <f t="shared" si="1845"/>
        <v>0</v>
      </c>
      <c r="AC868" s="2179">
        <f t="shared" si="1866"/>
        <v>0</v>
      </c>
      <c r="AD868" s="2179">
        <f t="shared" si="1866"/>
        <v>0</v>
      </c>
      <c r="AE868" s="2178">
        <f t="shared" si="1846"/>
        <v>0</v>
      </c>
      <c r="AF868" s="2447"/>
      <c r="AG868" s="2448"/>
      <c r="AH868" s="2188">
        <f t="shared" si="1867"/>
        <v>0</v>
      </c>
      <c r="AI868" s="2188">
        <f t="shared" si="1867"/>
        <v>0</v>
      </c>
      <c r="AJ868" s="2186">
        <f t="shared" si="1847"/>
        <v>0</v>
      </c>
      <c r="AK868" s="2188">
        <f t="shared" si="1868"/>
        <v>0</v>
      </c>
      <c r="AL868" s="2188">
        <f t="shared" si="1868"/>
        <v>0</v>
      </c>
      <c r="AM868" s="2186">
        <f t="shared" si="1848"/>
        <v>0</v>
      </c>
      <c r="AN868" s="2188">
        <f t="shared" si="1869"/>
        <v>0</v>
      </c>
      <c r="AO868" s="2188">
        <f t="shared" si="1869"/>
        <v>0</v>
      </c>
      <c r="AP868" s="2186">
        <f t="shared" si="1849"/>
        <v>0</v>
      </c>
      <c r="AQ868" s="2188">
        <f t="shared" si="1870"/>
        <v>0</v>
      </c>
      <c r="AR868" s="2188">
        <f t="shared" si="1870"/>
        <v>0</v>
      </c>
      <c r="AS868" s="2186">
        <f t="shared" si="1850"/>
        <v>0</v>
      </c>
      <c r="AT868" s="2188">
        <f t="shared" si="1871"/>
        <v>0</v>
      </c>
      <c r="AU868" s="2188">
        <f t="shared" si="1871"/>
        <v>0</v>
      </c>
      <c r="AV868" s="2186">
        <f t="shared" si="1851"/>
        <v>0</v>
      </c>
      <c r="AW868" s="2188">
        <f t="shared" si="1872"/>
        <v>0</v>
      </c>
      <c r="AX868" s="2188">
        <f t="shared" si="1872"/>
        <v>0</v>
      </c>
      <c r="AY868" s="2186">
        <f t="shared" si="1852"/>
        <v>0</v>
      </c>
      <c r="AZ868" s="2188">
        <f t="shared" si="1873"/>
        <v>0</v>
      </c>
      <c r="BA868" s="2188">
        <f t="shared" si="1873"/>
        <v>0</v>
      </c>
      <c r="BB868" s="2186">
        <f t="shared" si="1853"/>
        <v>0</v>
      </c>
      <c r="BC868" s="2188">
        <f t="shared" si="1874"/>
        <v>0</v>
      </c>
      <c r="BD868" s="2188">
        <f t="shared" si="1874"/>
        <v>0</v>
      </c>
      <c r="BE868" s="2186">
        <f t="shared" si="1854"/>
        <v>0</v>
      </c>
      <c r="BF868" s="2188">
        <f t="shared" si="1875"/>
        <v>0</v>
      </c>
      <c r="BG868" s="2188">
        <f t="shared" si="1875"/>
        <v>0</v>
      </c>
      <c r="BH868" s="2186">
        <f t="shared" si="1855"/>
        <v>0</v>
      </c>
      <c r="BI868" s="2188">
        <f t="shared" si="1876"/>
        <v>0</v>
      </c>
      <c r="BJ868" s="2188">
        <f t="shared" si="1876"/>
        <v>0</v>
      </c>
      <c r="BK868" s="2186">
        <f t="shared" si="1856"/>
        <v>0</v>
      </c>
      <c r="BL868" s="2188">
        <f t="shared" si="1877"/>
        <v>0</v>
      </c>
      <c r="BM868" s="2188">
        <f t="shared" si="1877"/>
        <v>0</v>
      </c>
      <c r="BN868" s="2186">
        <f t="shared" si="1857"/>
        <v>0</v>
      </c>
      <c r="BO868" s="2188">
        <f t="shared" si="1878"/>
        <v>0</v>
      </c>
      <c r="BP868" s="2188">
        <f t="shared" si="1878"/>
        <v>0</v>
      </c>
      <c r="BQ868" s="2186">
        <f t="shared" si="1858"/>
        <v>0</v>
      </c>
    </row>
    <row r="869" spans="3:69" s="2449" customFormat="1" ht="12" hidden="1" customHeight="1">
      <c r="C869" s="2357" t="s">
        <v>3063</v>
      </c>
      <c r="D869" s="2334" t="s">
        <v>2434</v>
      </c>
      <c r="E869" s="2335" t="s">
        <v>3052</v>
      </c>
      <c r="F869" s="2176"/>
      <c r="G869" s="2179">
        <f t="shared" si="1859"/>
        <v>0</v>
      </c>
      <c r="H869" s="2179">
        <f t="shared" si="1859"/>
        <v>0</v>
      </c>
      <c r="I869" s="2178">
        <f t="shared" si="1839"/>
        <v>0</v>
      </c>
      <c r="J869" s="2176"/>
      <c r="K869" s="2179">
        <f t="shared" si="1860"/>
        <v>0</v>
      </c>
      <c r="L869" s="2179">
        <f t="shared" si="1860"/>
        <v>0</v>
      </c>
      <c r="M869" s="2178">
        <f t="shared" si="1840"/>
        <v>0</v>
      </c>
      <c r="N869" s="2179">
        <f t="shared" si="1861"/>
        <v>0</v>
      </c>
      <c r="O869" s="2179">
        <f t="shared" si="1861"/>
        <v>0</v>
      </c>
      <c r="P869" s="2178">
        <f t="shared" si="1841"/>
        <v>0</v>
      </c>
      <c r="Q869" s="2179">
        <f t="shared" si="1862"/>
        <v>0</v>
      </c>
      <c r="R869" s="2179">
        <f t="shared" si="1862"/>
        <v>0</v>
      </c>
      <c r="S869" s="2178">
        <f t="shared" si="1842"/>
        <v>0</v>
      </c>
      <c r="T869" s="2179">
        <f t="shared" si="1863"/>
        <v>0</v>
      </c>
      <c r="U869" s="2179">
        <f t="shared" si="1863"/>
        <v>0</v>
      </c>
      <c r="V869" s="2178">
        <f t="shared" si="1843"/>
        <v>0</v>
      </c>
      <c r="W869" s="2179">
        <f t="shared" si="1864"/>
        <v>0</v>
      </c>
      <c r="X869" s="2179">
        <f t="shared" si="1864"/>
        <v>0</v>
      </c>
      <c r="Y869" s="2178">
        <f t="shared" si="1844"/>
        <v>0</v>
      </c>
      <c r="Z869" s="2179">
        <f t="shared" si="1865"/>
        <v>0</v>
      </c>
      <c r="AA869" s="2179">
        <f t="shared" si="1865"/>
        <v>0</v>
      </c>
      <c r="AB869" s="2178">
        <f t="shared" si="1845"/>
        <v>0</v>
      </c>
      <c r="AC869" s="2179">
        <f t="shared" si="1866"/>
        <v>0</v>
      </c>
      <c r="AD869" s="2179">
        <f t="shared" si="1866"/>
        <v>0</v>
      </c>
      <c r="AE869" s="2178">
        <f t="shared" si="1846"/>
        <v>0</v>
      </c>
      <c r="AF869" s="2447"/>
      <c r="AG869" s="2448"/>
      <c r="AH869" s="2188">
        <f t="shared" si="1867"/>
        <v>0</v>
      </c>
      <c r="AI869" s="2188">
        <f t="shared" si="1867"/>
        <v>0</v>
      </c>
      <c r="AJ869" s="2186">
        <f t="shared" si="1847"/>
        <v>0</v>
      </c>
      <c r="AK869" s="2188">
        <f t="shared" si="1868"/>
        <v>0</v>
      </c>
      <c r="AL869" s="2188">
        <f t="shared" si="1868"/>
        <v>0</v>
      </c>
      <c r="AM869" s="2186">
        <f t="shared" si="1848"/>
        <v>0</v>
      </c>
      <c r="AN869" s="2188">
        <f t="shared" si="1869"/>
        <v>0</v>
      </c>
      <c r="AO869" s="2188">
        <f t="shared" si="1869"/>
        <v>0</v>
      </c>
      <c r="AP869" s="2186">
        <f t="shared" si="1849"/>
        <v>0</v>
      </c>
      <c r="AQ869" s="2188">
        <f t="shared" si="1870"/>
        <v>0</v>
      </c>
      <c r="AR869" s="2188">
        <f t="shared" si="1870"/>
        <v>0</v>
      </c>
      <c r="AS869" s="2186">
        <f t="shared" si="1850"/>
        <v>0</v>
      </c>
      <c r="AT869" s="2188">
        <f t="shared" si="1871"/>
        <v>0</v>
      </c>
      <c r="AU869" s="2188">
        <f t="shared" si="1871"/>
        <v>0</v>
      </c>
      <c r="AV869" s="2186">
        <f t="shared" si="1851"/>
        <v>0</v>
      </c>
      <c r="AW869" s="2188">
        <f t="shared" si="1872"/>
        <v>0</v>
      </c>
      <c r="AX869" s="2188">
        <f t="shared" si="1872"/>
        <v>0</v>
      </c>
      <c r="AY869" s="2186">
        <f t="shared" si="1852"/>
        <v>0</v>
      </c>
      <c r="AZ869" s="2188">
        <f t="shared" si="1873"/>
        <v>0</v>
      </c>
      <c r="BA869" s="2188">
        <f t="shared" si="1873"/>
        <v>0</v>
      </c>
      <c r="BB869" s="2186">
        <f t="shared" si="1853"/>
        <v>0</v>
      </c>
      <c r="BC869" s="2188">
        <f t="shared" si="1874"/>
        <v>0</v>
      </c>
      <c r="BD869" s="2188">
        <f t="shared" si="1874"/>
        <v>0</v>
      </c>
      <c r="BE869" s="2186">
        <f t="shared" si="1854"/>
        <v>0</v>
      </c>
      <c r="BF869" s="2188">
        <f t="shared" si="1875"/>
        <v>0</v>
      </c>
      <c r="BG869" s="2188">
        <f t="shared" si="1875"/>
        <v>0</v>
      </c>
      <c r="BH869" s="2186">
        <f t="shared" si="1855"/>
        <v>0</v>
      </c>
      <c r="BI869" s="2188">
        <f t="shared" si="1876"/>
        <v>0</v>
      </c>
      <c r="BJ869" s="2188">
        <f t="shared" si="1876"/>
        <v>0</v>
      </c>
      <c r="BK869" s="2186">
        <f t="shared" si="1856"/>
        <v>0</v>
      </c>
      <c r="BL869" s="2188">
        <f t="shared" si="1877"/>
        <v>0</v>
      </c>
      <c r="BM869" s="2188">
        <f t="shared" si="1877"/>
        <v>0</v>
      </c>
      <c r="BN869" s="2186">
        <f t="shared" si="1857"/>
        <v>0</v>
      </c>
      <c r="BO869" s="2188">
        <f t="shared" si="1878"/>
        <v>0</v>
      </c>
      <c r="BP869" s="2188">
        <f t="shared" si="1878"/>
        <v>0</v>
      </c>
      <c r="BQ869" s="2186">
        <f t="shared" si="1858"/>
        <v>0</v>
      </c>
    </row>
    <row r="870" spans="3:69" s="2449" customFormat="1" ht="12" hidden="1" customHeight="1">
      <c r="C870" s="2450" t="s">
        <v>3064</v>
      </c>
      <c r="D870" s="2425" t="s">
        <v>2094</v>
      </c>
      <c r="E870" s="2446" t="s">
        <v>3052</v>
      </c>
      <c r="F870" s="2176"/>
      <c r="G870" s="2179">
        <f t="shared" si="1859"/>
        <v>0</v>
      </c>
      <c r="H870" s="2179">
        <f t="shared" si="1859"/>
        <v>0</v>
      </c>
      <c r="I870" s="2178">
        <f t="shared" si="1839"/>
        <v>0</v>
      </c>
      <c r="J870" s="2176"/>
      <c r="K870" s="2179">
        <f t="shared" si="1860"/>
        <v>0</v>
      </c>
      <c r="L870" s="2179">
        <f t="shared" si="1860"/>
        <v>0</v>
      </c>
      <c r="M870" s="2178">
        <f t="shared" si="1840"/>
        <v>0</v>
      </c>
      <c r="N870" s="2179">
        <f t="shared" si="1861"/>
        <v>0</v>
      </c>
      <c r="O870" s="2179">
        <f t="shared" si="1861"/>
        <v>0</v>
      </c>
      <c r="P870" s="2178">
        <f t="shared" si="1841"/>
        <v>0</v>
      </c>
      <c r="Q870" s="2179">
        <f t="shared" si="1862"/>
        <v>0</v>
      </c>
      <c r="R870" s="2179">
        <f t="shared" si="1862"/>
        <v>0</v>
      </c>
      <c r="S870" s="2178">
        <f t="shared" si="1842"/>
        <v>0</v>
      </c>
      <c r="T870" s="2179">
        <f t="shared" si="1863"/>
        <v>0</v>
      </c>
      <c r="U870" s="2179">
        <f t="shared" si="1863"/>
        <v>0</v>
      </c>
      <c r="V870" s="2178">
        <f t="shared" si="1843"/>
        <v>0</v>
      </c>
      <c r="W870" s="2179">
        <f t="shared" si="1864"/>
        <v>0</v>
      </c>
      <c r="X870" s="2179">
        <f t="shared" si="1864"/>
        <v>0</v>
      </c>
      <c r="Y870" s="2178">
        <f t="shared" si="1844"/>
        <v>0</v>
      </c>
      <c r="Z870" s="2179">
        <f t="shared" si="1865"/>
        <v>0</v>
      </c>
      <c r="AA870" s="2179">
        <f t="shared" si="1865"/>
        <v>0</v>
      </c>
      <c r="AB870" s="2178">
        <f t="shared" si="1845"/>
        <v>0</v>
      </c>
      <c r="AC870" s="2179">
        <f t="shared" si="1866"/>
        <v>0</v>
      </c>
      <c r="AD870" s="2179">
        <f t="shared" si="1866"/>
        <v>0</v>
      </c>
      <c r="AE870" s="2178">
        <f t="shared" si="1846"/>
        <v>0</v>
      </c>
      <c r="AF870" s="2447"/>
      <c r="AG870" s="2448"/>
      <c r="AH870" s="2188">
        <f t="shared" si="1867"/>
        <v>0</v>
      </c>
      <c r="AI870" s="2188">
        <f t="shared" si="1867"/>
        <v>0</v>
      </c>
      <c r="AJ870" s="2186">
        <f t="shared" si="1847"/>
        <v>0</v>
      </c>
      <c r="AK870" s="2188">
        <f t="shared" si="1868"/>
        <v>0</v>
      </c>
      <c r="AL870" s="2188">
        <f t="shared" si="1868"/>
        <v>0</v>
      </c>
      <c r="AM870" s="2186">
        <f t="shared" si="1848"/>
        <v>0</v>
      </c>
      <c r="AN870" s="2188">
        <f t="shared" si="1869"/>
        <v>0</v>
      </c>
      <c r="AO870" s="2188">
        <f t="shared" si="1869"/>
        <v>0</v>
      </c>
      <c r="AP870" s="2186">
        <f t="shared" si="1849"/>
        <v>0</v>
      </c>
      <c r="AQ870" s="2188">
        <f t="shared" si="1870"/>
        <v>0</v>
      </c>
      <c r="AR870" s="2188">
        <f t="shared" si="1870"/>
        <v>0</v>
      </c>
      <c r="AS870" s="2186">
        <f t="shared" si="1850"/>
        <v>0</v>
      </c>
      <c r="AT870" s="2188">
        <f t="shared" si="1871"/>
        <v>0</v>
      </c>
      <c r="AU870" s="2188">
        <f t="shared" si="1871"/>
        <v>0</v>
      </c>
      <c r="AV870" s="2186">
        <f t="shared" si="1851"/>
        <v>0</v>
      </c>
      <c r="AW870" s="2188">
        <f t="shared" si="1872"/>
        <v>0</v>
      </c>
      <c r="AX870" s="2188">
        <f t="shared" si="1872"/>
        <v>0</v>
      </c>
      <c r="AY870" s="2186">
        <f t="shared" si="1852"/>
        <v>0</v>
      </c>
      <c r="AZ870" s="2188">
        <f t="shared" si="1873"/>
        <v>0</v>
      </c>
      <c r="BA870" s="2188">
        <f t="shared" si="1873"/>
        <v>0</v>
      </c>
      <c r="BB870" s="2186">
        <f t="shared" si="1853"/>
        <v>0</v>
      </c>
      <c r="BC870" s="2188">
        <f t="shared" si="1874"/>
        <v>0</v>
      </c>
      <c r="BD870" s="2188">
        <f t="shared" si="1874"/>
        <v>0</v>
      </c>
      <c r="BE870" s="2186">
        <f t="shared" si="1854"/>
        <v>0</v>
      </c>
      <c r="BF870" s="2188">
        <f t="shared" si="1875"/>
        <v>0</v>
      </c>
      <c r="BG870" s="2188">
        <f t="shared" si="1875"/>
        <v>0</v>
      </c>
      <c r="BH870" s="2186">
        <f t="shared" si="1855"/>
        <v>0</v>
      </c>
      <c r="BI870" s="2188">
        <f t="shared" si="1876"/>
        <v>0</v>
      </c>
      <c r="BJ870" s="2188">
        <f t="shared" si="1876"/>
        <v>0</v>
      </c>
      <c r="BK870" s="2186">
        <f t="shared" si="1856"/>
        <v>0</v>
      </c>
      <c r="BL870" s="2188">
        <f t="shared" si="1877"/>
        <v>0</v>
      </c>
      <c r="BM870" s="2188">
        <f t="shared" si="1877"/>
        <v>0</v>
      </c>
      <c r="BN870" s="2186">
        <f t="shared" si="1857"/>
        <v>0</v>
      </c>
      <c r="BO870" s="2188">
        <f t="shared" si="1878"/>
        <v>0</v>
      </c>
      <c r="BP870" s="2188">
        <f t="shared" si="1878"/>
        <v>0</v>
      </c>
      <c r="BQ870" s="2186">
        <f t="shared" si="1858"/>
        <v>0</v>
      </c>
    </row>
    <row r="871" spans="3:69" s="2449" customFormat="1" ht="12" hidden="1" customHeight="1">
      <c r="C871" s="2357" t="s">
        <v>3065</v>
      </c>
      <c r="D871" s="2334" t="s">
        <v>2434</v>
      </c>
      <c r="E871" s="2335" t="s">
        <v>3052</v>
      </c>
      <c r="F871" s="2176"/>
      <c r="G871" s="2179">
        <f t="shared" si="1859"/>
        <v>0</v>
      </c>
      <c r="H871" s="2179">
        <f t="shared" si="1859"/>
        <v>0</v>
      </c>
      <c r="I871" s="2178">
        <f t="shared" si="1839"/>
        <v>0</v>
      </c>
      <c r="J871" s="2176"/>
      <c r="K871" s="2179">
        <f t="shared" si="1860"/>
        <v>0</v>
      </c>
      <c r="L871" s="2179">
        <f t="shared" si="1860"/>
        <v>0</v>
      </c>
      <c r="M871" s="2178">
        <f t="shared" si="1840"/>
        <v>0</v>
      </c>
      <c r="N871" s="2179">
        <f t="shared" si="1861"/>
        <v>0</v>
      </c>
      <c r="O871" s="2179">
        <f t="shared" si="1861"/>
        <v>0</v>
      </c>
      <c r="P871" s="2178">
        <f t="shared" si="1841"/>
        <v>0</v>
      </c>
      <c r="Q871" s="2179">
        <f t="shared" si="1862"/>
        <v>0</v>
      </c>
      <c r="R871" s="2179">
        <f t="shared" si="1862"/>
        <v>0</v>
      </c>
      <c r="S871" s="2178">
        <f t="shared" si="1842"/>
        <v>0</v>
      </c>
      <c r="T871" s="2179">
        <f t="shared" si="1863"/>
        <v>0</v>
      </c>
      <c r="U871" s="2179">
        <f t="shared" si="1863"/>
        <v>0</v>
      </c>
      <c r="V871" s="2178">
        <f t="shared" si="1843"/>
        <v>0</v>
      </c>
      <c r="W871" s="2179">
        <f t="shared" si="1864"/>
        <v>0</v>
      </c>
      <c r="X871" s="2179">
        <f t="shared" si="1864"/>
        <v>0</v>
      </c>
      <c r="Y871" s="2178">
        <f t="shared" si="1844"/>
        <v>0</v>
      </c>
      <c r="Z871" s="2179">
        <f t="shared" si="1865"/>
        <v>0</v>
      </c>
      <c r="AA871" s="2179">
        <f t="shared" si="1865"/>
        <v>0</v>
      </c>
      <c r="AB871" s="2178">
        <f t="shared" si="1845"/>
        <v>0</v>
      </c>
      <c r="AC871" s="2179">
        <f t="shared" si="1866"/>
        <v>0</v>
      </c>
      <c r="AD871" s="2179">
        <f t="shared" si="1866"/>
        <v>0</v>
      </c>
      <c r="AE871" s="2178">
        <f t="shared" si="1846"/>
        <v>0</v>
      </c>
      <c r="AF871" s="2447"/>
      <c r="AG871" s="2448"/>
      <c r="AH871" s="2188">
        <f t="shared" si="1867"/>
        <v>0</v>
      </c>
      <c r="AI871" s="2188">
        <f t="shared" si="1867"/>
        <v>0</v>
      </c>
      <c r="AJ871" s="2186">
        <f t="shared" si="1847"/>
        <v>0</v>
      </c>
      <c r="AK871" s="2188">
        <f t="shared" si="1868"/>
        <v>0</v>
      </c>
      <c r="AL871" s="2188">
        <f t="shared" si="1868"/>
        <v>0</v>
      </c>
      <c r="AM871" s="2186">
        <f t="shared" si="1848"/>
        <v>0</v>
      </c>
      <c r="AN871" s="2188">
        <f t="shared" si="1869"/>
        <v>0</v>
      </c>
      <c r="AO871" s="2188">
        <f t="shared" si="1869"/>
        <v>0</v>
      </c>
      <c r="AP871" s="2186">
        <f t="shared" si="1849"/>
        <v>0</v>
      </c>
      <c r="AQ871" s="2188">
        <f t="shared" si="1870"/>
        <v>0</v>
      </c>
      <c r="AR871" s="2188">
        <f t="shared" si="1870"/>
        <v>0</v>
      </c>
      <c r="AS871" s="2186">
        <f t="shared" si="1850"/>
        <v>0</v>
      </c>
      <c r="AT871" s="2188">
        <f t="shared" si="1871"/>
        <v>0</v>
      </c>
      <c r="AU871" s="2188">
        <f t="shared" si="1871"/>
        <v>0</v>
      </c>
      <c r="AV871" s="2186">
        <f t="shared" si="1851"/>
        <v>0</v>
      </c>
      <c r="AW871" s="2188">
        <f t="shared" si="1872"/>
        <v>0</v>
      </c>
      <c r="AX871" s="2188">
        <f t="shared" si="1872"/>
        <v>0</v>
      </c>
      <c r="AY871" s="2186">
        <f t="shared" si="1852"/>
        <v>0</v>
      </c>
      <c r="AZ871" s="2188">
        <f t="shared" si="1873"/>
        <v>0</v>
      </c>
      <c r="BA871" s="2188">
        <f t="shared" si="1873"/>
        <v>0</v>
      </c>
      <c r="BB871" s="2186">
        <f t="shared" si="1853"/>
        <v>0</v>
      </c>
      <c r="BC871" s="2188">
        <f t="shared" si="1874"/>
        <v>0</v>
      </c>
      <c r="BD871" s="2188">
        <f t="shared" si="1874"/>
        <v>0</v>
      </c>
      <c r="BE871" s="2186">
        <f t="shared" si="1854"/>
        <v>0</v>
      </c>
      <c r="BF871" s="2188">
        <f t="shared" si="1875"/>
        <v>0</v>
      </c>
      <c r="BG871" s="2188">
        <f t="shared" si="1875"/>
        <v>0</v>
      </c>
      <c r="BH871" s="2186">
        <f t="shared" si="1855"/>
        <v>0</v>
      </c>
      <c r="BI871" s="2188">
        <f t="shared" si="1876"/>
        <v>0</v>
      </c>
      <c r="BJ871" s="2188">
        <f t="shared" si="1876"/>
        <v>0</v>
      </c>
      <c r="BK871" s="2186">
        <f t="shared" si="1856"/>
        <v>0</v>
      </c>
      <c r="BL871" s="2188">
        <f t="shared" si="1877"/>
        <v>0</v>
      </c>
      <c r="BM871" s="2188">
        <f t="shared" si="1877"/>
        <v>0</v>
      </c>
      <c r="BN871" s="2186">
        <f t="shared" si="1857"/>
        <v>0</v>
      </c>
      <c r="BO871" s="2188">
        <f t="shared" si="1878"/>
        <v>0</v>
      </c>
      <c r="BP871" s="2188">
        <f t="shared" si="1878"/>
        <v>0</v>
      </c>
      <c r="BQ871" s="2186">
        <f t="shared" si="1858"/>
        <v>0</v>
      </c>
    </row>
    <row r="872" spans="3:69" s="2207" customFormat="1" ht="12" hidden="1" customHeight="1">
      <c r="C872" s="2160" t="s">
        <v>3066</v>
      </c>
      <c r="D872" s="2426" t="s">
        <v>3067</v>
      </c>
      <c r="E872" s="2446" t="s">
        <v>3052</v>
      </c>
      <c r="F872" s="2162"/>
      <c r="G872" s="2163">
        <f t="shared" si="1859"/>
        <v>0</v>
      </c>
      <c r="H872" s="2163">
        <f t="shared" si="1859"/>
        <v>0</v>
      </c>
      <c r="I872" s="2164">
        <f t="shared" si="1839"/>
        <v>0</v>
      </c>
      <c r="J872" s="2162"/>
      <c r="K872" s="2163">
        <f t="shared" si="1860"/>
        <v>0</v>
      </c>
      <c r="L872" s="2163">
        <f t="shared" si="1860"/>
        <v>0</v>
      </c>
      <c r="M872" s="2164">
        <f t="shared" si="1840"/>
        <v>0</v>
      </c>
      <c r="N872" s="2163">
        <f t="shared" si="1861"/>
        <v>0</v>
      </c>
      <c r="O872" s="2163">
        <f t="shared" si="1861"/>
        <v>0</v>
      </c>
      <c r="P872" s="2164">
        <f t="shared" si="1841"/>
        <v>0</v>
      </c>
      <c r="Q872" s="2163">
        <f t="shared" si="1862"/>
        <v>0</v>
      </c>
      <c r="R872" s="2163">
        <f t="shared" si="1862"/>
        <v>0</v>
      </c>
      <c r="S872" s="2164">
        <f t="shared" si="1842"/>
        <v>0</v>
      </c>
      <c r="T872" s="2163">
        <f t="shared" si="1863"/>
        <v>0</v>
      </c>
      <c r="U872" s="2163">
        <f t="shared" si="1863"/>
        <v>0</v>
      </c>
      <c r="V872" s="2164">
        <f t="shared" si="1843"/>
        <v>0</v>
      </c>
      <c r="W872" s="2163">
        <f t="shared" si="1864"/>
        <v>0</v>
      </c>
      <c r="X872" s="2163">
        <f t="shared" si="1864"/>
        <v>0</v>
      </c>
      <c r="Y872" s="2164">
        <f t="shared" si="1844"/>
        <v>0</v>
      </c>
      <c r="Z872" s="2163">
        <f t="shared" si="1865"/>
        <v>0</v>
      </c>
      <c r="AA872" s="2163">
        <f t="shared" si="1865"/>
        <v>0</v>
      </c>
      <c r="AB872" s="2164">
        <f t="shared" si="1845"/>
        <v>0</v>
      </c>
      <c r="AC872" s="2163">
        <f t="shared" si="1866"/>
        <v>0</v>
      </c>
      <c r="AD872" s="2163">
        <f t="shared" si="1866"/>
        <v>0</v>
      </c>
      <c r="AE872" s="2164">
        <f t="shared" si="1846"/>
        <v>0</v>
      </c>
      <c r="AF872" s="2281"/>
      <c r="AG872" s="2206"/>
      <c r="AH872" s="2171">
        <f t="shared" si="1867"/>
        <v>0</v>
      </c>
      <c r="AI872" s="2171">
        <f t="shared" si="1867"/>
        <v>0</v>
      </c>
      <c r="AJ872" s="2172">
        <f t="shared" si="1847"/>
        <v>0</v>
      </c>
      <c r="AK872" s="2171">
        <f t="shared" si="1868"/>
        <v>0</v>
      </c>
      <c r="AL872" s="2171">
        <f t="shared" si="1868"/>
        <v>0</v>
      </c>
      <c r="AM872" s="2172">
        <f t="shared" si="1848"/>
        <v>0</v>
      </c>
      <c r="AN872" s="2171">
        <f t="shared" si="1869"/>
        <v>0</v>
      </c>
      <c r="AO872" s="2171">
        <f t="shared" si="1869"/>
        <v>0</v>
      </c>
      <c r="AP872" s="2172">
        <f t="shared" si="1849"/>
        <v>0</v>
      </c>
      <c r="AQ872" s="2171">
        <f t="shared" si="1870"/>
        <v>0</v>
      </c>
      <c r="AR872" s="2171">
        <f t="shared" si="1870"/>
        <v>0</v>
      </c>
      <c r="AS872" s="2172">
        <f t="shared" si="1850"/>
        <v>0</v>
      </c>
      <c r="AT872" s="2171">
        <f t="shared" si="1871"/>
        <v>0</v>
      </c>
      <c r="AU872" s="2171">
        <f t="shared" si="1871"/>
        <v>0</v>
      </c>
      <c r="AV872" s="2172">
        <f t="shared" si="1851"/>
        <v>0</v>
      </c>
      <c r="AW872" s="2171">
        <f t="shared" si="1872"/>
        <v>0</v>
      </c>
      <c r="AX872" s="2171">
        <f t="shared" si="1872"/>
        <v>0</v>
      </c>
      <c r="AY872" s="2172">
        <f t="shared" si="1852"/>
        <v>0</v>
      </c>
      <c r="AZ872" s="2171">
        <f t="shared" si="1873"/>
        <v>0</v>
      </c>
      <c r="BA872" s="2171">
        <f t="shared" si="1873"/>
        <v>0</v>
      </c>
      <c r="BB872" s="2172">
        <f t="shared" si="1853"/>
        <v>0</v>
      </c>
      <c r="BC872" s="2171">
        <f t="shared" si="1874"/>
        <v>0</v>
      </c>
      <c r="BD872" s="2171">
        <f t="shared" si="1874"/>
        <v>0</v>
      </c>
      <c r="BE872" s="2172">
        <f t="shared" si="1854"/>
        <v>0</v>
      </c>
      <c r="BF872" s="2171">
        <f t="shared" si="1875"/>
        <v>0</v>
      </c>
      <c r="BG872" s="2171">
        <f t="shared" si="1875"/>
        <v>0</v>
      </c>
      <c r="BH872" s="2172">
        <f t="shared" si="1855"/>
        <v>0</v>
      </c>
      <c r="BI872" s="2171">
        <f t="shared" si="1876"/>
        <v>0</v>
      </c>
      <c r="BJ872" s="2171">
        <f t="shared" si="1876"/>
        <v>0</v>
      </c>
      <c r="BK872" s="2172">
        <f t="shared" si="1856"/>
        <v>0</v>
      </c>
      <c r="BL872" s="2171">
        <f t="shared" si="1877"/>
        <v>0</v>
      </c>
      <c r="BM872" s="2171">
        <f t="shared" si="1877"/>
        <v>0</v>
      </c>
      <c r="BN872" s="2172">
        <f t="shared" si="1857"/>
        <v>0</v>
      </c>
      <c r="BO872" s="2171">
        <f t="shared" si="1878"/>
        <v>0</v>
      </c>
      <c r="BP872" s="2171">
        <f t="shared" si="1878"/>
        <v>0</v>
      </c>
      <c r="BQ872" s="2172">
        <f t="shared" si="1858"/>
        <v>0</v>
      </c>
    </row>
    <row r="873" spans="3:69" ht="12" hidden="1" customHeight="1">
      <c r="C873" s="2424" t="s">
        <v>3068</v>
      </c>
      <c r="D873" s="2383" t="s">
        <v>28</v>
      </c>
      <c r="E873" s="2349" t="s">
        <v>3052</v>
      </c>
      <c r="F873" s="2176"/>
      <c r="G873" s="2179">
        <f t="shared" si="1859"/>
        <v>0</v>
      </c>
      <c r="H873" s="2179">
        <f t="shared" si="1859"/>
        <v>0</v>
      </c>
      <c r="I873" s="2178">
        <f t="shared" si="1839"/>
        <v>0</v>
      </c>
      <c r="J873" s="2176"/>
      <c r="K873" s="2179">
        <f t="shared" si="1860"/>
        <v>0</v>
      </c>
      <c r="L873" s="2179">
        <f t="shared" si="1860"/>
        <v>0</v>
      </c>
      <c r="M873" s="2178">
        <f t="shared" si="1840"/>
        <v>0</v>
      </c>
      <c r="N873" s="2179">
        <f t="shared" si="1861"/>
        <v>0</v>
      </c>
      <c r="O873" s="2179">
        <f t="shared" si="1861"/>
        <v>0</v>
      </c>
      <c r="P873" s="2178">
        <f t="shared" si="1841"/>
        <v>0</v>
      </c>
      <c r="Q873" s="2179">
        <f t="shared" si="1862"/>
        <v>0</v>
      </c>
      <c r="R873" s="2179">
        <f t="shared" si="1862"/>
        <v>0</v>
      </c>
      <c r="S873" s="2178">
        <f t="shared" si="1842"/>
        <v>0</v>
      </c>
      <c r="T873" s="2179">
        <f t="shared" si="1863"/>
        <v>0</v>
      </c>
      <c r="U873" s="2179">
        <f t="shared" si="1863"/>
        <v>0</v>
      </c>
      <c r="V873" s="2178">
        <f t="shared" si="1843"/>
        <v>0</v>
      </c>
      <c r="W873" s="2179">
        <f t="shared" si="1864"/>
        <v>0</v>
      </c>
      <c r="X873" s="2179">
        <f t="shared" si="1864"/>
        <v>0</v>
      </c>
      <c r="Y873" s="2178">
        <f t="shared" si="1844"/>
        <v>0</v>
      </c>
      <c r="Z873" s="2179">
        <f t="shared" si="1865"/>
        <v>0</v>
      </c>
      <c r="AA873" s="2179">
        <f t="shared" si="1865"/>
        <v>0</v>
      </c>
      <c r="AB873" s="2178">
        <f t="shared" si="1845"/>
        <v>0</v>
      </c>
      <c r="AC873" s="2179">
        <f t="shared" si="1866"/>
        <v>0</v>
      </c>
      <c r="AD873" s="2179">
        <f t="shared" si="1866"/>
        <v>0</v>
      </c>
      <c r="AE873" s="2178">
        <f t="shared" si="1846"/>
        <v>0</v>
      </c>
      <c r="AF873" s="2281"/>
      <c r="AG873" s="2145"/>
      <c r="AH873" s="2188">
        <f t="shared" si="1867"/>
        <v>0</v>
      </c>
      <c r="AI873" s="2188">
        <f t="shared" si="1867"/>
        <v>0</v>
      </c>
      <c r="AJ873" s="2186">
        <f t="shared" si="1847"/>
        <v>0</v>
      </c>
      <c r="AK873" s="2188">
        <f t="shared" si="1868"/>
        <v>0</v>
      </c>
      <c r="AL873" s="2188">
        <f t="shared" si="1868"/>
        <v>0</v>
      </c>
      <c r="AM873" s="2186">
        <f t="shared" si="1848"/>
        <v>0</v>
      </c>
      <c r="AN873" s="2188">
        <f t="shared" si="1869"/>
        <v>0</v>
      </c>
      <c r="AO873" s="2188">
        <f t="shared" si="1869"/>
        <v>0</v>
      </c>
      <c r="AP873" s="2186">
        <f t="shared" si="1849"/>
        <v>0</v>
      </c>
      <c r="AQ873" s="2188">
        <f t="shared" si="1870"/>
        <v>0</v>
      </c>
      <c r="AR873" s="2188">
        <f t="shared" si="1870"/>
        <v>0</v>
      </c>
      <c r="AS873" s="2186">
        <f t="shared" si="1850"/>
        <v>0</v>
      </c>
      <c r="AT873" s="2188">
        <f t="shared" si="1871"/>
        <v>0</v>
      </c>
      <c r="AU873" s="2188">
        <f t="shared" si="1871"/>
        <v>0</v>
      </c>
      <c r="AV873" s="2186">
        <f t="shared" si="1851"/>
        <v>0</v>
      </c>
      <c r="AW873" s="2188">
        <f t="shared" si="1872"/>
        <v>0</v>
      </c>
      <c r="AX873" s="2188">
        <f t="shared" si="1872"/>
        <v>0</v>
      </c>
      <c r="AY873" s="2186">
        <f t="shared" si="1852"/>
        <v>0</v>
      </c>
      <c r="AZ873" s="2188">
        <f t="shared" si="1873"/>
        <v>0</v>
      </c>
      <c r="BA873" s="2188">
        <f t="shared" si="1873"/>
        <v>0</v>
      </c>
      <c r="BB873" s="2186">
        <f t="shared" si="1853"/>
        <v>0</v>
      </c>
      <c r="BC873" s="2188">
        <f t="shared" si="1874"/>
        <v>0</v>
      </c>
      <c r="BD873" s="2188">
        <f t="shared" si="1874"/>
        <v>0</v>
      </c>
      <c r="BE873" s="2186">
        <f t="shared" si="1854"/>
        <v>0</v>
      </c>
      <c r="BF873" s="2188">
        <f t="shared" si="1875"/>
        <v>0</v>
      </c>
      <c r="BG873" s="2188">
        <f t="shared" si="1875"/>
        <v>0</v>
      </c>
      <c r="BH873" s="2186">
        <f t="shared" si="1855"/>
        <v>0</v>
      </c>
      <c r="BI873" s="2188">
        <f t="shared" si="1876"/>
        <v>0</v>
      </c>
      <c r="BJ873" s="2188">
        <f t="shared" si="1876"/>
        <v>0</v>
      </c>
      <c r="BK873" s="2186">
        <f t="shared" si="1856"/>
        <v>0</v>
      </c>
      <c r="BL873" s="2188">
        <f t="shared" si="1877"/>
        <v>0</v>
      </c>
      <c r="BM873" s="2188">
        <f t="shared" si="1877"/>
        <v>0</v>
      </c>
      <c r="BN873" s="2186">
        <f t="shared" si="1857"/>
        <v>0</v>
      </c>
      <c r="BO873" s="2188">
        <f t="shared" si="1878"/>
        <v>0</v>
      </c>
      <c r="BP873" s="2188">
        <f t="shared" si="1878"/>
        <v>0</v>
      </c>
      <c r="BQ873" s="2186">
        <f t="shared" si="1858"/>
        <v>0</v>
      </c>
    </row>
    <row r="874" spans="3:69" ht="12" hidden="1" customHeight="1">
      <c r="C874" s="2423" t="s">
        <v>3069</v>
      </c>
      <c r="D874" s="2421" t="s">
        <v>2434</v>
      </c>
      <c r="E874" s="2335" t="s">
        <v>3052</v>
      </c>
      <c r="F874" s="2176"/>
      <c r="G874" s="2179">
        <f t="shared" si="1859"/>
        <v>0</v>
      </c>
      <c r="H874" s="2179">
        <f t="shared" si="1859"/>
        <v>0</v>
      </c>
      <c r="I874" s="2178">
        <f t="shared" si="1839"/>
        <v>0</v>
      </c>
      <c r="J874" s="2176"/>
      <c r="K874" s="2179">
        <f t="shared" si="1860"/>
        <v>0</v>
      </c>
      <c r="L874" s="2179">
        <f t="shared" si="1860"/>
        <v>0</v>
      </c>
      <c r="M874" s="2178">
        <f t="shared" si="1840"/>
        <v>0</v>
      </c>
      <c r="N874" s="2179">
        <f t="shared" si="1861"/>
        <v>0</v>
      </c>
      <c r="O874" s="2179">
        <f t="shared" si="1861"/>
        <v>0</v>
      </c>
      <c r="P874" s="2178">
        <f t="shared" si="1841"/>
        <v>0</v>
      </c>
      <c r="Q874" s="2179">
        <f t="shared" si="1862"/>
        <v>0</v>
      </c>
      <c r="R874" s="2179">
        <f t="shared" si="1862"/>
        <v>0</v>
      </c>
      <c r="S874" s="2178">
        <f t="shared" si="1842"/>
        <v>0</v>
      </c>
      <c r="T874" s="2179">
        <f t="shared" si="1863"/>
        <v>0</v>
      </c>
      <c r="U874" s="2179">
        <f t="shared" si="1863"/>
        <v>0</v>
      </c>
      <c r="V874" s="2178">
        <f t="shared" si="1843"/>
        <v>0</v>
      </c>
      <c r="W874" s="2179">
        <f t="shared" si="1864"/>
        <v>0</v>
      </c>
      <c r="X874" s="2179">
        <f t="shared" si="1864"/>
        <v>0</v>
      </c>
      <c r="Y874" s="2178">
        <f t="shared" si="1844"/>
        <v>0</v>
      </c>
      <c r="Z874" s="2179">
        <f t="shared" si="1865"/>
        <v>0</v>
      </c>
      <c r="AA874" s="2179">
        <f t="shared" si="1865"/>
        <v>0</v>
      </c>
      <c r="AB874" s="2178">
        <f t="shared" si="1845"/>
        <v>0</v>
      </c>
      <c r="AC874" s="2179">
        <f t="shared" si="1866"/>
        <v>0</v>
      </c>
      <c r="AD874" s="2179">
        <f t="shared" si="1866"/>
        <v>0</v>
      </c>
      <c r="AE874" s="2178">
        <f t="shared" si="1846"/>
        <v>0</v>
      </c>
      <c r="AF874" s="2281"/>
      <c r="AG874" s="2145"/>
      <c r="AH874" s="2188">
        <f t="shared" si="1867"/>
        <v>0</v>
      </c>
      <c r="AI874" s="2188">
        <f t="shared" si="1867"/>
        <v>0</v>
      </c>
      <c r="AJ874" s="2186">
        <f t="shared" si="1847"/>
        <v>0</v>
      </c>
      <c r="AK874" s="2188">
        <f t="shared" si="1868"/>
        <v>0</v>
      </c>
      <c r="AL874" s="2188">
        <f t="shared" si="1868"/>
        <v>0</v>
      </c>
      <c r="AM874" s="2186">
        <f t="shared" si="1848"/>
        <v>0</v>
      </c>
      <c r="AN874" s="2188">
        <f t="shared" si="1869"/>
        <v>0</v>
      </c>
      <c r="AO874" s="2188">
        <f t="shared" si="1869"/>
        <v>0</v>
      </c>
      <c r="AP874" s="2186">
        <f t="shared" si="1849"/>
        <v>0</v>
      </c>
      <c r="AQ874" s="2188">
        <f t="shared" si="1870"/>
        <v>0</v>
      </c>
      <c r="AR874" s="2188">
        <f t="shared" si="1870"/>
        <v>0</v>
      </c>
      <c r="AS874" s="2186">
        <f t="shared" si="1850"/>
        <v>0</v>
      </c>
      <c r="AT874" s="2188">
        <f t="shared" si="1871"/>
        <v>0</v>
      </c>
      <c r="AU874" s="2188">
        <f t="shared" si="1871"/>
        <v>0</v>
      </c>
      <c r="AV874" s="2186">
        <f t="shared" si="1851"/>
        <v>0</v>
      </c>
      <c r="AW874" s="2188">
        <f t="shared" si="1872"/>
        <v>0</v>
      </c>
      <c r="AX874" s="2188">
        <f t="shared" si="1872"/>
        <v>0</v>
      </c>
      <c r="AY874" s="2186">
        <f t="shared" si="1852"/>
        <v>0</v>
      </c>
      <c r="AZ874" s="2188">
        <f t="shared" si="1873"/>
        <v>0</v>
      </c>
      <c r="BA874" s="2188">
        <f t="shared" si="1873"/>
        <v>0</v>
      </c>
      <c r="BB874" s="2186">
        <f t="shared" si="1853"/>
        <v>0</v>
      </c>
      <c r="BC874" s="2188">
        <f t="shared" si="1874"/>
        <v>0</v>
      </c>
      <c r="BD874" s="2188">
        <f t="shared" si="1874"/>
        <v>0</v>
      </c>
      <c r="BE874" s="2186">
        <f t="shared" si="1854"/>
        <v>0</v>
      </c>
      <c r="BF874" s="2188">
        <f t="shared" si="1875"/>
        <v>0</v>
      </c>
      <c r="BG874" s="2188">
        <f t="shared" si="1875"/>
        <v>0</v>
      </c>
      <c r="BH874" s="2186">
        <f t="shared" si="1855"/>
        <v>0</v>
      </c>
      <c r="BI874" s="2188">
        <f t="shared" si="1876"/>
        <v>0</v>
      </c>
      <c r="BJ874" s="2188">
        <f t="shared" si="1876"/>
        <v>0</v>
      </c>
      <c r="BK874" s="2186">
        <f t="shared" si="1856"/>
        <v>0</v>
      </c>
      <c r="BL874" s="2188">
        <f t="shared" si="1877"/>
        <v>0</v>
      </c>
      <c r="BM874" s="2188">
        <f t="shared" si="1877"/>
        <v>0</v>
      </c>
      <c r="BN874" s="2186">
        <f t="shared" si="1857"/>
        <v>0</v>
      </c>
      <c r="BO874" s="2188">
        <f t="shared" si="1878"/>
        <v>0</v>
      </c>
      <c r="BP874" s="2188">
        <f t="shared" si="1878"/>
        <v>0</v>
      </c>
      <c r="BQ874" s="2186">
        <f t="shared" si="1858"/>
        <v>0</v>
      </c>
    </row>
    <row r="875" spans="3:69" ht="12" hidden="1" customHeight="1">
      <c r="C875" s="2424" t="s">
        <v>3070</v>
      </c>
      <c r="D875" s="2383" t="s">
        <v>42</v>
      </c>
      <c r="E875" s="2349" t="s">
        <v>3052</v>
      </c>
      <c r="F875" s="2176"/>
      <c r="G875" s="2179">
        <f>IFERROR((G905+G903)/(G849+G847),0)</f>
        <v>0</v>
      </c>
      <c r="H875" s="2179">
        <f>IFERROR((H905+H903)/(H849+H847),0)</f>
        <v>0</v>
      </c>
      <c r="I875" s="2178">
        <f t="shared" si="1839"/>
        <v>0</v>
      </c>
      <c r="J875" s="2176"/>
      <c r="K875" s="2179">
        <f>IFERROR((K905+K903)/(K849+K847),0)</f>
        <v>0</v>
      </c>
      <c r="L875" s="2179">
        <f>IFERROR((L905+L903)/(L849+L847),0)</f>
        <v>0</v>
      </c>
      <c r="M875" s="2178">
        <f t="shared" si="1840"/>
        <v>0</v>
      </c>
      <c r="N875" s="2179">
        <f>IFERROR((N905+N903)/(N849+N847),0)</f>
        <v>0</v>
      </c>
      <c r="O875" s="2179">
        <f>IFERROR((O905+O903)/(O849+O847),0)</f>
        <v>0</v>
      </c>
      <c r="P875" s="2178">
        <f t="shared" si="1841"/>
        <v>0</v>
      </c>
      <c r="Q875" s="2179">
        <f>IFERROR((Q905+Q903)/(Q849+Q847),0)</f>
        <v>0</v>
      </c>
      <c r="R875" s="2179">
        <f>IFERROR((R905+R903)/(R849+R847),0)</f>
        <v>0</v>
      </c>
      <c r="S875" s="2178">
        <f t="shared" si="1842"/>
        <v>0</v>
      </c>
      <c r="T875" s="2179">
        <f>IFERROR((T905+T903)/(T849+T847),0)</f>
        <v>0</v>
      </c>
      <c r="U875" s="2179">
        <f>IFERROR((U905+U903)/(U849+U847),0)</f>
        <v>0</v>
      </c>
      <c r="V875" s="2178">
        <f t="shared" si="1843"/>
        <v>0</v>
      </c>
      <c r="W875" s="2179">
        <f>IFERROR((W905+W903)/(W849+W847),0)</f>
        <v>0</v>
      </c>
      <c r="X875" s="2179">
        <f>IFERROR((X905+X903)/(X849+X847),0)</f>
        <v>0</v>
      </c>
      <c r="Y875" s="2178">
        <f t="shared" si="1844"/>
        <v>0</v>
      </c>
      <c r="Z875" s="2179">
        <f>IFERROR((Z905+Z903)/(Z849+Z847),0)</f>
        <v>0</v>
      </c>
      <c r="AA875" s="2179">
        <f>IFERROR((AA905+AA903)/(AA849+AA847),0)</f>
        <v>0</v>
      </c>
      <c r="AB875" s="2178">
        <f t="shared" si="1845"/>
        <v>0</v>
      </c>
      <c r="AC875" s="2179">
        <f>IFERROR((AC905+AC903)/(AC849+AC847),0)</f>
        <v>0</v>
      </c>
      <c r="AD875" s="2179">
        <f>IFERROR((AD905+AD903)/(AD849+AD847),0)</f>
        <v>0</v>
      </c>
      <c r="AE875" s="2178">
        <f t="shared" si="1846"/>
        <v>0</v>
      </c>
      <c r="AF875" s="2281"/>
      <c r="AG875" s="2145"/>
      <c r="AH875" s="2188">
        <f>IFERROR((AH905+AH903)/(AH849+AH847),0)</f>
        <v>0</v>
      </c>
      <c r="AI875" s="2188">
        <f>IFERROR((AI905+AI903)/(AI849+AI847),0)</f>
        <v>0</v>
      </c>
      <c r="AJ875" s="2186">
        <f t="shared" si="1847"/>
        <v>0</v>
      </c>
      <c r="AK875" s="2188">
        <f>IFERROR((AK905+AK903)/(AK849+AK847),0)</f>
        <v>0</v>
      </c>
      <c r="AL875" s="2188">
        <f>IFERROR((AL905+AL903)/(AL849+AL847),0)</f>
        <v>0</v>
      </c>
      <c r="AM875" s="2186">
        <f t="shared" si="1848"/>
        <v>0</v>
      </c>
      <c r="AN875" s="2188">
        <f>IFERROR((AN905+AN903)/(AN849+AN847),0)</f>
        <v>0</v>
      </c>
      <c r="AO875" s="2188">
        <f>IFERROR((AO905+AO903)/(AO849+AO847),0)</f>
        <v>0</v>
      </c>
      <c r="AP875" s="2186">
        <f t="shared" si="1849"/>
        <v>0</v>
      </c>
      <c r="AQ875" s="2188">
        <f>IFERROR((AQ905+AQ903)/(AQ849+AQ847),0)</f>
        <v>0</v>
      </c>
      <c r="AR875" s="2188">
        <f>IFERROR((AR905+AR903)/(AR849+AR847),0)</f>
        <v>0</v>
      </c>
      <c r="AS875" s="2186">
        <f t="shared" si="1850"/>
        <v>0</v>
      </c>
      <c r="AT875" s="2188">
        <f>IFERROR((AT905+AT903)/(AT849+AT847),0)</f>
        <v>0</v>
      </c>
      <c r="AU875" s="2188">
        <f>IFERROR((AU905+AU903)/(AU849+AU847),0)</f>
        <v>0</v>
      </c>
      <c r="AV875" s="2186">
        <f t="shared" si="1851"/>
        <v>0</v>
      </c>
      <c r="AW875" s="2188">
        <f>IFERROR((AW905+AW903)/(AW849+AW847),0)</f>
        <v>0</v>
      </c>
      <c r="AX875" s="2188">
        <f>IFERROR((AX905+AX903)/(AX849+AX847),0)</f>
        <v>0</v>
      </c>
      <c r="AY875" s="2186">
        <f t="shared" si="1852"/>
        <v>0</v>
      </c>
      <c r="AZ875" s="2188">
        <f>IFERROR((AZ905+AZ903)/(AZ849+AZ847),0)</f>
        <v>0</v>
      </c>
      <c r="BA875" s="2188">
        <f>IFERROR((BA905+BA903)/(BA849+BA847),0)</f>
        <v>0</v>
      </c>
      <c r="BB875" s="2186">
        <f t="shared" si="1853"/>
        <v>0</v>
      </c>
      <c r="BC875" s="2188">
        <f>IFERROR((BC905+BC903)/(BC849+BC847),0)</f>
        <v>0</v>
      </c>
      <c r="BD875" s="2188">
        <f>IFERROR((BD905+BD903)/(BD849+BD847),0)</f>
        <v>0</v>
      </c>
      <c r="BE875" s="2186">
        <f t="shared" si="1854"/>
        <v>0</v>
      </c>
      <c r="BF875" s="2188">
        <f>IFERROR((BF905+BF903)/(BF849+BF847),0)</f>
        <v>0</v>
      </c>
      <c r="BG875" s="2188">
        <f>IFERROR((BG905+BG903)/(BG849+BG847),0)</f>
        <v>0</v>
      </c>
      <c r="BH875" s="2186">
        <f t="shared" si="1855"/>
        <v>0</v>
      </c>
      <c r="BI875" s="2188">
        <f>IFERROR((BI905+BI903)/(BI849+BI847),0)</f>
        <v>0</v>
      </c>
      <c r="BJ875" s="2188">
        <f>IFERROR((BJ905+BJ903)/(BJ849+BJ847),0)</f>
        <v>0</v>
      </c>
      <c r="BK875" s="2186">
        <f t="shared" si="1856"/>
        <v>0</v>
      </c>
      <c r="BL875" s="2188">
        <f>IFERROR((BL905+BL903)/(BL849+BL847),0)</f>
        <v>0</v>
      </c>
      <c r="BM875" s="2188">
        <f>IFERROR((BM905+BM903)/(BM849+BM847),0)</f>
        <v>0</v>
      </c>
      <c r="BN875" s="2186">
        <f t="shared" si="1857"/>
        <v>0</v>
      </c>
      <c r="BO875" s="2188">
        <f>IFERROR((BO905+BO903)/(BO849+BO847),0)</f>
        <v>0</v>
      </c>
      <c r="BP875" s="2188">
        <f>IFERROR((BP905+BP903)/(BP849+BP847),0)</f>
        <v>0</v>
      </c>
      <c r="BQ875" s="2186">
        <f t="shared" si="1858"/>
        <v>0</v>
      </c>
    </row>
    <row r="876" spans="3:69" ht="12" hidden="1" customHeight="1">
      <c r="C876" s="2423" t="s">
        <v>3071</v>
      </c>
      <c r="D876" s="2421" t="s">
        <v>2434</v>
      </c>
      <c r="E876" s="2335" t="s">
        <v>3052</v>
      </c>
      <c r="F876" s="2427"/>
      <c r="G876" s="2179">
        <f>IFERROR((G906+G904)/(G850+G848),0)</f>
        <v>0</v>
      </c>
      <c r="H876" s="2179">
        <f>IFERROR((H906+H904)/(H850+H848),0)</f>
        <v>0</v>
      </c>
      <c r="I876" s="2178">
        <f t="shared" si="1839"/>
        <v>0</v>
      </c>
      <c r="J876" s="2427"/>
      <c r="K876" s="2179">
        <f>IFERROR((K906+K904)/(K850+K848),0)</f>
        <v>0</v>
      </c>
      <c r="L876" s="2179">
        <f>IFERROR((L906+L904)/(L850+L848),0)</f>
        <v>0</v>
      </c>
      <c r="M876" s="2178">
        <f t="shared" si="1840"/>
        <v>0</v>
      </c>
      <c r="N876" s="2179">
        <f>IFERROR((N906+N904)/(N850+N848),0)</f>
        <v>0</v>
      </c>
      <c r="O876" s="2179">
        <f>IFERROR((O906+O904)/(O850+O848),0)</f>
        <v>0</v>
      </c>
      <c r="P876" s="2178">
        <f t="shared" si="1841"/>
        <v>0</v>
      </c>
      <c r="Q876" s="2179">
        <f>IFERROR((Q906+Q904)/(Q850+Q848),0)</f>
        <v>0</v>
      </c>
      <c r="R876" s="2179">
        <f>IFERROR((R906+R904)/(R850+R848),0)</f>
        <v>0</v>
      </c>
      <c r="S876" s="2178">
        <f t="shared" si="1842"/>
        <v>0</v>
      </c>
      <c r="T876" s="2179">
        <f>IFERROR((T906+T904)/(T850+T848),0)</f>
        <v>0</v>
      </c>
      <c r="U876" s="2179">
        <f>IFERROR((U906+U904)/(U850+U848),0)</f>
        <v>0</v>
      </c>
      <c r="V876" s="2178">
        <f t="shared" si="1843"/>
        <v>0</v>
      </c>
      <c r="W876" s="2179">
        <f>IFERROR((W906+W904)/(W850+W848),0)</f>
        <v>0</v>
      </c>
      <c r="X876" s="2179">
        <f>IFERROR((X906+X904)/(X850+X848),0)</f>
        <v>0</v>
      </c>
      <c r="Y876" s="2178">
        <f t="shared" si="1844"/>
        <v>0</v>
      </c>
      <c r="Z876" s="2179">
        <f>IFERROR((Z906+Z904)/(Z850+Z848),0)</f>
        <v>0</v>
      </c>
      <c r="AA876" s="2179">
        <f>IFERROR((AA906+AA904)/(AA850+AA848),0)</f>
        <v>0</v>
      </c>
      <c r="AB876" s="2178">
        <f t="shared" si="1845"/>
        <v>0</v>
      </c>
      <c r="AC876" s="2179">
        <f>IFERROR((AC906+AC904)/(AC850+AC848),0)</f>
        <v>0</v>
      </c>
      <c r="AD876" s="2179">
        <f>IFERROR((AD906+AD904)/(AD850+AD848),0)</f>
        <v>0</v>
      </c>
      <c r="AE876" s="2178">
        <f t="shared" si="1846"/>
        <v>0</v>
      </c>
      <c r="AF876" s="2281"/>
      <c r="AG876" s="2145"/>
      <c r="AH876" s="2188">
        <f>IFERROR((AH906+AH904)/(AH850+AH848),0)</f>
        <v>0</v>
      </c>
      <c r="AI876" s="2188">
        <f>IFERROR((AI906+AI904)/(AI850+AI848),0)</f>
        <v>0</v>
      </c>
      <c r="AJ876" s="2186">
        <f t="shared" si="1847"/>
        <v>0</v>
      </c>
      <c r="AK876" s="2188">
        <f>IFERROR((AK906+AK904)/(AK850+AK848),0)</f>
        <v>0</v>
      </c>
      <c r="AL876" s="2188">
        <f>IFERROR((AL906+AL904)/(AL850+AL848),0)</f>
        <v>0</v>
      </c>
      <c r="AM876" s="2186">
        <f t="shared" si="1848"/>
        <v>0</v>
      </c>
      <c r="AN876" s="2188">
        <f>IFERROR((AN906+AN904)/(AN850+AN848),0)</f>
        <v>0</v>
      </c>
      <c r="AO876" s="2188">
        <f>IFERROR((AO906+AO904)/(AO850+AO848),0)</f>
        <v>0</v>
      </c>
      <c r="AP876" s="2186">
        <f t="shared" si="1849"/>
        <v>0</v>
      </c>
      <c r="AQ876" s="2188">
        <f>IFERROR((AQ906+AQ904)/(AQ850+AQ848),0)</f>
        <v>0</v>
      </c>
      <c r="AR876" s="2188">
        <f>IFERROR((AR906+AR904)/(AR850+AR848),0)</f>
        <v>0</v>
      </c>
      <c r="AS876" s="2186">
        <f t="shared" si="1850"/>
        <v>0</v>
      </c>
      <c r="AT876" s="2188">
        <f>IFERROR((AT906+AT904)/(AT850+AT848),0)</f>
        <v>0</v>
      </c>
      <c r="AU876" s="2188">
        <f>IFERROR((AU906+AU904)/(AU850+AU848),0)</f>
        <v>0</v>
      </c>
      <c r="AV876" s="2186">
        <f t="shared" si="1851"/>
        <v>0</v>
      </c>
      <c r="AW876" s="2188">
        <f>IFERROR((AW906+AW904)/(AW850+AW848),0)</f>
        <v>0</v>
      </c>
      <c r="AX876" s="2188">
        <f>IFERROR((AX906+AX904)/(AX850+AX848),0)</f>
        <v>0</v>
      </c>
      <c r="AY876" s="2186">
        <f t="shared" si="1852"/>
        <v>0</v>
      </c>
      <c r="AZ876" s="2188">
        <f>IFERROR((AZ906+AZ904)/(AZ850+AZ848),0)</f>
        <v>0</v>
      </c>
      <c r="BA876" s="2188">
        <f>IFERROR((BA906+BA904)/(BA850+BA848),0)</f>
        <v>0</v>
      </c>
      <c r="BB876" s="2186">
        <f t="shared" si="1853"/>
        <v>0</v>
      </c>
      <c r="BC876" s="2188">
        <f>IFERROR((BC906+BC904)/(BC850+BC848),0)</f>
        <v>0</v>
      </c>
      <c r="BD876" s="2188">
        <f>IFERROR((BD906+BD904)/(BD850+BD848),0)</f>
        <v>0</v>
      </c>
      <c r="BE876" s="2186">
        <f t="shared" si="1854"/>
        <v>0</v>
      </c>
      <c r="BF876" s="2188">
        <f>IFERROR((BF906+BF904)/(BF850+BF848),0)</f>
        <v>0</v>
      </c>
      <c r="BG876" s="2188">
        <f>IFERROR((BG906+BG904)/(BG850+BG848),0)</f>
        <v>0</v>
      </c>
      <c r="BH876" s="2186">
        <f t="shared" si="1855"/>
        <v>0</v>
      </c>
      <c r="BI876" s="2188">
        <f>IFERROR((BI906+BI904)/(BI850+BI848),0)</f>
        <v>0</v>
      </c>
      <c r="BJ876" s="2188">
        <f>IFERROR((BJ906+BJ904)/(BJ850+BJ848),0)</f>
        <v>0</v>
      </c>
      <c r="BK876" s="2186">
        <f t="shared" si="1856"/>
        <v>0</v>
      </c>
      <c r="BL876" s="2188">
        <f>IFERROR((BL906+BL904)/(BL850+BL848),0)</f>
        <v>0</v>
      </c>
      <c r="BM876" s="2188">
        <f>IFERROR((BM906+BM904)/(BM850+BM848),0)</f>
        <v>0</v>
      </c>
      <c r="BN876" s="2186">
        <f t="shared" si="1857"/>
        <v>0</v>
      </c>
      <c r="BO876" s="2188">
        <f>IFERROR((BO906+BO904)/(BO850+BO848),0)</f>
        <v>0</v>
      </c>
      <c r="BP876" s="2188">
        <f>IFERROR((BP906+BP904)/(BP850+BP848),0)</f>
        <v>0</v>
      </c>
      <c r="BQ876" s="2186">
        <f t="shared" si="1858"/>
        <v>0</v>
      </c>
    </row>
    <row r="877" spans="3:69" s="2207" customFormat="1" ht="12" hidden="1" customHeight="1">
      <c r="C877" s="2429" t="s">
        <v>3072</v>
      </c>
      <c r="D877" s="2430" t="s">
        <v>3073</v>
      </c>
      <c r="E877" s="2451" t="s">
        <v>3052</v>
      </c>
      <c r="F877" s="2432"/>
      <c r="G877" s="2452">
        <f t="shared" ref="G877:H883" si="1879">IFERROR(G907/G851,0)</f>
        <v>0</v>
      </c>
      <c r="H877" s="2452">
        <f t="shared" si="1879"/>
        <v>0</v>
      </c>
      <c r="I877" s="2164">
        <f t="shared" si="1839"/>
        <v>0</v>
      </c>
      <c r="J877" s="2432"/>
      <c r="K877" s="2452">
        <f t="shared" ref="K877:L883" si="1880">IFERROR(K907/K851,0)</f>
        <v>0</v>
      </c>
      <c r="L877" s="2452">
        <f t="shared" si="1880"/>
        <v>0</v>
      </c>
      <c r="M877" s="2164">
        <f t="shared" si="1840"/>
        <v>0</v>
      </c>
      <c r="N877" s="2452">
        <f t="shared" ref="N877:O883" si="1881">IFERROR(N907/N851,0)</f>
        <v>0</v>
      </c>
      <c r="O877" s="2452">
        <f t="shared" si="1881"/>
        <v>0</v>
      </c>
      <c r="P877" s="2164">
        <f t="shared" si="1841"/>
        <v>0</v>
      </c>
      <c r="Q877" s="2452">
        <f t="shared" ref="Q877:R883" si="1882">IFERROR(Q907/Q851,0)</f>
        <v>0</v>
      </c>
      <c r="R877" s="2452">
        <f t="shared" si="1882"/>
        <v>0</v>
      </c>
      <c r="S877" s="2164">
        <f t="shared" si="1842"/>
        <v>0</v>
      </c>
      <c r="T877" s="2452">
        <f t="shared" ref="T877:U883" si="1883">IFERROR(T907/T851,0)</f>
        <v>0</v>
      </c>
      <c r="U877" s="2452">
        <f t="shared" si="1883"/>
        <v>0</v>
      </c>
      <c r="V877" s="2164">
        <f t="shared" si="1843"/>
        <v>0</v>
      </c>
      <c r="W877" s="2452">
        <f t="shared" ref="W877:X883" si="1884">IFERROR(W907/W851,0)</f>
        <v>0</v>
      </c>
      <c r="X877" s="2452">
        <f t="shared" si="1884"/>
        <v>0</v>
      </c>
      <c r="Y877" s="2164">
        <f t="shared" si="1844"/>
        <v>0</v>
      </c>
      <c r="Z877" s="2452">
        <f t="shared" ref="Z877:AA883" si="1885">IFERROR(Z907/Z851,0)</f>
        <v>0</v>
      </c>
      <c r="AA877" s="2452">
        <f t="shared" si="1885"/>
        <v>0</v>
      </c>
      <c r="AB877" s="2164">
        <f t="shared" si="1845"/>
        <v>0</v>
      </c>
      <c r="AC877" s="2452">
        <f t="shared" ref="AC877:AD883" si="1886">IFERROR(AC907/AC851,0)</f>
        <v>0</v>
      </c>
      <c r="AD877" s="2452">
        <f t="shared" si="1886"/>
        <v>0</v>
      </c>
      <c r="AE877" s="2164">
        <f t="shared" si="1846"/>
        <v>0</v>
      </c>
      <c r="AF877" s="2281"/>
      <c r="AG877" s="2206"/>
      <c r="AH877" s="2453">
        <f t="shared" ref="AH877:AI883" si="1887">IFERROR(AH907/AH851,0)</f>
        <v>0</v>
      </c>
      <c r="AI877" s="2453">
        <f t="shared" si="1887"/>
        <v>0</v>
      </c>
      <c r="AJ877" s="2172">
        <f t="shared" si="1847"/>
        <v>0</v>
      </c>
      <c r="AK877" s="2453">
        <f t="shared" ref="AK877:AL883" si="1888">IFERROR(AK907/AK851,0)</f>
        <v>0</v>
      </c>
      <c r="AL877" s="2453">
        <f t="shared" si="1888"/>
        <v>0</v>
      </c>
      <c r="AM877" s="2172">
        <f t="shared" si="1848"/>
        <v>0</v>
      </c>
      <c r="AN877" s="2453">
        <f t="shared" ref="AN877:AO883" si="1889">IFERROR(AN907/AN851,0)</f>
        <v>0</v>
      </c>
      <c r="AO877" s="2453">
        <f t="shared" si="1889"/>
        <v>0</v>
      </c>
      <c r="AP877" s="2172">
        <f t="shared" si="1849"/>
        <v>0</v>
      </c>
      <c r="AQ877" s="2453">
        <f t="shared" ref="AQ877:AR883" si="1890">IFERROR(AQ907/AQ851,0)</f>
        <v>0</v>
      </c>
      <c r="AR877" s="2453">
        <f t="shared" si="1890"/>
        <v>0</v>
      </c>
      <c r="AS877" s="2172">
        <f t="shared" si="1850"/>
        <v>0</v>
      </c>
      <c r="AT877" s="2453">
        <f t="shared" ref="AT877:AU883" si="1891">IFERROR(AT907/AT851,0)</f>
        <v>0</v>
      </c>
      <c r="AU877" s="2453">
        <f t="shared" si="1891"/>
        <v>0</v>
      </c>
      <c r="AV877" s="2172">
        <f t="shared" si="1851"/>
        <v>0</v>
      </c>
      <c r="AW877" s="2453">
        <f t="shared" ref="AW877:AX883" si="1892">IFERROR(AW907/AW851,0)</f>
        <v>0</v>
      </c>
      <c r="AX877" s="2453">
        <f t="shared" si="1892"/>
        <v>0</v>
      </c>
      <c r="AY877" s="2172">
        <f t="shared" si="1852"/>
        <v>0</v>
      </c>
      <c r="AZ877" s="2453">
        <f t="shared" ref="AZ877:BA883" si="1893">IFERROR(AZ907/AZ851,0)</f>
        <v>0</v>
      </c>
      <c r="BA877" s="2453">
        <f t="shared" si="1893"/>
        <v>0</v>
      </c>
      <c r="BB877" s="2172">
        <f t="shared" si="1853"/>
        <v>0</v>
      </c>
      <c r="BC877" s="2453">
        <f t="shared" ref="BC877:BD883" si="1894">IFERROR(BC907/BC851,0)</f>
        <v>0</v>
      </c>
      <c r="BD877" s="2453">
        <f t="shared" si="1894"/>
        <v>0</v>
      </c>
      <c r="BE877" s="2172">
        <f t="shared" si="1854"/>
        <v>0</v>
      </c>
      <c r="BF877" s="2453">
        <f t="shared" ref="BF877:BG883" si="1895">IFERROR(BF907/BF851,0)</f>
        <v>0</v>
      </c>
      <c r="BG877" s="2453">
        <f t="shared" si="1895"/>
        <v>0</v>
      </c>
      <c r="BH877" s="2172">
        <f t="shared" si="1855"/>
        <v>0</v>
      </c>
      <c r="BI877" s="2453">
        <f t="shared" ref="BI877:BJ883" si="1896">IFERROR(BI907/BI851,0)</f>
        <v>0</v>
      </c>
      <c r="BJ877" s="2453">
        <f t="shared" si="1896"/>
        <v>0</v>
      </c>
      <c r="BK877" s="2172">
        <f t="shared" si="1856"/>
        <v>0</v>
      </c>
      <c r="BL877" s="2453">
        <f t="shared" ref="BL877:BM883" si="1897">IFERROR(BL907/BL851,0)</f>
        <v>0</v>
      </c>
      <c r="BM877" s="2453">
        <f t="shared" si="1897"/>
        <v>0</v>
      </c>
      <c r="BN877" s="2172">
        <f t="shared" si="1857"/>
        <v>0</v>
      </c>
      <c r="BO877" s="2453">
        <f t="shared" ref="BO877:BP883" si="1898">IFERROR(BO907/BO851,0)</f>
        <v>0</v>
      </c>
      <c r="BP877" s="2453">
        <f t="shared" si="1898"/>
        <v>0</v>
      </c>
      <c r="BQ877" s="2172">
        <f t="shared" si="1858"/>
        <v>0</v>
      </c>
    </row>
    <row r="878" spans="3:69" s="2207" customFormat="1" ht="12" hidden="1" customHeight="1">
      <c r="C878" s="2450" t="s">
        <v>3074</v>
      </c>
      <c r="D878" s="2375" t="s">
        <v>2434</v>
      </c>
      <c r="E878" s="2384" t="s">
        <v>3052</v>
      </c>
      <c r="F878" s="2338"/>
      <c r="G878" s="2339">
        <f t="shared" si="1879"/>
        <v>0</v>
      </c>
      <c r="H878" s="2339">
        <f t="shared" si="1879"/>
        <v>0</v>
      </c>
      <c r="I878" s="2337">
        <f t="shared" si="1839"/>
        <v>0</v>
      </c>
      <c r="J878" s="2338"/>
      <c r="K878" s="2339">
        <f t="shared" si="1880"/>
        <v>0</v>
      </c>
      <c r="L878" s="2339">
        <f t="shared" si="1880"/>
        <v>0</v>
      </c>
      <c r="M878" s="2337">
        <f t="shared" si="1840"/>
        <v>0</v>
      </c>
      <c r="N878" s="2339">
        <f t="shared" si="1881"/>
        <v>0</v>
      </c>
      <c r="O878" s="2339">
        <f t="shared" si="1881"/>
        <v>0</v>
      </c>
      <c r="P878" s="2337">
        <f t="shared" si="1841"/>
        <v>0</v>
      </c>
      <c r="Q878" s="2339">
        <f t="shared" si="1882"/>
        <v>0</v>
      </c>
      <c r="R878" s="2339">
        <f t="shared" si="1882"/>
        <v>0</v>
      </c>
      <c r="S878" s="2337">
        <f t="shared" si="1842"/>
        <v>0</v>
      </c>
      <c r="T878" s="2339">
        <f t="shared" si="1883"/>
        <v>0</v>
      </c>
      <c r="U878" s="2339">
        <f t="shared" si="1883"/>
        <v>0</v>
      </c>
      <c r="V878" s="2337">
        <f t="shared" si="1843"/>
        <v>0</v>
      </c>
      <c r="W878" s="2340">
        <f t="shared" si="1884"/>
        <v>0</v>
      </c>
      <c r="X878" s="2339">
        <f t="shared" si="1884"/>
        <v>0</v>
      </c>
      <c r="Y878" s="2337">
        <f t="shared" si="1844"/>
        <v>0</v>
      </c>
      <c r="Z878" s="2339">
        <f t="shared" si="1885"/>
        <v>0</v>
      </c>
      <c r="AA878" s="2339">
        <f t="shared" si="1885"/>
        <v>0</v>
      </c>
      <c r="AB878" s="2337">
        <f t="shared" si="1845"/>
        <v>0</v>
      </c>
      <c r="AC878" s="2339">
        <f t="shared" si="1886"/>
        <v>0</v>
      </c>
      <c r="AD878" s="2339">
        <f t="shared" si="1886"/>
        <v>0</v>
      </c>
      <c r="AE878" s="2337">
        <f t="shared" si="1846"/>
        <v>0</v>
      </c>
      <c r="AF878" s="2277"/>
      <c r="AG878" s="2206"/>
      <c r="AH878" s="2345">
        <f t="shared" si="1887"/>
        <v>0</v>
      </c>
      <c r="AI878" s="2345">
        <f t="shared" si="1887"/>
        <v>0</v>
      </c>
      <c r="AJ878" s="2346">
        <f t="shared" si="1847"/>
        <v>0</v>
      </c>
      <c r="AK878" s="2345">
        <f t="shared" si="1888"/>
        <v>0</v>
      </c>
      <c r="AL878" s="2345">
        <f t="shared" si="1888"/>
        <v>0</v>
      </c>
      <c r="AM878" s="2346">
        <f t="shared" si="1848"/>
        <v>0</v>
      </c>
      <c r="AN878" s="2345">
        <f t="shared" si="1889"/>
        <v>0</v>
      </c>
      <c r="AO878" s="2345">
        <f t="shared" si="1889"/>
        <v>0</v>
      </c>
      <c r="AP878" s="2346">
        <f t="shared" si="1849"/>
        <v>0</v>
      </c>
      <c r="AQ878" s="2345">
        <f t="shared" si="1890"/>
        <v>0</v>
      </c>
      <c r="AR878" s="2345">
        <f t="shared" si="1890"/>
        <v>0</v>
      </c>
      <c r="AS878" s="2346">
        <f t="shared" si="1850"/>
        <v>0</v>
      </c>
      <c r="AT878" s="2345">
        <f t="shared" si="1891"/>
        <v>0</v>
      </c>
      <c r="AU878" s="2345">
        <f t="shared" si="1891"/>
        <v>0</v>
      </c>
      <c r="AV878" s="2346">
        <f t="shared" si="1851"/>
        <v>0</v>
      </c>
      <c r="AW878" s="2345">
        <f t="shared" si="1892"/>
        <v>0</v>
      </c>
      <c r="AX878" s="2345">
        <f t="shared" si="1892"/>
        <v>0</v>
      </c>
      <c r="AY878" s="2346">
        <f t="shared" si="1852"/>
        <v>0</v>
      </c>
      <c r="AZ878" s="2345">
        <f t="shared" si="1893"/>
        <v>0</v>
      </c>
      <c r="BA878" s="2345">
        <f t="shared" si="1893"/>
        <v>0</v>
      </c>
      <c r="BB878" s="2346">
        <f t="shared" si="1853"/>
        <v>0</v>
      </c>
      <c r="BC878" s="2345">
        <f t="shared" si="1894"/>
        <v>0</v>
      </c>
      <c r="BD878" s="2345">
        <f t="shared" si="1894"/>
        <v>0</v>
      </c>
      <c r="BE878" s="2346">
        <f t="shared" si="1854"/>
        <v>0</v>
      </c>
      <c r="BF878" s="2345">
        <f t="shared" si="1895"/>
        <v>0</v>
      </c>
      <c r="BG878" s="2345">
        <f t="shared" si="1895"/>
        <v>0</v>
      </c>
      <c r="BH878" s="2346">
        <f t="shared" si="1855"/>
        <v>0</v>
      </c>
      <c r="BI878" s="2345">
        <f t="shared" si="1896"/>
        <v>0</v>
      </c>
      <c r="BJ878" s="2345">
        <f t="shared" si="1896"/>
        <v>0</v>
      </c>
      <c r="BK878" s="2346">
        <f t="shared" si="1856"/>
        <v>0</v>
      </c>
      <c r="BL878" s="2345">
        <f t="shared" si="1897"/>
        <v>0</v>
      </c>
      <c r="BM878" s="2345">
        <f t="shared" si="1897"/>
        <v>0</v>
      </c>
      <c r="BN878" s="2346">
        <f t="shared" si="1857"/>
        <v>0</v>
      </c>
      <c r="BO878" s="2345">
        <f t="shared" si="1898"/>
        <v>0</v>
      </c>
      <c r="BP878" s="2345">
        <f t="shared" si="1898"/>
        <v>0</v>
      </c>
      <c r="BQ878" s="2346">
        <f t="shared" si="1858"/>
        <v>0</v>
      </c>
    </row>
    <row r="879" spans="3:69" s="2159" customFormat="1" ht="12" hidden="1" customHeight="1">
      <c r="C879" s="2160" t="s">
        <v>1843</v>
      </c>
      <c r="D879" s="2161" t="s">
        <v>3075</v>
      </c>
      <c r="E879" s="2120" t="s">
        <v>3076</v>
      </c>
      <c r="F879" s="2454"/>
      <c r="G879" s="2455">
        <f t="shared" si="1879"/>
        <v>0</v>
      </c>
      <c r="H879" s="2455">
        <f t="shared" si="1879"/>
        <v>0</v>
      </c>
      <c r="I879" s="2337">
        <f t="shared" si="1839"/>
        <v>0</v>
      </c>
      <c r="J879" s="2454"/>
      <c r="K879" s="2455">
        <f t="shared" si="1880"/>
        <v>0</v>
      </c>
      <c r="L879" s="2455">
        <f t="shared" si="1880"/>
        <v>0</v>
      </c>
      <c r="M879" s="2337">
        <f t="shared" si="1840"/>
        <v>0</v>
      </c>
      <c r="N879" s="2455">
        <f t="shared" si="1881"/>
        <v>0</v>
      </c>
      <c r="O879" s="2455">
        <f t="shared" si="1881"/>
        <v>0</v>
      </c>
      <c r="P879" s="2337">
        <f t="shared" si="1841"/>
        <v>0</v>
      </c>
      <c r="Q879" s="2456">
        <f t="shared" si="1882"/>
        <v>0</v>
      </c>
      <c r="R879" s="2455">
        <f t="shared" si="1882"/>
        <v>0</v>
      </c>
      <c r="S879" s="2337">
        <f t="shared" si="1842"/>
        <v>0</v>
      </c>
      <c r="T879" s="2457">
        <f t="shared" si="1883"/>
        <v>0</v>
      </c>
      <c r="U879" s="2455">
        <f t="shared" si="1883"/>
        <v>0</v>
      </c>
      <c r="V879" s="2337">
        <f t="shared" si="1843"/>
        <v>0</v>
      </c>
      <c r="W879" s="2456">
        <f t="shared" si="1884"/>
        <v>0</v>
      </c>
      <c r="X879" s="2455">
        <f t="shared" si="1884"/>
        <v>0</v>
      </c>
      <c r="Y879" s="2337">
        <f t="shared" si="1844"/>
        <v>0</v>
      </c>
      <c r="Z879" s="2457">
        <f t="shared" si="1885"/>
        <v>0</v>
      </c>
      <c r="AA879" s="2455">
        <f t="shared" si="1885"/>
        <v>0</v>
      </c>
      <c r="AB879" s="2337">
        <f t="shared" si="1845"/>
        <v>0</v>
      </c>
      <c r="AC879" s="2456">
        <f t="shared" si="1886"/>
        <v>0</v>
      </c>
      <c r="AD879" s="2455">
        <f t="shared" si="1886"/>
        <v>0</v>
      </c>
      <c r="AE879" s="2337">
        <f t="shared" si="1846"/>
        <v>0</v>
      </c>
      <c r="AF879" s="2204"/>
      <c r="AG879" s="2158"/>
      <c r="AH879" s="2458">
        <f t="shared" si="1887"/>
        <v>0</v>
      </c>
      <c r="AI879" s="2458">
        <f t="shared" si="1887"/>
        <v>0</v>
      </c>
      <c r="AJ879" s="2346">
        <f t="shared" si="1847"/>
        <v>0</v>
      </c>
      <c r="AK879" s="2458">
        <f t="shared" si="1888"/>
        <v>0</v>
      </c>
      <c r="AL879" s="2458">
        <f t="shared" si="1888"/>
        <v>0</v>
      </c>
      <c r="AM879" s="2346">
        <f t="shared" si="1848"/>
        <v>0</v>
      </c>
      <c r="AN879" s="2458">
        <f t="shared" si="1889"/>
        <v>0</v>
      </c>
      <c r="AO879" s="2458">
        <f t="shared" si="1889"/>
        <v>0</v>
      </c>
      <c r="AP879" s="2346">
        <f t="shared" si="1849"/>
        <v>0</v>
      </c>
      <c r="AQ879" s="2458">
        <f t="shared" si="1890"/>
        <v>0</v>
      </c>
      <c r="AR879" s="2458">
        <f t="shared" si="1890"/>
        <v>0</v>
      </c>
      <c r="AS879" s="2346">
        <f t="shared" si="1850"/>
        <v>0</v>
      </c>
      <c r="AT879" s="2458">
        <f t="shared" si="1891"/>
        <v>0</v>
      </c>
      <c r="AU879" s="2458">
        <f t="shared" si="1891"/>
        <v>0</v>
      </c>
      <c r="AV879" s="2346">
        <f t="shared" si="1851"/>
        <v>0</v>
      </c>
      <c r="AW879" s="2458">
        <f t="shared" si="1892"/>
        <v>0</v>
      </c>
      <c r="AX879" s="2458">
        <f t="shared" si="1892"/>
        <v>0</v>
      </c>
      <c r="AY879" s="2346">
        <f t="shared" si="1852"/>
        <v>0</v>
      </c>
      <c r="AZ879" s="2458">
        <f t="shared" si="1893"/>
        <v>0</v>
      </c>
      <c r="BA879" s="2458">
        <f t="shared" si="1893"/>
        <v>0</v>
      </c>
      <c r="BB879" s="2346">
        <f t="shared" si="1853"/>
        <v>0</v>
      </c>
      <c r="BC879" s="2458">
        <f t="shared" si="1894"/>
        <v>0</v>
      </c>
      <c r="BD879" s="2458">
        <f t="shared" si="1894"/>
        <v>0</v>
      </c>
      <c r="BE879" s="2346">
        <f t="shared" si="1854"/>
        <v>0</v>
      </c>
      <c r="BF879" s="2458">
        <f t="shared" si="1895"/>
        <v>0</v>
      </c>
      <c r="BG879" s="2458">
        <f t="shared" si="1895"/>
        <v>0</v>
      </c>
      <c r="BH879" s="2346">
        <f t="shared" si="1855"/>
        <v>0</v>
      </c>
      <c r="BI879" s="2458">
        <f t="shared" si="1896"/>
        <v>0</v>
      </c>
      <c r="BJ879" s="2458">
        <f t="shared" si="1896"/>
        <v>0</v>
      </c>
      <c r="BK879" s="2346">
        <f t="shared" si="1856"/>
        <v>0</v>
      </c>
      <c r="BL879" s="2458">
        <f t="shared" si="1897"/>
        <v>0</v>
      </c>
      <c r="BM879" s="2458">
        <f t="shared" si="1897"/>
        <v>0</v>
      </c>
      <c r="BN879" s="2346">
        <f t="shared" si="1857"/>
        <v>0</v>
      </c>
      <c r="BO879" s="2458">
        <f t="shared" si="1898"/>
        <v>0</v>
      </c>
      <c r="BP879" s="2458">
        <f t="shared" si="1898"/>
        <v>0</v>
      </c>
      <c r="BQ879" s="2346">
        <f t="shared" si="1858"/>
        <v>0</v>
      </c>
    </row>
    <row r="880" spans="3:69" s="2461" customFormat="1" ht="29.25" hidden="1" customHeight="1">
      <c r="C880" s="2459" t="s">
        <v>3077</v>
      </c>
      <c r="D880" s="2209" t="s">
        <v>3078</v>
      </c>
      <c r="E880" s="2197" t="s">
        <v>3079</v>
      </c>
      <c r="F880" s="2176"/>
      <c r="G880" s="2179">
        <f t="shared" si="1879"/>
        <v>0</v>
      </c>
      <c r="H880" s="2179">
        <f t="shared" si="1879"/>
        <v>0</v>
      </c>
      <c r="I880" s="2178">
        <f t="shared" si="1839"/>
        <v>0</v>
      </c>
      <c r="J880" s="2176"/>
      <c r="K880" s="2179">
        <f t="shared" si="1880"/>
        <v>0</v>
      </c>
      <c r="L880" s="2179">
        <f t="shared" si="1880"/>
        <v>0</v>
      </c>
      <c r="M880" s="2178">
        <f t="shared" si="1840"/>
        <v>0</v>
      </c>
      <c r="N880" s="2179">
        <f t="shared" si="1881"/>
        <v>0</v>
      </c>
      <c r="O880" s="2179">
        <f t="shared" si="1881"/>
        <v>0</v>
      </c>
      <c r="P880" s="2178">
        <f t="shared" si="1841"/>
        <v>0</v>
      </c>
      <c r="Q880" s="2179">
        <f t="shared" si="1882"/>
        <v>0</v>
      </c>
      <c r="R880" s="2179">
        <f t="shared" si="1882"/>
        <v>0</v>
      </c>
      <c r="S880" s="2178">
        <f t="shared" si="1842"/>
        <v>0</v>
      </c>
      <c r="T880" s="2179">
        <f t="shared" si="1883"/>
        <v>0</v>
      </c>
      <c r="U880" s="2179">
        <f t="shared" si="1883"/>
        <v>0</v>
      </c>
      <c r="V880" s="2178">
        <f t="shared" si="1843"/>
        <v>0</v>
      </c>
      <c r="W880" s="2179">
        <f t="shared" si="1884"/>
        <v>0</v>
      </c>
      <c r="X880" s="2179">
        <f t="shared" si="1884"/>
        <v>0</v>
      </c>
      <c r="Y880" s="2178">
        <f t="shared" si="1844"/>
        <v>0</v>
      </c>
      <c r="Z880" s="2179">
        <f t="shared" si="1885"/>
        <v>0</v>
      </c>
      <c r="AA880" s="2179">
        <f t="shared" si="1885"/>
        <v>0</v>
      </c>
      <c r="AB880" s="2178">
        <f t="shared" si="1845"/>
        <v>0</v>
      </c>
      <c r="AC880" s="2179">
        <f t="shared" si="1886"/>
        <v>0</v>
      </c>
      <c r="AD880" s="2179">
        <f t="shared" si="1886"/>
        <v>0</v>
      </c>
      <c r="AE880" s="2178">
        <f t="shared" si="1846"/>
        <v>0</v>
      </c>
      <c r="AF880" s="2281"/>
      <c r="AG880" s="2460"/>
      <c r="AH880" s="2188">
        <f t="shared" si="1887"/>
        <v>0</v>
      </c>
      <c r="AI880" s="2188">
        <f t="shared" si="1887"/>
        <v>0</v>
      </c>
      <c r="AJ880" s="2186">
        <f t="shared" si="1847"/>
        <v>0</v>
      </c>
      <c r="AK880" s="2188">
        <f t="shared" si="1888"/>
        <v>0</v>
      </c>
      <c r="AL880" s="2188">
        <f t="shared" si="1888"/>
        <v>0</v>
      </c>
      <c r="AM880" s="2186">
        <f t="shared" si="1848"/>
        <v>0</v>
      </c>
      <c r="AN880" s="2188">
        <f t="shared" si="1889"/>
        <v>0</v>
      </c>
      <c r="AO880" s="2188">
        <f t="shared" si="1889"/>
        <v>0</v>
      </c>
      <c r="AP880" s="2186">
        <f t="shared" si="1849"/>
        <v>0</v>
      </c>
      <c r="AQ880" s="2188">
        <f t="shared" si="1890"/>
        <v>0</v>
      </c>
      <c r="AR880" s="2188">
        <f t="shared" si="1890"/>
        <v>0</v>
      </c>
      <c r="AS880" s="2186">
        <f t="shared" si="1850"/>
        <v>0</v>
      </c>
      <c r="AT880" s="2188">
        <f t="shared" si="1891"/>
        <v>0</v>
      </c>
      <c r="AU880" s="2188">
        <f t="shared" si="1891"/>
        <v>0</v>
      </c>
      <c r="AV880" s="2186">
        <f t="shared" si="1851"/>
        <v>0</v>
      </c>
      <c r="AW880" s="2188">
        <f t="shared" si="1892"/>
        <v>0</v>
      </c>
      <c r="AX880" s="2188">
        <f t="shared" si="1892"/>
        <v>0</v>
      </c>
      <c r="AY880" s="2186">
        <f t="shared" si="1852"/>
        <v>0</v>
      </c>
      <c r="AZ880" s="2188">
        <f t="shared" si="1893"/>
        <v>0</v>
      </c>
      <c r="BA880" s="2188">
        <f t="shared" si="1893"/>
        <v>0</v>
      </c>
      <c r="BB880" s="2186">
        <f t="shared" si="1853"/>
        <v>0</v>
      </c>
      <c r="BC880" s="2188">
        <f t="shared" si="1894"/>
        <v>0</v>
      </c>
      <c r="BD880" s="2188">
        <f t="shared" si="1894"/>
        <v>0</v>
      </c>
      <c r="BE880" s="2186">
        <f t="shared" si="1854"/>
        <v>0</v>
      </c>
      <c r="BF880" s="2188">
        <f t="shared" si="1895"/>
        <v>0</v>
      </c>
      <c r="BG880" s="2188">
        <f t="shared" si="1895"/>
        <v>0</v>
      </c>
      <c r="BH880" s="2186">
        <f t="shared" si="1855"/>
        <v>0</v>
      </c>
      <c r="BI880" s="2188">
        <f t="shared" si="1896"/>
        <v>0</v>
      </c>
      <c r="BJ880" s="2188">
        <f t="shared" si="1896"/>
        <v>0</v>
      </c>
      <c r="BK880" s="2186">
        <f t="shared" si="1856"/>
        <v>0</v>
      </c>
      <c r="BL880" s="2188">
        <f t="shared" si="1897"/>
        <v>0</v>
      </c>
      <c r="BM880" s="2188">
        <f t="shared" si="1897"/>
        <v>0</v>
      </c>
      <c r="BN880" s="2186">
        <f t="shared" si="1857"/>
        <v>0</v>
      </c>
      <c r="BO880" s="2188">
        <f t="shared" si="1898"/>
        <v>0</v>
      </c>
      <c r="BP880" s="2188">
        <f t="shared" si="1898"/>
        <v>0</v>
      </c>
      <c r="BQ880" s="2186">
        <f t="shared" si="1858"/>
        <v>0</v>
      </c>
    </row>
    <row r="881" spans="3:69" s="2461" customFormat="1" ht="12" hidden="1" thickBot="1">
      <c r="C881" s="2462" t="s">
        <v>3080</v>
      </c>
      <c r="D881" s="2286" t="s">
        <v>2434</v>
      </c>
      <c r="E881" s="2351" t="s">
        <v>3079</v>
      </c>
      <c r="F881" s="2176"/>
      <c r="G881" s="2179">
        <f t="shared" si="1879"/>
        <v>0</v>
      </c>
      <c r="H881" s="2179">
        <f t="shared" si="1879"/>
        <v>0</v>
      </c>
      <c r="I881" s="2178">
        <f t="shared" si="1839"/>
        <v>0</v>
      </c>
      <c r="J881" s="2176"/>
      <c r="K881" s="2179">
        <f t="shared" si="1880"/>
        <v>0</v>
      </c>
      <c r="L881" s="2179">
        <f t="shared" si="1880"/>
        <v>0</v>
      </c>
      <c r="M881" s="2178">
        <f t="shared" si="1840"/>
        <v>0</v>
      </c>
      <c r="N881" s="2179">
        <f t="shared" si="1881"/>
        <v>0</v>
      </c>
      <c r="O881" s="2179">
        <f t="shared" si="1881"/>
        <v>0</v>
      </c>
      <c r="P881" s="2178">
        <f t="shared" si="1841"/>
        <v>0</v>
      </c>
      <c r="Q881" s="2179">
        <f t="shared" si="1882"/>
        <v>0</v>
      </c>
      <c r="R881" s="2179">
        <f t="shared" si="1882"/>
        <v>0</v>
      </c>
      <c r="S881" s="2178">
        <f t="shared" si="1842"/>
        <v>0</v>
      </c>
      <c r="T881" s="2179">
        <f t="shared" si="1883"/>
        <v>0</v>
      </c>
      <c r="U881" s="2179">
        <f t="shared" si="1883"/>
        <v>0</v>
      </c>
      <c r="V881" s="2178">
        <f t="shared" si="1843"/>
        <v>0</v>
      </c>
      <c r="W881" s="2179">
        <f t="shared" si="1884"/>
        <v>0</v>
      </c>
      <c r="X881" s="2179">
        <f t="shared" si="1884"/>
        <v>0</v>
      </c>
      <c r="Y881" s="2178">
        <f t="shared" si="1844"/>
        <v>0</v>
      </c>
      <c r="Z881" s="2179">
        <f t="shared" si="1885"/>
        <v>0</v>
      </c>
      <c r="AA881" s="2179">
        <f t="shared" si="1885"/>
        <v>0</v>
      </c>
      <c r="AB881" s="2178">
        <f t="shared" si="1845"/>
        <v>0</v>
      </c>
      <c r="AC881" s="2179">
        <f t="shared" si="1886"/>
        <v>0</v>
      </c>
      <c r="AD881" s="2179">
        <f t="shared" si="1886"/>
        <v>0</v>
      </c>
      <c r="AE881" s="2178">
        <f t="shared" si="1846"/>
        <v>0</v>
      </c>
      <c r="AF881" s="2281"/>
      <c r="AG881" s="2460"/>
      <c r="AH881" s="2188">
        <f t="shared" si="1887"/>
        <v>0</v>
      </c>
      <c r="AI881" s="2188">
        <f t="shared" si="1887"/>
        <v>0</v>
      </c>
      <c r="AJ881" s="2186">
        <f t="shared" si="1847"/>
        <v>0</v>
      </c>
      <c r="AK881" s="2188">
        <f t="shared" si="1888"/>
        <v>0</v>
      </c>
      <c r="AL881" s="2188">
        <f t="shared" si="1888"/>
        <v>0</v>
      </c>
      <c r="AM881" s="2186">
        <f t="shared" si="1848"/>
        <v>0</v>
      </c>
      <c r="AN881" s="2188">
        <f t="shared" si="1889"/>
        <v>0</v>
      </c>
      <c r="AO881" s="2188">
        <f t="shared" si="1889"/>
        <v>0</v>
      </c>
      <c r="AP881" s="2186">
        <f t="shared" si="1849"/>
        <v>0</v>
      </c>
      <c r="AQ881" s="2188">
        <f t="shared" si="1890"/>
        <v>0</v>
      </c>
      <c r="AR881" s="2188">
        <f t="shared" si="1890"/>
        <v>0</v>
      </c>
      <c r="AS881" s="2186">
        <f t="shared" si="1850"/>
        <v>0</v>
      </c>
      <c r="AT881" s="2188">
        <f t="shared" si="1891"/>
        <v>0</v>
      </c>
      <c r="AU881" s="2188">
        <f t="shared" si="1891"/>
        <v>0</v>
      </c>
      <c r="AV881" s="2186">
        <f t="shared" si="1851"/>
        <v>0</v>
      </c>
      <c r="AW881" s="2188">
        <f t="shared" si="1892"/>
        <v>0</v>
      </c>
      <c r="AX881" s="2188">
        <f t="shared" si="1892"/>
        <v>0</v>
      </c>
      <c r="AY881" s="2186">
        <f t="shared" si="1852"/>
        <v>0</v>
      </c>
      <c r="AZ881" s="2188">
        <f t="shared" si="1893"/>
        <v>0</v>
      </c>
      <c r="BA881" s="2188">
        <f t="shared" si="1893"/>
        <v>0</v>
      </c>
      <c r="BB881" s="2186">
        <f t="shared" si="1853"/>
        <v>0</v>
      </c>
      <c r="BC881" s="2188">
        <f t="shared" si="1894"/>
        <v>0</v>
      </c>
      <c r="BD881" s="2188">
        <f t="shared" si="1894"/>
        <v>0</v>
      </c>
      <c r="BE881" s="2186">
        <f t="shared" si="1854"/>
        <v>0</v>
      </c>
      <c r="BF881" s="2188">
        <f t="shared" si="1895"/>
        <v>0</v>
      </c>
      <c r="BG881" s="2188">
        <f t="shared" si="1895"/>
        <v>0</v>
      </c>
      <c r="BH881" s="2186">
        <f t="shared" si="1855"/>
        <v>0</v>
      </c>
      <c r="BI881" s="2188">
        <f t="shared" si="1896"/>
        <v>0</v>
      </c>
      <c r="BJ881" s="2188">
        <f t="shared" si="1896"/>
        <v>0</v>
      </c>
      <c r="BK881" s="2186">
        <f t="shared" si="1856"/>
        <v>0</v>
      </c>
      <c r="BL881" s="2188">
        <f t="shared" si="1897"/>
        <v>0</v>
      </c>
      <c r="BM881" s="2188">
        <f t="shared" si="1897"/>
        <v>0</v>
      </c>
      <c r="BN881" s="2186">
        <f t="shared" si="1857"/>
        <v>0</v>
      </c>
      <c r="BO881" s="2188">
        <f t="shared" si="1898"/>
        <v>0</v>
      </c>
      <c r="BP881" s="2188">
        <f t="shared" si="1898"/>
        <v>0</v>
      </c>
      <c r="BQ881" s="2186">
        <f t="shared" si="1858"/>
        <v>0</v>
      </c>
    </row>
    <row r="882" spans="3:69" s="2461" customFormat="1" ht="23.25" hidden="1" thickBot="1">
      <c r="C882" s="2459" t="s">
        <v>3081</v>
      </c>
      <c r="D882" s="2209" t="s">
        <v>3082</v>
      </c>
      <c r="E882" s="2197" t="s">
        <v>3079</v>
      </c>
      <c r="F882" s="2176"/>
      <c r="G882" s="2179">
        <f t="shared" si="1879"/>
        <v>0</v>
      </c>
      <c r="H882" s="2179">
        <f t="shared" si="1879"/>
        <v>0</v>
      </c>
      <c r="I882" s="2178">
        <f t="shared" si="1839"/>
        <v>0</v>
      </c>
      <c r="J882" s="2176"/>
      <c r="K882" s="2179">
        <f t="shared" si="1880"/>
        <v>0</v>
      </c>
      <c r="L882" s="2179">
        <f t="shared" si="1880"/>
        <v>0</v>
      </c>
      <c r="M882" s="2178">
        <f t="shared" si="1840"/>
        <v>0</v>
      </c>
      <c r="N882" s="2179">
        <f t="shared" si="1881"/>
        <v>0</v>
      </c>
      <c r="O882" s="2179">
        <f t="shared" si="1881"/>
        <v>0</v>
      </c>
      <c r="P882" s="2178">
        <f t="shared" si="1841"/>
        <v>0</v>
      </c>
      <c r="Q882" s="2179">
        <f t="shared" si="1882"/>
        <v>0</v>
      </c>
      <c r="R882" s="2179">
        <f t="shared" si="1882"/>
        <v>0</v>
      </c>
      <c r="S882" s="2178">
        <f t="shared" si="1842"/>
        <v>0</v>
      </c>
      <c r="T882" s="2179">
        <f t="shared" si="1883"/>
        <v>0</v>
      </c>
      <c r="U882" s="2179">
        <f t="shared" si="1883"/>
        <v>0</v>
      </c>
      <c r="V882" s="2178">
        <f t="shared" si="1843"/>
        <v>0</v>
      </c>
      <c r="W882" s="2179">
        <f t="shared" si="1884"/>
        <v>0</v>
      </c>
      <c r="X882" s="2179">
        <f t="shared" si="1884"/>
        <v>0</v>
      </c>
      <c r="Y882" s="2178">
        <f t="shared" si="1844"/>
        <v>0</v>
      </c>
      <c r="Z882" s="2179">
        <f t="shared" si="1885"/>
        <v>0</v>
      </c>
      <c r="AA882" s="2179">
        <f t="shared" si="1885"/>
        <v>0</v>
      </c>
      <c r="AB882" s="2178">
        <f t="shared" si="1845"/>
        <v>0</v>
      </c>
      <c r="AC882" s="2179">
        <f t="shared" si="1886"/>
        <v>0</v>
      </c>
      <c r="AD882" s="2179">
        <f t="shared" si="1886"/>
        <v>0</v>
      </c>
      <c r="AE882" s="2178">
        <f t="shared" si="1846"/>
        <v>0</v>
      </c>
      <c r="AF882" s="2281"/>
      <c r="AG882" s="2460"/>
      <c r="AH882" s="2188">
        <f t="shared" si="1887"/>
        <v>0</v>
      </c>
      <c r="AI882" s="2188">
        <f t="shared" si="1887"/>
        <v>0</v>
      </c>
      <c r="AJ882" s="2186">
        <f t="shared" si="1847"/>
        <v>0</v>
      </c>
      <c r="AK882" s="2188">
        <f t="shared" si="1888"/>
        <v>0</v>
      </c>
      <c r="AL882" s="2188">
        <f t="shared" si="1888"/>
        <v>0</v>
      </c>
      <c r="AM882" s="2186">
        <f t="shared" si="1848"/>
        <v>0</v>
      </c>
      <c r="AN882" s="2188">
        <f t="shared" si="1889"/>
        <v>0</v>
      </c>
      <c r="AO882" s="2188">
        <f t="shared" si="1889"/>
        <v>0</v>
      </c>
      <c r="AP882" s="2186">
        <f t="shared" si="1849"/>
        <v>0</v>
      </c>
      <c r="AQ882" s="2188">
        <f t="shared" si="1890"/>
        <v>0</v>
      </c>
      <c r="AR882" s="2188">
        <f t="shared" si="1890"/>
        <v>0</v>
      </c>
      <c r="AS882" s="2186">
        <f t="shared" si="1850"/>
        <v>0</v>
      </c>
      <c r="AT882" s="2188">
        <f t="shared" si="1891"/>
        <v>0</v>
      </c>
      <c r="AU882" s="2188">
        <f t="shared" si="1891"/>
        <v>0</v>
      </c>
      <c r="AV882" s="2186">
        <f t="shared" si="1851"/>
        <v>0</v>
      </c>
      <c r="AW882" s="2188">
        <f t="shared" si="1892"/>
        <v>0</v>
      </c>
      <c r="AX882" s="2188">
        <f t="shared" si="1892"/>
        <v>0</v>
      </c>
      <c r="AY882" s="2186">
        <f t="shared" si="1852"/>
        <v>0</v>
      </c>
      <c r="AZ882" s="2188">
        <f t="shared" si="1893"/>
        <v>0</v>
      </c>
      <c r="BA882" s="2188">
        <f t="shared" si="1893"/>
        <v>0</v>
      </c>
      <c r="BB882" s="2186">
        <f t="shared" si="1853"/>
        <v>0</v>
      </c>
      <c r="BC882" s="2188">
        <f t="shared" si="1894"/>
        <v>0</v>
      </c>
      <c r="BD882" s="2188">
        <f t="shared" si="1894"/>
        <v>0</v>
      </c>
      <c r="BE882" s="2186">
        <f t="shared" si="1854"/>
        <v>0</v>
      </c>
      <c r="BF882" s="2188">
        <f t="shared" si="1895"/>
        <v>0</v>
      </c>
      <c r="BG882" s="2188">
        <f t="shared" si="1895"/>
        <v>0</v>
      </c>
      <c r="BH882" s="2186">
        <f t="shared" si="1855"/>
        <v>0</v>
      </c>
      <c r="BI882" s="2188">
        <f t="shared" si="1896"/>
        <v>0</v>
      </c>
      <c r="BJ882" s="2188">
        <f t="shared" si="1896"/>
        <v>0</v>
      </c>
      <c r="BK882" s="2186">
        <f t="shared" si="1856"/>
        <v>0</v>
      </c>
      <c r="BL882" s="2188">
        <f t="shared" si="1897"/>
        <v>0</v>
      </c>
      <c r="BM882" s="2188">
        <f t="shared" si="1897"/>
        <v>0</v>
      </c>
      <c r="BN882" s="2186">
        <f t="shared" si="1857"/>
        <v>0</v>
      </c>
      <c r="BO882" s="2188">
        <f t="shared" si="1898"/>
        <v>0</v>
      </c>
      <c r="BP882" s="2188">
        <f t="shared" si="1898"/>
        <v>0</v>
      </c>
      <c r="BQ882" s="2186">
        <f t="shared" si="1858"/>
        <v>0</v>
      </c>
    </row>
    <row r="883" spans="3:69" s="2461" customFormat="1" ht="12" hidden="1" thickBot="1">
      <c r="C883" s="2462" t="s">
        <v>3083</v>
      </c>
      <c r="D883" s="2286" t="s">
        <v>2434</v>
      </c>
      <c r="E883" s="2351" t="s">
        <v>3079</v>
      </c>
      <c r="F883" s="2176"/>
      <c r="G883" s="2179">
        <f t="shared" si="1879"/>
        <v>0</v>
      </c>
      <c r="H883" s="2179">
        <f t="shared" si="1879"/>
        <v>0</v>
      </c>
      <c r="I883" s="2178">
        <f t="shared" si="1839"/>
        <v>0</v>
      </c>
      <c r="J883" s="2176"/>
      <c r="K883" s="2179">
        <f t="shared" si="1880"/>
        <v>0</v>
      </c>
      <c r="L883" s="2179">
        <f t="shared" si="1880"/>
        <v>0</v>
      </c>
      <c r="M883" s="2178">
        <f t="shared" si="1840"/>
        <v>0</v>
      </c>
      <c r="N883" s="2179">
        <f t="shared" si="1881"/>
        <v>0</v>
      </c>
      <c r="O883" s="2179">
        <f t="shared" si="1881"/>
        <v>0</v>
      </c>
      <c r="P883" s="2178">
        <f t="shared" si="1841"/>
        <v>0</v>
      </c>
      <c r="Q883" s="2179">
        <f t="shared" si="1882"/>
        <v>0</v>
      </c>
      <c r="R883" s="2179">
        <f t="shared" si="1882"/>
        <v>0</v>
      </c>
      <c r="S883" s="2178">
        <f t="shared" si="1842"/>
        <v>0</v>
      </c>
      <c r="T883" s="2179">
        <f t="shared" si="1883"/>
        <v>0</v>
      </c>
      <c r="U883" s="2179">
        <f t="shared" si="1883"/>
        <v>0</v>
      </c>
      <c r="V883" s="2178">
        <f t="shared" si="1843"/>
        <v>0</v>
      </c>
      <c r="W883" s="2179">
        <f t="shared" si="1884"/>
        <v>0</v>
      </c>
      <c r="X883" s="2179">
        <f t="shared" si="1884"/>
        <v>0</v>
      </c>
      <c r="Y883" s="2178">
        <f t="shared" si="1844"/>
        <v>0</v>
      </c>
      <c r="Z883" s="2179">
        <f t="shared" si="1885"/>
        <v>0</v>
      </c>
      <c r="AA883" s="2179">
        <f t="shared" si="1885"/>
        <v>0</v>
      </c>
      <c r="AB883" s="2178">
        <f t="shared" si="1845"/>
        <v>0</v>
      </c>
      <c r="AC883" s="2179">
        <f t="shared" si="1886"/>
        <v>0</v>
      </c>
      <c r="AD883" s="2179">
        <f t="shared" si="1886"/>
        <v>0</v>
      </c>
      <c r="AE883" s="2178">
        <f t="shared" si="1846"/>
        <v>0</v>
      </c>
      <c r="AF883" s="2281"/>
      <c r="AG883" s="2460"/>
      <c r="AH883" s="2188">
        <f t="shared" si="1887"/>
        <v>0</v>
      </c>
      <c r="AI883" s="2188">
        <f t="shared" si="1887"/>
        <v>0</v>
      </c>
      <c r="AJ883" s="2186">
        <f t="shared" si="1847"/>
        <v>0</v>
      </c>
      <c r="AK883" s="2188">
        <f t="shared" si="1888"/>
        <v>0</v>
      </c>
      <c r="AL883" s="2188">
        <f t="shared" si="1888"/>
        <v>0</v>
      </c>
      <c r="AM883" s="2186">
        <f t="shared" si="1848"/>
        <v>0</v>
      </c>
      <c r="AN883" s="2188">
        <f t="shared" si="1889"/>
        <v>0</v>
      </c>
      <c r="AO883" s="2188">
        <f t="shared" si="1889"/>
        <v>0</v>
      </c>
      <c r="AP883" s="2186">
        <f t="shared" si="1849"/>
        <v>0</v>
      </c>
      <c r="AQ883" s="2188">
        <f t="shared" si="1890"/>
        <v>0</v>
      </c>
      <c r="AR883" s="2188">
        <f t="shared" si="1890"/>
        <v>0</v>
      </c>
      <c r="AS883" s="2186">
        <f t="shared" si="1850"/>
        <v>0</v>
      </c>
      <c r="AT883" s="2188">
        <f t="shared" si="1891"/>
        <v>0</v>
      </c>
      <c r="AU883" s="2188">
        <f t="shared" si="1891"/>
        <v>0</v>
      </c>
      <c r="AV883" s="2186">
        <f t="shared" si="1851"/>
        <v>0</v>
      </c>
      <c r="AW883" s="2188">
        <f t="shared" si="1892"/>
        <v>0</v>
      </c>
      <c r="AX883" s="2188">
        <f t="shared" si="1892"/>
        <v>0</v>
      </c>
      <c r="AY883" s="2186">
        <f t="shared" si="1852"/>
        <v>0</v>
      </c>
      <c r="AZ883" s="2188">
        <f t="shared" si="1893"/>
        <v>0</v>
      </c>
      <c r="BA883" s="2188">
        <f t="shared" si="1893"/>
        <v>0</v>
      </c>
      <c r="BB883" s="2186">
        <f t="shared" si="1853"/>
        <v>0</v>
      </c>
      <c r="BC883" s="2188">
        <f t="shared" si="1894"/>
        <v>0</v>
      </c>
      <c r="BD883" s="2188">
        <f t="shared" si="1894"/>
        <v>0</v>
      </c>
      <c r="BE883" s="2186">
        <f t="shared" si="1854"/>
        <v>0</v>
      </c>
      <c r="BF883" s="2188">
        <f t="shared" si="1895"/>
        <v>0</v>
      </c>
      <c r="BG883" s="2188">
        <f t="shared" si="1895"/>
        <v>0</v>
      </c>
      <c r="BH883" s="2186">
        <f t="shared" si="1855"/>
        <v>0</v>
      </c>
      <c r="BI883" s="2188">
        <f t="shared" si="1896"/>
        <v>0</v>
      </c>
      <c r="BJ883" s="2188">
        <f t="shared" si="1896"/>
        <v>0</v>
      </c>
      <c r="BK883" s="2186">
        <f t="shared" si="1856"/>
        <v>0</v>
      </c>
      <c r="BL883" s="2188">
        <f t="shared" si="1897"/>
        <v>0</v>
      </c>
      <c r="BM883" s="2188">
        <f t="shared" si="1897"/>
        <v>0</v>
      </c>
      <c r="BN883" s="2186">
        <f t="shared" si="1857"/>
        <v>0</v>
      </c>
      <c r="BO883" s="2188">
        <f t="shared" si="1898"/>
        <v>0</v>
      </c>
      <c r="BP883" s="2188">
        <f t="shared" si="1898"/>
        <v>0</v>
      </c>
      <c r="BQ883" s="2186">
        <f t="shared" si="1858"/>
        <v>0</v>
      </c>
    </row>
    <row r="884" spans="3:69" s="2159" customFormat="1" ht="12" hidden="1" customHeight="1">
      <c r="C884" s="2147" t="s">
        <v>3084</v>
      </c>
      <c r="D884" s="2148" t="s">
        <v>1420</v>
      </c>
      <c r="E884" s="2149"/>
      <c r="F884" s="2150"/>
      <c r="G884" s="2151"/>
      <c r="H884" s="2151"/>
      <c r="I884" s="2152"/>
      <c r="J884" s="2150"/>
      <c r="K884" s="2151"/>
      <c r="L884" s="2151"/>
      <c r="M884" s="2152"/>
      <c r="N884" s="2151"/>
      <c r="O884" s="2151"/>
      <c r="P884" s="2152"/>
      <c r="Q884" s="2150"/>
      <c r="R884" s="2151"/>
      <c r="S884" s="2153"/>
      <c r="T884" s="2154"/>
      <c r="U884" s="2151"/>
      <c r="V884" s="2152"/>
      <c r="W884" s="2150"/>
      <c r="X884" s="2151"/>
      <c r="Y884" s="2153"/>
      <c r="Z884" s="2154"/>
      <c r="AA884" s="2151"/>
      <c r="AB884" s="2152"/>
      <c r="AC884" s="2150"/>
      <c r="AD884" s="2151"/>
      <c r="AE884" s="2153"/>
      <c r="AF884" s="2157"/>
      <c r="AG884" s="2158"/>
      <c r="AH884" s="2151"/>
      <c r="AI884" s="2151"/>
      <c r="AJ884" s="2152"/>
      <c r="AK884" s="2151"/>
      <c r="AL884" s="2151"/>
      <c r="AM884" s="2152"/>
      <c r="AN884" s="2151"/>
      <c r="AO884" s="2151"/>
      <c r="AP884" s="2152"/>
      <c r="AQ884" s="2151"/>
      <c r="AR884" s="2151"/>
      <c r="AS884" s="2152"/>
      <c r="AT884" s="2151"/>
      <c r="AU884" s="2151"/>
      <c r="AV884" s="2152"/>
      <c r="AW884" s="2151"/>
      <c r="AX884" s="2151"/>
      <c r="AY884" s="2152"/>
      <c r="AZ884" s="2151"/>
      <c r="BA884" s="2151"/>
      <c r="BB884" s="2152"/>
      <c r="BC884" s="2151"/>
      <c r="BD884" s="2151"/>
      <c r="BE884" s="2152"/>
      <c r="BF884" s="2151"/>
      <c r="BG884" s="2151"/>
      <c r="BH884" s="2152"/>
      <c r="BI884" s="2151"/>
      <c r="BJ884" s="2151"/>
      <c r="BK884" s="2152"/>
      <c r="BL884" s="2151"/>
      <c r="BM884" s="2151"/>
      <c r="BN884" s="2152"/>
      <c r="BO884" s="2151"/>
      <c r="BP884" s="2151"/>
      <c r="BQ884" s="2152"/>
    </row>
    <row r="885" spans="3:69" s="2396" customFormat="1" ht="12" hidden="1" customHeight="1">
      <c r="C885" s="2160" t="s">
        <v>3085</v>
      </c>
      <c r="D885" s="2202" t="s">
        <v>3086</v>
      </c>
      <c r="E885" s="2213" t="s">
        <v>1833</v>
      </c>
      <c r="F885" s="2162"/>
      <c r="G885" s="2163">
        <f>G892+G900+G907</f>
        <v>0</v>
      </c>
      <c r="H885" s="2163">
        <f>H892+H900+H907</f>
        <v>0</v>
      </c>
      <c r="I885" s="2164">
        <f>H885-G885</f>
        <v>0</v>
      </c>
      <c r="J885" s="2162"/>
      <c r="K885" s="2163">
        <f t="shared" ref="K885:L900" si="1899">N885+Q885+W885+AC885</f>
        <v>0</v>
      </c>
      <c r="L885" s="2163">
        <f t="shared" si="1899"/>
        <v>0</v>
      </c>
      <c r="M885" s="2164">
        <f>L885-K885</f>
        <v>0</v>
      </c>
      <c r="N885" s="2163">
        <f>N892+N900+N907</f>
        <v>0</v>
      </c>
      <c r="O885" s="2163">
        <f>O892+O900+O907</f>
        <v>0</v>
      </c>
      <c r="P885" s="2164">
        <f>O885-N885</f>
        <v>0</v>
      </c>
      <c r="Q885" s="2165">
        <f>Q892+Q900+Q907</f>
        <v>0</v>
      </c>
      <c r="R885" s="2163">
        <f>R892+R900+R907</f>
        <v>0</v>
      </c>
      <c r="S885" s="2166">
        <f>R885-Q885</f>
        <v>0</v>
      </c>
      <c r="T885" s="2167">
        <f>N885+Q885</f>
        <v>0</v>
      </c>
      <c r="U885" s="2163">
        <f>O885+R885</f>
        <v>0</v>
      </c>
      <c r="V885" s="2164">
        <f>U885-T885</f>
        <v>0</v>
      </c>
      <c r="W885" s="2165">
        <f>W892+W900+W907</f>
        <v>0</v>
      </c>
      <c r="X885" s="2163">
        <f>X892+X900+X907</f>
        <v>0</v>
      </c>
      <c r="Y885" s="2166">
        <f>X885-W885</f>
        <v>0</v>
      </c>
      <c r="Z885" s="2167">
        <f>T885+W885</f>
        <v>0</v>
      </c>
      <c r="AA885" s="2163">
        <f>U885+X885</f>
        <v>0</v>
      </c>
      <c r="AB885" s="2164">
        <f>AA885-Z885</f>
        <v>0</v>
      </c>
      <c r="AC885" s="2165">
        <f>AC892+AC900+AC907</f>
        <v>0</v>
      </c>
      <c r="AD885" s="2163">
        <f>AD892+AD900+AD907</f>
        <v>0</v>
      </c>
      <c r="AE885" s="2166">
        <f>AD885-AC885</f>
        <v>0</v>
      </c>
      <c r="AF885" s="2170"/>
      <c r="AG885" s="2395"/>
      <c r="AH885" s="2171">
        <f>AH892+AH900+AH907</f>
        <v>0</v>
      </c>
      <c r="AI885" s="2171">
        <f>AI892+AI900+AI907</f>
        <v>0</v>
      </c>
      <c r="AJ885" s="2172">
        <f>AI885-AH885</f>
        <v>0</v>
      </c>
      <c r="AK885" s="2171">
        <f>AK892+AK900+AK907</f>
        <v>0</v>
      </c>
      <c r="AL885" s="2171">
        <f>AL892+AL900+AL907</f>
        <v>0</v>
      </c>
      <c r="AM885" s="2172">
        <f>AL885-AK885</f>
        <v>0</v>
      </c>
      <c r="AN885" s="2171">
        <f>AN892+AN900+AN907</f>
        <v>0</v>
      </c>
      <c r="AO885" s="2171">
        <f>AO892+AO900+AO907</f>
        <v>0</v>
      </c>
      <c r="AP885" s="2172">
        <f>AO885-AN885</f>
        <v>0</v>
      </c>
      <c r="AQ885" s="2171">
        <f>AQ892+AQ900+AQ907</f>
        <v>0</v>
      </c>
      <c r="AR885" s="2171">
        <f>AR892+AR900+AR907</f>
        <v>0</v>
      </c>
      <c r="AS885" s="2172">
        <f>AR885-AQ885</f>
        <v>0</v>
      </c>
      <c r="AT885" s="2171">
        <f>AT892+AT900+AT907</f>
        <v>0</v>
      </c>
      <c r="AU885" s="2171">
        <f>AU892+AU900+AU907</f>
        <v>0</v>
      </c>
      <c r="AV885" s="2172">
        <f>AU885-AT885</f>
        <v>0</v>
      </c>
      <c r="AW885" s="2171">
        <f>AW892+AW900+AW907</f>
        <v>0</v>
      </c>
      <c r="AX885" s="2171">
        <f>AX892+AX900+AX907</f>
        <v>0</v>
      </c>
      <c r="AY885" s="2172">
        <f>AX885-AW885</f>
        <v>0</v>
      </c>
      <c r="AZ885" s="2171">
        <f>AZ892+AZ900+AZ907</f>
        <v>0</v>
      </c>
      <c r="BA885" s="2171">
        <f>BA892+BA900+BA907</f>
        <v>0</v>
      </c>
      <c r="BB885" s="2172">
        <f>BA885-AZ885</f>
        <v>0</v>
      </c>
      <c r="BC885" s="2171">
        <f>BC892+BC900+BC907</f>
        <v>0</v>
      </c>
      <c r="BD885" s="2171">
        <f>BD892+BD900+BD907</f>
        <v>0</v>
      </c>
      <c r="BE885" s="2172">
        <f>BD885-BC885</f>
        <v>0</v>
      </c>
      <c r="BF885" s="2171">
        <f>BF892+BF900+BF907</f>
        <v>0</v>
      </c>
      <c r="BG885" s="2171">
        <f>BG892+BG900+BG907</f>
        <v>0</v>
      </c>
      <c r="BH885" s="2172">
        <f>BG885-BF885</f>
        <v>0</v>
      </c>
      <c r="BI885" s="2171">
        <f>BI892+BI900+BI907</f>
        <v>0</v>
      </c>
      <c r="BJ885" s="2171">
        <f>BJ892+BJ900+BJ907</f>
        <v>0</v>
      </c>
      <c r="BK885" s="2172">
        <f>BJ885-BI885</f>
        <v>0</v>
      </c>
      <c r="BL885" s="2171">
        <f>BL892+BL900+BL907</f>
        <v>0</v>
      </c>
      <c r="BM885" s="2171">
        <f>BM892+BM900+BM907</f>
        <v>0</v>
      </c>
      <c r="BN885" s="2172">
        <f>BM885-BL885</f>
        <v>0</v>
      </c>
      <c r="BO885" s="2171">
        <f>BO892+BO900+BO907</f>
        <v>0</v>
      </c>
      <c r="BP885" s="2171">
        <f>BP892+BP900+BP907</f>
        <v>0</v>
      </c>
      <c r="BQ885" s="2172">
        <f>BP885-BO885</f>
        <v>0</v>
      </c>
    </row>
    <row r="886" spans="3:69" s="2396" customFormat="1" ht="12" hidden="1" customHeight="1">
      <c r="C886" s="2450" t="s">
        <v>3087</v>
      </c>
      <c r="D886" s="2383" t="s">
        <v>28</v>
      </c>
      <c r="E886" s="2384" t="s">
        <v>1833</v>
      </c>
      <c r="F886" s="2176"/>
      <c r="G886" s="2300">
        <f>G901</f>
        <v>0</v>
      </c>
      <c r="H886" s="2300">
        <f>H901</f>
        <v>0</v>
      </c>
      <c r="I886" s="2178">
        <f>H886-G886</f>
        <v>0</v>
      </c>
      <c r="J886" s="2176"/>
      <c r="K886" s="2179">
        <f t="shared" si="1899"/>
        <v>0</v>
      </c>
      <c r="L886" s="2179">
        <f t="shared" si="1899"/>
        <v>0</v>
      </c>
      <c r="M886" s="2178">
        <f t="shared" ref="M886:M915" si="1900">L886-K886</f>
        <v>0</v>
      </c>
      <c r="N886" s="2300">
        <f>N901</f>
        <v>0</v>
      </c>
      <c r="O886" s="2300">
        <f>O901</f>
        <v>0</v>
      </c>
      <c r="P886" s="2178">
        <f>O886-N886</f>
        <v>0</v>
      </c>
      <c r="Q886" s="2300">
        <f>Q901</f>
        <v>0</v>
      </c>
      <c r="R886" s="2300">
        <f>R901</f>
        <v>0</v>
      </c>
      <c r="S886" s="2178">
        <f>R886-Q886</f>
        <v>0</v>
      </c>
      <c r="T886" s="2181">
        <f t="shared" ref="T886:U901" si="1901">N886+Q886</f>
        <v>0</v>
      </c>
      <c r="U886" s="2179">
        <f t="shared" si="1901"/>
        <v>0</v>
      </c>
      <c r="V886" s="2178">
        <f t="shared" ref="V886:V915" si="1902">U886-T886</f>
        <v>0</v>
      </c>
      <c r="W886" s="2300">
        <f>W901</f>
        <v>0</v>
      </c>
      <c r="X886" s="2300">
        <f>X901</f>
        <v>0</v>
      </c>
      <c r="Y886" s="2178">
        <f>X886-W886</f>
        <v>0</v>
      </c>
      <c r="Z886" s="2181">
        <f t="shared" ref="Z886:AA901" si="1903">T886+W886</f>
        <v>0</v>
      </c>
      <c r="AA886" s="2179">
        <f t="shared" si="1903"/>
        <v>0</v>
      </c>
      <c r="AB886" s="2178">
        <f t="shared" ref="AB886:AB915" si="1904">AA886-Z886</f>
        <v>0</v>
      </c>
      <c r="AC886" s="2300">
        <f>AC901</f>
        <v>0</v>
      </c>
      <c r="AD886" s="2300">
        <f>AD901</f>
        <v>0</v>
      </c>
      <c r="AE886" s="2178">
        <f>AD886-AC886</f>
        <v>0</v>
      </c>
      <c r="AF886" s="2170"/>
      <c r="AG886" s="2395"/>
      <c r="AH886" s="2309">
        <f>AH901</f>
        <v>0</v>
      </c>
      <c r="AI886" s="2309">
        <f>AI901</f>
        <v>0</v>
      </c>
      <c r="AJ886" s="2186">
        <f>AI886-AH886</f>
        <v>0</v>
      </c>
      <c r="AK886" s="2309">
        <f>AK901</f>
        <v>0</v>
      </c>
      <c r="AL886" s="2309">
        <f>AL901</f>
        <v>0</v>
      </c>
      <c r="AM886" s="2186">
        <f>AL886-AK886</f>
        <v>0</v>
      </c>
      <c r="AN886" s="2309">
        <f>AN901</f>
        <v>0</v>
      </c>
      <c r="AO886" s="2309">
        <f>AO901</f>
        <v>0</v>
      </c>
      <c r="AP886" s="2186">
        <f>AO886-AN886</f>
        <v>0</v>
      </c>
      <c r="AQ886" s="2309">
        <f>AQ901</f>
        <v>0</v>
      </c>
      <c r="AR886" s="2309">
        <f>AR901</f>
        <v>0</v>
      </c>
      <c r="AS886" s="2186">
        <f>AR886-AQ886</f>
        <v>0</v>
      </c>
      <c r="AT886" s="2309">
        <f>AT901</f>
        <v>0</v>
      </c>
      <c r="AU886" s="2309">
        <f>AU901</f>
        <v>0</v>
      </c>
      <c r="AV886" s="2186">
        <f>AU886-AT886</f>
        <v>0</v>
      </c>
      <c r="AW886" s="2309">
        <f>AW901</f>
        <v>0</v>
      </c>
      <c r="AX886" s="2309">
        <f>AX901</f>
        <v>0</v>
      </c>
      <c r="AY886" s="2186">
        <f>AX886-AW886</f>
        <v>0</v>
      </c>
      <c r="AZ886" s="2309">
        <f>AZ901</f>
        <v>0</v>
      </c>
      <c r="BA886" s="2309">
        <f>BA901</f>
        <v>0</v>
      </c>
      <c r="BB886" s="2186">
        <f>BA886-AZ886</f>
        <v>0</v>
      </c>
      <c r="BC886" s="2309">
        <f>BC901</f>
        <v>0</v>
      </c>
      <c r="BD886" s="2309">
        <f>BD901</f>
        <v>0</v>
      </c>
      <c r="BE886" s="2186">
        <f>BD886-BC886</f>
        <v>0</v>
      </c>
      <c r="BF886" s="2309">
        <f>BF901</f>
        <v>0</v>
      </c>
      <c r="BG886" s="2309">
        <f>BG901</f>
        <v>0</v>
      </c>
      <c r="BH886" s="2186">
        <f>BG886-BF886</f>
        <v>0</v>
      </c>
      <c r="BI886" s="2309">
        <f>BI901</f>
        <v>0</v>
      </c>
      <c r="BJ886" s="2309">
        <f>BJ901</f>
        <v>0</v>
      </c>
      <c r="BK886" s="2186">
        <f>BJ886-BI886</f>
        <v>0</v>
      </c>
      <c r="BL886" s="2309">
        <f>BL901</f>
        <v>0</v>
      </c>
      <c r="BM886" s="2309">
        <f>BM901</f>
        <v>0</v>
      </c>
      <c r="BN886" s="2186">
        <f>BM886-BL886</f>
        <v>0</v>
      </c>
      <c r="BO886" s="2309">
        <f>BO901</f>
        <v>0</v>
      </c>
      <c r="BP886" s="2309">
        <f>BP901</f>
        <v>0</v>
      </c>
      <c r="BQ886" s="2186">
        <f>BP886-BO886</f>
        <v>0</v>
      </c>
    </row>
    <row r="887" spans="3:69" s="2396" customFormat="1" ht="12" hidden="1" customHeight="1">
      <c r="C887" s="2357" t="s">
        <v>3088</v>
      </c>
      <c r="D887" s="2421" t="s">
        <v>2434</v>
      </c>
      <c r="E887" s="2335" t="s">
        <v>1833</v>
      </c>
      <c r="F887" s="2176"/>
      <c r="G887" s="2300">
        <f>G902</f>
        <v>0</v>
      </c>
      <c r="H887" s="2300">
        <f>H902</f>
        <v>0</v>
      </c>
      <c r="I887" s="2178">
        <f t="shared" ref="I887:I915" si="1905">H887-G887</f>
        <v>0</v>
      </c>
      <c r="J887" s="2176"/>
      <c r="K887" s="2179">
        <f t="shared" si="1899"/>
        <v>0</v>
      </c>
      <c r="L887" s="2179">
        <f t="shared" si="1899"/>
        <v>0</v>
      </c>
      <c r="M887" s="2178">
        <f t="shared" si="1900"/>
        <v>0</v>
      </c>
      <c r="N887" s="2300">
        <f>N902</f>
        <v>0</v>
      </c>
      <c r="O887" s="2300">
        <f>O902</f>
        <v>0</v>
      </c>
      <c r="P887" s="2178">
        <f t="shared" ref="P887:P915" si="1906">O887-N887</f>
        <v>0</v>
      </c>
      <c r="Q887" s="2300">
        <f>Q902</f>
        <v>0</v>
      </c>
      <c r="R887" s="2300">
        <f>R902</f>
        <v>0</v>
      </c>
      <c r="S887" s="2178">
        <f t="shared" ref="S887:S915" si="1907">R887-Q887</f>
        <v>0</v>
      </c>
      <c r="T887" s="2181">
        <f t="shared" si="1901"/>
        <v>0</v>
      </c>
      <c r="U887" s="2179">
        <f t="shared" si="1901"/>
        <v>0</v>
      </c>
      <c r="V887" s="2178">
        <f t="shared" si="1902"/>
        <v>0</v>
      </c>
      <c r="W887" s="2300">
        <f>W902</f>
        <v>0</v>
      </c>
      <c r="X887" s="2300">
        <f>X902</f>
        <v>0</v>
      </c>
      <c r="Y887" s="2178">
        <f t="shared" ref="Y887:Y915" si="1908">X887-W887</f>
        <v>0</v>
      </c>
      <c r="Z887" s="2181">
        <f t="shared" si="1903"/>
        <v>0</v>
      </c>
      <c r="AA887" s="2179">
        <f t="shared" si="1903"/>
        <v>0</v>
      </c>
      <c r="AB887" s="2178">
        <f t="shared" si="1904"/>
        <v>0</v>
      </c>
      <c r="AC887" s="2300">
        <f>AC902</f>
        <v>0</v>
      </c>
      <c r="AD887" s="2300">
        <f>AD902</f>
        <v>0</v>
      </c>
      <c r="AE887" s="2178">
        <f t="shared" ref="AE887:AE915" si="1909">AD887-AC887</f>
        <v>0</v>
      </c>
      <c r="AF887" s="2170"/>
      <c r="AG887" s="2395"/>
      <c r="AH887" s="2309">
        <f>AH902</f>
        <v>0</v>
      </c>
      <c r="AI887" s="2309">
        <f>AI902</f>
        <v>0</v>
      </c>
      <c r="AJ887" s="2186">
        <f t="shared" ref="AJ887:AJ915" si="1910">AI887-AH887</f>
        <v>0</v>
      </c>
      <c r="AK887" s="2309">
        <f>AK902</f>
        <v>0</v>
      </c>
      <c r="AL887" s="2309">
        <f>AL902</f>
        <v>0</v>
      </c>
      <c r="AM887" s="2186">
        <f t="shared" ref="AM887:AM915" si="1911">AL887-AK887</f>
        <v>0</v>
      </c>
      <c r="AN887" s="2309">
        <f>AN902</f>
        <v>0</v>
      </c>
      <c r="AO887" s="2309">
        <f>AO902</f>
        <v>0</v>
      </c>
      <c r="AP887" s="2186">
        <f t="shared" ref="AP887:AP915" si="1912">AO887-AN887</f>
        <v>0</v>
      </c>
      <c r="AQ887" s="2309">
        <f>AQ902</f>
        <v>0</v>
      </c>
      <c r="AR887" s="2309">
        <f>AR902</f>
        <v>0</v>
      </c>
      <c r="AS887" s="2186">
        <f t="shared" ref="AS887:AS915" si="1913">AR887-AQ887</f>
        <v>0</v>
      </c>
      <c r="AT887" s="2309">
        <f>AT902</f>
        <v>0</v>
      </c>
      <c r="AU887" s="2309">
        <f>AU902</f>
        <v>0</v>
      </c>
      <c r="AV887" s="2186">
        <f t="shared" ref="AV887:AV915" si="1914">AU887-AT887</f>
        <v>0</v>
      </c>
      <c r="AW887" s="2309">
        <f>AW902</f>
        <v>0</v>
      </c>
      <c r="AX887" s="2309">
        <f>AX902</f>
        <v>0</v>
      </c>
      <c r="AY887" s="2186">
        <f t="shared" ref="AY887:AY915" si="1915">AX887-AW887</f>
        <v>0</v>
      </c>
      <c r="AZ887" s="2309">
        <f>AZ902</f>
        <v>0</v>
      </c>
      <c r="BA887" s="2309">
        <f>BA902</f>
        <v>0</v>
      </c>
      <c r="BB887" s="2186">
        <f t="shared" ref="BB887:BB915" si="1916">BA887-AZ887</f>
        <v>0</v>
      </c>
      <c r="BC887" s="2309">
        <f>BC902</f>
        <v>0</v>
      </c>
      <c r="BD887" s="2309">
        <f>BD902</f>
        <v>0</v>
      </c>
      <c r="BE887" s="2186">
        <f t="shared" ref="BE887:BE915" si="1917">BD887-BC887</f>
        <v>0</v>
      </c>
      <c r="BF887" s="2309">
        <f>BF902</f>
        <v>0</v>
      </c>
      <c r="BG887" s="2309">
        <f>BG902</f>
        <v>0</v>
      </c>
      <c r="BH887" s="2186">
        <f t="shared" ref="BH887:BH915" si="1918">BG887-BF887</f>
        <v>0</v>
      </c>
      <c r="BI887" s="2309">
        <f>BI902</f>
        <v>0</v>
      </c>
      <c r="BJ887" s="2309">
        <f>BJ902</f>
        <v>0</v>
      </c>
      <c r="BK887" s="2186">
        <f t="shared" ref="BK887:BK915" si="1919">BJ887-BI887</f>
        <v>0</v>
      </c>
      <c r="BL887" s="2309">
        <f>BL902</f>
        <v>0</v>
      </c>
      <c r="BM887" s="2309">
        <f>BM902</f>
        <v>0</v>
      </c>
      <c r="BN887" s="2186">
        <f t="shared" ref="BN887:BN915" si="1920">BM887-BL887</f>
        <v>0</v>
      </c>
      <c r="BO887" s="2309">
        <f>BO902</f>
        <v>0</v>
      </c>
      <c r="BP887" s="2309">
        <f>BP902</f>
        <v>0</v>
      </c>
      <c r="BQ887" s="2186">
        <f t="shared" ref="BQ887:BQ915" si="1921">BP887-BO887</f>
        <v>0</v>
      </c>
    </row>
    <row r="888" spans="3:69" s="2396" customFormat="1" ht="12" hidden="1" customHeight="1">
      <c r="C888" s="2450" t="s">
        <v>3089</v>
      </c>
      <c r="D888" s="2383" t="s">
        <v>2872</v>
      </c>
      <c r="E888" s="2384" t="s">
        <v>1833</v>
      </c>
      <c r="F888" s="2176"/>
      <c r="G888" s="2300">
        <f>G893+G903</f>
        <v>0</v>
      </c>
      <c r="H888" s="2300">
        <f>H893+H903</f>
        <v>0</v>
      </c>
      <c r="I888" s="2178">
        <f t="shared" si="1905"/>
        <v>0</v>
      </c>
      <c r="J888" s="2176"/>
      <c r="K888" s="2179">
        <f t="shared" si="1899"/>
        <v>0</v>
      </c>
      <c r="L888" s="2179">
        <f t="shared" si="1899"/>
        <v>0</v>
      </c>
      <c r="M888" s="2178">
        <f t="shared" si="1900"/>
        <v>0</v>
      </c>
      <c r="N888" s="2300">
        <f>N893+N903</f>
        <v>0</v>
      </c>
      <c r="O888" s="2300">
        <f>O893+O903</f>
        <v>0</v>
      </c>
      <c r="P888" s="2178">
        <f t="shared" si="1906"/>
        <v>0</v>
      </c>
      <c r="Q888" s="2300">
        <f>Q893+Q903</f>
        <v>0</v>
      </c>
      <c r="R888" s="2300">
        <f>R893+R903</f>
        <v>0</v>
      </c>
      <c r="S888" s="2178">
        <f t="shared" si="1907"/>
        <v>0</v>
      </c>
      <c r="T888" s="2181">
        <f t="shared" si="1901"/>
        <v>0</v>
      </c>
      <c r="U888" s="2179">
        <f t="shared" si="1901"/>
        <v>0</v>
      </c>
      <c r="V888" s="2178">
        <f t="shared" si="1902"/>
        <v>0</v>
      </c>
      <c r="W888" s="2300">
        <f>W893+W903</f>
        <v>0</v>
      </c>
      <c r="X888" s="2300">
        <f>X893+X903</f>
        <v>0</v>
      </c>
      <c r="Y888" s="2178">
        <f t="shared" si="1908"/>
        <v>0</v>
      </c>
      <c r="Z888" s="2181">
        <f t="shared" si="1903"/>
        <v>0</v>
      </c>
      <c r="AA888" s="2179">
        <f t="shared" si="1903"/>
        <v>0</v>
      </c>
      <c r="AB888" s="2178">
        <f t="shared" si="1904"/>
        <v>0</v>
      </c>
      <c r="AC888" s="2300">
        <f>AC893+AC903</f>
        <v>0</v>
      </c>
      <c r="AD888" s="2300">
        <f>AD893+AD903</f>
        <v>0</v>
      </c>
      <c r="AE888" s="2178">
        <f t="shared" si="1909"/>
        <v>0</v>
      </c>
      <c r="AF888" s="2170"/>
      <c r="AG888" s="2395"/>
      <c r="AH888" s="2309">
        <f>AH893+AH903</f>
        <v>0</v>
      </c>
      <c r="AI888" s="2309">
        <f>AI893+AI903</f>
        <v>0</v>
      </c>
      <c r="AJ888" s="2186">
        <f t="shared" si="1910"/>
        <v>0</v>
      </c>
      <c r="AK888" s="2309">
        <f>AK893+AK903</f>
        <v>0</v>
      </c>
      <c r="AL888" s="2309">
        <f>AL893+AL903</f>
        <v>0</v>
      </c>
      <c r="AM888" s="2186">
        <f t="shared" si="1911"/>
        <v>0</v>
      </c>
      <c r="AN888" s="2309">
        <f>AN893+AN903</f>
        <v>0</v>
      </c>
      <c r="AO888" s="2309">
        <f>AO893+AO903</f>
        <v>0</v>
      </c>
      <c r="AP888" s="2186">
        <f t="shared" si="1912"/>
        <v>0</v>
      </c>
      <c r="AQ888" s="2309">
        <f>AQ893+AQ903</f>
        <v>0</v>
      </c>
      <c r="AR888" s="2309">
        <f>AR893+AR903</f>
        <v>0</v>
      </c>
      <c r="AS888" s="2186">
        <f t="shared" si="1913"/>
        <v>0</v>
      </c>
      <c r="AT888" s="2309">
        <f>AT893+AT903</f>
        <v>0</v>
      </c>
      <c r="AU888" s="2309">
        <f>AU893+AU903</f>
        <v>0</v>
      </c>
      <c r="AV888" s="2186">
        <f t="shared" si="1914"/>
        <v>0</v>
      </c>
      <c r="AW888" s="2309">
        <f>AW893+AW903</f>
        <v>0</v>
      </c>
      <c r="AX888" s="2309">
        <f>AX893+AX903</f>
        <v>0</v>
      </c>
      <c r="AY888" s="2186">
        <f t="shared" si="1915"/>
        <v>0</v>
      </c>
      <c r="AZ888" s="2309">
        <f>AZ893+AZ903</f>
        <v>0</v>
      </c>
      <c r="BA888" s="2309">
        <f>BA893+BA903</f>
        <v>0</v>
      </c>
      <c r="BB888" s="2186">
        <f t="shared" si="1916"/>
        <v>0</v>
      </c>
      <c r="BC888" s="2309">
        <f>BC893+BC903</f>
        <v>0</v>
      </c>
      <c r="BD888" s="2309">
        <f>BD893+BD903</f>
        <v>0</v>
      </c>
      <c r="BE888" s="2186">
        <f t="shared" si="1917"/>
        <v>0</v>
      </c>
      <c r="BF888" s="2309">
        <f>BF893+BF903</f>
        <v>0</v>
      </c>
      <c r="BG888" s="2309">
        <f>BG893+BG903</f>
        <v>0</v>
      </c>
      <c r="BH888" s="2186">
        <f t="shared" si="1918"/>
        <v>0</v>
      </c>
      <c r="BI888" s="2309">
        <f>BI893+BI903</f>
        <v>0</v>
      </c>
      <c r="BJ888" s="2309">
        <f>BJ893+BJ903</f>
        <v>0</v>
      </c>
      <c r="BK888" s="2186">
        <f t="shared" si="1919"/>
        <v>0</v>
      </c>
      <c r="BL888" s="2309">
        <f>BL893+BL903</f>
        <v>0</v>
      </c>
      <c r="BM888" s="2309">
        <f>BM893+BM903</f>
        <v>0</v>
      </c>
      <c r="BN888" s="2186">
        <f t="shared" si="1920"/>
        <v>0</v>
      </c>
      <c r="BO888" s="2309">
        <f>BO893+BO903</f>
        <v>0</v>
      </c>
      <c r="BP888" s="2309">
        <f>BP893+BP903</f>
        <v>0</v>
      </c>
      <c r="BQ888" s="2186">
        <f t="shared" si="1921"/>
        <v>0</v>
      </c>
    </row>
    <row r="889" spans="3:69" s="2396" customFormat="1" ht="12" hidden="1" customHeight="1">
      <c r="C889" s="2357" t="s">
        <v>3090</v>
      </c>
      <c r="D889" s="2421" t="s">
        <v>2434</v>
      </c>
      <c r="E889" s="2335" t="s">
        <v>1833</v>
      </c>
      <c r="F889" s="2176"/>
      <c r="G889" s="2300">
        <f>G894+G904</f>
        <v>0</v>
      </c>
      <c r="H889" s="2300">
        <f>H894+H904</f>
        <v>0</v>
      </c>
      <c r="I889" s="2178">
        <f t="shared" si="1905"/>
        <v>0</v>
      </c>
      <c r="J889" s="2176"/>
      <c r="K889" s="2179">
        <f t="shared" si="1899"/>
        <v>0</v>
      </c>
      <c r="L889" s="2179">
        <f t="shared" si="1899"/>
        <v>0</v>
      </c>
      <c r="M889" s="2178">
        <f t="shared" si="1900"/>
        <v>0</v>
      </c>
      <c r="N889" s="2300">
        <f>N894+N904</f>
        <v>0</v>
      </c>
      <c r="O889" s="2300">
        <f>O894+O904</f>
        <v>0</v>
      </c>
      <c r="P889" s="2178">
        <f t="shared" si="1906"/>
        <v>0</v>
      </c>
      <c r="Q889" s="2300">
        <f>Q894+Q904</f>
        <v>0</v>
      </c>
      <c r="R889" s="2300">
        <f>R894+R904</f>
        <v>0</v>
      </c>
      <c r="S889" s="2178">
        <f t="shared" si="1907"/>
        <v>0</v>
      </c>
      <c r="T889" s="2181">
        <f t="shared" si="1901"/>
        <v>0</v>
      </c>
      <c r="U889" s="2179">
        <f t="shared" si="1901"/>
        <v>0</v>
      </c>
      <c r="V889" s="2178">
        <f t="shared" si="1902"/>
        <v>0</v>
      </c>
      <c r="W889" s="2300">
        <f>W894+W904</f>
        <v>0</v>
      </c>
      <c r="X889" s="2300">
        <f>X894+X904</f>
        <v>0</v>
      </c>
      <c r="Y889" s="2178">
        <f t="shared" si="1908"/>
        <v>0</v>
      </c>
      <c r="Z889" s="2181">
        <f t="shared" si="1903"/>
        <v>0</v>
      </c>
      <c r="AA889" s="2179">
        <f t="shared" si="1903"/>
        <v>0</v>
      </c>
      <c r="AB889" s="2178">
        <f t="shared" si="1904"/>
        <v>0</v>
      </c>
      <c r="AC889" s="2300">
        <f>AC894+AC904</f>
        <v>0</v>
      </c>
      <c r="AD889" s="2300">
        <f>AD894+AD904</f>
        <v>0</v>
      </c>
      <c r="AE889" s="2178">
        <f t="shared" si="1909"/>
        <v>0</v>
      </c>
      <c r="AF889" s="2170"/>
      <c r="AG889" s="2395"/>
      <c r="AH889" s="2309">
        <f>AH894+AH904</f>
        <v>0</v>
      </c>
      <c r="AI889" s="2309">
        <f>AI894+AI904</f>
        <v>0</v>
      </c>
      <c r="AJ889" s="2186">
        <f t="shared" si="1910"/>
        <v>0</v>
      </c>
      <c r="AK889" s="2309">
        <f>AK894+AK904</f>
        <v>0</v>
      </c>
      <c r="AL889" s="2309">
        <f>AL894+AL904</f>
        <v>0</v>
      </c>
      <c r="AM889" s="2186">
        <f t="shared" si="1911"/>
        <v>0</v>
      </c>
      <c r="AN889" s="2309">
        <f>AN894+AN904</f>
        <v>0</v>
      </c>
      <c r="AO889" s="2309">
        <f>AO894+AO904</f>
        <v>0</v>
      </c>
      <c r="AP889" s="2186">
        <f t="shared" si="1912"/>
        <v>0</v>
      </c>
      <c r="AQ889" s="2309">
        <f>AQ894+AQ904</f>
        <v>0</v>
      </c>
      <c r="AR889" s="2309">
        <f>AR894+AR904</f>
        <v>0</v>
      </c>
      <c r="AS889" s="2186">
        <f t="shared" si="1913"/>
        <v>0</v>
      </c>
      <c r="AT889" s="2309">
        <f>AT894+AT904</f>
        <v>0</v>
      </c>
      <c r="AU889" s="2309">
        <f>AU894+AU904</f>
        <v>0</v>
      </c>
      <c r="AV889" s="2186">
        <f t="shared" si="1914"/>
        <v>0</v>
      </c>
      <c r="AW889" s="2309">
        <f>AW894+AW904</f>
        <v>0</v>
      </c>
      <c r="AX889" s="2309">
        <f>AX894+AX904</f>
        <v>0</v>
      </c>
      <c r="AY889" s="2186">
        <f t="shared" si="1915"/>
        <v>0</v>
      </c>
      <c r="AZ889" s="2309">
        <f>AZ894+AZ904</f>
        <v>0</v>
      </c>
      <c r="BA889" s="2309">
        <f>BA894+BA904</f>
        <v>0</v>
      </c>
      <c r="BB889" s="2186">
        <f t="shared" si="1916"/>
        <v>0</v>
      </c>
      <c r="BC889" s="2309">
        <f>BC894+BC904</f>
        <v>0</v>
      </c>
      <c r="BD889" s="2309">
        <f>BD894+BD904</f>
        <v>0</v>
      </c>
      <c r="BE889" s="2186">
        <f t="shared" si="1917"/>
        <v>0</v>
      </c>
      <c r="BF889" s="2309">
        <f>BF894+BF904</f>
        <v>0</v>
      </c>
      <c r="BG889" s="2309">
        <f>BG894+BG904</f>
        <v>0</v>
      </c>
      <c r="BH889" s="2186">
        <f t="shared" si="1918"/>
        <v>0</v>
      </c>
      <c r="BI889" s="2309">
        <f>BI894+BI904</f>
        <v>0</v>
      </c>
      <c r="BJ889" s="2309">
        <f>BJ894+BJ904</f>
        <v>0</v>
      </c>
      <c r="BK889" s="2186">
        <f t="shared" si="1919"/>
        <v>0</v>
      </c>
      <c r="BL889" s="2309">
        <f>BL894+BL904</f>
        <v>0</v>
      </c>
      <c r="BM889" s="2309">
        <f>BM894+BM904</f>
        <v>0</v>
      </c>
      <c r="BN889" s="2186">
        <f t="shared" si="1920"/>
        <v>0</v>
      </c>
      <c r="BO889" s="2309">
        <f>BO894+BO904</f>
        <v>0</v>
      </c>
      <c r="BP889" s="2309">
        <f>BP894+BP904</f>
        <v>0</v>
      </c>
      <c r="BQ889" s="2186">
        <f t="shared" si="1921"/>
        <v>0</v>
      </c>
    </row>
    <row r="890" spans="3:69" s="2396" customFormat="1" ht="12" hidden="1" customHeight="1">
      <c r="C890" s="2450" t="s">
        <v>3091</v>
      </c>
      <c r="D890" s="2383" t="s">
        <v>42</v>
      </c>
      <c r="E890" s="2384" t="s">
        <v>1833</v>
      </c>
      <c r="F890" s="2176"/>
      <c r="G890" s="2300">
        <f>G895+G905+G907</f>
        <v>0</v>
      </c>
      <c r="H890" s="2300">
        <f>H895+H905+H907</f>
        <v>0</v>
      </c>
      <c r="I890" s="2178">
        <f t="shared" si="1905"/>
        <v>0</v>
      </c>
      <c r="J890" s="2176"/>
      <c r="K890" s="2179">
        <f t="shared" si="1899"/>
        <v>0</v>
      </c>
      <c r="L890" s="2179">
        <f t="shared" si="1899"/>
        <v>0</v>
      </c>
      <c r="M890" s="2178">
        <f t="shared" si="1900"/>
        <v>0</v>
      </c>
      <c r="N890" s="2300">
        <f>N895+N905+N907</f>
        <v>0</v>
      </c>
      <c r="O890" s="2300">
        <f>O895+O905+O907</f>
        <v>0</v>
      </c>
      <c r="P890" s="2178">
        <f t="shared" si="1906"/>
        <v>0</v>
      </c>
      <c r="Q890" s="2300">
        <f>Q895+Q905+Q907</f>
        <v>0</v>
      </c>
      <c r="R890" s="2300">
        <f>R895+R905+R907</f>
        <v>0</v>
      </c>
      <c r="S890" s="2178">
        <f t="shared" si="1907"/>
        <v>0</v>
      </c>
      <c r="T890" s="2181">
        <f t="shared" si="1901"/>
        <v>0</v>
      </c>
      <c r="U890" s="2179">
        <f t="shared" si="1901"/>
        <v>0</v>
      </c>
      <c r="V890" s="2178">
        <f t="shared" si="1902"/>
        <v>0</v>
      </c>
      <c r="W890" s="2300">
        <f>W895+W905+W907</f>
        <v>0</v>
      </c>
      <c r="X890" s="2300">
        <f>X895+X905+X907</f>
        <v>0</v>
      </c>
      <c r="Y890" s="2178">
        <f t="shared" si="1908"/>
        <v>0</v>
      </c>
      <c r="Z890" s="2181">
        <f t="shared" si="1903"/>
        <v>0</v>
      </c>
      <c r="AA890" s="2179">
        <f t="shared" si="1903"/>
        <v>0</v>
      </c>
      <c r="AB890" s="2178">
        <f t="shared" si="1904"/>
        <v>0</v>
      </c>
      <c r="AC890" s="2300">
        <f>AC895+AC905+AC907</f>
        <v>0</v>
      </c>
      <c r="AD890" s="2300">
        <f>AD895+AD905+AD907</f>
        <v>0</v>
      </c>
      <c r="AE890" s="2178">
        <f t="shared" si="1909"/>
        <v>0</v>
      </c>
      <c r="AF890" s="2170"/>
      <c r="AG890" s="2395"/>
      <c r="AH890" s="2309">
        <f>AH895+AH905+AH907</f>
        <v>0</v>
      </c>
      <c r="AI890" s="2309">
        <f>AI895+AI905+AI907</f>
        <v>0</v>
      </c>
      <c r="AJ890" s="2186">
        <f t="shared" si="1910"/>
        <v>0</v>
      </c>
      <c r="AK890" s="2309">
        <f>AK895+AK905+AK907</f>
        <v>0</v>
      </c>
      <c r="AL890" s="2309">
        <f>AL895+AL905+AL907</f>
        <v>0</v>
      </c>
      <c r="AM890" s="2186">
        <f t="shared" si="1911"/>
        <v>0</v>
      </c>
      <c r="AN890" s="2309">
        <f>AN895+AN905+AN907</f>
        <v>0</v>
      </c>
      <c r="AO890" s="2309">
        <f>AO895+AO905+AO907</f>
        <v>0</v>
      </c>
      <c r="AP890" s="2186">
        <f t="shared" si="1912"/>
        <v>0</v>
      </c>
      <c r="AQ890" s="2309">
        <f>AQ895+AQ905+AQ907</f>
        <v>0</v>
      </c>
      <c r="AR890" s="2309">
        <f>AR895+AR905+AR907</f>
        <v>0</v>
      </c>
      <c r="AS890" s="2186">
        <f t="shared" si="1913"/>
        <v>0</v>
      </c>
      <c r="AT890" s="2309">
        <f>AT895+AT905+AT907</f>
        <v>0</v>
      </c>
      <c r="AU890" s="2309">
        <f>AU895+AU905+AU907</f>
        <v>0</v>
      </c>
      <c r="AV890" s="2186">
        <f t="shared" si="1914"/>
        <v>0</v>
      </c>
      <c r="AW890" s="2309">
        <f>AW895+AW905+AW907</f>
        <v>0</v>
      </c>
      <c r="AX890" s="2309">
        <f>AX895+AX905+AX907</f>
        <v>0</v>
      </c>
      <c r="AY890" s="2186">
        <f t="shared" si="1915"/>
        <v>0</v>
      </c>
      <c r="AZ890" s="2309">
        <f>AZ895+AZ905+AZ907</f>
        <v>0</v>
      </c>
      <c r="BA890" s="2309">
        <f>BA895+BA905+BA907</f>
        <v>0</v>
      </c>
      <c r="BB890" s="2186">
        <f t="shared" si="1916"/>
        <v>0</v>
      </c>
      <c r="BC890" s="2309">
        <f>BC895+BC905+BC907</f>
        <v>0</v>
      </c>
      <c r="BD890" s="2309">
        <f>BD895+BD905+BD907</f>
        <v>0</v>
      </c>
      <c r="BE890" s="2186">
        <f t="shared" si="1917"/>
        <v>0</v>
      </c>
      <c r="BF890" s="2309">
        <f>BF895+BF905+BF907</f>
        <v>0</v>
      </c>
      <c r="BG890" s="2309">
        <f>BG895+BG905+BG907</f>
        <v>0</v>
      </c>
      <c r="BH890" s="2186">
        <f t="shared" si="1918"/>
        <v>0</v>
      </c>
      <c r="BI890" s="2309">
        <f>BI895+BI905+BI907</f>
        <v>0</v>
      </c>
      <c r="BJ890" s="2309">
        <f>BJ895+BJ905+BJ907</f>
        <v>0</v>
      </c>
      <c r="BK890" s="2186">
        <f t="shared" si="1919"/>
        <v>0</v>
      </c>
      <c r="BL890" s="2309">
        <f>BL895+BL905+BL907</f>
        <v>0</v>
      </c>
      <c r="BM890" s="2309">
        <f>BM895+BM905+BM907</f>
        <v>0</v>
      </c>
      <c r="BN890" s="2186">
        <f t="shared" si="1920"/>
        <v>0</v>
      </c>
      <c r="BO890" s="2309">
        <f>BO895+BO905+BO907</f>
        <v>0</v>
      </c>
      <c r="BP890" s="2309">
        <f>BP895+BP905+BP907</f>
        <v>0</v>
      </c>
      <c r="BQ890" s="2186">
        <f t="shared" si="1921"/>
        <v>0</v>
      </c>
    </row>
    <row r="891" spans="3:69" s="2396" customFormat="1" ht="12" hidden="1" customHeight="1">
      <c r="C891" s="2357" t="s">
        <v>3092</v>
      </c>
      <c r="D891" s="2421" t="s">
        <v>2434</v>
      </c>
      <c r="E891" s="2335" t="s">
        <v>1833</v>
      </c>
      <c r="F891" s="2176"/>
      <c r="G891" s="2300">
        <f>G897+G899+G906+G908</f>
        <v>0</v>
      </c>
      <c r="H891" s="2300">
        <f>H897+H899+H906+H908</f>
        <v>0</v>
      </c>
      <c r="I891" s="2178">
        <f t="shared" si="1905"/>
        <v>0</v>
      </c>
      <c r="J891" s="2176"/>
      <c r="K891" s="2179">
        <f t="shared" si="1899"/>
        <v>0</v>
      </c>
      <c r="L891" s="2179">
        <f t="shared" si="1899"/>
        <v>0</v>
      </c>
      <c r="M891" s="2178">
        <f t="shared" si="1900"/>
        <v>0</v>
      </c>
      <c r="N891" s="2300">
        <f>N897+N899+N906+N908</f>
        <v>0</v>
      </c>
      <c r="O891" s="2300">
        <f>O897+O899+O906+O908</f>
        <v>0</v>
      </c>
      <c r="P891" s="2178">
        <f t="shared" si="1906"/>
        <v>0</v>
      </c>
      <c r="Q891" s="2300">
        <f>Q897+Q899+Q906+Q908</f>
        <v>0</v>
      </c>
      <c r="R891" s="2300">
        <f>R897+R899+R906+R908</f>
        <v>0</v>
      </c>
      <c r="S891" s="2178">
        <f t="shared" si="1907"/>
        <v>0</v>
      </c>
      <c r="T891" s="2181">
        <f t="shared" si="1901"/>
        <v>0</v>
      </c>
      <c r="U891" s="2179">
        <f t="shared" si="1901"/>
        <v>0</v>
      </c>
      <c r="V891" s="2178">
        <f t="shared" si="1902"/>
        <v>0</v>
      </c>
      <c r="W891" s="2300">
        <f>W897+W899+W906+W908</f>
        <v>0</v>
      </c>
      <c r="X891" s="2300">
        <f>X897+X899+X906+X908</f>
        <v>0</v>
      </c>
      <c r="Y891" s="2178">
        <f t="shared" si="1908"/>
        <v>0</v>
      </c>
      <c r="Z891" s="2181">
        <f t="shared" si="1903"/>
        <v>0</v>
      </c>
      <c r="AA891" s="2179">
        <f t="shared" si="1903"/>
        <v>0</v>
      </c>
      <c r="AB891" s="2178">
        <f t="shared" si="1904"/>
        <v>0</v>
      </c>
      <c r="AC891" s="2300">
        <f>AC897+AC899+AC906+AC908</f>
        <v>0</v>
      </c>
      <c r="AD891" s="2300">
        <f>AD897+AD899+AD906+AD908</f>
        <v>0</v>
      </c>
      <c r="AE891" s="2178">
        <f t="shared" si="1909"/>
        <v>0</v>
      </c>
      <c r="AF891" s="2170"/>
      <c r="AG891" s="2395"/>
      <c r="AH891" s="2309">
        <f>AH897+AH899+AH906+AH908</f>
        <v>0</v>
      </c>
      <c r="AI891" s="2309">
        <f>AI897+AI899+AI906+AI908</f>
        <v>0</v>
      </c>
      <c r="AJ891" s="2186">
        <f t="shared" si="1910"/>
        <v>0</v>
      </c>
      <c r="AK891" s="2309">
        <f>AK897+AK899+AK906+AK908</f>
        <v>0</v>
      </c>
      <c r="AL891" s="2309">
        <f>AL897+AL899+AL906+AL908</f>
        <v>0</v>
      </c>
      <c r="AM891" s="2186">
        <f t="shared" si="1911"/>
        <v>0</v>
      </c>
      <c r="AN891" s="2309">
        <f>AN897+AN899+AN906+AN908</f>
        <v>0</v>
      </c>
      <c r="AO891" s="2309">
        <f>AO897+AO899+AO906+AO908</f>
        <v>0</v>
      </c>
      <c r="AP891" s="2186">
        <f t="shared" si="1912"/>
        <v>0</v>
      </c>
      <c r="AQ891" s="2309">
        <f>AQ897+AQ899+AQ906+AQ908</f>
        <v>0</v>
      </c>
      <c r="AR891" s="2309">
        <f>AR897+AR899+AR906+AR908</f>
        <v>0</v>
      </c>
      <c r="AS891" s="2186">
        <f t="shared" si="1913"/>
        <v>0</v>
      </c>
      <c r="AT891" s="2309">
        <f>AT897+AT899+AT906+AT908</f>
        <v>0</v>
      </c>
      <c r="AU891" s="2309">
        <f>AU897+AU899+AU906+AU908</f>
        <v>0</v>
      </c>
      <c r="AV891" s="2186">
        <f t="shared" si="1914"/>
        <v>0</v>
      </c>
      <c r="AW891" s="2309">
        <f>AW897+AW899+AW906+AW908</f>
        <v>0</v>
      </c>
      <c r="AX891" s="2309">
        <f>AX897+AX899+AX906+AX908</f>
        <v>0</v>
      </c>
      <c r="AY891" s="2186">
        <f t="shared" si="1915"/>
        <v>0</v>
      </c>
      <c r="AZ891" s="2309">
        <f>AZ897+AZ899+AZ906+AZ908</f>
        <v>0</v>
      </c>
      <c r="BA891" s="2309">
        <f>BA897+BA899+BA906+BA908</f>
        <v>0</v>
      </c>
      <c r="BB891" s="2186">
        <f t="shared" si="1916"/>
        <v>0</v>
      </c>
      <c r="BC891" s="2309">
        <f>BC897+BC899+BC906+BC908</f>
        <v>0</v>
      </c>
      <c r="BD891" s="2309">
        <f>BD897+BD899+BD906+BD908</f>
        <v>0</v>
      </c>
      <c r="BE891" s="2186">
        <f t="shared" si="1917"/>
        <v>0</v>
      </c>
      <c r="BF891" s="2309">
        <f>BF897+BF899+BF906+BF908</f>
        <v>0</v>
      </c>
      <c r="BG891" s="2309">
        <f>BG897+BG899+BG906+BG908</f>
        <v>0</v>
      </c>
      <c r="BH891" s="2186">
        <f t="shared" si="1918"/>
        <v>0</v>
      </c>
      <c r="BI891" s="2309">
        <f>BI897+BI899+BI906+BI908</f>
        <v>0</v>
      </c>
      <c r="BJ891" s="2309">
        <f>BJ897+BJ899+BJ906+BJ908</f>
        <v>0</v>
      </c>
      <c r="BK891" s="2186">
        <f t="shared" si="1919"/>
        <v>0</v>
      </c>
      <c r="BL891" s="2309">
        <f>BL897+BL899+BL906+BL908</f>
        <v>0</v>
      </c>
      <c r="BM891" s="2309">
        <f>BM897+BM899+BM906+BM908</f>
        <v>0</v>
      </c>
      <c r="BN891" s="2186">
        <f t="shared" si="1920"/>
        <v>0</v>
      </c>
      <c r="BO891" s="2309">
        <f>BO897+BO899+BO906+BO908</f>
        <v>0</v>
      </c>
      <c r="BP891" s="2309">
        <f>BP897+BP899+BP906+BP908</f>
        <v>0</v>
      </c>
      <c r="BQ891" s="2186">
        <f t="shared" si="1921"/>
        <v>0</v>
      </c>
    </row>
    <row r="892" spans="3:69" s="2159" customFormat="1" ht="12" hidden="1" customHeight="1">
      <c r="C892" s="2160" t="s">
        <v>3093</v>
      </c>
      <c r="D892" s="2463" t="s">
        <v>3094</v>
      </c>
      <c r="E892" s="2213" t="s">
        <v>1833</v>
      </c>
      <c r="F892" s="2162"/>
      <c r="G892" s="2163">
        <f>G893+G895</f>
        <v>0</v>
      </c>
      <c r="H892" s="2163">
        <f>H893+H895</f>
        <v>0</v>
      </c>
      <c r="I892" s="2164">
        <f t="shared" si="1905"/>
        <v>0</v>
      </c>
      <c r="J892" s="2162"/>
      <c r="K892" s="2163">
        <f t="shared" si="1899"/>
        <v>0</v>
      </c>
      <c r="L892" s="2163">
        <f t="shared" si="1899"/>
        <v>0</v>
      </c>
      <c r="M892" s="2164">
        <f t="shared" si="1900"/>
        <v>0</v>
      </c>
      <c r="N892" s="2163">
        <f>N893+N895</f>
        <v>0</v>
      </c>
      <c r="O892" s="2163">
        <f>O893+O895</f>
        <v>0</v>
      </c>
      <c r="P892" s="2164">
        <f t="shared" si="1906"/>
        <v>0</v>
      </c>
      <c r="Q892" s="2163">
        <f>Q893+Q895</f>
        <v>0</v>
      </c>
      <c r="R892" s="2163">
        <f>R893+R895</f>
        <v>0</v>
      </c>
      <c r="S892" s="2164">
        <f t="shared" si="1907"/>
        <v>0</v>
      </c>
      <c r="T892" s="2167">
        <f t="shared" si="1901"/>
        <v>0</v>
      </c>
      <c r="U892" s="2163">
        <f t="shared" si="1901"/>
        <v>0</v>
      </c>
      <c r="V892" s="2164">
        <f t="shared" si="1902"/>
        <v>0</v>
      </c>
      <c r="W892" s="2163">
        <f>W893+W895</f>
        <v>0</v>
      </c>
      <c r="X892" s="2163">
        <f>X893+X895</f>
        <v>0</v>
      </c>
      <c r="Y892" s="2164">
        <f t="shared" si="1908"/>
        <v>0</v>
      </c>
      <c r="Z892" s="2167">
        <f t="shared" si="1903"/>
        <v>0</v>
      </c>
      <c r="AA892" s="2163">
        <f t="shared" si="1903"/>
        <v>0</v>
      </c>
      <c r="AB892" s="2164">
        <f t="shared" si="1904"/>
        <v>0</v>
      </c>
      <c r="AC892" s="2163">
        <f>AC893+AC895</f>
        <v>0</v>
      </c>
      <c r="AD892" s="2163">
        <f>AD893+AD895</f>
        <v>0</v>
      </c>
      <c r="AE892" s="2164">
        <f t="shared" si="1909"/>
        <v>0</v>
      </c>
      <c r="AF892" s="2204"/>
      <c r="AG892" s="2158"/>
      <c r="AH892" s="2171">
        <f>AH893+AH895</f>
        <v>0</v>
      </c>
      <c r="AI892" s="2171">
        <f>AI893+AI895</f>
        <v>0</v>
      </c>
      <c r="AJ892" s="2172">
        <f t="shared" si="1910"/>
        <v>0</v>
      </c>
      <c r="AK892" s="2171">
        <f>AK893+AK895</f>
        <v>0</v>
      </c>
      <c r="AL892" s="2171">
        <f>AL893+AL895</f>
        <v>0</v>
      </c>
      <c r="AM892" s="2172">
        <f t="shared" si="1911"/>
        <v>0</v>
      </c>
      <c r="AN892" s="2171">
        <f>AN893+AN895</f>
        <v>0</v>
      </c>
      <c r="AO892" s="2171">
        <f>AO893+AO895</f>
        <v>0</v>
      </c>
      <c r="AP892" s="2172">
        <f t="shared" si="1912"/>
        <v>0</v>
      </c>
      <c r="AQ892" s="2171">
        <f>AQ893+AQ895</f>
        <v>0</v>
      </c>
      <c r="AR892" s="2171">
        <f>AR893+AR895</f>
        <v>0</v>
      </c>
      <c r="AS892" s="2172">
        <f t="shared" si="1913"/>
        <v>0</v>
      </c>
      <c r="AT892" s="2171">
        <f>AT893+AT895</f>
        <v>0</v>
      </c>
      <c r="AU892" s="2171">
        <f>AU893+AU895</f>
        <v>0</v>
      </c>
      <c r="AV892" s="2172">
        <f t="shared" si="1914"/>
        <v>0</v>
      </c>
      <c r="AW892" s="2171">
        <f>AW893+AW895</f>
        <v>0</v>
      </c>
      <c r="AX892" s="2171">
        <f>AX893+AX895</f>
        <v>0</v>
      </c>
      <c r="AY892" s="2172">
        <f t="shared" si="1915"/>
        <v>0</v>
      </c>
      <c r="AZ892" s="2171">
        <f>AZ893+AZ895</f>
        <v>0</v>
      </c>
      <c r="BA892" s="2171">
        <f>BA893+BA895</f>
        <v>0</v>
      </c>
      <c r="BB892" s="2172">
        <f t="shared" si="1916"/>
        <v>0</v>
      </c>
      <c r="BC892" s="2171">
        <f>BC893+BC895</f>
        <v>0</v>
      </c>
      <c r="BD892" s="2171">
        <f>BD893+BD895</f>
        <v>0</v>
      </c>
      <c r="BE892" s="2172">
        <f t="shared" si="1917"/>
        <v>0</v>
      </c>
      <c r="BF892" s="2171">
        <f>BF893+BF895</f>
        <v>0</v>
      </c>
      <c r="BG892" s="2171">
        <f>BG893+BG895</f>
        <v>0</v>
      </c>
      <c r="BH892" s="2172">
        <f t="shared" si="1918"/>
        <v>0</v>
      </c>
      <c r="BI892" s="2171">
        <f>BI893+BI895</f>
        <v>0</v>
      </c>
      <c r="BJ892" s="2171">
        <f>BJ893+BJ895</f>
        <v>0</v>
      </c>
      <c r="BK892" s="2172">
        <f t="shared" si="1919"/>
        <v>0</v>
      </c>
      <c r="BL892" s="2171">
        <f>BL893+BL895</f>
        <v>0</v>
      </c>
      <c r="BM892" s="2171">
        <f>BM893+BM895</f>
        <v>0</v>
      </c>
      <c r="BN892" s="2172">
        <f t="shared" si="1920"/>
        <v>0</v>
      </c>
      <c r="BO892" s="2171">
        <f>BO893+BO895</f>
        <v>0</v>
      </c>
      <c r="BP892" s="2171">
        <f>BP893+BP895</f>
        <v>0</v>
      </c>
      <c r="BQ892" s="2172">
        <f t="shared" si="1921"/>
        <v>0</v>
      </c>
    </row>
    <row r="893" spans="3:69" s="2087" customFormat="1" ht="12" hidden="1" customHeight="1">
      <c r="C893" s="2424" t="s">
        <v>3095</v>
      </c>
      <c r="D893" s="2383" t="s">
        <v>2872</v>
      </c>
      <c r="E893" s="2250" t="s">
        <v>2590</v>
      </c>
      <c r="F893" s="2176"/>
      <c r="G893" s="2177"/>
      <c r="H893" s="2177"/>
      <c r="I893" s="2178">
        <f t="shared" si="1905"/>
        <v>0</v>
      </c>
      <c r="J893" s="2176"/>
      <c r="K893" s="2179">
        <f t="shared" si="1899"/>
        <v>0</v>
      </c>
      <c r="L893" s="2179">
        <f t="shared" si="1899"/>
        <v>0</v>
      </c>
      <c r="M893" s="2178">
        <f t="shared" si="1900"/>
        <v>0</v>
      </c>
      <c r="N893" s="2177"/>
      <c r="O893" s="2177"/>
      <c r="P893" s="2178">
        <f t="shared" si="1906"/>
        <v>0</v>
      </c>
      <c r="Q893" s="2177"/>
      <c r="R893" s="2177"/>
      <c r="S893" s="2178">
        <f t="shared" si="1907"/>
        <v>0</v>
      </c>
      <c r="T893" s="2181">
        <f t="shared" si="1901"/>
        <v>0</v>
      </c>
      <c r="U893" s="2179">
        <f t="shared" si="1901"/>
        <v>0</v>
      </c>
      <c r="V893" s="2178">
        <f t="shared" si="1902"/>
        <v>0</v>
      </c>
      <c r="W893" s="2177"/>
      <c r="X893" s="2177"/>
      <c r="Y893" s="2178">
        <f t="shared" si="1908"/>
        <v>0</v>
      </c>
      <c r="Z893" s="2181">
        <f t="shared" si="1903"/>
        <v>0</v>
      </c>
      <c r="AA893" s="2179">
        <f t="shared" si="1903"/>
        <v>0</v>
      </c>
      <c r="AB893" s="2178">
        <f t="shared" si="1904"/>
        <v>0</v>
      </c>
      <c r="AC893" s="2177"/>
      <c r="AD893" s="2177"/>
      <c r="AE893" s="2178">
        <f t="shared" si="1909"/>
        <v>0</v>
      </c>
      <c r="AF893" s="2204"/>
      <c r="AG893" s="2114"/>
      <c r="AH893" s="2177"/>
      <c r="AI893" s="2177"/>
      <c r="AJ893" s="2186">
        <f t="shared" si="1910"/>
        <v>0</v>
      </c>
      <c r="AK893" s="2177"/>
      <c r="AL893" s="2177"/>
      <c r="AM893" s="2186">
        <f t="shared" si="1911"/>
        <v>0</v>
      </c>
      <c r="AN893" s="2177"/>
      <c r="AO893" s="2177"/>
      <c r="AP893" s="2186">
        <f t="shared" si="1912"/>
        <v>0</v>
      </c>
      <c r="AQ893" s="2177"/>
      <c r="AR893" s="2177"/>
      <c r="AS893" s="2186">
        <f t="shared" si="1913"/>
        <v>0</v>
      </c>
      <c r="AT893" s="2177"/>
      <c r="AU893" s="2177"/>
      <c r="AV893" s="2186">
        <f t="shared" si="1914"/>
        <v>0</v>
      </c>
      <c r="AW893" s="2177"/>
      <c r="AX893" s="2177"/>
      <c r="AY893" s="2186">
        <f t="shared" si="1915"/>
        <v>0</v>
      </c>
      <c r="AZ893" s="2177"/>
      <c r="BA893" s="2177"/>
      <c r="BB893" s="2186">
        <f t="shared" si="1916"/>
        <v>0</v>
      </c>
      <c r="BC893" s="2177"/>
      <c r="BD893" s="2177"/>
      <c r="BE893" s="2186">
        <f t="shared" si="1917"/>
        <v>0</v>
      </c>
      <c r="BF893" s="2177"/>
      <c r="BG893" s="2177"/>
      <c r="BH893" s="2186">
        <f t="shared" si="1918"/>
        <v>0</v>
      </c>
      <c r="BI893" s="2177"/>
      <c r="BJ893" s="2177"/>
      <c r="BK893" s="2186">
        <f t="shared" si="1919"/>
        <v>0</v>
      </c>
      <c r="BL893" s="2177"/>
      <c r="BM893" s="2177"/>
      <c r="BN893" s="2186">
        <f t="shared" si="1920"/>
        <v>0</v>
      </c>
      <c r="BO893" s="2177"/>
      <c r="BP893" s="2177"/>
      <c r="BQ893" s="2186">
        <f t="shared" si="1921"/>
        <v>0</v>
      </c>
    </row>
    <row r="894" spans="3:69" s="2087" customFormat="1" ht="12" hidden="1" customHeight="1">
      <c r="C894" s="2423" t="s">
        <v>3096</v>
      </c>
      <c r="D894" s="2421" t="s">
        <v>2434</v>
      </c>
      <c r="E894" s="2335" t="s">
        <v>1833</v>
      </c>
      <c r="F894" s="2176"/>
      <c r="G894" s="2177"/>
      <c r="H894" s="2177"/>
      <c r="I894" s="2178">
        <f t="shared" si="1905"/>
        <v>0</v>
      </c>
      <c r="J894" s="2176"/>
      <c r="K894" s="2179">
        <f t="shared" si="1899"/>
        <v>0</v>
      </c>
      <c r="L894" s="2179">
        <f t="shared" si="1899"/>
        <v>0</v>
      </c>
      <c r="M894" s="2178">
        <f t="shared" si="1900"/>
        <v>0</v>
      </c>
      <c r="N894" s="2177"/>
      <c r="O894" s="2177"/>
      <c r="P894" s="2178">
        <f t="shared" si="1906"/>
        <v>0</v>
      </c>
      <c r="Q894" s="2177"/>
      <c r="R894" s="2177"/>
      <c r="S894" s="2178">
        <f t="shared" si="1907"/>
        <v>0</v>
      </c>
      <c r="T894" s="2181">
        <f t="shared" si="1901"/>
        <v>0</v>
      </c>
      <c r="U894" s="2179">
        <f t="shared" si="1901"/>
        <v>0</v>
      </c>
      <c r="V894" s="2178">
        <f t="shared" si="1902"/>
        <v>0</v>
      </c>
      <c r="W894" s="2177"/>
      <c r="X894" s="2177"/>
      <c r="Y894" s="2178">
        <f t="shared" si="1908"/>
        <v>0</v>
      </c>
      <c r="Z894" s="2181">
        <f t="shared" si="1903"/>
        <v>0</v>
      </c>
      <c r="AA894" s="2179">
        <f t="shared" si="1903"/>
        <v>0</v>
      </c>
      <c r="AB894" s="2178">
        <f t="shared" si="1904"/>
        <v>0</v>
      </c>
      <c r="AC894" s="2177"/>
      <c r="AD894" s="2177"/>
      <c r="AE894" s="2178">
        <f t="shared" si="1909"/>
        <v>0</v>
      </c>
      <c r="AF894" s="2204"/>
      <c r="AG894" s="2114"/>
      <c r="AH894" s="2177"/>
      <c r="AI894" s="2177"/>
      <c r="AJ894" s="2186">
        <f t="shared" si="1910"/>
        <v>0</v>
      </c>
      <c r="AK894" s="2177"/>
      <c r="AL894" s="2177"/>
      <c r="AM894" s="2186">
        <f t="shared" si="1911"/>
        <v>0</v>
      </c>
      <c r="AN894" s="2177"/>
      <c r="AO894" s="2177"/>
      <c r="AP894" s="2186">
        <f t="shared" si="1912"/>
        <v>0</v>
      </c>
      <c r="AQ894" s="2177"/>
      <c r="AR894" s="2177"/>
      <c r="AS894" s="2186">
        <f t="shared" si="1913"/>
        <v>0</v>
      </c>
      <c r="AT894" s="2177"/>
      <c r="AU894" s="2177"/>
      <c r="AV894" s="2186">
        <f t="shared" si="1914"/>
        <v>0</v>
      </c>
      <c r="AW894" s="2177"/>
      <c r="AX894" s="2177"/>
      <c r="AY894" s="2186">
        <f t="shared" si="1915"/>
        <v>0</v>
      </c>
      <c r="AZ894" s="2177"/>
      <c r="BA894" s="2177"/>
      <c r="BB894" s="2186">
        <f t="shared" si="1916"/>
        <v>0</v>
      </c>
      <c r="BC894" s="2177"/>
      <c r="BD894" s="2177"/>
      <c r="BE894" s="2186">
        <f t="shared" si="1917"/>
        <v>0</v>
      </c>
      <c r="BF894" s="2177"/>
      <c r="BG894" s="2177"/>
      <c r="BH894" s="2186">
        <f t="shared" si="1918"/>
        <v>0</v>
      </c>
      <c r="BI894" s="2177"/>
      <c r="BJ894" s="2177"/>
      <c r="BK894" s="2186">
        <f t="shared" si="1919"/>
        <v>0</v>
      </c>
      <c r="BL894" s="2177"/>
      <c r="BM894" s="2177"/>
      <c r="BN894" s="2186">
        <f t="shared" si="1920"/>
        <v>0</v>
      </c>
      <c r="BO894" s="2177"/>
      <c r="BP894" s="2177"/>
      <c r="BQ894" s="2186">
        <f t="shared" si="1921"/>
        <v>0</v>
      </c>
    </row>
    <row r="895" spans="3:69" s="2087" customFormat="1" ht="12" hidden="1" customHeight="1">
      <c r="C895" s="2424" t="s">
        <v>3097</v>
      </c>
      <c r="D895" s="2383" t="s">
        <v>42</v>
      </c>
      <c r="E895" s="2250" t="s">
        <v>2590</v>
      </c>
      <c r="F895" s="2176"/>
      <c r="G895" s="2179">
        <f>G896+G898</f>
        <v>0</v>
      </c>
      <c r="H895" s="2179">
        <f>H896+H898</f>
        <v>0</v>
      </c>
      <c r="I895" s="2178">
        <f t="shared" si="1905"/>
        <v>0</v>
      </c>
      <c r="J895" s="2176"/>
      <c r="K895" s="2179">
        <f t="shared" si="1899"/>
        <v>0</v>
      </c>
      <c r="L895" s="2179">
        <f t="shared" si="1899"/>
        <v>0</v>
      </c>
      <c r="M895" s="2178">
        <f t="shared" si="1900"/>
        <v>0</v>
      </c>
      <c r="N895" s="2179">
        <f>N896+N898</f>
        <v>0</v>
      </c>
      <c r="O895" s="2179">
        <f>O896+O898</f>
        <v>0</v>
      </c>
      <c r="P895" s="2178">
        <f t="shared" si="1906"/>
        <v>0</v>
      </c>
      <c r="Q895" s="2179">
        <f>Q896+Q898</f>
        <v>0</v>
      </c>
      <c r="R895" s="2179">
        <f>R896+R898</f>
        <v>0</v>
      </c>
      <c r="S895" s="2178">
        <f t="shared" si="1907"/>
        <v>0</v>
      </c>
      <c r="T895" s="2181">
        <f t="shared" si="1901"/>
        <v>0</v>
      </c>
      <c r="U895" s="2179">
        <f t="shared" si="1901"/>
        <v>0</v>
      </c>
      <c r="V895" s="2178">
        <f t="shared" si="1902"/>
        <v>0</v>
      </c>
      <c r="W895" s="2179">
        <f>W896+W898</f>
        <v>0</v>
      </c>
      <c r="X895" s="2179">
        <f>X896+X898</f>
        <v>0</v>
      </c>
      <c r="Y895" s="2178">
        <f t="shared" si="1908"/>
        <v>0</v>
      </c>
      <c r="Z895" s="2181">
        <f t="shared" si="1903"/>
        <v>0</v>
      </c>
      <c r="AA895" s="2179">
        <f t="shared" si="1903"/>
        <v>0</v>
      </c>
      <c r="AB895" s="2178">
        <f t="shared" si="1904"/>
        <v>0</v>
      </c>
      <c r="AC895" s="2179">
        <f>AC896+AC898</f>
        <v>0</v>
      </c>
      <c r="AD895" s="2179">
        <f>AD896+AD898</f>
        <v>0</v>
      </c>
      <c r="AE895" s="2178">
        <f t="shared" si="1909"/>
        <v>0</v>
      </c>
      <c r="AF895" s="2191"/>
      <c r="AG895" s="2114"/>
      <c r="AH895" s="2188">
        <f>AH896+AH898</f>
        <v>0</v>
      </c>
      <c r="AI895" s="2188">
        <f>AI896+AI898</f>
        <v>0</v>
      </c>
      <c r="AJ895" s="2186">
        <f t="shared" si="1910"/>
        <v>0</v>
      </c>
      <c r="AK895" s="2188">
        <f>AK896+AK898</f>
        <v>0</v>
      </c>
      <c r="AL895" s="2188">
        <f>AL896+AL898</f>
        <v>0</v>
      </c>
      <c r="AM895" s="2186">
        <f t="shared" si="1911"/>
        <v>0</v>
      </c>
      <c r="AN895" s="2188">
        <f>AN896+AN898</f>
        <v>0</v>
      </c>
      <c r="AO895" s="2188">
        <f>AO896+AO898</f>
        <v>0</v>
      </c>
      <c r="AP895" s="2186">
        <f t="shared" si="1912"/>
        <v>0</v>
      </c>
      <c r="AQ895" s="2188">
        <f>AQ896+AQ898</f>
        <v>0</v>
      </c>
      <c r="AR895" s="2188">
        <f>AR896+AR898</f>
        <v>0</v>
      </c>
      <c r="AS895" s="2186">
        <f t="shared" si="1913"/>
        <v>0</v>
      </c>
      <c r="AT895" s="2188">
        <f>AT896+AT898</f>
        <v>0</v>
      </c>
      <c r="AU895" s="2188">
        <f>AU896+AU898</f>
        <v>0</v>
      </c>
      <c r="AV895" s="2186">
        <f t="shared" si="1914"/>
        <v>0</v>
      </c>
      <c r="AW895" s="2188">
        <f>AW896+AW898</f>
        <v>0</v>
      </c>
      <c r="AX895" s="2188">
        <f>AX896+AX898</f>
        <v>0</v>
      </c>
      <c r="AY895" s="2186">
        <f t="shared" si="1915"/>
        <v>0</v>
      </c>
      <c r="AZ895" s="2188">
        <f>AZ896+AZ898</f>
        <v>0</v>
      </c>
      <c r="BA895" s="2188">
        <f>BA896+BA898</f>
        <v>0</v>
      </c>
      <c r="BB895" s="2186">
        <f t="shared" si="1916"/>
        <v>0</v>
      </c>
      <c r="BC895" s="2188">
        <f>BC896+BC898</f>
        <v>0</v>
      </c>
      <c r="BD895" s="2188">
        <f>BD896+BD898</f>
        <v>0</v>
      </c>
      <c r="BE895" s="2186">
        <f t="shared" si="1917"/>
        <v>0</v>
      </c>
      <c r="BF895" s="2188">
        <f>BF896+BF898</f>
        <v>0</v>
      </c>
      <c r="BG895" s="2188">
        <f>BG896+BG898</f>
        <v>0</v>
      </c>
      <c r="BH895" s="2186">
        <f t="shared" si="1918"/>
        <v>0</v>
      </c>
      <c r="BI895" s="2188">
        <f>BI896+BI898</f>
        <v>0</v>
      </c>
      <c r="BJ895" s="2188">
        <f>BJ896+BJ898</f>
        <v>0</v>
      </c>
      <c r="BK895" s="2186">
        <f t="shared" si="1919"/>
        <v>0</v>
      </c>
      <c r="BL895" s="2188">
        <f>BL896+BL898</f>
        <v>0</v>
      </c>
      <c r="BM895" s="2188">
        <f>BM896+BM898</f>
        <v>0</v>
      </c>
      <c r="BN895" s="2186">
        <f t="shared" si="1920"/>
        <v>0</v>
      </c>
      <c r="BO895" s="2188">
        <f>BO896+BO898</f>
        <v>0</v>
      </c>
      <c r="BP895" s="2188">
        <f>BP896+BP898</f>
        <v>0</v>
      </c>
      <c r="BQ895" s="2186">
        <f t="shared" si="1921"/>
        <v>0</v>
      </c>
    </row>
    <row r="896" spans="3:69" s="2087" customFormat="1" ht="12" hidden="1" customHeight="1">
      <c r="C896" s="2424" t="s">
        <v>3098</v>
      </c>
      <c r="D896" s="2425" t="s">
        <v>2092</v>
      </c>
      <c r="E896" s="2250" t="s">
        <v>2590</v>
      </c>
      <c r="F896" s="2176"/>
      <c r="G896" s="2177"/>
      <c r="H896" s="2177"/>
      <c r="I896" s="2178">
        <f t="shared" si="1905"/>
        <v>0</v>
      </c>
      <c r="J896" s="2176"/>
      <c r="K896" s="2179">
        <f t="shared" si="1899"/>
        <v>0</v>
      </c>
      <c r="L896" s="2179">
        <f t="shared" si="1899"/>
        <v>0</v>
      </c>
      <c r="M896" s="2178">
        <f t="shared" si="1900"/>
        <v>0</v>
      </c>
      <c r="N896" s="2177"/>
      <c r="O896" s="2177"/>
      <c r="P896" s="2178">
        <f t="shared" si="1906"/>
        <v>0</v>
      </c>
      <c r="Q896" s="2177"/>
      <c r="R896" s="2177"/>
      <c r="S896" s="2178">
        <f t="shared" si="1907"/>
        <v>0</v>
      </c>
      <c r="T896" s="2181">
        <f t="shared" si="1901"/>
        <v>0</v>
      </c>
      <c r="U896" s="2179">
        <f t="shared" si="1901"/>
        <v>0</v>
      </c>
      <c r="V896" s="2178">
        <f t="shared" si="1902"/>
        <v>0</v>
      </c>
      <c r="W896" s="2177"/>
      <c r="X896" s="2177"/>
      <c r="Y896" s="2178">
        <f t="shared" si="1908"/>
        <v>0</v>
      </c>
      <c r="Z896" s="2181">
        <f t="shared" si="1903"/>
        <v>0</v>
      </c>
      <c r="AA896" s="2179">
        <f t="shared" si="1903"/>
        <v>0</v>
      </c>
      <c r="AB896" s="2178">
        <f t="shared" si="1904"/>
        <v>0</v>
      </c>
      <c r="AC896" s="2177"/>
      <c r="AD896" s="2177"/>
      <c r="AE896" s="2178">
        <f t="shared" si="1909"/>
        <v>0</v>
      </c>
      <c r="AF896" s="2191"/>
      <c r="AG896" s="2114"/>
      <c r="AH896" s="2177"/>
      <c r="AI896" s="2177"/>
      <c r="AJ896" s="2186">
        <f t="shared" si="1910"/>
        <v>0</v>
      </c>
      <c r="AK896" s="2177"/>
      <c r="AL896" s="2177"/>
      <c r="AM896" s="2186">
        <f t="shared" si="1911"/>
        <v>0</v>
      </c>
      <c r="AN896" s="2177"/>
      <c r="AO896" s="2177"/>
      <c r="AP896" s="2186">
        <f t="shared" si="1912"/>
        <v>0</v>
      </c>
      <c r="AQ896" s="2177"/>
      <c r="AR896" s="2177"/>
      <c r="AS896" s="2186">
        <f t="shared" si="1913"/>
        <v>0</v>
      </c>
      <c r="AT896" s="2177"/>
      <c r="AU896" s="2177"/>
      <c r="AV896" s="2186">
        <f t="shared" si="1914"/>
        <v>0</v>
      </c>
      <c r="AW896" s="2177"/>
      <c r="AX896" s="2177"/>
      <c r="AY896" s="2186">
        <f t="shared" si="1915"/>
        <v>0</v>
      </c>
      <c r="AZ896" s="2177"/>
      <c r="BA896" s="2177"/>
      <c r="BB896" s="2186">
        <f t="shared" si="1916"/>
        <v>0</v>
      </c>
      <c r="BC896" s="2177"/>
      <c r="BD896" s="2177"/>
      <c r="BE896" s="2186">
        <f t="shared" si="1917"/>
        <v>0</v>
      </c>
      <c r="BF896" s="2177"/>
      <c r="BG896" s="2177"/>
      <c r="BH896" s="2186">
        <f t="shared" si="1918"/>
        <v>0</v>
      </c>
      <c r="BI896" s="2177"/>
      <c r="BJ896" s="2177"/>
      <c r="BK896" s="2186">
        <f t="shared" si="1919"/>
        <v>0</v>
      </c>
      <c r="BL896" s="2177"/>
      <c r="BM896" s="2177"/>
      <c r="BN896" s="2186">
        <f t="shared" si="1920"/>
        <v>0</v>
      </c>
      <c r="BO896" s="2177"/>
      <c r="BP896" s="2177"/>
      <c r="BQ896" s="2186">
        <f t="shared" si="1921"/>
        <v>0</v>
      </c>
    </row>
    <row r="897" spans="3:69" s="2087" customFormat="1" ht="12" hidden="1" customHeight="1">
      <c r="C897" s="2423" t="s">
        <v>3099</v>
      </c>
      <c r="D897" s="2334" t="s">
        <v>2434</v>
      </c>
      <c r="E897" s="2335" t="s">
        <v>1833</v>
      </c>
      <c r="F897" s="2176"/>
      <c r="G897" s="2177"/>
      <c r="H897" s="2177"/>
      <c r="I897" s="2178">
        <f t="shared" si="1905"/>
        <v>0</v>
      </c>
      <c r="J897" s="2176"/>
      <c r="K897" s="2179">
        <f t="shared" si="1899"/>
        <v>0</v>
      </c>
      <c r="L897" s="2179">
        <f t="shared" si="1899"/>
        <v>0</v>
      </c>
      <c r="M897" s="2178">
        <f t="shared" si="1900"/>
        <v>0</v>
      </c>
      <c r="N897" s="2177"/>
      <c r="O897" s="2177"/>
      <c r="P897" s="2178">
        <f t="shared" si="1906"/>
        <v>0</v>
      </c>
      <c r="Q897" s="2177"/>
      <c r="R897" s="2177"/>
      <c r="S897" s="2178">
        <f t="shared" si="1907"/>
        <v>0</v>
      </c>
      <c r="T897" s="2181">
        <f t="shared" si="1901"/>
        <v>0</v>
      </c>
      <c r="U897" s="2179">
        <f t="shared" si="1901"/>
        <v>0</v>
      </c>
      <c r="V897" s="2178">
        <f t="shared" si="1902"/>
        <v>0</v>
      </c>
      <c r="W897" s="2177"/>
      <c r="X897" s="2177"/>
      <c r="Y897" s="2178">
        <f t="shared" si="1908"/>
        <v>0</v>
      </c>
      <c r="Z897" s="2181">
        <f t="shared" si="1903"/>
        <v>0</v>
      </c>
      <c r="AA897" s="2179">
        <f t="shared" si="1903"/>
        <v>0</v>
      </c>
      <c r="AB897" s="2178">
        <f t="shared" si="1904"/>
        <v>0</v>
      </c>
      <c r="AC897" s="2177"/>
      <c r="AD897" s="2177"/>
      <c r="AE897" s="2178">
        <f t="shared" si="1909"/>
        <v>0</v>
      </c>
      <c r="AF897" s="2191"/>
      <c r="AG897" s="2114"/>
      <c r="AH897" s="2177"/>
      <c r="AI897" s="2177"/>
      <c r="AJ897" s="2186">
        <f t="shared" si="1910"/>
        <v>0</v>
      </c>
      <c r="AK897" s="2177"/>
      <c r="AL897" s="2177"/>
      <c r="AM897" s="2186">
        <f t="shared" si="1911"/>
        <v>0</v>
      </c>
      <c r="AN897" s="2177"/>
      <c r="AO897" s="2177"/>
      <c r="AP897" s="2186">
        <f t="shared" si="1912"/>
        <v>0</v>
      </c>
      <c r="AQ897" s="2177"/>
      <c r="AR897" s="2177"/>
      <c r="AS897" s="2186">
        <f t="shared" si="1913"/>
        <v>0</v>
      </c>
      <c r="AT897" s="2177"/>
      <c r="AU897" s="2177"/>
      <c r="AV897" s="2186">
        <f t="shared" si="1914"/>
        <v>0</v>
      </c>
      <c r="AW897" s="2177"/>
      <c r="AX897" s="2177"/>
      <c r="AY897" s="2186">
        <f t="shared" si="1915"/>
        <v>0</v>
      </c>
      <c r="AZ897" s="2177"/>
      <c r="BA897" s="2177"/>
      <c r="BB897" s="2186">
        <f t="shared" si="1916"/>
        <v>0</v>
      </c>
      <c r="BC897" s="2177"/>
      <c r="BD897" s="2177"/>
      <c r="BE897" s="2186">
        <f t="shared" si="1917"/>
        <v>0</v>
      </c>
      <c r="BF897" s="2177"/>
      <c r="BG897" s="2177"/>
      <c r="BH897" s="2186">
        <f t="shared" si="1918"/>
        <v>0</v>
      </c>
      <c r="BI897" s="2177"/>
      <c r="BJ897" s="2177"/>
      <c r="BK897" s="2186">
        <f t="shared" si="1919"/>
        <v>0</v>
      </c>
      <c r="BL897" s="2177"/>
      <c r="BM897" s="2177"/>
      <c r="BN897" s="2186">
        <f t="shared" si="1920"/>
        <v>0</v>
      </c>
      <c r="BO897" s="2177"/>
      <c r="BP897" s="2177"/>
      <c r="BQ897" s="2186">
        <f t="shared" si="1921"/>
        <v>0</v>
      </c>
    </row>
    <row r="898" spans="3:69" s="2087" customFormat="1" ht="12" hidden="1" customHeight="1">
      <c r="C898" s="2424" t="s">
        <v>3100</v>
      </c>
      <c r="D898" s="2425" t="s">
        <v>2094</v>
      </c>
      <c r="E898" s="2250" t="s">
        <v>2590</v>
      </c>
      <c r="F898" s="2176"/>
      <c r="G898" s="2177"/>
      <c r="H898" s="2177"/>
      <c r="I898" s="2178">
        <f t="shared" si="1905"/>
        <v>0</v>
      </c>
      <c r="J898" s="2176"/>
      <c r="K898" s="2179">
        <f t="shared" si="1899"/>
        <v>0</v>
      </c>
      <c r="L898" s="2179">
        <f t="shared" si="1899"/>
        <v>0</v>
      </c>
      <c r="M898" s="2178">
        <f t="shared" si="1900"/>
        <v>0</v>
      </c>
      <c r="N898" s="2177"/>
      <c r="O898" s="2177"/>
      <c r="P898" s="2178">
        <f t="shared" si="1906"/>
        <v>0</v>
      </c>
      <c r="Q898" s="2177"/>
      <c r="R898" s="2177"/>
      <c r="S898" s="2178">
        <f t="shared" si="1907"/>
        <v>0</v>
      </c>
      <c r="T898" s="2181">
        <f t="shared" si="1901"/>
        <v>0</v>
      </c>
      <c r="U898" s="2179">
        <f t="shared" si="1901"/>
        <v>0</v>
      </c>
      <c r="V898" s="2178">
        <f t="shared" si="1902"/>
        <v>0</v>
      </c>
      <c r="W898" s="2177"/>
      <c r="X898" s="2177"/>
      <c r="Y898" s="2178">
        <f t="shared" si="1908"/>
        <v>0</v>
      </c>
      <c r="Z898" s="2181">
        <f t="shared" si="1903"/>
        <v>0</v>
      </c>
      <c r="AA898" s="2179">
        <f t="shared" si="1903"/>
        <v>0</v>
      </c>
      <c r="AB898" s="2178">
        <f t="shared" si="1904"/>
        <v>0</v>
      </c>
      <c r="AC898" s="2177"/>
      <c r="AD898" s="2177"/>
      <c r="AE898" s="2178">
        <f t="shared" si="1909"/>
        <v>0</v>
      </c>
      <c r="AF898" s="2191"/>
      <c r="AG898" s="2114"/>
      <c r="AH898" s="2177"/>
      <c r="AI898" s="2177"/>
      <c r="AJ898" s="2186">
        <f t="shared" si="1910"/>
        <v>0</v>
      </c>
      <c r="AK898" s="2177"/>
      <c r="AL898" s="2177"/>
      <c r="AM898" s="2186">
        <f t="shared" si="1911"/>
        <v>0</v>
      </c>
      <c r="AN898" s="2177"/>
      <c r="AO898" s="2177"/>
      <c r="AP898" s="2186">
        <f t="shared" si="1912"/>
        <v>0</v>
      </c>
      <c r="AQ898" s="2177"/>
      <c r="AR898" s="2177"/>
      <c r="AS898" s="2186">
        <f t="shared" si="1913"/>
        <v>0</v>
      </c>
      <c r="AT898" s="2177"/>
      <c r="AU898" s="2177"/>
      <c r="AV898" s="2186">
        <f t="shared" si="1914"/>
        <v>0</v>
      </c>
      <c r="AW898" s="2177"/>
      <c r="AX898" s="2177"/>
      <c r="AY898" s="2186">
        <f t="shared" si="1915"/>
        <v>0</v>
      </c>
      <c r="AZ898" s="2177"/>
      <c r="BA898" s="2177"/>
      <c r="BB898" s="2186">
        <f t="shared" si="1916"/>
        <v>0</v>
      </c>
      <c r="BC898" s="2177"/>
      <c r="BD898" s="2177"/>
      <c r="BE898" s="2186">
        <f t="shared" si="1917"/>
        <v>0</v>
      </c>
      <c r="BF898" s="2177"/>
      <c r="BG898" s="2177"/>
      <c r="BH898" s="2186">
        <f t="shared" si="1918"/>
        <v>0</v>
      </c>
      <c r="BI898" s="2177"/>
      <c r="BJ898" s="2177"/>
      <c r="BK898" s="2186">
        <f t="shared" si="1919"/>
        <v>0</v>
      </c>
      <c r="BL898" s="2177"/>
      <c r="BM898" s="2177"/>
      <c r="BN898" s="2186">
        <f t="shared" si="1920"/>
        <v>0</v>
      </c>
      <c r="BO898" s="2177"/>
      <c r="BP898" s="2177"/>
      <c r="BQ898" s="2186">
        <f t="shared" si="1921"/>
        <v>0</v>
      </c>
    </row>
    <row r="899" spans="3:69" s="2087" customFormat="1" ht="12" hidden="1" customHeight="1">
      <c r="C899" s="2423" t="s">
        <v>3101</v>
      </c>
      <c r="D899" s="2334" t="s">
        <v>2434</v>
      </c>
      <c r="E899" s="2335" t="s">
        <v>1833</v>
      </c>
      <c r="F899" s="2176"/>
      <c r="G899" s="2177"/>
      <c r="H899" s="2177"/>
      <c r="I899" s="2178">
        <f t="shared" si="1905"/>
        <v>0</v>
      </c>
      <c r="J899" s="2176"/>
      <c r="K899" s="2179">
        <f t="shared" si="1899"/>
        <v>0</v>
      </c>
      <c r="L899" s="2179">
        <f t="shared" si="1899"/>
        <v>0</v>
      </c>
      <c r="M899" s="2178">
        <f t="shared" si="1900"/>
        <v>0</v>
      </c>
      <c r="N899" s="2177"/>
      <c r="O899" s="2177"/>
      <c r="P899" s="2178">
        <f t="shared" si="1906"/>
        <v>0</v>
      </c>
      <c r="Q899" s="2177"/>
      <c r="R899" s="2177"/>
      <c r="S899" s="2178">
        <f t="shared" si="1907"/>
        <v>0</v>
      </c>
      <c r="T899" s="2181">
        <f t="shared" si="1901"/>
        <v>0</v>
      </c>
      <c r="U899" s="2179">
        <f t="shared" si="1901"/>
        <v>0</v>
      </c>
      <c r="V899" s="2178">
        <f t="shared" si="1902"/>
        <v>0</v>
      </c>
      <c r="W899" s="2177"/>
      <c r="X899" s="2177"/>
      <c r="Y899" s="2178">
        <f t="shared" si="1908"/>
        <v>0</v>
      </c>
      <c r="Z899" s="2181">
        <f t="shared" si="1903"/>
        <v>0</v>
      </c>
      <c r="AA899" s="2179">
        <f t="shared" si="1903"/>
        <v>0</v>
      </c>
      <c r="AB899" s="2178">
        <f t="shared" si="1904"/>
        <v>0</v>
      </c>
      <c r="AC899" s="2177"/>
      <c r="AD899" s="2177"/>
      <c r="AE899" s="2178">
        <f t="shared" si="1909"/>
        <v>0</v>
      </c>
      <c r="AF899" s="2191"/>
      <c r="AG899" s="2114"/>
      <c r="AH899" s="2177"/>
      <c r="AI899" s="2177"/>
      <c r="AJ899" s="2186">
        <f t="shared" si="1910"/>
        <v>0</v>
      </c>
      <c r="AK899" s="2177"/>
      <c r="AL899" s="2177"/>
      <c r="AM899" s="2186">
        <f t="shared" si="1911"/>
        <v>0</v>
      </c>
      <c r="AN899" s="2177"/>
      <c r="AO899" s="2177"/>
      <c r="AP899" s="2186">
        <f t="shared" si="1912"/>
        <v>0</v>
      </c>
      <c r="AQ899" s="2177"/>
      <c r="AR899" s="2177"/>
      <c r="AS899" s="2186">
        <f t="shared" si="1913"/>
        <v>0</v>
      </c>
      <c r="AT899" s="2177"/>
      <c r="AU899" s="2177"/>
      <c r="AV899" s="2186">
        <f t="shared" si="1914"/>
        <v>0</v>
      </c>
      <c r="AW899" s="2177"/>
      <c r="AX899" s="2177"/>
      <c r="AY899" s="2186">
        <f t="shared" si="1915"/>
        <v>0</v>
      </c>
      <c r="AZ899" s="2177"/>
      <c r="BA899" s="2177"/>
      <c r="BB899" s="2186">
        <f t="shared" si="1916"/>
        <v>0</v>
      </c>
      <c r="BC899" s="2177"/>
      <c r="BD899" s="2177"/>
      <c r="BE899" s="2186">
        <f t="shared" si="1917"/>
        <v>0</v>
      </c>
      <c r="BF899" s="2177"/>
      <c r="BG899" s="2177"/>
      <c r="BH899" s="2186">
        <f t="shared" si="1918"/>
        <v>0</v>
      </c>
      <c r="BI899" s="2177"/>
      <c r="BJ899" s="2177"/>
      <c r="BK899" s="2186">
        <f t="shared" si="1919"/>
        <v>0</v>
      </c>
      <c r="BL899" s="2177"/>
      <c r="BM899" s="2177"/>
      <c r="BN899" s="2186">
        <f t="shared" si="1920"/>
        <v>0</v>
      </c>
      <c r="BO899" s="2177"/>
      <c r="BP899" s="2177"/>
      <c r="BQ899" s="2186">
        <f t="shared" si="1921"/>
        <v>0</v>
      </c>
    </row>
    <row r="900" spans="3:69" s="2159" customFormat="1" ht="12" hidden="1" thickBot="1">
      <c r="C900" s="2160" t="s">
        <v>3102</v>
      </c>
      <c r="D900" s="2463" t="s">
        <v>3103</v>
      </c>
      <c r="E900" s="2120" t="s">
        <v>2590</v>
      </c>
      <c r="F900" s="2162"/>
      <c r="G900" s="2163">
        <f>G901+G903+G905</f>
        <v>0</v>
      </c>
      <c r="H900" s="2163">
        <f>H901+H903+H905</f>
        <v>0</v>
      </c>
      <c r="I900" s="2164">
        <f t="shared" si="1905"/>
        <v>0</v>
      </c>
      <c r="J900" s="2162"/>
      <c r="K900" s="2163">
        <f t="shared" si="1899"/>
        <v>0</v>
      </c>
      <c r="L900" s="2163">
        <f t="shared" si="1899"/>
        <v>0</v>
      </c>
      <c r="M900" s="2164">
        <f t="shared" si="1900"/>
        <v>0</v>
      </c>
      <c r="N900" s="2163">
        <f>N901+N903+N905</f>
        <v>0</v>
      </c>
      <c r="O900" s="2163">
        <f>O901+O903+O905</f>
        <v>0</v>
      </c>
      <c r="P900" s="2164">
        <f t="shared" si="1906"/>
        <v>0</v>
      </c>
      <c r="Q900" s="2163">
        <f>Q901+Q903+Q905</f>
        <v>0</v>
      </c>
      <c r="R900" s="2163">
        <f>R901+R903+R905</f>
        <v>0</v>
      </c>
      <c r="S900" s="2164">
        <f t="shared" si="1907"/>
        <v>0</v>
      </c>
      <c r="T900" s="2167">
        <f t="shared" si="1901"/>
        <v>0</v>
      </c>
      <c r="U900" s="2163">
        <f t="shared" si="1901"/>
        <v>0</v>
      </c>
      <c r="V900" s="2164">
        <f t="shared" si="1902"/>
        <v>0</v>
      </c>
      <c r="W900" s="2163">
        <f>W901+W903+W905</f>
        <v>0</v>
      </c>
      <c r="X900" s="2163">
        <f>X901+X903+X905</f>
        <v>0</v>
      </c>
      <c r="Y900" s="2164">
        <f t="shared" si="1908"/>
        <v>0</v>
      </c>
      <c r="Z900" s="2167">
        <f t="shared" si="1903"/>
        <v>0</v>
      </c>
      <c r="AA900" s="2163">
        <f t="shared" si="1903"/>
        <v>0</v>
      </c>
      <c r="AB900" s="2164">
        <f t="shared" si="1904"/>
        <v>0</v>
      </c>
      <c r="AC900" s="2163">
        <f>AC901+AC903+AC905</f>
        <v>0</v>
      </c>
      <c r="AD900" s="2163">
        <f>AD901+AD903+AD905</f>
        <v>0</v>
      </c>
      <c r="AE900" s="2164">
        <f t="shared" si="1909"/>
        <v>0</v>
      </c>
      <c r="AF900" s="2204"/>
      <c r="AG900" s="2158"/>
      <c r="AH900" s="2171">
        <f>AH901+AH903+AH905</f>
        <v>0</v>
      </c>
      <c r="AI900" s="2171">
        <f>AI901+AI903+AI905</f>
        <v>0</v>
      </c>
      <c r="AJ900" s="2172">
        <f t="shared" si="1910"/>
        <v>0</v>
      </c>
      <c r="AK900" s="2171">
        <f>AK901+AK903+AK905</f>
        <v>0</v>
      </c>
      <c r="AL900" s="2171">
        <f>AL901+AL903+AL905</f>
        <v>0</v>
      </c>
      <c r="AM900" s="2172">
        <f t="shared" si="1911"/>
        <v>0</v>
      </c>
      <c r="AN900" s="2171">
        <f>AN901+AN903+AN905</f>
        <v>0</v>
      </c>
      <c r="AO900" s="2171">
        <f>AO901+AO903+AO905</f>
        <v>0</v>
      </c>
      <c r="AP900" s="2172">
        <f t="shared" si="1912"/>
        <v>0</v>
      </c>
      <c r="AQ900" s="2171">
        <f>AQ901+AQ903+AQ905</f>
        <v>0</v>
      </c>
      <c r="AR900" s="2171">
        <f>AR901+AR903+AR905</f>
        <v>0</v>
      </c>
      <c r="AS900" s="2172">
        <f t="shared" si="1913"/>
        <v>0</v>
      </c>
      <c r="AT900" s="2171">
        <f>AT901+AT903+AT905</f>
        <v>0</v>
      </c>
      <c r="AU900" s="2171">
        <f>AU901+AU903+AU905</f>
        <v>0</v>
      </c>
      <c r="AV900" s="2172">
        <f t="shared" si="1914"/>
        <v>0</v>
      </c>
      <c r="AW900" s="2171">
        <f>AW901+AW903+AW905</f>
        <v>0</v>
      </c>
      <c r="AX900" s="2171">
        <f>AX901+AX903+AX905</f>
        <v>0</v>
      </c>
      <c r="AY900" s="2172">
        <f t="shared" si="1915"/>
        <v>0</v>
      </c>
      <c r="AZ900" s="2171">
        <f>AZ901+AZ903+AZ905</f>
        <v>0</v>
      </c>
      <c r="BA900" s="2171">
        <f>BA901+BA903+BA905</f>
        <v>0</v>
      </c>
      <c r="BB900" s="2172">
        <f t="shared" si="1916"/>
        <v>0</v>
      </c>
      <c r="BC900" s="2171">
        <f>BC901+BC903+BC905</f>
        <v>0</v>
      </c>
      <c r="BD900" s="2171">
        <f>BD901+BD903+BD905</f>
        <v>0</v>
      </c>
      <c r="BE900" s="2172">
        <f t="shared" si="1917"/>
        <v>0</v>
      </c>
      <c r="BF900" s="2171">
        <f>BF901+BF903+BF905</f>
        <v>0</v>
      </c>
      <c r="BG900" s="2171">
        <f>BG901+BG903+BG905</f>
        <v>0</v>
      </c>
      <c r="BH900" s="2172">
        <f t="shared" si="1918"/>
        <v>0</v>
      </c>
      <c r="BI900" s="2171">
        <f>BI901+BI903+BI905</f>
        <v>0</v>
      </c>
      <c r="BJ900" s="2171">
        <f>BJ901+BJ903+BJ905</f>
        <v>0</v>
      </c>
      <c r="BK900" s="2172">
        <f t="shared" si="1919"/>
        <v>0</v>
      </c>
      <c r="BL900" s="2171">
        <f>BL901+BL903+BL905</f>
        <v>0</v>
      </c>
      <c r="BM900" s="2171">
        <f>BM901+BM903+BM905</f>
        <v>0</v>
      </c>
      <c r="BN900" s="2172">
        <f t="shared" si="1920"/>
        <v>0</v>
      </c>
      <c r="BO900" s="2171">
        <f>BO901+BO903+BO905</f>
        <v>0</v>
      </c>
      <c r="BP900" s="2171">
        <f>BP901+BP903+BP905</f>
        <v>0</v>
      </c>
      <c r="BQ900" s="2172">
        <f t="shared" si="1921"/>
        <v>0</v>
      </c>
    </row>
    <row r="901" spans="3:69" s="2087" customFormat="1" ht="12" hidden="1" customHeight="1">
      <c r="C901" s="2424" t="s">
        <v>3104</v>
      </c>
      <c r="D901" s="2383" t="s">
        <v>28</v>
      </c>
      <c r="E901" s="2250" t="s">
        <v>2590</v>
      </c>
      <c r="F901" s="2176"/>
      <c r="G901" s="2177"/>
      <c r="H901" s="2177"/>
      <c r="I901" s="2178">
        <f t="shared" si="1905"/>
        <v>0</v>
      </c>
      <c r="J901" s="2176"/>
      <c r="K901" s="2179">
        <f t="shared" ref="K901:L915" si="1922">N901+Q901+W901+AC901</f>
        <v>0</v>
      </c>
      <c r="L901" s="2179">
        <f t="shared" si="1922"/>
        <v>0</v>
      </c>
      <c r="M901" s="2178">
        <f t="shared" si="1900"/>
        <v>0</v>
      </c>
      <c r="N901" s="2177"/>
      <c r="O901" s="2177"/>
      <c r="P901" s="2178">
        <f t="shared" si="1906"/>
        <v>0</v>
      </c>
      <c r="Q901" s="2177"/>
      <c r="R901" s="2177"/>
      <c r="S901" s="2178">
        <f t="shared" si="1907"/>
        <v>0</v>
      </c>
      <c r="T901" s="2181">
        <f t="shared" si="1901"/>
        <v>0</v>
      </c>
      <c r="U901" s="2179">
        <f t="shared" si="1901"/>
        <v>0</v>
      </c>
      <c r="V901" s="2178">
        <f t="shared" si="1902"/>
        <v>0</v>
      </c>
      <c r="W901" s="2177"/>
      <c r="X901" s="2177"/>
      <c r="Y901" s="2178">
        <f t="shared" si="1908"/>
        <v>0</v>
      </c>
      <c r="Z901" s="2181">
        <f t="shared" si="1903"/>
        <v>0</v>
      </c>
      <c r="AA901" s="2179">
        <f t="shared" si="1903"/>
        <v>0</v>
      </c>
      <c r="AB901" s="2178">
        <f t="shared" si="1904"/>
        <v>0</v>
      </c>
      <c r="AC901" s="2177"/>
      <c r="AD901" s="2177"/>
      <c r="AE901" s="2178">
        <f t="shared" si="1909"/>
        <v>0</v>
      </c>
      <c r="AF901" s="2204"/>
      <c r="AG901" s="2114"/>
      <c r="AH901" s="2177"/>
      <c r="AI901" s="2177"/>
      <c r="AJ901" s="2186">
        <f t="shared" si="1910"/>
        <v>0</v>
      </c>
      <c r="AK901" s="2177"/>
      <c r="AL901" s="2177"/>
      <c r="AM901" s="2186">
        <f t="shared" si="1911"/>
        <v>0</v>
      </c>
      <c r="AN901" s="2177"/>
      <c r="AO901" s="2177"/>
      <c r="AP901" s="2186">
        <f t="shared" si="1912"/>
        <v>0</v>
      </c>
      <c r="AQ901" s="2177"/>
      <c r="AR901" s="2177"/>
      <c r="AS901" s="2186">
        <f t="shared" si="1913"/>
        <v>0</v>
      </c>
      <c r="AT901" s="2177"/>
      <c r="AU901" s="2177"/>
      <c r="AV901" s="2186">
        <f t="shared" si="1914"/>
        <v>0</v>
      </c>
      <c r="AW901" s="2177"/>
      <c r="AX901" s="2177"/>
      <c r="AY901" s="2186">
        <f t="shared" si="1915"/>
        <v>0</v>
      </c>
      <c r="AZ901" s="2177"/>
      <c r="BA901" s="2177"/>
      <c r="BB901" s="2186">
        <f t="shared" si="1916"/>
        <v>0</v>
      </c>
      <c r="BC901" s="2177"/>
      <c r="BD901" s="2177"/>
      <c r="BE901" s="2186">
        <f t="shared" si="1917"/>
        <v>0</v>
      </c>
      <c r="BF901" s="2177"/>
      <c r="BG901" s="2177"/>
      <c r="BH901" s="2186">
        <f t="shared" si="1918"/>
        <v>0</v>
      </c>
      <c r="BI901" s="2177"/>
      <c r="BJ901" s="2177"/>
      <c r="BK901" s="2186">
        <f t="shared" si="1919"/>
        <v>0</v>
      </c>
      <c r="BL901" s="2177"/>
      <c r="BM901" s="2177"/>
      <c r="BN901" s="2186">
        <f t="shared" si="1920"/>
        <v>0</v>
      </c>
      <c r="BO901" s="2177"/>
      <c r="BP901" s="2177"/>
      <c r="BQ901" s="2186">
        <f t="shared" si="1921"/>
        <v>0</v>
      </c>
    </row>
    <row r="902" spans="3:69" s="2087" customFormat="1" ht="12" hidden="1" customHeight="1">
      <c r="C902" s="2423" t="s">
        <v>3105</v>
      </c>
      <c r="D902" s="2421" t="s">
        <v>2434</v>
      </c>
      <c r="E902" s="2335" t="s">
        <v>1833</v>
      </c>
      <c r="F902" s="2176"/>
      <c r="G902" s="2177"/>
      <c r="H902" s="2177"/>
      <c r="I902" s="2178">
        <f t="shared" si="1905"/>
        <v>0</v>
      </c>
      <c r="J902" s="2176"/>
      <c r="K902" s="2179">
        <f t="shared" si="1922"/>
        <v>0</v>
      </c>
      <c r="L902" s="2179">
        <f t="shared" si="1922"/>
        <v>0</v>
      </c>
      <c r="M902" s="2178">
        <f t="shared" si="1900"/>
        <v>0</v>
      </c>
      <c r="N902" s="2177"/>
      <c r="O902" s="2177"/>
      <c r="P902" s="2178">
        <f t="shared" si="1906"/>
        <v>0</v>
      </c>
      <c r="Q902" s="2177"/>
      <c r="R902" s="2177"/>
      <c r="S902" s="2178">
        <f t="shared" si="1907"/>
        <v>0</v>
      </c>
      <c r="T902" s="2181">
        <f t="shared" ref="T902:U915" si="1923">N902+Q902</f>
        <v>0</v>
      </c>
      <c r="U902" s="2179">
        <f t="shared" si="1923"/>
        <v>0</v>
      </c>
      <c r="V902" s="2178">
        <f t="shared" si="1902"/>
        <v>0</v>
      </c>
      <c r="W902" s="2177"/>
      <c r="X902" s="2177"/>
      <c r="Y902" s="2178">
        <f t="shared" si="1908"/>
        <v>0</v>
      </c>
      <c r="Z902" s="2181">
        <f t="shared" ref="Z902:AA915" si="1924">T902+W902</f>
        <v>0</v>
      </c>
      <c r="AA902" s="2179">
        <f t="shared" si="1924"/>
        <v>0</v>
      </c>
      <c r="AB902" s="2178">
        <f t="shared" si="1904"/>
        <v>0</v>
      </c>
      <c r="AC902" s="2177"/>
      <c r="AD902" s="2177"/>
      <c r="AE902" s="2178">
        <f t="shared" si="1909"/>
        <v>0</v>
      </c>
      <c r="AF902" s="2204"/>
      <c r="AG902" s="2114"/>
      <c r="AH902" s="2177"/>
      <c r="AI902" s="2177"/>
      <c r="AJ902" s="2186">
        <f t="shared" si="1910"/>
        <v>0</v>
      </c>
      <c r="AK902" s="2177"/>
      <c r="AL902" s="2177"/>
      <c r="AM902" s="2186">
        <f t="shared" si="1911"/>
        <v>0</v>
      </c>
      <c r="AN902" s="2177"/>
      <c r="AO902" s="2177"/>
      <c r="AP902" s="2186">
        <f t="shared" si="1912"/>
        <v>0</v>
      </c>
      <c r="AQ902" s="2177"/>
      <c r="AR902" s="2177"/>
      <c r="AS902" s="2186">
        <f t="shared" si="1913"/>
        <v>0</v>
      </c>
      <c r="AT902" s="2177"/>
      <c r="AU902" s="2177"/>
      <c r="AV902" s="2186">
        <f t="shared" si="1914"/>
        <v>0</v>
      </c>
      <c r="AW902" s="2177"/>
      <c r="AX902" s="2177"/>
      <c r="AY902" s="2186">
        <f t="shared" si="1915"/>
        <v>0</v>
      </c>
      <c r="AZ902" s="2177"/>
      <c r="BA902" s="2177"/>
      <c r="BB902" s="2186">
        <f t="shared" si="1916"/>
        <v>0</v>
      </c>
      <c r="BC902" s="2177"/>
      <c r="BD902" s="2177"/>
      <c r="BE902" s="2186">
        <f t="shared" si="1917"/>
        <v>0</v>
      </c>
      <c r="BF902" s="2177"/>
      <c r="BG902" s="2177"/>
      <c r="BH902" s="2186">
        <f t="shared" si="1918"/>
        <v>0</v>
      </c>
      <c r="BI902" s="2177"/>
      <c r="BJ902" s="2177"/>
      <c r="BK902" s="2186">
        <f t="shared" si="1919"/>
        <v>0</v>
      </c>
      <c r="BL902" s="2177"/>
      <c r="BM902" s="2177"/>
      <c r="BN902" s="2186">
        <f t="shared" si="1920"/>
        <v>0</v>
      </c>
      <c r="BO902" s="2177"/>
      <c r="BP902" s="2177"/>
      <c r="BQ902" s="2186">
        <f t="shared" si="1921"/>
        <v>0</v>
      </c>
    </row>
    <row r="903" spans="3:69" s="2087" customFormat="1" ht="12" hidden="1" customHeight="1">
      <c r="C903" s="2424" t="s">
        <v>3106</v>
      </c>
      <c r="D903" s="2383" t="s">
        <v>2872</v>
      </c>
      <c r="E903" s="2250" t="s">
        <v>2590</v>
      </c>
      <c r="F903" s="2176"/>
      <c r="G903" s="2177"/>
      <c r="H903" s="2177"/>
      <c r="I903" s="2178">
        <f t="shared" si="1905"/>
        <v>0</v>
      </c>
      <c r="J903" s="2176"/>
      <c r="K903" s="2179">
        <f t="shared" si="1922"/>
        <v>0</v>
      </c>
      <c r="L903" s="2179">
        <f t="shared" si="1922"/>
        <v>0</v>
      </c>
      <c r="M903" s="2178">
        <f t="shared" si="1900"/>
        <v>0</v>
      </c>
      <c r="N903" s="2177"/>
      <c r="O903" s="2177"/>
      <c r="P903" s="2178">
        <f t="shared" si="1906"/>
        <v>0</v>
      </c>
      <c r="Q903" s="2177"/>
      <c r="R903" s="2177"/>
      <c r="S903" s="2178">
        <f t="shared" si="1907"/>
        <v>0</v>
      </c>
      <c r="T903" s="2181">
        <f t="shared" si="1923"/>
        <v>0</v>
      </c>
      <c r="U903" s="2179">
        <f t="shared" si="1923"/>
        <v>0</v>
      </c>
      <c r="V903" s="2178">
        <f t="shared" si="1902"/>
        <v>0</v>
      </c>
      <c r="W903" s="2177"/>
      <c r="X903" s="2177"/>
      <c r="Y903" s="2178">
        <f t="shared" si="1908"/>
        <v>0</v>
      </c>
      <c r="Z903" s="2181">
        <f t="shared" si="1924"/>
        <v>0</v>
      </c>
      <c r="AA903" s="2179">
        <f t="shared" si="1924"/>
        <v>0</v>
      </c>
      <c r="AB903" s="2178">
        <f t="shared" si="1904"/>
        <v>0</v>
      </c>
      <c r="AC903" s="2177"/>
      <c r="AD903" s="2177"/>
      <c r="AE903" s="2178">
        <f t="shared" si="1909"/>
        <v>0</v>
      </c>
      <c r="AF903" s="2204"/>
      <c r="AG903" s="2114"/>
      <c r="AH903" s="2177"/>
      <c r="AI903" s="2177"/>
      <c r="AJ903" s="2186">
        <f t="shared" si="1910"/>
        <v>0</v>
      </c>
      <c r="AK903" s="2177"/>
      <c r="AL903" s="2177"/>
      <c r="AM903" s="2186">
        <f t="shared" si="1911"/>
        <v>0</v>
      </c>
      <c r="AN903" s="2177"/>
      <c r="AO903" s="2177"/>
      <c r="AP903" s="2186">
        <f t="shared" si="1912"/>
        <v>0</v>
      </c>
      <c r="AQ903" s="2177"/>
      <c r="AR903" s="2177"/>
      <c r="AS903" s="2186">
        <f t="shared" si="1913"/>
        <v>0</v>
      </c>
      <c r="AT903" s="2177"/>
      <c r="AU903" s="2177"/>
      <c r="AV903" s="2186">
        <f t="shared" si="1914"/>
        <v>0</v>
      </c>
      <c r="AW903" s="2177"/>
      <c r="AX903" s="2177"/>
      <c r="AY903" s="2186">
        <f t="shared" si="1915"/>
        <v>0</v>
      </c>
      <c r="AZ903" s="2177"/>
      <c r="BA903" s="2177"/>
      <c r="BB903" s="2186">
        <f t="shared" si="1916"/>
        <v>0</v>
      </c>
      <c r="BC903" s="2177"/>
      <c r="BD903" s="2177"/>
      <c r="BE903" s="2186">
        <f t="shared" si="1917"/>
        <v>0</v>
      </c>
      <c r="BF903" s="2177"/>
      <c r="BG903" s="2177"/>
      <c r="BH903" s="2186">
        <f t="shared" si="1918"/>
        <v>0</v>
      </c>
      <c r="BI903" s="2177"/>
      <c r="BJ903" s="2177"/>
      <c r="BK903" s="2186">
        <f t="shared" si="1919"/>
        <v>0</v>
      </c>
      <c r="BL903" s="2177"/>
      <c r="BM903" s="2177"/>
      <c r="BN903" s="2186">
        <f t="shared" si="1920"/>
        <v>0</v>
      </c>
      <c r="BO903" s="2177"/>
      <c r="BP903" s="2177"/>
      <c r="BQ903" s="2186">
        <f t="shared" si="1921"/>
        <v>0</v>
      </c>
    </row>
    <row r="904" spans="3:69" s="2087" customFormat="1" ht="12" hidden="1" customHeight="1">
      <c r="C904" s="2423" t="s">
        <v>3107</v>
      </c>
      <c r="D904" s="2421" t="s">
        <v>2434</v>
      </c>
      <c r="E904" s="2335" t="s">
        <v>1833</v>
      </c>
      <c r="F904" s="2176"/>
      <c r="G904" s="2177"/>
      <c r="H904" s="2177"/>
      <c r="I904" s="2178">
        <f t="shared" si="1905"/>
        <v>0</v>
      </c>
      <c r="J904" s="2176"/>
      <c r="K904" s="2179">
        <f t="shared" si="1922"/>
        <v>0</v>
      </c>
      <c r="L904" s="2179">
        <f t="shared" si="1922"/>
        <v>0</v>
      </c>
      <c r="M904" s="2178">
        <f t="shared" si="1900"/>
        <v>0</v>
      </c>
      <c r="N904" s="2177"/>
      <c r="O904" s="2177"/>
      <c r="P904" s="2178">
        <f t="shared" si="1906"/>
        <v>0</v>
      </c>
      <c r="Q904" s="2177"/>
      <c r="R904" s="2177"/>
      <c r="S904" s="2178">
        <f t="shared" si="1907"/>
        <v>0</v>
      </c>
      <c r="T904" s="2181">
        <f t="shared" si="1923"/>
        <v>0</v>
      </c>
      <c r="U904" s="2179">
        <f t="shared" si="1923"/>
        <v>0</v>
      </c>
      <c r="V904" s="2178">
        <f t="shared" si="1902"/>
        <v>0</v>
      </c>
      <c r="W904" s="2177"/>
      <c r="X904" s="2177"/>
      <c r="Y904" s="2178">
        <f t="shared" si="1908"/>
        <v>0</v>
      </c>
      <c r="Z904" s="2181">
        <f t="shared" si="1924"/>
        <v>0</v>
      </c>
      <c r="AA904" s="2179">
        <f t="shared" si="1924"/>
        <v>0</v>
      </c>
      <c r="AB904" s="2178">
        <f t="shared" si="1904"/>
        <v>0</v>
      </c>
      <c r="AC904" s="2177"/>
      <c r="AD904" s="2177"/>
      <c r="AE904" s="2178">
        <f t="shared" si="1909"/>
        <v>0</v>
      </c>
      <c r="AF904" s="2204"/>
      <c r="AG904" s="2114"/>
      <c r="AH904" s="2177"/>
      <c r="AI904" s="2177"/>
      <c r="AJ904" s="2186">
        <f t="shared" si="1910"/>
        <v>0</v>
      </c>
      <c r="AK904" s="2177"/>
      <c r="AL904" s="2177"/>
      <c r="AM904" s="2186">
        <f t="shared" si="1911"/>
        <v>0</v>
      </c>
      <c r="AN904" s="2177"/>
      <c r="AO904" s="2177"/>
      <c r="AP904" s="2186">
        <f t="shared" si="1912"/>
        <v>0</v>
      </c>
      <c r="AQ904" s="2177"/>
      <c r="AR904" s="2177"/>
      <c r="AS904" s="2186">
        <f t="shared" si="1913"/>
        <v>0</v>
      </c>
      <c r="AT904" s="2177"/>
      <c r="AU904" s="2177"/>
      <c r="AV904" s="2186">
        <f t="shared" si="1914"/>
        <v>0</v>
      </c>
      <c r="AW904" s="2177"/>
      <c r="AX904" s="2177"/>
      <c r="AY904" s="2186">
        <f t="shared" si="1915"/>
        <v>0</v>
      </c>
      <c r="AZ904" s="2177"/>
      <c r="BA904" s="2177"/>
      <c r="BB904" s="2186">
        <f t="shared" si="1916"/>
        <v>0</v>
      </c>
      <c r="BC904" s="2177"/>
      <c r="BD904" s="2177"/>
      <c r="BE904" s="2186">
        <f t="shared" si="1917"/>
        <v>0</v>
      </c>
      <c r="BF904" s="2177"/>
      <c r="BG904" s="2177"/>
      <c r="BH904" s="2186">
        <f t="shared" si="1918"/>
        <v>0</v>
      </c>
      <c r="BI904" s="2177"/>
      <c r="BJ904" s="2177"/>
      <c r="BK904" s="2186">
        <f t="shared" si="1919"/>
        <v>0</v>
      </c>
      <c r="BL904" s="2177"/>
      <c r="BM904" s="2177"/>
      <c r="BN904" s="2186">
        <f t="shared" si="1920"/>
        <v>0</v>
      </c>
      <c r="BO904" s="2177"/>
      <c r="BP904" s="2177"/>
      <c r="BQ904" s="2186">
        <f t="shared" si="1921"/>
        <v>0</v>
      </c>
    </row>
    <row r="905" spans="3:69" s="2087" customFormat="1" ht="12" hidden="1" customHeight="1">
      <c r="C905" s="2424" t="s">
        <v>3108</v>
      </c>
      <c r="D905" s="2383" t="s">
        <v>42</v>
      </c>
      <c r="E905" s="2250" t="s">
        <v>2590</v>
      </c>
      <c r="F905" s="2176"/>
      <c r="G905" s="2177"/>
      <c r="H905" s="2177"/>
      <c r="I905" s="2178">
        <f t="shared" si="1905"/>
        <v>0</v>
      </c>
      <c r="J905" s="2176"/>
      <c r="K905" s="2179">
        <f t="shared" si="1922"/>
        <v>0</v>
      </c>
      <c r="L905" s="2179">
        <f t="shared" si="1922"/>
        <v>0</v>
      </c>
      <c r="M905" s="2178">
        <f t="shared" si="1900"/>
        <v>0</v>
      </c>
      <c r="N905" s="2177"/>
      <c r="O905" s="2177"/>
      <c r="P905" s="2178">
        <f t="shared" si="1906"/>
        <v>0</v>
      </c>
      <c r="Q905" s="2177"/>
      <c r="R905" s="2177"/>
      <c r="S905" s="2178">
        <f t="shared" si="1907"/>
        <v>0</v>
      </c>
      <c r="T905" s="2181">
        <f t="shared" si="1923"/>
        <v>0</v>
      </c>
      <c r="U905" s="2179">
        <f t="shared" si="1923"/>
        <v>0</v>
      </c>
      <c r="V905" s="2178">
        <f t="shared" si="1902"/>
        <v>0</v>
      </c>
      <c r="W905" s="2177"/>
      <c r="X905" s="2177"/>
      <c r="Y905" s="2178">
        <f t="shared" si="1908"/>
        <v>0</v>
      </c>
      <c r="Z905" s="2181">
        <f t="shared" si="1924"/>
        <v>0</v>
      </c>
      <c r="AA905" s="2179">
        <f t="shared" si="1924"/>
        <v>0</v>
      </c>
      <c r="AB905" s="2178">
        <f t="shared" si="1904"/>
        <v>0</v>
      </c>
      <c r="AC905" s="2177"/>
      <c r="AD905" s="2177"/>
      <c r="AE905" s="2178">
        <f t="shared" si="1909"/>
        <v>0</v>
      </c>
      <c r="AF905" s="2191"/>
      <c r="AG905" s="2114"/>
      <c r="AH905" s="2177"/>
      <c r="AI905" s="2177"/>
      <c r="AJ905" s="2186">
        <f t="shared" si="1910"/>
        <v>0</v>
      </c>
      <c r="AK905" s="2177"/>
      <c r="AL905" s="2177"/>
      <c r="AM905" s="2186">
        <f t="shared" si="1911"/>
        <v>0</v>
      </c>
      <c r="AN905" s="2177"/>
      <c r="AO905" s="2177"/>
      <c r="AP905" s="2186">
        <f t="shared" si="1912"/>
        <v>0</v>
      </c>
      <c r="AQ905" s="2177"/>
      <c r="AR905" s="2177"/>
      <c r="AS905" s="2186">
        <f t="shared" si="1913"/>
        <v>0</v>
      </c>
      <c r="AT905" s="2177"/>
      <c r="AU905" s="2177"/>
      <c r="AV905" s="2186">
        <f t="shared" si="1914"/>
        <v>0</v>
      </c>
      <c r="AW905" s="2177"/>
      <c r="AX905" s="2177"/>
      <c r="AY905" s="2186">
        <f t="shared" si="1915"/>
        <v>0</v>
      </c>
      <c r="AZ905" s="2177"/>
      <c r="BA905" s="2177"/>
      <c r="BB905" s="2186">
        <f t="shared" si="1916"/>
        <v>0</v>
      </c>
      <c r="BC905" s="2177"/>
      <c r="BD905" s="2177"/>
      <c r="BE905" s="2186">
        <f t="shared" si="1917"/>
        <v>0</v>
      </c>
      <c r="BF905" s="2177"/>
      <c r="BG905" s="2177"/>
      <c r="BH905" s="2186">
        <f t="shared" si="1918"/>
        <v>0</v>
      </c>
      <c r="BI905" s="2177"/>
      <c r="BJ905" s="2177"/>
      <c r="BK905" s="2186">
        <f t="shared" si="1919"/>
        <v>0</v>
      </c>
      <c r="BL905" s="2177"/>
      <c r="BM905" s="2177"/>
      <c r="BN905" s="2186">
        <f t="shared" si="1920"/>
        <v>0</v>
      </c>
      <c r="BO905" s="2177"/>
      <c r="BP905" s="2177"/>
      <c r="BQ905" s="2186">
        <f t="shared" si="1921"/>
        <v>0</v>
      </c>
    </row>
    <row r="906" spans="3:69" s="2087" customFormat="1" ht="12" hidden="1" customHeight="1">
      <c r="C906" s="2423" t="s">
        <v>3109</v>
      </c>
      <c r="D906" s="2421" t="s">
        <v>2434</v>
      </c>
      <c r="E906" s="2335" t="s">
        <v>1833</v>
      </c>
      <c r="F906" s="2427"/>
      <c r="G906" s="2428"/>
      <c r="H906" s="2428"/>
      <c r="I906" s="2178">
        <f t="shared" si="1905"/>
        <v>0</v>
      </c>
      <c r="J906" s="2427"/>
      <c r="K906" s="2179">
        <f t="shared" si="1922"/>
        <v>0</v>
      </c>
      <c r="L906" s="2179">
        <f t="shared" si="1922"/>
        <v>0</v>
      </c>
      <c r="M906" s="2178">
        <f t="shared" si="1900"/>
        <v>0</v>
      </c>
      <c r="N906" s="2428"/>
      <c r="O906" s="2428"/>
      <c r="P906" s="2178">
        <f t="shared" si="1906"/>
        <v>0</v>
      </c>
      <c r="Q906" s="2428"/>
      <c r="R906" s="2428"/>
      <c r="S906" s="2178">
        <f t="shared" si="1907"/>
        <v>0</v>
      </c>
      <c r="T906" s="2181">
        <f t="shared" si="1923"/>
        <v>0</v>
      </c>
      <c r="U906" s="2179">
        <f t="shared" si="1923"/>
        <v>0</v>
      </c>
      <c r="V906" s="2178">
        <f t="shared" si="1902"/>
        <v>0</v>
      </c>
      <c r="W906" s="2428"/>
      <c r="X906" s="2428"/>
      <c r="Y906" s="2178">
        <f t="shared" si="1908"/>
        <v>0</v>
      </c>
      <c r="Z906" s="2181">
        <f t="shared" si="1924"/>
        <v>0</v>
      </c>
      <c r="AA906" s="2179">
        <f t="shared" si="1924"/>
        <v>0</v>
      </c>
      <c r="AB906" s="2178">
        <f t="shared" si="1904"/>
        <v>0</v>
      </c>
      <c r="AC906" s="2428"/>
      <c r="AD906" s="2428"/>
      <c r="AE906" s="2178">
        <f t="shared" si="1909"/>
        <v>0</v>
      </c>
      <c r="AF906" s="2191"/>
      <c r="AG906" s="2114"/>
      <c r="AH906" s="2428"/>
      <c r="AI906" s="2428"/>
      <c r="AJ906" s="2186">
        <f t="shared" si="1910"/>
        <v>0</v>
      </c>
      <c r="AK906" s="2428"/>
      <c r="AL906" s="2428"/>
      <c r="AM906" s="2186">
        <f t="shared" si="1911"/>
        <v>0</v>
      </c>
      <c r="AN906" s="2428"/>
      <c r="AO906" s="2428"/>
      <c r="AP906" s="2186">
        <f t="shared" si="1912"/>
        <v>0</v>
      </c>
      <c r="AQ906" s="2428"/>
      <c r="AR906" s="2428"/>
      <c r="AS906" s="2186">
        <f t="shared" si="1913"/>
        <v>0</v>
      </c>
      <c r="AT906" s="2428"/>
      <c r="AU906" s="2428"/>
      <c r="AV906" s="2186">
        <f t="shared" si="1914"/>
        <v>0</v>
      </c>
      <c r="AW906" s="2428"/>
      <c r="AX906" s="2428"/>
      <c r="AY906" s="2186">
        <f t="shared" si="1915"/>
        <v>0</v>
      </c>
      <c r="AZ906" s="2428"/>
      <c r="BA906" s="2428"/>
      <c r="BB906" s="2186">
        <f t="shared" si="1916"/>
        <v>0</v>
      </c>
      <c r="BC906" s="2428"/>
      <c r="BD906" s="2428"/>
      <c r="BE906" s="2186">
        <f t="shared" si="1917"/>
        <v>0</v>
      </c>
      <c r="BF906" s="2428"/>
      <c r="BG906" s="2428"/>
      <c r="BH906" s="2186">
        <f t="shared" si="1918"/>
        <v>0</v>
      </c>
      <c r="BI906" s="2428"/>
      <c r="BJ906" s="2428"/>
      <c r="BK906" s="2186">
        <f t="shared" si="1919"/>
        <v>0</v>
      </c>
      <c r="BL906" s="2428"/>
      <c r="BM906" s="2428"/>
      <c r="BN906" s="2186">
        <f t="shared" si="1920"/>
        <v>0</v>
      </c>
      <c r="BO906" s="2428"/>
      <c r="BP906" s="2428"/>
      <c r="BQ906" s="2186">
        <f t="shared" si="1921"/>
        <v>0</v>
      </c>
    </row>
    <row r="907" spans="3:69" s="2159" customFormat="1" ht="12" hidden="1" customHeight="1">
      <c r="C907" s="2464" t="s">
        <v>3110</v>
      </c>
      <c r="D907" s="2430" t="s">
        <v>3111</v>
      </c>
      <c r="E907" s="2431" t="s">
        <v>2590</v>
      </c>
      <c r="F907" s="2427"/>
      <c r="G907" s="2428"/>
      <c r="H907" s="2428"/>
      <c r="I907" s="2178">
        <f t="shared" si="1905"/>
        <v>0</v>
      </c>
      <c r="J907" s="2427"/>
      <c r="K907" s="2179">
        <f t="shared" si="1922"/>
        <v>0</v>
      </c>
      <c r="L907" s="2179">
        <f t="shared" si="1922"/>
        <v>0</v>
      </c>
      <c r="M907" s="2178">
        <f t="shared" si="1900"/>
        <v>0</v>
      </c>
      <c r="N907" s="2428"/>
      <c r="O907" s="2428"/>
      <c r="P907" s="2178">
        <f t="shared" si="1906"/>
        <v>0</v>
      </c>
      <c r="Q907" s="2428"/>
      <c r="R907" s="2428"/>
      <c r="S907" s="2178">
        <f t="shared" si="1907"/>
        <v>0</v>
      </c>
      <c r="T907" s="2181">
        <f t="shared" si="1923"/>
        <v>0</v>
      </c>
      <c r="U907" s="2179">
        <f t="shared" si="1923"/>
        <v>0</v>
      </c>
      <c r="V907" s="2178">
        <f t="shared" si="1902"/>
        <v>0</v>
      </c>
      <c r="W907" s="2428"/>
      <c r="X907" s="2428"/>
      <c r="Y907" s="2178">
        <f t="shared" si="1908"/>
        <v>0</v>
      </c>
      <c r="Z907" s="2181">
        <f t="shared" si="1924"/>
        <v>0</v>
      </c>
      <c r="AA907" s="2179">
        <f t="shared" si="1924"/>
        <v>0</v>
      </c>
      <c r="AB907" s="2178">
        <f t="shared" si="1904"/>
        <v>0</v>
      </c>
      <c r="AC907" s="2428"/>
      <c r="AD907" s="2428"/>
      <c r="AE907" s="2178">
        <f t="shared" si="1909"/>
        <v>0</v>
      </c>
      <c r="AF907" s="2211"/>
      <c r="AG907" s="2158"/>
      <c r="AH907" s="2428"/>
      <c r="AI907" s="2428"/>
      <c r="AJ907" s="2186">
        <f t="shared" si="1910"/>
        <v>0</v>
      </c>
      <c r="AK907" s="2428"/>
      <c r="AL907" s="2428"/>
      <c r="AM907" s="2186">
        <f t="shared" si="1911"/>
        <v>0</v>
      </c>
      <c r="AN907" s="2428"/>
      <c r="AO907" s="2428"/>
      <c r="AP907" s="2186">
        <f t="shared" si="1912"/>
        <v>0</v>
      </c>
      <c r="AQ907" s="2428"/>
      <c r="AR907" s="2428"/>
      <c r="AS907" s="2186">
        <f t="shared" si="1913"/>
        <v>0</v>
      </c>
      <c r="AT907" s="2428"/>
      <c r="AU907" s="2428"/>
      <c r="AV907" s="2186">
        <f t="shared" si="1914"/>
        <v>0</v>
      </c>
      <c r="AW907" s="2428"/>
      <c r="AX907" s="2428"/>
      <c r="AY907" s="2186">
        <f t="shared" si="1915"/>
        <v>0</v>
      </c>
      <c r="AZ907" s="2428"/>
      <c r="BA907" s="2428"/>
      <c r="BB907" s="2186">
        <f t="shared" si="1916"/>
        <v>0</v>
      </c>
      <c r="BC907" s="2428"/>
      <c r="BD907" s="2428"/>
      <c r="BE907" s="2186">
        <f t="shared" si="1917"/>
        <v>0</v>
      </c>
      <c r="BF907" s="2428"/>
      <c r="BG907" s="2428"/>
      <c r="BH907" s="2186">
        <f t="shared" si="1918"/>
        <v>0</v>
      </c>
      <c r="BI907" s="2428"/>
      <c r="BJ907" s="2428"/>
      <c r="BK907" s="2186">
        <f t="shared" si="1919"/>
        <v>0</v>
      </c>
      <c r="BL907" s="2428"/>
      <c r="BM907" s="2428"/>
      <c r="BN907" s="2186">
        <f t="shared" si="1920"/>
        <v>0</v>
      </c>
      <c r="BO907" s="2428"/>
      <c r="BP907" s="2428"/>
      <c r="BQ907" s="2186">
        <f t="shared" si="1921"/>
        <v>0</v>
      </c>
    </row>
    <row r="908" spans="3:69" s="2159" customFormat="1" ht="12" hidden="1" customHeight="1">
      <c r="C908" s="2465" t="s">
        <v>3112</v>
      </c>
      <c r="D908" s="2435" t="s">
        <v>2434</v>
      </c>
      <c r="E908" s="2436" t="s">
        <v>1833</v>
      </c>
      <c r="F908" s="2437"/>
      <c r="G908" s="2438"/>
      <c r="H908" s="2438"/>
      <c r="I908" s="2439">
        <f t="shared" si="1905"/>
        <v>0</v>
      </c>
      <c r="J908" s="2437"/>
      <c r="K908" s="2440">
        <f t="shared" si="1922"/>
        <v>0</v>
      </c>
      <c r="L908" s="2440">
        <f t="shared" si="1922"/>
        <v>0</v>
      </c>
      <c r="M908" s="2439">
        <f t="shared" si="1900"/>
        <v>0</v>
      </c>
      <c r="N908" s="2438"/>
      <c r="O908" s="2438"/>
      <c r="P908" s="2439">
        <f t="shared" si="1906"/>
        <v>0</v>
      </c>
      <c r="Q908" s="2438"/>
      <c r="R908" s="2438"/>
      <c r="S908" s="2439">
        <f t="shared" si="1907"/>
        <v>0</v>
      </c>
      <c r="T908" s="2442">
        <f t="shared" si="1923"/>
        <v>0</v>
      </c>
      <c r="U908" s="2440">
        <f t="shared" si="1923"/>
        <v>0</v>
      </c>
      <c r="V908" s="2439">
        <f t="shared" si="1902"/>
        <v>0</v>
      </c>
      <c r="W908" s="2438"/>
      <c r="X908" s="2438"/>
      <c r="Y908" s="2439">
        <f t="shared" si="1908"/>
        <v>0</v>
      </c>
      <c r="Z908" s="2442">
        <f t="shared" si="1924"/>
        <v>0</v>
      </c>
      <c r="AA908" s="2440">
        <f t="shared" si="1924"/>
        <v>0</v>
      </c>
      <c r="AB908" s="2439">
        <f t="shared" si="1904"/>
        <v>0</v>
      </c>
      <c r="AC908" s="2438"/>
      <c r="AD908" s="2438"/>
      <c r="AE908" s="2439">
        <f t="shared" si="1909"/>
        <v>0</v>
      </c>
      <c r="AF908" s="2466"/>
      <c r="AG908" s="2158"/>
      <c r="AH908" s="2438"/>
      <c r="AI908" s="2438"/>
      <c r="AJ908" s="2444">
        <f t="shared" si="1910"/>
        <v>0</v>
      </c>
      <c r="AK908" s="2438"/>
      <c r="AL908" s="2438"/>
      <c r="AM908" s="2444">
        <f t="shared" si="1911"/>
        <v>0</v>
      </c>
      <c r="AN908" s="2438"/>
      <c r="AO908" s="2438"/>
      <c r="AP908" s="2444">
        <f t="shared" si="1912"/>
        <v>0</v>
      </c>
      <c r="AQ908" s="2438"/>
      <c r="AR908" s="2438"/>
      <c r="AS908" s="2444">
        <f t="shared" si="1913"/>
        <v>0</v>
      </c>
      <c r="AT908" s="2438"/>
      <c r="AU908" s="2438"/>
      <c r="AV908" s="2444">
        <f t="shared" si="1914"/>
        <v>0</v>
      </c>
      <c r="AW908" s="2438"/>
      <c r="AX908" s="2438"/>
      <c r="AY908" s="2444">
        <f t="shared" si="1915"/>
        <v>0</v>
      </c>
      <c r="AZ908" s="2438"/>
      <c r="BA908" s="2438"/>
      <c r="BB908" s="2444">
        <f t="shared" si="1916"/>
        <v>0</v>
      </c>
      <c r="BC908" s="2438"/>
      <c r="BD908" s="2438"/>
      <c r="BE908" s="2444">
        <f t="shared" si="1917"/>
        <v>0</v>
      </c>
      <c r="BF908" s="2438"/>
      <c r="BG908" s="2438"/>
      <c r="BH908" s="2444">
        <f t="shared" si="1918"/>
        <v>0</v>
      </c>
      <c r="BI908" s="2438"/>
      <c r="BJ908" s="2438"/>
      <c r="BK908" s="2444">
        <f t="shared" si="1919"/>
        <v>0</v>
      </c>
      <c r="BL908" s="2438"/>
      <c r="BM908" s="2438"/>
      <c r="BN908" s="2444">
        <f t="shared" si="1920"/>
        <v>0</v>
      </c>
      <c r="BO908" s="2438"/>
      <c r="BP908" s="2438"/>
      <c r="BQ908" s="2444">
        <f t="shared" si="1921"/>
        <v>0</v>
      </c>
    </row>
    <row r="909" spans="3:69" s="2396" customFormat="1" ht="12" hidden="1" customHeight="1">
      <c r="C909" s="2160" t="s">
        <v>3113</v>
      </c>
      <c r="D909" s="2161" t="s">
        <v>3114</v>
      </c>
      <c r="E909" s="2120" t="s">
        <v>2590</v>
      </c>
      <c r="F909" s="2467"/>
      <c r="G909" s="2364">
        <f>G910+G912</f>
        <v>0</v>
      </c>
      <c r="H909" s="2364">
        <f>H910+H912</f>
        <v>0</v>
      </c>
      <c r="I909" s="2303">
        <f t="shared" si="1905"/>
        <v>0</v>
      </c>
      <c r="J909" s="2363"/>
      <c r="K909" s="2364">
        <f t="shared" si="1922"/>
        <v>0</v>
      </c>
      <c r="L909" s="2364">
        <f t="shared" si="1922"/>
        <v>0</v>
      </c>
      <c r="M909" s="2303">
        <f t="shared" si="1900"/>
        <v>0</v>
      </c>
      <c r="N909" s="2364">
        <f>N910+N912</f>
        <v>0</v>
      </c>
      <c r="O909" s="2364">
        <f>O910+O912</f>
        <v>0</v>
      </c>
      <c r="P909" s="2303">
        <f t="shared" si="1906"/>
        <v>0</v>
      </c>
      <c r="Q909" s="2364">
        <f>Q910+Q912</f>
        <v>0</v>
      </c>
      <c r="R909" s="2364">
        <f>R910+R912</f>
        <v>0</v>
      </c>
      <c r="S909" s="2303">
        <f t="shared" si="1907"/>
        <v>0</v>
      </c>
      <c r="T909" s="2368">
        <f t="shared" si="1923"/>
        <v>0</v>
      </c>
      <c r="U909" s="2364">
        <f t="shared" si="1923"/>
        <v>0</v>
      </c>
      <c r="V909" s="2303">
        <f t="shared" si="1902"/>
        <v>0</v>
      </c>
      <c r="W909" s="2364">
        <f>W910+W912</f>
        <v>0</v>
      </c>
      <c r="X909" s="2364">
        <f>X910+X912</f>
        <v>0</v>
      </c>
      <c r="Y909" s="2303">
        <f t="shared" si="1908"/>
        <v>0</v>
      </c>
      <c r="Z909" s="2368">
        <f t="shared" si="1924"/>
        <v>0</v>
      </c>
      <c r="AA909" s="2364">
        <f t="shared" si="1924"/>
        <v>0</v>
      </c>
      <c r="AB909" s="2303">
        <f t="shared" si="1904"/>
        <v>0</v>
      </c>
      <c r="AC909" s="2364">
        <f>AC910+AC912</f>
        <v>0</v>
      </c>
      <c r="AD909" s="2364">
        <f>AD910+AD912</f>
        <v>0</v>
      </c>
      <c r="AE909" s="2178">
        <f t="shared" si="1909"/>
        <v>0</v>
      </c>
      <c r="AF909" s="2204"/>
      <c r="AG909" s="2395"/>
      <c r="AH909" s="2372">
        <f>AH910+AH912</f>
        <v>0</v>
      </c>
      <c r="AI909" s="2372">
        <f>AI910+AI912</f>
        <v>0</v>
      </c>
      <c r="AJ909" s="2310">
        <f t="shared" si="1910"/>
        <v>0</v>
      </c>
      <c r="AK909" s="2372">
        <f>AK910+AK912</f>
        <v>0</v>
      </c>
      <c r="AL909" s="2372">
        <f>AL910+AL912</f>
        <v>0</v>
      </c>
      <c r="AM909" s="2310">
        <f t="shared" si="1911"/>
        <v>0</v>
      </c>
      <c r="AN909" s="2372">
        <f>AN910+AN912</f>
        <v>0</v>
      </c>
      <c r="AO909" s="2372">
        <f>AO910+AO912</f>
        <v>0</v>
      </c>
      <c r="AP909" s="2310">
        <f t="shared" si="1912"/>
        <v>0</v>
      </c>
      <c r="AQ909" s="2372">
        <f>AQ910+AQ912</f>
        <v>0</v>
      </c>
      <c r="AR909" s="2372">
        <f>AR910+AR912</f>
        <v>0</v>
      </c>
      <c r="AS909" s="2310">
        <f t="shared" si="1913"/>
        <v>0</v>
      </c>
      <c r="AT909" s="2372">
        <f>AT910+AT912</f>
        <v>0</v>
      </c>
      <c r="AU909" s="2372">
        <f>AU910+AU912</f>
        <v>0</v>
      </c>
      <c r="AV909" s="2310">
        <f t="shared" si="1914"/>
        <v>0</v>
      </c>
      <c r="AW909" s="2372">
        <f>AW910+AW912</f>
        <v>0</v>
      </c>
      <c r="AX909" s="2372">
        <f>AX910+AX912</f>
        <v>0</v>
      </c>
      <c r="AY909" s="2310">
        <f t="shared" si="1915"/>
        <v>0</v>
      </c>
      <c r="AZ909" s="2372">
        <f>AZ910+AZ912</f>
        <v>0</v>
      </c>
      <c r="BA909" s="2372">
        <f>BA910+BA912</f>
        <v>0</v>
      </c>
      <c r="BB909" s="2310">
        <f t="shared" si="1916"/>
        <v>0</v>
      </c>
      <c r="BC909" s="2372">
        <f>BC910+BC912</f>
        <v>0</v>
      </c>
      <c r="BD909" s="2372">
        <f>BD910+BD912</f>
        <v>0</v>
      </c>
      <c r="BE909" s="2310">
        <f t="shared" si="1917"/>
        <v>0</v>
      </c>
      <c r="BF909" s="2372">
        <f>BF910+BF912</f>
        <v>0</v>
      </c>
      <c r="BG909" s="2372">
        <f>BG910+BG912</f>
        <v>0</v>
      </c>
      <c r="BH909" s="2310">
        <f t="shared" si="1918"/>
        <v>0</v>
      </c>
      <c r="BI909" s="2372">
        <f>BI910+BI912</f>
        <v>0</v>
      </c>
      <c r="BJ909" s="2372">
        <f>BJ910+BJ912</f>
        <v>0</v>
      </c>
      <c r="BK909" s="2310">
        <f t="shared" si="1919"/>
        <v>0</v>
      </c>
      <c r="BL909" s="2372">
        <f>BL910+BL912</f>
        <v>0</v>
      </c>
      <c r="BM909" s="2372">
        <f>BM910+BM912</f>
        <v>0</v>
      </c>
      <c r="BN909" s="2310">
        <f t="shared" si="1920"/>
        <v>0</v>
      </c>
      <c r="BO909" s="2372">
        <f>BO910+BO912</f>
        <v>0</v>
      </c>
      <c r="BP909" s="2372">
        <f>BP910+BP912</f>
        <v>0</v>
      </c>
      <c r="BQ909" s="2310">
        <f t="shared" si="1921"/>
        <v>0</v>
      </c>
    </row>
    <row r="910" spans="3:69" s="2279" customFormat="1" ht="45.75" hidden="1" thickBot="1">
      <c r="C910" s="2424" t="s">
        <v>3044</v>
      </c>
      <c r="D910" s="2174" t="s">
        <v>3045</v>
      </c>
      <c r="E910" s="2250" t="s">
        <v>2590</v>
      </c>
      <c r="F910" s="2176"/>
      <c r="G910" s="2177"/>
      <c r="H910" s="2177"/>
      <c r="I910" s="2178">
        <f t="shared" si="1905"/>
        <v>0</v>
      </c>
      <c r="J910" s="2176"/>
      <c r="K910" s="2179">
        <f t="shared" si="1922"/>
        <v>0</v>
      </c>
      <c r="L910" s="2179">
        <f t="shared" si="1922"/>
        <v>0</v>
      </c>
      <c r="M910" s="2178">
        <f t="shared" si="1900"/>
        <v>0</v>
      </c>
      <c r="N910" s="2177"/>
      <c r="O910" s="2177"/>
      <c r="P910" s="2178">
        <f t="shared" si="1906"/>
        <v>0</v>
      </c>
      <c r="Q910" s="2177"/>
      <c r="R910" s="2177"/>
      <c r="S910" s="2178">
        <f t="shared" si="1907"/>
        <v>0</v>
      </c>
      <c r="T910" s="2181">
        <f t="shared" si="1923"/>
        <v>0</v>
      </c>
      <c r="U910" s="2179">
        <f t="shared" si="1923"/>
        <v>0</v>
      </c>
      <c r="V910" s="2178">
        <f t="shared" si="1902"/>
        <v>0</v>
      </c>
      <c r="W910" s="2177"/>
      <c r="X910" s="2177"/>
      <c r="Y910" s="2178">
        <f t="shared" si="1908"/>
        <v>0</v>
      </c>
      <c r="Z910" s="2181">
        <f t="shared" si="1924"/>
        <v>0</v>
      </c>
      <c r="AA910" s="2179">
        <f t="shared" si="1924"/>
        <v>0</v>
      </c>
      <c r="AB910" s="2178">
        <f t="shared" si="1904"/>
        <v>0</v>
      </c>
      <c r="AC910" s="2177"/>
      <c r="AD910" s="2177"/>
      <c r="AE910" s="2178">
        <f t="shared" si="1909"/>
        <v>0</v>
      </c>
      <c r="AF910" s="2185"/>
      <c r="AG910" s="2278"/>
      <c r="AH910" s="2177"/>
      <c r="AI910" s="2177"/>
      <c r="AJ910" s="2186">
        <f t="shared" si="1910"/>
        <v>0</v>
      </c>
      <c r="AK910" s="2177"/>
      <c r="AL910" s="2177"/>
      <c r="AM910" s="2186">
        <f t="shared" si="1911"/>
        <v>0</v>
      </c>
      <c r="AN910" s="2177"/>
      <c r="AO910" s="2177"/>
      <c r="AP910" s="2186">
        <f t="shared" si="1912"/>
        <v>0</v>
      </c>
      <c r="AQ910" s="2177"/>
      <c r="AR910" s="2177"/>
      <c r="AS910" s="2186">
        <f t="shared" si="1913"/>
        <v>0</v>
      </c>
      <c r="AT910" s="2177"/>
      <c r="AU910" s="2177"/>
      <c r="AV910" s="2186">
        <f t="shared" si="1914"/>
        <v>0</v>
      </c>
      <c r="AW910" s="2177"/>
      <c r="AX910" s="2177"/>
      <c r="AY910" s="2186">
        <f t="shared" si="1915"/>
        <v>0</v>
      </c>
      <c r="AZ910" s="2177"/>
      <c r="BA910" s="2177"/>
      <c r="BB910" s="2186">
        <f t="shared" si="1916"/>
        <v>0</v>
      </c>
      <c r="BC910" s="2177"/>
      <c r="BD910" s="2177"/>
      <c r="BE910" s="2186">
        <f t="shared" si="1917"/>
        <v>0</v>
      </c>
      <c r="BF910" s="2177"/>
      <c r="BG910" s="2177"/>
      <c r="BH910" s="2186">
        <f t="shared" si="1918"/>
        <v>0</v>
      </c>
      <c r="BI910" s="2177"/>
      <c r="BJ910" s="2177"/>
      <c r="BK910" s="2186">
        <f t="shared" si="1919"/>
        <v>0</v>
      </c>
      <c r="BL910" s="2177"/>
      <c r="BM910" s="2177"/>
      <c r="BN910" s="2186">
        <f t="shared" si="1920"/>
        <v>0</v>
      </c>
      <c r="BO910" s="2177"/>
      <c r="BP910" s="2177"/>
      <c r="BQ910" s="2186">
        <f t="shared" si="1921"/>
        <v>0</v>
      </c>
    </row>
    <row r="911" spans="3:69" s="2279" customFormat="1" ht="12" hidden="1" thickBot="1">
      <c r="C911" s="2423" t="s">
        <v>3047</v>
      </c>
      <c r="D911" s="2286" t="s">
        <v>2434</v>
      </c>
      <c r="E911" s="2335" t="s">
        <v>1833</v>
      </c>
      <c r="F911" s="2176"/>
      <c r="G911" s="2177"/>
      <c r="H911" s="2177"/>
      <c r="I911" s="2178">
        <f t="shared" si="1905"/>
        <v>0</v>
      </c>
      <c r="J911" s="2176"/>
      <c r="K911" s="2179">
        <f t="shared" si="1922"/>
        <v>0</v>
      </c>
      <c r="L911" s="2179">
        <f t="shared" si="1922"/>
        <v>0</v>
      </c>
      <c r="M911" s="2178">
        <f t="shared" si="1900"/>
        <v>0</v>
      </c>
      <c r="N911" s="2177"/>
      <c r="O911" s="2177"/>
      <c r="P911" s="2178">
        <f t="shared" si="1906"/>
        <v>0</v>
      </c>
      <c r="Q911" s="2177"/>
      <c r="R911" s="2177"/>
      <c r="S911" s="2178">
        <f t="shared" si="1907"/>
        <v>0</v>
      </c>
      <c r="T911" s="2181">
        <f t="shared" si="1923"/>
        <v>0</v>
      </c>
      <c r="U911" s="2179">
        <f t="shared" si="1923"/>
        <v>0</v>
      </c>
      <c r="V911" s="2178">
        <f t="shared" si="1902"/>
        <v>0</v>
      </c>
      <c r="W911" s="2177"/>
      <c r="X911" s="2177"/>
      <c r="Y911" s="2178">
        <f t="shared" si="1908"/>
        <v>0</v>
      </c>
      <c r="Z911" s="2181">
        <f t="shared" si="1924"/>
        <v>0</v>
      </c>
      <c r="AA911" s="2179">
        <f t="shared" si="1924"/>
        <v>0</v>
      </c>
      <c r="AB911" s="2178">
        <f t="shared" si="1904"/>
        <v>0</v>
      </c>
      <c r="AC911" s="2177"/>
      <c r="AD911" s="2177"/>
      <c r="AE911" s="2178">
        <f t="shared" si="1909"/>
        <v>0</v>
      </c>
      <c r="AF911" s="2185"/>
      <c r="AG911" s="2278"/>
      <c r="AH911" s="2177"/>
      <c r="AI911" s="2177"/>
      <c r="AJ911" s="2186">
        <f t="shared" si="1910"/>
        <v>0</v>
      </c>
      <c r="AK911" s="2177"/>
      <c r="AL911" s="2177"/>
      <c r="AM911" s="2186">
        <f t="shared" si="1911"/>
        <v>0</v>
      </c>
      <c r="AN911" s="2177"/>
      <c r="AO911" s="2177"/>
      <c r="AP911" s="2186">
        <f t="shared" si="1912"/>
        <v>0</v>
      </c>
      <c r="AQ911" s="2177"/>
      <c r="AR911" s="2177"/>
      <c r="AS911" s="2186">
        <f t="shared" si="1913"/>
        <v>0</v>
      </c>
      <c r="AT911" s="2177"/>
      <c r="AU911" s="2177"/>
      <c r="AV911" s="2186">
        <f t="shared" si="1914"/>
        <v>0</v>
      </c>
      <c r="AW911" s="2177"/>
      <c r="AX911" s="2177"/>
      <c r="AY911" s="2186">
        <f t="shared" si="1915"/>
        <v>0</v>
      </c>
      <c r="AZ911" s="2177"/>
      <c r="BA911" s="2177"/>
      <c r="BB911" s="2186">
        <f t="shared" si="1916"/>
        <v>0</v>
      </c>
      <c r="BC911" s="2177"/>
      <c r="BD911" s="2177"/>
      <c r="BE911" s="2186">
        <f t="shared" si="1917"/>
        <v>0</v>
      </c>
      <c r="BF911" s="2177"/>
      <c r="BG911" s="2177"/>
      <c r="BH911" s="2186">
        <f t="shared" si="1918"/>
        <v>0</v>
      </c>
      <c r="BI911" s="2177"/>
      <c r="BJ911" s="2177"/>
      <c r="BK911" s="2186">
        <f t="shared" si="1919"/>
        <v>0</v>
      </c>
      <c r="BL911" s="2177"/>
      <c r="BM911" s="2177"/>
      <c r="BN911" s="2186">
        <f t="shared" si="1920"/>
        <v>0</v>
      </c>
      <c r="BO911" s="2177"/>
      <c r="BP911" s="2177"/>
      <c r="BQ911" s="2186">
        <f t="shared" si="1921"/>
        <v>0</v>
      </c>
    </row>
    <row r="912" spans="3:69" s="2279" customFormat="1" ht="23.25" hidden="1" thickBot="1">
      <c r="C912" s="2173" t="s">
        <v>3048</v>
      </c>
      <c r="D912" s="2174" t="s">
        <v>3049</v>
      </c>
      <c r="E912" s="2250" t="s">
        <v>2590</v>
      </c>
      <c r="F912" s="2176"/>
      <c r="G912" s="2177"/>
      <c r="H912" s="2177"/>
      <c r="I912" s="2178">
        <f t="shared" si="1905"/>
        <v>0</v>
      </c>
      <c r="J912" s="2176"/>
      <c r="K912" s="2179">
        <f t="shared" si="1922"/>
        <v>0</v>
      </c>
      <c r="L912" s="2179">
        <f t="shared" si="1922"/>
        <v>0</v>
      </c>
      <c r="M912" s="2178">
        <f t="shared" si="1900"/>
        <v>0</v>
      </c>
      <c r="N912" s="2177"/>
      <c r="O912" s="2177"/>
      <c r="P912" s="2178">
        <f t="shared" si="1906"/>
        <v>0</v>
      </c>
      <c r="Q912" s="2177"/>
      <c r="R912" s="2177"/>
      <c r="S912" s="2178">
        <f t="shared" si="1907"/>
        <v>0</v>
      </c>
      <c r="T912" s="2181">
        <f t="shared" si="1923"/>
        <v>0</v>
      </c>
      <c r="U912" s="2179">
        <f t="shared" si="1923"/>
        <v>0</v>
      </c>
      <c r="V912" s="2178">
        <f t="shared" si="1902"/>
        <v>0</v>
      </c>
      <c r="W912" s="2177"/>
      <c r="X912" s="2177"/>
      <c r="Y912" s="2178">
        <f t="shared" si="1908"/>
        <v>0</v>
      </c>
      <c r="Z912" s="2181">
        <f t="shared" si="1924"/>
        <v>0</v>
      </c>
      <c r="AA912" s="2179">
        <f t="shared" si="1924"/>
        <v>0</v>
      </c>
      <c r="AB912" s="2178">
        <f t="shared" si="1904"/>
        <v>0</v>
      </c>
      <c r="AC912" s="2177"/>
      <c r="AD912" s="2177"/>
      <c r="AE912" s="2178">
        <f t="shared" si="1909"/>
        <v>0</v>
      </c>
      <c r="AF912" s="2191"/>
      <c r="AG912" s="2278"/>
      <c r="AH912" s="2177"/>
      <c r="AI912" s="2177"/>
      <c r="AJ912" s="2186">
        <f t="shared" si="1910"/>
        <v>0</v>
      </c>
      <c r="AK912" s="2177"/>
      <c r="AL912" s="2177"/>
      <c r="AM912" s="2186">
        <f t="shared" si="1911"/>
        <v>0</v>
      </c>
      <c r="AN912" s="2177"/>
      <c r="AO912" s="2177"/>
      <c r="AP912" s="2186">
        <f t="shared" si="1912"/>
        <v>0</v>
      </c>
      <c r="AQ912" s="2177"/>
      <c r="AR912" s="2177"/>
      <c r="AS912" s="2186">
        <f t="shared" si="1913"/>
        <v>0</v>
      </c>
      <c r="AT912" s="2177"/>
      <c r="AU912" s="2177"/>
      <c r="AV912" s="2186">
        <f t="shared" si="1914"/>
        <v>0</v>
      </c>
      <c r="AW912" s="2177"/>
      <c r="AX912" s="2177"/>
      <c r="AY912" s="2186">
        <f t="shared" si="1915"/>
        <v>0</v>
      </c>
      <c r="AZ912" s="2177"/>
      <c r="BA912" s="2177"/>
      <c r="BB912" s="2186">
        <f t="shared" si="1916"/>
        <v>0</v>
      </c>
      <c r="BC912" s="2177"/>
      <c r="BD912" s="2177"/>
      <c r="BE912" s="2186">
        <f t="shared" si="1917"/>
        <v>0</v>
      </c>
      <c r="BF912" s="2177"/>
      <c r="BG912" s="2177"/>
      <c r="BH912" s="2186">
        <f t="shared" si="1918"/>
        <v>0</v>
      </c>
      <c r="BI912" s="2177"/>
      <c r="BJ912" s="2177"/>
      <c r="BK912" s="2186">
        <f t="shared" si="1919"/>
        <v>0</v>
      </c>
      <c r="BL912" s="2177"/>
      <c r="BM912" s="2177"/>
      <c r="BN912" s="2186">
        <f t="shared" si="1920"/>
        <v>0</v>
      </c>
      <c r="BO912" s="2177"/>
      <c r="BP912" s="2177"/>
      <c r="BQ912" s="2186">
        <f t="shared" si="1921"/>
        <v>0</v>
      </c>
    </row>
    <row r="913" spans="3:69" s="2279" customFormat="1" ht="12" hidden="1" thickBot="1">
      <c r="C913" s="2285" t="s">
        <v>3050</v>
      </c>
      <c r="D913" s="2286" t="s">
        <v>2434</v>
      </c>
      <c r="E913" s="2335" t="s">
        <v>1833</v>
      </c>
      <c r="F913" s="2176"/>
      <c r="G913" s="2177"/>
      <c r="H913" s="2177"/>
      <c r="I913" s="2178">
        <f t="shared" si="1905"/>
        <v>0</v>
      </c>
      <c r="J913" s="2176"/>
      <c r="K913" s="2179">
        <f t="shared" si="1922"/>
        <v>0</v>
      </c>
      <c r="L913" s="2179">
        <f t="shared" si="1922"/>
        <v>0</v>
      </c>
      <c r="M913" s="2178">
        <f t="shared" si="1900"/>
        <v>0</v>
      </c>
      <c r="N913" s="2177"/>
      <c r="O913" s="2177"/>
      <c r="P913" s="2178">
        <f t="shared" si="1906"/>
        <v>0</v>
      </c>
      <c r="Q913" s="2177"/>
      <c r="R913" s="2177"/>
      <c r="S913" s="2178">
        <f t="shared" si="1907"/>
        <v>0</v>
      </c>
      <c r="T913" s="2181">
        <f t="shared" si="1923"/>
        <v>0</v>
      </c>
      <c r="U913" s="2179">
        <f t="shared" si="1923"/>
        <v>0</v>
      </c>
      <c r="V913" s="2178">
        <f t="shared" si="1902"/>
        <v>0</v>
      </c>
      <c r="W913" s="2177"/>
      <c r="X913" s="2177"/>
      <c r="Y913" s="2178">
        <f t="shared" si="1908"/>
        <v>0</v>
      </c>
      <c r="Z913" s="2181">
        <f t="shared" si="1924"/>
        <v>0</v>
      </c>
      <c r="AA913" s="2179">
        <f t="shared" si="1924"/>
        <v>0</v>
      </c>
      <c r="AB913" s="2178">
        <f t="shared" si="1904"/>
        <v>0</v>
      </c>
      <c r="AC913" s="2177"/>
      <c r="AD913" s="2177"/>
      <c r="AE913" s="2178">
        <f t="shared" si="1909"/>
        <v>0</v>
      </c>
      <c r="AF913" s="2191"/>
      <c r="AG913" s="2278"/>
      <c r="AH913" s="2177"/>
      <c r="AI913" s="2177"/>
      <c r="AJ913" s="2186">
        <f t="shared" si="1910"/>
        <v>0</v>
      </c>
      <c r="AK913" s="2177"/>
      <c r="AL913" s="2177"/>
      <c r="AM913" s="2186">
        <f t="shared" si="1911"/>
        <v>0</v>
      </c>
      <c r="AN913" s="2177"/>
      <c r="AO913" s="2177"/>
      <c r="AP913" s="2186">
        <f t="shared" si="1912"/>
        <v>0</v>
      </c>
      <c r="AQ913" s="2177"/>
      <c r="AR913" s="2177"/>
      <c r="AS913" s="2186">
        <f t="shared" si="1913"/>
        <v>0</v>
      </c>
      <c r="AT913" s="2177"/>
      <c r="AU913" s="2177"/>
      <c r="AV913" s="2186">
        <f t="shared" si="1914"/>
        <v>0</v>
      </c>
      <c r="AW913" s="2177"/>
      <c r="AX913" s="2177"/>
      <c r="AY913" s="2186">
        <f t="shared" si="1915"/>
        <v>0</v>
      </c>
      <c r="AZ913" s="2177"/>
      <c r="BA913" s="2177"/>
      <c r="BB913" s="2186">
        <f t="shared" si="1916"/>
        <v>0</v>
      </c>
      <c r="BC913" s="2177"/>
      <c r="BD913" s="2177"/>
      <c r="BE913" s="2186">
        <f t="shared" si="1917"/>
        <v>0</v>
      </c>
      <c r="BF913" s="2177"/>
      <c r="BG913" s="2177"/>
      <c r="BH913" s="2186">
        <f t="shared" si="1918"/>
        <v>0</v>
      </c>
      <c r="BI913" s="2177"/>
      <c r="BJ913" s="2177"/>
      <c r="BK913" s="2186">
        <f t="shared" si="1919"/>
        <v>0</v>
      </c>
      <c r="BL913" s="2177"/>
      <c r="BM913" s="2177"/>
      <c r="BN913" s="2186">
        <f t="shared" si="1920"/>
        <v>0</v>
      </c>
      <c r="BO913" s="2177"/>
      <c r="BP913" s="2177"/>
      <c r="BQ913" s="2186">
        <f t="shared" si="1921"/>
        <v>0</v>
      </c>
    </row>
    <row r="914" spans="3:69" s="2159" customFormat="1" ht="12" hidden="1" customHeight="1">
      <c r="C914" s="2160" t="s">
        <v>3115</v>
      </c>
      <c r="D914" s="2202" t="s">
        <v>3116</v>
      </c>
      <c r="E914" s="2213" t="s">
        <v>2590</v>
      </c>
      <c r="F914" s="2162"/>
      <c r="G914" s="2218"/>
      <c r="H914" s="2218"/>
      <c r="I914" s="2164">
        <f t="shared" si="1905"/>
        <v>0</v>
      </c>
      <c r="J914" s="2162"/>
      <c r="K914" s="2163">
        <f t="shared" si="1922"/>
        <v>0</v>
      </c>
      <c r="L914" s="2163">
        <f t="shared" si="1922"/>
        <v>0</v>
      </c>
      <c r="M914" s="2164">
        <f t="shared" si="1900"/>
        <v>0</v>
      </c>
      <c r="N914" s="2218"/>
      <c r="O914" s="2218"/>
      <c r="P914" s="2164">
        <f t="shared" si="1906"/>
        <v>0</v>
      </c>
      <c r="Q914" s="2218"/>
      <c r="R914" s="2218"/>
      <c r="S914" s="2164">
        <f t="shared" si="1907"/>
        <v>0</v>
      </c>
      <c r="T914" s="2167">
        <f t="shared" si="1923"/>
        <v>0</v>
      </c>
      <c r="U914" s="2163">
        <f t="shared" si="1923"/>
        <v>0</v>
      </c>
      <c r="V914" s="2164">
        <f t="shared" si="1902"/>
        <v>0</v>
      </c>
      <c r="W914" s="2218"/>
      <c r="X914" s="2218"/>
      <c r="Y914" s="2164">
        <f t="shared" si="1908"/>
        <v>0</v>
      </c>
      <c r="Z914" s="2167">
        <f t="shared" si="1924"/>
        <v>0</v>
      </c>
      <c r="AA914" s="2163">
        <f t="shared" si="1924"/>
        <v>0</v>
      </c>
      <c r="AB914" s="2164">
        <f t="shared" si="1904"/>
        <v>0</v>
      </c>
      <c r="AC914" s="2218"/>
      <c r="AD914" s="2218"/>
      <c r="AE914" s="2164">
        <f t="shared" si="1909"/>
        <v>0</v>
      </c>
      <c r="AF914" s="2204"/>
      <c r="AG914" s="2158"/>
      <c r="AH914" s="2218"/>
      <c r="AI914" s="2218"/>
      <c r="AJ914" s="2172">
        <f t="shared" si="1910"/>
        <v>0</v>
      </c>
      <c r="AK914" s="2218"/>
      <c r="AL914" s="2218"/>
      <c r="AM914" s="2172">
        <f t="shared" si="1911"/>
        <v>0</v>
      </c>
      <c r="AN914" s="2218"/>
      <c r="AO914" s="2218"/>
      <c r="AP914" s="2172">
        <f t="shared" si="1912"/>
        <v>0</v>
      </c>
      <c r="AQ914" s="2218"/>
      <c r="AR914" s="2218"/>
      <c r="AS914" s="2172">
        <f t="shared" si="1913"/>
        <v>0</v>
      </c>
      <c r="AT914" s="2218"/>
      <c r="AU914" s="2218"/>
      <c r="AV914" s="2172">
        <f t="shared" si="1914"/>
        <v>0</v>
      </c>
      <c r="AW914" s="2218"/>
      <c r="AX914" s="2218"/>
      <c r="AY914" s="2172">
        <f t="shared" si="1915"/>
        <v>0</v>
      </c>
      <c r="AZ914" s="2218"/>
      <c r="BA914" s="2218"/>
      <c r="BB914" s="2172">
        <f t="shared" si="1916"/>
        <v>0</v>
      </c>
      <c r="BC914" s="2218"/>
      <c r="BD914" s="2218"/>
      <c r="BE914" s="2172">
        <f t="shared" si="1917"/>
        <v>0</v>
      </c>
      <c r="BF914" s="2218"/>
      <c r="BG914" s="2218"/>
      <c r="BH914" s="2172">
        <f t="shared" si="1918"/>
        <v>0</v>
      </c>
      <c r="BI914" s="2218"/>
      <c r="BJ914" s="2218"/>
      <c r="BK914" s="2172">
        <f t="shared" si="1919"/>
        <v>0</v>
      </c>
      <c r="BL914" s="2218"/>
      <c r="BM914" s="2218"/>
      <c r="BN914" s="2172">
        <f t="shared" si="1920"/>
        <v>0</v>
      </c>
      <c r="BO914" s="2218"/>
      <c r="BP914" s="2218"/>
      <c r="BQ914" s="2172">
        <f t="shared" si="1921"/>
        <v>0</v>
      </c>
    </row>
    <row r="915" spans="3:69" s="2159" customFormat="1" ht="12" hidden="1" customHeight="1">
      <c r="C915" s="2160" t="s">
        <v>3117</v>
      </c>
      <c r="D915" s="2202" t="s">
        <v>3118</v>
      </c>
      <c r="E915" s="2213" t="s">
        <v>2590</v>
      </c>
      <c r="F915" s="2162"/>
      <c r="G915" s="2163">
        <f>G914+G885+G909</f>
        <v>0</v>
      </c>
      <c r="H915" s="2163">
        <f>H914+H885+H909</f>
        <v>0</v>
      </c>
      <c r="I915" s="2164">
        <f t="shared" si="1905"/>
        <v>0</v>
      </c>
      <c r="J915" s="2162"/>
      <c r="K915" s="2163">
        <f t="shared" si="1922"/>
        <v>0</v>
      </c>
      <c r="L915" s="2163">
        <f t="shared" si="1922"/>
        <v>0</v>
      </c>
      <c r="M915" s="2164">
        <f t="shared" si="1900"/>
        <v>0</v>
      </c>
      <c r="N915" s="2163">
        <f>N914+N885+N909</f>
        <v>0</v>
      </c>
      <c r="O915" s="2163">
        <f>O914+O885+O909</f>
        <v>0</v>
      </c>
      <c r="P915" s="2164">
        <f t="shared" si="1906"/>
        <v>0</v>
      </c>
      <c r="Q915" s="2163">
        <f>Q914+Q885+Q909</f>
        <v>0</v>
      </c>
      <c r="R915" s="2163">
        <f>R914+R885+R909</f>
        <v>0</v>
      </c>
      <c r="S915" s="2164">
        <f t="shared" si="1907"/>
        <v>0</v>
      </c>
      <c r="T915" s="2167">
        <f t="shared" si="1923"/>
        <v>0</v>
      </c>
      <c r="U915" s="2163">
        <f t="shared" si="1923"/>
        <v>0</v>
      </c>
      <c r="V915" s="2164">
        <f t="shared" si="1902"/>
        <v>0</v>
      </c>
      <c r="W915" s="2163">
        <f>W914+W885+W909</f>
        <v>0</v>
      </c>
      <c r="X915" s="2163">
        <f>X914+X885+X909</f>
        <v>0</v>
      </c>
      <c r="Y915" s="2164">
        <f t="shared" si="1908"/>
        <v>0</v>
      </c>
      <c r="Z915" s="2167">
        <f t="shared" si="1924"/>
        <v>0</v>
      </c>
      <c r="AA915" s="2163">
        <f t="shared" si="1924"/>
        <v>0</v>
      </c>
      <c r="AB915" s="2164">
        <f t="shared" si="1904"/>
        <v>0</v>
      </c>
      <c r="AC915" s="2163">
        <f>AC914+AC885+AC909</f>
        <v>0</v>
      </c>
      <c r="AD915" s="2163">
        <f>AD914+AD885+AD909</f>
        <v>0</v>
      </c>
      <c r="AE915" s="2164">
        <f t="shared" si="1909"/>
        <v>0</v>
      </c>
      <c r="AF915" s="2204"/>
      <c r="AG915" s="2158"/>
      <c r="AH915" s="2171">
        <f>AH914+AH885+AH909</f>
        <v>0</v>
      </c>
      <c r="AI915" s="2171">
        <f>AI914+AI885+AI909</f>
        <v>0</v>
      </c>
      <c r="AJ915" s="2172">
        <f t="shared" si="1910"/>
        <v>0</v>
      </c>
      <c r="AK915" s="2171">
        <f>AK914+AK885+AK909</f>
        <v>0</v>
      </c>
      <c r="AL915" s="2171">
        <f>AL914+AL885+AL909</f>
        <v>0</v>
      </c>
      <c r="AM915" s="2172">
        <f t="shared" si="1911"/>
        <v>0</v>
      </c>
      <c r="AN915" s="2171">
        <f>AN914+AN885+AN909</f>
        <v>0</v>
      </c>
      <c r="AO915" s="2171">
        <f>AO914+AO885+AO909</f>
        <v>0</v>
      </c>
      <c r="AP915" s="2172">
        <f t="shared" si="1912"/>
        <v>0</v>
      </c>
      <c r="AQ915" s="2171">
        <f>AQ914+AQ885+AQ909</f>
        <v>0</v>
      </c>
      <c r="AR915" s="2171">
        <f>AR914+AR885+AR909</f>
        <v>0</v>
      </c>
      <c r="AS915" s="2172">
        <f t="shared" si="1913"/>
        <v>0</v>
      </c>
      <c r="AT915" s="2171">
        <f>AT914+AT885+AT909</f>
        <v>0</v>
      </c>
      <c r="AU915" s="2171">
        <f>AU914+AU885+AU909</f>
        <v>0</v>
      </c>
      <c r="AV915" s="2172">
        <f t="shared" si="1914"/>
        <v>0</v>
      </c>
      <c r="AW915" s="2171">
        <f>AW914+AW885+AW909</f>
        <v>0</v>
      </c>
      <c r="AX915" s="2171">
        <f>AX914+AX885+AX909</f>
        <v>0</v>
      </c>
      <c r="AY915" s="2172">
        <f t="shared" si="1915"/>
        <v>0</v>
      </c>
      <c r="AZ915" s="2171">
        <f>AZ914+AZ885+AZ909</f>
        <v>0</v>
      </c>
      <c r="BA915" s="2171">
        <f>BA914+BA885+BA909</f>
        <v>0</v>
      </c>
      <c r="BB915" s="2172">
        <f t="shared" si="1916"/>
        <v>0</v>
      </c>
      <c r="BC915" s="2171">
        <f>BC914+BC885+BC909</f>
        <v>0</v>
      </c>
      <c r="BD915" s="2171">
        <f>BD914+BD885+BD909</f>
        <v>0</v>
      </c>
      <c r="BE915" s="2172">
        <f t="shared" si="1917"/>
        <v>0</v>
      </c>
      <c r="BF915" s="2171">
        <f>BF914+BF885+BF909</f>
        <v>0</v>
      </c>
      <c r="BG915" s="2171">
        <f>BG914+BG885+BG909</f>
        <v>0</v>
      </c>
      <c r="BH915" s="2172">
        <f t="shared" si="1918"/>
        <v>0</v>
      </c>
      <c r="BI915" s="2171">
        <f>BI914+BI885+BI909</f>
        <v>0</v>
      </c>
      <c r="BJ915" s="2171">
        <f>BJ914+BJ885+BJ909</f>
        <v>0</v>
      </c>
      <c r="BK915" s="2172">
        <f t="shared" si="1919"/>
        <v>0</v>
      </c>
      <c r="BL915" s="2171">
        <f>BL914+BL885+BL909</f>
        <v>0</v>
      </c>
      <c r="BM915" s="2171">
        <f>BM914+BM885+BM909</f>
        <v>0</v>
      </c>
      <c r="BN915" s="2172">
        <f t="shared" si="1920"/>
        <v>0</v>
      </c>
      <c r="BO915" s="2171">
        <f>BO914+BO885+BO909</f>
        <v>0</v>
      </c>
      <c r="BP915" s="2171">
        <f>BP914+BP885+BP909</f>
        <v>0</v>
      </c>
      <c r="BQ915" s="2172">
        <f t="shared" si="1921"/>
        <v>0</v>
      </c>
    </row>
    <row r="916" spans="3:69" s="2207" customFormat="1" ht="12" hidden="1" customHeight="1">
      <c r="C916" s="2134" t="s">
        <v>45</v>
      </c>
      <c r="D916" s="2135" t="s">
        <v>3119</v>
      </c>
      <c r="E916" s="2136"/>
      <c r="F916" s="2224"/>
      <c r="G916" s="2225"/>
      <c r="H916" s="2225"/>
      <c r="I916" s="2226"/>
      <c r="J916" s="2224"/>
      <c r="K916" s="2225"/>
      <c r="L916" s="2225"/>
      <c r="M916" s="2226"/>
      <c r="N916" s="2225"/>
      <c r="O916" s="2225"/>
      <c r="P916" s="2226"/>
      <c r="Q916" s="2224"/>
      <c r="R916" s="2225"/>
      <c r="S916" s="2227"/>
      <c r="T916" s="2228"/>
      <c r="U916" s="2225"/>
      <c r="V916" s="2226"/>
      <c r="W916" s="2224"/>
      <c r="X916" s="2225"/>
      <c r="Y916" s="2227"/>
      <c r="Z916" s="2228"/>
      <c r="AA916" s="2225"/>
      <c r="AB916" s="2226"/>
      <c r="AC916" s="2224"/>
      <c r="AD916" s="2225"/>
      <c r="AE916" s="2227"/>
      <c r="AF916" s="2231"/>
      <c r="AG916" s="2206"/>
      <c r="AH916" s="2225"/>
      <c r="AI916" s="2225"/>
      <c r="AJ916" s="2226"/>
      <c r="AK916" s="2225"/>
      <c r="AL916" s="2225"/>
      <c r="AM916" s="2226"/>
      <c r="AN916" s="2225"/>
      <c r="AO916" s="2225"/>
      <c r="AP916" s="2226"/>
      <c r="AQ916" s="2225"/>
      <c r="AR916" s="2225"/>
      <c r="AS916" s="2226"/>
      <c r="AT916" s="2225"/>
      <c r="AU916" s="2225"/>
      <c r="AV916" s="2226"/>
      <c r="AW916" s="2225"/>
      <c r="AX916" s="2225"/>
      <c r="AY916" s="2226"/>
      <c r="AZ916" s="2225"/>
      <c r="BA916" s="2225"/>
      <c r="BB916" s="2226"/>
      <c r="BC916" s="2225"/>
      <c r="BD916" s="2225"/>
      <c r="BE916" s="2226"/>
      <c r="BF916" s="2225"/>
      <c r="BG916" s="2225"/>
      <c r="BH916" s="2226"/>
      <c r="BI916" s="2225"/>
      <c r="BJ916" s="2225"/>
      <c r="BK916" s="2226"/>
      <c r="BL916" s="2225"/>
      <c r="BM916" s="2225"/>
      <c r="BN916" s="2226"/>
      <c r="BO916" s="2225"/>
      <c r="BP916" s="2225"/>
      <c r="BQ916" s="2226"/>
    </row>
    <row r="917" spans="3:69" s="2159" customFormat="1" ht="12" hidden="1" customHeight="1">
      <c r="C917" s="2147" t="s">
        <v>3120</v>
      </c>
      <c r="D917" s="2148" t="s">
        <v>2080</v>
      </c>
      <c r="E917" s="2149"/>
      <c r="F917" s="2150"/>
      <c r="G917" s="2151"/>
      <c r="H917" s="2151"/>
      <c r="I917" s="2152"/>
      <c r="J917" s="2150"/>
      <c r="K917" s="2151"/>
      <c r="L917" s="2151"/>
      <c r="M917" s="2152"/>
      <c r="N917" s="2151"/>
      <c r="O917" s="2151"/>
      <c r="P917" s="2152"/>
      <c r="Q917" s="2150"/>
      <c r="R917" s="2151"/>
      <c r="S917" s="2153"/>
      <c r="T917" s="2154"/>
      <c r="U917" s="2151"/>
      <c r="V917" s="2152"/>
      <c r="W917" s="2150"/>
      <c r="X917" s="2151"/>
      <c r="Y917" s="2153"/>
      <c r="Z917" s="2154"/>
      <c r="AA917" s="2151"/>
      <c r="AB917" s="2152"/>
      <c r="AC917" s="2150"/>
      <c r="AD917" s="2151"/>
      <c r="AE917" s="2153"/>
      <c r="AF917" s="2157"/>
      <c r="AG917" s="2158"/>
      <c r="AH917" s="2151"/>
      <c r="AI917" s="2151"/>
      <c r="AJ917" s="2152"/>
      <c r="AK917" s="2151"/>
      <c r="AL917" s="2151"/>
      <c r="AM917" s="2152"/>
      <c r="AN917" s="2151"/>
      <c r="AO917" s="2151"/>
      <c r="AP917" s="2152"/>
      <c r="AQ917" s="2151"/>
      <c r="AR917" s="2151"/>
      <c r="AS917" s="2152"/>
      <c r="AT917" s="2151"/>
      <c r="AU917" s="2151"/>
      <c r="AV917" s="2152"/>
      <c r="AW917" s="2151"/>
      <c r="AX917" s="2151"/>
      <c r="AY917" s="2152"/>
      <c r="AZ917" s="2151"/>
      <c r="BA917" s="2151"/>
      <c r="BB917" s="2152"/>
      <c r="BC917" s="2151"/>
      <c r="BD917" s="2151"/>
      <c r="BE917" s="2152"/>
      <c r="BF917" s="2151"/>
      <c r="BG917" s="2151"/>
      <c r="BH917" s="2152"/>
      <c r="BI917" s="2151"/>
      <c r="BJ917" s="2151"/>
      <c r="BK917" s="2152"/>
      <c r="BL917" s="2151"/>
      <c r="BM917" s="2151"/>
      <c r="BN917" s="2152"/>
      <c r="BO917" s="2151"/>
      <c r="BP917" s="2151"/>
      <c r="BQ917" s="2152"/>
    </row>
    <row r="918" spans="3:69" s="2159" customFormat="1" ht="12" hidden="1" customHeight="1">
      <c r="C918" s="2256" t="s">
        <v>3121</v>
      </c>
      <c r="D918" s="2161" t="s">
        <v>3122</v>
      </c>
      <c r="E918" s="2120" t="s">
        <v>3123</v>
      </c>
      <c r="F918" s="2162"/>
      <c r="G918" s="2163">
        <f>G925+G974+G1023</f>
        <v>0</v>
      </c>
      <c r="H918" s="2163">
        <f>H925+H974+H1023</f>
        <v>0</v>
      </c>
      <c r="I918" s="2164">
        <f t="shared" ref="I918:I981" si="1925">H918-G918</f>
        <v>0</v>
      </c>
      <c r="J918" s="2162"/>
      <c r="K918" s="2163">
        <f>N918+Q918+W918+AC918</f>
        <v>0</v>
      </c>
      <c r="L918" s="2163">
        <f>O918+R918+X918+AD918</f>
        <v>0</v>
      </c>
      <c r="M918" s="2164">
        <f t="shared" ref="M918:M981" si="1926">L918-K918</f>
        <v>0</v>
      </c>
      <c r="N918" s="2163">
        <f>N925+N974+N1023</f>
        <v>0</v>
      </c>
      <c r="O918" s="2163">
        <f>O925+O974+O1023</f>
        <v>0</v>
      </c>
      <c r="P918" s="2164">
        <f t="shared" ref="P918:P981" si="1927">O918-N918</f>
        <v>0</v>
      </c>
      <c r="Q918" s="2163">
        <f>Q925+Q974+Q1023</f>
        <v>0</v>
      </c>
      <c r="R918" s="2163">
        <f>R925+R974+R1023</f>
        <v>0</v>
      </c>
      <c r="S918" s="2164">
        <f t="shared" ref="S918:S981" si="1928">R918-Q918</f>
        <v>0</v>
      </c>
      <c r="T918" s="2167">
        <f t="shared" ref="T918:U931" si="1929">N918+Q918</f>
        <v>0</v>
      </c>
      <c r="U918" s="2163">
        <f t="shared" si="1929"/>
        <v>0</v>
      </c>
      <c r="V918" s="2164">
        <f t="shared" ref="V918:V981" si="1930">U918-T918</f>
        <v>0</v>
      </c>
      <c r="W918" s="2163">
        <f>W925+W974+W1023</f>
        <v>0</v>
      </c>
      <c r="X918" s="2163">
        <f>X925+X974+X1023</f>
        <v>0</v>
      </c>
      <c r="Y918" s="2164">
        <f t="shared" ref="Y918:Y981" si="1931">X918-W918</f>
        <v>0</v>
      </c>
      <c r="Z918" s="2167">
        <f t="shared" ref="Z918:AA931" si="1932">T918+W918</f>
        <v>0</v>
      </c>
      <c r="AA918" s="2163">
        <f t="shared" si="1932"/>
        <v>0</v>
      </c>
      <c r="AB918" s="2164">
        <f t="shared" ref="AB918:AB981" si="1933">AA918-Z918</f>
        <v>0</v>
      </c>
      <c r="AC918" s="2163">
        <f>AC925+AC974+AC1023</f>
        <v>0</v>
      </c>
      <c r="AD918" s="2163">
        <f>AD925+AD974+AD1023</f>
        <v>0</v>
      </c>
      <c r="AE918" s="2164">
        <f t="shared" ref="AE918:AE981" si="1934">AD918-AC918</f>
        <v>0</v>
      </c>
      <c r="AF918" s="2204"/>
      <c r="AG918" s="2158"/>
      <c r="AH918" s="2171">
        <f>AH925+AH974+AH1023</f>
        <v>0</v>
      </c>
      <c r="AI918" s="2171">
        <f>AI925+AI974+AI1023</f>
        <v>0</v>
      </c>
      <c r="AJ918" s="2172">
        <f t="shared" ref="AJ918:AJ981" si="1935">AI918-AH918</f>
        <v>0</v>
      </c>
      <c r="AK918" s="2171">
        <f>AK925+AK974+AK1023</f>
        <v>0</v>
      </c>
      <c r="AL918" s="2171">
        <f>AL925+AL974+AL1023</f>
        <v>0</v>
      </c>
      <c r="AM918" s="2172">
        <f t="shared" ref="AM918:AM981" si="1936">AL918-AK918</f>
        <v>0</v>
      </c>
      <c r="AN918" s="2171">
        <f>AN925+AN974+AN1023</f>
        <v>0</v>
      </c>
      <c r="AO918" s="2171">
        <f>AO925+AO974+AO1023</f>
        <v>0</v>
      </c>
      <c r="AP918" s="2172">
        <f t="shared" ref="AP918:AP981" si="1937">AO918-AN918</f>
        <v>0</v>
      </c>
      <c r="AQ918" s="2171">
        <f>AQ925+AQ974+AQ1023</f>
        <v>0</v>
      </c>
      <c r="AR918" s="2171">
        <f>AR925+AR974+AR1023</f>
        <v>0</v>
      </c>
      <c r="AS918" s="2172">
        <f t="shared" ref="AS918:AS981" si="1938">AR918-AQ918</f>
        <v>0</v>
      </c>
      <c r="AT918" s="2171">
        <f>AT925+AT974+AT1023</f>
        <v>0</v>
      </c>
      <c r="AU918" s="2171">
        <f>AU925+AU974+AU1023</f>
        <v>0</v>
      </c>
      <c r="AV918" s="2172">
        <f t="shared" ref="AV918:AV981" si="1939">AU918-AT918</f>
        <v>0</v>
      </c>
      <c r="AW918" s="2171">
        <f>AW925+AW974+AW1023</f>
        <v>0</v>
      </c>
      <c r="AX918" s="2171">
        <f>AX925+AX974+AX1023</f>
        <v>0</v>
      </c>
      <c r="AY918" s="2172">
        <f t="shared" ref="AY918:AY981" si="1940">AX918-AW918</f>
        <v>0</v>
      </c>
      <c r="AZ918" s="2171">
        <f>AZ925+AZ974+AZ1023</f>
        <v>0</v>
      </c>
      <c r="BA918" s="2171">
        <f>BA925+BA974+BA1023</f>
        <v>0</v>
      </c>
      <c r="BB918" s="2172">
        <f t="shared" ref="BB918:BB981" si="1941">BA918-AZ918</f>
        <v>0</v>
      </c>
      <c r="BC918" s="2171">
        <f>BC925+BC974+BC1023</f>
        <v>0</v>
      </c>
      <c r="BD918" s="2171">
        <f>BD925+BD974+BD1023</f>
        <v>0</v>
      </c>
      <c r="BE918" s="2172">
        <f t="shared" ref="BE918:BE981" si="1942">BD918-BC918</f>
        <v>0</v>
      </c>
      <c r="BF918" s="2171">
        <f>BF925+BF974+BF1023</f>
        <v>0</v>
      </c>
      <c r="BG918" s="2171">
        <f>BG925+BG974+BG1023</f>
        <v>0</v>
      </c>
      <c r="BH918" s="2172">
        <f t="shared" ref="BH918:BH981" si="1943">BG918-BF918</f>
        <v>0</v>
      </c>
      <c r="BI918" s="2171">
        <f>BI925+BI974+BI1023</f>
        <v>0</v>
      </c>
      <c r="BJ918" s="2171">
        <f>BJ925+BJ974+BJ1023</f>
        <v>0</v>
      </c>
      <c r="BK918" s="2172">
        <f t="shared" ref="BK918:BK981" si="1944">BJ918-BI918</f>
        <v>0</v>
      </c>
      <c r="BL918" s="2171">
        <f>BL925+BL974+BL1023</f>
        <v>0</v>
      </c>
      <c r="BM918" s="2171">
        <f>BM925+BM974+BM1023</f>
        <v>0</v>
      </c>
      <c r="BN918" s="2172">
        <f t="shared" ref="BN918:BN981" si="1945">BM918-BL918</f>
        <v>0</v>
      </c>
      <c r="BO918" s="2171">
        <f>BO925+BO974+BO1023</f>
        <v>0</v>
      </c>
      <c r="BP918" s="2171">
        <f>BP925+BP974+BP1023</f>
        <v>0</v>
      </c>
      <c r="BQ918" s="2172">
        <f t="shared" ref="BQ918:BQ981" si="1946">BP918-BO918</f>
        <v>0</v>
      </c>
    </row>
    <row r="919" spans="3:69" s="2087" customFormat="1" ht="12" hidden="1" customHeight="1">
      <c r="C919" s="2468" t="s">
        <v>3124</v>
      </c>
      <c r="D919" s="2418" t="s">
        <v>28</v>
      </c>
      <c r="E919" s="2290" t="s">
        <v>3046</v>
      </c>
      <c r="F919" s="2176"/>
      <c r="G919" s="2179">
        <f>G927+G935+G976+G984</f>
        <v>0</v>
      </c>
      <c r="H919" s="2179">
        <f t="shared" ref="G919:H924" si="1947">H927+H935+H976+H984</f>
        <v>0</v>
      </c>
      <c r="I919" s="2178">
        <f t="shared" si="1925"/>
        <v>0</v>
      </c>
      <c r="J919" s="2176"/>
      <c r="K919" s="2179">
        <f>N919+Q919+W919+AC919</f>
        <v>0</v>
      </c>
      <c r="L919" s="2179">
        <f t="shared" ref="L919:L1023" si="1948">O919+R919+X919+AD919</f>
        <v>0</v>
      </c>
      <c r="M919" s="2178">
        <f t="shared" si="1926"/>
        <v>0</v>
      </c>
      <c r="N919" s="2179">
        <f t="shared" ref="N919:O924" si="1949">N927+N935+N976+N984</f>
        <v>0</v>
      </c>
      <c r="O919" s="2179">
        <f t="shared" si="1949"/>
        <v>0</v>
      </c>
      <c r="P919" s="2178">
        <f t="shared" si="1927"/>
        <v>0</v>
      </c>
      <c r="Q919" s="2184">
        <f t="shared" ref="Q919:R924" si="1950">Q927+Q935+Q976+Q984</f>
        <v>0</v>
      </c>
      <c r="R919" s="2179">
        <f t="shared" si="1950"/>
        <v>0</v>
      </c>
      <c r="S919" s="2178">
        <f t="shared" si="1928"/>
        <v>0</v>
      </c>
      <c r="T919" s="2181">
        <f t="shared" si="1929"/>
        <v>0</v>
      </c>
      <c r="U919" s="2179">
        <f t="shared" si="1929"/>
        <v>0</v>
      </c>
      <c r="V919" s="2178">
        <f t="shared" si="1930"/>
        <v>0</v>
      </c>
      <c r="W919" s="2184">
        <f t="shared" ref="W919:X924" si="1951">W927+W935+W976+W984</f>
        <v>0</v>
      </c>
      <c r="X919" s="2179">
        <f t="shared" si="1951"/>
        <v>0</v>
      </c>
      <c r="Y919" s="2178">
        <f t="shared" si="1931"/>
        <v>0</v>
      </c>
      <c r="Z919" s="2181">
        <f t="shared" si="1932"/>
        <v>0</v>
      </c>
      <c r="AA919" s="2179">
        <f t="shared" si="1932"/>
        <v>0</v>
      </c>
      <c r="AB919" s="2178">
        <f t="shared" si="1933"/>
        <v>0</v>
      </c>
      <c r="AC919" s="2184">
        <f t="shared" ref="AC919:AD924" si="1952">AC927+AC935+AC976+AC984</f>
        <v>0</v>
      </c>
      <c r="AD919" s="2179">
        <f t="shared" si="1952"/>
        <v>0</v>
      </c>
      <c r="AE919" s="2178">
        <f t="shared" si="1934"/>
        <v>0</v>
      </c>
      <c r="AF919" s="2204"/>
      <c r="AG919" s="2114"/>
      <c r="AH919" s="2188">
        <f t="shared" ref="AH919:AI924" si="1953">AH927+AH935+AH976+AH984</f>
        <v>0</v>
      </c>
      <c r="AI919" s="2188">
        <f t="shared" si="1953"/>
        <v>0</v>
      </c>
      <c r="AJ919" s="2186">
        <f t="shared" si="1935"/>
        <v>0</v>
      </c>
      <c r="AK919" s="2188">
        <f t="shared" ref="AK919:AL924" si="1954">AK927+AK935+AK976+AK984</f>
        <v>0</v>
      </c>
      <c r="AL919" s="2188">
        <f t="shared" si="1954"/>
        <v>0</v>
      </c>
      <c r="AM919" s="2186">
        <f t="shared" si="1936"/>
        <v>0</v>
      </c>
      <c r="AN919" s="2188">
        <f t="shared" ref="AN919:AO924" si="1955">AN927+AN935+AN976+AN984</f>
        <v>0</v>
      </c>
      <c r="AO919" s="2188">
        <f t="shared" si="1955"/>
        <v>0</v>
      </c>
      <c r="AP919" s="2186">
        <f t="shared" si="1937"/>
        <v>0</v>
      </c>
      <c r="AQ919" s="2188">
        <f t="shared" ref="AQ919:AR924" si="1956">AQ927+AQ935+AQ976+AQ984</f>
        <v>0</v>
      </c>
      <c r="AR919" s="2188">
        <f t="shared" si="1956"/>
        <v>0</v>
      </c>
      <c r="AS919" s="2186">
        <f t="shared" si="1938"/>
        <v>0</v>
      </c>
      <c r="AT919" s="2188">
        <f t="shared" ref="AT919:AU924" si="1957">AT927+AT935+AT976+AT984</f>
        <v>0</v>
      </c>
      <c r="AU919" s="2188">
        <f t="shared" si="1957"/>
        <v>0</v>
      </c>
      <c r="AV919" s="2186">
        <f t="shared" si="1939"/>
        <v>0</v>
      </c>
      <c r="AW919" s="2188">
        <f t="shared" ref="AW919:AX924" si="1958">AW927+AW935+AW976+AW984</f>
        <v>0</v>
      </c>
      <c r="AX919" s="2188">
        <f t="shared" si="1958"/>
        <v>0</v>
      </c>
      <c r="AY919" s="2186">
        <f t="shared" si="1940"/>
        <v>0</v>
      </c>
      <c r="AZ919" s="2188">
        <f t="shared" ref="AZ919:BA924" si="1959">AZ927+AZ935+AZ976+AZ984</f>
        <v>0</v>
      </c>
      <c r="BA919" s="2188">
        <f t="shared" si="1959"/>
        <v>0</v>
      </c>
      <c r="BB919" s="2186">
        <f t="shared" si="1941"/>
        <v>0</v>
      </c>
      <c r="BC919" s="2188">
        <f t="shared" ref="BC919:BD924" si="1960">BC927+BC935+BC976+BC984</f>
        <v>0</v>
      </c>
      <c r="BD919" s="2188">
        <f t="shared" si="1960"/>
        <v>0</v>
      </c>
      <c r="BE919" s="2186">
        <f t="shared" si="1942"/>
        <v>0</v>
      </c>
      <c r="BF919" s="2188">
        <f t="shared" ref="BF919:BG924" si="1961">BF927+BF935+BF976+BF984</f>
        <v>0</v>
      </c>
      <c r="BG919" s="2188">
        <f t="shared" si="1961"/>
        <v>0</v>
      </c>
      <c r="BH919" s="2186">
        <f t="shared" si="1943"/>
        <v>0</v>
      </c>
      <c r="BI919" s="2188">
        <f t="shared" ref="BI919:BJ924" si="1962">BI927+BI935+BI976+BI984</f>
        <v>0</v>
      </c>
      <c r="BJ919" s="2188">
        <f t="shared" si="1962"/>
        <v>0</v>
      </c>
      <c r="BK919" s="2186">
        <f t="shared" si="1944"/>
        <v>0</v>
      </c>
      <c r="BL919" s="2188">
        <f t="shared" ref="BL919:BM924" si="1963">BL927+BL935+BL976+BL984</f>
        <v>0</v>
      </c>
      <c r="BM919" s="2188">
        <f t="shared" si="1963"/>
        <v>0</v>
      </c>
      <c r="BN919" s="2186">
        <f t="shared" si="1945"/>
        <v>0</v>
      </c>
      <c r="BO919" s="2188">
        <f t="shared" ref="BO919:BP924" si="1964">BO927+BO935+BO976+BO984</f>
        <v>0</v>
      </c>
      <c r="BP919" s="2188">
        <f t="shared" si="1964"/>
        <v>0</v>
      </c>
      <c r="BQ919" s="2186">
        <f t="shared" si="1946"/>
        <v>0</v>
      </c>
    </row>
    <row r="920" spans="3:69" s="2087" customFormat="1" ht="12" hidden="1" customHeight="1">
      <c r="C920" s="2468" t="s">
        <v>3125</v>
      </c>
      <c r="D920" s="2421" t="s">
        <v>2434</v>
      </c>
      <c r="E920" s="2290" t="s">
        <v>3046</v>
      </c>
      <c r="F920" s="2176"/>
      <c r="G920" s="2179">
        <f>G928+G936+G977+G985</f>
        <v>0</v>
      </c>
      <c r="H920" s="2179">
        <f t="shared" si="1947"/>
        <v>0</v>
      </c>
      <c r="I920" s="2178">
        <f t="shared" si="1925"/>
        <v>0</v>
      </c>
      <c r="J920" s="2176"/>
      <c r="K920" s="2179">
        <f>N920+Q920+W920+AC920</f>
        <v>0</v>
      </c>
      <c r="L920" s="2179">
        <f>O920+R920+X920+AD920</f>
        <v>0</v>
      </c>
      <c r="M920" s="2178">
        <f t="shared" si="1926"/>
        <v>0</v>
      </c>
      <c r="N920" s="2179">
        <f t="shared" si="1949"/>
        <v>0</v>
      </c>
      <c r="O920" s="2179">
        <f t="shared" si="1949"/>
        <v>0</v>
      </c>
      <c r="P920" s="2178">
        <f t="shared" si="1927"/>
        <v>0</v>
      </c>
      <c r="Q920" s="2179">
        <f t="shared" si="1950"/>
        <v>0</v>
      </c>
      <c r="R920" s="2179">
        <f t="shared" si="1950"/>
        <v>0</v>
      </c>
      <c r="S920" s="2178">
        <f t="shared" si="1928"/>
        <v>0</v>
      </c>
      <c r="T920" s="2181">
        <f>N920+Q920</f>
        <v>0</v>
      </c>
      <c r="U920" s="2179">
        <f>O920+R920</f>
        <v>0</v>
      </c>
      <c r="V920" s="2178">
        <f t="shared" si="1930"/>
        <v>0</v>
      </c>
      <c r="W920" s="2179">
        <f t="shared" si="1951"/>
        <v>0</v>
      </c>
      <c r="X920" s="2179">
        <f t="shared" si="1951"/>
        <v>0</v>
      </c>
      <c r="Y920" s="2178">
        <f t="shared" si="1931"/>
        <v>0</v>
      </c>
      <c r="Z920" s="2181">
        <f>T920+W920</f>
        <v>0</v>
      </c>
      <c r="AA920" s="2179">
        <f>U920+X920</f>
        <v>0</v>
      </c>
      <c r="AB920" s="2178">
        <f t="shared" si="1933"/>
        <v>0</v>
      </c>
      <c r="AC920" s="2179">
        <f t="shared" si="1952"/>
        <v>0</v>
      </c>
      <c r="AD920" s="2179">
        <f t="shared" si="1952"/>
        <v>0</v>
      </c>
      <c r="AE920" s="2178">
        <f t="shared" si="1934"/>
        <v>0</v>
      </c>
      <c r="AF920" s="2204"/>
      <c r="AG920" s="2114"/>
      <c r="AH920" s="2188">
        <f t="shared" si="1953"/>
        <v>0</v>
      </c>
      <c r="AI920" s="2188">
        <f t="shared" si="1953"/>
        <v>0</v>
      </c>
      <c r="AJ920" s="2186">
        <f t="shared" si="1935"/>
        <v>0</v>
      </c>
      <c r="AK920" s="2188">
        <f t="shared" si="1954"/>
        <v>0</v>
      </c>
      <c r="AL920" s="2188">
        <f t="shared" si="1954"/>
        <v>0</v>
      </c>
      <c r="AM920" s="2186">
        <f t="shared" si="1936"/>
        <v>0</v>
      </c>
      <c r="AN920" s="2188">
        <f t="shared" si="1955"/>
        <v>0</v>
      </c>
      <c r="AO920" s="2188">
        <f t="shared" si="1955"/>
        <v>0</v>
      </c>
      <c r="AP920" s="2186">
        <f t="shared" si="1937"/>
        <v>0</v>
      </c>
      <c r="AQ920" s="2188">
        <f t="shared" si="1956"/>
        <v>0</v>
      </c>
      <c r="AR920" s="2188">
        <f t="shared" si="1956"/>
        <v>0</v>
      </c>
      <c r="AS920" s="2186">
        <f t="shared" si="1938"/>
        <v>0</v>
      </c>
      <c r="AT920" s="2188">
        <f t="shared" si="1957"/>
        <v>0</v>
      </c>
      <c r="AU920" s="2188">
        <f t="shared" si="1957"/>
        <v>0</v>
      </c>
      <c r="AV920" s="2186">
        <f t="shared" si="1939"/>
        <v>0</v>
      </c>
      <c r="AW920" s="2188">
        <f t="shared" si="1958"/>
        <v>0</v>
      </c>
      <c r="AX920" s="2188">
        <f t="shared" si="1958"/>
        <v>0</v>
      </c>
      <c r="AY920" s="2186">
        <f t="shared" si="1940"/>
        <v>0</v>
      </c>
      <c r="AZ920" s="2188">
        <f t="shared" si="1959"/>
        <v>0</v>
      </c>
      <c r="BA920" s="2188">
        <f t="shared" si="1959"/>
        <v>0</v>
      </c>
      <c r="BB920" s="2186">
        <f t="shared" si="1941"/>
        <v>0</v>
      </c>
      <c r="BC920" s="2188">
        <f t="shared" si="1960"/>
        <v>0</v>
      </c>
      <c r="BD920" s="2188">
        <f t="shared" si="1960"/>
        <v>0</v>
      </c>
      <c r="BE920" s="2186">
        <f t="shared" si="1942"/>
        <v>0</v>
      </c>
      <c r="BF920" s="2188">
        <f t="shared" si="1961"/>
        <v>0</v>
      </c>
      <c r="BG920" s="2188">
        <f t="shared" si="1961"/>
        <v>0</v>
      </c>
      <c r="BH920" s="2186">
        <f t="shared" si="1943"/>
        <v>0</v>
      </c>
      <c r="BI920" s="2188">
        <f t="shared" si="1962"/>
        <v>0</v>
      </c>
      <c r="BJ920" s="2188">
        <f t="shared" si="1962"/>
        <v>0</v>
      </c>
      <c r="BK920" s="2186">
        <f t="shared" si="1944"/>
        <v>0</v>
      </c>
      <c r="BL920" s="2188">
        <f t="shared" si="1963"/>
        <v>0</v>
      </c>
      <c r="BM920" s="2188">
        <f t="shared" si="1963"/>
        <v>0</v>
      </c>
      <c r="BN920" s="2186">
        <f t="shared" si="1945"/>
        <v>0</v>
      </c>
      <c r="BO920" s="2188">
        <f t="shared" si="1964"/>
        <v>0</v>
      </c>
      <c r="BP920" s="2188">
        <f t="shared" si="1964"/>
        <v>0</v>
      </c>
      <c r="BQ920" s="2186">
        <f t="shared" si="1946"/>
        <v>0</v>
      </c>
    </row>
    <row r="921" spans="3:69" s="2087" customFormat="1" ht="12" hidden="1" customHeight="1">
      <c r="C921" s="2468" t="s">
        <v>3126</v>
      </c>
      <c r="D921" s="2418" t="s">
        <v>2872</v>
      </c>
      <c r="E921" s="2290" t="s">
        <v>3046</v>
      </c>
      <c r="F921" s="2176"/>
      <c r="G921" s="2179">
        <f t="shared" si="1947"/>
        <v>0</v>
      </c>
      <c r="H921" s="2179">
        <f t="shared" si="1947"/>
        <v>0</v>
      </c>
      <c r="I921" s="2178">
        <f t="shared" si="1925"/>
        <v>0</v>
      </c>
      <c r="J921" s="2176"/>
      <c r="K921" s="2179">
        <f t="shared" ref="K921:K1023" si="1965">N921+Q921+W921+AC921</f>
        <v>0</v>
      </c>
      <c r="L921" s="2179">
        <f t="shared" si="1948"/>
        <v>0</v>
      </c>
      <c r="M921" s="2178">
        <f t="shared" si="1926"/>
        <v>0</v>
      </c>
      <c r="N921" s="2179">
        <f t="shared" si="1949"/>
        <v>0</v>
      </c>
      <c r="O921" s="2179">
        <f t="shared" si="1949"/>
        <v>0</v>
      </c>
      <c r="P921" s="2178">
        <f t="shared" si="1927"/>
        <v>0</v>
      </c>
      <c r="Q921" s="2184">
        <f t="shared" si="1950"/>
        <v>0</v>
      </c>
      <c r="R921" s="2179">
        <f t="shared" si="1950"/>
        <v>0</v>
      </c>
      <c r="S921" s="2178">
        <f t="shared" si="1928"/>
        <v>0</v>
      </c>
      <c r="T921" s="2181">
        <f t="shared" si="1929"/>
        <v>0</v>
      </c>
      <c r="U921" s="2179">
        <f t="shared" si="1929"/>
        <v>0</v>
      </c>
      <c r="V921" s="2178">
        <f t="shared" si="1930"/>
        <v>0</v>
      </c>
      <c r="W921" s="2184">
        <f t="shared" si="1951"/>
        <v>0</v>
      </c>
      <c r="X921" s="2179">
        <f t="shared" si="1951"/>
        <v>0</v>
      </c>
      <c r="Y921" s="2178">
        <f t="shared" si="1931"/>
        <v>0</v>
      </c>
      <c r="Z921" s="2181">
        <f t="shared" si="1932"/>
        <v>0</v>
      </c>
      <c r="AA921" s="2179">
        <f t="shared" si="1932"/>
        <v>0</v>
      </c>
      <c r="AB921" s="2178">
        <f t="shared" si="1933"/>
        <v>0</v>
      </c>
      <c r="AC921" s="2184">
        <f t="shared" si="1952"/>
        <v>0</v>
      </c>
      <c r="AD921" s="2179">
        <f t="shared" si="1952"/>
        <v>0</v>
      </c>
      <c r="AE921" s="2178">
        <f t="shared" si="1934"/>
        <v>0</v>
      </c>
      <c r="AF921" s="2204"/>
      <c r="AG921" s="2114"/>
      <c r="AH921" s="2188">
        <f t="shared" si="1953"/>
        <v>0</v>
      </c>
      <c r="AI921" s="2188">
        <f t="shared" si="1953"/>
        <v>0</v>
      </c>
      <c r="AJ921" s="2186">
        <f t="shared" si="1935"/>
        <v>0</v>
      </c>
      <c r="AK921" s="2188">
        <f t="shared" si="1954"/>
        <v>0</v>
      </c>
      <c r="AL921" s="2188">
        <f t="shared" si="1954"/>
        <v>0</v>
      </c>
      <c r="AM921" s="2186">
        <f t="shared" si="1936"/>
        <v>0</v>
      </c>
      <c r="AN921" s="2188">
        <f t="shared" si="1955"/>
        <v>0</v>
      </c>
      <c r="AO921" s="2188">
        <f t="shared" si="1955"/>
        <v>0</v>
      </c>
      <c r="AP921" s="2186">
        <f t="shared" si="1937"/>
        <v>0</v>
      </c>
      <c r="AQ921" s="2188">
        <f t="shared" si="1956"/>
        <v>0</v>
      </c>
      <c r="AR921" s="2188">
        <f t="shared" si="1956"/>
        <v>0</v>
      </c>
      <c r="AS921" s="2186">
        <f t="shared" si="1938"/>
        <v>0</v>
      </c>
      <c r="AT921" s="2188">
        <f t="shared" si="1957"/>
        <v>0</v>
      </c>
      <c r="AU921" s="2188">
        <f t="shared" si="1957"/>
        <v>0</v>
      </c>
      <c r="AV921" s="2186">
        <f t="shared" si="1939"/>
        <v>0</v>
      </c>
      <c r="AW921" s="2188">
        <f t="shared" si="1958"/>
        <v>0</v>
      </c>
      <c r="AX921" s="2188">
        <f t="shared" si="1958"/>
        <v>0</v>
      </c>
      <c r="AY921" s="2186">
        <f t="shared" si="1940"/>
        <v>0</v>
      </c>
      <c r="AZ921" s="2188">
        <f t="shared" si="1959"/>
        <v>0</v>
      </c>
      <c r="BA921" s="2188">
        <f t="shared" si="1959"/>
        <v>0</v>
      </c>
      <c r="BB921" s="2186">
        <f t="shared" si="1941"/>
        <v>0</v>
      </c>
      <c r="BC921" s="2188">
        <f t="shared" si="1960"/>
        <v>0</v>
      </c>
      <c r="BD921" s="2188">
        <f t="shared" si="1960"/>
        <v>0</v>
      </c>
      <c r="BE921" s="2186">
        <f t="shared" si="1942"/>
        <v>0</v>
      </c>
      <c r="BF921" s="2188">
        <f t="shared" si="1961"/>
        <v>0</v>
      </c>
      <c r="BG921" s="2188">
        <f t="shared" si="1961"/>
        <v>0</v>
      </c>
      <c r="BH921" s="2186">
        <f t="shared" si="1943"/>
        <v>0</v>
      </c>
      <c r="BI921" s="2188">
        <f t="shared" si="1962"/>
        <v>0</v>
      </c>
      <c r="BJ921" s="2188">
        <f t="shared" si="1962"/>
        <v>0</v>
      </c>
      <c r="BK921" s="2186">
        <f t="shared" si="1944"/>
        <v>0</v>
      </c>
      <c r="BL921" s="2188">
        <f t="shared" si="1963"/>
        <v>0</v>
      </c>
      <c r="BM921" s="2188">
        <f t="shared" si="1963"/>
        <v>0</v>
      </c>
      <c r="BN921" s="2186">
        <f t="shared" si="1945"/>
        <v>0</v>
      </c>
      <c r="BO921" s="2188">
        <f t="shared" si="1964"/>
        <v>0</v>
      </c>
      <c r="BP921" s="2188">
        <f t="shared" si="1964"/>
        <v>0</v>
      </c>
      <c r="BQ921" s="2186">
        <f t="shared" si="1946"/>
        <v>0</v>
      </c>
    </row>
    <row r="922" spans="3:69" s="2087" customFormat="1" ht="12" hidden="1" customHeight="1">
      <c r="C922" s="2468" t="s">
        <v>3127</v>
      </c>
      <c r="D922" s="2421" t="s">
        <v>2434</v>
      </c>
      <c r="E922" s="2290" t="s">
        <v>3046</v>
      </c>
      <c r="F922" s="2176"/>
      <c r="G922" s="2179">
        <f t="shared" si="1947"/>
        <v>0</v>
      </c>
      <c r="H922" s="2179">
        <f t="shared" si="1947"/>
        <v>0</v>
      </c>
      <c r="I922" s="2178">
        <f t="shared" si="1925"/>
        <v>0</v>
      </c>
      <c r="J922" s="2176"/>
      <c r="K922" s="2179">
        <f>N922+Q922+W922+AC922</f>
        <v>0</v>
      </c>
      <c r="L922" s="2179">
        <f>O922+R922+X922+AD922</f>
        <v>0</v>
      </c>
      <c r="M922" s="2178">
        <f t="shared" si="1926"/>
        <v>0</v>
      </c>
      <c r="N922" s="2179">
        <f t="shared" si="1949"/>
        <v>0</v>
      </c>
      <c r="O922" s="2179">
        <f t="shared" si="1949"/>
        <v>0</v>
      </c>
      <c r="P922" s="2178">
        <f t="shared" si="1927"/>
        <v>0</v>
      </c>
      <c r="Q922" s="2179">
        <f t="shared" si="1950"/>
        <v>0</v>
      </c>
      <c r="R922" s="2179">
        <f t="shared" si="1950"/>
        <v>0</v>
      </c>
      <c r="S922" s="2178">
        <f t="shared" si="1928"/>
        <v>0</v>
      </c>
      <c r="T922" s="2181">
        <f>N922+Q922</f>
        <v>0</v>
      </c>
      <c r="U922" s="2179">
        <f>O922+R922</f>
        <v>0</v>
      </c>
      <c r="V922" s="2178">
        <f t="shared" si="1930"/>
        <v>0</v>
      </c>
      <c r="W922" s="2179">
        <f t="shared" si="1951"/>
        <v>0</v>
      </c>
      <c r="X922" s="2179">
        <f t="shared" si="1951"/>
        <v>0</v>
      </c>
      <c r="Y922" s="2178">
        <f t="shared" si="1931"/>
        <v>0</v>
      </c>
      <c r="Z922" s="2181">
        <f>T922+W922</f>
        <v>0</v>
      </c>
      <c r="AA922" s="2179">
        <f>U922+X922</f>
        <v>0</v>
      </c>
      <c r="AB922" s="2178">
        <f t="shared" si="1933"/>
        <v>0</v>
      </c>
      <c r="AC922" s="2179">
        <f t="shared" si="1952"/>
        <v>0</v>
      </c>
      <c r="AD922" s="2179">
        <f t="shared" si="1952"/>
        <v>0</v>
      </c>
      <c r="AE922" s="2178">
        <f t="shared" si="1934"/>
        <v>0</v>
      </c>
      <c r="AF922" s="2204"/>
      <c r="AG922" s="2114"/>
      <c r="AH922" s="2188">
        <f t="shared" si="1953"/>
        <v>0</v>
      </c>
      <c r="AI922" s="2188">
        <f t="shared" si="1953"/>
        <v>0</v>
      </c>
      <c r="AJ922" s="2186">
        <f t="shared" si="1935"/>
        <v>0</v>
      </c>
      <c r="AK922" s="2188">
        <f t="shared" si="1954"/>
        <v>0</v>
      </c>
      <c r="AL922" s="2188">
        <f t="shared" si="1954"/>
        <v>0</v>
      </c>
      <c r="AM922" s="2186">
        <f t="shared" si="1936"/>
        <v>0</v>
      </c>
      <c r="AN922" s="2188">
        <f t="shared" si="1955"/>
        <v>0</v>
      </c>
      <c r="AO922" s="2188">
        <f t="shared" si="1955"/>
        <v>0</v>
      </c>
      <c r="AP922" s="2186">
        <f t="shared" si="1937"/>
        <v>0</v>
      </c>
      <c r="AQ922" s="2188">
        <f t="shared" si="1956"/>
        <v>0</v>
      </c>
      <c r="AR922" s="2188">
        <f t="shared" si="1956"/>
        <v>0</v>
      </c>
      <c r="AS922" s="2186">
        <f t="shared" si="1938"/>
        <v>0</v>
      </c>
      <c r="AT922" s="2188">
        <f t="shared" si="1957"/>
        <v>0</v>
      </c>
      <c r="AU922" s="2188">
        <f t="shared" si="1957"/>
        <v>0</v>
      </c>
      <c r="AV922" s="2186">
        <f t="shared" si="1939"/>
        <v>0</v>
      </c>
      <c r="AW922" s="2188">
        <f t="shared" si="1958"/>
        <v>0</v>
      </c>
      <c r="AX922" s="2188">
        <f t="shared" si="1958"/>
        <v>0</v>
      </c>
      <c r="AY922" s="2186">
        <f t="shared" si="1940"/>
        <v>0</v>
      </c>
      <c r="AZ922" s="2188">
        <f t="shared" si="1959"/>
        <v>0</v>
      </c>
      <c r="BA922" s="2188">
        <f t="shared" si="1959"/>
        <v>0</v>
      </c>
      <c r="BB922" s="2186">
        <f t="shared" si="1941"/>
        <v>0</v>
      </c>
      <c r="BC922" s="2188">
        <f t="shared" si="1960"/>
        <v>0</v>
      </c>
      <c r="BD922" s="2188">
        <f t="shared" si="1960"/>
        <v>0</v>
      </c>
      <c r="BE922" s="2186">
        <f t="shared" si="1942"/>
        <v>0</v>
      </c>
      <c r="BF922" s="2188">
        <f t="shared" si="1961"/>
        <v>0</v>
      </c>
      <c r="BG922" s="2188">
        <f t="shared" si="1961"/>
        <v>0</v>
      </c>
      <c r="BH922" s="2186">
        <f t="shared" si="1943"/>
        <v>0</v>
      </c>
      <c r="BI922" s="2188">
        <f t="shared" si="1962"/>
        <v>0</v>
      </c>
      <c r="BJ922" s="2188">
        <f t="shared" si="1962"/>
        <v>0</v>
      </c>
      <c r="BK922" s="2186">
        <f t="shared" si="1944"/>
        <v>0</v>
      </c>
      <c r="BL922" s="2188">
        <f t="shared" si="1963"/>
        <v>0</v>
      </c>
      <c r="BM922" s="2188">
        <f t="shared" si="1963"/>
        <v>0</v>
      </c>
      <c r="BN922" s="2186">
        <f t="shared" si="1945"/>
        <v>0</v>
      </c>
      <c r="BO922" s="2188">
        <f t="shared" si="1964"/>
        <v>0</v>
      </c>
      <c r="BP922" s="2188">
        <f t="shared" si="1964"/>
        <v>0</v>
      </c>
      <c r="BQ922" s="2186">
        <f t="shared" si="1946"/>
        <v>0</v>
      </c>
    </row>
    <row r="923" spans="3:69" s="2087" customFormat="1" ht="12" hidden="1" customHeight="1">
      <c r="C923" s="2468" t="s">
        <v>3128</v>
      </c>
      <c r="D923" s="2418" t="s">
        <v>42</v>
      </c>
      <c r="E923" s="2290" t="s">
        <v>3046</v>
      </c>
      <c r="F923" s="2176"/>
      <c r="G923" s="2179">
        <f>G931+G939+G980+G988</f>
        <v>0</v>
      </c>
      <c r="H923" s="2179">
        <f t="shared" si="1947"/>
        <v>0</v>
      </c>
      <c r="I923" s="2178">
        <f t="shared" si="1925"/>
        <v>0</v>
      </c>
      <c r="J923" s="2176"/>
      <c r="K923" s="2179">
        <f t="shared" si="1965"/>
        <v>0</v>
      </c>
      <c r="L923" s="2179">
        <f t="shared" si="1948"/>
        <v>0</v>
      </c>
      <c r="M923" s="2178">
        <f t="shared" si="1926"/>
        <v>0</v>
      </c>
      <c r="N923" s="2179">
        <f t="shared" si="1949"/>
        <v>0</v>
      </c>
      <c r="O923" s="2179">
        <f t="shared" si="1949"/>
        <v>0</v>
      </c>
      <c r="P923" s="2178">
        <f t="shared" si="1927"/>
        <v>0</v>
      </c>
      <c r="Q923" s="2184">
        <f t="shared" si="1950"/>
        <v>0</v>
      </c>
      <c r="R923" s="2179">
        <f t="shared" si="1950"/>
        <v>0</v>
      </c>
      <c r="S923" s="2178">
        <f t="shared" si="1928"/>
        <v>0</v>
      </c>
      <c r="T923" s="2181">
        <f t="shared" si="1929"/>
        <v>0</v>
      </c>
      <c r="U923" s="2179">
        <f t="shared" si="1929"/>
        <v>0</v>
      </c>
      <c r="V923" s="2178">
        <f t="shared" si="1930"/>
        <v>0</v>
      </c>
      <c r="W923" s="2184">
        <f t="shared" si="1951"/>
        <v>0</v>
      </c>
      <c r="X923" s="2179">
        <f t="shared" si="1951"/>
        <v>0</v>
      </c>
      <c r="Y923" s="2178">
        <f t="shared" si="1931"/>
        <v>0</v>
      </c>
      <c r="Z923" s="2181">
        <f t="shared" si="1932"/>
        <v>0</v>
      </c>
      <c r="AA923" s="2179">
        <f t="shared" si="1932"/>
        <v>0</v>
      </c>
      <c r="AB923" s="2178">
        <f t="shared" si="1933"/>
        <v>0</v>
      </c>
      <c r="AC923" s="2184">
        <f t="shared" si="1952"/>
        <v>0</v>
      </c>
      <c r="AD923" s="2179">
        <f t="shared" si="1952"/>
        <v>0</v>
      </c>
      <c r="AE923" s="2178">
        <f t="shared" si="1934"/>
        <v>0</v>
      </c>
      <c r="AF923" s="2204"/>
      <c r="AG923" s="2114"/>
      <c r="AH923" s="2188">
        <f t="shared" si="1953"/>
        <v>0</v>
      </c>
      <c r="AI923" s="2188">
        <f t="shared" si="1953"/>
        <v>0</v>
      </c>
      <c r="AJ923" s="2186">
        <f t="shared" si="1935"/>
        <v>0</v>
      </c>
      <c r="AK923" s="2188">
        <f t="shared" si="1954"/>
        <v>0</v>
      </c>
      <c r="AL923" s="2188">
        <f t="shared" si="1954"/>
        <v>0</v>
      </c>
      <c r="AM923" s="2186">
        <f t="shared" si="1936"/>
        <v>0</v>
      </c>
      <c r="AN923" s="2188">
        <f t="shared" si="1955"/>
        <v>0</v>
      </c>
      <c r="AO923" s="2188">
        <f t="shared" si="1955"/>
        <v>0</v>
      </c>
      <c r="AP923" s="2186">
        <f t="shared" si="1937"/>
        <v>0</v>
      </c>
      <c r="AQ923" s="2188">
        <f t="shared" si="1956"/>
        <v>0</v>
      </c>
      <c r="AR923" s="2188">
        <f t="shared" si="1956"/>
        <v>0</v>
      </c>
      <c r="AS923" s="2186">
        <f t="shared" si="1938"/>
        <v>0</v>
      </c>
      <c r="AT923" s="2188">
        <f t="shared" si="1957"/>
        <v>0</v>
      </c>
      <c r="AU923" s="2188">
        <f t="shared" si="1957"/>
        <v>0</v>
      </c>
      <c r="AV923" s="2186">
        <f t="shared" si="1939"/>
        <v>0</v>
      </c>
      <c r="AW923" s="2188">
        <f t="shared" si="1958"/>
        <v>0</v>
      </c>
      <c r="AX923" s="2188">
        <f t="shared" si="1958"/>
        <v>0</v>
      </c>
      <c r="AY923" s="2186">
        <f t="shared" si="1940"/>
        <v>0</v>
      </c>
      <c r="AZ923" s="2188">
        <f t="shared" si="1959"/>
        <v>0</v>
      </c>
      <c r="BA923" s="2188">
        <f t="shared" si="1959"/>
        <v>0</v>
      </c>
      <c r="BB923" s="2186">
        <f t="shared" si="1941"/>
        <v>0</v>
      </c>
      <c r="BC923" s="2188">
        <f t="shared" si="1960"/>
        <v>0</v>
      </c>
      <c r="BD923" s="2188">
        <f t="shared" si="1960"/>
        <v>0</v>
      </c>
      <c r="BE923" s="2186">
        <f t="shared" si="1942"/>
        <v>0</v>
      </c>
      <c r="BF923" s="2188">
        <f t="shared" si="1961"/>
        <v>0</v>
      </c>
      <c r="BG923" s="2188">
        <f t="shared" si="1961"/>
        <v>0</v>
      </c>
      <c r="BH923" s="2186">
        <f t="shared" si="1943"/>
        <v>0</v>
      </c>
      <c r="BI923" s="2188">
        <f t="shared" si="1962"/>
        <v>0</v>
      </c>
      <c r="BJ923" s="2188">
        <f t="shared" si="1962"/>
        <v>0</v>
      </c>
      <c r="BK923" s="2186">
        <f t="shared" si="1944"/>
        <v>0</v>
      </c>
      <c r="BL923" s="2188">
        <f t="shared" si="1963"/>
        <v>0</v>
      </c>
      <c r="BM923" s="2188">
        <f t="shared" si="1963"/>
        <v>0</v>
      </c>
      <c r="BN923" s="2186">
        <f t="shared" si="1945"/>
        <v>0</v>
      </c>
      <c r="BO923" s="2188">
        <f t="shared" si="1964"/>
        <v>0</v>
      </c>
      <c r="BP923" s="2188">
        <f t="shared" si="1964"/>
        <v>0</v>
      </c>
      <c r="BQ923" s="2186">
        <f t="shared" si="1946"/>
        <v>0</v>
      </c>
    </row>
    <row r="924" spans="3:69" s="2087" customFormat="1" ht="12" hidden="1" customHeight="1">
      <c r="C924" s="2468" t="s">
        <v>3129</v>
      </c>
      <c r="D924" s="2421" t="s">
        <v>2434</v>
      </c>
      <c r="E924" s="2290" t="s">
        <v>3046</v>
      </c>
      <c r="F924" s="2176"/>
      <c r="G924" s="2179">
        <f>G932+G940+G981+G989</f>
        <v>0</v>
      </c>
      <c r="H924" s="2179">
        <f t="shared" si="1947"/>
        <v>0</v>
      </c>
      <c r="I924" s="2178">
        <f t="shared" si="1925"/>
        <v>0</v>
      </c>
      <c r="J924" s="2176"/>
      <c r="K924" s="2179">
        <f>N924+Q924+W924+AC924</f>
        <v>0</v>
      </c>
      <c r="L924" s="2179">
        <f>O924+R924+X924+AD924</f>
        <v>0</v>
      </c>
      <c r="M924" s="2178">
        <f t="shared" si="1926"/>
        <v>0</v>
      </c>
      <c r="N924" s="2179">
        <f>N932+N940+N981+N989</f>
        <v>0</v>
      </c>
      <c r="O924" s="2179">
        <f t="shared" si="1949"/>
        <v>0</v>
      </c>
      <c r="P924" s="2178">
        <f t="shared" si="1927"/>
        <v>0</v>
      </c>
      <c r="Q924" s="2179">
        <f>Q932+Q940+Q981+Q989</f>
        <v>0</v>
      </c>
      <c r="R924" s="2179">
        <f t="shared" si="1950"/>
        <v>0</v>
      </c>
      <c r="S924" s="2178">
        <f t="shared" si="1928"/>
        <v>0</v>
      </c>
      <c r="T924" s="2181">
        <f>N924+Q924</f>
        <v>0</v>
      </c>
      <c r="U924" s="2179">
        <f>O924+R924</f>
        <v>0</v>
      </c>
      <c r="V924" s="2178">
        <f t="shared" si="1930"/>
        <v>0</v>
      </c>
      <c r="W924" s="2179">
        <f>W932+W940+W981+W989</f>
        <v>0</v>
      </c>
      <c r="X924" s="2179">
        <f t="shared" si="1951"/>
        <v>0</v>
      </c>
      <c r="Y924" s="2178">
        <f t="shared" si="1931"/>
        <v>0</v>
      </c>
      <c r="Z924" s="2181">
        <f>T924+W924</f>
        <v>0</v>
      </c>
      <c r="AA924" s="2179">
        <f>U924+X924</f>
        <v>0</v>
      </c>
      <c r="AB924" s="2178">
        <f t="shared" si="1933"/>
        <v>0</v>
      </c>
      <c r="AC924" s="2179">
        <f>AC932+AC940+AC981+AC989</f>
        <v>0</v>
      </c>
      <c r="AD924" s="2179">
        <f t="shared" si="1952"/>
        <v>0</v>
      </c>
      <c r="AE924" s="2178">
        <f t="shared" si="1934"/>
        <v>0</v>
      </c>
      <c r="AF924" s="2204"/>
      <c r="AG924" s="2114"/>
      <c r="AH924" s="2188">
        <f>AH932+AH940+AH981+AH989</f>
        <v>0</v>
      </c>
      <c r="AI924" s="2188">
        <f t="shared" si="1953"/>
        <v>0</v>
      </c>
      <c r="AJ924" s="2186">
        <f t="shared" si="1935"/>
        <v>0</v>
      </c>
      <c r="AK924" s="2188">
        <f>AK932+AK940+AK981+AK989</f>
        <v>0</v>
      </c>
      <c r="AL924" s="2188">
        <f t="shared" si="1954"/>
        <v>0</v>
      </c>
      <c r="AM924" s="2186">
        <f t="shared" si="1936"/>
        <v>0</v>
      </c>
      <c r="AN924" s="2188">
        <f>AN932+AN940+AN981+AN989</f>
        <v>0</v>
      </c>
      <c r="AO924" s="2188">
        <f t="shared" si="1955"/>
        <v>0</v>
      </c>
      <c r="AP924" s="2186">
        <f t="shared" si="1937"/>
        <v>0</v>
      </c>
      <c r="AQ924" s="2188">
        <f>AQ932+AQ940+AQ981+AQ989</f>
        <v>0</v>
      </c>
      <c r="AR924" s="2188">
        <f t="shared" si="1956"/>
        <v>0</v>
      </c>
      <c r="AS924" s="2186">
        <f t="shared" si="1938"/>
        <v>0</v>
      </c>
      <c r="AT924" s="2188">
        <f>AT932+AT940+AT981+AT989</f>
        <v>0</v>
      </c>
      <c r="AU924" s="2188">
        <f t="shared" si="1957"/>
        <v>0</v>
      </c>
      <c r="AV924" s="2186">
        <f t="shared" si="1939"/>
        <v>0</v>
      </c>
      <c r="AW924" s="2188">
        <f>AW932+AW940+AW981+AW989</f>
        <v>0</v>
      </c>
      <c r="AX924" s="2188">
        <f t="shared" si="1958"/>
        <v>0</v>
      </c>
      <c r="AY924" s="2186">
        <f t="shared" si="1940"/>
        <v>0</v>
      </c>
      <c r="AZ924" s="2188">
        <f>AZ932+AZ940+AZ981+AZ989</f>
        <v>0</v>
      </c>
      <c r="BA924" s="2188">
        <f t="shared" si="1959"/>
        <v>0</v>
      </c>
      <c r="BB924" s="2186">
        <f t="shared" si="1941"/>
        <v>0</v>
      </c>
      <c r="BC924" s="2188">
        <f>BC932+BC940+BC981+BC989</f>
        <v>0</v>
      </c>
      <c r="BD924" s="2188">
        <f t="shared" si="1960"/>
        <v>0</v>
      </c>
      <c r="BE924" s="2186">
        <f t="shared" si="1942"/>
        <v>0</v>
      </c>
      <c r="BF924" s="2188">
        <f>BF932+BF940+BF981+BF989</f>
        <v>0</v>
      </c>
      <c r="BG924" s="2188">
        <f t="shared" si="1961"/>
        <v>0</v>
      </c>
      <c r="BH924" s="2186">
        <f t="shared" si="1943"/>
        <v>0</v>
      </c>
      <c r="BI924" s="2188">
        <f>BI932+BI940+BI981+BI989</f>
        <v>0</v>
      </c>
      <c r="BJ924" s="2188">
        <f t="shared" si="1962"/>
        <v>0</v>
      </c>
      <c r="BK924" s="2186">
        <f t="shared" si="1944"/>
        <v>0</v>
      </c>
      <c r="BL924" s="2188">
        <f>BL932+BL940+BL981+BL989</f>
        <v>0</v>
      </c>
      <c r="BM924" s="2188">
        <f t="shared" si="1963"/>
        <v>0</v>
      </c>
      <c r="BN924" s="2186">
        <f t="shared" si="1945"/>
        <v>0</v>
      </c>
      <c r="BO924" s="2188">
        <f>BO932+BO940+BO981+BO989</f>
        <v>0</v>
      </c>
      <c r="BP924" s="2188">
        <f t="shared" si="1964"/>
        <v>0</v>
      </c>
      <c r="BQ924" s="2186">
        <f t="shared" si="1946"/>
        <v>0</v>
      </c>
    </row>
    <row r="925" spans="3:69" s="2159" customFormat="1" ht="12" hidden="1" customHeight="1">
      <c r="C925" s="2393" t="s">
        <v>3130</v>
      </c>
      <c r="D925" s="2469" t="s">
        <v>3131</v>
      </c>
      <c r="E925" s="2120" t="s">
        <v>3123</v>
      </c>
      <c r="F925" s="2162"/>
      <c r="G925" s="2163">
        <f>G926+G934</f>
        <v>0</v>
      </c>
      <c r="H925" s="2163">
        <f>H926+H934</f>
        <v>0</v>
      </c>
      <c r="I925" s="2164">
        <f t="shared" si="1925"/>
        <v>0</v>
      </c>
      <c r="J925" s="2162"/>
      <c r="K925" s="2163">
        <f t="shared" si="1965"/>
        <v>0</v>
      </c>
      <c r="L925" s="2163">
        <f t="shared" si="1948"/>
        <v>0</v>
      </c>
      <c r="M925" s="2164">
        <f t="shared" si="1926"/>
        <v>0</v>
      </c>
      <c r="N925" s="2163">
        <f>N926+N934</f>
        <v>0</v>
      </c>
      <c r="O925" s="2163">
        <f>O926+O934</f>
        <v>0</v>
      </c>
      <c r="P925" s="2164">
        <f t="shared" si="1927"/>
        <v>0</v>
      </c>
      <c r="Q925" s="2165">
        <f>Q926+Q934</f>
        <v>0</v>
      </c>
      <c r="R925" s="2163">
        <f>R926+R934</f>
        <v>0</v>
      </c>
      <c r="S925" s="2164">
        <f t="shared" si="1928"/>
        <v>0</v>
      </c>
      <c r="T925" s="2167">
        <f t="shared" si="1929"/>
        <v>0</v>
      </c>
      <c r="U925" s="2163">
        <f t="shared" si="1929"/>
        <v>0</v>
      </c>
      <c r="V925" s="2164">
        <f t="shared" si="1930"/>
        <v>0</v>
      </c>
      <c r="W925" s="2165">
        <f>W926+W934</f>
        <v>0</v>
      </c>
      <c r="X925" s="2163">
        <f>X926+X934</f>
        <v>0</v>
      </c>
      <c r="Y925" s="2164">
        <f t="shared" si="1931"/>
        <v>0</v>
      </c>
      <c r="Z925" s="2167">
        <f t="shared" si="1932"/>
        <v>0</v>
      </c>
      <c r="AA925" s="2163">
        <f t="shared" si="1932"/>
        <v>0</v>
      </c>
      <c r="AB925" s="2164">
        <f t="shared" si="1933"/>
        <v>0</v>
      </c>
      <c r="AC925" s="2165">
        <f>AC926+AC934</f>
        <v>0</v>
      </c>
      <c r="AD925" s="2163">
        <f>AD926+AD934</f>
        <v>0</v>
      </c>
      <c r="AE925" s="2164">
        <f t="shared" si="1934"/>
        <v>0</v>
      </c>
      <c r="AF925" s="2204"/>
      <c r="AG925" s="2158"/>
      <c r="AH925" s="2171">
        <f>AH926+AH934</f>
        <v>0</v>
      </c>
      <c r="AI925" s="2171">
        <f>AI926+AI934</f>
        <v>0</v>
      </c>
      <c r="AJ925" s="2172">
        <f t="shared" si="1935"/>
        <v>0</v>
      </c>
      <c r="AK925" s="2171">
        <f>AK926+AK934</f>
        <v>0</v>
      </c>
      <c r="AL925" s="2171">
        <f>AL926+AL934</f>
        <v>0</v>
      </c>
      <c r="AM925" s="2172">
        <f t="shared" si="1936"/>
        <v>0</v>
      </c>
      <c r="AN925" s="2171">
        <f>AN926+AN934</f>
        <v>0</v>
      </c>
      <c r="AO925" s="2171">
        <f>AO926+AO934</f>
        <v>0</v>
      </c>
      <c r="AP925" s="2172">
        <f t="shared" si="1937"/>
        <v>0</v>
      </c>
      <c r="AQ925" s="2171">
        <f>AQ926+AQ934</f>
        <v>0</v>
      </c>
      <c r="AR925" s="2171">
        <f>AR926+AR934</f>
        <v>0</v>
      </c>
      <c r="AS925" s="2172">
        <f t="shared" si="1938"/>
        <v>0</v>
      </c>
      <c r="AT925" s="2171">
        <f>AT926+AT934</f>
        <v>0</v>
      </c>
      <c r="AU925" s="2171">
        <f>AU926+AU934</f>
        <v>0</v>
      </c>
      <c r="AV925" s="2172">
        <f t="shared" si="1939"/>
        <v>0</v>
      </c>
      <c r="AW925" s="2171">
        <f>AW926+AW934</f>
        <v>0</v>
      </c>
      <c r="AX925" s="2171">
        <f>AX926+AX934</f>
        <v>0</v>
      </c>
      <c r="AY925" s="2172">
        <f t="shared" si="1940"/>
        <v>0</v>
      </c>
      <c r="AZ925" s="2171">
        <f>AZ926+AZ934</f>
        <v>0</v>
      </c>
      <c r="BA925" s="2171">
        <f>BA926+BA934</f>
        <v>0</v>
      </c>
      <c r="BB925" s="2172">
        <f t="shared" si="1941"/>
        <v>0</v>
      </c>
      <c r="BC925" s="2171">
        <f>BC926+BC934</f>
        <v>0</v>
      </c>
      <c r="BD925" s="2171">
        <f>BD926+BD934</f>
        <v>0</v>
      </c>
      <c r="BE925" s="2172">
        <f t="shared" si="1942"/>
        <v>0</v>
      </c>
      <c r="BF925" s="2171">
        <f>BF926+BF934</f>
        <v>0</v>
      </c>
      <c r="BG925" s="2171">
        <f>BG926+BG934</f>
        <v>0</v>
      </c>
      <c r="BH925" s="2172">
        <f t="shared" si="1943"/>
        <v>0</v>
      </c>
      <c r="BI925" s="2171">
        <f>BI926+BI934</f>
        <v>0</v>
      </c>
      <c r="BJ925" s="2171">
        <f>BJ926+BJ934</f>
        <v>0</v>
      </c>
      <c r="BK925" s="2172">
        <f t="shared" si="1944"/>
        <v>0</v>
      </c>
      <c r="BL925" s="2171">
        <f>BL926+BL934</f>
        <v>0</v>
      </c>
      <c r="BM925" s="2171">
        <f>BM926+BM934</f>
        <v>0</v>
      </c>
      <c r="BN925" s="2172">
        <f t="shared" si="1945"/>
        <v>0</v>
      </c>
      <c r="BO925" s="2171">
        <f>BO926+BO934</f>
        <v>0</v>
      </c>
      <c r="BP925" s="2171">
        <f>BP926+BP934</f>
        <v>0</v>
      </c>
      <c r="BQ925" s="2172">
        <f t="shared" si="1946"/>
        <v>0</v>
      </c>
    </row>
    <row r="926" spans="3:69" s="2159" customFormat="1" ht="12" hidden="1" customHeight="1">
      <c r="C926" s="2393" t="s">
        <v>3132</v>
      </c>
      <c r="D926" s="2330" t="s">
        <v>3133</v>
      </c>
      <c r="E926" s="2120" t="s">
        <v>3123</v>
      </c>
      <c r="F926" s="2162"/>
      <c r="G926" s="2163">
        <f>G927+G929+G931</f>
        <v>0</v>
      </c>
      <c r="H926" s="2163">
        <f>H927+H929+H931</f>
        <v>0</v>
      </c>
      <c r="I926" s="2164">
        <f t="shared" si="1925"/>
        <v>0</v>
      </c>
      <c r="J926" s="2162"/>
      <c r="K926" s="2163">
        <f t="shared" si="1965"/>
        <v>0</v>
      </c>
      <c r="L926" s="2163">
        <f t="shared" si="1948"/>
        <v>0</v>
      </c>
      <c r="M926" s="2164">
        <f t="shared" si="1926"/>
        <v>0</v>
      </c>
      <c r="N926" s="2163">
        <f>N927+N929+N931</f>
        <v>0</v>
      </c>
      <c r="O926" s="2163">
        <f>O927+O929+O931</f>
        <v>0</v>
      </c>
      <c r="P926" s="2164">
        <f t="shared" si="1927"/>
        <v>0</v>
      </c>
      <c r="Q926" s="2163">
        <f>Q927+Q929+Q931</f>
        <v>0</v>
      </c>
      <c r="R926" s="2163">
        <f>R927+R929+R931</f>
        <v>0</v>
      </c>
      <c r="S926" s="2164">
        <f t="shared" si="1928"/>
        <v>0</v>
      </c>
      <c r="T926" s="2167">
        <f t="shared" si="1929"/>
        <v>0</v>
      </c>
      <c r="U926" s="2163">
        <f t="shared" si="1929"/>
        <v>0</v>
      </c>
      <c r="V926" s="2164">
        <f t="shared" si="1930"/>
        <v>0</v>
      </c>
      <c r="W926" s="2163">
        <f>W927+W929+W931</f>
        <v>0</v>
      </c>
      <c r="X926" s="2163">
        <f>X927+X929+X931</f>
        <v>0</v>
      </c>
      <c r="Y926" s="2164">
        <f t="shared" si="1931"/>
        <v>0</v>
      </c>
      <c r="Z926" s="2167">
        <f t="shared" si="1932"/>
        <v>0</v>
      </c>
      <c r="AA926" s="2163">
        <f t="shared" si="1932"/>
        <v>0</v>
      </c>
      <c r="AB926" s="2164">
        <f t="shared" si="1933"/>
        <v>0</v>
      </c>
      <c r="AC926" s="2163">
        <f>AC927+AC929+AC931</f>
        <v>0</v>
      </c>
      <c r="AD926" s="2163">
        <f>AD927+AD929+AD931</f>
        <v>0</v>
      </c>
      <c r="AE926" s="2164">
        <f t="shared" si="1934"/>
        <v>0</v>
      </c>
      <c r="AF926" s="2204"/>
      <c r="AG926" s="2158"/>
      <c r="AH926" s="2171">
        <f>AH927+AH929+AH931</f>
        <v>0</v>
      </c>
      <c r="AI926" s="2171">
        <f>AI927+AI929+AI931</f>
        <v>0</v>
      </c>
      <c r="AJ926" s="2172">
        <f t="shared" si="1935"/>
        <v>0</v>
      </c>
      <c r="AK926" s="2171">
        <f>AK927+AK929+AK931</f>
        <v>0</v>
      </c>
      <c r="AL926" s="2171">
        <f>AL927+AL929+AL931</f>
        <v>0</v>
      </c>
      <c r="AM926" s="2172">
        <f t="shared" si="1936"/>
        <v>0</v>
      </c>
      <c r="AN926" s="2171">
        <f>AN927+AN929+AN931</f>
        <v>0</v>
      </c>
      <c r="AO926" s="2171">
        <f>AO927+AO929+AO931</f>
        <v>0</v>
      </c>
      <c r="AP926" s="2172">
        <f t="shared" si="1937"/>
        <v>0</v>
      </c>
      <c r="AQ926" s="2171">
        <f>AQ927+AQ929+AQ931</f>
        <v>0</v>
      </c>
      <c r="AR926" s="2171">
        <f>AR927+AR929+AR931</f>
        <v>0</v>
      </c>
      <c r="AS926" s="2172">
        <f t="shared" si="1938"/>
        <v>0</v>
      </c>
      <c r="AT926" s="2171">
        <f>AT927+AT929+AT931</f>
        <v>0</v>
      </c>
      <c r="AU926" s="2171">
        <f>AU927+AU929+AU931</f>
        <v>0</v>
      </c>
      <c r="AV926" s="2172">
        <f t="shared" si="1939"/>
        <v>0</v>
      </c>
      <c r="AW926" s="2171">
        <f>AW927+AW929+AW931</f>
        <v>0</v>
      </c>
      <c r="AX926" s="2171">
        <f>AX927+AX929+AX931</f>
        <v>0</v>
      </c>
      <c r="AY926" s="2172">
        <f t="shared" si="1940"/>
        <v>0</v>
      </c>
      <c r="AZ926" s="2171">
        <f>AZ927+AZ929+AZ931</f>
        <v>0</v>
      </c>
      <c r="BA926" s="2171">
        <f>BA927+BA929+BA931</f>
        <v>0</v>
      </c>
      <c r="BB926" s="2172">
        <f t="shared" si="1941"/>
        <v>0</v>
      </c>
      <c r="BC926" s="2171">
        <f>BC927+BC929+BC931</f>
        <v>0</v>
      </c>
      <c r="BD926" s="2171">
        <f>BD927+BD929+BD931</f>
        <v>0</v>
      </c>
      <c r="BE926" s="2172">
        <f t="shared" si="1942"/>
        <v>0</v>
      </c>
      <c r="BF926" s="2171">
        <f>BF927+BF929+BF931</f>
        <v>0</v>
      </c>
      <c r="BG926" s="2171">
        <f>BG927+BG929+BG931</f>
        <v>0</v>
      </c>
      <c r="BH926" s="2172">
        <f t="shared" si="1943"/>
        <v>0</v>
      </c>
      <c r="BI926" s="2171">
        <f>BI927+BI929+BI931</f>
        <v>0</v>
      </c>
      <c r="BJ926" s="2171">
        <f>BJ927+BJ929+BJ931</f>
        <v>0</v>
      </c>
      <c r="BK926" s="2172">
        <f t="shared" si="1944"/>
        <v>0</v>
      </c>
      <c r="BL926" s="2171">
        <f>BL927+BL929+BL931</f>
        <v>0</v>
      </c>
      <c r="BM926" s="2171">
        <f>BM927+BM929+BM931</f>
        <v>0</v>
      </c>
      <c r="BN926" s="2172">
        <f t="shared" si="1945"/>
        <v>0</v>
      </c>
      <c r="BO926" s="2171">
        <f>BO927+BO929+BO931</f>
        <v>0</v>
      </c>
      <c r="BP926" s="2171">
        <f>BP927+BP929+BP931</f>
        <v>0</v>
      </c>
      <c r="BQ926" s="2172">
        <f t="shared" si="1946"/>
        <v>0</v>
      </c>
    </row>
    <row r="927" spans="3:69" s="2087" customFormat="1" ht="12" hidden="1" customHeight="1">
      <c r="C927" s="2468" t="s">
        <v>3134</v>
      </c>
      <c r="D927" s="2334" t="s">
        <v>28</v>
      </c>
      <c r="E927" s="2290" t="s">
        <v>3046</v>
      </c>
      <c r="F927" s="2176"/>
      <c r="G927" s="2177"/>
      <c r="H927" s="2177"/>
      <c r="I927" s="2178">
        <f t="shared" si="1925"/>
        <v>0</v>
      </c>
      <c r="J927" s="2176"/>
      <c r="K927" s="2179">
        <f t="shared" si="1965"/>
        <v>0</v>
      </c>
      <c r="L927" s="2179">
        <f t="shared" si="1948"/>
        <v>0</v>
      </c>
      <c r="M927" s="2178">
        <f t="shared" si="1926"/>
        <v>0</v>
      </c>
      <c r="N927" s="2177"/>
      <c r="O927" s="2177"/>
      <c r="P927" s="2178">
        <f t="shared" si="1927"/>
        <v>0</v>
      </c>
      <c r="Q927" s="2176"/>
      <c r="R927" s="2177"/>
      <c r="S927" s="2178">
        <f t="shared" si="1928"/>
        <v>0</v>
      </c>
      <c r="T927" s="2181">
        <f t="shared" si="1929"/>
        <v>0</v>
      </c>
      <c r="U927" s="2179">
        <f t="shared" si="1929"/>
        <v>0</v>
      </c>
      <c r="V927" s="2178">
        <f t="shared" si="1930"/>
        <v>0</v>
      </c>
      <c r="W927" s="2176"/>
      <c r="X927" s="2177"/>
      <c r="Y927" s="2178">
        <f t="shared" si="1931"/>
        <v>0</v>
      </c>
      <c r="Z927" s="2181">
        <f t="shared" si="1932"/>
        <v>0</v>
      </c>
      <c r="AA927" s="2179">
        <f t="shared" si="1932"/>
        <v>0</v>
      </c>
      <c r="AB927" s="2178">
        <f t="shared" si="1933"/>
        <v>0</v>
      </c>
      <c r="AC927" s="2176"/>
      <c r="AD927" s="2177"/>
      <c r="AE927" s="2178">
        <f t="shared" si="1934"/>
        <v>0</v>
      </c>
      <c r="AF927" s="2204"/>
      <c r="AG927" s="2114"/>
      <c r="AH927" s="2177"/>
      <c r="AI927" s="2177"/>
      <c r="AJ927" s="2186">
        <f t="shared" si="1935"/>
        <v>0</v>
      </c>
      <c r="AK927" s="2177"/>
      <c r="AL927" s="2177"/>
      <c r="AM927" s="2186">
        <f t="shared" si="1936"/>
        <v>0</v>
      </c>
      <c r="AN927" s="2177"/>
      <c r="AO927" s="2177"/>
      <c r="AP927" s="2186">
        <f t="shared" si="1937"/>
        <v>0</v>
      </c>
      <c r="AQ927" s="2177"/>
      <c r="AR927" s="2177"/>
      <c r="AS927" s="2186">
        <f t="shared" si="1938"/>
        <v>0</v>
      </c>
      <c r="AT927" s="2177"/>
      <c r="AU927" s="2177"/>
      <c r="AV927" s="2186">
        <f t="shared" si="1939"/>
        <v>0</v>
      </c>
      <c r="AW927" s="2177"/>
      <c r="AX927" s="2177"/>
      <c r="AY927" s="2186">
        <f t="shared" si="1940"/>
        <v>0</v>
      </c>
      <c r="AZ927" s="2177"/>
      <c r="BA927" s="2177"/>
      <c r="BB927" s="2186">
        <f t="shared" si="1941"/>
        <v>0</v>
      </c>
      <c r="BC927" s="2177"/>
      <c r="BD927" s="2177"/>
      <c r="BE927" s="2186">
        <f t="shared" si="1942"/>
        <v>0</v>
      </c>
      <c r="BF927" s="2177"/>
      <c r="BG927" s="2177"/>
      <c r="BH927" s="2186">
        <f t="shared" si="1943"/>
        <v>0</v>
      </c>
      <c r="BI927" s="2177"/>
      <c r="BJ927" s="2177"/>
      <c r="BK927" s="2186">
        <f t="shared" si="1944"/>
        <v>0</v>
      </c>
      <c r="BL927" s="2177"/>
      <c r="BM927" s="2177"/>
      <c r="BN927" s="2186">
        <f t="shared" si="1945"/>
        <v>0</v>
      </c>
      <c r="BO927" s="2177"/>
      <c r="BP927" s="2177"/>
      <c r="BQ927" s="2186">
        <f t="shared" si="1946"/>
        <v>0</v>
      </c>
    </row>
    <row r="928" spans="3:69" s="2087" customFormat="1" ht="12" hidden="1" customHeight="1">
      <c r="C928" s="2468" t="s">
        <v>3135</v>
      </c>
      <c r="D928" s="2334" t="s">
        <v>2434</v>
      </c>
      <c r="E928" s="2290" t="s">
        <v>3046</v>
      </c>
      <c r="F928" s="2176"/>
      <c r="G928" s="2470"/>
      <c r="H928" s="2177"/>
      <c r="I928" s="2178">
        <f t="shared" si="1925"/>
        <v>0</v>
      </c>
      <c r="J928" s="2176"/>
      <c r="K928" s="2179">
        <f>N928+Q928+W928+AC928</f>
        <v>0</v>
      </c>
      <c r="L928" s="2179">
        <f>O928+R928+X928+AD928</f>
        <v>0</v>
      </c>
      <c r="M928" s="2178">
        <f t="shared" si="1926"/>
        <v>0</v>
      </c>
      <c r="N928" s="2177"/>
      <c r="O928" s="2177"/>
      <c r="P928" s="2178">
        <f t="shared" si="1927"/>
        <v>0</v>
      </c>
      <c r="Q928" s="2176"/>
      <c r="R928" s="2177"/>
      <c r="S928" s="2178">
        <f t="shared" si="1928"/>
        <v>0</v>
      </c>
      <c r="T928" s="2181">
        <f>N928+Q928</f>
        <v>0</v>
      </c>
      <c r="U928" s="2179">
        <f>O928+R928</f>
        <v>0</v>
      </c>
      <c r="V928" s="2178">
        <f t="shared" si="1930"/>
        <v>0</v>
      </c>
      <c r="W928" s="2176"/>
      <c r="X928" s="2177"/>
      <c r="Y928" s="2178">
        <f t="shared" si="1931"/>
        <v>0</v>
      </c>
      <c r="Z928" s="2181">
        <f>T928+W928</f>
        <v>0</v>
      </c>
      <c r="AA928" s="2179">
        <f>U928+X928</f>
        <v>0</v>
      </c>
      <c r="AB928" s="2178">
        <f t="shared" si="1933"/>
        <v>0</v>
      </c>
      <c r="AC928" s="2176"/>
      <c r="AD928" s="2177"/>
      <c r="AE928" s="2178">
        <f t="shared" si="1934"/>
        <v>0</v>
      </c>
      <c r="AF928" s="2204"/>
      <c r="AG928" s="2114"/>
      <c r="AH928" s="2177"/>
      <c r="AI928" s="2177"/>
      <c r="AJ928" s="2186">
        <f t="shared" si="1935"/>
        <v>0</v>
      </c>
      <c r="AK928" s="2177"/>
      <c r="AL928" s="2177"/>
      <c r="AM928" s="2186">
        <f t="shared" si="1936"/>
        <v>0</v>
      </c>
      <c r="AN928" s="2177"/>
      <c r="AO928" s="2177"/>
      <c r="AP928" s="2186">
        <f t="shared" si="1937"/>
        <v>0</v>
      </c>
      <c r="AQ928" s="2177"/>
      <c r="AR928" s="2177"/>
      <c r="AS928" s="2186">
        <f t="shared" si="1938"/>
        <v>0</v>
      </c>
      <c r="AT928" s="2177"/>
      <c r="AU928" s="2177"/>
      <c r="AV928" s="2186">
        <f t="shared" si="1939"/>
        <v>0</v>
      </c>
      <c r="AW928" s="2177"/>
      <c r="AX928" s="2177"/>
      <c r="AY928" s="2186">
        <f t="shared" si="1940"/>
        <v>0</v>
      </c>
      <c r="AZ928" s="2177"/>
      <c r="BA928" s="2177"/>
      <c r="BB928" s="2186">
        <f t="shared" si="1941"/>
        <v>0</v>
      </c>
      <c r="BC928" s="2177"/>
      <c r="BD928" s="2177"/>
      <c r="BE928" s="2186">
        <f t="shared" si="1942"/>
        <v>0</v>
      </c>
      <c r="BF928" s="2177"/>
      <c r="BG928" s="2177"/>
      <c r="BH928" s="2186">
        <f t="shared" si="1943"/>
        <v>0</v>
      </c>
      <c r="BI928" s="2177"/>
      <c r="BJ928" s="2177"/>
      <c r="BK928" s="2186">
        <f t="shared" si="1944"/>
        <v>0</v>
      </c>
      <c r="BL928" s="2177"/>
      <c r="BM928" s="2177"/>
      <c r="BN928" s="2186">
        <f t="shared" si="1945"/>
        <v>0</v>
      </c>
      <c r="BO928" s="2177"/>
      <c r="BP928" s="2177"/>
      <c r="BQ928" s="2186">
        <f t="shared" si="1946"/>
        <v>0</v>
      </c>
    </row>
    <row r="929" spans="3:69" s="2087" customFormat="1" ht="12" hidden="1" customHeight="1">
      <c r="C929" s="2468" t="s">
        <v>3136</v>
      </c>
      <c r="D929" s="2334" t="s">
        <v>2872</v>
      </c>
      <c r="E929" s="2290" t="s">
        <v>3046</v>
      </c>
      <c r="F929" s="2176"/>
      <c r="G929" s="2177"/>
      <c r="H929" s="2177"/>
      <c r="I929" s="2178">
        <f t="shared" si="1925"/>
        <v>0</v>
      </c>
      <c r="J929" s="2176"/>
      <c r="K929" s="2179">
        <f t="shared" si="1965"/>
        <v>0</v>
      </c>
      <c r="L929" s="2179">
        <f t="shared" si="1948"/>
        <v>0</v>
      </c>
      <c r="M929" s="2178">
        <f t="shared" si="1926"/>
        <v>0</v>
      </c>
      <c r="N929" s="2177"/>
      <c r="O929" s="2177"/>
      <c r="P929" s="2178">
        <f t="shared" si="1927"/>
        <v>0</v>
      </c>
      <c r="Q929" s="2176"/>
      <c r="R929" s="2177"/>
      <c r="S929" s="2178">
        <f t="shared" si="1928"/>
        <v>0</v>
      </c>
      <c r="T929" s="2181">
        <f t="shared" si="1929"/>
        <v>0</v>
      </c>
      <c r="U929" s="2179">
        <f t="shared" si="1929"/>
        <v>0</v>
      </c>
      <c r="V929" s="2178">
        <f t="shared" si="1930"/>
        <v>0</v>
      </c>
      <c r="W929" s="2176"/>
      <c r="X929" s="2177"/>
      <c r="Y929" s="2178">
        <f t="shared" si="1931"/>
        <v>0</v>
      </c>
      <c r="Z929" s="2181">
        <f t="shared" si="1932"/>
        <v>0</v>
      </c>
      <c r="AA929" s="2179">
        <f t="shared" si="1932"/>
        <v>0</v>
      </c>
      <c r="AB929" s="2178">
        <f t="shared" si="1933"/>
        <v>0</v>
      </c>
      <c r="AC929" s="2176"/>
      <c r="AD929" s="2177"/>
      <c r="AE929" s="2178">
        <f t="shared" si="1934"/>
        <v>0</v>
      </c>
      <c r="AF929" s="2204"/>
      <c r="AG929" s="2114"/>
      <c r="AH929" s="2177"/>
      <c r="AI929" s="2177"/>
      <c r="AJ929" s="2186">
        <f t="shared" si="1935"/>
        <v>0</v>
      </c>
      <c r="AK929" s="2177"/>
      <c r="AL929" s="2177"/>
      <c r="AM929" s="2186">
        <f t="shared" si="1936"/>
        <v>0</v>
      </c>
      <c r="AN929" s="2177"/>
      <c r="AO929" s="2177"/>
      <c r="AP929" s="2186">
        <f t="shared" si="1937"/>
        <v>0</v>
      </c>
      <c r="AQ929" s="2177"/>
      <c r="AR929" s="2177"/>
      <c r="AS929" s="2186">
        <f t="shared" si="1938"/>
        <v>0</v>
      </c>
      <c r="AT929" s="2177"/>
      <c r="AU929" s="2177"/>
      <c r="AV929" s="2186">
        <f t="shared" si="1939"/>
        <v>0</v>
      </c>
      <c r="AW929" s="2177"/>
      <c r="AX929" s="2177"/>
      <c r="AY929" s="2186">
        <f t="shared" si="1940"/>
        <v>0</v>
      </c>
      <c r="AZ929" s="2177"/>
      <c r="BA929" s="2177"/>
      <c r="BB929" s="2186">
        <f t="shared" si="1941"/>
        <v>0</v>
      </c>
      <c r="BC929" s="2177"/>
      <c r="BD929" s="2177"/>
      <c r="BE929" s="2186">
        <f t="shared" si="1942"/>
        <v>0</v>
      </c>
      <c r="BF929" s="2177"/>
      <c r="BG929" s="2177"/>
      <c r="BH929" s="2186">
        <f t="shared" si="1943"/>
        <v>0</v>
      </c>
      <c r="BI929" s="2177"/>
      <c r="BJ929" s="2177"/>
      <c r="BK929" s="2186">
        <f t="shared" si="1944"/>
        <v>0</v>
      </c>
      <c r="BL929" s="2177"/>
      <c r="BM929" s="2177"/>
      <c r="BN929" s="2186">
        <f t="shared" si="1945"/>
        <v>0</v>
      </c>
      <c r="BO929" s="2177"/>
      <c r="BP929" s="2177"/>
      <c r="BQ929" s="2186">
        <f t="shared" si="1946"/>
        <v>0</v>
      </c>
    </row>
    <row r="930" spans="3:69" s="2087" customFormat="1" ht="12" hidden="1" customHeight="1">
      <c r="C930" s="2468" t="s">
        <v>3137</v>
      </c>
      <c r="D930" s="2334" t="s">
        <v>2434</v>
      </c>
      <c r="E930" s="2290" t="s">
        <v>3046</v>
      </c>
      <c r="F930" s="2176"/>
      <c r="G930" s="2177"/>
      <c r="H930" s="2177"/>
      <c r="I930" s="2178">
        <f t="shared" si="1925"/>
        <v>0</v>
      </c>
      <c r="J930" s="2176"/>
      <c r="K930" s="2179">
        <f>N930+Q930+W930+AC930</f>
        <v>0</v>
      </c>
      <c r="L930" s="2179">
        <f>O930+R930+X930+AD930</f>
        <v>0</v>
      </c>
      <c r="M930" s="2178">
        <f t="shared" si="1926"/>
        <v>0</v>
      </c>
      <c r="N930" s="2177"/>
      <c r="O930" s="2177"/>
      <c r="P930" s="2178">
        <f t="shared" si="1927"/>
        <v>0</v>
      </c>
      <c r="Q930" s="2176"/>
      <c r="R930" s="2177"/>
      <c r="S930" s="2178">
        <f t="shared" si="1928"/>
        <v>0</v>
      </c>
      <c r="T930" s="2181">
        <f>N930+Q930</f>
        <v>0</v>
      </c>
      <c r="U930" s="2179">
        <f>O930+R930</f>
        <v>0</v>
      </c>
      <c r="V930" s="2178">
        <f t="shared" si="1930"/>
        <v>0</v>
      </c>
      <c r="W930" s="2176"/>
      <c r="X930" s="2177"/>
      <c r="Y930" s="2178">
        <f t="shared" si="1931"/>
        <v>0</v>
      </c>
      <c r="Z930" s="2181">
        <f>T930+W930</f>
        <v>0</v>
      </c>
      <c r="AA930" s="2179">
        <f>U930+X930</f>
        <v>0</v>
      </c>
      <c r="AB930" s="2178">
        <f t="shared" si="1933"/>
        <v>0</v>
      </c>
      <c r="AC930" s="2176"/>
      <c r="AD930" s="2177"/>
      <c r="AE930" s="2178">
        <f t="shared" si="1934"/>
        <v>0</v>
      </c>
      <c r="AF930" s="2204"/>
      <c r="AG930" s="2114"/>
      <c r="AH930" s="2177"/>
      <c r="AI930" s="2177"/>
      <c r="AJ930" s="2186">
        <f t="shared" si="1935"/>
        <v>0</v>
      </c>
      <c r="AK930" s="2177"/>
      <c r="AL930" s="2177"/>
      <c r="AM930" s="2186">
        <f t="shared" si="1936"/>
        <v>0</v>
      </c>
      <c r="AN930" s="2177"/>
      <c r="AO930" s="2177"/>
      <c r="AP930" s="2186">
        <f t="shared" si="1937"/>
        <v>0</v>
      </c>
      <c r="AQ930" s="2177"/>
      <c r="AR930" s="2177"/>
      <c r="AS930" s="2186">
        <f t="shared" si="1938"/>
        <v>0</v>
      </c>
      <c r="AT930" s="2177"/>
      <c r="AU930" s="2177"/>
      <c r="AV930" s="2186">
        <f t="shared" si="1939"/>
        <v>0</v>
      </c>
      <c r="AW930" s="2177"/>
      <c r="AX930" s="2177"/>
      <c r="AY930" s="2186">
        <f t="shared" si="1940"/>
        <v>0</v>
      </c>
      <c r="AZ930" s="2177"/>
      <c r="BA930" s="2177"/>
      <c r="BB930" s="2186">
        <f t="shared" si="1941"/>
        <v>0</v>
      </c>
      <c r="BC930" s="2177"/>
      <c r="BD930" s="2177"/>
      <c r="BE930" s="2186">
        <f t="shared" si="1942"/>
        <v>0</v>
      </c>
      <c r="BF930" s="2177"/>
      <c r="BG930" s="2177"/>
      <c r="BH930" s="2186">
        <f t="shared" si="1943"/>
        <v>0</v>
      </c>
      <c r="BI930" s="2177"/>
      <c r="BJ930" s="2177"/>
      <c r="BK930" s="2186">
        <f t="shared" si="1944"/>
        <v>0</v>
      </c>
      <c r="BL930" s="2177"/>
      <c r="BM930" s="2177"/>
      <c r="BN930" s="2186">
        <f t="shared" si="1945"/>
        <v>0</v>
      </c>
      <c r="BO930" s="2177"/>
      <c r="BP930" s="2177"/>
      <c r="BQ930" s="2186">
        <f t="shared" si="1946"/>
        <v>0</v>
      </c>
    </row>
    <row r="931" spans="3:69" s="2087" customFormat="1" ht="12" hidden="1" customHeight="1">
      <c r="C931" s="2468" t="s">
        <v>3138</v>
      </c>
      <c r="D931" s="2334" t="s">
        <v>42</v>
      </c>
      <c r="E931" s="2290" t="s">
        <v>3046</v>
      </c>
      <c r="F931" s="2176"/>
      <c r="G931" s="2177"/>
      <c r="H931" s="2177"/>
      <c r="I931" s="2178">
        <f t="shared" si="1925"/>
        <v>0</v>
      </c>
      <c r="J931" s="2176"/>
      <c r="K931" s="2179">
        <f t="shared" si="1965"/>
        <v>0</v>
      </c>
      <c r="L931" s="2179">
        <f t="shared" si="1948"/>
        <v>0</v>
      </c>
      <c r="M931" s="2178">
        <f t="shared" si="1926"/>
        <v>0</v>
      </c>
      <c r="N931" s="2177"/>
      <c r="O931" s="2177"/>
      <c r="P931" s="2178">
        <f t="shared" si="1927"/>
        <v>0</v>
      </c>
      <c r="Q931" s="2176"/>
      <c r="R931" s="2177"/>
      <c r="S931" s="2178">
        <f t="shared" si="1928"/>
        <v>0</v>
      </c>
      <c r="T931" s="2181">
        <f t="shared" si="1929"/>
        <v>0</v>
      </c>
      <c r="U931" s="2179">
        <f t="shared" si="1929"/>
        <v>0</v>
      </c>
      <c r="V931" s="2178">
        <f t="shared" si="1930"/>
        <v>0</v>
      </c>
      <c r="W931" s="2176"/>
      <c r="X931" s="2177"/>
      <c r="Y931" s="2178">
        <f t="shared" si="1931"/>
        <v>0</v>
      </c>
      <c r="Z931" s="2181">
        <f t="shared" si="1932"/>
        <v>0</v>
      </c>
      <c r="AA931" s="2179">
        <f t="shared" si="1932"/>
        <v>0</v>
      </c>
      <c r="AB931" s="2178">
        <f t="shared" si="1933"/>
        <v>0</v>
      </c>
      <c r="AC931" s="2176"/>
      <c r="AD931" s="2177"/>
      <c r="AE931" s="2178">
        <f t="shared" si="1934"/>
        <v>0</v>
      </c>
      <c r="AF931" s="2204"/>
      <c r="AG931" s="2114"/>
      <c r="AH931" s="2177"/>
      <c r="AI931" s="2177"/>
      <c r="AJ931" s="2186">
        <f t="shared" si="1935"/>
        <v>0</v>
      </c>
      <c r="AK931" s="2177"/>
      <c r="AL931" s="2177"/>
      <c r="AM931" s="2186">
        <f t="shared" si="1936"/>
        <v>0</v>
      </c>
      <c r="AN931" s="2177"/>
      <c r="AO931" s="2177"/>
      <c r="AP931" s="2186">
        <f t="shared" si="1937"/>
        <v>0</v>
      </c>
      <c r="AQ931" s="2177"/>
      <c r="AR931" s="2177"/>
      <c r="AS931" s="2186">
        <f t="shared" si="1938"/>
        <v>0</v>
      </c>
      <c r="AT931" s="2177"/>
      <c r="AU931" s="2177"/>
      <c r="AV931" s="2186">
        <f t="shared" si="1939"/>
        <v>0</v>
      </c>
      <c r="AW931" s="2177"/>
      <c r="AX931" s="2177"/>
      <c r="AY931" s="2186">
        <f t="shared" si="1940"/>
        <v>0</v>
      </c>
      <c r="AZ931" s="2177"/>
      <c r="BA931" s="2177"/>
      <c r="BB931" s="2186">
        <f t="shared" si="1941"/>
        <v>0</v>
      </c>
      <c r="BC931" s="2177"/>
      <c r="BD931" s="2177"/>
      <c r="BE931" s="2186">
        <f t="shared" si="1942"/>
        <v>0</v>
      </c>
      <c r="BF931" s="2177"/>
      <c r="BG931" s="2177"/>
      <c r="BH931" s="2186">
        <f t="shared" si="1943"/>
        <v>0</v>
      </c>
      <c r="BI931" s="2177"/>
      <c r="BJ931" s="2177"/>
      <c r="BK931" s="2186">
        <f t="shared" si="1944"/>
        <v>0</v>
      </c>
      <c r="BL931" s="2177"/>
      <c r="BM931" s="2177"/>
      <c r="BN931" s="2186">
        <f t="shared" si="1945"/>
        <v>0</v>
      </c>
      <c r="BO931" s="2177"/>
      <c r="BP931" s="2177"/>
      <c r="BQ931" s="2186">
        <f t="shared" si="1946"/>
        <v>0</v>
      </c>
    </row>
    <row r="932" spans="3:69" s="2087" customFormat="1" ht="12" hidden="1" customHeight="1">
      <c r="C932" s="2468" t="s">
        <v>3139</v>
      </c>
      <c r="D932" s="2334" t="s">
        <v>2434</v>
      </c>
      <c r="E932" s="2290" t="s">
        <v>3046</v>
      </c>
      <c r="F932" s="2176"/>
      <c r="G932" s="2177"/>
      <c r="H932" s="2177"/>
      <c r="I932" s="2178">
        <f t="shared" si="1925"/>
        <v>0</v>
      </c>
      <c r="J932" s="2176"/>
      <c r="K932" s="2179">
        <f>N932+Q932+W932+AC932</f>
        <v>0</v>
      </c>
      <c r="L932" s="2179">
        <f>O932+R932+X932+AD932</f>
        <v>0</v>
      </c>
      <c r="M932" s="2178">
        <f t="shared" si="1926"/>
        <v>0</v>
      </c>
      <c r="N932" s="2177"/>
      <c r="O932" s="2177"/>
      <c r="P932" s="2178">
        <f t="shared" si="1927"/>
        <v>0</v>
      </c>
      <c r="Q932" s="2176"/>
      <c r="R932" s="2177"/>
      <c r="S932" s="2178">
        <f t="shared" si="1928"/>
        <v>0</v>
      </c>
      <c r="T932" s="2181">
        <f>N932+Q932</f>
        <v>0</v>
      </c>
      <c r="U932" s="2179">
        <f>O932+R932</f>
        <v>0</v>
      </c>
      <c r="V932" s="2178">
        <f t="shared" si="1930"/>
        <v>0</v>
      </c>
      <c r="W932" s="2176"/>
      <c r="X932" s="2177"/>
      <c r="Y932" s="2178">
        <f t="shared" si="1931"/>
        <v>0</v>
      </c>
      <c r="Z932" s="2181">
        <f>T932+W932</f>
        <v>0</v>
      </c>
      <c r="AA932" s="2179">
        <f>U932+X932</f>
        <v>0</v>
      </c>
      <c r="AB932" s="2178">
        <f t="shared" si="1933"/>
        <v>0</v>
      </c>
      <c r="AC932" s="2176"/>
      <c r="AD932" s="2177"/>
      <c r="AE932" s="2178">
        <f t="shared" si="1934"/>
        <v>0</v>
      </c>
      <c r="AF932" s="2204"/>
      <c r="AG932" s="2114"/>
      <c r="AH932" s="2177"/>
      <c r="AI932" s="2177"/>
      <c r="AJ932" s="2186">
        <f t="shared" si="1935"/>
        <v>0</v>
      </c>
      <c r="AK932" s="2177"/>
      <c r="AL932" s="2177"/>
      <c r="AM932" s="2186">
        <f t="shared" si="1936"/>
        <v>0</v>
      </c>
      <c r="AN932" s="2177"/>
      <c r="AO932" s="2177"/>
      <c r="AP932" s="2186">
        <f t="shared" si="1937"/>
        <v>0</v>
      </c>
      <c r="AQ932" s="2177"/>
      <c r="AR932" s="2177"/>
      <c r="AS932" s="2186">
        <f t="shared" si="1938"/>
        <v>0</v>
      </c>
      <c r="AT932" s="2177"/>
      <c r="AU932" s="2177"/>
      <c r="AV932" s="2186">
        <f t="shared" si="1939"/>
        <v>0</v>
      </c>
      <c r="AW932" s="2177"/>
      <c r="AX932" s="2177"/>
      <c r="AY932" s="2186">
        <f t="shared" si="1940"/>
        <v>0</v>
      </c>
      <c r="AZ932" s="2177"/>
      <c r="BA932" s="2177"/>
      <c r="BB932" s="2186">
        <f t="shared" si="1941"/>
        <v>0</v>
      </c>
      <c r="BC932" s="2177"/>
      <c r="BD932" s="2177"/>
      <c r="BE932" s="2186">
        <f t="shared" si="1942"/>
        <v>0</v>
      </c>
      <c r="BF932" s="2177"/>
      <c r="BG932" s="2177"/>
      <c r="BH932" s="2186">
        <f t="shared" si="1943"/>
        <v>0</v>
      </c>
      <c r="BI932" s="2177"/>
      <c r="BJ932" s="2177"/>
      <c r="BK932" s="2186">
        <f t="shared" si="1944"/>
        <v>0</v>
      </c>
      <c r="BL932" s="2177"/>
      <c r="BM932" s="2177"/>
      <c r="BN932" s="2186">
        <f t="shared" si="1945"/>
        <v>0</v>
      </c>
      <c r="BO932" s="2177"/>
      <c r="BP932" s="2177"/>
      <c r="BQ932" s="2186">
        <f t="shared" si="1946"/>
        <v>0</v>
      </c>
    </row>
    <row r="933" spans="3:69" s="2159" customFormat="1" ht="12" hidden="1" customHeight="1">
      <c r="C933" s="2393" t="s">
        <v>3140</v>
      </c>
      <c r="D933" s="2330" t="s">
        <v>3141</v>
      </c>
      <c r="E933" s="2471"/>
      <c r="F933" s="2320"/>
      <c r="G933" s="2171"/>
      <c r="H933" s="2171"/>
      <c r="I933" s="2164">
        <f t="shared" si="1925"/>
        <v>0</v>
      </c>
      <c r="J933" s="2320"/>
      <c r="K933" s="2171"/>
      <c r="L933" s="2171"/>
      <c r="M933" s="2164">
        <f t="shared" si="1926"/>
        <v>0</v>
      </c>
      <c r="N933" s="2171"/>
      <c r="O933" s="2171"/>
      <c r="P933" s="2164">
        <f t="shared" si="1927"/>
        <v>0</v>
      </c>
      <c r="Q933" s="2320"/>
      <c r="R933" s="2171"/>
      <c r="S933" s="2164">
        <f t="shared" si="1928"/>
        <v>0</v>
      </c>
      <c r="T933" s="2472"/>
      <c r="U933" s="2171"/>
      <c r="V933" s="2164">
        <f t="shared" si="1930"/>
        <v>0</v>
      </c>
      <c r="W933" s="2320"/>
      <c r="X933" s="2171"/>
      <c r="Y933" s="2164">
        <f t="shared" si="1931"/>
        <v>0</v>
      </c>
      <c r="Z933" s="2472"/>
      <c r="AA933" s="2171"/>
      <c r="AB933" s="2164">
        <f t="shared" si="1933"/>
        <v>0</v>
      </c>
      <c r="AC933" s="2320"/>
      <c r="AD933" s="2171"/>
      <c r="AE933" s="2164">
        <f t="shared" si="1934"/>
        <v>0</v>
      </c>
      <c r="AF933" s="2204"/>
      <c r="AG933" s="2158"/>
      <c r="AH933" s="2171"/>
      <c r="AI933" s="2171"/>
      <c r="AJ933" s="2172">
        <f t="shared" si="1935"/>
        <v>0</v>
      </c>
      <c r="AK933" s="2171"/>
      <c r="AL933" s="2171"/>
      <c r="AM933" s="2172">
        <f t="shared" si="1936"/>
        <v>0</v>
      </c>
      <c r="AN933" s="2171"/>
      <c r="AO933" s="2171"/>
      <c r="AP933" s="2172">
        <f t="shared" si="1937"/>
        <v>0</v>
      </c>
      <c r="AQ933" s="2171"/>
      <c r="AR933" s="2171"/>
      <c r="AS933" s="2172">
        <f t="shared" si="1938"/>
        <v>0</v>
      </c>
      <c r="AT933" s="2171"/>
      <c r="AU933" s="2171"/>
      <c r="AV933" s="2172">
        <f t="shared" si="1939"/>
        <v>0</v>
      </c>
      <c r="AW933" s="2171"/>
      <c r="AX933" s="2171"/>
      <c r="AY933" s="2172">
        <f t="shared" si="1940"/>
        <v>0</v>
      </c>
      <c r="AZ933" s="2171"/>
      <c r="BA933" s="2171"/>
      <c r="BB933" s="2172">
        <f t="shared" si="1941"/>
        <v>0</v>
      </c>
      <c r="BC933" s="2171"/>
      <c r="BD933" s="2171"/>
      <c r="BE933" s="2172">
        <f t="shared" si="1942"/>
        <v>0</v>
      </c>
      <c r="BF933" s="2171"/>
      <c r="BG933" s="2171"/>
      <c r="BH933" s="2172">
        <f t="shared" si="1943"/>
        <v>0</v>
      </c>
      <c r="BI933" s="2171"/>
      <c r="BJ933" s="2171"/>
      <c r="BK933" s="2172">
        <f t="shared" si="1944"/>
        <v>0</v>
      </c>
      <c r="BL933" s="2171"/>
      <c r="BM933" s="2171"/>
      <c r="BN933" s="2172">
        <f t="shared" si="1945"/>
        <v>0</v>
      </c>
      <c r="BO933" s="2171"/>
      <c r="BP933" s="2171"/>
      <c r="BQ933" s="2172">
        <f t="shared" si="1946"/>
        <v>0</v>
      </c>
    </row>
    <row r="934" spans="3:69" s="2087" customFormat="1" ht="12" hidden="1" customHeight="1">
      <c r="C934" s="2423" t="s">
        <v>3142</v>
      </c>
      <c r="D934" s="2421" t="s">
        <v>3143</v>
      </c>
      <c r="E934" s="2250" t="s">
        <v>3046</v>
      </c>
      <c r="F934" s="2176"/>
      <c r="G934" s="2179">
        <f>G949+G960</f>
        <v>0</v>
      </c>
      <c r="H934" s="2179">
        <f>H949+H960</f>
        <v>0</v>
      </c>
      <c r="I934" s="2178">
        <f t="shared" si="1925"/>
        <v>0</v>
      </c>
      <c r="J934" s="2176"/>
      <c r="K934" s="2179">
        <f t="shared" si="1965"/>
        <v>0</v>
      </c>
      <c r="L934" s="2179">
        <f t="shared" si="1948"/>
        <v>0</v>
      </c>
      <c r="M934" s="2178">
        <f t="shared" si="1926"/>
        <v>0</v>
      </c>
      <c r="N934" s="2179">
        <f>N949+N960</f>
        <v>0</v>
      </c>
      <c r="O934" s="2179">
        <f>O949+O960</f>
        <v>0</v>
      </c>
      <c r="P934" s="2178">
        <f t="shared" si="1927"/>
        <v>0</v>
      </c>
      <c r="Q934" s="2184">
        <f>Q949+Q960</f>
        <v>0</v>
      </c>
      <c r="R934" s="2179">
        <f>R949+R960</f>
        <v>0</v>
      </c>
      <c r="S934" s="2178">
        <f t="shared" si="1928"/>
        <v>0</v>
      </c>
      <c r="T934" s="2181">
        <f t="shared" ref="T934:U972" si="1966">N934+Q934</f>
        <v>0</v>
      </c>
      <c r="U934" s="2179">
        <f t="shared" si="1966"/>
        <v>0</v>
      </c>
      <c r="V934" s="2178">
        <f t="shared" si="1930"/>
        <v>0</v>
      </c>
      <c r="W934" s="2184">
        <f>W949+W960</f>
        <v>0</v>
      </c>
      <c r="X934" s="2179">
        <f>X949+X960</f>
        <v>0</v>
      </c>
      <c r="Y934" s="2178">
        <f t="shared" si="1931"/>
        <v>0</v>
      </c>
      <c r="Z934" s="2181">
        <f t="shared" ref="Z934:AA972" si="1967">T934+W934</f>
        <v>0</v>
      </c>
      <c r="AA934" s="2179">
        <f t="shared" si="1967"/>
        <v>0</v>
      </c>
      <c r="AB934" s="2178">
        <f t="shared" si="1933"/>
        <v>0</v>
      </c>
      <c r="AC934" s="2184">
        <f>AC949+AC960</f>
        <v>0</v>
      </c>
      <c r="AD934" s="2179">
        <f>AD949+AD960</f>
        <v>0</v>
      </c>
      <c r="AE934" s="2178">
        <f t="shared" si="1934"/>
        <v>0</v>
      </c>
      <c r="AF934" s="2204"/>
      <c r="AG934" s="2114"/>
      <c r="AH934" s="2188">
        <f>AH949+AH960</f>
        <v>0</v>
      </c>
      <c r="AI934" s="2188">
        <f>AI949+AI960</f>
        <v>0</v>
      </c>
      <c r="AJ934" s="2186">
        <f t="shared" si="1935"/>
        <v>0</v>
      </c>
      <c r="AK934" s="2188">
        <f>AK949+AK960</f>
        <v>0</v>
      </c>
      <c r="AL934" s="2188">
        <f>AL949+AL960</f>
        <v>0</v>
      </c>
      <c r="AM934" s="2186">
        <f t="shared" si="1936"/>
        <v>0</v>
      </c>
      <c r="AN934" s="2188">
        <f>AN949+AN960</f>
        <v>0</v>
      </c>
      <c r="AO934" s="2188">
        <f>AO949+AO960</f>
        <v>0</v>
      </c>
      <c r="AP934" s="2186">
        <f t="shared" si="1937"/>
        <v>0</v>
      </c>
      <c r="AQ934" s="2188">
        <f>AQ949+AQ960</f>
        <v>0</v>
      </c>
      <c r="AR934" s="2188">
        <f>AR949+AR960</f>
        <v>0</v>
      </c>
      <c r="AS934" s="2186">
        <f t="shared" si="1938"/>
        <v>0</v>
      </c>
      <c r="AT934" s="2188">
        <f>AT949+AT960</f>
        <v>0</v>
      </c>
      <c r="AU934" s="2188">
        <f>AU949+AU960</f>
        <v>0</v>
      </c>
      <c r="AV934" s="2186">
        <f t="shared" si="1939"/>
        <v>0</v>
      </c>
      <c r="AW934" s="2188">
        <f>AW949+AW960</f>
        <v>0</v>
      </c>
      <c r="AX934" s="2188">
        <f>AX949+AX960</f>
        <v>0</v>
      </c>
      <c r="AY934" s="2186">
        <f t="shared" si="1940"/>
        <v>0</v>
      </c>
      <c r="AZ934" s="2188">
        <f>AZ949+AZ960</f>
        <v>0</v>
      </c>
      <c r="BA934" s="2188">
        <f>BA949+BA960</f>
        <v>0</v>
      </c>
      <c r="BB934" s="2186">
        <f t="shared" si="1941"/>
        <v>0</v>
      </c>
      <c r="BC934" s="2188">
        <f>BC949+BC960</f>
        <v>0</v>
      </c>
      <c r="BD934" s="2188">
        <f>BD949+BD960</f>
        <v>0</v>
      </c>
      <c r="BE934" s="2186">
        <f t="shared" si="1942"/>
        <v>0</v>
      </c>
      <c r="BF934" s="2188">
        <f>BF949+BF960</f>
        <v>0</v>
      </c>
      <c r="BG934" s="2188">
        <f>BG949+BG960</f>
        <v>0</v>
      </c>
      <c r="BH934" s="2186">
        <f t="shared" si="1943"/>
        <v>0</v>
      </c>
      <c r="BI934" s="2188">
        <f>BI949+BI960</f>
        <v>0</v>
      </c>
      <c r="BJ934" s="2188">
        <f>BJ949+BJ960</f>
        <v>0</v>
      </c>
      <c r="BK934" s="2186">
        <f t="shared" si="1944"/>
        <v>0</v>
      </c>
      <c r="BL934" s="2188">
        <f>BL949+BL960</f>
        <v>0</v>
      </c>
      <c r="BM934" s="2188">
        <f>BM949+BM960</f>
        <v>0</v>
      </c>
      <c r="BN934" s="2186">
        <f t="shared" si="1945"/>
        <v>0</v>
      </c>
      <c r="BO934" s="2188">
        <f>BO949+BO960</f>
        <v>0</v>
      </c>
      <c r="BP934" s="2188">
        <f>BP949+BP960</f>
        <v>0</v>
      </c>
      <c r="BQ934" s="2186">
        <f t="shared" si="1946"/>
        <v>0</v>
      </c>
    </row>
    <row r="935" spans="3:69" s="2087" customFormat="1" ht="12" hidden="1" customHeight="1">
      <c r="C935" s="2473" t="s">
        <v>3144</v>
      </c>
      <c r="D935" s="2334" t="s">
        <v>28</v>
      </c>
      <c r="E935" s="2250" t="s">
        <v>3046</v>
      </c>
      <c r="F935" s="2176"/>
      <c r="G935" s="2179">
        <f>G961</f>
        <v>0</v>
      </c>
      <c r="H935" s="2179">
        <f>H961</f>
        <v>0</v>
      </c>
      <c r="I935" s="2178">
        <f t="shared" si="1925"/>
        <v>0</v>
      </c>
      <c r="J935" s="2176"/>
      <c r="K935" s="2179">
        <f t="shared" si="1965"/>
        <v>0</v>
      </c>
      <c r="L935" s="2179">
        <f t="shared" si="1948"/>
        <v>0</v>
      </c>
      <c r="M935" s="2178">
        <f t="shared" si="1926"/>
        <v>0</v>
      </c>
      <c r="N935" s="2179">
        <f>N961</f>
        <v>0</v>
      </c>
      <c r="O935" s="2179">
        <f>O961</f>
        <v>0</v>
      </c>
      <c r="P935" s="2178">
        <f t="shared" si="1927"/>
        <v>0</v>
      </c>
      <c r="Q935" s="2184">
        <f>Q961</f>
        <v>0</v>
      </c>
      <c r="R935" s="2179">
        <f>R961</f>
        <v>0</v>
      </c>
      <c r="S935" s="2178">
        <f t="shared" si="1928"/>
        <v>0</v>
      </c>
      <c r="T935" s="2181">
        <f t="shared" si="1966"/>
        <v>0</v>
      </c>
      <c r="U935" s="2179">
        <f t="shared" si="1966"/>
        <v>0</v>
      </c>
      <c r="V935" s="2178">
        <f t="shared" si="1930"/>
        <v>0</v>
      </c>
      <c r="W935" s="2184">
        <f>W961</f>
        <v>0</v>
      </c>
      <c r="X935" s="2179">
        <f>X961</f>
        <v>0</v>
      </c>
      <c r="Y935" s="2178">
        <f t="shared" si="1931"/>
        <v>0</v>
      </c>
      <c r="Z935" s="2181">
        <f t="shared" si="1967"/>
        <v>0</v>
      </c>
      <c r="AA935" s="2179">
        <f t="shared" si="1967"/>
        <v>0</v>
      </c>
      <c r="AB935" s="2178">
        <f t="shared" si="1933"/>
        <v>0</v>
      </c>
      <c r="AC935" s="2184">
        <f>AC961</f>
        <v>0</v>
      </c>
      <c r="AD935" s="2179">
        <f>AD961</f>
        <v>0</v>
      </c>
      <c r="AE935" s="2178">
        <f t="shared" si="1934"/>
        <v>0</v>
      </c>
      <c r="AF935" s="2204"/>
      <c r="AG935" s="2114"/>
      <c r="AH935" s="2188">
        <f>AH961</f>
        <v>0</v>
      </c>
      <c r="AI935" s="2188">
        <f>AI961</f>
        <v>0</v>
      </c>
      <c r="AJ935" s="2186">
        <f t="shared" si="1935"/>
        <v>0</v>
      </c>
      <c r="AK935" s="2188">
        <f>AK961</f>
        <v>0</v>
      </c>
      <c r="AL935" s="2188">
        <f>AL961</f>
        <v>0</v>
      </c>
      <c r="AM935" s="2186">
        <f t="shared" si="1936"/>
        <v>0</v>
      </c>
      <c r="AN935" s="2188">
        <f>AN961</f>
        <v>0</v>
      </c>
      <c r="AO935" s="2188">
        <f>AO961</f>
        <v>0</v>
      </c>
      <c r="AP935" s="2186">
        <f t="shared" si="1937"/>
        <v>0</v>
      </c>
      <c r="AQ935" s="2188">
        <f>AQ961</f>
        <v>0</v>
      </c>
      <c r="AR935" s="2188">
        <f>AR961</f>
        <v>0</v>
      </c>
      <c r="AS935" s="2186">
        <f t="shared" si="1938"/>
        <v>0</v>
      </c>
      <c r="AT935" s="2188">
        <f>AT961</f>
        <v>0</v>
      </c>
      <c r="AU935" s="2188">
        <f>AU961</f>
        <v>0</v>
      </c>
      <c r="AV935" s="2186">
        <f t="shared" si="1939"/>
        <v>0</v>
      </c>
      <c r="AW935" s="2188">
        <f>AW961</f>
        <v>0</v>
      </c>
      <c r="AX935" s="2188">
        <f>AX961</f>
        <v>0</v>
      </c>
      <c r="AY935" s="2186">
        <f t="shared" si="1940"/>
        <v>0</v>
      </c>
      <c r="AZ935" s="2188">
        <f>AZ961</f>
        <v>0</v>
      </c>
      <c r="BA935" s="2188">
        <f>BA961</f>
        <v>0</v>
      </c>
      <c r="BB935" s="2186">
        <f t="shared" si="1941"/>
        <v>0</v>
      </c>
      <c r="BC935" s="2188">
        <f>BC961</f>
        <v>0</v>
      </c>
      <c r="BD935" s="2188">
        <f>BD961</f>
        <v>0</v>
      </c>
      <c r="BE935" s="2186">
        <f t="shared" si="1942"/>
        <v>0</v>
      </c>
      <c r="BF935" s="2188">
        <f>BF961</f>
        <v>0</v>
      </c>
      <c r="BG935" s="2188">
        <f>BG961</f>
        <v>0</v>
      </c>
      <c r="BH935" s="2186">
        <f t="shared" si="1943"/>
        <v>0</v>
      </c>
      <c r="BI935" s="2188">
        <f>BI961</f>
        <v>0</v>
      </c>
      <c r="BJ935" s="2188">
        <f>BJ961</f>
        <v>0</v>
      </c>
      <c r="BK935" s="2186">
        <f t="shared" si="1944"/>
        <v>0</v>
      </c>
      <c r="BL935" s="2188">
        <f>BL961</f>
        <v>0</v>
      </c>
      <c r="BM935" s="2188">
        <f>BM961</f>
        <v>0</v>
      </c>
      <c r="BN935" s="2186">
        <f t="shared" si="1945"/>
        <v>0</v>
      </c>
      <c r="BO935" s="2188">
        <f>BO961</f>
        <v>0</v>
      </c>
      <c r="BP935" s="2188">
        <f>BP961</f>
        <v>0</v>
      </c>
      <c r="BQ935" s="2186">
        <f t="shared" si="1946"/>
        <v>0</v>
      </c>
    </row>
    <row r="936" spans="3:69" s="2087" customFormat="1" ht="12" hidden="1" customHeight="1">
      <c r="C936" s="2473" t="s">
        <v>3145</v>
      </c>
      <c r="D936" s="2334" t="s">
        <v>2434</v>
      </c>
      <c r="E936" s="2250" t="s">
        <v>3046</v>
      </c>
      <c r="F936" s="2176"/>
      <c r="G936" s="2179">
        <f>G962</f>
        <v>0</v>
      </c>
      <c r="H936" s="2179">
        <f>H962</f>
        <v>0</v>
      </c>
      <c r="I936" s="2178">
        <f t="shared" si="1925"/>
        <v>0</v>
      </c>
      <c r="J936" s="2176"/>
      <c r="K936" s="2179">
        <f>N936+Q936+W936+AC936</f>
        <v>0</v>
      </c>
      <c r="L936" s="2179">
        <f>O936+R936+X936+AD936</f>
        <v>0</v>
      </c>
      <c r="M936" s="2178">
        <f t="shared" si="1926"/>
        <v>0</v>
      </c>
      <c r="N936" s="2179">
        <f>N962</f>
        <v>0</v>
      </c>
      <c r="O936" s="2179">
        <f>O962</f>
        <v>0</v>
      </c>
      <c r="P936" s="2178">
        <f t="shared" si="1927"/>
        <v>0</v>
      </c>
      <c r="Q936" s="2179">
        <f>Q962</f>
        <v>0</v>
      </c>
      <c r="R936" s="2179">
        <f>R962</f>
        <v>0</v>
      </c>
      <c r="S936" s="2178">
        <f t="shared" si="1928"/>
        <v>0</v>
      </c>
      <c r="T936" s="2181">
        <f>N936+Q936</f>
        <v>0</v>
      </c>
      <c r="U936" s="2179">
        <f>O936+R936</f>
        <v>0</v>
      </c>
      <c r="V936" s="2178">
        <f t="shared" si="1930"/>
        <v>0</v>
      </c>
      <c r="W936" s="2179">
        <f>W962</f>
        <v>0</v>
      </c>
      <c r="X936" s="2179">
        <f>X962</f>
        <v>0</v>
      </c>
      <c r="Y936" s="2178">
        <f t="shared" si="1931"/>
        <v>0</v>
      </c>
      <c r="Z936" s="2181">
        <f>T936+W936</f>
        <v>0</v>
      </c>
      <c r="AA936" s="2179">
        <f>U936+X936</f>
        <v>0</v>
      </c>
      <c r="AB936" s="2178">
        <f t="shared" si="1933"/>
        <v>0</v>
      </c>
      <c r="AC936" s="2179">
        <f>AC962</f>
        <v>0</v>
      </c>
      <c r="AD936" s="2179">
        <f>AD962</f>
        <v>0</v>
      </c>
      <c r="AE936" s="2178">
        <f t="shared" si="1934"/>
        <v>0</v>
      </c>
      <c r="AF936" s="2204"/>
      <c r="AG936" s="2114"/>
      <c r="AH936" s="2188">
        <f>AH962</f>
        <v>0</v>
      </c>
      <c r="AI936" s="2188">
        <f>AI962</f>
        <v>0</v>
      </c>
      <c r="AJ936" s="2186">
        <f t="shared" si="1935"/>
        <v>0</v>
      </c>
      <c r="AK936" s="2188">
        <f>AK962</f>
        <v>0</v>
      </c>
      <c r="AL936" s="2188">
        <f>AL962</f>
        <v>0</v>
      </c>
      <c r="AM936" s="2186">
        <f t="shared" si="1936"/>
        <v>0</v>
      </c>
      <c r="AN936" s="2188">
        <f>AN962</f>
        <v>0</v>
      </c>
      <c r="AO936" s="2188">
        <f>AO962</f>
        <v>0</v>
      </c>
      <c r="AP936" s="2186">
        <f t="shared" si="1937"/>
        <v>0</v>
      </c>
      <c r="AQ936" s="2188">
        <f>AQ962</f>
        <v>0</v>
      </c>
      <c r="AR936" s="2188">
        <f>AR962</f>
        <v>0</v>
      </c>
      <c r="AS936" s="2186">
        <f t="shared" si="1938"/>
        <v>0</v>
      </c>
      <c r="AT936" s="2188">
        <f>AT962</f>
        <v>0</v>
      </c>
      <c r="AU936" s="2188">
        <f>AU962</f>
        <v>0</v>
      </c>
      <c r="AV936" s="2186">
        <f t="shared" si="1939"/>
        <v>0</v>
      </c>
      <c r="AW936" s="2188">
        <f>AW962</f>
        <v>0</v>
      </c>
      <c r="AX936" s="2188">
        <f>AX962</f>
        <v>0</v>
      </c>
      <c r="AY936" s="2186">
        <f t="shared" si="1940"/>
        <v>0</v>
      </c>
      <c r="AZ936" s="2188">
        <f>AZ962</f>
        <v>0</v>
      </c>
      <c r="BA936" s="2188">
        <f>BA962</f>
        <v>0</v>
      </c>
      <c r="BB936" s="2186">
        <f t="shared" si="1941"/>
        <v>0</v>
      </c>
      <c r="BC936" s="2188">
        <f>BC962</f>
        <v>0</v>
      </c>
      <c r="BD936" s="2188">
        <f>BD962</f>
        <v>0</v>
      </c>
      <c r="BE936" s="2186">
        <f t="shared" si="1942"/>
        <v>0</v>
      </c>
      <c r="BF936" s="2188">
        <f>BF962</f>
        <v>0</v>
      </c>
      <c r="BG936" s="2188">
        <f>BG962</f>
        <v>0</v>
      </c>
      <c r="BH936" s="2186">
        <f t="shared" si="1943"/>
        <v>0</v>
      </c>
      <c r="BI936" s="2188">
        <f>BI962</f>
        <v>0</v>
      </c>
      <c r="BJ936" s="2188">
        <f>BJ962</f>
        <v>0</v>
      </c>
      <c r="BK936" s="2186">
        <f t="shared" si="1944"/>
        <v>0</v>
      </c>
      <c r="BL936" s="2188">
        <f>BL962</f>
        <v>0</v>
      </c>
      <c r="BM936" s="2188">
        <f>BM962</f>
        <v>0</v>
      </c>
      <c r="BN936" s="2186">
        <f t="shared" si="1945"/>
        <v>0</v>
      </c>
      <c r="BO936" s="2188">
        <f>BO962</f>
        <v>0</v>
      </c>
      <c r="BP936" s="2188">
        <f>BP962</f>
        <v>0</v>
      </c>
      <c r="BQ936" s="2186">
        <f t="shared" si="1946"/>
        <v>0</v>
      </c>
    </row>
    <row r="937" spans="3:69" s="2087" customFormat="1" ht="12" hidden="1" customHeight="1">
      <c r="C937" s="2473" t="s">
        <v>3146</v>
      </c>
      <c r="D937" s="2334" t="s">
        <v>2872</v>
      </c>
      <c r="E937" s="2250" t="s">
        <v>3046</v>
      </c>
      <c r="F937" s="2176"/>
      <c r="G937" s="2179">
        <f t="shared" ref="G937:H941" si="1968">G950+G963</f>
        <v>0</v>
      </c>
      <c r="H937" s="2179">
        <f t="shared" si="1968"/>
        <v>0</v>
      </c>
      <c r="I937" s="2178">
        <f t="shared" si="1925"/>
        <v>0</v>
      </c>
      <c r="J937" s="2176"/>
      <c r="K937" s="2179">
        <f t="shared" si="1965"/>
        <v>0</v>
      </c>
      <c r="L937" s="2179">
        <f t="shared" si="1948"/>
        <v>0</v>
      </c>
      <c r="M937" s="2178">
        <f t="shared" si="1926"/>
        <v>0</v>
      </c>
      <c r="N937" s="2179">
        <f t="shared" ref="N937:O941" si="1969">N950+N963</f>
        <v>0</v>
      </c>
      <c r="O937" s="2179">
        <f t="shared" si="1969"/>
        <v>0</v>
      </c>
      <c r="P937" s="2178">
        <f t="shared" si="1927"/>
        <v>0</v>
      </c>
      <c r="Q937" s="2184">
        <f t="shared" ref="Q937:R941" si="1970">Q950+Q963</f>
        <v>0</v>
      </c>
      <c r="R937" s="2179">
        <f t="shared" si="1970"/>
        <v>0</v>
      </c>
      <c r="S937" s="2178">
        <f t="shared" si="1928"/>
        <v>0</v>
      </c>
      <c r="T937" s="2181">
        <f t="shared" si="1966"/>
        <v>0</v>
      </c>
      <c r="U937" s="2179">
        <f t="shared" si="1966"/>
        <v>0</v>
      </c>
      <c r="V937" s="2178">
        <f t="shared" si="1930"/>
        <v>0</v>
      </c>
      <c r="W937" s="2184">
        <f t="shared" ref="W937:X941" si="1971">W950+W963</f>
        <v>0</v>
      </c>
      <c r="X937" s="2179">
        <f t="shared" si="1971"/>
        <v>0</v>
      </c>
      <c r="Y937" s="2178">
        <f t="shared" si="1931"/>
        <v>0</v>
      </c>
      <c r="Z937" s="2181">
        <f t="shared" si="1967"/>
        <v>0</v>
      </c>
      <c r="AA937" s="2179">
        <f t="shared" si="1967"/>
        <v>0</v>
      </c>
      <c r="AB937" s="2178">
        <f t="shared" si="1933"/>
        <v>0</v>
      </c>
      <c r="AC937" s="2184">
        <f t="shared" ref="AC937:AD941" si="1972">AC950+AC963</f>
        <v>0</v>
      </c>
      <c r="AD937" s="2179">
        <f t="shared" si="1972"/>
        <v>0</v>
      </c>
      <c r="AE937" s="2178">
        <f t="shared" si="1934"/>
        <v>0</v>
      </c>
      <c r="AF937" s="2204"/>
      <c r="AG937" s="2114"/>
      <c r="AH937" s="2188">
        <f t="shared" ref="AH937:AI941" si="1973">AH950+AH963</f>
        <v>0</v>
      </c>
      <c r="AI937" s="2188">
        <f t="shared" si="1973"/>
        <v>0</v>
      </c>
      <c r="AJ937" s="2186">
        <f t="shared" si="1935"/>
        <v>0</v>
      </c>
      <c r="AK937" s="2188">
        <f t="shared" ref="AK937:AL941" si="1974">AK950+AK963</f>
        <v>0</v>
      </c>
      <c r="AL937" s="2188">
        <f t="shared" si="1974"/>
        <v>0</v>
      </c>
      <c r="AM937" s="2186">
        <f t="shared" si="1936"/>
        <v>0</v>
      </c>
      <c r="AN937" s="2188">
        <f t="shared" ref="AN937:AO941" si="1975">AN950+AN963</f>
        <v>0</v>
      </c>
      <c r="AO937" s="2188">
        <f t="shared" si="1975"/>
        <v>0</v>
      </c>
      <c r="AP937" s="2186">
        <f t="shared" si="1937"/>
        <v>0</v>
      </c>
      <c r="AQ937" s="2188">
        <f t="shared" ref="AQ937:AR941" si="1976">AQ950+AQ963</f>
        <v>0</v>
      </c>
      <c r="AR937" s="2188">
        <f t="shared" si="1976"/>
        <v>0</v>
      </c>
      <c r="AS937" s="2186">
        <f t="shared" si="1938"/>
        <v>0</v>
      </c>
      <c r="AT937" s="2188">
        <f t="shared" ref="AT937:AU941" si="1977">AT950+AT963</f>
        <v>0</v>
      </c>
      <c r="AU937" s="2188">
        <f t="shared" si="1977"/>
        <v>0</v>
      </c>
      <c r="AV937" s="2186">
        <f t="shared" si="1939"/>
        <v>0</v>
      </c>
      <c r="AW937" s="2188">
        <f t="shared" ref="AW937:AX941" si="1978">AW950+AW963</f>
        <v>0</v>
      </c>
      <c r="AX937" s="2188">
        <f t="shared" si="1978"/>
        <v>0</v>
      </c>
      <c r="AY937" s="2186">
        <f t="shared" si="1940"/>
        <v>0</v>
      </c>
      <c r="AZ937" s="2188">
        <f t="shared" ref="AZ937:BA941" si="1979">AZ950+AZ963</f>
        <v>0</v>
      </c>
      <c r="BA937" s="2188">
        <f t="shared" si="1979"/>
        <v>0</v>
      </c>
      <c r="BB937" s="2186">
        <f t="shared" si="1941"/>
        <v>0</v>
      </c>
      <c r="BC937" s="2188">
        <f t="shared" ref="BC937:BD941" si="1980">BC950+BC963</f>
        <v>0</v>
      </c>
      <c r="BD937" s="2188">
        <f t="shared" si="1980"/>
        <v>0</v>
      </c>
      <c r="BE937" s="2186">
        <f t="shared" si="1942"/>
        <v>0</v>
      </c>
      <c r="BF937" s="2188">
        <f t="shared" ref="BF937:BG941" si="1981">BF950+BF963</f>
        <v>0</v>
      </c>
      <c r="BG937" s="2188">
        <f t="shared" si="1981"/>
        <v>0</v>
      </c>
      <c r="BH937" s="2186">
        <f t="shared" si="1943"/>
        <v>0</v>
      </c>
      <c r="BI937" s="2188">
        <f t="shared" ref="BI937:BJ941" si="1982">BI950+BI963</f>
        <v>0</v>
      </c>
      <c r="BJ937" s="2188">
        <f t="shared" si="1982"/>
        <v>0</v>
      </c>
      <c r="BK937" s="2186">
        <f t="shared" si="1944"/>
        <v>0</v>
      </c>
      <c r="BL937" s="2188">
        <f t="shared" ref="BL937:BM941" si="1983">BL950+BL963</f>
        <v>0</v>
      </c>
      <c r="BM937" s="2188">
        <f t="shared" si="1983"/>
        <v>0</v>
      </c>
      <c r="BN937" s="2186">
        <f t="shared" si="1945"/>
        <v>0</v>
      </c>
      <c r="BO937" s="2188">
        <f t="shared" ref="BO937:BP941" si="1984">BO950+BO963</f>
        <v>0</v>
      </c>
      <c r="BP937" s="2188">
        <f t="shared" si="1984"/>
        <v>0</v>
      </c>
      <c r="BQ937" s="2186">
        <f t="shared" si="1946"/>
        <v>0</v>
      </c>
    </row>
    <row r="938" spans="3:69" s="2087" customFormat="1" ht="12" hidden="1" customHeight="1">
      <c r="C938" s="2473" t="s">
        <v>3147</v>
      </c>
      <c r="D938" s="2334" t="s">
        <v>2434</v>
      </c>
      <c r="E938" s="2250" t="s">
        <v>3046</v>
      </c>
      <c r="F938" s="2176"/>
      <c r="G938" s="2179">
        <f t="shared" si="1968"/>
        <v>0</v>
      </c>
      <c r="H938" s="2179">
        <f t="shared" si="1968"/>
        <v>0</v>
      </c>
      <c r="I938" s="2178">
        <f t="shared" si="1925"/>
        <v>0</v>
      </c>
      <c r="J938" s="2176"/>
      <c r="K938" s="2179">
        <f>N938+Q938+W938+AC938</f>
        <v>0</v>
      </c>
      <c r="L938" s="2179">
        <f>O938+R938+X938+AD938</f>
        <v>0</v>
      </c>
      <c r="M938" s="2178">
        <f t="shared" si="1926"/>
        <v>0</v>
      </c>
      <c r="N938" s="2179">
        <f t="shared" si="1969"/>
        <v>0</v>
      </c>
      <c r="O938" s="2179">
        <f t="shared" si="1969"/>
        <v>0</v>
      </c>
      <c r="P938" s="2178">
        <f t="shared" si="1927"/>
        <v>0</v>
      </c>
      <c r="Q938" s="2179">
        <f t="shared" si="1970"/>
        <v>0</v>
      </c>
      <c r="R938" s="2179">
        <f t="shared" si="1970"/>
        <v>0</v>
      </c>
      <c r="S938" s="2178">
        <f t="shared" si="1928"/>
        <v>0</v>
      </c>
      <c r="T938" s="2181">
        <f>N938+Q938</f>
        <v>0</v>
      </c>
      <c r="U938" s="2179">
        <f>O938+R938</f>
        <v>0</v>
      </c>
      <c r="V938" s="2178">
        <f t="shared" si="1930"/>
        <v>0</v>
      </c>
      <c r="W938" s="2179">
        <f t="shared" si="1971"/>
        <v>0</v>
      </c>
      <c r="X938" s="2179">
        <f t="shared" si="1971"/>
        <v>0</v>
      </c>
      <c r="Y938" s="2178">
        <f t="shared" si="1931"/>
        <v>0</v>
      </c>
      <c r="Z938" s="2181">
        <f>T938+W938</f>
        <v>0</v>
      </c>
      <c r="AA938" s="2179">
        <f>U938+X938</f>
        <v>0</v>
      </c>
      <c r="AB938" s="2178">
        <f t="shared" si="1933"/>
        <v>0</v>
      </c>
      <c r="AC938" s="2179">
        <f t="shared" si="1972"/>
        <v>0</v>
      </c>
      <c r="AD938" s="2179">
        <f t="shared" si="1972"/>
        <v>0</v>
      </c>
      <c r="AE938" s="2178">
        <f t="shared" si="1934"/>
        <v>0</v>
      </c>
      <c r="AF938" s="2204"/>
      <c r="AG938" s="2114"/>
      <c r="AH938" s="2188">
        <f t="shared" si="1973"/>
        <v>0</v>
      </c>
      <c r="AI938" s="2188">
        <f t="shared" si="1973"/>
        <v>0</v>
      </c>
      <c r="AJ938" s="2186">
        <f t="shared" si="1935"/>
        <v>0</v>
      </c>
      <c r="AK938" s="2188">
        <f t="shared" si="1974"/>
        <v>0</v>
      </c>
      <c r="AL938" s="2188">
        <f t="shared" si="1974"/>
        <v>0</v>
      </c>
      <c r="AM938" s="2186">
        <f t="shared" si="1936"/>
        <v>0</v>
      </c>
      <c r="AN938" s="2188">
        <f t="shared" si="1975"/>
        <v>0</v>
      </c>
      <c r="AO938" s="2188">
        <f t="shared" si="1975"/>
        <v>0</v>
      </c>
      <c r="AP938" s="2186">
        <f t="shared" si="1937"/>
        <v>0</v>
      </c>
      <c r="AQ938" s="2188">
        <f t="shared" si="1976"/>
        <v>0</v>
      </c>
      <c r="AR938" s="2188">
        <f t="shared" si="1976"/>
        <v>0</v>
      </c>
      <c r="AS938" s="2186">
        <f t="shared" si="1938"/>
        <v>0</v>
      </c>
      <c r="AT938" s="2188">
        <f t="shared" si="1977"/>
        <v>0</v>
      </c>
      <c r="AU938" s="2188">
        <f t="shared" si="1977"/>
        <v>0</v>
      </c>
      <c r="AV938" s="2186">
        <f t="shared" si="1939"/>
        <v>0</v>
      </c>
      <c r="AW938" s="2188">
        <f t="shared" si="1978"/>
        <v>0</v>
      </c>
      <c r="AX938" s="2188">
        <f t="shared" si="1978"/>
        <v>0</v>
      </c>
      <c r="AY938" s="2186">
        <f t="shared" si="1940"/>
        <v>0</v>
      </c>
      <c r="AZ938" s="2188">
        <f t="shared" si="1979"/>
        <v>0</v>
      </c>
      <c r="BA938" s="2188">
        <f t="shared" si="1979"/>
        <v>0</v>
      </c>
      <c r="BB938" s="2186">
        <f t="shared" si="1941"/>
        <v>0</v>
      </c>
      <c r="BC938" s="2188">
        <f t="shared" si="1980"/>
        <v>0</v>
      </c>
      <c r="BD938" s="2188">
        <f t="shared" si="1980"/>
        <v>0</v>
      </c>
      <c r="BE938" s="2186">
        <f t="shared" si="1942"/>
        <v>0</v>
      </c>
      <c r="BF938" s="2188">
        <f t="shared" si="1981"/>
        <v>0</v>
      </c>
      <c r="BG938" s="2188">
        <f t="shared" si="1981"/>
        <v>0</v>
      </c>
      <c r="BH938" s="2186">
        <f t="shared" si="1943"/>
        <v>0</v>
      </c>
      <c r="BI938" s="2188">
        <f t="shared" si="1982"/>
        <v>0</v>
      </c>
      <c r="BJ938" s="2188">
        <f t="shared" si="1982"/>
        <v>0</v>
      </c>
      <c r="BK938" s="2186">
        <f t="shared" si="1944"/>
        <v>0</v>
      </c>
      <c r="BL938" s="2188">
        <f t="shared" si="1983"/>
        <v>0</v>
      </c>
      <c r="BM938" s="2188">
        <f t="shared" si="1983"/>
        <v>0</v>
      </c>
      <c r="BN938" s="2186">
        <f t="shared" si="1945"/>
        <v>0</v>
      </c>
      <c r="BO938" s="2188">
        <f t="shared" si="1984"/>
        <v>0</v>
      </c>
      <c r="BP938" s="2188">
        <f t="shared" si="1984"/>
        <v>0</v>
      </c>
      <c r="BQ938" s="2186">
        <f t="shared" si="1946"/>
        <v>0</v>
      </c>
    </row>
    <row r="939" spans="3:69" s="2087" customFormat="1" ht="12" hidden="1" customHeight="1">
      <c r="C939" s="2473" t="s">
        <v>3148</v>
      </c>
      <c r="D939" s="2334" t="s">
        <v>42</v>
      </c>
      <c r="E939" s="2250" t="s">
        <v>3046</v>
      </c>
      <c r="F939" s="2176"/>
      <c r="G939" s="2179">
        <f t="shared" si="1968"/>
        <v>0</v>
      </c>
      <c r="H939" s="2179">
        <f t="shared" si="1968"/>
        <v>0</v>
      </c>
      <c r="I939" s="2178">
        <f t="shared" si="1925"/>
        <v>0</v>
      </c>
      <c r="J939" s="2176"/>
      <c r="K939" s="2179">
        <f t="shared" si="1965"/>
        <v>0</v>
      </c>
      <c r="L939" s="2179">
        <f t="shared" si="1948"/>
        <v>0</v>
      </c>
      <c r="M939" s="2178">
        <f t="shared" si="1926"/>
        <v>0</v>
      </c>
      <c r="N939" s="2179">
        <f t="shared" si="1969"/>
        <v>0</v>
      </c>
      <c r="O939" s="2179">
        <f t="shared" si="1969"/>
        <v>0</v>
      </c>
      <c r="P939" s="2178">
        <f t="shared" si="1927"/>
        <v>0</v>
      </c>
      <c r="Q939" s="2184">
        <f t="shared" si="1970"/>
        <v>0</v>
      </c>
      <c r="R939" s="2179">
        <f t="shared" si="1970"/>
        <v>0</v>
      </c>
      <c r="S939" s="2178">
        <f t="shared" si="1928"/>
        <v>0</v>
      </c>
      <c r="T939" s="2181">
        <f t="shared" si="1966"/>
        <v>0</v>
      </c>
      <c r="U939" s="2179">
        <f t="shared" si="1966"/>
        <v>0</v>
      </c>
      <c r="V939" s="2178">
        <f t="shared" si="1930"/>
        <v>0</v>
      </c>
      <c r="W939" s="2184">
        <f t="shared" si="1971"/>
        <v>0</v>
      </c>
      <c r="X939" s="2179">
        <f t="shared" si="1971"/>
        <v>0</v>
      </c>
      <c r="Y939" s="2178">
        <f t="shared" si="1931"/>
        <v>0</v>
      </c>
      <c r="Z939" s="2181">
        <f t="shared" si="1967"/>
        <v>0</v>
      </c>
      <c r="AA939" s="2179">
        <f t="shared" si="1967"/>
        <v>0</v>
      </c>
      <c r="AB939" s="2178">
        <f t="shared" si="1933"/>
        <v>0</v>
      </c>
      <c r="AC939" s="2184">
        <f t="shared" si="1972"/>
        <v>0</v>
      </c>
      <c r="AD939" s="2179">
        <f t="shared" si="1972"/>
        <v>0</v>
      </c>
      <c r="AE939" s="2178">
        <f t="shared" si="1934"/>
        <v>0</v>
      </c>
      <c r="AF939" s="2204"/>
      <c r="AG939" s="2114"/>
      <c r="AH939" s="2188">
        <f t="shared" si="1973"/>
        <v>0</v>
      </c>
      <c r="AI939" s="2188">
        <f t="shared" si="1973"/>
        <v>0</v>
      </c>
      <c r="AJ939" s="2186">
        <f t="shared" si="1935"/>
        <v>0</v>
      </c>
      <c r="AK939" s="2188">
        <f t="shared" si="1974"/>
        <v>0</v>
      </c>
      <c r="AL939" s="2188">
        <f t="shared" si="1974"/>
        <v>0</v>
      </c>
      <c r="AM939" s="2186">
        <f t="shared" si="1936"/>
        <v>0</v>
      </c>
      <c r="AN939" s="2188">
        <f t="shared" si="1975"/>
        <v>0</v>
      </c>
      <c r="AO939" s="2188">
        <f t="shared" si="1975"/>
        <v>0</v>
      </c>
      <c r="AP939" s="2186">
        <f t="shared" si="1937"/>
        <v>0</v>
      </c>
      <c r="AQ939" s="2188">
        <f t="shared" si="1976"/>
        <v>0</v>
      </c>
      <c r="AR939" s="2188">
        <f t="shared" si="1976"/>
        <v>0</v>
      </c>
      <c r="AS939" s="2186">
        <f t="shared" si="1938"/>
        <v>0</v>
      </c>
      <c r="AT939" s="2188">
        <f t="shared" si="1977"/>
        <v>0</v>
      </c>
      <c r="AU939" s="2188">
        <f t="shared" si="1977"/>
        <v>0</v>
      </c>
      <c r="AV939" s="2186">
        <f t="shared" si="1939"/>
        <v>0</v>
      </c>
      <c r="AW939" s="2188">
        <f t="shared" si="1978"/>
        <v>0</v>
      </c>
      <c r="AX939" s="2188">
        <f t="shared" si="1978"/>
        <v>0</v>
      </c>
      <c r="AY939" s="2186">
        <f t="shared" si="1940"/>
        <v>0</v>
      </c>
      <c r="AZ939" s="2188">
        <f t="shared" si="1979"/>
        <v>0</v>
      </c>
      <c r="BA939" s="2188">
        <f t="shared" si="1979"/>
        <v>0</v>
      </c>
      <c r="BB939" s="2186">
        <f t="shared" si="1941"/>
        <v>0</v>
      </c>
      <c r="BC939" s="2188">
        <f t="shared" si="1980"/>
        <v>0</v>
      </c>
      <c r="BD939" s="2188">
        <f t="shared" si="1980"/>
        <v>0</v>
      </c>
      <c r="BE939" s="2186">
        <f t="shared" si="1942"/>
        <v>0</v>
      </c>
      <c r="BF939" s="2188">
        <f t="shared" si="1981"/>
        <v>0</v>
      </c>
      <c r="BG939" s="2188">
        <f t="shared" si="1981"/>
        <v>0</v>
      </c>
      <c r="BH939" s="2186">
        <f t="shared" si="1943"/>
        <v>0</v>
      </c>
      <c r="BI939" s="2188">
        <f t="shared" si="1982"/>
        <v>0</v>
      </c>
      <c r="BJ939" s="2188">
        <f t="shared" si="1982"/>
        <v>0</v>
      </c>
      <c r="BK939" s="2186">
        <f t="shared" si="1944"/>
        <v>0</v>
      </c>
      <c r="BL939" s="2188">
        <f t="shared" si="1983"/>
        <v>0</v>
      </c>
      <c r="BM939" s="2188">
        <f t="shared" si="1983"/>
        <v>0</v>
      </c>
      <c r="BN939" s="2186">
        <f t="shared" si="1945"/>
        <v>0</v>
      </c>
      <c r="BO939" s="2188">
        <f t="shared" si="1984"/>
        <v>0</v>
      </c>
      <c r="BP939" s="2188">
        <f t="shared" si="1984"/>
        <v>0</v>
      </c>
      <c r="BQ939" s="2186">
        <f t="shared" si="1946"/>
        <v>0</v>
      </c>
    </row>
    <row r="940" spans="3:69" s="2087" customFormat="1" ht="12" hidden="1" customHeight="1">
      <c r="C940" s="2473" t="s">
        <v>3149</v>
      </c>
      <c r="D940" s="2334" t="s">
        <v>2434</v>
      </c>
      <c r="E940" s="2250" t="s">
        <v>3046</v>
      </c>
      <c r="F940" s="2176"/>
      <c r="G940" s="2179">
        <f t="shared" si="1968"/>
        <v>0</v>
      </c>
      <c r="H940" s="2179">
        <f t="shared" si="1968"/>
        <v>0</v>
      </c>
      <c r="I940" s="2178">
        <f t="shared" si="1925"/>
        <v>0</v>
      </c>
      <c r="J940" s="2176"/>
      <c r="K940" s="2179">
        <f>N940+Q940+W940+AC940</f>
        <v>0</v>
      </c>
      <c r="L940" s="2179">
        <f>O940+R940+X940+AD940</f>
        <v>0</v>
      </c>
      <c r="M940" s="2178">
        <f t="shared" si="1926"/>
        <v>0</v>
      </c>
      <c r="N940" s="2179">
        <f t="shared" si="1969"/>
        <v>0</v>
      </c>
      <c r="O940" s="2179">
        <f t="shared" si="1969"/>
        <v>0</v>
      </c>
      <c r="P940" s="2178">
        <f t="shared" si="1927"/>
        <v>0</v>
      </c>
      <c r="Q940" s="2179">
        <f t="shared" si="1970"/>
        <v>0</v>
      </c>
      <c r="R940" s="2179">
        <f t="shared" si="1970"/>
        <v>0</v>
      </c>
      <c r="S940" s="2178">
        <f t="shared" si="1928"/>
        <v>0</v>
      </c>
      <c r="T940" s="2181">
        <f>N940+Q940</f>
        <v>0</v>
      </c>
      <c r="U940" s="2179">
        <f>O940+R940</f>
        <v>0</v>
      </c>
      <c r="V940" s="2178">
        <f t="shared" si="1930"/>
        <v>0</v>
      </c>
      <c r="W940" s="2179">
        <f t="shared" si="1971"/>
        <v>0</v>
      </c>
      <c r="X940" s="2179">
        <f t="shared" si="1971"/>
        <v>0</v>
      </c>
      <c r="Y940" s="2178">
        <f t="shared" si="1931"/>
        <v>0</v>
      </c>
      <c r="Z940" s="2181">
        <f>T940+W940</f>
        <v>0</v>
      </c>
      <c r="AA940" s="2179">
        <f>U940+X940</f>
        <v>0</v>
      </c>
      <c r="AB940" s="2178">
        <f t="shared" si="1933"/>
        <v>0</v>
      </c>
      <c r="AC940" s="2179">
        <f t="shared" si="1972"/>
        <v>0</v>
      </c>
      <c r="AD940" s="2179">
        <f t="shared" si="1972"/>
        <v>0</v>
      </c>
      <c r="AE940" s="2178">
        <f t="shared" si="1934"/>
        <v>0</v>
      </c>
      <c r="AF940" s="2204"/>
      <c r="AG940" s="2114"/>
      <c r="AH940" s="2188">
        <f t="shared" si="1973"/>
        <v>0</v>
      </c>
      <c r="AI940" s="2188">
        <f t="shared" si="1973"/>
        <v>0</v>
      </c>
      <c r="AJ940" s="2186">
        <f t="shared" si="1935"/>
        <v>0</v>
      </c>
      <c r="AK940" s="2188">
        <f t="shared" si="1974"/>
        <v>0</v>
      </c>
      <c r="AL940" s="2188">
        <f t="shared" si="1974"/>
        <v>0</v>
      </c>
      <c r="AM940" s="2186">
        <f t="shared" si="1936"/>
        <v>0</v>
      </c>
      <c r="AN940" s="2188">
        <f t="shared" si="1975"/>
        <v>0</v>
      </c>
      <c r="AO940" s="2188">
        <f t="shared" si="1975"/>
        <v>0</v>
      </c>
      <c r="AP940" s="2186">
        <f t="shared" si="1937"/>
        <v>0</v>
      </c>
      <c r="AQ940" s="2188">
        <f t="shared" si="1976"/>
        <v>0</v>
      </c>
      <c r="AR940" s="2188">
        <f t="shared" si="1976"/>
        <v>0</v>
      </c>
      <c r="AS940" s="2186">
        <f t="shared" si="1938"/>
        <v>0</v>
      </c>
      <c r="AT940" s="2188">
        <f t="shared" si="1977"/>
        <v>0</v>
      </c>
      <c r="AU940" s="2188">
        <f t="shared" si="1977"/>
        <v>0</v>
      </c>
      <c r="AV940" s="2186">
        <f t="shared" si="1939"/>
        <v>0</v>
      </c>
      <c r="AW940" s="2188">
        <f t="shared" si="1978"/>
        <v>0</v>
      </c>
      <c r="AX940" s="2188">
        <f t="shared" si="1978"/>
        <v>0</v>
      </c>
      <c r="AY940" s="2186">
        <f t="shared" si="1940"/>
        <v>0</v>
      </c>
      <c r="AZ940" s="2188">
        <f t="shared" si="1979"/>
        <v>0</v>
      </c>
      <c r="BA940" s="2188">
        <f t="shared" si="1979"/>
        <v>0</v>
      </c>
      <c r="BB940" s="2186">
        <f t="shared" si="1941"/>
        <v>0</v>
      </c>
      <c r="BC940" s="2188">
        <f t="shared" si="1980"/>
        <v>0</v>
      </c>
      <c r="BD940" s="2188">
        <f t="shared" si="1980"/>
        <v>0</v>
      </c>
      <c r="BE940" s="2186">
        <f t="shared" si="1942"/>
        <v>0</v>
      </c>
      <c r="BF940" s="2188">
        <f t="shared" si="1981"/>
        <v>0</v>
      </c>
      <c r="BG940" s="2188">
        <f t="shared" si="1981"/>
        <v>0</v>
      </c>
      <c r="BH940" s="2186">
        <f t="shared" si="1943"/>
        <v>0</v>
      </c>
      <c r="BI940" s="2188">
        <f t="shared" si="1982"/>
        <v>0</v>
      </c>
      <c r="BJ940" s="2188">
        <f t="shared" si="1982"/>
        <v>0</v>
      </c>
      <c r="BK940" s="2186">
        <f t="shared" si="1944"/>
        <v>0</v>
      </c>
      <c r="BL940" s="2188">
        <f t="shared" si="1983"/>
        <v>0</v>
      </c>
      <c r="BM940" s="2188">
        <f t="shared" si="1983"/>
        <v>0</v>
      </c>
      <c r="BN940" s="2186">
        <f t="shared" si="1945"/>
        <v>0</v>
      </c>
      <c r="BO940" s="2188">
        <f t="shared" si="1984"/>
        <v>0</v>
      </c>
      <c r="BP940" s="2188">
        <f t="shared" si="1984"/>
        <v>0</v>
      </c>
      <c r="BQ940" s="2186">
        <f t="shared" si="1946"/>
        <v>0</v>
      </c>
    </row>
    <row r="941" spans="3:69" s="2087" customFormat="1" ht="12" hidden="1" customHeight="1">
      <c r="C941" s="2423" t="s">
        <v>3150</v>
      </c>
      <c r="D941" s="2421" t="s">
        <v>3151</v>
      </c>
      <c r="E941" s="2250" t="s">
        <v>3015</v>
      </c>
      <c r="F941" s="2176"/>
      <c r="G941" s="2179">
        <f t="shared" si="1968"/>
        <v>0</v>
      </c>
      <c r="H941" s="2179">
        <f t="shared" si="1968"/>
        <v>0</v>
      </c>
      <c r="I941" s="2178">
        <f t="shared" si="1925"/>
        <v>0</v>
      </c>
      <c r="J941" s="2176"/>
      <c r="K941" s="2179">
        <f t="shared" si="1965"/>
        <v>0</v>
      </c>
      <c r="L941" s="2179">
        <f t="shared" si="1948"/>
        <v>0</v>
      </c>
      <c r="M941" s="2178">
        <f t="shared" si="1926"/>
        <v>0</v>
      </c>
      <c r="N941" s="2179">
        <f t="shared" si="1969"/>
        <v>0</v>
      </c>
      <c r="O941" s="2179">
        <f t="shared" si="1969"/>
        <v>0</v>
      </c>
      <c r="P941" s="2178">
        <f t="shared" si="1927"/>
        <v>0</v>
      </c>
      <c r="Q941" s="2184">
        <f t="shared" si="1970"/>
        <v>0</v>
      </c>
      <c r="R941" s="2179">
        <f t="shared" si="1970"/>
        <v>0</v>
      </c>
      <c r="S941" s="2178">
        <f t="shared" si="1928"/>
        <v>0</v>
      </c>
      <c r="T941" s="2181">
        <f t="shared" si="1966"/>
        <v>0</v>
      </c>
      <c r="U941" s="2179">
        <f t="shared" si="1966"/>
        <v>0</v>
      </c>
      <c r="V941" s="2178">
        <f t="shared" si="1930"/>
        <v>0</v>
      </c>
      <c r="W941" s="2184">
        <f t="shared" si="1971"/>
        <v>0</v>
      </c>
      <c r="X941" s="2179">
        <f t="shared" si="1971"/>
        <v>0</v>
      </c>
      <c r="Y941" s="2178">
        <f t="shared" si="1931"/>
        <v>0</v>
      </c>
      <c r="Z941" s="2181">
        <f t="shared" si="1967"/>
        <v>0</v>
      </c>
      <c r="AA941" s="2179">
        <f t="shared" si="1967"/>
        <v>0</v>
      </c>
      <c r="AB941" s="2178">
        <f t="shared" si="1933"/>
        <v>0</v>
      </c>
      <c r="AC941" s="2184">
        <f t="shared" si="1972"/>
        <v>0</v>
      </c>
      <c r="AD941" s="2179">
        <f t="shared" si="1972"/>
        <v>0</v>
      </c>
      <c r="AE941" s="2178">
        <f t="shared" si="1934"/>
        <v>0</v>
      </c>
      <c r="AF941" s="2204"/>
      <c r="AG941" s="2114"/>
      <c r="AH941" s="2188">
        <f t="shared" si="1973"/>
        <v>0</v>
      </c>
      <c r="AI941" s="2188">
        <f t="shared" si="1973"/>
        <v>0</v>
      </c>
      <c r="AJ941" s="2186">
        <f t="shared" si="1935"/>
        <v>0</v>
      </c>
      <c r="AK941" s="2188">
        <f t="shared" si="1974"/>
        <v>0</v>
      </c>
      <c r="AL941" s="2188">
        <f t="shared" si="1974"/>
        <v>0</v>
      </c>
      <c r="AM941" s="2186">
        <f t="shared" si="1936"/>
        <v>0</v>
      </c>
      <c r="AN941" s="2188">
        <f t="shared" si="1975"/>
        <v>0</v>
      </c>
      <c r="AO941" s="2188">
        <f t="shared" si="1975"/>
        <v>0</v>
      </c>
      <c r="AP941" s="2186">
        <f t="shared" si="1937"/>
        <v>0</v>
      </c>
      <c r="AQ941" s="2188">
        <f t="shared" si="1976"/>
        <v>0</v>
      </c>
      <c r="AR941" s="2188">
        <f t="shared" si="1976"/>
        <v>0</v>
      </c>
      <c r="AS941" s="2186">
        <f t="shared" si="1938"/>
        <v>0</v>
      </c>
      <c r="AT941" s="2188">
        <f t="shared" si="1977"/>
        <v>0</v>
      </c>
      <c r="AU941" s="2188">
        <f t="shared" si="1977"/>
        <v>0</v>
      </c>
      <c r="AV941" s="2186">
        <f t="shared" si="1939"/>
        <v>0</v>
      </c>
      <c r="AW941" s="2188">
        <f t="shared" si="1978"/>
        <v>0</v>
      </c>
      <c r="AX941" s="2188">
        <f t="shared" si="1978"/>
        <v>0</v>
      </c>
      <c r="AY941" s="2186">
        <f t="shared" si="1940"/>
        <v>0</v>
      </c>
      <c r="AZ941" s="2188">
        <f t="shared" si="1979"/>
        <v>0</v>
      </c>
      <c r="BA941" s="2188">
        <f t="shared" si="1979"/>
        <v>0</v>
      </c>
      <c r="BB941" s="2186">
        <f t="shared" si="1941"/>
        <v>0</v>
      </c>
      <c r="BC941" s="2188">
        <f t="shared" si="1980"/>
        <v>0</v>
      </c>
      <c r="BD941" s="2188">
        <f t="shared" si="1980"/>
        <v>0</v>
      </c>
      <c r="BE941" s="2186">
        <f t="shared" si="1942"/>
        <v>0</v>
      </c>
      <c r="BF941" s="2188">
        <f t="shared" si="1981"/>
        <v>0</v>
      </c>
      <c r="BG941" s="2188">
        <f t="shared" si="1981"/>
        <v>0</v>
      </c>
      <c r="BH941" s="2186">
        <f t="shared" si="1943"/>
        <v>0</v>
      </c>
      <c r="BI941" s="2188">
        <f t="shared" si="1982"/>
        <v>0</v>
      </c>
      <c r="BJ941" s="2188">
        <f t="shared" si="1982"/>
        <v>0</v>
      </c>
      <c r="BK941" s="2186">
        <f t="shared" si="1944"/>
        <v>0</v>
      </c>
      <c r="BL941" s="2188">
        <f t="shared" si="1983"/>
        <v>0</v>
      </c>
      <c r="BM941" s="2188">
        <f t="shared" si="1983"/>
        <v>0</v>
      </c>
      <c r="BN941" s="2186">
        <f t="shared" si="1945"/>
        <v>0</v>
      </c>
      <c r="BO941" s="2188">
        <f t="shared" si="1984"/>
        <v>0</v>
      </c>
      <c r="BP941" s="2188">
        <f t="shared" si="1984"/>
        <v>0</v>
      </c>
      <c r="BQ941" s="2186">
        <f t="shared" si="1946"/>
        <v>0</v>
      </c>
    </row>
    <row r="942" spans="3:69" s="2087" customFormat="1" ht="12" hidden="1" customHeight="1">
      <c r="C942" s="2473" t="s">
        <v>3152</v>
      </c>
      <c r="D942" s="2334" t="s">
        <v>28</v>
      </c>
      <c r="E942" s="2250" t="s">
        <v>3015</v>
      </c>
      <c r="F942" s="2176"/>
      <c r="G942" s="2179">
        <f>G968</f>
        <v>0</v>
      </c>
      <c r="H942" s="2179">
        <f>H968</f>
        <v>0</v>
      </c>
      <c r="I942" s="2178">
        <f t="shared" si="1925"/>
        <v>0</v>
      </c>
      <c r="J942" s="2176"/>
      <c r="K942" s="2179">
        <f t="shared" si="1965"/>
        <v>0</v>
      </c>
      <c r="L942" s="2179">
        <f t="shared" si="1948"/>
        <v>0</v>
      </c>
      <c r="M942" s="2178">
        <f t="shared" si="1926"/>
        <v>0</v>
      </c>
      <c r="N942" s="2179">
        <f>N968</f>
        <v>0</v>
      </c>
      <c r="O942" s="2179">
        <f>O968</f>
        <v>0</v>
      </c>
      <c r="P942" s="2178">
        <f t="shared" si="1927"/>
        <v>0</v>
      </c>
      <c r="Q942" s="2184">
        <f>Q968</f>
        <v>0</v>
      </c>
      <c r="R942" s="2179">
        <f>R968</f>
        <v>0</v>
      </c>
      <c r="S942" s="2178">
        <f t="shared" si="1928"/>
        <v>0</v>
      </c>
      <c r="T942" s="2181">
        <f t="shared" si="1966"/>
        <v>0</v>
      </c>
      <c r="U942" s="2179">
        <f t="shared" si="1966"/>
        <v>0</v>
      </c>
      <c r="V942" s="2178">
        <f t="shared" si="1930"/>
        <v>0</v>
      </c>
      <c r="W942" s="2184">
        <f>W968</f>
        <v>0</v>
      </c>
      <c r="X942" s="2179">
        <f>X968</f>
        <v>0</v>
      </c>
      <c r="Y942" s="2178">
        <f t="shared" si="1931"/>
        <v>0</v>
      </c>
      <c r="Z942" s="2181">
        <f t="shared" si="1967"/>
        <v>0</v>
      </c>
      <c r="AA942" s="2179">
        <f t="shared" si="1967"/>
        <v>0</v>
      </c>
      <c r="AB942" s="2178">
        <f t="shared" si="1933"/>
        <v>0</v>
      </c>
      <c r="AC942" s="2184">
        <f>AC968</f>
        <v>0</v>
      </c>
      <c r="AD942" s="2179">
        <f>AD968</f>
        <v>0</v>
      </c>
      <c r="AE942" s="2178">
        <f t="shared" si="1934"/>
        <v>0</v>
      </c>
      <c r="AF942" s="2204"/>
      <c r="AG942" s="2114"/>
      <c r="AH942" s="2188">
        <f>AH968</f>
        <v>0</v>
      </c>
      <c r="AI942" s="2188">
        <f>AI968</f>
        <v>0</v>
      </c>
      <c r="AJ942" s="2186">
        <f t="shared" si="1935"/>
        <v>0</v>
      </c>
      <c r="AK942" s="2188">
        <f>AK968</f>
        <v>0</v>
      </c>
      <c r="AL942" s="2188">
        <f>AL968</f>
        <v>0</v>
      </c>
      <c r="AM942" s="2186">
        <f t="shared" si="1936"/>
        <v>0</v>
      </c>
      <c r="AN942" s="2188">
        <f>AN968</f>
        <v>0</v>
      </c>
      <c r="AO942" s="2188">
        <f>AO968</f>
        <v>0</v>
      </c>
      <c r="AP942" s="2186">
        <f t="shared" si="1937"/>
        <v>0</v>
      </c>
      <c r="AQ942" s="2188">
        <f>AQ968</f>
        <v>0</v>
      </c>
      <c r="AR942" s="2188">
        <f>AR968</f>
        <v>0</v>
      </c>
      <c r="AS942" s="2186">
        <f t="shared" si="1938"/>
        <v>0</v>
      </c>
      <c r="AT942" s="2188">
        <f>AT968</f>
        <v>0</v>
      </c>
      <c r="AU942" s="2188">
        <f>AU968</f>
        <v>0</v>
      </c>
      <c r="AV942" s="2186">
        <f t="shared" si="1939"/>
        <v>0</v>
      </c>
      <c r="AW942" s="2188">
        <f>AW968</f>
        <v>0</v>
      </c>
      <c r="AX942" s="2188">
        <f>AX968</f>
        <v>0</v>
      </c>
      <c r="AY942" s="2186">
        <f t="shared" si="1940"/>
        <v>0</v>
      </c>
      <c r="AZ942" s="2188">
        <f>AZ968</f>
        <v>0</v>
      </c>
      <c r="BA942" s="2188">
        <f>BA968</f>
        <v>0</v>
      </c>
      <c r="BB942" s="2186">
        <f t="shared" si="1941"/>
        <v>0</v>
      </c>
      <c r="BC942" s="2188">
        <f>BC968</f>
        <v>0</v>
      </c>
      <c r="BD942" s="2188">
        <f>BD968</f>
        <v>0</v>
      </c>
      <c r="BE942" s="2186">
        <f t="shared" si="1942"/>
        <v>0</v>
      </c>
      <c r="BF942" s="2188">
        <f>BF968</f>
        <v>0</v>
      </c>
      <c r="BG942" s="2188">
        <f>BG968</f>
        <v>0</v>
      </c>
      <c r="BH942" s="2186">
        <f t="shared" si="1943"/>
        <v>0</v>
      </c>
      <c r="BI942" s="2188">
        <f>BI968</f>
        <v>0</v>
      </c>
      <c r="BJ942" s="2188">
        <f>BJ968</f>
        <v>0</v>
      </c>
      <c r="BK942" s="2186">
        <f t="shared" si="1944"/>
        <v>0</v>
      </c>
      <c r="BL942" s="2188">
        <f>BL968</f>
        <v>0</v>
      </c>
      <c r="BM942" s="2188">
        <f>BM968</f>
        <v>0</v>
      </c>
      <c r="BN942" s="2186">
        <f t="shared" si="1945"/>
        <v>0</v>
      </c>
      <c r="BO942" s="2188">
        <f>BO968</f>
        <v>0</v>
      </c>
      <c r="BP942" s="2188">
        <f>BP968</f>
        <v>0</v>
      </c>
      <c r="BQ942" s="2186">
        <f t="shared" si="1946"/>
        <v>0</v>
      </c>
    </row>
    <row r="943" spans="3:69" s="2087" customFormat="1" ht="12" hidden="1" customHeight="1">
      <c r="C943" s="2473" t="s">
        <v>3153</v>
      </c>
      <c r="D943" s="2334" t="s">
        <v>2434</v>
      </c>
      <c r="E943" s="2250" t="s">
        <v>3015</v>
      </c>
      <c r="F943" s="2176"/>
      <c r="G943" s="2179">
        <f>G969</f>
        <v>0</v>
      </c>
      <c r="H943" s="2179">
        <f>H969</f>
        <v>0</v>
      </c>
      <c r="I943" s="2178">
        <f t="shared" si="1925"/>
        <v>0</v>
      </c>
      <c r="J943" s="2176"/>
      <c r="K943" s="2179">
        <f>N943+Q943+W943+AC943</f>
        <v>0</v>
      </c>
      <c r="L943" s="2179">
        <f>O943+R943+X943+AD943</f>
        <v>0</v>
      </c>
      <c r="M943" s="2178">
        <f t="shared" si="1926"/>
        <v>0</v>
      </c>
      <c r="N943" s="2179">
        <f>N969</f>
        <v>0</v>
      </c>
      <c r="O943" s="2179">
        <f>O969</f>
        <v>0</v>
      </c>
      <c r="P943" s="2178">
        <f t="shared" si="1927"/>
        <v>0</v>
      </c>
      <c r="Q943" s="2179">
        <f>Q969</f>
        <v>0</v>
      </c>
      <c r="R943" s="2179">
        <f>R969</f>
        <v>0</v>
      </c>
      <c r="S943" s="2178">
        <f t="shared" si="1928"/>
        <v>0</v>
      </c>
      <c r="T943" s="2181">
        <f>N943+Q943</f>
        <v>0</v>
      </c>
      <c r="U943" s="2179">
        <f>O943+R943</f>
        <v>0</v>
      </c>
      <c r="V943" s="2178">
        <f t="shared" si="1930"/>
        <v>0</v>
      </c>
      <c r="W943" s="2179">
        <f>W969</f>
        <v>0</v>
      </c>
      <c r="X943" s="2179">
        <f>X969</f>
        <v>0</v>
      </c>
      <c r="Y943" s="2178">
        <f t="shared" si="1931"/>
        <v>0</v>
      </c>
      <c r="Z943" s="2181">
        <f>T943+W943</f>
        <v>0</v>
      </c>
      <c r="AA943" s="2179">
        <f>U943+X943</f>
        <v>0</v>
      </c>
      <c r="AB943" s="2178">
        <f t="shared" si="1933"/>
        <v>0</v>
      </c>
      <c r="AC943" s="2179">
        <f>AC969</f>
        <v>0</v>
      </c>
      <c r="AD943" s="2179">
        <f>AD969</f>
        <v>0</v>
      </c>
      <c r="AE943" s="2178">
        <f t="shared" si="1934"/>
        <v>0</v>
      </c>
      <c r="AF943" s="2204"/>
      <c r="AG943" s="2114"/>
      <c r="AH943" s="2188">
        <f>AH969</f>
        <v>0</v>
      </c>
      <c r="AI943" s="2188">
        <f>AI969</f>
        <v>0</v>
      </c>
      <c r="AJ943" s="2186">
        <f t="shared" si="1935"/>
        <v>0</v>
      </c>
      <c r="AK943" s="2188">
        <f>AK969</f>
        <v>0</v>
      </c>
      <c r="AL943" s="2188">
        <f>AL969</f>
        <v>0</v>
      </c>
      <c r="AM943" s="2186">
        <f t="shared" si="1936"/>
        <v>0</v>
      </c>
      <c r="AN943" s="2188">
        <f>AN969</f>
        <v>0</v>
      </c>
      <c r="AO943" s="2188">
        <f>AO969</f>
        <v>0</v>
      </c>
      <c r="AP943" s="2186">
        <f t="shared" si="1937"/>
        <v>0</v>
      </c>
      <c r="AQ943" s="2188">
        <f>AQ969</f>
        <v>0</v>
      </c>
      <c r="AR943" s="2188">
        <f>AR969</f>
        <v>0</v>
      </c>
      <c r="AS943" s="2186">
        <f t="shared" si="1938"/>
        <v>0</v>
      </c>
      <c r="AT943" s="2188">
        <f>AT969</f>
        <v>0</v>
      </c>
      <c r="AU943" s="2188">
        <f>AU969</f>
        <v>0</v>
      </c>
      <c r="AV943" s="2186">
        <f t="shared" si="1939"/>
        <v>0</v>
      </c>
      <c r="AW943" s="2188">
        <f>AW969</f>
        <v>0</v>
      </c>
      <c r="AX943" s="2188">
        <f>AX969</f>
        <v>0</v>
      </c>
      <c r="AY943" s="2186">
        <f t="shared" si="1940"/>
        <v>0</v>
      </c>
      <c r="AZ943" s="2188">
        <f>AZ969</f>
        <v>0</v>
      </c>
      <c r="BA943" s="2188">
        <f>BA969</f>
        <v>0</v>
      </c>
      <c r="BB943" s="2186">
        <f t="shared" si="1941"/>
        <v>0</v>
      </c>
      <c r="BC943" s="2188">
        <f>BC969</f>
        <v>0</v>
      </c>
      <c r="BD943" s="2188">
        <f>BD969</f>
        <v>0</v>
      </c>
      <c r="BE943" s="2186">
        <f t="shared" si="1942"/>
        <v>0</v>
      </c>
      <c r="BF943" s="2188">
        <f>BF969</f>
        <v>0</v>
      </c>
      <c r="BG943" s="2188">
        <f>BG969</f>
        <v>0</v>
      </c>
      <c r="BH943" s="2186">
        <f t="shared" si="1943"/>
        <v>0</v>
      </c>
      <c r="BI943" s="2188">
        <f>BI969</f>
        <v>0</v>
      </c>
      <c r="BJ943" s="2188">
        <f>BJ969</f>
        <v>0</v>
      </c>
      <c r="BK943" s="2186">
        <f t="shared" si="1944"/>
        <v>0</v>
      </c>
      <c r="BL943" s="2188">
        <f>BL969</f>
        <v>0</v>
      </c>
      <c r="BM943" s="2188">
        <f>BM969</f>
        <v>0</v>
      </c>
      <c r="BN943" s="2186">
        <f t="shared" si="1945"/>
        <v>0</v>
      </c>
      <c r="BO943" s="2188">
        <f>BO969</f>
        <v>0</v>
      </c>
      <c r="BP943" s="2188">
        <f>BP969</f>
        <v>0</v>
      </c>
      <c r="BQ943" s="2186">
        <f t="shared" si="1946"/>
        <v>0</v>
      </c>
    </row>
    <row r="944" spans="3:69" s="2087" customFormat="1" ht="12" hidden="1" customHeight="1">
      <c r="C944" s="2473" t="s">
        <v>3154</v>
      </c>
      <c r="D944" s="2334" t="s">
        <v>2872</v>
      </c>
      <c r="E944" s="2250" t="s">
        <v>3015</v>
      </c>
      <c r="F944" s="2176"/>
      <c r="G944" s="2179">
        <f t="shared" ref="G944:H947" si="1985">G955+G970</f>
        <v>0</v>
      </c>
      <c r="H944" s="2179">
        <f t="shared" si="1985"/>
        <v>0</v>
      </c>
      <c r="I944" s="2178">
        <f t="shared" si="1925"/>
        <v>0</v>
      </c>
      <c r="J944" s="2176"/>
      <c r="K944" s="2179">
        <f t="shared" si="1965"/>
        <v>0</v>
      </c>
      <c r="L944" s="2179">
        <f t="shared" si="1948"/>
        <v>0</v>
      </c>
      <c r="M944" s="2178">
        <f t="shared" si="1926"/>
        <v>0</v>
      </c>
      <c r="N944" s="2179">
        <f t="shared" ref="N944:O947" si="1986">N955+N970</f>
        <v>0</v>
      </c>
      <c r="O944" s="2179">
        <f t="shared" si="1986"/>
        <v>0</v>
      </c>
      <c r="P944" s="2178">
        <f t="shared" si="1927"/>
        <v>0</v>
      </c>
      <c r="Q944" s="2184">
        <f t="shared" ref="Q944:R947" si="1987">Q955+Q970</f>
        <v>0</v>
      </c>
      <c r="R944" s="2179">
        <f t="shared" si="1987"/>
        <v>0</v>
      </c>
      <c r="S944" s="2178">
        <f t="shared" si="1928"/>
        <v>0</v>
      </c>
      <c r="T944" s="2181">
        <f t="shared" si="1966"/>
        <v>0</v>
      </c>
      <c r="U944" s="2179">
        <f t="shared" si="1966"/>
        <v>0</v>
      </c>
      <c r="V944" s="2178">
        <f t="shared" si="1930"/>
        <v>0</v>
      </c>
      <c r="W944" s="2184">
        <f t="shared" ref="W944:X947" si="1988">W955+W970</f>
        <v>0</v>
      </c>
      <c r="X944" s="2179">
        <f t="shared" si="1988"/>
        <v>0</v>
      </c>
      <c r="Y944" s="2178">
        <f t="shared" si="1931"/>
        <v>0</v>
      </c>
      <c r="Z944" s="2181">
        <f t="shared" si="1967"/>
        <v>0</v>
      </c>
      <c r="AA944" s="2179">
        <f t="shared" si="1967"/>
        <v>0</v>
      </c>
      <c r="AB944" s="2178">
        <f t="shared" si="1933"/>
        <v>0</v>
      </c>
      <c r="AC944" s="2184">
        <f t="shared" ref="AC944:AD947" si="1989">AC955+AC970</f>
        <v>0</v>
      </c>
      <c r="AD944" s="2179">
        <f t="shared" si="1989"/>
        <v>0</v>
      </c>
      <c r="AE944" s="2178">
        <f t="shared" si="1934"/>
        <v>0</v>
      </c>
      <c r="AF944" s="2204"/>
      <c r="AG944" s="2114"/>
      <c r="AH944" s="2188">
        <f t="shared" ref="AH944:AI947" si="1990">AH955+AH970</f>
        <v>0</v>
      </c>
      <c r="AI944" s="2188">
        <f t="shared" si="1990"/>
        <v>0</v>
      </c>
      <c r="AJ944" s="2186">
        <f t="shared" si="1935"/>
        <v>0</v>
      </c>
      <c r="AK944" s="2188">
        <f t="shared" ref="AK944:AL947" si="1991">AK955+AK970</f>
        <v>0</v>
      </c>
      <c r="AL944" s="2188">
        <f t="shared" si="1991"/>
        <v>0</v>
      </c>
      <c r="AM944" s="2186">
        <f t="shared" si="1936"/>
        <v>0</v>
      </c>
      <c r="AN944" s="2188">
        <f t="shared" ref="AN944:AO947" si="1992">AN955+AN970</f>
        <v>0</v>
      </c>
      <c r="AO944" s="2188">
        <f t="shared" si="1992"/>
        <v>0</v>
      </c>
      <c r="AP944" s="2186">
        <f t="shared" si="1937"/>
        <v>0</v>
      </c>
      <c r="AQ944" s="2188">
        <f t="shared" ref="AQ944:AR947" si="1993">AQ955+AQ970</f>
        <v>0</v>
      </c>
      <c r="AR944" s="2188">
        <f t="shared" si="1993"/>
        <v>0</v>
      </c>
      <c r="AS944" s="2186">
        <f t="shared" si="1938"/>
        <v>0</v>
      </c>
      <c r="AT944" s="2188">
        <f t="shared" ref="AT944:AU947" si="1994">AT955+AT970</f>
        <v>0</v>
      </c>
      <c r="AU944" s="2188">
        <f t="shared" si="1994"/>
        <v>0</v>
      </c>
      <c r="AV944" s="2186">
        <f t="shared" si="1939"/>
        <v>0</v>
      </c>
      <c r="AW944" s="2188">
        <f t="shared" ref="AW944:AX947" si="1995">AW955+AW970</f>
        <v>0</v>
      </c>
      <c r="AX944" s="2188">
        <f t="shared" si="1995"/>
        <v>0</v>
      </c>
      <c r="AY944" s="2186">
        <f t="shared" si="1940"/>
        <v>0</v>
      </c>
      <c r="AZ944" s="2188">
        <f t="shared" ref="AZ944:BA947" si="1996">AZ955+AZ970</f>
        <v>0</v>
      </c>
      <c r="BA944" s="2188">
        <f t="shared" si="1996"/>
        <v>0</v>
      </c>
      <c r="BB944" s="2186">
        <f t="shared" si="1941"/>
        <v>0</v>
      </c>
      <c r="BC944" s="2188">
        <f t="shared" ref="BC944:BD947" si="1997">BC955+BC970</f>
        <v>0</v>
      </c>
      <c r="BD944" s="2188">
        <f t="shared" si="1997"/>
        <v>0</v>
      </c>
      <c r="BE944" s="2186">
        <f t="shared" si="1942"/>
        <v>0</v>
      </c>
      <c r="BF944" s="2188">
        <f t="shared" ref="BF944:BG947" si="1998">BF955+BF970</f>
        <v>0</v>
      </c>
      <c r="BG944" s="2188">
        <f t="shared" si="1998"/>
        <v>0</v>
      </c>
      <c r="BH944" s="2186">
        <f t="shared" si="1943"/>
        <v>0</v>
      </c>
      <c r="BI944" s="2188">
        <f t="shared" ref="BI944:BJ947" si="1999">BI955+BI970</f>
        <v>0</v>
      </c>
      <c r="BJ944" s="2188">
        <f t="shared" si="1999"/>
        <v>0</v>
      </c>
      <c r="BK944" s="2186">
        <f t="shared" si="1944"/>
        <v>0</v>
      </c>
      <c r="BL944" s="2188">
        <f t="shared" ref="BL944:BM947" si="2000">BL955+BL970</f>
        <v>0</v>
      </c>
      <c r="BM944" s="2188">
        <f t="shared" si="2000"/>
        <v>0</v>
      </c>
      <c r="BN944" s="2186">
        <f t="shared" si="1945"/>
        <v>0</v>
      </c>
      <c r="BO944" s="2188">
        <f t="shared" ref="BO944:BP947" si="2001">BO955+BO970</f>
        <v>0</v>
      </c>
      <c r="BP944" s="2188">
        <f t="shared" si="2001"/>
        <v>0</v>
      </c>
      <c r="BQ944" s="2186">
        <f t="shared" si="1946"/>
        <v>0</v>
      </c>
    </row>
    <row r="945" spans="3:69" s="2087" customFormat="1" ht="12" hidden="1" customHeight="1">
      <c r="C945" s="2473" t="s">
        <v>3155</v>
      </c>
      <c r="D945" s="2334" t="s">
        <v>2434</v>
      </c>
      <c r="E945" s="2250" t="s">
        <v>3015</v>
      </c>
      <c r="F945" s="2176"/>
      <c r="G945" s="2179">
        <f t="shared" si="1985"/>
        <v>0</v>
      </c>
      <c r="H945" s="2179">
        <f t="shared" si="1985"/>
        <v>0</v>
      </c>
      <c r="I945" s="2178">
        <f t="shared" si="1925"/>
        <v>0</v>
      </c>
      <c r="J945" s="2176"/>
      <c r="K945" s="2179">
        <f>N945+Q945+W945+AC945</f>
        <v>0</v>
      </c>
      <c r="L945" s="2179">
        <f>O945+R945+X945+AD945</f>
        <v>0</v>
      </c>
      <c r="M945" s="2178">
        <f t="shared" si="1926"/>
        <v>0</v>
      </c>
      <c r="N945" s="2179">
        <f t="shared" si="1986"/>
        <v>0</v>
      </c>
      <c r="O945" s="2179">
        <f t="shared" si="1986"/>
        <v>0</v>
      </c>
      <c r="P945" s="2178">
        <f t="shared" si="1927"/>
        <v>0</v>
      </c>
      <c r="Q945" s="2179">
        <f t="shared" si="1987"/>
        <v>0</v>
      </c>
      <c r="R945" s="2179">
        <f t="shared" si="1987"/>
        <v>0</v>
      </c>
      <c r="S945" s="2178">
        <f t="shared" si="1928"/>
        <v>0</v>
      </c>
      <c r="T945" s="2181">
        <f>N945+Q945</f>
        <v>0</v>
      </c>
      <c r="U945" s="2179">
        <f>O945+R945</f>
        <v>0</v>
      </c>
      <c r="V945" s="2178">
        <f t="shared" si="1930"/>
        <v>0</v>
      </c>
      <c r="W945" s="2179">
        <f t="shared" si="1988"/>
        <v>0</v>
      </c>
      <c r="X945" s="2179">
        <f t="shared" si="1988"/>
        <v>0</v>
      </c>
      <c r="Y945" s="2178">
        <f t="shared" si="1931"/>
        <v>0</v>
      </c>
      <c r="Z945" s="2181">
        <f>T945+W945</f>
        <v>0</v>
      </c>
      <c r="AA945" s="2179">
        <f>U945+X945</f>
        <v>0</v>
      </c>
      <c r="AB945" s="2178">
        <f t="shared" si="1933"/>
        <v>0</v>
      </c>
      <c r="AC945" s="2179">
        <f t="shared" si="1989"/>
        <v>0</v>
      </c>
      <c r="AD945" s="2179">
        <f t="shared" si="1989"/>
        <v>0</v>
      </c>
      <c r="AE945" s="2178">
        <f t="shared" si="1934"/>
        <v>0</v>
      </c>
      <c r="AF945" s="2204"/>
      <c r="AG945" s="2114"/>
      <c r="AH945" s="2188">
        <f t="shared" si="1990"/>
        <v>0</v>
      </c>
      <c r="AI945" s="2188">
        <f t="shared" si="1990"/>
        <v>0</v>
      </c>
      <c r="AJ945" s="2186">
        <f t="shared" si="1935"/>
        <v>0</v>
      </c>
      <c r="AK945" s="2188">
        <f t="shared" si="1991"/>
        <v>0</v>
      </c>
      <c r="AL945" s="2188">
        <f t="shared" si="1991"/>
        <v>0</v>
      </c>
      <c r="AM945" s="2186">
        <f t="shared" si="1936"/>
        <v>0</v>
      </c>
      <c r="AN945" s="2188">
        <f t="shared" si="1992"/>
        <v>0</v>
      </c>
      <c r="AO945" s="2188">
        <f t="shared" si="1992"/>
        <v>0</v>
      </c>
      <c r="AP945" s="2186">
        <f t="shared" si="1937"/>
        <v>0</v>
      </c>
      <c r="AQ945" s="2188">
        <f t="shared" si="1993"/>
        <v>0</v>
      </c>
      <c r="AR945" s="2188">
        <f t="shared" si="1993"/>
        <v>0</v>
      </c>
      <c r="AS945" s="2186">
        <f t="shared" si="1938"/>
        <v>0</v>
      </c>
      <c r="AT945" s="2188">
        <f t="shared" si="1994"/>
        <v>0</v>
      </c>
      <c r="AU945" s="2188">
        <f t="shared" si="1994"/>
        <v>0</v>
      </c>
      <c r="AV945" s="2186">
        <f t="shared" si="1939"/>
        <v>0</v>
      </c>
      <c r="AW945" s="2188">
        <f t="shared" si="1995"/>
        <v>0</v>
      </c>
      <c r="AX945" s="2188">
        <f t="shared" si="1995"/>
        <v>0</v>
      </c>
      <c r="AY945" s="2186">
        <f t="shared" si="1940"/>
        <v>0</v>
      </c>
      <c r="AZ945" s="2188">
        <f t="shared" si="1996"/>
        <v>0</v>
      </c>
      <c r="BA945" s="2188">
        <f t="shared" si="1996"/>
        <v>0</v>
      </c>
      <c r="BB945" s="2186">
        <f t="shared" si="1941"/>
        <v>0</v>
      </c>
      <c r="BC945" s="2188">
        <f t="shared" si="1997"/>
        <v>0</v>
      </c>
      <c r="BD945" s="2188">
        <f t="shared" si="1997"/>
        <v>0</v>
      </c>
      <c r="BE945" s="2186">
        <f t="shared" si="1942"/>
        <v>0</v>
      </c>
      <c r="BF945" s="2188">
        <f t="shared" si="1998"/>
        <v>0</v>
      </c>
      <c r="BG945" s="2188">
        <f t="shared" si="1998"/>
        <v>0</v>
      </c>
      <c r="BH945" s="2186">
        <f t="shared" si="1943"/>
        <v>0</v>
      </c>
      <c r="BI945" s="2188">
        <f t="shared" si="1999"/>
        <v>0</v>
      </c>
      <c r="BJ945" s="2188">
        <f t="shared" si="1999"/>
        <v>0</v>
      </c>
      <c r="BK945" s="2186">
        <f t="shared" si="1944"/>
        <v>0</v>
      </c>
      <c r="BL945" s="2188">
        <f t="shared" si="2000"/>
        <v>0</v>
      </c>
      <c r="BM945" s="2188">
        <f t="shared" si="2000"/>
        <v>0</v>
      </c>
      <c r="BN945" s="2186">
        <f t="shared" si="1945"/>
        <v>0</v>
      </c>
      <c r="BO945" s="2188">
        <f t="shared" si="2001"/>
        <v>0</v>
      </c>
      <c r="BP945" s="2188">
        <f t="shared" si="2001"/>
        <v>0</v>
      </c>
      <c r="BQ945" s="2186">
        <f t="shared" si="1946"/>
        <v>0</v>
      </c>
    </row>
    <row r="946" spans="3:69" s="2087" customFormat="1" ht="12" hidden="1" customHeight="1">
      <c r="C946" s="2473" t="s">
        <v>3156</v>
      </c>
      <c r="D946" s="2334" t="s">
        <v>42</v>
      </c>
      <c r="E946" s="2250" t="s">
        <v>3015</v>
      </c>
      <c r="F946" s="2176"/>
      <c r="G946" s="2179">
        <f t="shared" si="1985"/>
        <v>0</v>
      </c>
      <c r="H946" s="2179">
        <f t="shared" si="1985"/>
        <v>0</v>
      </c>
      <c r="I946" s="2178">
        <f t="shared" si="1925"/>
        <v>0</v>
      </c>
      <c r="J946" s="2176"/>
      <c r="K946" s="2179">
        <f t="shared" si="1965"/>
        <v>0</v>
      </c>
      <c r="L946" s="2179">
        <f t="shared" si="1948"/>
        <v>0</v>
      </c>
      <c r="M946" s="2178">
        <f t="shared" si="1926"/>
        <v>0</v>
      </c>
      <c r="N946" s="2179">
        <f t="shared" si="1986"/>
        <v>0</v>
      </c>
      <c r="O946" s="2179">
        <f t="shared" si="1986"/>
        <v>0</v>
      </c>
      <c r="P946" s="2178">
        <f t="shared" si="1927"/>
        <v>0</v>
      </c>
      <c r="Q946" s="2184">
        <f t="shared" si="1987"/>
        <v>0</v>
      </c>
      <c r="R946" s="2179">
        <f t="shared" si="1987"/>
        <v>0</v>
      </c>
      <c r="S946" s="2178">
        <f t="shared" si="1928"/>
        <v>0</v>
      </c>
      <c r="T946" s="2181">
        <f t="shared" si="1966"/>
        <v>0</v>
      </c>
      <c r="U946" s="2179">
        <f t="shared" si="1966"/>
        <v>0</v>
      </c>
      <c r="V946" s="2178">
        <f t="shared" si="1930"/>
        <v>0</v>
      </c>
      <c r="W946" s="2184">
        <f t="shared" si="1988"/>
        <v>0</v>
      </c>
      <c r="X946" s="2179">
        <f t="shared" si="1988"/>
        <v>0</v>
      </c>
      <c r="Y946" s="2178">
        <f t="shared" si="1931"/>
        <v>0</v>
      </c>
      <c r="Z946" s="2181">
        <f t="shared" si="1967"/>
        <v>0</v>
      </c>
      <c r="AA946" s="2179">
        <f t="shared" si="1967"/>
        <v>0</v>
      </c>
      <c r="AB946" s="2178">
        <f t="shared" si="1933"/>
        <v>0</v>
      </c>
      <c r="AC946" s="2184">
        <f t="shared" si="1989"/>
        <v>0</v>
      </c>
      <c r="AD946" s="2179">
        <f t="shared" si="1989"/>
        <v>0</v>
      </c>
      <c r="AE946" s="2178">
        <f t="shared" si="1934"/>
        <v>0</v>
      </c>
      <c r="AF946" s="2204"/>
      <c r="AG946" s="2114"/>
      <c r="AH946" s="2188">
        <f t="shared" si="1990"/>
        <v>0</v>
      </c>
      <c r="AI946" s="2188">
        <f t="shared" si="1990"/>
        <v>0</v>
      </c>
      <c r="AJ946" s="2186">
        <f t="shared" si="1935"/>
        <v>0</v>
      </c>
      <c r="AK946" s="2188">
        <f t="shared" si="1991"/>
        <v>0</v>
      </c>
      <c r="AL946" s="2188">
        <f t="shared" si="1991"/>
        <v>0</v>
      </c>
      <c r="AM946" s="2186">
        <f t="shared" si="1936"/>
        <v>0</v>
      </c>
      <c r="AN946" s="2188">
        <f t="shared" si="1992"/>
        <v>0</v>
      </c>
      <c r="AO946" s="2188">
        <f t="shared" si="1992"/>
        <v>0</v>
      </c>
      <c r="AP946" s="2186">
        <f t="shared" si="1937"/>
        <v>0</v>
      </c>
      <c r="AQ946" s="2188">
        <f t="shared" si="1993"/>
        <v>0</v>
      </c>
      <c r="AR946" s="2188">
        <f t="shared" si="1993"/>
        <v>0</v>
      </c>
      <c r="AS946" s="2186">
        <f t="shared" si="1938"/>
        <v>0</v>
      </c>
      <c r="AT946" s="2188">
        <f t="shared" si="1994"/>
        <v>0</v>
      </c>
      <c r="AU946" s="2188">
        <f t="shared" si="1994"/>
        <v>0</v>
      </c>
      <c r="AV946" s="2186">
        <f t="shared" si="1939"/>
        <v>0</v>
      </c>
      <c r="AW946" s="2188">
        <f t="shared" si="1995"/>
        <v>0</v>
      </c>
      <c r="AX946" s="2188">
        <f t="shared" si="1995"/>
        <v>0</v>
      </c>
      <c r="AY946" s="2186">
        <f t="shared" si="1940"/>
        <v>0</v>
      </c>
      <c r="AZ946" s="2188">
        <f t="shared" si="1996"/>
        <v>0</v>
      </c>
      <c r="BA946" s="2188">
        <f t="shared" si="1996"/>
        <v>0</v>
      </c>
      <c r="BB946" s="2186">
        <f t="shared" si="1941"/>
        <v>0</v>
      </c>
      <c r="BC946" s="2188">
        <f t="shared" si="1997"/>
        <v>0</v>
      </c>
      <c r="BD946" s="2188">
        <f t="shared" si="1997"/>
        <v>0</v>
      </c>
      <c r="BE946" s="2186">
        <f t="shared" si="1942"/>
        <v>0</v>
      </c>
      <c r="BF946" s="2188">
        <f t="shared" si="1998"/>
        <v>0</v>
      </c>
      <c r="BG946" s="2188">
        <f t="shared" si="1998"/>
        <v>0</v>
      </c>
      <c r="BH946" s="2186">
        <f t="shared" si="1943"/>
        <v>0</v>
      </c>
      <c r="BI946" s="2188">
        <f t="shared" si="1999"/>
        <v>0</v>
      </c>
      <c r="BJ946" s="2188">
        <f t="shared" si="1999"/>
        <v>0</v>
      </c>
      <c r="BK946" s="2186">
        <f t="shared" si="1944"/>
        <v>0</v>
      </c>
      <c r="BL946" s="2188">
        <f t="shared" si="2000"/>
        <v>0</v>
      </c>
      <c r="BM946" s="2188">
        <f t="shared" si="2000"/>
        <v>0</v>
      </c>
      <c r="BN946" s="2186">
        <f t="shared" si="1945"/>
        <v>0</v>
      </c>
      <c r="BO946" s="2188">
        <f t="shared" si="2001"/>
        <v>0</v>
      </c>
      <c r="BP946" s="2188">
        <f t="shared" si="2001"/>
        <v>0</v>
      </c>
      <c r="BQ946" s="2186">
        <f t="shared" si="1946"/>
        <v>0</v>
      </c>
    </row>
    <row r="947" spans="3:69" s="2087" customFormat="1" ht="12" hidden="1" customHeight="1">
      <c r="C947" s="2473" t="s">
        <v>3157</v>
      </c>
      <c r="D947" s="2334" t="s">
        <v>2434</v>
      </c>
      <c r="E947" s="2250" t="s">
        <v>3015</v>
      </c>
      <c r="F947" s="2176"/>
      <c r="G947" s="2179">
        <f t="shared" si="1985"/>
        <v>0</v>
      </c>
      <c r="H947" s="2179">
        <f t="shared" si="1985"/>
        <v>0</v>
      </c>
      <c r="I947" s="2178">
        <f t="shared" si="1925"/>
        <v>0</v>
      </c>
      <c r="J947" s="2176"/>
      <c r="K947" s="2179">
        <f>N947+Q947+W947+AC947</f>
        <v>0</v>
      </c>
      <c r="L947" s="2179">
        <f>O947+R947+X947+AD947</f>
        <v>0</v>
      </c>
      <c r="M947" s="2178">
        <f t="shared" si="1926"/>
        <v>0</v>
      </c>
      <c r="N947" s="2179">
        <f t="shared" si="1986"/>
        <v>0</v>
      </c>
      <c r="O947" s="2179">
        <f t="shared" si="1986"/>
        <v>0</v>
      </c>
      <c r="P947" s="2178">
        <f t="shared" si="1927"/>
        <v>0</v>
      </c>
      <c r="Q947" s="2179">
        <f t="shared" si="1987"/>
        <v>0</v>
      </c>
      <c r="R947" s="2179">
        <f t="shared" si="1987"/>
        <v>0</v>
      </c>
      <c r="S947" s="2178">
        <f t="shared" si="1928"/>
        <v>0</v>
      </c>
      <c r="T947" s="2181">
        <f>N947+Q947</f>
        <v>0</v>
      </c>
      <c r="U947" s="2179">
        <f>O947+R947</f>
        <v>0</v>
      </c>
      <c r="V947" s="2178">
        <f t="shared" si="1930"/>
        <v>0</v>
      </c>
      <c r="W947" s="2179">
        <f t="shared" si="1988"/>
        <v>0</v>
      </c>
      <c r="X947" s="2179">
        <f t="shared" si="1988"/>
        <v>0</v>
      </c>
      <c r="Y947" s="2178">
        <f t="shared" si="1931"/>
        <v>0</v>
      </c>
      <c r="Z947" s="2181">
        <f>T947+W947</f>
        <v>0</v>
      </c>
      <c r="AA947" s="2179">
        <f>U947+X947</f>
        <v>0</v>
      </c>
      <c r="AB947" s="2178">
        <f t="shared" si="1933"/>
        <v>0</v>
      </c>
      <c r="AC947" s="2179">
        <f t="shared" si="1989"/>
        <v>0</v>
      </c>
      <c r="AD947" s="2179">
        <f t="shared" si="1989"/>
        <v>0</v>
      </c>
      <c r="AE947" s="2178">
        <f t="shared" si="1934"/>
        <v>0</v>
      </c>
      <c r="AF947" s="2204"/>
      <c r="AG947" s="2114"/>
      <c r="AH947" s="2188">
        <f t="shared" si="1990"/>
        <v>0</v>
      </c>
      <c r="AI947" s="2188">
        <f t="shared" si="1990"/>
        <v>0</v>
      </c>
      <c r="AJ947" s="2186">
        <f t="shared" si="1935"/>
        <v>0</v>
      </c>
      <c r="AK947" s="2188">
        <f t="shared" si="1991"/>
        <v>0</v>
      </c>
      <c r="AL947" s="2188">
        <f t="shared" si="1991"/>
        <v>0</v>
      </c>
      <c r="AM947" s="2186">
        <f t="shared" si="1936"/>
        <v>0</v>
      </c>
      <c r="AN947" s="2188">
        <f t="shared" si="1992"/>
        <v>0</v>
      </c>
      <c r="AO947" s="2188">
        <f t="shared" si="1992"/>
        <v>0</v>
      </c>
      <c r="AP947" s="2186">
        <f t="shared" si="1937"/>
        <v>0</v>
      </c>
      <c r="AQ947" s="2188">
        <f t="shared" si="1993"/>
        <v>0</v>
      </c>
      <c r="AR947" s="2188">
        <f t="shared" si="1993"/>
        <v>0</v>
      </c>
      <c r="AS947" s="2186">
        <f t="shared" si="1938"/>
        <v>0</v>
      </c>
      <c r="AT947" s="2188">
        <f t="shared" si="1994"/>
        <v>0</v>
      </c>
      <c r="AU947" s="2188">
        <f t="shared" si="1994"/>
        <v>0</v>
      </c>
      <c r="AV947" s="2186">
        <f t="shared" si="1939"/>
        <v>0</v>
      </c>
      <c r="AW947" s="2188">
        <f t="shared" si="1995"/>
        <v>0</v>
      </c>
      <c r="AX947" s="2188">
        <f t="shared" si="1995"/>
        <v>0</v>
      </c>
      <c r="AY947" s="2186">
        <f t="shared" si="1940"/>
        <v>0</v>
      </c>
      <c r="AZ947" s="2188">
        <f t="shared" si="1996"/>
        <v>0</v>
      </c>
      <c r="BA947" s="2188">
        <f t="shared" si="1996"/>
        <v>0</v>
      </c>
      <c r="BB947" s="2186">
        <f t="shared" si="1941"/>
        <v>0</v>
      </c>
      <c r="BC947" s="2188">
        <f t="shared" si="1997"/>
        <v>0</v>
      </c>
      <c r="BD947" s="2188">
        <f t="shared" si="1997"/>
        <v>0</v>
      </c>
      <c r="BE947" s="2186">
        <f t="shared" si="1942"/>
        <v>0</v>
      </c>
      <c r="BF947" s="2188">
        <f t="shared" si="1998"/>
        <v>0</v>
      </c>
      <c r="BG947" s="2188">
        <f t="shared" si="1998"/>
        <v>0</v>
      </c>
      <c r="BH947" s="2186">
        <f t="shared" si="1943"/>
        <v>0</v>
      </c>
      <c r="BI947" s="2188">
        <f t="shared" si="1999"/>
        <v>0</v>
      </c>
      <c r="BJ947" s="2188">
        <f t="shared" si="1999"/>
        <v>0</v>
      </c>
      <c r="BK947" s="2186">
        <f t="shared" si="1944"/>
        <v>0</v>
      </c>
      <c r="BL947" s="2188">
        <f t="shared" si="2000"/>
        <v>0</v>
      </c>
      <c r="BM947" s="2188">
        <f t="shared" si="2000"/>
        <v>0</v>
      </c>
      <c r="BN947" s="2186">
        <f t="shared" si="1945"/>
        <v>0</v>
      </c>
      <c r="BO947" s="2188">
        <f t="shared" si="2001"/>
        <v>0</v>
      </c>
      <c r="BP947" s="2188">
        <f t="shared" si="2001"/>
        <v>0</v>
      </c>
      <c r="BQ947" s="2186">
        <f t="shared" si="1946"/>
        <v>0</v>
      </c>
    </row>
    <row r="948" spans="3:69" s="2159" customFormat="1" ht="12" hidden="1" customHeight="1">
      <c r="C948" s="2474" t="s">
        <v>3158</v>
      </c>
      <c r="D948" s="2475" t="s">
        <v>3159</v>
      </c>
      <c r="E948" s="2471"/>
      <c r="F948" s="2320"/>
      <c r="G948" s="2171"/>
      <c r="H948" s="2171"/>
      <c r="I948" s="2164">
        <f t="shared" si="1925"/>
        <v>0</v>
      </c>
      <c r="J948" s="2320"/>
      <c r="K948" s="2171"/>
      <c r="L948" s="2171"/>
      <c r="M948" s="2164">
        <f t="shared" si="1926"/>
        <v>0</v>
      </c>
      <c r="N948" s="2171"/>
      <c r="O948" s="2171"/>
      <c r="P948" s="2164">
        <f t="shared" si="1927"/>
        <v>0</v>
      </c>
      <c r="Q948" s="2320"/>
      <c r="R948" s="2171"/>
      <c r="S948" s="2164">
        <f t="shared" si="1928"/>
        <v>0</v>
      </c>
      <c r="T948" s="2472"/>
      <c r="U948" s="2171"/>
      <c r="V948" s="2164">
        <f t="shared" si="1930"/>
        <v>0</v>
      </c>
      <c r="W948" s="2320"/>
      <c r="X948" s="2171"/>
      <c r="Y948" s="2164">
        <f t="shared" si="1931"/>
        <v>0</v>
      </c>
      <c r="Z948" s="2472"/>
      <c r="AA948" s="2171"/>
      <c r="AB948" s="2164">
        <f t="shared" si="1933"/>
        <v>0</v>
      </c>
      <c r="AC948" s="2320"/>
      <c r="AD948" s="2171"/>
      <c r="AE948" s="2164">
        <f t="shared" si="1934"/>
        <v>0</v>
      </c>
      <c r="AF948" s="2204"/>
      <c r="AG948" s="2158"/>
      <c r="AH948" s="2171"/>
      <c r="AI948" s="2171"/>
      <c r="AJ948" s="2172">
        <f t="shared" si="1935"/>
        <v>0</v>
      </c>
      <c r="AK948" s="2171"/>
      <c r="AL948" s="2171"/>
      <c r="AM948" s="2172">
        <f t="shared" si="1936"/>
        <v>0</v>
      </c>
      <c r="AN948" s="2171"/>
      <c r="AO948" s="2171"/>
      <c r="AP948" s="2172">
        <f t="shared" si="1937"/>
        <v>0</v>
      </c>
      <c r="AQ948" s="2171"/>
      <c r="AR948" s="2171"/>
      <c r="AS948" s="2172">
        <f t="shared" si="1938"/>
        <v>0</v>
      </c>
      <c r="AT948" s="2171"/>
      <c r="AU948" s="2171"/>
      <c r="AV948" s="2172">
        <f t="shared" si="1939"/>
        <v>0</v>
      </c>
      <c r="AW948" s="2171"/>
      <c r="AX948" s="2171"/>
      <c r="AY948" s="2172">
        <f t="shared" si="1940"/>
        <v>0</v>
      </c>
      <c r="AZ948" s="2171"/>
      <c r="BA948" s="2171"/>
      <c r="BB948" s="2172">
        <f t="shared" si="1941"/>
        <v>0</v>
      </c>
      <c r="BC948" s="2171"/>
      <c r="BD948" s="2171"/>
      <c r="BE948" s="2172">
        <f t="shared" si="1942"/>
        <v>0</v>
      </c>
      <c r="BF948" s="2171"/>
      <c r="BG948" s="2171"/>
      <c r="BH948" s="2172">
        <f t="shared" si="1943"/>
        <v>0</v>
      </c>
      <c r="BI948" s="2171"/>
      <c r="BJ948" s="2171"/>
      <c r="BK948" s="2172">
        <f t="shared" si="1944"/>
        <v>0</v>
      </c>
      <c r="BL948" s="2171"/>
      <c r="BM948" s="2171"/>
      <c r="BN948" s="2172">
        <f t="shared" si="1945"/>
        <v>0</v>
      </c>
      <c r="BO948" s="2171"/>
      <c r="BP948" s="2171"/>
      <c r="BQ948" s="2172">
        <f t="shared" si="1946"/>
        <v>0</v>
      </c>
    </row>
    <row r="949" spans="3:69" s="2087" customFormat="1" ht="12" hidden="1" customHeight="1">
      <c r="C949" s="2423" t="s">
        <v>3160</v>
      </c>
      <c r="D949" s="2421" t="s">
        <v>3143</v>
      </c>
      <c r="E949" s="2250" t="s">
        <v>3046</v>
      </c>
      <c r="F949" s="2176"/>
      <c r="G949" s="2179">
        <f>G950+G952</f>
        <v>0</v>
      </c>
      <c r="H949" s="2179">
        <f>H950+H952</f>
        <v>0</v>
      </c>
      <c r="I949" s="2178">
        <f t="shared" si="1925"/>
        <v>0</v>
      </c>
      <c r="J949" s="2176"/>
      <c r="K949" s="2179">
        <f t="shared" si="1965"/>
        <v>0</v>
      </c>
      <c r="L949" s="2179">
        <f t="shared" si="1948"/>
        <v>0</v>
      </c>
      <c r="M949" s="2178">
        <f t="shared" si="1926"/>
        <v>0</v>
      </c>
      <c r="N949" s="2179">
        <f>N950+N952</f>
        <v>0</v>
      </c>
      <c r="O949" s="2179">
        <f>O950+O952</f>
        <v>0</v>
      </c>
      <c r="P949" s="2178">
        <f t="shared" si="1927"/>
        <v>0</v>
      </c>
      <c r="Q949" s="2179">
        <f>Q950+Q952</f>
        <v>0</v>
      </c>
      <c r="R949" s="2179">
        <f>R950+R952</f>
        <v>0</v>
      </c>
      <c r="S949" s="2178">
        <f t="shared" si="1928"/>
        <v>0</v>
      </c>
      <c r="T949" s="2181">
        <f t="shared" si="1966"/>
        <v>0</v>
      </c>
      <c r="U949" s="2179">
        <f t="shared" si="1966"/>
        <v>0</v>
      </c>
      <c r="V949" s="2178">
        <f t="shared" si="1930"/>
        <v>0</v>
      </c>
      <c r="W949" s="2179">
        <f>W950+W952</f>
        <v>0</v>
      </c>
      <c r="X949" s="2179">
        <f>X950+X952</f>
        <v>0</v>
      </c>
      <c r="Y949" s="2178">
        <f t="shared" si="1931"/>
        <v>0</v>
      </c>
      <c r="Z949" s="2181">
        <f t="shared" si="1967"/>
        <v>0</v>
      </c>
      <c r="AA949" s="2179">
        <f t="shared" si="1967"/>
        <v>0</v>
      </c>
      <c r="AB949" s="2178">
        <f t="shared" si="1933"/>
        <v>0</v>
      </c>
      <c r="AC949" s="2179">
        <f>AC950+AC952</f>
        <v>0</v>
      </c>
      <c r="AD949" s="2179">
        <f>AD950+AD952</f>
        <v>0</v>
      </c>
      <c r="AE949" s="2178">
        <f t="shared" si="1934"/>
        <v>0</v>
      </c>
      <c r="AF949" s="2204"/>
      <c r="AG949" s="2114"/>
      <c r="AH949" s="2188">
        <f>AH950+AH952</f>
        <v>0</v>
      </c>
      <c r="AI949" s="2188">
        <f>AI950+AI952</f>
        <v>0</v>
      </c>
      <c r="AJ949" s="2186">
        <f t="shared" si="1935"/>
        <v>0</v>
      </c>
      <c r="AK949" s="2188">
        <f>AK950+AK952</f>
        <v>0</v>
      </c>
      <c r="AL949" s="2188">
        <f>AL950+AL952</f>
        <v>0</v>
      </c>
      <c r="AM949" s="2186">
        <f t="shared" si="1936"/>
        <v>0</v>
      </c>
      <c r="AN949" s="2188">
        <f>AN950+AN952</f>
        <v>0</v>
      </c>
      <c r="AO949" s="2188">
        <f>AO950+AO952</f>
        <v>0</v>
      </c>
      <c r="AP949" s="2186">
        <f t="shared" si="1937"/>
        <v>0</v>
      </c>
      <c r="AQ949" s="2188">
        <f>AQ950+AQ952</f>
        <v>0</v>
      </c>
      <c r="AR949" s="2188">
        <f>AR950+AR952</f>
        <v>0</v>
      </c>
      <c r="AS949" s="2186">
        <f t="shared" si="1938"/>
        <v>0</v>
      </c>
      <c r="AT949" s="2188">
        <f>AT950+AT952</f>
        <v>0</v>
      </c>
      <c r="AU949" s="2188">
        <f>AU950+AU952</f>
        <v>0</v>
      </c>
      <c r="AV949" s="2186">
        <f t="shared" si="1939"/>
        <v>0</v>
      </c>
      <c r="AW949" s="2188">
        <f>AW950+AW952</f>
        <v>0</v>
      </c>
      <c r="AX949" s="2188">
        <f>AX950+AX952</f>
        <v>0</v>
      </c>
      <c r="AY949" s="2186">
        <f t="shared" si="1940"/>
        <v>0</v>
      </c>
      <c r="AZ949" s="2188">
        <f>AZ950+AZ952</f>
        <v>0</v>
      </c>
      <c r="BA949" s="2188">
        <f>BA950+BA952</f>
        <v>0</v>
      </c>
      <c r="BB949" s="2186">
        <f t="shared" si="1941"/>
        <v>0</v>
      </c>
      <c r="BC949" s="2188">
        <f>BC950+BC952</f>
        <v>0</v>
      </c>
      <c r="BD949" s="2188">
        <f>BD950+BD952</f>
        <v>0</v>
      </c>
      <c r="BE949" s="2186">
        <f t="shared" si="1942"/>
        <v>0</v>
      </c>
      <c r="BF949" s="2188">
        <f>BF950+BF952</f>
        <v>0</v>
      </c>
      <c r="BG949" s="2188">
        <f>BG950+BG952</f>
        <v>0</v>
      </c>
      <c r="BH949" s="2186">
        <f t="shared" si="1943"/>
        <v>0</v>
      </c>
      <c r="BI949" s="2188">
        <f>BI950+BI952</f>
        <v>0</v>
      </c>
      <c r="BJ949" s="2188">
        <f>BJ950+BJ952</f>
        <v>0</v>
      </c>
      <c r="BK949" s="2186">
        <f t="shared" si="1944"/>
        <v>0</v>
      </c>
      <c r="BL949" s="2188">
        <f>BL950+BL952</f>
        <v>0</v>
      </c>
      <c r="BM949" s="2188">
        <f>BM950+BM952</f>
        <v>0</v>
      </c>
      <c r="BN949" s="2186">
        <f t="shared" si="1945"/>
        <v>0</v>
      </c>
      <c r="BO949" s="2188">
        <f>BO950+BO952</f>
        <v>0</v>
      </c>
      <c r="BP949" s="2188">
        <f>BP950+BP952</f>
        <v>0</v>
      </c>
      <c r="BQ949" s="2186">
        <f t="shared" si="1946"/>
        <v>0</v>
      </c>
    </row>
    <row r="950" spans="3:69" s="2087" customFormat="1" ht="12" hidden="1" customHeight="1">
      <c r="C950" s="2473" t="s">
        <v>3161</v>
      </c>
      <c r="D950" s="2334" t="s">
        <v>2872</v>
      </c>
      <c r="E950" s="2250" t="s">
        <v>3046</v>
      </c>
      <c r="F950" s="2176"/>
      <c r="G950" s="2177"/>
      <c r="H950" s="2177"/>
      <c r="I950" s="2178">
        <f t="shared" si="1925"/>
        <v>0</v>
      </c>
      <c r="J950" s="2176"/>
      <c r="K950" s="2179">
        <f t="shared" si="1965"/>
        <v>0</v>
      </c>
      <c r="L950" s="2179">
        <f t="shared" si="1948"/>
        <v>0</v>
      </c>
      <c r="M950" s="2178">
        <f t="shared" si="1926"/>
        <v>0</v>
      </c>
      <c r="N950" s="2177"/>
      <c r="O950" s="2177"/>
      <c r="P950" s="2178">
        <f t="shared" si="1927"/>
        <v>0</v>
      </c>
      <c r="Q950" s="2176"/>
      <c r="R950" s="2177"/>
      <c r="S950" s="2178">
        <f t="shared" si="1928"/>
        <v>0</v>
      </c>
      <c r="T950" s="2181">
        <f t="shared" si="1966"/>
        <v>0</v>
      </c>
      <c r="U950" s="2179">
        <f t="shared" si="1966"/>
        <v>0</v>
      </c>
      <c r="V950" s="2178">
        <f t="shared" si="1930"/>
        <v>0</v>
      </c>
      <c r="W950" s="2176"/>
      <c r="X950" s="2177"/>
      <c r="Y950" s="2178">
        <f t="shared" si="1931"/>
        <v>0</v>
      </c>
      <c r="Z950" s="2181">
        <f t="shared" si="1967"/>
        <v>0</v>
      </c>
      <c r="AA950" s="2179">
        <f t="shared" si="1967"/>
        <v>0</v>
      </c>
      <c r="AB950" s="2178">
        <f t="shared" si="1933"/>
        <v>0</v>
      </c>
      <c r="AC950" s="2176"/>
      <c r="AD950" s="2177"/>
      <c r="AE950" s="2178">
        <f t="shared" si="1934"/>
        <v>0</v>
      </c>
      <c r="AF950" s="2204"/>
      <c r="AG950" s="2114"/>
      <c r="AH950" s="2177"/>
      <c r="AI950" s="2177"/>
      <c r="AJ950" s="2186">
        <f t="shared" si="1935"/>
        <v>0</v>
      </c>
      <c r="AK950" s="2177"/>
      <c r="AL950" s="2177"/>
      <c r="AM950" s="2186">
        <f t="shared" si="1936"/>
        <v>0</v>
      </c>
      <c r="AN950" s="2177"/>
      <c r="AO950" s="2177"/>
      <c r="AP950" s="2186">
        <f t="shared" si="1937"/>
        <v>0</v>
      </c>
      <c r="AQ950" s="2177"/>
      <c r="AR950" s="2177"/>
      <c r="AS950" s="2186">
        <f t="shared" si="1938"/>
        <v>0</v>
      </c>
      <c r="AT950" s="2177"/>
      <c r="AU950" s="2177"/>
      <c r="AV950" s="2186">
        <f t="shared" si="1939"/>
        <v>0</v>
      </c>
      <c r="AW950" s="2177"/>
      <c r="AX950" s="2177"/>
      <c r="AY950" s="2186">
        <f t="shared" si="1940"/>
        <v>0</v>
      </c>
      <c r="AZ950" s="2177"/>
      <c r="BA950" s="2177"/>
      <c r="BB950" s="2186">
        <f t="shared" si="1941"/>
        <v>0</v>
      </c>
      <c r="BC950" s="2177"/>
      <c r="BD950" s="2177"/>
      <c r="BE950" s="2186">
        <f t="shared" si="1942"/>
        <v>0</v>
      </c>
      <c r="BF950" s="2177"/>
      <c r="BG950" s="2177"/>
      <c r="BH950" s="2186">
        <f t="shared" si="1943"/>
        <v>0</v>
      </c>
      <c r="BI950" s="2177"/>
      <c r="BJ950" s="2177"/>
      <c r="BK950" s="2186">
        <f t="shared" si="1944"/>
        <v>0</v>
      </c>
      <c r="BL950" s="2177"/>
      <c r="BM950" s="2177"/>
      <c r="BN950" s="2186">
        <f t="shared" si="1945"/>
        <v>0</v>
      </c>
      <c r="BO950" s="2177"/>
      <c r="BP950" s="2177"/>
      <c r="BQ950" s="2186">
        <f t="shared" si="1946"/>
        <v>0</v>
      </c>
    </row>
    <row r="951" spans="3:69" s="2087" customFormat="1" ht="12" hidden="1" customHeight="1">
      <c r="C951" s="2473" t="s">
        <v>3162</v>
      </c>
      <c r="D951" s="2334" t="s">
        <v>2434</v>
      </c>
      <c r="E951" s="2250" t="s">
        <v>3046</v>
      </c>
      <c r="F951" s="2176"/>
      <c r="G951" s="2177"/>
      <c r="H951" s="2177"/>
      <c r="I951" s="2178">
        <f t="shared" si="1925"/>
        <v>0</v>
      </c>
      <c r="J951" s="2176"/>
      <c r="K951" s="2179">
        <f>N951+Q951+W951+AC951</f>
        <v>0</v>
      </c>
      <c r="L951" s="2179">
        <f>O951+R951+X951+AD951</f>
        <v>0</v>
      </c>
      <c r="M951" s="2178">
        <f t="shared" si="1926"/>
        <v>0</v>
      </c>
      <c r="N951" s="2177"/>
      <c r="O951" s="2177"/>
      <c r="P951" s="2178">
        <f t="shared" si="1927"/>
        <v>0</v>
      </c>
      <c r="Q951" s="2176"/>
      <c r="R951" s="2177"/>
      <c r="S951" s="2178">
        <f t="shared" si="1928"/>
        <v>0</v>
      </c>
      <c r="T951" s="2181">
        <f>N951+Q951</f>
        <v>0</v>
      </c>
      <c r="U951" s="2179">
        <f>O951+R951</f>
        <v>0</v>
      </c>
      <c r="V951" s="2178">
        <f t="shared" si="1930"/>
        <v>0</v>
      </c>
      <c r="W951" s="2176"/>
      <c r="X951" s="2177"/>
      <c r="Y951" s="2178">
        <f t="shared" si="1931"/>
        <v>0</v>
      </c>
      <c r="Z951" s="2181">
        <f>T951+W951</f>
        <v>0</v>
      </c>
      <c r="AA951" s="2179">
        <f>U951+X951</f>
        <v>0</v>
      </c>
      <c r="AB951" s="2178">
        <f t="shared" si="1933"/>
        <v>0</v>
      </c>
      <c r="AC951" s="2176"/>
      <c r="AD951" s="2177"/>
      <c r="AE951" s="2178">
        <f t="shared" si="1934"/>
        <v>0</v>
      </c>
      <c r="AF951" s="2204"/>
      <c r="AG951" s="2114"/>
      <c r="AH951" s="2177"/>
      <c r="AI951" s="2177"/>
      <c r="AJ951" s="2186">
        <f t="shared" si="1935"/>
        <v>0</v>
      </c>
      <c r="AK951" s="2177"/>
      <c r="AL951" s="2177"/>
      <c r="AM951" s="2186">
        <f t="shared" si="1936"/>
        <v>0</v>
      </c>
      <c r="AN951" s="2177"/>
      <c r="AO951" s="2177"/>
      <c r="AP951" s="2186">
        <f t="shared" si="1937"/>
        <v>0</v>
      </c>
      <c r="AQ951" s="2177"/>
      <c r="AR951" s="2177"/>
      <c r="AS951" s="2186">
        <f t="shared" si="1938"/>
        <v>0</v>
      </c>
      <c r="AT951" s="2177"/>
      <c r="AU951" s="2177"/>
      <c r="AV951" s="2186">
        <f t="shared" si="1939"/>
        <v>0</v>
      </c>
      <c r="AW951" s="2177"/>
      <c r="AX951" s="2177"/>
      <c r="AY951" s="2186">
        <f t="shared" si="1940"/>
        <v>0</v>
      </c>
      <c r="AZ951" s="2177"/>
      <c r="BA951" s="2177"/>
      <c r="BB951" s="2186">
        <f t="shared" si="1941"/>
        <v>0</v>
      </c>
      <c r="BC951" s="2177"/>
      <c r="BD951" s="2177"/>
      <c r="BE951" s="2186">
        <f t="shared" si="1942"/>
        <v>0</v>
      </c>
      <c r="BF951" s="2177"/>
      <c r="BG951" s="2177"/>
      <c r="BH951" s="2186">
        <f t="shared" si="1943"/>
        <v>0</v>
      </c>
      <c r="BI951" s="2177"/>
      <c r="BJ951" s="2177"/>
      <c r="BK951" s="2186">
        <f t="shared" si="1944"/>
        <v>0</v>
      </c>
      <c r="BL951" s="2177"/>
      <c r="BM951" s="2177"/>
      <c r="BN951" s="2186">
        <f t="shared" si="1945"/>
        <v>0</v>
      </c>
      <c r="BO951" s="2177"/>
      <c r="BP951" s="2177"/>
      <c r="BQ951" s="2186">
        <f t="shared" si="1946"/>
        <v>0</v>
      </c>
    </row>
    <row r="952" spans="3:69" s="2087" customFormat="1" ht="12" hidden="1" customHeight="1">
      <c r="C952" s="2473" t="s">
        <v>3163</v>
      </c>
      <c r="D952" s="2334" t="s">
        <v>42</v>
      </c>
      <c r="E952" s="2250" t="s">
        <v>3046</v>
      </c>
      <c r="F952" s="2176"/>
      <c r="G952" s="2177"/>
      <c r="H952" s="2177"/>
      <c r="I952" s="2178">
        <f t="shared" si="1925"/>
        <v>0</v>
      </c>
      <c r="J952" s="2176"/>
      <c r="K952" s="2179">
        <f t="shared" si="1965"/>
        <v>0</v>
      </c>
      <c r="L952" s="2179">
        <f t="shared" si="1948"/>
        <v>0</v>
      </c>
      <c r="M952" s="2178">
        <f t="shared" si="1926"/>
        <v>0</v>
      </c>
      <c r="N952" s="2177"/>
      <c r="O952" s="2177"/>
      <c r="P952" s="2178">
        <f t="shared" si="1927"/>
        <v>0</v>
      </c>
      <c r="Q952" s="2176"/>
      <c r="R952" s="2177"/>
      <c r="S952" s="2178">
        <f t="shared" si="1928"/>
        <v>0</v>
      </c>
      <c r="T952" s="2181">
        <f t="shared" si="1966"/>
        <v>0</v>
      </c>
      <c r="U952" s="2179">
        <f t="shared" si="1966"/>
        <v>0</v>
      </c>
      <c r="V952" s="2178">
        <f t="shared" si="1930"/>
        <v>0</v>
      </c>
      <c r="W952" s="2176"/>
      <c r="X952" s="2177"/>
      <c r="Y952" s="2178">
        <f t="shared" si="1931"/>
        <v>0</v>
      </c>
      <c r="Z952" s="2181">
        <f t="shared" si="1967"/>
        <v>0</v>
      </c>
      <c r="AA952" s="2179">
        <f t="shared" si="1967"/>
        <v>0</v>
      </c>
      <c r="AB952" s="2178">
        <f t="shared" si="1933"/>
        <v>0</v>
      </c>
      <c r="AC952" s="2176"/>
      <c r="AD952" s="2177"/>
      <c r="AE952" s="2178">
        <f t="shared" si="1934"/>
        <v>0</v>
      </c>
      <c r="AF952" s="2204"/>
      <c r="AG952" s="2114"/>
      <c r="AH952" s="2177"/>
      <c r="AI952" s="2177"/>
      <c r="AJ952" s="2186">
        <f t="shared" si="1935"/>
        <v>0</v>
      </c>
      <c r="AK952" s="2177"/>
      <c r="AL952" s="2177"/>
      <c r="AM952" s="2186">
        <f t="shared" si="1936"/>
        <v>0</v>
      </c>
      <c r="AN952" s="2177"/>
      <c r="AO952" s="2177"/>
      <c r="AP952" s="2186">
        <f t="shared" si="1937"/>
        <v>0</v>
      </c>
      <c r="AQ952" s="2177"/>
      <c r="AR952" s="2177"/>
      <c r="AS952" s="2186">
        <f t="shared" si="1938"/>
        <v>0</v>
      </c>
      <c r="AT952" s="2177"/>
      <c r="AU952" s="2177"/>
      <c r="AV952" s="2186">
        <f t="shared" si="1939"/>
        <v>0</v>
      </c>
      <c r="AW952" s="2177"/>
      <c r="AX952" s="2177"/>
      <c r="AY952" s="2186">
        <f t="shared" si="1940"/>
        <v>0</v>
      </c>
      <c r="AZ952" s="2177"/>
      <c r="BA952" s="2177"/>
      <c r="BB952" s="2186">
        <f t="shared" si="1941"/>
        <v>0</v>
      </c>
      <c r="BC952" s="2177"/>
      <c r="BD952" s="2177"/>
      <c r="BE952" s="2186">
        <f t="shared" si="1942"/>
        <v>0</v>
      </c>
      <c r="BF952" s="2177"/>
      <c r="BG952" s="2177"/>
      <c r="BH952" s="2186">
        <f t="shared" si="1943"/>
        <v>0</v>
      </c>
      <c r="BI952" s="2177"/>
      <c r="BJ952" s="2177"/>
      <c r="BK952" s="2186">
        <f t="shared" si="1944"/>
        <v>0</v>
      </c>
      <c r="BL952" s="2177"/>
      <c r="BM952" s="2177"/>
      <c r="BN952" s="2186">
        <f t="shared" si="1945"/>
        <v>0</v>
      </c>
      <c r="BO952" s="2177"/>
      <c r="BP952" s="2177"/>
      <c r="BQ952" s="2186">
        <f t="shared" si="1946"/>
        <v>0</v>
      </c>
    </row>
    <row r="953" spans="3:69" s="2087" customFormat="1" ht="12" hidden="1" customHeight="1">
      <c r="C953" s="2473" t="s">
        <v>3164</v>
      </c>
      <c r="D953" s="2334" t="s">
        <v>2434</v>
      </c>
      <c r="E953" s="2250" t="s">
        <v>3046</v>
      </c>
      <c r="F953" s="2176"/>
      <c r="G953" s="2177"/>
      <c r="H953" s="2177"/>
      <c r="I953" s="2178">
        <f t="shared" si="1925"/>
        <v>0</v>
      </c>
      <c r="J953" s="2176"/>
      <c r="K953" s="2179">
        <f>N953+Q953+W953+AC953</f>
        <v>0</v>
      </c>
      <c r="L953" s="2179">
        <f>O953+R953+X953+AD953</f>
        <v>0</v>
      </c>
      <c r="M953" s="2178">
        <f t="shared" si="1926"/>
        <v>0</v>
      </c>
      <c r="N953" s="2177"/>
      <c r="O953" s="2177"/>
      <c r="P953" s="2178">
        <f t="shared" si="1927"/>
        <v>0</v>
      </c>
      <c r="Q953" s="2176"/>
      <c r="R953" s="2177"/>
      <c r="S953" s="2178">
        <f t="shared" si="1928"/>
        <v>0</v>
      </c>
      <c r="T953" s="2181">
        <f>N953+Q953</f>
        <v>0</v>
      </c>
      <c r="U953" s="2179">
        <f>O953+R953</f>
        <v>0</v>
      </c>
      <c r="V953" s="2178">
        <f t="shared" si="1930"/>
        <v>0</v>
      </c>
      <c r="W953" s="2176"/>
      <c r="X953" s="2177"/>
      <c r="Y953" s="2178">
        <f t="shared" si="1931"/>
        <v>0</v>
      </c>
      <c r="Z953" s="2181">
        <f>T953+W953</f>
        <v>0</v>
      </c>
      <c r="AA953" s="2179">
        <f>U953+X953</f>
        <v>0</v>
      </c>
      <c r="AB953" s="2178">
        <f t="shared" si="1933"/>
        <v>0</v>
      </c>
      <c r="AC953" s="2176"/>
      <c r="AD953" s="2177"/>
      <c r="AE953" s="2178">
        <f t="shared" si="1934"/>
        <v>0</v>
      </c>
      <c r="AF953" s="2204"/>
      <c r="AG953" s="2114"/>
      <c r="AH953" s="2177"/>
      <c r="AI953" s="2177"/>
      <c r="AJ953" s="2186">
        <f t="shared" si="1935"/>
        <v>0</v>
      </c>
      <c r="AK953" s="2177"/>
      <c r="AL953" s="2177"/>
      <c r="AM953" s="2186">
        <f t="shared" si="1936"/>
        <v>0</v>
      </c>
      <c r="AN953" s="2177"/>
      <c r="AO953" s="2177"/>
      <c r="AP953" s="2186">
        <f t="shared" si="1937"/>
        <v>0</v>
      </c>
      <c r="AQ953" s="2177"/>
      <c r="AR953" s="2177"/>
      <c r="AS953" s="2186">
        <f t="shared" si="1938"/>
        <v>0</v>
      </c>
      <c r="AT953" s="2177"/>
      <c r="AU953" s="2177"/>
      <c r="AV953" s="2186">
        <f t="shared" si="1939"/>
        <v>0</v>
      </c>
      <c r="AW953" s="2177"/>
      <c r="AX953" s="2177"/>
      <c r="AY953" s="2186">
        <f t="shared" si="1940"/>
        <v>0</v>
      </c>
      <c r="AZ953" s="2177"/>
      <c r="BA953" s="2177"/>
      <c r="BB953" s="2186">
        <f t="shared" si="1941"/>
        <v>0</v>
      </c>
      <c r="BC953" s="2177"/>
      <c r="BD953" s="2177"/>
      <c r="BE953" s="2186">
        <f t="shared" si="1942"/>
        <v>0</v>
      </c>
      <c r="BF953" s="2177"/>
      <c r="BG953" s="2177"/>
      <c r="BH953" s="2186">
        <f t="shared" si="1943"/>
        <v>0</v>
      </c>
      <c r="BI953" s="2177"/>
      <c r="BJ953" s="2177"/>
      <c r="BK953" s="2186">
        <f t="shared" si="1944"/>
        <v>0</v>
      </c>
      <c r="BL953" s="2177"/>
      <c r="BM953" s="2177"/>
      <c r="BN953" s="2186">
        <f t="shared" si="1945"/>
        <v>0</v>
      </c>
      <c r="BO953" s="2177"/>
      <c r="BP953" s="2177"/>
      <c r="BQ953" s="2186">
        <f t="shared" si="1946"/>
        <v>0</v>
      </c>
    </row>
    <row r="954" spans="3:69" s="2087" customFormat="1" ht="12" hidden="1" customHeight="1">
      <c r="C954" s="2423" t="s">
        <v>3165</v>
      </c>
      <c r="D954" s="2421" t="s">
        <v>3151</v>
      </c>
      <c r="E954" s="2250" t="s">
        <v>3015</v>
      </c>
      <c r="F954" s="2176"/>
      <c r="G954" s="2179">
        <f>G955+G957</f>
        <v>0</v>
      </c>
      <c r="H954" s="2179">
        <f>H955+H957</f>
        <v>0</v>
      </c>
      <c r="I954" s="2178">
        <f t="shared" si="1925"/>
        <v>0</v>
      </c>
      <c r="J954" s="2176"/>
      <c r="K954" s="2179">
        <f t="shared" si="1965"/>
        <v>0</v>
      </c>
      <c r="L954" s="2179">
        <f t="shared" si="1948"/>
        <v>0</v>
      </c>
      <c r="M954" s="2178">
        <f t="shared" si="1926"/>
        <v>0</v>
      </c>
      <c r="N954" s="2179">
        <f>N955+N957</f>
        <v>0</v>
      </c>
      <c r="O954" s="2179">
        <f>O955+O957</f>
        <v>0</v>
      </c>
      <c r="P954" s="2178">
        <f t="shared" si="1927"/>
        <v>0</v>
      </c>
      <c r="Q954" s="2179">
        <f>Q955+Q957</f>
        <v>0</v>
      </c>
      <c r="R954" s="2179">
        <f>R955+R957</f>
        <v>0</v>
      </c>
      <c r="S954" s="2178">
        <f t="shared" si="1928"/>
        <v>0</v>
      </c>
      <c r="T954" s="2181">
        <f t="shared" si="1966"/>
        <v>0</v>
      </c>
      <c r="U954" s="2179">
        <f t="shared" si="1966"/>
        <v>0</v>
      </c>
      <c r="V954" s="2178">
        <f t="shared" si="1930"/>
        <v>0</v>
      </c>
      <c r="W954" s="2179">
        <f>W955+W957</f>
        <v>0</v>
      </c>
      <c r="X954" s="2179">
        <f>X955+X957</f>
        <v>0</v>
      </c>
      <c r="Y954" s="2178">
        <f t="shared" si="1931"/>
        <v>0</v>
      </c>
      <c r="Z954" s="2181">
        <f t="shared" si="1967"/>
        <v>0</v>
      </c>
      <c r="AA954" s="2179">
        <f t="shared" si="1967"/>
        <v>0</v>
      </c>
      <c r="AB954" s="2178">
        <f t="shared" si="1933"/>
        <v>0</v>
      </c>
      <c r="AC954" s="2179">
        <f>AC955+AC957</f>
        <v>0</v>
      </c>
      <c r="AD954" s="2179">
        <f>AD955+AD957</f>
        <v>0</v>
      </c>
      <c r="AE954" s="2178">
        <f t="shared" si="1934"/>
        <v>0</v>
      </c>
      <c r="AF954" s="2204"/>
      <c r="AG954" s="2114"/>
      <c r="AH954" s="2188">
        <f>AH955+AH957</f>
        <v>0</v>
      </c>
      <c r="AI954" s="2188">
        <f>AI955+AI957</f>
        <v>0</v>
      </c>
      <c r="AJ954" s="2186">
        <f t="shared" si="1935"/>
        <v>0</v>
      </c>
      <c r="AK954" s="2188">
        <f>AK955+AK957</f>
        <v>0</v>
      </c>
      <c r="AL954" s="2188">
        <f>AL955+AL957</f>
        <v>0</v>
      </c>
      <c r="AM954" s="2186">
        <f t="shared" si="1936"/>
        <v>0</v>
      </c>
      <c r="AN954" s="2188">
        <f>AN955+AN957</f>
        <v>0</v>
      </c>
      <c r="AO954" s="2188">
        <f>AO955+AO957</f>
        <v>0</v>
      </c>
      <c r="AP954" s="2186">
        <f t="shared" si="1937"/>
        <v>0</v>
      </c>
      <c r="AQ954" s="2188">
        <f>AQ955+AQ957</f>
        <v>0</v>
      </c>
      <c r="AR954" s="2188">
        <f>AR955+AR957</f>
        <v>0</v>
      </c>
      <c r="AS954" s="2186">
        <f t="shared" si="1938"/>
        <v>0</v>
      </c>
      <c r="AT954" s="2188">
        <f>AT955+AT957</f>
        <v>0</v>
      </c>
      <c r="AU954" s="2188">
        <f>AU955+AU957</f>
        <v>0</v>
      </c>
      <c r="AV954" s="2186">
        <f t="shared" si="1939"/>
        <v>0</v>
      </c>
      <c r="AW954" s="2188">
        <f>AW955+AW957</f>
        <v>0</v>
      </c>
      <c r="AX954" s="2188">
        <f>AX955+AX957</f>
        <v>0</v>
      </c>
      <c r="AY954" s="2186">
        <f t="shared" si="1940"/>
        <v>0</v>
      </c>
      <c r="AZ954" s="2188">
        <f>AZ955+AZ957</f>
        <v>0</v>
      </c>
      <c r="BA954" s="2188">
        <f>BA955+BA957</f>
        <v>0</v>
      </c>
      <c r="BB954" s="2186">
        <f t="shared" si="1941"/>
        <v>0</v>
      </c>
      <c r="BC954" s="2188">
        <f>BC955+BC957</f>
        <v>0</v>
      </c>
      <c r="BD954" s="2188">
        <f>BD955+BD957</f>
        <v>0</v>
      </c>
      <c r="BE954" s="2186">
        <f t="shared" si="1942"/>
        <v>0</v>
      </c>
      <c r="BF954" s="2188">
        <f>BF955+BF957</f>
        <v>0</v>
      </c>
      <c r="BG954" s="2188">
        <f>BG955+BG957</f>
        <v>0</v>
      </c>
      <c r="BH954" s="2186">
        <f t="shared" si="1943"/>
        <v>0</v>
      </c>
      <c r="BI954" s="2188">
        <f>BI955+BI957</f>
        <v>0</v>
      </c>
      <c r="BJ954" s="2188">
        <f>BJ955+BJ957</f>
        <v>0</v>
      </c>
      <c r="BK954" s="2186">
        <f t="shared" si="1944"/>
        <v>0</v>
      </c>
      <c r="BL954" s="2188">
        <f>BL955+BL957</f>
        <v>0</v>
      </c>
      <c r="BM954" s="2188">
        <f>BM955+BM957</f>
        <v>0</v>
      </c>
      <c r="BN954" s="2186">
        <f t="shared" si="1945"/>
        <v>0</v>
      </c>
      <c r="BO954" s="2188">
        <f>BO955+BO957</f>
        <v>0</v>
      </c>
      <c r="BP954" s="2188">
        <f>BP955+BP957</f>
        <v>0</v>
      </c>
      <c r="BQ954" s="2186">
        <f t="shared" si="1946"/>
        <v>0</v>
      </c>
    </row>
    <row r="955" spans="3:69" s="2087" customFormat="1" ht="12" hidden="1" customHeight="1">
      <c r="C955" s="2473" t="s">
        <v>3161</v>
      </c>
      <c r="D955" s="2334" t="s">
        <v>2872</v>
      </c>
      <c r="E955" s="2250" t="s">
        <v>3015</v>
      </c>
      <c r="F955" s="2176"/>
      <c r="G955" s="2177"/>
      <c r="H955" s="2177"/>
      <c r="I955" s="2178">
        <f t="shared" si="1925"/>
        <v>0</v>
      </c>
      <c r="J955" s="2176"/>
      <c r="K955" s="2179">
        <f t="shared" si="1965"/>
        <v>0</v>
      </c>
      <c r="L955" s="2179">
        <f t="shared" si="1948"/>
        <v>0</v>
      </c>
      <c r="M955" s="2178">
        <f t="shared" si="1926"/>
        <v>0</v>
      </c>
      <c r="N955" s="2177"/>
      <c r="O955" s="2177"/>
      <c r="P955" s="2178">
        <f t="shared" si="1927"/>
        <v>0</v>
      </c>
      <c r="Q955" s="2176"/>
      <c r="R955" s="2177"/>
      <c r="S955" s="2178">
        <f t="shared" si="1928"/>
        <v>0</v>
      </c>
      <c r="T955" s="2181">
        <f t="shared" si="1966"/>
        <v>0</v>
      </c>
      <c r="U955" s="2179">
        <f t="shared" si="1966"/>
        <v>0</v>
      </c>
      <c r="V955" s="2178">
        <f t="shared" si="1930"/>
        <v>0</v>
      </c>
      <c r="W955" s="2176"/>
      <c r="X955" s="2177"/>
      <c r="Y955" s="2178">
        <f t="shared" si="1931"/>
        <v>0</v>
      </c>
      <c r="Z955" s="2181">
        <f t="shared" si="1967"/>
        <v>0</v>
      </c>
      <c r="AA955" s="2179">
        <f t="shared" si="1967"/>
        <v>0</v>
      </c>
      <c r="AB955" s="2178">
        <f t="shared" si="1933"/>
        <v>0</v>
      </c>
      <c r="AC955" s="2176"/>
      <c r="AD955" s="2177"/>
      <c r="AE955" s="2178">
        <f t="shared" si="1934"/>
        <v>0</v>
      </c>
      <c r="AF955" s="2204"/>
      <c r="AG955" s="2114"/>
      <c r="AH955" s="2177"/>
      <c r="AI955" s="2177"/>
      <c r="AJ955" s="2186">
        <f t="shared" si="1935"/>
        <v>0</v>
      </c>
      <c r="AK955" s="2177"/>
      <c r="AL955" s="2177"/>
      <c r="AM955" s="2186">
        <f t="shared" si="1936"/>
        <v>0</v>
      </c>
      <c r="AN955" s="2177"/>
      <c r="AO955" s="2177"/>
      <c r="AP955" s="2186">
        <f t="shared" si="1937"/>
        <v>0</v>
      </c>
      <c r="AQ955" s="2177"/>
      <c r="AR955" s="2177"/>
      <c r="AS955" s="2186">
        <f t="shared" si="1938"/>
        <v>0</v>
      </c>
      <c r="AT955" s="2177"/>
      <c r="AU955" s="2177"/>
      <c r="AV955" s="2186">
        <f t="shared" si="1939"/>
        <v>0</v>
      </c>
      <c r="AW955" s="2177"/>
      <c r="AX955" s="2177"/>
      <c r="AY955" s="2186">
        <f t="shared" si="1940"/>
        <v>0</v>
      </c>
      <c r="AZ955" s="2177"/>
      <c r="BA955" s="2177"/>
      <c r="BB955" s="2186">
        <f t="shared" si="1941"/>
        <v>0</v>
      </c>
      <c r="BC955" s="2177"/>
      <c r="BD955" s="2177"/>
      <c r="BE955" s="2186">
        <f t="shared" si="1942"/>
        <v>0</v>
      </c>
      <c r="BF955" s="2177"/>
      <c r="BG955" s="2177"/>
      <c r="BH955" s="2186">
        <f t="shared" si="1943"/>
        <v>0</v>
      </c>
      <c r="BI955" s="2177"/>
      <c r="BJ955" s="2177"/>
      <c r="BK955" s="2186">
        <f t="shared" si="1944"/>
        <v>0</v>
      </c>
      <c r="BL955" s="2177"/>
      <c r="BM955" s="2177"/>
      <c r="BN955" s="2186">
        <f t="shared" si="1945"/>
        <v>0</v>
      </c>
      <c r="BO955" s="2177"/>
      <c r="BP955" s="2177"/>
      <c r="BQ955" s="2186">
        <f t="shared" si="1946"/>
        <v>0</v>
      </c>
    </row>
    <row r="956" spans="3:69" s="2087" customFormat="1" ht="12" hidden="1" customHeight="1">
      <c r="C956" s="2473" t="s">
        <v>3162</v>
      </c>
      <c r="D956" s="2334" t="s">
        <v>2434</v>
      </c>
      <c r="E956" s="2250" t="s">
        <v>3015</v>
      </c>
      <c r="F956" s="2176"/>
      <c r="G956" s="2177"/>
      <c r="H956" s="2177"/>
      <c r="I956" s="2178">
        <f t="shared" si="1925"/>
        <v>0</v>
      </c>
      <c r="J956" s="2176"/>
      <c r="K956" s="2179">
        <f>N956+Q956+W956+AC956</f>
        <v>0</v>
      </c>
      <c r="L956" s="2179">
        <f>O956+R956+X956+AD956</f>
        <v>0</v>
      </c>
      <c r="M956" s="2178">
        <f t="shared" si="1926"/>
        <v>0</v>
      </c>
      <c r="N956" s="2177"/>
      <c r="O956" s="2177"/>
      <c r="P956" s="2178">
        <f t="shared" si="1927"/>
        <v>0</v>
      </c>
      <c r="Q956" s="2176"/>
      <c r="R956" s="2177"/>
      <c r="S956" s="2178">
        <f t="shared" si="1928"/>
        <v>0</v>
      </c>
      <c r="T956" s="2181">
        <f>N956+Q956</f>
        <v>0</v>
      </c>
      <c r="U956" s="2179">
        <f>O956+R956</f>
        <v>0</v>
      </c>
      <c r="V956" s="2178">
        <f t="shared" si="1930"/>
        <v>0</v>
      </c>
      <c r="W956" s="2176"/>
      <c r="X956" s="2177"/>
      <c r="Y956" s="2178">
        <f t="shared" si="1931"/>
        <v>0</v>
      </c>
      <c r="Z956" s="2181">
        <f>T956+W956</f>
        <v>0</v>
      </c>
      <c r="AA956" s="2179">
        <f>U956+X956</f>
        <v>0</v>
      </c>
      <c r="AB956" s="2178">
        <f t="shared" si="1933"/>
        <v>0</v>
      </c>
      <c r="AC956" s="2176"/>
      <c r="AD956" s="2177"/>
      <c r="AE956" s="2178">
        <f t="shared" si="1934"/>
        <v>0</v>
      </c>
      <c r="AF956" s="2204"/>
      <c r="AG956" s="2114"/>
      <c r="AH956" s="2177"/>
      <c r="AI956" s="2177"/>
      <c r="AJ956" s="2186">
        <f t="shared" si="1935"/>
        <v>0</v>
      </c>
      <c r="AK956" s="2177"/>
      <c r="AL956" s="2177"/>
      <c r="AM956" s="2186">
        <f t="shared" si="1936"/>
        <v>0</v>
      </c>
      <c r="AN956" s="2177"/>
      <c r="AO956" s="2177"/>
      <c r="AP956" s="2186">
        <f t="shared" si="1937"/>
        <v>0</v>
      </c>
      <c r="AQ956" s="2177"/>
      <c r="AR956" s="2177"/>
      <c r="AS956" s="2186">
        <f t="shared" si="1938"/>
        <v>0</v>
      </c>
      <c r="AT956" s="2177"/>
      <c r="AU956" s="2177"/>
      <c r="AV956" s="2186">
        <f t="shared" si="1939"/>
        <v>0</v>
      </c>
      <c r="AW956" s="2177"/>
      <c r="AX956" s="2177"/>
      <c r="AY956" s="2186">
        <f t="shared" si="1940"/>
        <v>0</v>
      </c>
      <c r="AZ956" s="2177"/>
      <c r="BA956" s="2177"/>
      <c r="BB956" s="2186">
        <f t="shared" si="1941"/>
        <v>0</v>
      </c>
      <c r="BC956" s="2177"/>
      <c r="BD956" s="2177"/>
      <c r="BE956" s="2186">
        <f t="shared" si="1942"/>
        <v>0</v>
      </c>
      <c r="BF956" s="2177"/>
      <c r="BG956" s="2177"/>
      <c r="BH956" s="2186">
        <f t="shared" si="1943"/>
        <v>0</v>
      </c>
      <c r="BI956" s="2177"/>
      <c r="BJ956" s="2177"/>
      <c r="BK956" s="2186">
        <f t="shared" si="1944"/>
        <v>0</v>
      </c>
      <c r="BL956" s="2177"/>
      <c r="BM956" s="2177"/>
      <c r="BN956" s="2186">
        <f t="shared" si="1945"/>
        <v>0</v>
      </c>
      <c r="BO956" s="2177"/>
      <c r="BP956" s="2177"/>
      <c r="BQ956" s="2186">
        <f t="shared" si="1946"/>
        <v>0</v>
      </c>
    </row>
    <row r="957" spans="3:69" s="2087" customFormat="1" ht="12" hidden="1" customHeight="1">
      <c r="C957" s="2473" t="s">
        <v>3163</v>
      </c>
      <c r="D957" s="2334" t="s">
        <v>42</v>
      </c>
      <c r="E957" s="2250" t="s">
        <v>3015</v>
      </c>
      <c r="F957" s="2176"/>
      <c r="G957" s="2177"/>
      <c r="H957" s="2177"/>
      <c r="I957" s="2178">
        <f t="shared" si="1925"/>
        <v>0</v>
      </c>
      <c r="J957" s="2176"/>
      <c r="K957" s="2179">
        <f t="shared" si="1965"/>
        <v>0</v>
      </c>
      <c r="L957" s="2179">
        <f t="shared" si="1948"/>
        <v>0</v>
      </c>
      <c r="M957" s="2178">
        <f t="shared" si="1926"/>
        <v>0</v>
      </c>
      <c r="N957" s="2177"/>
      <c r="O957" s="2177"/>
      <c r="P957" s="2178">
        <f t="shared" si="1927"/>
        <v>0</v>
      </c>
      <c r="Q957" s="2176"/>
      <c r="R957" s="2177"/>
      <c r="S957" s="2178">
        <f t="shared" si="1928"/>
        <v>0</v>
      </c>
      <c r="T957" s="2181">
        <f t="shared" si="1966"/>
        <v>0</v>
      </c>
      <c r="U957" s="2179">
        <f t="shared" si="1966"/>
        <v>0</v>
      </c>
      <c r="V957" s="2178">
        <f t="shared" si="1930"/>
        <v>0</v>
      </c>
      <c r="W957" s="2176"/>
      <c r="X957" s="2177"/>
      <c r="Y957" s="2178">
        <f t="shared" si="1931"/>
        <v>0</v>
      </c>
      <c r="Z957" s="2181">
        <f t="shared" si="1967"/>
        <v>0</v>
      </c>
      <c r="AA957" s="2179">
        <f t="shared" si="1967"/>
        <v>0</v>
      </c>
      <c r="AB957" s="2178">
        <f t="shared" si="1933"/>
        <v>0</v>
      </c>
      <c r="AC957" s="2176"/>
      <c r="AD957" s="2177"/>
      <c r="AE957" s="2178">
        <f t="shared" si="1934"/>
        <v>0</v>
      </c>
      <c r="AF957" s="2204"/>
      <c r="AG957" s="2114"/>
      <c r="AH957" s="2177"/>
      <c r="AI957" s="2177"/>
      <c r="AJ957" s="2186">
        <f t="shared" si="1935"/>
        <v>0</v>
      </c>
      <c r="AK957" s="2177"/>
      <c r="AL957" s="2177"/>
      <c r="AM957" s="2186">
        <f t="shared" si="1936"/>
        <v>0</v>
      </c>
      <c r="AN957" s="2177"/>
      <c r="AO957" s="2177"/>
      <c r="AP957" s="2186">
        <f t="shared" si="1937"/>
        <v>0</v>
      </c>
      <c r="AQ957" s="2177"/>
      <c r="AR957" s="2177"/>
      <c r="AS957" s="2186">
        <f t="shared" si="1938"/>
        <v>0</v>
      </c>
      <c r="AT957" s="2177"/>
      <c r="AU957" s="2177"/>
      <c r="AV957" s="2186">
        <f t="shared" si="1939"/>
        <v>0</v>
      </c>
      <c r="AW957" s="2177"/>
      <c r="AX957" s="2177"/>
      <c r="AY957" s="2186">
        <f t="shared" si="1940"/>
        <v>0</v>
      </c>
      <c r="AZ957" s="2177"/>
      <c r="BA957" s="2177"/>
      <c r="BB957" s="2186">
        <f t="shared" si="1941"/>
        <v>0</v>
      </c>
      <c r="BC957" s="2177"/>
      <c r="BD957" s="2177"/>
      <c r="BE957" s="2186">
        <f t="shared" si="1942"/>
        <v>0</v>
      </c>
      <c r="BF957" s="2177"/>
      <c r="BG957" s="2177"/>
      <c r="BH957" s="2186">
        <f t="shared" si="1943"/>
        <v>0</v>
      </c>
      <c r="BI957" s="2177"/>
      <c r="BJ957" s="2177"/>
      <c r="BK957" s="2186">
        <f t="shared" si="1944"/>
        <v>0</v>
      </c>
      <c r="BL957" s="2177"/>
      <c r="BM957" s="2177"/>
      <c r="BN957" s="2186">
        <f t="shared" si="1945"/>
        <v>0</v>
      </c>
      <c r="BO957" s="2177"/>
      <c r="BP957" s="2177"/>
      <c r="BQ957" s="2186">
        <f t="shared" si="1946"/>
        <v>0</v>
      </c>
    </row>
    <row r="958" spans="3:69" s="2087" customFormat="1" ht="12" hidden="1" customHeight="1">
      <c r="C958" s="2473" t="s">
        <v>3164</v>
      </c>
      <c r="D958" s="2334" t="s">
        <v>2434</v>
      </c>
      <c r="E958" s="2250" t="s">
        <v>3015</v>
      </c>
      <c r="F958" s="2176"/>
      <c r="G958" s="2177"/>
      <c r="H958" s="2177"/>
      <c r="I958" s="2178">
        <f t="shared" si="1925"/>
        <v>0</v>
      </c>
      <c r="J958" s="2176"/>
      <c r="K958" s="2179">
        <f>N958+Q958+W958+AC958</f>
        <v>0</v>
      </c>
      <c r="L958" s="2179">
        <f>O958+R958+X958+AD958</f>
        <v>0</v>
      </c>
      <c r="M958" s="2178">
        <f t="shared" si="1926"/>
        <v>0</v>
      </c>
      <c r="N958" s="2177"/>
      <c r="O958" s="2177"/>
      <c r="P958" s="2178">
        <f t="shared" si="1927"/>
        <v>0</v>
      </c>
      <c r="Q958" s="2176"/>
      <c r="R958" s="2177"/>
      <c r="S958" s="2178">
        <f t="shared" si="1928"/>
        <v>0</v>
      </c>
      <c r="T958" s="2181">
        <f>N958+Q958</f>
        <v>0</v>
      </c>
      <c r="U958" s="2179">
        <f>O958+R958</f>
        <v>0</v>
      </c>
      <c r="V958" s="2178">
        <f t="shared" si="1930"/>
        <v>0</v>
      </c>
      <c r="W958" s="2176"/>
      <c r="X958" s="2177"/>
      <c r="Y958" s="2178">
        <f t="shared" si="1931"/>
        <v>0</v>
      </c>
      <c r="Z958" s="2181">
        <f>T958+W958</f>
        <v>0</v>
      </c>
      <c r="AA958" s="2179">
        <f>U958+X958</f>
        <v>0</v>
      </c>
      <c r="AB958" s="2178">
        <f t="shared" si="1933"/>
        <v>0</v>
      </c>
      <c r="AC958" s="2176"/>
      <c r="AD958" s="2177"/>
      <c r="AE958" s="2178">
        <f t="shared" si="1934"/>
        <v>0</v>
      </c>
      <c r="AF958" s="2204"/>
      <c r="AG958" s="2114"/>
      <c r="AH958" s="2177"/>
      <c r="AI958" s="2177"/>
      <c r="AJ958" s="2186">
        <f t="shared" si="1935"/>
        <v>0</v>
      </c>
      <c r="AK958" s="2177"/>
      <c r="AL958" s="2177"/>
      <c r="AM958" s="2186">
        <f t="shared" si="1936"/>
        <v>0</v>
      </c>
      <c r="AN958" s="2177"/>
      <c r="AO958" s="2177"/>
      <c r="AP958" s="2186">
        <f t="shared" si="1937"/>
        <v>0</v>
      </c>
      <c r="AQ958" s="2177"/>
      <c r="AR958" s="2177"/>
      <c r="AS958" s="2186">
        <f t="shared" si="1938"/>
        <v>0</v>
      </c>
      <c r="AT958" s="2177"/>
      <c r="AU958" s="2177"/>
      <c r="AV958" s="2186">
        <f t="shared" si="1939"/>
        <v>0</v>
      </c>
      <c r="AW958" s="2177"/>
      <c r="AX958" s="2177"/>
      <c r="AY958" s="2186">
        <f t="shared" si="1940"/>
        <v>0</v>
      </c>
      <c r="AZ958" s="2177"/>
      <c r="BA958" s="2177"/>
      <c r="BB958" s="2186">
        <f t="shared" si="1941"/>
        <v>0</v>
      </c>
      <c r="BC958" s="2177"/>
      <c r="BD958" s="2177"/>
      <c r="BE958" s="2186">
        <f t="shared" si="1942"/>
        <v>0</v>
      </c>
      <c r="BF958" s="2177"/>
      <c r="BG958" s="2177"/>
      <c r="BH958" s="2186">
        <f t="shared" si="1943"/>
        <v>0</v>
      </c>
      <c r="BI958" s="2177"/>
      <c r="BJ958" s="2177"/>
      <c r="BK958" s="2186">
        <f t="shared" si="1944"/>
        <v>0</v>
      </c>
      <c r="BL958" s="2177"/>
      <c r="BM958" s="2177"/>
      <c r="BN958" s="2186">
        <f t="shared" si="1945"/>
        <v>0</v>
      </c>
      <c r="BO958" s="2177"/>
      <c r="BP958" s="2177"/>
      <c r="BQ958" s="2186">
        <f t="shared" si="1946"/>
        <v>0</v>
      </c>
    </row>
    <row r="959" spans="3:69" s="2159" customFormat="1" ht="12" hidden="1" customHeight="1">
      <c r="C959" s="2474" t="s">
        <v>3166</v>
      </c>
      <c r="D959" s="2475" t="s">
        <v>3167</v>
      </c>
      <c r="E959" s="2471"/>
      <c r="F959" s="2320"/>
      <c r="G959" s="2171"/>
      <c r="H959" s="2171"/>
      <c r="I959" s="2164">
        <f t="shared" si="1925"/>
        <v>0</v>
      </c>
      <c r="J959" s="2320"/>
      <c r="K959" s="2171"/>
      <c r="L959" s="2171"/>
      <c r="M959" s="2164">
        <f t="shared" si="1926"/>
        <v>0</v>
      </c>
      <c r="N959" s="2171"/>
      <c r="O959" s="2171"/>
      <c r="P959" s="2164">
        <f t="shared" si="1927"/>
        <v>0</v>
      </c>
      <c r="Q959" s="2320"/>
      <c r="R959" s="2171"/>
      <c r="S959" s="2164">
        <f t="shared" si="1928"/>
        <v>0</v>
      </c>
      <c r="T959" s="2472"/>
      <c r="U959" s="2171"/>
      <c r="V959" s="2164">
        <f t="shared" si="1930"/>
        <v>0</v>
      </c>
      <c r="W959" s="2320"/>
      <c r="X959" s="2171"/>
      <c r="Y959" s="2164">
        <f t="shared" si="1931"/>
        <v>0</v>
      </c>
      <c r="Z959" s="2472"/>
      <c r="AA959" s="2171"/>
      <c r="AB959" s="2164">
        <f t="shared" si="1933"/>
        <v>0</v>
      </c>
      <c r="AC959" s="2320"/>
      <c r="AD959" s="2171"/>
      <c r="AE959" s="2164">
        <f t="shared" si="1934"/>
        <v>0</v>
      </c>
      <c r="AF959" s="2204"/>
      <c r="AG959" s="2158"/>
      <c r="AH959" s="2171"/>
      <c r="AI959" s="2171"/>
      <c r="AJ959" s="2172">
        <f t="shared" si="1935"/>
        <v>0</v>
      </c>
      <c r="AK959" s="2171"/>
      <c r="AL959" s="2171"/>
      <c r="AM959" s="2172">
        <f t="shared" si="1936"/>
        <v>0</v>
      </c>
      <c r="AN959" s="2171"/>
      <c r="AO959" s="2171"/>
      <c r="AP959" s="2172">
        <f t="shared" si="1937"/>
        <v>0</v>
      </c>
      <c r="AQ959" s="2171"/>
      <c r="AR959" s="2171"/>
      <c r="AS959" s="2172">
        <f t="shared" si="1938"/>
        <v>0</v>
      </c>
      <c r="AT959" s="2171"/>
      <c r="AU959" s="2171"/>
      <c r="AV959" s="2172">
        <f t="shared" si="1939"/>
        <v>0</v>
      </c>
      <c r="AW959" s="2171"/>
      <c r="AX959" s="2171"/>
      <c r="AY959" s="2172">
        <f t="shared" si="1940"/>
        <v>0</v>
      </c>
      <c r="AZ959" s="2171"/>
      <c r="BA959" s="2171"/>
      <c r="BB959" s="2172">
        <f t="shared" si="1941"/>
        <v>0</v>
      </c>
      <c r="BC959" s="2171"/>
      <c r="BD959" s="2171"/>
      <c r="BE959" s="2172">
        <f t="shared" si="1942"/>
        <v>0</v>
      </c>
      <c r="BF959" s="2171"/>
      <c r="BG959" s="2171"/>
      <c r="BH959" s="2172">
        <f t="shared" si="1943"/>
        <v>0</v>
      </c>
      <c r="BI959" s="2171"/>
      <c r="BJ959" s="2171"/>
      <c r="BK959" s="2172">
        <f t="shared" si="1944"/>
        <v>0</v>
      </c>
      <c r="BL959" s="2171"/>
      <c r="BM959" s="2171"/>
      <c r="BN959" s="2172">
        <f t="shared" si="1945"/>
        <v>0</v>
      </c>
      <c r="BO959" s="2171"/>
      <c r="BP959" s="2171"/>
      <c r="BQ959" s="2172">
        <f t="shared" si="1946"/>
        <v>0</v>
      </c>
    </row>
    <row r="960" spans="3:69" s="2087" customFormat="1" ht="12" hidden="1" customHeight="1">
      <c r="C960" s="2423" t="s">
        <v>3168</v>
      </c>
      <c r="D960" s="2421" t="s">
        <v>3143</v>
      </c>
      <c r="E960" s="2250" t="s">
        <v>3046</v>
      </c>
      <c r="F960" s="2176"/>
      <c r="G960" s="2179">
        <f>G961+G963+G965</f>
        <v>0</v>
      </c>
      <c r="H960" s="2179">
        <f>H961+H963+H965</f>
        <v>0</v>
      </c>
      <c r="I960" s="2178">
        <f t="shared" si="1925"/>
        <v>0</v>
      </c>
      <c r="J960" s="2176"/>
      <c r="K960" s="2179">
        <f t="shared" si="1965"/>
        <v>0</v>
      </c>
      <c r="L960" s="2179">
        <f t="shared" si="1948"/>
        <v>0</v>
      </c>
      <c r="M960" s="2178">
        <f t="shared" si="1926"/>
        <v>0</v>
      </c>
      <c r="N960" s="2179">
        <f>N961+N963+N965</f>
        <v>0</v>
      </c>
      <c r="O960" s="2179">
        <f>O961+O963+O965</f>
        <v>0</v>
      </c>
      <c r="P960" s="2178">
        <f t="shared" si="1927"/>
        <v>0</v>
      </c>
      <c r="Q960" s="2179">
        <f>Q961+Q963+Q965</f>
        <v>0</v>
      </c>
      <c r="R960" s="2179">
        <f>R961+R963+R965</f>
        <v>0</v>
      </c>
      <c r="S960" s="2178">
        <f t="shared" si="1928"/>
        <v>0</v>
      </c>
      <c r="T960" s="2181">
        <f t="shared" si="1966"/>
        <v>0</v>
      </c>
      <c r="U960" s="2179">
        <f t="shared" si="1966"/>
        <v>0</v>
      </c>
      <c r="V960" s="2178">
        <f t="shared" si="1930"/>
        <v>0</v>
      </c>
      <c r="W960" s="2179">
        <f>W961+W963+W965</f>
        <v>0</v>
      </c>
      <c r="X960" s="2179">
        <f>X961+X963+X965</f>
        <v>0</v>
      </c>
      <c r="Y960" s="2178">
        <f t="shared" si="1931"/>
        <v>0</v>
      </c>
      <c r="Z960" s="2181">
        <f t="shared" si="1967"/>
        <v>0</v>
      </c>
      <c r="AA960" s="2179">
        <f t="shared" si="1967"/>
        <v>0</v>
      </c>
      <c r="AB960" s="2178">
        <f t="shared" si="1933"/>
        <v>0</v>
      </c>
      <c r="AC960" s="2179">
        <f>AC961+AC963+AC965</f>
        <v>0</v>
      </c>
      <c r="AD960" s="2179">
        <f>AD961+AD963+AD965</f>
        <v>0</v>
      </c>
      <c r="AE960" s="2178">
        <f t="shared" si="1934"/>
        <v>0</v>
      </c>
      <c r="AF960" s="2204"/>
      <c r="AG960" s="2114"/>
      <c r="AH960" s="2188">
        <f>AH961+AH963+AH965</f>
        <v>0</v>
      </c>
      <c r="AI960" s="2188">
        <f>AI961+AI963+AI965</f>
        <v>0</v>
      </c>
      <c r="AJ960" s="2186">
        <f t="shared" si="1935"/>
        <v>0</v>
      </c>
      <c r="AK960" s="2188">
        <f>AK961+AK963+AK965</f>
        <v>0</v>
      </c>
      <c r="AL960" s="2188">
        <f>AL961+AL963+AL965</f>
        <v>0</v>
      </c>
      <c r="AM960" s="2186">
        <f t="shared" si="1936"/>
        <v>0</v>
      </c>
      <c r="AN960" s="2188">
        <f>AN961+AN963+AN965</f>
        <v>0</v>
      </c>
      <c r="AO960" s="2188">
        <f>AO961+AO963+AO965</f>
        <v>0</v>
      </c>
      <c r="AP960" s="2186">
        <f t="shared" si="1937"/>
        <v>0</v>
      </c>
      <c r="AQ960" s="2188">
        <f>AQ961+AQ963+AQ965</f>
        <v>0</v>
      </c>
      <c r="AR960" s="2188">
        <f>AR961+AR963+AR965</f>
        <v>0</v>
      </c>
      <c r="AS960" s="2186">
        <f t="shared" si="1938"/>
        <v>0</v>
      </c>
      <c r="AT960" s="2188">
        <f>AT961+AT963+AT965</f>
        <v>0</v>
      </c>
      <c r="AU960" s="2188">
        <f>AU961+AU963+AU965</f>
        <v>0</v>
      </c>
      <c r="AV960" s="2186">
        <f t="shared" si="1939"/>
        <v>0</v>
      </c>
      <c r="AW960" s="2188">
        <f>AW961+AW963+AW965</f>
        <v>0</v>
      </c>
      <c r="AX960" s="2188">
        <f>AX961+AX963+AX965</f>
        <v>0</v>
      </c>
      <c r="AY960" s="2186">
        <f t="shared" si="1940"/>
        <v>0</v>
      </c>
      <c r="AZ960" s="2188">
        <f>AZ961+AZ963+AZ965</f>
        <v>0</v>
      </c>
      <c r="BA960" s="2188">
        <f>BA961+BA963+BA965</f>
        <v>0</v>
      </c>
      <c r="BB960" s="2186">
        <f t="shared" si="1941"/>
        <v>0</v>
      </c>
      <c r="BC960" s="2188">
        <f>BC961+BC963+BC965</f>
        <v>0</v>
      </c>
      <c r="BD960" s="2188">
        <f>BD961+BD963+BD965</f>
        <v>0</v>
      </c>
      <c r="BE960" s="2186">
        <f t="shared" si="1942"/>
        <v>0</v>
      </c>
      <c r="BF960" s="2188">
        <f>BF961+BF963+BF965</f>
        <v>0</v>
      </c>
      <c r="BG960" s="2188">
        <f>BG961+BG963+BG965</f>
        <v>0</v>
      </c>
      <c r="BH960" s="2186">
        <f t="shared" si="1943"/>
        <v>0</v>
      </c>
      <c r="BI960" s="2188">
        <f>BI961+BI963+BI965</f>
        <v>0</v>
      </c>
      <c r="BJ960" s="2188">
        <f>BJ961+BJ963+BJ965</f>
        <v>0</v>
      </c>
      <c r="BK960" s="2186">
        <f t="shared" si="1944"/>
        <v>0</v>
      </c>
      <c r="BL960" s="2188">
        <f>BL961+BL963+BL965</f>
        <v>0</v>
      </c>
      <c r="BM960" s="2188">
        <f>BM961+BM963+BM965</f>
        <v>0</v>
      </c>
      <c r="BN960" s="2186">
        <f t="shared" si="1945"/>
        <v>0</v>
      </c>
      <c r="BO960" s="2188">
        <f>BO961+BO963+BO965</f>
        <v>0</v>
      </c>
      <c r="BP960" s="2188">
        <f>BP961+BP963+BP965</f>
        <v>0</v>
      </c>
      <c r="BQ960" s="2186">
        <f t="shared" si="1946"/>
        <v>0</v>
      </c>
    </row>
    <row r="961" spans="3:69" s="2087" customFormat="1" ht="12" hidden="1" customHeight="1">
      <c r="C961" s="2473" t="s">
        <v>3169</v>
      </c>
      <c r="D961" s="2334" t="s">
        <v>28</v>
      </c>
      <c r="E961" s="2250" t="s">
        <v>3046</v>
      </c>
      <c r="F961" s="2176"/>
      <c r="G961" s="2177"/>
      <c r="H961" s="2177"/>
      <c r="I961" s="2178">
        <f t="shared" si="1925"/>
        <v>0</v>
      </c>
      <c r="J961" s="2176"/>
      <c r="K961" s="2179">
        <f t="shared" si="1965"/>
        <v>0</v>
      </c>
      <c r="L961" s="2179">
        <f t="shared" si="1948"/>
        <v>0</v>
      </c>
      <c r="M961" s="2178">
        <f t="shared" si="1926"/>
        <v>0</v>
      </c>
      <c r="N961" s="2177"/>
      <c r="O961" s="2177"/>
      <c r="P961" s="2178">
        <f t="shared" si="1927"/>
        <v>0</v>
      </c>
      <c r="Q961" s="2176"/>
      <c r="R961" s="2177"/>
      <c r="S961" s="2178">
        <f t="shared" si="1928"/>
        <v>0</v>
      </c>
      <c r="T961" s="2181">
        <f t="shared" si="1966"/>
        <v>0</v>
      </c>
      <c r="U961" s="2179">
        <f t="shared" si="1966"/>
        <v>0</v>
      </c>
      <c r="V961" s="2178">
        <f t="shared" si="1930"/>
        <v>0</v>
      </c>
      <c r="W961" s="2176"/>
      <c r="X961" s="2177"/>
      <c r="Y961" s="2178">
        <f t="shared" si="1931"/>
        <v>0</v>
      </c>
      <c r="Z961" s="2181">
        <f t="shared" si="1967"/>
        <v>0</v>
      </c>
      <c r="AA961" s="2179">
        <f t="shared" si="1967"/>
        <v>0</v>
      </c>
      <c r="AB961" s="2178">
        <f t="shared" si="1933"/>
        <v>0</v>
      </c>
      <c r="AC961" s="2176"/>
      <c r="AD961" s="2177"/>
      <c r="AE961" s="2178">
        <f t="shared" si="1934"/>
        <v>0</v>
      </c>
      <c r="AF961" s="2204"/>
      <c r="AG961" s="2114"/>
      <c r="AH961" s="2177"/>
      <c r="AI961" s="2177"/>
      <c r="AJ961" s="2186">
        <f t="shared" si="1935"/>
        <v>0</v>
      </c>
      <c r="AK961" s="2177"/>
      <c r="AL961" s="2177"/>
      <c r="AM961" s="2186">
        <f t="shared" si="1936"/>
        <v>0</v>
      </c>
      <c r="AN961" s="2177"/>
      <c r="AO961" s="2177"/>
      <c r="AP961" s="2186">
        <f t="shared" si="1937"/>
        <v>0</v>
      </c>
      <c r="AQ961" s="2177"/>
      <c r="AR961" s="2177"/>
      <c r="AS961" s="2186">
        <f t="shared" si="1938"/>
        <v>0</v>
      </c>
      <c r="AT961" s="2177"/>
      <c r="AU961" s="2177"/>
      <c r="AV961" s="2186">
        <f t="shared" si="1939"/>
        <v>0</v>
      </c>
      <c r="AW961" s="2177"/>
      <c r="AX961" s="2177"/>
      <c r="AY961" s="2186">
        <f t="shared" si="1940"/>
        <v>0</v>
      </c>
      <c r="AZ961" s="2177"/>
      <c r="BA961" s="2177"/>
      <c r="BB961" s="2186">
        <f t="shared" si="1941"/>
        <v>0</v>
      </c>
      <c r="BC961" s="2177"/>
      <c r="BD961" s="2177"/>
      <c r="BE961" s="2186">
        <f t="shared" si="1942"/>
        <v>0</v>
      </c>
      <c r="BF961" s="2177"/>
      <c r="BG961" s="2177"/>
      <c r="BH961" s="2186">
        <f t="shared" si="1943"/>
        <v>0</v>
      </c>
      <c r="BI961" s="2177"/>
      <c r="BJ961" s="2177"/>
      <c r="BK961" s="2186">
        <f t="shared" si="1944"/>
        <v>0</v>
      </c>
      <c r="BL961" s="2177"/>
      <c r="BM961" s="2177"/>
      <c r="BN961" s="2186">
        <f t="shared" si="1945"/>
        <v>0</v>
      </c>
      <c r="BO961" s="2177"/>
      <c r="BP961" s="2177"/>
      <c r="BQ961" s="2186">
        <f t="shared" si="1946"/>
        <v>0</v>
      </c>
    </row>
    <row r="962" spans="3:69" s="2087" customFormat="1" ht="12" hidden="1" customHeight="1">
      <c r="C962" s="2473" t="s">
        <v>3170</v>
      </c>
      <c r="D962" s="2334" t="s">
        <v>2434</v>
      </c>
      <c r="E962" s="2250" t="s">
        <v>3046</v>
      </c>
      <c r="F962" s="2176"/>
      <c r="G962" s="2177"/>
      <c r="H962" s="2177"/>
      <c r="I962" s="2178">
        <f t="shared" si="1925"/>
        <v>0</v>
      </c>
      <c r="J962" s="2176"/>
      <c r="K962" s="2179">
        <f>N962+Q962+W962+AC962</f>
        <v>0</v>
      </c>
      <c r="L962" s="2179">
        <f>O962+R962+X962+AD962</f>
        <v>0</v>
      </c>
      <c r="M962" s="2178">
        <f t="shared" si="1926"/>
        <v>0</v>
      </c>
      <c r="N962" s="2177"/>
      <c r="O962" s="2177"/>
      <c r="P962" s="2178">
        <f t="shared" si="1927"/>
        <v>0</v>
      </c>
      <c r="Q962" s="2176"/>
      <c r="R962" s="2177"/>
      <c r="S962" s="2178">
        <f t="shared" si="1928"/>
        <v>0</v>
      </c>
      <c r="T962" s="2181">
        <f>N962+Q962</f>
        <v>0</v>
      </c>
      <c r="U962" s="2179">
        <f>O962+R962</f>
        <v>0</v>
      </c>
      <c r="V962" s="2178">
        <f t="shared" si="1930"/>
        <v>0</v>
      </c>
      <c r="W962" s="2176"/>
      <c r="X962" s="2177"/>
      <c r="Y962" s="2178">
        <f t="shared" si="1931"/>
        <v>0</v>
      </c>
      <c r="Z962" s="2181">
        <f>T962+W962</f>
        <v>0</v>
      </c>
      <c r="AA962" s="2179">
        <f>U962+X962</f>
        <v>0</v>
      </c>
      <c r="AB962" s="2178">
        <f t="shared" si="1933"/>
        <v>0</v>
      </c>
      <c r="AC962" s="2176"/>
      <c r="AD962" s="2177"/>
      <c r="AE962" s="2178">
        <f t="shared" si="1934"/>
        <v>0</v>
      </c>
      <c r="AF962" s="2204"/>
      <c r="AG962" s="2114"/>
      <c r="AH962" s="2177"/>
      <c r="AI962" s="2177"/>
      <c r="AJ962" s="2186">
        <f t="shared" si="1935"/>
        <v>0</v>
      </c>
      <c r="AK962" s="2177"/>
      <c r="AL962" s="2177"/>
      <c r="AM962" s="2186">
        <f t="shared" si="1936"/>
        <v>0</v>
      </c>
      <c r="AN962" s="2177"/>
      <c r="AO962" s="2177"/>
      <c r="AP962" s="2186">
        <f t="shared" si="1937"/>
        <v>0</v>
      </c>
      <c r="AQ962" s="2177"/>
      <c r="AR962" s="2177"/>
      <c r="AS962" s="2186">
        <f t="shared" si="1938"/>
        <v>0</v>
      </c>
      <c r="AT962" s="2177"/>
      <c r="AU962" s="2177"/>
      <c r="AV962" s="2186">
        <f t="shared" si="1939"/>
        <v>0</v>
      </c>
      <c r="AW962" s="2177"/>
      <c r="AX962" s="2177"/>
      <c r="AY962" s="2186">
        <f t="shared" si="1940"/>
        <v>0</v>
      </c>
      <c r="AZ962" s="2177"/>
      <c r="BA962" s="2177"/>
      <c r="BB962" s="2186">
        <f t="shared" si="1941"/>
        <v>0</v>
      </c>
      <c r="BC962" s="2177"/>
      <c r="BD962" s="2177"/>
      <c r="BE962" s="2186">
        <f t="shared" si="1942"/>
        <v>0</v>
      </c>
      <c r="BF962" s="2177"/>
      <c r="BG962" s="2177"/>
      <c r="BH962" s="2186">
        <f t="shared" si="1943"/>
        <v>0</v>
      </c>
      <c r="BI962" s="2177"/>
      <c r="BJ962" s="2177"/>
      <c r="BK962" s="2186">
        <f t="shared" si="1944"/>
        <v>0</v>
      </c>
      <c r="BL962" s="2177"/>
      <c r="BM962" s="2177"/>
      <c r="BN962" s="2186">
        <f t="shared" si="1945"/>
        <v>0</v>
      </c>
      <c r="BO962" s="2177"/>
      <c r="BP962" s="2177"/>
      <c r="BQ962" s="2186">
        <f t="shared" si="1946"/>
        <v>0</v>
      </c>
    </row>
    <row r="963" spans="3:69" s="2087" customFormat="1" ht="12" hidden="1" customHeight="1">
      <c r="C963" s="2473" t="s">
        <v>3171</v>
      </c>
      <c r="D963" s="2334" t="s">
        <v>2872</v>
      </c>
      <c r="E963" s="2250" t="s">
        <v>3046</v>
      </c>
      <c r="F963" s="2176"/>
      <c r="G963" s="2177"/>
      <c r="H963" s="2177"/>
      <c r="I963" s="2178">
        <f t="shared" si="1925"/>
        <v>0</v>
      </c>
      <c r="J963" s="2176"/>
      <c r="K963" s="2179">
        <f t="shared" si="1965"/>
        <v>0</v>
      </c>
      <c r="L963" s="2179">
        <f t="shared" si="1948"/>
        <v>0</v>
      </c>
      <c r="M963" s="2178">
        <f t="shared" si="1926"/>
        <v>0</v>
      </c>
      <c r="N963" s="2177"/>
      <c r="O963" s="2177"/>
      <c r="P963" s="2178">
        <f t="shared" si="1927"/>
        <v>0</v>
      </c>
      <c r="Q963" s="2176"/>
      <c r="R963" s="2177"/>
      <c r="S963" s="2178">
        <f t="shared" si="1928"/>
        <v>0</v>
      </c>
      <c r="T963" s="2181">
        <f t="shared" si="1966"/>
        <v>0</v>
      </c>
      <c r="U963" s="2179">
        <f t="shared" si="1966"/>
        <v>0</v>
      </c>
      <c r="V963" s="2178">
        <f t="shared" si="1930"/>
        <v>0</v>
      </c>
      <c r="W963" s="2176"/>
      <c r="X963" s="2177"/>
      <c r="Y963" s="2178">
        <f t="shared" si="1931"/>
        <v>0</v>
      </c>
      <c r="Z963" s="2181">
        <f t="shared" si="1967"/>
        <v>0</v>
      </c>
      <c r="AA963" s="2179">
        <f t="shared" si="1967"/>
        <v>0</v>
      </c>
      <c r="AB963" s="2178">
        <f t="shared" si="1933"/>
        <v>0</v>
      </c>
      <c r="AC963" s="2176"/>
      <c r="AD963" s="2177"/>
      <c r="AE963" s="2178">
        <f t="shared" si="1934"/>
        <v>0</v>
      </c>
      <c r="AF963" s="2204"/>
      <c r="AG963" s="2114"/>
      <c r="AH963" s="2177"/>
      <c r="AI963" s="2177"/>
      <c r="AJ963" s="2186">
        <f t="shared" si="1935"/>
        <v>0</v>
      </c>
      <c r="AK963" s="2177"/>
      <c r="AL963" s="2177"/>
      <c r="AM963" s="2186">
        <f t="shared" si="1936"/>
        <v>0</v>
      </c>
      <c r="AN963" s="2177"/>
      <c r="AO963" s="2177"/>
      <c r="AP963" s="2186">
        <f t="shared" si="1937"/>
        <v>0</v>
      </c>
      <c r="AQ963" s="2177"/>
      <c r="AR963" s="2177"/>
      <c r="AS963" s="2186">
        <f t="shared" si="1938"/>
        <v>0</v>
      </c>
      <c r="AT963" s="2177"/>
      <c r="AU963" s="2177"/>
      <c r="AV963" s="2186">
        <f t="shared" si="1939"/>
        <v>0</v>
      </c>
      <c r="AW963" s="2177"/>
      <c r="AX963" s="2177"/>
      <c r="AY963" s="2186">
        <f t="shared" si="1940"/>
        <v>0</v>
      </c>
      <c r="AZ963" s="2177"/>
      <c r="BA963" s="2177"/>
      <c r="BB963" s="2186">
        <f t="shared" si="1941"/>
        <v>0</v>
      </c>
      <c r="BC963" s="2177"/>
      <c r="BD963" s="2177"/>
      <c r="BE963" s="2186">
        <f t="shared" si="1942"/>
        <v>0</v>
      </c>
      <c r="BF963" s="2177"/>
      <c r="BG963" s="2177"/>
      <c r="BH963" s="2186">
        <f t="shared" si="1943"/>
        <v>0</v>
      </c>
      <c r="BI963" s="2177"/>
      <c r="BJ963" s="2177"/>
      <c r="BK963" s="2186">
        <f t="shared" si="1944"/>
        <v>0</v>
      </c>
      <c r="BL963" s="2177"/>
      <c r="BM963" s="2177"/>
      <c r="BN963" s="2186">
        <f t="shared" si="1945"/>
        <v>0</v>
      </c>
      <c r="BO963" s="2177"/>
      <c r="BP963" s="2177"/>
      <c r="BQ963" s="2186">
        <f t="shared" si="1946"/>
        <v>0</v>
      </c>
    </row>
    <row r="964" spans="3:69" s="2087" customFormat="1" ht="12" hidden="1" customHeight="1">
      <c r="C964" s="2473" t="s">
        <v>3172</v>
      </c>
      <c r="D964" s="2334" t="s">
        <v>2434</v>
      </c>
      <c r="E964" s="2250" t="s">
        <v>3046</v>
      </c>
      <c r="F964" s="2176"/>
      <c r="G964" s="2177"/>
      <c r="H964" s="2177"/>
      <c r="I964" s="2178">
        <f t="shared" si="1925"/>
        <v>0</v>
      </c>
      <c r="J964" s="2176"/>
      <c r="K964" s="2179">
        <f>N964+Q964+W964+AC964</f>
        <v>0</v>
      </c>
      <c r="L964" s="2179">
        <f>O964+R964+X964+AD964</f>
        <v>0</v>
      </c>
      <c r="M964" s="2178">
        <f t="shared" si="1926"/>
        <v>0</v>
      </c>
      <c r="N964" s="2177"/>
      <c r="O964" s="2177"/>
      <c r="P964" s="2178">
        <f t="shared" si="1927"/>
        <v>0</v>
      </c>
      <c r="Q964" s="2176"/>
      <c r="R964" s="2177"/>
      <c r="S964" s="2178">
        <f t="shared" si="1928"/>
        <v>0</v>
      </c>
      <c r="T964" s="2181">
        <f>N964+Q964</f>
        <v>0</v>
      </c>
      <c r="U964" s="2179">
        <f>O964+R964</f>
        <v>0</v>
      </c>
      <c r="V964" s="2178">
        <f t="shared" si="1930"/>
        <v>0</v>
      </c>
      <c r="W964" s="2176"/>
      <c r="X964" s="2177"/>
      <c r="Y964" s="2178">
        <f t="shared" si="1931"/>
        <v>0</v>
      </c>
      <c r="Z964" s="2181">
        <f>T964+W964</f>
        <v>0</v>
      </c>
      <c r="AA964" s="2179">
        <f>U964+X964</f>
        <v>0</v>
      </c>
      <c r="AB964" s="2178">
        <f t="shared" si="1933"/>
        <v>0</v>
      </c>
      <c r="AC964" s="2176"/>
      <c r="AD964" s="2177"/>
      <c r="AE964" s="2178">
        <f t="shared" si="1934"/>
        <v>0</v>
      </c>
      <c r="AF964" s="2204"/>
      <c r="AG964" s="2114"/>
      <c r="AH964" s="2177"/>
      <c r="AI964" s="2177"/>
      <c r="AJ964" s="2186">
        <f t="shared" si="1935"/>
        <v>0</v>
      </c>
      <c r="AK964" s="2177"/>
      <c r="AL964" s="2177"/>
      <c r="AM964" s="2186">
        <f t="shared" si="1936"/>
        <v>0</v>
      </c>
      <c r="AN964" s="2177"/>
      <c r="AO964" s="2177"/>
      <c r="AP964" s="2186">
        <f t="shared" si="1937"/>
        <v>0</v>
      </c>
      <c r="AQ964" s="2177"/>
      <c r="AR964" s="2177"/>
      <c r="AS964" s="2186">
        <f t="shared" si="1938"/>
        <v>0</v>
      </c>
      <c r="AT964" s="2177"/>
      <c r="AU964" s="2177"/>
      <c r="AV964" s="2186">
        <f t="shared" si="1939"/>
        <v>0</v>
      </c>
      <c r="AW964" s="2177"/>
      <c r="AX964" s="2177"/>
      <c r="AY964" s="2186">
        <f t="shared" si="1940"/>
        <v>0</v>
      </c>
      <c r="AZ964" s="2177"/>
      <c r="BA964" s="2177"/>
      <c r="BB964" s="2186">
        <f t="shared" si="1941"/>
        <v>0</v>
      </c>
      <c r="BC964" s="2177"/>
      <c r="BD964" s="2177"/>
      <c r="BE964" s="2186">
        <f t="shared" si="1942"/>
        <v>0</v>
      </c>
      <c r="BF964" s="2177"/>
      <c r="BG964" s="2177"/>
      <c r="BH964" s="2186">
        <f t="shared" si="1943"/>
        <v>0</v>
      </c>
      <c r="BI964" s="2177"/>
      <c r="BJ964" s="2177"/>
      <c r="BK964" s="2186">
        <f t="shared" si="1944"/>
        <v>0</v>
      </c>
      <c r="BL964" s="2177"/>
      <c r="BM964" s="2177"/>
      <c r="BN964" s="2186">
        <f t="shared" si="1945"/>
        <v>0</v>
      </c>
      <c r="BO964" s="2177"/>
      <c r="BP964" s="2177"/>
      <c r="BQ964" s="2186">
        <f t="shared" si="1946"/>
        <v>0</v>
      </c>
    </row>
    <row r="965" spans="3:69" s="2087" customFormat="1" ht="12" hidden="1" customHeight="1">
      <c r="C965" s="2473" t="s">
        <v>3173</v>
      </c>
      <c r="D965" s="2334" t="s">
        <v>42</v>
      </c>
      <c r="E965" s="2250" t="s">
        <v>3046</v>
      </c>
      <c r="F965" s="2176"/>
      <c r="G965" s="2177"/>
      <c r="H965" s="2177"/>
      <c r="I965" s="2178">
        <f t="shared" si="1925"/>
        <v>0</v>
      </c>
      <c r="J965" s="2176"/>
      <c r="K965" s="2179">
        <f t="shared" si="1965"/>
        <v>0</v>
      </c>
      <c r="L965" s="2179">
        <f t="shared" si="1948"/>
        <v>0</v>
      </c>
      <c r="M965" s="2178">
        <f t="shared" si="1926"/>
        <v>0</v>
      </c>
      <c r="N965" s="2177"/>
      <c r="O965" s="2177"/>
      <c r="P965" s="2178">
        <f t="shared" si="1927"/>
        <v>0</v>
      </c>
      <c r="Q965" s="2176"/>
      <c r="R965" s="2177"/>
      <c r="S965" s="2178">
        <f t="shared" si="1928"/>
        <v>0</v>
      </c>
      <c r="T965" s="2181">
        <f t="shared" si="1966"/>
        <v>0</v>
      </c>
      <c r="U965" s="2179">
        <f t="shared" si="1966"/>
        <v>0</v>
      </c>
      <c r="V965" s="2178">
        <f t="shared" si="1930"/>
        <v>0</v>
      </c>
      <c r="W965" s="2176"/>
      <c r="X965" s="2177"/>
      <c r="Y965" s="2178">
        <f t="shared" si="1931"/>
        <v>0</v>
      </c>
      <c r="Z965" s="2181">
        <f t="shared" si="1967"/>
        <v>0</v>
      </c>
      <c r="AA965" s="2179">
        <f t="shared" si="1967"/>
        <v>0</v>
      </c>
      <c r="AB965" s="2178">
        <f t="shared" si="1933"/>
        <v>0</v>
      </c>
      <c r="AC965" s="2176"/>
      <c r="AD965" s="2177"/>
      <c r="AE965" s="2178">
        <f t="shared" si="1934"/>
        <v>0</v>
      </c>
      <c r="AF965" s="2204"/>
      <c r="AG965" s="2114"/>
      <c r="AH965" s="2177"/>
      <c r="AI965" s="2177"/>
      <c r="AJ965" s="2186">
        <f t="shared" si="1935"/>
        <v>0</v>
      </c>
      <c r="AK965" s="2177"/>
      <c r="AL965" s="2177"/>
      <c r="AM965" s="2186">
        <f t="shared" si="1936"/>
        <v>0</v>
      </c>
      <c r="AN965" s="2177"/>
      <c r="AO965" s="2177"/>
      <c r="AP965" s="2186">
        <f t="shared" si="1937"/>
        <v>0</v>
      </c>
      <c r="AQ965" s="2177"/>
      <c r="AR965" s="2177"/>
      <c r="AS965" s="2186">
        <f t="shared" si="1938"/>
        <v>0</v>
      </c>
      <c r="AT965" s="2177"/>
      <c r="AU965" s="2177"/>
      <c r="AV965" s="2186">
        <f t="shared" si="1939"/>
        <v>0</v>
      </c>
      <c r="AW965" s="2177"/>
      <c r="AX965" s="2177"/>
      <c r="AY965" s="2186">
        <f t="shared" si="1940"/>
        <v>0</v>
      </c>
      <c r="AZ965" s="2177"/>
      <c r="BA965" s="2177"/>
      <c r="BB965" s="2186">
        <f t="shared" si="1941"/>
        <v>0</v>
      </c>
      <c r="BC965" s="2177"/>
      <c r="BD965" s="2177"/>
      <c r="BE965" s="2186">
        <f t="shared" si="1942"/>
        <v>0</v>
      </c>
      <c r="BF965" s="2177"/>
      <c r="BG965" s="2177"/>
      <c r="BH965" s="2186">
        <f t="shared" si="1943"/>
        <v>0</v>
      </c>
      <c r="BI965" s="2177"/>
      <c r="BJ965" s="2177"/>
      <c r="BK965" s="2186">
        <f t="shared" si="1944"/>
        <v>0</v>
      </c>
      <c r="BL965" s="2177"/>
      <c r="BM965" s="2177"/>
      <c r="BN965" s="2186">
        <f t="shared" si="1945"/>
        <v>0</v>
      </c>
      <c r="BO965" s="2177"/>
      <c r="BP965" s="2177"/>
      <c r="BQ965" s="2186">
        <f t="shared" si="1946"/>
        <v>0</v>
      </c>
    </row>
    <row r="966" spans="3:69" s="2087" customFormat="1" ht="12" hidden="1" customHeight="1">
      <c r="C966" s="2473" t="s">
        <v>3174</v>
      </c>
      <c r="D966" s="2334" t="s">
        <v>2434</v>
      </c>
      <c r="E966" s="2250" t="s">
        <v>3046</v>
      </c>
      <c r="F966" s="2176"/>
      <c r="G966" s="2177"/>
      <c r="H966" s="2177"/>
      <c r="I966" s="2178">
        <f t="shared" si="1925"/>
        <v>0</v>
      </c>
      <c r="J966" s="2176"/>
      <c r="K966" s="2179">
        <f>N966+Q966+W966+AC966</f>
        <v>0</v>
      </c>
      <c r="L966" s="2179">
        <f>O966+R966+X966+AD966</f>
        <v>0</v>
      </c>
      <c r="M966" s="2178">
        <f t="shared" si="1926"/>
        <v>0</v>
      </c>
      <c r="N966" s="2177"/>
      <c r="O966" s="2177"/>
      <c r="P966" s="2178">
        <f t="shared" si="1927"/>
        <v>0</v>
      </c>
      <c r="Q966" s="2176"/>
      <c r="R966" s="2177"/>
      <c r="S966" s="2178">
        <f t="shared" si="1928"/>
        <v>0</v>
      </c>
      <c r="T966" s="2181">
        <f>N966+Q966</f>
        <v>0</v>
      </c>
      <c r="U966" s="2179">
        <f>O966+R966</f>
        <v>0</v>
      </c>
      <c r="V966" s="2178">
        <f t="shared" si="1930"/>
        <v>0</v>
      </c>
      <c r="W966" s="2176"/>
      <c r="X966" s="2177"/>
      <c r="Y966" s="2178">
        <f t="shared" si="1931"/>
        <v>0</v>
      </c>
      <c r="Z966" s="2181">
        <f>T966+W966</f>
        <v>0</v>
      </c>
      <c r="AA966" s="2179">
        <f>U966+X966</f>
        <v>0</v>
      </c>
      <c r="AB966" s="2178">
        <f t="shared" si="1933"/>
        <v>0</v>
      </c>
      <c r="AC966" s="2176"/>
      <c r="AD966" s="2177"/>
      <c r="AE966" s="2178">
        <f t="shared" si="1934"/>
        <v>0</v>
      </c>
      <c r="AF966" s="2204"/>
      <c r="AG966" s="2114"/>
      <c r="AH966" s="2177"/>
      <c r="AI966" s="2177"/>
      <c r="AJ966" s="2186">
        <f t="shared" si="1935"/>
        <v>0</v>
      </c>
      <c r="AK966" s="2177"/>
      <c r="AL966" s="2177"/>
      <c r="AM966" s="2186">
        <f t="shared" si="1936"/>
        <v>0</v>
      </c>
      <c r="AN966" s="2177"/>
      <c r="AO966" s="2177"/>
      <c r="AP966" s="2186">
        <f t="shared" si="1937"/>
        <v>0</v>
      </c>
      <c r="AQ966" s="2177"/>
      <c r="AR966" s="2177"/>
      <c r="AS966" s="2186">
        <f t="shared" si="1938"/>
        <v>0</v>
      </c>
      <c r="AT966" s="2177"/>
      <c r="AU966" s="2177"/>
      <c r="AV966" s="2186">
        <f t="shared" si="1939"/>
        <v>0</v>
      </c>
      <c r="AW966" s="2177"/>
      <c r="AX966" s="2177"/>
      <c r="AY966" s="2186">
        <f t="shared" si="1940"/>
        <v>0</v>
      </c>
      <c r="AZ966" s="2177"/>
      <c r="BA966" s="2177"/>
      <c r="BB966" s="2186">
        <f t="shared" si="1941"/>
        <v>0</v>
      </c>
      <c r="BC966" s="2177"/>
      <c r="BD966" s="2177"/>
      <c r="BE966" s="2186">
        <f t="shared" si="1942"/>
        <v>0</v>
      </c>
      <c r="BF966" s="2177"/>
      <c r="BG966" s="2177"/>
      <c r="BH966" s="2186">
        <f t="shared" si="1943"/>
        <v>0</v>
      </c>
      <c r="BI966" s="2177"/>
      <c r="BJ966" s="2177"/>
      <c r="BK966" s="2186">
        <f t="shared" si="1944"/>
        <v>0</v>
      </c>
      <c r="BL966" s="2177"/>
      <c r="BM966" s="2177"/>
      <c r="BN966" s="2186">
        <f t="shared" si="1945"/>
        <v>0</v>
      </c>
      <c r="BO966" s="2177"/>
      <c r="BP966" s="2177"/>
      <c r="BQ966" s="2186">
        <f t="shared" si="1946"/>
        <v>0</v>
      </c>
    </row>
    <row r="967" spans="3:69" s="2087" customFormat="1" ht="12" hidden="1" customHeight="1">
      <c r="C967" s="2423" t="s">
        <v>3168</v>
      </c>
      <c r="D967" s="2421" t="s">
        <v>3151</v>
      </c>
      <c r="E967" s="2250" t="s">
        <v>3015</v>
      </c>
      <c r="F967" s="2176"/>
      <c r="G967" s="2179">
        <f>G968+G970+G972</f>
        <v>0</v>
      </c>
      <c r="H967" s="2179">
        <f>H968+H970+H972</f>
        <v>0</v>
      </c>
      <c r="I967" s="2178">
        <f t="shared" si="1925"/>
        <v>0</v>
      </c>
      <c r="J967" s="2176"/>
      <c r="K967" s="2179">
        <f t="shared" si="1965"/>
        <v>0</v>
      </c>
      <c r="L967" s="2179">
        <f t="shared" si="1948"/>
        <v>0</v>
      </c>
      <c r="M967" s="2178">
        <f t="shared" si="1926"/>
        <v>0</v>
      </c>
      <c r="N967" s="2179">
        <f>N968+N970+N972</f>
        <v>0</v>
      </c>
      <c r="O967" s="2179">
        <f>O968+O970+O972</f>
        <v>0</v>
      </c>
      <c r="P967" s="2178">
        <f t="shared" si="1927"/>
        <v>0</v>
      </c>
      <c r="Q967" s="2179">
        <f>Q968+Q970+Q972</f>
        <v>0</v>
      </c>
      <c r="R967" s="2179">
        <f>R968+R970+R972</f>
        <v>0</v>
      </c>
      <c r="S967" s="2178">
        <f t="shared" si="1928"/>
        <v>0</v>
      </c>
      <c r="T967" s="2181">
        <f t="shared" si="1966"/>
        <v>0</v>
      </c>
      <c r="U967" s="2179">
        <f t="shared" si="1966"/>
        <v>0</v>
      </c>
      <c r="V967" s="2178">
        <f t="shared" si="1930"/>
        <v>0</v>
      </c>
      <c r="W967" s="2179">
        <f>W968+W970+W972</f>
        <v>0</v>
      </c>
      <c r="X967" s="2179">
        <f>X968+X970+X972</f>
        <v>0</v>
      </c>
      <c r="Y967" s="2178">
        <f t="shared" si="1931"/>
        <v>0</v>
      </c>
      <c r="Z967" s="2181">
        <f t="shared" si="1967"/>
        <v>0</v>
      </c>
      <c r="AA967" s="2179">
        <f t="shared" si="1967"/>
        <v>0</v>
      </c>
      <c r="AB967" s="2178">
        <f t="shared" si="1933"/>
        <v>0</v>
      </c>
      <c r="AC967" s="2179">
        <f>AC968+AC970+AC972</f>
        <v>0</v>
      </c>
      <c r="AD967" s="2179">
        <f>AD968+AD970+AD972</f>
        <v>0</v>
      </c>
      <c r="AE967" s="2178">
        <f t="shared" si="1934"/>
        <v>0</v>
      </c>
      <c r="AF967" s="2204"/>
      <c r="AG967" s="2114"/>
      <c r="AH967" s="2188">
        <f>AH968+AH970+AH972</f>
        <v>0</v>
      </c>
      <c r="AI967" s="2188">
        <f>AI968+AI970+AI972</f>
        <v>0</v>
      </c>
      <c r="AJ967" s="2186">
        <f t="shared" si="1935"/>
        <v>0</v>
      </c>
      <c r="AK967" s="2188">
        <f>AK968+AK970+AK972</f>
        <v>0</v>
      </c>
      <c r="AL967" s="2188">
        <f>AL968+AL970+AL972</f>
        <v>0</v>
      </c>
      <c r="AM967" s="2186">
        <f t="shared" si="1936"/>
        <v>0</v>
      </c>
      <c r="AN967" s="2188">
        <f>AN968+AN970+AN972</f>
        <v>0</v>
      </c>
      <c r="AO967" s="2188">
        <f>AO968+AO970+AO972</f>
        <v>0</v>
      </c>
      <c r="AP967" s="2186">
        <f t="shared" si="1937"/>
        <v>0</v>
      </c>
      <c r="AQ967" s="2188">
        <f>AQ968+AQ970+AQ972</f>
        <v>0</v>
      </c>
      <c r="AR967" s="2188">
        <f>AR968+AR970+AR972</f>
        <v>0</v>
      </c>
      <c r="AS967" s="2186">
        <f t="shared" si="1938"/>
        <v>0</v>
      </c>
      <c r="AT967" s="2188">
        <f>AT968+AT970+AT972</f>
        <v>0</v>
      </c>
      <c r="AU967" s="2188">
        <f>AU968+AU970+AU972</f>
        <v>0</v>
      </c>
      <c r="AV967" s="2186">
        <f t="shared" si="1939"/>
        <v>0</v>
      </c>
      <c r="AW967" s="2188">
        <f>AW968+AW970+AW972</f>
        <v>0</v>
      </c>
      <c r="AX967" s="2188">
        <f>AX968+AX970+AX972</f>
        <v>0</v>
      </c>
      <c r="AY967" s="2186">
        <f t="shared" si="1940"/>
        <v>0</v>
      </c>
      <c r="AZ967" s="2188">
        <f>AZ968+AZ970+AZ972</f>
        <v>0</v>
      </c>
      <c r="BA967" s="2188">
        <f>BA968+BA970+BA972</f>
        <v>0</v>
      </c>
      <c r="BB967" s="2186">
        <f t="shared" si="1941"/>
        <v>0</v>
      </c>
      <c r="BC967" s="2188">
        <f>BC968+BC970+BC972</f>
        <v>0</v>
      </c>
      <c r="BD967" s="2188">
        <f>BD968+BD970+BD972</f>
        <v>0</v>
      </c>
      <c r="BE967" s="2186">
        <f t="shared" si="1942"/>
        <v>0</v>
      </c>
      <c r="BF967" s="2188">
        <f>BF968+BF970+BF972</f>
        <v>0</v>
      </c>
      <c r="BG967" s="2188">
        <f>BG968+BG970+BG972</f>
        <v>0</v>
      </c>
      <c r="BH967" s="2186">
        <f t="shared" si="1943"/>
        <v>0</v>
      </c>
      <c r="BI967" s="2188">
        <f>BI968+BI970+BI972</f>
        <v>0</v>
      </c>
      <c r="BJ967" s="2188">
        <f>BJ968+BJ970+BJ972</f>
        <v>0</v>
      </c>
      <c r="BK967" s="2186">
        <f t="shared" si="1944"/>
        <v>0</v>
      </c>
      <c r="BL967" s="2188">
        <f>BL968+BL970+BL972</f>
        <v>0</v>
      </c>
      <c r="BM967" s="2188">
        <f>BM968+BM970+BM972</f>
        <v>0</v>
      </c>
      <c r="BN967" s="2186">
        <f t="shared" si="1945"/>
        <v>0</v>
      </c>
      <c r="BO967" s="2188">
        <f>BO968+BO970+BO972</f>
        <v>0</v>
      </c>
      <c r="BP967" s="2188">
        <f>BP968+BP970+BP972</f>
        <v>0</v>
      </c>
      <c r="BQ967" s="2186">
        <f t="shared" si="1946"/>
        <v>0</v>
      </c>
    </row>
    <row r="968" spans="3:69" s="2087" customFormat="1" ht="12" hidden="1" customHeight="1">
      <c r="C968" s="2473" t="s">
        <v>3169</v>
      </c>
      <c r="D968" s="2334" t="s">
        <v>28</v>
      </c>
      <c r="E968" s="2250" t="s">
        <v>3015</v>
      </c>
      <c r="F968" s="2176"/>
      <c r="G968" s="2177"/>
      <c r="H968" s="2177"/>
      <c r="I968" s="2178">
        <f t="shared" si="1925"/>
        <v>0</v>
      </c>
      <c r="J968" s="2176"/>
      <c r="K968" s="2179">
        <f t="shared" si="1965"/>
        <v>0</v>
      </c>
      <c r="L968" s="2179">
        <f t="shared" si="1948"/>
        <v>0</v>
      </c>
      <c r="M968" s="2178">
        <f t="shared" si="1926"/>
        <v>0</v>
      </c>
      <c r="N968" s="2177"/>
      <c r="O968" s="2177"/>
      <c r="P968" s="2178">
        <f t="shared" si="1927"/>
        <v>0</v>
      </c>
      <c r="Q968" s="2176"/>
      <c r="R968" s="2177"/>
      <c r="S968" s="2178">
        <f t="shared" si="1928"/>
        <v>0</v>
      </c>
      <c r="T968" s="2181">
        <f t="shared" si="1966"/>
        <v>0</v>
      </c>
      <c r="U968" s="2179">
        <f t="shared" si="1966"/>
        <v>0</v>
      </c>
      <c r="V968" s="2178">
        <f t="shared" si="1930"/>
        <v>0</v>
      </c>
      <c r="W968" s="2176"/>
      <c r="X968" s="2177"/>
      <c r="Y968" s="2178">
        <f t="shared" si="1931"/>
        <v>0</v>
      </c>
      <c r="Z968" s="2181">
        <f t="shared" si="1967"/>
        <v>0</v>
      </c>
      <c r="AA968" s="2179">
        <f t="shared" si="1967"/>
        <v>0</v>
      </c>
      <c r="AB968" s="2178">
        <f t="shared" si="1933"/>
        <v>0</v>
      </c>
      <c r="AC968" s="2176"/>
      <c r="AD968" s="2177"/>
      <c r="AE968" s="2178">
        <f t="shared" si="1934"/>
        <v>0</v>
      </c>
      <c r="AF968" s="2204"/>
      <c r="AG968" s="2114"/>
      <c r="AH968" s="2177"/>
      <c r="AI968" s="2177"/>
      <c r="AJ968" s="2186">
        <f t="shared" si="1935"/>
        <v>0</v>
      </c>
      <c r="AK968" s="2177"/>
      <c r="AL968" s="2177"/>
      <c r="AM968" s="2186">
        <f t="shared" si="1936"/>
        <v>0</v>
      </c>
      <c r="AN968" s="2177"/>
      <c r="AO968" s="2177"/>
      <c r="AP968" s="2186">
        <f t="shared" si="1937"/>
        <v>0</v>
      </c>
      <c r="AQ968" s="2177"/>
      <c r="AR968" s="2177"/>
      <c r="AS968" s="2186">
        <f t="shared" si="1938"/>
        <v>0</v>
      </c>
      <c r="AT968" s="2177"/>
      <c r="AU968" s="2177"/>
      <c r="AV968" s="2186">
        <f t="shared" si="1939"/>
        <v>0</v>
      </c>
      <c r="AW968" s="2177"/>
      <c r="AX968" s="2177"/>
      <c r="AY968" s="2186">
        <f t="shared" si="1940"/>
        <v>0</v>
      </c>
      <c r="AZ968" s="2177"/>
      <c r="BA968" s="2177"/>
      <c r="BB968" s="2186">
        <f t="shared" si="1941"/>
        <v>0</v>
      </c>
      <c r="BC968" s="2177"/>
      <c r="BD968" s="2177"/>
      <c r="BE968" s="2186">
        <f t="shared" si="1942"/>
        <v>0</v>
      </c>
      <c r="BF968" s="2177"/>
      <c r="BG968" s="2177"/>
      <c r="BH968" s="2186">
        <f t="shared" si="1943"/>
        <v>0</v>
      </c>
      <c r="BI968" s="2177"/>
      <c r="BJ968" s="2177"/>
      <c r="BK968" s="2186">
        <f t="shared" si="1944"/>
        <v>0</v>
      </c>
      <c r="BL968" s="2177"/>
      <c r="BM968" s="2177"/>
      <c r="BN968" s="2186">
        <f t="shared" si="1945"/>
        <v>0</v>
      </c>
      <c r="BO968" s="2177"/>
      <c r="BP968" s="2177"/>
      <c r="BQ968" s="2186">
        <f t="shared" si="1946"/>
        <v>0</v>
      </c>
    </row>
    <row r="969" spans="3:69" s="2087" customFormat="1" ht="12" hidden="1" customHeight="1">
      <c r="C969" s="2473" t="s">
        <v>3170</v>
      </c>
      <c r="D969" s="2334" t="s">
        <v>2434</v>
      </c>
      <c r="E969" s="2250" t="s">
        <v>3015</v>
      </c>
      <c r="F969" s="2176"/>
      <c r="G969" s="2177"/>
      <c r="H969" s="2177"/>
      <c r="I969" s="2178">
        <f t="shared" si="1925"/>
        <v>0</v>
      </c>
      <c r="J969" s="2176"/>
      <c r="K969" s="2179">
        <f>N969+Q969+W969+AC969</f>
        <v>0</v>
      </c>
      <c r="L969" s="2179">
        <f>O969+R969+X969+AD969</f>
        <v>0</v>
      </c>
      <c r="M969" s="2178">
        <f t="shared" si="1926"/>
        <v>0</v>
      </c>
      <c r="N969" s="2177"/>
      <c r="O969" s="2177"/>
      <c r="P969" s="2178">
        <f t="shared" si="1927"/>
        <v>0</v>
      </c>
      <c r="Q969" s="2176"/>
      <c r="R969" s="2177"/>
      <c r="S969" s="2178">
        <f t="shared" si="1928"/>
        <v>0</v>
      </c>
      <c r="T969" s="2181">
        <f>N969+Q969</f>
        <v>0</v>
      </c>
      <c r="U969" s="2179">
        <f>O969+R969</f>
        <v>0</v>
      </c>
      <c r="V969" s="2178">
        <f t="shared" si="1930"/>
        <v>0</v>
      </c>
      <c r="W969" s="2176"/>
      <c r="X969" s="2177"/>
      <c r="Y969" s="2178">
        <f t="shared" si="1931"/>
        <v>0</v>
      </c>
      <c r="Z969" s="2181">
        <f>T969+W969</f>
        <v>0</v>
      </c>
      <c r="AA969" s="2179">
        <f>U969+X969</f>
        <v>0</v>
      </c>
      <c r="AB969" s="2178">
        <f t="shared" si="1933"/>
        <v>0</v>
      </c>
      <c r="AC969" s="2176"/>
      <c r="AD969" s="2177"/>
      <c r="AE969" s="2178">
        <f t="shared" si="1934"/>
        <v>0</v>
      </c>
      <c r="AF969" s="2204"/>
      <c r="AG969" s="2114"/>
      <c r="AH969" s="2177"/>
      <c r="AI969" s="2177"/>
      <c r="AJ969" s="2186">
        <f t="shared" si="1935"/>
        <v>0</v>
      </c>
      <c r="AK969" s="2177"/>
      <c r="AL969" s="2177"/>
      <c r="AM969" s="2186">
        <f t="shared" si="1936"/>
        <v>0</v>
      </c>
      <c r="AN969" s="2177"/>
      <c r="AO969" s="2177"/>
      <c r="AP969" s="2186">
        <f t="shared" si="1937"/>
        <v>0</v>
      </c>
      <c r="AQ969" s="2177"/>
      <c r="AR969" s="2177"/>
      <c r="AS969" s="2186">
        <f t="shared" si="1938"/>
        <v>0</v>
      </c>
      <c r="AT969" s="2177"/>
      <c r="AU969" s="2177"/>
      <c r="AV969" s="2186">
        <f t="shared" si="1939"/>
        <v>0</v>
      </c>
      <c r="AW969" s="2177"/>
      <c r="AX969" s="2177"/>
      <c r="AY969" s="2186">
        <f t="shared" si="1940"/>
        <v>0</v>
      </c>
      <c r="AZ969" s="2177"/>
      <c r="BA969" s="2177"/>
      <c r="BB969" s="2186">
        <f t="shared" si="1941"/>
        <v>0</v>
      </c>
      <c r="BC969" s="2177"/>
      <c r="BD969" s="2177"/>
      <c r="BE969" s="2186">
        <f t="shared" si="1942"/>
        <v>0</v>
      </c>
      <c r="BF969" s="2177"/>
      <c r="BG969" s="2177"/>
      <c r="BH969" s="2186">
        <f t="shared" si="1943"/>
        <v>0</v>
      </c>
      <c r="BI969" s="2177"/>
      <c r="BJ969" s="2177"/>
      <c r="BK969" s="2186">
        <f t="shared" si="1944"/>
        <v>0</v>
      </c>
      <c r="BL969" s="2177"/>
      <c r="BM969" s="2177"/>
      <c r="BN969" s="2186">
        <f t="shared" si="1945"/>
        <v>0</v>
      </c>
      <c r="BO969" s="2177"/>
      <c r="BP969" s="2177"/>
      <c r="BQ969" s="2186">
        <f t="shared" si="1946"/>
        <v>0</v>
      </c>
    </row>
    <row r="970" spans="3:69" s="2087" customFormat="1" ht="12" hidden="1" customHeight="1">
      <c r="C970" s="2473" t="s">
        <v>3171</v>
      </c>
      <c r="D970" s="2334" t="s">
        <v>2872</v>
      </c>
      <c r="E970" s="2250" t="s">
        <v>3015</v>
      </c>
      <c r="F970" s="2176"/>
      <c r="G970" s="2177"/>
      <c r="H970" s="2177"/>
      <c r="I970" s="2178">
        <f t="shared" si="1925"/>
        <v>0</v>
      </c>
      <c r="J970" s="2176"/>
      <c r="K970" s="2179">
        <f t="shared" si="1965"/>
        <v>0</v>
      </c>
      <c r="L970" s="2179">
        <f t="shared" si="1948"/>
        <v>0</v>
      </c>
      <c r="M970" s="2178">
        <f t="shared" si="1926"/>
        <v>0</v>
      </c>
      <c r="N970" s="2177"/>
      <c r="O970" s="2177"/>
      <c r="P970" s="2178">
        <f t="shared" si="1927"/>
        <v>0</v>
      </c>
      <c r="Q970" s="2176"/>
      <c r="R970" s="2177"/>
      <c r="S970" s="2178">
        <f t="shared" si="1928"/>
        <v>0</v>
      </c>
      <c r="T970" s="2181">
        <f t="shared" si="1966"/>
        <v>0</v>
      </c>
      <c r="U970" s="2179">
        <f t="shared" si="1966"/>
        <v>0</v>
      </c>
      <c r="V970" s="2178">
        <f t="shared" si="1930"/>
        <v>0</v>
      </c>
      <c r="W970" s="2176"/>
      <c r="X970" s="2177"/>
      <c r="Y970" s="2178">
        <f t="shared" si="1931"/>
        <v>0</v>
      </c>
      <c r="Z970" s="2181">
        <f t="shared" si="1967"/>
        <v>0</v>
      </c>
      <c r="AA970" s="2179">
        <f t="shared" si="1967"/>
        <v>0</v>
      </c>
      <c r="AB970" s="2178">
        <f t="shared" si="1933"/>
        <v>0</v>
      </c>
      <c r="AC970" s="2176"/>
      <c r="AD970" s="2177"/>
      <c r="AE970" s="2178">
        <f t="shared" si="1934"/>
        <v>0</v>
      </c>
      <c r="AF970" s="2204"/>
      <c r="AG970" s="2114"/>
      <c r="AH970" s="2177"/>
      <c r="AI970" s="2177"/>
      <c r="AJ970" s="2186">
        <f t="shared" si="1935"/>
        <v>0</v>
      </c>
      <c r="AK970" s="2177"/>
      <c r="AL970" s="2177"/>
      <c r="AM970" s="2186">
        <f t="shared" si="1936"/>
        <v>0</v>
      </c>
      <c r="AN970" s="2177"/>
      <c r="AO970" s="2177"/>
      <c r="AP970" s="2186">
        <f t="shared" si="1937"/>
        <v>0</v>
      </c>
      <c r="AQ970" s="2177"/>
      <c r="AR970" s="2177"/>
      <c r="AS970" s="2186">
        <f t="shared" si="1938"/>
        <v>0</v>
      </c>
      <c r="AT970" s="2177"/>
      <c r="AU970" s="2177"/>
      <c r="AV970" s="2186">
        <f t="shared" si="1939"/>
        <v>0</v>
      </c>
      <c r="AW970" s="2177"/>
      <c r="AX970" s="2177"/>
      <c r="AY970" s="2186">
        <f t="shared" si="1940"/>
        <v>0</v>
      </c>
      <c r="AZ970" s="2177"/>
      <c r="BA970" s="2177"/>
      <c r="BB970" s="2186">
        <f t="shared" si="1941"/>
        <v>0</v>
      </c>
      <c r="BC970" s="2177"/>
      <c r="BD970" s="2177"/>
      <c r="BE970" s="2186">
        <f t="shared" si="1942"/>
        <v>0</v>
      </c>
      <c r="BF970" s="2177"/>
      <c r="BG970" s="2177"/>
      <c r="BH970" s="2186">
        <f t="shared" si="1943"/>
        <v>0</v>
      </c>
      <c r="BI970" s="2177"/>
      <c r="BJ970" s="2177"/>
      <c r="BK970" s="2186">
        <f t="shared" si="1944"/>
        <v>0</v>
      </c>
      <c r="BL970" s="2177"/>
      <c r="BM970" s="2177"/>
      <c r="BN970" s="2186">
        <f t="shared" si="1945"/>
        <v>0</v>
      </c>
      <c r="BO970" s="2177"/>
      <c r="BP970" s="2177"/>
      <c r="BQ970" s="2186">
        <f t="shared" si="1946"/>
        <v>0</v>
      </c>
    </row>
    <row r="971" spans="3:69" s="2087" customFormat="1" ht="12" hidden="1" customHeight="1">
      <c r="C971" s="2473" t="s">
        <v>3172</v>
      </c>
      <c r="D971" s="2334" t="s">
        <v>2434</v>
      </c>
      <c r="E971" s="2250" t="s">
        <v>3015</v>
      </c>
      <c r="F971" s="2176"/>
      <c r="G971" s="2177"/>
      <c r="H971" s="2177"/>
      <c r="I971" s="2178">
        <f t="shared" si="1925"/>
        <v>0</v>
      </c>
      <c r="J971" s="2176"/>
      <c r="K971" s="2179">
        <f>N971+Q971+W971+AC971</f>
        <v>0</v>
      </c>
      <c r="L971" s="2179">
        <f>O971+R971+X971+AD971</f>
        <v>0</v>
      </c>
      <c r="M971" s="2178">
        <f t="shared" si="1926"/>
        <v>0</v>
      </c>
      <c r="N971" s="2177"/>
      <c r="O971" s="2177"/>
      <c r="P971" s="2178">
        <f t="shared" si="1927"/>
        <v>0</v>
      </c>
      <c r="Q971" s="2176"/>
      <c r="R971" s="2177"/>
      <c r="S971" s="2178">
        <f t="shared" si="1928"/>
        <v>0</v>
      </c>
      <c r="T971" s="2181">
        <f>N971+Q971</f>
        <v>0</v>
      </c>
      <c r="U971" s="2179">
        <f>O971+R971</f>
        <v>0</v>
      </c>
      <c r="V971" s="2178">
        <f t="shared" si="1930"/>
        <v>0</v>
      </c>
      <c r="W971" s="2176"/>
      <c r="X971" s="2177"/>
      <c r="Y971" s="2178">
        <f t="shared" si="1931"/>
        <v>0</v>
      </c>
      <c r="Z971" s="2181">
        <f>T971+W971</f>
        <v>0</v>
      </c>
      <c r="AA971" s="2179">
        <f>U971+X971</f>
        <v>0</v>
      </c>
      <c r="AB971" s="2178">
        <f t="shared" si="1933"/>
        <v>0</v>
      </c>
      <c r="AC971" s="2176"/>
      <c r="AD971" s="2177"/>
      <c r="AE971" s="2178">
        <f t="shared" si="1934"/>
        <v>0</v>
      </c>
      <c r="AF971" s="2204"/>
      <c r="AG971" s="2114"/>
      <c r="AH971" s="2177"/>
      <c r="AI971" s="2177"/>
      <c r="AJ971" s="2186">
        <f t="shared" si="1935"/>
        <v>0</v>
      </c>
      <c r="AK971" s="2177"/>
      <c r="AL971" s="2177"/>
      <c r="AM971" s="2186">
        <f t="shared" si="1936"/>
        <v>0</v>
      </c>
      <c r="AN971" s="2177"/>
      <c r="AO971" s="2177"/>
      <c r="AP971" s="2186">
        <f t="shared" si="1937"/>
        <v>0</v>
      </c>
      <c r="AQ971" s="2177"/>
      <c r="AR971" s="2177"/>
      <c r="AS971" s="2186">
        <f t="shared" si="1938"/>
        <v>0</v>
      </c>
      <c r="AT971" s="2177"/>
      <c r="AU971" s="2177"/>
      <c r="AV971" s="2186">
        <f t="shared" si="1939"/>
        <v>0</v>
      </c>
      <c r="AW971" s="2177"/>
      <c r="AX971" s="2177"/>
      <c r="AY971" s="2186">
        <f t="shared" si="1940"/>
        <v>0</v>
      </c>
      <c r="AZ971" s="2177"/>
      <c r="BA971" s="2177"/>
      <c r="BB971" s="2186">
        <f t="shared" si="1941"/>
        <v>0</v>
      </c>
      <c r="BC971" s="2177"/>
      <c r="BD971" s="2177"/>
      <c r="BE971" s="2186">
        <f t="shared" si="1942"/>
        <v>0</v>
      </c>
      <c r="BF971" s="2177"/>
      <c r="BG971" s="2177"/>
      <c r="BH971" s="2186">
        <f t="shared" si="1943"/>
        <v>0</v>
      </c>
      <c r="BI971" s="2177"/>
      <c r="BJ971" s="2177"/>
      <c r="BK971" s="2186">
        <f t="shared" si="1944"/>
        <v>0</v>
      </c>
      <c r="BL971" s="2177"/>
      <c r="BM971" s="2177"/>
      <c r="BN971" s="2186">
        <f t="shared" si="1945"/>
        <v>0</v>
      </c>
      <c r="BO971" s="2177"/>
      <c r="BP971" s="2177"/>
      <c r="BQ971" s="2186">
        <f t="shared" si="1946"/>
        <v>0</v>
      </c>
    </row>
    <row r="972" spans="3:69" s="2087" customFormat="1" ht="12" hidden="1" customHeight="1">
      <c r="C972" s="2473" t="s">
        <v>3173</v>
      </c>
      <c r="D972" s="2334" t="s">
        <v>42</v>
      </c>
      <c r="E972" s="2250" t="s">
        <v>3015</v>
      </c>
      <c r="F972" s="2176"/>
      <c r="G972" s="2177"/>
      <c r="H972" s="2177"/>
      <c r="I972" s="2178">
        <f t="shared" si="1925"/>
        <v>0</v>
      </c>
      <c r="J972" s="2176"/>
      <c r="K972" s="2179">
        <f t="shared" si="1965"/>
        <v>0</v>
      </c>
      <c r="L972" s="2179">
        <f t="shared" si="1948"/>
        <v>0</v>
      </c>
      <c r="M972" s="2178">
        <f t="shared" si="1926"/>
        <v>0</v>
      </c>
      <c r="N972" s="2177"/>
      <c r="O972" s="2177"/>
      <c r="P972" s="2178">
        <f t="shared" si="1927"/>
        <v>0</v>
      </c>
      <c r="Q972" s="2176"/>
      <c r="R972" s="2177"/>
      <c r="S972" s="2178">
        <f t="shared" si="1928"/>
        <v>0</v>
      </c>
      <c r="T972" s="2181">
        <f t="shared" si="1966"/>
        <v>0</v>
      </c>
      <c r="U972" s="2179">
        <f t="shared" si="1966"/>
        <v>0</v>
      </c>
      <c r="V972" s="2178">
        <f t="shared" si="1930"/>
        <v>0</v>
      </c>
      <c r="W972" s="2176"/>
      <c r="X972" s="2177"/>
      <c r="Y972" s="2178">
        <f t="shared" si="1931"/>
        <v>0</v>
      </c>
      <c r="Z972" s="2181">
        <f t="shared" si="1967"/>
        <v>0</v>
      </c>
      <c r="AA972" s="2179">
        <f t="shared" si="1967"/>
        <v>0</v>
      </c>
      <c r="AB972" s="2178">
        <f t="shared" si="1933"/>
        <v>0</v>
      </c>
      <c r="AC972" s="2176"/>
      <c r="AD972" s="2177"/>
      <c r="AE972" s="2178">
        <f t="shared" si="1934"/>
        <v>0</v>
      </c>
      <c r="AF972" s="2204"/>
      <c r="AG972" s="2114"/>
      <c r="AH972" s="2177"/>
      <c r="AI972" s="2177"/>
      <c r="AJ972" s="2186">
        <f t="shared" si="1935"/>
        <v>0</v>
      </c>
      <c r="AK972" s="2177"/>
      <c r="AL972" s="2177"/>
      <c r="AM972" s="2186">
        <f t="shared" si="1936"/>
        <v>0</v>
      </c>
      <c r="AN972" s="2177"/>
      <c r="AO972" s="2177"/>
      <c r="AP972" s="2186">
        <f t="shared" si="1937"/>
        <v>0</v>
      </c>
      <c r="AQ972" s="2177"/>
      <c r="AR972" s="2177"/>
      <c r="AS972" s="2186">
        <f t="shared" si="1938"/>
        <v>0</v>
      </c>
      <c r="AT972" s="2177"/>
      <c r="AU972" s="2177"/>
      <c r="AV972" s="2186">
        <f t="shared" si="1939"/>
        <v>0</v>
      </c>
      <c r="AW972" s="2177"/>
      <c r="AX972" s="2177"/>
      <c r="AY972" s="2186">
        <f t="shared" si="1940"/>
        <v>0</v>
      </c>
      <c r="AZ972" s="2177"/>
      <c r="BA972" s="2177"/>
      <c r="BB972" s="2186">
        <f t="shared" si="1941"/>
        <v>0</v>
      </c>
      <c r="BC972" s="2177"/>
      <c r="BD972" s="2177"/>
      <c r="BE972" s="2186">
        <f t="shared" si="1942"/>
        <v>0</v>
      </c>
      <c r="BF972" s="2177"/>
      <c r="BG972" s="2177"/>
      <c r="BH972" s="2186">
        <f t="shared" si="1943"/>
        <v>0</v>
      </c>
      <c r="BI972" s="2177"/>
      <c r="BJ972" s="2177"/>
      <c r="BK972" s="2186">
        <f t="shared" si="1944"/>
        <v>0</v>
      </c>
      <c r="BL972" s="2177"/>
      <c r="BM972" s="2177"/>
      <c r="BN972" s="2186">
        <f t="shared" si="1945"/>
        <v>0</v>
      </c>
      <c r="BO972" s="2177"/>
      <c r="BP972" s="2177"/>
      <c r="BQ972" s="2186">
        <f t="shared" si="1946"/>
        <v>0</v>
      </c>
    </row>
    <row r="973" spans="3:69" s="2087" customFormat="1" ht="12" hidden="1" customHeight="1">
      <c r="C973" s="2473" t="s">
        <v>3174</v>
      </c>
      <c r="D973" s="2334" t="s">
        <v>2434</v>
      </c>
      <c r="E973" s="2250" t="s">
        <v>3015</v>
      </c>
      <c r="F973" s="2176"/>
      <c r="G973" s="2177"/>
      <c r="H973" s="2177"/>
      <c r="I973" s="2178">
        <f t="shared" si="1925"/>
        <v>0</v>
      </c>
      <c r="J973" s="2176"/>
      <c r="K973" s="2179">
        <f>N973+Q973+W973+AC973</f>
        <v>0</v>
      </c>
      <c r="L973" s="2179">
        <f>O973+R973+X973+AD973</f>
        <v>0</v>
      </c>
      <c r="M973" s="2178">
        <f t="shared" si="1926"/>
        <v>0</v>
      </c>
      <c r="N973" s="2177"/>
      <c r="O973" s="2177"/>
      <c r="P973" s="2178">
        <f t="shared" si="1927"/>
        <v>0</v>
      </c>
      <c r="Q973" s="2176"/>
      <c r="R973" s="2177"/>
      <c r="S973" s="2178">
        <f t="shared" si="1928"/>
        <v>0</v>
      </c>
      <c r="T973" s="2181">
        <f>N973+Q973</f>
        <v>0</v>
      </c>
      <c r="U973" s="2179">
        <f>O973+R973</f>
        <v>0</v>
      </c>
      <c r="V973" s="2178">
        <f t="shared" si="1930"/>
        <v>0</v>
      </c>
      <c r="W973" s="2176"/>
      <c r="X973" s="2177"/>
      <c r="Y973" s="2178">
        <f t="shared" si="1931"/>
        <v>0</v>
      </c>
      <c r="Z973" s="2181">
        <f>T973+W973</f>
        <v>0</v>
      </c>
      <c r="AA973" s="2179">
        <f>U973+X973</f>
        <v>0</v>
      </c>
      <c r="AB973" s="2178">
        <f t="shared" si="1933"/>
        <v>0</v>
      </c>
      <c r="AC973" s="2176"/>
      <c r="AD973" s="2177"/>
      <c r="AE973" s="2178">
        <f t="shared" si="1934"/>
        <v>0</v>
      </c>
      <c r="AF973" s="2204"/>
      <c r="AG973" s="2114"/>
      <c r="AH973" s="2177"/>
      <c r="AI973" s="2177"/>
      <c r="AJ973" s="2186">
        <f t="shared" si="1935"/>
        <v>0</v>
      </c>
      <c r="AK973" s="2177"/>
      <c r="AL973" s="2177"/>
      <c r="AM973" s="2186">
        <f t="shared" si="1936"/>
        <v>0</v>
      </c>
      <c r="AN973" s="2177"/>
      <c r="AO973" s="2177"/>
      <c r="AP973" s="2186">
        <f t="shared" si="1937"/>
        <v>0</v>
      </c>
      <c r="AQ973" s="2177"/>
      <c r="AR973" s="2177"/>
      <c r="AS973" s="2186">
        <f t="shared" si="1938"/>
        <v>0</v>
      </c>
      <c r="AT973" s="2177"/>
      <c r="AU973" s="2177"/>
      <c r="AV973" s="2186">
        <f t="shared" si="1939"/>
        <v>0</v>
      </c>
      <c r="AW973" s="2177"/>
      <c r="AX973" s="2177"/>
      <c r="AY973" s="2186">
        <f t="shared" si="1940"/>
        <v>0</v>
      </c>
      <c r="AZ973" s="2177"/>
      <c r="BA973" s="2177"/>
      <c r="BB973" s="2186">
        <f t="shared" si="1941"/>
        <v>0</v>
      </c>
      <c r="BC973" s="2177"/>
      <c r="BD973" s="2177"/>
      <c r="BE973" s="2186">
        <f t="shared" si="1942"/>
        <v>0</v>
      </c>
      <c r="BF973" s="2177"/>
      <c r="BG973" s="2177"/>
      <c r="BH973" s="2186">
        <f t="shared" si="1943"/>
        <v>0</v>
      </c>
      <c r="BI973" s="2177"/>
      <c r="BJ973" s="2177"/>
      <c r="BK973" s="2186">
        <f t="shared" si="1944"/>
        <v>0</v>
      </c>
      <c r="BL973" s="2177"/>
      <c r="BM973" s="2177"/>
      <c r="BN973" s="2186">
        <f t="shared" si="1945"/>
        <v>0</v>
      </c>
      <c r="BO973" s="2177"/>
      <c r="BP973" s="2177"/>
      <c r="BQ973" s="2186">
        <f t="shared" si="1946"/>
        <v>0</v>
      </c>
    </row>
    <row r="974" spans="3:69" s="2159" customFormat="1" ht="12" hidden="1" customHeight="1" collapsed="1">
      <c r="C974" s="2393" t="s">
        <v>3175</v>
      </c>
      <c r="D974" s="2469" t="s">
        <v>3176</v>
      </c>
      <c r="E974" s="2120" t="s">
        <v>3177</v>
      </c>
      <c r="F974" s="2162"/>
      <c r="G974" s="2163">
        <f>G975+G983</f>
        <v>0</v>
      </c>
      <c r="H974" s="2163">
        <f>H975+H983</f>
        <v>0</v>
      </c>
      <c r="I974" s="2164">
        <f t="shared" si="1925"/>
        <v>0</v>
      </c>
      <c r="J974" s="2162"/>
      <c r="K974" s="2163">
        <f t="shared" si="1965"/>
        <v>0</v>
      </c>
      <c r="L974" s="2163">
        <f t="shared" si="1948"/>
        <v>0</v>
      </c>
      <c r="M974" s="2164">
        <f t="shared" si="1926"/>
        <v>0</v>
      </c>
      <c r="N974" s="2163">
        <f>N975+N983</f>
        <v>0</v>
      </c>
      <c r="O974" s="2163">
        <f>O975+O983</f>
        <v>0</v>
      </c>
      <c r="P974" s="2164">
        <f t="shared" si="1927"/>
        <v>0</v>
      </c>
      <c r="Q974" s="2165">
        <f>Q975+Q983</f>
        <v>0</v>
      </c>
      <c r="R974" s="2163">
        <f>R975+R983</f>
        <v>0</v>
      </c>
      <c r="S974" s="2164">
        <f t="shared" si="1928"/>
        <v>0</v>
      </c>
      <c r="T974" s="2167">
        <f>T975+T983</f>
        <v>0</v>
      </c>
      <c r="U974" s="2163">
        <f>U975+U983</f>
        <v>0</v>
      </c>
      <c r="V974" s="2164">
        <f t="shared" si="1930"/>
        <v>0</v>
      </c>
      <c r="W974" s="2165">
        <f>W975+W983</f>
        <v>0</v>
      </c>
      <c r="X974" s="2163">
        <f>X975+X983</f>
        <v>0</v>
      </c>
      <c r="Y974" s="2164">
        <f t="shared" si="1931"/>
        <v>0</v>
      </c>
      <c r="Z974" s="2167">
        <f>Z975+Z983</f>
        <v>0</v>
      </c>
      <c r="AA974" s="2163">
        <f>AA975+AA983</f>
        <v>0</v>
      </c>
      <c r="AB974" s="2164">
        <f t="shared" si="1933"/>
        <v>0</v>
      </c>
      <c r="AC974" s="2165">
        <f>AC975+AC983</f>
        <v>0</v>
      </c>
      <c r="AD974" s="2163">
        <f>AD975+AD983</f>
        <v>0</v>
      </c>
      <c r="AE974" s="2164">
        <f t="shared" si="1934"/>
        <v>0</v>
      </c>
      <c r="AF974" s="2204"/>
      <c r="AG974" s="2158"/>
      <c r="AH974" s="2171">
        <f>AH975+AH983</f>
        <v>0</v>
      </c>
      <c r="AI974" s="2171">
        <f>AI975+AI983</f>
        <v>0</v>
      </c>
      <c r="AJ974" s="2172">
        <f t="shared" si="1935"/>
        <v>0</v>
      </c>
      <c r="AK974" s="2171">
        <f>AK975+AK983</f>
        <v>0</v>
      </c>
      <c r="AL974" s="2171">
        <f>AL975+AL983</f>
        <v>0</v>
      </c>
      <c r="AM974" s="2172">
        <f t="shared" si="1936"/>
        <v>0</v>
      </c>
      <c r="AN974" s="2171">
        <f>AN975+AN983</f>
        <v>0</v>
      </c>
      <c r="AO974" s="2171">
        <f>AO975+AO983</f>
        <v>0</v>
      </c>
      <c r="AP974" s="2172">
        <f t="shared" si="1937"/>
        <v>0</v>
      </c>
      <c r="AQ974" s="2171">
        <f>AQ975+AQ983</f>
        <v>0</v>
      </c>
      <c r="AR974" s="2171">
        <f>AR975+AR983</f>
        <v>0</v>
      </c>
      <c r="AS974" s="2172">
        <f t="shared" si="1938"/>
        <v>0</v>
      </c>
      <c r="AT974" s="2171">
        <f>AT975+AT983</f>
        <v>0</v>
      </c>
      <c r="AU974" s="2171">
        <f>AU975+AU983</f>
        <v>0</v>
      </c>
      <c r="AV974" s="2172">
        <f t="shared" si="1939"/>
        <v>0</v>
      </c>
      <c r="AW974" s="2171">
        <f>AW975+AW983</f>
        <v>0</v>
      </c>
      <c r="AX974" s="2171">
        <f>AX975+AX983</f>
        <v>0</v>
      </c>
      <c r="AY974" s="2172">
        <f t="shared" si="1940"/>
        <v>0</v>
      </c>
      <c r="AZ974" s="2171">
        <f>AZ975+AZ983</f>
        <v>0</v>
      </c>
      <c r="BA974" s="2171">
        <f>BA975+BA983</f>
        <v>0</v>
      </c>
      <c r="BB974" s="2172">
        <f t="shared" si="1941"/>
        <v>0</v>
      </c>
      <c r="BC974" s="2171">
        <f>BC975+BC983</f>
        <v>0</v>
      </c>
      <c r="BD974" s="2171">
        <f>BD975+BD983</f>
        <v>0</v>
      </c>
      <c r="BE974" s="2172">
        <f t="shared" si="1942"/>
        <v>0</v>
      </c>
      <c r="BF974" s="2171">
        <f>BF975+BF983</f>
        <v>0</v>
      </c>
      <c r="BG974" s="2171">
        <f>BG975+BG983</f>
        <v>0</v>
      </c>
      <c r="BH974" s="2172">
        <f t="shared" si="1943"/>
        <v>0</v>
      </c>
      <c r="BI974" s="2171">
        <f>BI975+BI983</f>
        <v>0</v>
      </c>
      <c r="BJ974" s="2171">
        <f>BJ975+BJ983</f>
        <v>0</v>
      </c>
      <c r="BK974" s="2172">
        <f t="shared" si="1944"/>
        <v>0</v>
      </c>
      <c r="BL974" s="2171">
        <f>BL975+BL983</f>
        <v>0</v>
      </c>
      <c r="BM974" s="2171">
        <f>BM975+BM983</f>
        <v>0</v>
      </c>
      <c r="BN974" s="2172">
        <f t="shared" si="1945"/>
        <v>0</v>
      </c>
      <c r="BO974" s="2171">
        <f>BO975+BO983</f>
        <v>0</v>
      </c>
      <c r="BP974" s="2171">
        <f>BP975+BP983</f>
        <v>0</v>
      </c>
      <c r="BQ974" s="2172">
        <f t="shared" si="1946"/>
        <v>0</v>
      </c>
    </row>
    <row r="975" spans="3:69" s="2159" customFormat="1" ht="12" hidden="1" customHeight="1">
      <c r="C975" s="2393" t="s">
        <v>3178</v>
      </c>
      <c r="D975" s="2330" t="s">
        <v>3133</v>
      </c>
      <c r="E975" s="2120" t="s">
        <v>3177</v>
      </c>
      <c r="F975" s="2162"/>
      <c r="G975" s="2163">
        <f>G976+G978+G980</f>
        <v>0</v>
      </c>
      <c r="H975" s="2163">
        <f>H976+H978+H980</f>
        <v>0</v>
      </c>
      <c r="I975" s="2164">
        <f t="shared" si="1925"/>
        <v>0</v>
      </c>
      <c r="J975" s="2162"/>
      <c r="K975" s="2163">
        <f t="shared" si="1965"/>
        <v>0</v>
      </c>
      <c r="L975" s="2163">
        <f t="shared" si="1948"/>
        <v>0</v>
      </c>
      <c r="M975" s="2164">
        <f t="shared" si="1926"/>
        <v>0</v>
      </c>
      <c r="N975" s="2163">
        <f>N976+N978+N980</f>
        <v>0</v>
      </c>
      <c r="O975" s="2163">
        <f>O976+O978+O980</f>
        <v>0</v>
      </c>
      <c r="P975" s="2164">
        <f t="shared" si="1927"/>
        <v>0</v>
      </c>
      <c r="Q975" s="2163">
        <f>Q976+Q978+Q980</f>
        <v>0</v>
      </c>
      <c r="R975" s="2163">
        <f>R976+R978+R980</f>
        <v>0</v>
      </c>
      <c r="S975" s="2164">
        <f t="shared" si="1928"/>
        <v>0</v>
      </c>
      <c r="T975" s="2167">
        <f t="shared" ref="T975:U980" si="2002">N975+Q975</f>
        <v>0</v>
      </c>
      <c r="U975" s="2163">
        <f t="shared" si="2002"/>
        <v>0</v>
      </c>
      <c r="V975" s="2164">
        <f t="shared" si="1930"/>
        <v>0</v>
      </c>
      <c r="W975" s="2163">
        <f>W976+W978+W980</f>
        <v>0</v>
      </c>
      <c r="X975" s="2163">
        <f>X976+X978+X980</f>
        <v>0</v>
      </c>
      <c r="Y975" s="2164">
        <f t="shared" si="1931"/>
        <v>0</v>
      </c>
      <c r="Z975" s="2167">
        <f t="shared" ref="Z975:AA980" si="2003">T975+W975</f>
        <v>0</v>
      </c>
      <c r="AA975" s="2163">
        <f t="shared" si="2003"/>
        <v>0</v>
      </c>
      <c r="AB975" s="2164">
        <f t="shared" si="1933"/>
        <v>0</v>
      </c>
      <c r="AC975" s="2163">
        <f>AC976+AC978+AC980</f>
        <v>0</v>
      </c>
      <c r="AD975" s="2163">
        <f>AD976+AD978+AD980</f>
        <v>0</v>
      </c>
      <c r="AE975" s="2164">
        <f t="shared" si="1934"/>
        <v>0</v>
      </c>
      <c r="AF975" s="2204"/>
      <c r="AG975" s="2158"/>
      <c r="AH975" s="2171">
        <f>AH976+AH978+AH980</f>
        <v>0</v>
      </c>
      <c r="AI975" s="2171">
        <f>AI976+AI978+AI980</f>
        <v>0</v>
      </c>
      <c r="AJ975" s="2172">
        <f t="shared" si="1935"/>
        <v>0</v>
      </c>
      <c r="AK975" s="2171">
        <f>AK976+AK978+AK980</f>
        <v>0</v>
      </c>
      <c r="AL975" s="2171">
        <f>AL976+AL978+AL980</f>
        <v>0</v>
      </c>
      <c r="AM975" s="2172">
        <f t="shared" si="1936"/>
        <v>0</v>
      </c>
      <c r="AN975" s="2171">
        <f>AN976+AN978+AN980</f>
        <v>0</v>
      </c>
      <c r="AO975" s="2171">
        <f>AO976+AO978+AO980</f>
        <v>0</v>
      </c>
      <c r="AP975" s="2172">
        <f t="shared" si="1937"/>
        <v>0</v>
      </c>
      <c r="AQ975" s="2171">
        <f>AQ976+AQ978+AQ980</f>
        <v>0</v>
      </c>
      <c r="AR975" s="2171">
        <f>AR976+AR978+AR980</f>
        <v>0</v>
      </c>
      <c r="AS975" s="2172">
        <f t="shared" si="1938"/>
        <v>0</v>
      </c>
      <c r="AT975" s="2171">
        <f>AT976+AT978+AT980</f>
        <v>0</v>
      </c>
      <c r="AU975" s="2171">
        <f>AU976+AU978+AU980</f>
        <v>0</v>
      </c>
      <c r="AV975" s="2172">
        <f t="shared" si="1939"/>
        <v>0</v>
      </c>
      <c r="AW975" s="2171">
        <f>AW976+AW978+AW980</f>
        <v>0</v>
      </c>
      <c r="AX975" s="2171">
        <f>AX976+AX978+AX980</f>
        <v>0</v>
      </c>
      <c r="AY975" s="2172">
        <f t="shared" si="1940"/>
        <v>0</v>
      </c>
      <c r="AZ975" s="2171">
        <f>AZ976+AZ978+AZ980</f>
        <v>0</v>
      </c>
      <c r="BA975" s="2171">
        <f>BA976+BA978+BA980</f>
        <v>0</v>
      </c>
      <c r="BB975" s="2172">
        <f t="shared" si="1941"/>
        <v>0</v>
      </c>
      <c r="BC975" s="2171">
        <f>BC976+BC978+BC980</f>
        <v>0</v>
      </c>
      <c r="BD975" s="2171">
        <f>BD976+BD978+BD980</f>
        <v>0</v>
      </c>
      <c r="BE975" s="2172">
        <f t="shared" si="1942"/>
        <v>0</v>
      </c>
      <c r="BF975" s="2171">
        <f>BF976+BF978+BF980</f>
        <v>0</v>
      </c>
      <c r="BG975" s="2171">
        <f>BG976+BG978+BG980</f>
        <v>0</v>
      </c>
      <c r="BH975" s="2172">
        <f t="shared" si="1943"/>
        <v>0</v>
      </c>
      <c r="BI975" s="2171">
        <f>BI976+BI978+BI980</f>
        <v>0</v>
      </c>
      <c r="BJ975" s="2171">
        <f>BJ976+BJ978+BJ980</f>
        <v>0</v>
      </c>
      <c r="BK975" s="2172">
        <f t="shared" si="1944"/>
        <v>0</v>
      </c>
      <c r="BL975" s="2171">
        <f>BL976+BL978+BL980</f>
        <v>0</v>
      </c>
      <c r="BM975" s="2171">
        <f>BM976+BM978+BM980</f>
        <v>0</v>
      </c>
      <c r="BN975" s="2172">
        <f t="shared" si="1945"/>
        <v>0</v>
      </c>
      <c r="BO975" s="2171">
        <f>BO976+BO978+BO980</f>
        <v>0</v>
      </c>
      <c r="BP975" s="2171">
        <f>BP976+BP978+BP980</f>
        <v>0</v>
      </c>
      <c r="BQ975" s="2172">
        <f t="shared" si="1946"/>
        <v>0</v>
      </c>
    </row>
    <row r="976" spans="3:69" s="2087" customFormat="1" ht="12" hidden="1" customHeight="1">
      <c r="C976" s="2473" t="s">
        <v>3179</v>
      </c>
      <c r="D976" s="2334" t="s">
        <v>28</v>
      </c>
      <c r="E976" s="2250" t="s">
        <v>3046</v>
      </c>
      <c r="F976" s="2176"/>
      <c r="G976" s="2177"/>
      <c r="H976" s="2177"/>
      <c r="I976" s="2178">
        <f t="shared" si="1925"/>
        <v>0</v>
      </c>
      <c r="J976" s="2176"/>
      <c r="K976" s="2179">
        <f t="shared" si="1965"/>
        <v>0</v>
      </c>
      <c r="L976" s="2179">
        <f t="shared" si="1948"/>
        <v>0</v>
      </c>
      <c r="M976" s="2178">
        <f t="shared" si="1926"/>
        <v>0</v>
      </c>
      <c r="N976" s="2177"/>
      <c r="O976" s="2177"/>
      <c r="P976" s="2178">
        <f t="shared" si="1927"/>
        <v>0</v>
      </c>
      <c r="Q976" s="2176"/>
      <c r="R976" s="2177"/>
      <c r="S976" s="2178">
        <f t="shared" si="1928"/>
        <v>0</v>
      </c>
      <c r="T976" s="2181">
        <f t="shared" si="2002"/>
        <v>0</v>
      </c>
      <c r="U976" s="2179">
        <f t="shared" si="2002"/>
        <v>0</v>
      </c>
      <c r="V976" s="2178">
        <f t="shared" si="1930"/>
        <v>0</v>
      </c>
      <c r="W976" s="2176"/>
      <c r="X976" s="2177"/>
      <c r="Y976" s="2178">
        <f t="shared" si="1931"/>
        <v>0</v>
      </c>
      <c r="Z976" s="2181">
        <f t="shared" si="2003"/>
        <v>0</v>
      </c>
      <c r="AA976" s="2179">
        <f t="shared" si="2003"/>
        <v>0</v>
      </c>
      <c r="AB976" s="2178">
        <f t="shared" si="1933"/>
        <v>0</v>
      </c>
      <c r="AC976" s="2176"/>
      <c r="AD976" s="2177"/>
      <c r="AE976" s="2178">
        <f t="shared" si="1934"/>
        <v>0</v>
      </c>
      <c r="AF976" s="2204"/>
      <c r="AG976" s="2114"/>
      <c r="AH976" s="2177"/>
      <c r="AI976" s="2177"/>
      <c r="AJ976" s="2186">
        <f t="shared" si="1935"/>
        <v>0</v>
      </c>
      <c r="AK976" s="2177"/>
      <c r="AL976" s="2177"/>
      <c r="AM976" s="2186">
        <f t="shared" si="1936"/>
        <v>0</v>
      </c>
      <c r="AN976" s="2177"/>
      <c r="AO976" s="2177"/>
      <c r="AP976" s="2186">
        <f t="shared" si="1937"/>
        <v>0</v>
      </c>
      <c r="AQ976" s="2177"/>
      <c r="AR976" s="2177"/>
      <c r="AS976" s="2186">
        <f t="shared" si="1938"/>
        <v>0</v>
      </c>
      <c r="AT976" s="2177"/>
      <c r="AU976" s="2177"/>
      <c r="AV976" s="2186">
        <f t="shared" si="1939"/>
        <v>0</v>
      </c>
      <c r="AW976" s="2177"/>
      <c r="AX976" s="2177"/>
      <c r="AY976" s="2186">
        <f t="shared" si="1940"/>
        <v>0</v>
      </c>
      <c r="AZ976" s="2177"/>
      <c r="BA976" s="2177"/>
      <c r="BB976" s="2186">
        <f t="shared" si="1941"/>
        <v>0</v>
      </c>
      <c r="BC976" s="2177"/>
      <c r="BD976" s="2177"/>
      <c r="BE976" s="2186">
        <f t="shared" si="1942"/>
        <v>0</v>
      </c>
      <c r="BF976" s="2177"/>
      <c r="BG976" s="2177"/>
      <c r="BH976" s="2186">
        <f t="shared" si="1943"/>
        <v>0</v>
      </c>
      <c r="BI976" s="2177"/>
      <c r="BJ976" s="2177"/>
      <c r="BK976" s="2186">
        <f t="shared" si="1944"/>
        <v>0</v>
      </c>
      <c r="BL976" s="2177"/>
      <c r="BM976" s="2177"/>
      <c r="BN976" s="2186">
        <f t="shared" si="1945"/>
        <v>0</v>
      </c>
      <c r="BO976" s="2177"/>
      <c r="BP976" s="2177"/>
      <c r="BQ976" s="2186">
        <f t="shared" si="1946"/>
        <v>0</v>
      </c>
    </row>
    <row r="977" spans="3:69" s="2087" customFormat="1" ht="12" hidden="1" customHeight="1">
      <c r="C977" s="2473" t="s">
        <v>3180</v>
      </c>
      <c r="D977" s="2334" t="s">
        <v>2434</v>
      </c>
      <c r="E977" s="2250" t="s">
        <v>3046</v>
      </c>
      <c r="F977" s="2176"/>
      <c r="G977" s="2177"/>
      <c r="H977" s="2177"/>
      <c r="I977" s="2178">
        <f t="shared" si="1925"/>
        <v>0</v>
      </c>
      <c r="J977" s="2176"/>
      <c r="K977" s="2179">
        <f>N977+Q977+W977+AC977</f>
        <v>0</v>
      </c>
      <c r="L977" s="2179">
        <f>O977+R977+X977+AD977</f>
        <v>0</v>
      </c>
      <c r="M977" s="2178">
        <f t="shared" si="1926"/>
        <v>0</v>
      </c>
      <c r="N977" s="2177"/>
      <c r="O977" s="2177"/>
      <c r="P977" s="2178">
        <f t="shared" si="1927"/>
        <v>0</v>
      </c>
      <c r="Q977" s="2176"/>
      <c r="R977" s="2177"/>
      <c r="S977" s="2178">
        <f t="shared" si="1928"/>
        <v>0</v>
      </c>
      <c r="T977" s="2181">
        <f>N977+Q977</f>
        <v>0</v>
      </c>
      <c r="U977" s="2179">
        <f>O977+R977</f>
        <v>0</v>
      </c>
      <c r="V977" s="2178">
        <f t="shared" si="1930"/>
        <v>0</v>
      </c>
      <c r="W977" s="2176"/>
      <c r="X977" s="2177"/>
      <c r="Y977" s="2178">
        <f t="shared" si="1931"/>
        <v>0</v>
      </c>
      <c r="Z977" s="2181">
        <f>T977+W977</f>
        <v>0</v>
      </c>
      <c r="AA977" s="2179">
        <f>U977+X977</f>
        <v>0</v>
      </c>
      <c r="AB977" s="2178">
        <f t="shared" si="1933"/>
        <v>0</v>
      </c>
      <c r="AC977" s="2176"/>
      <c r="AD977" s="2177"/>
      <c r="AE977" s="2178">
        <f t="shared" si="1934"/>
        <v>0</v>
      </c>
      <c r="AF977" s="2204"/>
      <c r="AG977" s="2114"/>
      <c r="AH977" s="2177"/>
      <c r="AI977" s="2177"/>
      <c r="AJ977" s="2186">
        <f t="shared" si="1935"/>
        <v>0</v>
      </c>
      <c r="AK977" s="2177"/>
      <c r="AL977" s="2177"/>
      <c r="AM977" s="2186">
        <f t="shared" si="1936"/>
        <v>0</v>
      </c>
      <c r="AN977" s="2177"/>
      <c r="AO977" s="2177"/>
      <c r="AP977" s="2186">
        <f t="shared" si="1937"/>
        <v>0</v>
      </c>
      <c r="AQ977" s="2177"/>
      <c r="AR977" s="2177"/>
      <c r="AS977" s="2186">
        <f t="shared" si="1938"/>
        <v>0</v>
      </c>
      <c r="AT977" s="2177"/>
      <c r="AU977" s="2177"/>
      <c r="AV977" s="2186">
        <f t="shared" si="1939"/>
        <v>0</v>
      </c>
      <c r="AW977" s="2177"/>
      <c r="AX977" s="2177"/>
      <c r="AY977" s="2186">
        <f t="shared" si="1940"/>
        <v>0</v>
      </c>
      <c r="AZ977" s="2177"/>
      <c r="BA977" s="2177"/>
      <c r="BB977" s="2186">
        <f t="shared" si="1941"/>
        <v>0</v>
      </c>
      <c r="BC977" s="2177"/>
      <c r="BD977" s="2177"/>
      <c r="BE977" s="2186">
        <f t="shared" si="1942"/>
        <v>0</v>
      </c>
      <c r="BF977" s="2177"/>
      <c r="BG977" s="2177"/>
      <c r="BH977" s="2186">
        <f t="shared" si="1943"/>
        <v>0</v>
      </c>
      <c r="BI977" s="2177"/>
      <c r="BJ977" s="2177"/>
      <c r="BK977" s="2186">
        <f t="shared" si="1944"/>
        <v>0</v>
      </c>
      <c r="BL977" s="2177"/>
      <c r="BM977" s="2177"/>
      <c r="BN977" s="2186">
        <f t="shared" si="1945"/>
        <v>0</v>
      </c>
      <c r="BO977" s="2177"/>
      <c r="BP977" s="2177"/>
      <c r="BQ977" s="2186">
        <f t="shared" si="1946"/>
        <v>0</v>
      </c>
    </row>
    <row r="978" spans="3:69" s="2087" customFormat="1" ht="12" hidden="1" customHeight="1">
      <c r="C978" s="2473" t="s">
        <v>3181</v>
      </c>
      <c r="D978" s="2334" t="s">
        <v>2872</v>
      </c>
      <c r="E978" s="2250" t="s">
        <v>3046</v>
      </c>
      <c r="F978" s="2176"/>
      <c r="G978" s="2177"/>
      <c r="H978" s="2177"/>
      <c r="I978" s="2178">
        <f t="shared" si="1925"/>
        <v>0</v>
      </c>
      <c r="J978" s="2176"/>
      <c r="K978" s="2179">
        <f t="shared" si="1965"/>
        <v>0</v>
      </c>
      <c r="L978" s="2179">
        <f t="shared" si="1948"/>
        <v>0</v>
      </c>
      <c r="M978" s="2178">
        <f t="shared" si="1926"/>
        <v>0</v>
      </c>
      <c r="N978" s="2177"/>
      <c r="O978" s="2177"/>
      <c r="P978" s="2178">
        <f t="shared" si="1927"/>
        <v>0</v>
      </c>
      <c r="Q978" s="2176"/>
      <c r="R978" s="2177"/>
      <c r="S978" s="2178">
        <f t="shared" si="1928"/>
        <v>0</v>
      </c>
      <c r="T978" s="2181">
        <f t="shared" si="2002"/>
        <v>0</v>
      </c>
      <c r="U978" s="2179">
        <f t="shared" si="2002"/>
        <v>0</v>
      </c>
      <c r="V978" s="2178">
        <f t="shared" si="1930"/>
        <v>0</v>
      </c>
      <c r="W978" s="2176"/>
      <c r="X978" s="2177"/>
      <c r="Y978" s="2178">
        <f t="shared" si="1931"/>
        <v>0</v>
      </c>
      <c r="Z978" s="2181">
        <f t="shared" si="2003"/>
        <v>0</v>
      </c>
      <c r="AA978" s="2179">
        <f t="shared" si="2003"/>
        <v>0</v>
      </c>
      <c r="AB978" s="2178">
        <f t="shared" si="1933"/>
        <v>0</v>
      </c>
      <c r="AC978" s="2176"/>
      <c r="AD978" s="2177"/>
      <c r="AE978" s="2178">
        <f t="shared" si="1934"/>
        <v>0</v>
      </c>
      <c r="AF978" s="2204"/>
      <c r="AG978" s="2114"/>
      <c r="AH978" s="2177"/>
      <c r="AI978" s="2177"/>
      <c r="AJ978" s="2186">
        <f t="shared" si="1935"/>
        <v>0</v>
      </c>
      <c r="AK978" s="2177"/>
      <c r="AL978" s="2177"/>
      <c r="AM978" s="2186">
        <f t="shared" si="1936"/>
        <v>0</v>
      </c>
      <c r="AN978" s="2177"/>
      <c r="AO978" s="2177"/>
      <c r="AP978" s="2186">
        <f t="shared" si="1937"/>
        <v>0</v>
      </c>
      <c r="AQ978" s="2177"/>
      <c r="AR978" s="2177"/>
      <c r="AS978" s="2186">
        <f t="shared" si="1938"/>
        <v>0</v>
      </c>
      <c r="AT978" s="2177"/>
      <c r="AU978" s="2177"/>
      <c r="AV978" s="2186">
        <f t="shared" si="1939"/>
        <v>0</v>
      </c>
      <c r="AW978" s="2177"/>
      <c r="AX978" s="2177"/>
      <c r="AY978" s="2186">
        <f t="shared" si="1940"/>
        <v>0</v>
      </c>
      <c r="AZ978" s="2177"/>
      <c r="BA978" s="2177"/>
      <c r="BB978" s="2186">
        <f t="shared" si="1941"/>
        <v>0</v>
      </c>
      <c r="BC978" s="2177"/>
      <c r="BD978" s="2177"/>
      <c r="BE978" s="2186">
        <f t="shared" si="1942"/>
        <v>0</v>
      </c>
      <c r="BF978" s="2177"/>
      <c r="BG978" s="2177"/>
      <c r="BH978" s="2186">
        <f t="shared" si="1943"/>
        <v>0</v>
      </c>
      <c r="BI978" s="2177"/>
      <c r="BJ978" s="2177"/>
      <c r="BK978" s="2186">
        <f t="shared" si="1944"/>
        <v>0</v>
      </c>
      <c r="BL978" s="2177"/>
      <c r="BM978" s="2177"/>
      <c r="BN978" s="2186">
        <f t="shared" si="1945"/>
        <v>0</v>
      </c>
      <c r="BO978" s="2177"/>
      <c r="BP978" s="2177"/>
      <c r="BQ978" s="2186">
        <f t="shared" si="1946"/>
        <v>0</v>
      </c>
    </row>
    <row r="979" spans="3:69" s="2087" customFormat="1" ht="12" hidden="1" customHeight="1">
      <c r="C979" s="2473" t="s">
        <v>3182</v>
      </c>
      <c r="D979" s="2334" t="s">
        <v>2434</v>
      </c>
      <c r="E979" s="2250" t="s">
        <v>3046</v>
      </c>
      <c r="F979" s="2176"/>
      <c r="G979" s="2177"/>
      <c r="H979" s="2177"/>
      <c r="I979" s="2178">
        <f t="shared" si="1925"/>
        <v>0</v>
      </c>
      <c r="J979" s="2176"/>
      <c r="K979" s="2179">
        <f>N979+Q979+W979+AC979</f>
        <v>0</v>
      </c>
      <c r="L979" s="2179">
        <f>O979+R979+X979+AD979</f>
        <v>0</v>
      </c>
      <c r="M979" s="2178">
        <f t="shared" si="1926"/>
        <v>0</v>
      </c>
      <c r="N979" s="2177"/>
      <c r="O979" s="2177"/>
      <c r="P979" s="2178">
        <f t="shared" si="1927"/>
        <v>0</v>
      </c>
      <c r="Q979" s="2176"/>
      <c r="R979" s="2177"/>
      <c r="S979" s="2178">
        <f t="shared" si="1928"/>
        <v>0</v>
      </c>
      <c r="T979" s="2181">
        <f>N979+Q979</f>
        <v>0</v>
      </c>
      <c r="U979" s="2179">
        <f>O979+R979</f>
        <v>0</v>
      </c>
      <c r="V979" s="2178">
        <f t="shared" si="1930"/>
        <v>0</v>
      </c>
      <c r="W979" s="2176"/>
      <c r="X979" s="2177"/>
      <c r="Y979" s="2178">
        <f t="shared" si="1931"/>
        <v>0</v>
      </c>
      <c r="Z979" s="2181">
        <f>T979+W979</f>
        <v>0</v>
      </c>
      <c r="AA979" s="2179">
        <f>U979+X979</f>
        <v>0</v>
      </c>
      <c r="AB979" s="2178">
        <f t="shared" si="1933"/>
        <v>0</v>
      </c>
      <c r="AC979" s="2176"/>
      <c r="AD979" s="2177"/>
      <c r="AE979" s="2178">
        <f t="shared" si="1934"/>
        <v>0</v>
      </c>
      <c r="AF979" s="2204"/>
      <c r="AG979" s="2114"/>
      <c r="AH979" s="2177"/>
      <c r="AI979" s="2177"/>
      <c r="AJ979" s="2186">
        <f t="shared" si="1935"/>
        <v>0</v>
      </c>
      <c r="AK979" s="2177"/>
      <c r="AL979" s="2177"/>
      <c r="AM979" s="2186">
        <f t="shared" si="1936"/>
        <v>0</v>
      </c>
      <c r="AN979" s="2177"/>
      <c r="AO979" s="2177"/>
      <c r="AP979" s="2186">
        <f t="shared" si="1937"/>
        <v>0</v>
      </c>
      <c r="AQ979" s="2177"/>
      <c r="AR979" s="2177"/>
      <c r="AS979" s="2186">
        <f t="shared" si="1938"/>
        <v>0</v>
      </c>
      <c r="AT979" s="2177"/>
      <c r="AU979" s="2177"/>
      <c r="AV979" s="2186">
        <f t="shared" si="1939"/>
        <v>0</v>
      </c>
      <c r="AW979" s="2177"/>
      <c r="AX979" s="2177"/>
      <c r="AY979" s="2186">
        <f t="shared" si="1940"/>
        <v>0</v>
      </c>
      <c r="AZ979" s="2177"/>
      <c r="BA979" s="2177"/>
      <c r="BB979" s="2186">
        <f t="shared" si="1941"/>
        <v>0</v>
      </c>
      <c r="BC979" s="2177"/>
      <c r="BD979" s="2177"/>
      <c r="BE979" s="2186">
        <f t="shared" si="1942"/>
        <v>0</v>
      </c>
      <c r="BF979" s="2177"/>
      <c r="BG979" s="2177"/>
      <c r="BH979" s="2186">
        <f t="shared" si="1943"/>
        <v>0</v>
      </c>
      <c r="BI979" s="2177"/>
      <c r="BJ979" s="2177"/>
      <c r="BK979" s="2186">
        <f t="shared" si="1944"/>
        <v>0</v>
      </c>
      <c r="BL979" s="2177"/>
      <c r="BM979" s="2177"/>
      <c r="BN979" s="2186">
        <f t="shared" si="1945"/>
        <v>0</v>
      </c>
      <c r="BO979" s="2177"/>
      <c r="BP979" s="2177"/>
      <c r="BQ979" s="2186">
        <f t="shared" si="1946"/>
        <v>0</v>
      </c>
    </row>
    <row r="980" spans="3:69" s="2087" customFormat="1" ht="12" hidden="1" customHeight="1">
      <c r="C980" s="2473" t="s">
        <v>3183</v>
      </c>
      <c r="D980" s="2334" t="s">
        <v>42</v>
      </c>
      <c r="E980" s="2250" t="s">
        <v>3046</v>
      </c>
      <c r="F980" s="2176"/>
      <c r="G980" s="2177"/>
      <c r="H980" s="2177"/>
      <c r="I980" s="2178">
        <f t="shared" si="1925"/>
        <v>0</v>
      </c>
      <c r="J980" s="2176"/>
      <c r="K980" s="2179">
        <f t="shared" si="1965"/>
        <v>0</v>
      </c>
      <c r="L980" s="2179">
        <f t="shared" si="1948"/>
        <v>0</v>
      </c>
      <c r="M980" s="2178">
        <f t="shared" si="1926"/>
        <v>0</v>
      </c>
      <c r="N980" s="2177"/>
      <c r="O980" s="2177"/>
      <c r="P980" s="2178">
        <f t="shared" si="1927"/>
        <v>0</v>
      </c>
      <c r="Q980" s="2176"/>
      <c r="R980" s="2177"/>
      <c r="S980" s="2178">
        <f t="shared" si="1928"/>
        <v>0</v>
      </c>
      <c r="T980" s="2181">
        <f t="shared" si="2002"/>
        <v>0</v>
      </c>
      <c r="U980" s="2179">
        <f t="shared" si="2002"/>
        <v>0</v>
      </c>
      <c r="V980" s="2178">
        <f t="shared" si="1930"/>
        <v>0</v>
      </c>
      <c r="W980" s="2176"/>
      <c r="X980" s="2177"/>
      <c r="Y980" s="2178">
        <f t="shared" si="1931"/>
        <v>0</v>
      </c>
      <c r="Z980" s="2181">
        <f t="shared" si="2003"/>
        <v>0</v>
      </c>
      <c r="AA980" s="2179">
        <f t="shared" si="2003"/>
        <v>0</v>
      </c>
      <c r="AB980" s="2178">
        <f t="shared" si="1933"/>
        <v>0</v>
      </c>
      <c r="AC980" s="2176"/>
      <c r="AD980" s="2177"/>
      <c r="AE980" s="2178">
        <f t="shared" si="1934"/>
        <v>0</v>
      </c>
      <c r="AF980" s="2204"/>
      <c r="AG980" s="2114"/>
      <c r="AH980" s="2177"/>
      <c r="AI980" s="2177"/>
      <c r="AJ980" s="2186">
        <f t="shared" si="1935"/>
        <v>0</v>
      </c>
      <c r="AK980" s="2177"/>
      <c r="AL980" s="2177"/>
      <c r="AM980" s="2186">
        <f t="shared" si="1936"/>
        <v>0</v>
      </c>
      <c r="AN980" s="2177"/>
      <c r="AO980" s="2177"/>
      <c r="AP980" s="2186">
        <f t="shared" si="1937"/>
        <v>0</v>
      </c>
      <c r="AQ980" s="2177"/>
      <c r="AR980" s="2177"/>
      <c r="AS980" s="2186">
        <f t="shared" si="1938"/>
        <v>0</v>
      </c>
      <c r="AT980" s="2177"/>
      <c r="AU980" s="2177"/>
      <c r="AV980" s="2186">
        <f t="shared" si="1939"/>
        <v>0</v>
      </c>
      <c r="AW980" s="2177"/>
      <c r="AX980" s="2177"/>
      <c r="AY980" s="2186">
        <f t="shared" si="1940"/>
        <v>0</v>
      </c>
      <c r="AZ980" s="2177"/>
      <c r="BA980" s="2177"/>
      <c r="BB980" s="2186">
        <f t="shared" si="1941"/>
        <v>0</v>
      </c>
      <c r="BC980" s="2177"/>
      <c r="BD980" s="2177"/>
      <c r="BE980" s="2186">
        <f t="shared" si="1942"/>
        <v>0</v>
      </c>
      <c r="BF980" s="2177"/>
      <c r="BG980" s="2177"/>
      <c r="BH980" s="2186">
        <f t="shared" si="1943"/>
        <v>0</v>
      </c>
      <c r="BI980" s="2177"/>
      <c r="BJ980" s="2177"/>
      <c r="BK980" s="2186">
        <f t="shared" si="1944"/>
        <v>0</v>
      </c>
      <c r="BL980" s="2177"/>
      <c r="BM980" s="2177"/>
      <c r="BN980" s="2186">
        <f t="shared" si="1945"/>
        <v>0</v>
      </c>
      <c r="BO980" s="2177"/>
      <c r="BP980" s="2177"/>
      <c r="BQ980" s="2186">
        <f t="shared" si="1946"/>
        <v>0</v>
      </c>
    </row>
    <row r="981" spans="3:69" s="2087" customFormat="1" ht="12" hidden="1" customHeight="1">
      <c r="C981" s="2473" t="s">
        <v>3184</v>
      </c>
      <c r="D981" s="2334" t="s">
        <v>2434</v>
      </c>
      <c r="E981" s="2250" t="s">
        <v>3046</v>
      </c>
      <c r="F981" s="2176"/>
      <c r="G981" s="2177"/>
      <c r="H981" s="2177"/>
      <c r="I981" s="2178">
        <f t="shared" si="1925"/>
        <v>0</v>
      </c>
      <c r="J981" s="2176"/>
      <c r="K981" s="2179">
        <f>N981+Q981+W981+AC981</f>
        <v>0</v>
      </c>
      <c r="L981" s="2179">
        <f>O981+R981+X981+AD981</f>
        <v>0</v>
      </c>
      <c r="M981" s="2178">
        <f t="shared" si="1926"/>
        <v>0</v>
      </c>
      <c r="N981" s="2177"/>
      <c r="O981" s="2177"/>
      <c r="P981" s="2178">
        <f t="shared" si="1927"/>
        <v>0</v>
      </c>
      <c r="Q981" s="2176"/>
      <c r="R981" s="2177"/>
      <c r="S981" s="2178">
        <f t="shared" si="1928"/>
        <v>0</v>
      </c>
      <c r="T981" s="2181">
        <f>N981+Q981</f>
        <v>0</v>
      </c>
      <c r="U981" s="2179">
        <f>O981+R981</f>
        <v>0</v>
      </c>
      <c r="V981" s="2178">
        <f t="shared" si="1930"/>
        <v>0</v>
      </c>
      <c r="W981" s="2176"/>
      <c r="X981" s="2177"/>
      <c r="Y981" s="2178">
        <f t="shared" si="1931"/>
        <v>0</v>
      </c>
      <c r="Z981" s="2181">
        <f>T981+W981</f>
        <v>0</v>
      </c>
      <c r="AA981" s="2179">
        <f>U981+X981</f>
        <v>0</v>
      </c>
      <c r="AB981" s="2178">
        <f t="shared" si="1933"/>
        <v>0</v>
      </c>
      <c r="AC981" s="2176"/>
      <c r="AD981" s="2177"/>
      <c r="AE981" s="2178">
        <f t="shared" si="1934"/>
        <v>0</v>
      </c>
      <c r="AF981" s="2204"/>
      <c r="AG981" s="2114"/>
      <c r="AH981" s="2177"/>
      <c r="AI981" s="2177"/>
      <c r="AJ981" s="2186">
        <f t="shared" si="1935"/>
        <v>0</v>
      </c>
      <c r="AK981" s="2177"/>
      <c r="AL981" s="2177"/>
      <c r="AM981" s="2186">
        <f t="shared" si="1936"/>
        <v>0</v>
      </c>
      <c r="AN981" s="2177"/>
      <c r="AO981" s="2177"/>
      <c r="AP981" s="2186">
        <f t="shared" si="1937"/>
        <v>0</v>
      </c>
      <c r="AQ981" s="2177"/>
      <c r="AR981" s="2177"/>
      <c r="AS981" s="2186">
        <f t="shared" si="1938"/>
        <v>0</v>
      </c>
      <c r="AT981" s="2177"/>
      <c r="AU981" s="2177"/>
      <c r="AV981" s="2186">
        <f t="shared" si="1939"/>
        <v>0</v>
      </c>
      <c r="AW981" s="2177"/>
      <c r="AX981" s="2177"/>
      <c r="AY981" s="2186">
        <f t="shared" si="1940"/>
        <v>0</v>
      </c>
      <c r="AZ981" s="2177"/>
      <c r="BA981" s="2177"/>
      <c r="BB981" s="2186">
        <f t="shared" si="1941"/>
        <v>0</v>
      </c>
      <c r="BC981" s="2177"/>
      <c r="BD981" s="2177"/>
      <c r="BE981" s="2186">
        <f t="shared" si="1942"/>
        <v>0</v>
      </c>
      <c r="BF981" s="2177"/>
      <c r="BG981" s="2177"/>
      <c r="BH981" s="2186">
        <f t="shared" si="1943"/>
        <v>0</v>
      </c>
      <c r="BI981" s="2177"/>
      <c r="BJ981" s="2177"/>
      <c r="BK981" s="2186">
        <f t="shared" si="1944"/>
        <v>0</v>
      </c>
      <c r="BL981" s="2177"/>
      <c r="BM981" s="2177"/>
      <c r="BN981" s="2186">
        <f t="shared" si="1945"/>
        <v>0</v>
      </c>
      <c r="BO981" s="2177"/>
      <c r="BP981" s="2177"/>
      <c r="BQ981" s="2186">
        <f t="shared" si="1946"/>
        <v>0</v>
      </c>
    </row>
    <row r="982" spans="3:69" s="2159" customFormat="1" ht="12" hidden="1" customHeight="1">
      <c r="C982" s="2474" t="s">
        <v>3185</v>
      </c>
      <c r="D982" s="2476" t="s">
        <v>3141</v>
      </c>
      <c r="E982" s="2471"/>
      <c r="F982" s="2320"/>
      <c r="G982" s="2171"/>
      <c r="H982" s="2171"/>
      <c r="I982" s="2164">
        <f t="shared" ref="I982:I1024" si="2004">H982-G982</f>
        <v>0</v>
      </c>
      <c r="J982" s="2320"/>
      <c r="K982" s="2171"/>
      <c r="L982" s="2171"/>
      <c r="M982" s="2164">
        <f t="shared" ref="M982:M1024" si="2005">L982-K982</f>
        <v>0</v>
      </c>
      <c r="N982" s="2171"/>
      <c r="O982" s="2171"/>
      <c r="P982" s="2164">
        <f t="shared" ref="P982:P1024" si="2006">O982-N982</f>
        <v>0</v>
      </c>
      <c r="Q982" s="2320"/>
      <c r="R982" s="2171"/>
      <c r="S982" s="2164">
        <f t="shared" ref="S982:S1024" si="2007">R982-Q982</f>
        <v>0</v>
      </c>
      <c r="T982" s="2472"/>
      <c r="U982" s="2171"/>
      <c r="V982" s="2164">
        <f t="shared" ref="V982:V1024" si="2008">U982-T982</f>
        <v>0</v>
      </c>
      <c r="W982" s="2320"/>
      <c r="X982" s="2171"/>
      <c r="Y982" s="2164">
        <f t="shared" ref="Y982:Y1024" si="2009">X982-W982</f>
        <v>0</v>
      </c>
      <c r="Z982" s="2472"/>
      <c r="AA982" s="2171"/>
      <c r="AB982" s="2164">
        <f t="shared" ref="AB982:AB1024" si="2010">AA982-Z982</f>
        <v>0</v>
      </c>
      <c r="AC982" s="2320"/>
      <c r="AD982" s="2171"/>
      <c r="AE982" s="2164">
        <f t="shared" ref="AE982:AE1024" si="2011">AD982-AC982</f>
        <v>0</v>
      </c>
      <c r="AF982" s="2204"/>
      <c r="AG982" s="2158"/>
      <c r="AH982" s="2171"/>
      <c r="AI982" s="2171"/>
      <c r="AJ982" s="2172">
        <f t="shared" ref="AJ982:AJ1024" si="2012">AI982-AH982</f>
        <v>0</v>
      </c>
      <c r="AK982" s="2171"/>
      <c r="AL982" s="2171"/>
      <c r="AM982" s="2172">
        <f t="shared" ref="AM982:AM1024" si="2013">AL982-AK982</f>
        <v>0</v>
      </c>
      <c r="AN982" s="2171"/>
      <c r="AO982" s="2171"/>
      <c r="AP982" s="2172">
        <f t="shared" ref="AP982:AP1024" si="2014">AO982-AN982</f>
        <v>0</v>
      </c>
      <c r="AQ982" s="2171"/>
      <c r="AR982" s="2171"/>
      <c r="AS982" s="2172">
        <f t="shared" ref="AS982:AS1024" si="2015">AR982-AQ982</f>
        <v>0</v>
      </c>
      <c r="AT982" s="2171"/>
      <c r="AU982" s="2171"/>
      <c r="AV982" s="2172">
        <f t="shared" ref="AV982:AV1024" si="2016">AU982-AT982</f>
        <v>0</v>
      </c>
      <c r="AW982" s="2171"/>
      <c r="AX982" s="2171"/>
      <c r="AY982" s="2172">
        <f t="shared" ref="AY982:AY1024" si="2017">AX982-AW982</f>
        <v>0</v>
      </c>
      <c r="AZ982" s="2171"/>
      <c r="BA982" s="2171"/>
      <c r="BB982" s="2172">
        <f t="shared" ref="BB982:BB1024" si="2018">BA982-AZ982</f>
        <v>0</v>
      </c>
      <c r="BC982" s="2171"/>
      <c r="BD982" s="2171"/>
      <c r="BE982" s="2172">
        <f t="shared" ref="BE982:BE1024" si="2019">BD982-BC982</f>
        <v>0</v>
      </c>
      <c r="BF982" s="2171"/>
      <c r="BG982" s="2171"/>
      <c r="BH982" s="2172">
        <f t="shared" ref="BH982:BH1024" si="2020">BG982-BF982</f>
        <v>0</v>
      </c>
      <c r="BI982" s="2171"/>
      <c r="BJ982" s="2171"/>
      <c r="BK982" s="2172">
        <f t="shared" ref="BK982:BK1024" si="2021">BJ982-BI982</f>
        <v>0</v>
      </c>
      <c r="BL982" s="2171"/>
      <c r="BM982" s="2171"/>
      <c r="BN982" s="2172">
        <f t="shared" ref="BN982:BN1024" si="2022">BM982-BL982</f>
        <v>0</v>
      </c>
      <c r="BO982" s="2171"/>
      <c r="BP982" s="2171"/>
      <c r="BQ982" s="2172">
        <f t="shared" ref="BQ982:BQ1024" si="2023">BP982-BO982</f>
        <v>0</v>
      </c>
    </row>
    <row r="983" spans="3:69" s="2087" customFormat="1" ht="12" hidden="1" customHeight="1">
      <c r="C983" s="2423" t="s">
        <v>3186</v>
      </c>
      <c r="D983" s="2421" t="s">
        <v>3187</v>
      </c>
      <c r="E983" s="2250" t="s">
        <v>3046</v>
      </c>
      <c r="F983" s="2176"/>
      <c r="G983" s="2179">
        <f>G998+G1009</f>
        <v>0</v>
      </c>
      <c r="H983" s="2179">
        <f>H998+H1009</f>
        <v>0</v>
      </c>
      <c r="I983" s="2178">
        <f t="shared" si="2004"/>
        <v>0</v>
      </c>
      <c r="J983" s="2176"/>
      <c r="K983" s="2179">
        <f t="shared" si="1965"/>
        <v>0</v>
      </c>
      <c r="L983" s="2179">
        <f t="shared" si="1948"/>
        <v>0</v>
      </c>
      <c r="M983" s="2178">
        <f t="shared" si="2005"/>
        <v>0</v>
      </c>
      <c r="N983" s="2179">
        <f>N998+N1009</f>
        <v>0</v>
      </c>
      <c r="O983" s="2179">
        <f>O998+O1009</f>
        <v>0</v>
      </c>
      <c r="P983" s="2178">
        <f t="shared" si="2006"/>
        <v>0</v>
      </c>
      <c r="Q983" s="2184">
        <f>Q998+Q1009</f>
        <v>0</v>
      </c>
      <c r="R983" s="2179">
        <f>R998+R1009</f>
        <v>0</v>
      </c>
      <c r="S983" s="2178">
        <f t="shared" si="2007"/>
        <v>0</v>
      </c>
      <c r="T983" s="2181">
        <f t="shared" ref="T983:U995" si="2024">N983+Q983</f>
        <v>0</v>
      </c>
      <c r="U983" s="2179">
        <f t="shared" si="2024"/>
        <v>0</v>
      </c>
      <c r="V983" s="2178">
        <f t="shared" si="2008"/>
        <v>0</v>
      </c>
      <c r="W983" s="2184">
        <f>W998+W1009</f>
        <v>0</v>
      </c>
      <c r="X983" s="2179">
        <f>X998+X1009</f>
        <v>0</v>
      </c>
      <c r="Y983" s="2178">
        <f t="shared" si="2009"/>
        <v>0</v>
      </c>
      <c r="Z983" s="2181">
        <f t="shared" ref="Z983:AA995" si="2025">T983+W983</f>
        <v>0</v>
      </c>
      <c r="AA983" s="2179">
        <f t="shared" si="2025"/>
        <v>0</v>
      </c>
      <c r="AB983" s="2178">
        <f t="shared" si="2010"/>
        <v>0</v>
      </c>
      <c r="AC983" s="2184">
        <f>AC998+AC1009</f>
        <v>0</v>
      </c>
      <c r="AD983" s="2179">
        <f>AD998+AD1009</f>
        <v>0</v>
      </c>
      <c r="AE983" s="2178">
        <f t="shared" si="2011"/>
        <v>0</v>
      </c>
      <c r="AF983" s="2204"/>
      <c r="AG983" s="2114"/>
      <c r="AH983" s="2188">
        <f>AH998+AH1009</f>
        <v>0</v>
      </c>
      <c r="AI983" s="2188">
        <f>AI998+AI1009</f>
        <v>0</v>
      </c>
      <c r="AJ983" s="2186">
        <f t="shared" si="2012"/>
        <v>0</v>
      </c>
      <c r="AK983" s="2188">
        <f>AK998+AK1009</f>
        <v>0</v>
      </c>
      <c r="AL983" s="2188">
        <f>AL998+AL1009</f>
        <v>0</v>
      </c>
      <c r="AM983" s="2186">
        <f t="shared" si="2013"/>
        <v>0</v>
      </c>
      <c r="AN983" s="2188">
        <f>AN998+AN1009</f>
        <v>0</v>
      </c>
      <c r="AO983" s="2188">
        <f>AO998+AO1009</f>
        <v>0</v>
      </c>
      <c r="AP983" s="2186">
        <f t="shared" si="2014"/>
        <v>0</v>
      </c>
      <c r="AQ983" s="2188">
        <f>AQ998+AQ1009</f>
        <v>0</v>
      </c>
      <c r="AR983" s="2188">
        <f>AR998+AR1009</f>
        <v>0</v>
      </c>
      <c r="AS983" s="2186">
        <f t="shared" si="2015"/>
        <v>0</v>
      </c>
      <c r="AT983" s="2188">
        <f>AT998+AT1009</f>
        <v>0</v>
      </c>
      <c r="AU983" s="2188">
        <f>AU998+AU1009</f>
        <v>0</v>
      </c>
      <c r="AV983" s="2186">
        <f t="shared" si="2016"/>
        <v>0</v>
      </c>
      <c r="AW983" s="2188">
        <f>AW998+AW1009</f>
        <v>0</v>
      </c>
      <c r="AX983" s="2188">
        <f>AX998+AX1009</f>
        <v>0</v>
      </c>
      <c r="AY983" s="2186">
        <f t="shared" si="2017"/>
        <v>0</v>
      </c>
      <c r="AZ983" s="2188">
        <f>AZ998+AZ1009</f>
        <v>0</v>
      </c>
      <c r="BA983" s="2188">
        <f>BA998+BA1009</f>
        <v>0</v>
      </c>
      <c r="BB983" s="2186">
        <f t="shared" si="2018"/>
        <v>0</v>
      </c>
      <c r="BC983" s="2188">
        <f>BC998+BC1009</f>
        <v>0</v>
      </c>
      <c r="BD983" s="2188">
        <f>BD998+BD1009</f>
        <v>0</v>
      </c>
      <c r="BE983" s="2186">
        <f t="shared" si="2019"/>
        <v>0</v>
      </c>
      <c r="BF983" s="2188">
        <f>BF998+BF1009</f>
        <v>0</v>
      </c>
      <c r="BG983" s="2188">
        <f>BG998+BG1009</f>
        <v>0</v>
      </c>
      <c r="BH983" s="2186">
        <f t="shared" si="2020"/>
        <v>0</v>
      </c>
      <c r="BI983" s="2188">
        <f>BI998+BI1009</f>
        <v>0</v>
      </c>
      <c r="BJ983" s="2188">
        <f>BJ998+BJ1009</f>
        <v>0</v>
      </c>
      <c r="BK983" s="2186">
        <f t="shared" si="2021"/>
        <v>0</v>
      </c>
      <c r="BL983" s="2188">
        <f>BL998+BL1009</f>
        <v>0</v>
      </c>
      <c r="BM983" s="2188">
        <f>BM998+BM1009</f>
        <v>0</v>
      </c>
      <c r="BN983" s="2186">
        <f t="shared" si="2022"/>
        <v>0</v>
      </c>
      <c r="BO983" s="2188">
        <f>BO998+BO1009</f>
        <v>0</v>
      </c>
      <c r="BP983" s="2188">
        <f>BP998+BP1009</f>
        <v>0</v>
      </c>
      <c r="BQ983" s="2186">
        <f t="shared" si="2023"/>
        <v>0</v>
      </c>
    </row>
    <row r="984" spans="3:69" s="2087" customFormat="1" ht="12" hidden="1" customHeight="1">
      <c r="C984" s="2473" t="s">
        <v>3188</v>
      </c>
      <c r="D984" s="2334" t="s">
        <v>28</v>
      </c>
      <c r="E984" s="2250" t="s">
        <v>3046</v>
      </c>
      <c r="F984" s="2176"/>
      <c r="G984" s="2179">
        <f>G1010</f>
        <v>0</v>
      </c>
      <c r="H984" s="2179">
        <f>H1010</f>
        <v>0</v>
      </c>
      <c r="I984" s="2178">
        <f t="shared" si="2004"/>
        <v>0</v>
      </c>
      <c r="J984" s="2176"/>
      <c r="K984" s="2179">
        <f t="shared" si="1965"/>
        <v>0</v>
      </c>
      <c r="L984" s="2179">
        <f t="shared" si="1948"/>
        <v>0</v>
      </c>
      <c r="M984" s="2178">
        <f t="shared" si="2005"/>
        <v>0</v>
      </c>
      <c r="N984" s="2179">
        <f>N1010</f>
        <v>0</v>
      </c>
      <c r="O984" s="2179">
        <f>O1010</f>
        <v>0</v>
      </c>
      <c r="P984" s="2178">
        <f t="shared" si="2006"/>
        <v>0</v>
      </c>
      <c r="Q984" s="2184">
        <f>Q1010</f>
        <v>0</v>
      </c>
      <c r="R984" s="2179">
        <f>R1010</f>
        <v>0</v>
      </c>
      <c r="S984" s="2178">
        <f t="shared" si="2007"/>
        <v>0</v>
      </c>
      <c r="T984" s="2181">
        <f t="shared" si="2024"/>
        <v>0</v>
      </c>
      <c r="U984" s="2179">
        <f t="shared" si="2024"/>
        <v>0</v>
      </c>
      <c r="V984" s="2178">
        <f t="shared" si="2008"/>
        <v>0</v>
      </c>
      <c r="W984" s="2184">
        <f>W1010</f>
        <v>0</v>
      </c>
      <c r="X984" s="2179">
        <f>X1010</f>
        <v>0</v>
      </c>
      <c r="Y984" s="2178">
        <f t="shared" si="2009"/>
        <v>0</v>
      </c>
      <c r="Z984" s="2181">
        <f t="shared" si="2025"/>
        <v>0</v>
      </c>
      <c r="AA984" s="2179">
        <f t="shared" si="2025"/>
        <v>0</v>
      </c>
      <c r="AB984" s="2178">
        <f t="shared" si="2010"/>
        <v>0</v>
      </c>
      <c r="AC984" s="2184">
        <f>AC1010</f>
        <v>0</v>
      </c>
      <c r="AD984" s="2179">
        <f>AD1010</f>
        <v>0</v>
      </c>
      <c r="AE984" s="2178">
        <f t="shared" si="2011"/>
        <v>0</v>
      </c>
      <c r="AF984" s="2204"/>
      <c r="AG984" s="2114"/>
      <c r="AH984" s="2188">
        <f>AH1010</f>
        <v>0</v>
      </c>
      <c r="AI984" s="2188">
        <f>AI1010</f>
        <v>0</v>
      </c>
      <c r="AJ984" s="2186">
        <f t="shared" si="2012"/>
        <v>0</v>
      </c>
      <c r="AK984" s="2188">
        <f>AK1010</f>
        <v>0</v>
      </c>
      <c r="AL984" s="2188">
        <f>AL1010</f>
        <v>0</v>
      </c>
      <c r="AM984" s="2186">
        <f t="shared" si="2013"/>
        <v>0</v>
      </c>
      <c r="AN984" s="2188">
        <f>AN1010</f>
        <v>0</v>
      </c>
      <c r="AO984" s="2188">
        <f>AO1010</f>
        <v>0</v>
      </c>
      <c r="AP984" s="2186">
        <f t="shared" si="2014"/>
        <v>0</v>
      </c>
      <c r="AQ984" s="2188">
        <f>AQ1010</f>
        <v>0</v>
      </c>
      <c r="AR984" s="2188">
        <f>AR1010</f>
        <v>0</v>
      </c>
      <c r="AS984" s="2186">
        <f t="shared" si="2015"/>
        <v>0</v>
      </c>
      <c r="AT984" s="2188">
        <f>AT1010</f>
        <v>0</v>
      </c>
      <c r="AU984" s="2188">
        <f>AU1010</f>
        <v>0</v>
      </c>
      <c r="AV984" s="2186">
        <f t="shared" si="2016"/>
        <v>0</v>
      </c>
      <c r="AW984" s="2188">
        <f>AW1010</f>
        <v>0</v>
      </c>
      <c r="AX984" s="2188">
        <f>AX1010</f>
        <v>0</v>
      </c>
      <c r="AY984" s="2186">
        <f t="shared" si="2017"/>
        <v>0</v>
      </c>
      <c r="AZ984" s="2188">
        <f>AZ1010</f>
        <v>0</v>
      </c>
      <c r="BA984" s="2188">
        <f>BA1010</f>
        <v>0</v>
      </c>
      <c r="BB984" s="2186">
        <f t="shared" si="2018"/>
        <v>0</v>
      </c>
      <c r="BC984" s="2188">
        <f>BC1010</f>
        <v>0</v>
      </c>
      <c r="BD984" s="2188">
        <f>BD1010</f>
        <v>0</v>
      </c>
      <c r="BE984" s="2186">
        <f t="shared" si="2019"/>
        <v>0</v>
      </c>
      <c r="BF984" s="2188">
        <f>BF1010</f>
        <v>0</v>
      </c>
      <c r="BG984" s="2188">
        <f>BG1010</f>
        <v>0</v>
      </c>
      <c r="BH984" s="2186">
        <f t="shared" si="2020"/>
        <v>0</v>
      </c>
      <c r="BI984" s="2188">
        <f>BI1010</f>
        <v>0</v>
      </c>
      <c r="BJ984" s="2188">
        <f>BJ1010</f>
        <v>0</v>
      </c>
      <c r="BK984" s="2186">
        <f t="shared" si="2021"/>
        <v>0</v>
      </c>
      <c r="BL984" s="2188">
        <f>BL1010</f>
        <v>0</v>
      </c>
      <c r="BM984" s="2188">
        <f>BM1010</f>
        <v>0</v>
      </c>
      <c r="BN984" s="2186">
        <f t="shared" si="2022"/>
        <v>0</v>
      </c>
      <c r="BO984" s="2188">
        <f>BO1010</f>
        <v>0</v>
      </c>
      <c r="BP984" s="2188">
        <f>BP1010</f>
        <v>0</v>
      </c>
      <c r="BQ984" s="2186">
        <f t="shared" si="2023"/>
        <v>0</v>
      </c>
    </row>
    <row r="985" spans="3:69" s="2087" customFormat="1" ht="12" hidden="1" customHeight="1">
      <c r="C985" s="2473" t="s">
        <v>3189</v>
      </c>
      <c r="D985" s="2334" t="s">
        <v>2434</v>
      </c>
      <c r="E985" s="2250" t="s">
        <v>3046</v>
      </c>
      <c r="F985" s="2176"/>
      <c r="G985" s="2179">
        <f>G1011</f>
        <v>0</v>
      </c>
      <c r="H985" s="2179">
        <f>H1011</f>
        <v>0</v>
      </c>
      <c r="I985" s="2178">
        <f t="shared" si="2004"/>
        <v>0</v>
      </c>
      <c r="J985" s="2176"/>
      <c r="K985" s="2179">
        <f>N985+Q985+W985+AC985</f>
        <v>0</v>
      </c>
      <c r="L985" s="2179">
        <f>O985+R985+X985+AD985</f>
        <v>0</v>
      </c>
      <c r="M985" s="2178">
        <f t="shared" si="2005"/>
        <v>0</v>
      </c>
      <c r="N985" s="2179">
        <f>N1011</f>
        <v>0</v>
      </c>
      <c r="O985" s="2179">
        <f>O1011</f>
        <v>0</v>
      </c>
      <c r="P985" s="2178">
        <f t="shared" si="2006"/>
        <v>0</v>
      </c>
      <c r="Q985" s="2179">
        <f>Q1011</f>
        <v>0</v>
      </c>
      <c r="R985" s="2179">
        <f>R1011</f>
        <v>0</v>
      </c>
      <c r="S985" s="2178">
        <f t="shared" si="2007"/>
        <v>0</v>
      </c>
      <c r="T985" s="2181">
        <f>N985+Q985</f>
        <v>0</v>
      </c>
      <c r="U985" s="2179">
        <f>O985+R985</f>
        <v>0</v>
      </c>
      <c r="V985" s="2178">
        <f t="shared" si="2008"/>
        <v>0</v>
      </c>
      <c r="W985" s="2179">
        <f>W1011</f>
        <v>0</v>
      </c>
      <c r="X985" s="2179">
        <f>X1011</f>
        <v>0</v>
      </c>
      <c r="Y985" s="2178">
        <f t="shared" si="2009"/>
        <v>0</v>
      </c>
      <c r="Z985" s="2181">
        <f>T985+W985</f>
        <v>0</v>
      </c>
      <c r="AA985" s="2179">
        <f>U985+X985</f>
        <v>0</v>
      </c>
      <c r="AB985" s="2178">
        <f t="shared" si="2010"/>
        <v>0</v>
      </c>
      <c r="AC985" s="2179">
        <f>AC1011</f>
        <v>0</v>
      </c>
      <c r="AD985" s="2179">
        <f>AD1011</f>
        <v>0</v>
      </c>
      <c r="AE985" s="2178">
        <f t="shared" si="2011"/>
        <v>0</v>
      </c>
      <c r="AF985" s="2204"/>
      <c r="AG985" s="2114"/>
      <c r="AH985" s="2188">
        <f>AH1011</f>
        <v>0</v>
      </c>
      <c r="AI985" s="2188">
        <f>AI1011</f>
        <v>0</v>
      </c>
      <c r="AJ985" s="2186">
        <f t="shared" si="2012"/>
        <v>0</v>
      </c>
      <c r="AK985" s="2188">
        <f>AK1011</f>
        <v>0</v>
      </c>
      <c r="AL985" s="2188">
        <f>AL1011</f>
        <v>0</v>
      </c>
      <c r="AM985" s="2186">
        <f t="shared" si="2013"/>
        <v>0</v>
      </c>
      <c r="AN985" s="2188">
        <f>AN1011</f>
        <v>0</v>
      </c>
      <c r="AO985" s="2188">
        <f>AO1011</f>
        <v>0</v>
      </c>
      <c r="AP985" s="2186">
        <f t="shared" si="2014"/>
        <v>0</v>
      </c>
      <c r="AQ985" s="2188">
        <f>AQ1011</f>
        <v>0</v>
      </c>
      <c r="AR985" s="2188">
        <f>AR1011</f>
        <v>0</v>
      </c>
      <c r="AS985" s="2186">
        <f t="shared" si="2015"/>
        <v>0</v>
      </c>
      <c r="AT985" s="2188">
        <f>AT1011</f>
        <v>0</v>
      </c>
      <c r="AU985" s="2188">
        <f>AU1011</f>
        <v>0</v>
      </c>
      <c r="AV985" s="2186">
        <f t="shared" si="2016"/>
        <v>0</v>
      </c>
      <c r="AW985" s="2188">
        <f>AW1011</f>
        <v>0</v>
      </c>
      <c r="AX985" s="2188">
        <f>AX1011</f>
        <v>0</v>
      </c>
      <c r="AY985" s="2186">
        <f t="shared" si="2017"/>
        <v>0</v>
      </c>
      <c r="AZ985" s="2188">
        <f>AZ1011</f>
        <v>0</v>
      </c>
      <c r="BA985" s="2188">
        <f>BA1011</f>
        <v>0</v>
      </c>
      <c r="BB985" s="2186">
        <f t="shared" si="2018"/>
        <v>0</v>
      </c>
      <c r="BC985" s="2188">
        <f>BC1011</f>
        <v>0</v>
      </c>
      <c r="BD985" s="2188">
        <f>BD1011</f>
        <v>0</v>
      </c>
      <c r="BE985" s="2186">
        <f t="shared" si="2019"/>
        <v>0</v>
      </c>
      <c r="BF985" s="2188">
        <f>BF1011</f>
        <v>0</v>
      </c>
      <c r="BG985" s="2188">
        <f>BG1011</f>
        <v>0</v>
      </c>
      <c r="BH985" s="2186">
        <f t="shared" si="2020"/>
        <v>0</v>
      </c>
      <c r="BI985" s="2188">
        <f>BI1011</f>
        <v>0</v>
      </c>
      <c r="BJ985" s="2188">
        <f>BJ1011</f>
        <v>0</v>
      </c>
      <c r="BK985" s="2186">
        <f t="shared" si="2021"/>
        <v>0</v>
      </c>
      <c r="BL985" s="2188">
        <f>BL1011</f>
        <v>0</v>
      </c>
      <c r="BM985" s="2188">
        <f>BM1011</f>
        <v>0</v>
      </c>
      <c r="BN985" s="2186">
        <f t="shared" si="2022"/>
        <v>0</v>
      </c>
      <c r="BO985" s="2188">
        <f>BO1011</f>
        <v>0</v>
      </c>
      <c r="BP985" s="2188">
        <f>BP1011</f>
        <v>0</v>
      </c>
      <c r="BQ985" s="2186">
        <f t="shared" si="2023"/>
        <v>0</v>
      </c>
    </row>
    <row r="986" spans="3:69" s="2087" customFormat="1" ht="12" hidden="1" customHeight="1">
      <c r="C986" s="2473" t="s">
        <v>3190</v>
      </c>
      <c r="D986" s="2334" t="s">
        <v>2872</v>
      </c>
      <c r="E986" s="2250" t="s">
        <v>3046</v>
      </c>
      <c r="F986" s="2176"/>
      <c r="G986" s="2179">
        <f>G999+G1012</f>
        <v>0</v>
      </c>
      <c r="H986" s="2179">
        <f t="shared" ref="G986:H990" si="2026">H999+H1012</f>
        <v>0</v>
      </c>
      <c r="I986" s="2178">
        <f t="shared" si="2004"/>
        <v>0</v>
      </c>
      <c r="J986" s="2176"/>
      <c r="K986" s="2179">
        <f t="shared" si="1965"/>
        <v>0</v>
      </c>
      <c r="L986" s="2179">
        <f t="shared" si="1948"/>
        <v>0</v>
      </c>
      <c r="M986" s="2178">
        <f t="shared" si="2005"/>
        <v>0</v>
      </c>
      <c r="N986" s="2179">
        <f t="shared" ref="N986:O990" si="2027">N999+N1012</f>
        <v>0</v>
      </c>
      <c r="O986" s="2179">
        <f t="shared" si="2027"/>
        <v>0</v>
      </c>
      <c r="P986" s="2178">
        <f t="shared" si="2006"/>
        <v>0</v>
      </c>
      <c r="Q986" s="2184">
        <f t="shared" ref="Q986:R990" si="2028">Q999+Q1012</f>
        <v>0</v>
      </c>
      <c r="R986" s="2179">
        <f t="shared" si="2028"/>
        <v>0</v>
      </c>
      <c r="S986" s="2178">
        <f t="shared" si="2007"/>
        <v>0</v>
      </c>
      <c r="T986" s="2181">
        <f t="shared" si="2024"/>
        <v>0</v>
      </c>
      <c r="U986" s="2179">
        <f t="shared" si="2024"/>
        <v>0</v>
      </c>
      <c r="V986" s="2178">
        <f t="shared" si="2008"/>
        <v>0</v>
      </c>
      <c r="W986" s="2184">
        <f t="shared" ref="W986:X990" si="2029">W999+W1012</f>
        <v>0</v>
      </c>
      <c r="X986" s="2179">
        <f t="shared" si="2029"/>
        <v>0</v>
      </c>
      <c r="Y986" s="2178">
        <f t="shared" si="2009"/>
        <v>0</v>
      </c>
      <c r="Z986" s="2181">
        <f t="shared" si="2025"/>
        <v>0</v>
      </c>
      <c r="AA986" s="2179">
        <f t="shared" si="2025"/>
        <v>0</v>
      </c>
      <c r="AB986" s="2178">
        <f t="shared" si="2010"/>
        <v>0</v>
      </c>
      <c r="AC986" s="2184">
        <f t="shared" ref="AC986:AD990" si="2030">AC999+AC1012</f>
        <v>0</v>
      </c>
      <c r="AD986" s="2179">
        <f t="shared" si="2030"/>
        <v>0</v>
      </c>
      <c r="AE986" s="2178">
        <f t="shared" si="2011"/>
        <v>0</v>
      </c>
      <c r="AF986" s="2204"/>
      <c r="AG986" s="2114"/>
      <c r="AH986" s="2188">
        <f t="shared" ref="AH986:AI990" si="2031">AH999+AH1012</f>
        <v>0</v>
      </c>
      <c r="AI986" s="2188">
        <f t="shared" si="2031"/>
        <v>0</v>
      </c>
      <c r="AJ986" s="2186">
        <f t="shared" si="2012"/>
        <v>0</v>
      </c>
      <c r="AK986" s="2188">
        <f t="shared" ref="AK986:AL990" si="2032">AK999+AK1012</f>
        <v>0</v>
      </c>
      <c r="AL986" s="2188">
        <f t="shared" si="2032"/>
        <v>0</v>
      </c>
      <c r="AM986" s="2186">
        <f t="shared" si="2013"/>
        <v>0</v>
      </c>
      <c r="AN986" s="2188">
        <f t="shared" ref="AN986:AO990" si="2033">AN999+AN1012</f>
        <v>0</v>
      </c>
      <c r="AO986" s="2188">
        <f t="shared" si="2033"/>
        <v>0</v>
      </c>
      <c r="AP986" s="2186">
        <f t="shared" si="2014"/>
        <v>0</v>
      </c>
      <c r="AQ986" s="2188">
        <f t="shared" ref="AQ986:AR990" si="2034">AQ999+AQ1012</f>
        <v>0</v>
      </c>
      <c r="AR986" s="2188">
        <f t="shared" si="2034"/>
        <v>0</v>
      </c>
      <c r="AS986" s="2186">
        <f t="shared" si="2015"/>
        <v>0</v>
      </c>
      <c r="AT986" s="2188">
        <f t="shared" ref="AT986:AU990" si="2035">AT999+AT1012</f>
        <v>0</v>
      </c>
      <c r="AU986" s="2188">
        <f t="shared" si="2035"/>
        <v>0</v>
      </c>
      <c r="AV986" s="2186">
        <f t="shared" si="2016"/>
        <v>0</v>
      </c>
      <c r="AW986" s="2188">
        <f t="shared" ref="AW986:AX990" si="2036">AW999+AW1012</f>
        <v>0</v>
      </c>
      <c r="AX986" s="2188">
        <f t="shared" si="2036"/>
        <v>0</v>
      </c>
      <c r="AY986" s="2186">
        <f t="shared" si="2017"/>
        <v>0</v>
      </c>
      <c r="AZ986" s="2188">
        <f t="shared" ref="AZ986:BA990" si="2037">AZ999+AZ1012</f>
        <v>0</v>
      </c>
      <c r="BA986" s="2188">
        <f t="shared" si="2037"/>
        <v>0</v>
      </c>
      <c r="BB986" s="2186">
        <f t="shared" si="2018"/>
        <v>0</v>
      </c>
      <c r="BC986" s="2188">
        <f t="shared" ref="BC986:BD990" si="2038">BC999+BC1012</f>
        <v>0</v>
      </c>
      <c r="BD986" s="2188">
        <f t="shared" si="2038"/>
        <v>0</v>
      </c>
      <c r="BE986" s="2186">
        <f t="shared" si="2019"/>
        <v>0</v>
      </c>
      <c r="BF986" s="2188">
        <f t="shared" ref="BF986:BG990" si="2039">BF999+BF1012</f>
        <v>0</v>
      </c>
      <c r="BG986" s="2188">
        <f t="shared" si="2039"/>
        <v>0</v>
      </c>
      <c r="BH986" s="2186">
        <f t="shared" si="2020"/>
        <v>0</v>
      </c>
      <c r="BI986" s="2188">
        <f t="shared" ref="BI986:BJ990" si="2040">BI999+BI1012</f>
        <v>0</v>
      </c>
      <c r="BJ986" s="2188">
        <f t="shared" si="2040"/>
        <v>0</v>
      </c>
      <c r="BK986" s="2186">
        <f t="shared" si="2021"/>
        <v>0</v>
      </c>
      <c r="BL986" s="2188">
        <f t="shared" ref="BL986:BM990" si="2041">BL999+BL1012</f>
        <v>0</v>
      </c>
      <c r="BM986" s="2188">
        <f t="shared" si="2041"/>
        <v>0</v>
      </c>
      <c r="BN986" s="2186">
        <f t="shared" si="2022"/>
        <v>0</v>
      </c>
      <c r="BO986" s="2188">
        <f t="shared" ref="BO986:BP990" si="2042">BO999+BO1012</f>
        <v>0</v>
      </c>
      <c r="BP986" s="2188">
        <f t="shared" si="2042"/>
        <v>0</v>
      </c>
      <c r="BQ986" s="2186">
        <f t="shared" si="2023"/>
        <v>0</v>
      </c>
    </row>
    <row r="987" spans="3:69" s="2087" customFormat="1" ht="12" hidden="1" customHeight="1">
      <c r="C987" s="2473" t="s">
        <v>3191</v>
      </c>
      <c r="D987" s="2334" t="s">
        <v>2434</v>
      </c>
      <c r="E987" s="2250" t="s">
        <v>3046</v>
      </c>
      <c r="F987" s="2176"/>
      <c r="G987" s="2179">
        <f t="shared" si="2026"/>
        <v>0</v>
      </c>
      <c r="H987" s="2179">
        <f t="shared" si="2026"/>
        <v>0</v>
      </c>
      <c r="I987" s="2178">
        <f t="shared" si="2004"/>
        <v>0</v>
      </c>
      <c r="J987" s="2176"/>
      <c r="K987" s="2179">
        <f>N987+Q987+W987+AC987</f>
        <v>0</v>
      </c>
      <c r="L987" s="2179">
        <f>O987+R987+X987+AD987</f>
        <v>0</v>
      </c>
      <c r="M987" s="2178">
        <f t="shared" si="2005"/>
        <v>0</v>
      </c>
      <c r="N987" s="2179">
        <f t="shared" si="2027"/>
        <v>0</v>
      </c>
      <c r="O987" s="2179">
        <f t="shared" si="2027"/>
        <v>0</v>
      </c>
      <c r="P987" s="2178">
        <f t="shared" si="2006"/>
        <v>0</v>
      </c>
      <c r="Q987" s="2179">
        <f t="shared" si="2028"/>
        <v>0</v>
      </c>
      <c r="R987" s="2179">
        <f t="shared" si="2028"/>
        <v>0</v>
      </c>
      <c r="S987" s="2178">
        <f t="shared" si="2007"/>
        <v>0</v>
      </c>
      <c r="T987" s="2181">
        <f>N987+Q987</f>
        <v>0</v>
      </c>
      <c r="U987" s="2179">
        <f>O987+R987</f>
        <v>0</v>
      </c>
      <c r="V987" s="2178">
        <f t="shared" si="2008"/>
        <v>0</v>
      </c>
      <c r="W987" s="2179">
        <f t="shared" si="2029"/>
        <v>0</v>
      </c>
      <c r="X987" s="2179">
        <f t="shared" si="2029"/>
        <v>0</v>
      </c>
      <c r="Y987" s="2178">
        <f t="shared" si="2009"/>
        <v>0</v>
      </c>
      <c r="Z987" s="2181">
        <f>T987+W987</f>
        <v>0</v>
      </c>
      <c r="AA987" s="2179">
        <f>U987+X987</f>
        <v>0</v>
      </c>
      <c r="AB987" s="2178">
        <f t="shared" si="2010"/>
        <v>0</v>
      </c>
      <c r="AC987" s="2179">
        <f t="shared" si="2030"/>
        <v>0</v>
      </c>
      <c r="AD987" s="2179">
        <f t="shared" si="2030"/>
        <v>0</v>
      </c>
      <c r="AE987" s="2178">
        <f t="shared" si="2011"/>
        <v>0</v>
      </c>
      <c r="AF987" s="2204"/>
      <c r="AG987" s="2114"/>
      <c r="AH987" s="2188">
        <f t="shared" si="2031"/>
        <v>0</v>
      </c>
      <c r="AI987" s="2188">
        <f t="shared" si="2031"/>
        <v>0</v>
      </c>
      <c r="AJ987" s="2186">
        <f t="shared" si="2012"/>
        <v>0</v>
      </c>
      <c r="AK987" s="2188">
        <f t="shared" si="2032"/>
        <v>0</v>
      </c>
      <c r="AL987" s="2188">
        <f t="shared" si="2032"/>
        <v>0</v>
      </c>
      <c r="AM987" s="2186">
        <f t="shared" si="2013"/>
        <v>0</v>
      </c>
      <c r="AN987" s="2188">
        <f t="shared" si="2033"/>
        <v>0</v>
      </c>
      <c r="AO987" s="2188">
        <f t="shared" si="2033"/>
        <v>0</v>
      </c>
      <c r="AP987" s="2186">
        <f t="shared" si="2014"/>
        <v>0</v>
      </c>
      <c r="AQ987" s="2188">
        <f t="shared" si="2034"/>
        <v>0</v>
      </c>
      <c r="AR987" s="2188">
        <f t="shared" si="2034"/>
        <v>0</v>
      </c>
      <c r="AS987" s="2186">
        <f t="shared" si="2015"/>
        <v>0</v>
      </c>
      <c r="AT987" s="2188">
        <f t="shared" si="2035"/>
        <v>0</v>
      </c>
      <c r="AU987" s="2188">
        <f t="shared" si="2035"/>
        <v>0</v>
      </c>
      <c r="AV987" s="2186">
        <f t="shared" si="2016"/>
        <v>0</v>
      </c>
      <c r="AW987" s="2188">
        <f t="shared" si="2036"/>
        <v>0</v>
      </c>
      <c r="AX987" s="2188">
        <f t="shared" si="2036"/>
        <v>0</v>
      </c>
      <c r="AY987" s="2186">
        <f t="shared" si="2017"/>
        <v>0</v>
      </c>
      <c r="AZ987" s="2188">
        <f t="shared" si="2037"/>
        <v>0</v>
      </c>
      <c r="BA987" s="2188">
        <f t="shared" si="2037"/>
        <v>0</v>
      </c>
      <c r="BB987" s="2186">
        <f t="shared" si="2018"/>
        <v>0</v>
      </c>
      <c r="BC987" s="2188">
        <f t="shared" si="2038"/>
        <v>0</v>
      </c>
      <c r="BD987" s="2188">
        <f t="shared" si="2038"/>
        <v>0</v>
      </c>
      <c r="BE987" s="2186">
        <f t="shared" si="2019"/>
        <v>0</v>
      </c>
      <c r="BF987" s="2188">
        <f t="shared" si="2039"/>
        <v>0</v>
      </c>
      <c r="BG987" s="2188">
        <f t="shared" si="2039"/>
        <v>0</v>
      </c>
      <c r="BH987" s="2186">
        <f t="shared" si="2020"/>
        <v>0</v>
      </c>
      <c r="BI987" s="2188">
        <f t="shared" si="2040"/>
        <v>0</v>
      </c>
      <c r="BJ987" s="2188">
        <f t="shared" si="2040"/>
        <v>0</v>
      </c>
      <c r="BK987" s="2186">
        <f t="shared" si="2021"/>
        <v>0</v>
      </c>
      <c r="BL987" s="2188">
        <f t="shared" si="2041"/>
        <v>0</v>
      </c>
      <c r="BM987" s="2188">
        <f t="shared" si="2041"/>
        <v>0</v>
      </c>
      <c r="BN987" s="2186">
        <f t="shared" si="2022"/>
        <v>0</v>
      </c>
      <c r="BO987" s="2188">
        <f t="shared" si="2042"/>
        <v>0</v>
      </c>
      <c r="BP987" s="2188">
        <f t="shared" si="2042"/>
        <v>0</v>
      </c>
      <c r="BQ987" s="2186">
        <f t="shared" si="2023"/>
        <v>0</v>
      </c>
    </row>
    <row r="988" spans="3:69" s="2087" customFormat="1" ht="12" hidden="1" customHeight="1">
      <c r="C988" s="2473" t="s">
        <v>3190</v>
      </c>
      <c r="D988" s="2334" t="s">
        <v>42</v>
      </c>
      <c r="E988" s="2250" t="s">
        <v>3046</v>
      </c>
      <c r="F988" s="2176"/>
      <c r="G988" s="2179">
        <f t="shared" si="2026"/>
        <v>0</v>
      </c>
      <c r="H988" s="2179">
        <f t="shared" si="2026"/>
        <v>0</v>
      </c>
      <c r="I988" s="2178">
        <f t="shared" si="2004"/>
        <v>0</v>
      </c>
      <c r="J988" s="2176"/>
      <c r="K988" s="2179">
        <f t="shared" si="1965"/>
        <v>0</v>
      </c>
      <c r="L988" s="2179">
        <f t="shared" si="1948"/>
        <v>0</v>
      </c>
      <c r="M988" s="2178">
        <f t="shared" si="2005"/>
        <v>0</v>
      </c>
      <c r="N988" s="2179">
        <f t="shared" si="2027"/>
        <v>0</v>
      </c>
      <c r="O988" s="2179">
        <f t="shared" si="2027"/>
        <v>0</v>
      </c>
      <c r="P988" s="2178">
        <f t="shared" si="2006"/>
        <v>0</v>
      </c>
      <c r="Q988" s="2184">
        <f t="shared" si="2028"/>
        <v>0</v>
      </c>
      <c r="R988" s="2179">
        <f t="shared" si="2028"/>
        <v>0</v>
      </c>
      <c r="S988" s="2178">
        <f t="shared" si="2007"/>
        <v>0</v>
      </c>
      <c r="T988" s="2181">
        <f t="shared" si="2024"/>
        <v>0</v>
      </c>
      <c r="U988" s="2179">
        <f t="shared" si="2024"/>
        <v>0</v>
      </c>
      <c r="V988" s="2178">
        <f t="shared" si="2008"/>
        <v>0</v>
      </c>
      <c r="W988" s="2184">
        <f t="shared" si="2029"/>
        <v>0</v>
      </c>
      <c r="X988" s="2179">
        <f t="shared" si="2029"/>
        <v>0</v>
      </c>
      <c r="Y988" s="2178">
        <f t="shared" si="2009"/>
        <v>0</v>
      </c>
      <c r="Z988" s="2181">
        <f t="shared" si="2025"/>
        <v>0</v>
      </c>
      <c r="AA988" s="2179">
        <f t="shared" si="2025"/>
        <v>0</v>
      </c>
      <c r="AB988" s="2178">
        <f t="shared" si="2010"/>
        <v>0</v>
      </c>
      <c r="AC988" s="2184">
        <f t="shared" si="2030"/>
        <v>0</v>
      </c>
      <c r="AD988" s="2179">
        <f t="shared" si="2030"/>
        <v>0</v>
      </c>
      <c r="AE988" s="2178">
        <f t="shared" si="2011"/>
        <v>0</v>
      </c>
      <c r="AF988" s="2204"/>
      <c r="AG988" s="2114"/>
      <c r="AH988" s="2188">
        <f t="shared" si="2031"/>
        <v>0</v>
      </c>
      <c r="AI988" s="2188">
        <f t="shared" si="2031"/>
        <v>0</v>
      </c>
      <c r="AJ988" s="2186">
        <f t="shared" si="2012"/>
        <v>0</v>
      </c>
      <c r="AK988" s="2188">
        <f t="shared" si="2032"/>
        <v>0</v>
      </c>
      <c r="AL988" s="2188">
        <f t="shared" si="2032"/>
        <v>0</v>
      </c>
      <c r="AM988" s="2186">
        <f t="shared" si="2013"/>
        <v>0</v>
      </c>
      <c r="AN988" s="2188">
        <f t="shared" si="2033"/>
        <v>0</v>
      </c>
      <c r="AO988" s="2188">
        <f t="shared" si="2033"/>
        <v>0</v>
      </c>
      <c r="AP988" s="2186">
        <f t="shared" si="2014"/>
        <v>0</v>
      </c>
      <c r="AQ988" s="2188">
        <f t="shared" si="2034"/>
        <v>0</v>
      </c>
      <c r="AR988" s="2188">
        <f t="shared" si="2034"/>
        <v>0</v>
      </c>
      <c r="AS988" s="2186">
        <f t="shared" si="2015"/>
        <v>0</v>
      </c>
      <c r="AT988" s="2188">
        <f t="shared" si="2035"/>
        <v>0</v>
      </c>
      <c r="AU988" s="2188">
        <f t="shared" si="2035"/>
        <v>0</v>
      </c>
      <c r="AV988" s="2186">
        <f t="shared" si="2016"/>
        <v>0</v>
      </c>
      <c r="AW988" s="2188">
        <f t="shared" si="2036"/>
        <v>0</v>
      </c>
      <c r="AX988" s="2188">
        <f t="shared" si="2036"/>
        <v>0</v>
      </c>
      <c r="AY988" s="2186">
        <f t="shared" si="2017"/>
        <v>0</v>
      </c>
      <c r="AZ988" s="2188">
        <f t="shared" si="2037"/>
        <v>0</v>
      </c>
      <c r="BA988" s="2188">
        <f t="shared" si="2037"/>
        <v>0</v>
      </c>
      <c r="BB988" s="2186">
        <f t="shared" si="2018"/>
        <v>0</v>
      </c>
      <c r="BC988" s="2188">
        <f t="shared" si="2038"/>
        <v>0</v>
      </c>
      <c r="BD988" s="2188">
        <f t="shared" si="2038"/>
        <v>0</v>
      </c>
      <c r="BE988" s="2186">
        <f t="shared" si="2019"/>
        <v>0</v>
      </c>
      <c r="BF988" s="2188">
        <f t="shared" si="2039"/>
        <v>0</v>
      </c>
      <c r="BG988" s="2188">
        <f t="shared" si="2039"/>
        <v>0</v>
      </c>
      <c r="BH988" s="2186">
        <f t="shared" si="2020"/>
        <v>0</v>
      </c>
      <c r="BI988" s="2188">
        <f t="shared" si="2040"/>
        <v>0</v>
      </c>
      <c r="BJ988" s="2188">
        <f t="shared" si="2040"/>
        <v>0</v>
      </c>
      <c r="BK988" s="2186">
        <f t="shared" si="2021"/>
        <v>0</v>
      </c>
      <c r="BL988" s="2188">
        <f t="shared" si="2041"/>
        <v>0</v>
      </c>
      <c r="BM988" s="2188">
        <f t="shared" si="2041"/>
        <v>0</v>
      </c>
      <c r="BN988" s="2186">
        <f t="shared" si="2022"/>
        <v>0</v>
      </c>
      <c r="BO988" s="2188">
        <f t="shared" si="2042"/>
        <v>0</v>
      </c>
      <c r="BP988" s="2188">
        <f t="shared" si="2042"/>
        <v>0</v>
      </c>
      <c r="BQ988" s="2186">
        <f t="shared" si="2023"/>
        <v>0</v>
      </c>
    </row>
    <row r="989" spans="3:69" s="2087" customFormat="1" ht="12" hidden="1" customHeight="1">
      <c r="C989" s="2473" t="s">
        <v>3191</v>
      </c>
      <c r="D989" s="2334" t="s">
        <v>2434</v>
      </c>
      <c r="E989" s="2250" t="s">
        <v>3046</v>
      </c>
      <c r="F989" s="2176"/>
      <c r="G989" s="2179">
        <f t="shared" si="2026"/>
        <v>0</v>
      </c>
      <c r="H989" s="2179">
        <f t="shared" si="2026"/>
        <v>0</v>
      </c>
      <c r="I989" s="2178">
        <f t="shared" si="2004"/>
        <v>0</v>
      </c>
      <c r="J989" s="2176"/>
      <c r="K989" s="2179">
        <f>N989+Q989+W989+AC989</f>
        <v>0</v>
      </c>
      <c r="L989" s="2179">
        <f>O989+R989+X989+AD989</f>
        <v>0</v>
      </c>
      <c r="M989" s="2178">
        <f t="shared" si="2005"/>
        <v>0</v>
      </c>
      <c r="N989" s="2179">
        <f t="shared" si="2027"/>
        <v>0</v>
      </c>
      <c r="O989" s="2179">
        <f t="shared" si="2027"/>
        <v>0</v>
      </c>
      <c r="P989" s="2178">
        <f t="shared" si="2006"/>
        <v>0</v>
      </c>
      <c r="Q989" s="2179">
        <f t="shared" si="2028"/>
        <v>0</v>
      </c>
      <c r="R989" s="2179">
        <f t="shared" si="2028"/>
        <v>0</v>
      </c>
      <c r="S989" s="2178">
        <f t="shared" si="2007"/>
        <v>0</v>
      </c>
      <c r="T989" s="2181">
        <f>N989+Q989</f>
        <v>0</v>
      </c>
      <c r="U989" s="2179">
        <f>O989+R989</f>
        <v>0</v>
      </c>
      <c r="V989" s="2178">
        <f t="shared" si="2008"/>
        <v>0</v>
      </c>
      <c r="W989" s="2179">
        <f t="shared" si="2029"/>
        <v>0</v>
      </c>
      <c r="X989" s="2179">
        <f t="shared" si="2029"/>
        <v>0</v>
      </c>
      <c r="Y989" s="2178">
        <f t="shared" si="2009"/>
        <v>0</v>
      </c>
      <c r="Z989" s="2181">
        <f>T989+W989</f>
        <v>0</v>
      </c>
      <c r="AA989" s="2179">
        <f>U989+X989</f>
        <v>0</v>
      </c>
      <c r="AB989" s="2178">
        <f t="shared" si="2010"/>
        <v>0</v>
      </c>
      <c r="AC989" s="2179">
        <f t="shared" si="2030"/>
        <v>0</v>
      </c>
      <c r="AD989" s="2179">
        <f t="shared" si="2030"/>
        <v>0</v>
      </c>
      <c r="AE989" s="2178">
        <f t="shared" si="2011"/>
        <v>0</v>
      </c>
      <c r="AF989" s="2204"/>
      <c r="AG989" s="2114"/>
      <c r="AH989" s="2188">
        <f t="shared" si="2031"/>
        <v>0</v>
      </c>
      <c r="AI989" s="2188">
        <f t="shared" si="2031"/>
        <v>0</v>
      </c>
      <c r="AJ989" s="2186">
        <f t="shared" si="2012"/>
        <v>0</v>
      </c>
      <c r="AK989" s="2188">
        <f t="shared" si="2032"/>
        <v>0</v>
      </c>
      <c r="AL989" s="2188">
        <f t="shared" si="2032"/>
        <v>0</v>
      </c>
      <c r="AM989" s="2186">
        <f t="shared" si="2013"/>
        <v>0</v>
      </c>
      <c r="AN989" s="2188">
        <f t="shared" si="2033"/>
        <v>0</v>
      </c>
      <c r="AO989" s="2188">
        <f t="shared" si="2033"/>
        <v>0</v>
      </c>
      <c r="AP989" s="2186">
        <f t="shared" si="2014"/>
        <v>0</v>
      </c>
      <c r="AQ989" s="2188">
        <f t="shared" si="2034"/>
        <v>0</v>
      </c>
      <c r="AR989" s="2188">
        <f t="shared" si="2034"/>
        <v>0</v>
      </c>
      <c r="AS989" s="2186">
        <f t="shared" si="2015"/>
        <v>0</v>
      </c>
      <c r="AT989" s="2188">
        <f t="shared" si="2035"/>
        <v>0</v>
      </c>
      <c r="AU989" s="2188">
        <f t="shared" si="2035"/>
        <v>0</v>
      </c>
      <c r="AV989" s="2186">
        <f t="shared" si="2016"/>
        <v>0</v>
      </c>
      <c r="AW989" s="2188">
        <f t="shared" si="2036"/>
        <v>0</v>
      </c>
      <c r="AX989" s="2188">
        <f t="shared" si="2036"/>
        <v>0</v>
      </c>
      <c r="AY989" s="2186">
        <f t="shared" si="2017"/>
        <v>0</v>
      </c>
      <c r="AZ989" s="2188">
        <f t="shared" si="2037"/>
        <v>0</v>
      </c>
      <c r="BA989" s="2188">
        <f t="shared" si="2037"/>
        <v>0</v>
      </c>
      <c r="BB989" s="2186">
        <f t="shared" si="2018"/>
        <v>0</v>
      </c>
      <c r="BC989" s="2188">
        <f t="shared" si="2038"/>
        <v>0</v>
      </c>
      <c r="BD989" s="2188">
        <f t="shared" si="2038"/>
        <v>0</v>
      </c>
      <c r="BE989" s="2186">
        <f t="shared" si="2019"/>
        <v>0</v>
      </c>
      <c r="BF989" s="2188">
        <f t="shared" si="2039"/>
        <v>0</v>
      </c>
      <c r="BG989" s="2188">
        <f t="shared" si="2039"/>
        <v>0</v>
      </c>
      <c r="BH989" s="2186">
        <f t="shared" si="2020"/>
        <v>0</v>
      </c>
      <c r="BI989" s="2188">
        <f t="shared" si="2040"/>
        <v>0</v>
      </c>
      <c r="BJ989" s="2188">
        <f t="shared" si="2040"/>
        <v>0</v>
      </c>
      <c r="BK989" s="2186">
        <f t="shared" si="2021"/>
        <v>0</v>
      </c>
      <c r="BL989" s="2188">
        <f t="shared" si="2041"/>
        <v>0</v>
      </c>
      <c r="BM989" s="2188">
        <f t="shared" si="2041"/>
        <v>0</v>
      </c>
      <c r="BN989" s="2186">
        <f t="shared" si="2022"/>
        <v>0</v>
      </c>
      <c r="BO989" s="2188">
        <f t="shared" si="2042"/>
        <v>0</v>
      </c>
      <c r="BP989" s="2188">
        <f t="shared" si="2042"/>
        <v>0</v>
      </c>
      <c r="BQ989" s="2186">
        <f t="shared" si="2023"/>
        <v>0</v>
      </c>
    </row>
    <row r="990" spans="3:69" s="2087" customFormat="1" ht="12" hidden="1" customHeight="1">
      <c r="C990" s="2423" t="s">
        <v>3192</v>
      </c>
      <c r="D990" s="2421" t="s">
        <v>3151</v>
      </c>
      <c r="E990" s="2250" t="s">
        <v>3015</v>
      </c>
      <c r="F990" s="2176"/>
      <c r="G990" s="2179">
        <f t="shared" si="2026"/>
        <v>0</v>
      </c>
      <c r="H990" s="2179">
        <f t="shared" si="2026"/>
        <v>0</v>
      </c>
      <c r="I990" s="2178">
        <f t="shared" si="2004"/>
        <v>0</v>
      </c>
      <c r="J990" s="2176"/>
      <c r="K990" s="2179">
        <f t="shared" si="1965"/>
        <v>0</v>
      </c>
      <c r="L990" s="2179">
        <f t="shared" si="1948"/>
        <v>0</v>
      </c>
      <c r="M990" s="2178">
        <f t="shared" si="2005"/>
        <v>0</v>
      </c>
      <c r="N990" s="2179">
        <f t="shared" si="2027"/>
        <v>0</v>
      </c>
      <c r="O990" s="2179">
        <f t="shared" si="2027"/>
        <v>0</v>
      </c>
      <c r="P990" s="2178">
        <f t="shared" si="2006"/>
        <v>0</v>
      </c>
      <c r="Q990" s="2184">
        <f t="shared" si="2028"/>
        <v>0</v>
      </c>
      <c r="R990" s="2179">
        <f t="shared" si="2028"/>
        <v>0</v>
      </c>
      <c r="S990" s="2178">
        <f t="shared" si="2007"/>
        <v>0</v>
      </c>
      <c r="T990" s="2181">
        <f t="shared" si="2024"/>
        <v>0</v>
      </c>
      <c r="U990" s="2179">
        <f t="shared" si="2024"/>
        <v>0</v>
      </c>
      <c r="V990" s="2178">
        <f t="shared" si="2008"/>
        <v>0</v>
      </c>
      <c r="W990" s="2184">
        <f t="shared" si="2029"/>
        <v>0</v>
      </c>
      <c r="X990" s="2179">
        <f t="shared" si="2029"/>
        <v>0</v>
      </c>
      <c r="Y990" s="2178">
        <f t="shared" si="2009"/>
        <v>0</v>
      </c>
      <c r="Z990" s="2181">
        <f t="shared" si="2025"/>
        <v>0</v>
      </c>
      <c r="AA990" s="2179">
        <f t="shared" si="2025"/>
        <v>0</v>
      </c>
      <c r="AB990" s="2178">
        <f t="shared" si="2010"/>
        <v>0</v>
      </c>
      <c r="AC990" s="2184">
        <f t="shared" si="2030"/>
        <v>0</v>
      </c>
      <c r="AD990" s="2179">
        <f t="shared" si="2030"/>
        <v>0</v>
      </c>
      <c r="AE990" s="2178">
        <f t="shared" si="2011"/>
        <v>0</v>
      </c>
      <c r="AF990" s="2204"/>
      <c r="AG990" s="2114"/>
      <c r="AH990" s="2188">
        <f t="shared" si="2031"/>
        <v>0</v>
      </c>
      <c r="AI990" s="2188">
        <f t="shared" si="2031"/>
        <v>0</v>
      </c>
      <c r="AJ990" s="2186">
        <f t="shared" si="2012"/>
        <v>0</v>
      </c>
      <c r="AK990" s="2188">
        <f t="shared" si="2032"/>
        <v>0</v>
      </c>
      <c r="AL990" s="2188">
        <f t="shared" si="2032"/>
        <v>0</v>
      </c>
      <c r="AM990" s="2186">
        <f t="shared" si="2013"/>
        <v>0</v>
      </c>
      <c r="AN990" s="2188">
        <f t="shared" si="2033"/>
        <v>0</v>
      </c>
      <c r="AO990" s="2188">
        <f t="shared" si="2033"/>
        <v>0</v>
      </c>
      <c r="AP990" s="2186">
        <f t="shared" si="2014"/>
        <v>0</v>
      </c>
      <c r="AQ990" s="2188">
        <f t="shared" si="2034"/>
        <v>0</v>
      </c>
      <c r="AR990" s="2188">
        <f t="shared" si="2034"/>
        <v>0</v>
      </c>
      <c r="AS990" s="2186">
        <f t="shared" si="2015"/>
        <v>0</v>
      </c>
      <c r="AT990" s="2188">
        <f t="shared" si="2035"/>
        <v>0</v>
      </c>
      <c r="AU990" s="2188">
        <f t="shared" si="2035"/>
        <v>0</v>
      </c>
      <c r="AV990" s="2186">
        <f t="shared" si="2016"/>
        <v>0</v>
      </c>
      <c r="AW990" s="2188">
        <f t="shared" si="2036"/>
        <v>0</v>
      </c>
      <c r="AX990" s="2188">
        <f t="shared" si="2036"/>
        <v>0</v>
      </c>
      <c r="AY990" s="2186">
        <f t="shared" si="2017"/>
        <v>0</v>
      </c>
      <c r="AZ990" s="2188">
        <f t="shared" si="2037"/>
        <v>0</v>
      </c>
      <c r="BA990" s="2188">
        <f t="shared" si="2037"/>
        <v>0</v>
      </c>
      <c r="BB990" s="2186">
        <f t="shared" si="2018"/>
        <v>0</v>
      </c>
      <c r="BC990" s="2188">
        <f t="shared" si="2038"/>
        <v>0</v>
      </c>
      <c r="BD990" s="2188">
        <f t="shared" si="2038"/>
        <v>0</v>
      </c>
      <c r="BE990" s="2186">
        <f t="shared" si="2019"/>
        <v>0</v>
      </c>
      <c r="BF990" s="2188">
        <f t="shared" si="2039"/>
        <v>0</v>
      </c>
      <c r="BG990" s="2188">
        <f t="shared" si="2039"/>
        <v>0</v>
      </c>
      <c r="BH990" s="2186">
        <f t="shared" si="2020"/>
        <v>0</v>
      </c>
      <c r="BI990" s="2188">
        <f t="shared" si="2040"/>
        <v>0</v>
      </c>
      <c r="BJ990" s="2188">
        <f t="shared" si="2040"/>
        <v>0</v>
      </c>
      <c r="BK990" s="2186">
        <f t="shared" si="2021"/>
        <v>0</v>
      </c>
      <c r="BL990" s="2188">
        <f t="shared" si="2041"/>
        <v>0</v>
      </c>
      <c r="BM990" s="2188">
        <f t="shared" si="2041"/>
        <v>0</v>
      </c>
      <c r="BN990" s="2186">
        <f t="shared" si="2022"/>
        <v>0</v>
      </c>
      <c r="BO990" s="2188">
        <f t="shared" si="2042"/>
        <v>0</v>
      </c>
      <c r="BP990" s="2188">
        <f t="shared" si="2042"/>
        <v>0</v>
      </c>
      <c r="BQ990" s="2186">
        <f t="shared" si="2023"/>
        <v>0</v>
      </c>
    </row>
    <row r="991" spans="3:69" s="2087" customFormat="1" ht="12" hidden="1" customHeight="1">
      <c r="C991" s="2473" t="s">
        <v>3193</v>
      </c>
      <c r="D991" s="2334" t="s">
        <v>28</v>
      </c>
      <c r="E991" s="2250" t="s">
        <v>3015</v>
      </c>
      <c r="F991" s="2176"/>
      <c r="G991" s="2179">
        <f>G1017</f>
        <v>0</v>
      </c>
      <c r="H991" s="2179">
        <f>H1017</f>
        <v>0</v>
      </c>
      <c r="I991" s="2178">
        <f t="shared" si="2004"/>
        <v>0</v>
      </c>
      <c r="J991" s="2176"/>
      <c r="K991" s="2179">
        <f t="shared" si="1965"/>
        <v>0</v>
      </c>
      <c r="L991" s="2179">
        <f t="shared" si="1948"/>
        <v>0</v>
      </c>
      <c r="M991" s="2178">
        <f t="shared" si="2005"/>
        <v>0</v>
      </c>
      <c r="N991" s="2179">
        <f>N1017</f>
        <v>0</v>
      </c>
      <c r="O991" s="2179">
        <f>O1017</f>
        <v>0</v>
      </c>
      <c r="P991" s="2178">
        <f t="shared" si="2006"/>
        <v>0</v>
      </c>
      <c r="Q991" s="2184">
        <f>Q1017</f>
        <v>0</v>
      </c>
      <c r="R991" s="2179">
        <f>R1017</f>
        <v>0</v>
      </c>
      <c r="S991" s="2178">
        <f t="shared" si="2007"/>
        <v>0</v>
      </c>
      <c r="T991" s="2181">
        <f t="shared" si="2024"/>
        <v>0</v>
      </c>
      <c r="U991" s="2179">
        <f t="shared" si="2024"/>
        <v>0</v>
      </c>
      <c r="V991" s="2178">
        <f t="shared" si="2008"/>
        <v>0</v>
      </c>
      <c r="W991" s="2184">
        <f>W1017</f>
        <v>0</v>
      </c>
      <c r="X991" s="2179">
        <f>X1017</f>
        <v>0</v>
      </c>
      <c r="Y991" s="2178">
        <f t="shared" si="2009"/>
        <v>0</v>
      </c>
      <c r="Z991" s="2181">
        <f t="shared" si="2025"/>
        <v>0</v>
      </c>
      <c r="AA991" s="2179">
        <f t="shared" si="2025"/>
        <v>0</v>
      </c>
      <c r="AB991" s="2178">
        <f t="shared" si="2010"/>
        <v>0</v>
      </c>
      <c r="AC991" s="2184">
        <f>AC1017</f>
        <v>0</v>
      </c>
      <c r="AD991" s="2179">
        <f>AD1017</f>
        <v>0</v>
      </c>
      <c r="AE991" s="2178">
        <f t="shared" si="2011"/>
        <v>0</v>
      </c>
      <c r="AF991" s="2204"/>
      <c r="AG991" s="2114"/>
      <c r="AH991" s="2188">
        <f>AH1017</f>
        <v>0</v>
      </c>
      <c r="AI991" s="2188">
        <f>AI1017</f>
        <v>0</v>
      </c>
      <c r="AJ991" s="2186">
        <f t="shared" si="2012"/>
        <v>0</v>
      </c>
      <c r="AK991" s="2188">
        <f>AK1017</f>
        <v>0</v>
      </c>
      <c r="AL991" s="2188">
        <f>AL1017</f>
        <v>0</v>
      </c>
      <c r="AM991" s="2186">
        <f t="shared" si="2013"/>
        <v>0</v>
      </c>
      <c r="AN991" s="2188">
        <f>AN1017</f>
        <v>0</v>
      </c>
      <c r="AO991" s="2188">
        <f>AO1017</f>
        <v>0</v>
      </c>
      <c r="AP991" s="2186">
        <f t="shared" si="2014"/>
        <v>0</v>
      </c>
      <c r="AQ991" s="2188">
        <f>AQ1017</f>
        <v>0</v>
      </c>
      <c r="AR991" s="2188">
        <f>AR1017</f>
        <v>0</v>
      </c>
      <c r="AS991" s="2186">
        <f t="shared" si="2015"/>
        <v>0</v>
      </c>
      <c r="AT991" s="2188">
        <f>AT1017</f>
        <v>0</v>
      </c>
      <c r="AU991" s="2188">
        <f>AU1017</f>
        <v>0</v>
      </c>
      <c r="AV991" s="2186">
        <f t="shared" si="2016"/>
        <v>0</v>
      </c>
      <c r="AW991" s="2188">
        <f>AW1017</f>
        <v>0</v>
      </c>
      <c r="AX991" s="2188">
        <f>AX1017</f>
        <v>0</v>
      </c>
      <c r="AY991" s="2186">
        <f t="shared" si="2017"/>
        <v>0</v>
      </c>
      <c r="AZ991" s="2188">
        <f>AZ1017</f>
        <v>0</v>
      </c>
      <c r="BA991" s="2188">
        <f>BA1017</f>
        <v>0</v>
      </c>
      <c r="BB991" s="2186">
        <f t="shared" si="2018"/>
        <v>0</v>
      </c>
      <c r="BC991" s="2188">
        <f>BC1017</f>
        <v>0</v>
      </c>
      <c r="BD991" s="2188">
        <f>BD1017</f>
        <v>0</v>
      </c>
      <c r="BE991" s="2186">
        <f t="shared" si="2019"/>
        <v>0</v>
      </c>
      <c r="BF991" s="2188">
        <f>BF1017</f>
        <v>0</v>
      </c>
      <c r="BG991" s="2188">
        <f>BG1017</f>
        <v>0</v>
      </c>
      <c r="BH991" s="2186">
        <f t="shared" si="2020"/>
        <v>0</v>
      </c>
      <c r="BI991" s="2188">
        <f>BI1017</f>
        <v>0</v>
      </c>
      <c r="BJ991" s="2188">
        <f>BJ1017</f>
        <v>0</v>
      </c>
      <c r="BK991" s="2186">
        <f t="shared" si="2021"/>
        <v>0</v>
      </c>
      <c r="BL991" s="2188">
        <f>BL1017</f>
        <v>0</v>
      </c>
      <c r="BM991" s="2188">
        <f>BM1017</f>
        <v>0</v>
      </c>
      <c r="BN991" s="2186">
        <f t="shared" si="2022"/>
        <v>0</v>
      </c>
      <c r="BO991" s="2188">
        <f>BO1017</f>
        <v>0</v>
      </c>
      <c r="BP991" s="2188">
        <f>BP1017</f>
        <v>0</v>
      </c>
      <c r="BQ991" s="2186">
        <f t="shared" si="2023"/>
        <v>0</v>
      </c>
    </row>
    <row r="992" spans="3:69" s="2087" customFormat="1" ht="12" hidden="1" customHeight="1">
      <c r="C992" s="2473" t="s">
        <v>3194</v>
      </c>
      <c r="D992" s="2334" t="s">
        <v>2434</v>
      </c>
      <c r="E992" s="2250" t="s">
        <v>3015</v>
      </c>
      <c r="F992" s="2176"/>
      <c r="G992" s="2179">
        <f>G1018</f>
        <v>0</v>
      </c>
      <c r="H992" s="2179">
        <f>H1018</f>
        <v>0</v>
      </c>
      <c r="I992" s="2178">
        <f t="shared" si="2004"/>
        <v>0</v>
      </c>
      <c r="J992" s="2176"/>
      <c r="K992" s="2179">
        <f>N992+Q992+W992+AC992</f>
        <v>0</v>
      </c>
      <c r="L992" s="2179">
        <f>O992+R992+X992+AD992</f>
        <v>0</v>
      </c>
      <c r="M992" s="2178">
        <f t="shared" si="2005"/>
        <v>0</v>
      </c>
      <c r="N992" s="2179">
        <f>N1018</f>
        <v>0</v>
      </c>
      <c r="O992" s="2179">
        <f>O1018</f>
        <v>0</v>
      </c>
      <c r="P992" s="2178">
        <f t="shared" si="2006"/>
        <v>0</v>
      </c>
      <c r="Q992" s="2179">
        <f>Q1018</f>
        <v>0</v>
      </c>
      <c r="R992" s="2179">
        <f>R1018</f>
        <v>0</v>
      </c>
      <c r="S992" s="2178">
        <f t="shared" si="2007"/>
        <v>0</v>
      </c>
      <c r="T992" s="2181">
        <f>N992+Q992</f>
        <v>0</v>
      </c>
      <c r="U992" s="2179">
        <f>O992+R992</f>
        <v>0</v>
      </c>
      <c r="V992" s="2178">
        <f t="shared" si="2008"/>
        <v>0</v>
      </c>
      <c r="W992" s="2179">
        <f>W1018</f>
        <v>0</v>
      </c>
      <c r="X992" s="2179">
        <f>X1018</f>
        <v>0</v>
      </c>
      <c r="Y992" s="2178">
        <f t="shared" si="2009"/>
        <v>0</v>
      </c>
      <c r="Z992" s="2181">
        <f>T992+W992</f>
        <v>0</v>
      </c>
      <c r="AA992" s="2179">
        <f>U992+X992</f>
        <v>0</v>
      </c>
      <c r="AB992" s="2178">
        <f t="shared" si="2010"/>
        <v>0</v>
      </c>
      <c r="AC992" s="2179">
        <f>AC1018</f>
        <v>0</v>
      </c>
      <c r="AD992" s="2179">
        <f>AD1018</f>
        <v>0</v>
      </c>
      <c r="AE992" s="2178">
        <f t="shared" si="2011"/>
        <v>0</v>
      </c>
      <c r="AF992" s="2204"/>
      <c r="AG992" s="2114"/>
      <c r="AH992" s="2188">
        <f>AH1018</f>
        <v>0</v>
      </c>
      <c r="AI992" s="2188">
        <f>AI1018</f>
        <v>0</v>
      </c>
      <c r="AJ992" s="2186">
        <f t="shared" si="2012"/>
        <v>0</v>
      </c>
      <c r="AK992" s="2188">
        <f>AK1018</f>
        <v>0</v>
      </c>
      <c r="AL992" s="2188">
        <f>AL1018</f>
        <v>0</v>
      </c>
      <c r="AM992" s="2186">
        <f t="shared" si="2013"/>
        <v>0</v>
      </c>
      <c r="AN992" s="2188">
        <f>AN1018</f>
        <v>0</v>
      </c>
      <c r="AO992" s="2188">
        <f>AO1018</f>
        <v>0</v>
      </c>
      <c r="AP992" s="2186">
        <f t="shared" si="2014"/>
        <v>0</v>
      </c>
      <c r="AQ992" s="2188">
        <f>AQ1018</f>
        <v>0</v>
      </c>
      <c r="AR992" s="2188">
        <f>AR1018</f>
        <v>0</v>
      </c>
      <c r="AS992" s="2186">
        <f t="shared" si="2015"/>
        <v>0</v>
      </c>
      <c r="AT992" s="2188">
        <f>AT1018</f>
        <v>0</v>
      </c>
      <c r="AU992" s="2188">
        <f>AU1018</f>
        <v>0</v>
      </c>
      <c r="AV992" s="2186">
        <f t="shared" si="2016"/>
        <v>0</v>
      </c>
      <c r="AW992" s="2188">
        <f>AW1018</f>
        <v>0</v>
      </c>
      <c r="AX992" s="2188">
        <f>AX1018</f>
        <v>0</v>
      </c>
      <c r="AY992" s="2186">
        <f t="shared" si="2017"/>
        <v>0</v>
      </c>
      <c r="AZ992" s="2188">
        <f>AZ1018</f>
        <v>0</v>
      </c>
      <c r="BA992" s="2188">
        <f>BA1018</f>
        <v>0</v>
      </c>
      <c r="BB992" s="2186">
        <f t="shared" si="2018"/>
        <v>0</v>
      </c>
      <c r="BC992" s="2188">
        <f>BC1018</f>
        <v>0</v>
      </c>
      <c r="BD992" s="2188">
        <f>BD1018</f>
        <v>0</v>
      </c>
      <c r="BE992" s="2186">
        <f t="shared" si="2019"/>
        <v>0</v>
      </c>
      <c r="BF992" s="2188">
        <f>BF1018</f>
        <v>0</v>
      </c>
      <c r="BG992" s="2188">
        <f>BG1018</f>
        <v>0</v>
      </c>
      <c r="BH992" s="2186">
        <f t="shared" si="2020"/>
        <v>0</v>
      </c>
      <c r="BI992" s="2188">
        <f>BI1018</f>
        <v>0</v>
      </c>
      <c r="BJ992" s="2188">
        <f>BJ1018</f>
        <v>0</v>
      </c>
      <c r="BK992" s="2186">
        <f t="shared" si="2021"/>
        <v>0</v>
      </c>
      <c r="BL992" s="2188">
        <f>BL1018</f>
        <v>0</v>
      </c>
      <c r="BM992" s="2188">
        <f>BM1018</f>
        <v>0</v>
      </c>
      <c r="BN992" s="2186">
        <f t="shared" si="2022"/>
        <v>0</v>
      </c>
      <c r="BO992" s="2188">
        <f>BO1018</f>
        <v>0</v>
      </c>
      <c r="BP992" s="2188">
        <f>BP1018</f>
        <v>0</v>
      </c>
      <c r="BQ992" s="2186">
        <f t="shared" si="2023"/>
        <v>0</v>
      </c>
    </row>
    <row r="993" spans="3:69" s="2087" customFormat="1" ht="12" hidden="1" customHeight="1">
      <c r="C993" s="2473" t="s">
        <v>3195</v>
      </c>
      <c r="D993" s="2334" t="s">
        <v>2872</v>
      </c>
      <c r="E993" s="2250" t="s">
        <v>3015</v>
      </c>
      <c r="F993" s="2176"/>
      <c r="G993" s="2179">
        <f t="shared" ref="G993:H996" si="2043">G1004+G1019</f>
        <v>0</v>
      </c>
      <c r="H993" s="2179">
        <f t="shared" si="2043"/>
        <v>0</v>
      </c>
      <c r="I993" s="2178">
        <f t="shared" si="2004"/>
        <v>0</v>
      </c>
      <c r="J993" s="2176"/>
      <c r="K993" s="2179">
        <f t="shared" si="1965"/>
        <v>0</v>
      </c>
      <c r="L993" s="2179">
        <f t="shared" si="1948"/>
        <v>0</v>
      </c>
      <c r="M993" s="2178">
        <f t="shared" si="2005"/>
        <v>0</v>
      </c>
      <c r="N993" s="2179">
        <f t="shared" ref="N993:O996" si="2044">N1004+N1019</f>
        <v>0</v>
      </c>
      <c r="O993" s="2179">
        <f t="shared" si="2044"/>
        <v>0</v>
      </c>
      <c r="P993" s="2178">
        <f t="shared" si="2006"/>
        <v>0</v>
      </c>
      <c r="Q993" s="2184">
        <f t="shared" ref="Q993:R996" si="2045">Q1004+Q1019</f>
        <v>0</v>
      </c>
      <c r="R993" s="2179">
        <f t="shared" si="2045"/>
        <v>0</v>
      </c>
      <c r="S993" s="2178">
        <f t="shared" si="2007"/>
        <v>0</v>
      </c>
      <c r="T993" s="2181">
        <f t="shared" si="2024"/>
        <v>0</v>
      </c>
      <c r="U993" s="2179">
        <f t="shared" si="2024"/>
        <v>0</v>
      </c>
      <c r="V993" s="2178">
        <f t="shared" si="2008"/>
        <v>0</v>
      </c>
      <c r="W993" s="2184">
        <f t="shared" ref="W993:X996" si="2046">W1004+W1019</f>
        <v>0</v>
      </c>
      <c r="X993" s="2179">
        <f t="shared" si="2046"/>
        <v>0</v>
      </c>
      <c r="Y993" s="2178">
        <f t="shared" si="2009"/>
        <v>0</v>
      </c>
      <c r="Z993" s="2181">
        <f t="shared" si="2025"/>
        <v>0</v>
      </c>
      <c r="AA993" s="2179">
        <f t="shared" si="2025"/>
        <v>0</v>
      </c>
      <c r="AB993" s="2178">
        <f t="shared" si="2010"/>
        <v>0</v>
      </c>
      <c r="AC993" s="2184">
        <f t="shared" ref="AC993:AD996" si="2047">AC1004+AC1019</f>
        <v>0</v>
      </c>
      <c r="AD993" s="2179">
        <f t="shared" si="2047"/>
        <v>0</v>
      </c>
      <c r="AE993" s="2178">
        <f t="shared" si="2011"/>
        <v>0</v>
      </c>
      <c r="AF993" s="2204"/>
      <c r="AG993" s="2114"/>
      <c r="AH993" s="2188">
        <f t="shared" ref="AH993:AI996" si="2048">AH1004+AH1019</f>
        <v>0</v>
      </c>
      <c r="AI993" s="2188">
        <f t="shared" si="2048"/>
        <v>0</v>
      </c>
      <c r="AJ993" s="2186">
        <f t="shared" si="2012"/>
        <v>0</v>
      </c>
      <c r="AK993" s="2188">
        <f t="shared" ref="AK993:AL996" si="2049">AK1004+AK1019</f>
        <v>0</v>
      </c>
      <c r="AL993" s="2188">
        <f t="shared" si="2049"/>
        <v>0</v>
      </c>
      <c r="AM993" s="2186">
        <f t="shared" si="2013"/>
        <v>0</v>
      </c>
      <c r="AN993" s="2188">
        <f t="shared" ref="AN993:AO996" si="2050">AN1004+AN1019</f>
        <v>0</v>
      </c>
      <c r="AO993" s="2188">
        <f t="shared" si="2050"/>
        <v>0</v>
      </c>
      <c r="AP993" s="2186">
        <f t="shared" si="2014"/>
        <v>0</v>
      </c>
      <c r="AQ993" s="2188">
        <f t="shared" ref="AQ993:AR996" si="2051">AQ1004+AQ1019</f>
        <v>0</v>
      </c>
      <c r="AR993" s="2188">
        <f t="shared" si="2051"/>
        <v>0</v>
      </c>
      <c r="AS993" s="2186">
        <f t="shared" si="2015"/>
        <v>0</v>
      </c>
      <c r="AT993" s="2188">
        <f t="shared" ref="AT993:AU996" si="2052">AT1004+AT1019</f>
        <v>0</v>
      </c>
      <c r="AU993" s="2188">
        <f t="shared" si="2052"/>
        <v>0</v>
      </c>
      <c r="AV993" s="2186">
        <f t="shared" si="2016"/>
        <v>0</v>
      </c>
      <c r="AW993" s="2188">
        <f t="shared" ref="AW993:AX996" si="2053">AW1004+AW1019</f>
        <v>0</v>
      </c>
      <c r="AX993" s="2188">
        <f t="shared" si="2053"/>
        <v>0</v>
      </c>
      <c r="AY993" s="2186">
        <f t="shared" si="2017"/>
        <v>0</v>
      </c>
      <c r="AZ993" s="2188">
        <f t="shared" ref="AZ993:BA996" si="2054">AZ1004+AZ1019</f>
        <v>0</v>
      </c>
      <c r="BA993" s="2188">
        <f t="shared" si="2054"/>
        <v>0</v>
      </c>
      <c r="BB993" s="2186">
        <f t="shared" si="2018"/>
        <v>0</v>
      </c>
      <c r="BC993" s="2188">
        <f t="shared" ref="BC993:BD996" si="2055">BC1004+BC1019</f>
        <v>0</v>
      </c>
      <c r="BD993" s="2188">
        <f t="shared" si="2055"/>
        <v>0</v>
      </c>
      <c r="BE993" s="2186">
        <f t="shared" si="2019"/>
        <v>0</v>
      </c>
      <c r="BF993" s="2188">
        <f t="shared" ref="BF993:BG996" si="2056">BF1004+BF1019</f>
        <v>0</v>
      </c>
      <c r="BG993" s="2188">
        <f t="shared" si="2056"/>
        <v>0</v>
      </c>
      <c r="BH993" s="2186">
        <f t="shared" si="2020"/>
        <v>0</v>
      </c>
      <c r="BI993" s="2188">
        <f t="shared" ref="BI993:BJ996" si="2057">BI1004+BI1019</f>
        <v>0</v>
      </c>
      <c r="BJ993" s="2188">
        <f t="shared" si="2057"/>
        <v>0</v>
      </c>
      <c r="BK993" s="2186">
        <f t="shared" si="2021"/>
        <v>0</v>
      </c>
      <c r="BL993" s="2188">
        <f t="shared" ref="BL993:BM996" si="2058">BL1004+BL1019</f>
        <v>0</v>
      </c>
      <c r="BM993" s="2188">
        <f t="shared" si="2058"/>
        <v>0</v>
      </c>
      <c r="BN993" s="2186">
        <f t="shared" si="2022"/>
        <v>0</v>
      </c>
      <c r="BO993" s="2188">
        <f t="shared" ref="BO993:BP996" si="2059">BO1004+BO1019</f>
        <v>0</v>
      </c>
      <c r="BP993" s="2188">
        <f t="shared" si="2059"/>
        <v>0</v>
      </c>
      <c r="BQ993" s="2186">
        <f t="shared" si="2023"/>
        <v>0</v>
      </c>
    </row>
    <row r="994" spans="3:69" s="2087" customFormat="1" ht="12" hidden="1" customHeight="1">
      <c r="C994" s="2473" t="s">
        <v>3196</v>
      </c>
      <c r="D994" s="2334" t="s">
        <v>2434</v>
      </c>
      <c r="E994" s="2250" t="s">
        <v>3015</v>
      </c>
      <c r="F994" s="2176"/>
      <c r="G994" s="2179">
        <f t="shared" si="2043"/>
        <v>0</v>
      </c>
      <c r="H994" s="2179">
        <f t="shared" si="2043"/>
        <v>0</v>
      </c>
      <c r="I994" s="2178">
        <f t="shared" si="2004"/>
        <v>0</v>
      </c>
      <c r="J994" s="2176"/>
      <c r="K994" s="2179">
        <f>N994+Q994+W994+AC994</f>
        <v>0</v>
      </c>
      <c r="L994" s="2179">
        <f>O994+R994+X994+AD994</f>
        <v>0</v>
      </c>
      <c r="M994" s="2178">
        <f t="shared" si="2005"/>
        <v>0</v>
      </c>
      <c r="N994" s="2179">
        <f t="shared" si="2044"/>
        <v>0</v>
      </c>
      <c r="O994" s="2179">
        <f t="shared" si="2044"/>
        <v>0</v>
      </c>
      <c r="P994" s="2178">
        <f t="shared" si="2006"/>
        <v>0</v>
      </c>
      <c r="Q994" s="2179">
        <f t="shared" si="2045"/>
        <v>0</v>
      </c>
      <c r="R994" s="2179">
        <f t="shared" si="2045"/>
        <v>0</v>
      </c>
      <c r="S994" s="2178">
        <f t="shared" si="2007"/>
        <v>0</v>
      </c>
      <c r="T994" s="2181">
        <f>N994+Q994</f>
        <v>0</v>
      </c>
      <c r="U994" s="2179">
        <f>O994+R994</f>
        <v>0</v>
      </c>
      <c r="V994" s="2178">
        <f t="shared" si="2008"/>
        <v>0</v>
      </c>
      <c r="W994" s="2179">
        <f t="shared" si="2046"/>
        <v>0</v>
      </c>
      <c r="X994" s="2179">
        <f t="shared" si="2046"/>
        <v>0</v>
      </c>
      <c r="Y994" s="2178">
        <f t="shared" si="2009"/>
        <v>0</v>
      </c>
      <c r="Z994" s="2181">
        <f>T994+W994</f>
        <v>0</v>
      </c>
      <c r="AA994" s="2179">
        <f>U994+X994</f>
        <v>0</v>
      </c>
      <c r="AB994" s="2178">
        <f t="shared" si="2010"/>
        <v>0</v>
      </c>
      <c r="AC994" s="2179">
        <f t="shared" si="2047"/>
        <v>0</v>
      </c>
      <c r="AD994" s="2179">
        <f t="shared" si="2047"/>
        <v>0</v>
      </c>
      <c r="AE994" s="2178">
        <f t="shared" si="2011"/>
        <v>0</v>
      </c>
      <c r="AF994" s="2204"/>
      <c r="AG994" s="2114"/>
      <c r="AH994" s="2188">
        <f t="shared" si="2048"/>
        <v>0</v>
      </c>
      <c r="AI994" s="2188">
        <f t="shared" si="2048"/>
        <v>0</v>
      </c>
      <c r="AJ994" s="2186">
        <f t="shared" si="2012"/>
        <v>0</v>
      </c>
      <c r="AK994" s="2188">
        <f t="shared" si="2049"/>
        <v>0</v>
      </c>
      <c r="AL994" s="2188">
        <f t="shared" si="2049"/>
        <v>0</v>
      </c>
      <c r="AM994" s="2186">
        <f t="shared" si="2013"/>
        <v>0</v>
      </c>
      <c r="AN994" s="2188">
        <f t="shared" si="2050"/>
        <v>0</v>
      </c>
      <c r="AO994" s="2188">
        <f t="shared" si="2050"/>
        <v>0</v>
      </c>
      <c r="AP994" s="2186">
        <f t="shared" si="2014"/>
        <v>0</v>
      </c>
      <c r="AQ994" s="2188">
        <f t="shared" si="2051"/>
        <v>0</v>
      </c>
      <c r="AR994" s="2188">
        <f t="shared" si="2051"/>
        <v>0</v>
      </c>
      <c r="AS994" s="2186">
        <f t="shared" si="2015"/>
        <v>0</v>
      </c>
      <c r="AT994" s="2188">
        <f t="shared" si="2052"/>
        <v>0</v>
      </c>
      <c r="AU994" s="2188">
        <f t="shared" si="2052"/>
        <v>0</v>
      </c>
      <c r="AV994" s="2186">
        <f t="shared" si="2016"/>
        <v>0</v>
      </c>
      <c r="AW994" s="2188">
        <f t="shared" si="2053"/>
        <v>0</v>
      </c>
      <c r="AX994" s="2188">
        <f t="shared" si="2053"/>
        <v>0</v>
      </c>
      <c r="AY994" s="2186">
        <f t="shared" si="2017"/>
        <v>0</v>
      </c>
      <c r="AZ994" s="2188">
        <f t="shared" si="2054"/>
        <v>0</v>
      </c>
      <c r="BA994" s="2188">
        <f t="shared" si="2054"/>
        <v>0</v>
      </c>
      <c r="BB994" s="2186">
        <f t="shared" si="2018"/>
        <v>0</v>
      </c>
      <c r="BC994" s="2188">
        <f t="shared" si="2055"/>
        <v>0</v>
      </c>
      <c r="BD994" s="2188">
        <f t="shared" si="2055"/>
        <v>0</v>
      </c>
      <c r="BE994" s="2186">
        <f t="shared" si="2019"/>
        <v>0</v>
      </c>
      <c r="BF994" s="2188">
        <f t="shared" si="2056"/>
        <v>0</v>
      </c>
      <c r="BG994" s="2188">
        <f t="shared" si="2056"/>
        <v>0</v>
      </c>
      <c r="BH994" s="2186">
        <f t="shared" si="2020"/>
        <v>0</v>
      </c>
      <c r="BI994" s="2188">
        <f t="shared" si="2057"/>
        <v>0</v>
      </c>
      <c r="BJ994" s="2188">
        <f t="shared" si="2057"/>
        <v>0</v>
      </c>
      <c r="BK994" s="2186">
        <f t="shared" si="2021"/>
        <v>0</v>
      </c>
      <c r="BL994" s="2188">
        <f t="shared" si="2058"/>
        <v>0</v>
      </c>
      <c r="BM994" s="2188">
        <f t="shared" si="2058"/>
        <v>0</v>
      </c>
      <c r="BN994" s="2186">
        <f t="shared" si="2022"/>
        <v>0</v>
      </c>
      <c r="BO994" s="2188">
        <f t="shared" si="2059"/>
        <v>0</v>
      </c>
      <c r="BP994" s="2188">
        <f t="shared" si="2059"/>
        <v>0</v>
      </c>
      <c r="BQ994" s="2186">
        <f t="shared" si="2023"/>
        <v>0</v>
      </c>
    </row>
    <row r="995" spans="3:69" s="2087" customFormat="1" ht="12" hidden="1" customHeight="1">
      <c r="C995" s="2473" t="s">
        <v>3197</v>
      </c>
      <c r="D995" s="2334" t="s">
        <v>42</v>
      </c>
      <c r="E995" s="2250" t="s">
        <v>3015</v>
      </c>
      <c r="F995" s="2176"/>
      <c r="G995" s="2179">
        <f t="shared" si="2043"/>
        <v>0</v>
      </c>
      <c r="H995" s="2179">
        <f t="shared" si="2043"/>
        <v>0</v>
      </c>
      <c r="I995" s="2178">
        <f t="shared" si="2004"/>
        <v>0</v>
      </c>
      <c r="J995" s="2176"/>
      <c r="K995" s="2179">
        <f t="shared" si="1965"/>
        <v>0</v>
      </c>
      <c r="L995" s="2179">
        <f t="shared" si="1948"/>
        <v>0</v>
      </c>
      <c r="M995" s="2178">
        <f t="shared" si="2005"/>
        <v>0</v>
      </c>
      <c r="N995" s="2179">
        <f t="shared" si="2044"/>
        <v>0</v>
      </c>
      <c r="O995" s="2179">
        <f t="shared" si="2044"/>
        <v>0</v>
      </c>
      <c r="P995" s="2178">
        <f t="shared" si="2006"/>
        <v>0</v>
      </c>
      <c r="Q995" s="2184">
        <f t="shared" si="2045"/>
        <v>0</v>
      </c>
      <c r="R995" s="2179">
        <f t="shared" si="2045"/>
        <v>0</v>
      </c>
      <c r="S995" s="2178">
        <f t="shared" si="2007"/>
        <v>0</v>
      </c>
      <c r="T995" s="2181">
        <f t="shared" si="2024"/>
        <v>0</v>
      </c>
      <c r="U995" s="2179">
        <f t="shared" si="2024"/>
        <v>0</v>
      </c>
      <c r="V995" s="2178">
        <f t="shared" si="2008"/>
        <v>0</v>
      </c>
      <c r="W995" s="2184">
        <f t="shared" si="2046"/>
        <v>0</v>
      </c>
      <c r="X995" s="2179">
        <f t="shared" si="2046"/>
        <v>0</v>
      </c>
      <c r="Y995" s="2178">
        <f t="shared" si="2009"/>
        <v>0</v>
      </c>
      <c r="Z995" s="2181">
        <f t="shared" si="2025"/>
        <v>0</v>
      </c>
      <c r="AA995" s="2179">
        <f t="shared" si="2025"/>
        <v>0</v>
      </c>
      <c r="AB995" s="2178">
        <f t="shared" si="2010"/>
        <v>0</v>
      </c>
      <c r="AC995" s="2184">
        <f t="shared" si="2047"/>
        <v>0</v>
      </c>
      <c r="AD995" s="2179">
        <f t="shared" si="2047"/>
        <v>0</v>
      </c>
      <c r="AE995" s="2178">
        <f t="shared" si="2011"/>
        <v>0</v>
      </c>
      <c r="AF995" s="2204"/>
      <c r="AG995" s="2114"/>
      <c r="AH995" s="2188">
        <f t="shared" si="2048"/>
        <v>0</v>
      </c>
      <c r="AI995" s="2188">
        <f t="shared" si="2048"/>
        <v>0</v>
      </c>
      <c r="AJ995" s="2186">
        <f t="shared" si="2012"/>
        <v>0</v>
      </c>
      <c r="AK995" s="2188">
        <f t="shared" si="2049"/>
        <v>0</v>
      </c>
      <c r="AL995" s="2188">
        <f t="shared" si="2049"/>
        <v>0</v>
      </c>
      <c r="AM995" s="2186">
        <f t="shared" si="2013"/>
        <v>0</v>
      </c>
      <c r="AN995" s="2188">
        <f t="shared" si="2050"/>
        <v>0</v>
      </c>
      <c r="AO995" s="2188">
        <f t="shared" si="2050"/>
        <v>0</v>
      </c>
      <c r="AP995" s="2186">
        <f t="shared" si="2014"/>
        <v>0</v>
      </c>
      <c r="AQ995" s="2188">
        <f t="shared" si="2051"/>
        <v>0</v>
      </c>
      <c r="AR995" s="2188">
        <f t="shared" si="2051"/>
        <v>0</v>
      </c>
      <c r="AS995" s="2186">
        <f t="shared" si="2015"/>
        <v>0</v>
      </c>
      <c r="AT995" s="2188">
        <f t="shared" si="2052"/>
        <v>0</v>
      </c>
      <c r="AU995" s="2188">
        <f t="shared" si="2052"/>
        <v>0</v>
      </c>
      <c r="AV995" s="2186">
        <f t="shared" si="2016"/>
        <v>0</v>
      </c>
      <c r="AW995" s="2188">
        <f t="shared" si="2053"/>
        <v>0</v>
      </c>
      <c r="AX995" s="2188">
        <f t="shared" si="2053"/>
        <v>0</v>
      </c>
      <c r="AY995" s="2186">
        <f t="shared" si="2017"/>
        <v>0</v>
      </c>
      <c r="AZ995" s="2188">
        <f t="shared" si="2054"/>
        <v>0</v>
      </c>
      <c r="BA995" s="2188">
        <f t="shared" si="2054"/>
        <v>0</v>
      </c>
      <c r="BB995" s="2186">
        <f t="shared" si="2018"/>
        <v>0</v>
      </c>
      <c r="BC995" s="2188">
        <f t="shared" si="2055"/>
        <v>0</v>
      </c>
      <c r="BD995" s="2188">
        <f t="shared" si="2055"/>
        <v>0</v>
      </c>
      <c r="BE995" s="2186">
        <f t="shared" si="2019"/>
        <v>0</v>
      </c>
      <c r="BF995" s="2188">
        <f t="shared" si="2056"/>
        <v>0</v>
      </c>
      <c r="BG995" s="2188">
        <f t="shared" si="2056"/>
        <v>0</v>
      </c>
      <c r="BH995" s="2186">
        <f t="shared" si="2020"/>
        <v>0</v>
      </c>
      <c r="BI995" s="2188">
        <f t="shared" si="2057"/>
        <v>0</v>
      </c>
      <c r="BJ995" s="2188">
        <f t="shared" si="2057"/>
        <v>0</v>
      </c>
      <c r="BK995" s="2186">
        <f t="shared" si="2021"/>
        <v>0</v>
      </c>
      <c r="BL995" s="2188">
        <f t="shared" si="2058"/>
        <v>0</v>
      </c>
      <c r="BM995" s="2188">
        <f t="shared" si="2058"/>
        <v>0</v>
      </c>
      <c r="BN995" s="2186">
        <f t="shared" si="2022"/>
        <v>0</v>
      </c>
      <c r="BO995" s="2188">
        <f t="shared" si="2059"/>
        <v>0</v>
      </c>
      <c r="BP995" s="2188">
        <f t="shared" si="2059"/>
        <v>0</v>
      </c>
      <c r="BQ995" s="2186">
        <f t="shared" si="2023"/>
        <v>0</v>
      </c>
    </row>
    <row r="996" spans="3:69" s="2087" customFormat="1" ht="12" hidden="1" customHeight="1">
      <c r="C996" s="2473" t="s">
        <v>3198</v>
      </c>
      <c r="D996" s="2334" t="s">
        <v>2434</v>
      </c>
      <c r="E996" s="2250" t="s">
        <v>3015</v>
      </c>
      <c r="F996" s="2176"/>
      <c r="G996" s="2179">
        <f>G1007+G1022</f>
        <v>0</v>
      </c>
      <c r="H996" s="2179">
        <f t="shared" si="2043"/>
        <v>0</v>
      </c>
      <c r="I996" s="2178">
        <f t="shared" si="2004"/>
        <v>0</v>
      </c>
      <c r="J996" s="2176"/>
      <c r="K996" s="2179">
        <f>N996+Q996+W996+AC996</f>
        <v>0</v>
      </c>
      <c r="L996" s="2179">
        <f>O996+R996+X996+AD996</f>
        <v>0</v>
      </c>
      <c r="M996" s="2178">
        <f t="shared" si="2005"/>
        <v>0</v>
      </c>
      <c r="N996" s="2179">
        <f t="shared" si="2044"/>
        <v>0</v>
      </c>
      <c r="O996" s="2179">
        <f t="shared" si="2044"/>
        <v>0</v>
      </c>
      <c r="P996" s="2178">
        <f t="shared" si="2006"/>
        <v>0</v>
      </c>
      <c r="Q996" s="2179">
        <f t="shared" si="2045"/>
        <v>0</v>
      </c>
      <c r="R996" s="2179">
        <f t="shared" si="2045"/>
        <v>0</v>
      </c>
      <c r="S996" s="2178">
        <f t="shared" si="2007"/>
        <v>0</v>
      </c>
      <c r="T996" s="2181">
        <f>N996+Q996</f>
        <v>0</v>
      </c>
      <c r="U996" s="2179">
        <f>O996+R996</f>
        <v>0</v>
      </c>
      <c r="V996" s="2178">
        <f t="shared" si="2008"/>
        <v>0</v>
      </c>
      <c r="W996" s="2179">
        <f t="shared" si="2046"/>
        <v>0</v>
      </c>
      <c r="X996" s="2179">
        <f t="shared" si="2046"/>
        <v>0</v>
      </c>
      <c r="Y996" s="2178">
        <f t="shared" si="2009"/>
        <v>0</v>
      </c>
      <c r="Z996" s="2181">
        <f>T996+W996</f>
        <v>0</v>
      </c>
      <c r="AA996" s="2179">
        <f>U996+X996</f>
        <v>0</v>
      </c>
      <c r="AB996" s="2178">
        <f t="shared" si="2010"/>
        <v>0</v>
      </c>
      <c r="AC996" s="2179">
        <f t="shared" si="2047"/>
        <v>0</v>
      </c>
      <c r="AD996" s="2179">
        <f t="shared" si="2047"/>
        <v>0</v>
      </c>
      <c r="AE996" s="2178">
        <f t="shared" si="2011"/>
        <v>0</v>
      </c>
      <c r="AF996" s="2204"/>
      <c r="AG996" s="2114"/>
      <c r="AH996" s="2188">
        <f t="shared" si="2048"/>
        <v>0</v>
      </c>
      <c r="AI996" s="2188">
        <f t="shared" si="2048"/>
        <v>0</v>
      </c>
      <c r="AJ996" s="2186">
        <f t="shared" si="2012"/>
        <v>0</v>
      </c>
      <c r="AK996" s="2188">
        <f t="shared" si="2049"/>
        <v>0</v>
      </c>
      <c r="AL996" s="2188">
        <f t="shared" si="2049"/>
        <v>0</v>
      </c>
      <c r="AM996" s="2186">
        <f t="shared" si="2013"/>
        <v>0</v>
      </c>
      <c r="AN996" s="2188">
        <f t="shared" si="2050"/>
        <v>0</v>
      </c>
      <c r="AO996" s="2188">
        <f t="shared" si="2050"/>
        <v>0</v>
      </c>
      <c r="AP996" s="2186">
        <f t="shared" si="2014"/>
        <v>0</v>
      </c>
      <c r="AQ996" s="2188">
        <f t="shared" si="2051"/>
        <v>0</v>
      </c>
      <c r="AR996" s="2188">
        <f t="shared" si="2051"/>
        <v>0</v>
      </c>
      <c r="AS996" s="2186">
        <f t="shared" si="2015"/>
        <v>0</v>
      </c>
      <c r="AT996" s="2188">
        <f t="shared" si="2052"/>
        <v>0</v>
      </c>
      <c r="AU996" s="2188">
        <f t="shared" si="2052"/>
        <v>0</v>
      </c>
      <c r="AV996" s="2186">
        <f t="shared" si="2016"/>
        <v>0</v>
      </c>
      <c r="AW996" s="2188">
        <f t="shared" si="2053"/>
        <v>0</v>
      </c>
      <c r="AX996" s="2188">
        <f t="shared" si="2053"/>
        <v>0</v>
      </c>
      <c r="AY996" s="2186">
        <f t="shared" si="2017"/>
        <v>0</v>
      </c>
      <c r="AZ996" s="2188">
        <f t="shared" si="2054"/>
        <v>0</v>
      </c>
      <c r="BA996" s="2188">
        <f t="shared" si="2054"/>
        <v>0</v>
      </c>
      <c r="BB996" s="2186">
        <f t="shared" si="2018"/>
        <v>0</v>
      </c>
      <c r="BC996" s="2188">
        <f t="shared" si="2055"/>
        <v>0</v>
      </c>
      <c r="BD996" s="2188">
        <f t="shared" si="2055"/>
        <v>0</v>
      </c>
      <c r="BE996" s="2186">
        <f t="shared" si="2019"/>
        <v>0</v>
      </c>
      <c r="BF996" s="2188">
        <f t="shared" si="2056"/>
        <v>0</v>
      </c>
      <c r="BG996" s="2188">
        <f t="shared" si="2056"/>
        <v>0</v>
      </c>
      <c r="BH996" s="2186">
        <f t="shared" si="2020"/>
        <v>0</v>
      </c>
      <c r="BI996" s="2188">
        <f t="shared" si="2057"/>
        <v>0</v>
      </c>
      <c r="BJ996" s="2188">
        <f t="shared" si="2057"/>
        <v>0</v>
      </c>
      <c r="BK996" s="2186">
        <f t="shared" si="2021"/>
        <v>0</v>
      </c>
      <c r="BL996" s="2188">
        <f t="shared" si="2058"/>
        <v>0</v>
      </c>
      <c r="BM996" s="2188">
        <f t="shared" si="2058"/>
        <v>0</v>
      </c>
      <c r="BN996" s="2186">
        <f t="shared" si="2022"/>
        <v>0</v>
      </c>
      <c r="BO996" s="2188">
        <f t="shared" si="2059"/>
        <v>0</v>
      </c>
      <c r="BP996" s="2188">
        <f t="shared" si="2059"/>
        <v>0</v>
      </c>
      <c r="BQ996" s="2186">
        <f t="shared" si="2023"/>
        <v>0</v>
      </c>
    </row>
    <row r="997" spans="3:69" s="2159" customFormat="1" ht="12" hidden="1" customHeight="1">
      <c r="C997" s="2474" t="s">
        <v>3199</v>
      </c>
      <c r="D997" s="2475" t="s">
        <v>3159</v>
      </c>
      <c r="E997" s="2471"/>
      <c r="F997" s="2320"/>
      <c r="G997" s="2171"/>
      <c r="H997" s="2171"/>
      <c r="I997" s="2164">
        <f t="shared" si="2004"/>
        <v>0</v>
      </c>
      <c r="J997" s="2320"/>
      <c r="K997" s="2171"/>
      <c r="L997" s="2171"/>
      <c r="M997" s="2164">
        <f t="shared" si="2005"/>
        <v>0</v>
      </c>
      <c r="N997" s="2171"/>
      <c r="O997" s="2171"/>
      <c r="P997" s="2164">
        <f t="shared" si="2006"/>
        <v>0</v>
      </c>
      <c r="Q997" s="2320"/>
      <c r="R997" s="2171"/>
      <c r="S997" s="2164">
        <f t="shared" si="2007"/>
        <v>0</v>
      </c>
      <c r="T997" s="2472"/>
      <c r="U997" s="2171"/>
      <c r="V997" s="2164">
        <f t="shared" si="2008"/>
        <v>0</v>
      </c>
      <c r="W997" s="2320"/>
      <c r="X997" s="2171"/>
      <c r="Y997" s="2164">
        <f t="shared" si="2009"/>
        <v>0</v>
      </c>
      <c r="Z997" s="2472"/>
      <c r="AA997" s="2171"/>
      <c r="AB997" s="2164">
        <f t="shared" si="2010"/>
        <v>0</v>
      </c>
      <c r="AC997" s="2320"/>
      <c r="AD997" s="2171"/>
      <c r="AE997" s="2164">
        <f t="shared" si="2011"/>
        <v>0</v>
      </c>
      <c r="AF997" s="2204"/>
      <c r="AG997" s="2158"/>
      <c r="AH997" s="2171"/>
      <c r="AI997" s="2171"/>
      <c r="AJ997" s="2172">
        <f t="shared" si="2012"/>
        <v>0</v>
      </c>
      <c r="AK997" s="2171"/>
      <c r="AL997" s="2171"/>
      <c r="AM997" s="2172">
        <f t="shared" si="2013"/>
        <v>0</v>
      </c>
      <c r="AN997" s="2171"/>
      <c r="AO997" s="2171"/>
      <c r="AP997" s="2172">
        <f t="shared" si="2014"/>
        <v>0</v>
      </c>
      <c r="AQ997" s="2171"/>
      <c r="AR997" s="2171"/>
      <c r="AS997" s="2172">
        <f t="shared" si="2015"/>
        <v>0</v>
      </c>
      <c r="AT997" s="2171"/>
      <c r="AU997" s="2171"/>
      <c r="AV997" s="2172">
        <f t="shared" si="2016"/>
        <v>0</v>
      </c>
      <c r="AW997" s="2171"/>
      <c r="AX997" s="2171"/>
      <c r="AY997" s="2172">
        <f t="shared" si="2017"/>
        <v>0</v>
      </c>
      <c r="AZ997" s="2171"/>
      <c r="BA997" s="2171"/>
      <c r="BB997" s="2172">
        <f t="shared" si="2018"/>
        <v>0</v>
      </c>
      <c r="BC997" s="2171"/>
      <c r="BD997" s="2171"/>
      <c r="BE997" s="2172">
        <f t="shared" si="2019"/>
        <v>0</v>
      </c>
      <c r="BF997" s="2171"/>
      <c r="BG997" s="2171"/>
      <c r="BH997" s="2172">
        <f t="shared" si="2020"/>
        <v>0</v>
      </c>
      <c r="BI997" s="2171"/>
      <c r="BJ997" s="2171"/>
      <c r="BK997" s="2172">
        <f t="shared" si="2021"/>
        <v>0</v>
      </c>
      <c r="BL997" s="2171"/>
      <c r="BM997" s="2171"/>
      <c r="BN997" s="2172">
        <f t="shared" si="2022"/>
        <v>0</v>
      </c>
      <c r="BO997" s="2171"/>
      <c r="BP997" s="2171"/>
      <c r="BQ997" s="2172">
        <f t="shared" si="2023"/>
        <v>0</v>
      </c>
    </row>
    <row r="998" spans="3:69" s="2087" customFormat="1" ht="12" hidden="1" customHeight="1">
      <c r="C998" s="2423" t="s">
        <v>3200</v>
      </c>
      <c r="D998" s="2421" t="s">
        <v>3187</v>
      </c>
      <c r="E998" s="2250" t="s">
        <v>3046</v>
      </c>
      <c r="F998" s="2176"/>
      <c r="G998" s="2179">
        <f>G999+G1001</f>
        <v>0</v>
      </c>
      <c r="H998" s="2179">
        <f>H999+H1001</f>
        <v>0</v>
      </c>
      <c r="I998" s="2178">
        <f t="shared" si="2004"/>
        <v>0</v>
      </c>
      <c r="J998" s="2176"/>
      <c r="K998" s="2179">
        <f t="shared" si="1965"/>
        <v>0</v>
      </c>
      <c r="L998" s="2179">
        <f t="shared" si="1948"/>
        <v>0</v>
      </c>
      <c r="M998" s="2178">
        <f t="shared" si="2005"/>
        <v>0</v>
      </c>
      <c r="N998" s="2179">
        <f>N999+N1001</f>
        <v>0</v>
      </c>
      <c r="O998" s="2179">
        <f>O999+O1001</f>
        <v>0</v>
      </c>
      <c r="P998" s="2178">
        <f t="shared" si="2006"/>
        <v>0</v>
      </c>
      <c r="Q998" s="2179">
        <f>Q999+Q1001</f>
        <v>0</v>
      </c>
      <c r="R998" s="2179">
        <f>R999+R1001</f>
        <v>0</v>
      </c>
      <c r="S998" s="2178">
        <f t="shared" si="2007"/>
        <v>0</v>
      </c>
      <c r="T998" s="2181">
        <f t="shared" ref="T998:U1006" si="2060">N998+Q998</f>
        <v>0</v>
      </c>
      <c r="U998" s="2179">
        <f t="shared" si="2060"/>
        <v>0</v>
      </c>
      <c r="V998" s="2178">
        <f t="shared" si="2008"/>
        <v>0</v>
      </c>
      <c r="W998" s="2179">
        <f>W999+W1001</f>
        <v>0</v>
      </c>
      <c r="X998" s="2179">
        <f>X999+X1001</f>
        <v>0</v>
      </c>
      <c r="Y998" s="2178">
        <f t="shared" si="2009"/>
        <v>0</v>
      </c>
      <c r="Z998" s="2181">
        <f t="shared" ref="Z998:AA1006" si="2061">T998+W998</f>
        <v>0</v>
      </c>
      <c r="AA998" s="2179">
        <f t="shared" si="2061"/>
        <v>0</v>
      </c>
      <c r="AB998" s="2178">
        <f t="shared" si="2010"/>
        <v>0</v>
      </c>
      <c r="AC998" s="2179">
        <f>AC999+AC1001</f>
        <v>0</v>
      </c>
      <c r="AD998" s="2179">
        <f>AD999+AD1001</f>
        <v>0</v>
      </c>
      <c r="AE998" s="2178">
        <f t="shared" si="2011"/>
        <v>0</v>
      </c>
      <c r="AF998" s="2204"/>
      <c r="AG998" s="2114"/>
      <c r="AH998" s="2188">
        <f>AH999+AH1001</f>
        <v>0</v>
      </c>
      <c r="AI998" s="2188">
        <f>AI999+AI1001</f>
        <v>0</v>
      </c>
      <c r="AJ998" s="2186">
        <f t="shared" si="2012"/>
        <v>0</v>
      </c>
      <c r="AK998" s="2188">
        <f>AK999+AK1001</f>
        <v>0</v>
      </c>
      <c r="AL998" s="2188">
        <f>AL999+AL1001</f>
        <v>0</v>
      </c>
      <c r="AM998" s="2186">
        <f t="shared" si="2013"/>
        <v>0</v>
      </c>
      <c r="AN998" s="2188">
        <f>AN999+AN1001</f>
        <v>0</v>
      </c>
      <c r="AO998" s="2188">
        <f>AO999+AO1001</f>
        <v>0</v>
      </c>
      <c r="AP998" s="2186">
        <f t="shared" si="2014"/>
        <v>0</v>
      </c>
      <c r="AQ998" s="2188">
        <f>AQ999+AQ1001</f>
        <v>0</v>
      </c>
      <c r="AR998" s="2188">
        <f>AR999+AR1001</f>
        <v>0</v>
      </c>
      <c r="AS998" s="2186">
        <f t="shared" si="2015"/>
        <v>0</v>
      </c>
      <c r="AT998" s="2188">
        <f>AT999+AT1001</f>
        <v>0</v>
      </c>
      <c r="AU998" s="2188">
        <f>AU999+AU1001</f>
        <v>0</v>
      </c>
      <c r="AV998" s="2186">
        <f t="shared" si="2016"/>
        <v>0</v>
      </c>
      <c r="AW998" s="2188">
        <f>AW999+AW1001</f>
        <v>0</v>
      </c>
      <c r="AX998" s="2188">
        <f>AX999+AX1001</f>
        <v>0</v>
      </c>
      <c r="AY998" s="2186">
        <f t="shared" si="2017"/>
        <v>0</v>
      </c>
      <c r="AZ998" s="2188">
        <f>AZ999+AZ1001</f>
        <v>0</v>
      </c>
      <c r="BA998" s="2188">
        <f>BA999+BA1001</f>
        <v>0</v>
      </c>
      <c r="BB998" s="2186">
        <f t="shared" si="2018"/>
        <v>0</v>
      </c>
      <c r="BC998" s="2188">
        <f>BC999+BC1001</f>
        <v>0</v>
      </c>
      <c r="BD998" s="2188">
        <f>BD999+BD1001</f>
        <v>0</v>
      </c>
      <c r="BE998" s="2186">
        <f t="shared" si="2019"/>
        <v>0</v>
      </c>
      <c r="BF998" s="2188">
        <f>BF999+BF1001</f>
        <v>0</v>
      </c>
      <c r="BG998" s="2188">
        <f>BG999+BG1001</f>
        <v>0</v>
      </c>
      <c r="BH998" s="2186">
        <f t="shared" si="2020"/>
        <v>0</v>
      </c>
      <c r="BI998" s="2188">
        <f>BI999+BI1001</f>
        <v>0</v>
      </c>
      <c r="BJ998" s="2188">
        <f>BJ999+BJ1001</f>
        <v>0</v>
      </c>
      <c r="BK998" s="2186">
        <f t="shared" si="2021"/>
        <v>0</v>
      </c>
      <c r="BL998" s="2188">
        <f>BL999+BL1001</f>
        <v>0</v>
      </c>
      <c r="BM998" s="2188">
        <f>BM999+BM1001</f>
        <v>0</v>
      </c>
      <c r="BN998" s="2186">
        <f t="shared" si="2022"/>
        <v>0</v>
      </c>
      <c r="BO998" s="2188">
        <f>BO999+BO1001</f>
        <v>0</v>
      </c>
      <c r="BP998" s="2188">
        <f>BP999+BP1001</f>
        <v>0</v>
      </c>
      <c r="BQ998" s="2186">
        <f t="shared" si="2023"/>
        <v>0</v>
      </c>
    </row>
    <row r="999" spans="3:69" s="2087" customFormat="1" ht="12" hidden="1" customHeight="1">
      <c r="C999" s="2473" t="s">
        <v>3201</v>
      </c>
      <c r="D999" s="2334" t="s">
        <v>2872</v>
      </c>
      <c r="E999" s="2250" t="s">
        <v>3046</v>
      </c>
      <c r="F999" s="2176"/>
      <c r="G999" s="2177"/>
      <c r="H999" s="2177"/>
      <c r="I999" s="2178">
        <f t="shared" si="2004"/>
        <v>0</v>
      </c>
      <c r="J999" s="2176"/>
      <c r="K999" s="2179">
        <f t="shared" si="1965"/>
        <v>0</v>
      </c>
      <c r="L999" s="2179">
        <f t="shared" si="1948"/>
        <v>0</v>
      </c>
      <c r="M999" s="2178">
        <f t="shared" si="2005"/>
        <v>0</v>
      </c>
      <c r="N999" s="2177"/>
      <c r="O999" s="2177"/>
      <c r="P999" s="2178">
        <f t="shared" si="2006"/>
        <v>0</v>
      </c>
      <c r="Q999" s="2176"/>
      <c r="R999" s="2177"/>
      <c r="S999" s="2178">
        <f t="shared" si="2007"/>
        <v>0</v>
      </c>
      <c r="T999" s="2181">
        <f t="shared" si="2060"/>
        <v>0</v>
      </c>
      <c r="U999" s="2179">
        <f t="shared" si="2060"/>
        <v>0</v>
      </c>
      <c r="V999" s="2178">
        <f t="shared" si="2008"/>
        <v>0</v>
      </c>
      <c r="W999" s="2176"/>
      <c r="X999" s="2177"/>
      <c r="Y999" s="2178">
        <f t="shared" si="2009"/>
        <v>0</v>
      </c>
      <c r="Z999" s="2181">
        <f t="shared" si="2061"/>
        <v>0</v>
      </c>
      <c r="AA999" s="2179">
        <f t="shared" si="2061"/>
        <v>0</v>
      </c>
      <c r="AB999" s="2178">
        <f t="shared" si="2010"/>
        <v>0</v>
      </c>
      <c r="AC999" s="2176"/>
      <c r="AD999" s="2177"/>
      <c r="AE999" s="2178">
        <f t="shared" si="2011"/>
        <v>0</v>
      </c>
      <c r="AF999" s="2204"/>
      <c r="AG999" s="2114"/>
      <c r="AH999" s="2177"/>
      <c r="AI999" s="2177"/>
      <c r="AJ999" s="2186">
        <f t="shared" si="2012"/>
        <v>0</v>
      </c>
      <c r="AK999" s="2177"/>
      <c r="AL999" s="2177"/>
      <c r="AM999" s="2186">
        <f t="shared" si="2013"/>
        <v>0</v>
      </c>
      <c r="AN999" s="2177"/>
      <c r="AO999" s="2177"/>
      <c r="AP999" s="2186">
        <f t="shared" si="2014"/>
        <v>0</v>
      </c>
      <c r="AQ999" s="2177"/>
      <c r="AR999" s="2177"/>
      <c r="AS999" s="2186">
        <f t="shared" si="2015"/>
        <v>0</v>
      </c>
      <c r="AT999" s="2177"/>
      <c r="AU999" s="2177"/>
      <c r="AV999" s="2186">
        <f t="shared" si="2016"/>
        <v>0</v>
      </c>
      <c r="AW999" s="2177"/>
      <c r="AX999" s="2177"/>
      <c r="AY999" s="2186">
        <f t="shared" si="2017"/>
        <v>0</v>
      </c>
      <c r="AZ999" s="2177"/>
      <c r="BA999" s="2177"/>
      <c r="BB999" s="2186">
        <f t="shared" si="2018"/>
        <v>0</v>
      </c>
      <c r="BC999" s="2177"/>
      <c r="BD999" s="2177"/>
      <c r="BE999" s="2186">
        <f t="shared" si="2019"/>
        <v>0</v>
      </c>
      <c r="BF999" s="2177"/>
      <c r="BG999" s="2177"/>
      <c r="BH999" s="2186">
        <f t="shared" si="2020"/>
        <v>0</v>
      </c>
      <c r="BI999" s="2177"/>
      <c r="BJ999" s="2177"/>
      <c r="BK999" s="2186">
        <f t="shared" si="2021"/>
        <v>0</v>
      </c>
      <c r="BL999" s="2177"/>
      <c r="BM999" s="2177"/>
      <c r="BN999" s="2186">
        <f t="shared" si="2022"/>
        <v>0</v>
      </c>
      <c r="BO999" s="2177"/>
      <c r="BP999" s="2177"/>
      <c r="BQ999" s="2186">
        <f t="shared" si="2023"/>
        <v>0</v>
      </c>
    </row>
    <row r="1000" spans="3:69" s="2087" customFormat="1" ht="12" hidden="1" customHeight="1">
      <c r="C1000" s="2473" t="s">
        <v>3202</v>
      </c>
      <c r="D1000" s="2334" t="s">
        <v>2434</v>
      </c>
      <c r="E1000" s="2250" t="s">
        <v>3046</v>
      </c>
      <c r="F1000" s="2176"/>
      <c r="G1000" s="2177"/>
      <c r="H1000" s="2177"/>
      <c r="I1000" s="2178">
        <f t="shared" si="2004"/>
        <v>0</v>
      </c>
      <c r="J1000" s="2176"/>
      <c r="K1000" s="2179">
        <f>N1000+Q1000+W1000+AC1000</f>
        <v>0</v>
      </c>
      <c r="L1000" s="2179">
        <f>O1000+R1000+X1000+AD1000</f>
        <v>0</v>
      </c>
      <c r="M1000" s="2178">
        <f t="shared" si="2005"/>
        <v>0</v>
      </c>
      <c r="N1000" s="2177"/>
      <c r="O1000" s="2177"/>
      <c r="P1000" s="2178">
        <f t="shared" si="2006"/>
        <v>0</v>
      </c>
      <c r="Q1000" s="2176"/>
      <c r="R1000" s="2177"/>
      <c r="S1000" s="2178">
        <f t="shared" si="2007"/>
        <v>0</v>
      </c>
      <c r="T1000" s="2181">
        <f>N1000+Q1000</f>
        <v>0</v>
      </c>
      <c r="U1000" s="2179">
        <f>O1000+R1000</f>
        <v>0</v>
      </c>
      <c r="V1000" s="2178">
        <f t="shared" si="2008"/>
        <v>0</v>
      </c>
      <c r="W1000" s="2176"/>
      <c r="X1000" s="2177"/>
      <c r="Y1000" s="2178">
        <f t="shared" si="2009"/>
        <v>0</v>
      </c>
      <c r="Z1000" s="2181">
        <f>T1000+W1000</f>
        <v>0</v>
      </c>
      <c r="AA1000" s="2179">
        <f>U1000+X1000</f>
        <v>0</v>
      </c>
      <c r="AB1000" s="2178">
        <f t="shared" si="2010"/>
        <v>0</v>
      </c>
      <c r="AC1000" s="2176"/>
      <c r="AD1000" s="2177"/>
      <c r="AE1000" s="2178">
        <f t="shared" si="2011"/>
        <v>0</v>
      </c>
      <c r="AF1000" s="2204"/>
      <c r="AG1000" s="2114"/>
      <c r="AH1000" s="2177"/>
      <c r="AI1000" s="2177"/>
      <c r="AJ1000" s="2186">
        <f t="shared" si="2012"/>
        <v>0</v>
      </c>
      <c r="AK1000" s="2177"/>
      <c r="AL1000" s="2177"/>
      <c r="AM1000" s="2186">
        <f t="shared" si="2013"/>
        <v>0</v>
      </c>
      <c r="AN1000" s="2177"/>
      <c r="AO1000" s="2177"/>
      <c r="AP1000" s="2186">
        <f t="shared" si="2014"/>
        <v>0</v>
      </c>
      <c r="AQ1000" s="2177"/>
      <c r="AR1000" s="2177"/>
      <c r="AS1000" s="2186">
        <f t="shared" si="2015"/>
        <v>0</v>
      </c>
      <c r="AT1000" s="2177"/>
      <c r="AU1000" s="2177"/>
      <c r="AV1000" s="2186">
        <f t="shared" si="2016"/>
        <v>0</v>
      </c>
      <c r="AW1000" s="2177"/>
      <c r="AX1000" s="2177"/>
      <c r="AY1000" s="2186">
        <f t="shared" si="2017"/>
        <v>0</v>
      </c>
      <c r="AZ1000" s="2177"/>
      <c r="BA1000" s="2177"/>
      <c r="BB1000" s="2186">
        <f t="shared" si="2018"/>
        <v>0</v>
      </c>
      <c r="BC1000" s="2177"/>
      <c r="BD1000" s="2177"/>
      <c r="BE1000" s="2186">
        <f t="shared" si="2019"/>
        <v>0</v>
      </c>
      <c r="BF1000" s="2177"/>
      <c r="BG1000" s="2177"/>
      <c r="BH1000" s="2186">
        <f t="shared" si="2020"/>
        <v>0</v>
      </c>
      <c r="BI1000" s="2177"/>
      <c r="BJ1000" s="2177"/>
      <c r="BK1000" s="2186">
        <f t="shared" si="2021"/>
        <v>0</v>
      </c>
      <c r="BL1000" s="2177"/>
      <c r="BM1000" s="2177"/>
      <c r="BN1000" s="2186">
        <f t="shared" si="2022"/>
        <v>0</v>
      </c>
      <c r="BO1000" s="2177"/>
      <c r="BP1000" s="2177"/>
      <c r="BQ1000" s="2186">
        <f t="shared" si="2023"/>
        <v>0</v>
      </c>
    </row>
    <row r="1001" spans="3:69" s="2087" customFormat="1" ht="12" hidden="1" customHeight="1">
      <c r="C1001" s="2473" t="s">
        <v>3203</v>
      </c>
      <c r="D1001" s="2334" t="s">
        <v>42</v>
      </c>
      <c r="E1001" s="2250" t="s">
        <v>3046</v>
      </c>
      <c r="F1001" s="2176"/>
      <c r="G1001" s="2177"/>
      <c r="H1001" s="2177"/>
      <c r="I1001" s="2178">
        <f t="shared" si="2004"/>
        <v>0</v>
      </c>
      <c r="J1001" s="2176"/>
      <c r="K1001" s="2179">
        <f t="shared" si="1965"/>
        <v>0</v>
      </c>
      <c r="L1001" s="2179">
        <f t="shared" si="1948"/>
        <v>0</v>
      </c>
      <c r="M1001" s="2178">
        <f t="shared" si="2005"/>
        <v>0</v>
      </c>
      <c r="N1001" s="2177"/>
      <c r="O1001" s="2177"/>
      <c r="P1001" s="2178">
        <f t="shared" si="2006"/>
        <v>0</v>
      </c>
      <c r="Q1001" s="2176"/>
      <c r="R1001" s="2177"/>
      <c r="S1001" s="2178">
        <f t="shared" si="2007"/>
        <v>0</v>
      </c>
      <c r="T1001" s="2181">
        <f t="shared" si="2060"/>
        <v>0</v>
      </c>
      <c r="U1001" s="2179">
        <f t="shared" si="2060"/>
        <v>0</v>
      </c>
      <c r="V1001" s="2178">
        <f t="shared" si="2008"/>
        <v>0</v>
      </c>
      <c r="W1001" s="2176"/>
      <c r="X1001" s="2177"/>
      <c r="Y1001" s="2178">
        <f t="shared" si="2009"/>
        <v>0</v>
      </c>
      <c r="Z1001" s="2181">
        <f t="shared" si="2061"/>
        <v>0</v>
      </c>
      <c r="AA1001" s="2179">
        <f t="shared" si="2061"/>
        <v>0</v>
      </c>
      <c r="AB1001" s="2178">
        <f t="shared" si="2010"/>
        <v>0</v>
      </c>
      <c r="AC1001" s="2176"/>
      <c r="AD1001" s="2177"/>
      <c r="AE1001" s="2178">
        <f t="shared" si="2011"/>
        <v>0</v>
      </c>
      <c r="AF1001" s="2204"/>
      <c r="AG1001" s="2114"/>
      <c r="AH1001" s="2177"/>
      <c r="AI1001" s="2177"/>
      <c r="AJ1001" s="2186">
        <f t="shared" si="2012"/>
        <v>0</v>
      </c>
      <c r="AK1001" s="2177"/>
      <c r="AL1001" s="2177"/>
      <c r="AM1001" s="2186">
        <f t="shared" si="2013"/>
        <v>0</v>
      </c>
      <c r="AN1001" s="2177"/>
      <c r="AO1001" s="2177"/>
      <c r="AP1001" s="2186">
        <f t="shared" si="2014"/>
        <v>0</v>
      </c>
      <c r="AQ1001" s="2177"/>
      <c r="AR1001" s="2177"/>
      <c r="AS1001" s="2186">
        <f t="shared" si="2015"/>
        <v>0</v>
      </c>
      <c r="AT1001" s="2177"/>
      <c r="AU1001" s="2177"/>
      <c r="AV1001" s="2186">
        <f t="shared" si="2016"/>
        <v>0</v>
      </c>
      <c r="AW1001" s="2177"/>
      <c r="AX1001" s="2177"/>
      <c r="AY1001" s="2186">
        <f t="shared" si="2017"/>
        <v>0</v>
      </c>
      <c r="AZ1001" s="2177"/>
      <c r="BA1001" s="2177"/>
      <c r="BB1001" s="2186">
        <f t="shared" si="2018"/>
        <v>0</v>
      </c>
      <c r="BC1001" s="2177"/>
      <c r="BD1001" s="2177"/>
      <c r="BE1001" s="2186">
        <f t="shared" si="2019"/>
        <v>0</v>
      </c>
      <c r="BF1001" s="2177"/>
      <c r="BG1001" s="2177"/>
      <c r="BH1001" s="2186">
        <f t="shared" si="2020"/>
        <v>0</v>
      </c>
      <c r="BI1001" s="2177"/>
      <c r="BJ1001" s="2177"/>
      <c r="BK1001" s="2186">
        <f t="shared" si="2021"/>
        <v>0</v>
      </c>
      <c r="BL1001" s="2177"/>
      <c r="BM1001" s="2177"/>
      <c r="BN1001" s="2186">
        <f t="shared" si="2022"/>
        <v>0</v>
      </c>
      <c r="BO1001" s="2177"/>
      <c r="BP1001" s="2177"/>
      <c r="BQ1001" s="2186">
        <f t="shared" si="2023"/>
        <v>0</v>
      </c>
    </row>
    <row r="1002" spans="3:69" s="2087" customFormat="1" ht="12" hidden="1" customHeight="1">
      <c r="C1002" s="2473" t="s">
        <v>3204</v>
      </c>
      <c r="D1002" s="2334" t="s">
        <v>2434</v>
      </c>
      <c r="E1002" s="2250" t="s">
        <v>3046</v>
      </c>
      <c r="F1002" s="2176"/>
      <c r="G1002" s="2177"/>
      <c r="H1002" s="2177"/>
      <c r="I1002" s="2178">
        <f t="shared" si="2004"/>
        <v>0</v>
      </c>
      <c r="J1002" s="2176"/>
      <c r="K1002" s="2179">
        <f>N1002+Q1002+W1002+AC1002</f>
        <v>0</v>
      </c>
      <c r="L1002" s="2179">
        <f>O1002+R1002+X1002+AD1002</f>
        <v>0</v>
      </c>
      <c r="M1002" s="2178">
        <f t="shared" si="2005"/>
        <v>0</v>
      </c>
      <c r="N1002" s="2177"/>
      <c r="O1002" s="2177"/>
      <c r="P1002" s="2178">
        <f t="shared" si="2006"/>
        <v>0</v>
      </c>
      <c r="Q1002" s="2176"/>
      <c r="R1002" s="2177"/>
      <c r="S1002" s="2178">
        <f t="shared" si="2007"/>
        <v>0</v>
      </c>
      <c r="T1002" s="2181">
        <f>N1002+Q1002</f>
        <v>0</v>
      </c>
      <c r="U1002" s="2179">
        <f>O1002+R1002</f>
        <v>0</v>
      </c>
      <c r="V1002" s="2178">
        <f t="shared" si="2008"/>
        <v>0</v>
      </c>
      <c r="W1002" s="2176"/>
      <c r="X1002" s="2177"/>
      <c r="Y1002" s="2178">
        <f t="shared" si="2009"/>
        <v>0</v>
      </c>
      <c r="Z1002" s="2181">
        <f>T1002+W1002</f>
        <v>0</v>
      </c>
      <c r="AA1002" s="2179">
        <f>U1002+X1002</f>
        <v>0</v>
      </c>
      <c r="AB1002" s="2178">
        <f t="shared" si="2010"/>
        <v>0</v>
      </c>
      <c r="AC1002" s="2176"/>
      <c r="AD1002" s="2177"/>
      <c r="AE1002" s="2178">
        <f t="shared" si="2011"/>
        <v>0</v>
      </c>
      <c r="AF1002" s="2204"/>
      <c r="AG1002" s="2114"/>
      <c r="AH1002" s="2177"/>
      <c r="AI1002" s="2177"/>
      <c r="AJ1002" s="2186">
        <f t="shared" si="2012"/>
        <v>0</v>
      </c>
      <c r="AK1002" s="2177"/>
      <c r="AL1002" s="2177"/>
      <c r="AM1002" s="2186">
        <f t="shared" si="2013"/>
        <v>0</v>
      </c>
      <c r="AN1002" s="2177"/>
      <c r="AO1002" s="2177"/>
      <c r="AP1002" s="2186">
        <f t="shared" si="2014"/>
        <v>0</v>
      </c>
      <c r="AQ1002" s="2177"/>
      <c r="AR1002" s="2177"/>
      <c r="AS1002" s="2186">
        <f t="shared" si="2015"/>
        <v>0</v>
      </c>
      <c r="AT1002" s="2177"/>
      <c r="AU1002" s="2177"/>
      <c r="AV1002" s="2186">
        <f t="shared" si="2016"/>
        <v>0</v>
      </c>
      <c r="AW1002" s="2177"/>
      <c r="AX1002" s="2177"/>
      <c r="AY1002" s="2186">
        <f t="shared" si="2017"/>
        <v>0</v>
      </c>
      <c r="AZ1002" s="2177"/>
      <c r="BA1002" s="2177"/>
      <c r="BB1002" s="2186">
        <f t="shared" si="2018"/>
        <v>0</v>
      </c>
      <c r="BC1002" s="2177"/>
      <c r="BD1002" s="2177"/>
      <c r="BE1002" s="2186">
        <f t="shared" si="2019"/>
        <v>0</v>
      </c>
      <c r="BF1002" s="2177"/>
      <c r="BG1002" s="2177"/>
      <c r="BH1002" s="2186">
        <f t="shared" si="2020"/>
        <v>0</v>
      </c>
      <c r="BI1002" s="2177"/>
      <c r="BJ1002" s="2177"/>
      <c r="BK1002" s="2186">
        <f t="shared" si="2021"/>
        <v>0</v>
      </c>
      <c r="BL1002" s="2177"/>
      <c r="BM1002" s="2177"/>
      <c r="BN1002" s="2186">
        <f t="shared" si="2022"/>
        <v>0</v>
      </c>
      <c r="BO1002" s="2177"/>
      <c r="BP1002" s="2177"/>
      <c r="BQ1002" s="2186">
        <f t="shared" si="2023"/>
        <v>0</v>
      </c>
    </row>
    <row r="1003" spans="3:69" s="2087" customFormat="1" ht="12" hidden="1" customHeight="1">
      <c r="C1003" s="2423" t="s">
        <v>3200</v>
      </c>
      <c r="D1003" s="2421" t="s">
        <v>3151</v>
      </c>
      <c r="E1003" s="2250" t="s">
        <v>3015</v>
      </c>
      <c r="F1003" s="2176"/>
      <c r="G1003" s="2179">
        <f>G1004+G1006</f>
        <v>0</v>
      </c>
      <c r="H1003" s="2179">
        <f>H1004+H1006</f>
        <v>0</v>
      </c>
      <c r="I1003" s="2178">
        <f t="shared" si="2004"/>
        <v>0</v>
      </c>
      <c r="J1003" s="2176"/>
      <c r="K1003" s="2179">
        <f t="shared" si="1965"/>
        <v>0</v>
      </c>
      <c r="L1003" s="2179">
        <f t="shared" si="1948"/>
        <v>0</v>
      </c>
      <c r="M1003" s="2178">
        <f t="shared" si="2005"/>
        <v>0</v>
      </c>
      <c r="N1003" s="2179">
        <f>N1004+N1006</f>
        <v>0</v>
      </c>
      <c r="O1003" s="2179">
        <f>O1004+O1006</f>
        <v>0</v>
      </c>
      <c r="P1003" s="2178">
        <f t="shared" si="2006"/>
        <v>0</v>
      </c>
      <c r="Q1003" s="2179">
        <f>Q1004+Q1006</f>
        <v>0</v>
      </c>
      <c r="R1003" s="2179">
        <f>R1004+R1006</f>
        <v>0</v>
      </c>
      <c r="S1003" s="2178">
        <f t="shared" si="2007"/>
        <v>0</v>
      </c>
      <c r="T1003" s="2181">
        <f t="shared" si="2060"/>
        <v>0</v>
      </c>
      <c r="U1003" s="2179">
        <f t="shared" si="2060"/>
        <v>0</v>
      </c>
      <c r="V1003" s="2178">
        <f t="shared" si="2008"/>
        <v>0</v>
      </c>
      <c r="W1003" s="2179">
        <f>W1004+W1006</f>
        <v>0</v>
      </c>
      <c r="X1003" s="2179">
        <f>X1004+X1006</f>
        <v>0</v>
      </c>
      <c r="Y1003" s="2178">
        <f t="shared" si="2009"/>
        <v>0</v>
      </c>
      <c r="Z1003" s="2181">
        <f t="shared" si="2061"/>
        <v>0</v>
      </c>
      <c r="AA1003" s="2179">
        <f t="shared" si="2061"/>
        <v>0</v>
      </c>
      <c r="AB1003" s="2178">
        <f t="shared" si="2010"/>
        <v>0</v>
      </c>
      <c r="AC1003" s="2179">
        <f>AC1004+AC1006</f>
        <v>0</v>
      </c>
      <c r="AD1003" s="2179">
        <f>AD1004+AD1006</f>
        <v>0</v>
      </c>
      <c r="AE1003" s="2178">
        <f t="shared" si="2011"/>
        <v>0</v>
      </c>
      <c r="AF1003" s="2204"/>
      <c r="AG1003" s="2114"/>
      <c r="AH1003" s="2188">
        <f>AH1004+AH1006</f>
        <v>0</v>
      </c>
      <c r="AI1003" s="2188">
        <f>AI1004+AI1006</f>
        <v>0</v>
      </c>
      <c r="AJ1003" s="2186">
        <f t="shared" si="2012"/>
        <v>0</v>
      </c>
      <c r="AK1003" s="2188">
        <f>AK1004+AK1006</f>
        <v>0</v>
      </c>
      <c r="AL1003" s="2188">
        <f>AL1004+AL1006</f>
        <v>0</v>
      </c>
      <c r="AM1003" s="2186">
        <f t="shared" si="2013"/>
        <v>0</v>
      </c>
      <c r="AN1003" s="2188">
        <f>AN1004+AN1006</f>
        <v>0</v>
      </c>
      <c r="AO1003" s="2188">
        <f>AO1004+AO1006</f>
        <v>0</v>
      </c>
      <c r="AP1003" s="2186">
        <f t="shared" si="2014"/>
        <v>0</v>
      </c>
      <c r="AQ1003" s="2188">
        <f>AQ1004+AQ1006</f>
        <v>0</v>
      </c>
      <c r="AR1003" s="2188">
        <f>AR1004+AR1006</f>
        <v>0</v>
      </c>
      <c r="AS1003" s="2186">
        <f t="shared" si="2015"/>
        <v>0</v>
      </c>
      <c r="AT1003" s="2188">
        <f>AT1004+AT1006</f>
        <v>0</v>
      </c>
      <c r="AU1003" s="2188">
        <f>AU1004+AU1006</f>
        <v>0</v>
      </c>
      <c r="AV1003" s="2186">
        <f t="shared" si="2016"/>
        <v>0</v>
      </c>
      <c r="AW1003" s="2188">
        <f>AW1004+AW1006</f>
        <v>0</v>
      </c>
      <c r="AX1003" s="2188">
        <f>AX1004+AX1006</f>
        <v>0</v>
      </c>
      <c r="AY1003" s="2186">
        <f t="shared" si="2017"/>
        <v>0</v>
      </c>
      <c r="AZ1003" s="2188">
        <f>AZ1004+AZ1006</f>
        <v>0</v>
      </c>
      <c r="BA1003" s="2188">
        <f>BA1004+BA1006</f>
        <v>0</v>
      </c>
      <c r="BB1003" s="2186">
        <f t="shared" si="2018"/>
        <v>0</v>
      </c>
      <c r="BC1003" s="2188">
        <f>BC1004+BC1006</f>
        <v>0</v>
      </c>
      <c r="BD1003" s="2188">
        <f>BD1004+BD1006</f>
        <v>0</v>
      </c>
      <c r="BE1003" s="2186">
        <f t="shared" si="2019"/>
        <v>0</v>
      </c>
      <c r="BF1003" s="2188">
        <f>BF1004+BF1006</f>
        <v>0</v>
      </c>
      <c r="BG1003" s="2188">
        <f>BG1004+BG1006</f>
        <v>0</v>
      </c>
      <c r="BH1003" s="2186">
        <f t="shared" si="2020"/>
        <v>0</v>
      </c>
      <c r="BI1003" s="2188">
        <f>BI1004+BI1006</f>
        <v>0</v>
      </c>
      <c r="BJ1003" s="2188">
        <f>BJ1004+BJ1006</f>
        <v>0</v>
      </c>
      <c r="BK1003" s="2186">
        <f t="shared" si="2021"/>
        <v>0</v>
      </c>
      <c r="BL1003" s="2188">
        <f>BL1004+BL1006</f>
        <v>0</v>
      </c>
      <c r="BM1003" s="2188">
        <f>BM1004+BM1006</f>
        <v>0</v>
      </c>
      <c r="BN1003" s="2186">
        <f t="shared" si="2022"/>
        <v>0</v>
      </c>
      <c r="BO1003" s="2188">
        <f>BO1004+BO1006</f>
        <v>0</v>
      </c>
      <c r="BP1003" s="2188">
        <f>BP1004+BP1006</f>
        <v>0</v>
      </c>
      <c r="BQ1003" s="2186">
        <f t="shared" si="2023"/>
        <v>0</v>
      </c>
    </row>
    <row r="1004" spans="3:69" s="2087" customFormat="1" ht="12" hidden="1" customHeight="1">
      <c r="C1004" s="2473" t="s">
        <v>3201</v>
      </c>
      <c r="D1004" s="2334" t="s">
        <v>2872</v>
      </c>
      <c r="E1004" s="2250" t="s">
        <v>3015</v>
      </c>
      <c r="F1004" s="2176"/>
      <c r="G1004" s="2177"/>
      <c r="H1004" s="2177"/>
      <c r="I1004" s="2178">
        <f t="shared" si="2004"/>
        <v>0</v>
      </c>
      <c r="J1004" s="2176"/>
      <c r="K1004" s="2179">
        <f t="shared" si="1965"/>
        <v>0</v>
      </c>
      <c r="L1004" s="2179">
        <f t="shared" si="1948"/>
        <v>0</v>
      </c>
      <c r="M1004" s="2178">
        <f t="shared" si="2005"/>
        <v>0</v>
      </c>
      <c r="N1004" s="2177"/>
      <c r="O1004" s="2177"/>
      <c r="P1004" s="2178">
        <f t="shared" si="2006"/>
        <v>0</v>
      </c>
      <c r="Q1004" s="2176"/>
      <c r="R1004" s="2177"/>
      <c r="S1004" s="2178">
        <f t="shared" si="2007"/>
        <v>0</v>
      </c>
      <c r="T1004" s="2181">
        <f t="shared" si="2060"/>
        <v>0</v>
      </c>
      <c r="U1004" s="2179">
        <f t="shared" si="2060"/>
        <v>0</v>
      </c>
      <c r="V1004" s="2178">
        <f t="shared" si="2008"/>
        <v>0</v>
      </c>
      <c r="W1004" s="2176"/>
      <c r="X1004" s="2177"/>
      <c r="Y1004" s="2178">
        <f t="shared" si="2009"/>
        <v>0</v>
      </c>
      <c r="Z1004" s="2181">
        <f t="shared" si="2061"/>
        <v>0</v>
      </c>
      <c r="AA1004" s="2179">
        <f t="shared" si="2061"/>
        <v>0</v>
      </c>
      <c r="AB1004" s="2178">
        <f t="shared" si="2010"/>
        <v>0</v>
      </c>
      <c r="AC1004" s="2176"/>
      <c r="AD1004" s="2177"/>
      <c r="AE1004" s="2178">
        <f t="shared" si="2011"/>
        <v>0</v>
      </c>
      <c r="AF1004" s="2204"/>
      <c r="AG1004" s="2114"/>
      <c r="AH1004" s="2177"/>
      <c r="AI1004" s="2177"/>
      <c r="AJ1004" s="2186">
        <f t="shared" si="2012"/>
        <v>0</v>
      </c>
      <c r="AK1004" s="2177"/>
      <c r="AL1004" s="2177"/>
      <c r="AM1004" s="2186">
        <f t="shared" si="2013"/>
        <v>0</v>
      </c>
      <c r="AN1004" s="2177"/>
      <c r="AO1004" s="2177"/>
      <c r="AP1004" s="2186">
        <f t="shared" si="2014"/>
        <v>0</v>
      </c>
      <c r="AQ1004" s="2177"/>
      <c r="AR1004" s="2177"/>
      <c r="AS1004" s="2186">
        <f t="shared" si="2015"/>
        <v>0</v>
      </c>
      <c r="AT1004" s="2177"/>
      <c r="AU1004" s="2177"/>
      <c r="AV1004" s="2186">
        <f t="shared" si="2016"/>
        <v>0</v>
      </c>
      <c r="AW1004" s="2177"/>
      <c r="AX1004" s="2177"/>
      <c r="AY1004" s="2186">
        <f t="shared" si="2017"/>
        <v>0</v>
      </c>
      <c r="AZ1004" s="2177"/>
      <c r="BA1004" s="2177"/>
      <c r="BB1004" s="2186">
        <f t="shared" si="2018"/>
        <v>0</v>
      </c>
      <c r="BC1004" s="2177"/>
      <c r="BD1004" s="2177"/>
      <c r="BE1004" s="2186">
        <f t="shared" si="2019"/>
        <v>0</v>
      </c>
      <c r="BF1004" s="2177"/>
      <c r="BG1004" s="2177"/>
      <c r="BH1004" s="2186">
        <f t="shared" si="2020"/>
        <v>0</v>
      </c>
      <c r="BI1004" s="2177"/>
      <c r="BJ1004" s="2177"/>
      <c r="BK1004" s="2186">
        <f t="shared" si="2021"/>
        <v>0</v>
      </c>
      <c r="BL1004" s="2177"/>
      <c r="BM1004" s="2177"/>
      <c r="BN1004" s="2186">
        <f t="shared" si="2022"/>
        <v>0</v>
      </c>
      <c r="BO1004" s="2177"/>
      <c r="BP1004" s="2177"/>
      <c r="BQ1004" s="2186">
        <f t="shared" si="2023"/>
        <v>0</v>
      </c>
    </row>
    <row r="1005" spans="3:69" s="2087" customFormat="1" ht="12" hidden="1" customHeight="1">
      <c r="C1005" s="2473" t="s">
        <v>3202</v>
      </c>
      <c r="D1005" s="2334" t="s">
        <v>2434</v>
      </c>
      <c r="E1005" s="2250" t="s">
        <v>3015</v>
      </c>
      <c r="F1005" s="2176"/>
      <c r="G1005" s="2177"/>
      <c r="H1005" s="2177"/>
      <c r="I1005" s="2178">
        <f t="shared" si="2004"/>
        <v>0</v>
      </c>
      <c r="J1005" s="2176"/>
      <c r="K1005" s="2179">
        <f>N1005+Q1005+W1005+AC1005</f>
        <v>0</v>
      </c>
      <c r="L1005" s="2179">
        <f>O1005+R1005+X1005+AD1005</f>
        <v>0</v>
      </c>
      <c r="M1005" s="2178">
        <f t="shared" si="2005"/>
        <v>0</v>
      </c>
      <c r="N1005" s="2177"/>
      <c r="O1005" s="2177"/>
      <c r="P1005" s="2178">
        <f t="shared" si="2006"/>
        <v>0</v>
      </c>
      <c r="Q1005" s="2176"/>
      <c r="R1005" s="2177"/>
      <c r="S1005" s="2178">
        <f t="shared" si="2007"/>
        <v>0</v>
      </c>
      <c r="T1005" s="2181">
        <f>N1005+Q1005</f>
        <v>0</v>
      </c>
      <c r="U1005" s="2179">
        <f>O1005+R1005</f>
        <v>0</v>
      </c>
      <c r="V1005" s="2178">
        <f t="shared" si="2008"/>
        <v>0</v>
      </c>
      <c r="W1005" s="2176"/>
      <c r="X1005" s="2177"/>
      <c r="Y1005" s="2178">
        <f t="shared" si="2009"/>
        <v>0</v>
      </c>
      <c r="Z1005" s="2181">
        <f>T1005+W1005</f>
        <v>0</v>
      </c>
      <c r="AA1005" s="2179">
        <f>U1005+X1005</f>
        <v>0</v>
      </c>
      <c r="AB1005" s="2178">
        <f t="shared" si="2010"/>
        <v>0</v>
      </c>
      <c r="AC1005" s="2176"/>
      <c r="AD1005" s="2177"/>
      <c r="AE1005" s="2178">
        <f t="shared" si="2011"/>
        <v>0</v>
      </c>
      <c r="AF1005" s="2204"/>
      <c r="AG1005" s="2114"/>
      <c r="AH1005" s="2177"/>
      <c r="AI1005" s="2177"/>
      <c r="AJ1005" s="2186">
        <f t="shared" si="2012"/>
        <v>0</v>
      </c>
      <c r="AK1005" s="2177"/>
      <c r="AL1005" s="2177"/>
      <c r="AM1005" s="2186">
        <f t="shared" si="2013"/>
        <v>0</v>
      </c>
      <c r="AN1005" s="2177"/>
      <c r="AO1005" s="2177"/>
      <c r="AP1005" s="2186">
        <f t="shared" si="2014"/>
        <v>0</v>
      </c>
      <c r="AQ1005" s="2177"/>
      <c r="AR1005" s="2177"/>
      <c r="AS1005" s="2186">
        <f t="shared" si="2015"/>
        <v>0</v>
      </c>
      <c r="AT1005" s="2177"/>
      <c r="AU1005" s="2177"/>
      <c r="AV1005" s="2186">
        <f t="shared" si="2016"/>
        <v>0</v>
      </c>
      <c r="AW1005" s="2177"/>
      <c r="AX1005" s="2177"/>
      <c r="AY1005" s="2186">
        <f t="shared" si="2017"/>
        <v>0</v>
      </c>
      <c r="AZ1005" s="2177"/>
      <c r="BA1005" s="2177"/>
      <c r="BB1005" s="2186">
        <f t="shared" si="2018"/>
        <v>0</v>
      </c>
      <c r="BC1005" s="2177"/>
      <c r="BD1005" s="2177"/>
      <c r="BE1005" s="2186">
        <f t="shared" si="2019"/>
        <v>0</v>
      </c>
      <c r="BF1005" s="2177"/>
      <c r="BG1005" s="2177"/>
      <c r="BH1005" s="2186">
        <f t="shared" si="2020"/>
        <v>0</v>
      </c>
      <c r="BI1005" s="2177"/>
      <c r="BJ1005" s="2177"/>
      <c r="BK1005" s="2186">
        <f t="shared" si="2021"/>
        <v>0</v>
      </c>
      <c r="BL1005" s="2177"/>
      <c r="BM1005" s="2177"/>
      <c r="BN1005" s="2186">
        <f t="shared" si="2022"/>
        <v>0</v>
      </c>
      <c r="BO1005" s="2177"/>
      <c r="BP1005" s="2177"/>
      <c r="BQ1005" s="2186">
        <f t="shared" si="2023"/>
        <v>0</v>
      </c>
    </row>
    <row r="1006" spans="3:69" s="2087" customFormat="1" ht="12" hidden="1" customHeight="1">
      <c r="C1006" s="2473" t="s">
        <v>3203</v>
      </c>
      <c r="D1006" s="2334" t="s">
        <v>42</v>
      </c>
      <c r="E1006" s="2250" t="s">
        <v>3015</v>
      </c>
      <c r="F1006" s="2176"/>
      <c r="G1006" s="2177"/>
      <c r="H1006" s="2177"/>
      <c r="I1006" s="2178">
        <f t="shared" si="2004"/>
        <v>0</v>
      </c>
      <c r="J1006" s="2176"/>
      <c r="K1006" s="2179">
        <f t="shared" si="1965"/>
        <v>0</v>
      </c>
      <c r="L1006" s="2179">
        <f t="shared" si="1948"/>
        <v>0</v>
      </c>
      <c r="M1006" s="2178">
        <f t="shared" si="2005"/>
        <v>0</v>
      </c>
      <c r="N1006" s="2177"/>
      <c r="O1006" s="2177"/>
      <c r="P1006" s="2178">
        <f t="shared" si="2006"/>
        <v>0</v>
      </c>
      <c r="Q1006" s="2176"/>
      <c r="R1006" s="2177"/>
      <c r="S1006" s="2178">
        <f t="shared" si="2007"/>
        <v>0</v>
      </c>
      <c r="T1006" s="2181">
        <f t="shared" si="2060"/>
        <v>0</v>
      </c>
      <c r="U1006" s="2179">
        <f t="shared" si="2060"/>
        <v>0</v>
      </c>
      <c r="V1006" s="2178">
        <f t="shared" si="2008"/>
        <v>0</v>
      </c>
      <c r="W1006" s="2176"/>
      <c r="X1006" s="2177"/>
      <c r="Y1006" s="2178">
        <f t="shared" si="2009"/>
        <v>0</v>
      </c>
      <c r="Z1006" s="2181">
        <f t="shared" si="2061"/>
        <v>0</v>
      </c>
      <c r="AA1006" s="2179">
        <f t="shared" si="2061"/>
        <v>0</v>
      </c>
      <c r="AB1006" s="2178">
        <f t="shared" si="2010"/>
        <v>0</v>
      </c>
      <c r="AC1006" s="2176"/>
      <c r="AD1006" s="2177"/>
      <c r="AE1006" s="2178">
        <f t="shared" si="2011"/>
        <v>0</v>
      </c>
      <c r="AF1006" s="2204"/>
      <c r="AG1006" s="2114"/>
      <c r="AH1006" s="2177"/>
      <c r="AI1006" s="2177"/>
      <c r="AJ1006" s="2186">
        <f t="shared" si="2012"/>
        <v>0</v>
      </c>
      <c r="AK1006" s="2177"/>
      <c r="AL1006" s="2177"/>
      <c r="AM1006" s="2186">
        <f t="shared" si="2013"/>
        <v>0</v>
      </c>
      <c r="AN1006" s="2177"/>
      <c r="AO1006" s="2177"/>
      <c r="AP1006" s="2186">
        <f t="shared" si="2014"/>
        <v>0</v>
      </c>
      <c r="AQ1006" s="2177"/>
      <c r="AR1006" s="2177"/>
      <c r="AS1006" s="2186">
        <f t="shared" si="2015"/>
        <v>0</v>
      </c>
      <c r="AT1006" s="2177"/>
      <c r="AU1006" s="2177"/>
      <c r="AV1006" s="2186">
        <f t="shared" si="2016"/>
        <v>0</v>
      </c>
      <c r="AW1006" s="2177"/>
      <c r="AX1006" s="2177"/>
      <c r="AY1006" s="2186">
        <f t="shared" si="2017"/>
        <v>0</v>
      </c>
      <c r="AZ1006" s="2177"/>
      <c r="BA1006" s="2177"/>
      <c r="BB1006" s="2186">
        <f t="shared" si="2018"/>
        <v>0</v>
      </c>
      <c r="BC1006" s="2177"/>
      <c r="BD1006" s="2177"/>
      <c r="BE1006" s="2186">
        <f t="shared" si="2019"/>
        <v>0</v>
      </c>
      <c r="BF1006" s="2177"/>
      <c r="BG1006" s="2177"/>
      <c r="BH1006" s="2186">
        <f t="shared" si="2020"/>
        <v>0</v>
      </c>
      <c r="BI1006" s="2177"/>
      <c r="BJ1006" s="2177"/>
      <c r="BK1006" s="2186">
        <f t="shared" si="2021"/>
        <v>0</v>
      </c>
      <c r="BL1006" s="2177"/>
      <c r="BM1006" s="2177"/>
      <c r="BN1006" s="2186">
        <f t="shared" si="2022"/>
        <v>0</v>
      </c>
      <c r="BO1006" s="2177"/>
      <c r="BP1006" s="2177"/>
      <c r="BQ1006" s="2186">
        <f t="shared" si="2023"/>
        <v>0</v>
      </c>
    </row>
    <row r="1007" spans="3:69" s="2087" customFormat="1" ht="12" hidden="1" customHeight="1">
      <c r="C1007" s="2473" t="s">
        <v>3204</v>
      </c>
      <c r="D1007" s="2334" t="s">
        <v>2434</v>
      </c>
      <c r="E1007" s="2250" t="s">
        <v>3015</v>
      </c>
      <c r="F1007" s="2176"/>
      <c r="G1007" s="2177"/>
      <c r="H1007" s="2177"/>
      <c r="I1007" s="2178">
        <f t="shared" si="2004"/>
        <v>0</v>
      </c>
      <c r="J1007" s="2176"/>
      <c r="K1007" s="2179">
        <f>N1007+Q1007+W1007+AC1007</f>
        <v>0</v>
      </c>
      <c r="L1007" s="2179">
        <f>O1007+R1007+X1007+AD1007</f>
        <v>0</v>
      </c>
      <c r="M1007" s="2178">
        <f t="shared" si="2005"/>
        <v>0</v>
      </c>
      <c r="N1007" s="2177"/>
      <c r="O1007" s="2177"/>
      <c r="P1007" s="2178">
        <f t="shared" si="2006"/>
        <v>0</v>
      </c>
      <c r="Q1007" s="2176"/>
      <c r="R1007" s="2177"/>
      <c r="S1007" s="2178">
        <f t="shared" si="2007"/>
        <v>0</v>
      </c>
      <c r="T1007" s="2181">
        <f>N1007+Q1007</f>
        <v>0</v>
      </c>
      <c r="U1007" s="2179">
        <f>O1007+R1007</f>
        <v>0</v>
      </c>
      <c r="V1007" s="2178">
        <f t="shared" si="2008"/>
        <v>0</v>
      </c>
      <c r="W1007" s="2176"/>
      <c r="X1007" s="2177"/>
      <c r="Y1007" s="2178">
        <f t="shared" si="2009"/>
        <v>0</v>
      </c>
      <c r="Z1007" s="2181">
        <f>T1007+W1007</f>
        <v>0</v>
      </c>
      <c r="AA1007" s="2179">
        <f>U1007+X1007</f>
        <v>0</v>
      </c>
      <c r="AB1007" s="2178">
        <f t="shared" si="2010"/>
        <v>0</v>
      </c>
      <c r="AC1007" s="2176"/>
      <c r="AD1007" s="2177"/>
      <c r="AE1007" s="2178">
        <f t="shared" si="2011"/>
        <v>0</v>
      </c>
      <c r="AF1007" s="2204"/>
      <c r="AG1007" s="2114"/>
      <c r="AH1007" s="2177"/>
      <c r="AI1007" s="2177"/>
      <c r="AJ1007" s="2186">
        <f t="shared" si="2012"/>
        <v>0</v>
      </c>
      <c r="AK1007" s="2177"/>
      <c r="AL1007" s="2177"/>
      <c r="AM1007" s="2186">
        <f t="shared" si="2013"/>
        <v>0</v>
      </c>
      <c r="AN1007" s="2177"/>
      <c r="AO1007" s="2177"/>
      <c r="AP1007" s="2186">
        <f t="shared" si="2014"/>
        <v>0</v>
      </c>
      <c r="AQ1007" s="2177"/>
      <c r="AR1007" s="2177"/>
      <c r="AS1007" s="2186">
        <f t="shared" si="2015"/>
        <v>0</v>
      </c>
      <c r="AT1007" s="2177"/>
      <c r="AU1007" s="2177"/>
      <c r="AV1007" s="2186">
        <f t="shared" si="2016"/>
        <v>0</v>
      </c>
      <c r="AW1007" s="2177"/>
      <c r="AX1007" s="2177"/>
      <c r="AY1007" s="2186">
        <f t="shared" si="2017"/>
        <v>0</v>
      </c>
      <c r="AZ1007" s="2177"/>
      <c r="BA1007" s="2177"/>
      <c r="BB1007" s="2186">
        <f t="shared" si="2018"/>
        <v>0</v>
      </c>
      <c r="BC1007" s="2177"/>
      <c r="BD1007" s="2177"/>
      <c r="BE1007" s="2186">
        <f t="shared" si="2019"/>
        <v>0</v>
      </c>
      <c r="BF1007" s="2177"/>
      <c r="BG1007" s="2177"/>
      <c r="BH1007" s="2186">
        <f t="shared" si="2020"/>
        <v>0</v>
      </c>
      <c r="BI1007" s="2177"/>
      <c r="BJ1007" s="2177"/>
      <c r="BK1007" s="2186">
        <f t="shared" si="2021"/>
        <v>0</v>
      </c>
      <c r="BL1007" s="2177"/>
      <c r="BM1007" s="2177"/>
      <c r="BN1007" s="2186">
        <f t="shared" si="2022"/>
        <v>0</v>
      </c>
      <c r="BO1007" s="2177"/>
      <c r="BP1007" s="2177"/>
      <c r="BQ1007" s="2186">
        <f t="shared" si="2023"/>
        <v>0</v>
      </c>
    </row>
    <row r="1008" spans="3:69" s="2159" customFormat="1" ht="12" hidden="1" customHeight="1">
      <c r="C1008" s="2474" t="s">
        <v>3205</v>
      </c>
      <c r="D1008" s="2475" t="s">
        <v>3167</v>
      </c>
      <c r="E1008" s="2471"/>
      <c r="F1008" s="2320"/>
      <c r="G1008" s="2171"/>
      <c r="H1008" s="2171"/>
      <c r="I1008" s="2164">
        <f t="shared" si="2004"/>
        <v>0</v>
      </c>
      <c r="J1008" s="2320"/>
      <c r="K1008" s="2171"/>
      <c r="L1008" s="2171"/>
      <c r="M1008" s="2164">
        <f t="shared" si="2005"/>
        <v>0</v>
      </c>
      <c r="N1008" s="2171"/>
      <c r="O1008" s="2171"/>
      <c r="P1008" s="2164">
        <f t="shared" si="2006"/>
        <v>0</v>
      </c>
      <c r="Q1008" s="2320"/>
      <c r="R1008" s="2171"/>
      <c r="S1008" s="2164">
        <f t="shared" si="2007"/>
        <v>0</v>
      </c>
      <c r="T1008" s="2472"/>
      <c r="U1008" s="2171"/>
      <c r="V1008" s="2164">
        <f t="shared" si="2008"/>
        <v>0</v>
      </c>
      <c r="W1008" s="2320"/>
      <c r="X1008" s="2171"/>
      <c r="Y1008" s="2164">
        <f t="shared" si="2009"/>
        <v>0</v>
      </c>
      <c r="Z1008" s="2472"/>
      <c r="AA1008" s="2171"/>
      <c r="AB1008" s="2164">
        <f t="shared" si="2010"/>
        <v>0</v>
      </c>
      <c r="AC1008" s="2320"/>
      <c r="AD1008" s="2171"/>
      <c r="AE1008" s="2164">
        <f t="shared" si="2011"/>
        <v>0</v>
      </c>
      <c r="AF1008" s="2204"/>
      <c r="AG1008" s="2158"/>
      <c r="AH1008" s="2171"/>
      <c r="AI1008" s="2171"/>
      <c r="AJ1008" s="2172">
        <f t="shared" si="2012"/>
        <v>0</v>
      </c>
      <c r="AK1008" s="2171"/>
      <c r="AL1008" s="2171"/>
      <c r="AM1008" s="2172">
        <f t="shared" si="2013"/>
        <v>0</v>
      </c>
      <c r="AN1008" s="2171"/>
      <c r="AO1008" s="2171"/>
      <c r="AP1008" s="2172">
        <f t="shared" si="2014"/>
        <v>0</v>
      </c>
      <c r="AQ1008" s="2171"/>
      <c r="AR1008" s="2171"/>
      <c r="AS1008" s="2172">
        <f t="shared" si="2015"/>
        <v>0</v>
      </c>
      <c r="AT1008" s="2171"/>
      <c r="AU1008" s="2171"/>
      <c r="AV1008" s="2172">
        <f t="shared" si="2016"/>
        <v>0</v>
      </c>
      <c r="AW1008" s="2171"/>
      <c r="AX1008" s="2171"/>
      <c r="AY1008" s="2172">
        <f t="shared" si="2017"/>
        <v>0</v>
      </c>
      <c r="AZ1008" s="2171"/>
      <c r="BA1008" s="2171"/>
      <c r="BB1008" s="2172">
        <f t="shared" si="2018"/>
        <v>0</v>
      </c>
      <c r="BC1008" s="2171"/>
      <c r="BD1008" s="2171"/>
      <c r="BE1008" s="2172">
        <f t="shared" si="2019"/>
        <v>0</v>
      </c>
      <c r="BF1008" s="2171"/>
      <c r="BG1008" s="2171"/>
      <c r="BH1008" s="2172">
        <f t="shared" si="2020"/>
        <v>0</v>
      </c>
      <c r="BI1008" s="2171"/>
      <c r="BJ1008" s="2171"/>
      <c r="BK1008" s="2172">
        <f t="shared" si="2021"/>
        <v>0</v>
      </c>
      <c r="BL1008" s="2171"/>
      <c r="BM1008" s="2171"/>
      <c r="BN1008" s="2172">
        <f t="shared" si="2022"/>
        <v>0</v>
      </c>
      <c r="BO1008" s="2171"/>
      <c r="BP1008" s="2171"/>
      <c r="BQ1008" s="2172">
        <f t="shared" si="2023"/>
        <v>0</v>
      </c>
    </row>
    <row r="1009" spans="3:69" s="2087" customFormat="1" ht="12" hidden="1" customHeight="1">
      <c r="C1009" s="2423" t="s">
        <v>3206</v>
      </c>
      <c r="D1009" s="2421" t="s">
        <v>3187</v>
      </c>
      <c r="E1009" s="2250" t="s">
        <v>3046</v>
      </c>
      <c r="F1009" s="2176"/>
      <c r="G1009" s="2179">
        <f>G1010+G1012+G1014</f>
        <v>0</v>
      </c>
      <c r="H1009" s="2179">
        <f>H1010+H1012+H1014</f>
        <v>0</v>
      </c>
      <c r="I1009" s="2178">
        <f t="shared" si="2004"/>
        <v>0</v>
      </c>
      <c r="J1009" s="2176"/>
      <c r="K1009" s="2179">
        <f t="shared" si="1965"/>
        <v>0</v>
      </c>
      <c r="L1009" s="2179">
        <f t="shared" si="1948"/>
        <v>0</v>
      </c>
      <c r="M1009" s="2178">
        <f t="shared" si="2005"/>
        <v>0</v>
      </c>
      <c r="N1009" s="2179">
        <f>N1010+N1012+N1014</f>
        <v>0</v>
      </c>
      <c r="O1009" s="2179">
        <f>O1010+O1012+O1014</f>
        <v>0</v>
      </c>
      <c r="P1009" s="2178">
        <f t="shared" si="2006"/>
        <v>0</v>
      </c>
      <c r="Q1009" s="2179">
        <f>Q1010+Q1012+Q1014</f>
        <v>0</v>
      </c>
      <c r="R1009" s="2179">
        <f>R1010+R1012+R1014</f>
        <v>0</v>
      </c>
      <c r="S1009" s="2178">
        <f t="shared" si="2007"/>
        <v>0</v>
      </c>
      <c r="T1009" s="2181">
        <f t="shared" ref="T1009:U1024" si="2062">N1009+Q1009</f>
        <v>0</v>
      </c>
      <c r="U1009" s="2179">
        <f t="shared" si="2062"/>
        <v>0</v>
      </c>
      <c r="V1009" s="2178">
        <f t="shared" si="2008"/>
        <v>0</v>
      </c>
      <c r="W1009" s="2179">
        <f>W1010+W1012+W1014</f>
        <v>0</v>
      </c>
      <c r="X1009" s="2179">
        <f>X1010+X1012+X1014</f>
        <v>0</v>
      </c>
      <c r="Y1009" s="2178">
        <f t="shared" si="2009"/>
        <v>0</v>
      </c>
      <c r="Z1009" s="2181">
        <f t="shared" ref="Z1009:AA1024" si="2063">T1009+W1009</f>
        <v>0</v>
      </c>
      <c r="AA1009" s="2179">
        <f t="shared" si="2063"/>
        <v>0</v>
      </c>
      <c r="AB1009" s="2178">
        <f t="shared" si="2010"/>
        <v>0</v>
      </c>
      <c r="AC1009" s="2179">
        <f>AC1010+AC1012+AC1014</f>
        <v>0</v>
      </c>
      <c r="AD1009" s="2179">
        <f>AD1010+AD1012+AD1014</f>
        <v>0</v>
      </c>
      <c r="AE1009" s="2178">
        <f t="shared" si="2011"/>
        <v>0</v>
      </c>
      <c r="AF1009" s="2204"/>
      <c r="AG1009" s="2114"/>
      <c r="AH1009" s="2188">
        <f>AH1010+AH1012+AH1014</f>
        <v>0</v>
      </c>
      <c r="AI1009" s="2188">
        <f>AI1010+AI1012+AI1014</f>
        <v>0</v>
      </c>
      <c r="AJ1009" s="2186">
        <f t="shared" si="2012"/>
        <v>0</v>
      </c>
      <c r="AK1009" s="2188">
        <f>AK1010+AK1012+AK1014</f>
        <v>0</v>
      </c>
      <c r="AL1009" s="2188">
        <f>AL1010+AL1012+AL1014</f>
        <v>0</v>
      </c>
      <c r="AM1009" s="2186">
        <f t="shared" si="2013"/>
        <v>0</v>
      </c>
      <c r="AN1009" s="2188">
        <f>AN1010+AN1012+AN1014</f>
        <v>0</v>
      </c>
      <c r="AO1009" s="2188">
        <f>AO1010+AO1012+AO1014</f>
        <v>0</v>
      </c>
      <c r="AP1009" s="2186">
        <f t="shared" si="2014"/>
        <v>0</v>
      </c>
      <c r="AQ1009" s="2188">
        <f>AQ1010+AQ1012+AQ1014</f>
        <v>0</v>
      </c>
      <c r="AR1009" s="2188">
        <f>AR1010+AR1012+AR1014</f>
        <v>0</v>
      </c>
      <c r="AS1009" s="2186">
        <f t="shared" si="2015"/>
        <v>0</v>
      </c>
      <c r="AT1009" s="2188">
        <f>AT1010+AT1012+AT1014</f>
        <v>0</v>
      </c>
      <c r="AU1009" s="2188">
        <f>AU1010+AU1012+AU1014</f>
        <v>0</v>
      </c>
      <c r="AV1009" s="2186">
        <f t="shared" si="2016"/>
        <v>0</v>
      </c>
      <c r="AW1009" s="2188">
        <f>AW1010+AW1012+AW1014</f>
        <v>0</v>
      </c>
      <c r="AX1009" s="2188">
        <f>AX1010+AX1012+AX1014</f>
        <v>0</v>
      </c>
      <c r="AY1009" s="2186">
        <f t="shared" si="2017"/>
        <v>0</v>
      </c>
      <c r="AZ1009" s="2188">
        <f>AZ1010+AZ1012+AZ1014</f>
        <v>0</v>
      </c>
      <c r="BA1009" s="2188">
        <f>BA1010+BA1012+BA1014</f>
        <v>0</v>
      </c>
      <c r="BB1009" s="2186">
        <f t="shared" si="2018"/>
        <v>0</v>
      </c>
      <c r="BC1009" s="2188">
        <f>BC1010+BC1012+BC1014</f>
        <v>0</v>
      </c>
      <c r="BD1009" s="2188">
        <f>BD1010+BD1012+BD1014</f>
        <v>0</v>
      </c>
      <c r="BE1009" s="2186">
        <f t="shared" si="2019"/>
        <v>0</v>
      </c>
      <c r="BF1009" s="2188">
        <f>BF1010+BF1012+BF1014</f>
        <v>0</v>
      </c>
      <c r="BG1009" s="2188">
        <f>BG1010+BG1012+BG1014</f>
        <v>0</v>
      </c>
      <c r="BH1009" s="2186">
        <f t="shared" si="2020"/>
        <v>0</v>
      </c>
      <c r="BI1009" s="2188">
        <f>BI1010+BI1012+BI1014</f>
        <v>0</v>
      </c>
      <c r="BJ1009" s="2188">
        <f>BJ1010+BJ1012+BJ1014</f>
        <v>0</v>
      </c>
      <c r="BK1009" s="2186">
        <f t="shared" si="2021"/>
        <v>0</v>
      </c>
      <c r="BL1009" s="2188">
        <f>BL1010+BL1012+BL1014</f>
        <v>0</v>
      </c>
      <c r="BM1009" s="2188">
        <f>BM1010+BM1012+BM1014</f>
        <v>0</v>
      </c>
      <c r="BN1009" s="2186">
        <f t="shared" si="2022"/>
        <v>0</v>
      </c>
      <c r="BO1009" s="2188">
        <f>BO1010+BO1012+BO1014</f>
        <v>0</v>
      </c>
      <c r="BP1009" s="2188">
        <f>BP1010+BP1012+BP1014</f>
        <v>0</v>
      </c>
      <c r="BQ1009" s="2186">
        <f t="shared" si="2023"/>
        <v>0</v>
      </c>
    </row>
    <row r="1010" spans="3:69" s="2087" customFormat="1" ht="12" hidden="1" customHeight="1">
      <c r="C1010" s="2473" t="s">
        <v>3207</v>
      </c>
      <c r="D1010" s="2334" t="s">
        <v>28</v>
      </c>
      <c r="E1010" s="2250" t="s">
        <v>3046</v>
      </c>
      <c r="F1010" s="2176"/>
      <c r="G1010" s="2177"/>
      <c r="H1010" s="2177"/>
      <c r="I1010" s="2178">
        <f t="shared" si="2004"/>
        <v>0</v>
      </c>
      <c r="J1010" s="2176"/>
      <c r="K1010" s="2179">
        <f t="shared" si="1965"/>
        <v>0</v>
      </c>
      <c r="L1010" s="2179">
        <f t="shared" si="1948"/>
        <v>0</v>
      </c>
      <c r="M1010" s="2178">
        <f t="shared" si="2005"/>
        <v>0</v>
      </c>
      <c r="N1010" s="2177"/>
      <c r="O1010" s="2177"/>
      <c r="P1010" s="2178">
        <f t="shared" si="2006"/>
        <v>0</v>
      </c>
      <c r="Q1010" s="2176"/>
      <c r="R1010" s="2177"/>
      <c r="S1010" s="2178">
        <f t="shared" si="2007"/>
        <v>0</v>
      </c>
      <c r="T1010" s="2181">
        <f t="shared" si="2062"/>
        <v>0</v>
      </c>
      <c r="U1010" s="2179">
        <f t="shared" si="2062"/>
        <v>0</v>
      </c>
      <c r="V1010" s="2178">
        <f t="shared" si="2008"/>
        <v>0</v>
      </c>
      <c r="W1010" s="2176"/>
      <c r="X1010" s="2177"/>
      <c r="Y1010" s="2178">
        <f t="shared" si="2009"/>
        <v>0</v>
      </c>
      <c r="Z1010" s="2181">
        <f t="shared" si="2063"/>
        <v>0</v>
      </c>
      <c r="AA1010" s="2179">
        <f t="shared" si="2063"/>
        <v>0</v>
      </c>
      <c r="AB1010" s="2178">
        <f t="shared" si="2010"/>
        <v>0</v>
      </c>
      <c r="AC1010" s="2176"/>
      <c r="AD1010" s="2177"/>
      <c r="AE1010" s="2178">
        <f t="shared" si="2011"/>
        <v>0</v>
      </c>
      <c r="AF1010" s="2204"/>
      <c r="AG1010" s="2114"/>
      <c r="AH1010" s="2177"/>
      <c r="AI1010" s="2177"/>
      <c r="AJ1010" s="2186">
        <f t="shared" si="2012"/>
        <v>0</v>
      </c>
      <c r="AK1010" s="2177"/>
      <c r="AL1010" s="2177"/>
      <c r="AM1010" s="2186">
        <f t="shared" si="2013"/>
        <v>0</v>
      </c>
      <c r="AN1010" s="2177"/>
      <c r="AO1010" s="2177"/>
      <c r="AP1010" s="2186">
        <f t="shared" si="2014"/>
        <v>0</v>
      </c>
      <c r="AQ1010" s="2177"/>
      <c r="AR1010" s="2177"/>
      <c r="AS1010" s="2186">
        <f t="shared" si="2015"/>
        <v>0</v>
      </c>
      <c r="AT1010" s="2177"/>
      <c r="AU1010" s="2177"/>
      <c r="AV1010" s="2186">
        <f t="shared" si="2016"/>
        <v>0</v>
      </c>
      <c r="AW1010" s="2177"/>
      <c r="AX1010" s="2177"/>
      <c r="AY1010" s="2186">
        <f t="shared" si="2017"/>
        <v>0</v>
      </c>
      <c r="AZ1010" s="2177"/>
      <c r="BA1010" s="2177"/>
      <c r="BB1010" s="2186">
        <f t="shared" si="2018"/>
        <v>0</v>
      </c>
      <c r="BC1010" s="2177"/>
      <c r="BD1010" s="2177"/>
      <c r="BE1010" s="2186">
        <f t="shared" si="2019"/>
        <v>0</v>
      </c>
      <c r="BF1010" s="2177"/>
      <c r="BG1010" s="2177"/>
      <c r="BH1010" s="2186">
        <f t="shared" si="2020"/>
        <v>0</v>
      </c>
      <c r="BI1010" s="2177"/>
      <c r="BJ1010" s="2177"/>
      <c r="BK1010" s="2186">
        <f t="shared" si="2021"/>
        <v>0</v>
      </c>
      <c r="BL1010" s="2177"/>
      <c r="BM1010" s="2177"/>
      <c r="BN1010" s="2186">
        <f t="shared" si="2022"/>
        <v>0</v>
      </c>
      <c r="BO1010" s="2177"/>
      <c r="BP1010" s="2177"/>
      <c r="BQ1010" s="2186">
        <f t="shared" si="2023"/>
        <v>0</v>
      </c>
    </row>
    <row r="1011" spans="3:69" s="2087" customFormat="1" ht="12" hidden="1" customHeight="1">
      <c r="C1011" s="2473" t="s">
        <v>3208</v>
      </c>
      <c r="D1011" s="2334" t="s">
        <v>2434</v>
      </c>
      <c r="E1011" s="2250" t="s">
        <v>3046</v>
      </c>
      <c r="F1011" s="2176"/>
      <c r="G1011" s="2177"/>
      <c r="H1011" s="2177"/>
      <c r="I1011" s="2178">
        <f t="shared" si="2004"/>
        <v>0</v>
      </c>
      <c r="J1011" s="2176"/>
      <c r="K1011" s="2179">
        <f>N1011+Q1011+W1011+AC1011</f>
        <v>0</v>
      </c>
      <c r="L1011" s="2179">
        <f>O1011+R1011+X1011+AD1011</f>
        <v>0</v>
      </c>
      <c r="M1011" s="2178">
        <f t="shared" si="2005"/>
        <v>0</v>
      </c>
      <c r="N1011" s="2177"/>
      <c r="O1011" s="2177"/>
      <c r="P1011" s="2178">
        <f t="shared" si="2006"/>
        <v>0</v>
      </c>
      <c r="Q1011" s="2176"/>
      <c r="R1011" s="2177"/>
      <c r="S1011" s="2178">
        <f t="shared" si="2007"/>
        <v>0</v>
      </c>
      <c r="T1011" s="2181">
        <f>N1011+Q1011</f>
        <v>0</v>
      </c>
      <c r="U1011" s="2179">
        <f>O1011+R1011</f>
        <v>0</v>
      </c>
      <c r="V1011" s="2178">
        <f t="shared" si="2008"/>
        <v>0</v>
      </c>
      <c r="W1011" s="2176"/>
      <c r="X1011" s="2177"/>
      <c r="Y1011" s="2178">
        <f t="shared" si="2009"/>
        <v>0</v>
      </c>
      <c r="Z1011" s="2181">
        <f>T1011+W1011</f>
        <v>0</v>
      </c>
      <c r="AA1011" s="2179">
        <f>U1011+X1011</f>
        <v>0</v>
      </c>
      <c r="AB1011" s="2178">
        <f t="shared" si="2010"/>
        <v>0</v>
      </c>
      <c r="AC1011" s="2176"/>
      <c r="AD1011" s="2177"/>
      <c r="AE1011" s="2178">
        <f t="shared" si="2011"/>
        <v>0</v>
      </c>
      <c r="AF1011" s="2204"/>
      <c r="AG1011" s="2114"/>
      <c r="AH1011" s="2177"/>
      <c r="AI1011" s="2177"/>
      <c r="AJ1011" s="2186">
        <f t="shared" si="2012"/>
        <v>0</v>
      </c>
      <c r="AK1011" s="2177"/>
      <c r="AL1011" s="2177"/>
      <c r="AM1011" s="2186">
        <f t="shared" si="2013"/>
        <v>0</v>
      </c>
      <c r="AN1011" s="2177"/>
      <c r="AO1011" s="2177"/>
      <c r="AP1011" s="2186">
        <f t="shared" si="2014"/>
        <v>0</v>
      </c>
      <c r="AQ1011" s="2177"/>
      <c r="AR1011" s="2177"/>
      <c r="AS1011" s="2186">
        <f t="shared" si="2015"/>
        <v>0</v>
      </c>
      <c r="AT1011" s="2177"/>
      <c r="AU1011" s="2177"/>
      <c r="AV1011" s="2186">
        <f t="shared" si="2016"/>
        <v>0</v>
      </c>
      <c r="AW1011" s="2177"/>
      <c r="AX1011" s="2177"/>
      <c r="AY1011" s="2186">
        <f t="shared" si="2017"/>
        <v>0</v>
      </c>
      <c r="AZ1011" s="2177"/>
      <c r="BA1011" s="2177"/>
      <c r="BB1011" s="2186">
        <f t="shared" si="2018"/>
        <v>0</v>
      </c>
      <c r="BC1011" s="2177"/>
      <c r="BD1011" s="2177"/>
      <c r="BE1011" s="2186">
        <f t="shared" si="2019"/>
        <v>0</v>
      </c>
      <c r="BF1011" s="2177"/>
      <c r="BG1011" s="2177"/>
      <c r="BH1011" s="2186">
        <f t="shared" si="2020"/>
        <v>0</v>
      </c>
      <c r="BI1011" s="2177"/>
      <c r="BJ1011" s="2177"/>
      <c r="BK1011" s="2186">
        <f t="shared" si="2021"/>
        <v>0</v>
      </c>
      <c r="BL1011" s="2177"/>
      <c r="BM1011" s="2177"/>
      <c r="BN1011" s="2186">
        <f t="shared" si="2022"/>
        <v>0</v>
      </c>
      <c r="BO1011" s="2177"/>
      <c r="BP1011" s="2177"/>
      <c r="BQ1011" s="2186">
        <f t="shared" si="2023"/>
        <v>0</v>
      </c>
    </row>
    <row r="1012" spans="3:69" s="2087" customFormat="1" ht="12" hidden="1" customHeight="1">
      <c r="C1012" s="2473" t="s">
        <v>3209</v>
      </c>
      <c r="D1012" s="2334" t="s">
        <v>2872</v>
      </c>
      <c r="E1012" s="2250" t="s">
        <v>3046</v>
      </c>
      <c r="F1012" s="2176"/>
      <c r="G1012" s="2177"/>
      <c r="H1012" s="2177"/>
      <c r="I1012" s="2178">
        <f t="shared" si="2004"/>
        <v>0</v>
      </c>
      <c r="J1012" s="2176"/>
      <c r="K1012" s="2179">
        <f t="shared" si="1965"/>
        <v>0</v>
      </c>
      <c r="L1012" s="2179">
        <f t="shared" si="1948"/>
        <v>0</v>
      </c>
      <c r="M1012" s="2178">
        <f t="shared" si="2005"/>
        <v>0</v>
      </c>
      <c r="N1012" s="2177"/>
      <c r="O1012" s="2177"/>
      <c r="P1012" s="2178">
        <f t="shared" si="2006"/>
        <v>0</v>
      </c>
      <c r="Q1012" s="2176"/>
      <c r="R1012" s="2177"/>
      <c r="S1012" s="2178">
        <f t="shared" si="2007"/>
        <v>0</v>
      </c>
      <c r="T1012" s="2181">
        <f t="shared" si="2062"/>
        <v>0</v>
      </c>
      <c r="U1012" s="2179">
        <f t="shared" si="2062"/>
        <v>0</v>
      </c>
      <c r="V1012" s="2178">
        <f t="shared" si="2008"/>
        <v>0</v>
      </c>
      <c r="W1012" s="2176"/>
      <c r="X1012" s="2177"/>
      <c r="Y1012" s="2178">
        <f t="shared" si="2009"/>
        <v>0</v>
      </c>
      <c r="Z1012" s="2181">
        <f t="shared" si="2063"/>
        <v>0</v>
      </c>
      <c r="AA1012" s="2179">
        <f t="shared" si="2063"/>
        <v>0</v>
      </c>
      <c r="AB1012" s="2178">
        <f t="shared" si="2010"/>
        <v>0</v>
      </c>
      <c r="AC1012" s="2176"/>
      <c r="AD1012" s="2177"/>
      <c r="AE1012" s="2178">
        <f t="shared" si="2011"/>
        <v>0</v>
      </c>
      <c r="AF1012" s="2204"/>
      <c r="AG1012" s="2114"/>
      <c r="AH1012" s="2177"/>
      <c r="AI1012" s="2177"/>
      <c r="AJ1012" s="2186">
        <f t="shared" si="2012"/>
        <v>0</v>
      </c>
      <c r="AK1012" s="2177"/>
      <c r="AL1012" s="2177"/>
      <c r="AM1012" s="2186">
        <f t="shared" si="2013"/>
        <v>0</v>
      </c>
      <c r="AN1012" s="2177"/>
      <c r="AO1012" s="2177"/>
      <c r="AP1012" s="2186">
        <f t="shared" si="2014"/>
        <v>0</v>
      </c>
      <c r="AQ1012" s="2177"/>
      <c r="AR1012" s="2177"/>
      <c r="AS1012" s="2186">
        <f t="shared" si="2015"/>
        <v>0</v>
      </c>
      <c r="AT1012" s="2177"/>
      <c r="AU1012" s="2177"/>
      <c r="AV1012" s="2186">
        <f t="shared" si="2016"/>
        <v>0</v>
      </c>
      <c r="AW1012" s="2177"/>
      <c r="AX1012" s="2177"/>
      <c r="AY1012" s="2186">
        <f t="shared" si="2017"/>
        <v>0</v>
      </c>
      <c r="AZ1012" s="2177"/>
      <c r="BA1012" s="2177"/>
      <c r="BB1012" s="2186">
        <f t="shared" si="2018"/>
        <v>0</v>
      </c>
      <c r="BC1012" s="2177"/>
      <c r="BD1012" s="2177"/>
      <c r="BE1012" s="2186">
        <f t="shared" si="2019"/>
        <v>0</v>
      </c>
      <c r="BF1012" s="2177"/>
      <c r="BG1012" s="2177"/>
      <c r="BH1012" s="2186">
        <f t="shared" si="2020"/>
        <v>0</v>
      </c>
      <c r="BI1012" s="2177"/>
      <c r="BJ1012" s="2177"/>
      <c r="BK1012" s="2186">
        <f t="shared" si="2021"/>
        <v>0</v>
      </c>
      <c r="BL1012" s="2177"/>
      <c r="BM1012" s="2177"/>
      <c r="BN1012" s="2186">
        <f t="shared" si="2022"/>
        <v>0</v>
      </c>
      <c r="BO1012" s="2177"/>
      <c r="BP1012" s="2177"/>
      <c r="BQ1012" s="2186">
        <f t="shared" si="2023"/>
        <v>0</v>
      </c>
    </row>
    <row r="1013" spans="3:69" s="2087" customFormat="1" ht="12" hidden="1" customHeight="1">
      <c r="C1013" s="2473" t="s">
        <v>3210</v>
      </c>
      <c r="D1013" s="2334" t="s">
        <v>2434</v>
      </c>
      <c r="E1013" s="2250" t="s">
        <v>3046</v>
      </c>
      <c r="F1013" s="2176"/>
      <c r="G1013" s="2177"/>
      <c r="H1013" s="2177"/>
      <c r="I1013" s="2178">
        <f t="shared" si="2004"/>
        <v>0</v>
      </c>
      <c r="J1013" s="2176"/>
      <c r="K1013" s="2179">
        <f>N1013+Q1013+W1013+AC1013</f>
        <v>0</v>
      </c>
      <c r="L1013" s="2179">
        <f>O1013+R1013+X1013+AD1013</f>
        <v>0</v>
      </c>
      <c r="M1013" s="2178">
        <f t="shared" si="2005"/>
        <v>0</v>
      </c>
      <c r="N1013" s="2177"/>
      <c r="O1013" s="2177"/>
      <c r="P1013" s="2178">
        <f t="shared" si="2006"/>
        <v>0</v>
      </c>
      <c r="Q1013" s="2176"/>
      <c r="R1013" s="2177"/>
      <c r="S1013" s="2178">
        <f t="shared" si="2007"/>
        <v>0</v>
      </c>
      <c r="T1013" s="2181">
        <f>N1013+Q1013</f>
        <v>0</v>
      </c>
      <c r="U1013" s="2179">
        <f>O1013+R1013</f>
        <v>0</v>
      </c>
      <c r="V1013" s="2178">
        <f t="shared" si="2008"/>
        <v>0</v>
      </c>
      <c r="W1013" s="2176"/>
      <c r="X1013" s="2177"/>
      <c r="Y1013" s="2178">
        <f t="shared" si="2009"/>
        <v>0</v>
      </c>
      <c r="Z1013" s="2181">
        <f>T1013+W1013</f>
        <v>0</v>
      </c>
      <c r="AA1013" s="2179">
        <f>U1013+X1013</f>
        <v>0</v>
      </c>
      <c r="AB1013" s="2178">
        <f t="shared" si="2010"/>
        <v>0</v>
      </c>
      <c r="AC1013" s="2176"/>
      <c r="AD1013" s="2177"/>
      <c r="AE1013" s="2178">
        <f t="shared" si="2011"/>
        <v>0</v>
      </c>
      <c r="AF1013" s="2204"/>
      <c r="AG1013" s="2114"/>
      <c r="AH1013" s="2177"/>
      <c r="AI1013" s="2177"/>
      <c r="AJ1013" s="2186">
        <f t="shared" si="2012"/>
        <v>0</v>
      </c>
      <c r="AK1013" s="2177"/>
      <c r="AL1013" s="2177"/>
      <c r="AM1013" s="2186">
        <f t="shared" si="2013"/>
        <v>0</v>
      </c>
      <c r="AN1013" s="2177"/>
      <c r="AO1013" s="2177"/>
      <c r="AP1013" s="2186">
        <f t="shared" si="2014"/>
        <v>0</v>
      </c>
      <c r="AQ1013" s="2177"/>
      <c r="AR1013" s="2177"/>
      <c r="AS1013" s="2186">
        <f t="shared" si="2015"/>
        <v>0</v>
      </c>
      <c r="AT1013" s="2177"/>
      <c r="AU1013" s="2177"/>
      <c r="AV1013" s="2186">
        <f t="shared" si="2016"/>
        <v>0</v>
      </c>
      <c r="AW1013" s="2177"/>
      <c r="AX1013" s="2177"/>
      <c r="AY1013" s="2186">
        <f t="shared" si="2017"/>
        <v>0</v>
      </c>
      <c r="AZ1013" s="2177"/>
      <c r="BA1013" s="2177"/>
      <c r="BB1013" s="2186">
        <f t="shared" si="2018"/>
        <v>0</v>
      </c>
      <c r="BC1013" s="2177"/>
      <c r="BD1013" s="2177"/>
      <c r="BE1013" s="2186">
        <f t="shared" si="2019"/>
        <v>0</v>
      </c>
      <c r="BF1013" s="2177"/>
      <c r="BG1013" s="2177"/>
      <c r="BH1013" s="2186">
        <f t="shared" si="2020"/>
        <v>0</v>
      </c>
      <c r="BI1013" s="2177"/>
      <c r="BJ1013" s="2177"/>
      <c r="BK1013" s="2186">
        <f t="shared" si="2021"/>
        <v>0</v>
      </c>
      <c r="BL1013" s="2177"/>
      <c r="BM1013" s="2177"/>
      <c r="BN1013" s="2186">
        <f t="shared" si="2022"/>
        <v>0</v>
      </c>
      <c r="BO1013" s="2177"/>
      <c r="BP1013" s="2177"/>
      <c r="BQ1013" s="2186">
        <f t="shared" si="2023"/>
        <v>0</v>
      </c>
    </row>
    <row r="1014" spans="3:69" s="2087" customFormat="1" ht="12" hidden="1" customHeight="1">
      <c r="C1014" s="2473" t="s">
        <v>3211</v>
      </c>
      <c r="D1014" s="2334" t="s">
        <v>42</v>
      </c>
      <c r="E1014" s="2250" t="s">
        <v>3046</v>
      </c>
      <c r="F1014" s="2176"/>
      <c r="G1014" s="2177"/>
      <c r="H1014" s="2177"/>
      <c r="I1014" s="2178">
        <f t="shared" si="2004"/>
        <v>0</v>
      </c>
      <c r="J1014" s="2176"/>
      <c r="K1014" s="2179">
        <f t="shared" si="1965"/>
        <v>0</v>
      </c>
      <c r="L1014" s="2179">
        <f t="shared" si="1948"/>
        <v>0</v>
      </c>
      <c r="M1014" s="2178">
        <f t="shared" si="2005"/>
        <v>0</v>
      </c>
      <c r="N1014" s="2177"/>
      <c r="O1014" s="2177"/>
      <c r="P1014" s="2178">
        <f t="shared" si="2006"/>
        <v>0</v>
      </c>
      <c r="Q1014" s="2176"/>
      <c r="R1014" s="2177"/>
      <c r="S1014" s="2178">
        <f t="shared" si="2007"/>
        <v>0</v>
      </c>
      <c r="T1014" s="2181">
        <f t="shared" si="2062"/>
        <v>0</v>
      </c>
      <c r="U1014" s="2179">
        <f t="shared" si="2062"/>
        <v>0</v>
      </c>
      <c r="V1014" s="2178">
        <f t="shared" si="2008"/>
        <v>0</v>
      </c>
      <c r="W1014" s="2176"/>
      <c r="X1014" s="2177"/>
      <c r="Y1014" s="2178">
        <f t="shared" si="2009"/>
        <v>0</v>
      </c>
      <c r="Z1014" s="2181">
        <f t="shared" si="2063"/>
        <v>0</v>
      </c>
      <c r="AA1014" s="2179">
        <f t="shared" si="2063"/>
        <v>0</v>
      </c>
      <c r="AB1014" s="2178">
        <f t="shared" si="2010"/>
        <v>0</v>
      </c>
      <c r="AC1014" s="2176"/>
      <c r="AD1014" s="2177"/>
      <c r="AE1014" s="2178">
        <f t="shared" si="2011"/>
        <v>0</v>
      </c>
      <c r="AF1014" s="2204"/>
      <c r="AG1014" s="2114"/>
      <c r="AH1014" s="2177"/>
      <c r="AI1014" s="2177"/>
      <c r="AJ1014" s="2186">
        <f t="shared" si="2012"/>
        <v>0</v>
      </c>
      <c r="AK1014" s="2177"/>
      <c r="AL1014" s="2177"/>
      <c r="AM1014" s="2186">
        <f t="shared" si="2013"/>
        <v>0</v>
      </c>
      <c r="AN1014" s="2177"/>
      <c r="AO1014" s="2177"/>
      <c r="AP1014" s="2186">
        <f t="shared" si="2014"/>
        <v>0</v>
      </c>
      <c r="AQ1014" s="2177"/>
      <c r="AR1014" s="2177"/>
      <c r="AS1014" s="2186">
        <f t="shared" si="2015"/>
        <v>0</v>
      </c>
      <c r="AT1014" s="2177"/>
      <c r="AU1014" s="2177"/>
      <c r="AV1014" s="2186">
        <f t="shared" si="2016"/>
        <v>0</v>
      </c>
      <c r="AW1014" s="2177"/>
      <c r="AX1014" s="2177"/>
      <c r="AY1014" s="2186">
        <f t="shared" si="2017"/>
        <v>0</v>
      </c>
      <c r="AZ1014" s="2177"/>
      <c r="BA1014" s="2177"/>
      <c r="BB1014" s="2186">
        <f t="shared" si="2018"/>
        <v>0</v>
      </c>
      <c r="BC1014" s="2177"/>
      <c r="BD1014" s="2177"/>
      <c r="BE1014" s="2186">
        <f t="shared" si="2019"/>
        <v>0</v>
      </c>
      <c r="BF1014" s="2177"/>
      <c r="BG1014" s="2177"/>
      <c r="BH1014" s="2186">
        <f t="shared" si="2020"/>
        <v>0</v>
      </c>
      <c r="BI1014" s="2177"/>
      <c r="BJ1014" s="2177"/>
      <c r="BK1014" s="2186">
        <f t="shared" si="2021"/>
        <v>0</v>
      </c>
      <c r="BL1014" s="2177"/>
      <c r="BM1014" s="2177"/>
      <c r="BN1014" s="2186">
        <f t="shared" si="2022"/>
        <v>0</v>
      </c>
      <c r="BO1014" s="2177"/>
      <c r="BP1014" s="2177"/>
      <c r="BQ1014" s="2186">
        <f t="shared" si="2023"/>
        <v>0</v>
      </c>
    </row>
    <row r="1015" spans="3:69" s="2087" customFormat="1" ht="12" hidden="1" customHeight="1">
      <c r="C1015" s="2473" t="s">
        <v>3212</v>
      </c>
      <c r="D1015" s="2334" t="s">
        <v>2434</v>
      </c>
      <c r="E1015" s="2250" t="s">
        <v>3046</v>
      </c>
      <c r="F1015" s="2176"/>
      <c r="G1015" s="2177"/>
      <c r="H1015" s="2177"/>
      <c r="I1015" s="2178">
        <f t="shared" si="2004"/>
        <v>0</v>
      </c>
      <c r="J1015" s="2176"/>
      <c r="K1015" s="2179">
        <f>N1015+Q1015+W1015+AC1015</f>
        <v>0</v>
      </c>
      <c r="L1015" s="2179">
        <f>O1015+R1015+X1015+AD1015</f>
        <v>0</v>
      </c>
      <c r="M1015" s="2178">
        <f t="shared" si="2005"/>
        <v>0</v>
      </c>
      <c r="N1015" s="2177"/>
      <c r="O1015" s="2177"/>
      <c r="P1015" s="2178">
        <f t="shared" si="2006"/>
        <v>0</v>
      </c>
      <c r="Q1015" s="2176"/>
      <c r="R1015" s="2177"/>
      <c r="S1015" s="2178">
        <f t="shared" si="2007"/>
        <v>0</v>
      </c>
      <c r="T1015" s="2181">
        <f>N1015+Q1015</f>
        <v>0</v>
      </c>
      <c r="U1015" s="2179">
        <f>O1015+R1015</f>
        <v>0</v>
      </c>
      <c r="V1015" s="2178">
        <f t="shared" si="2008"/>
        <v>0</v>
      </c>
      <c r="W1015" s="2176"/>
      <c r="X1015" s="2177"/>
      <c r="Y1015" s="2178">
        <f t="shared" si="2009"/>
        <v>0</v>
      </c>
      <c r="Z1015" s="2181">
        <f>T1015+W1015</f>
        <v>0</v>
      </c>
      <c r="AA1015" s="2179">
        <f>U1015+X1015</f>
        <v>0</v>
      </c>
      <c r="AB1015" s="2178">
        <f t="shared" si="2010"/>
        <v>0</v>
      </c>
      <c r="AC1015" s="2176"/>
      <c r="AD1015" s="2177"/>
      <c r="AE1015" s="2178">
        <f t="shared" si="2011"/>
        <v>0</v>
      </c>
      <c r="AF1015" s="2204"/>
      <c r="AG1015" s="2114"/>
      <c r="AH1015" s="2177"/>
      <c r="AI1015" s="2177"/>
      <c r="AJ1015" s="2186">
        <f t="shared" si="2012"/>
        <v>0</v>
      </c>
      <c r="AK1015" s="2177"/>
      <c r="AL1015" s="2177"/>
      <c r="AM1015" s="2186">
        <f t="shared" si="2013"/>
        <v>0</v>
      </c>
      <c r="AN1015" s="2177"/>
      <c r="AO1015" s="2177"/>
      <c r="AP1015" s="2186">
        <f t="shared" si="2014"/>
        <v>0</v>
      </c>
      <c r="AQ1015" s="2177"/>
      <c r="AR1015" s="2177"/>
      <c r="AS1015" s="2186">
        <f t="shared" si="2015"/>
        <v>0</v>
      </c>
      <c r="AT1015" s="2177"/>
      <c r="AU1015" s="2177"/>
      <c r="AV1015" s="2186">
        <f t="shared" si="2016"/>
        <v>0</v>
      </c>
      <c r="AW1015" s="2177"/>
      <c r="AX1015" s="2177"/>
      <c r="AY1015" s="2186">
        <f t="shared" si="2017"/>
        <v>0</v>
      </c>
      <c r="AZ1015" s="2177"/>
      <c r="BA1015" s="2177"/>
      <c r="BB1015" s="2186">
        <f t="shared" si="2018"/>
        <v>0</v>
      </c>
      <c r="BC1015" s="2177"/>
      <c r="BD1015" s="2177"/>
      <c r="BE1015" s="2186">
        <f t="shared" si="2019"/>
        <v>0</v>
      </c>
      <c r="BF1015" s="2177"/>
      <c r="BG1015" s="2177"/>
      <c r="BH1015" s="2186">
        <f t="shared" si="2020"/>
        <v>0</v>
      </c>
      <c r="BI1015" s="2177"/>
      <c r="BJ1015" s="2177"/>
      <c r="BK1015" s="2186">
        <f t="shared" si="2021"/>
        <v>0</v>
      </c>
      <c r="BL1015" s="2177"/>
      <c r="BM1015" s="2177"/>
      <c r="BN1015" s="2186">
        <f t="shared" si="2022"/>
        <v>0</v>
      </c>
      <c r="BO1015" s="2177"/>
      <c r="BP1015" s="2177"/>
      <c r="BQ1015" s="2186">
        <f t="shared" si="2023"/>
        <v>0</v>
      </c>
    </row>
    <row r="1016" spans="3:69" s="2087" customFormat="1" ht="12" hidden="1" customHeight="1">
      <c r="C1016" s="2423" t="s">
        <v>3206</v>
      </c>
      <c r="D1016" s="2421" t="s">
        <v>3151</v>
      </c>
      <c r="E1016" s="2250" t="s">
        <v>3015</v>
      </c>
      <c r="F1016" s="2176"/>
      <c r="G1016" s="2179">
        <f>G1017+G1019+G1021</f>
        <v>0</v>
      </c>
      <c r="H1016" s="2179">
        <f>H1017+H1019+H1021</f>
        <v>0</v>
      </c>
      <c r="I1016" s="2178">
        <f t="shared" si="2004"/>
        <v>0</v>
      </c>
      <c r="J1016" s="2176"/>
      <c r="K1016" s="2179">
        <f t="shared" si="1965"/>
        <v>0</v>
      </c>
      <c r="L1016" s="2179">
        <f t="shared" si="1948"/>
        <v>0</v>
      </c>
      <c r="M1016" s="2178">
        <f t="shared" si="2005"/>
        <v>0</v>
      </c>
      <c r="N1016" s="2179">
        <f>N1017+N1019+N1021</f>
        <v>0</v>
      </c>
      <c r="O1016" s="2179">
        <f>O1017+O1019+O1021</f>
        <v>0</v>
      </c>
      <c r="P1016" s="2178">
        <f t="shared" si="2006"/>
        <v>0</v>
      </c>
      <c r="Q1016" s="2179">
        <f>Q1017+Q1019+Q1021</f>
        <v>0</v>
      </c>
      <c r="R1016" s="2179">
        <f>R1017+R1019+R1021</f>
        <v>0</v>
      </c>
      <c r="S1016" s="2178">
        <f t="shared" si="2007"/>
        <v>0</v>
      </c>
      <c r="T1016" s="2181">
        <f t="shared" si="2062"/>
        <v>0</v>
      </c>
      <c r="U1016" s="2179">
        <f t="shared" si="2062"/>
        <v>0</v>
      </c>
      <c r="V1016" s="2178">
        <f t="shared" si="2008"/>
        <v>0</v>
      </c>
      <c r="W1016" s="2179">
        <f>W1017+W1019+W1021</f>
        <v>0</v>
      </c>
      <c r="X1016" s="2179">
        <f>X1017+X1019+X1021</f>
        <v>0</v>
      </c>
      <c r="Y1016" s="2178">
        <f t="shared" si="2009"/>
        <v>0</v>
      </c>
      <c r="Z1016" s="2181">
        <f t="shared" si="2063"/>
        <v>0</v>
      </c>
      <c r="AA1016" s="2179">
        <f t="shared" si="2063"/>
        <v>0</v>
      </c>
      <c r="AB1016" s="2178">
        <f t="shared" si="2010"/>
        <v>0</v>
      </c>
      <c r="AC1016" s="2179">
        <f>AC1017+AC1019+AC1021</f>
        <v>0</v>
      </c>
      <c r="AD1016" s="2179">
        <f>AD1017+AD1019+AD1021</f>
        <v>0</v>
      </c>
      <c r="AE1016" s="2178">
        <f t="shared" si="2011"/>
        <v>0</v>
      </c>
      <c r="AF1016" s="2204"/>
      <c r="AG1016" s="2114"/>
      <c r="AH1016" s="2188">
        <f>AH1017+AH1019+AH1021</f>
        <v>0</v>
      </c>
      <c r="AI1016" s="2188">
        <f>AI1017+AI1019+AI1021</f>
        <v>0</v>
      </c>
      <c r="AJ1016" s="2186">
        <f t="shared" si="2012"/>
        <v>0</v>
      </c>
      <c r="AK1016" s="2188">
        <f>AK1017+AK1019+AK1021</f>
        <v>0</v>
      </c>
      <c r="AL1016" s="2188">
        <f>AL1017+AL1019+AL1021</f>
        <v>0</v>
      </c>
      <c r="AM1016" s="2186">
        <f t="shared" si="2013"/>
        <v>0</v>
      </c>
      <c r="AN1016" s="2188">
        <f>AN1017+AN1019+AN1021</f>
        <v>0</v>
      </c>
      <c r="AO1016" s="2188">
        <f>AO1017+AO1019+AO1021</f>
        <v>0</v>
      </c>
      <c r="AP1016" s="2186">
        <f t="shared" si="2014"/>
        <v>0</v>
      </c>
      <c r="AQ1016" s="2188">
        <f>AQ1017+AQ1019+AQ1021</f>
        <v>0</v>
      </c>
      <c r="AR1016" s="2188">
        <f>AR1017+AR1019+AR1021</f>
        <v>0</v>
      </c>
      <c r="AS1016" s="2186">
        <f t="shared" si="2015"/>
        <v>0</v>
      </c>
      <c r="AT1016" s="2188">
        <f>AT1017+AT1019+AT1021</f>
        <v>0</v>
      </c>
      <c r="AU1016" s="2188">
        <f>AU1017+AU1019+AU1021</f>
        <v>0</v>
      </c>
      <c r="AV1016" s="2186">
        <f t="shared" si="2016"/>
        <v>0</v>
      </c>
      <c r="AW1016" s="2188">
        <f>AW1017+AW1019+AW1021</f>
        <v>0</v>
      </c>
      <c r="AX1016" s="2188">
        <f>AX1017+AX1019+AX1021</f>
        <v>0</v>
      </c>
      <c r="AY1016" s="2186">
        <f t="shared" si="2017"/>
        <v>0</v>
      </c>
      <c r="AZ1016" s="2188">
        <f>AZ1017+AZ1019+AZ1021</f>
        <v>0</v>
      </c>
      <c r="BA1016" s="2188">
        <f>BA1017+BA1019+BA1021</f>
        <v>0</v>
      </c>
      <c r="BB1016" s="2186">
        <f t="shared" si="2018"/>
        <v>0</v>
      </c>
      <c r="BC1016" s="2188">
        <f>BC1017+BC1019+BC1021</f>
        <v>0</v>
      </c>
      <c r="BD1016" s="2188">
        <f>BD1017+BD1019+BD1021</f>
        <v>0</v>
      </c>
      <c r="BE1016" s="2186">
        <f t="shared" si="2019"/>
        <v>0</v>
      </c>
      <c r="BF1016" s="2188">
        <f>BF1017+BF1019+BF1021</f>
        <v>0</v>
      </c>
      <c r="BG1016" s="2188">
        <f>BG1017+BG1019+BG1021</f>
        <v>0</v>
      </c>
      <c r="BH1016" s="2186">
        <f t="shared" si="2020"/>
        <v>0</v>
      </c>
      <c r="BI1016" s="2188">
        <f>BI1017+BI1019+BI1021</f>
        <v>0</v>
      </c>
      <c r="BJ1016" s="2188">
        <f>BJ1017+BJ1019+BJ1021</f>
        <v>0</v>
      </c>
      <c r="BK1016" s="2186">
        <f t="shared" si="2021"/>
        <v>0</v>
      </c>
      <c r="BL1016" s="2188">
        <f>BL1017+BL1019+BL1021</f>
        <v>0</v>
      </c>
      <c r="BM1016" s="2188">
        <f>BM1017+BM1019+BM1021</f>
        <v>0</v>
      </c>
      <c r="BN1016" s="2186">
        <f t="shared" si="2022"/>
        <v>0</v>
      </c>
      <c r="BO1016" s="2188">
        <f>BO1017+BO1019+BO1021</f>
        <v>0</v>
      </c>
      <c r="BP1016" s="2188">
        <f>BP1017+BP1019+BP1021</f>
        <v>0</v>
      </c>
      <c r="BQ1016" s="2186">
        <f t="shared" si="2023"/>
        <v>0</v>
      </c>
    </row>
    <row r="1017" spans="3:69" s="2087" customFormat="1" ht="12" hidden="1" customHeight="1">
      <c r="C1017" s="2473" t="s">
        <v>3207</v>
      </c>
      <c r="D1017" s="2334" t="s">
        <v>28</v>
      </c>
      <c r="E1017" s="2250" t="s">
        <v>3015</v>
      </c>
      <c r="F1017" s="2176"/>
      <c r="G1017" s="2177"/>
      <c r="H1017" s="2177"/>
      <c r="I1017" s="2178">
        <f t="shared" si="2004"/>
        <v>0</v>
      </c>
      <c r="J1017" s="2176"/>
      <c r="K1017" s="2179">
        <f t="shared" si="1965"/>
        <v>0</v>
      </c>
      <c r="L1017" s="2179">
        <f t="shared" si="1948"/>
        <v>0</v>
      </c>
      <c r="M1017" s="2178">
        <f t="shared" si="2005"/>
        <v>0</v>
      </c>
      <c r="N1017" s="2177"/>
      <c r="O1017" s="2177"/>
      <c r="P1017" s="2178">
        <f t="shared" si="2006"/>
        <v>0</v>
      </c>
      <c r="Q1017" s="2176"/>
      <c r="R1017" s="2177"/>
      <c r="S1017" s="2178">
        <f t="shared" si="2007"/>
        <v>0</v>
      </c>
      <c r="T1017" s="2181">
        <f t="shared" si="2062"/>
        <v>0</v>
      </c>
      <c r="U1017" s="2179">
        <f t="shared" si="2062"/>
        <v>0</v>
      </c>
      <c r="V1017" s="2178">
        <f t="shared" si="2008"/>
        <v>0</v>
      </c>
      <c r="W1017" s="2176"/>
      <c r="X1017" s="2177"/>
      <c r="Y1017" s="2178">
        <f t="shared" si="2009"/>
        <v>0</v>
      </c>
      <c r="Z1017" s="2181">
        <f t="shared" si="2063"/>
        <v>0</v>
      </c>
      <c r="AA1017" s="2179">
        <f t="shared" si="2063"/>
        <v>0</v>
      </c>
      <c r="AB1017" s="2178">
        <f t="shared" si="2010"/>
        <v>0</v>
      </c>
      <c r="AC1017" s="2176"/>
      <c r="AD1017" s="2177"/>
      <c r="AE1017" s="2178">
        <f t="shared" si="2011"/>
        <v>0</v>
      </c>
      <c r="AF1017" s="2204"/>
      <c r="AG1017" s="2114"/>
      <c r="AH1017" s="2177"/>
      <c r="AI1017" s="2177"/>
      <c r="AJ1017" s="2186">
        <f t="shared" si="2012"/>
        <v>0</v>
      </c>
      <c r="AK1017" s="2177"/>
      <c r="AL1017" s="2177"/>
      <c r="AM1017" s="2186">
        <f t="shared" si="2013"/>
        <v>0</v>
      </c>
      <c r="AN1017" s="2177"/>
      <c r="AO1017" s="2177"/>
      <c r="AP1017" s="2186">
        <f t="shared" si="2014"/>
        <v>0</v>
      </c>
      <c r="AQ1017" s="2177"/>
      <c r="AR1017" s="2177"/>
      <c r="AS1017" s="2186">
        <f t="shared" si="2015"/>
        <v>0</v>
      </c>
      <c r="AT1017" s="2177"/>
      <c r="AU1017" s="2177"/>
      <c r="AV1017" s="2186">
        <f t="shared" si="2016"/>
        <v>0</v>
      </c>
      <c r="AW1017" s="2177"/>
      <c r="AX1017" s="2177"/>
      <c r="AY1017" s="2186">
        <f t="shared" si="2017"/>
        <v>0</v>
      </c>
      <c r="AZ1017" s="2177"/>
      <c r="BA1017" s="2177"/>
      <c r="BB1017" s="2186">
        <f t="shared" si="2018"/>
        <v>0</v>
      </c>
      <c r="BC1017" s="2177"/>
      <c r="BD1017" s="2177"/>
      <c r="BE1017" s="2186">
        <f t="shared" si="2019"/>
        <v>0</v>
      </c>
      <c r="BF1017" s="2177"/>
      <c r="BG1017" s="2177"/>
      <c r="BH1017" s="2186">
        <f t="shared" si="2020"/>
        <v>0</v>
      </c>
      <c r="BI1017" s="2177"/>
      <c r="BJ1017" s="2177"/>
      <c r="BK1017" s="2186">
        <f t="shared" si="2021"/>
        <v>0</v>
      </c>
      <c r="BL1017" s="2177"/>
      <c r="BM1017" s="2177"/>
      <c r="BN1017" s="2186">
        <f t="shared" si="2022"/>
        <v>0</v>
      </c>
      <c r="BO1017" s="2177"/>
      <c r="BP1017" s="2177"/>
      <c r="BQ1017" s="2186">
        <f t="shared" si="2023"/>
        <v>0</v>
      </c>
    </row>
    <row r="1018" spans="3:69" s="2087" customFormat="1" ht="12" hidden="1" customHeight="1">
      <c r="C1018" s="2473" t="s">
        <v>3208</v>
      </c>
      <c r="D1018" s="2334" t="s">
        <v>2434</v>
      </c>
      <c r="E1018" s="2250" t="s">
        <v>3015</v>
      </c>
      <c r="F1018" s="2176"/>
      <c r="G1018" s="2177"/>
      <c r="H1018" s="2177"/>
      <c r="I1018" s="2178">
        <f t="shared" si="2004"/>
        <v>0</v>
      </c>
      <c r="J1018" s="2176"/>
      <c r="K1018" s="2179">
        <f>N1018+Q1018+W1018+AC1018</f>
        <v>0</v>
      </c>
      <c r="L1018" s="2179">
        <f>O1018+R1018+X1018+AD1018</f>
        <v>0</v>
      </c>
      <c r="M1018" s="2178">
        <f t="shared" si="2005"/>
        <v>0</v>
      </c>
      <c r="N1018" s="2177"/>
      <c r="O1018" s="2177"/>
      <c r="P1018" s="2178">
        <f t="shared" si="2006"/>
        <v>0</v>
      </c>
      <c r="Q1018" s="2176"/>
      <c r="R1018" s="2177"/>
      <c r="S1018" s="2178">
        <f t="shared" si="2007"/>
        <v>0</v>
      </c>
      <c r="T1018" s="2181">
        <f>N1018+Q1018</f>
        <v>0</v>
      </c>
      <c r="U1018" s="2179">
        <f>O1018+R1018</f>
        <v>0</v>
      </c>
      <c r="V1018" s="2178">
        <f t="shared" si="2008"/>
        <v>0</v>
      </c>
      <c r="W1018" s="2176"/>
      <c r="X1018" s="2177"/>
      <c r="Y1018" s="2178">
        <f t="shared" si="2009"/>
        <v>0</v>
      </c>
      <c r="Z1018" s="2181">
        <f>T1018+W1018</f>
        <v>0</v>
      </c>
      <c r="AA1018" s="2179">
        <f>U1018+X1018</f>
        <v>0</v>
      </c>
      <c r="AB1018" s="2178">
        <f t="shared" si="2010"/>
        <v>0</v>
      </c>
      <c r="AC1018" s="2176"/>
      <c r="AD1018" s="2177"/>
      <c r="AE1018" s="2178">
        <f t="shared" si="2011"/>
        <v>0</v>
      </c>
      <c r="AF1018" s="2204"/>
      <c r="AG1018" s="2114"/>
      <c r="AH1018" s="2177"/>
      <c r="AI1018" s="2177"/>
      <c r="AJ1018" s="2186">
        <f t="shared" si="2012"/>
        <v>0</v>
      </c>
      <c r="AK1018" s="2177"/>
      <c r="AL1018" s="2177"/>
      <c r="AM1018" s="2186">
        <f t="shared" si="2013"/>
        <v>0</v>
      </c>
      <c r="AN1018" s="2177"/>
      <c r="AO1018" s="2177"/>
      <c r="AP1018" s="2186">
        <f t="shared" si="2014"/>
        <v>0</v>
      </c>
      <c r="AQ1018" s="2177"/>
      <c r="AR1018" s="2177"/>
      <c r="AS1018" s="2186">
        <f t="shared" si="2015"/>
        <v>0</v>
      </c>
      <c r="AT1018" s="2177"/>
      <c r="AU1018" s="2177"/>
      <c r="AV1018" s="2186">
        <f t="shared" si="2016"/>
        <v>0</v>
      </c>
      <c r="AW1018" s="2177"/>
      <c r="AX1018" s="2177"/>
      <c r="AY1018" s="2186">
        <f t="shared" si="2017"/>
        <v>0</v>
      </c>
      <c r="AZ1018" s="2177"/>
      <c r="BA1018" s="2177"/>
      <c r="BB1018" s="2186">
        <f t="shared" si="2018"/>
        <v>0</v>
      </c>
      <c r="BC1018" s="2177"/>
      <c r="BD1018" s="2177"/>
      <c r="BE1018" s="2186">
        <f t="shared" si="2019"/>
        <v>0</v>
      </c>
      <c r="BF1018" s="2177"/>
      <c r="BG1018" s="2177"/>
      <c r="BH1018" s="2186">
        <f t="shared" si="2020"/>
        <v>0</v>
      </c>
      <c r="BI1018" s="2177"/>
      <c r="BJ1018" s="2177"/>
      <c r="BK1018" s="2186">
        <f t="shared" si="2021"/>
        <v>0</v>
      </c>
      <c r="BL1018" s="2177"/>
      <c r="BM1018" s="2177"/>
      <c r="BN1018" s="2186">
        <f t="shared" si="2022"/>
        <v>0</v>
      </c>
      <c r="BO1018" s="2177"/>
      <c r="BP1018" s="2177"/>
      <c r="BQ1018" s="2186">
        <f t="shared" si="2023"/>
        <v>0</v>
      </c>
    </row>
    <row r="1019" spans="3:69" s="2087" customFormat="1" ht="12" hidden="1" customHeight="1">
      <c r="C1019" s="2473" t="s">
        <v>3209</v>
      </c>
      <c r="D1019" s="2334" t="s">
        <v>2872</v>
      </c>
      <c r="E1019" s="2250" t="s">
        <v>3015</v>
      </c>
      <c r="F1019" s="2176"/>
      <c r="G1019" s="2177"/>
      <c r="H1019" s="2177"/>
      <c r="I1019" s="2178">
        <f t="shared" si="2004"/>
        <v>0</v>
      </c>
      <c r="J1019" s="2176"/>
      <c r="K1019" s="2179">
        <f t="shared" si="1965"/>
        <v>0</v>
      </c>
      <c r="L1019" s="2179">
        <f t="shared" si="1948"/>
        <v>0</v>
      </c>
      <c r="M1019" s="2178">
        <f t="shared" si="2005"/>
        <v>0</v>
      </c>
      <c r="N1019" s="2177"/>
      <c r="O1019" s="2177"/>
      <c r="P1019" s="2178">
        <f t="shared" si="2006"/>
        <v>0</v>
      </c>
      <c r="Q1019" s="2176"/>
      <c r="R1019" s="2177"/>
      <c r="S1019" s="2178">
        <f t="shared" si="2007"/>
        <v>0</v>
      </c>
      <c r="T1019" s="2181">
        <f t="shared" si="2062"/>
        <v>0</v>
      </c>
      <c r="U1019" s="2179">
        <f t="shared" si="2062"/>
        <v>0</v>
      </c>
      <c r="V1019" s="2178">
        <f t="shared" si="2008"/>
        <v>0</v>
      </c>
      <c r="W1019" s="2176"/>
      <c r="X1019" s="2177"/>
      <c r="Y1019" s="2178">
        <f t="shared" si="2009"/>
        <v>0</v>
      </c>
      <c r="Z1019" s="2181">
        <f t="shared" si="2063"/>
        <v>0</v>
      </c>
      <c r="AA1019" s="2179">
        <f t="shared" si="2063"/>
        <v>0</v>
      </c>
      <c r="AB1019" s="2178">
        <f t="shared" si="2010"/>
        <v>0</v>
      </c>
      <c r="AC1019" s="2176"/>
      <c r="AD1019" s="2177"/>
      <c r="AE1019" s="2178">
        <f t="shared" si="2011"/>
        <v>0</v>
      </c>
      <c r="AF1019" s="2204"/>
      <c r="AG1019" s="2114"/>
      <c r="AH1019" s="2177"/>
      <c r="AI1019" s="2177"/>
      <c r="AJ1019" s="2186">
        <f t="shared" si="2012"/>
        <v>0</v>
      </c>
      <c r="AK1019" s="2177"/>
      <c r="AL1019" s="2177"/>
      <c r="AM1019" s="2186">
        <f t="shared" si="2013"/>
        <v>0</v>
      </c>
      <c r="AN1019" s="2177"/>
      <c r="AO1019" s="2177"/>
      <c r="AP1019" s="2186">
        <f t="shared" si="2014"/>
        <v>0</v>
      </c>
      <c r="AQ1019" s="2177"/>
      <c r="AR1019" s="2177"/>
      <c r="AS1019" s="2186">
        <f t="shared" si="2015"/>
        <v>0</v>
      </c>
      <c r="AT1019" s="2177"/>
      <c r="AU1019" s="2177"/>
      <c r="AV1019" s="2186">
        <f t="shared" si="2016"/>
        <v>0</v>
      </c>
      <c r="AW1019" s="2177"/>
      <c r="AX1019" s="2177"/>
      <c r="AY1019" s="2186">
        <f t="shared" si="2017"/>
        <v>0</v>
      </c>
      <c r="AZ1019" s="2177"/>
      <c r="BA1019" s="2177"/>
      <c r="BB1019" s="2186">
        <f t="shared" si="2018"/>
        <v>0</v>
      </c>
      <c r="BC1019" s="2177"/>
      <c r="BD1019" s="2177"/>
      <c r="BE1019" s="2186">
        <f t="shared" si="2019"/>
        <v>0</v>
      </c>
      <c r="BF1019" s="2177"/>
      <c r="BG1019" s="2177"/>
      <c r="BH1019" s="2186">
        <f t="shared" si="2020"/>
        <v>0</v>
      </c>
      <c r="BI1019" s="2177"/>
      <c r="BJ1019" s="2177"/>
      <c r="BK1019" s="2186">
        <f t="shared" si="2021"/>
        <v>0</v>
      </c>
      <c r="BL1019" s="2177"/>
      <c r="BM1019" s="2177"/>
      <c r="BN1019" s="2186">
        <f t="shared" si="2022"/>
        <v>0</v>
      </c>
      <c r="BO1019" s="2177"/>
      <c r="BP1019" s="2177"/>
      <c r="BQ1019" s="2186">
        <f t="shared" si="2023"/>
        <v>0</v>
      </c>
    </row>
    <row r="1020" spans="3:69" s="2087" customFormat="1" ht="12" hidden="1" customHeight="1">
      <c r="C1020" s="2473" t="s">
        <v>3210</v>
      </c>
      <c r="D1020" s="2334" t="s">
        <v>2434</v>
      </c>
      <c r="E1020" s="2250" t="s">
        <v>3015</v>
      </c>
      <c r="F1020" s="2176"/>
      <c r="G1020" s="2177"/>
      <c r="H1020" s="2177"/>
      <c r="I1020" s="2178">
        <f t="shared" si="2004"/>
        <v>0</v>
      </c>
      <c r="J1020" s="2176"/>
      <c r="K1020" s="2179">
        <f>N1020+Q1020+W1020+AC1020</f>
        <v>0</v>
      </c>
      <c r="L1020" s="2179">
        <f>O1020+R1020+X1020+AD1020</f>
        <v>0</v>
      </c>
      <c r="M1020" s="2178">
        <f t="shared" si="2005"/>
        <v>0</v>
      </c>
      <c r="N1020" s="2177"/>
      <c r="O1020" s="2177"/>
      <c r="P1020" s="2178">
        <f t="shared" si="2006"/>
        <v>0</v>
      </c>
      <c r="Q1020" s="2176"/>
      <c r="R1020" s="2177"/>
      <c r="S1020" s="2178">
        <f t="shared" si="2007"/>
        <v>0</v>
      </c>
      <c r="T1020" s="2181">
        <f>N1020+Q1020</f>
        <v>0</v>
      </c>
      <c r="U1020" s="2179">
        <f>O1020+R1020</f>
        <v>0</v>
      </c>
      <c r="V1020" s="2178">
        <f t="shared" si="2008"/>
        <v>0</v>
      </c>
      <c r="W1020" s="2176"/>
      <c r="X1020" s="2177"/>
      <c r="Y1020" s="2178">
        <f t="shared" si="2009"/>
        <v>0</v>
      </c>
      <c r="Z1020" s="2181">
        <f>T1020+W1020</f>
        <v>0</v>
      </c>
      <c r="AA1020" s="2179">
        <f>U1020+X1020</f>
        <v>0</v>
      </c>
      <c r="AB1020" s="2178">
        <f t="shared" si="2010"/>
        <v>0</v>
      </c>
      <c r="AC1020" s="2176"/>
      <c r="AD1020" s="2177"/>
      <c r="AE1020" s="2178">
        <f t="shared" si="2011"/>
        <v>0</v>
      </c>
      <c r="AF1020" s="2204"/>
      <c r="AG1020" s="2114"/>
      <c r="AH1020" s="2177"/>
      <c r="AI1020" s="2177"/>
      <c r="AJ1020" s="2186">
        <f t="shared" si="2012"/>
        <v>0</v>
      </c>
      <c r="AK1020" s="2177"/>
      <c r="AL1020" s="2177"/>
      <c r="AM1020" s="2186">
        <f t="shared" si="2013"/>
        <v>0</v>
      </c>
      <c r="AN1020" s="2177"/>
      <c r="AO1020" s="2177"/>
      <c r="AP1020" s="2186">
        <f t="shared" si="2014"/>
        <v>0</v>
      </c>
      <c r="AQ1020" s="2177"/>
      <c r="AR1020" s="2177"/>
      <c r="AS1020" s="2186">
        <f t="shared" si="2015"/>
        <v>0</v>
      </c>
      <c r="AT1020" s="2177"/>
      <c r="AU1020" s="2177"/>
      <c r="AV1020" s="2186">
        <f t="shared" si="2016"/>
        <v>0</v>
      </c>
      <c r="AW1020" s="2177"/>
      <c r="AX1020" s="2177"/>
      <c r="AY1020" s="2186">
        <f t="shared" si="2017"/>
        <v>0</v>
      </c>
      <c r="AZ1020" s="2177"/>
      <c r="BA1020" s="2177"/>
      <c r="BB1020" s="2186">
        <f t="shared" si="2018"/>
        <v>0</v>
      </c>
      <c r="BC1020" s="2177"/>
      <c r="BD1020" s="2177"/>
      <c r="BE1020" s="2186">
        <f t="shared" si="2019"/>
        <v>0</v>
      </c>
      <c r="BF1020" s="2177"/>
      <c r="BG1020" s="2177"/>
      <c r="BH1020" s="2186">
        <f t="shared" si="2020"/>
        <v>0</v>
      </c>
      <c r="BI1020" s="2177"/>
      <c r="BJ1020" s="2177"/>
      <c r="BK1020" s="2186">
        <f t="shared" si="2021"/>
        <v>0</v>
      </c>
      <c r="BL1020" s="2177"/>
      <c r="BM1020" s="2177"/>
      <c r="BN1020" s="2186">
        <f t="shared" si="2022"/>
        <v>0</v>
      </c>
      <c r="BO1020" s="2177"/>
      <c r="BP1020" s="2177"/>
      <c r="BQ1020" s="2186">
        <f t="shared" si="2023"/>
        <v>0</v>
      </c>
    </row>
    <row r="1021" spans="3:69" s="2087" customFormat="1" ht="12" hidden="1" customHeight="1">
      <c r="C1021" s="2473" t="s">
        <v>3211</v>
      </c>
      <c r="D1021" s="2334" t="s">
        <v>42</v>
      </c>
      <c r="E1021" s="2250" t="s">
        <v>3015</v>
      </c>
      <c r="F1021" s="2176"/>
      <c r="G1021" s="2177"/>
      <c r="H1021" s="2177"/>
      <c r="I1021" s="2178">
        <f t="shared" si="2004"/>
        <v>0</v>
      </c>
      <c r="J1021" s="2176"/>
      <c r="K1021" s="2179">
        <f t="shared" si="1965"/>
        <v>0</v>
      </c>
      <c r="L1021" s="2179">
        <f t="shared" si="1948"/>
        <v>0</v>
      </c>
      <c r="M1021" s="2178">
        <f t="shared" si="2005"/>
        <v>0</v>
      </c>
      <c r="N1021" s="2177"/>
      <c r="O1021" s="2177"/>
      <c r="P1021" s="2178">
        <f t="shared" si="2006"/>
        <v>0</v>
      </c>
      <c r="Q1021" s="2176"/>
      <c r="R1021" s="2177"/>
      <c r="S1021" s="2178">
        <f t="shared" si="2007"/>
        <v>0</v>
      </c>
      <c r="T1021" s="2181">
        <f t="shared" si="2062"/>
        <v>0</v>
      </c>
      <c r="U1021" s="2179">
        <f t="shared" si="2062"/>
        <v>0</v>
      </c>
      <c r="V1021" s="2178">
        <f t="shared" si="2008"/>
        <v>0</v>
      </c>
      <c r="W1021" s="2176"/>
      <c r="X1021" s="2177"/>
      <c r="Y1021" s="2178">
        <f t="shared" si="2009"/>
        <v>0</v>
      </c>
      <c r="Z1021" s="2181">
        <f t="shared" si="2063"/>
        <v>0</v>
      </c>
      <c r="AA1021" s="2179">
        <f t="shared" si="2063"/>
        <v>0</v>
      </c>
      <c r="AB1021" s="2178">
        <f t="shared" si="2010"/>
        <v>0</v>
      </c>
      <c r="AC1021" s="2176"/>
      <c r="AD1021" s="2177"/>
      <c r="AE1021" s="2178">
        <f t="shared" si="2011"/>
        <v>0</v>
      </c>
      <c r="AF1021" s="2204"/>
      <c r="AG1021" s="2114"/>
      <c r="AH1021" s="2177"/>
      <c r="AI1021" s="2177"/>
      <c r="AJ1021" s="2186">
        <f t="shared" si="2012"/>
        <v>0</v>
      </c>
      <c r="AK1021" s="2177"/>
      <c r="AL1021" s="2177"/>
      <c r="AM1021" s="2186">
        <f t="shared" si="2013"/>
        <v>0</v>
      </c>
      <c r="AN1021" s="2177"/>
      <c r="AO1021" s="2177"/>
      <c r="AP1021" s="2186">
        <f t="shared" si="2014"/>
        <v>0</v>
      </c>
      <c r="AQ1021" s="2177"/>
      <c r="AR1021" s="2177"/>
      <c r="AS1021" s="2186">
        <f t="shared" si="2015"/>
        <v>0</v>
      </c>
      <c r="AT1021" s="2177"/>
      <c r="AU1021" s="2177"/>
      <c r="AV1021" s="2186">
        <f t="shared" si="2016"/>
        <v>0</v>
      </c>
      <c r="AW1021" s="2177"/>
      <c r="AX1021" s="2177"/>
      <c r="AY1021" s="2186">
        <f t="shared" si="2017"/>
        <v>0</v>
      </c>
      <c r="AZ1021" s="2177"/>
      <c r="BA1021" s="2177"/>
      <c r="BB1021" s="2186">
        <f t="shared" si="2018"/>
        <v>0</v>
      </c>
      <c r="BC1021" s="2177"/>
      <c r="BD1021" s="2177"/>
      <c r="BE1021" s="2186">
        <f t="shared" si="2019"/>
        <v>0</v>
      </c>
      <c r="BF1021" s="2177"/>
      <c r="BG1021" s="2177"/>
      <c r="BH1021" s="2186">
        <f t="shared" si="2020"/>
        <v>0</v>
      </c>
      <c r="BI1021" s="2177"/>
      <c r="BJ1021" s="2177"/>
      <c r="BK1021" s="2186">
        <f t="shared" si="2021"/>
        <v>0</v>
      </c>
      <c r="BL1021" s="2177"/>
      <c r="BM1021" s="2177"/>
      <c r="BN1021" s="2186">
        <f t="shared" si="2022"/>
        <v>0</v>
      </c>
      <c r="BO1021" s="2177"/>
      <c r="BP1021" s="2177"/>
      <c r="BQ1021" s="2186">
        <f t="shared" si="2023"/>
        <v>0</v>
      </c>
    </row>
    <row r="1022" spans="3:69" s="2087" customFormat="1" ht="12" hidden="1" customHeight="1">
      <c r="C1022" s="2473" t="s">
        <v>3212</v>
      </c>
      <c r="D1022" s="2334" t="s">
        <v>2434</v>
      </c>
      <c r="E1022" s="2250" t="s">
        <v>3015</v>
      </c>
      <c r="F1022" s="2176"/>
      <c r="G1022" s="2177"/>
      <c r="H1022" s="2177"/>
      <c r="I1022" s="2178">
        <f t="shared" si="2004"/>
        <v>0</v>
      </c>
      <c r="J1022" s="2176"/>
      <c r="K1022" s="2179">
        <f>N1022+Q1022+W1022+AC1022</f>
        <v>0</v>
      </c>
      <c r="L1022" s="2179">
        <f>O1022+R1022+X1022+AD1022</f>
        <v>0</v>
      </c>
      <c r="M1022" s="2178">
        <f t="shared" si="2005"/>
        <v>0</v>
      </c>
      <c r="N1022" s="2177"/>
      <c r="O1022" s="2177"/>
      <c r="P1022" s="2178">
        <f t="shared" si="2006"/>
        <v>0</v>
      </c>
      <c r="Q1022" s="2176"/>
      <c r="R1022" s="2177"/>
      <c r="S1022" s="2178">
        <f t="shared" si="2007"/>
        <v>0</v>
      </c>
      <c r="T1022" s="2181">
        <f t="shared" si="2062"/>
        <v>0</v>
      </c>
      <c r="U1022" s="2179">
        <f t="shared" si="2062"/>
        <v>0</v>
      </c>
      <c r="V1022" s="2178">
        <f t="shared" si="2008"/>
        <v>0</v>
      </c>
      <c r="W1022" s="2176"/>
      <c r="X1022" s="2177"/>
      <c r="Y1022" s="2178">
        <f t="shared" si="2009"/>
        <v>0</v>
      </c>
      <c r="Z1022" s="2181">
        <f t="shared" si="2063"/>
        <v>0</v>
      </c>
      <c r="AA1022" s="2179">
        <f t="shared" si="2063"/>
        <v>0</v>
      </c>
      <c r="AB1022" s="2178">
        <f t="shared" si="2010"/>
        <v>0</v>
      </c>
      <c r="AC1022" s="2176"/>
      <c r="AD1022" s="2177"/>
      <c r="AE1022" s="2178">
        <f t="shared" si="2011"/>
        <v>0</v>
      </c>
      <c r="AF1022" s="2204"/>
      <c r="AG1022" s="2114"/>
      <c r="AH1022" s="2177"/>
      <c r="AI1022" s="2177"/>
      <c r="AJ1022" s="2186">
        <f t="shared" si="2012"/>
        <v>0</v>
      </c>
      <c r="AK1022" s="2177"/>
      <c r="AL1022" s="2177"/>
      <c r="AM1022" s="2186">
        <f t="shared" si="2013"/>
        <v>0</v>
      </c>
      <c r="AN1022" s="2177"/>
      <c r="AO1022" s="2177"/>
      <c r="AP1022" s="2186">
        <f t="shared" si="2014"/>
        <v>0</v>
      </c>
      <c r="AQ1022" s="2177"/>
      <c r="AR1022" s="2177"/>
      <c r="AS1022" s="2186">
        <f t="shared" si="2015"/>
        <v>0</v>
      </c>
      <c r="AT1022" s="2177"/>
      <c r="AU1022" s="2177"/>
      <c r="AV1022" s="2186">
        <f t="shared" si="2016"/>
        <v>0</v>
      </c>
      <c r="AW1022" s="2177"/>
      <c r="AX1022" s="2177"/>
      <c r="AY1022" s="2186">
        <f t="shared" si="2017"/>
        <v>0</v>
      </c>
      <c r="AZ1022" s="2177"/>
      <c r="BA1022" s="2177"/>
      <c r="BB1022" s="2186">
        <f t="shared" si="2018"/>
        <v>0</v>
      </c>
      <c r="BC1022" s="2177"/>
      <c r="BD1022" s="2177"/>
      <c r="BE1022" s="2186">
        <f t="shared" si="2019"/>
        <v>0</v>
      </c>
      <c r="BF1022" s="2177"/>
      <c r="BG1022" s="2177"/>
      <c r="BH1022" s="2186">
        <f t="shared" si="2020"/>
        <v>0</v>
      </c>
      <c r="BI1022" s="2177"/>
      <c r="BJ1022" s="2177"/>
      <c r="BK1022" s="2186">
        <f t="shared" si="2021"/>
        <v>0</v>
      </c>
      <c r="BL1022" s="2177"/>
      <c r="BM1022" s="2177"/>
      <c r="BN1022" s="2186">
        <f t="shared" si="2022"/>
        <v>0</v>
      </c>
      <c r="BO1022" s="2177"/>
      <c r="BP1022" s="2177"/>
      <c r="BQ1022" s="2186">
        <f t="shared" si="2023"/>
        <v>0</v>
      </c>
    </row>
    <row r="1023" spans="3:69" s="2159" customFormat="1" ht="12" hidden="1" customHeight="1" collapsed="1">
      <c r="C1023" s="2474" t="s">
        <v>3213</v>
      </c>
      <c r="D1023" s="2477" t="s">
        <v>3214</v>
      </c>
      <c r="E1023" s="2120" t="s">
        <v>3177</v>
      </c>
      <c r="F1023" s="2176"/>
      <c r="G1023" s="2177"/>
      <c r="H1023" s="2177"/>
      <c r="I1023" s="2178">
        <f t="shared" si="2004"/>
        <v>0</v>
      </c>
      <c r="J1023" s="2176"/>
      <c r="K1023" s="2179">
        <f t="shared" si="1965"/>
        <v>0</v>
      </c>
      <c r="L1023" s="2179">
        <f t="shared" si="1948"/>
        <v>0</v>
      </c>
      <c r="M1023" s="2178">
        <f t="shared" si="2005"/>
        <v>0</v>
      </c>
      <c r="N1023" s="2177"/>
      <c r="O1023" s="2177"/>
      <c r="P1023" s="2178">
        <f t="shared" si="2006"/>
        <v>0</v>
      </c>
      <c r="Q1023" s="2176"/>
      <c r="R1023" s="2177"/>
      <c r="S1023" s="2178">
        <f t="shared" si="2007"/>
        <v>0</v>
      </c>
      <c r="T1023" s="2181">
        <f t="shared" si="2062"/>
        <v>0</v>
      </c>
      <c r="U1023" s="2179">
        <f t="shared" si="2062"/>
        <v>0</v>
      </c>
      <c r="V1023" s="2178">
        <f t="shared" si="2008"/>
        <v>0</v>
      </c>
      <c r="W1023" s="2176"/>
      <c r="X1023" s="2177"/>
      <c r="Y1023" s="2178">
        <f t="shared" si="2009"/>
        <v>0</v>
      </c>
      <c r="Z1023" s="2181">
        <f t="shared" si="2063"/>
        <v>0</v>
      </c>
      <c r="AA1023" s="2179">
        <f t="shared" si="2063"/>
        <v>0</v>
      </c>
      <c r="AB1023" s="2178">
        <f t="shared" si="2010"/>
        <v>0</v>
      </c>
      <c r="AC1023" s="2176"/>
      <c r="AD1023" s="2177"/>
      <c r="AE1023" s="2178">
        <f t="shared" si="2011"/>
        <v>0</v>
      </c>
      <c r="AF1023" s="2204"/>
      <c r="AG1023" s="2158"/>
      <c r="AH1023" s="2177"/>
      <c r="AI1023" s="2177"/>
      <c r="AJ1023" s="2186">
        <f t="shared" si="2012"/>
        <v>0</v>
      </c>
      <c r="AK1023" s="2177"/>
      <c r="AL1023" s="2177"/>
      <c r="AM1023" s="2186">
        <f t="shared" si="2013"/>
        <v>0</v>
      </c>
      <c r="AN1023" s="2177"/>
      <c r="AO1023" s="2177"/>
      <c r="AP1023" s="2186">
        <f t="shared" si="2014"/>
        <v>0</v>
      </c>
      <c r="AQ1023" s="2177"/>
      <c r="AR1023" s="2177"/>
      <c r="AS1023" s="2186">
        <f t="shared" si="2015"/>
        <v>0</v>
      </c>
      <c r="AT1023" s="2177"/>
      <c r="AU1023" s="2177"/>
      <c r="AV1023" s="2186">
        <f t="shared" si="2016"/>
        <v>0</v>
      </c>
      <c r="AW1023" s="2177"/>
      <c r="AX1023" s="2177"/>
      <c r="AY1023" s="2186">
        <f t="shared" si="2017"/>
        <v>0</v>
      </c>
      <c r="AZ1023" s="2177"/>
      <c r="BA1023" s="2177"/>
      <c r="BB1023" s="2186">
        <f t="shared" si="2018"/>
        <v>0</v>
      </c>
      <c r="BC1023" s="2177"/>
      <c r="BD1023" s="2177"/>
      <c r="BE1023" s="2186">
        <f t="shared" si="2019"/>
        <v>0</v>
      </c>
      <c r="BF1023" s="2177"/>
      <c r="BG1023" s="2177"/>
      <c r="BH1023" s="2186">
        <f t="shared" si="2020"/>
        <v>0</v>
      </c>
      <c r="BI1023" s="2177"/>
      <c r="BJ1023" s="2177"/>
      <c r="BK1023" s="2186">
        <f t="shared" si="2021"/>
        <v>0</v>
      </c>
      <c r="BL1023" s="2177"/>
      <c r="BM1023" s="2177"/>
      <c r="BN1023" s="2186">
        <f t="shared" si="2022"/>
        <v>0</v>
      </c>
      <c r="BO1023" s="2177"/>
      <c r="BP1023" s="2177"/>
      <c r="BQ1023" s="2186">
        <f t="shared" si="2023"/>
        <v>0</v>
      </c>
    </row>
    <row r="1024" spans="3:69" s="2159" customFormat="1" ht="12" hidden="1" customHeight="1">
      <c r="C1024" s="2423" t="s">
        <v>3215</v>
      </c>
      <c r="D1024" s="2287" t="s">
        <v>2434</v>
      </c>
      <c r="E1024" s="2250" t="s">
        <v>3046</v>
      </c>
      <c r="F1024" s="2176"/>
      <c r="G1024" s="2177"/>
      <c r="H1024" s="2177"/>
      <c r="I1024" s="2178">
        <f t="shared" si="2004"/>
        <v>0</v>
      </c>
      <c r="J1024" s="2176"/>
      <c r="K1024" s="2179">
        <f>N1024+Q1024+W1024+AC1024</f>
        <v>0</v>
      </c>
      <c r="L1024" s="2179">
        <f>O1024+R1024+X1024+AD1024</f>
        <v>0</v>
      </c>
      <c r="M1024" s="2178">
        <f t="shared" si="2005"/>
        <v>0</v>
      </c>
      <c r="N1024" s="2177"/>
      <c r="O1024" s="2177"/>
      <c r="P1024" s="2178">
        <f t="shared" si="2006"/>
        <v>0</v>
      </c>
      <c r="Q1024" s="2176"/>
      <c r="R1024" s="2177"/>
      <c r="S1024" s="2178">
        <f t="shared" si="2007"/>
        <v>0</v>
      </c>
      <c r="T1024" s="2181">
        <f t="shared" si="2062"/>
        <v>0</v>
      </c>
      <c r="U1024" s="2179">
        <f t="shared" si="2062"/>
        <v>0</v>
      </c>
      <c r="V1024" s="2178">
        <f t="shared" si="2008"/>
        <v>0</v>
      </c>
      <c r="W1024" s="2176"/>
      <c r="X1024" s="2177"/>
      <c r="Y1024" s="2178">
        <f t="shared" si="2009"/>
        <v>0</v>
      </c>
      <c r="Z1024" s="2181">
        <f t="shared" si="2063"/>
        <v>0</v>
      </c>
      <c r="AA1024" s="2179">
        <f t="shared" si="2063"/>
        <v>0</v>
      </c>
      <c r="AB1024" s="2178">
        <f t="shared" si="2010"/>
        <v>0</v>
      </c>
      <c r="AC1024" s="2176"/>
      <c r="AD1024" s="2177"/>
      <c r="AE1024" s="2178">
        <f t="shared" si="2011"/>
        <v>0</v>
      </c>
      <c r="AF1024" s="2204"/>
      <c r="AG1024" s="2158"/>
      <c r="AH1024" s="2177"/>
      <c r="AI1024" s="2177"/>
      <c r="AJ1024" s="2186">
        <f t="shared" si="2012"/>
        <v>0</v>
      </c>
      <c r="AK1024" s="2177"/>
      <c r="AL1024" s="2177"/>
      <c r="AM1024" s="2186">
        <f t="shared" si="2013"/>
        <v>0</v>
      </c>
      <c r="AN1024" s="2177"/>
      <c r="AO1024" s="2177"/>
      <c r="AP1024" s="2186">
        <f t="shared" si="2014"/>
        <v>0</v>
      </c>
      <c r="AQ1024" s="2177"/>
      <c r="AR1024" s="2177"/>
      <c r="AS1024" s="2186">
        <f t="shared" si="2015"/>
        <v>0</v>
      </c>
      <c r="AT1024" s="2177"/>
      <c r="AU1024" s="2177"/>
      <c r="AV1024" s="2186">
        <f t="shared" si="2016"/>
        <v>0</v>
      </c>
      <c r="AW1024" s="2177"/>
      <c r="AX1024" s="2177"/>
      <c r="AY1024" s="2186">
        <f t="shared" si="2017"/>
        <v>0</v>
      </c>
      <c r="AZ1024" s="2177"/>
      <c r="BA1024" s="2177"/>
      <c r="BB1024" s="2186">
        <f t="shared" si="2018"/>
        <v>0</v>
      </c>
      <c r="BC1024" s="2177"/>
      <c r="BD1024" s="2177"/>
      <c r="BE1024" s="2186">
        <f t="shared" si="2019"/>
        <v>0</v>
      </c>
      <c r="BF1024" s="2177"/>
      <c r="BG1024" s="2177"/>
      <c r="BH1024" s="2186">
        <f t="shared" si="2020"/>
        <v>0</v>
      </c>
      <c r="BI1024" s="2177"/>
      <c r="BJ1024" s="2177"/>
      <c r="BK1024" s="2186">
        <f t="shared" si="2021"/>
        <v>0</v>
      </c>
      <c r="BL1024" s="2177"/>
      <c r="BM1024" s="2177"/>
      <c r="BN1024" s="2186">
        <f t="shared" si="2022"/>
        <v>0</v>
      </c>
      <c r="BO1024" s="2177"/>
      <c r="BP1024" s="2177"/>
      <c r="BQ1024" s="2186">
        <f t="shared" si="2023"/>
        <v>0</v>
      </c>
    </row>
    <row r="1025" spans="3:69" s="2159" customFormat="1" ht="12" hidden="1" customHeight="1">
      <c r="C1025" s="2147" t="s">
        <v>3216</v>
      </c>
      <c r="D1025" s="2148" t="s">
        <v>2133</v>
      </c>
      <c r="E1025" s="2149"/>
      <c r="F1025" s="2150"/>
      <c r="G1025" s="2386"/>
      <c r="H1025" s="2386"/>
      <c r="I1025" s="2387"/>
      <c r="J1025" s="2385"/>
      <c r="K1025" s="2386"/>
      <c r="L1025" s="2386"/>
      <c r="M1025" s="2387"/>
      <c r="N1025" s="2386" t="s">
        <v>3217</v>
      </c>
      <c r="O1025" s="2386"/>
      <c r="P1025" s="2387"/>
      <c r="Q1025" s="2385"/>
      <c r="R1025" s="2386"/>
      <c r="S1025" s="2388"/>
      <c r="T1025" s="2389"/>
      <c r="U1025" s="2386"/>
      <c r="V1025" s="2387"/>
      <c r="W1025" s="2385"/>
      <c r="X1025" s="2386"/>
      <c r="Y1025" s="2388"/>
      <c r="Z1025" s="2389"/>
      <c r="AA1025" s="2386"/>
      <c r="AB1025" s="2387"/>
      <c r="AC1025" s="2385"/>
      <c r="AD1025" s="2151"/>
      <c r="AE1025" s="2153"/>
      <c r="AF1025" s="2157"/>
      <c r="AG1025" s="2158"/>
      <c r="AH1025" s="2386" t="s">
        <v>3217</v>
      </c>
      <c r="AI1025" s="2386"/>
      <c r="AJ1025" s="2387"/>
      <c r="AK1025" s="2386" t="s">
        <v>3217</v>
      </c>
      <c r="AL1025" s="2386"/>
      <c r="AM1025" s="2387"/>
      <c r="AN1025" s="2386" t="s">
        <v>3217</v>
      </c>
      <c r="AO1025" s="2386"/>
      <c r="AP1025" s="2387"/>
      <c r="AQ1025" s="2386" t="s">
        <v>3217</v>
      </c>
      <c r="AR1025" s="2386"/>
      <c r="AS1025" s="2387"/>
      <c r="AT1025" s="2386" t="s">
        <v>3217</v>
      </c>
      <c r="AU1025" s="2386"/>
      <c r="AV1025" s="2387"/>
      <c r="AW1025" s="2386" t="s">
        <v>3217</v>
      </c>
      <c r="AX1025" s="2386"/>
      <c r="AY1025" s="2387"/>
      <c r="AZ1025" s="2386" t="s">
        <v>3217</v>
      </c>
      <c r="BA1025" s="2386"/>
      <c r="BB1025" s="2387"/>
      <c r="BC1025" s="2386" t="s">
        <v>3217</v>
      </c>
      <c r="BD1025" s="2386"/>
      <c r="BE1025" s="2387"/>
      <c r="BF1025" s="2386" t="s">
        <v>3217</v>
      </c>
      <c r="BG1025" s="2386"/>
      <c r="BH1025" s="2387"/>
      <c r="BI1025" s="2386" t="s">
        <v>3217</v>
      </c>
      <c r="BJ1025" s="2386"/>
      <c r="BK1025" s="2387"/>
      <c r="BL1025" s="2386" t="s">
        <v>3217</v>
      </c>
      <c r="BM1025" s="2386"/>
      <c r="BN1025" s="2387"/>
      <c r="BO1025" s="2386" t="s">
        <v>3217</v>
      </c>
      <c r="BP1025" s="2386"/>
      <c r="BQ1025" s="2387"/>
    </row>
    <row r="1026" spans="3:69" s="2159" customFormat="1" ht="12" hidden="1" customHeight="1">
      <c r="C1026" s="2293" t="s">
        <v>3218</v>
      </c>
      <c r="D1026" s="2478" t="s">
        <v>3219</v>
      </c>
      <c r="E1026" s="2122" t="s">
        <v>3220</v>
      </c>
      <c r="F1026" s="2162"/>
      <c r="G1026" s="2455">
        <f>IFERROR(G1076/G918,0)</f>
        <v>0</v>
      </c>
      <c r="H1026" s="2455">
        <f>IFERROR(H1076/H918,0)</f>
        <v>0</v>
      </c>
      <c r="I1026" s="2479">
        <f>H1026-G1026</f>
        <v>0</v>
      </c>
      <c r="J1026" s="2454"/>
      <c r="K1026" s="2455">
        <f>IFERROR(K1076/K918,0)</f>
        <v>0</v>
      </c>
      <c r="L1026" s="2455">
        <f>IFERROR(L1076/L918,0)</f>
        <v>0</v>
      </c>
      <c r="M1026" s="2479">
        <f>L1026-K1026</f>
        <v>0</v>
      </c>
      <c r="N1026" s="2455">
        <f>IFERROR(N1076/N918,0)</f>
        <v>0</v>
      </c>
      <c r="O1026" s="2455">
        <f>IFERROR(O1076/O918,0)</f>
        <v>0</v>
      </c>
      <c r="P1026" s="2479">
        <f>O1026-N1026</f>
        <v>0</v>
      </c>
      <c r="Q1026" s="2456">
        <f>IFERROR(Q1076/Q918,0)</f>
        <v>0</v>
      </c>
      <c r="R1026" s="2455">
        <f>IFERROR(R1076/R918,0)</f>
        <v>0</v>
      </c>
      <c r="S1026" s="2479">
        <f>R1026-Q1026</f>
        <v>0</v>
      </c>
      <c r="T1026" s="2457">
        <f>IFERROR(T1076/T918,0)</f>
        <v>0</v>
      </c>
      <c r="U1026" s="2455">
        <f>IFERROR(U1076/U918,0)</f>
        <v>0</v>
      </c>
      <c r="V1026" s="2479">
        <f>U1026-T1026</f>
        <v>0</v>
      </c>
      <c r="W1026" s="2456">
        <f>IFERROR(W1076/W918,0)</f>
        <v>0</v>
      </c>
      <c r="X1026" s="2455">
        <f>IFERROR(X1076/X918,0)</f>
        <v>0</v>
      </c>
      <c r="Y1026" s="2479">
        <f>X1026-W1026</f>
        <v>0</v>
      </c>
      <c r="Z1026" s="2457">
        <f>IFERROR(Z1076/Z918,0)</f>
        <v>0</v>
      </c>
      <c r="AA1026" s="2455">
        <f>IFERROR(AA1076/AA918,0)</f>
        <v>0</v>
      </c>
      <c r="AB1026" s="2479">
        <f>AA1026-Z1026</f>
        <v>0</v>
      </c>
      <c r="AC1026" s="2456">
        <f>IFERROR(AC1076/AC918,0)</f>
        <v>0</v>
      </c>
      <c r="AD1026" s="2455">
        <f>IFERROR(AD1076/AD918,0)</f>
        <v>0</v>
      </c>
      <c r="AE1026" s="2479">
        <f>AD1026-AC1026</f>
        <v>0</v>
      </c>
      <c r="AF1026" s="2204"/>
      <c r="AG1026" s="2158"/>
      <c r="AH1026" s="2458">
        <f>IFERROR(AH1076/AH918,0)</f>
        <v>0</v>
      </c>
      <c r="AI1026" s="2458">
        <f>IFERROR(AI1076/AI918,0)</f>
        <v>0</v>
      </c>
      <c r="AJ1026" s="2480">
        <f>AI1026-AH1026</f>
        <v>0</v>
      </c>
      <c r="AK1026" s="2458">
        <f>IFERROR(AK1076/AK918,0)</f>
        <v>0</v>
      </c>
      <c r="AL1026" s="2458">
        <f>IFERROR(AL1076/AL918,0)</f>
        <v>0</v>
      </c>
      <c r="AM1026" s="2480">
        <f>AL1026-AK1026</f>
        <v>0</v>
      </c>
      <c r="AN1026" s="2458">
        <f>IFERROR(AN1076/AN918,0)</f>
        <v>0</v>
      </c>
      <c r="AO1026" s="2458">
        <f>IFERROR(AO1076/AO918,0)</f>
        <v>0</v>
      </c>
      <c r="AP1026" s="2480">
        <f>AO1026-AN1026</f>
        <v>0</v>
      </c>
      <c r="AQ1026" s="2458">
        <f>IFERROR(AQ1076/AQ918,0)</f>
        <v>0</v>
      </c>
      <c r="AR1026" s="2458">
        <f>IFERROR(AR1076/AR918,0)</f>
        <v>0</v>
      </c>
      <c r="AS1026" s="2480">
        <f>AR1026-AQ1026</f>
        <v>0</v>
      </c>
      <c r="AT1026" s="2458">
        <f>IFERROR(AT1076/AT918,0)</f>
        <v>0</v>
      </c>
      <c r="AU1026" s="2458">
        <f>IFERROR(AU1076/AU918,0)</f>
        <v>0</v>
      </c>
      <c r="AV1026" s="2480">
        <f>AU1026-AT1026</f>
        <v>0</v>
      </c>
      <c r="AW1026" s="2458">
        <f>IFERROR(AW1076/AW918,0)</f>
        <v>0</v>
      </c>
      <c r="AX1026" s="2458">
        <f>IFERROR(AX1076/AX918,0)</f>
        <v>0</v>
      </c>
      <c r="AY1026" s="2480">
        <f>AX1026-AW1026</f>
        <v>0</v>
      </c>
      <c r="AZ1026" s="2458">
        <f>IFERROR(AZ1076/AZ918,0)</f>
        <v>0</v>
      </c>
      <c r="BA1026" s="2458">
        <f>IFERROR(BA1076/BA918,0)</f>
        <v>0</v>
      </c>
      <c r="BB1026" s="2480">
        <f>BA1026-AZ1026</f>
        <v>0</v>
      </c>
      <c r="BC1026" s="2458">
        <f>IFERROR(BC1076/BC918,0)</f>
        <v>0</v>
      </c>
      <c r="BD1026" s="2458">
        <f>IFERROR(BD1076/BD918,0)</f>
        <v>0</v>
      </c>
      <c r="BE1026" s="2480">
        <f>BD1026-BC1026</f>
        <v>0</v>
      </c>
      <c r="BF1026" s="2458">
        <f>IFERROR(BF1076/BF918,0)</f>
        <v>0</v>
      </c>
      <c r="BG1026" s="2458">
        <f>IFERROR(BG1076/BG918,0)</f>
        <v>0</v>
      </c>
      <c r="BH1026" s="2480">
        <f>BG1026-BF1026</f>
        <v>0</v>
      </c>
      <c r="BI1026" s="2458">
        <f>IFERROR(BI1076/BI918,0)</f>
        <v>0</v>
      </c>
      <c r="BJ1026" s="2458">
        <f>IFERROR(BJ1076/BJ918,0)</f>
        <v>0</v>
      </c>
      <c r="BK1026" s="2480">
        <f>BJ1026-BI1026</f>
        <v>0</v>
      </c>
      <c r="BL1026" s="2458">
        <f>IFERROR(BL1076/BL918,0)</f>
        <v>0</v>
      </c>
      <c r="BM1026" s="2458">
        <f>IFERROR(BM1076/BM918,0)</f>
        <v>0</v>
      </c>
      <c r="BN1026" s="2480">
        <f>BM1026-BL1026</f>
        <v>0</v>
      </c>
      <c r="BO1026" s="2458">
        <f>IFERROR(BO1076/BO918,0)</f>
        <v>0</v>
      </c>
      <c r="BP1026" s="2458">
        <f>IFERROR(BP1076/BP918,0)</f>
        <v>0</v>
      </c>
      <c r="BQ1026" s="2480">
        <f>BP1026-BO1026</f>
        <v>0</v>
      </c>
    </row>
    <row r="1027" spans="3:69" s="2159" customFormat="1" ht="12" hidden="1" customHeight="1">
      <c r="C1027" s="2474" t="s">
        <v>3221</v>
      </c>
      <c r="D1027" s="2477" t="s">
        <v>3131</v>
      </c>
      <c r="E1027" s="2471"/>
      <c r="F1027" s="2320"/>
      <c r="G1027" s="2458"/>
      <c r="H1027" s="2458"/>
      <c r="I1027" s="2480"/>
      <c r="J1027" s="2481"/>
      <c r="K1027" s="2458"/>
      <c r="L1027" s="2458"/>
      <c r="M1027" s="2480"/>
      <c r="N1027" s="2458"/>
      <c r="O1027" s="2458"/>
      <c r="P1027" s="2480"/>
      <c r="Q1027" s="2481"/>
      <c r="R1027" s="2458"/>
      <c r="S1027" s="2480"/>
      <c r="T1027" s="2482"/>
      <c r="U1027" s="2458"/>
      <c r="V1027" s="2480"/>
      <c r="W1027" s="2481"/>
      <c r="X1027" s="2458"/>
      <c r="Y1027" s="2480"/>
      <c r="Z1027" s="2482"/>
      <c r="AA1027" s="2458"/>
      <c r="AB1027" s="2480"/>
      <c r="AC1027" s="2481"/>
      <c r="AD1027" s="2458"/>
      <c r="AE1027" s="2480"/>
      <c r="AF1027" s="2204"/>
      <c r="AG1027" s="2158"/>
      <c r="AH1027" s="2458"/>
      <c r="AI1027" s="2458"/>
      <c r="AJ1027" s="2480"/>
      <c r="AK1027" s="2458"/>
      <c r="AL1027" s="2458"/>
      <c r="AM1027" s="2480"/>
      <c r="AN1027" s="2458"/>
      <c r="AO1027" s="2458"/>
      <c r="AP1027" s="2480"/>
      <c r="AQ1027" s="2458"/>
      <c r="AR1027" s="2458"/>
      <c r="AS1027" s="2480"/>
      <c r="AT1027" s="2458"/>
      <c r="AU1027" s="2458"/>
      <c r="AV1027" s="2480"/>
      <c r="AW1027" s="2458"/>
      <c r="AX1027" s="2458"/>
      <c r="AY1027" s="2480"/>
      <c r="AZ1027" s="2458"/>
      <c r="BA1027" s="2458"/>
      <c r="BB1027" s="2480"/>
      <c r="BC1027" s="2458"/>
      <c r="BD1027" s="2458"/>
      <c r="BE1027" s="2480"/>
      <c r="BF1027" s="2458"/>
      <c r="BG1027" s="2458"/>
      <c r="BH1027" s="2480"/>
      <c r="BI1027" s="2458"/>
      <c r="BJ1027" s="2458"/>
      <c r="BK1027" s="2480"/>
      <c r="BL1027" s="2458"/>
      <c r="BM1027" s="2458"/>
      <c r="BN1027" s="2480"/>
      <c r="BO1027" s="2458"/>
      <c r="BP1027" s="2458"/>
      <c r="BQ1027" s="2480"/>
    </row>
    <row r="1028" spans="3:69" s="2159" customFormat="1" ht="12" hidden="1" customHeight="1">
      <c r="C1028" s="2474" t="s">
        <v>3222</v>
      </c>
      <c r="D1028" s="2476" t="s">
        <v>3223</v>
      </c>
      <c r="E1028" s="2120" t="s">
        <v>3220</v>
      </c>
      <c r="F1028" s="2162"/>
      <c r="G1028" s="2455">
        <f t="shared" ref="G1028:H1030" si="2064">IFERROR(G1084/G926,0)</f>
        <v>0</v>
      </c>
      <c r="H1028" s="2455">
        <f t="shared" si="2064"/>
        <v>0</v>
      </c>
      <c r="I1028" s="2479">
        <f>H1028-G1028</f>
        <v>0</v>
      </c>
      <c r="J1028" s="2454"/>
      <c r="K1028" s="2455">
        <f t="shared" ref="K1028:L1030" si="2065">IFERROR(K1084/K926,0)</f>
        <v>0</v>
      </c>
      <c r="L1028" s="2455">
        <f t="shared" si="2065"/>
        <v>0</v>
      </c>
      <c r="M1028" s="2479">
        <f>L1028-K1028</f>
        <v>0</v>
      </c>
      <c r="N1028" s="2455">
        <f t="shared" ref="N1028:O1030" si="2066">IFERROR(N1084/N926,0)</f>
        <v>0</v>
      </c>
      <c r="O1028" s="2455">
        <f t="shared" si="2066"/>
        <v>0</v>
      </c>
      <c r="P1028" s="2479">
        <f>O1028-N1028</f>
        <v>0</v>
      </c>
      <c r="Q1028" s="2456">
        <f t="shared" ref="Q1028:R1030" si="2067">IFERROR(Q1084/Q926,0)</f>
        <v>0</v>
      </c>
      <c r="R1028" s="2455">
        <f t="shared" si="2067"/>
        <v>0</v>
      </c>
      <c r="S1028" s="2479">
        <f>R1028-Q1028</f>
        <v>0</v>
      </c>
      <c r="T1028" s="2457">
        <f t="shared" ref="T1028:U1030" si="2068">IFERROR(T1084/T926,0)</f>
        <v>0</v>
      </c>
      <c r="U1028" s="2455">
        <f t="shared" si="2068"/>
        <v>0</v>
      </c>
      <c r="V1028" s="2479">
        <f>U1028-T1028</f>
        <v>0</v>
      </c>
      <c r="W1028" s="2456">
        <f t="shared" ref="W1028:X1030" si="2069">IFERROR(W1084/W926,0)</f>
        <v>0</v>
      </c>
      <c r="X1028" s="2455">
        <f t="shared" si="2069"/>
        <v>0</v>
      </c>
      <c r="Y1028" s="2479">
        <f>X1028-W1028</f>
        <v>0</v>
      </c>
      <c r="Z1028" s="2457">
        <f t="shared" ref="Z1028:AA1030" si="2070">IFERROR(Z1084/Z926,0)</f>
        <v>0</v>
      </c>
      <c r="AA1028" s="2455">
        <f t="shared" si="2070"/>
        <v>0</v>
      </c>
      <c r="AB1028" s="2479">
        <f>AA1028-Z1028</f>
        <v>0</v>
      </c>
      <c r="AC1028" s="2456">
        <f t="shared" ref="AC1028:AD1030" si="2071">IFERROR(AC1084/AC926,0)</f>
        <v>0</v>
      </c>
      <c r="AD1028" s="2455">
        <f t="shared" si="2071"/>
        <v>0</v>
      </c>
      <c r="AE1028" s="2479">
        <f>AD1028-AC1028</f>
        <v>0</v>
      </c>
      <c r="AF1028" s="2204"/>
      <c r="AG1028" s="2158"/>
      <c r="AH1028" s="2458">
        <f t="shared" ref="AH1028:AI1030" si="2072">IFERROR(AH1084/AH926,0)</f>
        <v>0</v>
      </c>
      <c r="AI1028" s="2458">
        <f t="shared" si="2072"/>
        <v>0</v>
      </c>
      <c r="AJ1028" s="2480">
        <f>AI1028-AH1028</f>
        <v>0</v>
      </c>
      <c r="AK1028" s="2458">
        <f t="shared" ref="AK1028:AL1030" si="2073">IFERROR(AK1084/AK926,0)</f>
        <v>0</v>
      </c>
      <c r="AL1028" s="2458">
        <f t="shared" si="2073"/>
        <v>0</v>
      </c>
      <c r="AM1028" s="2480">
        <f>AL1028-AK1028</f>
        <v>0</v>
      </c>
      <c r="AN1028" s="2458">
        <f t="shared" ref="AN1028:AO1030" si="2074">IFERROR(AN1084/AN926,0)</f>
        <v>0</v>
      </c>
      <c r="AO1028" s="2458">
        <f t="shared" si="2074"/>
        <v>0</v>
      </c>
      <c r="AP1028" s="2480">
        <f>AO1028-AN1028</f>
        <v>0</v>
      </c>
      <c r="AQ1028" s="2458">
        <f t="shared" ref="AQ1028:AR1030" si="2075">IFERROR(AQ1084/AQ926,0)</f>
        <v>0</v>
      </c>
      <c r="AR1028" s="2458">
        <f t="shared" si="2075"/>
        <v>0</v>
      </c>
      <c r="AS1028" s="2480">
        <f>AR1028-AQ1028</f>
        <v>0</v>
      </c>
      <c r="AT1028" s="2458">
        <f t="shared" ref="AT1028:AU1030" si="2076">IFERROR(AT1084/AT926,0)</f>
        <v>0</v>
      </c>
      <c r="AU1028" s="2458">
        <f t="shared" si="2076"/>
        <v>0</v>
      </c>
      <c r="AV1028" s="2480">
        <f>AU1028-AT1028</f>
        <v>0</v>
      </c>
      <c r="AW1028" s="2458">
        <f t="shared" ref="AW1028:AX1030" si="2077">IFERROR(AW1084/AW926,0)</f>
        <v>0</v>
      </c>
      <c r="AX1028" s="2458">
        <f t="shared" si="2077"/>
        <v>0</v>
      </c>
      <c r="AY1028" s="2480">
        <f>AX1028-AW1028</f>
        <v>0</v>
      </c>
      <c r="AZ1028" s="2458">
        <f t="shared" ref="AZ1028:BA1030" si="2078">IFERROR(AZ1084/AZ926,0)</f>
        <v>0</v>
      </c>
      <c r="BA1028" s="2458">
        <f t="shared" si="2078"/>
        <v>0</v>
      </c>
      <c r="BB1028" s="2480">
        <f>BA1028-AZ1028</f>
        <v>0</v>
      </c>
      <c r="BC1028" s="2458">
        <f t="shared" ref="BC1028:BD1030" si="2079">IFERROR(BC1084/BC926,0)</f>
        <v>0</v>
      </c>
      <c r="BD1028" s="2458">
        <f t="shared" si="2079"/>
        <v>0</v>
      </c>
      <c r="BE1028" s="2480">
        <f>BD1028-BC1028</f>
        <v>0</v>
      </c>
      <c r="BF1028" s="2458">
        <f t="shared" ref="BF1028:BG1030" si="2080">IFERROR(BF1084/BF926,0)</f>
        <v>0</v>
      </c>
      <c r="BG1028" s="2458">
        <f t="shared" si="2080"/>
        <v>0</v>
      </c>
      <c r="BH1028" s="2480">
        <f>BG1028-BF1028</f>
        <v>0</v>
      </c>
      <c r="BI1028" s="2458">
        <f t="shared" ref="BI1028:BJ1030" si="2081">IFERROR(BI1084/BI926,0)</f>
        <v>0</v>
      </c>
      <c r="BJ1028" s="2458">
        <f t="shared" si="2081"/>
        <v>0</v>
      </c>
      <c r="BK1028" s="2480">
        <f>BJ1028-BI1028</f>
        <v>0</v>
      </c>
      <c r="BL1028" s="2458">
        <f t="shared" ref="BL1028:BM1030" si="2082">IFERROR(BL1084/BL926,0)</f>
        <v>0</v>
      </c>
      <c r="BM1028" s="2458">
        <f t="shared" si="2082"/>
        <v>0</v>
      </c>
      <c r="BN1028" s="2480">
        <f>BM1028-BL1028</f>
        <v>0</v>
      </c>
      <c r="BO1028" s="2458">
        <f t="shared" ref="BO1028:BP1030" si="2083">IFERROR(BO1084/BO926,0)</f>
        <v>0</v>
      </c>
      <c r="BP1028" s="2458">
        <f t="shared" si="2083"/>
        <v>0</v>
      </c>
      <c r="BQ1028" s="2480">
        <f>BP1028-BO1028</f>
        <v>0</v>
      </c>
    </row>
    <row r="1029" spans="3:69" s="2087" customFormat="1" ht="12" hidden="1" customHeight="1">
      <c r="C1029" s="2468" t="s">
        <v>3224</v>
      </c>
      <c r="D1029" s="2334" t="s">
        <v>28</v>
      </c>
      <c r="E1029" s="2250" t="s">
        <v>3220</v>
      </c>
      <c r="F1029" s="2176"/>
      <c r="G1029" s="2339">
        <f t="shared" si="2064"/>
        <v>0</v>
      </c>
      <c r="H1029" s="2339">
        <f t="shared" si="2064"/>
        <v>0</v>
      </c>
      <c r="I1029" s="2337">
        <f>H1029-G1029</f>
        <v>0</v>
      </c>
      <c r="J1029" s="2338"/>
      <c r="K1029" s="2339">
        <f t="shared" si="2065"/>
        <v>0</v>
      </c>
      <c r="L1029" s="2339">
        <f t="shared" si="2065"/>
        <v>0</v>
      </c>
      <c r="M1029" s="2337">
        <f>L1029-K1029</f>
        <v>0</v>
      </c>
      <c r="N1029" s="2339">
        <f t="shared" si="2066"/>
        <v>0</v>
      </c>
      <c r="O1029" s="2339">
        <f t="shared" si="2066"/>
        <v>0</v>
      </c>
      <c r="P1029" s="2337">
        <f>O1029-N1029</f>
        <v>0</v>
      </c>
      <c r="Q1029" s="2344">
        <f t="shared" si="2067"/>
        <v>0</v>
      </c>
      <c r="R1029" s="2339">
        <f t="shared" si="2067"/>
        <v>0</v>
      </c>
      <c r="S1029" s="2337">
        <f>R1029-Q1029</f>
        <v>0</v>
      </c>
      <c r="T1029" s="2340">
        <f t="shared" si="2068"/>
        <v>0</v>
      </c>
      <c r="U1029" s="2339">
        <f t="shared" si="2068"/>
        <v>0</v>
      </c>
      <c r="V1029" s="2337">
        <f>U1029-T1029</f>
        <v>0</v>
      </c>
      <c r="W1029" s="2344">
        <f t="shared" si="2069"/>
        <v>0</v>
      </c>
      <c r="X1029" s="2339">
        <f t="shared" si="2069"/>
        <v>0</v>
      </c>
      <c r="Y1029" s="2337">
        <f>X1029-W1029</f>
        <v>0</v>
      </c>
      <c r="Z1029" s="2340">
        <f t="shared" si="2070"/>
        <v>0</v>
      </c>
      <c r="AA1029" s="2339">
        <f t="shared" si="2070"/>
        <v>0</v>
      </c>
      <c r="AB1029" s="2337">
        <f>AA1029-Z1029</f>
        <v>0</v>
      </c>
      <c r="AC1029" s="2344">
        <f t="shared" si="2071"/>
        <v>0</v>
      </c>
      <c r="AD1029" s="2339">
        <f t="shared" si="2071"/>
        <v>0</v>
      </c>
      <c r="AE1029" s="2337">
        <f>AD1029-AC1029</f>
        <v>0</v>
      </c>
      <c r="AF1029" s="2204"/>
      <c r="AG1029" s="2114"/>
      <c r="AH1029" s="2345">
        <f t="shared" si="2072"/>
        <v>0</v>
      </c>
      <c r="AI1029" s="2345">
        <f t="shared" si="2072"/>
        <v>0</v>
      </c>
      <c r="AJ1029" s="2346">
        <f>AI1029-AH1029</f>
        <v>0</v>
      </c>
      <c r="AK1029" s="2345">
        <f t="shared" si="2073"/>
        <v>0</v>
      </c>
      <c r="AL1029" s="2345">
        <f t="shared" si="2073"/>
        <v>0</v>
      </c>
      <c r="AM1029" s="2346">
        <f>AL1029-AK1029</f>
        <v>0</v>
      </c>
      <c r="AN1029" s="2345">
        <f t="shared" si="2074"/>
        <v>0</v>
      </c>
      <c r="AO1029" s="2345">
        <f t="shared" si="2074"/>
        <v>0</v>
      </c>
      <c r="AP1029" s="2346">
        <f>AO1029-AN1029</f>
        <v>0</v>
      </c>
      <c r="AQ1029" s="2345">
        <f t="shared" si="2075"/>
        <v>0</v>
      </c>
      <c r="AR1029" s="2345">
        <f t="shared" si="2075"/>
        <v>0</v>
      </c>
      <c r="AS1029" s="2346">
        <f>AR1029-AQ1029</f>
        <v>0</v>
      </c>
      <c r="AT1029" s="2345">
        <f t="shared" si="2076"/>
        <v>0</v>
      </c>
      <c r="AU1029" s="2345">
        <f t="shared" si="2076"/>
        <v>0</v>
      </c>
      <c r="AV1029" s="2346">
        <f>AU1029-AT1029</f>
        <v>0</v>
      </c>
      <c r="AW1029" s="2345">
        <f t="shared" si="2077"/>
        <v>0</v>
      </c>
      <c r="AX1029" s="2345">
        <f t="shared" si="2077"/>
        <v>0</v>
      </c>
      <c r="AY1029" s="2346">
        <f>AX1029-AW1029</f>
        <v>0</v>
      </c>
      <c r="AZ1029" s="2345">
        <f t="shared" si="2078"/>
        <v>0</v>
      </c>
      <c r="BA1029" s="2345">
        <f t="shared" si="2078"/>
        <v>0</v>
      </c>
      <c r="BB1029" s="2346">
        <f>BA1029-AZ1029</f>
        <v>0</v>
      </c>
      <c r="BC1029" s="2345">
        <f t="shared" si="2079"/>
        <v>0</v>
      </c>
      <c r="BD1029" s="2345">
        <f t="shared" si="2079"/>
        <v>0</v>
      </c>
      <c r="BE1029" s="2346">
        <f>BD1029-BC1029</f>
        <v>0</v>
      </c>
      <c r="BF1029" s="2345">
        <f t="shared" si="2080"/>
        <v>0</v>
      </c>
      <c r="BG1029" s="2345">
        <f t="shared" si="2080"/>
        <v>0</v>
      </c>
      <c r="BH1029" s="2346">
        <f>BG1029-BF1029</f>
        <v>0</v>
      </c>
      <c r="BI1029" s="2345">
        <f t="shared" si="2081"/>
        <v>0</v>
      </c>
      <c r="BJ1029" s="2345">
        <f t="shared" si="2081"/>
        <v>0</v>
      </c>
      <c r="BK1029" s="2346">
        <f>BJ1029-BI1029</f>
        <v>0</v>
      </c>
      <c r="BL1029" s="2345">
        <f t="shared" si="2082"/>
        <v>0</v>
      </c>
      <c r="BM1029" s="2345">
        <f t="shared" si="2082"/>
        <v>0</v>
      </c>
      <c r="BN1029" s="2346">
        <f>BM1029-BL1029</f>
        <v>0</v>
      </c>
      <c r="BO1029" s="2345">
        <f t="shared" si="2083"/>
        <v>0</v>
      </c>
      <c r="BP1029" s="2345">
        <f t="shared" si="2083"/>
        <v>0</v>
      </c>
      <c r="BQ1029" s="2346">
        <f>BP1029-BO1029</f>
        <v>0</v>
      </c>
    </row>
    <row r="1030" spans="3:69" s="2087" customFormat="1" ht="12" hidden="1" customHeight="1">
      <c r="C1030" s="2468" t="s">
        <v>3225</v>
      </c>
      <c r="D1030" s="2334" t="s">
        <v>2434</v>
      </c>
      <c r="E1030" s="2250" t="s">
        <v>3220</v>
      </c>
      <c r="F1030" s="2176"/>
      <c r="G1030" s="2339">
        <f t="shared" si="2064"/>
        <v>0</v>
      </c>
      <c r="H1030" s="2339">
        <f t="shared" si="2064"/>
        <v>0</v>
      </c>
      <c r="I1030" s="2337">
        <f>H1030-G1030</f>
        <v>0</v>
      </c>
      <c r="J1030" s="2338"/>
      <c r="K1030" s="2339">
        <f t="shared" si="2065"/>
        <v>0</v>
      </c>
      <c r="L1030" s="2339">
        <f t="shared" si="2065"/>
        <v>0</v>
      </c>
      <c r="M1030" s="2337">
        <f>L1030-K1030</f>
        <v>0</v>
      </c>
      <c r="N1030" s="2339">
        <f t="shared" si="2066"/>
        <v>0</v>
      </c>
      <c r="O1030" s="2339">
        <f t="shared" si="2066"/>
        <v>0</v>
      </c>
      <c r="P1030" s="2337">
        <f>O1030-N1030</f>
        <v>0</v>
      </c>
      <c r="Q1030" s="2339">
        <f t="shared" si="2067"/>
        <v>0</v>
      </c>
      <c r="R1030" s="2339">
        <f t="shared" si="2067"/>
        <v>0</v>
      </c>
      <c r="S1030" s="2337">
        <f>R1030-Q1030</f>
        <v>0</v>
      </c>
      <c r="T1030" s="2339">
        <f t="shared" si="2068"/>
        <v>0</v>
      </c>
      <c r="U1030" s="2339">
        <f t="shared" si="2068"/>
        <v>0</v>
      </c>
      <c r="V1030" s="2337">
        <f>U1030-T1030</f>
        <v>0</v>
      </c>
      <c r="W1030" s="2339">
        <f t="shared" si="2069"/>
        <v>0</v>
      </c>
      <c r="X1030" s="2339">
        <f t="shared" si="2069"/>
        <v>0</v>
      </c>
      <c r="Y1030" s="2337">
        <f>X1030-W1030</f>
        <v>0</v>
      </c>
      <c r="Z1030" s="2339">
        <f t="shared" si="2070"/>
        <v>0</v>
      </c>
      <c r="AA1030" s="2339">
        <f t="shared" si="2070"/>
        <v>0</v>
      </c>
      <c r="AB1030" s="2337">
        <f>AA1030-Z1030</f>
        <v>0</v>
      </c>
      <c r="AC1030" s="2339">
        <f t="shared" si="2071"/>
        <v>0</v>
      </c>
      <c r="AD1030" s="2339">
        <f t="shared" si="2071"/>
        <v>0</v>
      </c>
      <c r="AE1030" s="2337">
        <f>AD1030-AC1030</f>
        <v>0</v>
      </c>
      <c r="AF1030" s="2204"/>
      <c r="AG1030" s="2114"/>
      <c r="AH1030" s="2345">
        <f t="shared" si="2072"/>
        <v>0</v>
      </c>
      <c r="AI1030" s="2345">
        <f t="shared" si="2072"/>
        <v>0</v>
      </c>
      <c r="AJ1030" s="2346">
        <f>AI1030-AH1030</f>
        <v>0</v>
      </c>
      <c r="AK1030" s="2345">
        <f t="shared" si="2073"/>
        <v>0</v>
      </c>
      <c r="AL1030" s="2345">
        <f t="shared" si="2073"/>
        <v>0</v>
      </c>
      <c r="AM1030" s="2346">
        <f>AL1030-AK1030</f>
        <v>0</v>
      </c>
      <c r="AN1030" s="2345">
        <f t="shared" si="2074"/>
        <v>0</v>
      </c>
      <c r="AO1030" s="2345">
        <f t="shared" si="2074"/>
        <v>0</v>
      </c>
      <c r="AP1030" s="2346">
        <f>AO1030-AN1030</f>
        <v>0</v>
      </c>
      <c r="AQ1030" s="2345">
        <f t="shared" si="2075"/>
        <v>0</v>
      </c>
      <c r="AR1030" s="2345">
        <f t="shared" si="2075"/>
        <v>0</v>
      </c>
      <c r="AS1030" s="2346">
        <f>AR1030-AQ1030</f>
        <v>0</v>
      </c>
      <c r="AT1030" s="2345">
        <f t="shared" si="2076"/>
        <v>0</v>
      </c>
      <c r="AU1030" s="2345">
        <f t="shared" si="2076"/>
        <v>0</v>
      </c>
      <c r="AV1030" s="2346">
        <f>AU1030-AT1030</f>
        <v>0</v>
      </c>
      <c r="AW1030" s="2345">
        <f t="shared" si="2077"/>
        <v>0</v>
      </c>
      <c r="AX1030" s="2345">
        <f t="shared" si="2077"/>
        <v>0</v>
      </c>
      <c r="AY1030" s="2346">
        <f>AX1030-AW1030</f>
        <v>0</v>
      </c>
      <c r="AZ1030" s="2345">
        <f t="shared" si="2078"/>
        <v>0</v>
      </c>
      <c r="BA1030" s="2345">
        <f t="shared" si="2078"/>
        <v>0</v>
      </c>
      <c r="BB1030" s="2346">
        <f>BA1030-AZ1030</f>
        <v>0</v>
      </c>
      <c r="BC1030" s="2345">
        <f t="shared" si="2079"/>
        <v>0</v>
      </c>
      <c r="BD1030" s="2345">
        <f t="shared" si="2079"/>
        <v>0</v>
      </c>
      <c r="BE1030" s="2346">
        <f>BD1030-BC1030</f>
        <v>0</v>
      </c>
      <c r="BF1030" s="2345">
        <f t="shared" si="2080"/>
        <v>0</v>
      </c>
      <c r="BG1030" s="2345">
        <f t="shared" si="2080"/>
        <v>0</v>
      </c>
      <c r="BH1030" s="2346">
        <f>BG1030-BF1030</f>
        <v>0</v>
      </c>
      <c r="BI1030" s="2345">
        <f t="shared" si="2081"/>
        <v>0</v>
      </c>
      <c r="BJ1030" s="2345">
        <f t="shared" si="2081"/>
        <v>0</v>
      </c>
      <c r="BK1030" s="2346">
        <f>BJ1030-BI1030</f>
        <v>0</v>
      </c>
      <c r="BL1030" s="2345">
        <f t="shared" si="2082"/>
        <v>0</v>
      </c>
      <c r="BM1030" s="2345">
        <f t="shared" si="2082"/>
        <v>0</v>
      </c>
      <c r="BN1030" s="2346">
        <f>BM1030-BL1030</f>
        <v>0</v>
      </c>
      <c r="BO1030" s="2345">
        <f t="shared" si="2083"/>
        <v>0</v>
      </c>
      <c r="BP1030" s="2345">
        <f t="shared" si="2083"/>
        <v>0</v>
      </c>
      <c r="BQ1030" s="2346">
        <f>BP1030-BO1030</f>
        <v>0</v>
      </c>
    </row>
    <row r="1031" spans="3:69" s="2087" customFormat="1" ht="12" hidden="1" customHeight="1">
      <c r="C1031" s="2468" t="s">
        <v>3226</v>
      </c>
      <c r="D1031" s="2334" t="s">
        <v>42</v>
      </c>
      <c r="E1031" s="2250" t="s">
        <v>3220</v>
      </c>
      <c r="F1031" s="2176"/>
      <c r="G1031" s="2339">
        <f>IFERROR((G1087+G1089)/(G929+G931),0)</f>
        <v>0</v>
      </c>
      <c r="H1031" s="2339">
        <f>IFERROR((H1087+H1089)/(H929+H931),0)</f>
        <v>0</v>
      </c>
      <c r="I1031" s="2337">
        <f>H1031-G1031</f>
        <v>0</v>
      </c>
      <c r="J1031" s="2338"/>
      <c r="K1031" s="2339">
        <f>IFERROR((K1087+K1089)/(K929+K931),0)</f>
        <v>0</v>
      </c>
      <c r="L1031" s="2339">
        <f>IFERROR((L1087+L1089)/(L929+L931),0)</f>
        <v>0</v>
      </c>
      <c r="M1031" s="2337">
        <f>L1031-K1031</f>
        <v>0</v>
      </c>
      <c r="N1031" s="2339">
        <f>IFERROR((N1087+N1089)/(N929+N931),0)</f>
        <v>0</v>
      </c>
      <c r="O1031" s="2339">
        <f>IFERROR((O1087+O1089)/(O929+O931),0)</f>
        <v>0</v>
      </c>
      <c r="P1031" s="2337">
        <f>O1031-N1031</f>
        <v>0</v>
      </c>
      <c r="Q1031" s="2344">
        <f>IFERROR((Q1087+Q1089)/(Q929+Q931),0)</f>
        <v>0</v>
      </c>
      <c r="R1031" s="2339">
        <f>IFERROR((R1087+R1089)/(R929+R931),0)</f>
        <v>0</v>
      </c>
      <c r="S1031" s="2337">
        <f>R1031-Q1031</f>
        <v>0</v>
      </c>
      <c r="T1031" s="2340">
        <f>IFERROR((T1087+T1089)/(T929+T931),0)</f>
        <v>0</v>
      </c>
      <c r="U1031" s="2339">
        <f>IFERROR((U1087+U1089)/(U929+U931),0)</f>
        <v>0</v>
      </c>
      <c r="V1031" s="2337">
        <f>U1031-T1031</f>
        <v>0</v>
      </c>
      <c r="W1031" s="2344">
        <f>IFERROR((W1087+W1089)/(W929+W931),0)</f>
        <v>0</v>
      </c>
      <c r="X1031" s="2339">
        <f>IFERROR((X1087+X1089)/(X929+X931),0)</f>
        <v>0</v>
      </c>
      <c r="Y1031" s="2337">
        <f>X1031-W1031</f>
        <v>0</v>
      </c>
      <c r="Z1031" s="2340">
        <f>IFERROR((Z1087+Z1089)/(Z929+Z931),0)</f>
        <v>0</v>
      </c>
      <c r="AA1031" s="2339">
        <f>IFERROR((AA1087+AA1089)/(AA929+AA931),0)</f>
        <v>0</v>
      </c>
      <c r="AB1031" s="2337">
        <f>AA1031-Z1031</f>
        <v>0</v>
      </c>
      <c r="AC1031" s="2344">
        <f>IFERROR((AC1087+AC1089)/(AC929+AC931),0)</f>
        <v>0</v>
      </c>
      <c r="AD1031" s="2339">
        <f>IFERROR((AD1087+AD1089)/(AD929+AD931),0)</f>
        <v>0</v>
      </c>
      <c r="AE1031" s="2337">
        <f>AD1031-AC1031</f>
        <v>0</v>
      </c>
      <c r="AF1031" s="2204"/>
      <c r="AG1031" s="2114"/>
      <c r="AH1031" s="2345">
        <f>IFERROR((AH1087+AH1089)/(AH929+AH931),0)</f>
        <v>0</v>
      </c>
      <c r="AI1031" s="2345">
        <f>IFERROR((AI1087+AI1089)/(AI929+AI931),0)</f>
        <v>0</v>
      </c>
      <c r="AJ1031" s="2346">
        <f>AI1031-AH1031</f>
        <v>0</v>
      </c>
      <c r="AK1031" s="2345">
        <f>IFERROR((AK1087+AK1089)/(AK929+AK931),0)</f>
        <v>0</v>
      </c>
      <c r="AL1031" s="2345">
        <f>IFERROR((AL1087+AL1089)/(AL929+AL931),0)</f>
        <v>0</v>
      </c>
      <c r="AM1031" s="2346">
        <f>AL1031-AK1031</f>
        <v>0</v>
      </c>
      <c r="AN1031" s="2345">
        <f>IFERROR((AN1087+AN1089)/(AN929+AN931),0)</f>
        <v>0</v>
      </c>
      <c r="AO1031" s="2345">
        <f>IFERROR((AO1087+AO1089)/(AO929+AO931),0)</f>
        <v>0</v>
      </c>
      <c r="AP1031" s="2346">
        <f>AO1031-AN1031</f>
        <v>0</v>
      </c>
      <c r="AQ1031" s="2345">
        <f>IFERROR((AQ1087+AQ1089)/(AQ929+AQ931),0)</f>
        <v>0</v>
      </c>
      <c r="AR1031" s="2345">
        <f>IFERROR((AR1087+AR1089)/(AR929+AR931),0)</f>
        <v>0</v>
      </c>
      <c r="AS1031" s="2346">
        <f>AR1031-AQ1031</f>
        <v>0</v>
      </c>
      <c r="AT1031" s="2345">
        <f>IFERROR((AT1087+AT1089)/(AT929+AT931),0)</f>
        <v>0</v>
      </c>
      <c r="AU1031" s="2345">
        <f>IFERROR((AU1087+AU1089)/(AU929+AU931),0)</f>
        <v>0</v>
      </c>
      <c r="AV1031" s="2346">
        <f>AU1031-AT1031</f>
        <v>0</v>
      </c>
      <c r="AW1031" s="2345">
        <f>IFERROR((AW1087+AW1089)/(AW929+AW931),0)</f>
        <v>0</v>
      </c>
      <c r="AX1031" s="2345">
        <f>IFERROR((AX1087+AX1089)/(AX929+AX931),0)</f>
        <v>0</v>
      </c>
      <c r="AY1031" s="2346">
        <f>AX1031-AW1031</f>
        <v>0</v>
      </c>
      <c r="AZ1031" s="2345">
        <f>IFERROR((AZ1087+AZ1089)/(AZ929+AZ931),0)</f>
        <v>0</v>
      </c>
      <c r="BA1031" s="2345">
        <f>IFERROR((BA1087+BA1089)/(BA929+BA931),0)</f>
        <v>0</v>
      </c>
      <c r="BB1031" s="2346">
        <f>BA1031-AZ1031</f>
        <v>0</v>
      </c>
      <c r="BC1031" s="2345">
        <f>IFERROR((BC1087+BC1089)/(BC929+BC931),0)</f>
        <v>0</v>
      </c>
      <c r="BD1031" s="2345">
        <f>IFERROR((BD1087+BD1089)/(BD929+BD931),0)</f>
        <v>0</v>
      </c>
      <c r="BE1031" s="2346">
        <f>BD1031-BC1031</f>
        <v>0</v>
      </c>
      <c r="BF1031" s="2345">
        <f>IFERROR((BF1087+BF1089)/(BF929+BF931),0)</f>
        <v>0</v>
      </c>
      <c r="BG1031" s="2345">
        <f>IFERROR((BG1087+BG1089)/(BG929+BG931),0)</f>
        <v>0</v>
      </c>
      <c r="BH1031" s="2346">
        <f>BG1031-BF1031</f>
        <v>0</v>
      </c>
      <c r="BI1031" s="2345">
        <f>IFERROR((BI1087+BI1089)/(BI929+BI931),0)</f>
        <v>0</v>
      </c>
      <c r="BJ1031" s="2345">
        <f>IFERROR((BJ1087+BJ1089)/(BJ929+BJ931),0)</f>
        <v>0</v>
      </c>
      <c r="BK1031" s="2346">
        <f>BJ1031-BI1031</f>
        <v>0</v>
      </c>
      <c r="BL1031" s="2345">
        <f>IFERROR((BL1087+BL1089)/(BL929+BL931),0)</f>
        <v>0</v>
      </c>
      <c r="BM1031" s="2345">
        <f>IFERROR((BM1087+BM1089)/(BM929+BM931),0)</f>
        <v>0</v>
      </c>
      <c r="BN1031" s="2346">
        <f>BM1031-BL1031</f>
        <v>0</v>
      </c>
      <c r="BO1031" s="2345">
        <f>IFERROR((BO1087+BO1089)/(BO929+BO931),0)</f>
        <v>0</v>
      </c>
      <c r="BP1031" s="2345">
        <f>IFERROR((BP1087+BP1089)/(BP929+BP931),0)</f>
        <v>0</v>
      </c>
      <c r="BQ1031" s="2346">
        <f>BP1031-BO1031</f>
        <v>0</v>
      </c>
    </row>
    <row r="1032" spans="3:69" s="2087" customFormat="1" ht="12" hidden="1" customHeight="1">
      <c r="C1032" s="2468" t="s">
        <v>3227</v>
      </c>
      <c r="D1032" s="2334" t="s">
        <v>2434</v>
      </c>
      <c r="E1032" s="2250" t="s">
        <v>3220</v>
      </c>
      <c r="F1032" s="2176"/>
      <c r="G1032" s="2339">
        <f>IFERROR((G1088+G1090)/(G930+G932),0)</f>
        <v>0</v>
      </c>
      <c r="H1032" s="2339">
        <f>IFERROR((H1088+H1090)/(H930+H932),0)</f>
        <v>0</v>
      </c>
      <c r="I1032" s="2337">
        <f>H1032-G1032</f>
        <v>0</v>
      </c>
      <c r="J1032" s="2338"/>
      <c r="K1032" s="2339">
        <f>IFERROR((K1088+K1090)/(K930+K932),0)</f>
        <v>0</v>
      </c>
      <c r="L1032" s="2339">
        <f>IFERROR((L1088+L1090)/(L930+L932),0)</f>
        <v>0</v>
      </c>
      <c r="M1032" s="2337">
        <f>L1032-K1032</f>
        <v>0</v>
      </c>
      <c r="N1032" s="2339">
        <f>IFERROR((N1088+N1090)/(N930+N932),0)</f>
        <v>0</v>
      </c>
      <c r="O1032" s="2339">
        <f>IFERROR((O1088+O1090)/(O930+O932),0)</f>
        <v>0</v>
      </c>
      <c r="P1032" s="2337">
        <f>O1032-N1032</f>
        <v>0</v>
      </c>
      <c r="Q1032" s="2339">
        <f>IFERROR((Q1088+Q1090)/(Q930+Q932),0)</f>
        <v>0</v>
      </c>
      <c r="R1032" s="2339">
        <f>IFERROR((R1088+R1090)/(R930+R932),0)</f>
        <v>0</v>
      </c>
      <c r="S1032" s="2337">
        <f>R1032-Q1032</f>
        <v>0</v>
      </c>
      <c r="T1032" s="2339">
        <f>IFERROR((T1088+T1090)/(T930+T932),0)</f>
        <v>0</v>
      </c>
      <c r="U1032" s="2339">
        <f>IFERROR((U1088+U1090)/(U930+U932),0)</f>
        <v>0</v>
      </c>
      <c r="V1032" s="2337">
        <f>U1032-T1032</f>
        <v>0</v>
      </c>
      <c r="W1032" s="2339">
        <f>IFERROR((W1088+W1090)/(W930+W932),0)</f>
        <v>0</v>
      </c>
      <c r="X1032" s="2339">
        <f>IFERROR((X1088+X1090)/(X930+X932),0)</f>
        <v>0</v>
      </c>
      <c r="Y1032" s="2337">
        <f>X1032-W1032</f>
        <v>0</v>
      </c>
      <c r="Z1032" s="2339">
        <f>IFERROR((Z1088+Z1090)/(Z930+Z932),0)</f>
        <v>0</v>
      </c>
      <c r="AA1032" s="2339">
        <f>IFERROR((AA1088+AA1090)/(AA930+AA932),0)</f>
        <v>0</v>
      </c>
      <c r="AB1032" s="2337">
        <f>AA1032-Z1032</f>
        <v>0</v>
      </c>
      <c r="AC1032" s="2339">
        <f>IFERROR((AC1088+AC1090)/(AC930+AC932),0)</f>
        <v>0</v>
      </c>
      <c r="AD1032" s="2339">
        <f>IFERROR((AD1088+AD1090)/(AD930+AD932),0)</f>
        <v>0</v>
      </c>
      <c r="AE1032" s="2337">
        <f>AD1032-AC1032</f>
        <v>0</v>
      </c>
      <c r="AF1032" s="2204"/>
      <c r="AG1032" s="2114"/>
      <c r="AH1032" s="2345">
        <f>IFERROR((AH1088+AH1090)/(AH930+AH932),0)</f>
        <v>0</v>
      </c>
      <c r="AI1032" s="2345">
        <f>IFERROR((AI1088+AI1090)/(AI930+AI932),0)</f>
        <v>0</v>
      </c>
      <c r="AJ1032" s="2346">
        <f>AI1032-AH1032</f>
        <v>0</v>
      </c>
      <c r="AK1032" s="2345">
        <f>IFERROR((AK1088+AK1090)/(AK930+AK932),0)</f>
        <v>0</v>
      </c>
      <c r="AL1032" s="2345">
        <f>IFERROR((AL1088+AL1090)/(AL930+AL932),0)</f>
        <v>0</v>
      </c>
      <c r="AM1032" s="2346">
        <f>AL1032-AK1032</f>
        <v>0</v>
      </c>
      <c r="AN1032" s="2345">
        <f>IFERROR((AN1088+AN1090)/(AN930+AN932),0)</f>
        <v>0</v>
      </c>
      <c r="AO1032" s="2345">
        <f>IFERROR((AO1088+AO1090)/(AO930+AO932),0)</f>
        <v>0</v>
      </c>
      <c r="AP1032" s="2346">
        <f>AO1032-AN1032</f>
        <v>0</v>
      </c>
      <c r="AQ1032" s="2345">
        <f>IFERROR((AQ1088+AQ1090)/(AQ930+AQ932),0)</f>
        <v>0</v>
      </c>
      <c r="AR1032" s="2345">
        <f>IFERROR((AR1088+AR1090)/(AR930+AR932),0)</f>
        <v>0</v>
      </c>
      <c r="AS1032" s="2346">
        <f>AR1032-AQ1032</f>
        <v>0</v>
      </c>
      <c r="AT1032" s="2345">
        <f>IFERROR((AT1088+AT1090)/(AT930+AT932),0)</f>
        <v>0</v>
      </c>
      <c r="AU1032" s="2345">
        <f>IFERROR((AU1088+AU1090)/(AU930+AU932),0)</f>
        <v>0</v>
      </c>
      <c r="AV1032" s="2346">
        <f>AU1032-AT1032</f>
        <v>0</v>
      </c>
      <c r="AW1032" s="2345">
        <f>IFERROR((AW1088+AW1090)/(AW930+AW932),0)</f>
        <v>0</v>
      </c>
      <c r="AX1032" s="2345">
        <f>IFERROR((AX1088+AX1090)/(AX930+AX932),0)</f>
        <v>0</v>
      </c>
      <c r="AY1032" s="2346">
        <f>AX1032-AW1032</f>
        <v>0</v>
      </c>
      <c r="AZ1032" s="2345">
        <f>IFERROR((AZ1088+AZ1090)/(AZ930+AZ932),0)</f>
        <v>0</v>
      </c>
      <c r="BA1032" s="2345">
        <f>IFERROR((BA1088+BA1090)/(BA930+BA932),0)</f>
        <v>0</v>
      </c>
      <c r="BB1032" s="2346">
        <f>BA1032-AZ1032</f>
        <v>0</v>
      </c>
      <c r="BC1032" s="2345">
        <f>IFERROR((BC1088+BC1090)/(BC930+BC932),0)</f>
        <v>0</v>
      </c>
      <c r="BD1032" s="2345">
        <f>IFERROR((BD1088+BD1090)/(BD930+BD932),0)</f>
        <v>0</v>
      </c>
      <c r="BE1032" s="2346">
        <f>BD1032-BC1032</f>
        <v>0</v>
      </c>
      <c r="BF1032" s="2345">
        <f>IFERROR((BF1088+BF1090)/(BF930+BF932),0)</f>
        <v>0</v>
      </c>
      <c r="BG1032" s="2345">
        <f>IFERROR((BG1088+BG1090)/(BG930+BG932),0)</f>
        <v>0</v>
      </c>
      <c r="BH1032" s="2346">
        <f>BG1032-BF1032</f>
        <v>0</v>
      </c>
      <c r="BI1032" s="2345">
        <f>IFERROR((BI1088+BI1090)/(BI930+BI932),0)</f>
        <v>0</v>
      </c>
      <c r="BJ1032" s="2345">
        <f>IFERROR((BJ1088+BJ1090)/(BJ930+BJ932),0)</f>
        <v>0</v>
      </c>
      <c r="BK1032" s="2346">
        <f>BJ1032-BI1032</f>
        <v>0</v>
      </c>
      <c r="BL1032" s="2345">
        <f>IFERROR((BL1088+BL1090)/(BL930+BL932),0)</f>
        <v>0</v>
      </c>
      <c r="BM1032" s="2345">
        <f>IFERROR((BM1088+BM1090)/(BM930+BM932),0)</f>
        <v>0</v>
      </c>
      <c r="BN1032" s="2346">
        <f>BM1032-BL1032</f>
        <v>0</v>
      </c>
      <c r="BO1032" s="2345">
        <f>IFERROR((BO1088+BO1090)/(BO930+BO932),0)</f>
        <v>0</v>
      </c>
      <c r="BP1032" s="2345">
        <f>IFERROR((BP1088+BP1090)/(BP930+BP932),0)</f>
        <v>0</v>
      </c>
      <c r="BQ1032" s="2346">
        <f>BP1032-BO1032</f>
        <v>0</v>
      </c>
    </row>
    <row r="1033" spans="3:69" s="2159" customFormat="1" ht="12" hidden="1" customHeight="1">
      <c r="C1033" s="2474" t="s">
        <v>3228</v>
      </c>
      <c r="D1033" s="2476" t="s">
        <v>3229</v>
      </c>
      <c r="E1033" s="2471"/>
      <c r="F1033" s="2320"/>
      <c r="G1033" s="2458"/>
      <c r="H1033" s="2458"/>
      <c r="I1033" s="2480"/>
      <c r="J1033" s="2481"/>
      <c r="K1033" s="2458"/>
      <c r="L1033" s="2458"/>
      <c r="M1033" s="2480"/>
      <c r="N1033" s="2458"/>
      <c r="O1033" s="2458"/>
      <c r="P1033" s="2480"/>
      <c r="Q1033" s="2481"/>
      <c r="R1033" s="2458"/>
      <c r="S1033" s="2480"/>
      <c r="T1033" s="2482"/>
      <c r="U1033" s="2458"/>
      <c r="V1033" s="2480"/>
      <c r="W1033" s="2481"/>
      <c r="X1033" s="2458"/>
      <c r="Y1033" s="2480"/>
      <c r="Z1033" s="2482"/>
      <c r="AA1033" s="2458"/>
      <c r="AB1033" s="2480"/>
      <c r="AC1033" s="2481"/>
      <c r="AD1033" s="2458"/>
      <c r="AE1033" s="2480"/>
      <c r="AF1033" s="2204"/>
      <c r="AG1033" s="2158"/>
      <c r="AH1033" s="2458"/>
      <c r="AI1033" s="2458"/>
      <c r="AJ1033" s="2480"/>
      <c r="AK1033" s="2458"/>
      <c r="AL1033" s="2458"/>
      <c r="AM1033" s="2480"/>
      <c r="AN1033" s="2458"/>
      <c r="AO1033" s="2458"/>
      <c r="AP1033" s="2480"/>
      <c r="AQ1033" s="2458"/>
      <c r="AR1033" s="2458"/>
      <c r="AS1033" s="2480"/>
      <c r="AT1033" s="2458"/>
      <c r="AU1033" s="2458"/>
      <c r="AV1033" s="2480"/>
      <c r="AW1033" s="2458"/>
      <c r="AX1033" s="2458"/>
      <c r="AY1033" s="2480"/>
      <c r="AZ1033" s="2458"/>
      <c r="BA1033" s="2458"/>
      <c r="BB1033" s="2480"/>
      <c r="BC1033" s="2458"/>
      <c r="BD1033" s="2458"/>
      <c r="BE1033" s="2480"/>
      <c r="BF1033" s="2458"/>
      <c r="BG1033" s="2458"/>
      <c r="BH1033" s="2480"/>
      <c r="BI1033" s="2458"/>
      <c r="BJ1033" s="2458"/>
      <c r="BK1033" s="2480"/>
      <c r="BL1033" s="2458"/>
      <c r="BM1033" s="2458"/>
      <c r="BN1033" s="2480"/>
      <c r="BO1033" s="2458"/>
      <c r="BP1033" s="2458"/>
      <c r="BQ1033" s="2480"/>
    </row>
    <row r="1034" spans="3:69" s="2159" customFormat="1" ht="12" hidden="1" customHeight="1">
      <c r="C1034" s="2474" t="s">
        <v>3230</v>
      </c>
      <c r="D1034" s="2475" t="s">
        <v>3231</v>
      </c>
      <c r="E1034" s="2471"/>
      <c r="F1034" s="2265"/>
      <c r="G1034" s="2345"/>
      <c r="H1034" s="2345"/>
      <c r="I1034" s="2346"/>
      <c r="J1034" s="2483"/>
      <c r="K1034" s="2345"/>
      <c r="L1034" s="2345"/>
      <c r="M1034" s="2346"/>
      <c r="N1034" s="2345"/>
      <c r="O1034" s="2345"/>
      <c r="P1034" s="2346"/>
      <c r="Q1034" s="2483"/>
      <c r="R1034" s="2345"/>
      <c r="S1034" s="2346"/>
      <c r="T1034" s="2484"/>
      <c r="U1034" s="2345"/>
      <c r="V1034" s="2346"/>
      <c r="W1034" s="2483"/>
      <c r="X1034" s="2345"/>
      <c r="Y1034" s="2346"/>
      <c r="Z1034" s="2484"/>
      <c r="AA1034" s="2345"/>
      <c r="AB1034" s="2346"/>
      <c r="AC1034" s="2483"/>
      <c r="AD1034" s="2345"/>
      <c r="AE1034" s="2346"/>
      <c r="AF1034" s="2204"/>
      <c r="AG1034" s="2158"/>
      <c r="AH1034" s="2345"/>
      <c r="AI1034" s="2345"/>
      <c r="AJ1034" s="2346"/>
      <c r="AK1034" s="2345"/>
      <c r="AL1034" s="2345"/>
      <c r="AM1034" s="2346"/>
      <c r="AN1034" s="2345"/>
      <c r="AO1034" s="2345"/>
      <c r="AP1034" s="2346"/>
      <c r="AQ1034" s="2345"/>
      <c r="AR1034" s="2345"/>
      <c r="AS1034" s="2346"/>
      <c r="AT1034" s="2345"/>
      <c r="AU1034" s="2345"/>
      <c r="AV1034" s="2346"/>
      <c r="AW1034" s="2345"/>
      <c r="AX1034" s="2345"/>
      <c r="AY1034" s="2346"/>
      <c r="AZ1034" s="2345"/>
      <c r="BA1034" s="2345"/>
      <c r="BB1034" s="2346"/>
      <c r="BC1034" s="2345"/>
      <c r="BD1034" s="2345"/>
      <c r="BE1034" s="2346"/>
      <c r="BF1034" s="2345"/>
      <c r="BG1034" s="2345"/>
      <c r="BH1034" s="2346"/>
      <c r="BI1034" s="2345"/>
      <c r="BJ1034" s="2345"/>
      <c r="BK1034" s="2346"/>
      <c r="BL1034" s="2345"/>
      <c r="BM1034" s="2345"/>
      <c r="BN1034" s="2346"/>
      <c r="BO1034" s="2345"/>
      <c r="BP1034" s="2345"/>
      <c r="BQ1034" s="2346"/>
    </row>
    <row r="1035" spans="3:69" s="2087" customFormat="1" ht="12" hidden="1" customHeight="1">
      <c r="C1035" s="2423" t="s">
        <v>3232</v>
      </c>
      <c r="D1035" s="2421" t="s">
        <v>3143</v>
      </c>
      <c r="E1035" s="2250" t="s">
        <v>3079</v>
      </c>
      <c r="F1035" s="2176"/>
      <c r="G1035" s="2339">
        <f>IFERROR(G1107/G949,0)</f>
        <v>0</v>
      </c>
      <c r="H1035" s="2339">
        <f>IFERROR(H1107/H949,0)</f>
        <v>0</v>
      </c>
      <c r="I1035" s="2337">
        <f>H1035-G1035</f>
        <v>0</v>
      </c>
      <c r="J1035" s="2338"/>
      <c r="K1035" s="2339">
        <f>IFERROR(K1107/K949,0)</f>
        <v>0</v>
      </c>
      <c r="L1035" s="2339">
        <f>IFERROR(L1107/L949,0)</f>
        <v>0</v>
      </c>
      <c r="M1035" s="2337">
        <f>L1035-K1035</f>
        <v>0</v>
      </c>
      <c r="N1035" s="2339">
        <f>IFERROR(N1107/N949,0)</f>
        <v>0</v>
      </c>
      <c r="O1035" s="2339">
        <f>IFERROR(O1107/O949,0)</f>
        <v>0</v>
      </c>
      <c r="P1035" s="2337">
        <f>O1035-N1035</f>
        <v>0</v>
      </c>
      <c r="Q1035" s="2344">
        <f>IFERROR(Q1107/Q949,0)</f>
        <v>0</v>
      </c>
      <c r="R1035" s="2339">
        <f>IFERROR(R1107/R949,0)</f>
        <v>0</v>
      </c>
      <c r="S1035" s="2337">
        <f>R1035-Q1035</f>
        <v>0</v>
      </c>
      <c r="T1035" s="2340">
        <f>IFERROR(T1107/T949,0)</f>
        <v>0</v>
      </c>
      <c r="U1035" s="2339">
        <f>IFERROR(U1107/U949,0)</f>
        <v>0</v>
      </c>
      <c r="V1035" s="2337">
        <f>U1035-T1035</f>
        <v>0</v>
      </c>
      <c r="W1035" s="2344">
        <f>IFERROR(W1107/W949,0)</f>
        <v>0</v>
      </c>
      <c r="X1035" s="2339">
        <f>IFERROR(X1107/X949,0)</f>
        <v>0</v>
      </c>
      <c r="Y1035" s="2337">
        <f>X1035-W1035</f>
        <v>0</v>
      </c>
      <c r="Z1035" s="2340">
        <f>IFERROR(Z1107/Z949,0)</f>
        <v>0</v>
      </c>
      <c r="AA1035" s="2339">
        <f>IFERROR(AA1107/AA949,0)</f>
        <v>0</v>
      </c>
      <c r="AB1035" s="2337">
        <f>AA1035-Z1035</f>
        <v>0</v>
      </c>
      <c r="AC1035" s="2344">
        <f>IFERROR(AC1107/AC949,0)</f>
        <v>0</v>
      </c>
      <c r="AD1035" s="2339">
        <f>IFERROR(AD1107/AD949,0)</f>
        <v>0</v>
      </c>
      <c r="AE1035" s="2337">
        <f>AD1035-AC1035</f>
        <v>0</v>
      </c>
      <c r="AF1035" s="2204"/>
      <c r="AG1035" s="2114"/>
      <c r="AH1035" s="2345">
        <f>IFERROR(AH1107/AH949,0)</f>
        <v>0</v>
      </c>
      <c r="AI1035" s="2345">
        <f>IFERROR(AI1107/AI949,0)</f>
        <v>0</v>
      </c>
      <c r="AJ1035" s="2346">
        <f>AI1035-AH1035</f>
        <v>0</v>
      </c>
      <c r="AK1035" s="2345">
        <f>IFERROR(AK1107/AK949,0)</f>
        <v>0</v>
      </c>
      <c r="AL1035" s="2345">
        <f>IFERROR(AL1107/AL949,0)</f>
        <v>0</v>
      </c>
      <c r="AM1035" s="2346">
        <f>AL1035-AK1035</f>
        <v>0</v>
      </c>
      <c r="AN1035" s="2345">
        <f>IFERROR(AN1107/AN949,0)</f>
        <v>0</v>
      </c>
      <c r="AO1035" s="2345">
        <f>IFERROR(AO1107/AO949,0)</f>
        <v>0</v>
      </c>
      <c r="AP1035" s="2346">
        <f>AO1035-AN1035</f>
        <v>0</v>
      </c>
      <c r="AQ1035" s="2345">
        <f>IFERROR(AQ1107/AQ949,0)</f>
        <v>0</v>
      </c>
      <c r="AR1035" s="2345">
        <f>IFERROR(AR1107/AR949,0)</f>
        <v>0</v>
      </c>
      <c r="AS1035" s="2346">
        <f>AR1035-AQ1035</f>
        <v>0</v>
      </c>
      <c r="AT1035" s="2345">
        <f>IFERROR(AT1107/AT949,0)</f>
        <v>0</v>
      </c>
      <c r="AU1035" s="2345">
        <f>IFERROR(AU1107/AU949,0)</f>
        <v>0</v>
      </c>
      <c r="AV1035" s="2346">
        <f>AU1035-AT1035</f>
        <v>0</v>
      </c>
      <c r="AW1035" s="2345">
        <f>IFERROR(AW1107/AW949,0)</f>
        <v>0</v>
      </c>
      <c r="AX1035" s="2345">
        <f>IFERROR(AX1107/AX949,0)</f>
        <v>0</v>
      </c>
      <c r="AY1035" s="2346">
        <f>AX1035-AW1035</f>
        <v>0</v>
      </c>
      <c r="AZ1035" s="2345">
        <f>IFERROR(AZ1107/AZ949,0)</f>
        <v>0</v>
      </c>
      <c r="BA1035" s="2345">
        <f>IFERROR(BA1107/BA949,0)</f>
        <v>0</v>
      </c>
      <c r="BB1035" s="2346">
        <f>BA1035-AZ1035</f>
        <v>0</v>
      </c>
      <c r="BC1035" s="2345">
        <f>IFERROR(BC1107/BC949,0)</f>
        <v>0</v>
      </c>
      <c r="BD1035" s="2345">
        <f>IFERROR(BD1107/BD949,0)</f>
        <v>0</v>
      </c>
      <c r="BE1035" s="2346">
        <f>BD1035-BC1035</f>
        <v>0</v>
      </c>
      <c r="BF1035" s="2345">
        <f>IFERROR(BF1107/BF949,0)</f>
        <v>0</v>
      </c>
      <c r="BG1035" s="2345">
        <f>IFERROR(BG1107/BG949,0)</f>
        <v>0</v>
      </c>
      <c r="BH1035" s="2346">
        <f>BG1035-BF1035</f>
        <v>0</v>
      </c>
      <c r="BI1035" s="2345">
        <f>IFERROR(BI1107/BI949,0)</f>
        <v>0</v>
      </c>
      <c r="BJ1035" s="2345">
        <f>IFERROR(BJ1107/BJ949,0)</f>
        <v>0</v>
      </c>
      <c r="BK1035" s="2346">
        <f>BJ1035-BI1035</f>
        <v>0</v>
      </c>
      <c r="BL1035" s="2345">
        <f>IFERROR(BL1107/BL949,0)</f>
        <v>0</v>
      </c>
      <c r="BM1035" s="2345">
        <f>IFERROR(BM1107/BM949,0)</f>
        <v>0</v>
      </c>
      <c r="BN1035" s="2346">
        <f>BM1035-BL1035</f>
        <v>0</v>
      </c>
      <c r="BO1035" s="2345">
        <f>IFERROR(BO1107/BO949,0)</f>
        <v>0</v>
      </c>
      <c r="BP1035" s="2345">
        <f>IFERROR(BP1107/BP949,0)</f>
        <v>0</v>
      </c>
      <c r="BQ1035" s="2346">
        <f>BP1035-BO1035</f>
        <v>0</v>
      </c>
    </row>
    <row r="1036" spans="3:69" s="2087" customFormat="1" ht="12" hidden="1" customHeight="1">
      <c r="C1036" s="2423" t="s">
        <v>3233</v>
      </c>
      <c r="D1036" s="2421" t="s">
        <v>2229</v>
      </c>
      <c r="E1036" s="2250" t="s">
        <v>3220</v>
      </c>
      <c r="F1036" s="2176"/>
      <c r="G1036" s="2339">
        <f>IFERROR((G1109+G1111)/(G951+G953),0)</f>
        <v>0</v>
      </c>
      <c r="H1036" s="2339">
        <f>IFERROR((H1109+H1111)/(H951+H953),0)</f>
        <v>0</v>
      </c>
      <c r="I1036" s="2337">
        <f>H1036-G1036</f>
        <v>0</v>
      </c>
      <c r="J1036" s="2338"/>
      <c r="K1036" s="2339">
        <f>IFERROR((K1109+K1111)/(K951+K953),0)</f>
        <v>0</v>
      </c>
      <c r="L1036" s="2339">
        <f>IFERROR((L1109+L1111)/(L951+L953),0)</f>
        <v>0</v>
      </c>
      <c r="M1036" s="2337">
        <f>L1036-K1036</f>
        <v>0</v>
      </c>
      <c r="N1036" s="2339">
        <f>IFERROR((N1109+N1111)/(N951+N953),0)</f>
        <v>0</v>
      </c>
      <c r="O1036" s="2339">
        <f>IFERROR((O1109+O1111)/(O951+O953),0)</f>
        <v>0</v>
      </c>
      <c r="P1036" s="2337">
        <f>O1036-N1036</f>
        <v>0</v>
      </c>
      <c r="Q1036" s="2339">
        <f>IFERROR((Q1109+Q1111)/(Q951+Q953),0)</f>
        <v>0</v>
      </c>
      <c r="R1036" s="2339">
        <f>IFERROR((R1109+R1111)/(R951+R953),0)</f>
        <v>0</v>
      </c>
      <c r="S1036" s="2337">
        <f>R1036-Q1036</f>
        <v>0</v>
      </c>
      <c r="T1036" s="2339">
        <f>IFERROR((T1109+T1111)/(T951+T953),0)</f>
        <v>0</v>
      </c>
      <c r="U1036" s="2339">
        <f>IFERROR((U1109+U1111)/(U951+U953),0)</f>
        <v>0</v>
      </c>
      <c r="V1036" s="2337">
        <f>U1036-T1036</f>
        <v>0</v>
      </c>
      <c r="W1036" s="2339">
        <f>IFERROR((W1109+W1111)/(W951+W953),0)</f>
        <v>0</v>
      </c>
      <c r="X1036" s="2339">
        <f>IFERROR((X1109+X1111)/(X951+X953),0)</f>
        <v>0</v>
      </c>
      <c r="Y1036" s="2337">
        <f>X1036-W1036</f>
        <v>0</v>
      </c>
      <c r="Z1036" s="2339">
        <f>IFERROR((Z1109+Z1111)/(Z951+Z953),0)</f>
        <v>0</v>
      </c>
      <c r="AA1036" s="2339">
        <f>IFERROR((AA1109+AA1111)/(AA951+AA953),0)</f>
        <v>0</v>
      </c>
      <c r="AB1036" s="2337">
        <f>AA1036-Z1036</f>
        <v>0</v>
      </c>
      <c r="AC1036" s="2339">
        <f>IFERROR((AC1109+AC1111)/(AC951+AC953),0)</f>
        <v>0</v>
      </c>
      <c r="AD1036" s="2339">
        <f>IFERROR((AD1109+AD1111)/(AD951+AD953),0)</f>
        <v>0</v>
      </c>
      <c r="AE1036" s="2337">
        <f>AD1036-AC1036</f>
        <v>0</v>
      </c>
      <c r="AF1036" s="2204"/>
      <c r="AG1036" s="2114"/>
      <c r="AH1036" s="2345">
        <f>IFERROR((AH1109+AH1111)/(AH951+AH953),0)</f>
        <v>0</v>
      </c>
      <c r="AI1036" s="2345">
        <f>IFERROR((AI1109+AI1111)/(AI951+AI953),0)</f>
        <v>0</v>
      </c>
      <c r="AJ1036" s="2346">
        <f>AI1036-AH1036</f>
        <v>0</v>
      </c>
      <c r="AK1036" s="2345">
        <f>IFERROR((AK1109+AK1111)/(AK951+AK953),0)</f>
        <v>0</v>
      </c>
      <c r="AL1036" s="2345">
        <f>IFERROR((AL1109+AL1111)/(AL951+AL953),0)</f>
        <v>0</v>
      </c>
      <c r="AM1036" s="2346">
        <f>AL1036-AK1036</f>
        <v>0</v>
      </c>
      <c r="AN1036" s="2345">
        <f>IFERROR((AN1109+AN1111)/(AN951+AN953),0)</f>
        <v>0</v>
      </c>
      <c r="AO1036" s="2345">
        <f>IFERROR((AO1109+AO1111)/(AO951+AO953),0)</f>
        <v>0</v>
      </c>
      <c r="AP1036" s="2346">
        <f>AO1036-AN1036</f>
        <v>0</v>
      </c>
      <c r="AQ1036" s="2345">
        <f>IFERROR((AQ1109+AQ1111)/(AQ951+AQ953),0)</f>
        <v>0</v>
      </c>
      <c r="AR1036" s="2345">
        <f>IFERROR((AR1109+AR1111)/(AR951+AR953),0)</f>
        <v>0</v>
      </c>
      <c r="AS1036" s="2346">
        <f>AR1036-AQ1036</f>
        <v>0</v>
      </c>
      <c r="AT1036" s="2345">
        <f>IFERROR((AT1109+AT1111)/(AT951+AT953),0)</f>
        <v>0</v>
      </c>
      <c r="AU1036" s="2345">
        <f>IFERROR((AU1109+AU1111)/(AU951+AU953),0)</f>
        <v>0</v>
      </c>
      <c r="AV1036" s="2346">
        <f>AU1036-AT1036</f>
        <v>0</v>
      </c>
      <c r="AW1036" s="2345">
        <f>IFERROR((AW1109+AW1111)/(AW951+AW953),0)</f>
        <v>0</v>
      </c>
      <c r="AX1036" s="2345">
        <f>IFERROR((AX1109+AX1111)/(AX951+AX953),0)</f>
        <v>0</v>
      </c>
      <c r="AY1036" s="2346">
        <f>AX1036-AW1036</f>
        <v>0</v>
      </c>
      <c r="AZ1036" s="2345">
        <f>IFERROR((AZ1109+AZ1111)/(AZ951+AZ953),0)</f>
        <v>0</v>
      </c>
      <c r="BA1036" s="2345">
        <f>IFERROR((BA1109+BA1111)/(BA951+BA953),0)</f>
        <v>0</v>
      </c>
      <c r="BB1036" s="2346">
        <f>BA1036-AZ1036</f>
        <v>0</v>
      </c>
      <c r="BC1036" s="2345">
        <f>IFERROR((BC1109+BC1111)/(BC951+BC953),0)</f>
        <v>0</v>
      </c>
      <c r="BD1036" s="2345">
        <f>IFERROR((BD1109+BD1111)/(BD951+BD953),0)</f>
        <v>0</v>
      </c>
      <c r="BE1036" s="2346">
        <f>BD1036-BC1036</f>
        <v>0</v>
      </c>
      <c r="BF1036" s="2345">
        <f>IFERROR((BF1109+BF1111)/(BF951+BF953),0)</f>
        <v>0</v>
      </c>
      <c r="BG1036" s="2345">
        <f>IFERROR((BG1109+BG1111)/(BG951+BG953),0)</f>
        <v>0</v>
      </c>
      <c r="BH1036" s="2346">
        <f>BG1036-BF1036</f>
        <v>0</v>
      </c>
      <c r="BI1036" s="2345">
        <f>IFERROR((BI1109+BI1111)/(BI951+BI953),0)</f>
        <v>0</v>
      </c>
      <c r="BJ1036" s="2345">
        <f>IFERROR((BJ1109+BJ1111)/(BJ951+BJ953),0)</f>
        <v>0</v>
      </c>
      <c r="BK1036" s="2346">
        <f>BJ1036-BI1036</f>
        <v>0</v>
      </c>
      <c r="BL1036" s="2345">
        <f>IFERROR((BL1109+BL1111)/(BL951+BL953),0)</f>
        <v>0</v>
      </c>
      <c r="BM1036" s="2345">
        <f>IFERROR((BM1109+BM1111)/(BM951+BM953),0)</f>
        <v>0</v>
      </c>
      <c r="BN1036" s="2346">
        <f>BM1036-BL1036</f>
        <v>0</v>
      </c>
      <c r="BO1036" s="2345">
        <f>IFERROR((BO1109+BO1111)/(BO951+BO953),0)</f>
        <v>0</v>
      </c>
      <c r="BP1036" s="2345">
        <f>IFERROR((BP1109+BP1111)/(BP951+BP953),0)</f>
        <v>0</v>
      </c>
      <c r="BQ1036" s="2346">
        <f>BP1036-BO1036</f>
        <v>0</v>
      </c>
    </row>
    <row r="1037" spans="3:69" s="2087" customFormat="1" ht="12" hidden="1" customHeight="1">
      <c r="C1037" s="2423" t="s">
        <v>3234</v>
      </c>
      <c r="D1037" s="2421" t="s">
        <v>3151</v>
      </c>
      <c r="E1037" s="2250" t="s">
        <v>3052</v>
      </c>
      <c r="F1037" s="2176"/>
      <c r="G1037" s="2339">
        <f>IFERROR(G1112/G954,0)</f>
        <v>0</v>
      </c>
      <c r="H1037" s="2339">
        <f>IFERROR(H1112/H954,0)</f>
        <v>0</v>
      </c>
      <c r="I1037" s="2337">
        <f>H1037-G1037</f>
        <v>0</v>
      </c>
      <c r="J1037" s="2338"/>
      <c r="K1037" s="2339">
        <f>IFERROR(K1112/K954,0)</f>
        <v>0</v>
      </c>
      <c r="L1037" s="2339">
        <f>IFERROR(L1112/L954,0)</f>
        <v>0</v>
      </c>
      <c r="M1037" s="2337">
        <f>L1037-K1037</f>
        <v>0</v>
      </c>
      <c r="N1037" s="2339">
        <f>IFERROR(N1112/N954,0)</f>
        <v>0</v>
      </c>
      <c r="O1037" s="2339">
        <f>IFERROR(O1112/O954,0)</f>
        <v>0</v>
      </c>
      <c r="P1037" s="2337">
        <f>O1037-N1037</f>
        <v>0</v>
      </c>
      <c r="Q1037" s="2344">
        <f>IFERROR(Q1112/Q954,0)</f>
        <v>0</v>
      </c>
      <c r="R1037" s="2339">
        <f>IFERROR(R1112/R954,0)</f>
        <v>0</v>
      </c>
      <c r="S1037" s="2337">
        <f>R1037-Q1037</f>
        <v>0</v>
      </c>
      <c r="T1037" s="2340">
        <f>IFERROR(T1112/T954,0)</f>
        <v>0</v>
      </c>
      <c r="U1037" s="2339">
        <f>IFERROR(U1112/U954,0)</f>
        <v>0</v>
      </c>
      <c r="V1037" s="2337">
        <f>U1037-T1037</f>
        <v>0</v>
      </c>
      <c r="W1037" s="2344">
        <f>IFERROR(W1112/W954,0)</f>
        <v>0</v>
      </c>
      <c r="X1037" s="2339">
        <f>IFERROR(X1112/X954,0)</f>
        <v>0</v>
      </c>
      <c r="Y1037" s="2337">
        <f>X1037-W1037</f>
        <v>0</v>
      </c>
      <c r="Z1037" s="2340">
        <f>IFERROR(Z1112/Z954,0)</f>
        <v>0</v>
      </c>
      <c r="AA1037" s="2339">
        <f>IFERROR(AA1112/AA954,0)</f>
        <v>0</v>
      </c>
      <c r="AB1037" s="2337">
        <f>AA1037-Z1037</f>
        <v>0</v>
      </c>
      <c r="AC1037" s="2344">
        <f>IFERROR(AC1112/AC954,0)</f>
        <v>0</v>
      </c>
      <c r="AD1037" s="2339">
        <f>IFERROR(AD1112/AD954,0)</f>
        <v>0</v>
      </c>
      <c r="AE1037" s="2337">
        <f>AD1037-AC1037</f>
        <v>0</v>
      </c>
      <c r="AF1037" s="2204"/>
      <c r="AG1037" s="2114"/>
      <c r="AH1037" s="2345">
        <f>IFERROR(AH1112/AH954,0)</f>
        <v>0</v>
      </c>
      <c r="AI1037" s="2345">
        <f>IFERROR(AI1112/AI954,0)</f>
        <v>0</v>
      </c>
      <c r="AJ1037" s="2346">
        <f>AI1037-AH1037</f>
        <v>0</v>
      </c>
      <c r="AK1037" s="2345">
        <f>IFERROR(AK1112/AK954,0)</f>
        <v>0</v>
      </c>
      <c r="AL1037" s="2345">
        <f>IFERROR(AL1112/AL954,0)</f>
        <v>0</v>
      </c>
      <c r="AM1037" s="2346">
        <f>AL1037-AK1037</f>
        <v>0</v>
      </c>
      <c r="AN1037" s="2345">
        <f>IFERROR(AN1112/AN954,0)</f>
        <v>0</v>
      </c>
      <c r="AO1037" s="2345">
        <f>IFERROR(AO1112/AO954,0)</f>
        <v>0</v>
      </c>
      <c r="AP1037" s="2346">
        <f>AO1037-AN1037</f>
        <v>0</v>
      </c>
      <c r="AQ1037" s="2345">
        <f>IFERROR(AQ1112/AQ954,0)</f>
        <v>0</v>
      </c>
      <c r="AR1037" s="2345">
        <f>IFERROR(AR1112/AR954,0)</f>
        <v>0</v>
      </c>
      <c r="AS1037" s="2346">
        <f>AR1037-AQ1037</f>
        <v>0</v>
      </c>
      <c r="AT1037" s="2345">
        <f>IFERROR(AT1112/AT954,0)</f>
        <v>0</v>
      </c>
      <c r="AU1037" s="2345">
        <f>IFERROR(AU1112/AU954,0)</f>
        <v>0</v>
      </c>
      <c r="AV1037" s="2346">
        <f>AU1037-AT1037</f>
        <v>0</v>
      </c>
      <c r="AW1037" s="2345">
        <f>IFERROR(AW1112/AW954,0)</f>
        <v>0</v>
      </c>
      <c r="AX1037" s="2345">
        <f>IFERROR(AX1112/AX954,0)</f>
        <v>0</v>
      </c>
      <c r="AY1037" s="2346">
        <f>AX1037-AW1037</f>
        <v>0</v>
      </c>
      <c r="AZ1037" s="2345">
        <f>IFERROR(AZ1112/AZ954,0)</f>
        <v>0</v>
      </c>
      <c r="BA1037" s="2345">
        <f>IFERROR(BA1112/BA954,0)</f>
        <v>0</v>
      </c>
      <c r="BB1037" s="2346">
        <f>BA1037-AZ1037</f>
        <v>0</v>
      </c>
      <c r="BC1037" s="2345">
        <f>IFERROR(BC1112/BC954,0)</f>
        <v>0</v>
      </c>
      <c r="BD1037" s="2345">
        <f>IFERROR(BD1112/BD954,0)</f>
        <v>0</v>
      </c>
      <c r="BE1037" s="2346">
        <f>BD1037-BC1037</f>
        <v>0</v>
      </c>
      <c r="BF1037" s="2345">
        <f>IFERROR(BF1112/BF954,0)</f>
        <v>0</v>
      </c>
      <c r="BG1037" s="2345">
        <f>IFERROR(BG1112/BG954,0)</f>
        <v>0</v>
      </c>
      <c r="BH1037" s="2346">
        <f>BG1037-BF1037</f>
        <v>0</v>
      </c>
      <c r="BI1037" s="2345">
        <f>IFERROR(BI1112/BI954,0)</f>
        <v>0</v>
      </c>
      <c r="BJ1037" s="2345">
        <f>IFERROR(BJ1112/BJ954,0)</f>
        <v>0</v>
      </c>
      <c r="BK1037" s="2346">
        <f>BJ1037-BI1037</f>
        <v>0</v>
      </c>
      <c r="BL1037" s="2345">
        <f>IFERROR(BL1112/BL954,0)</f>
        <v>0</v>
      </c>
      <c r="BM1037" s="2345">
        <f>IFERROR(BM1112/BM954,0)</f>
        <v>0</v>
      </c>
      <c r="BN1037" s="2346">
        <f>BM1037-BL1037</f>
        <v>0</v>
      </c>
      <c r="BO1037" s="2345">
        <f>IFERROR(BO1112/BO954,0)</f>
        <v>0</v>
      </c>
      <c r="BP1037" s="2345">
        <f>IFERROR(BP1112/BP954,0)</f>
        <v>0</v>
      </c>
      <c r="BQ1037" s="2346">
        <f>BP1037-BO1037</f>
        <v>0</v>
      </c>
    </row>
    <row r="1038" spans="3:69" s="2087" customFormat="1" ht="12" hidden="1" customHeight="1">
      <c r="C1038" s="2423" t="s">
        <v>3235</v>
      </c>
      <c r="D1038" s="2421" t="s">
        <v>2229</v>
      </c>
      <c r="E1038" s="2250" t="s">
        <v>3052</v>
      </c>
      <c r="F1038" s="2176"/>
      <c r="G1038" s="2339">
        <f>IFERROR((G1114+G1116)/(G956+G958),0)</f>
        <v>0</v>
      </c>
      <c r="H1038" s="2339">
        <f>IFERROR((H1114+H1116)/(H956+H958),0)</f>
        <v>0</v>
      </c>
      <c r="I1038" s="2337">
        <f>H1038-G1038</f>
        <v>0</v>
      </c>
      <c r="J1038" s="2338"/>
      <c r="K1038" s="2339">
        <f>IFERROR((K1114+K1116)/(K956+K958),0)</f>
        <v>0</v>
      </c>
      <c r="L1038" s="2339">
        <f>IFERROR((L1114+L1116)/(L956+L958),0)</f>
        <v>0</v>
      </c>
      <c r="M1038" s="2337">
        <f>L1038-K1038</f>
        <v>0</v>
      </c>
      <c r="N1038" s="2339">
        <f>IFERROR((N1114+N1116)/(N956+N958),0)</f>
        <v>0</v>
      </c>
      <c r="O1038" s="2339">
        <f>IFERROR((O1114+O1116)/(O956+O958),0)</f>
        <v>0</v>
      </c>
      <c r="P1038" s="2337">
        <f>O1038-N1038</f>
        <v>0</v>
      </c>
      <c r="Q1038" s="2339">
        <f>IFERROR((Q1114+Q1116)/(Q956+Q958),0)</f>
        <v>0</v>
      </c>
      <c r="R1038" s="2339">
        <f>IFERROR((R1114+R1116)/(R956+R958),0)</f>
        <v>0</v>
      </c>
      <c r="S1038" s="2337">
        <f>R1038-Q1038</f>
        <v>0</v>
      </c>
      <c r="T1038" s="2339">
        <f>IFERROR((T1114+T1116)/(T956+T958),0)</f>
        <v>0</v>
      </c>
      <c r="U1038" s="2339">
        <f>IFERROR((U1114+U1116)/(U956+U958),0)</f>
        <v>0</v>
      </c>
      <c r="V1038" s="2337">
        <f>U1038-T1038</f>
        <v>0</v>
      </c>
      <c r="W1038" s="2339">
        <f>IFERROR((W1114+W1116)/(W956+W958),0)</f>
        <v>0</v>
      </c>
      <c r="X1038" s="2339">
        <f>IFERROR((X1114+X1116)/(X956+X958),0)</f>
        <v>0</v>
      </c>
      <c r="Y1038" s="2337">
        <f>X1038-W1038</f>
        <v>0</v>
      </c>
      <c r="Z1038" s="2339">
        <f>IFERROR((Z1114+Z1116)/(Z956+Z958),0)</f>
        <v>0</v>
      </c>
      <c r="AA1038" s="2339">
        <f>IFERROR((AA1114+AA1116)/(AA956+AA958),0)</f>
        <v>0</v>
      </c>
      <c r="AB1038" s="2337">
        <f>AA1038-Z1038</f>
        <v>0</v>
      </c>
      <c r="AC1038" s="2339">
        <f>IFERROR((AC1114+AC1116)/(AC956+AC958),0)</f>
        <v>0</v>
      </c>
      <c r="AD1038" s="2339">
        <f>IFERROR((AD1114+AD1116)/(AD956+AD958),0)</f>
        <v>0</v>
      </c>
      <c r="AE1038" s="2337">
        <f>AD1038-AC1038</f>
        <v>0</v>
      </c>
      <c r="AF1038" s="2204"/>
      <c r="AG1038" s="2114"/>
      <c r="AH1038" s="2345">
        <f>IFERROR((AH1114+AH1116)/(AH956+AH958),0)</f>
        <v>0</v>
      </c>
      <c r="AI1038" s="2345">
        <f>IFERROR((AI1114+AI1116)/(AI956+AI958),0)</f>
        <v>0</v>
      </c>
      <c r="AJ1038" s="2346">
        <f>AI1038-AH1038</f>
        <v>0</v>
      </c>
      <c r="AK1038" s="2345">
        <f>IFERROR((AK1114+AK1116)/(AK956+AK958),0)</f>
        <v>0</v>
      </c>
      <c r="AL1038" s="2345">
        <f>IFERROR((AL1114+AL1116)/(AL956+AL958),0)</f>
        <v>0</v>
      </c>
      <c r="AM1038" s="2346">
        <f>AL1038-AK1038</f>
        <v>0</v>
      </c>
      <c r="AN1038" s="2345">
        <f>IFERROR((AN1114+AN1116)/(AN956+AN958),0)</f>
        <v>0</v>
      </c>
      <c r="AO1038" s="2345">
        <f>IFERROR((AO1114+AO1116)/(AO956+AO958),0)</f>
        <v>0</v>
      </c>
      <c r="AP1038" s="2346">
        <f>AO1038-AN1038</f>
        <v>0</v>
      </c>
      <c r="AQ1038" s="2345">
        <f>IFERROR((AQ1114+AQ1116)/(AQ956+AQ958),0)</f>
        <v>0</v>
      </c>
      <c r="AR1038" s="2345">
        <f>IFERROR((AR1114+AR1116)/(AR956+AR958),0)</f>
        <v>0</v>
      </c>
      <c r="AS1038" s="2346">
        <f>AR1038-AQ1038</f>
        <v>0</v>
      </c>
      <c r="AT1038" s="2345">
        <f>IFERROR((AT1114+AT1116)/(AT956+AT958),0)</f>
        <v>0</v>
      </c>
      <c r="AU1038" s="2345">
        <f>IFERROR((AU1114+AU1116)/(AU956+AU958),0)</f>
        <v>0</v>
      </c>
      <c r="AV1038" s="2346">
        <f>AU1038-AT1038</f>
        <v>0</v>
      </c>
      <c r="AW1038" s="2345">
        <f>IFERROR((AW1114+AW1116)/(AW956+AW958),0)</f>
        <v>0</v>
      </c>
      <c r="AX1038" s="2345">
        <f>IFERROR((AX1114+AX1116)/(AX956+AX958),0)</f>
        <v>0</v>
      </c>
      <c r="AY1038" s="2346">
        <f>AX1038-AW1038</f>
        <v>0</v>
      </c>
      <c r="AZ1038" s="2345">
        <f>IFERROR((AZ1114+AZ1116)/(AZ956+AZ958),0)</f>
        <v>0</v>
      </c>
      <c r="BA1038" s="2345">
        <f>IFERROR((BA1114+BA1116)/(BA956+BA958),0)</f>
        <v>0</v>
      </c>
      <c r="BB1038" s="2346">
        <f>BA1038-AZ1038</f>
        <v>0</v>
      </c>
      <c r="BC1038" s="2345">
        <f>IFERROR((BC1114+BC1116)/(BC956+BC958),0)</f>
        <v>0</v>
      </c>
      <c r="BD1038" s="2345">
        <f>IFERROR((BD1114+BD1116)/(BD956+BD958),0)</f>
        <v>0</v>
      </c>
      <c r="BE1038" s="2346">
        <f>BD1038-BC1038</f>
        <v>0</v>
      </c>
      <c r="BF1038" s="2345">
        <f>IFERROR((BF1114+BF1116)/(BF956+BF958),0)</f>
        <v>0</v>
      </c>
      <c r="BG1038" s="2345">
        <f>IFERROR((BG1114+BG1116)/(BG956+BG958),0)</f>
        <v>0</v>
      </c>
      <c r="BH1038" s="2346">
        <f>BG1038-BF1038</f>
        <v>0</v>
      </c>
      <c r="BI1038" s="2345">
        <f>IFERROR((BI1114+BI1116)/(BI956+BI958),0)</f>
        <v>0</v>
      </c>
      <c r="BJ1038" s="2345">
        <f>IFERROR((BJ1114+BJ1116)/(BJ956+BJ958),0)</f>
        <v>0</v>
      </c>
      <c r="BK1038" s="2346">
        <f>BJ1038-BI1038</f>
        <v>0</v>
      </c>
      <c r="BL1038" s="2345">
        <f>IFERROR((BL1114+BL1116)/(BL956+BL958),0)</f>
        <v>0</v>
      </c>
      <c r="BM1038" s="2345">
        <f>IFERROR((BM1114+BM1116)/(BM956+BM958),0)</f>
        <v>0</v>
      </c>
      <c r="BN1038" s="2346">
        <f>BM1038-BL1038</f>
        <v>0</v>
      </c>
      <c r="BO1038" s="2345">
        <f>IFERROR((BO1114+BO1116)/(BO956+BO958),0)</f>
        <v>0</v>
      </c>
      <c r="BP1038" s="2345">
        <f>IFERROR((BP1114+BP1116)/(BP956+BP958),0)</f>
        <v>0</v>
      </c>
      <c r="BQ1038" s="2346">
        <f>BP1038-BO1038</f>
        <v>0</v>
      </c>
    </row>
    <row r="1039" spans="3:69" s="2159" customFormat="1" ht="12" hidden="1" customHeight="1">
      <c r="C1039" s="2474" t="s">
        <v>3236</v>
      </c>
      <c r="D1039" s="2475" t="s">
        <v>3237</v>
      </c>
      <c r="E1039" s="2471"/>
      <c r="F1039" s="2320"/>
      <c r="G1039" s="2458"/>
      <c r="H1039" s="2458"/>
      <c r="I1039" s="2480"/>
      <c r="J1039" s="2481"/>
      <c r="K1039" s="2458"/>
      <c r="L1039" s="2458"/>
      <c r="M1039" s="2480"/>
      <c r="N1039" s="2458"/>
      <c r="O1039" s="2458"/>
      <c r="P1039" s="2480"/>
      <c r="Q1039" s="2481"/>
      <c r="R1039" s="2458"/>
      <c r="S1039" s="2480"/>
      <c r="T1039" s="2482"/>
      <c r="U1039" s="2458"/>
      <c r="V1039" s="2480"/>
      <c r="W1039" s="2481"/>
      <c r="X1039" s="2458"/>
      <c r="Y1039" s="2480"/>
      <c r="Z1039" s="2482"/>
      <c r="AA1039" s="2458"/>
      <c r="AB1039" s="2480"/>
      <c r="AC1039" s="2481"/>
      <c r="AD1039" s="2458"/>
      <c r="AE1039" s="2480"/>
      <c r="AF1039" s="2204"/>
      <c r="AG1039" s="2158"/>
      <c r="AH1039" s="2458"/>
      <c r="AI1039" s="2458"/>
      <c r="AJ1039" s="2480"/>
      <c r="AK1039" s="2458"/>
      <c r="AL1039" s="2458"/>
      <c r="AM1039" s="2480"/>
      <c r="AN1039" s="2458"/>
      <c r="AO1039" s="2458"/>
      <c r="AP1039" s="2480"/>
      <c r="AQ1039" s="2458"/>
      <c r="AR1039" s="2458"/>
      <c r="AS1039" s="2480"/>
      <c r="AT1039" s="2458"/>
      <c r="AU1039" s="2458"/>
      <c r="AV1039" s="2480"/>
      <c r="AW1039" s="2458"/>
      <c r="AX1039" s="2458"/>
      <c r="AY1039" s="2480"/>
      <c r="AZ1039" s="2458"/>
      <c r="BA1039" s="2458"/>
      <c r="BB1039" s="2480"/>
      <c r="BC1039" s="2458"/>
      <c r="BD1039" s="2458"/>
      <c r="BE1039" s="2480"/>
      <c r="BF1039" s="2458"/>
      <c r="BG1039" s="2458"/>
      <c r="BH1039" s="2480"/>
      <c r="BI1039" s="2458"/>
      <c r="BJ1039" s="2458"/>
      <c r="BK1039" s="2480"/>
      <c r="BL1039" s="2458"/>
      <c r="BM1039" s="2458"/>
      <c r="BN1039" s="2480"/>
      <c r="BO1039" s="2458"/>
      <c r="BP1039" s="2458"/>
      <c r="BQ1039" s="2480"/>
    </row>
    <row r="1040" spans="3:69" s="2087" customFormat="1" ht="12" hidden="1" customHeight="1">
      <c r="C1040" s="2423" t="s">
        <v>3238</v>
      </c>
      <c r="D1040" s="2421" t="s">
        <v>3143</v>
      </c>
      <c r="E1040" s="2250" t="s">
        <v>3079</v>
      </c>
      <c r="F1040" s="2176"/>
      <c r="G1040" s="2339">
        <f t="shared" ref="G1040:H1042" si="2084">IFERROR(G1118/G960,0)</f>
        <v>0</v>
      </c>
      <c r="H1040" s="2339">
        <f t="shared" si="2084"/>
        <v>0</v>
      </c>
      <c r="I1040" s="2337">
        <f t="shared" ref="I1040:I1048" si="2085">H1040-G1040</f>
        <v>0</v>
      </c>
      <c r="J1040" s="2338"/>
      <c r="K1040" s="2339">
        <f t="shared" ref="K1040:L1042" si="2086">IFERROR(K1118/K960,0)</f>
        <v>0</v>
      </c>
      <c r="L1040" s="2339">
        <f t="shared" si="2086"/>
        <v>0</v>
      </c>
      <c r="M1040" s="2337">
        <f t="shared" ref="M1040:M1048" si="2087">L1040-K1040</f>
        <v>0</v>
      </c>
      <c r="N1040" s="2339">
        <f t="shared" ref="N1040:O1042" si="2088">IFERROR(N1118/N960,0)</f>
        <v>0</v>
      </c>
      <c r="O1040" s="2339">
        <f t="shared" si="2088"/>
        <v>0</v>
      </c>
      <c r="P1040" s="2337">
        <f t="shared" ref="P1040:P1048" si="2089">O1040-N1040</f>
        <v>0</v>
      </c>
      <c r="Q1040" s="2344">
        <f t="shared" ref="Q1040:R1042" si="2090">IFERROR(Q1118/Q960,0)</f>
        <v>0</v>
      </c>
      <c r="R1040" s="2339">
        <f t="shared" si="2090"/>
        <v>0</v>
      </c>
      <c r="S1040" s="2337">
        <f t="shared" ref="S1040:S1048" si="2091">R1040-Q1040</f>
        <v>0</v>
      </c>
      <c r="T1040" s="2340">
        <f t="shared" ref="T1040:U1042" si="2092">IFERROR(T1118/T960,0)</f>
        <v>0</v>
      </c>
      <c r="U1040" s="2339">
        <f t="shared" si="2092"/>
        <v>0</v>
      </c>
      <c r="V1040" s="2337">
        <f t="shared" ref="V1040:V1048" si="2093">U1040-T1040</f>
        <v>0</v>
      </c>
      <c r="W1040" s="2344">
        <f t="shared" ref="W1040:X1042" si="2094">IFERROR(W1118/W960,0)</f>
        <v>0</v>
      </c>
      <c r="X1040" s="2339">
        <f t="shared" si="2094"/>
        <v>0</v>
      </c>
      <c r="Y1040" s="2337">
        <f t="shared" ref="Y1040:Y1048" si="2095">X1040-W1040</f>
        <v>0</v>
      </c>
      <c r="Z1040" s="2340">
        <f t="shared" ref="Z1040:AA1042" si="2096">IFERROR(Z1118/Z960,0)</f>
        <v>0</v>
      </c>
      <c r="AA1040" s="2339">
        <f t="shared" si="2096"/>
        <v>0</v>
      </c>
      <c r="AB1040" s="2337">
        <f t="shared" ref="AB1040:AB1048" si="2097">AA1040-Z1040</f>
        <v>0</v>
      </c>
      <c r="AC1040" s="2344">
        <f t="shared" ref="AC1040:AD1042" si="2098">IFERROR(AC1118/AC960,0)</f>
        <v>0</v>
      </c>
      <c r="AD1040" s="2339">
        <f t="shared" si="2098"/>
        <v>0</v>
      </c>
      <c r="AE1040" s="2337">
        <f t="shared" ref="AE1040:AE1048" si="2099">AD1040-AC1040</f>
        <v>0</v>
      </c>
      <c r="AF1040" s="2204"/>
      <c r="AG1040" s="2114"/>
      <c r="AH1040" s="2345">
        <f t="shared" ref="AH1040:AI1042" si="2100">IFERROR(AH1118/AH960,0)</f>
        <v>0</v>
      </c>
      <c r="AI1040" s="2345">
        <f t="shared" si="2100"/>
        <v>0</v>
      </c>
      <c r="AJ1040" s="2346">
        <f t="shared" ref="AJ1040:AJ1041" si="2101">AI1040-AH1040</f>
        <v>0</v>
      </c>
      <c r="AK1040" s="2345">
        <f t="shared" ref="AK1040:AL1042" si="2102">IFERROR(AK1118/AK960,0)</f>
        <v>0</v>
      </c>
      <c r="AL1040" s="2345">
        <f t="shared" si="2102"/>
        <v>0</v>
      </c>
      <c r="AM1040" s="2346">
        <f t="shared" ref="AM1040:AM1041" si="2103">AL1040-AK1040</f>
        <v>0</v>
      </c>
      <c r="AN1040" s="2345">
        <f t="shared" ref="AN1040:AO1042" si="2104">IFERROR(AN1118/AN960,0)</f>
        <v>0</v>
      </c>
      <c r="AO1040" s="2345">
        <f t="shared" si="2104"/>
        <v>0</v>
      </c>
      <c r="AP1040" s="2346">
        <f t="shared" ref="AP1040:AP1041" si="2105">AO1040-AN1040</f>
        <v>0</v>
      </c>
      <c r="AQ1040" s="2345">
        <f t="shared" ref="AQ1040:AR1042" si="2106">IFERROR(AQ1118/AQ960,0)</f>
        <v>0</v>
      </c>
      <c r="AR1040" s="2345">
        <f t="shared" si="2106"/>
        <v>0</v>
      </c>
      <c r="AS1040" s="2346">
        <f t="shared" ref="AS1040:AS1041" si="2107">AR1040-AQ1040</f>
        <v>0</v>
      </c>
      <c r="AT1040" s="2345">
        <f t="shared" ref="AT1040:AU1042" si="2108">IFERROR(AT1118/AT960,0)</f>
        <v>0</v>
      </c>
      <c r="AU1040" s="2345">
        <f t="shared" si="2108"/>
        <v>0</v>
      </c>
      <c r="AV1040" s="2346">
        <f t="shared" ref="AV1040:AV1041" si="2109">AU1040-AT1040</f>
        <v>0</v>
      </c>
      <c r="AW1040" s="2345">
        <f t="shared" ref="AW1040:AX1042" si="2110">IFERROR(AW1118/AW960,0)</f>
        <v>0</v>
      </c>
      <c r="AX1040" s="2345">
        <f t="shared" si="2110"/>
        <v>0</v>
      </c>
      <c r="AY1040" s="2346">
        <f t="shared" ref="AY1040:AY1041" si="2111">AX1040-AW1040</f>
        <v>0</v>
      </c>
      <c r="AZ1040" s="2345">
        <f t="shared" ref="AZ1040:BA1042" si="2112">IFERROR(AZ1118/AZ960,0)</f>
        <v>0</v>
      </c>
      <c r="BA1040" s="2345">
        <f t="shared" si="2112"/>
        <v>0</v>
      </c>
      <c r="BB1040" s="2346">
        <f t="shared" ref="BB1040:BB1041" si="2113">BA1040-AZ1040</f>
        <v>0</v>
      </c>
      <c r="BC1040" s="2345">
        <f t="shared" ref="BC1040:BD1042" si="2114">IFERROR(BC1118/BC960,0)</f>
        <v>0</v>
      </c>
      <c r="BD1040" s="2345">
        <f t="shared" si="2114"/>
        <v>0</v>
      </c>
      <c r="BE1040" s="2346">
        <f t="shared" ref="BE1040:BE1041" si="2115">BD1040-BC1040</f>
        <v>0</v>
      </c>
      <c r="BF1040" s="2345">
        <f t="shared" ref="BF1040:BG1042" si="2116">IFERROR(BF1118/BF960,0)</f>
        <v>0</v>
      </c>
      <c r="BG1040" s="2345">
        <f t="shared" si="2116"/>
        <v>0</v>
      </c>
      <c r="BH1040" s="2346">
        <f t="shared" ref="BH1040:BH1041" si="2117">BG1040-BF1040</f>
        <v>0</v>
      </c>
      <c r="BI1040" s="2345">
        <f t="shared" ref="BI1040:BJ1042" si="2118">IFERROR(BI1118/BI960,0)</f>
        <v>0</v>
      </c>
      <c r="BJ1040" s="2345">
        <f t="shared" si="2118"/>
        <v>0</v>
      </c>
      <c r="BK1040" s="2346">
        <f t="shared" ref="BK1040:BK1041" si="2119">BJ1040-BI1040</f>
        <v>0</v>
      </c>
      <c r="BL1040" s="2345">
        <f t="shared" ref="BL1040:BM1042" si="2120">IFERROR(BL1118/BL960,0)</f>
        <v>0</v>
      </c>
      <c r="BM1040" s="2345">
        <f t="shared" si="2120"/>
        <v>0</v>
      </c>
      <c r="BN1040" s="2346">
        <f t="shared" ref="BN1040:BN1041" si="2121">BM1040-BL1040</f>
        <v>0</v>
      </c>
      <c r="BO1040" s="2345">
        <f t="shared" ref="BO1040:BP1042" si="2122">IFERROR(BO1118/BO960,0)</f>
        <v>0</v>
      </c>
      <c r="BP1040" s="2345">
        <f t="shared" si="2122"/>
        <v>0</v>
      </c>
      <c r="BQ1040" s="2346">
        <f t="shared" ref="BQ1040:BQ1041" si="2123">BP1040-BO1040</f>
        <v>0</v>
      </c>
    </row>
    <row r="1041" spans="3:69" s="2087" customFormat="1" ht="12" hidden="1" customHeight="1">
      <c r="C1041" s="2473" t="s">
        <v>3239</v>
      </c>
      <c r="D1041" s="2334" t="s">
        <v>28</v>
      </c>
      <c r="E1041" s="2250" t="s">
        <v>3220</v>
      </c>
      <c r="F1041" s="2176"/>
      <c r="G1041" s="2339">
        <f t="shared" si="2084"/>
        <v>0</v>
      </c>
      <c r="H1041" s="2339">
        <f t="shared" si="2084"/>
        <v>0</v>
      </c>
      <c r="I1041" s="2337">
        <f t="shared" si="2085"/>
        <v>0</v>
      </c>
      <c r="J1041" s="2338"/>
      <c r="K1041" s="2339">
        <f t="shared" si="2086"/>
        <v>0</v>
      </c>
      <c r="L1041" s="2339">
        <f t="shared" si="2086"/>
        <v>0</v>
      </c>
      <c r="M1041" s="2337">
        <f t="shared" si="2087"/>
        <v>0</v>
      </c>
      <c r="N1041" s="2339">
        <f t="shared" si="2088"/>
        <v>0</v>
      </c>
      <c r="O1041" s="2339">
        <f t="shared" si="2088"/>
        <v>0</v>
      </c>
      <c r="P1041" s="2337">
        <f t="shared" si="2089"/>
        <v>0</v>
      </c>
      <c r="Q1041" s="2344">
        <f t="shared" si="2090"/>
        <v>0</v>
      </c>
      <c r="R1041" s="2339">
        <f t="shared" si="2090"/>
        <v>0</v>
      </c>
      <c r="S1041" s="2337">
        <f t="shared" si="2091"/>
        <v>0</v>
      </c>
      <c r="T1041" s="2340">
        <f t="shared" si="2092"/>
        <v>0</v>
      </c>
      <c r="U1041" s="2339">
        <f t="shared" si="2092"/>
        <v>0</v>
      </c>
      <c r="V1041" s="2337">
        <f t="shared" si="2093"/>
        <v>0</v>
      </c>
      <c r="W1041" s="2344">
        <f t="shared" si="2094"/>
        <v>0</v>
      </c>
      <c r="X1041" s="2339">
        <f t="shared" si="2094"/>
        <v>0</v>
      </c>
      <c r="Y1041" s="2337">
        <f t="shared" si="2095"/>
        <v>0</v>
      </c>
      <c r="Z1041" s="2340">
        <f t="shared" si="2096"/>
        <v>0</v>
      </c>
      <c r="AA1041" s="2339">
        <f t="shared" si="2096"/>
        <v>0</v>
      </c>
      <c r="AB1041" s="2337">
        <f t="shared" si="2097"/>
        <v>0</v>
      </c>
      <c r="AC1041" s="2344">
        <f t="shared" si="2098"/>
        <v>0</v>
      </c>
      <c r="AD1041" s="2339">
        <f t="shared" si="2098"/>
        <v>0</v>
      </c>
      <c r="AE1041" s="2337">
        <f t="shared" si="2099"/>
        <v>0</v>
      </c>
      <c r="AF1041" s="2204"/>
      <c r="AG1041" s="2114"/>
      <c r="AH1041" s="2345">
        <f t="shared" si="2100"/>
        <v>0</v>
      </c>
      <c r="AI1041" s="2345">
        <f t="shared" si="2100"/>
        <v>0</v>
      </c>
      <c r="AJ1041" s="2346">
        <f t="shared" si="2101"/>
        <v>0</v>
      </c>
      <c r="AK1041" s="2345">
        <f t="shared" si="2102"/>
        <v>0</v>
      </c>
      <c r="AL1041" s="2345">
        <f t="shared" si="2102"/>
        <v>0</v>
      </c>
      <c r="AM1041" s="2346">
        <f t="shared" si="2103"/>
        <v>0</v>
      </c>
      <c r="AN1041" s="2345">
        <f t="shared" si="2104"/>
        <v>0</v>
      </c>
      <c r="AO1041" s="2345">
        <f t="shared" si="2104"/>
        <v>0</v>
      </c>
      <c r="AP1041" s="2346">
        <f t="shared" si="2105"/>
        <v>0</v>
      </c>
      <c r="AQ1041" s="2345">
        <f t="shared" si="2106"/>
        <v>0</v>
      </c>
      <c r="AR1041" s="2345">
        <f t="shared" si="2106"/>
        <v>0</v>
      </c>
      <c r="AS1041" s="2346">
        <f t="shared" si="2107"/>
        <v>0</v>
      </c>
      <c r="AT1041" s="2345">
        <f t="shared" si="2108"/>
        <v>0</v>
      </c>
      <c r="AU1041" s="2345">
        <f t="shared" si="2108"/>
        <v>0</v>
      </c>
      <c r="AV1041" s="2346">
        <f t="shared" si="2109"/>
        <v>0</v>
      </c>
      <c r="AW1041" s="2345">
        <f t="shared" si="2110"/>
        <v>0</v>
      </c>
      <c r="AX1041" s="2345">
        <f t="shared" si="2110"/>
        <v>0</v>
      </c>
      <c r="AY1041" s="2346">
        <f t="shared" si="2111"/>
        <v>0</v>
      </c>
      <c r="AZ1041" s="2345">
        <f t="shared" si="2112"/>
        <v>0</v>
      </c>
      <c r="BA1041" s="2345">
        <f t="shared" si="2112"/>
        <v>0</v>
      </c>
      <c r="BB1041" s="2346">
        <f t="shared" si="2113"/>
        <v>0</v>
      </c>
      <c r="BC1041" s="2345">
        <f t="shared" si="2114"/>
        <v>0</v>
      </c>
      <c r="BD1041" s="2345">
        <f t="shared" si="2114"/>
        <v>0</v>
      </c>
      <c r="BE1041" s="2346">
        <f t="shared" si="2115"/>
        <v>0</v>
      </c>
      <c r="BF1041" s="2345">
        <f t="shared" si="2116"/>
        <v>0</v>
      </c>
      <c r="BG1041" s="2345">
        <f t="shared" si="2116"/>
        <v>0</v>
      </c>
      <c r="BH1041" s="2346">
        <f t="shared" si="2117"/>
        <v>0</v>
      </c>
      <c r="BI1041" s="2345">
        <f t="shared" si="2118"/>
        <v>0</v>
      </c>
      <c r="BJ1041" s="2345">
        <f t="shared" si="2118"/>
        <v>0</v>
      </c>
      <c r="BK1041" s="2346">
        <f t="shared" si="2119"/>
        <v>0</v>
      </c>
      <c r="BL1041" s="2345">
        <f t="shared" si="2120"/>
        <v>0</v>
      </c>
      <c r="BM1041" s="2345">
        <f t="shared" si="2120"/>
        <v>0</v>
      </c>
      <c r="BN1041" s="2346">
        <f t="shared" si="2121"/>
        <v>0</v>
      </c>
      <c r="BO1041" s="2345">
        <f t="shared" si="2122"/>
        <v>0</v>
      </c>
      <c r="BP1041" s="2345">
        <f t="shared" si="2122"/>
        <v>0</v>
      </c>
      <c r="BQ1041" s="2346">
        <f t="shared" si="2123"/>
        <v>0</v>
      </c>
    </row>
    <row r="1042" spans="3:69" s="2087" customFormat="1" ht="12" hidden="1" customHeight="1">
      <c r="C1042" s="2473" t="s">
        <v>3240</v>
      </c>
      <c r="D1042" s="2334" t="s">
        <v>2434</v>
      </c>
      <c r="E1042" s="2250" t="s">
        <v>3220</v>
      </c>
      <c r="F1042" s="2176"/>
      <c r="G1042" s="2339">
        <f t="shared" si="2084"/>
        <v>0</v>
      </c>
      <c r="H1042" s="2339">
        <f t="shared" si="2084"/>
        <v>0</v>
      </c>
      <c r="I1042" s="2337">
        <f>H1042-G1042</f>
        <v>0</v>
      </c>
      <c r="J1042" s="2338"/>
      <c r="K1042" s="2339">
        <f t="shared" si="2086"/>
        <v>0</v>
      </c>
      <c r="L1042" s="2339">
        <f t="shared" si="2086"/>
        <v>0</v>
      </c>
      <c r="M1042" s="2337">
        <f>L1042-K1042</f>
        <v>0</v>
      </c>
      <c r="N1042" s="2339">
        <f t="shared" si="2088"/>
        <v>0</v>
      </c>
      <c r="O1042" s="2339">
        <f t="shared" si="2088"/>
        <v>0</v>
      </c>
      <c r="P1042" s="2337">
        <f>O1042-N1042</f>
        <v>0</v>
      </c>
      <c r="Q1042" s="2339">
        <f t="shared" si="2090"/>
        <v>0</v>
      </c>
      <c r="R1042" s="2339">
        <f t="shared" si="2090"/>
        <v>0</v>
      </c>
      <c r="S1042" s="2337">
        <f>R1042-Q1042</f>
        <v>0</v>
      </c>
      <c r="T1042" s="2339">
        <f t="shared" si="2092"/>
        <v>0</v>
      </c>
      <c r="U1042" s="2339">
        <f t="shared" si="2092"/>
        <v>0</v>
      </c>
      <c r="V1042" s="2337">
        <f>U1042-T1042</f>
        <v>0</v>
      </c>
      <c r="W1042" s="2339">
        <f t="shared" si="2094"/>
        <v>0</v>
      </c>
      <c r="X1042" s="2339">
        <f t="shared" si="2094"/>
        <v>0</v>
      </c>
      <c r="Y1042" s="2337">
        <f>X1042-W1042</f>
        <v>0</v>
      </c>
      <c r="Z1042" s="2339">
        <f t="shared" si="2096"/>
        <v>0</v>
      </c>
      <c r="AA1042" s="2339">
        <f t="shared" si="2096"/>
        <v>0</v>
      </c>
      <c r="AB1042" s="2337">
        <f>AA1042-Z1042</f>
        <v>0</v>
      </c>
      <c r="AC1042" s="2339">
        <f t="shared" si="2098"/>
        <v>0</v>
      </c>
      <c r="AD1042" s="2339">
        <f t="shared" si="2098"/>
        <v>0</v>
      </c>
      <c r="AE1042" s="2337">
        <f>AD1042-AC1042</f>
        <v>0</v>
      </c>
      <c r="AF1042" s="2204"/>
      <c r="AG1042" s="2114"/>
      <c r="AH1042" s="2345">
        <f t="shared" si="2100"/>
        <v>0</v>
      </c>
      <c r="AI1042" s="2345">
        <f t="shared" si="2100"/>
        <v>0</v>
      </c>
      <c r="AJ1042" s="2346">
        <f>AI1042-AH1042</f>
        <v>0</v>
      </c>
      <c r="AK1042" s="2345">
        <f t="shared" si="2102"/>
        <v>0</v>
      </c>
      <c r="AL1042" s="2345">
        <f t="shared" si="2102"/>
        <v>0</v>
      </c>
      <c r="AM1042" s="2346">
        <f>AL1042-AK1042</f>
        <v>0</v>
      </c>
      <c r="AN1042" s="2345">
        <f t="shared" si="2104"/>
        <v>0</v>
      </c>
      <c r="AO1042" s="2345">
        <f t="shared" si="2104"/>
        <v>0</v>
      </c>
      <c r="AP1042" s="2346">
        <f>AO1042-AN1042</f>
        <v>0</v>
      </c>
      <c r="AQ1042" s="2345">
        <f t="shared" si="2106"/>
        <v>0</v>
      </c>
      <c r="AR1042" s="2345">
        <f t="shared" si="2106"/>
        <v>0</v>
      </c>
      <c r="AS1042" s="2346">
        <f>AR1042-AQ1042</f>
        <v>0</v>
      </c>
      <c r="AT1042" s="2345">
        <f t="shared" si="2108"/>
        <v>0</v>
      </c>
      <c r="AU1042" s="2345">
        <f t="shared" si="2108"/>
        <v>0</v>
      </c>
      <c r="AV1042" s="2346">
        <f>AU1042-AT1042</f>
        <v>0</v>
      </c>
      <c r="AW1042" s="2345">
        <f t="shared" si="2110"/>
        <v>0</v>
      </c>
      <c r="AX1042" s="2345">
        <f t="shared" si="2110"/>
        <v>0</v>
      </c>
      <c r="AY1042" s="2346">
        <f>AX1042-AW1042</f>
        <v>0</v>
      </c>
      <c r="AZ1042" s="2345">
        <f t="shared" si="2112"/>
        <v>0</v>
      </c>
      <c r="BA1042" s="2345">
        <f t="shared" si="2112"/>
        <v>0</v>
      </c>
      <c r="BB1042" s="2346">
        <f>BA1042-AZ1042</f>
        <v>0</v>
      </c>
      <c r="BC1042" s="2345">
        <f t="shared" si="2114"/>
        <v>0</v>
      </c>
      <c r="BD1042" s="2345">
        <f t="shared" si="2114"/>
        <v>0</v>
      </c>
      <c r="BE1042" s="2346">
        <f>BD1042-BC1042</f>
        <v>0</v>
      </c>
      <c r="BF1042" s="2345">
        <f t="shared" si="2116"/>
        <v>0</v>
      </c>
      <c r="BG1042" s="2345">
        <f t="shared" si="2116"/>
        <v>0</v>
      </c>
      <c r="BH1042" s="2346">
        <f>BG1042-BF1042</f>
        <v>0</v>
      </c>
      <c r="BI1042" s="2345">
        <f t="shared" si="2118"/>
        <v>0</v>
      </c>
      <c r="BJ1042" s="2345">
        <f t="shared" si="2118"/>
        <v>0</v>
      </c>
      <c r="BK1042" s="2346">
        <f>BJ1042-BI1042</f>
        <v>0</v>
      </c>
      <c r="BL1042" s="2345">
        <f t="shared" si="2120"/>
        <v>0</v>
      </c>
      <c r="BM1042" s="2345">
        <f t="shared" si="2120"/>
        <v>0</v>
      </c>
      <c r="BN1042" s="2346">
        <f>BM1042-BL1042</f>
        <v>0</v>
      </c>
      <c r="BO1042" s="2345">
        <f t="shared" si="2122"/>
        <v>0</v>
      </c>
      <c r="BP1042" s="2345">
        <f t="shared" si="2122"/>
        <v>0</v>
      </c>
      <c r="BQ1042" s="2346">
        <f>BP1042-BO1042</f>
        <v>0</v>
      </c>
    </row>
    <row r="1043" spans="3:69" s="2087" customFormat="1" ht="12" hidden="1" customHeight="1">
      <c r="C1043" s="2473" t="s">
        <v>3241</v>
      </c>
      <c r="D1043" s="2334" t="s">
        <v>42</v>
      </c>
      <c r="E1043" s="2250" t="s">
        <v>3220</v>
      </c>
      <c r="F1043" s="2176"/>
      <c r="G1043" s="2339">
        <f>IFERROR((G1121+G1123)/(G963+G965),0)</f>
        <v>0</v>
      </c>
      <c r="H1043" s="2339">
        <f>IFERROR((H1121+H1123)/(H963+H965),0)</f>
        <v>0</v>
      </c>
      <c r="I1043" s="2337">
        <f t="shared" si="2085"/>
        <v>0</v>
      </c>
      <c r="J1043" s="2338"/>
      <c r="K1043" s="2339">
        <f>IFERROR((K1121+K1123)/(K963+K965),0)</f>
        <v>0</v>
      </c>
      <c r="L1043" s="2339">
        <f>IFERROR((L1121+L1123)/(L963+L965),0)</f>
        <v>0</v>
      </c>
      <c r="M1043" s="2337">
        <f t="shared" si="2087"/>
        <v>0</v>
      </c>
      <c r="N1043" s="2339">
        <f>IFERROR((N1121+N1123)/(N963+N965),0)</f>
        <v>0</v>
      </c>
      <c r="O1043" s="2339">
        <f>IFERROR((O1121+O1123)/(O963+O965),0)</f>
        <v>0</v>
      </c>
      <c r="P1043" s="2337">
        <f t="shared" si="2089"/>
        <v>0</v>
      </c>
      <c r="Q1043" s="2344">
        <f>IFERROR((Q1121+Q1123)/(Q963+Q965),0)</f>
        <v>0</v>
      </c>
      <c r="R1043" s="2339">
        <f>IFERROR((R1121+R1123)/(R963+R965),0)</f>
        <v>0</v>
      </c>
      <c r="S1043" s="2337">
        <f t="shared" si="2091"/>
        <v>0</v>
      </c>
      <c r="T1043" s="2340">
        <f>IFERROR((T1121+T1123)/(T963+T965),0)</f>
        <v>0</v>
      </c>
      <c r="U1043" s="2339">
        <f>IFERROR((U1121+U1123)/(U963+U965),0)</f>
        <v>0</v>
      </c>
      <c r="V1043" s="2337">
        <f t="shared" si="2093"/>
        <v>0</v>
      </c>
      <c r="W1043" s="2344">
        <f>IFERROR((W1121+W1123)/(W963+W965),0)</f>
        <v>0</v>
      </c>
      <c r="X1043" s="2339">
        <f>IFERROR((X1121+X1123)/(X963+X965),0)</f>
        <v>0</v>
      </c>
      <c r="Y1043" s="2337">
        <f t="shared" si="2095"/>
        <v>0</v>
      </c>
      <c r="Z1043" s="2340">
        <f>IFERROR((Z1121+Z1123)/(Z963+Z965),0)</f>
        <v>0</v>
      </c>
      <c r="AA1043" s="2339">
        <f>IFERROR((AA1121+AA1123)/(AA963+AA965),0)</f>
        <v>0</v>
      </c>
      <c r="AB1043" s="2337">
        <f t="shared" si="2097"/>
        <v>0</v>
      </c>
      <c r="AC1043" s="2344">
        <f>IFERROR((AC1121+AC1123)/(AC963+AC965),0)</f>
        <v>0</v>
      </c>
      <c r="AD1043" s="2339">
        <f>IFERROR((AD1121+AD1123)/(AD963+AD965),0)</f>
        <v>0</v>
      </c>
      <c r="AE1043" s="2337">
        <f t="shared" si="2099"/>
        <v>0</v>
      </c>
      <c r="AF1043" s="2204"/>
      <c r="AG1043" s="2114"/>
      <c r="AH1043" s="2345">
        <f>IFERROR((AH1121+AH1123)/(AH963+AH965),0)</f>
        <v>0</v>
      </c>
      <c r="AI1043" s="2345">
        <f>IFERROR((AI1121+AI1123)/(AI963+AI965),0)</f>
        <v>0</v>
      </c>
      <c r="AJ1043" s="2346">
        <f t="shared" ref="AJ1043" si="2124">AI1043-AH1043</f>
        <v>0</v>
      </c>
      <c r="AK1043" s="2345">
        <f>IFERROR((AK1121+AK1123)/(AK963+AK965),0)</f>
        <v>0</v>
      </c>
      <c r="AL1043" s="2345">
        <f>IFERROR((AL1121+AL1123)/(AL963+AL965),0)</f>
        <v>0</v>
      </c>
      <c r="AM1043" s="2346">
        <f t="shared" ref="AM1043" si="2125">AL1043-AK1043</f>
        <v>0</v>
      </c>
      <c r="AN1043" s="2345">
        <f>IFERROR((AN1121+AN1123)/(AN963+AN965),0)</f>
        <v>0</v>
      </c>
      <c r="AO1043" s="2345">
        <f>IFERROR((AO1121+AO1123)/(AO963+AO965),0)</f>
        <v>0</v>
      </c>
      <c r="AP1043" s="2346">
        <f t="shared" ref="AP1043" si="2126">AO1043-AN1043</f>
        <v>0</v>
      </c>
      <c r="AQ1043" s="2345">
        <f>IFERROR((AQ1121+AQ1123)/(AQ963+AQ965),0)</f>
        <v>0</v>
      </c>
      <c r="AR1043" s="2345">
        <f>IFERROR((AR1121+AR1123)/(AR963+AR965),0)</f>
        <v>0</v>
      </c>
      <c r="AS1043" s="2346">
        <f t="shared" ref="AS1043" si="2127">AR1043-AQ1043</f>
        <v>0</v>
      </c>
      <c r="AT1043" s="2345">
        <f>IFERROR((AT1121+AT1123)/(AT963+AT965),0)</f>
        <v>0</v>
      </c>
      <c r="AU1043" s="2345">
        <f>IFERROR((AU1121+AU1123)/(AU963+AU965),0)</f>
        <v>0</v>
      </c>
      <c r="AV1043" s="2346">
        <f t="shared" ref="AV1043" si="2128">AU1043-AT1043</f>
        <v>0</v>
      </c>
      <c r="AW1043" s="2345">
        <f>IFERROR((AW1121+AW1123)/(AW963+AW965),0)</f>
        <v>0</v>
      </c>
      <c r="AX1043" s="2345">
        <f>IFERROR((AX1121+AX1123)/(AX963+AX965),0)</f>
        <v>0</v>
      </c>
      <c r="AY1043" s="2346">
        <f t="shared" ref="AY1043" si="2129">AX1043-AW1043</f>
        <v>0</v>
      </c>
      <c r="AZ1043" s="2345">
        <f>IFERROR((AZ1121+AZ1123)/(AZ963+AZ965),0)</f>
        <v>0</v>
      </c>
      <c r="BA1043" s="2345">
        <f>IFERROR((BA1121+BA1123)/(BA963+BA965),0)</f>
        <v>0</v>
      </c>
      <c r="BB1043" s="2346">
        <f t="shared" ref="BB1043" si="2130">BA1043-AZ1043</f>
        <v>0</v>
      </c>
      <c r="BC1043" s="2345">
        <f>IFERROR((BC1121+BC1123)/(BC963+BC965),0)</f>
        <v>0</v>
      </c>
      <c r="BD1043" s="2345">
        <f>IFERROR((BD1121+BD1123)/(BD963+BD965),0)</f>
        <v>0</v>
      </c>
      <c r="BE1043" s="2346">
        <f t="shared" ref="BE1043" si="2131">BD1043-BC1043</f>
        <v>0</v>
      </c>
      <c r="BF1043" s="2345">
        <f>IFERROR((BF1121+BF1123)/(BF963+BF965),0)</f>
        <v>0</v>
      </c>
      <c r="BG1043" s="2345">
        <f>IFERROR((BG1121+BG1123)/(BG963+BG965),0)</f>
        <v>0</v>
      </c>
      <c r="BH1043" s="2346">
        <f t="shared" ref="BH1043" si="2132">BG1043-BF1043</f>
        <v>0</v>
      </c>
      <c r="BI1043" s="2345">
        <f>IFERROR((BI1121+BI1123)/(BI963+BI965),0)</f>
        <v>0</v>
      </c>
      <c r="BJ1043" s="2345">
        <f>IFERROR((BJ1121+BJ1123)/(BJ963+BJ965),0)</f>
        <v>0</v>
      </c>
      <c r="BK1043" s="2346">
        <f t="shared" ref="BK1043" si="2133">BJ1043-BI1043</f>
        <v>0</v>
      </c>
      <c r="BL1043" s="2345">
        <f>IFERROR((BL1121+BL1123)/(BL963+BL965),0)</f>
        <v>0</v>
      </c>
      <c r="BM1043" s="2345">
        <f>IFERROR((BM1121+BM1123)/(BM963+BM965),0)</f>
        <v>0</v>
      </c>
      <c r="BN1043" s="2346">
        <f t="shared" ref="BN1043" si="2134">BM1043-BL1043</f>
        <v>0</v>
      </c>
      <c r="BO1043" s="2345">
        <f>IFERROR((BO1121+BO1123)/(BO963+BO965),0)</f>
        <v>0</v>
      </c>
      <c r="BP1043" s="2345">
        <f>IFERROR((BP1121+BP1123)/(BP963+BP965),0)</f>
        <v>0</v>
      </c>
      <c r="BQ1043" s="2346">
        <f t="shared" ref="BQ1043" si="2135">BP1043-BO1043</f>
        <v>0</v>
      </c>
    </row>
    <row r="1044" spans="3:69" s="2087" customFormat="1" ht="12" hidden="1" customHeight="1">
      <c r="C1044" s="2473" t="s">
        <v>3242</v>
      </c>
      <c r="D1044" s="2334" t="s">
        <v>2434</v>
      </c>
      <c r="E1044" s="2250" t="s">
        <v>3220</v>
      </c>
      <c r="F1044" s="2176"/>
      <c r="G1044" s="2339">
        <f>IFERROR((G1122+G1124)/(G964+G966),0)</f>
        <v>0</v>
      </c>
      <c r="H1044" s="2339">
        <f>IFERROR((H1122+H1124)/(H964+H966),0)</f>
        <v>0</v>
      </c>
      <c r="I1044" s="2337">
        <f>H1044-G1044</f>
        <v>0</v>
      </c>
      <c r="J1044" s="2338"/>
      <c r="K1044" s="2339">
        <f>IFERROR((K1122+K1124)/(K964+K966),0)</f>
        <v>0</v>
      </c>
      <c r="L1044" s="2339">
        <f>IFERROR((L1122+L1124)/(L964+L966),0)</f>
        <v>0</v>
      </c>
      <c r="M1044" s="2337">
        <f>L1044-K1044</f>
        <v>0</v>
      </c>
      <c r="N1044" s="2339">
        <f>IFERROR((N1122+N1124)/(N964+N966),0)</f>
        <v>0</v>
      </c>
      <c r="O1044" s="2339">
        <f>IFERROR((O1122+O1124)/(O964+O966),0)</f>
        <v>0</v>
      </c>
      <c r="P1044" s="2337">
        <f>O1044-N1044</f>
        <v>0</v>
      </c>
      <c r="Q1044" s="2339">
        <f>IFERROR((Q1122+Q1124)/(Q964+Q966),0)</f>
        <v>0</v>
      </c>
      <c r="R1044" s="2339">
        <f>IFERROR((R1122+R1124)/(R964+R966),0)</f>
        <v>0</v>
      </c>
      <c r="S1044" s="2337">
        <f>R1044-Q1044</f>
        <v>0</v>
      </c>
      <c r="T1044" s="2339">
        <f>IFERROR((T1122+T1124)/(T964+T966),0)</f>
        <v>0</v>
      </c>
      <c r="U1044" s="2339">
        <f>IFERROR((U1122+U1124)/(U964+U966),0)</f>
        <v>0</v>
      </c>
      <c r="V1044" s="2337">
        <f>U1044-T1044</f>
        <v>0</v>
      </c>
      <c r="W1044" s="2339">
        <f>IFERROR((W1122+W1124)/(W964+W966),0)</f>
        <v>0</v>
      </c>
      <c r="X1044" s="2339">
        <f>IFERROR((X1122+X1124)/(X964+X966),0)</f>
        <v>0</v>
      </c>
      <c r="Y1044" s="2337">
        <f>X1044-W1044</f>
        <v>0</v>
      </c>
      <c r="Z1044" s="2339">
        <f>IFERROR((Z1122+Z1124)/(Z964+Z966),0)</f>
        <v>0</v>
      </c>
      <c r="AA1044" s="2339">
        <f>IFERROR((AA1122+AA1124)/(AA964+AA966),0)</f>
        <v>0</v>
      </c>
      <c r="AB1044" s="2337">
        <f>AA1044-Z1044</f>
        <v>0</v>
      </c>
      <c r="AC1044" s="2339">
        <f>IFERROR((AC1122+AC1124)/(AC964+AC966),0)</f>
        <v>0</v>
      </c>
      <c r="AD1044" s="2339">
        <f>IFERROR((AD1122+AD1124)/(AD964+AD966),0)</f>
        <v>0</v>
      </c>
      <c r="AE1044" s="2337">
        <f>AD1044-AC1044</f>
        <v>0</v>
      </c>
      <c r="AF1044" s="2204"/>
      <c r="AG1044" s="2114"/>
      <c r="AH1044" s="2345">
        <f>IFERROR((AH1122+AH1124)/(AH964+AH966),0)</f>
        <v>0</v>
      </c>
      <c r="AI1044" s="2345">
        <f>IFERROR((AI1122+AI1124)/(AI964+AI966),0)</f>
        <v>0</v>
      </c>
      <c r="AJ1044" s="2346">
        <f>AI1044-AH1044</f>
        <v>0</v>
      </c>
      <c r="AK1044" s="2345">
        <f>IFERROR((AK1122+AK1124)/(AK964+AK966),0)</f>
        <v>0</v>
      </c>
      <c r="AL1044" s="2345">
        <f>IFERROR((AL1122+AL1124)/(AL964+AL966),0)</f>
        <v>0</v>
      </c>
      <c r="AM1044" s="2346">
        <f>AL1044-AK1044</f>
        <v>0</v>
      </c>
      <c r="AN1044" s="2345">
        <f>IFERROR((AN1122+AN1124)/(AN964+AN966),0)</f>
        <v>0</v>
      </c>
      <c r="AO1044" s="2345">
        <f>IFERROR((AO1122+AO1124)/(AO964+AO966),0)</f>
        <v>0</v>
      </c>
      <c r="AP1044" s="2346">
        <f>AO1044-AN1044</f>
        <v>0</v>
      </c>
      <c r="AQ1044" s="2345">
        <f>IFERROR((AQ1122+AQ1124)/(AQ964+AQ966),0)</f>
        <v>0</v>
      </c>
      <c r="AR1044" s="2345">
        <f>IFERROR((AR1122+AR1124)/(AR964+AR966),0)</f>
        <v>0</v>
      </c>
      <c r="AS1044" s="2346">
        <f>AR1044-AQ1044</f>
        <v>0</v>
      </c>
      <c r="AT1044" s="2345">
        <f>IFERROR((AT1122+AT1124)/(AT964+AT966),0)</f>
        <v>0</v>
      </c>
      <c r="AU1044" s="2345">
        <f>IFERROR((AU1122+AU1124)/(AU964+AU966),0)</f>
        <v>0</v>
      </c>
      <c r="AV1044" s="2346">
        <f>AU1044-AT1044</f>
        <v>0</v>
      </c>
      <c r="AW1044" s="2345">
        <f>IFERROR((AW1122+AW1124)/(AW964+AW966),0)</f>
        <v>0</v>
      </c>
      <c r="AX1044" s="2345">
        <f>IFERROR((AX1122+AX1124)/(AX964+AX966),0)</f>
        <v>0</v>
      </c>
      <c r="AY1044" s="2346">
        <f>AX1044-AW1044</f>
        <v>0</v>
      </c>
      <c r="AZ1044" s="2345">
        <f>IFERROR((AZ1122+AZ1124)/(AZ964+AZ966),0)</f>
        <v>0</v>
      </c>
      <c r="BA1044" s="2345">
        <f>IFERROR((BA1122+BA1124)/(BA964+BA966),0)</f>
        <v>0</v>
      </c>
      <c r="BB1044" s="2346">
        <f>BA1044-AZ1044</f>
        <v>0</v>
      </c>
      <c r="BC1044" s="2345">
        <f>IFERROR((BC1122+BC1124)/(BC964+BC966),0)</f>
        <v>0</v>
      </c>
      <c r="BD1044" s="2345">
        <f>IFERROR((BD1122+BD1124)/(BD964+BD966),0)</f>
        <v>0</v>
      </c>
      <c r="BE1044" s="2346">
        <f>BD1044-BC1044</f>
        <v>0</v>
      </c>
      <c r="BF1044" s="2345">
        <f>IFERROR((BF1122+BF1124)/(BF964+BF966),0)</f>
        <v>0</v>
      </c>
      <c r="BG1044" s="2345">
        <f>IFERROR((BG1122+BG1124)/(BG964+BG966),0)</f>
        <v>0</v>
      </c>
      <c r="BH1044" s="2346">
        <f>BG1044-BF1044</f>
        <v>0</v>
      </c>
      <c r="BI1044" s="2345">
        <f>IFERROR((BI1122+BI1124)/(BI964+BI966),0)</f>
        <v>0</v>
      </c>
      <c r="BJ1044" s="2345">
        <f>IFERROR((BJ1122+BJ1124)/(BJ964+BJ966),0)</f>
        <v>0</v>
      </c>
      <c r="BK1044" s="2346">
        <f>BJ1044-BI1044</f>
        <v>0</v>
      </c>
      <c r="BL1044" s="2345">
        <f>IFERROR((BL1122+BL1124)/(BL964+BL966),0)</f>
        <v>0</v>
      </c>
      <c r="BM1044" s="2345">
        <f>IFERROR((BM1122+BM1124)/(BM964+BM966),0)</f>
        <v>0</v>
      </c>
      <c r="BN1044" s="2346">
        <f>BM1044-BL1044</f>
        <v>0</v>
      </c>
      <c r="BO1044" s="2345">
        <f>IFERROR((BO1122+BO1124)/(BO964+BO966),0)</f>
        <v>0</v>
      </c>
      <c r="BP1044" s="2345">
        <f>IFERROR((BP1122+BP1124)/(BP964+BP966),0)</f>
        <v>0</v>
      </c>
      <c r="BQ1044" s="2346">
        <f>BP1044-BO1044</f>
        <v>0</v>
      </c>
    </row>
    <row r="1045" spans="3:69" s="2087" customFormat="1" ht="12" hidden="1" customHeight="1">
      <c r="C1045" s="2423" t="s">
        <v>3243</v>
      </c>
      <c r="D1045" s="2421" t="s">
        <v>3151</v>
      </c>
      <c r="E1045" s="2250" t="s">
        <v>3052</v>
      </c>
      <c r="F1045" s="2176"/>
      <c r="G1045" s="2339">
        <f t="shared" ref="G1045:H1047" si="2136">IFERROR(G1125/G967,0)</f>
        <v>0</v>
      </c>
      <c r="H1045" s="2339">
        <f t="shared" si="2136"/>
        <v>0</v>
      </c>
      <c r="I1045" s="2337">
        <f t="shared" si="2085"/>
        <v>0</v>
      </c>
      <c r="J1045" s="2338"/>
      <c r="K1045" s="2339">
        <f t="shared" ref="K1045:L1047" si="2137">IFERROR(K1125/K967,0)</f>
        <v>0</v>
      </c>
      <c r="L1045" s="2339">
        <f t="shared" si="2137"/>
        <v>0</v>
      </c>
      <c r="M1045" s="2337">
        <f t="shared" si="2087"/>
        <v>0</v>
      </c>
      <c r="N1045" s="2339">
        <f t="shared" ref="N1045:O1047" si="2138">IFERROR(N1125/N967,0)</f>
        <v>0</v>
      </c>
      <c r="O1045" s="2339">
        <f t="shared" si="2138"/>
        <v>0</v>
      </c>
      <c r="P1045" s="2337">
        <f t="shared" si="2089"/>
        <v>0</v>
      </c>
      <c r="Q1045" s="2344">
        <f t="shared" ref="Q1045:R1047" si="2139">IFERROR(Q1125/Q967,0)</f>
        <v>0</v>
      </c>
      <c r="R1045" s="2339">
        <f t="shared" si="2139"/>
        <v>0</v>
      </c>
      <c r="S1045" s="2337">
        <f t="shared" si="2091"/>
        <v>0</v>
      </c>
      <c r="T1045" s="2340">
        <f t="shared" ref="T1045:U1047" si="2140">IFERROR(T1125/T967,0)</f>
        <v>0</v>
      </c>
      <c r="U1045" s="2339">
        <f t="shared" si="2140"/>
        <v>0</v>
      </c>
      <c r="V1045" s="2337">
        <f t="shared" si="2093"/>
        <v>0</v>
      </c>
      <c r="W1045" s="2344">
        <f t="shared" ref="W1045:X1047" si="2141">IFERROR(W1125/W967,0)</f>
        <v>0</v>
      </c>
      <c r="X1045" s="2339">
        <f t="shared" si="2141"/>
        <v>0</v>
      </c>
      <c r="Y1045" s="2337">
        <f t="shared" si="2095"/>
        <v>0</v>
      </c>
      <c r="Z1045" s="2340">
        <f t="shared" ref="Z1045:AA1047" si="2142">IFERROR(Z1125/Z967,0)</f>
        <v>0</v>
      </c>
      <c r="AA1045" s="2339">
        <f t="shared" si="2142"/>
        <v>0</v>
      </c>
      <c r="AB1045" s="2337">
        <f t="shared" si="2097"/>
        <v>0</v>
      </c>
      <c r="AC1045" s="2344">
        <f t="shared" ref="AC1045:AD1047" si="2143">IFERROR(AC1125/AC967,0)</f>
        <v>0</v>
      </c>
      <c r="AD1045" s="2339">
        <f t="shared" si="2143"/>
        <v>0</v>
      </c>
      <c r="AE1045" s="2337">
        <f t="shared" si="2099"/>
        <v>0</v>
      </c>
      <c r="AF1045" s="2204"/>
      <c r="AG1045" s="2114"/>
      <c r="AH1045" s="2345">
        <f t="shared" ref="AH1045:AI1047" si="2144">IFERROR(AH1125/AH967,0)</f>
        <v>0</v>
      </c>
      <c r="AI1045" s="2345">
        <f t="shared" si="2144"/>
        <v>0</v>
      </c>
      <c r="AJ1045" s="2346">
        <f t="shared" ref="AJ1045:AJ1046" si="2145">AI1045-AH1045</f>
        <v>0</v>
      </c>
      <c r="AK1045" s="2345">
        <f t="shared" ref="AK1045:AL1047" si="2146">IFERROR(AK1125/AK967,0)</f>
        <v>0</v>
      </c>
      <c r="AL1045" s="2345">
        <f t="shared" si="2146"/>
        <v>0</v>
      </c>
      <c r="AM1045" s="2346">
        <f t="shared" ref="AM1045:AM1046" si="2147">AL1045-AK1045</f>
        <v>0</v>
      </c>
      <c r="AN1045" s="2345">
        <f t="shared" ref="AN1045:AO1047" si="2148">IFERROR(AN1125/AN967,0)</f>
        <v>0</v>
      </c>
      <c r="AO1045" s="2345">
        <f t="shared" si="2148"/>
        <v>0</v>
      </c>
      <c r="AP1045" s="2346">
        <f t="shared" ref="AP1045:AP1046" si="2149">AO1045-AN1045</f>
        <v>0</v>
      </c>
      <c r="AQ1045" s="2345">
        <f t="shared" ref="AQ1045:AR1047" si="2150">IFERROR(AQ1125/AQ967,0)</f>
        <v>0</v>
      </c>
      <c r="AR1045" s="2345">
        <f t="shared" si="2150"/>
        <v>0</v>
      </c>
      <c r="AS1045" s="2346">
        <f t="shared" ref="AS1045:AS1046" si="2151">AR1045-AQ1045</f>
        <v>0</v>
      </c>
      <c r="AT1045" s="2345">
        <f t="shared" ref="AT1045:AU1047" si="2152">IFERROR(AT1125/AT967,0)</f>
        <v>0</v>
      </c>
      <c r="AU1045" s="2345">
        <f t="shared" si="2152"/>
        <v>0</v>
      </c>
      <c r="AV1045" s="2346">
        <f t="shared" ref="AV1045:AV1046" si="2153">AU1045-AT1045</f>
        <v>0</v>
      </c>
      <c r="AW1045" s="2345">
        <f t="shared" ref="AW1045:AX1047" si="2154">IFERROR(AW1125/AW967,0)</f>
        <v>0</v>
      </c>
      <c r="AX1045" s="2345">
        <f t="shared" si="2154"/>
        <v>0</v>
      </c>
      <c r="AY1045" s="2346">
        <f t="shared" ref="AY1045:AY1046" si="2155">AX1045-AW1045</f>
        <v>0</v>
      </c>
      <c r="AZ1045" s="2345">
        <f t="shared" ref="AZ1045:BA1047" si="2156">IFERROR(AZ1125/AZ967,0)</f>
        <v>0</v>
      </c>
      <c r="BA1045" s="2345">
        <f t="shared" si="2156"/>
        <v>0</v>
      </c>
      <c r="BB1045" s="2346">
        <f t="shared" ref="BB1045:BB1046" si="2157">BA1045-AZ1045</f>
        <v>0</v>
      </c>
      <c r="BC1045" s="2345">
        <f t="shared" ref="BC1045:BD1047" si="2158">IFERROR(BC1125/BC967,0)</f>
        <v>0</v>
      </c>
      <c r="BD1045" s="2345">
        <f t="shared" si="2158"/>
        <v>0</v>
      </c>
      <c r="BE1045" s="2346">
        <f t="shared" ref="BE1045:BE1046" si="2159">BD1045-BC1045</f>
        <v>0</v>
      </c>
      <c r="BF1045" s="2345">
        <f t="shared" ref="BF1045:BG1047" si="2160">IFERROR(BF1125/BF967,0)</f>
        <v>0</v>
      </c>
      <c r="BG1045" s="2345">
        <f t="shared" si="2160"/>
        <v>0</v>
      </c>
      <c r="BH1045" s="2346">
        <f t="shared" ref="BH1045:BH1046" si="2161">BG1045-BF1045</f>
        <v>0</v>
      </c>
      <c r="BI1045" s="2345">
        <f t="shared" ref="BI1045:BJ1047" si="2162">IFERROR(BI1125/BI967,0)</f>
        <v>0</v>
      </c>
      <c r="BJ1045" s="2345">
        <f t="shared" si="2162"/>
        <v>0</v>
      </c>
      <c r="BK1045" s="2346">
        <f t="shared" ref="BK1045:BK1046" si="2163">BJ1045-BI1045</f>
        <v>0</v>
      </c>
      <c r="BL1045" s="2345">
        <f t="shared" ref="BL1045:BM1047" si="2164">IFERROR(BL1125/BL967,0)</f>
        <v>0</v>
      </c>
      <c r="BM1045" s="2345">
        <f t="shared" si="2164"/>
        <v>0</v>
      </c>
      <c r="BN1045" s="2346">
        <f t="shared" ref="BN1045:BN1046" si="2165">BM1045-BL1045</f>
        <v>0</v>
      </c>
      <c r="BO1045" s="2345">
        <f t="shared" ref="BO1045:BP1047" si="2166">IFERROR(BO1125/BO967,0)</f>
        <v>0</v>
      </c>
      <c r="BP1045" s="2345">
        <f t="shared" si="2166"/>
        <v>0</v>
      </c>
      <c r="BQ1045" s="2346">
        <f t="shared" ref="BQ1045:BQ1046" si="2167">BP1045-BO1045</f>
        <v>0</v>
      </c>
    </row>
    <row r="1046" spans="3:69" s="2087" customFormat="1" ht="12" hidden="1" customHeight="1">
      <c r="C1046" s="2473" t="s">
        <v>3244</v>
      </c>
      <c r="D1046" s="2334" t="s">
        <v>28</v>
      </c>
      <c r="E1046" s="2250" t="s">
        <v>3052</v>
      </c>
      <c r="F1046" s="2176"/>
      <c r="G1046" s="2339">
        <f t="shared" si="2136"/>
        <v>0</v>
      </c>
      <c r="H1046" s="2339">
        <f t="shared" si="2136"/>
        <v>0</v>
      </c>
      <c r="I1046" s="2337">
        <f t="shared" si="2085"/>
        <v>0</v>
      </c>
      <c r="J1046" s="2338"/>
      <c r="K1046" s="2339">
        <f t="shared" si="2137"/>
        <v>0</v>
      </c>
      <c r="L1046" s="2339">
        <f t="shared" si="2137"/>
        <v>0</v>
      </c>
      <c r="M1046" s="2337">
        <f t="shared" si="2087"/>
        <v>0</v>
      </c>
      <c r="N1046" s="2339">
        <f t="shared" si="2138"/>
        <v>0</v>
      </c>
      <c r="O1046" s="2339">
        <f t="shared" si="2138"/>
        <v>0</v>
      </c>
      <c r="P1046" s="2337">
        <f t="shared" si="2089"/>
        <v>0</v>
      </c>
      <c r="Q1046" s="2344">
        <f t="shared" si="2139"/>
        <v>0</v>
      </c>
      <c r="R1046" s="2339">
        <f t="shared" si="2139"/>
        <v>0</v>
      </c>
      <c r="S1046" s="2337">
        <f t="shared" si="2091"/>
        <v>0</v>
      </c>
      <c r="T1046" s="2340">
        <f t="shared" si="2140"/>
        <v>0</v>
      </c>
      <c r="U1046" s="2339">
        <f t="shared" si="2140"/>
        <v>0</v>
      </c>
      <c r="V1046" s="2337">
        <f t="shared" si="2093"/>
        <v>0</v>
      </c>
      <c r="W1046" s="2344">
        <f t="shared" si="2141"/>
        <v>0</v>
      </c>
      <c r="X1046" s="2339">
        <f t="shared" si="2141"/>
        <v>0</v>
      </c>
      <c r="Y1046" s="2337">
        <f t="shared" si="2095"/>
        <v>0</v>
      </c>
      <c r="Z1046" s="2340">
        <f t="shared" si="2142"/>
        <v>0</v>
      </c>
      <c r="AA1046" s="2339">
        <f t="shared" si="2142"/>
        <v>0</v>
      </c>
      <c r="AB1046" s="2337">
        <f t="shared" si="2097"/>
        <v>0</v>
      </c>
      <c r="AC1046" s="2344">
        <f t="shared" si="2143"/>
        <v>0</v>
      </c>
      <c r="AD1046" s="2339">
        <f t="shared" si="2143"/>
        <v>0</v>
      </c>
      <c r="AE1046" s="2337">
        <f t="shared" si="2099"/>
        <v>0</v>
      </c>
      <c r="AF1046" s="2204"/>
      <c r="AG1046" s="2114"/>
      <c r="AH1046" s="2345">
        <f t="shared" si="2144"/>
        <v>0</v>
      </c>
      <c r="AI1046" s="2345">
        <f t="shared" si="2144"/>
        <v>0</v>
      </c>
      <c r="AJ1046" s="2346">
        <f t="shared" si="2145"/>
        <v>0</v>
      </c>
      <c r="AK1046" s="2345">
        <f t="shared" si="2146"/>
        <v>0</v>
      </c>
      <c r="AL1046" s="2345">
        <f t="shared" si="2146"/>
        <v>0</v>
      </c>
      <c r="AM1046" s="2346">
        <f t="shared" si="2147"/>
        <v>0</v>
      </c>
      <c r="AN1046" s="2345">
        <f t="shared" si="2148"/>
        <v>0</v>
      </c>
      <c r="AO1046" s="2345">
        <f t="shared" si="2148"/>
        <v>0</v>
      </c>
      <c r="AP1046" s="2346">
        <f t="shared" si="2149"/>
        <v>0</v>
      </c>
      <c r="AQ1046" s="2345">
        <f t="shared" si="2150"/>
        <v>0</v>
      </c>
      <c r="AR1046" s="2345">
        <f t="shared" si="2150"/>
        <v>0</v>
      </c>
      <c r="AS1046" s="2346">
        <f t="shared" si="2151"/>
        <v>0</v>
      </c>
      <c r="AT1046" s="2345">
        <f t="shared" si="2152"/>
        <v>0</v>
      </c>
      <c r="AU1046" s="2345">
        <f t="shared" si="2152"/>
        <v>0</v>
      </c>
      <c r="AV1046" s="2346">
        <f t="shared" si="2153"/>
        <v>0</v>
      </c>
      <c r="AW1046" s="2345">
        <f t="shared" si="2154"/>
        <v>0</v>
      </c>
      <c r="AX1046" s="2345">
        <f t="shared" si="2154"/>
        <v>0</v>
      </c>
      <c r="AY1046" s="2346">
        <f t="shared" si="2155"/>
        <v>0</v>
      </c>
      <c r="AZ1046" s="2345">
        <f t="shared" si="2156"/>
        <v>0</v>
      </c>
      <c r="BA1046" s="2345">
        <f t="shared" si="2156"/>
        <v>0</v>
      </c>
      <c r="BB1046" s="2346">
        <f t="shared" si="2157"/>
        <v>0</v>
      </c>
      <c r="BC1046" s="2345">
        <f t="shared" si="2158"/>
        <v>0</v>
      </c>
      <c r="BD1046" s="2345">
        <f t="shared" si="2158"/>
        <v>0</v>
      </c>
      <c r="BE1046" s="2346">
        <f t="shared" si="2159"/>
        <v>0</v>
      </c>
      <c r="BF1046" s="2345">
        <f t="shared" si="2160"/>
        <v>0</v>
      </c>
      <c r="BG1046" s="2345">
        <f t="shared" si="2160"/>
        <v>0</v>
      </c>
      <c r="BH1046" s="2346">
        <f t="shared" si="2161"/>
        <v>0</v>
      </c>
      <c r="BI1046" s="2345">
        <f t="shared" si="2162"/>
        <v>0</v>
      </c>
      <c r="BJ1046" s="2345">
        <f t="shared" si="2162"/>
        <v>0</v>
      </c>
      <c r="BK1046" s="2346">
        <f t="shared" si="2163"/>
        <v>0</v>
      </c>
      <c r="BL1046" s="2345">
        <f t="shared" si="2164"/>
        <v>0</v>
      </c>
      <c r="BM1046" s="2345">
        <f t="shared" si="2164"/>
        <v>0</v>
      </c>
      <c r="BN1046" s="2346">
        <f t="shared" si="2165"/>
        <v>0</v>
      </c>
      <c r="BO1046" s="2345">
        <f t="shared" si="2166"/>
        <v>0</v>
      </c>
      <c r="BP1046" s="2345">
        <f t="shared" si="2166"/>
        <v>0</v>
      </c>
      <c r="BQ1046" s="2346">
        <f t="shared" si="2167"/>
        <v>0</v>
      </c>
    </row>
    <row r="1047" spans="3:69" s="2087" customFormat="1" ht="12" hidden="1" customHeight="1">
      <c r="C1047" s="2473" t="s">
        <v>3245</v>
      </c>
      <c r="D1047" s="2334" t="s">
        <v>2434</v>
      </c>
      <c r="E1047" s="2250" t="s">
        <v>3052</v>
      </c>
      <c r="F1047" s="2176"/>
      <c r="G1047" s="2339">
        <f t="shared" si="2136"/>
        <v>0</v>
      </c>
      <c r="H1047" s="2339">
        <f t="shared" si="2136"/>
        <v>0</v>
      </c>
      <c r="I1047" s="2337">
        <f>H1047-G1047</f>
        <v>0</v>
      </c>
      <c r="J1047" s="2338"/>
      <c r="K1047" s="2339">
        <f t="shared" si="2137"/>
        <v>0</v>
      </c>
      <c r="L1047" s="2339">
        <f t="shared" si="2137"/>
        <v>0</v>
      </c>
      <c r="M1047" s="2337">
        <f>L1047-K1047</f>
        <v>0</v>
      </c>
      <c r="N1047" s="2339">
        <f t="shared" si="2138"/>
        <v>0</v>
      </c>
      <c r="O1047" s="2339">
        <f t="shared" si="2138"/>
        <v>0</v>
      </c>
      <c r="P1047" s="2337">
        <f>O1047-N1047</f>
        <v>0</v>
      </c>
      <c r="Q1047" s="2339">
        <f t="shared" si="2139"/>
        <v>0</v>
      </c>
      <c r="R1047" s="2339">
        <f t="shared" si="2139"/>
        <v>0</v>
      </c>
      <c r="S1047" s="2337">
        <f>R1047-Q1047</f>
        <v>0</v>
      </c>
      <c r="T1047" s="2339">
        <f t="shared" si="2140"/>
        <v>0</v>
      </c>
      <c r="U1047" s="2339">
        <f t="shared" si="2140"/>
        <v>0</v>
      </c>
      <c r="V1047" s="2337">
        <f>U1047-T1047</f>
        <v>0</v>
      </c>
      <c r="W1047" s="2339">
        <f t="shared" si="2141"/>
        <v>0</v>
      </c>
      <c r="X1047" s="2339">
        <f t="shared" si="2141"/>
        <v>0</v>
      </c>
      <c r="Y1047" s="2337">
        <f>X1047-W1047</f>
        <v>0</v>
      </c>
      <c r="Z1047" s="2339">
        <f t="shared" si="2142"/>
        <v>0</v>
      </c>
      <c r="AA1047" s="2339">
        <f t="shared" si="2142"/>
        <v>0</v>
      </c>
      <c r="AB1047" s="2337">
        <f>AA1047-Z1047</f>
        <v>0</v>
      </c>
      <c r="AC1047" s="2339">
        <f t="shared" si="2143"/>
        <v>0</v>
      </c>
      <c r="AD1047" s="2339">
        <f t="shared" si="2143"/>
        <v>0</v>
      </c>
      <c r="AE1047" s="2337">
        <f>AD1047-AC1047</f>
        <v>0</v>
      </c>
      <c r="AF1047" s="2204"/>
      <c r="AG1047" s="2114"/>
      <c r="AH1047" s="2345">
        <f t="shared" si="2144"/>
        <v>0</v>
      </c>
      <c r="AI1047" s="2345">
        <f t="shared" si="2144"/>
        <v>0</v>
      </c>
      <c r="AJ1047" s="2346">
        <f>AI1047-AH1047</f>
        <v>0</v>
      </c>
      <c r="AK1047" s="2345">
        <f t="shared" si="2146"/>
        <v>0</v>
      </c>
      <c r="AL1047" s="2345">
        <f t="shared" si="2146"/>
        <v>0</v>
      </c>
      <c r="AM1047" s="2346">
        <f>AL1047-AK1047</f>
        <v>0</v>
      </c>
      <c r="AN1047" s="2345">
        <f t="shared" si="2148"/>
        <v>0</v>
      </c>
      <c r="AO1047" s="2345">
        <f t="shared" si="2148"/>
        <v>0</v>
      </c>
      <c r="AP1047" s="2346">
        <f>AO1047-AN1047</f>
        <v>0</v>
      </c>
      <c r="AQ1047" s="2345">
        <f t="shared" si="2150"/>
        <v>0</v>
      </c>
      <c r="AR1047" s="2345">
        <f t="shared" si="2150"/>
        <v>0</v>
      </c>
      <c r="AS1047" s="2346">
        <f>AR1047-AQ1047</f>
        <v>0</v>
      </c>
      <c r="AT1047" s="2345">
        <f t="shared" si="2152"/>
        <v>0</v>
      </c>
      <c r="AU1047" s="2345">
        <f t="shared" si="2152"/>
        <v>0</v>
      </c>
      <c r="AV1047" s="2346">
        <f>AU1047-AT1047</f>
        <v>0</v>
      </c>
      <c r="AW1047" s="2345">
        <f t="shared" si="2154"/>
        <v>0</v>
      </c>
      <c r="AX1047" s="2345">
        <f t="shared" si="2154"/>
        <v>0</v>
      </c>
      <c r="AY1047" s="2346">
        <f>AX1047-AW1047</f>
        <v>0</v>
      </c>
      <c r="AZ1047" s="2345">
        <f t="shared" si="2156"/>
        <v>0</v>
      </c>
      <c r="BA1047" s="2345">
        <f t="shared" si="2156"/>
        <v>0</v>
      </c>
      <c r="BB1047" s="2346">
        <f>BA1047-AZ1047</f>
        <v>0</v>
      </c>
      <c r="BC1047" s="2345">
        <f t="shared" si="2158"/>
        <v>0</v>
      </c>
      <c r="BD1047" s="2345">
        <f t="shared" si="2158"/>
        <v>0</v>
      </c>
      <c r="BE1047" s="2346">
        <f>BD1047-BC1047</f>
        <v>0</v>
      </c>
      <c r="BF1047" s="2345">
        <f t="shared" si="2160"/>
        <v>0</v>
      </c>
      <c r="BG1047" s="2345">
        <f t="shared" si="2160"/>
        <v>0</v>
      </c>
      <c r="BH1047" s="2346">
        <f>BG1047-BF1047</f>
        <v>0</v>
      </c>
      <c r="BI1047" s="2345">
        <f t="shared" si="2162"/>
        <v>0</v>
      </c>
      <c r="BJ1047" s="2345">
        <f t="shared" si="2162"/>
        <v>0</v>
      </c>
      <c r="BK1047" s="2346">
        <f>BJ1047-BI1047</f>
        <v>0</v>
      </c>
      <c r="BL1047" s="2345">
        <f t="shared" si="2164"/>
        <v>0</v>
      </c>
      <c r="BM1047" s="2345">
        <f t="shared" si="2164"/>
        <v>0</v>
      </c>
      <c r="BN1047" s="2346">
        <f>BM1047-BL1047</f>
        <v>0</v>
      </c>
      <c r="BO1047" s="2345">
        <f t="shared" si="2166"/>
        <v>0</v>
      </c>
      <c r="BP1047" s="2345">
        <f t="shared" si="2166"/>
        <v>0</v>
      </c>
      <c r="BQ1047" s="2346">
        <f>BP1047-BO1047</f>
        <v>0</v>
      </c>
    </row>
    <row r="1048" spans="3:69" s="2087" customFormat="1" ht="12" hidden="1" customHeight="1">
      <c r="C1048" s="2473" t="s">
        <v>3246</v>
      </c>
      <c r="D1048" s="2334" t="s">
        <v>42</v>
      </c>
      <c r="E1048" s="2250" t="s">
        <v>3052</v>
      </c>
      <c r="F1048" s="2176"/>
      <c r="G1048" s="2339">
        <f>IFERROR((G1128+G1130)/(G970+G972),0)</f>
        <v>0</v>
      </c>
      <c r="H1048" s="2339">
        <f>IFERROR((H1128+H1130)/(H970+H972),0)</f>
        <v>0</v>
      </c>
      <c r="I1048" s="2337">
        <f t="shared" si="2085"/>
        <v>0</v>
      </c>
      <c r="J1048" s="2338"/>
      <c r="K1048" s="2339">
        <f>IFERROR((K1128+K1130)/(K970+K972),0)</f>
        <v>0</v>
      </c>
      <c r="L1048" s="2339">
        <f>IFERROR((L1128+L1130)/(L970+L972),0)</f>
        <v>0</v>
      </c>
      <c r="M1048" s="2337">
        <f t="shared" si="2087"/>
        <v>0</v>
      </c>
      <c r="N1048" s="2339">
        <f>IFERROR((N1128+N1130)/(N970+N972),0)</f>
        <v>0</v>
      </c>
      <c r="O1048" s="2339">
        <f>IFERROR((O1128+O1130)/(O970+O972),0)</f>
        <v>0</v>
      </c>
      <c r="P1048" s="2337">
        <f t="shared" si="2089"/>
        <v>0</v>
      </c>
      <c r="Q1048" s="2344">
        <f>IFERROR((Q1128+Q1130)/(Q970+Q972),0)</f>
        <v>0</v>
      </c>
      <c r="R1048" s="2339">
        <f>IFERROR((R1128+R1130)/(R970+R972),0)</f>
        <v>0</v>
      </c>
      <c r="S1048" s="2337">
        <f t="shared" si="2091"/>
        <v>0</v>
      </c>
      <c r="T1048" s="2340">
        <f>IFERROR((T1128+T1130)/(T970+T972),0)</f>
        <v>0</v>
      </c>
      <c r="U1048" s="2339">
        <f>IFERROR((U1128+U1130)/(U970+U972),0)</f>
        <v>0</v>
      </c>
      <c r="V1048" s="2337">
        <f t="shared" si="2093"/>
        <v>0</v>
      </c>
      <c r="W1048" s="2344">
        <f>IFERROR((W1128+W1130)/(W970+W972),0)</f>
        <v>0</v>
      </c>
      <c r="X1048" s="2339">
        <f>IFERROR((X1128+X1130)/(X970+X972),0)</f>
        <v>0</v>
      </c>
      <c r="Y1048" s="2337">
        <f t="shared" si="2095"/>
        <v>0</v>
      </c>
      <c r="Z1048" s="2340">
        <f>IFERROR((Z1128+Z1130)/(Z970+Z972),0)</f>
        <v>0</v>
      </c>
      <c r="AA1048" s="2339">
        <f>IFERROR((AA1128+AA1130)/(AA970+AA972),0)</f>
        <v>0</v>
      </c>
      <c r="AB1048" s="2337">
        <f t="shared" si="2097"/>
        <v>0</v>
      </c>
      <c r="AC1048" s="2344">
        <f>IFERROR((AC1128+AC1130)/(AC970+AC972),0)</f>
        <v>0</v>
      </c>
      <c r="AD1048" s="2339">
        <f>IFERROR((AD1128+AD1130)/(AD970+AD972),0)</f>
        <v>0</v>
      </c>
      <c r="AE1048" s="2337">
        <f t="shared" si="2099"/>
        <v>0</v>
      </c>
      <c r="AF1048" s="2204"/>
      <c r="AG1048" s="2114"/>
      <c r="AH1048" s="2345">
        <f>IFERROR((AH1128+AH1130)/(AH970+AH972),0)</f>
        <v>0</v>
      </c>
      <c r="AI1048" s="2345">
        <f>IFERROR((AI1128+AI1130)/(AI970+AI972),0)</f>
        <v>0</v>
      </c>
      <c r="AJ1048" s="2346">
        <f t="shared" ref="AJ1048" si="2168">AI1048-AH1048</f>
        <v>0</v>
      </c>
      <c r="AK1048" s="2345">
        <f>IFERROR((AK1128+AK1130)/(AK970+AK972),0)</f>
        <v>0</v>
      </c>
      <c r="AL1048" s="2345">
        <f>IFERROR((AL1128+AL1130)/(AL970+AL972),0)</f>
        <v>0</v>
      </c>
      <c r="AM1048" s="2346">
        <f t="shared" ref="AM1048" si="2169">AL1048-AK1048</f>
        <v>0</v>
      </c>
      <c r="AN1048" s="2345">
        <f>IFERROR((AN1128+AN1130)/(AN970+AN972),0)</f>
        <v>0</v>
      </c>
      <c r="AO1048" s="2345">
        <f>IFERROR((AO1128+AO1130)/(AO970+AO972),0)</f>
        <v>0</v>
      </c>
      <c r="AP1048" s="2346">
        <f t="shared" ref="AP1048" si="2170">AO1048-AN1048</f>
        <v>0</v>
      </c>
      <c r="AQ1048" s="2345">
        <f>IFERROR((AQ1128+AQ1130)/(AQ970+AQ972),0)</f>
        <v>0</v>
      </c>
      <c r="AR1048" s="2345">
        <f>IFERROR((AR1128+AR1130)/(AR970+AR972),0)</f>
        <v>0</v>
      </c>
      <c r="AS1048" s="2346">
        <f t="shared" ref="AS1048" si="2171">AR1048-AQ1048</f>
        <v>0</v>
      </c>
      <c r="AT1048" s="2345">
        <f>IFERROR((AT1128+AT1130)/(AT970+AT972),0)</f>
        <v>0</v>
      </c>
      <c r="AU1048" s="2345">
        <f>IFERROR((AU1128+AU1130)/(AU970+AU972),0)</f>
        <v>0</v>
      </c>
      <c r="AV1048" s="2346">
        <f t="shared" ref="AV1048" si="2172">AU1048-AT1048</f>
        <v>0</v>
      </c>
      <c r="AW1048" s="2345">
        <f>IFERROR((AW1128+AW1130)/(AW970+AW972),0)</f>
        <v>0</v>
      </c>
      <c r="AX1048" s="2345">
        <f>IFERROR((AX1128+AX1130)/(AX970+AX972),0)</f>
        <v>0</v>
      </c>
      <c r="AY1048" s="2346">
        <f t="shared" ref="AY1048" si="2173">AX1048-AW1048</f>
        <v>0</v>
      </c>
      <c r="AZ1048" s="2345">
        <f>IFERROR((AZ1128+AZ1130)/(AZ970+AZ972),0)</f>
        <v>0</v>
      </c>
      <c r="BA1048" s="2345">
        <f>IFERROR((BA1128+BA1130)/(BA970+BA972),0)</f>
        <v>0</v>
      </c>
      <c r="BB1048" s="2346">
        <f t="shared" ref="BB1048" si="2174">BA1048-AZ1048</f>
        <v>0</v>
      </c>
      <c r="BC1048" s="2345">
        <f>IFERROR((BC1128+BC1130)/(BC970+BC972),0)</f>
        <v>0</v>
      </c>
      <c r="BD1048" s="2345">
        <f>IFERROR((BD1128+BD1130)/(BD970+BD972),0)</f>
        <v>0</v>
      </c>
      <c r="BE1048" s="2346">
        <f t="shared" ref="BE1048" si="2175">BD1048-BC1048</f>
        <v>0</v>
      </c>
      <c r="BF1048" s="2345">
        <f>IFERROR((BF1128+BF1130)/(BF970+BF972),0)</f>
        <v>0</v>
      </c>
      <c r="BG1048" s="2345">
        <f>IFERROR((BG1128+BG1130)/(BG970+BG972),0)</f>
        <v>0</v>
      </c>
      <c r="BH1048" s="2346">
        <f t="shared" ref="BH1048" si="2176">BG1048-BF1048</f>
        <v>0</v>
      </c>
      <c r="BI1048" s="2345">
        <f>IFERROR((BI1128+BI1130)/(BI970+BI972),0)</f>
        <v>0</v>
      </c>
      <c r="BJ1048" s="2345">
        <f>IFERROR((BJ1128+BJ1130)/(BJ970+BJ972),0)</f>
        <v>0</v>
      </c>
      <c r="BK1048" s="2346">
        <f t="shared" ref="BK1048" si="2177">BJ1048-BI1048</f>
        <v>0</v>
      </c>
      <c r="BL1048" s="2345">
        <f>IFERROR((BL1128+BL1130)/(BL970+BL972),0)</f>
        <v>0</v>
      </c>
      <c r="BM1048" s="2345">
        <f>IFERROR((BM1128+BM1130)/(BM970+BM972),0)</f>
        <v>0</v>
      </c>
      <c r="BN1048" s="2346">
        <f t="shared" ref="BN1048" si="2178">BM1048-BL1048</f>
        <v>0</v>
      </c>
      <c r="BO1048" s="2345">
        <f>IFERROR((BO1128+BO1130)/(BO970+BO972),0)</f>
        <v>0</v>
      </c>
      <c r="BP1048" s="2345">
        <f>IFERROR((BP1128+BP1130)/(BP970+BP972),0)</f>
        <v>0</v>
      </c>
      <c r="BQ1048" s="2346">
        <f t="shared" ref="BQ1048" si="2179">BP1048-BO1048</f>
        <v>0</v>
      </c>
    </row>
    <row r="1049" spans="3:69" s="2087" customFormat="1" ht="12" hidden="1" customHeight="1">
      <c r="C1049" s="2473" t="s">
        <v>3247</v>
      </c>
      <c r="D1049" s="2334" t="s">
        <v>2434</v>
      </c>
      <c r="E1049" s="2250" t="s">
        <v>3052</v>
      </c>
      <c r="F1049" s="2176"/>
      <c r="G1049" s="2339">
        <f>IFERROR((G1129+G1131)/(G971+G973),0)</f>
        <v>0</v>
      </c>
      <c r="H1049" s="2339">
        <f>IFERROR((H1129+H1131)/(H971+H973),0)</f>
        <v>0</v>
      </c>
      <c r="I1049" s="2337">
        <f>H1049-G1049</f>
        <v>0</v>
      </c>
      <c r="J1049" s="2338"/>
      <c r="K1049" s="2339">
        <f>IFERROR((K1129+K1131)/(K971+K973),0)</f>
        <v>0</v>
      </c>
      <c r="L1049" s="2339">
        <f>IFERROR((L1129+L1131)/(L971+L973),0)</f>
        <v>0</v>
      </c>
      <c r="M1049" s="2337">
        <f>L1049-K1049</f>
        <v>0</v>
      </c>
      <c r="N1049" s="2339">
        <f>IFERROR((N1129+N1131)/(N971+N973),0)</f>
        <v>0</v>
      </c>
      <c r="O1049" s="2339">
        <f>IFERROR((O1129+O1131)/(O971+O973),0)</f>
        <v>0</v>
      </c>
      <c r="P1049" s="2337">
        <f>O1049-N1049</f>
        <v>0</v>
      </c>
      <c r="Q1049" s="2339">
        <f>IFERROR((Q1129+Q1131)/(Q971+Q973),0)</f>
        <v>0</v>
      </c>
      <c r="R1049" s="2339">
        <f>IFERROR((R1129+R1131)/(R971+R973),0)</f>
        <v>0</v>
      </c>
      <c r="S1049" s="2337">
        <f>R1049-Q1049</f>
        <v>0</v>
      </c>
      <c r="T1049" s="2339">
        <f>IFERROR((T1129+T1131)/(T971+T973),0)</f>
        <v>0</v>
      </c>
      <c r="U1049" s="2339">
        <f>IFERROR((U1129+U1131)/(U971+U973),0)</f>
        <v>0</v>
      </c>
      <c r="V1049" s="2337">
        <f>U1049-T1049</f>
        <v>0</v>
      </c>
      <c r="W1049" s="2339">
        <f>IFERROR((W1129+W1131)/(W971+W973),0)</f>
        <v>0</v>
      </c>
      <c r="X1049" s="2339">
        <f>IFERROR((X1129+X1131)/(X971+X973),0)</f>
        <v>0</v>
      </c>
      <c r="Y1049" s="2337">
        <f>X1049-W1049</f>
        <v>0</v>
      </c>
      <c r="Z1049" s="2339">
        <f>IFERROR((Z1129+Z1131)/(Z971+Z973),0)</f>
        <v>0</v>
      </c>
      <c r="AA1049" s="2339">
        <f>IFERROR((AA1129+AA1131)/(AA971+AA973),0)</f>
        <v>0</v>
      </c>
      <c r="AB1049" s="2337">
        <f>AA1049-Z1049</f>
        <v>0</v>
      </c>
      <c r="AC1049" s="2339">
        <f>IFERROR((AC1129+AC1131)/(AC971+AC973),0)</f>
        <v>0</v>
      </c>
      <c r="AD1049" s="2339">
        <f>IFERROR((AD1129+AD1131)/(AD971+AD973),0)</f>
        <v>0</v>
      </c>
      <c r="AE1049" s="2337">
        <f>AD1049-AC1049</f>
        <v>0</v>
      </c>
      <c r="AF1049" s="2204"/>
      <c r="AG1049" s="2114"/>
      <c r="AH1049" s="2345">
        <f>IFERROR((AH1129+AH1131)/(AH971+AH973),0)</f>
        <v>0</v>
      </c>
      <c r="AI1049" s="2345">
        <f>IFERROR((AI1129+AI1131)/(AI971+AI973),0)</f>
        <v>0</v>
      </c>
      <c r="AJ1049" s="2346">
        <f>AI1049-AH1049</f>
        <v>0</v>
      </c>
      <c r="AK1049" s="2345">
        <f>IFERROR((AK1129+AK1131)/(AK971+AK973),0)</f>
        <v>0</v>
      </c>
      <c r="AL1049" s="2345">
        <f>IFERROR((AL1129+AL1131)/(AL971+AL973),0)</f>
        <v>0</v>
      </c>
      <c r="AM1049" s="2346">
        <f>AL1049-AK1049</f>
        <v>0</v>
      </c>
      <c r="AN1049" s="2345">
        <f>IFERROR((AN1129+AN1131)/(AN971+AN973),0)</f>
        <v>0</v>
      </c>
      <c r="AO1049" s="2345">
        <f>IFERROR((AO1129+AO1131)/(AO971+AO973),0)</f>
        <v>0</v>
      </c>
      <c r="AP1049" s="2346">
        <f>AO1049-AN1049</f>
        <v>0</v>
      </c>
      <c r="AQ1049" s="2345">
        <f>IFERROR((AQ1129+AQ1131)/(AQ971+AQ973),0)</f>
        <v>0</v>
      </c>
      <c r="AR1049" s="2345">
        <f>IFERROR((AR1129+AR1131)/(AR971+AR973),0)</f>
        <v>0</v>
      </c>
      <c r="AS1049" s="2346">
        <f>AR1049-AQ1049</f>
        <v>0</v>
      </c>
      <c r="AT1049" s="2345">
        <f>IFERROR((AT1129+AT1131)/(AT971+AT973),0)</f>
        <v>0</v>
      </c>
      <c r="AU1049" s="2345">
        <f>IFERROR((AU1129+AU1131)/(AU971+AU973),0)</f>
        <v>0</v>
      </c>
      <c r="AV1049" s="2346">
        <f>AU1049-AT1049</f>
        <v>0</v>
      </c>
      <c r="AW1049" s="2345">
        <f>IFERROR((AW1129+AW1131)/(AW971+AW973),0)</f>
        <v>0</v>
      </c>
      <c r="AX1049" s="2345">
        <f>IFERROR((AX1129+AX1131)/(AX971+AX973),0)</f>
        <v>0</v>
      </c>
      <c r="AY1049" s="2346">
        <f>AX1049-AW1049</f>
        <v>0</v>
      </c>
      <c r="AZ1049" s="2345">
        <f>IFERROR((AZ1129+AZ1131)/(AZ971+AZ973),0)</f>
        <v>0</v>
      </c>
      <c r="BA1049" s="2345">
        <f>IFERROR((BA1129+BA1131)/(BA971+BA973),0)</f>
        <v>0</v>
      </c>
      <c r="BB1049" s="2346">
        <f>BA1049-AZ1049</f>
        <v>0</v>
      </c>
      <c r="BC1049" s="2345">
        <f>IFERROR((BC1129+BC1131)/(BC971+BC973),0)</f>
        <v>0</v>
      </c>
      <c r="BD1049" s="2345">
        <f>IFERROR((BD1129+BD1131)/(BD971+BD973),0)</f>
        <v>0</v>
      </c>
      <c r="BE1049" s="2346">
        <f>BD1049-BC1049</f>
        <v>0</v>
      </c>
      <c r="BF1049" s="2345">
        <f>IFERROR((BF1129+BF1131)/(BF971+BF973),0)</f>
        <v>0</v>
      </c>
      <c r="BG1049" s="2345">
        <f>IFERROR((BG1129+BG1131)/(BG971+BG973),0)</f>
        <v>0</v>
      </c>
      <c r="BH1049" s="2346">
        <f>BG1049-BF1049</f>
        <v>0</v>
      </c>
      <c r="BI1049" s="2345">
        <f>IFERROR((BI1129+BI1131)/(BI971+BI973),0)</f>
        <v>0</v>
      </c>
      <c r="BJ1049" s="2345">
        <f>IFERROR((BJ1129+BJ1131)/(BJ971+BJ973),0)</f>
        <v>0</v>
      </c>
      <c r="BK1049" s="2346">
        <f>BJ1049-BI1049</f>
        <v>0</v>
      </c>
      <c r="BL1049" s="2345">
        <f>IFERROR((BL1129+BL1131)/(BL971+BL973),0)</f>
        <v>0</v>
      </c>
      <c r="BM1049" s="2345">
        <f>IFERROR((BM1129+BM1131)/(BM971+BM973),0)</f>
        <v>0</v>
      </c>
      <c r="BN1049" s="2346">
        <f>BM1049-BL1049</f>
        <v>0</v>
      </c>
      <c r="BO1049" s="2345">
        <f>IFERROR((BO1129+BO1131)/(BO971+BO973),0)</f>
        <v>0</v>
      </c>
      <c r="BP1049" s="2345">
        <f>IFERROR((BP1129+BP1131)/(BP971+BP973),0)</f>
        <v>0</v>
      </c>
      <c r="BQ1049" s="2346">
        <f>BP1049-BO1049</f>
        <v>0</v>
      </c>
    </row>
    <row r="1050" spans="3:69" s="2159" customFormat="1" ht="12" hidden="1" customHeight="1">
      <c r="C1050" s="2474" t="s">
        <v>3248</v>
      </c>
      <c r="D1050" s="2477" t="s">
        <v>3176</v>
      </c>
      <c r="E1050" s="2471"/>
      <c r="F1050" s="2320"/>
      <c r="G1050" s="2458"/>
      <c r="H1050" s="2458"/>
      <c r="I1050" s="2480"/>
      <c r="J1050" s="2481"/>
      <c r="K1050" s="2458"/>
      <c r="L1050" s="2458"/>
      <c r="M1050" s="2480"/>
      <c r="N1050" s="2458"/>
      <c r="O1050" s="2458"/>
      <c r="P1050" s="2480"/>
      <c r="Q1050" s="2481"/>
      <c r="R1050" s="2458"/>
      <c r="S1050" s="2480"/>
      <c r="T1050" s="2482"/>
      <c r="U1050" s="2458"/>
      <c r="V1050" s="2480"/>
      <c r="W1050" s="2481"/>
      <c r="X1050" s="2458"/>
      <c r="Y1050" s="2480"/>
      <c r="Z1050" s="2482"/>
      <c r="AA1050" s="2458"/>
      <c r="AB1050" s="2480"/>
      <c r="AC1050" s="2481"/>
      <c r="AD1050" s="2458"/>
      <c r="AE1050" s="2480"/>
      <c r="AF1050" s="2204"/>
      <c r="AG1050" s="2158"/>
      <c r="AH1050" s="2458"/>
      <c r="AI1050" s="2458"/>
      <c r="AJ1050" s="2480"/>
      <c r="AK1050" s="2458"/>
      <c r="AL1050" s="2458"/>
      <c r="AM1050" s="2480"/>
      <c r="AN1050" s="2458"/>
      <c r="AO1050" s="2458"/>
      <c r="AP1050" s="2480"/>
      <c r="AQ1050" s="2458"/>
      <c r="AR1050" s="2458"/>
      <c r="AS1050" s="2480"/>
      <c r="AT1050" s="2458"/>
      <c r="AU1050" s="2458"/>
      <c r="AV1050" s="2480"/>
      <c r="AW1050" s="2458"/>
      <c r="AX1050" s="2458"/>
      <c r="AY1050" s="2480"/>
      <c r="AZ1050" s="2458"/>
      <c r="BA1050" s="2458"/>
      <c r="BB1050" s="2480"/>
      <c r="BC1050" s="2458"/>
      <c r="BD1050" s="2458"/>
      <c r="BE1050" s="2480"/>
      <c r="BF1050" s="2458"/>
      <c r="BG1050" s="2458"/>
      <c r="BH1050" s="2480"/>
      <c r="BI1050" s="2458"/>
      <c r="BJ1050" s="2458"/>
      <c r="BK1050" s="2480"/>
      <c r="BL1050" s="2458"/>
      <c r="BM1050" s="2458"/>
      <c r="BN1050" s="2480"/>
      <c r="BO1050" s="2458"/>
      <c r="BP1050" s="2458"/>
      <c r="BQ1050" s="2480"/>
    </row>
    <row r="1051" spans="3:69" s="2159" customFormat="1" ht="12" hidden="1" customHeight="1">
      <c r="C1051" s="2474" t="s">
        <v>3249</v>
      </c>
      <c r="D1051" s="2476" t="s">
        <v>3223</v>
      </c>
      <c r="E1051" s="2120" t="s">
        <v>3220</v>
      </c>
      <c r="F1051" s="2162"/>
      <c r="G1051" s="2455">
        <f t="shared" ref="G1051:H1053" si="2180">IFERROR(G1133/G975,0)</f>
        <v>0</v>
      </c>
      <c r="H1051" s="2455">
        <f t="shared" si="2180"/>
        <v>0</v>
      </c>
      <c r="I1051" s="2479">
        <f>H1051-G1051</f>
        <v>0</v>
      </c>
      <c r="J1051" s="2454"/>
      <c r="K1051" s="2455">
        <f t="shared" ref="K1051:L1053" si="2181">IFERROR(K1133/K975,0)</f>
        <v>0</v>
      </c>
      <c r="L1051" s="2455">
        <f t="shared" si="2181"/>
        <v>0</v>
      </c>
      <c r="M1051" s="2479">
        <f>L1051-K1051</f>
        <v>0</v>
      </c>
      <c r="N1051" s="2455">
        <f t="shared" ref="N1051:O1053" si="2182">IFERROR(N1133/N975,0)</f>
        <v>0</v>
      </c>
      <c r="O1051" s="2455">
        <f t="shared" si="2182"/>
        <v>0</v>
      </c>
      <c r="P1051" s="2479">
        <f>O1051-N1051</f>
        <v>0</v>
      </c>
      <c r="Q1051" s="2456">
        <f t="shared" ref="Q1051:R1053" si="2183">IFERROR(Q1133/Q975,0)</f>
        <v>0</v>
      </c>
      <c r="R1051" s="2455">
        <f t="shared" si="2183"/>
        <v>0</v>
      </c>
      <c r="S1051" s="2479">
        <f>R1051-Q1051</f>
        <v>0</v>
      </c>
      <c r="T1051" s="2457">
        <f t="shared" ref="T1051:U1053" si="2184">IFERROR(T1133/T975,0)</f>
        <v>0</v>
      </c>
      <c r="U1051" s="2455">
        <f t="shared" si="2184"/>
        <v>0</v>
      </c>
      <c r="V1051" s="2479">
        <f>U1051-T1051</f>
        <v>0</v>
      </c>
      <c r="W1051" s="2456">
        <f t="shared" ref="W1051:X1053" si="2185">IFERROR(W1133/W975,0)</f>
        <v>0</v>
      </c>
      <c r="X1051" s="2455">
        <f t="shared" si="2185"/>
        <v>0</v>
      </c>
      <c r="Y1051" s="2479">
        <f>X1051-W1051</f>
        <v>0</v>
      </c>
      <c r="Z1051" s="2457">
        <f t="shared" ref="Z1051:AA1053" si="2186">IFERROR(Z1133/Z975,0)</f>
        <v>0</v>
      </c>
      <c r="AA1051" s="2455">
        <f t="shared" si="2186"/>
        <v>0</v>
      </c>
      <c r="AB1051" s="2479">
        <f>AA1051-Z1051</f>
        <v>0</v>
      </c>
      <c r="AC1051" s="2456">
        <f t="shared" ref="AC1051:AD1053" si="2187">IFERROR(AC1133/AC975,0)</f>
        <v>0</v>
      </c>
      <c r="AD1051" s="2455">
        <f t="shared" si="2187"/>
        <v>0</v>
      </c>
      <c r="AE1051" s="2479">
        <f>AD1051-AC1051</f>
        <v>0</v>
      </c>
      <c r="AF1051" s="2204"/>
      <c r="AG1051" s="2158"/>
      <c r="AH1051" s="2458">
        <f t="shared" ref="AH1051:AI1053" si="2188">IFERROR(AH1133/AH975,0)</f>
        <v>0</v>
      </c>
      <c r="AI1051" s="2458">
        <f t="shared" si="2188"/>
        <v>0</v>
      </c>
      <c r="AJ1051" s="2480">
        <f>AI1051-AH1051</f>
        <v>0</v>
      </c>
      <c r="AK1051" s="2458">
        <f t="shared" ref="AK1051:AL1053" si="2189">IFERROR(AK1133/AK975,0)</f>
        <v>0</v>
      </c>
      <c r="AL1051" s="2458">
        <f t="shared" si="2189"/>
        <v>0</v>
      </c>
      <c r="AM1051" s="2480">
        <f>AL1051-AK1051</f>
        <v>0</v>
      </c>
      <c r="AN1051" s="2458">
        <f t="shared" ref="AN1051:AO1053" si="2190">IFERROR(AN1133/AN975,0)</f>
        <v>0</v>
      </c>
      <c r="AO1051" s="2458">
        <f t="shared" si="2190"/>
        <v>0</v>
      </c>
      <c r="AP1051" s="2480">
        <f>AO1051-AN1051</f>
        <v>0</v>
      </c>
      <c r="AQ1051" s="2458">
        <f t="shared" ref="AQ1051:AR1053" si="2191">IFERROR(AQ1133/AQ975,0)</f>
        <v>0</v>
      </c>
      <c r="AR1051" s="2458">
        <f t="shared" si="2191"/>
        <v>0</v>
      </c>
      <c r="AS1051" s="2480">
        <f>AR1051-AQ1051</f>
        <v>0</v>
      </c>
      <c r="AT1051" s="2458">
        <f t="shared" ref="AT1051:AU1053" si="2192">IFERROR(AT1133/AT975,0)</f>
        <v>0</v>
      </c>
      <c r="AU1051" s="2458">
        <f t="shared" si="2192"/>
        <v>0</v>
      </c>
      <c r="AV1051" s="2480">
        <f>AU1051-AT1051</f>
        <v>0</v>
      </c>
      <c r="AW1051" s="2458">
        <f t="shared" ref="AW1051:AX1053" si="2193">IFERROR(AW1133/AW975,0)</f>
        <v>0</v>
      </c>
      <c r="AX1051" s="2458">
        <f t="shared" si="2193"/>
        <v>0</v>
      </c>
      <c r="AY1051" s="2480">
        <f>AX1051-AW1051</f>
        <v>0</v>
      </c>
      <c r="AZ1051" s="2458">
        <f t="shared" ref="AZ1051:BA1053" si="2194">IFERROR(AZ1133/AZ975,0)</f>
        <v>0</v>
      </c>
      <c r="BA1051" s="2458">
        <f t="shared" si="2194"/>
        <v>0</v>
      </c>
      <c r="BB1051" s="2480">
        <f>BA1051-AZ1051</f>
        <v>0</v>
      </c>
      <c r="BC1051" s="2458">
        <f t="shared" ref="BC1051:BD1053" si="2195">IFERROR(BC1133/BC975,0)</f>
        <v>0</v>
      </c>
      <c r="BD1051" s="2458">
        <f t="shared" si="2195"/>
        <v>0</v>
      </c>
      <c r="BE1051" s="2480">
        <f>BD1051-BC1051</f>
        <v>0</v>
      </c>
      <c r="BF1051" s="2458">
        <f t="shared" ref="BF1051:BG1053" si="2196">IFERROR(BF1133/BF975,0)</f>
        <v>0</v>
      </c>
      <c r="BG1051" s="2458">
        <f t="shared" si="2196"/>
        <v>0</v>
      </c>
      <c r="BH1051" s="2480">
        <f>BG1051-BF1051</f>
        <v>0</v>
      </c>
      <c r="BI1051" s="2458">
        <f t="shared" ref="BI1051:BJ1053" si="2197">IFERROR(BI1133/BI975,0)</f>
        <v>0</v>
      </c>
      <c r="BJ1051" s="2458">
        <f t="shared" si="2197"/>
        <v>0</v>
      </c>
      <c r="BK1051" s="2480">
        <f>BJ1051-BI1051</f>
        <v>0</v>
      </c>
      <c r="BL1051" s="2458">
        <f t="shared" ref="BL1051:BM1053" si="2198">IFERROR(BL1133/BL975,0)</f>
        <v>0</v>
      </c>
      <c r="BM1051" s="2458">
        <f t="shared" si="2198"/>
        <v>0</v>
      </c>
      <c r="BN1051" s="2480">
        <f>BM1051-BL1051</f>
        <v>0</v>
      </c>
      <c r="BO1051" s="2458">
        <f t="shared" ref="BO1051:BP1053" si="2199">IFERROR(BO1133/BO975,0)</f>
        <v>0</v>
      </c>
      <c r="BP1051" s="2458">
        <f t="shared" si="2199"/>
        <v>0</v>
      </c>
      <c r="BQ1051" s="2480">
        <f>BP1051-BO1051</f>
        <v>0</v>
      </c>
    </row>
    <row r="1052" spans="3:69" s="2087" customFormat="1" ht="12" hidden="1" customHeight="1">
      <c r="C1052" s="2473" t="s">
        <v>3250</v>
      </c>
      <c r="D1052" s="2334" t="s">
        <v>28</v>
      </c>
      <c r="E1052" s="2250" t="s">
        <v>3220</v>
      </c>
      <c r="F1052" s="2176"/>
      <c r="G1052" s="2339">
        <f t="shared" si="2180"/>
        <v>0</v>
      </c>
      <c r="H1052" s="2339">
        <f t="shared" si="2180"/>
        <v>0</v>
      </c>
      <c r="I1052" s="2337">
        <f>H1052-G1052</f>
        <v>0</v>
      </c>
      <c r="J1052" s="2338"/>
      <c r="K1052" s="2339">
        <f t="shared" si="2181"/>
        <v>0</v>
      </c>
      <c r="L1052" s="2339">
        <f t="shared" si="2181"/>
        <v>0</v>
      </c>
      <c r="M1052" s="2337">
        <f>L1052-K1052</f>
        <v>0</v>
      </c>
      <c r="N1052" s="2339">
        <f t="shared" si="2182"/>
        <v>0</v>
      </c>
      <c r="O1052" s="2339">
        <f t="shared" si="2182"/>
        <v>0</v>
      </c>
      <c r="P1052" s="2337">
        <f>O1052-N1052</f>
        <v>0</v>
      </c>
      <c r="Q1052" s="2344">
        <f t="shared" si="2183"/>
        <v>0</v>
      </c>
      <c r="R1052" s="2339">
        <f t="shared" si="2183"/>
        <v>0</v>
      </c>
      <c r="S1052" s="2337">
        <f>R1052-Q1052</f>
        <v>0</v>
      </c>
      <c r="T1052" s="2340">
        <f t="shared" si="2184"/>
        <v>0</v>
      </c>
      <c r="U1052" s="2339">
        <f t="shared" si="2184"/>
        <v>0</v>
      </c>
      <c r="V1052" s="2337">
        <f>U1052-T1052</f>
        <v>0</v>
      </c>
      <c r="W1052" s="2344">
        <f t="shared" si="2185"/>
        <v>0</v>
      </c>
      <c r="X1052" s="2339">
        <f t="shared" si="2185"/>
        <v>0</v>
      </c>
      <c r="Y1052" s="2337">
        <f>X1052-W1052</f>
        <v>0</v>
      </c>
      <c r="Z1052" s="2340">
        <f t="shared" si="2186"/>
        <v>0</v>
      </c>
      <c r="AA1052" s="2339">
        <f t="shared" si="2186"/>
        <v>0</v>
      </c>
      <c r="AB1052" s="2337">
        <f>AA1052-Z1052</f>
        <v>0</v>
      </c>
      <c r="AC1052" s="2344">
        <f t="shared" si="2187"/>
        <v>0</v>
      </c>
      <c r="AD1052" s="2339">
        <f t="shared" si="2187"/>
        <v>0</v>
      </c>
      <c r="AE1052" s="2337">
        <f>AD1052-AC1052</f>
        <v>0</v>
      </c>
      <c r="AF1052" s="2204"/>
      <c r="AG1052" s="2114"/>
      <c r="AH1052" s="2345">
        <f t="shared" si="2188"/>
        <v>0</v>
      </c>
      <c r="AI1052" s="2345">
        <f t="shared" si="2188"/>
        <v>0</v>
      </c>
      <c r="AJ1052" s="2346">
        <f>AI1052-AH1052</f>
        <v>0</v>
      </c>
      <c r="AK1052" s="2345">
        <f t="shared" si="2189"/>
        <v>0</v>
      </c>
      <c r="AL1052" s="2345">
        <f t="shared" si="2189"/>
        <v>0</v>
      </c>
      <c r="AM1052" s="2346">
        <f>AL1052-AK1052</f>
        <v>0</v>
      </c>
      <c r="AN1052" s="2345">
        <f t="shared" si="2190"/>
        <v>0</v>
      </c>
      <c r="AO1052" s="2345">
        <f t="shared" si="2190"/>
        <v>0</v>
      </c>
      <c r="AP1052" s="2346">
        <f>AO1052-AN1052</f>
        <v>0</v>
      </c>
      <c r="AQ1052" s="2345">
        <f t="shared" si="2191"/>
        <v>0</v>
      </c>
      <c r="AR1052" s="2345">
        <f t="shared" si="2191"/>
        <v>0</v>
      </c>
      <c r="AS1052" s="2346">
        <f>AR1052-AQ1052</f>
        <v>0</v>
      </c>
      <c r="AT1052" s="2345">
        <f t="shared" si="2192"/>
        <v>0</v>
      </c>
      <c r="AU1052" s="2345">
        <f t="shared" si="2192"/>
        <v>0</v>
      </c>
      <c r="AV1052" s="2346">
        <f>AU1052-AT1052</f>
        <v>0</v>
      </c>
      <c r="AW1052" s="2345">
        <f t="shared" si="2193"/>
        <v>0</v>
      </c>
      <c r="AX1052" s="2345">
        <f t="shared" si="2193"/>
        <v>0</v>
      </c>
      <c r="AY1052" s="2346">
        <f>AX1052-AW1052</f>
        <v>0</v>
      </c>
      <c r="AZ1052" s="2345">
        <f t="shared" si="2194"/>
        <v>0</v>
      </c>
      <c r="BA1052" s="2345">
        <f t="shared" si="2194"/>
        <v>0</v>
      </c>
      <c r="BB1052" s="2346">
        <f>BA1052-AZ1052</f>
        <v>0</v>
      </c>
      <c r="BC1052" s="2345">
        <f t="shared" si="2195"/>
        <v>0</v>
      </c>
      <c r="BD1052" s="2345">
        <f t="shared" si="2195"/>
        <v>0</v>
      </c>
      <c r="BE1052" s="2346">
        <f>BD1052-BC1052</f>
        <v>0</v>
      </c>
      <c r="BF1052" s="2345">
        <f t="shared" si="2196"/>
        <v>0</v>
      </c>
      <c r="BG1052" s="2345">
        <f t="shared" si="2196"/>
        <v>0</v>
      </c>
      <c r="BH1052" s="2346">
        <f>BG1052-BF1052</f>
        <v>0</v>
      </c>
      <c r="BI1052" s="2345">
        <f t="shared" si="2197"/>
        <v>0</v>
      </c>
      <c r="BJ1052" s="2345">
        <f t="shared" si="2197"/>
        <v>0</v>
      </c>
      <c r="BK1052" s="2346">
        <f>BJ1052-BI1052</f>
        <v>0</v>
      </c>
      <c r="BL1052" s="2345">
        <f t="shared" si="2198"/>
        <v>0</v>
      </c>
      <c r="BM1052" s="2345">
        <f t="shared" si="2198"/>
        <v>0</v>
      </c>
      <c r="BN1052" s="2346">
        <f>BM1052-BL1052</f>
        <v>0</v>
      </c>
      <c r="BO1052" s="2345">
        <f t="shared" si="2199"/>
        <v>0</v>
      </c>
      <c r="BP1052" s="2345">
        <f t="shared" si="2199"/>
        <v>0</v>
      </c>
      <c r="BQ1052" s="2346">
        <f>BP1052-BO1052</f>
        <v>0</v>
      </c>
    </row>
    <row r="1053" spans="3:69" s="2087" customFormat="1" ht="12" hidden="1" customHeight="1">
      <c r="C1053" s="2473" t="s">
        <v>3251</v>
      </c>
      <c r="D1053" s="2334" t="s">
        <v>2434</v>
      </c>
      <c r="E1053" s="2250" t="s">
        <v>3220</v>
      </c>
      <c r="F1053" s="2176"/>
      <c r="G1053" s="2339">
        <f t="shared" si="2180"/>
        <v>0</v>
      </c>
      <c r="H1053" s="2339">
        <f t="shared" si="2180"/>
        <v>0</v>
      </c>
      <c r="I1053" s="2337">
        <f>H1053-G1053</f>
        <v>0</v>
      </c>
      <c r="J1053" s="2338"/>
      <c r="K1053" s="2339">
        <f t="shared" si="2181"/>
        <v>0</v>
      </c>
      <c r="L1053" s="2339">
        <f t="shared" si="2181"/>
        <v>0</v>
      </c>
      <c r="M1053" s="2337">
        <f>L1053-K1053</f>
        <v>0</v>
      </c>
      <c r="N1053" s="2339">
        <f t="shared" si="2182"/>
        <v>0</v>
      </c>
      <c r="O1053" s="2339">
        <f t="shared" si="2182"/>
        <v>0</v>
      </c>
      <c r="P1053" s="2337">
        <f>O1053-N1053</f>
        <v>0</v>
      </c>
      <c r="Q1053" s="2339">
        <f t="shared" si="2183"/>
        <v>0</v>
      </c>
      <c r="R1053" s="2339">
        <f t="shared" si="2183"/>
        <v>0</v>
      </c>
      <c r="S1053" s="2337">
        <f>R1053-Q1053</f>
        <v>0</v>
      </c>
      <c r="T1053" s="2339">
        <f t="shared" si="2184"/>
        <v>0</v>
      </c>
      <c r="U1053" s="2339">
        <f t="shared" si="2184"/>
        <v>0</v>
      </c>
      <c r="V1053" s="2337">
        <f>U1053-T1053</f>
        <v>0</v>
      </c>
      <c r="W1053" s="2339">
        <f t="shared" si="2185"/>
        <v>0</v>
      </c>
      <c r="X1053" s="2339">
        <f t="shared" si="2185"/>
        <v>0</v>
      </c>
      <c r="Y1053" s="2337">
        <f>X1053-W1053</f>
        <v>0</v>
      </c>
      <c r="Z1053" s="2339">
        <f t="shared" si="2186"/>
        <v>0</v>
      </c>
      <c r="AA1053" s="2339">
        <f t="shared" si="2186"/>
        <v>0</v>
      </c>
      <c r="AB1053" s="2337">
        <f>AA1053-Z1053</f>
        <v>0</v>
      </c>
      <c r="AC1053" s="2339">
        <f t="shared" si="2187"/>
        <v>0</v>
      </c>
      <c r="AD1053" s="2339">
        <f t="shared" si="2187"/>
        <v>0</v>
      </c>
      <c r="AE1053" s="2337">
        <f>AD1053-AC1053</f>
        <v>0</v>
      </c>
      <c r="AF1053" s="2204"/>
      <c r="AG1053" s="2114"/>
      <c r="AH1053" s="2345">
        <f t="shared" si="2188"/>
        <v>0</v>
      </c>
      <c r="AI1053" s="2345">
        <f t="shared" si="2188"/>
        <v>0</v>
      </c>
      <c r="AJ1053" s="2346">
        <f>AI1053-AH1053</f>
        <v>0</v>
      </c>
      <c r="AK1053" s="2345">
        <f t="shared" si="2189"/>
        <v>0</v>
      </c>
      <c r="AL1053" s="2345">
        <f t="shared" si="2189"/>
        <v>0</v>
      </c>
      <c r="AM1053" s="2346">
        <f>AL1053-AK1053</f>
        <v>0</v>
      </c>
      <c r="AN1053" s="2345">
        <f t="shared" si="2190"/>
        <v>0</v>
      </c>
      <c r="AO1053" s="2345">
        <f t="shared" si="2190"/>
        <v>0</v>
      </c>
      <c r="AP1053" s="2346">
        <f>AO1053-AN1053</f>
        <v>0</v>
      </c>
      <c r="AQ1053" s="2345">
        <f t="shared" si="2191"/>
        <v>0</v>
      </c>
      <c r="AR1053" s="2345">
        <f t="shared" si="2191"/>
        <v>0</v>
      </c>
      <c r="AS1053" s="2346">
        <f>AR1053-AQ1053</f>
        <v>0</v>
      </c>
      <c r="AT1053" s="2345">
        <f t="shared" si="2192"/>
        <v>0</v>
      </c>
      <c r="AU1053" s="2345">
        <f t="shared" si="2192"/>
        <v>0</v>
      </c>
      <c r="AV1053" s="2346">
        <f>AU1053-AT1053</f>
        <v>0</v>
      </c>
      <c r="AW1053" s="2345">
        <f t="shared" si="2193"/>
        <v>0</v>
      </c>
      <c r="AX1053" s="2345">
        <f t="shared" si="2193"/>
        <v>0</v>
      </c>
      <c r="AY1053" s="2346">
        <f>AX1053-AW1053</f>
        <v>0</v>
      </c>
      <c r="AZ1053" s="2345">
        <f t="shared" si="2194"/>
        <v>0</v>
      </c>
      <c r="BA1053" s="2345">
        <f t="shared" si="2194"/>
        <v>0</v>
      </c>
      <c r="BB1053" s="2346">
        <f>BA1053-AZ1053</f>
        <v>0</v>
      </c>
      <c r="BC1053" s="2345">
        <f t="shared" si="2195"/>
        <v>0</v>
      </c>
      <c r="BD1053" s="2345">
        <f t="shared" si="2195"/>
        <v>0</v>
      </c>
      <c r="BE1053" s="2346">
        <f>BD1053-BC1053</f>
        <v>0</v>
      </c>
      <c r="BF1053" s="2345">
        <f t="shared" si="2196"/>
        <v>0</v>
      </c>
      <c r="BG1053" s="2345">
        <f t="shared" si="2196"/>
        <v>0</v>
      </c>
      <c r="BH1053" s="2346">
        <f>BG1053-BF1053</f>
        <v>0</v>
      </c>
      <c r="BI1053" s="2345">
        <f t="shared" si="2197"/>
        <v>0</v>
      </c>
      <c r="BJ1053" s="2345">
        <f t="shared" si="2197"/>
        <v>0</v>
      </c>
      <c r="BK1053" s="2346">
        <f>BJ1053-BI1053</f>
        <v>0</v>
      </c>
      <c r="BL1053" s="2345">
        <f t="shared" si="2198"/>
        <v>0</v>
      </c>
      <c r="BM1053" s="2345">
        <f t="shared" si="2198"/>
        <v>0</v>
      </c>
      <c r="BN1053" s="2346">
        <f>BM1053-BL1053</f>
        <v>0</v>
      </c>
      <c r="BO1053" s="2345">
        <f t="shared" si="2199"/>
        <v>0</v>
      </c>
      <c r="BP1053" s="2345">
        <f t="shared" si="2199"/>
        <v>0</v>
      </c>
      <c r="BQ1053" s="2346">
        <f>BP1053-BO1053</f>
        <v>0</v>
      </c>
    </row>
    <row r="1054" spans="3:69" s="2087" customFormat="1" ht="12" hidden="1" customHeight="1">
      <c r="C1054" s="2473" t="s">
        <v>3252</v>
      </c>
      <c r="D1054" s="2334" t="s">
        <v>42</v>
      </c>
      <c r="E1054" s="2250" t="s">
        <v>3220</v>
      </c>
      <c r="F1054" s="2176"/>
      <c r="G1054" s="2339">
        <f>IFERROR((G1136+G1138)/(G978+G980),0)</f>
        <v>0</v>
      </c>
      <c r="H1054" s="2339">
        <f>IFERROR((H1136+H1138)/(H978+H980),0)</f>
        <v>0</v>
      </c>
      <c r="I1054" s="2337">
        <f>H1054-G1054</f>
        <v>0</v>
      </c>
      <c r="J1054" s="2338"/>
      <c r="K1054" s="2339">
        <f>IFERROR((K1136+K1138)/(K978+K980),0)</f>
        <v>0</v>
      </c>
      <c r="L1054" s="2339">
        <f>IFERROR((L1136+L1138)/(L978+L980),0)</f>
        <v>0</v>
      </c>
      <c r="M1054" s="2337">
        <f>L1054-K1054</f>
        <v>0</v>
      </c>
      <c r="N1054" s="2339">
        <f>IFERROR((N1136+N1138)/(N978+N980),0)</f>
        <v>0</v>
      </c>
      <c r="O1054" s="2339">
        <f>IFERROR((O1136+O1138)/(O978+O980),0)</f>
        <v>0</v>
      </c>
      <c r="P1054" s="2337">
        <f>O1054-N1054</f>
        <v>0</v>
      </c>
      <c r="Q1054" s="2344">
        <f>IFERROR((Q1136+Q1138)/(Q978+Q980),0)</f>
        <v>0</v>
      </c>
      <c r="R1054" s="2339">
        <f>IFERROR((R1136+R1138)/(R978+R980),0)</f>
        <v>0</v>
      </c>
      <c r="S1054" s="2337">
        <f>R1054-Q1054</f>
        <v>0</v>
      </c>
      <c r="T1054" s="2340">
        <f>IFERROR((T1136+T1138)/(T978+T980),0)</f>
        <v>0</v>
      </c>
      <c r="U1054" s="2339">
        <f>IFERROR((U1136+U1138)/(U978+U980),0)</f>
        <v>0</v>
      </c>
      <c r="V1054" s="2337">
        <f>U1054-T1054</f>
        <v>0</v>
      </c>
      <c r="W1054" s="2344">
        <f>IFERROR((W1136+W1138)/(W978+W980),0)</f>
        <v>0</v>
      </c>
      <c r="X1054" s="2339">
        <f>IFERROR((X1136+X1138)/(X978+X980),0)</f>
        <v>0</v>
      </c>
      <c r="Y1054" s="2337">
        <f>X1054-W1054</f>
        <v>0</v>
      </c>
      <c r="Z1054" s="2340">
        <f>IFERROR((Z1136+Z1138)/(Z978+Z980),0)</f>
        <v>0</v>
      </c>
      <c r="AA1054" s="2339">
        <f>IFERROR((AA1136+AA1138)/(AA978+AA980),0)</f>
        <v>0</v>
      </c>
      <c r="AB1054" s="2337">
        <f>AA1054-Z1054</f>
        <v>0</v>
      </c>
      <c r="AC1054" s="2344">
        <f>IFERROR((AC1136+AC1138)/(AC978+AC980),0)</f>
        <v>0</v>
      </c>
      <c r="AD1054" s="2339">
        <f>IFERROR((AD1136+AD1138)/(AD978+AD980),0)</f>
        <v>0</v>
      </c>
      <c r="AE1054" s="2337">
        <f>AD1054-AC1054</f>
        <v>0</v>
      </c>
      <c r="AF1054" s="2204"/>
      <c r="AG1054" s="2114"/>
      <c r="AH1054" s="2345">
        <f>IFERROR((AH1136+AH1138)/(AH978+AH980),0)</f>
        <v>0</v>
      </c>
      <c r="AI1054" s="2345">
        <f>IFERROR((AI1136+AI1138)/(AI978+AI980),0)</f>
        <v>0</v>
      </c>
      <c r="AJ1054" s="2346">
        <f>AI1054-AH1054</f>
        <v>0</v>
      </c>
      <c r="AK1054" s="2345">
        <f>IFERROR((AK1136+AK1138)/(AK978+AK980),0)</f>
        <v>0</v>
      </c>
      <c r="AL1054" s="2345">
        <f>IFERROR((AL1136+AL1138)/(AL978+AL980),0)</f>
        <v>0</v>
      </c>
      <c r="AM1054" s="2346">
        <f>AL1054-AK1054</f>
        <v>0</v>
      </c>
      <c r="AN1054" s="2345">
        <f>IFERROR((AN1136+AN1138)/(AN978+AN980),0)</f>
        <v>0</v>
      </c>
      <c r="AO1054" s="2345">
        <f>IFERROR((AO1136+AO1138)/(AO978+AO980),0)</f>
        <v>0</v>
      </c>
      <c r="AP1054" s="2346">
        <f>AO1054-AN1054</f>
        <v>0</v>
      </c>
      <c r="AQ1054" s="2345">
        <f>IFERROR((AQ1136+AQ1138)/(AQ978+AQ980),0)</f>
        <v>0</v>
      </c>
      <c r="AR1054" s="2345">
        <f>IFERROR((AR1136+AR1138)/(AR978+AR980),0)</f>
        <v>0</v>
      </c>
      <c r="AS1054" s="2346">
        <f>AR1054-AQ1054</f>
        <v>0</v>
      </c>
      <c r="AT1054" s="2345">
        <f>IFERROR((AT1136+AT1138)/(AT978+AT980),0)</f>
        <v>0</v>
      </c>
      <c r="AU1054" s="2345">
        <f>IFERROR((AU1136+AU1138)/(AU978+AU980),0)</f>
        <v>0</v>
      </c>
      <c r="AV1054" s="2346">
        <f>AU1054-AT1054</f>
        <v>0</v>
      </c>
      <c r="AW1054" s="2345">
        <f>IFERROR((AW1136+AW1138)/(AW978+AW980),0)</f>
        <v>0</v>
      </c>
      <c r="AX1054" s="2345">
        <f>IFERROR((AX1136+AX1138)/(AX978+AX980),0)</f>
        <v>0</v>
      </c>
      <c r="AY1054" s="2346">
        <f>AX1054-AW1054</f>
        <v>0</v>
      </c>
      <c r="AZ1054" s="2345">
        <f>IFERROR((AZ1136+AZ1138)/(AZ978+AZ980),0)</f>
        <v>0</v>
      </c>
      <c r="BA1054" s="2345">
        <f>IFERROR((BA1136+BA1138)/(BA978+BA980),0)</f>
        <v>0</v>
      </c>
      <c r="BB1054" s="2346">
        <f>BA1054-AZ1054</f>
        <v>0</v>
      </c>
      <c r="BC1054" s="2345">
        <f>IFERROR((BC1136+BC1138)/(BC978+BC980),0)</f>
        <v>0</v>
      </c>
      <c r="BD1054" s="2345">
        <f>IFERROR((BD1136+BD1138)/(BD978+BD980),0)</f>
        <v>0</v>
      </c>
      <c r="BE1054" s="2346">
        <f>BD1054-BC1054</f>
        <v>0</v>
      </c>
      <c r="BF1054" s="2345">
        <f>IFERROR((BF1136+BF1138)/(BF978+BF980),0)</f>
        <v>0</v>
      </c>
      <c r="BG1054" s="2345">
        <f>IFERROR((BG1136+BG1138)/(BG978+BG980),0)</f>
        <v>0</v>
      </c>
      <c r="BH1054" s="2346">
        <f>BG1054-BF1054</f>
        <v>0</v>
      </c>
      <c r="BI1054" s="2345">
        <f>IFERROR((BI1136+BI1138)/(BI978+BI980),0)</f>
        <v>0</v>
      </c>
      <c r="BJ1054" s="2345">
        <f>IFERROR((BJ1136+BJ1138)/(BJ978+BJ980),0)</f>
        <v>0</v>
      </c>
      <c r="BK1054" s="2346">
        <f>BJ1054-BI1054</f>
        <v>0</v>
      </c>
      <c r="BL1054" s="2345">
        <f>IFERROR((BL1136+BL1138)/(BL978+BL980),0)</f>
        <v>0</v>
      </c>
      <c r="BM1054" s="2345">
        <f>IFERROR((BM1136+BM1138)/(BM978+BM980),0)</f>
        <v>0</v>
      </c>
      <c r="BN1054" s="2346">
        <f>BM1054-BL1054</f>
        <v>0</v>
      </c>
      <c r="BO1054" s="2345">
        <f>IFERROR((BO1136+BO1138)/(BO978+BO980),0)</f>
        <v>0</v>
      </c>
      <c r="BP1054" s="2345">
        <f>IFERROR((BP1136+BP1138)/(BP978+BP980),0)</f>
        <v>0</v>
      </c>
      <c r="BQ1054" s="2346">
        <f>BP1054-BO1054</f>
        <v>0</v>
      </c>
    </row>
    <row r="1055" spans="3:69" s="2087" customFormat="1" ht="12" hidden="1" customHeight="1">
      <c r="C1055" s="2473" t="s">
        <v>3253</v>
      </c>
      <c r="D1055" s="2334" t="s">
        <v>2434</v>
      </c>
      <c r="E1055" s="2250" t="s">
        <v>3220</v>
      </c>
      <c r="F1055" s="2176"/>
      <c r="G1055" s="2339">
        <f>IFERROR((G1137+G1139)/(G979+G981),0)</f>
        <v>0</v>
      </c>
      <c r="H1055" s="2339">
        <f>IFERROR((H1137+H1139)/(H979+H981),0)</f>
        <v>0</v>
      </c>
      <c r="I1055" s="2337">
        <f>H1055-G1055</f>
        <v>0</v>
      </c>
      <c r="J1055" s="2338"/>
      <c r="K1055" s="2339">
        <f>IFERROR((K1137+K1139)/(K979+K981),0)</f>
        <v>0</v>
      </c>
      <c r="L1055" s="2339">
        <f>IFERROR((L1137+L1139)/(L979+L981),0)</f>
        <v>0</v>
      </c>
      <c r="M1055" s="2337">
        <f>L1055-K1055</f>
        <v>0</v>
      </c>
      <c r="N1055" s="2339">
        <f>IFERROR((N1137+N1139)/(N979+N981),0)</f>
        <v>0</v>
      </c>
      <c r="O1055" s="2339">
        <f>IFERROR((O1137+O1139)/(O979+O981),0)</f>
        <v>0</v>
      </c>
      <c r="P1055" s="2337">
        <f>O1055-N1055</f>
        <v>0</v>
      </c>
      <c r="Q1055" s="2339">
        <f>IFERROR((Q1137+Q1139)/(Q979+Q981),0)</f>
        <v>0</v>
      </c>
      <c r="R1055" s="2339">
        <f>IFERROR((R1137+R1139)/(R979+R981),0)</f>
        <v>0</v>
      </c>
      <c r="S1055" s="2337">
        <f>R1055-Q1055</f>
        <v>0</v>
      </c>
      <c r="T1055" s="2339">
        <f>IFERROR((T1137+T1139)/(T979+T981),0)</f>
        <v>0</v>
      </c>
      <c r="U1055" s="2339">
        <f>IFERROR((U1137+U1139)/(U979+U981),0)</f>
        <v>0</v>
      </c>
      <c r="V1055" s="2337">
        <f>U1055-T1055</f>
        <v>0</v>
      </c>
      <c r="W1055" s="2339">
        <f>IFERROR((W1137+W1139)/(W979+W981),0)</f>
        <v>0</v>
      </c>
      <c r="X1055" s="2339">
        <f>IFERROR((X1137+X1139)/(X979+X981),0)</f>
        <v>0</v>
      </c>
      <c r="Y1055" s="2337">
        <f>X1055-W1055</f>
        <v>0</v>
      </c>
      <c r="Z1055" s="2339">
        <f>IFERROR((Z1137+Z1139)/(Z979+Z981),0)</f>
        <v>0</v>
      </c>
      <c r="AA1055" s="2339">
        <f>IFERROR((AA1137+AA1139)/(AA979+AA981),0)</f>
        <v>0</v>
      </c>
      <c r="AB1055" s="2337">
        <f>AA1055-Z1055</f>
        <v>0</v>
      </c>
      <c r="AC1055" s="2339">
        <f>IFERROR((AC1137+AC1139)/(AC979+AC981),0)</f>
        <v>0</v>
      </c>
      <c r="AD1055" s="2339">
        <f>IFERROR((AD1137+AD1139)/(AD979+AD981),0)</f>
        <v>0</v>
      </c>
      <c r="AE1055" s="2337">
        <f>AD1055-AC1055</f>
        <v>0</v>
      </c>
      <c r="AF1055" s="2204"/>
      <c r="AG1055" s="2114"/>
      <c r="AH1055" s="2345">
        <f>IFERROR((AH1137+AH1139)/(AH979+AH981),0)</f>
        <v>0</v>
      </c>
      <c r="AI1055" s="2345">
        <f>IFERROR((AI1137+AI1139)/(AI979+AI981),0)</f>
        <v>0</v>
      </c>
      <c r="AJ1055" s="2346">
        <f>AI1055-AH1055</f>
        <v>0</v>
      </c>
      <c r="AK1055" s="2345">
        <f>IFERROR((AK1137+AK1139)/(AK979+AK981),0)</f>
        <v>0</v>
      </c>
      <c r="AL1055" s="2345">
        <f>IFERROR((AL1137+AL1139)/(AL979+AL981),0)</f>
        <v>0</v>
      </c>
      <c r="AM1055" s="2346">
        <f>AL1055-AK1055</f>
        <v>0</v>
      </c>
      <c r="AN1055" s="2345">
        <f>IFERROR((AN1137+AN1139)/(AN979+AN981),0)</f>
        <v>0</v>
      </c>
      <c r="AO1055" s="2345">
        <f>IFERROR((AO1137+AO1139)/(AO979+AO981),0)</f>
        <v>0</v>
      </c>
      <c r="AP1055" s="2346">
        <f>AO1055-AN1055</f>
        <v>0</v>
      </c>
      <c r="AQ1055" s="2345">
        <f>IFERROR((AQ1137+AQ1139)/(AQ979+AQ981),0)</f>
        <v>0</v>
      </c>
      <c r="AR1055" s="2345">
        <f>IFERROR((AR1137+AR1139)/(AR979+AR981),0)</f>
        <v>0</v>
      </c>
      <c r="AS1055" s="2346">
        <f>AR1055-AQ1055</f>
        <v>0</v>
      </c>
      <c r="AT1055" s="2345">
        <f>IFERROR((AT1137+AT1139)/(AT979+AT981),0)</f>
        <v>0</v>
      </c>
      <c r="AU1055" s="2345">
        <f>IFERROR((AU1137+AU1139)/(AU979+AU981),0)</f>
        <v>0</v>
      </c>
      <c r="AV1055" s="2346">
        <f>AU1055-AT1055</f>
        <v>0</v>
      </c>
      <c r="AW1055" s="2345">
        <f>IFERROR((AW1137+AW1139)/(AW979+AW981),0)</f>
        <v>0</v>
      </c>
      <c r="AX1055" s="2345">
        <f>IFERROR((AX1137+AX1139)/(AX979+AX981),0)</f>
        <v>0</v>
      </c>
      <c r="AY1055" s="2346">
        <f>AX1055-AW1055</f>
        <v>0</v>
      </c>
      <c r="AZ1055" s="2345">
        <f>IFERROR((AZ1137+AZ1139)/(AZ979+AZ981),0)</f>
        <v>0</v>
      </c>
      <c r="BA1055" s="2345">
        <f>IFERROR((BA1137+BA1139)/(BA979+BA981),0)</f>
        <v>0</v>
      </c>
      <c r="BB1055" s="2346">
        <f>BA1055-AZ1055</f>
        <v>0</v>
      </c>
      <c r="BC1055" s="2345">
        <f>IFERROR((BC1137+BC1139)/(BC979+BC981),0)</f>
        <v>0</v>
      </c>
      <c r="BD1055" s="2345">
        <f>IFERROR((BD1137+BD1139)/(BD979+BD981),0)</f>
        <v>0</v>
      </c>
      <c r="BE1055" s="2346">
        <f>BD1055-BC1055</f>
        <v>0</v>
      </c>
      <c r="BF1055" s="2345">
        <f>IFERROR((BF1137+BF1139)/(BF979+BF981),0)</f>
        <v>0</v>
      </c>
      <c r="BG1055" s="2345">
        <f>IFERROR((BG1137+BG1139)/(BG979+BG981),0)</f>
        <v>0</v>
      </c>
      <c r="BH1055" s="2346">
        <f>BG1055-BF1055</f>
        <v>0</v>
      </c>
      <c r="BI1055" s="2345">
        <f>IFERROR((BI1137+BI1139)/(BI979+BI981),0)</f>
        <v>0</v>
      </c>
      <c r="BJ1055" s="2345">
        <f>IFERROR((BJ1137+BJ1139)/(BJ979+BJ981),0)</f>
        <v>0</v>
      </c>
      <c r="BK1055" s="2346">
        <f>BJ1055-BI1055</f>
        <v>0</v>
      </c>
      <c r="BL1055" s="2345">
        <f>IFERROR((BL1137+BL1139)/(BL979+BL981),0)</f>
        <v>0</v>
      </c>
      <c r="BM1055" s="2345">
        <f>IFERROR((BM1137+BM1139)/(BM979+BM981),0)</f>
        <v>0</v>
      </c>
      <c r="BN1055" s="2346">
        <f>BM1055-BL1055</f>
        <v>0</v>
      </c>
      <c r="BO1055" s="2345">
        <f>IFERROR((BO1137+BO1139)/(BO979+BO981),0)</f>
        <v>0</v>
      </c>
      <c r="BP1055" s="2345">
        <f>IFERROR((BP1137+BP1139)/(BP979+BP981),0)</f>
        <v>0</v>
      </c>
      <c r="BQ1055" s="2346">
        <f>BP1055-BO1055</f>
        <v>0</v>
      </c>
    </row>
    <row r="1056" spans="3:69" s="2159" customFormat="1" ht="12" hidden="1" customHeight="1">
      <c r="C1056" s="2474" t="s">
        <v>3249</v>
      </c>
      <c r="D1056" s="2476" t="s">
        <v>3229</v>
      </c>
      <c r="E1056" s="2471"/>
      <c r="F1056" s="2320"/>
      <c r="G1056" s="2458"/>
      <c r="H1056" s="2458"/>
      <c r="I1056" s="2480"/>
      <c r="J1056" s="2481"/>
      <c r="K1056" s="2458"/>
      <c r="L1056" s="2458"/>
      <c r="M1056" s="2480"/>
      <c r="N1056" s="2458"/>
      <c r="O1056" s="2458"/>
      <c r="P1056" s="2480"/>
      <c r="Q1056" s="2481"/>
      <c r="R1056" s="2458"/>
      <c r="S1056" s="2480"/>
      <c r="T1056" s="2482"/>
      <c r="U1056" s="2458"/>
      <c r="V1056" s="2480"/>
      <c r="W1056" s="2481"/>
      <c r="X1056" s="2458"/>
      <c r="Y1056" s="2480"/>
      <c r="Z1056" s="2482"/>
      <c r="AA1056" s="2458"/>
      <c r="AB1056" s="2480"/>
      <c r="AC1056" s="2481"/>
      <c r="AD1056" s="2458"/>
      <c r="AE1056" s="2480"/>
      <c r="AF1056" s="2204"/>
      <c r="AG1056" s="2158"/>
      <c r="AH1056" s="2458"/>
      <c r="AI1056" s="2458"/>
      <c r="AJ1056" s="2480"/>
      <c r="AK1056" s="2458"/>
      <c r="AL1056" s="2458"/>
      <c r="AM1056" s="2480"/>
      <c r="AN1056" s="2458"/>
      <c r="AO1056" s="2458"/>
      <c r="AP1056" s="2480"/>
      <c r="AQ1056" s="2458"/>
      <c r="AR1056" s="2458"/>
      <c r="AS1056" s="2480"/>
      <c r="AT1056" s="2458"/>
      <c r="AU1056" s="2458"/>
      <c r="AV1056" s="2480"/>
      <c r="AW1056" s="2458"/>
      <c r="AX1056" s="2458"/>
      <c r="AY1056" s="2480"/>
      <c r="AZ1056" s="2458"/>
      <c r="BA1056" s="2458"/>
      <c r="BB1056" s="2480"/>
      <c r="BC1056" s="2458"/>
      <c r="BD1056" s="2458"/>
      <c r="BE1056" s="2480"/>
      <c r="BF1056" s="2458"/>
      <c r="BG1056" s="2458"/>
      <c r="BH1056" s="2480"/>
      <c r="BI1056" s="2458"/>
      <c r="BJ1056" s="2458"/>
      <c r="BK1056" s="2480"/>
      <c r="BL1056" s="2458"/>
      <c r="BM1056" s="2458"/>
      <c r="BN1056" s="2480"/>
      <c r="BO1056" s="2458"/>
      <c r="BP1056" s="2458"/>
      <c r="BQ1056" s="2480"/>
    </row>
    <row r="1057" spans="3:69" s="2159" customFormat="1" ht="12" hidden="1" customHeight="1">
      <c r="C1057" s="2474" t="s">
        <v>3254</v>
      </c>
      <c r="D1057" s="2475" t="s">
        <v>3231</v>
      </c>
      <c r="E1057" s="2471"/>
      <c r="F1057" s="2320"/>
      <c r="G1057" s="2458"/>
      <c r="H1057" s="2458"/>
      <c r="I1057" s="2480"/>
      <c r="J1057" s="2481"/>
      <c r="K1057" s="2458"/>
      <c r="L1057" s="2458"/>
      <c r="M1057" s="2480"/>
      <c r="N1057" s="2458"/>
      <c r="O1057" s="2458"/>
      <c r="P1057" s="2480"/>
      <c r="Q1057" s="2481"/>
      <c r="R1057" s="2458"/>
      <c r="S1057" s="2480"/>
      <c r="T1057" s="2482"/>
      <c r="U1057" s="2458"/>
      <c r="V1057" s="2480"/>
      <c r="W1057" s="2481"/>
      <c r="X1057" s="2458"/>
      <c r="Y1057" s="2480"/>
      <c r="Z1057" s="2482"/>
      <c r="AA1057" s="2458"/>
      <c r="AB1057" s="2480"/>
      <c r="AC1057" s="2481"/>
      <c r="AD1057" s="2458"/>
      <c r="AE1057" s="2480"/>
      <c r="AF1057" s="2204"/>
      <c r="AG1057" s="2158"/>
      <c r="AH1057" s="2458"/>
      <c r="AI1057" s="2458"/>
      <c r="AJ1057" s="2480"/>
      <c r="AK1057" s="2458"/>
      <c r="AL1057" s="2458"/>
      <c r="AM1057" s="2480"/>
      <c r="AN1057" s="2458"/>
      <c r="AO1057" s="2458"/>
      <c r="AP1057" s="2480"/>
      <c r="AQ1057" s="2458"/>
      <c r="AR1057" s="2458"/>
      <c r="AS1057" s="2480"/>
      <c r="AT1057" s="2458"/>
      <c r="AU1057" s="2458"/>
      <c r="AV1057" s="2480"/>
      <c r="AW1057" s="2458"/>
      <c r="AX1057" s="2458"/>
      <c r="AY1057" s="2480"/>
      <c r="AZ1057" s="2458"/>
      <c r="BA1057" s="2458"/>
      <c r="BB1057" s="2480"/>
      <c r="BC1057" s="2458"/>
      <c r="BD1057" s="2458"/>
      <c r="BE1057" s="2480"/>
      <c r="BF1057" s="2458"/>
      <c r="BG1057" s="2458"/>
      <c r="BH1057" s="2480"/>
      <c r="BI1057" s="2458"/>
      <c r="BJ1057" s="2458"/>
      <c r="BK1057" s="2480"/>
      <c r="BL1057" s="2458"/>
      <c r="BM1057" s="2458"/>
      <c r="BN1057" s="2480"/>
      <c r="BO1057" s="2458"/>
      <c r="BP1057" s="2458"/>
      <c r="BQ1057" s="2480"/>
    </row>
    <row r="1058" spans="3:69" s="2087" customFormat="1" ht="12" hidden="1" customHeight="1">
      <c r="C1058" s="2473" t="s">
        <v>3255</v>
      </c>
      <c r="D1058" s="2421" t="s">
        <v>3187</v>
      </c>
      <c r="E1058" s="2250" t="s">
        <v>3079</v>
      </c>
      <c r="F1058" s="2176"/>
      <c r="G1058" s="2339">
        <f>IFERROR(G1156/G998,0)</f>
        <v>0</v>
      </c>
      <c r="H1058" s="2339">
        <f>IFERROR(H1156/H998,0)</f>
        <v>0</v>
      </c>
      <c r="I1058" s="2337">
        <f>H1058-G1058</f>
        <v>0</v>
      </c>
      <c r="J1058" s="2338"/>
      <c r="K1058" s="2339">
        <f>IFERROR(K1156/K998,0)</f>
        <v>0</v>
      </c>
      <c r="L1058" s="2339">
        <f>IFERROR(L1156/L998,0)</f>
        <v>0</v>
      </c>
      <c r="M1058" s="2337">
        <f>L1058-K1058</f>
        <v>0</v>
      </c>
      <c r="N1058" s="2339">
        <f>IFERROR(N1156/N998,0)</f>
        <v>0</v>
      </c>
      <c r="O1058" s="2339">
        <f>IFERROR(O1156/O998,0)</f>
        <v>0</v>
      </c>
      <c r="P1058" s="2337">
        <f>O1058-N1058</f>
        <v>0</v>
      </c>
      <c r="Q1058" s="2344">
        <f>IFERROR(Q1156/Q998,0)</f>
        <v>0</v>
      </c>
      <c r="R1058" s="2339">
        <f>IFERROR(R1156/R998,0)</f>
        <v>0</v>
      </c>
      <c r="S1058" s="2337">
        <f>R1058-Q1058</f>
        <v>0</v>
      </c>
      <c r="T1058" s="2340">
        <f>IFERROR(T1156/T998,0)</f>
        <v>0</v>
      </c>
      <c r="U1058" s="2339">
        <f>IFERROR(U1156/U998,0)</f>
        <v>0</v>
      </c>
      <c r="V1058" s="2337">
        <f>U1058-T1058</f>
        <v>0</v>
      </c>
      <c r="W1058" s="2344">
        <f>IFERROR(W1156/W998,0)</f>
        <v>0</v>
      </c>
      <c r="X1058" s="2339">
        <f>IFERROR(X1156/X998,0)</f>
        <v>0</v>
      </c>
      <c r="Y1058" s="2337">
        <f>X1058-W1058</f>
        <v>0</v>
      </c>
      <c r="Z1058" s="2340">
        <f>IFERROR(Z1156/Z998,0)</f>
        <v>0</v>
      </c>
      <c r="AA1058" s="2339">
        <f>IFERROR(AA1156/AA998,0)</f>
        <v>0</v>
      </c>
      <c r="AB1058" s="2337">
        <f>AA1058-Z1058</f>
        <v>0</v>
      </c>
      <c r="AC1058" s="2344">
        <f>IFERROR(AC1156/AC998,0)</f>
        <v>0</v>
      </c>
      <c r="AD1058" s="2339">
        <f>IFERROR(AD1156/AD998,0)</f>
        <v>0</v>
      </c>
      <c r="AE1058" s="2337">
        <f>AD1058-AC1058</f>
        <v>0</v>
      </c>
      <c r="AF1058" s="2204"/>
      <c r="AG1058" s="2114"/>
      <c r="AH1058" s="2345">
        <f>IFERROR(AH1156/AH998,0)</f>
        <v>0</v>
      </c>
      <c r="AI1058" s="2345">
        <f>IFERROR(AI1156/AI998,0)</f>
        <v>0</v>
      </c>
      <c r="AJ1058" s="2346">
        <f>AI1058-AH1058</f>
        <v>0</v>
      </c>
      <c r="AK1058" s="2345">
        <f>IFERROR(AK1156/AK998,0)</f>
        <v>0</v>
      </c>
      <c r="AL1058" s="2345">
        <f>IFERROR(AL1156/AL998,0)</f>
        <v>0</v>
      </c>
      <c r="AM1058" s="2346">
        <f>AL1058-AK1058</f>
        <v>0</v>
      </c>
      <c r="AN1058" s="2345">
        <f>IFERROR(AN1156/AN998,0)</f>
        <v>0</v>
      </c>
      <c r="AO1058" s="2345">
        <f>IFERROR(AO1156/AO998,0)</f>
        <v>0</v>
      </c>
      <c r="AP1058" s="2346">
        <f>AO1058-AN1058</f>
        <v>0</v>
      </c>
      <c r="AQ1058" s="2345">
        <f>IFERROR(AQ1156/AQ998,0)</f>
        <v>0</v>
      </c>
      <c r="AR1058" s="2345">
        <f>IFERROR(AR1156/AR998,0)</f>
        <v>0</v>
      </c>
      <c r="AS1058" s="2346">
        <f>AR1058-AQ1058</f>
        <v>0</v>
      </c>
      <c r="AT1058" s="2345">
        <f>IFERROR(AT1156/AT998,0)</f>
        <v>0</v>
      </c>
      <c r="AU1058" s="2345">
        <f>IFERROR(AU1156/AU998,0)</f>
        <v>0</v>
      </c>
      <c r="AV1058" s="2346">
        <f>AU1058-AT1058</f>
        <v>0</v>
      </c>
      <c r="AW1058" s="2345">
        <f>IFERROR(AW1156/AW998,0)</f>
        <v>0</v>
      </c>
      <c r="AX1058" s="2345">
        <f>IFERROR(AX1156/AX998,0)</f>
        <v>0</v>
      </c>
      <c r="AY1058" s="2346">
        <f>AX1058-AW1058</f>
        <v>0</v>
      </c>
      <c r="AZ1058" s="2345">
        <f>IFERROR(AZ1156/AZ998,0)</f>
        <v>0</v>
      </c>
      <c r="BA1058" s="2345">
        <f>IFERROR(BA1156/BA998,0)</f>
        <v>0</v>
      </c>
      <c r="BB1058" s="2346">
        <f>BA1058-AZ1058</f>
        <v>0</v>
      </c>
      <c r="BC1058" s="2345">
        <f>IFERROR(BC1156/BC998,0)</f>
        <v>0</v>
      </c>
      <c r="BD1058" s="2345">
        <f>IFERROR(BD1156/BD998,0)</f>
        <v>0</v>
      </c>
      <c r="BE1058" s="2346">
        <f>BD1058-BC1058</f>
        <v>0</v>
      </c>
      <c r="BF1058" s="2345">
        <f>IFERROR(BF1156/BF998,0)</f>
        <v>0</v>
      </c>
      <c r="BG1058" s="2345">
        <f>IFERROR(BG1156/BG998,0)</f>
        <v>0</v>
      </c>
      <c r="BH1058" s="2346">
        <f>BG1058-BF1058</f>
        <v>0</v>
      </c>
      <c r="BI1058" s="2345">
        <f>IFERROR(BI1156/BI998,0)</f>
        <v>0</v>
      </c>
      <c r="BJ1058" s="2345">
        <f>IFERROR(BJ1156/BJ998,0)</f>
        <v>0</v>
      </c>
      <c r="BK1058" s="2346">
        <f>BJ1058-BI1058</f>
        <v>0</v>
      </c>
      <c r="BL1058" s="2345">
        <f>IFERROR(BL1156/BL998,0)</f>
        <v>0</v>
      </c>
      <c r="BM1058" s="2345">
        <f>IFERROR(BM1156/BM998,0)</f>
        <v>0</v>
      </c>
      <c r="BN1058" s="2346">
        <f>BM1058-BL1058</f>
        <v>0</v>
      </c>
      <c r="BO1058" s="2345">
        <f>IFERROR(BO1156/BO998,0)</f>
        <v>0</v>
      </c>
      <c r="BP1058" s="2345">
        <f>IFERROR(BP1156/BP998,0)</f>
        <v>0</v>
      </c>
      <c r="BQ1058" s="2346">
        <f>BP1058-BO1058</f>
        <v>0</v>
      </c>
    </row>
    <row r="1059" spans="3:69" s="2087" customFormat="1" ht="12" hidden="1" customHeight="1">
      <c r="C1059" s="2473" t="s">
        <v>3256</v>
      </c>
      <c r="D1059" s="2421" t="s">
        <v>2434</v>
      </c>
      <c r="E1059" s="2250" t="s">
        <v>3220</v>
      </c>
      <c r="F1059" s="2176"/>
      <c r="G1059" s="2339">
        <f>IFERROR((G1158+G1160)/(G1000+G1002),0)</f>
        <v>0</v>
      </c>
      <c r="H1059" s="2339">
        <f>IFERROR((H1158+H1160)/(H1000+H1002),0)</f>
        <v>0</v>
      </c>
      <c r="I1059" s="2337">
        <f>H1059-G1059</f>
        <v>0</v>
      </c>
      <c r="J1059" s="2338"/>
      <c r="K1059" s="2339">
        <f>IFERROR((K1158+K1160)/(K1000+K1002),0)</f>
        <v>0</v>
      </c>
      <c r="L1059" s="2339">
        <f>IFERROR((L1158+L1160)/(L1000+L1002),0)</f>
        <v>0</v>
      </c>
      <c r="M1059" s="2337">
        <f>L1059-K1059</f>
        <v>0</v>
      </c>
      <c r="N1059" s="2339">
        <f>IFERROR((N1158+N1160)/(N1000+N1002),0)</f>
        <v>0</v>
      </c>
      <c r="O1059" s="2339">
        <f>IFERROR((O1158+O1160)/(O1000+O1002),0)</f>
        <v>0</v>
      </c>
      <c r="P1059" s="2337">
        <f>O1059-N1059</f>
        <v>0</v>
      </c>
      <c r="Q1059" s="2339">
        <f>IFERROR((Q1158+Q1160)/(Q1000+Q1002),0)</f>
        <v>0</v>
      </c>
      <c r="R1059" s="2339">
        <f>IFERROR((R1158+R1160)/(R1000+R1002),0)</f>
        <v>0</v>
      </c>
      <c r="S1059" s="2337">
        <f>R1059-Q1059</f>
        <v>0</v>
      </c>
      <c r="T1059" s="2339">
        <f>IFERROR((T1158+T1160)/(T1000+T1002),0)</f>
        <v>0</v>
      </c>
      <c r="U1059" s="2339">
        <f>IFERROR((U1158+U1160)/(U1000+U1002),0)</f>
        <v>0</v>
      </c>
      <c r="V1059" s="2337">
        <f>U1059-T1059</f>
        <v>0</v>
      </c>
      <c r="W1059" s="2339">
        <f>IFERROR((W1158+W1160)/(W1000+W1002),0)</f>
        <v>0</v>
      </c>
      <c r="X1059" s="2339">
        <f>IFERROR((X1158+X1160)/(X1000+X1002),0)</f>
        <v>0</v>
      </c>
      <c r="Y1059" s="2337">
        <f>X1059-W1059</f>
        <v>0</v>
      </c>
      <c r="Z1059" s="2339">
        <f>IFERROR((Z1158+Z1160)/(Z1000+Z1002),0)</f>
        <v>0</v>
      </c>
      <c r="AA1059" s="2339">
        <f>IFERROR((AA1158+AA1160)/(AA1000+AA1002),0)</f>
        <v>0</v>
      </c>
      <c r="AB1059" s="2337">
        <f>AA1059-Z1059</f>
        <v>0</v>
      </c>
      <c r="AC1059" s="2339">
        <f>IFERROR((AC1158+AC1160)/(AC1000+AC1002),0)</f>
        <v>0</v>
      </c>
      <c r="AD1059" s="2339">
        <f>IFERROR((AD1158+AD1160)/(AD1000+AD1002),0)</f>
        <v>0</v>
      </c>
      <c r="AE1059" s="2337">
        <f>AD1059-AC1059</f>
        <v>0</v>
      </c>
      <c r="AF1059" s="2204"/>
      <c r="AG1059" s="2114"/>
      <c r="AH1059" s="2345">
        <f>IFERROR((AH1158+AH1160)/(AH1000+AH1002),0)</f>
        <v>0</v>
      </c>
      <c r="AI1059" s="2345">
        <f>IFERROR((AI1158+AI1160)/(AI1000+AI1002),0)</f>
        <v>0</v>
      </c>
      <c r="AJ1059" s="2346">
        <f>AI1059-AH1059</f>
        <v>0</v>
      </c>
      <c r="AK1059" s="2345">
        <f>IFERROR((AK1158+AK1160)/(AK1000+AK1002),0)</f>
        <v>0</v>
      </c>
      <c r="AL1059" s="2345">
        <f>IFERROR((AL1158+AL1160)/(AL1000+AL1002),0)</f>
        <v>0</v>
      </c>
      <c r="AM1059" s="2346">
        <f>AL1059-AK1059</f>
        <v>0</v>
      </c>
      <c r="AN1059" s="2345">
        <f>IFERROR((AN1158+AN1160)/(AN1000+AN1002),0)</f>
        <v>0</v>
      </c>
      <c r="AO1059" s="2345">
        <f>IFERROR((AO1158+AO1160)/(AO1000+AO1002),0)</f>
        <v>0</v>
      </c>
      <c r="AP1059" s="2346">
        <f>AO1059-AN1059</f>
        <v>0</v>
      </c>
      <c r="AQ1059" s="2345">
        <f>IFERROR((AQ1158+AQ1160)/(AQ1000+AQ1002),0)</f>
        <v>0</v>
      </c>
      <c r="AR1059" s="2345">
        <f>IFERROR((AR1158+AR1160)/(AR1000+AR1002),0)</f>
        <v>0</v>
      </c>
      <c r="AS1059" s="2346">
        <f>AR1059-AQ1059</f>
        <v>0</v>
      </c>
      <c r="AT1059" s="2345">
        <f>IFERROR((AT1158+AT1160)/(AT1000+AT1002),0)</f>
        <v>0</v>
      </c>
      <c r="AU1059" s="2345">
        <f>IFERROR((AU1158+AU1160)/(AU1000+AU1002),0)</f>
        <v>0</v>
      </c>
      <c r="AV1059" s="2346">
        <f>AU1059-AT1059</f>
        <v>0</v>
      </c>
      <c r="AW1059" s="2345">
        <f>IFERROR((AW1158+AW1160)/(AW1000+AW1002),0)</f>
        <v>0</v>
      </c>
      <c r="AX1059" s="2345">
        <f>IFERROR((AX1158+AX1160)/(AX1000+AX1002),0)</f>
        <v>0</v>
      </c>
      <c r="AY1059" s="2346">
        <f>AX1059-AW1059</f>
        <v>0</v>
      </c>
      <c r="AZ1059" s="2345">
        <f>IFERROR((AZ1158+AZ1160)/(AZ1000+AZ1002),0)</f>
        <v>0</v>
      </c>
      <c r="BA1059" s="2345">
        <f>IFERROR((BA1158+BA1160)/(BA1000+BA1002),0)</f>
        <v>0</v>
      </c>
      <c r="BB1059" s="2346">
        <f>BA1059-AZ1059</f>
        <v>0</v>
      </c>
      <c r="BC1059" s="2345">
        <f>IFERROR((BC1158+BC1160)/(BC1000+BC1002),0)</f>
        <v>0</v>
      </c>
      <c r="BD1059" s="2345">
        <f>IFERROR((BD1158+BD1160)/(BD1000+BD1002),0)</f>
        <v>0</v>
      </c>
      <c r="BE1059" s="2346">
        <f>BD1059-BC1059</f>
        <v>0</v>
      </c>
      <c r="BF1059" s="2345">
        <f>IFERROR((BF1158+BF1160)/(BF1000+BF1002),0)</f>
        <v>0</v>
      </c>
      <c r="BG1059" s="2345">
        <f>IFERROR((BG1158+BG1160)/(BG1000+BG1002),0)</f>
        <v>0</v>
      </c>
      <c r="BH1059" s="2346">
        <f>BG1059-BF1059</f>
        <v>0</v>
      </c>
      <c r="BI1059" s="2345">
        <f>IFERROR((BI1158+BI1160)/(BI1000+BI1002),0)</f>
        <v>0</v>
      </c>
      <c r="BJ1059" s="2345">
        <f>IFERROR((BJ1158+BJ1160)/(BJ1000+BJ1002),0)</f>
        <v>0</v>
      </c>
      <c r="BK1059" s="2346">
        <f>BJ1059-BI1059</f>
        <v>0</v>
      </c>
      <c r="BL1059" s="2345">
        <f>IFERROR((BL1158+BL1160)/(BL1000+BL1002),0)</f>
        <v>0</v>
      </c>
      <c r="BM1059" s="2345">
        <f>IFERROR((BM1158+BM1160)/(BM1000+BM1002),0)</f>
        <v>0</v>
      </c>
      <c r="BN1059" s="2346">
        <f>BM1059-BL1059</f>
        <v>0</v>
      </c>
      <c r="BO1059" s="2345">
        <f>IFERROR((BO1158+BO1160)/(BO1000+BO1002),0)</f>
        <v>0</v>
      </c>
      <c r="BP1059" s="2345">
        <f>IFERROR((BP1158+BP1160)/(BP1000+BP1002),0)</f>
        <v>0</v>
      </c>
      <c r="BQ1059" s="2346">
        <f>BP1059-BO1059</f>
        <v>0</v>
      </c>
    </row>
    <row r="1060" spans="3:69" s="2087" customFormat="1" ht="12" hidden="1" customHeight="1">
      <c r="C1060" s="2473" t="s">
        <v>3257</v>
      </c>
      <c r="D1060" s="2421" t="s">
        <v>3151</v>
      </c>
      <c r="E1060" s="2250" t="s">
        <v>3052</v>
      </c>
      <c r="F1060" s="2176"/>
      <c r="G1060" s="2339">
        <f>IFERROR(G1112/G1003,0)</f>
        <v>0</v>
      </c>
      <c r="H1060" s="2339">
        <f>IFERROR(H1112/H1003,0)</f>
        <v>0</v>
      </c>
      <c r="I1060" s="2337">
        <f>H1060-G1060</f>
        <v>0</v>
      </c>
      <c r="J1060" s="2338"/>
      <c r="K1060" s="2339">
        <f>IFERROR(K1112/K1003,0)</f>
        <v>0</v>
      </c>
      <c r="L1060" s="2339">
        <f>IFERROR(L1112/L1003,0)</f>
        <v>0</v>
      </c>
      <c r="M1060" s="2337">
        <f>L1060-K1060</f>
        <v>0</v>
      </c>
      <c r="N1060" s="2339">
        <f>IFERROR(N1112/N1003,0)</f>
        <v>0</v>
      </c>
      <c r="O1060" s="2339">
        <f>IFERROR(O1112/O1003,0)</f>
        <v>0</v>
      </c>
      <c r="P1060" s="2337">
        <f>O1060-N1060</f>
        <v>0</v>
      </c>
      <c r="Q1060" s="2344">
        <f>IFERROR(Q1112/Q1003,0)</f>
        <v>0</v>
      </c>
      <c r="R1060" s="2339">
        <f>IFERROR(R1112/R1003,0)</f>
        <v>0</v>
      </c>
      <c r="S1060" s="2337">
        <f>R1060-Q1060</f>
        <v>0</v>
      </c>
      <c r="T1060" s="2340">
        <f>IFERROR(T1112/T1003,0)</f>
        <v>0</v>
      </c>
      <c r="U1060" s="2339">
        <f>IFERROR(U1112/U1003,0)</f>
        <v>0</v>
      </c>
      <c r="V1060" s="2337">
        <f>U1060-T1060</f>
        <v>0</v>
      </c>
      <c r="W1060" s="2344">
        <f>IFERROR(W1112/W1003,0)</f>
        <v>0</v>
      </c>
      <c r="X1060" s="2339">
        <f>IFERROR(X1112/X1003,0)</f>
        <v>0</v>
      </c>
      <c r="Y1060" s="2337">
        <f>X1060-W1060</f>
        <v>0</v>
      </c>
      <c r="Z1060" s="2340">
        <f>IFERROR(Z1112/Z1003,0)</f>
        <v>0</v>
      </c>
      <c r="AA1060" s="2339">
        <f>IFERROR(AA1112/AA1003,0)</f>
        <v>0</v>
      </c>
      <c r="AB1060" s="2337">
        <f>AA1060-Z1060</f>
        <v>0</v>
      </c>
      <c r="AC1060" s="2344">
        <f>IFERROR(AC1112/AC1003,0)</f>
        <v>0</v>
      </c>
      <c r="AD1060" s="2339">
        <f>IFERROR(AD1112/AD1003,0)</f>
        <v>0</v>
      </c>
      <c r="AE1060" s="2337">
        <f>AD1060-AC1060</f>
        <v>0</v>
      </c>
      <c r="AF1060" s="2204"/>
      <c r="AG1060" s="2114"/>
      <c r="AH1060" s="2345">
        <f>IFERROR(AH1112/AH1003,0)</f>
        <v>0</v>
      </c>
      <c r="AI1060" s="2345">
        <f>IFERROR(AI1112/AI1003,0)</f>
        <v>0</v>
      </c>
      <c r="AJ1060" s="2346">
        <f>AI1060-AH1060</f>
        <v>0</v>
      </c>
      <c r="AK1060" s="2345">
        <f>IFERROR(AK1112/AK1003,0)</f>
        <v>0</v>
      </c>
      <c r="AL1060" s="2345">
        <f>IFERROR(AL1112/AL1003,0)</f>
        <v>0</v>
      </c>
      <c r="AM1060" s="2346">
        <f>AL1060-AK1060</f>
        <v>0</v>
      </c>
      <c r="AN1060" s="2345">
        <f>IFERROR(AN1112/AN1003,0)</f>
        <v>0</v>
      </c>
      <c r="AO1060" s="2345">
        <f>IFERROR(AO1112/AO1003,0)</f>
        <v>0</v>
      </c>
      <c r="AP1060" s="2346">
        <f>AO1060-AN1060</f>
        <v>0</v>
      </c>
      <c r="AQ1060" s="2345">
        <f>IFERROR(AQ1112/AQ1003,0)</f>
        <v>0</v>
      </c>
      <c r="AR1060" s="2345">
        <f>IFERROR(AR1112/AR1003,0)</f>
        <v>0</v>
      </c>
      <c r="AS1060" s="2346">
        <f>AR1060-AQ1060</f>
        <v>0</v>
      </c>
      <c r="AT1060" s="2345">
        <f>IFERROR(AT1112/AT1003,0)</f>
        <v>0</v>
      </c>
      <c r="AU1060" s="2345">
        <f>IFERROR(AU1112/AU1003,0)</f>
        <v>0</v>
      </c>
      <c r="AV1060" s="2346">
        <f>AU1060-AT1060</f>
        <v>0</v>
      </c>
      <c r="AW1060" s="2345">
        <f>IFERROR(AW1112/AW1003,0)</f>
        <v>0</v>
      </c>
      <c r="AX1060" s="2345">
        <f>IFERROR(AX1112/AX1003,0)</f>
        <v>0</v>
      </c>
      <c r="AY1060" s="2346">
        <f>AX1060-AW1060</f>
        <v>0</v>
      </c>
      <c r="AZ1060" s="2345">
        <f>IFERROR(AZ1112/AZ1003,0)</f>
        <v>0</v>
      </c>
      <c r="BA1060" s="2345">
        <f>IFERROR(BA1112/BA1003,0)</f>
        <v>0</v>
      </c>
      <c r="BB1060" s="2346">
        <f>BA1060-AZ1060</f>
        <v>0</v>
      </c>
      <c r="BC1060" s="2345">
        <f>IFERROR(BC1112/BC1003,0)</f>
        <v>0</v>
      </c>
      <c r="BD1060" s="2345">
        <f>IFERROR(BD1112/BD1003,0)</f>
        <v>0</v>
      </c>
      <c r="BE1060" s="2346">
        <f>BD1060-BC1060</f>
        <v>0</v>
      </c>
      <c r="BF1060" s="2345">
        <f>IFERROR(BF1112/BF1003,0)</f>
        <v>0</v>
      </c>
      <c r="BG1060" s="2345">
        <f>IFERROR(BG1112/BG1003,0)</f>
        <v>0</v>
      </c>
      <c r="BH1060" s="2346">
        <f>BG1060-BF1060</f>
        <v>0</v>
      </c>
      <c r="BI1060" s="2345">
        <f>IFERROR(BI1112/BI1003,0)</f>
        <v>0</v>
      </c>
      <c r="BJ1060" s="2345">
        <f>IFERROR(BJ1112/BJ1003,0)</f>
        <v>0</v>
      </c>
      <c r="BK1060" s="2346">
        <f>BJ1060-BI1060</f>
        <v>0</v>
      </c>
      <c r="BL1060" s="2345">
        <f>IFERROR(BL1112/BL1003,0)</f>
        <v>0</v>
      </c>
      <c r="BM1060" s="2345">
        <f>IFERROR(BM1112/BM1003,0)</f>
        <v>0</v>
      </c>
      <c r="BN1060" s="2346">
        <f>BM1060-BL1060</f>
        <v>0</v>
      </c>
      <c r="BO1060" s="2345">
        <f>IFERROR(BO1112/BO1003,0)</f>
        <v>0</v>
      </c>
      <c r="BP1060" s="2345">
        <f>IFERROR(BP1112/BP1003,0)</f>
        <v>0</v>
      </c>
      <c r="BQ1060" s="2346">
        <f>BP1060-BO1060</f>
        <v>0</v>
      </c>
    </row>
    <row r="1061" spans="3:69" s="2087" customFormat="1" ht="12" hidden="1" customHeight="1">
      <c r="C1061" s="2473" t="s">
        <v>3258</v>
      </c>
      <c r="D1061" s="2421" t="s">
        <v>2434</v>
      </c>
      <c r="E1061" s="2250" t="s">
        <v>3052</v>
      </c>
      <c r="F1061" s="2176"/>
      <c r="G1061" s="2339">
        <f>IFERROR((G1114+G1116)/(G1005+G1007),0)</f>
        <v>0</v>
      </c>
      <c r="H1061" s="2339">
        <f>IFERROR((H1114+H1116)/(H1005+H1007),0)</f>
        <v>0</v>
      </c>
      <c r="I1061" s="2337">
        <f>H1061-G1061</f>
        <v>0</v>
      </c>
      <c r="J1061" s="2338"/>
      <c r="K1061" s="2339">
        <f>IFERROR((K1114+K1116)/(K1005+K1007),0)</f>
        <v>0</v>
      </c>
      <c r="L1061" s="2339">
        <f>IFERROR((L1114+L1116)/(L1005+L1007),0)</f>
        <v>0</v>
      </c>
      <c r="M1061" s="2337">
        <f>L1061-K1061</f>
        <v>0</v>
      </c>
      <c r="N1061" s="2339">
        <f>IFERROR((N1114+N1116)/(N1005+N1007),0)</f>
        <v>0</v>
      </c>
      <c r="O1061" s="2339">
        <f>IFERROR((O1114+O1116)/(O1005+O1007),0)</f>
        <v>0</v>
      </c>
      <c r="P1061" s="2337">
        <f>O1061-N1061</f>
        <v>0</v>
      </c>
      <c r="Q1061" s="2339">
        <f>IFERROR((Q1114+Q1116)/(Q1005+Q1007),0)</f>
        <v>0</v>
      </c>
      <c r="R1061" s="2339">
        <f>IFERROR((R1114+R1116)/(R1005+R1007),0)</f>
        <v>0</v>
      </c>
      <c r="S1061" s="2337">
        <f>R1061-Q1061</f>
        <v>0</v>
      </c>
      <c r="T1061" s="2339">
        <f>IFERROR((T1114+T1116)/(T1005+T1007),0)</f>
        <v>0</v>
      </c>
      <c r="U1061" s="2339">
        <f>IFERROR((U1114+U1116)/(U1005+U1007),0)</f>
        <v>0</v>
      </c>
      <c r="V1061" s="2337">
        <f>U1061-T1061</f>
        <v>0</v>
      </c>
      <c r="W1061" s="2339">
        <f>IFERROR((W1114+W1116)/(W1005+W1007),0)</f>
        <v>0</v>
      </c>
      <c r="X1061" s="2339">
        <f>IFERROR((X1114+X1116)/(X1005+X1007),0)</f>
        <v>0</v>
      </c>
      <c r="Y1061" s="2337">
        <f>X1061-W1061</f>
        <v>0</v>
      </c>
      <c r="Z1061" s="2339">
        <f>IFERROR((Z1114+Z1116)/(Z1005+Z1007),0)</f>
        <v>0</v>
      </c>
      <c r="AA1061" s="2339">
        <f>IFERROR((AA1114+AA1116)/(AA1005+AA1007),0)</f>
        <v>0</v>
      </c>
      <c r="AB1061" s="2337">
        <f>AA1061-Z1061</f>
        <v>0</v>
      </c>
      <c r="AC1061" s="2339">
        <f>IFERROR((AC1114+AC1116)/(AC1005+AC1007),0)</f>
        <v>0</v>
      </c>
      <c r="AD1061" s="2339">
        <f>IFERROR((AD1114+AD1116)/(AD1005+AD1007),0)</f>
        <v>0</v>
      </c>
      <c r="AE1061" s="2337">
        <f>AD1061-AC1061</f>
        <v>0</v>
      </c>
      <c r="AF1061" s="2204"/>
      <c r="AG1061" s="2114"/>
      <c r="AH1061" s="2345">
        <f>IFERROR((AH1114+AH1116)/(AH1005+AH1007),0)</f>
        <v>0</v>
      </c>
      <c r="AI1061" s="2345">
        <f>IFERROR((AI1114+AI1116)/(AI1005+AI1007),0)</f>
        <v>0</v>
      </c>
      <c r="AJ1061" s="2346">
        <f>AI1061-AH1061</f>
        <v>0</v>
      </c>
      <c r="AK1061" s="2345">
        <f>IFERROR((AK1114+AK1116)/(AK1005+AK1007),0)</f>
        <v>0</v>
      </c>
      <c r="AL1061" s="2345">
        <f>IFERROR((AL1114+AL1116)/(AL1005+AL1007),0)</f>
        <v>0</v>
      </c>
      <c r="AM1061" s="2346">
        <f>AL1061-AK1061</f>
        <v>0</v>
      </c>
      <c r="AN1061" s="2345">
        <f>IFERROR((AN1114+AN1116)/(AN1005+AN1007),0)</f>
        <v>0</v>
      </c>
      <c r="AO1061" s="2345">
        <f>IFERROR((AO1114+AO1116)/(AO1005+AO1007),0)</f>
        <v>0</v>
      </c>
      <c r="AP1061" s="2346">
        <f>AO1061-AN1061</f>
        <v>0</v>
      </c>
      <c r="AQ1061" s="2345">
        <f>IFERROR((AQ1114+AQ1116)/(AQ1005+AQ1007),0)</f>
        <v>0</v>
      </c>
      <c r="AR1061" s="2345">
        <f>IFERROR((AR1114+AR1116)/(AR1005+AR1007),0)</f>
        <v>0</v>
      </c>
      <c r="AS1061" s="2346">
        <f>AR1061-AQ1061</f>
        <v>0</v>
      </c>
      <c r="AT1061" s="2345">
        <f>IFERROR((AT1114+AT1116)/(AT1005+AT1007),0)</f>
        <v>0</v>
      </c>
      <c r="AU1061" s="2345">
        <f>IFERROR((AU1114+AU1116)/(AU1005+AU1007),0)</f>
        <v>0</v>
      </c>
      <c r="AV1061" s="2346">
        <f>AU1061-AT1061</f>
        <v>0</v>
      </c>
      <c r="AW1061" s="2345">
        <f>IFERROR((AW1114+AW1116)/(AW1005+AW1007),0)</f>
        <v>0</v>
      </c>
      <c r="AX1061" s="2345">
        <f>IFERROR((AX1114+AX1116)/(AX1005+AX1007),0)</f>
        <v>0</v>
      </c>
      <c r="AY1061" s="2346">
        <f>AX1061-AW1061</f>
        <v>0</v>
      </c>
      <c r="AZ1061" s="2345">
        <f>IFERROR((AZ1114+AZ1116)/(AZ1005+AZ1007),0)</f>
        <v>0</v>
      </c>
      <c r="BA1061" s="2345">
        <f>IFERROR((BA1114+BA1116)/(BA1005+BA1007),0)</f>
        <v>0</v>
      </c>
      <c r="BB1061" s="2346">
        <f>BA1061-AZ1061</f>
        <v>0</v>
      </c>
      <c r="BC1061" s="2345">
        <f>IFERROR((BC1114+BC1116)/(BC1005+BC1007),0)</f>
        <v>0</v>
      </c>
      <c r="BD1061" s="2345">
        <f>IFERROR((BD1114+BD1116)/(BD1005+BD1007),0)</f>
        <v>0</v>
      </c>
      <c r="BE1061" s="2346">
        <f>BD1061-BC1061</f>
        <v>0</v>
      </c>
      <c r="BF1061" s="2345">
        <f>IFERROR((BF1114+BF1116)/(BF1005+BF1007),0)</f>
        <v>0</v>
      </c>
      <c r="BG1061" s="2345">
        <f>IFERROR((BG1114+BG1116)/(BG1005+BG1007),0)</f>
        <v>0</v>
      </c>
      <c r="BH1061" s="2346">
        <f>BG1061-BF1061</f>
        <v>0</v>
      </c>
      <c r="BI1061" s="2345">
        <f>IFERROR((BI1114+BI1116)/(BI1005+BI1007),0)</f>
        <v>0</v>
      </c>
      <c r="BJ1061" s="2345">
        <f>IFERROR((BJ1114+BJ1116)/(BJ1005+BJ1007),0)</f>
        <v>0</v>
      </c>
      <c r="BK1061" s="2346">
        <f>BJ1061-BI1061</f>
        <v>0</v>
      </c>
      <c r="BL1061" s="2345">
        <f>IFERROR((BL1114+BL1116)/(BL1005+BL1007),0)</f>
        <v>0</v>
      </c>
      <c r="BM1061" s="2345">
        <f>IFERROR((BM1114+BM1116)/(BM1005+BM1007),0)</f>
        <v>0</v>
      </c>
      <c r="BN1061" s="2346">
        <f>BM1061-BL1061</f>
        <v>0</v>
      </c>
      <c r="BO1061" s="2345">
        <f>IFERROR((BO1114+BO1116)/(BO1005+BO1007),0)</f>
        <v>0</v>
      </c>
      <c r="BP1061" s="2345">
        <f>IFERROR((BP1114+BP1116)/(BP1005+BP1007),0)</f>
        <v>0</v>
      </c>
      <c r="BQ1061" s="2346">
        <f>BP1061-BO1061</f>
        <v>0</v>
      </c>
    </row>
    <row r="1062" spans="3:69" s="2159" customFormat="1" ht="12" hidden="1" customHeight="1">
      <c r="C1062" s="2474" t="s">
        <v>3259</v>
      </c>
      <c r="D1062" s="2475" t="s">
        <v>3237</v>
      </c>
      <c r="E1062" s="2471"/>
      <c r="F1062" s="2320"/>
      <c r="G1062" s="2458"/>
      <c r="H1062" s="2458"/>
      <c r="I1062" s="2480"/>
      <c r="J1062" s="2481"/>
      <c r="K1062" s="2458"/>
      <c r="L1062" s="2458"/>
      <c r="M1062" s="2480"/>
      <c r="N1062" s="2458"/>
      <c r="O1062" s="2458"/>
      <c r="P1062" s="2480"/>
      <c r="Q1062" s="2481"/>
      <c r="R1062" s="2458"/>
      <c r="S1062" s="2480"/>
      <c r="T1062" s="2482"/>
      <c r="U1062" s="2458"/>
      <c r="V1062" s="2480"/>
      <c r="W1062" s="2481"/>
      <c r="X1062" s="2458"/>
      <c r="Y1062" s="2480"/>
      <c r="Z1062" s="2482"/>
      <c r="AA1062" s="2458"/>
      <c r="AB1062" s="2480"/>
      <c r="AC1062" s="2481"/>
      <c r="AD1062" s="2458"/>
      <c r="AE1062" s="2480"/>
      <c r="AF1062" s="2204"/>
      <c r="AG1062" s="2158"/>
      <c r="AH1062" s="2458"/>
      <c r="AI1062" s="2458"/>
      <c r="AJ1062" s="2480"/>
      <c r="AK1062" s="2458"/>
      <c r="AL1062" s="2458"/>
      <c r="AM1062" s="2480"/>
      <c r="AN1062" s="2458"/>
      <c r="AO1062" s="2458"/>
      <c r="AP1062" s="2480"/>
      <c r="AQ1062" s="2458"/>
      <c r="AR1062" s="2458"/>
      <c r="AS1062" s="2480"/>
      <c r="AT1062" s="2458"/>
      <c r="AU1062" s="2458"/>
      <c r="AV1062" s="2480"/>
      <c r="AW1062" s="2458"/>
      <c r="AX1062" s="2458"/>
      <c r="AY1062" s="2480"/>
      <c r="AZ1062" s="2458"/>
      <c r="BA1062" s="2458"/>
      <c r="BB1062" s="2480"/>
      <c r="BC1062" s="2458"/>
      <c r="BD1062" s="2458"/>
      <c r="BE1062" s="2480"/>
      <c r="BF1062" s="2458"/>
      <c r="BG1062" s="2458"/>
      <c r="BH1062" s="2480"/>
      <c r="BI1062" s="2458"/>
      <c r="BJ1062" s="2458"/>
      <c r="BK1062" s="2480"/>
      <c r="BL1062" s="2458"/>
      <c r="BM1062" s="2458"/>
      <c r="BN1062" s="2480"/>
      <c r="BO1062" s="2458"/>
      <c r="BP1062" s="2458"/>
      <c r="BQ1062" s="2480"/>
    </row>
    <row r="1063" spans="3:69" s="2087" customFormat="1" ht="12" hidden="1" customHeight="1">
      <c r="C1063" s="2423" t="s">
        <v>3260</v>
      </c>
      <c r="D1063" s="2421" t="s">
        <v>3187</v>
      </c>
      <c r="E1063" s="2250" t="s">
        <v>3079</v>
      </c>
      <c r="F1063" s="2176"/>
      <c r="G1063" s="2339">
        <f t="shared" ref="G1063:H1065" si="2200">IFERROR(G1167/G1009,0)</f>
        <v>0</v>
      </c>
      <c r="H1063" s="2339">
        <f t="shared" si="2200"/>
        <v>0</v>
      </c>
      <c r="I1063" s="2337">
        <f t="shared" ref="I1063:I1073" si="2201">H1063-G1063</f>
        <v>0</v>
      </c>
      <c r="J1063" s="2338"/>
      <c r="K1063" s="2339">
        <f t="shared" ref="K1063:L1065" si="2202">IFERROR(K1167/K1009,0)</f>
        <v>0</v>
      </c>
      <c r="L1063" s="2339">
        <f t="shared" si="2202"/>
        <v>0</v>
      </c>
      <c r="M1063" s="2337">
        <f t="shared" ref="M1063:M1073" si="2203">L1063-K1063</f>
        <v>0</v>
      </c>
      <c r="N1063" s="2339">
        <f t="shared" ref="N1063:O1065" si="2204">IFERROR(N1167/N1009,0)</f>
        <v>0</v>
      </c>
      <c r="O1063" s="2339">
        <f t="shared" si="2204"/>
        <v>0</v>
      </c>
      <c r="P1063" s="2337">
        <f t="shared" ref="P1063:P1073" si="2205">O1063-N1063</f>
        <v>0</v>
      </c>
      <c r="Q1063" s="2344">
        <f t="shared" ref="Q1063:R1065" si="2206">IFERROR(Q1167/Q1009,0)</f>
        <v>0</v>
      </c>
      <c r="R1063" s="2339">
        <f t="shared" si="2206"/>
        <v>0</v>
      </c>
      <c r="S1063" s="2337">
        <f t="shared" ref="S1063:S1073" si="2207">R1063-Q1063</f>
        <v>0</v>
      </c>
      <c r="T1063" s="2340">
        <f t="shared" ref="T1063:U1065" si="2208">IFERROR(T1167/T1009,0)</f>
        <v>0</v>
      </c>
      <c r="U1063" s="2339">
        <f t="shared" si="2208"/>
        <v>0</v>
      </c>
      <c r="V1063" s="2337">
        <f t="shared" ref="V1063:V1073" si="2209">U1063-T1063</f>
        <v>0</v>
      </c>
      <c r="W1063" s="2344">
        <f t="shared" ref="W1063:X1065" si="2210">IFERROR(W1167/W1009,0)</f>
        <v>0</v>
      </c>
      <c r="X1063" s="2339">
        <f t="shared" si="2210"/>
        <v>0</v>
      </c>
      <c r="Y1063" s="2337">
        <f t="shared" ref="Y1063:Y1073" si="2211">X1063-W1063</f>
        <v>0</v>
      </c>
      <c r="Z1063" s="2340">
        <f t="shared" ref="Z1063:AA1065" si="2212">IFERROR(Z1167/Z1009,0)</f>
        <v>0</v>
      </c>
      <c r="AA1063" s="2339">
        <f t="shared" si="2212"/>
        <v>0</v>
      </c>
      <c r="AB1063" s="2337">
        <f t="shared" ref="AB1063:AB1073" si="2213">AA1063-Z1063</f>
        <v>0</v>
      </c>
      <c r="AC1063" s="2344">
        <f t="shared" ref="AC1063:AD1065" si="2214">IFERROR(AC1167/AC1009,0)</f>
        <v>0</v>
      </c>
      <c r="AD1063" s="2339">
        <f t="shared" si="2214"/>
        <v>0</v>
      </c>
      <c r="AE1063" s="2337">
        <f t="shared" ref="AE1063:AE1073" si="2215">AD1063-AC1063</f>
        <v>0</v>
      </c>
      <c r="AF1063" s="2204"/>
      <c r="AG1063" s="2114"/>
      <c r="AH1063" s="2345">
        <f t="shared" ref="AH1063:AI1065" si="2216">IFERROR(AH1167/AH1009,0)</f>
        <v>0</v>
      </c>
      <c r="AI1063" s="2345">
        <f t="shared" si="2216"/>
        <v>0</v>
      </c>
      <c r="AJ1063" s="2346">
        <f t="shared" ref="AJ1063:AJ1064" si="2217">AI1063-AH1063</f>
        <v>0</v>
      </c>
      <c r="AK1063" s="2345">
        <f t="shared" ref="AK1063:AL1065" si="2218">IFERROR(AK1167/AK1009,0)</f>
        <v>0</v>
      </c>
      <c r="AL1063" s="2345">
        <f t="shared" si="2218"/>
        <v>0</v>
      </c>
      <c r="AM1063" s="2346">
        <f t="shared" ref="AM1063:AM1064" si="2219">AL1063-AK1063</f>
        <v>0</v>
      </c>
      <c r="AN1063" s="2345">
        <f t="shared" ref="AN1063:AO1065" si="2220">IFERROR(AN1167/AN1009,0)</f>
        <v>0</v>
      </c>
      <c r="AO1063" s="2345">
        <f t="shared" si="2220"/>
        <v>0</v>
      </c>
      <c r="AP1063" s="2346">
        <f t="shared" ref="AP1063:AP1064" si="2221">AO1063-AN1063</f>
        <v>0</v>
      </c>
      <c r="AQ1063" s="2345">
        <f t="shared" ref="AQ1063:AR1065" si="2222">IFERROR(AQ1167/AQ1009,0)</f>
        <v>0</v>
      </c>
      <c r="AR1063" s="2345">
        <f t="shared" si="2222"/>
        <v>0</v>
      </c>
      <c r="AS1063" s="2346">
        <f t="shared" ref="AS1063:AS1064" si="2223">AR1063-AQ1063</f>
        <v>0</v>
      </c>
      <c r="AT1063" s="2345">
        <f t="shared" ref="AT1063:AU1065" si="2224">IFERROR(AT1167/AT1009,0)</f>
        <v>0</v>
      </c>
      <c r="AU1063" s="2345">
        <f t="shared" si="2224"/>
        <v>0</v>
      </c>
      <c r="AV1063" s="2346">
        <f t="shared" ref="AV1063:AV1064" si="2225">AU1063-AT1063</f>
        <v>0</v>
      </c>
      <c r="AW1063" s="2345">
        <f t="shared" ref="AW1063:AX1065" si="2226">IFERROR(AW1167/AW1009,0)</f>
        <v>0</v>
      </c>
      <c r="AX1063" s="2345">
        <f t="shared" si="2226"/>
        <v>0</v>
      </c>
      <c r="AY1063" s="2346">
        <f t="shared" ref="AY1063:AY1064" si="2227">AX1063-AW1063</f>
        <v>0</v>
      </c>
      <c r="AZ1063" s="2345">
        <f t="shared" ref="AZ1063:BA1065" si="2228">IFERROR(AZ1167/AZ1009,0)</f>
        <v>0</v>
      </c>
      <c r="BA1063" s="2345">
        <f t="shared" si="2228"/>
        <v>0</v>
      </c>
      <c r="BB1063" s="2346">
        <f t="shared" ref="BB1063:BB1064" si="2229">BA1063-AZ1063</f>
        <v>0</v>
      </c>
      <c r="BC1063" s="2345">
        <f t="shared" ref="BC1063:BD1065" si="2230">IFERROR(BC1167/BC1009,0)</f>
        <v>0</v>
      </c>
      <c r="BD1063" s="2345">
        <f t="shared" si="2230"/>
        <v>0</v>
      </c>
      <c r="BE1063" s="2346">
        <f t="shared" ref="BE1063:BE1064" si="2231">BD1063-BC1063</f>
        <v>0</v>
      </c>
      <c r="BF1063" s="2345">
        <f t="shared" ref="BF1063:BG1065" si="2232">IFERROR(BF1167/BF1009,0)</f>
        <v>0</v>
      </c>
      <c r="BG1063" s="2345">
        <f t="shared" si="2232"/>
        <v>0</v>
      </c>
      <c r="BH1063" s="2346">
        <f t="shared" ref="BH1063:BH1064" si="2233">BG1063-BF1063</f>
        <v>0</v>
      </c>
      <c r="BI1063" s="2345">
        <f t="shared" ref="BI1063:BJ1065" si="2234">IFERROR(BI1167/BI1009,0)</f>
        <v>0</v>
      </c>
      <c r="BJ1063" s="2345">
        <f t="shared" si="2234"/>
        <v>0</v>
      </c>
      <c r="BK1063" s="2346">
        <f t="shared" ref="BK1063:BK1064" si="2235">BJ1063-BI1063</f>
        <v>0</v>
      </c>
      <c r="BL1063" s="2345">
        <f t="shared" ref="BL1063:BM1065" si="2236">IFERROR(BL1167/BL1009,0)</f>
        <v>0</v>
      </c>
      <c r="BM1063" s="2345">
        <f t="shared" si="2236"/>
        <v>0</v>
      </c>
      <c r="BN1063" s="2346">
        <f t="shared" ref="BN1063:BN1064" si="2237">BM1063-BL1063</f>
        <v>0</v>
      </c>
      <c r="BO1063" s="2345">
        <f t="shared" ref="BO1063:BP1065" si="2238">IFERROR(BO1167/BO1009,0)</f>
        <v>0</v>
      </c>
      <c r="BP1063" s="2345">
        <f t="shared" si="2238"/>
        <v>0</v>
      </c>
      <c r="BQ1063" s="2346">
        <f t="shared" ref="BQ1063:BQ1064" si="2239">BP1063-BO1063</f>
        <v>0</v>
      </c>
    </row>
    <row r="1064" spans="3:69" s="2087" customFormat="1" ht="12" hidden="1" customHeight="1">
      <c r="C1064" s="2473" t="s">
        <v>3261</v>
      </c>
      <c r="D1064" s="2334" t="s">
        <v>28</v>
      </c>
      <c r="E1064" s="2250" t="s">
        <v>3220</v>
      </c>
      <c r="F1064" s="2176"/>
      <c r="G1064" s="2339">
        <f t="shared" si="2200"/>
        <v>0</v>
      </c>
      <c r="H1064" s="2339">
        <f t="shared" si="2200"/>
        <v>0</v>
      </c>
      <c r="I1064" s="2337">
        <f t="shared" si="2201"/>
        <v>0</v>
      </c>
      <c r="J1064" s="2338"/>
      <c r="K1064" s="2339">
        <f t="shared" si="2202"/>
        <v>0</v>
      </c>
      <c r="L1064" s="2339">
        <f t="shared" si="2202"/>
        <v>0</v>
      </c>
      <c r="M1064" s="2337">
        <f t="shared" si="2203"/>
        <v>0</v>
      </c>
      <c r="N1064" s="2339">
        <f t="shared" si="2204"/>
        <v>0</v>
      </c>
      <c r="O1064" s="2339">
        <f t="shared" si="2204"/>
        <v>0</v>
      </c>
      <c r="P1064" s="2337">
        <f t="shared" si="2205"/>
        <v>0</v>
      </c>
      <c r="Q1064" s="2344">
        <f t="shared" si="2206"/>
        <v>0</v>
      </c>
      <c r="R1064" s="2339">
        <f t="shared" si="2206"/>
        <v>0</v>
      </c>
      <c r="S1064" s="2337">
        <f t="shared" si="2207"/>
        <v>0</v>
      </c>
      <c r="T1064" s="2340">
        <f t="shared" si="2208"/>
        <v>0</v>
      </c>
      <c r="U1064" s="2339">
        <f t="shared" si="2208"/>
        <v>0</v>
      </c>
      <c r="V1064" s="2337">
        <f t="shared" si="2209"/>
        <v>0</v>
      </c>
      <c r="W1064" s="2344">
        <f t="shared" si="2210"/>
        <v>0</v>
      </c>
      <c r="X1064" s="2339">
        <f t="shared" si="2210"/>
        <v>0</v>
      </c>
      <c r="Y1064" s="2337">
        <f t="shared" si="2211"/>
        <v>0</v>
      </c>
      <c r="Z1064" s="2340">
        <f t="shared" si="2212"/>
        <v>0</v>
      </c>
      <c r="AA1064" s="2339">
        <f t="shared" si="2212"/>
        <v>0</v>
      </c>
      <c r="AB1064" s="2337">
        <f t="shared" si="2213"/>
        <v>0</v>
      </c>
      <c r="AC1064" s="2344">
        <f t="shared" si="2214"/>
        <v>0</v>
      </c>
      <c r="AD1064" s="2339">
        <f t="shared" si="2214"/>
        <v>0</v>
      </c>
      <c r="AE1064" s="2337">
        <f t="shared" si="2215"/>
        <v>0</v>
      </c>
      <c r="AF1064" s="2204"/>
      <c r="AG1064" s="2114"/>
      <c r="AH1064" s="2345">
        <f t="shared" si="2216"/>
        <v>0</v>
      </c>
      <c r="AI1064" s="2345">
        <f t="shared" si="2216"/>
        <v>0</v>
      </c>
      <c r="AJ1064" s="2346">
        <f t="shared" si="2217"/>
        <v>0</v>
      </c>
      <c r="AK1064" s="2345">
        <f t="shared" si="2218"/>
        <v>0</v>
      </c>
      <c r="AL1064" s="2345">
        <f t="shared" si="2218"/>
        <v>0</v>
      </c>
      <c r="AM1064" s="2346">
        <f t="shared" si="2219"/>
        <v>0</v>
      </c>
      <c r="AN1064" s="2345">
        <f t="shared" si="2220"/>
        <v>0</v>
      </c>
      <c r="AO1064" s="2345">
        <f t="shared" si="2220"/>
        <v>0</v>
      </c>
      <c r="AP1064" s="2346">
        <f t="shared" si="2221"/>
        <v>0</v>
      </c>
      <c r="AQ1064" s="2345">
        <f t="shared" si="2222"/>
        <v>0</v>
      </c>
      <c r="AR1064" s="2345">
        <f t="shared" si="2222"/>
        <v>0</v>
      </c>
      <c r="AS1064" s="2346">
        <f t="shared" si="2223"/>
        <v>0</v>
      </c>
      <c r="AT1064" s="2345">
        <f t="shared" si="2224"/>
        <v>0</v>
      </c>
      <c r="AU1064" s="2345">
        <f t="shared" si="2224"/>
        <v>0</v>
      </c>
      <c r="AV1064" s="2346">
        <f t="shared" si="2225"/>
        <v>0</v>
      </c>
      <c r="AW1064" s="2345">
        <f t="shared" si="2226"/>
        <v>0</v>
      </c>
      <c r="AX1064" s="2345">
        <f t="shared" si="2226"/>
        <v>0</v>
      </c>
      <c r="AY1064" s="2346">
        <f t="shared" si="2227"/>
        <v>0</v>
      </c>
      <c r="AZ1064" s="2345">
        <f t="shared" si="2228"/>
        <v>0</v>
      </c>
      <c r="BA1064" s="2345">
        <f t="shared" si="2228"/>
        <v>0</v>
      </c>
      <c r="BB1064" s="2346">
        <f t="shared" si="2229"/>
        <v>0</v>
      </c>
      <c r="BC1064" s="2345">
        <f t="shared" si="2230"/>
        <v>0</v>
      </c>
      <c r="BD1064" s="2345">
        <f t="shared" si="2230"/>
        <v>0</v>
      </c>
      <c r="BE1064" s="2346">
        <f t="shared" si="2231"/>
        <v>0</v>
      </c>
      <c r="BF1064" s="2345">
        <f t="shared" si="2232"/>
        <v>0</v>
      </c>
      <c r="BG1064" s="2345">
        <f t="shared" si="2232"/>
        <v>0</v>
      </c>
      <c r="BH1064" s="2346">
        <f t="shared" si="2233"/>
        <v>0</v>
      </c>
      <c r="BI1064" s="2345">
        <f t="shared" si="2234"/>
        <v>0</v>
      </c>
      <c r="BJ1064" s="2345">
        <f t="shared" si="2234"/>
        <v>0</v>
      </c>
      <c r="BK1064" s="2346">
        <f t="shared" si="2235"/>
        <v>0</v>
      </c>
      <c r="BL1064" s="2345">
        <f t="shared" si="2236"/>
        <v>0</v>
      </c>
      <c r="BM1064" s="2345">
        <f t="shared" si="2236"/>
        <v>0</v>
      </c>
      <c r="BN1064" s="2346">
        <f t="shared" si="2237"/>
        <v>0</v>
      </c>
      <c r="BO1064" s="2345">
        <f t="shared" si="2238"/>
        <v>0</v>
      </c>
      <c r="BP1064" s="2345">
        <f t="shared" si="2238"/>
        <v>0</v>
      </c>
      <c r="BQ1064" s="2346">
        <f t="shared" si="2239"/>
        <v>0</v>
      </c>
    </row>
    <row r="1065" spans="3:69" s="2087" customFormat="1" ht="12" hidden="1" customHeight="1">
      <c r="C1065" s="2473" t="s">
        <v>3262</v>
      </c>
      <c r="D1065" s="2334" t="s">
        <v>2434</v>
      </c>
      <c r="E1065" s="2250" t="s">
        <v>3220</v>
      </c>
      <c r="F1065" s="2176"/>
      <c r="G1065" s="2339">
        <f t="shared" si="2200"/>
        <v>0</v>
      </c>
      <c r="H1065" s="2339">
        <f t="shared" si="2200"/>
        <v>0</v>
      </c>
      <c r="I1065" s="2337">
        <f>H1065-G1065</f>
        <v>0</v>
      </c>
      <c r="J1065" s="2338"/>
      <c r="K1065" s="2339">
        <f t="shared" si="2202"/>
        <v>0</v>
      </c>
      <c r="L1065" s="2339">
        <f t="shared" si="2202"/>
        <v>0</v>
      </c>
      <c r="M1065" s="2337">
        <f>L1065-K1065</f>
        <v>0</v>
      </c>
      <c r="N1065" s="2339">
        <f t="shared" si="2204"/>
        <v>0</v>
      </c>
      <c r="O1065" s="2339">
        <f t="shared" si="2204"/>
        <v>0</v>
      </c>
      <c r="P1065" s="2337">
        <f>O1065-N1065</f>
        <v>0</v>
      </c>
      <c r="Q1065" s="2339">
        <f t="shared" si="2206"/>
        <v>0</v>
      </c>
      <c r="R1065" s="2339">
        <f t="shared" si="2206"/>
        <v>0</v>
      </c>
      <c r="S1065" s="2337">
        <f>R1065-Q1065</f>
        <v>0</v>
      </c>
      <c r="T1065" s="2339">
        <f t="shared" si="2208"/>
        <v>0</v>
      </c>
      <c r="U1065" s="2339">
        <f t="shared" si="2208"/>
        <v>0</v>
      </c>
      <c r="V1065" s="2337">
        <f>U1065-T1065</f>
        <v>0</v>
      </c>
      <c r="W1065" s="2339">
        <f t="shared" si="2210"/>
        <v>0</v>
      </c>
      <c r="X1065" s="2339">
        <f t="shared" si="2210"/>
        <v>0</v>
      </c>
      <c r="Y1065" s="2337">
        <f>X1065-W1065</f>
        <v>0</v>
      </c>
      <c r="Z1065" s="2339">
        <f t="shared" si="2212"/>
        <v>0</v>
      </c>
      <c r="AA1065" s="2339">
        <f t="shared" si="2212"/>
        <v>0</v>
      </c>
      <c r="AB1065" s="2337">
        <f>AA1065-Z1065</f>
        <v>0</v>
      </c>
      <c r="AC1065" s="2339">
        <f t="shared" si="2214"/>
        <v>0</v>
      </c>
      <c r="AD1065" s="2339">
        <f t="shared" si="2214"/>
        <v>0</v>
      </c>
      <c r="AE1065" s="2337">
        <f>AD1065-AC1065</f>
        <v>0</v>
      </c>
      <c r="AF1065" s="2204"/>
      <c r="AG1065" s="2114"/>
      <c r="AH1065" s="2345">
        <f t="shared" si="2216"/>
        <v>0</v>
      </c>
      <c r="AI1065" s="2345">
        <f t="shared" si="2216"/>
        <v>0</v>
      </c>
      <c r="AJ1065" s="2346">
        <f>AI1065-AH1065</f>
        <v>0</v>
      </c>
      <c r="AK1065" s="2345">
        <f t="shared" si="2218"/>
        <v>0</v>
      </c>
      <c r="AL1065" s="2345">
        <f t="shared" si="2218"/>
        <v>0</v>
      </c>
      <c r="AM1065" s="2346">
        <f>AL1065-AK1065</f>
        <v>0</v>
      </c>
      <c r="AN1065" s="2345">
        <f t="shared" si="2220"/>
        <v>0</v>
      </c>
      <c r="AO1065" s="2345">
        <f t="shared" si="2220"/>
        <v>0</v>
      </c>
      <c r="AP1065" s="2346">
        <f>AO1065-AN1065</f>
        <v>0</v>
      </c>
      <c r="AQ1065" s="2345">
        <f t="shared" si="2222"/>
        <v>0</v>
      </c>
      <c r="AR1065" s="2345">
        <f t="shared" si="2222"/>
        <v>0</v>
      </c>
      <c r="AS1065" s="2346">
        <f>AR1065-AQ1065</f>
        <v>0</v>
      </c>
      <c r="AT1065" s="2345">
        <f t="shared" si="2224"/>
        <v>0</v>
      </c>
      <c r="AU1065" s="2345">
        <f t="shared" si="2224"/>
        <v>0</v>
      </c>
      <c r="AV1065" s="2346">
        <f>AU1065-AT1065</f>
        <v>0</v>
      </c>
      <c r="AW1065" s="2345">
        <f t="shared" si="2226"/>
        <v>0</v>
      </c>
      <c r="AX1065" s="2345">
        <f t="shared" si="2226"/>
        <v>0</v>
      </c>
      <c r="AY1065" s="2346">
        <f>AX1065-AW1065</f>
        <v>0</v>
      </c>
      <c r="AZ1065" s="2345">
        <f t="shared" si="2228"/>
        <v>0</v>
      </c>
      <c r="BA1065" s="2345">
        <f t="shared" si="2228"/>
        <v>0</v>
      </c>
      <c r="BB1065" s="2346">
        <f>BA1065-AZ1065</f>
        <v>0</v>
      </c>
      <c r="BC1065" s="2345">
        <f t="shared" si="2230"/>
        <v>0</v>
      </c>
      <c r="BD1065" s="2345">
        <f t="shared" si="2230"/>
        <v>0</v>
      </c>
      <c r="BE1065" s="2346">
        <f>BD1065-BC1065</f>
        <v>0</v>
      </c>
      <c r="BF1065" s="2345">
        <f t="shared" si="2232"/>
        <v>0</v>
      </c>
      <c r="BG1065" s="2345">
        <f t="shared" si="2232"/>
        <v>0</v>
      </c>
      <c r="BH1065" s="2346">
        <f>BG1065-BF1065</f>
        <v>0</v>
      </c>
      <c r="BI1065" s="2345">
        <f t="shared" si="2234"/>
        <v>0</v>
      </c>
      <c r="BJ1065" s="2345">
        <f t="shared" si="2234"/>
        <v>0</v>
      </c>
      <c r="BK1065" s="2346">
        <f>BJ1065-BI1065</f>
        <v>0</v>
      </c>
      <c r="BL1065" s="2345">
        <f t="shared" si="2236"/>
        <v>0</v>
      </c>
      <c r="BM1065" s="2345">
        <f t="shared" si="2236"/>
        <v>0</v>
      </c>
      <c r="BN1065" s="2346">
        <f>BM1065-BL1065</f>
        <v>0</v>
      </c>
      <c r="BO1065" s="2345">
        <f t="shared" si="2238"/>
        <v>0</v>
      </c>
      <c r="BP1065" s="2345">
        <f t="shared" si="2238"/>
        <v>0</v>
      </c>
      <c r="BQ1065" s="2346">
        <f>BP1065-BO1065</f>
        <v>0</v>
      </c>
    </row>
    <row r="1066" spans="3:69" s="2087" customFormat="1" ht="12" hidden="1" customHeight="1">
      <c r="C1066" s="2473" t="s">
        <v>3263</v>
      </c>
      <c r="D1066" s="2334" t="s">
        <v>42</v>
      </c>
      <c r="E1066" s="2250" t="s">
        <v>3220</v>
      </c>
      <c r="F1066" s="2176"/>
      <c r="G1066" s="2339">
        <f>IFERROR((G1170+G1172)/(G1012+G1014),0)</f>
        <v>0</v>
      </c>
      <c r="H1066" s="2339">
        <f>IFERROR((H1170+H1172)/(H1012+H1014),0)</f>
        <v>0</v>
      </c>
      <c r="I1066" s="2337">
        <f t="shared" si="2201"/>
        <v>0</v>
      </c>
      <c r="J1066" s="2338"/>
      <c r="K1066" s="2339">
        <f>IFERROR((K1170+K1172)/(K1012+K1014),0)</f>
        <v>0</v>
      </c>
      <c r="L1066" s="2339">
        <f>IFERROR((L1170+L1172)/(L1012+L1014),0)</f>
        <v>0</v>
      </c>
      <c r="M1066" s="2337">
        <f t="shared" si="2203"/>
        <v>0</v>
      </c>
      <c r="N1066" s="2339">
        <f>IFERROR((N1170+N1172)/(N1012+N1014),0)</f>
        <v>0</v>
      </c>
      <c r="O1066" s="2339">
        <f>IFERROR((O1170+O1172)/(O1012+O1014),0)</f>
        <v>0</v>
      </c>
      <c r="P1066" s="2337">
        <f t="shared" si="2205"/>
        <v>0</v>
      </c>
      <c r="Q1066" s="2344">
        <f>IFERROR((Q1170+Q1172)/(Q1012+Q1014),0)</f>
        <v>0</v>
      </c>
      <c r="R1066" s="2339">
        <f>IFERROR((R1170+R1172)/(R1012+R1014),0)</f>
        <v>0</v>
      </c>
      <c r="S1066" s="2337">
        <f t="shared" si="2207"/>
        <v>0</v>
      </c>
      <c r="T1066" s="2340">
        <f>IFERROR((T1170+T1172)/(T1012+T1014),0)</f>
        <v>0</v>
      </c>
      <c r="U1066" s="2339">
        <f>IFERROR((U1170+U1172)/(U1012+U1014),0)</f>
        <v>0</v>
      </c>
      <c r="V1066" s="2337">
        <f t="shared" si="2209"/>
        <v>0</v>
      </c>
      <c r="W1066" s="2344">
        <f>IFERROR((W1170+W1172)/(W1012+W1014),0)</f>
        <v>0</v>
      </c>
      <c r="X1066" s="2339">
        <f>IFERROR((X1170+X1172)/(X1012+X1014),0)</f>
        <v>0</v>
      </c>
      <c r="Y1066" s="2337">
        <f t="shared" si="2211"/>
        <v>0</v>
      </c>
      <c r="Z1066" s="2340">
        <f>IFERROR((Z1170+Z1172)/(Z1012+Z1014),0)</f>
        <v>0</v>
      </c>
      <c r="AA1066" s="2339">
        <f>IFERROR((AA1170+AA1172)/(AA1012+AA1014),0)</f>
        <v>0</v>
      </c>
      <c r="AB1066" s="2337">
        <f t="shared" si="2213"/>
        <v>0</v>
      </c>
      <c r="AC1066" s="2344">
        <f>IFERROR((AC1170+AC1172)/(AC1012+AC1014),0)</f>
        <v>0</v>
      </c>
      <c r="AD1066" s="2339">
        <f>IFERROR((AD1170+AD1172)/(AD1012+AD1014),0)</f>
        <v>0</v>
      </c>
      <c r="AE1066" s="2337">
        <f t="shared" si="2215"/>
        <v>0</v>
      </c>
      <c r="AF1066" s="2204"/>
      <c r="AG1066" s="2114"/>
      <c r="AH1066" s="2345">
        <f>IFERROR((AH1170+AH1172)/(AH1012+AH1014),0)</f>
        <v>0</v>
      </c>
      <c r="AI1066" s="2345">
        <f>IFERROR((AI1170+AI1172)/(AI1012+AI1014),0)</f>
        <v>0</v>
      </c>
      <c r="AJ1066" s="2346">
        <f t="shared" ref="AJ1066" si="2240">AI1066-AH1066</f>
        <v>0</v>
      </c>
      <c r="AK1066" s="2345">
        <f>IFERROR((AK1170+AK1172)/(AK1012+AK1014),0)</f>
        <v>0</v>
      </c>
      <c r="AL1066" s="2345">
        <f>IFERROR((AL1170+AL1172)/(AL1012+AL1014),0)</f>
        <v>0</v>
      </c>
      <c r="AM1066" s="2346">
        <f t="shared" ref="AM1066" si="2241">AL1066-AK1066</f>
        <v>0</v>
      </c>
      <c r="AN1066" s="2345">
        <f>IFERROR((AN1170+AN1172)/(AN1012+AN1014),0)</f>
        <v>0</v>
      </c>
      <c r="AO1066" s="2345">
        <f>IFERROR((AO1170+AO1172)/(AO1012+AO1014),0)</f>
        <v>0</v>
      </c>
      <c r="AP1066" s="2346">
        <f t="shared" ref="AP1066" si="2242">AO1066-AN1066</f>
        <v>0</v>
      </c>
      <c r="AQ1066" s="2345">
        <f>IFERROR((AQ1170+AQ1172)/(AQ1012+AQ1014),0)</f>
        <v>0</v>
      </c>
      <c r="AR1066" s="2345">
        <f>IFERROR((AR1170+AR1172)/(AR1012+AR1014),0)</f>
        <v>0</v>
      </c>
      <c r="AS1066" s="2346">
        <f t="shared" ref="AS1066" si="2243">AR1066-AQ1066</f>
        <v>0</v>
      </c>
      <c r="AT1066" s="2345">
        <f>IFERROR((AT1170+AT1172)/(AT1012+AT1014),0)</f>
        <v>0</v>
      </c>
      <c r="AU1066" s="2345">
        <f>IFERROR((AU1170+AU1172)/(AU1012+AU1014),0)</f>
        <v>0</v>
      </c>
      <c r="AV1066" s="2346">
        <f t="shared" ref="AV1066" si="2244">AU1066-AT1066</f>
        <v>0</v>
      </c>
      <c r="AW1066" s="2345">
        <f>IFERROR((AW1170+AW1172)/(AW1012+AW1014),0)</f>
        <v>0</v>
      </c>
      <c r="AX1066" s="2345">
        <f>IFERROR((AX1170+AX1172)/(AX1012+AX1014),0)</f>
        <v>0</v>
      </c>
      <c r="AY1066" s="2346">
        <f t="shared" ref="AY1066" si="2245">AX1066-AW1066</f>
        <v>0</v>
      </c>
      <c r="AZ1066" s="2345">
        <f>IFERROR((AZ1170+AZ1172)/(AZ1012+AZ1014),0)</f>
        <v>0</v>
      </c>
      <c r="BA1066" s="2345">
        <f>IFERROR((BA1170+BA1172)/(BA1012+BA1014),0)</f>
        <v>0</v>
      </c>
      <c r="BB1066" s="2346">
        <f t="shared" ref="BB1066" si="2246">BA1066-AZ1066</f>
        <v>0</v>
      </c>
      <c r="BC1066" s="2345">
        <f>IFERROR((BC1170+BC1172)/(BC1012+BC1014),0)</f>
        <v>0</v>
      </c>
      <c r="BD1066" s="2345">
        <f>IFERROR((BD1170+BD1172)/(BD1012+BD1014),0)</f>
        <v>0</v>
      </c>
      <c r="BE1066" s="2346">
        <f t="shared" ref="BE1066" si="2247">BD1066-BC1066</f>
        <v>0</v>
      </c>
      <c r="BF1066" s="2345">
        <f>IFERROR((BF1170+BF1172)/(BF1012+BF1014),0)</f>
        <v>0</v>
      </c>
      <c r="BG1066" s="2345">
        <f>IFERROR((BG1170+BG1172)/(BG1012+BG1014),0)</f>
        <v>0</v>
      </c>
      <c r="BH1066" s="2346">
        <f t="shared" ref="BH1066" si="2248">BG1066-BF1066</f>
        <v>0</v>
      </c>
      <c r="BI1066" s="2345">
        <f>IFERROR((BI1170+BI1172)/(BI1012+BI1014),0)</f>
        <v>0</v>
      </c>
      <c r="BJ1066" s="2345">
        <f>IFERROR((BJ1170+BJ1172)/(BJ1012+BJ1014),0)</f>
        <v>0</v>
      </c>
      <c r="BK1066" s="2346">
        <f t="shared" ref="BK1066" si="2249">BJ1066-BI1066</f>
        <v>0</v>
      </c>
      <c r="BL1066" s="2345">
        <f>IFERROR((BL1170+BL1172)/(BL1012+BL1014),0)</f>
        <v>0</v>
      </c>
      <c r="BM1066" s="2345">
        <f>IFERROR((BM1170+BM1172)/(BM1012+BM1014),0)</f>
        <v>0</v>
      </c>
      <c r="BN1066" s="2346">
        <f t="shared" ref="BN1066" si="2250">BM1066-BL1066</f>
        <v>0</v>
      </c>
      <c r="BO1066" s="2345">
        <f>IFERROR((BO1170+BO1172)/(BO1012+BO1014),0)</f>
        <v>0</v>
      </c>
      <c r="BP1066" s="2345">
        <f>IFERROR((BP1170+BP1172)/(BP1012+BP1014),0)</f>
        <v>0</v>
      </c>
      <c r="BQ1066" s="2346">
        <f t="shared" ref="BQ1066" si="2251">BP1066-BO1066</f>
        <v>0</v>
      </c>
    </row>
    <row r="1067" spans="3:69" s="2087" customFormat="1" ht="12" hidden="1" customHeight="1">
      <c r="C1067" s="2473" t="s">
        <v>3264</v>
      </c>
      <c r="D1067" s="2334" t="s">
        <v>2434</v>
      </c>
      <c r="E1067" s="2250" t="s">
        <v>3220</v>
      </c>
      <c r="F1067" s="2176"/>
      <c r="G1067" s="2339">
        <f>IFERROR((G1171+G1173)/(G1013+G1015),0)</f>
        <v>0</v>
      </c>
      <c r="H1067" s="2339">
        <f>IFERROR((H1171+H1173)/(H1013+H1015),0)</f>
        <v>0</v>
      </c>
      <c r="I1067" s="2337">
        <f>H1067-G1067</f>
        <v>0</v>
      </c>
      <c r="J1067" s="2338"/>
      <c r="K1067" s="2339">
        <f>IFERROR((K1171+K1173)/(K1013+K1015),0)</f>
        <v>0</v>
      </c>
      <c r="L1067" s="2339">
        <f>IFERROR((L1171+L1173)/(L1013+L1015),0)</f>
        <v>0</v>
      </c>
      <c r="M1067" s="2337">
        <f>L1067-K1067</f>
        <v>0</v>
      </c>
      <c r="N1067" s="2339">
        <f>IFERROR((N1171+N1173)/(N1013+N1015),0)</f>
        <v>0</v>
      </c>
      <c r="O1067" s="2339">
        <f>IFERROR((O1171+O1173)/(O1013+O1015),0)</f>
        <v>0</v>
      </c>
      <c r="P1067" s="2337">
        <f>O1067-N1067</f>
        <v>0</v>
      </c>
      <c r="Q1067" s="2339">
        <f>IFERROR((Q1171+Q1173)/(Q1013+Q1015),0)</f>
        <v>0</v>
      </c>
      <c r="R1067" s="2339">
        <f>IFERROR((R1171+R1173)/(R1013+R1015),0)</f>
        <v>0</v>
      </c>
      <c r="S1067" s="2337">
        <f>R1067-Q1067</f>
        <v>0</v>
      </c>
      <c r="T1067" s="2339">
        <f>IFERROR((T1171+T1173)/(T1013+T1015),0)</f>
        <v>0</v>
      </c>
      <c r="U1067" s="2339">
        <f>IFERROR((U1171+U1173)/(U1013+U1015),0)</f>
        <v>0</v>
      </c>
      <c r="V1067" s="2337">
        <f>U1067-T1067</f>
        <v>0</v>
      </c>
      <c r="W1067" s="2339">
        <f>IFERROR((W1171+W1173)/(W1013+W1015),0)</f>
        <v>0</v>
      </c>
      <c r="X1067" s="2339">
        <f>IFERROR((X1171+X1173)/(X1013+X1015),0)</f>
        <v>0</v>
      </c>
      <c r="Y1067" s="2337">
        <f>X1067-W1067</f>
        <v>0</v>
      </c>
      <c r="Z1067" s="2339">
        <f>IFERROR((Z1171+Z1173)/(Z1013+Z1015),0)</f>
        <v>0</v>
      </c>
      <c r="AA1067" s="2339">
        <f>IFERROR((AA1171+AA1173)/(AA1013+AA1015),0)</f>
        <v>0</v>
      </c>
      <c r="AB1067" s="2337">
        <f>AA1067-Z1067</f>
        <v>0</v>
      </c>
      <c r="AC1067" s="2339">
        <f>IFERROR((AC1171+AC1173)/(AC1013+AC1015),0)</f>
        <v>0</v>
      </c>
      <c r="AD1067" s="2339">
        <f>IFERROR((AD1171+AD1173)/(AD1013+AD1015),0)</f>
        <v>0</v>
      </c>
      <c r="AE1067" s="2337">
        <f>AD1067-AC1067</f>
        <v>0</v>
      </c>
      <c r="AF1067" s="2204"/>
      <c r="AG1067" s="2114"/>
      <c r="AH1067" s="2345">
        <f>IFERROR((AH1171+AH1173)/(AH1013+AH1015),0)</f>
        <v>0</v>
      </c>
      <c r="AI1067" s="2345">
        <f>IFERROR((AI1171+AI1173)/(AI1013+AI1015),0)</f>
        <v>0</v>
      </c>
      <c r="AJ1067" s="2346">
        <f>AI1067-AH1067</f>
        <v>0</v>
      </c>
      <c r="AK1067" s="2345">
        <f>IFERROR((AK1171+AK1173)/(AK1013+AK1015),0)</f>
        <v>0</v>
      </c>
      <c r="AL1067" s="2345">
        <f>IFERROR((AL1171+AL1173)/(AL1013+AL1015),0)</f>
        <v>0</v>
      </c>
      <c r="AM1067" s="2346">
        <f>AL1067-AK1067</f>
        <v>0</v>
      </c>
      <c r="AN1067" s="2345">
        <f>IFERROR((AN1171+AN1173)/(AN1013+AN1015),0)</f>
        <v>0</v>
      </c>
      <c r="AO1067" s="2345">
        <f>IFERROR((AO1171+AO1173)/(AO1013+AO1015),0)</f>
        <v>0</v>
      </c>
      <c r="AP1067" s="2346">
        <f>AO1067-AN1067</f>
        <v>0</v>
      </c>
      <c r="AQ1067" s="2345">
        <f>IFERROR((AQ1171+AQ1173)/(AQ1013+AQ1015),0)</f>
        <v>0</v>
      </c>
      <c r="AR1067" s="2345">
        <f>IFERROR((AR1171+AR1173)/(AR1013+AR1015),0)</f>
        <v>0</v>
      </c>
      <c r="AS1067" s="2346">
        <f>AR1067-AQ1067</f>
        <v>0</v>
      </c>
      <c r="AT1067" s="2345">
        <f>IFERROR((AT1171+AT1173)/(AT1013+AT1015),0)</f>
        <v>0</v>
      </c>
      <c r="AU1067" s="2345">
        <f>IFERROR((AU1171+AU1173)/(AU1013+AU1015),0)</f>
        <v>0</v>
      </c>
      <c r="AV1067" s="2346">
        <f>AU1067-AT1067</f>
        <v>0</v>
      </c>
      <c r="AW1067" s="2345">
        <f>IFERROR((AW1171+AW1173)/(AW1013+AW1015),0)</f>
        <v>0</v>
      </c>
      <c r="AX1067" s="2345">
        <f>IFERROR((AX1171+AX1173)/(AX1013+AX1015),0)</f>
        <v>0</v>
      </c>
      <c r="AY1067" s="2346">
        <f>AX1067-AW1067</f>
        <v>0</v>
      </c>
      <c r="AZ1067" s="2345">
        <f>IFERROR((AZ1171+AZ1173)/(AZ1013+AZ1015),0)</f>
        <v>0</v>
      </c>
      <c r="BA1067" s="2345">
        <f>IFERROR((BA1171+BA1173)/(BA1013+BA1015),0)</f>
        <v>0</v>
      </c>
      <c r="BB1067" s="2346">
        <f>BA1067-AZ1067</f>
        <v>0</v>
      </c>
      <c r="BC1067" s="2345">
        <f>IFERROR((BC1171+BC1173)/(BC1013+BC1015),0)</f>
        <v>0</v>
      </c>
      <c r="BD1067" s="2345">
        <f>IFERROR((BD1171+BD1173)/(BD1013+BD1015),0)</f>
        <v>0</v>
      </c>
      <c r="BE1067" s="2346">
        <f>BD1067-BC1067</f>
        <v>0</v>
      </c>
      <c r="BF1067" s="2345">
        <f>IFERROR((BF1171+BF1173)/(BF1013+BF1015),0)</f>
        <v>0</v>
      </c>
      <c r="BG1067" s="2345">
        <f>IFERROR((BG1171+BG1173)/(BG1013+BG1015),0)</f>
        <v>0</v>
      </c>
      <c r="BH1067" s="2346">
        <f>BG1067-BF1067</f>
        <v>0</v>
      </c>
      <c r="BI1067" s="2345">
        <f>IFERROR((BI1171+BI1173)/(BI1013+BI1015),0)</f>
        <v>0</v>
      </c>
      <c r="BJ1067" s="2345">
        <f>IFERROR((BJ1171+BJ1173)/(BJ1013+BJ1015),0)</f>
        <v>0</v>
      </c>
      <c r="BK1067" s="2346">
        <f>BJ1067-BI1067</f>
        <v>0</v>
      </c>
      <c r="BL1067" s="2345">
        <f>IFERROR((BL1171+BL1173)/(BL1013+BL1015),0)</f>
        <v>0</v>
      </c>
      <c r="BM1067" s="2345">
        <f>IFERROR((BM1171+BM1173)/(BM1013+BM1015),0)</f>
        <v>0</v>
      </c>
      <c r="BN1067" s="2346">
        <f>BM1067-BL1067</f>
        <v>0</v>
      </c>
      <c r="BO1067" s="2345">
        <f>IFERROR((BO1171+BO1173)/(BO1013+BO1015),0)</f>
        <v>0</v>
      </c>
      <c r="BP1067" s="2345">
        <f>IFERROR((BP1171+BP1173)/(BP1013+BP1015),0)</f>
        <v>0</v>
      </c>
      <c r="BQ1067" s="2346">
        <f>BP1067-BO1067</f>
        <v>0</v>
      </c>
    </row>
    <row r="1068" spans="3:69" s="2087" customFormat="1" ht="12" hidden="1" customHeight="1">
      <c r="C1068" s="2423" t="s">
        <v>3265</v>
      </c>
      <c r="D1068" s="2421" t="s">
        <v>3151</v>
      </c>
      <c r="E1068" s="2250" t="s">
        <v>3052</v>
      </c>
      <c r="F1068" s="2176"/>
      <c r="G1068" s="2339">
        <f t="shared" ref="G1068:H1070" si="2252">IFERROR(G1174/G1016,0)</f>
        <v>0</v>
      </c>
      <c r="H1068" s="2339">
        <f t="shared" si="2252"/>
        <v>0</v>
      </c>
      <c r="I1068" s="2337">
        <f t="shared" si="2201"/>
        <v>0</v>
      </c>
      <c r="J1068" s="2338"/>
      <c r="K1068" s="2339">
        <f t="shared" ref="K1068:L1070" si="2253">IFERROR(K1174/K1016,0)</f>
        <v>0</v>
      </c>
      <c r="L1068" s="2339">
        <f t="shared" si="2253"/>
        <v>0</v>
      </c>
      <c r="M1068" s="2337">
        <f t="shared" si="2203"/>
        <v>0</v>
      </c>
      <c r="N1068" s="2339">
        <f t="shared" ref="N1068:O1070" si="2254">IFERROR(N1174/N1016,0)</f>
        <v>0</v>
      </c>
      <c r="O1068" s="2339">
        <f t="shared" si="2254"/>
        <v>0</v>
      </c>
      <c r="P1068" s="2337">
        <f t="shared" si="2205"/>
        <v>0</v>
      </c>
      <c r="Q1068" s="2344">
        <f t="shared" ref="Q1068:R1070" si="2255">IFERROR(Q1174/Q1016,0)</f>
        <v>0</v>
      </c>
      <c r="R1068" s="2339">
        <f t="shared" si="2255"/>
        <v>0</v>
      </c>
      <c r="S1068" s="2337">
        <f t="shared" si="2207"/>
        <v>0</v>
      </c>
      <c r="T1068" s="2340">
        <f t="shared" ref="T1068:U1070" si="2256">IFERROR(T1174/T1016,0)</f>
        <v>0</v>
      </c>
      <c r="U1068" s="2339">
        <f t="shared" si="2256"/>
        <v>0</v>
      </c>
      <c r="V1068" s="2337">
        <f t="shared" si="2209"/>
        <v>0</v>
      </c>
      <c r="W1068" s="2344">
        <f t="shared" ref="W1068:X1070" si="2257">IFERROR(W1174/W1016,0)</f>
        <v>0</v>
      </c>
      <c r="X1068" s="2339">
        <f t="shared" si="2257"/>
        <v>0</v>
      </c>
      <c r="Y1068" s="2337">
        <f t="shared" si="2211"/>
        <v>0</v>
      </c>
      <c r="Z1068" s="2340">
        <f t="shared" ref="Z1068:AA1070" si="2258">IFERROR(Z1174/Z1016,0)</f>
        <v>0</v>
      </c>
      <c r="AA1068" s="2339">
        <f t="shared" si="2258"/>
        <v>0</v>
      </c>
      <c r="AB1068" s="2337">
        <f t="shared" si="2213"/>
        <v>0</v>
      </c>
      <c r="AC1068" s="2344">
        <f t="shared" ref="AC1068:AD1070" si="2259">IFERROR(AC1174/AC1016,0)</f>
        <v>0</v>
      </c>
      <c r="AD1068" s="2339">
        <f t="shared" si="2259"/>
        <v>0</v>
      </c>
      <c r="AE1068" s="2337">
        <f t="shared" si="2215"/>
        <v>0</v>
      </c>
      <c r="AF1068" s="2204"/>
      <c r="AG1068" s="2114"/>
      <c r="AH1068" s="2345">
        <f t="shared" ref="AH1068:AI1070" si="2260">IFERROR(AH1174/AH1016,0)</f>
        <v>0</v>
      </c>
      <c r="AI1068" s="2345">
        <f t="shared" si="2260"/>
        <v>0</v>
      </c>
      <c r="AJ1068" s="2346">
        <f t="shared" ref="AJ1068:AJ1069" si="2261">AI1068-AH1068</f>
        <v>0</v>
      </c>
      <c r="AK1068" s="2345">
        <f t="shared" ref="AK1068:AL1070" si="2262">IFERROR(AK1174/AK1016,0)</f>
        <v>0</v>
      </c>
      <c r="AL1068" s="2345">
        <f t="shared" si="2262"/>
        <v>0</v>
      </c>
      <c r="AM1068" s="2346">
        <f t="shared" ref="AM1068:AM1069" si="2263">AL1068-AK1068</f>
        <v>0</v>
      </c>
      <c r="AN1068" s="2345">
        <f t="shared" ref="AN1068:AO1070" si="2264">IFERROR(AN1174/AN1016,0)</f>
        <v>0</v>
      </c>
      <c r="AO1068" s="2345">
        <f t="shared" si="2264"/>
        <v>0</v>
      </c>
      <c r="AP1068" s="2346">
        <f t="shared" ref="AP1068:AP1069" si="2265">AO1068-AN1068</f>
        <v>0</v>
      </c>
      <c r="AQ1068" s="2345">
        <f t="shared" ref="AQ1068:AR1070" si="2266">IFERROR(AQ1174/AQ1016,0)</f>
        <v>0</v>
      </c>
      <c r="AR1068" s="2345">
        <f t="shared" si="2266"/>
        <v>0</v>
      </c>
      <c r="AS1068" s="2346">
        <f t="shared" ref="AS1068:AS1069" si="2267">AR1068-AQ1068</f>
        <v>0</v>
      </c>
      <c r="AT1068" s="2345">
        <f t="shared" ref="AT1068:AU1070" si="2268">IFERROR(AT1174/AT1016,0)</f>
        <v>0</v>
      </c>
      <c r="AU1068" s="2345">
        <f t="shared" si="2268"/>
        <v>0</v>
      </c>
      <c r="AV1068" s="2346">
        <f t="shared" ref="AV1068:AV1069" si="2269">AU1068-AT1068</f>
        <v>0</v>
      </c>
      <c r="AW1068" s="2345">
        <f t="shared" ref="AW1068:AX1070" si="2270">IFERROR(AW1174/AW1016,0)</f>
        <v>0</v>
      </c>
      <c r="AX1068" s="2345">
        <f t="shared" si="2270"/>
        <v>0</v>
      </c>
      <c r="AY1068" s="2346">
        <f t="shared" ref="AY1068:AY1069" si="2271">AX1068-AW1068</f>
        <v>0</v>
      </c>
      <c r="AZ1068" s="2345">
        <f t="shared" ref="AZ1068:BA1070" si="2272">IFERROR(AZ1174/AZ1016,0)</f>
        <v>0</v>
      </c>
      <c r="BA1068" s="2345">
        <f t="shared" si="2272"/>
        <v>0</v>
      </c>
      <c r="BB1068" s="2346">
        <f t="shared" ref="BB1068:BB1069" si="2273">BA1068-AZ1068</f>
        <v>0</v>
      </c>
      <c r="BC1068" s="2345">
        <f t="shared" ref="BC1068:BD1070" si="2274">IFERROR(BC1174/BC1016,0)</f>
        <v>0</v>
      </c>
      <c r="BD1068" s="2345">
        <f t="shared" si="2274"/>
        <v>0</v>
      </c>
      <c r="BE1068" s="2346">
        <f t="shared" ref="BE1068:BE1069" si="2275">BD1068-BC1068</f>
        <v>0</v>
      </c>
      <c r="BF1068" s="2345">
        <f t="shared" ref="BF1068:BG1070" si="2276">IFERROR(BF1174/BF1016,0)</f>
        <v>0</v>
      </c>
      <c r="BG1068" s="2345">
        <f t="shared" si="2276"/>
        <v>0</v>
      </c>
      <c r="BH1068" s="2346">
        <f t="shared" ref="BH1068:BH1069" si="2277">BG1068-BF1068</f>
        <v>0</v>
      </c>
      <c r="BI1068" s="2345">
        <f t="shared" ref="BI1068:BJ1070" si="2278">IFERROR(BI1174/BI1016,0)</f>
        <v>0</v>
      </c>
      <c r="BJ1068" s="2345">
        <f t="shared" si="2278"/>
        <v>0</v>
      </c>
      <c r="BK1068" s="2346">
        <f t="shared" ref="BK1068:BK1069" si="2279">BJ1068-BI1068</f>
        <v>0</v>
      </c>
      <c r="BL1068" s="2345">
        <f t="shared" ref="BL1068:BM1070" si="2280">IFERROR(BL1174/BL1016,0)</f>
        <v>0</v>
      </c>
      <c r="BM1068" s="2345">
        <f t="shared" si="2280"/>
        <v>0</v>
      </c>
      <c r="BN1068" s="2346">
        <f t="shared" ref="BN1068:BN1069" si="2281">BM1068-BL1068</f>
        <v>0</v>
      </c>
      <c r="BO1068" s="2345">
        <f t="shared" ref="BO1068:BP1070" si="2282">IFERROR(BO1174/BO1016,0)</f>
        <v>0</v>
      </c>
      <c r="BP1068" s="2345">
        <f t="shared" si="2282"/>
        <v>0</v>
      </c>
      <c r="BQ1068" s="2346">
        <f t="shared" ref="BQ1068:BQ1069" si="2283">BP1068-BO1068</f>
        <v>0</v>
      </c>
    </row>
    <row r="1069" spans="3:69" s="2087" customFormat="1" ht="12" hidden="1" customHeight="1">
      <c r="C1069" s="2473" t="s">
        <v>3266</v>
      </c>
      <c r="D1069" s="2334" t="s">
        <v>28</v>
      </c>
      <c r="E1069" s="2250" t="s">
        <v>3052</v>
      </c>
      <c r="F1069" s="2176"/>
      <c r="G1069" s="2339">
        <f t="shared" si="2252"/>
        <v>0</v>
      </c>
      <c r="H1069" s="2339">
        <f t="shared" si="2252"/>
        <v>0</v>
      </c>
      <c r="I1069" s="2337">
        <f t="shared" si="2201"/>
        <v>0</v>
      </c>
      <c r="J1069" s="2338"/>
      <c r="K1069" s="2339">
        <f t="shared" si="2253"/>
        <v>0</v>
      </c>
      <c r="L1069" s="2339">
        <f t="shared" si="2253"/>
        <v>0</v>
      </c>
      <c r="M1069" s="2337">
        <f t="shared" si="2203"/>
        <v>0</v>
      </c>
      <c r="N1069" s="2339">
        <f t="shared" si="2254"/>
        <v>0</v>
      </c>
      <c r="O1069" s="2339">
        <f t="shared" si="2254"/>
        <v>0</v>
      </c>
      <c r="P1069" s="2337">
        <f t="shared" si="2205"/>
        <v>0</v>
      </c>
      <c r="Q1069" s="2344">
        <f t="shared" si="2255"/>
        <v>0</v>
      </c>
      <c r="R1069" s="2339">
        <f t="shared" si="2255"/>
        <v>0</v>
      </c>
      <c r="S1069" s="2337">
        <f t="shared" si="2207"/>
        <v>0</v>
      </c>
      <c r="T1069" s="2340">
        <f t="shared" si="2256"/>
        <v>0</v>
      </c>
      <c r="U1069" s="2339">
        <f t="shared" si="2256"/>
        <v>0</v>
      </c>
      <c r="V1069" s="2337">
        <f t="shared" si="2209"/>
        <v>0</v>
      </c>
      <c r="W1069" s="2344">
        <f t="shared" si="2257"/>
        <v>0</v>
      </c>
      <c r="X1069" s="2339">
        <f t="shared" si="2257"/>
        <v>0</v>
      </c>
      <c r="Y1069" s="2337">
        <f t="shared" si="2211"/>
        <v>0</v>
      </c>
      <c r="Z1069" s="2340">
        <f t="shared" si="2258"/>
        <v>0</v>
      </c>
      <c r="AA1069" s="2339">
        <f t="shared" si="2258"/>
        <v>0</v>
      </c>
      <c r="AB1069" s="2337">
        <f t="shared" si="2213"/>
        <v>0</v>
      </c>
      <c r="AC1069" s="2344">
        <f t="shared" si="2259"/>
        <v>0</v>
      </c>
      <c r="AD1069" s="2339">
        <f t="shared" si="2259"/>
        <v>0</v>
      </c>
      <c r="AE1069" s="2337">
        <f t="shared" si="2215"/>
        <v>0</v>
      </c>
      <c r="AF1069" s="2204"/>
      <c r="AG1069" s="2114"/>
      <c r="AH1069" s="2345">
        <f t="shared" si="2260"/>
        <v>0</v>
      </c>
      <c r="AI1069" s="2345">
        <f t="shared" si="2260"/>
        <v>0</v>
      </c>
      <c r="AJ1069" s="2346">
        <f t="shared" si="2261"/>
        <v>0</v>
      </c>
      <c r="AK1069" s="2345">
        <f t="shared" si="2262"/>
        <v>0</v>
      </c>
      <c r="AL1069" s="2345">
        <f t="shared" si="2262"/>
        <v>0</v>
      </c>
      <c r="AM1069" s="2346">
        <f t="shared" si="2263"/>
        <v>0</v>
      </c>
      <c r="AN1069" s="2345">
        <f t="shared" si="2264"/>
        <v>0</v>
      </c>
      <c r="AO1069" s="2345">
        <f t="shared" si="2264"/>
        <v>0</v>
      </c>
      <c r="AP1069" s="2346">
        <f t="shared" si="2265"/>
        <v>0</v>
      </c>
      <c r="AQ1069" s="2345">
        <f t="shared" si="2266"/>
        <v>0</v>
      </c>
      <c r="AR1069" s="2345">
        <f t="shared" si="2266"/>
        <v>0</v>
      </c>
      <c r="AS1069" s="2346">
        <f t="shared" si="2267"/>
        <v>0</v>
      </c>
      <c r="AT1069" s="2345">
        <f t="shared" si="2268"/>
        <v>0</v>
      </c>
      <c r="AU1069" s="2345">
        <f t="shared" si="2268"/>
        <v>0</v>
      </c>
      <c r="AV1069" s="2346">
        <f t="shared" si="2269"/>
        <v>0</v>
      </c>
      <c r="AW1069" s="2345">
        <f t="shared" si="2270"/>
        <v>0</v>
      </c>
      <c r="AX1069" s="2345">
        <f t="shared" si="2270"/>
        <v>0</v>
      </c>
      <c r="AY1069" s="2346">
        <f t="shared" si="2271"/>
        <v>0</v>
      </c>
      <c r="AZ1069" s="2345">
        <f t="shared" si="2272"/>
        <v>0</v>
      </c>
      <c r="BA1069" s="2345">
        <f t="shared" si="2272"/>
        <v>0</v>
      </c>
      <c r="BB1069" s="2346">
        <f t="shared" si="2273"/>
        <v>0</v>
      </c>
      <c r="BC1069" s="2345">
        <f t="shared" si="2274"/>
        <v>0</v>
      </c>
      <c r="BD1069" s="2345">
        <f t="shared" si="2274"/>
        <v>0</v>
      </c>
      <c r="BE1069" s="2346">
        <f t="shared" si="2275"/>
        <v>0</v>
      </c>
      <c r="BF1069" s="2345">
        <f t="shared" si="2276"/>
        <v>0</v>
      </c>
      <c r="BG1069" s="2345">
        <f t="shared" si="2276"/>
        <v>0</v>
      </c>
      <c r="BH1069" s="2346">
        <f t="shared" si="2277"/>
        <v>0</v>
      </c>
      <c r="BI1069" s="2345">
        <f t="shared" si="2278"/>
        <v>0</v>
      </c>
      <c r="BJ1069" s="2345">
        <f t="shared" si="2278"/>
        <v>0</v>
      </c>
      <c r="BK1069" s="2346">
        <f t="shared" si="2279"/>
        <v>0</v>
      </c>
      <c r="BL1069" s="2345">
        <f t="shared" si="2280"/>
        <v>0</v>
      </c>
      <c r="BM1069" s="2345">
        <f t="shared" si="2280"/>
        <v>0</v>
      </c>
      <c r="BN1069" s="2346">
        <f t="shared" si="2281"/>
        <v>0</v>
      </c>
      <c r="BO1069" s="2345">
        <f t="shared" si="2282"/>
        <v>0</v>
      </c>
      <c r="BP1069" s="2345">
        <f t="shared" si="2282"/>
        <v>0</v>
      </c>
      <c r="BQ1069" s="2346">
        <f t="shared" si="2283"/>
        <v>0</v>
      </c>
    </row>
    <row r="1070" spans="3:69" s="2087" customFormat="1" ht="12" hidden="1" customHeight="1">
      <c r="C1070" s="2473" t="s">
        <v>3267</v>
      </c>
      <c r="D1070" s="2334" t="s">
        <v>2434</v>
      </c>
      <c r="E1070" s="2250" t="s">
        <v>3052</v>
      </c>
      <c r="F1070" s="2176"/>
      <c r="G1070" s="2339">
        <f t="shared" si="2252"/>
        <v>0</v>
      </c>
      <c r="H1070" s="2339">
        <f t="shared" si="2252"/>
        <v>0</v>
      </c>
      <c r="I1070" s="2337">
        <f>H1070-G1070</f>
        <v>0</v>
      </c>
      <c r="J1070" s="2338"/>
      <c r="K1070" s="2339">
        <f t="shared" si="2253"/>
        <v>0</v>
      </c>
      <c r="L1070" s="2339">
        <f t="shared" si="2253"/>
        <v>0</v>
      </c>
      <c r="M1070" s="2337">
        <f>L1070-K1070</f>
        <v>0</v>
      </c>
      <c r="N1070" s="2339">
        <f t="shared" si="2254"/>
        <v>0</v>
      </c>
      <c r="O1070" s="2339">
        <f t="shared" si="2254"/>
        <v>0</v>
      </c>
      <c r="P1070" s="2337">
        <f>O1070-N1070</f>
        <v>0</v>
      </c>
      <c r="Q1070" s="2339">
        <f t="shared" si="2255"/>
        <v>0</v>
      </c>
      <c r="R1070" s="2339">
        <f t="shared" si="2255"/>
        <v>0</v>
      </c>
      <c r="S1070" s="2337">
        <f>R1070-Q1070</f>
        <v>0</v>
      </c>
      <c r="T1070" s="2339">
        <f t="shared" si="2256"/>
        <v>0</v>
      </c>
      <c r="U1070" s="2339">
        <f t="shared" si="2256"/>
        <v>0</v>
      </c>
      <c r="V1070" s="2337">
        <f>U1070-T1070</f>
        <v>0</v>
      </c>
      <c r="W1070" s="2339">
        <f t="shared" si="2257"/>
        <v>0</v>
      </c>
      <c r="X1070" s="2339">
        <f t="shared" si="2257"/>
        <v>0</v>
      </c>
      <c r="Y1070" s="2337">
        <f>X1070-W1070</f>
        <v>0</v>
      </c>
      <c r="Z1070" s="2339">
        <f t="shared" si="2258"/>
        <v>0</v>
      </c>
      <c r="AA1070" s="2339">
        <f t="shared" si="2258"/>
        <v>0</v>
      </c>
      <c r="AB1070" s="2337">
        <f>AA1070-Z1070</f>
        <v>0</v>
      </c>
      <c r="AC1070" s="2339">
        <f t="shared" si="2259"/>
        <v>0</v>
      </c>
      <c r="AD1070" s="2339">
        <f t="shared" si="2259"/>
        <v>0</v>
      </c>
      <c r="AE1070" s="2337">
        <f>AD1070-AC1070</f>
        <v>0</v>
      </c>
      <c r="AF1070" s="2204"/>
      <c r="AG1070" s="2114"/>
      <c r="AH1070" s="2345">
        <f t="shared" si="2260"/>
        <v>0</v>
      </c>
      <c r="AI1070" s="2345">
        <f t="shared" si="2260"/>
        <v>0</v>
      </c>
      <c r="AJ1070" s="2346">
        <f>AI1070-AH1070</f>
        <v>0</v>
      </c>
      <c r="AK1070" s="2345">
        <f t="shared" si="2262"/>
        <v>0</v>
      </c>
      <c r="AL1070" s="2345">
        <f t="shared" si="2262"/>
        <v>0</v>
      </c>
      <c r="AM1070" s="2346">
        <f>AL1070-AK1070</f>
        <v>0</v>
      </c>
      <c r="AN1070" s="2345">
        <f t="shared" si="2264"/>
        <v>0</v>
      </c>
      <c r="AO1070" s="2345">
        <f t="shared" si="2264"/>
        <v>0</v>
      </c>
      <c r="AP1070" s="2346">
        <f>AO1070-AN1070</f>
        <v>0</v>
      </c>
      <c r="AQ1070" s="2345">
        <f t="shared" si="2266"/>
        <v>0</v>
      </c>
      <c r="AR1070" s="2345">
        <f t="shared" si="2266"/>
        <v>0</v>
      </c>
      <c r="AS1070" s="2346">
        <f>AR1070-AQ1070</f>
        <v>0</v>
      </c>
      <c r="AT1070" s="2345">
        <f t="shared" si="2268"/>
        <v>0</v>
      </c>
      <c r="AU1070" s="2345">
        <f t="shared" si="2268"/>
        <v>0</v>
      </c>
      <c r="AV1070" s="2346">
        <f>AU1070-AT1070</f>
        <v>0</v>
      </c>
      <c r="AW1070" s="2345">
        <f t="shared" si="2270"/>
        <v>0</v>
      </c>
      <c r="AX1070" s="2345">
        <f t="shared" si="2270"/>
        <v>0</v>
      </c>
      <c r="AY1070" s="2346">
        <f>AX1070-AW1070</f>
        <v>0</v>
      </c>
      <c r="AZ1070" s="2345">
        <f t="shared" si="2272"/>
        <v>0</v>
      </c>
      <c r="BA1070" s="2345">
        <f t="shared" si="2272"/>
        <v>0</v>
      </c>
      <c r="BB1070" s="2346">
        <f>BA1070-AZ1070</f>
        <v>0</v>
      </c>
      <c r="BC1070" s="2345">
        <f t="shared" si="2274"/>
        <v>0</v>
      </c>
      <c r="BD1070" s="2345">
        <f t="shared" si="2274"/>
        <v>0</v>
      </c>
      <c r="BE1070" s="2346">
        <f>BD1070-BC1070</f>
        <v>0</v>
      </c>
      <c r="BF1070" s="2345">
        <f t="shared" si="2276"/>
        <v>0</v>
      </c>
      <c r="BG1070" s="2345">
        <f t="shared" si="2276"/>
        <v>0</v>
      </c>
      <c r="BH1070" s="2346">
        <f>BG1070-BF1070</f>
        <v>0</v>
      </c>
      <c r="BI1070" s="2345">
        <f t="shared" si="2278"/>
        <v>0</v>
      </c>
      <c r="BJ1070" s="2345">
        <f t="shared" si="2278"/>
        <v>0</v>
      </c>
      <c r="BK1070" s="2346">
        <f>BJ1070-BI1070</f>
        <v>0</v>
      </c>
      <c r="BL1070" s="2345">
        <f t="shared" si="2280"/>
        <v>0</v>
      </c>
      <c r="BM1070" s="2345">
        <f t="shared" si="2280"/>
        <v>0</v>
      </c>
      <c r="BN1070" s="2346">
        <f>BM1070-BL1070</f>
        <v>0</v>
      </c>
      <c r="BO1070" s="2345">
        <f t="shared" si="2282"/>
        <v>0</v>
      </c>
      <c r="BP1070" s="2345">
        <f t="shared" si="2282"/>
        <v>0</v>
      </c>
      <c r="BQ1070" s="2346">
        <f>BP1070-BO1070</f>
        <v>0</v>
      </c>
    </row>
    <row r="1071" spans="3:69" s="2087" customFormat="1" ht="12" hidden="1" customHeight="1">
      <c r="C1071" s="2473" t="s">
        <v>3268</v>
      </c>
      <c r="D1071" s="2334" t="s">
        <v>42</v>
      </c>
      <c r="E1071" s="2250" t="s">
        <v>3052</v>
      </c>
      <c r="F1071" s="2176"/>
      <c r="G1071" s="2339">
        <f>IFERROR((G1177+G1179)/(G1019+G1021),0)</f>
        <v>0</v>
      </c>
      <c r="H1071" s="2339">
        <f>IFERROR((H1177+H1179)/(H1019+H1021),0)</f>
        <v>0</v>
      </c>
      <c r="I1071" s="2337">
        <f t="shared" si="2201"/>
        <v>0</v>
      </c>
      <c r="J1071" s="2338"/>
      <c r="K1071" s="2339">
        <f>IFERROR((K1177+K1179)/(K1019+K1021),0)</f>
        <v>0</v>
      </c>
      <c r="L1071" s="2339">
        <f>IFERROR((L1177+L1179)/(L1019+L1021),0)</f>
        <v>0</v>
      </c>
      <c r="M1071" s="2337">
        <f t="shared" si="2203"/>
        <v>0</v>
      </c>
      <c r="N1071" s="2339">
        <f>IFERROR((N1177+N1179)/(N1019+N1021),0)</f>
        <v>0</v>
      </c>
      <c r="O1071" s="2339">
        <f>IFERROR((O1177+O1179)/(O1019+O1021),0)</f>
        <v>0</v>
      </c>
      <c r="P1071" s="2337">
        <f t="shared" si="2205"/>
        <v>0</v>
      </c>
      <c r="Q1071" s="2344">
        <f>IFERROR((Q1177+Q1179)/(Q1019+Q1021),0)</f>
        <v>0</v>
      </c>
      <c r="R1071" s="2339">
        <f>IFERROR((R1177+R1179)/(R1019+R1021),0)</f>
        <v>0</v>
      </c>
      <c r="S1071" s="2337">
        <f t="shared" si="2207"/>
        <v>0</v>
      </c>
      <c r="T1071" s="2340">
        <f>IFERROR((T1177+T1179)/(T1019+T1021),0)</f>
        <v>0</v>
      </c>
      <c r="U1071" s="2339">
        <f>IFERROR((U1177+U1179)/(U1019+U1021),0)</f>
        <v>0</v>
      </c>
      <c r="V1071" s="2337">
        <f t="shared" si="2209"/>
        <v>0</v>
      </c>
      <c r="W1071" s="2344">
        <f>IFERROR((W1177+W1179)/(W1019+W1021),0)</f>
        <v>0</v>
      </c>
      <c r="X1071" s="2339">
        <f>IFERROR((X1177+X1179)/(X1019+X1021),0)</f>
        <v>0</v>
      </c>
      <c r="Y1071" s="2337">
        <f t="shared" si="2211"/>
        <v>0</v>
      </c>
      <c r="Z1071" s="2340">
        <f>IFERROR((Z1177+Z1179)/(Z1019+Z1021),0)</f>
        <v>0</v>
      </c>
      <c r="AA1071" s="2339">
        <f>IFERROR((AA1177+AA1179)/(AA1019+AA1021),0)</f>
        <v>0</v>
      </c>
      <c r="AB1071" s="2337">
        <f t="shared" si="2213"/>
        <v>0</v>
      </c>
      <c r="AC1071" s="2344">
        <f>IFERROR((AC1177+AC1179)/(AC1019+AC1021),0)</f>
        <v>0</v>
      </c>
      <c r="AD1071" s="2339">
        <f>IFERROR((AD1177+AD1179)/(AD1019+AD1021),0)</f>
        <v>0</v>
      </c>
      <c r="AE1071" s="2337">
        <f t="shared" si="2215"/>
        <v>0</v>
      </c>
      <c r="AF1071" s="2204"/>
      <c r="AG1071" s="2114"/>
      <c r="AH1071" s="2345">
        <f>IFERROR((AH1177+AH1179)/(AH1019+AH1021),0)</f>
        <v>0</v>
      </c>
      <c r="AI1071" s="2345">
        <f>IFERROR((AI1177+AI1179)/(AI1019+AI1021),0)</f>
        <v>0</v>
      </c>
      <c r="AJ1071" s="2346">
        <f t="shared" ref="AJ1071" si="2284">AI1071-AH1071</f>
        <v>0</v>
      </c>
      <c r="AK1071" s="2345">
        <f>IFERROR((AK1177+AK1179)/(AK1019+AK1021),0)</f>
        <v>0</v>
      </c>
      <c r="AL1071" s="2345">
        <f>IFERROR((AL1177+AL1179)/(AL1019+AL1021),0)</f>
        <v>0</v>
      </c>
      <c r="AM1071" s="2346">
        <f t="shared" ref="AM1071" si="2285">AL1071-AK1071</f>
        <v>0</v>
      </c>
      <c r="AN1071" s="2345">
        <f>IFERROR((AN1177+AN1179)/(AN1019+AN1021),0)</f>
        <v>0</v>
      </c>
      <c r="AO1071" s="2345">
        <f>IFERROR((AO1177+AO1179)/(AO1019+AO1021),0)</f>
        <v>0</v>
      </c>
      <c r="AP1071" s="2346">
        <f t="shared" ref="AP1071" si="2286">AO1071-AN1071</f>
        <v>0</v>
      </c>
      <c r="AQ1071" s="2345">
        <f>IFERROR((AQ1177+AQ1179)/(AQ1019+AQ1021),0)</f>
        <v>0</v>
      </c>
      <c r="AR1071" s="2345">
        <f>IFERROR((AR1177+AR1179)/(AR1019+AR1021),0)</f>
        <v>0</v>
      </c>
      <c r="AS1071" s="2346">
        <f t="shared" ref="AS1071" si="2287">AR1071-AQ1071</f>
        <v>0</v>
      </c>
      <c r="AT1071" s="2345">
        <f>IFERROR((AT1177+AT1179)/(AT1019+AT1021),0)</f>
        <v>0</v>
      </c>
      <c r="AU1071" s="2345">
        <f>IFERROR((AU1177+AU1179)/(AU1019+AU1021),0)</f>
        <v>0</v>
      </c>
      <c r="AV1071" s="2346">
        <f t="shared" ref="AV1071" si="2288">AU1071-AT1071</f>
        <v>0</v>
      </c>
      <c r="AW1071" s="2345">
        <f>IFERROR((AW1177+AW1179)/(AW1019+AW1021),0)</f>
        <v>0</v>
      </c>
      <c r="AX1071" s="2345">
        <f>IFERROR((AX1177+AX1179)/(AX1019+AX1021),0)</f>
        <v>0</v>
      </c>
      <c r="AY1071" s="2346">
        <f t="shared" ref="AY1071" si="2289">AX1071-AW1071</f>
        <v>0</v>
      </c>
      <c r="AZ1071" s="2345">
        <f>IFERROR((AZ1177+AZ1179)/(AZ1019+AZ1021),0)</f>
        <v>0</v>
      </c>
      <c r="BA1071" s="2345">
        <f>IFERROR((BA1177+BA1179)/(BA1019+BA1021),0)</f>
        <v>0</v>
      </c>
      <c r="BB1071" s="2346">
        <f t="shared" ref="BB1071" si="2290">BA1071-AZ1071</f>
        <v>0</v>
      </c>
      <c r="BC1071" s="2345">
        <f>IFERROR((BC1177+BC1179)/(BC1019+BC1021),0)</f>
        <v>0</v>
      </c>
      <c r="BD1071" s="2345">
        <f>IFERROR((BD1177+BD1179)/(BD1019+BD1021),0)</f>
        <v>0</v>
      </c>
      <c r="BE1071" s="2346">
        <f t="shared" ref="BE1071" si="2291">BD1071-BC1071</f>
        <v>0</v>
      </c>
      <c r="BF1071" s="2345">
        <f>IFERROR((BF1177+BF1179)/(BF1019+BF1021),0)</f>
        <v>0</v>
      </c>
      <c r="BG1071" s="2345">
        <f>IFERROR((BG1177+BG1179)/(BG1019+BG1021),0)</f>
        <v>0</v>
      </c>
      <c r="BH1071" s="2346">
        <f t="shared" ref="BH1071" si="2292">BG1071-BF1071</f>
        <v>0</v>
      </c>
      <c r="BI1071" s="2345">
        <f>IFERROR((BI1177+BI1179)/(BI1019+BI1021),0)</f>
        <v>0</v>
      </c>
      <c r="BJ1071" s="2345">
        <f>IFERROR((BJ1177+BJ1179)/(BJ1019+BJ1021),0)</f>
        <v>0</v>
      </c>
      <c r="BK1071" s="2346">
        <f t="shared" ref="BK1071" si="2293">BJ1071-BI1071</f>
        <v>0</v>
      </c>
      <c r="BL1071" s="2345">
        <f>IFERROR((BL1177+BL1179)/(BL1019+BL1021),0)</f>
        <v>0</v>
      </c>
      <c r="BM1071" s="2345">
        <f>IFERROR((BM1177+BM1179)/(BM1019+BM1021),0)</f>
        <v>0</v>
      </c>
      <c r="BN1071" s="2346">
        <f t="shared" ref="BN1071" si="2294">BM1071-BL1071</f>
        <v>0</v>
      </c>
      <c r="BO1071" s="2345">
        <f>IFERROR((BO1177+BO1179)/(BO1019+BO1021),0)</f>
        <v>0</v>
      </c>
      <c r="BP1071" s="2345">
        <f>IFERROR((BP1177+BP1179)/(BP1019+BP1021),0)</f>
        <v>0</v>
      </c>
      <c r="BQ1071" s="2346">
        <f t="shared" ref="BQ1071" si="2295">BP1071-BO1071</f>
        <v>0</v>
      </c>
    </row>
    <row r="1072" spans="3:69" s="2087" customFormat="1" ht="12" hidden="1" customHeight="1">
      <c r="C1072" s="2473" t="s">
        <v>3269</v>
      </c>
      <c r="D1072" s="2334" t="s">
        <v>2434</v>
      </c>
      <c r="E1072" s="2250" t="s">
        <v>3052</v>
      </c>
      <c r="F1072" s="2176"/>
      <c r="G1072" s="2339">
        <f>IFERROR((G1178+G1180)/(G1020+G1022),0)</f>
        <v>0</v>
      </c>
      <c r="H1072" s="2339">
        <f>IFERROR((H1178+H1180)/(H1020+H1022),0)</f>
        <v>0</v>
      </c>
      <c r="I1072" s="2337">
        <f>H1072-G1072</f>
        <v>0</v>
      </c>
      <c r="J1072" s="2338"/>
      <c r="K1072" s="2339">
        <f>IFERROR((K1178+K1180)/(K1020+K1022),0)</f>
        <v>0</v>
      </c>
      <c r="L1072" s="2339">
        <f>IFERROR((L1178+L1180)/(L1020+L1022),0)</f>
        <v>0</v>
      </c>
      <c r="M1072" s="2337">
        <f>L1072-K1072</f>
        <v>0</v>
      </c>
      <c r="N1072" s="2339">
        <f>IFERROR((N1178+N1180)/(N1020+N1022),0)</f>
        <v>0</v>
      </c>
      <c r="O1072" s="2339">
        <f>IFERROR((O1178+O1180)/(O1020+O1022),0)</f>
        <v>0</v>
      </c>
      <c r="P1072" s="2337">
        <f>O1072-N1072</f>
        <v>0</v>
      </c>
      <c r="Q1072" s="2339">
        <f>IFERROR((Q1178+Q1180)/(Q1020+Q1022),0)</f>
        <v>0</v>
      </c>
      <c r="R1072" s="2339">
        <f>IFERROR((R1178+R1180)/(R1020+R1022),0)</f>
        <v>0</v>
      </c>
      <c r="S1072" s="2337">
        <f>R1072-Q1072</f>
        <v>0</v>
      </c>
      <c r="T1072" s="2339">
        <f>IFERROR((T1178+T1180)/(T1020+T1022),0)</f>
        <v>0</v>
      </c>
      <c r="U1072" s="2339">
        <f>IFERROR((U1178+U1180)/(U1020+U1022),0)</f>
        <v>0</v>
      </c>
      <c r="V1072" s="2337">
        <f>U1072-T1072</f>
        <v>0</v>
      </c>
      <c r="W1072" s="2339">
        <f>IFERROR((W1178+W1180)/(W1020+W1022),0)</f>
        <v>0</v>
      </c>
      <c r="X1072" s="2339">
        <f>IFERROR((X1178+X1180)/(X1020+X1022),0)</f>
        <v>0</v>
      </c>
      <c r="Y1072" s="2337">
        <f>X1072-W1072</f>
        <v>0</v>
      </c>
      <c r="Z1072" s="2339">
        <f>IFERROR((Z1178+Z1180)/(Z1020+Z1022),0)</f>
        <v>0</v>
      </c>
      <c r="AA1072" s="2339">
        <f>IFERROR((AA1178+AA1180)/(AA1020+AA1022),0)</f>
        <v>0</v>
      </c>
      <c r="AB1072" s="2337">
        <f>AA1072-Z1072</f>
        <v>0</v>
      </c>
      <c r="AC1072" s="2339">
        <f>IFERROR((AC1178+AC1180)/(AC1020+AC1022),0)</f>
        <v>0</v>
      </c>
      <c r="AD1072" s="2339">
        <f>IFERROR((AD1178+AD1180)/(AD1020+AD1022),0)</f>
        <v>0</v>
      </c>
      <c r="AE1072" s="2337">
        <f>AD1072-AC1072</f>
        <v>0</v>
      </c>
      <c r="AF1072" s="2204"/>
      <c r="AG1072" s="2114"/>
      <c r="AH1072" s="2345">
        <f>IFERROR((AH1178+AH1180)/(AH1020+AH1022),0)</f>
        <v>0</v>
      </c>
      <c r="AI1072" s="2345">
        <f>IFERROR((AI1178+AI1180)/(AI1020+AI1022),0)</f>
        <v>0</v>
      </c>
      <c r="AJ1072" s="2346">
        <f>AI1072-AH1072</f>
        <v>0</v>
      </c>
      <c r="AK1072" s="2345">
        <f>IFERROR((AK1178+AK1180)/(AK1020+AK1022),0)</f>
        <v>0</v>
      </c>
      <c r="AL1072" s="2345">
        <f>IFERROR((AL1178+AL1180)/(AL1020+AL1022),0)</f>
        <v>0</v>
      </c>
      <c r="AM1072" s="2346">
        <f>AL1072-AK1072</f>
        <v>0</v>
      </c>
      <c r="AN1072" s="2345">
        <f>IFERROR((AN1178+AN1180)/(AN1020+AN1022),0)</f>
        <v>0</v>
      </c>
      <c r="AO1072" s="2345">
        <f>IFERROR((AO1178+AO1180)/(AO1020+AO1022),0)</f>
        <v>0</v>
      </c>
      <c r="AP1072" s="2346">
        <f>AO1072-AN1072</f>
        <v>0</v>
      </c>
      <c r="AQ1072" s="2345">
        <f>IFERROR((AQ1178+AQ1180)/(AQ1020+AQ1022),0)</f>
        <v>0</v>
      </c>
      <c r="AR1072" s="2345">
        <f>IFERROR((AR1178+AR1180)/(AR1020+AR1022),0)</f>
        <v>0</v>
      </c>
      <c r="AS1072" s="2346">
        <f>AR1072-AQ1072</f>
        <v>0</v>
      </c>
      <c r="AT1072" s="2345">
        <f>IFERROR((AT1178+AT1180)/(AT1020+AT1022),0)</f>
        <v>0</v>
      </c>
      <c r="AU1072" s="2345">
        <f>IFERROR((AU1178+AU1180)/(AU1020+AU1022),0)</f>
        <v>0</v>
      </c>
      <c r="AV1072" s="2346">
        <f>AU1072-AT1072</f>
        <v>0</v>
      </c>
      <c r="AW1072" s="2345">
        <f>IFERROR((AW1178+AW1180)/(AW1020+AW1022),0)</f>
        <v>0</v>
      </c>
      <c r="AX1072" s="2345">
        <f>IFERROR((AX1178+AX1180)/(AX1020+AX1022),0)</f>
        <v>0</v>
      </c>
      <c r="AY1072" s="2346">
        <f>AX1072-AW1072</f>
        <v>0</v>
      </c>
      <c r="AZ1072" s="2345">
        <f>IFERROR((AZ1178+AZ1180)/(AZ1020+AZ1022),0)</f>
        <v>0</v>
      </c>
      <c r="BA1072" s="2345">
        <f>IFERROR((BA1178+BA1180)/(BA1020+BA1022),0)</f>
        <v>0</v>
      </c>
      <c r="BB1072" s="2346">
        <f>BA1072-AZ1072</f>
        <v>0</v>
      </c>
      <c r="BC1072" s="2345">
        <f>IFERROR((BC1178+BC1180)/(BC1020+BC1022),0)</f>
        <v>0</v>
      </c>
      <c r="BD1072" s="2345">
        <f>IFERROR((BD1178+BD1180)/(BD1020+BD1022),0)</f>
        <v>0</v>
      </c>
      <c r="BE1072" s="2346">
        <f>BD1072-BC1072</f>
        <v>0</v>
      </c>
      <c r="BF1072" s="2345">
        <f>IFERROR((BF1178+BF1180)/(BF1020+BF1022),0)</f>
        <v>0</v>
      </c>
      <c r="BG1072" s="2345">
        <f>IFERROR((BG1178+BG1180)/(BG1020+BG1022),0)</f>
        <v>0</v>
      </c>
      <c r="BH1072" s="2346">
        <f>BG1072-BF1072</f>
        <v>0</v>
      </c>
      <c r="BI1072" s="2345">
        <f>IFERROR((BI1178+BI1180)/(BI1020+BI1022),0)</f>
        <v>0</v>
      </c>
      <c r="BJ1072" s="2345">
        <f>IFERROR((BJ1178+BJ1180)/(BJ1020+BJ1022),0)</f>
        <v>0</v>
      </c>
      <c r="BK1072" s="2346">
        <f>BJ1072-BI1072</f>
        <v>0</v>
      </c>
      <c r="BL1072" s="2345">
        <f>IFERROR((BL1178+BL1180)/(BL1020+BL1022),0)</f>
        <v>0</v>
      </c>
      <c r="BM1072" s="2345">
        <f>IFERROR((BM1178+BM1180)/(BM1020+BM1022),0)</f>
        <v>0</v>
      </c>
      <c r="BN1072" s="2346">
        <f>BM1072-BL1072</f>
        <v>0</v>
      </c>
      <c r="BO1072" s="2345">
        <f>IFERROR((BO1178+BO1180)/(BO1020+BO1022),0)</f>
        <v>0</v>
      </c>
      <c r="BP1072" s="2345">
        <f>IFERROR((BP1178+BP1180)/(BP1020+BP1022),0)</f>
        <v>0</v>
      </c>
      <c r="BQ1072" s="2346">
        <f>BP1072-BO1072</f>
        <v>0</v>
      </c>
    </row>
    <row r="1073" spans="3:69" s="2159" customFormat="1" ht="12" hidden="1" customHeight="1">
      <c r="C1073" s="2474" t="s">
        <v>3270</v>
      </c>
      <c r="D1073" s="2477" t="s">
        <v>3271</v>
      </c>
      <c r="E1073" s="2120" t="s">
        <v>3220</v>
      </c>
      <c r="F1073" s="2162"/>
      <c r="G1073" s="2455">
        <f>IFERROR(G1181/G1023,0)</f>
        <v>0</v>
      </c>
      <c r="H1073" s="2455">
        <f>IFERROR(H1181/H1023,0)</f>
        <v>0</v>
      </c>
      <c r="I1073" s="2479">
        <f t="shared" si="2201"/>
        <v>0</v>
      </c>
      <c r="J1073" s="2454"/>
      <c r="K1073" s="2455">
        <f>IFERROR(K1181/K1023,0)</f>
        <v>0</v>
      </c>
      <c r="L1073" s="2455">
        <f>IFERROR(L1181/L1023,0)</f>
        <v>0</v>
      </c>
      <c r="M1073" s="2479">
        <f t="shared" si="2203"/>
        <v>0</v>
      </c>
      <c r="N1073" s="2455">
        <f>IFERROR(N1181/N1023,0)</f>
        <v>0</v>
      </c>
      <c r="O1073" s="2455">
        <f>IFERROR(O1181/O1023,0)</f>
        <v>0</v>
      </c>
      <c r="P1073" s="2479">
        <f t="shared" si="2205"/>
        <v>0</v>
      </c>
      <c r="Q1073" s="2456">
        <f>IFERROR(Q1181/Q1023,0)</f>
        <v>0</v>
      </c>
      <c r="R1073" s="2455">
        <f>IFERROR(R1181/R1023,0)</f>
        <v>0</v>
      </c>
      <c r="S1073" s="2479">
        <f t="shared" si="2207"/>
        <v>0</v>
      </c>
      <c r="T1073" s="2457">
        <f>IFERROR(T1181/T1023,0)</f>
        <v>0</v>
      </c>
      <c r="U1073" s="2455">
        <f>IFERROR(U1181/U1023,0)</f>
        <v>0</v>
      </c>
      <c r="V1073" s="2479">
        <f t="shared" si="2209"/>
        <v>0</v>
      </c>
      <c r="W1073" s="2456">
        <f>IFERROR(W1181/W1023,0)</f>
        <v>0</v>
      </c>
      <c r="X1073" s="2455">
        <f>IFERROR(X1181/X1023,0)</f>
        <v>0</v>
      </c>
      <c r="Y1073" s="2479">
        <f t="shared" si="2211"/>
        <v>0</v>
      </c>
      <c r="Z1073" s="2457">
        <f>IFERROR(Z1181/Z1023,0)</f>
        <v>0</v>
      </c>
      <c r="AA1073" s="2455">
        <f>IFERROR(AA1181/AA1023,0)</f>
        <v>0</v>
      </c>
      <c r="AB1073" s="2479">
        <f t="shared" si="2213"/>
        <v>0</v>
      </c>
      <c r="AC1073" s="2456">
        <f>IFERROR(AC1181/AC1023,0)</f>
        <v>0</v>
      </c>
      <c r="AD1073" s="2455">
        <f>IFERROR(AD1181/AD1023,0)</f>
        <v>0</v>
      </c>
      <c r="AE1073" s="2479">
        <f t="shared" si="2215"/>
        <v>0</v>
      </c>
      <c r="AF1073" s="2204"/>
      <c r="AG1073" s="2158"/>
      <c r="AH1073" s="2458">
        <f>IFERROR(AH1181/AH1023,0)</f>
        <v>0</v>
      </c>
      <c r="AI1073" s="2458">
        <f>IFERROR(AI1181/AI1023,0)</f>
        <v>0</v>
      </c>
      <c r="AJ1073" s="2480">
        <f t="shared" ref="AJ1073" si="2296">AI1073-AH1073</f>
        <v>0</v>
      </c>
      <c r="AK1073" s="2458">
        <f>IFERROR(AK1181/AK1023,0)</f>
        <v>0</v>
      </c>
      <c r="AL1073" s="2458">
        <f>IFERROR(AL1181/AL1023,0)</f>
        <v>0</v>
      </c>
      <c r="AM1073" s="2480">
        <f t="shared" ref="AM1073" si="2297">AL1073-AK1073</f>
        <v>0</v>
      </c>
      <c r="AN1073" s="2458">
        <f>IFERROR(AN1181/AN1023,0)</f>
        <v>0</v>
      </c>
      <c r="AO1073" s="2458">
        <f>IFERROR(AO1181/AO1023,0)</f>
        <v>0</v>
      </c>
      <c r="AP1073" s="2480">
        <f t="shared" ref="AP1073" si="2298">AO1073-AN1073</f>
        <v>0</v>
      </c>
      <c r="AQ1073" s="2458">
        <f>IFERROR(AQ1181/AQ1023,0)</f>
        <v>0</v>
      </c>
      <c r="AR1073" s="2458">
        <f>IFERROR(AR1181/AR1023,0)</f>
        <v>0</v>
      </c>
      <c r="AS1073" s="2480">
        <f t="shared" ref="AS1073" si="2299">AR1073-AQ1073</f>
        <v>0</v>
      </c>
      <c r="AT1073" s="2458">
        <f>IFERROR(AT1181/AT1023,0)</f>
        <v>0</v>
      </c>
      <c r="AU1073" s="2458">
        <f>IFERROR(AU1181/AU1023,0)</f>
        <v>0</v>
      </c>
      <c r="AV1073" s="2480">
        <f t="shared" ref="AV1073" si="2300">AU1073-AT1073</f>
        <v>0</v>
      </c>
      <c r="AW1073" s="2458">
        <f>IFERROR(AW1181/AW1023,0)</f>
        <v>0</v>
      </c>
      <c r="AX1073" s="2458">
        <f>IFERROR(AX1181/AX1023,0)</f>
        <v>0</v>
      </c>
      <c r="AY1073" s="2480">
        <f t="shared" ref="AY1073" si="2301">AX1073-AW1073</f>
        <v>0</v>
      </c>
      <c r="AZ1073" s="2458">
        <f>IFERROR(AZ1181/AZ1023,0)</f>
        <v>0</v>
      </c>
      <c r="BA1073" s="2458">
        <f>IFERROR(BA1181/BA1023,0)</f>
        <v>0</v>
      </c>
      <c r="BB1073" s="2480">
        <f t="shared" ref="BB1073" si="2302">BA1073-AZ1073</f>
        <v>0</v>
      </c>
      <c r="BC1073" s="2458">
        <f>IFERROR(BC1181/BC1023,0)</f>
        <v>0</v>
      </c>
      <c r="BD1073" s="2458">
        <f>IFERROR(BD1181/BD1023,0)</f>
        <v>0</v>
      </c>
      <c r="BE1073" s="2480">
        <f t="shared" ref="BE1073" si="2303">BD1073-BC1073</f>
        <v>0</v>
      </c>
      <c r="BF1073" s="2458">
        <f>IFERROR(BF1181/BF1023,0)</f>
        <v>0</v>
      </c>
      <c r="BG1073" s="2458">
        <f>IFERROR(BG1181/BG1023,0)</f>
        <v>0</v>
      </c>
      <c r="BH1073" s="2480">
        <f t="shared" ref="BH1073" si="2304">BG1073-BF1073</f>
        <v>0</v>
      </c>
      <c r="BI1073" s="2458">
        <f>IFERROR(BI1181/BI1023,0)</f>
        <v>0</v>
      </c>
      <c r="BJ1073" s="2458">
        <f>IFERROR(BJ1181/BJ1023,0)</f>
        <v>0</v>
      </c>
      <c r="BK1073" s="2480">
        <f t="shared" ref="BK1073" si="2305">BJ1073-BI1073</f>
        <v>0</v>
      </c>
      <c r="BL1073" s="2458">
        <f>IFERROR(BL1181/BL1023,0)</f>
        <v>0</v>
      </c>
      <c r="BM1073" s="2458">
        <f>IFERROR(BM1181/BM1023,0)</f>
        <v>0</v>
      </c>
      <c r="BN1073" s="2480">
        <f t="shared" ref="BN1073" si="2306">BM1073-BL1073</f>
        <v>0</v>
      </c>
      <c r="BO1073" s="2458">
        <f>IFERROR(BO1181/BO1023,0)</f>
        <v>0</v>
      </c>
      <c r="BP1073" s="2458">
        <f>IFERROR(BP1181/BP1023,0)</f>
        <v>0</v>
      </c>
      <c r="BQ1073" s="2480">
        <f t="shared" ref="BQ1073" si="2307">BP1073-BO1073</f>
        <v>0</v>
      </c>
    </row>
    <row r="1074" spans="3:69" s="2159" customFormat="1" ht="12" hidden="1" customHeight="1">
      <c r="C1074" s="2423" t="s">
        <v>3272</v>
      </c>
      <c r="D1074" s="2287" t="s">
        <v>2434</v>
      </c>
      <c r="E1074" s="2250" t="s">
        <v>3220</v>
      </c>
      <c r="F1074" s="2176"/>
      <c r="G1074" s="2339">
        <f>IFERROR(G1182/G1024,0)</f>
        <v>0</v>
      </c>
      <c r="H1074" s="2339">
        <f>IFERROR(H1182/H1024,0)</f>
        <v>0</v>
      </c>
      <c r="I1074" s="2337">
        <f>H1074-G1074</f>
        <v>0</v>
      </c>
      <c r="J1074" s="2338"/>
      <c r="K1074" s="2339">
        <f>IFERROR(K1182/K1024,0)</f>
        <v>0</v>
      </c>
      <c r="L1074" s="2339">
        <f>IFERROR(L1182/L1024,0)</f>
        <v>0</v>
      </c>
      <c r="M1074" s="2337">
        <f>L1074-K1074</f>
        <v>0</v>
      </c>
      <c r="N1074" s="2339">
        <f>IFERROR(N1182/N1024,0)</f>
        <v>0</v>
      </c>
      <c r="O1074" s="2339">
        <f>IFERROR(O1182/O1024,0)</f>
        <v>0</v>
      </c>
      <c r="P1074" s="2337">
        <f>O1074-N1074</f>
        <v>0</v>
      </c>
      <c r="Q1074" s="2339">
        <f>IFERROR(Q1182/Q1024,0)</f>
        <v>0</v>
      </c>
      <c r="R1074" s="2339">
        <f>IFERROR(R1182/R1024,0)</f>
        <v>0</v>
      </c>
      <c r="S1074" s="2337">
        <f>R1074-Q1074</f>
        <v>0</v>
      </c>
      <c r="T1074" s="2339">
        <f>IFERROR(T1182/T1024,0)</f>
        <v>0</v>
      </c>
      <c r="U1074" s="2339">
        <f>IFERROR(U1182/U1024,0)</f>
        <v>0</v>
      </c>
      <c r="V1074" s="2337">
        <f>U1074-T1074</f>
        <v>0</v>
      </c>
      <c r="W1074" s="2339">
        <f>IFERROR(W1182/W1024,0)</f>
        <v>0</v>
      </c>
      <c r="X1074" s="2339">
        <f>IFERROR(X1182/X1024,0)</f>
        <v>0</v>
      </c>
      <c r="Y1074" s="2337">
        <f>X1074-W1074</f>
        <v>0</v>
      </c>
      <c r="Z1074" s="2339">
        <f>IFERROR(Z1182/Z1024,0)</f>
        <v>0</v>
      </c>
      <c r="AA1074" s="2339">
        <f>IFERROR(AA1182/AA1024,0)</f>
        <v>0</v>
      </c>
      <c r="AB1074" s="2337">
        <f>AA1074-Z1074</f>
        <v>0</v>
      </c>
      <c r="AC1074" s="2339">
        <f>IFERROR(AC1182/AC1024,0)</f>
        <v>0</v>
      </c>
      <c r="AD1074" s="2339">
        <f>IFERROR(AD1182/AD1024,0)</f>
        <v>0</v>
      </c>
      <c r="AE1074" s="2337">
        <f>AD1074-AC1074</f>
        <v>0</v>
      </c>
      <c r="AF1074" s="2204"/>
      <c r="AG1074" s="2158"/>
      <c r="AH1074" s="2345">
        <f>IFERROR(AH1182/AH1024,0)</f>
        <v>0</v>
      </c>
      <c r="AI1074" s="2345">
        <f>IFERROR(AI1182/AI1024,0)</f>
        <v>0</v>
      </c>
      <c r="AJ1074" s="2346">
        <f>AI1074-AH1074</f>
        <v>0</v>
      </c>
      <c r="AK1074" s="2345">
        <f>IFERROR(AK1182/AK1024,0)</f>
        <v>0</v>
      </c>
      <c r="AL1074" s="2345">
        <f>IFERROR(AL1182/AL1024,0)</f>
        <v>0</v>
      </c>
      <c r="AM1074" s="2346">
        <f>AL1074-AK1074</f>
        <v>0</v>
      </c>
      <c r="AN1074" s="2345">
        <f>IFERROR(AN1182/AN1024,0)</f>
        <v>0</v>
      </c>
      <c r="AO1074" s="2345">
        <f>IFERROR(AO1182/AO1024,0)</f>
        <v>0</v>
      </c>
      <c r="AP1074" s="2346">
        <f>AO1074-AN1074</f>
        <v>0</v>
      </c>
      <c r="AQ1074" s="2345">
        <f>IFERROR(AQ1182/AQ1024,0)</f>
        <v>0</v>
      </c>
      <c r="AR1074" s="2345">
        <f>IFERROR(AR1182/AR1024,0)</f>
        <v>0</v>
      </c>
      <c r="AS1074" s="2346">
        <f>AR1074-AQ1074</f>
        <v>0</v>
      </c>
      <c r="AT1074" s="2345">
        <f>IFERROR(AT1182/AT1024,0)</f>
        <v>0</v>
      </c>
      <c r="AU1074" s="2345">
        <f>IFERROR(AU1182/AU1024,0)</f>
        <v>0</v>
      </c>
      <c r="AV1074" s="2346">
        <f>AU1074-AT1074</f>
        <v>0</v>
      </c>
      <c r="AW1074" s="2345">
        <f>IFERROR(AW1182/AW1024,0)</f>
        <v>0</v>
      </c>
      <c r="AX1074" s="2345">
        <f>IFERROR(AX1182/AX1024,0)</f>
        <v>0</v>
      </c>
      <c r="AY1074" s="2346">
        <f>AX1074-AW1074</f>
        <v>0</v>
      </c>
      <c r="AZ1074" s="2345">
        <f>IFERROR(AZ1182/AZ1024,0)</f>
        <v>0</v>
      </c>
      <c r="BA1074" s="2345">
        <f>IFERROR(BA1182/BA1024,0)</f>
        <v>0</v>
      </c>
      <c r="BB1074" s="2346">
        <f>BA1074-AZ1074</f>
        <v>0</v>
      </c>
      <c r="BC1074" s="2345">
        <f>IFERROR(BC1182/BC1024,0)</f>
        <v>0</v>
      </c>
      <c r="BD1074" s="2345">
        <f>IFERROR(BD1182/BD1024,0)</f>
        <v>0</v>
      </c>
      <c r="BE1074" s="2346">
        <f>BD1074-BC1074</f>
        <v>0</v>
      </c>
      <c r="BF1074" s="2345">
        <f>IFERROR(BF1182/BF1024,0)</f>
        <v>0</v>
      </c>
      <c r="BG1074" s="2345">
        <f>IFERROR(BG1182/BG1024,0)</f>
        <v>0</v>
      </c>
      <c r="BH1074" s="2346">
        <f>BG1074-BF1074</f>
        <v>0</v>
      </c>
      <c r="BI1074" s="2345">
        <f>IFERROR(BI1182/BI1024,0)</f>
        <v>0</v>
      </c>
      <c r="BJ1074" s="2345">
        <f>IFERROR(BJ1182/BJ1024,0)</f>
        <v>0</v>
      </c>
      <c r="BK1074" s="2346">
        <f>BJ1074-BI1074</f>
        <v>0</v>
      </c>
      <c r="BL1074" s="2345">
        <f>IFERROR(BL1182/BL1024,0)</f>
        <v>0</v>
      </c>
      <c r="BM1074" s="2345">
        <f>IFERROR(BM1182/BM1024,0)</f>
        <v>0</v>
      </c>
      <c r="BN1074" s="2346">
        <f>BM1074-BL1074</f>
        <v>0</v>
      </c>
      <c r="BO1074" s="2345">
        <f>IFERROR(BO1182/BO1024,0)</f>
        <v>0</v>
      </c>
      <c r="BP1074" s="2345">
        <f>IFERROR(BP1182/BP1024,0)</f>
        <v>0</v>
      </c>
      <c r="BQ1074" s="2346">
        <f>BP1074-BO1074</f>
        <v>0</v>
      </c>
    </row>
    <row r="1075" spans="3:69" s="2159" customFormat="1" ht="12" hidden="1" customHeight="1">
      <c r="C1075" s="2147" t="s">
        <v>3273</v>
      </c>
      <c r="D1075" s="2148" t="s">
        <v>1420</v>
      </c>
      <c r="E1075" s="2149"/>
      <c r="F1075" s="2150"/>
      <c r="G1075" s="2386"/>
      <c r="H1075" s="2386"/>
      <c r="I1075" s="2387"/>
      <c r="J1075" s="2385"/>
      <c r="K1075" s="2386"/>
      <c r="L1075" s="2386"/>
      <c r="M1075" s="2387"/>
      <c r="N1075" s="2386"/>
      <c r="O1075" s="2386"/>
      <c r="P1075" s="2387"/>
      <c r="Q1075" s="2385"/>
      <c r="R1075" s="2386"/>
      <c r="S1075" s="2388"/>
      <c r="T1075" s="2389"/>
      <c r="U1075" s="2386"/>
      <c r="V1075" s="2387"/>
      <c r="W1075" s="2385"/>
      <c r="X1075" s="2386"/>
      <c r="Y1075" s="2388"/>
      <c r="Z1075" s="2389"/>
      <c r="AA1075" s="2386"/>
      <c r="AB1075" s="2387"/>
      <c r="AC1075" s="2385"/>
      <c r="AD1075" s="2151"/>
      <c r="AE1075" s="2153"/>
      <c r="AF1075" s="2157"/>
      <c r="AG1075" s="2158"/>
      <c r="AH1075" s="2386"/>
      <c r="AI1075" s="2386"/>
      <c r="AJ1075" s="2387"/>
      <c r="AK1075" s="2386"/>
      <c r="AL1075" s="2386"/>
      <c r="AM1075" s="2387"/>
      <c r="AN1075" s="2386"/>
      <c r="AO1075" s="2386"/>
      <c r="AP1075" s="2387"/>
      <c r="AQ1075" s="2386"/>
      <c r="AR1075" s="2386"/>
      <c r="AS1075" s="2387"/>
      <c r="AT1075" s="2386"/>
      <c r="AU1075" s="2386"/>
      <c r="AV1075" s="2387"/>
      <c r="AW1075" s="2386"/>
      <c r="AX1075" s="2386"/>
      <c r="AY1075" s="2387"/>
      <c r="AZ1075" s="2386"/>
      <c r="BA1075" s="2386"/>
      <c r="BB1075" s="2387"/>
      <c r="BC1075" s="2386"/>
      <c r="BD1075" s="2386"/>
      <c r="BE1075" s="2387"/>
      <c r="BF1075" s="2386"/>
      <c r="BG1075" s="2386"/>
      <c r="BH1075" s="2387"/>
      <c r="BI1075" s="2386"/>
      <c r="BJ1075" s="2386"/>
      <c r="BK1075" s="2387"/>
      <c r="BL1075" s="2386"/>
      <c r="BM1075" s="2386"/>
      <c r="BN1075" s="2387"/>
      <c r="BO1075" s="2386"/>
      <c r="BP1075" s="2386"/>
      <c r="BQ1075" s="2387"/>
    </row>
    <row r="1076" spans="3:69" s="2159" customFormat="1" ht="12" hidden="1" customHeight="1">
      <c r="C1076" s="2293" t="s">
        <v>3274</v>
      </c>
      <c r="D1076" s="2485" t="s">
        <v>3275</v>
      </c>
      <c r="E1076" s="2120" t="s">
        <v>1833</v>
      </c>
      <c r="F1076" s="2162"/>
      <c r="G1076" s="2163">
        <f>G1083+G1132+G1181</f>
        <v>0</v>
      </c>
      <c r="H1076" s="2163">
        <f>H1083+H1132+H1181</f>
        <v>0</v>
      </c>
      <c r="I1076" s="2164">
        <f t="shared" ref="I1076:I1139" si="2308">H1076-G1076</f>
        <v>0</v>
      </c>
      <c r="J1076" s="2162"/>
      <c r="K1076" s="2163">
        <f>N1076+Q1076+W1076+AC1076</f>
        <v>0</v>
      </c>
      <c r="L1076" s="2163">
        <f>O1076+R1076+X1076+AD1076</f>
        <v>0</v>
      </c>
      <c r="M1076" s="2164">
        <f t="shared" ref="M1076:M1139" si="2309">L1076-K1076</f>
        <v>0</v>
      </c>
      <c r="N1076" s="2163">
        <f>N1083+N1132+N1181</f>
        <v>0</v>
      </c>
      <c r="O1076" s="2163">
        <f>O1083+O1132+O1181</f>
        <v>0</v>
      </c>
      <c r="P1076" s="2164">
        <f t="shared" ref="P1076:P1139" si="2310">O1076-N1076</f>
        <v>0</v>
      </c>
      <c r="Q1076" s="2163">
        <f>Q1083+Q1132+Q1181</f>
        <v>0</v>
      </c>
      <c r="R1076" s="2163">
        <f>R1083+R1132+R1181</f>
        <v>0</v>
      </c>
      <c r="S1076" s="2164">
        <f t="shared" ref="S1076:S1139" si="2311">R1076-Q1076</f>
        <v>0</v>
      </c>
      <c r="T1076" s="2167">
        <f t="shared" ref="T1076:U1091" si="2312">N1076+Q1076</f>
        <v>0</v>
      </c>
      <c r="U1076" s="2163">
        <f t="shared" si="2312"/>
        <v>0</v>
      </c>
      <c r="V1076" s="2164">
        <f t="shared" ref="V1076:V1139" si="2313">U1076-T1076</f>
        <v>0</v>
      </c>
      <c r="W1076" s="2163">
        <f>W1083+W1132+W1181</f>
        <v>0</v>
      </c>
      <c r="X1076" s="2163">
        <f>X1083+X1132+X1181</f>
        <v>0</v>
      </c>
      <c r="Y1076" s="2164">
        <f t="shared" ref="Y1076:Y1139" si="2314">X1076-W1076</f>
        <v>0</v>
      </c>
      <c r="Z1076" s="2167">
        <f t="shared" ref="Z1076:AA1091" si="2315">T1076+W1076</f>
        <v>0</v>
      </c>
      <c r="AA1076" s="2163">
        <f t="shared" si="2315"/>
        <v>0</v>
      </c>
      <c r="AB1076" s="2164">
        <f t="shared" ref="AB1076:AB1139" si="2316">AA1076-Z1076</f>
        <v>0</v>
      </c>
      <c r="AC1076" s="2163">
        <f>AC1083+AC1132+AC1181</f>
        <v>0</v>
      </c>
      <c r="AD1076" s="2163">
        <f>AD1083+AD1132+AD1181</f>
        <v>0</v>
      </c>
      <c r="AE1076" s="2164">
        <f t="shared" ref="AE1076:AE1139" si="2317">AD1076-AC1076</f>
        <v>0</v>
      </c>
      <c r="AF1076" s="2204"/>
      <c r="AG1076" s="2158"/>
      <c r="AH1076" s="2171">
        <f>AH1083+AH1132+AH1181</f>
        <v>0</v>
      </c>
      <c r="AI1076" s="2171">
        <f>AI1083+AI1132+AI1181</f>
        <v>0</v>
      </c>
      <c r="AJ1076" s="2172">
        <f t="shared" ref="AJ1076:AJ1139" si="2318">AI1076-AH1076</f>
        <v>0</v>
      </c>
      <c r="AK1076" s="2171">
        <f>AK1083+AK1132+AK1181</f>
        <v>0</v>
      </c>
      <c r="AL1076" s="2171">
        <f>AL1083+AL1132+AL1181</f>
        <v>0</v>
      </c>
      <c r="AM1076" s="2172">
        <f t="shared" ref="AM1076:AM1139" si="2319">AL1076-AK1076</f>
        <v>0</v>
      </c>
      <c r="AN1076" s="2171">
        <f>AN1083+AN1132+AN1181</f>
        <v>0</v>
      </c>
      <c r="AO1076" s="2171">
        <f>AO1083+AO1132+AO1181</f>
        <v>0</v>
      </c>
      <c r="AP1076" s="2172">
        <f t="shared" ref="AP1076:AP1139" si="2320">AO1076-AN1076</f>
        <v>0</v>
      </c>
      <c r="AQ1076" s="2171">
        <f>AQ1083+AQ1132+AQ1181</f>
        <v>0</v>
      </c>
      <c r="AR1076" s="2171">
        <f>AR1083+AR1132+AR1181</f>
        <v>0</v>
      </c>
      <c r="AS1076" s="2172">
        <f t="shared" ref="AS1076:AS1139" si="2321">AR1076-AQ1076</f>
        <v>0</v>
      </c>
      <c r="AT1076" s="2171">
        <f>AT1083+AT1132+AT1181</f>
        <v>0</v>
      </c>
      <c r="AU1076" s="2171">
        <f>AU1083+AU1132+AU1181</f>
        <v>0</v>
      </c>
      <c r="AV1076" s="2172">
        <f t="shared" ref="AV1076:AV1139" si="2322">AU1076-AT1076</f>
        <v>0</v>
      </c>
      <c r="AW1076" s="2171">
        <f>AW1083+AW1132+AW1181</f>
        <v>0</v>
      </c>
      <c r="AX1076" s="2171">
        <f>AX1083+AX1132+AX1181</f>
        <v>0</v>
      </c>
      <c r="AY1076" s="2172">
        <f t="shared" ref="AY1076:AY1139" si="2323">AX1076-AW1076</f>
        <v>0</v>
      </c>
      <c r="AZ1076" s="2171">
        <f>AZ1083+AZ1132+AZ1181</f>
        <v>0</v>
      </c>
      <c r="BA1076" s="2171">
        <f>BA1083+BA1132+BA1181</f>
        <v>0</v>
      </c>
      <c r="BB1076" s="2172">
        <f t="shared" ref="BB1076:BB1139" si="2324">BA1076-AZ1076</f>
        <v>0</v>
      </c>
      <c r="BC1076" s="2171">
        <f>BC1083+BC1132+BC1181</f>
        <v>0</v>
      </c>
      <c r="BD1076" s="2171">
        <f>BD1083+BD1132+BD1181</f>
        <v>0</v>
      </c>
      <c r="BE1076" s="2172">
        <f t="shared" ref="BE1076:BE1139" si="2325">BD1076-BC1076</f>
        <v>0</v>
      </c>
      <c r="BF1076" s="2171">
        <f>BF1083+BF1132+BF1181</f>
        <v>0</v>
      </c>
      <c r="BG1076" s="2171">
        <f>BG1083+BG1132+BG1181</f>
        <v>0</v>
      </c>
      <c r="BH1076" s="2172">
        <f t="shared" ref="BH1076:BH1139" si="2326">BG1076-BF1076</f>
        <v>0</v>
      </c>
      <c r="BI1076" s="2171">
        <f>BI1083+BI1132+BI1181</f>
        <v>0</v>
      </c>
      <c r="BJ1076" s="2171">
        <f>BJ1083+BJ1132+BJ1181</f>
        <v>0</v>
      </c>
      <c r="BK1076" s="2172">
        <f t="shared" ref="BK1076:BK1139" si="2327">BJ1076-BI1076</f>
        <v>0</v>
      </c>
      <c r="BL1076" s="2171">
        <f>BL1083+BL1132+BL1181</f>
        <v>0</v>
      </c>
      <c r="BM1076" s="2171">
        <f>BM1083+BM1132+BM1181</f>
        <v>0</v>
      </c>
      <c r="BN1076" s="2172">
        <f t="shared" ref="BN1076:BN1139" si="2328">BM1076-BL1076</f>
        <v>0</v>
      </c>
      <c r="BO1076" s="2171">
        <f>BO1083+BO1132+BO1181</f>
        <v>0</v>
      </c>
      <c r="BP1076" s="2171">
        <f>BP1083+BP1132+BP1181</f>
        <v>0</v>
      </c>
      <c r="BQ1076" s="2172">
        <f t="shared" ref="BQ1076:BQ1139" si="2329">BP1076-BO1076</f>
        <v>0</v>
      </c>
    </row>
    <row r="1077" spans="3:69" s="2087" customFormat="1" ht="12" hidden="1" customHeight="1">
      <c r="C1077" s="2194" t="s">
        <v>3276</v>
      </c>
      <c r="D1077" s="2418" t="s">
        <v>28</v>
      </c>
      <c r="E1077" s="2250" t="s">
        <v>1833</v>
      </c>
      <c r="F1077" s="2176"/>
      <c r="G1077" s="2179">
        <f t="shared" ref="G1077:H1080" si="2330">G1085+G1093+G1134+G1142</f>
        <v>0</v>
      </c>
      <c r="H1077" s="2179">
        <f t="shared" si="2330"/>
        <v>0</v>
      </c>
      <c r="I1077" s="2178">
        <f t="shared" si="2308"/>
        <v>0</v>
      </c>
      <c r="J1077" s="2176"/>
      <c r="K1077" s="2179">
        <f t="shared" ref="K1077:L1179" si="2331">N1077+Q1077+W1077+AC1077</f>
        <v>0</v>
      </c>
      <c r="L1077" s="2179">
        <f t="shared" si="2331"/>
        <v>0</v>
      </c>
      <c r="M1077" s="2178">
        <f t="shared" si="2309"/>
        <v>0</v>
      </c>
      <c r="N1077" s="2179">
        <f>N1085+N1093+N1134+N1142+N1100+N1149</f>
        <v>0</v>
      </c>
      <c r="O1077" s="2179">
        <f>O1085+O1093+O1134+O1142+O1100+O1149</f>
        <v>0</v>
      </c>
      <c r="P1077" s="2178">
        <f t="shared" si="2310"/>
        <v>0</v>
      </c>
      <c r="Q1077" s="2179">
        <f>Q1085+Q1093+Q1134+Q1142+Q1100+Q1149</f>
        <v>0</v>
      </c>
      <c r="R1077" s="2179">
        <f>R1085+R1093+R1134+R1142+R1100+R1149</f>
        <v>0</v>
      </c>
      <c r="S1077" s="2178">
        <f t="shared" si="2311"/>
        <v>0</v>
      </c>
      <c r="T1077" s="2181">
        <f t="shared" si="2312"/>
        <v>0</v>
      </c>
      <c r="U1077" s="2179">
        <f t="shared" si="2312"/>
        <v>0</v>
      </c>
      <c r="V1077" s="2178">
        <f t="shared" si="2313"/>
        <v>0</v>
      </c>
      <c r="W1077" s="2179">
        <f>W1085+W1093+W1134+W1142+W1100+W1149</f>
        <v>0</v>
      </c>
      <c r="X1077" s="2179">
        <f>X1085+X1093+X1134+X1142+X1100+X1149</f>
        <v>0</v>
      </c>
      <c r="Y1077" s="2178">
        <f t="shared" si="2314"/>
        <v>0</v>
      </c>
      <c r="Z1077" s="2181">
        <f t="shared" si="2315"/>
        <v>0</v>
      </c>
      <c r="AA1077" s="2179">
        <f t="shared" si="2315"/>
        <v>0</v>
      </c>
      <c r="AB1077" s="2178">
        <f t="shared" si="2316"/>
        <v>0</v>
      </c>
      <c r="AC1077" s="2179">
        <f>AC1085+AC1093+AC1134+AC1142+AC1100+AC1149</f>
        <v>0</v>
      </c>
      <c r="AD1077" s="2179">
        <f>AD1085+AD1093+AD1134+AD1142+AD1100+AD1149</f>
        <v>0</v>
      </c>
      <c r="AE1077" s="2178">
        <f t="shared" si="2317"/>
        <v>0</v>
      </c>
      <c r="AF1077" s="2204"/>
      <c r="AG1077" s="2114"/>
      <c r="AH1077" s="2188">
        <f>AH1085+AH1093+AH1134+AH1142+AH1100+AH1149</f>
        <v>0</v>
      </c>
      <c r="AI1077" s="2188">
        <f>AI1085+AI1093+AI1134+AI1142+AI1100+AI1149</f>
        <v>0</v>
      </c>
      <c r="AJ1077" s="2186">
        <f t="shared" si="2318"/>
        <v>0</v>
      </c>
      <c r="AK1077" s="2188">
        <f>AK1085+AK1093+AK1134+AK1142+AK1100+AK1149</f>
        <v>0</v>
      </c>
      <c r="AL1077" s="2188">
        <f>AL1085+AL1093+AL1134+AL1142+AL1100+AL1149</f>
        <v>0</v>
      </c>
      <c r="AM1077" s="2186">
        <f t="shared" si="2319"/>
        <v>0</v>
      </c>
      <c r="AN1077" s="2188">
        <f>AN1085+AN1093+AN1134+AN1142+AN1100+AN1149</f>
        <v>0</v>
      </c>
      <c r="AO1077" s="2188">
        <f>AO1085+AO1093+AO1134+AO1142+AO1100+AO1149</f>
        <v>0</v>
      </c>
      <c r="AP1077" s="2186">
        <f t="shared" si="2320"/>
        <v>0</v>
      </c>
      <c r="AQ1077" s="2188">
        <f>AQ1085+AQ1093+AQ1134+AQ1142+AQ1100+AQ1149</f>
        <v>0</v>
      </c>
      <c r="AR1077" s="2188">
        <f>AR1085+AR1093+AR1134+AR1142+AR1100+AR1149</f>
        <v>0</v>
      </c>
      <c r="AS1077" s="2186">
        <f t="shared" si="2321"/>
        <v>0</v>
      </c>
      <c r="AT1077" s="2188">
        <f>AT1085+AT1093+AT1134+AT1142+AT1100+AT1149</f>
        <v>0</v>
      </c>
      <c r="AU1077" s="2188">
        <f>AU1085+AU1093+AU1134+AU1142+AU1100+AU1149</f>
        <v>0</v>
      </c>
      <c r="AV1077" s="2186">
        <f t="shared" si="2322"/>
        <v>0</v>
      </c>
      <c r="AW1077" s="2188">
        <f>AW1085+AW1093+AW1134+AW1142+AW1100+AW1149</f>
        <v>0</v>
      </c>
      <c r="AX1077" s="2188">
        <f>AX1085+AX1093+AX1134+AX1142+AX1100+AX1149</f>
        <v>0</v>
      </c>
      <c r="AY1077" s="2186">
        <f t="shared" si="2323"/>
        <v>0</v>
      </c>
      <c r="AZ1077" s="2188">
        <f>AZ1085+AZ1093+AZ1134+AZ1142+AZ1100+AZ1149</f>
        <v>0</v>
      </c>
      <c r="BA1077" s="2188">
        <f>BA1085+BA1093+BA1134+BA1142+BA1100+BA1149</f>
        <v>0</v>
      </c>
      <c r="BB1077" s="2186">
        <f t="shared" si="2324"/>
        <v>0</v>
      </c>
      <c r="BC1077" s="2188">
        <f>BC1085+BC1093+BC1134+BC1142+BC1100+BC1149</f>
        <v>0</v>
      </c>
      <c r="BD1077" s="2188">
        <f>BD1085+BD1093+BD1134+BD1142+BD1100+BD1149</f>
        <v>0</v>
      </c>
      <c r="BE1077" s="2186">
        <f t="shared" si="2325"/>
        <v>0</v>
      </c>
      <c r="BF1077" s="2188">
        <f>BF1085+BF1093+BF1134+BF1142+BF1100+BF1149</f>
        <v>0</v>
      </c>
      <c r="BG1077" s="2188">
        <f>BG1085+BG1093+BG1134+BG1142+BG1100+BG1149</f>
        <v>0</v>
      </c>
      <c r="BH1077" s="2186">
        <f t="shared" si="2326"/>
        <v>0</v>
      </c>
      <c r="BI1077" s="2188">
        <f>BI1085+BI1093+BI1134+BI1142+BI1100+BI1149</f>
        <v>0</v>
      </c>
      <c r="BJ1077" s="2188">
        <f>BJ1085+BJ1093+BJ1134+BJ1142+BJ1100+BJ1149</f>
        <v>0</v>
      </c>
      <c r="BK1077" s="2186">
        <f t="shared" si="2327"/>
        <v>0</v>
      </c>
      <c r="BL1077" s="2188">
        <f>BL1085+BL1093+BL1134+BL1142+BL1100+BL1149</f>
        <v>0</v>
      </c>
      <c r="BM1077" s="2188">
        <f>BM1085+BM1093+BM1134+BM1142+BM1100+BM1149</f>
        <v>0</v>
      </c>
      <c r="BN1077" s="2186">
        <f t="shared" si="2328"/>
        <v>0</v>
      </c>
      <c r="BO1077" s="2188">
        <f>BO1085+BO1093+BO1134+BO1142+BO1100+BO1149</f>
        <v>0</v>
      </c>
      <c r="BP1077" s="2188">
        <f>BP1085+BP1093+BP1134+BP1142+BP1100+BP1149</f>
        <v>0</v>
      </c>
      <c r="BQ1077" s="2186">
        <f t="shared" si="2329"/>
        <v>0</v>
      </c>
    </row>
    <row r="1078" spans="3:69" s="2087" customFormat="1" ht="12" hidden="1" customHeight="1">
      <c r="C1078" s="2194" t="s">
        <v>3276</v>
      </c>
      <c r="D1078" s="2421" t="s">
        <v>2434</v>
      </c>
      <c r="E1078" s="2250" t="s">
        <v>1833</v>
      </c>
      <c r="F1078" s="2176"/>
      <c r="G1078" s="2179">
        <f t="shared" si="2330"/>
        <v>0</v>
      </c>
      <c r="H1078" s="2179">
        <f t="shared" si="2330"/>
        <v>0</v>
      </c>
      <c r="I1078" s="2178">
        <f t="shared" si="2308"/>
        <v>0</v>
      </c>
      <c r="J1078" s="2176"/>
      <c r="K1078" s="2179">
        <f>N1078+Q1078+W1078+AC1078</f>
        <v>0</v>
      </c>
      <c r="L1078" s="2179">
        <f>O1078+R1078+X1078+AD1078</f>
        <v>0</v>
      </c>
      <c r="M1078" s="2178">
        <f t="shared" si="2309"/>
        <v>0</v>
      </c>
      <c r="N1078" s="2179">
        <f>N1086+N1094+N1135+N1143</f>
        <v>0</v>
      </c>
      <c r="O1078" s="2179">
        <f>O1086+O1094+O1135+O1143</f>
        <v>0</v>
      </c>
      <c r="P1078" s="2178">
        <f t="shared" si="2310"/>
        <v>0</v>
      </c>
      <c r="Q1078" s="2179">
        <f>Q1086+Q1094+Q1135+Q1143</f>
        <v>0</v>
      </c>
      <c r="R1078" s="2179">
        <f>R1086+R1094+R1135+R1143</f>
        <v>0</v>
      </c>
      <c r="S1078" s="2178">
        <f t="shared" si="2311"/>
        <v>0</v>
      </c>
      <c r="T1078" s="2181">
        <f>N1078+Q1078</f>
        <v>0</v>
      </c>
      <c r="U1078" s="2179">
        <f>O1078+R1078</f>
        <v>0</v>
      </c>
      <c r="V1078" s="2178">
        <f t="shared" si="2313"/>
        <v>0</v>
      </c>
      <c r="W1078" s="2179">
        <f>W1086+W1094+W1135+W1143</f>
        <v>0</v>
      </c>
      <c r="X1078" s="2179">
        <f>X1086+X1094+X1135+X1143</f>
        <v>0</v>
      </c>
      <c r="Y1078" s="2178">
        <f t="shared" si="2314"/>
        <v>0</v>
      </c>
      <c r="Z1078" s="2181">
        <f>T1078+W1078</f>
        <v>0</v>
      </c>
      <c r="AA1078" s="2179">
        <f>U1078+X1078</f>
        <v>0</v>
      </c>
      <c r="AB1078" s="2178">
        <f t="shared" si="2316"/>
        <v>0</v>
      </c>
      <c r="AC1078" s="2179">
        <f>AC1086+AC1094+AC1135+AC1143</f>
        <v>0</v>
      </c>
      <c r="AD1078" s="2179">
        <f>AD1086+AD1094+AD1135+AD1143</f>
        <v>0</v>
      </c>
      <c r="AE1078" s="2178">
        <f t="shared" si="2317"/>
        <v>0</v>
      </c>
      <c r="AF1078" s="2204"/>
      <c r="AG1078" s="2114"/>
      <c r="AH1078" s="2188">
        <f>AH1086+AH1094+AH1135+AH1143</f>
        <v>0</v>
      </c>
      <c r="AI1078" s="2188">
        <f>AI1086+AI1094+AI1135+AI1143</f>
        <v>0</v>
      </c>
      <c r="AJ1078" s="2186">
        <f t="shared" si="2318"/>
        <v>0</v>
      </c>
      <c r="AK1078" s="2188">
        <f>AK1086+AK1094+AK1135+AK1143</f>
        <v>0</v>
      </c>
      <c r="AL1078" s="2188">
        <f>AL1086+AL1094+AL1135+AL1143</f>
        <v>0</v>
      </c>
      <c r="AM1078" s="2186">
        <f t="shared" si="2319"/>
        <v>0</v>
      </c>
      <c r="AN1078" s="2188">
        <f>AN1086+AN1094+AN1135+AN1143</f>
        <v>0</v>
      </c>
      <c r="AO1078" s="2188">
        <f>AO1086+AO1094+AO1135+AO1143</f>
        <v>0</v>
      </c>
      <c r="AP1078" s="2186">
        <f t="shared" si="2320"/>
        <v>0</v>
      </c>
      <c r="AQ1078" s="2188">
        <f>AQ1086+AQ1094+AQ1135+AQ1143</f>
        <v>0</v>
      </c>
      <c r="AR1078" s="2188">
        <f>AR1086+AR1094+AR1135+AR1143</f>
        <v>0</v>
      </c>
      <c r="AS1078" s="2186">
        <f t="shared" si="2321"/>
        <v>0</v>
      </c>
      <c r="AT1078" s="2188">
        <f>AT1086+AT1094+AT1135+AT1143</f>
        <v>0</v>
      </c>
      <c r="AU1078" s="2188">
        <f>AU1086+AU1094+AU1135+AU1143</f>
        <v>0</v>
      </c>
      <c r="AV1078" s="2186">
        <f t="shared" si="2322"/>
        <v>0</v>
      </c>
      <c r="AW1078" s="2188">
        <f>AW1086+AW1094+AW1135+AW1143</f>
        <v>0</v>
      </c>
      <c r="AX1078" s="2188">
        <f>AX1086+AX1094+AX1135+AX1143</f>
        <v>0</v>
      </c>
      <c r="AY1078" s="2186">
        <f t="shared" si="2323"/>
        <v>0</v>
      </c>
      <c r="AZ1078" s="2188">
        <f>AZ1086+AZ1094+AZ1135+AZ1143</f>
        <v>0</v>
      </c>
      <c r="BA1078" s="2188">
        <f>BA1086+BA1094+BA1135+BA1143</f>
        <v>0</v>
      </c>
      <c r="BB1078" s="2186">
        <f t="shared" si="2324"/>
        <v>0</v>
      </c>
      <c r="BC1078" s="2188">
        <f>BC1086+BC1094+BC1135+BC1143</f>
        <v>0</v>
      </c>
      <c r="BD1078" s="2188">
        <f>BD1086+BD1094+BD1135+BD1143</f>
        <v>0</v>
      </c>
      <c r="BE1078" s="2186">
        <f t="shared" si="2325"/>
        <v>0</v>
      </c>
      <c r="BF1078" s="2188">
        <f>BF1086+BF1094+BF1135+BF1143</f>
        <v>0</v>
      </c>
      <c r="BG1078" s="2188">
        <f>BG1086+BG1094+BG1135+BG1143</f>
        <v>0</v>
      </c>
      <c r="BH1078" s="2186">
        <f t="shared" si="2326"/>
        <v>0</v>
      </c>
      <c r="BI1078" s="2188">
        <f>BI1086+BI1094+BI1135+BI1143</f>
        <v>0</v>
      </c>
      <c r="BJ1078" s="2188">
        <f>BJ1086+BJ1094+BJ1135+BJ1143</f>
        <v>0</v>
      </c>
      <c r="BK1078" s="2186">
        <f t="shared" si="2327"/>
        <v>0</v>
      </c>
      <c r="BL1078" s="2188">
        <f>BL1086+BL1094+BL1135+BL1143</f>
        <v>0</v>
      </c>
      <c r="BM1078" s="2188">
        <f>BM1086+BM1094+BM1135+BM1143</f>
        <v>0</v>
      </c>
      <c r="BN1078" s="2186">
        <f t="shared" si="2328"/>
        <v>0</v>
      </c>
      <c r="BO1078" s="2188">
        <f>BO1086+BO1094+BO1135+BO1143</f>
        <v>0</v>
      </c>
      <c r="BP1078" s="2188">
        <f>BP1086+BP1094+BP1135+BP1143</f>
        <v>0</v>
      </c>
      <c r="BQ1078" s="2186">
        <f t="shared" si="2329"/>
        <v>0</v>
      </c>
    </row>
    <row r="1079" spans="3:69" s="2087" customFormat="1" ht="12" hidden="1" customHeight="1">
      <c r="C1079" s="2194" t="s">
        <v>3277</v>
      </c>
      <c r="D1079" s="2418" t="s">
        <v>2872</v>
      </c>
      <c r="E1079" s="2250" t="s">
        <v>1833</v>
      </c>
      <c r="F1079" s="2176"/>
      <c r="G1079" s="2179">
        <f>G1087+G1095+G1136+G1144</f>
        <v>0</v>
      </c>
      <c r="H1079" s="2179">
        <f t="shared" si="2330"/>
        <v>0</v>
      </c>
      <c r="I1079" s="2178">
        <f t="shared" si="2308"/>
        <v>0</v>
      </c>
      <c r="J1079" s="2176"/>
      <c r="K1079" s="2179">
        <f t="shared" si="2331"/>
        <v>0</v>
      </c>
      <c r="L1079" s="2179">
        <f t="shared" si="2331"/>
        <v>0</v>
      </c>
      <c r="M1079" s="2178">
        <f t="shared" si="2309"/>
        <v>0</v>
      </c>
      <c r="N1079" s="2179">
        <f>N1087+N1095+N1136+N1144+N1102+N1151</f>
        <v>0</v>
      </c>
      <c r="O1079" s="2179">
        <f>O1087+O1095+O1136+O1144+O1102+O1151</f>
        <v>0</v>
      </c>
      <c r="P1079" s="2178">
        <f t="shared" si="2310"/>
        <v>0</v>
      </c>
      <c r="Q1079" s="2179">
        <f>Q1087+Q1095+Q1136+Q1144+Q1102+Q1151</f>
        <v>0</v>
      </c>
      <c r="R1079" s="2179">
        <f>R1087+R1095+R1136+R1144+R1102+R1151</f>
        <v>0</v>
      </c>
      <c r="S1079" s="2178">
        <f t="shared" si="2311"/>
        <v>0</v>
      </c>
      <c r="T1079" s="2181">
        <f t="shared" si="2312"/>
        <v>0</v>
      </c>
      <c r="U1079" s="2179">
        <f t="shared" si="2312"/>
        <v>0</v>
      </c>
      <c r="V1079" s="2178">
        <f t="shared" si="2313"/>
        <v>0</v>
      </c>
      <c r="W1079" s="2179">
        <f>W1087+W1095+W1136+W1144+W1102+W1151</f>
        <v>0</v>
      </c>
      <c r="X1079" s="2179">
        <f>X1087+X1095+X1136+X1144+X1102+X1151</f>
        <v>0</v>
      </c>
      <c r="Y1079" s="2178">
        <f t="shared" si="2314"/>
        <v>0</v>
      </c>
      <c r="Z1079" s="2181">
        <f t="shared" si="2315"/>
        <v>0</v>
      </c>
      <c r="AA1079" s="2179">
        <f t="shared" si="2315"/>
        <v>0</v>
      </c>
      <c r="AB1079" s="2178">
        <f t="shared" si="2316"/>
        <v>0</v>
      </c>
      <c r="AC1079" s="2179">
        <f>AC1087+AC1095+AC1136+AC1144+AC1102+AC1151</f>
        <v>0</v>
      </c>
      <c r="AD1079" s="2179">
        <f>AD1087+AD1095+AD1136+AD1144+AD1102+AD1151</f>
        <v>0</v>
      </c>
      <c r="AE1079" s="2178">
        <f t="shared" si="2317"/>
        <v>0</v>
      </c>
      <c r="AF1079" s="2204"/>
      <c r="AG1079" s="2114"/>
      <c r="AH1079" s="2188">
        <f>AH1087+AH1095+AH1136+AH1144+AH1102+AH1151</f>
        <v>0</v>
      </c>
      <c r="AI1079" s="2188">
        <f>AI1087+AI1095+AI1136+AI1144+AI1102+AI1151</f>
        <v>0</v>
      </c>
      <c r="AJ1079" s="2186">
        <f t="shared" si="2318"/>
        <v>0</v>
      </c>
      <c r="AK1079" s="2188">
        <f>AK1087+AK1095+AK1136+AK1144+AK1102+AK1151</f>
        <v>0</v>
      </c>
      <c r="AL1079" s="2188">
        <f>AL1087+AL1095+AL1136+AL1144+AL1102+AL1151</f>
        <v>0</v>
      </c>
      <c r="AM1079" s="2186">
        <f t="shared" si="2319"/>
        <v>0</v>
      </c>
      <c r="AN1079" s="2188">
        <f>AN1087+AN1095+AN1136+AN1144+AN1102+AN1151</f>
        <v>0</v>
      </c>
      <c r="AO1079" s="2188">
        <f>AO1087+AO1095+AO1136+AO1144+AO1102+AO1151</f>
        <v>0</v>
      </c>
      <c r="AP1079" s="2186">
        <f t="shared" si="2320"/>
        <v>0</v>
      </c>
      <c r="AQ1079" s="2188">
        <f>AQ1087+AQ1095+AQ1136+AQ1144+AQ1102+AQ1151</f>
        <v>0</v>
      </c>
      <c r="AR1079" s="2188">
        <f>AR1087+AR1095+AR1136+AR1144+AR1102+AR1151</f>
        <v>0</v>
      </c>
      <c r="AS1079" s="2186">
        <f t="shared" si="2321"/>
        <v>0</v>
      </c>
      <c r="AT1079" s="2188">
        <f>AT1087+AT1095+AT1136+AT1144+AT1102+AT1151</f>
        <v>0</v>
      </c>
      <c r="AU1079" s="2188">
        <f>AU1087+AU1095+AU1136+AU1144+AU1102+AU1151</f>
        <v>0</v>
      </c>
      <c r="AV1079" s="2186">
        <f t="shared" si="2322"/>
        <v>0</v>
      </c>
      <c r="AW1079" s="2188">
        <f>AW1087+AW1095+AW1136+AW1144+AW1102+AW1151</f>
        <v>0</v>
      </c>
      <c r="AX1079" s="2188">
        <f>AX1087+AX1095+AX1136+AX1144+AX1102+AX1151</f>
        <v>0</v>
      </c>
      <c r="AY1079" s="2186">
        <f t="shared" si="2323"/>
        <v>0</v>
      </c>
      <c r="AZ1079" s="2188">
        <f>AZ1087+AZ1095+AZ1136+AZ1144+AZ1102+AZ1151</f>
        <v>0</v>
      </c>
      <c r="BA1079" s="2188">
        <f>BA1087+BA1095+BA1136+BA1144+BA1102+BA1151</f>
        <v>0</v>
      </c>
      <c r="BB1079" s="2186">
        <f t="shared" si="2324"/>
        <v>0</v>
      </c>
      <c r="BC1079" s="2188">
        <f>BC1087+BC1095+BC1136+BC1144+BC1102+BC1151</f>
        <v>0</v>
      </c>
      <c r="BD1079" s="2188">
        <f>BD1087+BD1095+BD1136+BD1144+BD1102+BD1151</f>
        <v>0</v>
      </c>
      <c r="BE1079" s="2186">
        <f t="shared" si="2325"/>
        <v>0</v>
      </c>
      <c r="BF1079" s="2188">
        <f>BF1087+BF1095+BF1136+BF1144+BF1102+BF1151</f>
        <v>0</v>
      </c>
      <c r="BG1079" s="2188">
        <f>BG1087+BG1095+BG1136+BG1144+BG1102+BG1151</f>
        <v>0</v>
      </c>
      <c r="BH1079" s="2186">
        <f t="shared" si="2326"/>
        <v>0</v>
      </c>
      <c r="BI1079" s="2188">
        <f>BI1087+BI1095+BI1136+BI1144+BI1102+BI1151</f>
        <v>0</v>
      </c>
      <c r="BJ1079" s="2188">
        <f>BJ1087+BJ1095+BJ1136+BJ1144+BJ1102+BJ1151</f>
        <v>0</v>
      </c>
      <c r="BK1079" s="2186">
        <f t="shared" si="2327"/>
        <v>0</v>
      </c>
      <c r="BL1079" s="2188">
        <f>BL1087+BL1095+BL1136+BL1144+BL1102+BL1151</f>
        <v>0</v>
      </c>
      <c r="BM1079" s="2188">
        <f>BM1087+BM1095+BM1136+BM1144+BM1102+BM1151</f>
        <v>0</v>
      </c>
      <c r="BN1079" s="2186">
        <f t="shared" si="2328"/>
        <v>0</v>
      </c>
      <c r="BO1079" s="2188">
        <f>BO1087+BO1095+BO1136+BO1144+BO1102+BO1151</f>
        <v>0</v>
      </c>
      <c r="BP1079" s="2188">
        <f>BP1087+BP1095+BP1136+BP1144+BP1102+BP1151</f>
        <v>0</v>
      </c>
      <c r="BQ1079" s="2186">
        <f t="shared" si="2329"/>
        <v>0</v>
      </c>
    </row>
    <row r="1080" spans="3:69" s="2087" customFormat="1" ht="12" hidden="1" customHeight="1">
      <c r="C1080" s="2194" t="s">
        <v>3277</v>
      </c>
      <c r="D1080" s="2421" t="s">
        <v>2434</v>
      </c>
      <c r="E1080" s="2250" t="s">
        <v>1833</v>
      </c>
      <c r="F1080" s="2176"/>
      <c r="G1080" s="2179">
        <f t="shared" si="2330"/>
        <v>0</v>
      </c>
      <c r="H1080" s="2179">
        <f t="shared" si="2330"/>
        <v>0</v>
      </c>
      <c r="I1080" s="2178">
        <f t="shared" si="2308"/>
        <v>0</v>
      </c>
      <c r="J1080" s="2176"/>
      <c r="K1080" s="2179">
        <f>N1080+Q1080+W1080+AC1080</f>
        <v>0</v>
      </c>
      <c r="L1080" s="2179">
        <f>O1080+R1080+X1080+AD1080</f>
        <v>0</v>
      </c>
      <c r="M1080" s="2178">
        <f t="shared" si="2309"/>
        <v>0</v>
      </c>
      <c r="N1080" s="2179">
        <f>N1088+N1096+N1137+N1145</f>
        <v>0</v>
      </c>
      <c r="O1080" s="2179">
        <f>O1088+O1096+O1137+O1145</f>
        <v>0</v>
      </c>
      <c r="P1080" s="2178">
        <f t="shared" si="2310"/>
        <v>0</v>
      </c>
      <c r="Q1080" s="2179">
        <f>Q1088+Q1096+Q1137+Q1145</f>
        <v>0</v>
      </c>
      <c r="R1080" s="2179">
        <f>R1088+R1096+R1137+R1145</f>
        <v>0</v>
      </c>
      <c r="S1080" s="2178">
        <f t="shared" si="2311"/>
        <v>0</v>
      </c>
      <c r="T1080" s="2181">
        <f>N1080+Q1080</f>
        <v>0</v>
      </c>
      <c r="U1080" s="2179">
        <f>O1080+R1080</f>
        <v>0</v>
      </c>
      <c r="V1080" s="2178">
        <f t="shared" si="2313"/>
        <v>0</v>
      </c>
      <c r="W1080" s="2179">
        <f>W1088+W1096+W1137+W1145</f>
        <v>0</v>
      </c>
      <c r="X1080" s="2179">
        <f>X1088+X1096+X1137+X1145</f>
        <v>0</v>
      </c>
      <c r="Y1080" s="2178">
        <f t="shared" si="2314"/>
        <v>0</v>
      </c>
      <c r="Z1080" s="2181">
        <f>T1080+W1080</f>
        <v>0</v>
      </c>
      <c r="AA1080" s="2179">
        <f>U1080+X1080</f>
        <v>0</v>
      </c>
      <c r="AB1080" s="2178">
        <f t="shared" si="2316"/>
        <v>0</v>
      </c>
      <c r="AC1080" s="2179">
        <f>AC1088+AC1096+AC1137+AC1145</f>
        <v>0</v>
      </c>
      <c r="AD1080" s="2179">
        <f>AD1088+AD1096+AD1137+AD1145</f>
        <v>0</v>
      </c>
      <c r="AE1080" s="2178">
        <f t="shared" si="2317"/>
        <v>0</v>
      </c>
      <c r="AF1080" s="2204"/>
      <c r="AG1080" s="2114"/>
      <c r="AH1080" s="2188">
        <f>AH1088+AH1096+AH1137+AH1145</f>
        <v>0</v>
      </c>
      <c r="AI1080" s="2188">
        <f>AI1088+AI1096+AI1137+AI1145</f>
        <v>0</v>
      </c>
      <c r="AJ1080" s="2186">
        <f t="shared" si="2318"/>
        <v>0</v>
      </c>
      <c r="AK1080" s="2188">
        <f>AK1088+AK1096+AK1137+AK1145</f>
        <v>0</v>
      </c>
      <c r="AL1080" s="2188">
        <f>AL1088+AL1096+AL1137+AL1145</f>
        <v>0</v>
      </c>
      <c r="AM1080" s="2186">
        <f t="shared" si="2319"/>
        <v>0</v>
      </c>
      <c r="AN1080" s="2188">
        <f>AN1088+AN1096+AN1137+AN1145</f>
        <v>0</v>
      </c>
      <c r="AO1080" s="2188">
        <f>AO1088+AO1096+AO1137+AO1145</f>
        <v>0</v>
      </c>
      <c r="AP1080" s="2186">
        <f t="shared" si="2320"/>
        <v>0</v>
      </c>
      <c r="AQ1080" s="2188">
        <f>AQ1088+AQ1096+AQ1137+AQ1145</f>
        <v>0</v>
      </c>
      <c r="AR1080" s="2188">
        <f>AR1088+AR1096+AR1137+AR1145</f>
        <v>0</v>
      </c>
      <c r="AS1080" s="2186">
        <f t="shared" si="2321"/>
        <v>0</v>
      </c>
      <c r="AT1080" s="2188">
        <f>AT1088+AT1096+AT1137+AT1145</f>
        <v>0</v>
      </c>
      <c r="AU1080" s="2188">
        <f>AU1088+AU1096+AU1137+AU1145</f>
        <v>0</v>
      </c>
      <c r="AV1080" s="2186">
        <f t="shared" si="2322"/>
        <v>0</v>
      </c>
      <c r="AW1080" s="2188">
        <f>AW1088+AW1096+AW1137+AW1145</f>
        <v>0</v>
      </c>
      <c r="AX1080" s="2188">
        <f>AX1088+AX1096+AX1137+AX1145</f>
        <v>0</v>
      </c>
      <c r="AY1080" s="2186">
        <f t="shared" si="2323"/>
        <v>0</v>
      </c>
      <c r="AZ1080" s="2188">
        <f>AZ1088+AZ1096+AZ1137+AZ1145</f>
        <v>0</v>
      </c>
      <c r="BA1080" s="2188">
        <f>BA1088+BA1096+BA1137+BA1145</f>
        <v>0</v>
      </c>
      <c r="BB1080" s="2186">
        <f t="shared" si="2324"/>
        <v>0</v>
      </c>
      <c r="BC1080" s="2188">
        <f>BC1088+BC1096+BC1137+BC1145</f>
        <v>0</v>
      </c>
      <c r="BD1080" s="2188">
        <f>BD1088+BD1096+BD1137+BD1145</f>
        <v>0</v>
      </c>
      <c r="BE1080" s="2186">
        <f t="shared" si="2325"/>
        <v>0</v>
      </c>
      <c r="BF1080" s="2188">
        <f>BF1088+BF1096+BF1137+BF1145</f>
        <v>0</v>
      </c>
      <c r="BG1080" s="2188">
        <f>BG1088+BG1096+BG1137+BG1145</f>
        <v>0</v>
      </c>
      <c r="BH1080" s="2186">
        <f t="shared" si="2326"/>
        <v>0</v>
      </c>
      <c r="BI1080" s="2188">
        <f>BI1088+BI1096+BI1137+BI1145</f>
        <v>0</v>
      </c>
      <c r="BJ1080" s="2188">
        <f>BJ1088+BJ1096+BJ1137+BJ1145</f>
        <v>0</v>
      </c>
      <c r="BK1080" s="2186">
        <f t="shared" si="2327"/>
        <v>0</v>
      </c>
      <c r="BL1080" s="2188">
        <f>BL1088+BL1096+BL1137+BL1145</f>
        <v>0</v>
      </c>
      <c r="BM1080" s="2188">
        <f>BM1088+BM1096+BM1137+BM1145</f>
        <v>0</v>
      </c>
      <c r="BN1080" s="2186">
        <f t="shared" si="2328"/>
        <v>0</v>
      </c>
      <c r="BO1080" s="2188">
        <f>BO1088+BO1096+BO1137+BO1145</f>
        <v>0</v>
      </c>
      <c r="BP1080" s="2188">
        <f>BP1088+BP1096+BP1137+BP1145</f>
        <v>0</v>
      </c>
      <c r="BQ1080" s="2186">
        <f t="shared" si="2329"/>
        <v>0</v>
      </c>
    </row>
    <row r="1081" spans="3:69" s="2087" customFormat="1" ht="12" hidden="1" customHeight="1">
      <c r="C1081" s="2194" t="s">
        <v>3278</v>
      </c>
      <c r="D1081" s="2418" t="s">
        <v>42</v>
      </c>
      <c r="E1081" s="2250" t="s">
        <v>1833</v>
      </c>
      <c r="F1081" s="2176"/>
      <c r="G1081" s="2179">
        <f>G1089+G1097+G1138+G1146+G1181</f>
        <v>0</v>
      </c>
      <c r="H1081" s="2179">
        <f>H1089+H1097+H1138+H1146+H1181</f>
        <v>0</v>
      </c>
      <c r="I1081" s="2178">
        <f t="shared" si="2308"/>
        <v>0</v>
      </c>
      <c r="J1081" s="2176"/>
      <c r="K1081" s="2179">
        <f t="shared" si="2331"/>
        <v>0</v>
      </c>
      <c r="L1081" s="2179">
        <f t="shared" si="2331"/>
        <v>0</v>
      </c>
      <c r="M1081" s="2178">
        <f t="shared" si="2309"/>
        <v>0</v>
      </c>
      <c r="N1081" s="2179">
        <f>N1089+N1097+N1138+N1146+N1181</f>
        <v>0</v>
      </c>
      <c r="O1081" s="2179">
        <f>O1089+O1097+O1138+O1146+O1181</f>
        <v>0</v>
      </c>
      <c r="P1081" s="2178">
        <f t="shared" si="2310"/>
        <v>0</v>
      </c>
      <c r="Q1081" s="2179">
        <f>Q1089+Q1097+Q1138+Q1146+Q1181</f>
        <v>0</v>
      </c>
      <c r="R1081" s="2179">
        <f>R1089+R1097+R1138+R1146+R1181</f>
        <v>0</v>
      </c>
      <c r="S1081" s="2178">
        <f t="shared" si="2311"/>
        <v>0</v>
      </c>
      <c r="T1081" s="2181">
        <f t="shared" si="2312"/>
        <v>0</v>
      </c>
      <c r="U1081" s="2179">
        <f t="shared" si="2312"/>
        <v>0</v>
      </c>
      <c r="V1081" s="2178">
        <f t="shared" si="2313"/>
        <v>0</v>
      </c>
      <c r="W1081" s="2179">
        <f>W1089+W1097+W1138+W1146+W1181</f>
        <v>0</v>
      </c>
      <c r="X1081" s="2179">
        <f>X1089+X1097+X1138+X1146+X1181</f>
        <v>0</v>
      </c>
      <c r="Y1081" s="2178">
        <f t="shared" si="2314"/>
        <v>0</v>
      </c>
      <c r="Z1081" s="2181">
        <f t="shared" si="2315"/>
        <v>0</v>
      </c>
      <c r="AA1081" s="2179">
        <f t="shared" si="2315"/>
        <v>0</v>
      </c>
      <c r="AB1081" s="2178">
        <f t="shared" si="2316"/>
        <v>0</v>
      </c>
      <c r="AC1081" s="2179">
        <f>AC1089+AC1097+AC1138+AC1146+AC1181</f>
        <v>0</v>
      </c>
      <c r="AD1081" s="2179">
        <f>AD1089+AD1097+AD1138+AD1146+AD1181</f>
        <v>0</v>
      </c>
      <c r="AE1081" s="2178">
        <f t="shared" si="2317"/>
        <v>0</v>
      </c>
      <c r="AF1081" s="2204"/>
      <c r="AG1081" s="2114"/>
      <c r="AH1081" s="2188">
        <f>AH1089+AH1097+AH1138+AH1146+AH1181</f>
        <v>0</v>
      </c>
      <c r="AI1081" s="2188">
        <f>AI1089+AI1097+AI1138+AI1146+AI1181</f>
        <v>0</v>
      </c>
      <c r="AJ1081" s="2186">
        <f t="shared" si="2318"/>
        <v>0</v>
      </c>
      <c r="AK1081" s="2188">
        <f>AK1089+AK1097+AK1138+AK1146+AK1181</f>
        <v>0</v>
      </c>
      <c r="AL1081" s="2188">
        <f>AL1089+AL1097+AL1138+AL1146+AL1181</f>
        <v>0</v>
      </c>
      <c r="AM1081" s="2186">
        <f t="shared" si="2319"/>
        <v>0</v>
      </c>
      <c r="AN1081" s="2188">
        <f>AN1089+AN1097+AN1138+AN1146+AN1181</f>
        <v>0</v>
      </c>
      <c r="AO1081" s="2188">
        <f>AO1089+AO1097+AO1138+AO1146+AO1181</f>
        <v>0</v>
      </c>
      <c r="AP1081" s="2186">
        <f t="shared" si="2320"/>
        <v>0</v>
      </c>
      <c r="AQ1081" s="2188">
        <f>AQ1089+AQ1097+AQ1138+AQ1146+AQ1181</f>
        <v>0</v>
      </c>
      <c r="AR1081" s="2188">
        <f>AR1089+AR1097+AR1138+AR1146+AR1181</f>
        <v>0</v>
      </c>
      <c r="AS1081" s="2186">
        <f t="shared" si="2321"/>
        <v>0</v>
      </c>
      <c r="AT1081" s="2188">
        <f>AT1089+AT1097+AT1138+AT1146+AT1181</f>
        <v>0</v>
      </c>
      <c r="AU1081" s="2188">
        <f>AU1089+AU1097+AU1138+AU1146+AU1181</f>
        <v>0</v>
      </c>
      <c r="AV1081" s="2186">
        <f t="shared" si="2322"/>
        <v>0</v>
      </c>
      <c r="AW1081" s="2188">
        <f>AW1089+AW1097+AW1138+AW1146+AW1181</f>
        <v>0</v>
      </c>
      <c r="AX1081" s="2188">
        <f>AX1089+AX1097+AX1138+AX1146+AX1181</f>
        <v>0</v>
      </c>
      <c r="AY1081" s="2186">
        <f t="shared" si="2323"/>
        <v>0</v>
      </c>
      <c r="AZ1081" s="2188">
        <f>AZ1089+AZ1097+AZ1138+AZ1146+AZ1181</f>
        <v>0</v>
      </c>
      <c r="BA1081" s="2188">
        <f>BA1089+BA1097+BA1138+BA1146+BA1181</f>
        <v>0</v>
      </c>
      <c r="BB1081" s="2186">
        <f t="shared" si="2324"/>
        <v>0</v>
      </c>
      <c r="BC1081" s="2188">
        <f>BC1089+BC1097+BC1138+BC1146+BC1181</f>
        <v>0</v>
      </c>
      <c r="BD1081" s="2188">
        <f>BD1089+BD1097+BD1138+BD1146+BD1181</f>
        <v>0</v>
      </c>
      <c r="BE1081" s="2186">
        <f t="shared" si="2325"/>
        <v>0</v>
      </c>
      <c r="BF1081" s="2188">
        <f>BF1089+BF1097+BF1138+BF1146+BF1181</f>
        <v>0</v>
      </c>
      <c r="BG1081" s="2188">
        <f>BG1089+BG1097+BG1138+BG1146+BG1181</f>
        <v>0</v>
      </c>
      <c r="BH1081" s="2186">
        <f t="shared" si="2326"/>
        <v>0</v>
      </c>
      <c r="BI1081" s="2188">
        <f>BI1089+BI1097+BI1138+BI1146+BI1181</f>
        <v>0</v>
      </c>
      <c r="BJ1081" s="2188">
        <f>BJ1089+BJ1097+BJ1138+BJ1146+BJ1181</f>
        <v>0</v>
      </c>
      <c r="BK1081" s="2186">
        <f t="shared" si="2327"/>
        <v>0</v>
      </c>
      <c r="BL1081" s="2188">
        <f>BL1089+BL1097+BL1138+BL1146+BL1181</f>
        <v>0</v>
      </c>
      <c r="BM1081" s="2188">
        <f>BM1089+BM1097+BM1138+BM1146+BM1181</f>
        <v>0</v>
      </c>
      <c r="BN1081" s="2186">
        <f t="shared" si="2328"/>
        <v>0</v>
      </c>
      <c r="BO1081" s="2188">
        <f>BO1089+BO1097+BO1138+BO1146+BO1181</f>
        <v>0</v>
      </c>
      <c r="BP1081" s="2188">
        <f>BP1089+BP1097+BP1138+BP1146+BP1181</f>
        <v>0</v>
      </c>
      <c r="BQ1081" s="2186">
        <f t="shared" si="2329"/>
        <v>0</v>
      </c>
    </row>
    <row r="1082" spans="3:69" s="2087" customFormat="1" ht="12" hidden="1" customHeight="1">
      <c r="C1082" s="2194" t="s">
        <v>3278</v>
      </c>
      <c r="D1082" s="2421" t="s">
        <v>2434</v>
      </c>
      <c r="E1082" s="2250" t="s">
        <v>1833</v>
      </c>
      <c r="F1082" s="2176"/>
      <c r="G1082" s="2179">
        <f>G1090+G1098+G1139+G1147+G1182</f>
        <v>0</v>
      </c>
      <c r="H1082" s="2179">
        <f>H1090+H1098+H1139+H1147+H1182</f>
        <v>0</v>
      </c>
      <c r="I1082" s="2178">
        <f t="shared" si="2308"/>
        <v>0</v>
      </c>
      <c r="J1082" s="2176"/>
      <c r="K1082" s="2179">
        <f>N1082+Q1082+W1082+AC1082</f>
        <v>0</v>
      </c>
      <c r="L1082" s="2179">
        <f>O1082+R1082+X1082+AD1082</f>
        <v>0</v>
      </c>
      <c r="M1082" s="2178">
        <f t="shared" si="2309"/>
        <v>0</v>
      </c>
      <c r="N1082" s="2179">
        <f>N1090+N1098+N1139+N1147+N1182</f>
        <v>0</v>
      </c>
      <c r="O1082" s="2179">
        <f>O1090+O1098+O1139+O1147+O1182</f>
        <v>0</v>
      </c>
      <c r="P1082" s="2178">
        <f t="shared" si="2310"/>
        <v>0</v>
      </c>
      <c r="Q1082" s="2179">
        <f>Q1090+Q1098+Q1139+Q1147+Q1182</f>
        <v>0</v>
      </c>
      <c r="R1082" s="2179">
        <f>R1090+R1098+R1139+R1147+R1182</f>
        <v>0</v>
      </c>
      <c r="S1082" s="2178">
        <f t="shared" si="2311"/>
        <v>0</v>
      </c>
      <c r="T1082" s="2181">
        <f>N1082+Q1082</f>
        <v>0</v>
      </c>
      <c r="U1082" s="2179">
        <f>O1082+R1082</f>
        <v>0</v>
      </c>
      <c r="V1082" s="2178">
        <f t="shared" si="2313"/>
        <v>0</v>
      </c>
      <c r="W1082" s="2179">
        <f>W1090+W1098+W1139+W1147+W1182</f>
        <v>0</v>
      </c>
      <c r="X1082" s="2179">
        <f>X1090+X1098+X1139+X1147+X1182</f>
        <v>0</v>
      </c>
      <c r="Y1082" s="2178">
        <f t="shared" si="2314"/>
        <v>0</v>
      </c>
      <c r="Z1082" s="2181">
        <f>T1082+W1082</f>
        <v>0</v>
      </c>
      <c r="AA1082" s="2179">
        <f>U1082+X1082</f>
        <v>0</v>
      </c>
      <c r="AB1082" s="2178">
        <f t="shared" si="2316"/>
        <v>0</v>
      </c>
      <c r="AC1082" s="2179">
        <f>AC1090+AC1098+AC1139+AC1147+AC1182</f>
        <v>0</v>
      </c>
      <c r="AD1082" s="2179">
        <f>AD1090+AD1098+AD1139+AD1147+AD1182</f>
        <v>0</v>
      </c>
      <c r="AE1082" s="2178">
        <f t="shared" si="2317"/>
        <v>0</v>
      </c>
      <c r="AF1082" s="2204"/>
      <c r="AG1082" s="2114"/>
      <c r="AH1082" s="2188">
        <f>AH1090+AH1098+AH1139+AH1147+AH1182</f>
        <v>0</v>
      </c>
      <c r="AI1082" s="2188">
        <f>AI1090+AI1098+AI1139+AI1147+AI1182</f>
        <v>0</v>
      </c>
      <c r="AJ1082" s="2186">
        <f t="shared" si="2318"/>
        <v>0</v>
      </c>
      <c r="AK1082" s="2188">
        <f>AK1090+AK1098+AK1139+AK1147+AK1182</f>
        <v>0</v>
      </c>
      <c r="AL1082" s="2188">
        <f>AL1090+AL1098+AL1139+AL1147+AL1182</f>
        <v>0</v>
      </c>
      <c r="AM1082" s="2186">
        <f t="shared" si="2319"/>
        <v>0</v>
      </c>
      <c r="AN1082" s="2188">
        <f>AN1090+AN1098+AN1139+AN1147+AN1182</f>
        <v>0</v>
      </c>
      <c r="AO1082" s="2188">
        <f>AO1090+AO1098+AO1139+AO1147+AO1182</f>
        <v>0</v>
      </c>
      <c r="AP1082" s="2186">
        <f t="shared" si="2320"/>
        <v>0</v>
      </c>
      <c r="AQ1082" s="2188">
        <f>AQ1090+AQ1098+AQ1139+AQ1147+AQ1182</f>
        <v>0</v>
      </c>
      <c r="AR1082" s="2188">
        <f>AR1090+AR1098+AR1139+AR1147+AR1182</f>
        <v>0</v>
      </c>
      <c r="AS1082" s="2186">
        <f t="shared" si="2321"/>
        <v>0</v>
      </c>
      <c r="AT1082" s="2188">
        <f>AT1090+AT1098+AT1139+AT1147+AT1182</f>
        <v>0</v>
      </c>
      <c r="AU1082" s="2188">
        <f>AU1090+AU1098+AU1139+AU1147+AU1182</f>
        <v>0</v>
      </c>
      <c r="AV1082" s="2186">
        <f t="shared" si="2322"/>
        <v>0</v>
      </c>
      <c r="AW1082" s="2188">
        <f>AW1090+AW1098+AW1139+AW1147+AW1182</f>
        <v>0</v>
      </c>
      <c r="AX1082" s="2188">
        <f>AX1090+AX1098+AX1139+AX1147+AX1182</f>
        <v>0</v>
      </c>
      <c r="AY1082" s="2186">
        <f t="shared" si="2323"/>
        <v>0</v>
      </c>
      <c r="AZ1082" s="2188">
        <f>AZ1090+AZ1098+AZ1139+AZ1147+AZ1182</f>
        <v>0</v>
      </c>
      <c r="BA1082" s="2188">
        <f>BA1090+BA1098+BA1139+BA1147+BA1182</f>
        <v>0</v>
      </c>
      <c r="BB1082" s="2186">
        <f t="shared" si="2324"/>
        <v>0</v>
      </c>
      <c r="BC1082" s="2188">
        <f>BC1090+BC1098+BC1139+BC1147+BC1182</f>
        <v>0</v>
      </c>
      <c r="BD1082" s="2188">
        <f>BD1090+BD1098+BD1139+BD1147+BD1182</f>
        <v>0</v>
      </c>
      <c r="BE1082" s="2186">
        <f t="shared" si="2325"/>
        <v>0</v>
      </c>
      <c r="BF1082" s="2188">
        <f>BF1090+BF1098+BF1139+BF1147+BF1182</f>
        <v>0</v>
      </c>
      <c r="BG1082" s="2188">
        <f>BG1090+BG1098+BG1139+BG1147+BG1182</f>
        <v>0</v>
      </c>
      <c r="BH1082" s="2186">
        <f t="shared" si="2326"/>
        <v>0</v>
      </c>
      <c r="BI1082" s="2188">
        <f>BI1090+BI1098+BI1139+BI1147+BI1182</f>
        <v>0</v>
      </c>
      <c r="BJ1082" s="2188">
        <f>BJ1090+BJ1098+BJ1139+BJ1147+BJ1182</f>
        <v>0</v>
      </c>
      <c r="BK1082" s="2186">
        <f t="shared" si="2327"/>
        <v>0</v>
      </c>
      <c r="BL1082" s="2188">
        <f>BL1090+BL1098+BL1139+BL1147+BL1182</f>
        <v>0</v>
      </c>
      <c r="BM1082" s="2188">
        <f>BM1090+BM1098+BM1139+BM1147+BM1182</f>
        <v>0</v>
      </c>
      <c r="BN1082" s="2186">
        <f t="shared" si="2328"/>
        <v>0</v>
      </c>
      <c r="BO1082" s="2188">
        <f>BO1090+BO1098+BO1139+BO1147+BO1182</f>
        <v>0</v>
      </c>
      <c r="BP1082" s="2188">
        <f>BP1090+BP1098+BP1139+BP1147+BP1182</f>
        <v>0</v>
      </c>
      <c r="BQ1082" s="2186">
        <f t="shared" si="2329"/>
        <v>0</v>
      </c>
    </row>
    <row r="1083" spans="3:69" s="2159" customFormat="1" ht="12" hidden="1" customHeight="1">
      <c r="C1083" s="2474" t="s">
        <v>3279</v>
      </c>
      <c r="D1083" s="2477" t="s">
        <v>3131</v>
      </c>
      <c r="E1083" s="2120" t="s">
        <v>1833</v>
      </c>
      <c r="F1083" s="2162"/>
      <c r="G1083" s="2163">
        <f>G1084+G1091</f>
        <v>0</v>
      </c>
      <c r="H1083" s="2163">
        <f>H1084+H1091</f>
        <v>0</v>
      </c>
      <c r="I1083" s="2164">
        <f t="shared" si="2308"/>
        <v>0</v>
      </c>
      <c r="J1083" s="2162"/>
      <c r="K1083" s="2163">
        <f t="shared" si="2331"/>
        <v>0</v>
      </c>
      <c r="L1083" s="2163">
        <f t="shared" si="2331"/>
        <v>0</v>
      </c>
      <c r="M1083" s="2164">
        <f t="shared" si="2309"/>
        <v>0</v>
      </c>
      <c r="N1083" s="2163">
        <f>N1084+N1091</f>
        <v>0</v>
      </c>
      <c r="O1083" s="2163">
        <f>O1084+O1091</f>
        <v>0</v>
      </c>
      <c r="P1083" s="2164">
        <f t="shared" si="2310"/>
        <v>0</v>
      </c>
      <c r="Q1083" s="2165">
        <f>Q1084+Q1091</f>
        <v>0</v>
      </c>
      <c r="R1083" s="2163">
        <f>R1084+R1091</f>
        <v>0</v>
      </c>
      <c r="S1083" s="2164">
        <f t="shared" si="2311"/>
        <v>0</v>
      </c>
      <c r="T1083" s="2167">
        <f t="shared" si="2312"/>
        <v>0</v>
      </c>
      <c r="U1083" s="2163">
        <f t="shared" si="2312"/>
        <v>0</v>
      </c>
      <c r="V1083" s="2164">
        <f t="shared" si="2313"/>
        <v>0</v>
      </c>
      <c r="W1083" s="2165">
        <f>W1084+W1091</f>
        <v>0</v>
      </c>
      <c r="X1083" s="2163">
        <f>X1084+X1091</f>
        <v>0</v>
      </c>
      <c r="Y1083" s="2164">
        <f t="shared" si="2314"/>
        <v>0</v>
      </c>
      <c r="Z1083" s="2167">
        <f t="shared" si="2315"/>
        <v>0</v>
      </c>
      <c r="AA1083" s="2163">
        <f t="shared" si="2315"/>
        <v>0</v>
      </c>
      <c r="AB1083" s="2164">
        <f t="shared" si="2316"/>
        <v>0</v>
      </c>
      <c r="AC1083" s="2165">
        <f>AC1084+AC1091</f>
        <v>0</v>
      </c>
      <c r="AD1083" s="2163">
        <f>AD1084+AD1091</f>
        <v>0</v>
      </c>
      <c r="AE1083" s="2164">
        <f t="shared" si="2317"/>
        <v>0</v>
      </c>
      <c r="AF1083" s="2204"/>
      <c r="AG1083" s="2158"/>
      <c r="AH1083" s="2171">
        <f>AH1084+AH1091</f>
        <v>0</v>
      </c>
      <c r="AI1083" s="2171">
        <f>AI1084+AI1091</f>
        <v>0</v>
      </c>
      <c r="AJ1083" s="2172">
        <f t="shared" si="2318"/>
        <v>0</v>
      </c>
      <c r="AK1083" s="2171">
        <f>AK1084+AK1091</f>
        <v>0</v>
      </c>
      <c r="AL1083" s="2171">
        <f>AL1084+AL1091</f>
        <v>0</v>
      </c>
      <c r="AM1083" s="2172">
        <f t="shared" si="2319"/>
        <v>0</v>
      </c>
      <c r="AN1083" s="2171">
        <f>AN1084+AN1091</f>
        <v>0</v>
      </c>
      <c r="AO1083" s="2171">
        <f>AO1084+AO1091</f>
        <v>0</v>
      </c>
      <c r="AP1083" s="2172">
        <f t="shared" si="2320"/>
        <v>0</v>
      </c>
      <c r="AQ1083" s="2171">
        <f>AQ1084+AQ1091</f>
        <v>0</v>
      </c>
      <c r="AR1083" s="2171">
        <f>AR1084+AR1091</f>
        <v>0</v>
      </c>
      <c r="AS1083" s="2172">
        <f t="shared" si="2321"/>
        <v>0</v>
      </c>
      <c r="AT1083" s="2171">
        <f>AT1084+AT1091</f>
        <v>0</v>
      </c>
      <c r="AU1083" s="2171">
        <f>AU1084+AU1091</f>
        <v>0</v>
      </c>
      <c r="AV1083" s="2172">
        <f t="shared" si="2322"/>
        <v>0</v>
      </c>
      <c r="AW1083" s="2171">
        <f>AW1084+AW1091</f>
        <v>0</v>
      </c>
      <c r="AX1083" s="2171">
        <f>AX1084+AX1091</f>
        <v>0</v>
      </c>
      <c r="AY1083" s="2172">
        <f t="shared" si="2323"/>
        <v>0</v>
      </c>
      <c r="AZ1083" s="2171">
        <f>AZ1084+AZ1091</f>
        <v>0</v>
      </c>
      <c r="BA1083" s="2171">
        <f>BA1084+BA1091</f>
        <v>0</v>
      </c>
      <c r="BB1083" s="2172">
        <f t="shared" si="2324"/>
        <v>0</v>
      </c>
      <c r="BC1083" s="2171">
        <f>BC1084+BC1091</f>
        <v>0</v>
      </c>
      <c r="BD1083" s="2171">
        <f>BD1084+BD1091</f>
        <v>0</v>
      </c>
      <c r="BE1083" s="2172">
        <f t="shared" si="2325"/>
        <v>0</v>
      </c>
      <c r="BF1083" s="2171">
        <f>BF1084+BF1091</f>
        <v>0</v>
      </c>
      <c r="BG1083" s="2171">
        <f>BG1084+BG1091</f>
        <v>0</v>
      </c>
      <c r="BH1083" s="2172">
        <f t="shared" si="2326"/>
        <v>0</v>
      </c>
      <c r="BI1083" s="2171">
        <f>BI1084+BI1091</f>
        <v>0</v>
      </c>
      <c r="BJ1083" s="2171">
        <f>BJ1084+BJ1091</f>
        <v>0</v>
      </c>
      <c r="BK1083" s="2172">
        <f t="shared" si="2327"/>
        <v>0</v>
      </c>
      <c r="BL1083" s="2171">
        <f>BL1084+BL1091</f>
        <v>0</v>
      </c>
      <c r="BM1083" s="2171">
        <f>BM1084+BM1091</f>
        <v>0</v>
      </c>
      <c r="BN1083" s="2172">
        <f t="shared" si="2328"/>
        <v>0</v>
      </c>
      <c r="BO1083" s="2171">
        <f>BO1084+BO1091</f>
        <v>0</v>
      </c>
      <c r="BP1083" s="2171">
        <f>BP1084+BP1091</f>
        <v>0</v>
      </c>
      <c r="BQ1083" s="2172">
        <f t="shared" si="2329"/>
        <v>0</v>
      </c>
    </row>
    <row r="1084" spans="3:69" s="2159" customFormat="1" ht="12" hidden="1" customHeight="1">
      <c r="C1084" s="2474" t="s">
        <v>3280</v>
      </c>
      <c r="D1084" s="2476" t="s">
        <v>3281</v>
      </c>
      <c r="E1084" s="2120" t="s">
        <v>1833</v>
      </c>
      <c r="F1084" s="2162"/>
      <c r="G1084" s="2163">
        <f>G1085+G1087+G1089</f>
        <v>0</v>
      </c>
      <c r="H1084" s="2163">
        <f>H1085+H1087+H1089</f>
        <v>0</v>
      </c>
      <c r="I1084" s="2164">
        <f t="shared" si="2308"/>
        <v>0</v>
      </c>
      <c r="J1084" s="2162"/>
      <c r="K1084" s="2163">
        <f t="shared" si="2331"/>
        <v>0</v>
      </c>
      <c r="L1084" s="2163">
        <f t="shared" si="2331"/>
        <v>0</v>
      </c>
      <c r="M1084" s="2164">
        <f t="shared" si="2309"/>
        <v>0</v>
      </c>
      <c r="N1084" s="2163">
        <f>N1085+N1087+N1089</f>
        <v>0</v>
      </c>
      <c r="O1084" s="2163">
        <f>O1085+O1087+O1089</f>
        <v>0</v>
      </c>
      <c r="P1084" s="2164">
        <f t="shared" si="2310"/>
        <v>0</v>
      </c>
      <c r="Q1084" s="2163">
        <f>Q1085+Q1087+Q1089</f>
        <v>0</v>
      </c>
      <c r="R1084" s="2163">
        <f>R1085+R1087+R1089</f>
        <v>0</v>
      </c>
      <c r="S1084" s="2164">
        <f t="shared" si="2311"/>
        <v>0</v>
      </c>
      <c r="T1084" s="2167">
        <f t="shared" si="2312"/>
        <v>0</v>
      </c>
      <c r="U1084" s="2163">
        <f t="shared" si="2312"/>
        <v>0</v>
      </c>
      <c r="V1084" s="2164">
        <f t="shared" si="2313"/>
        <v>0</v>
      </c>
      <c r="W1084" s="2163">
        <f>W1085+W1087+W1089</f>
        <v>0</v>
      </c>
      <c r="X1084" s="2163">
        <f>X1085+X1087+X1089</f>
        <v>0</v>
      </c>
      <c r="Y1084" s="2164">
        <f t="shared" si="2314"/>
        <v>0</v>
      </c>
      <c r="Z1084" s="2167">
        <f t="shared" si="2315"/>
        <v>0</v>
      </c>
      <c r="AA1084" s="2163">
        <f t="shared" si="2315"/>
        <v>0</v>
      </c>
      <c r="AB1084" s="2164">
        <f t="shared" si="2316"/>
        <v>0</v>
      </c>
      <c r="AC1084" s="2163">
        <f>AC1085+AC1087+AC1089</f>
        <v>0</v>
      </c>
      <c r="AD1084" s="2163">
        <f>AD1085+AD1087+AD1089</f>
        <v>0</v>
      </c>
      <c r="AE1084" s="2164">
        <f t="shared" si="2317"/>
        <v>0</v>
      </c>
      <c r="AF1084" s="2204"/>
      <c r="AG1084" s="2158"/>
      <c r="AH1084" s="2171">
        <f>AH1085+AH1087+AH1089</f>
        <v>0</v>
      </c>
      <c r="AI1084" s="2171">
        <f>AI1085+AI1087+AI1089</f>
        <v>0</v>
      </c>
      <c r="AJ1084" s="2172">
        <f t="shared" si="2318"/>
        <v>0</v>
      </c>
      <c r="AK1084" s="2171">
        <f>AK1085+AK1087+AK1089</f>
        <v>0</v>
      </c>
      <c r="AL1084" s="2171">
        <f>AL1085+AL1087+AL1089</f>
        <v>0</v>
      </c>
      <c r="AM1084" s="2172">
        <f t="shared" si="2319"/>
        <v>0</v>
      </c>
      <c r="AN1084" s="2171">
        <f>AN1085+AN1087+AN1089</f>
        <v>0</v>
      </c>
      <c r="AO1084" s="2171">
        <f>AO1085+AO1087+AO1089</f>
        <v>0</v>
      </c>
      <c r="AP1084" s="2172">
        <f t="shared" si="2320"/>
        <v>0</v>
      </c>
      <c r="AQ1084" s="2171">
        <f>AQ1085+AQ1087+AQ1089</f>
        <v>0</v>
      </c>
      <c r="AR1084" s="2171">
        <f>AR1085+AR1087+AR1089</f>
        <v>0</v>
      </c>
      <c r="AS1084" s="2172">
        <f t="shared" si="2321"/>
        <v>0</v>
      </c>
      <c r="AT1084" s="2171">
        <f>AT1085+AT1087+AT1089</f>
        <v>0</v>
      </c>
      <c r="AU1084" s="2171">
        <f>AU1085+AU1087+AU1089</f>
        <v>0</v>
      </c>
      <c r="AV1084" s="2172">
        <f t="shared" si="2322"/>
        <v>0</v>
      </c>
      <c r="AW1084" s="2171">
        <f>AW1085+AW1087+AW1089</f>
        <v>0</v>
      </c>
      <c r="AX1084" s="2171">
        <f>AX1085+AX1087+AX1089</f>
        <v>0</v>
      </c>
      <c r="AY1084" s="2172">
        <f t="shared" si="2323"/>
        <v>0</v>
      </c>
      <c r="AZ1084" s="2171">
        <f>AZ1085+AZ1087+AZ1089</f>
        <v>0</v>
      </c>
      <c r="BA1084" s="2171">
        <f>BA1085+BA1087+BA1089</f>
        <v>0</v>
      </c>
      <c r="BB1084" s="2172">
        <f t="shared" si="2324"/>
        <v>0</v>
      </c>
      <c r="BC1084" s="2171">
        <f>BC1085+BC1087+BC1089</f>
        <v>0</v>
      </c>
      <c r="BD1084" s="2171">
        <f>BD1085+BD1087+BD1089</f>
        <v>0</v>
      </c>
      <c r="BE1084" s="2172">
        <f t="shared" si="2325"/>
        <v>0</v>
      </c>
      <c r="BF1084" s="2171">
        <f>BF1085+BF1087+BF1089</f>
        <v>0</v>
      </c>
      <c r="BG1084" s="2171">
        <f>BG1085+BG1087+BG1089</f>
        <v>0</v>
      </c>
      <c r="BH1084" s="2172">
        <f t="shared" si="2326"/>
        <v>0</v>
      </c>
      <c r="BI1084" s="2171">
        <f>BI1085+BI1087+BI1089</f>
        <v>0</v>
      </c>
      <c r="BJ1084" s="2171">
        <f>BJ1085+BJ1087+BJ1089</f>
        <v>0</v>
      </c>
      <c r="BK1084" s="2172">
        <f t="shared" si="2327"/>
        <v>0</v>
      </c>
      <c r="BL1084" s="2171">
        <f>BL1085+BL1087+BL1089</f>
        <v>0</v>
      </c>
      <c r="BM1084" s="2171">
        <f>BM1085+BM1087+BM1089</f>
        <v>0</v>
      </c>
      <c r="BN1084" s="2172">
        <f t="shared" si="2328"/>
        <v>0</v>
      </c>
      <c r="BO1084" s="2171">
        <f>BO1085+BO1087+BO1089</f>
        <v>0</v>
      </c>
      <c r="BP1084" s="2171">
        <f>BP1085+BP1087+BP1089</f>
        <v>0</v>
      </c>
      <c r="BQ1084" s="2172">
        <f t="shared" si="2329"/>
        <v>0</v>
      </c>
    </row>
    <row r="1085" spans="3:69" s="2087" customFormat="1" ht="12" hidden="1" customHeight="1">
      <c r="C1085" s="2194" t="s">
        <v>3282</v>
      </c>
      <c r="D1085" s="2334" t="s">
        <v>28</v>
      </c>
      <c r="E1085" s="2250" t="s">
        <v>1833</v>
      </c>
      <c r="F1085" s="2176"/>
      <c r="G1085" s="2177"/>
      <c r="H1085" s="2177"/>
      <c r="I1085" s="2178">
        <f t="shared" si="2308"/>
        <v>0</v>
      </c>
      <c r="J1085" s="2176"/>
      <c r="K1085" s="2179">
        <f t="shared" si="2331"/>
        <v>0</v>
      </c>
      <c r="L1085" s="2179">
        <f t="shared" si="2331"/>
        <v>0</v>
      </c>
      <c r="M1085" s="2178">
        <f t="shared" si="2309"/>
        <v>0</v>
      </c>
      <c r="N1085" s="2177"/>
      <c r="O1085" s="2177"/>
      <c r="P1085" s="2178">
        <f t="shared" si="2310"/>
        <v>0</v>
      </c>
      <c r="Q1085" s="2176"/>
      <c r="R1085" s="2177"/>
      <c r="S1085" s="2178">
        <f t="shared" si="2311"/>
        <v>0</v>
      </c>
      <c r="T1085" s="2181">
        <f t="shared" si="2312"/>
        <v>0</v>
      </c>
      <c r="U1085" s="2179">
        <f t="shared" si="2312"/>
        <v>0</v>
      </c>
      <c r="V1085" s="2178">
        <f t="shared" si="2313"/>
        <v>0</v>
      </c>
      <c r="W1085" s="2176"/>
      <c r="X1085" s="2177"/>
      <c r="Y1085" s="2178">
        <f t="shared" si="2314"/>
        <v>0</v>
      </c>
      <c r="Z1085" s="2181">
        <f t="shared" si="2315"/>
        <v>0</v>
      </c>
      <c r="AA1085" s="2179">
        <f t="shared" si="2315"/>
        <v>0</v>
      </c>
      <c r="AB1085" s="2178">
        <f t="shared" si="2316"/>
        <v>0</v>
      </c>
      <c r="AC1085" s="2176"/>
      <c r="AD1085" s="2177"/>
      <c r="AE1085" s="2178">
        <f t="shared" si="2317"/>
        <v>0</v>
      </c>
      <c r="AF1085" s="2204"/>
      <c r="AG1085" s="2114"/>
      <c r="AH1085" s="2177"/>
      <c r="AI1085" s="2177"/>
      <c r="AJ1085" s="2186">
        <f t="shared" si="2318"/>
        <v>0</v>
      </c>
      <c r="AK1085" s="2177"/>
      <c r="AL1085" s="2177"/>
      <c r="AM1085" s="2186">
        <f t="shared" si="2319"/>
        <v>0</v>
      </c>
      <c r="AN1085" s="2177"/>
      <c r="AO1085" s="2177"/>
      <c r="AP1085" s="2186">
        <f t="shared" si="2320"/>
        <v>0</v>
      </c>
      <c r="AQ1085" s="2177"/>
      <c r="AR1085" s="2177"/>
      <c r="AS1085" s="2186">
        <f t="shared" si="2321"/>
        <v>0</v>
      </c>
      <c r="AT1085" s="2177"/>
      <c r="AU1085" s="2177"/>
      <c r="AV1085" s="2186">
        <f t="shared" si="2322"/>
        <v>0</v>
      </c>
      <c r="AW1085" s="2177"/>
      <c r="AX1085" s="2177"/>
      <c r="AY1085" s="2186">
        <f t="shared" si="2323"/>
        <v>0</v>
      </c>
      <c r="AZ1085" s="2177"/>
      <c r="BA1085" s="2177"/>
      <c r="BB1085" s="2186">
        <f t="shared" si="2324"/>
        <v>0</v>
      </c>
      <c r="BC1085" s="2177"/>
      <c r="BD1085" s="2177"/>
      <c r="BE1085" s="2186">
        <f t="shared" si="2325"/>
        <v>0</v>
      </c>
      <c r="BF1085" s="2177"/>
      <c r="BG1085" s="2177"/>
      <c r="BH1085" s="2186">
        <f t="shared" si="2326"/>
        <v>0</v>
      </c>
      <c r="BI1085" s="2177"/>
      <c r="BJ1085" s="2177"/>
      <c r="BK1085" s="2186">
        <f t="shared" si="2327"/>
        <v>0</v>
      </c>
      <c r="BL1085" s="2177"/>
      <c r="BM1085" s="2177"/>
      <c r="BN1085" s="2186">
        <f t="shared" si="2328"/>
        <v>0</v>
      </c>
      <c r="BO1085" s="2177"/>
      <c r="BP1085" s="2177"/>
      <c r="BQ1085" s="2186">
        <f t="shared" si="2329"/>
        <v>0</v>
      </c>
    </row>
    <row r="1086" spans="3:69" s="2087" customFormat="1" ht="12" hidden="1" customHeight="1">
      <c r="C1086" s="2194" t="s">
        <v>3282</v>
      </c>
      <c r="D1086" s="2334" t="s">
        <v>2434</v>
      </c>
      <c r="E1086" s="2250" t="s">
        <v>1833</v>
      </c>
      <c r="F1086" s="2176"/>
      <c r="G1086" s="2177"/>
      <c r="H1086" s="2177"/>
      <c r="I1086" s="2178">
        <f t="shared" si="2308"/>
        <v>0</v>
      </c>
      <c r="J1086" s="2176"/>
      <c r="K1086" s="2179">
        <f>N1086+Q1086+W1086+AC1086</f>
        <v>0</v>
      </c>
      <c r="L1086" s="2179">
        <f>O1086+R1086+X1086+AD1086</f>
        <v>0</v>
      </c>
      <c r="M1086" s="2178">
        <f t="shared" si="2309"/>
        <v>0</v>
      </c>
      <c r="N1086" s="2177"/>
      <c r="O1086" s="2177"/>
      <c r="P1086" s="2178">
        <f t="shared" si="2310"/>
        <v>0</v>
      </c>
      <c r="Q1086" s="2176"/>
      <c r="R1086" s="2177"/>
      <c r="S1086" s="2178">
        <f t="shared" si="2311"/>
        <v>0</v>
      </c>
      <c r="T1086" s="2181">
        <f>N1086+Q1086</f>
        <v>0</v>
      </c>
      <c r="U1086" s="2179">
        <f>O1086+R1086</f>
        <v>0</v>
      </c>
      <c r="V1086" s="2178">
        <f t="shared" si="2313"/>
        <v>0</v>
      </c>
      <c r="W1086" s="2176"/>
      <c r="X1086" s="2177"/>
      <c r="Y1086" s="2178">
        <f t="shared" si="2314"/>
        <v>0</v>
      </c>
      <c r="Z1086" s="2181">
        <f>T1086+W1086</f>
        <v>0</v>
      </c>
      <c r="AA1086" s="2179">
        <f>U1086+X1086</f>
        <v>0</v>
      </c>
      <c r="AB1086" s="2178">
        <f t="shared" si="2316"/>
        <v>0</v>
      </c>
      <c r="AC1086" s="2176"/>
      <c r="AD1086" s="2177"/>
      <c r="AE1086" s="2178">
        <f t="shared" si="2317"/>
        <v>0</v>
      </c>
      <c r="AF1086" s="2204"/>
      <c r="AG1086" s="2114"/>
      <c r="AH1086" s="2177"/>
      <c r="AI1086" s="2177"/>
      <c r="AJ1086" s="2186">
        <f t="shared" si="2318"/>
        <v>0</v>
      </c>
      <c r="AK1086" s="2177"/>
      <c r="AL1086" s="2177"/>
      <c r="AM1086" s="2186">
        <f t="shared" si="2319"/>
        <v>0</v>
      </c>
      <c r="AN1086" s="2177"/>
      <c r="AO1086" s="2177"/>
      <c r="AP1086" s="2186">
        <f t="shared" si="2320"/>
        <v>0</v>
      </c>
      <c r="AQ1086" s="2177"/>
      <c r="AR1086" s="2177"/>
      <c r="AS1086" s="2186">
        <f t="shared" si="2321"/>
        <v>0</v>
      </c>
      <c r="AT1086" s="2177"/>
      <c r="AU1086" s="2177"/>
      <c r="AV1086" s="2186">
        <f t="shared" si="2322"/>
        <v>0</v>
      </c>
      <c r="AW1086" s="2177"/>
      <c r="AX1086" s="2177"/>
      <c r="AY1086" s="2186">
        <f t="shared" si="2323"/>
        <v>0</v>
      </c>
      <c r="AZ1086" s="2177"/>
      <c r="BA1086" s="2177"/>
      <c r="BB1086" s="2186">
        <f t="shared" si="2324"/>
        <v>0</v>
      </c>
      <c r="BC1086" s="2177"/>
      <c r="BD1086" s="2177"/>
      <c r="BE1086" s="2186">
        <f t="shared" si="2325"/>
        <v>0</v>
      </c>
      <c r="BF1086" s="2177"/>
      <c r="BG1086" s="2177"/>
      <c r="BH1086" s="2186">
        <f t="shared" si="2326"/>
        <v>0</v>
      </c>
      <c r="BI1086" s="2177"/>
      <c r="BJ1086" s="2177"/>
      <c r="BK1086" s="2186">
        <f t="shared" si="2327"/>
        <v>0</v>
      </c>
      <c r="BL1086" s="2177"/>
      <c r="BM1086" s="2177"/>
      <c r="BN1086" s="2186">
        <f t="shared" si="2328"/>
        <v>0</v>
      </c>
      <c r="BO1086" s="2177"/>
      <c r="BP1086" s="2177"/>
      <c r="BQ1086" s="2186">
        <f t="shared" si="2329"/>
        <v>0</v>
      </c>
    </row>
    <row r="1087" spans="3:69" s="2087" customFormat="1" ht="12" hidden="1" customHeight="1">
      <c r="C1087" s="2194" t="s">
        <v>3283</v>
      </c>
      <c r="D1087" s="2334" t="s">
        <v>2872</v>
      </c>
      <c r="E1087" s="2250" t="s">
        <v>1833</v>
      </c>
      <c r="F1087" s="2176"/>
      <c r="G1087" s="2177"/>
      <c r="H1087" s="2177"/>
      <c r="I1087" s="2178">
        <f t="shared" si="2308"/>
        <v>0</v>
      </c>
      <c r="J1087" s="2176"/>
      <c r="K1087" s="2179">
        <f t="shared" si="2331"/>
        <v>0</v>
      </c>
      <c r="L1087" s="2179">
        <f t="shared" si="2331"/>
        <v>0</v>
      </c>
      <c r="M1087" s="2178">
        <f t="shared" si="2309"/>
        <v>0</v>
      </c>
      <c r="N1087" s="2177"/>
      <c r="O1087" s="2177"/>
      <c r="P1087" s="2178">
        <f t="shared" si="2310"/>
        <v>0</v>
      </c>
      <c r="Q1087" s="2176"/>
      <c r="R1087" s="2177"/>
      <c r="S1087" s="2178">
        <f t="shared" si="2311"/>
        <v>0</v>
      </c>
      <c r="T1087" s="2181">
        <f t="shared" si="2312"/>
        <v>0</v>
      </c>
      <c r="U1087" s="2179">
        <f t="shared" si="2312"/>
        <v>0</v>
      </c>
      <c r="V1087" s="2178">
        <f t="shared" si="2313"/>
        <v>0</v>
      </c>
      <c r="W1087" s="2176"/>
      <c r="X1087" s="2177"/>
      <c r="Y1087" s="2178">
        <f t="shared" si="2314"/>
        <v>0</v>
      </c>
      <c r="Z1087" s="2181">
        <f t="shared" si="2315"/>
        <v>0</v>
      </c>
      <c r="AA1087" s="2179">
        <f t="shared" si="2315"/>
        <v>0</v>
      </c>
      <c r="AB1087" s="2178">
        <f t="shared" si="2316"/>
        <v>0</v>
      </c>
      <c r="AC1087" s="2176"/>
      <c r="AD1087" s="2177"/>
      <c r="AE1087" s="2178">
        <f t="shared" si="2317"/>
        <v>0</v>
      </c>
      <c r="AF1087" s="2204"/>
      <c r="AG1087" s="2114"/>
      <c r="AH1087" s="2177"/>
      <c r="AI1087" s="2177"/>
      <c r="AJ1087" s="2186">
        <f t="shared" si="2318"/>
        <v>0</v>
      </c>
      <c r="AK1087" s="2177"/>
      <c r="AL1087" s="2177"/>
      <c r="AM1087" s="2186">
        <f t="shared" si="2319"/>
        <v>0</v>
      </c>
      <c r="AN1087" s="2177"/>
      <c r="AO1087" s="2177"/>
      <c r="AP1087" s="2186">
        <f t="shared" si="2320"/>
        <v>0</v>
      </c>
      <c r="AQ1087" s="2177"/>
      <c r="AR1087" s="2177"/>
      <c r="AS1087" s="2186">
        <f t="shared" si="2321"/>
        <v>0</v>
      </c>
      <c r="AT1087" s="2177"/>
      <c r="AU1087" s="2177"/>
      <c r="AV1087" s="2186">
        <f t="shared" si="2322"/>
        <v>0</v>
      </c>
      <c r="AW1087" s="2177"/>
      <c r="AX1087" s="2177"/>
      <c r="AY1087" s="2186">
        <f t="shared" si="2323"/>
        <v>0</v>
      </c>
      <c r="AZ1087" s="2177"/>
      <c r="BA1087" s="2177"/>
      <c r="BB1087" s="2186">
        <f t="shared" si="2324"/>
        <v>0</v>
      </c>
      <c r="BC1087" s="2177"/>
      <c r="BD1087" s="2177"/>
      <c r="BE1087" s="2186">
        <f t="shared" si="2325"/>
        <v>0</v>
      </c>
      <c r="BF1087" s="2177"/>
      <c r="BG1087" s="2177"/>
      <c r="BH1087" s="2186">
        <f t="shared" si="2326"/>
        <v>0</v>
      </c>
      <c r="BI1087" s="2177"/>
      <c r="BJ1087" s="2177"/>
      <c r="BK1087" s="2186">
        <f t="shared" si="2327"/>
        <v>0</v>
      </c>
      <c r="BL1087" s="2177"/>
      <c r="BM1087" s="2177"/>
      <c r="BN1087" s="2186">
        <f t="shared" si="2328"/>
        <v>0</v>
      </c>
      <c r="BO1087" s="2177"/>
      <c r="BP1087" s="2177"/>
      <c r="BQ1087" s="2186">
        <f t="shared" si="2329"/>
        <v>0</v>
      </c>
    </row>
    <row r="1088" spans="3:69" s="2087" customFormat="1" ht="12" hidden="1" customHeight="1">
      <c r="C1088" s="2194" t="s">
        <v>3283</v>
      </c>
      <c r="D1088" s="2334" t="s">
        <v>2434</v>
      </c>
      <c r="E1088" s="2250" t="s">
        <v>1833</v>
      </c>
      <c r="F1088" s="2176"/>
      <c r="G1088" s="2177"/>
      <c r="H1088" s="2177"/>
      <c r="I1088" s="2178">
        <f t="shared" si="2308"/>
        <v>0</v>
      </c>
      <c r="J1088" s="2176"/>
      <c r="K1088" s="2179">
        <f>N1088+Q1088+W1088+AC1088</f>
        <v>0</v>
      </c>
      <c r="L1088" s="2179">
        <f>O1088+R1088+X1088+AD1088</f>
        <v>0</v>
      </c>
      <c r="M1088" s="2178">
        <f t="shared" si="2309"/>
        <v>0</v>
      </c>
      <c r="N1088" s="2177"/>
      <c r="O1088" s="2177"/>
      <c r="P1088" s="2178">
        <f t="shared" si="2310"/>
        <v>0</v>
      </c>
      <c r="Q1088" s="2176"/>
      <c r="R1088" s="2177"/>
      <c r="S1088" s="2178">
        <f t="shared" si="2311"/>
        <v>0</v>
      </c>
      <c r="T1088" s="2181">
        <f>N1088+Q1088</f>
        <v>0</v>
      </c>
      <c r="U1088" s="2179">
        <f>O1088+R1088</f>
        <v>0</v>
      </c>
      <c r="V1088" s="2178">
        <f t="shared" si="2313"/>
        <v>0</v>
      </c>
      <c r="W1088" s="2176"/>
      <c r="X1088" s="2177"/>
      <c r="Y1088" s="2178">
        <f t="shared" si="2314"/>
        <v>0</v>
      </c>
      <c r="Z1088" s="2181">
        <f>T1088+W1088</f>
        <v>0</v>
      </c>
      <c r="AA1088" s="2179">
        <f>U1088+X1088</f>
        <v>0</v>
      </c>
      <c r="AB1088" s="2178">
        <f t="shared" si="2316"/>
        <v>0</v>
      </c>
      <c r="AC1088" s="2176"/>
      <c r="AD1088" s="2177"/>
      <c r="AE1088" s="2178">
        <f t="shared" si="2317"/>
        <v>0</v>
      </c>
      <c r="AF1088" s="2204"/>
      <c r="AG1088" s="2114"/>
      <c r="AH1088" s="2177"/>
      <c r="AI1088" s="2177"/>
      <c r="AJ1088" s="2186">
        <f t="shared" si="2318"/>
        <v>0</v>
      </c>
      <c r="AK1088" s="2177"/>
      <c r="AL1088" s="2177"/>
      <c r="AM1088" s="2186">
        <f t="shared" si="2319"/>
        <v>0</v>
      </c>
      <c r="AN1088" s="2177"/>
      <c r="AO1088" s="2177"/>
      <c r="AP1088" s="2186">
        <f t="shared" si="2320"/>
        <v>0</v>
      </c>
      <c r="AQ1088" s="2177"/>
      <c r="AR1088" s="2177"/>
      <c r="AS1088" s="2186">
        <f t="shared" si="2321"/>
        <v>0</v>
      </c>
      <c r="AT1088" s="2177"/>
      <c r="AU1088" s="2177"/>
      <c r="AV1088" s="2186">
        <f t="shared" si="2322"/>
        <v>0</v>
      </c>
      <c r="AW1088" s="2177"/>
      <c r="AX1088" s="2177"/>
      <c r="AY1088" s="2186">
        <f t="shared" si="2323"/>
        <v>0</v>
      </c>
      <c r="AZ1088" s="2177"/>
      <c r="BA1088" s="2177"/>
      <c r="BB1088" s="2186">
        <f t="shared" si="2324"/>
        <v>0</v>
      </c>
      <c r="BC1088" s="2177"/>
      <c r="BD1088" s="2177"/>
      <c r="BE1088" s="2186">
        <f t="shared" si="2325"/>
        <v>0</v>
      </c>
      <c r="BF1088" s="2177"/>
      <c r="BG1088" s="2177"/>
      <c r="BH1088" s="2186">
        <f t="shared" si="2326"/>
        <v>0</v>
      </c>
      <c r="BI1088" s="2177"/>
      <c r="BJ1088" s="2177"/>
      <c r="BK1088" s="2186">
        <f t="shared" si="2327"/>
        <v>0</v>
      </c>
      <c r="BL1088" s="2177"/>
      <c r="BM1088" s="2177"/>
      <c r="BN1088" s="2186">
        <f t="shared" si="2328"/>
        <v>0</v>
      </c>
      <c r="BO1088" s="2177"/>
      <c r="BP1088" s="2177"/>
      <c r="BQ1088" s="2186">
        <f t="shared" si="2329"/>
        <v>0</v>
      </c>
    </row>
    <row r="1089" spans="3:69" s="2087" customFormat="1" ht="12" hidden="1" customHeight="1">
      <c r="C1089" s="2194" t="s">
        <v>3284</v>
      </c>
      <c r="D1089" s="2334" t="s">
        <v>42</v>
      </c>
      <c r="E1089" s="2250" t="s">
        <v>1833</v>
      </c>
      <c r="F1089" s="2176"/>
      <c r="G1089" s="2177"/>
      <c r="H1089" s="2177"/>
      <c r="I1089" s="2178">
        <f t="shared" si="2308"/>
        <v>0</v>
      </c>
      <c r="J1089" s="2176"/>
      <c r="K1089" s="2179">
        <f t="shared" si="2331"/>
        <v>0</v>
      </c>
      <c r="L1089" s="2179">
        <f t="shared" si="2331"/>
        <v>0</v>
      </c>
      <c r="M1089" s="2178">
        <f t="shared" si="2309"/>
        <v>0</v>
      </c>
      <c r="N1089" s="2177"/>
      <c r="O1089" s="2177"/>
      <c r="P1089" s="2178">
        <f t="shared" si="2310"/>
        <v>0</v>
      </c>
      <c r="Q1089" s="2176"/>
      <c r="R1089" s="2177"/>
      <c r="S1089" s="2178">
        <f t="shared" si="2311"/>
        <v>0</v>
      </c>
      <c r="T1089" s="2181">
        <f t="shared" si="2312"/>
        <v>0</v>
      </c>
      <c r="U1089" s="2179">
        <f t="shared" si="2312"/>
        <v>0</v>
      </c>
      <c r="V1089" s="2178">
        <f t="shared" si="2313"/>
        <v>0</v>
      </c>
      <c r="W1089" s="2176"/>
      <c r="X1089" s="2177"/>
      <c r="Y1089" s="2178">
        <f t="shared" si="2314"/>
        <v>0</v>
      </c>
      <c r="Z1089" s="2181">
        <f t="shared" si="2315"/>
        <v>0</v>
      </c>
      <c r="AA1089" s="2179">
        <f t="shared" si="2315"/>
        <v>0</v>
      </c>
      <c r="AB1089" s="2178">
        <f t="shared" si="2316"/>
        <v>0</v>
      </c>
      <c r="AC1089" s="2176"/>
      <c r="AD1089" s="2177"/>
      <c r="AE1089" s="2178">
        <f t="shared" si="2317"/>
        <v>0</v>
      </c>
      <c r="AF1089" s="2204"/>
      <c r="AG1089" s="2114"/>
      <c r="AH1089" s="2177"/>
      <c r="AI1089" s="2177"/>
      <c r="AJ1089" s="2186">
        <f t="shared" si="2318"/>
        <v>0</v>
      </c>
      <c r="AK1089" s="2177"/>
      <c r="AL1089" s="2177"/>
      <c r="AM1089" s="2186">
        <f t="shared" si="2319"/>
        <v>0</v>
      </c>
      <c r="AN1089" s="2177"/>
      <c r="AO1089" s="2177"/>
      <c r="AP1089" s="2186">
        <f t="shared" si="2320"/>
        <v>0</v>
      </c>
      <c r="AQ1089" s="2177"/>
      <c r="AR1089" s="2177"/>
      <c r="AS1089" s="2186">
        <f t="shared" si="2321"/>
        <v>0</v>
      </c>
      <c r="AT1089" s="2177"/>
      <c r="AU1089" s="2177"/>
      <c r="AV1089" s="2186">
        <f t="shared" si="2322"/>
        <v>0</v>
      </c>
      <c r="AW1089" s="2177"/>
      <c r="AX1089" s="2177"/>
      <c r="AY1089" s="2186">
        <f t="shared" si="2323"/>
        <v>0</v>
      </c>
      <c r="AZ1089" s="2177"/>
      <c r="BA1089" s="2177"/>
      <c r="BB1089" s="2186">
        <f t="shared" si="2324"/>
        <v>0</v>
      </c>
      <c r="BC1089" s="2177"/>
      <c r="BD1089" s="2177"/>
      <c r="BE1089" s="2186">
        <f t="shared" si="2325"/>
        <v>0</v>
      </c>
      <c r="BF1089" s="2177"/>
      <c r="BG1089" s="2177"/>
      <c r="BH1089" s="2186">
        <f t="shared" si="2326"/>
        <v>0</v>
      </c>
      <c r="BI1089" s="2177"/>
      <c r="BJ1089" s="2177"/>
      <c r="BK1089" s="2186">
        <f t="shared" si="2327"/>
        <v>0</v>
      </c>
      <c r="BL1089" s="2177"/>
      <c r="BM1089" s="2177"/>
      <c r="BN1089" s="2186">
        <f t="shared" si="2328"/>
        <v>0</v>
      </c>
      <c r="BO1089" s="2177"/>
      <c r="BP1089" s="2177"/>
      <c r="BQ1089" s="2186">
        <f t="shared" si="2329"/>
        <v>0</v>
      </c>
    </row>
    <row r="1090" spans="3:69" s="2087" customFormat="1" ht="12" hidden="1" customHeight="1">
      <c r="C1090" s="2194" t="s">
        <v>3284</v>
      </c>
      <c r="D1090" s="2334" t="s">
        <v>2434</v>
      </c>
      <c r="E1090" s="2250" t="s">
        <v>1833</v>
      </c>
      <c r="F1090" s="2176"/>
      <c r="G1090" s="2177"/>
      <c r="H1090" s="2177"/>
      <c r="I1090" s="2178">
        <f t="shared" si="2308"/>
        <v>0</v>
      </c>
      <c r="J1090" s="2176"/>
      <c r="K1090" s="2179">
        <f>N1090+Q1090+W1090+AC1090</f>
        <v>0</v>
      </c>
      <c r="L1090" s="2179">
        <f>O1090+R1090+X1090+AD1090</f>
        <v>0</v>
      </c>
      <c r="M1090" s="2178">
        <f t="shared" si="2309"/>
        <v>0</v>
      </c>
      <c r="N1090" s="2177"/>
      <c r="O1090" s="2177"/>
      <c r="P1090" s="2178">
        <f t="shared" si="2310"/>
        <v>0</v>
      </c>
      <c r="Q1090" s="2176"/>
      <c r="R1090" s="2177"/>
      <c r="S1090" s="2178">
        <f t="shared" si="2311"/>
        <v>0</v>
      </c>
      <c r="T1090" s="2181">
        <f>N1090+Q1090</f>
        <v>0</v>
      </c>
      <c r="U1090" s="2179">
        <f>O1090+R1090</f>
        <v>0</v>
      </c>
      <c r="V1090" s="2178">
        <f t="shared" si="2313"/>
        <v>0</v>
      </c>
      <c r="W1090" s="2176"/>
      <c r="X1090" s="2177"/>
      <c r="Y1090" s="2178">
        <f t="shared" si="2314"/>
        <v>0</v>
      </c>
      <c r="Z1090" s="2181">
        <f>T1090+W1090</f>
        <v>0</v>
      </c>
      <c r="AA1090" s="2179">
        <f>U1090+X1090</f>
        <v>0</v>
      </c>
      <c r="AB1090" s="2178">
        <f t="shared" si="2316"/>
        <v>0</v>
      </c>
      <c r="AC1090" s="2176"/>
      <c r="AD1090" s="2177"/>
      <c r="AE1090" s="2178">
        <f t="shared" si="2317"/>
        <v>0</v>
      </c>
      <c r="AF1090" s="2204"/>
      <c r="AG1090" s="2114"/>
      <c r="AH1090" s="2177"/>
      <c r="AI1090" s="2177"/>
      <c r="AJ1090" s="2186">
        <f t="shared" si="2318"/>
        <v>0</v>
      </c>
      <c r="AK1090" s="2177"/>
      <c r="AL1090" s="2177"/>
      <c r="AM1090" s="2186">
        <f t="shared" si="2319"/>
        <v>0</v>
      </c>
      <c r="AN1090" s="2177"/>
      <c r="AO1090" s="2177"/>
      <c r="AP1090" s="2186">
        <f t="shared" si="2320"/>
        <v>0</v>
      </c>
      <c r="AQ1090" s="2177"/>
      <c r="AR1090" s="2177"/>
      <c r="AS1090" s="2186">
        <f t="shared" si="2321"/>
        <v>0</v>
      </c>
      <c r="AT1090" s="2177"/>
      <c r="AU1090" s="2177"/>
      <c r="AV1090" s="2186">
        <f t="shared" si="2322"/>
        <v>0</v>
      </c>
      <c r="AW1090" s="2177"/>
      <c r="AX1090" s="2177"/>
      <c r="AY1090" s="2186">
        <f t="shared" si="2323"/>
        <v>0</v>
      </c>
      <c r="AZ1090" s="2177"/>
      <c r="BA1090" s="2177"/>
      <c r="BB1090" s="2186">
        <f t="shared" si="2324"/>
        <v>0</v>
      </c>
      <c r="BC1090" s="2177"/>
      <c r="BD1090" s="2177"/>
      <c r="BE1090" s="2186">
        <f t="shared" si="2325"/>
        <v>0</v>
      </c>
      <c r="BF1090" s="2177"/>
      <c r="BG1090" s="2177"/>
      <c r="BH1090" s="2186">
        <f t="shared" si="2326"/>
        <v>0</v>
      </c>
      <c r="BI1090" s="2177"/>
      <c r="BJ1090" s="2177"/>
      <c r="BK1090" s="2186">
        <f t="shared" si="2327"/>
        <v>0</v>
      </c>
      <c r="BL1090" s="2177"/>
      <c r="BM1090" s="2177"/>
      <c r="BN1090" s="2186">
        <f t="shared" si="2328"/>
        <v>0</v>
      </c>
      <c r="BO1090" s="2177"/>
      <c r="BP1090" s="2177"/>
      <c r="BQ1090" s="2186">
        <f t="shared" si="2329"/>
        <v>0</v>
      </c>
    </row>
    <row r="1091" spans="3:69" s="2159" customFormat="1" ht="12" hidden="1" customHeight="1">
      <c r="C1091" s="2474" t="s">
        <v>3285</v>
      </c>
      <c r="D1091" s="2476" t="s">
        <v>3286</v>
      </c>
      <c r="E1091" s="2120" t="s">
        <v>1833</v>
      </c>
      <c r="F1091" s="2162"/>
      <c r="G1091" s="2163">
        <f>G1092+G1099</f>
        <v>0</v>
      </c>
      <c r="H1091" s="2163">
        <f>H1092+H1099</f>
        <v>0</v>
      </c>
      <c r="I1091" s="2164">
        <f t="shared" si="2308"/>
        <v>0</v>
      </c>
      <c r="J1091" s="2162"/>
      <c r="K1091" s="2163">
        <f t="shared" si="2331"/>
        <v>0</v>
      </c>
      <c r="L1091" s="2163">
        <f t="shared" si="2331"/>
        <v>0</v>
      </c>
      <c r="M1091" s="2164">
        <f t="shared" si="2309"/>
        <v>0</v>
      </c>
      <c r="N1091" s="2163">
        <f>N1092+N1099</f>
        <v>0</v>
      </c>
      <c r="O1091" s="2163">
        <f>O1092+O1099</f>
        <v>0</v>
      </c>
      <c r="P1091" s="2164">
        <f t="shared" si="2310"/>
        <v>0</v>
      </c>
      <c r="Q1091" s="2165">
        <f>Q1092+Q1099</f>
        <v>0</v>
      </c>
      <c r="R1091" s="2163">
        <f>R1092+R1099</f>
        <v>0</v>
      </c>
      <c r="S1091" s="2164">
        <f t="shared" si="2311"/>
        <v>0</v>
      </c>
      <c r="T1091" s="2167">
        <f t="shared" si="2312"/>
        <v>0</v>
      </c>
      <c r="U1091" s="2163">
        <f t="shared" si="2312"/>
        <v>0</v>
      </c>
      <c r="V1091" s="2164">
        <f t="shared" si="2313"/>
        <v>0</v>
      </c>
      <c r="W1091" s="2165">
        <f>W1092+W1099</f>
        <v>0</v>
      </c>
      <c r="X1091" s="2163">
        <f>X1092+X1099</f>
        <v>0</v>
      </c>
      <c r="Y1091" s="2164">
        <f t="shared" si="2314"/>
        <v>0</v>
      </c>
      <c r="Z1091" s="2167">
        <f t="shared" si="2315"/>
        <v>0</v>
      </c>
      <c r="AA1091" s="2163">
        <f t="shared" si="2315"/>
        <v>0</v>
      </c>
      <c r="AB1091" s="2164">
        <f t="shared" si="2316"/>
        <v>0</v>
      </c>
      <c r="AC1091" s="2165">
        <f>AC1092+AC1099</f>
        <v>0</v>
      </c>
      <c r="AD1091" s="2163">
        <f>AD1092+AD1099</f>
        <v>0</v>
      </c>
      <c r="AE1091" s="2164">
        <f t="shared" si="2317"/>
        <v>0</v>
      </c>
      <c r="AF1091" s="2204"/>
      <c r="AG1091" s="2158"/>
      <c r="AH1091" s="2171">
        <f>AH1092+AH1099</f>
        <v>0</v>
      </c>
      <c r="AI1091" s="2171">
        <f>AI1092+AI1099</f>
        <v>0</v>
      </c>
      <c r="AJ1091" s="2172">
        <f t="shared" si="2318"/>
        <v>0</v>
      </c>
      <c r="AK1091" s="2171">
        <f>AK1092+AK1099</f>
        <v>0</v>
      </c>
      <c r="AL1091" s="2171">
        <f>AL1092+AL1099</f>
        <v>0</v>
      </c>
      <c r="AM1091" s="2172">
        <f t="shared" si="2319"/>
        <v>0</v>
      </c>
      <c r="AN1091" s="2171">
        <f>AN1092+AN1099</f>
        <v>0</v>
      </c>
      <c r="AO1091" s="2171">
        <f>AO1092+AO1099</f>
        <v>0</v>
      </c>
      <c r="AP1091" s="2172">
        <f t="shared" si="2320"/>
        <v>0</v>
      </c>
      <c r="AQ1091" s="2171">
        <f>AQ1092+AQ1099</f>
        <v>0</v>
      </c>
      <c r="AR1091" s="2171">
        <f>AR1092+AR1099</f>
        <v>0</v>
      </c>
      <c r="AS1091" s="2172">
        <f t="shared" si="2321"/>
        <v>0</v>
      </c>
      <c r="AT1091" s="2171">
        <f>AT1092+AT1099</f>
        <v>0</v>
      </c>
      <c r="AU1091" s="2171">
        <f>AU1092+AU1099</f>
        <v>0</v>
      </c>
      <c r="AV1091" s="2172">
        <f t="shared" si="2322"/>
        <v>0</v>
      </c>
      <c r="AW1091" s="2171">
        <f>AW1092+AW1099</f>
        <v>0</v>
      </c>
      <c r="AX1091" s="2171">
        <f>AX1092+AX1099</f>
        <v>0</v>
      </c>
      <c r="AY1091" s="2172">
        <f t="shared" si="2323"/>
        <v>0</v>
      </c>
      <c r="AZ1091" s="2171">
        <f>AZ1092+AZ1099</f>
        <v>0</v>
      </c>
      <c r="BA1091" s="2171">
        <f>BA1092+BA1099</f>
        <v>0</v>
      </c>
      <c r="BB1091" s="2172">
        <f t="shared" si="2324"/>
        <v>0</v>
      </c>
      <c r="BC1091" s="2171">
        <f>BC1092+BC1099</f>
        <v>0</v>
      </c>
      <c r="BD1091" s="2171">
        <f>BD1092+BD1099</f>
        <v>0</v>
      </c>
      <c r="BE1091" s="2172">
        <f t="shared" si="2325"/>
        <v>0</v>
      </c>
      <c r="BF1091" s="2171">
        <f>BF1092+BF1099</f>
        <v>0</v>
      </c>
      <c r="BG1091" s="2171">
        <f>BG1092+BG1099</f>
        <v>0</v>
      </c>
      <c r="BH1091" s="2172">
        <f t="shared" si="2326"/>
        <v>0</v>
      </c>
      <c r="BI1091" s="2171">
        <f>BI1092+BI1099</f>
        <v>0</v>
      </c>
      <c r="BJ1091" s="2171">
        <f>BJ1092+BJ1099</f>
        <v>0</v>
      </c>
      <c r="BK1091" s="2172">
        <f t="shared" si="2327"/>
        <v>0</v>
      </c>
      <c r="BL1091" s="2171">
        <f>BL1092+BL1099</f>
        <v>0</v>
      </c>
      <c r="BM1091" s="2171">
        <f>BM1092+BM1099</f>
        <v>0</v>
      </c>
      <c r="BN1091" s="2172">
        <f t="shared" si="2328"/>
        <v>0</v>
      </c>
      <c r="BO1091" s="2171">
        <f>BO1092+BO1099</f>
        <v>0</v>
      </c>
      <c r="BP1091" s="2171">
        <f>BP1092+BP1099</f>
        <v>0</v>
      </c>
      <c r="BQ1091" s="2172">
        <f t="shared" si="2329"/>
        <v>0</v>
      </c>
    </row>
    <row r="1092" spans="3:69" s="2087" customFormat="1" ht="12" hidden="1" customHeight="1">
      <c r="C1092" s="2423" t="s">
        <v>3287</v>
      </c>
      <c r="D1092" s="2421" t="s">
        <v>3143</v>
      </c>
      <c r="E1092" s="2250" t="s">
        <v>1833</v>
      </c>
      <c r="F1092" s="2176"/>
      <c r="G1092" s="2179">
        <f>G1107+G1118</f>
        <v>0</v>
      </c>
      <c r="H1092" s="2179">
        <f>H1107+H1118</f>
        <v>0</v>
      </c>
      <c r="I1092" s="2178">
        <f t="shared" si="2308"/>
        <v>0</v>
      </c>
      <c r="J1092" s="2176"/>
      <c r="K1092" s="2179">
        <f t="shared" si="2331"/>
        <v>0</v>
      </c>
      <c r="L1092" s="2179">
        <f t="shared" si="2331"/>
        <v>0</v>
      </c>
      <c r="M1092" s="2178">
        <f t="shared" si="2309"/>
        <v>0</v>
      </c>
      <c r="N1092" s="2179">
        <f>N1107+N1118</f>
        <v>0</v>
      </c>
      <c r="O1092" s="2179">
        <f>O1107+O1118</f>
        <v>0</v>
      </c>
      <c r="P1092" s="2178">
        <f t="shared" si="2310"/>
        <v>0</v>
      </c>
      <c r="Q1092" s="2184">
        <f>Q1107+Q1118</f>
        <v>0</v>
      </c>
      <c r="R1092" s="2179">
        <f>R1107+R1118</f>
        <v>0</v>
      </c>
      <c r="S1092" s="2178">
        <f t="shared" si="2311"/>
        <v>0</v>
      </c>
      <c r="T1092" s="2181">
        <f t="shared" ref="T1092:U1104" si="2332">N1092+Q1092</f>
        <v>0</v>
      </c>
      <c r="U1092" s="2179">
        <f t="shared" si="2332"/>
        <v>0</v>
      </c>
      <c r="V1092" s="2178">
        <f t="shared" si="2313"/>
        <v>0</v>
      </c>
      <c r="W1092" s="2184">
        <f>W1107+W1118</f>
        <v>0</v>
      </c>
      <c r="X1092" s="2179">
        <f>X1107+X1118</f>
        <v>0</v>
      </c>
      <c r="Y1092" s="2178">
        <f t="shared" si="2314"/>
        <v>0</v>
      </c>
      <c r="Z1092" s="2181">
        <f t="shared" ref="Z1092:AA1104" si="2333">T1092+W1092</f>
        <v>0</v>
      </c>
      <c r="AA1092" s="2179">
        <f t="shared" si="2333"/>
        <v>0</v>
      </c>
      <c r="AB1092" s="2178">
        <f t="shared" si="2316"/>
        <v>0</v>
      </c>
      <c r="AC1092" s="2184">
        <f>AC1107+AC1118</f>
        <v>0</v>
      </c>
      <c r="AD1092" s="2179">
        <f>AD1107+AD1118</f>
        <v>0</v>
      </c>
      <c r="AE1092" s="2178">
        <f t="shared" si="2317"/>
        <v>0</v>
      </c>
      <c r="AF1092" s="2204"/>
      <c r="AG1092" s="2114"/>
      <c r="AH1092" s="2188">
        <f>AH1107+AH1118</f>
        <v>0</v>
      </c>
      <c r="AI1092" s="2188">
        <f>AI1107+AI1118</f>
        <v>0</v>
      </c>
      <c r="AJ1092" s="2186">
        <f t="shared" si="2318"/>
        <v>0</v>
      </c>
      <c r="AK1092" s="2188">
        <f>AK1107+AK1118</f>
        <v>0</v>
      </c>
      <c r="AL1092" s="2188">
        <f>AL1107+AL1118</f>
        <v>0</v>
      </c>
      <c r="AM1092" s="2186">
        <f t="shared" si="2319"/>
        <v>0</v>
      </c>
      <c r="AN1092" s="2188">
        <f>AN1107+AN1118</f>
        <v>0</v>
      </c>
      <c r="AO1092" s="2188">
        <f>AO1107+AO1118</f>
        <v>0</v>
      </c>
      <c r="AP1092" s="2186">
        <f t="shared" si="2320"/>
        <v>0</v>
      </c>
      <c r="AQ1092" s="2188">
        <f>AQ1107+AQ1118</f>
        <v>0</v>
      </c>
      <c r="AR1092" s="2188">
        <f>AR1107+AR1118</f>
        <v>0</v>
      </c>
      <c r="AS1092" s="2186">
        <f t="shared" si="2321"/>
        <v>0</v>
      </c>
      <c r="AT1092" s="2188">
        <f>AT1107+AT1118</f>
        <v>0</v>
      </c>
      <c r="AU1092" s="2188">
        <f>AU1107+AU1118</f>
        <v>0</v>
      </c>
      <c r="AV1092" s="2186">
        <f t="shared" si="2322"/>
        <v>0</v>
      </c>
      <c r="AW1092" s="2188">
        <f>AW1107+AW1118</f>
        <v>0</v>
      </c>
      <c r="AX1092" s="2188">
        <f>AX1107+AX1118</f>
        <v>0</v>
      </c>
      <c r="AY1092" s="2186">
        <f t="shared" si="2323"/>
        <v>0</v>
      </c>
      <c r="AZ1092" s="2188">
        <f>AZ1107+AZ1118</f>
        <v>0</v>
      </c>
      <c r="BA1092" s="2188">
        <f>BA1107+BA1118</f>
        <v>0</v>
      </c>
      <c r="BB1092" s="2186">
        <f t="shared" si="2324"/>
        <v>0</v>
      </c>
      <c r="BC1092" s="2188">
        <f>BC1107+BC1118</f>
        <v>0</v>
      </c>
      <c r="BD1092" s="2188">
        <f>BD1107+BD1118</f>
        <v>0</v>
      </c>
      <c r="BE1092" s="2186">
        <f t="shared" si="2325"/>
        <v>0</v>
      </c>
      <c r="BF1092" s="2188">
        <f>BF1107+BF1118</f>
        <v>0</v>
      </c>
      <c r="BG1092" s="2188">
        <f>BG1107+BG1118</f>
        <v>0</v>
      </c>
      <c r="BH1092" s="2186">
        <f t="shared" si="2326"/>
        <v>0</v>
      </c>
      <c r="BI1092" s="2188">
        <f>BI1107+BI1118</f>
        <v>0</v>
      </c>
      <c r="BJ1092" s="2188">
        <f>BJ1107+BJ1118</f>
        <v>0</v>
      </c>
      <c r="BK1092" s="2186">
        <f t="shared" si="2327"/>
        <v>0</v>
      </c>
      <c r="BL1092" s="2188">
        <f>BL1107+BL1118</f>
        <v>0</v>
      </c>
      <c r="BM1092" s="2188">
        <f>BM1107+BM1118</f>
        <v>0</v>
      </c>
      <c r="BN1092" s="2186">
        <f t="shared" si="2328"/>
        <v>0</v>
      </c>
      <c r="BO1092" s="2188">
        <f>BO1107+BO1118</f>
        <v>0</v>
      </c>
      <c r="BP1092" s="2188">
        <f>BP1107+BP1118</f>
        <v>0</v>
      </c>
      <c r="BQ1092" s="2186">
        <f t="shared" si="2329"/>
        <v>0</v>
      </c>
    </row>
    <row r="1093" spans="3:69" s="2087" customFormat="1" ht="12" hidden="1" customHeight="1">
      <c r="C1093" s="2473" t="s">
        <v>3288</v>
      </c>
      <c r="D1093" s="2334" t="s">
        <v>28</v>
      </c>
      <c r="E1093" s="2250" t="s">
        <v>1833</v>
      </c>
      <c r="F1093" s="2176"/>
      <c r="G1093" s="2179">
        <f>G1119</f>
        <v>0</v>
      </c>
      <c r="H1093" s="2179">
        <f>H1119</f>
        <v>0</v>
      </c>
      <c r="I1093" s="2178">
        <f t="shared" si="2308"/>
        <v>0</v>
      </c>
      <c r="J1093" s="2176"/>
      <c r="K1093" s="2179">
        <f t="shared" si="2331"/>
        <v>0</v>
      </c>
      <c r="L1093" s="2179">
        <f t="shared" si="2331"/>
        <v>0</v>
      </c>
      <c r="M1093" s="2178">
        <f t="shared" si="2309"/>
        <v>0</v>
      </c>
      <c r="N1093" s="2179">
        <f>N1119</f>
        <v>0</v>
      </c>
      <c r="O1093" s="2179">
        <f>O1119</f>
        <v>0</v>
      </c>
      <c r="P1093" s="2178">
        <f t="shared" si="2310"/>
        <v>0</v>
      </c>
      <c r="Q1093" s="2184">
        <f>Q1119</f>
        <v>0</v>
      </c>
      <c r="R1093" s="2179">
        <f>R1119</f>
        <v>0</v>
      </c>
      <c r="S1093" s="2178">
        <f t="shared" si="2311"/>
        <v>0</v>
      </c>
      <c r="T1093" s="2181">
        <f t="shared" si="2332"/>
        <v>0</v>
      </c>
      <c r="U1093" s="2179">
        <f t="shared" si="2332"/>
        <v>0</v>
      </c>
      <c r="V1093" s="2178">
        <f t="shared" si="2313"/>
        <v>0</v>
      </c>
      <c r="W1093" s="2184">
        <f>W1119</f>
        <v>0</v>
      </c>
      <c r="X1093" s="2179">
        <f>X1119</f>
        <v>0</v>
      </c>
      <c r="Y1093" s="2178">
        <f t="shared" si="2314"/>
        <v>0</v>
      </c>
      <c r="Z1093" s="2181">
        <f t="shared" si="2333"/>
        <v>0</v>
      </c>
      <c r="AA1093" s="2179">
        <f t="shared" si="2333"/>
        <v>0</v>
      </c>
      <c r="AB1093" s="2178">
        <f t="shared" si="2316"/>
        <v>0</v>
      </c>
      <c r="AC1093" s="2184">
        <f>AC1119</f>
        <v>0</v>
      </c>
      <c r="AD1093" s="2179">
        <f>AD1119</f>
        <v>0</v>
      </c>
      <c r="AE1093" s="2178">
        <f t="shared" si="2317"/>
        <v>0</v>
      </c>
      <c r="AF1093" s="2204"/>
      <c r="AG1093" s="2114"/>
      <c r="AH1093" s="2188">
        <f>AH1119</f>
        <v>0</v>
      </c>
      <c r="AI1093" s="2188">
        <f>AI1119</f>
        <v>0</v>
      </c>
      <c r="AJ1093" s="2186">
        <f t="shared" si="2318"/>
        <v>0</v>
      </c>
      <c r="AK1093" s="2188">
        <f>AK1119</f>
        <v>0</v>
      </c>
      <c r="AL1093" s="2188">
        <f>AL1119</f>
        <v>0</v>
      </c>
      <c r="AM1093" s="2186">
        <f t="shared" si="2319"/>
        <v>0</v>
      </c>
      <c r="AN1093" s="2188">
        <f>AN1119</f>
        <v>0</v>
      </c>
      <c r="AO1093" s="2188">
        <f>AO1119</f>
        <v>0</v>
      </c>
      <c r="AP1093" s="2186">
        <f t="shared" si="2320"/>
        <v>0</v>
      </c>
      <c r="AQ1093" s="2188">
        <f>AQ1119</f>
        <v>0</v>
      </c>
      <c r="AR1093" s="2188">
        <f>AR1119</f>
        <v>0</v>
      </c>
      <c r="AS1093" s="2186">
        <f t="shared" si="2321"/>
        <v>0</v>
      </c>
      <c r="AT1093" s="2188">
        <f>AT1119</f>
        <v>0</v>
      </c>
      <c r="AU1093" s="2188">
        <f>AU1119</f>
        <v>0</v>
      </c>
      <c r="AV1093" s="2186">
        <f t="shared" si="2322"/>
        <v>0</v>
      </c>
      <c r="AW1093" s="2188">
        <f>AW1119</f>
        <v>0</v>
      </c>
      <c r="AX1093" s="2188">
        <f>AX1119</f>
        <v>0</v>
      </c>
      <c r="AY1093" s="2186">
        <f t="shared" si="2323"/>
        <v>0</v>
      </c>
      <c r="AZ1093" s="2188">
        <f>AZ1119</f>
        <v>0</v>
      </c>
      <c r="BA1093" s="2188">
        <f>BA1119</f>
        <v>0</v>
      </c>
      <c r="BB1093" s="2186">
        <f t="shared" si="2324"/>
        <v>0</v>
      </c>
      <c r="BC1093" s="2188">
        <f>BC1119</f>
        <v>0</v>
      </c>
      <c r="BD1093" s="2188">
        <f>BD1119</f>
        <v>0</v>
      </c>
      <c r="BE1093" s="2186">
        <f t="shared" si="2325"/>
        <v>0</v>
      </c>
      <c r="BF1093" s="2188">
        <f>BF1119</f>
        <v>0</v>
      </c>
      <c r="BG1093" s="2188">
        <f>BG1119</f>
        <v>0</v>
      </c>
      <c r="BH1093" s="2186">
        <f t="shared" si="2326"/>
        <v>0</v>
      </c>
      <c r="BI1093" s="2188">
        <f>BI1119</f>
        <v>0</v>
      </c>
      <c r="BJ1093" s="2188">
        <f>BJ1119</f>
        <v>0</v>
      </c>
      <c r="BK1093" s="2186">
        <f t="shared" si="2327"/>
        <v>0</v>
      </c>
      <c r="BL1093" s="2188">
        <f>BL1119</f>
        <v>0</v>
      </c>
      <c r="BM1093" s="2188">
        <f>BM1119</f>
        <v>0</v>
      </c>
      <c r="BN1093" s="2186">
        <f t="shared" si="2328"/>
        <v>0</v>
      </c>
      <c r="BO1093" s="2188">
        <f>BO1119</f>
        <v>0</v>
      </c>
      <c r="BP1093" s="2188">
        <f>BP1119</f>
        <v>0</v>
      </c>
      <c r="BQ1093" s="2186">
        <f t="shared" si="2329"/>
        <v>0</v>
      </c>
    </row>
    <row r="1094" spans="3:69" s="2087" customFormat="1" ht="12" hidden="1" customHeight="1">
      <c r="C1094" s="2473" t="s">
        <v>3288</v>
      </c>
      <c r="D1094" s="2334" t="s">
        <v>2434</v>
      </c>
      <c r="E1094" s="2250" t="s">
        <v>1833</v>
      </c>
      <c r="F1094" s="2176"/>
      <c r="G1094" s="2179">
        <f>G1120</f>
        <v>0</v>
      </c>
      <c r="H1094" s="2179">
        <f>H1120</f>
        <v>0</v>
      </c>
      <c r="I1094" s="2178">
        <f t="shared" si="2308"/>
        <v>0</v>
      </c>
      <c r="J1094" s="2176"/>
      <c r="K1094" s="2179">
        <f>N1094+Q1094+W1094+AC1094</f>
        <v>0</v>
      </c>
      <c r="L1094" s="2179">
        <f>O1094+R1094+X1094+AD1094</f>
        <v>0</v>
      </c>
      <c r="M1094" s="2178">
        <f t="shared" si="2309"/>
        <v>0</v>
      </c>
      <c r="N1094" s="2179">
        <f>N1120</f>
        <v>0</v>
      </c>
      <c r="O1094" s="2179">
        <f>O1120</f>
        <v>0</v>
      </c>
      <c r="P1094" s="2178">
        <f t="shared" si="2310"/>
        <v>0</v>
      </c>
      <c r="Q1094" s="2179">
        <f>Q1120</f>
        <v>0</v>
      </c>
      <c r="R1094" s="2179">
        <f>R1120</f>
        <v>0</v>
      </c>
      <c r="S1094" s="2178">
        <f t="shared" si="2311"/>
        <v>0</v>
      </c>
      <c r="T1094" s="2181">
        <f>N1094+Q1094</f>
        <v>0</v>
      </c>
      <c r="U1094" s="2179">
        <f>O1094+R1094</f>
        <v>0</v>
      </c>
      <c r="V1094" s="2178">
        <f t="shared" si="2313"/>
        <v>0</v>
      </c>
      <c r="W1094" s="2179">
        <f>W1120</f>
        <v>0</v>
      </c>
      <c r="X1094" s="2179">
        <f>X1120</f>
        <v>0</v>
      </c>
      <c r="Y1094" s="2178">
        <f t="shared" si="2314"/>
        <v>0</v>
      </c>
      <c r="Z1094" s="2181">
        <f>T1094+W1094</f>
        <v>0</v>
      </c>
      <c r="AA1094" s="2179">
        <f>U1094+X1094</f>
        <v>0</v>
      </c>
      <c r="AB1094" s="2178">
        <f t="shared" si="2316"/>
        <v>0</v>
      </c>
      <c r="AC1094" s="2179">
        <f>AC1120</f>
        <v>0</v>
      </c>
      <c r="AD1094" s="2179">
        <f>AD1120</f>
        <v>0</v>
      </c>
      <c r="AE1094" s="2178">
        <f t="shared" si="2317"/>
        <v>0</v>
      </c>
      <c r="AF1094" s="2204"/>
      <c r="AG1094" s="2114"/>
      <c r="AH1094" s="2188">
        <f>AH1120</f>
        <v>0</v>
      </c>
      <c r="AI1094" s="2188">
        <f>AI1120</f>
        <v>0</v>
      </c>
      <c r="AJ1094" s="2186">
        <f t="shared" si="2318"/>
        <v>0</v>
      </c>
      <c r="AK1094" s="2188">
        <f>AK1120</f>
        <v>0</v>
      </c>
      <c r="AL1094" s="2188">
        <f>AL1120</f>
        <v>0</v>
      </c>
      <c r="AM1094" s="2186">
        <f t="shared" si="2319"/>
        <v>0</v>
      </c>
      <c r="AN1094" s="2188">
        <f>AN1120</f>
        <v>0</v>
      </c>
      <c r="AO1094" s="2188">
        <f>AO1120</f>
        <v>0</v>
      </c>
      <c r="AP1094" s="2186">
        <f t="shared" si="2320"/>
        <v>0</v>
      </c>
      <c r="AQ1094" s="2188">
        <f>AQ1120</f>
        <v>0</v>
      </c>
      <c r="AR1094" s="2188">
        <f>AR1120</f>
        <v>0</v>
      </c>
      <c r="AS1094" s="2186">
        <f t="shared" si="2321"/>
        <v>0</v>
      </c>
      <c r="AT1094" s="2188">
        <f>AT1120</f>
        <v>0</v>
      </c>
      <c r="AU1094" s="2188">
        <f>AU1120</f>
        <v>0</v>
      </c>
      <c r="AV1094" s="2186">
        <f t="shared" si="2322"/>
        <v>0</v>
      </c>
      <c r="AW1094" s="2188">
        <f>AW1120</f>
        <v>0</v>
      </c>
      <c r="AX1094" s="2188">
        <f>AX1120</f>
        <v>0</v>
      </c>
      <c r="AY1094" s="2186">
        <f t="shared" si="2323"/>
        <v>0</v>
      </c>
      <c r="AZ1094" s="2188">
        <f>AZ1120</f>
        <v>0</v>
      </c>
      <c r="BA1094" s="2188">
        <f>BA1120</f>
        <v>0</v>
      </c>
      <c r="BB1094" s="2186">
        <f t="shared" si="2324"/>
        <v>0</v>
      </c>
      <c r="BC1094" s="2188">
        <f>BC1120</f>
        <v>0</v>
      </c>
      <c r="BD1094" s="2188">
        <f>BD1120</f>
        <v>0</v>
      </c>
      <c r="BE1094" s="2186">
        <f t="shared" si="2325"/>
        <v>0</v>
      </c>
      <c r="BF1094" s="2188">
        <f>BF1120</f>
        <v>0</v>
      </c>
      <c r="BG1094" s="2188">
        <f>BG1120</f>
        <v>0</v>
      </c>
      <c r="BH1094" s="2186">
        <f t="shared" si="2326"/>
        <v>0</v>
      </c>
      <c r="BI1094" s="2188">
        <f>BI1120</f>
        <v>0</v>
      </c>
      <c r="BJ1094" s="2188">
        <f>BJ1120</f>
        <v>0</v>
      </c>
      <c r="BK1094" s="2186">
        <f t="shared" si="2327"/>
        <v>0</v>
      </c>
      <c r="BL1094" s="2188">
        <f>BL1120</f>
        <v>0</v>
      </c>
      <c r="BM1094" s="2188">
        <f>BM1120</f>
        <v>0</v>
      </c>
      <c r="BN1094" s="2186">
        <f t="shared" si="2328"/>
        <v>0</v>
      </c>
      <c r="BO1094" s="2188">
        <f>BO1120</f>
        <v>0</v>
      </c>
      <c r="BP1094" s="2188">
        <f>BP1120</f>
        <v>0</v>
      </c>
      <c r="BQ1094" s="2186">
        <f t="shared" si="2329"/>
        <v>0</v>
      </c>
    </row>
    <row r="1095" spans="3:69" s="2087" customFormat="1" ht="12" hidden="1" customHeight="1">
      <c r="C1095" s="2473" t="s">
        <v>3289</v>
      </c>
      <c r="D1095" s="2334" t="s">
        <v>2872</v>
      </c>
      <c r="E1095" s="2250" t="s">
        <v>1833</v>
      </c>
      <c r="F1095" s="2176"/>
      <c r="G1095" s="2179">
        <f t="shared" ref="G1095:H1099" si="2334">G1108+G1121</f>
        <v>0</v>
      </c>
      <c r="H1095" s="2179">
        <f t="shared" si="2334"/>
        <v>0</v>
      </c>
      <c r="I1095" s="2178">
        <f t="shared" si="2308"/>
        <v>0</v>
      </c>
      <c r="J1095" s="2176"/>
      <c r="K1095" s="2179">
        <f t="shared" si="2331"/>
        <v>0</v>
      </c>
      <c r="L1095" s="2179">
        <f t="shared" si="2331"/>
        <v>0</v>
      </c>
      <c r="M1095" s="2178">
        <f t="shared" si="2309"/>
        <v>0</v>
      </c>
      <c r="N1095" s="2179">
        <f t="shared" ref="N1095:O1099" si="2335">N1108+N1121</f>
        <v>0</v>
      </c>
      <c r="O1095" s="2179">
        <f t="shared" si="2335"/>
        <v>0</v>
      </c>
      <c r="P1095" s="2178">
        <f t="shared" si="2310"/>
        <v>0</v>
      </c>
      <c r="Q1095" s="2184">
        <f t="shared" ref="Q1095:R1099" si="2336">Q1108+Q1121</f>
        <v>0</v>
      </c>
      <c r="R1095" s="2179">
        <f t="shared" si="2336"/>
        <v>0</v>
      </c>
      <c r="S1095" s="2178">
        <f t="shared" si="2311"/>
        <v>0</v>
      </c>
      <c r="T1095" s="2181">
        <f t="shared" si="2332"/>
        <v>0</v>
      </c>
      <c r="U1095" s="2179">
        <f t="shared" si="2332"/>
        <v>0</v>
      </c>
      <c r="V1095" s="2178">
        <f t="shared" si="2313"/>
        <v>0</v>
      </c>
      <c r="W1095" s="2184">
        <f t="shared" ref="W1095:X1099" si="2337">W1108+W1121</f>
        <v>0</v>
      </c>
      <c r="X1095" s="2179">
        <f t="shared" si="2337"/>
        <v>0</v>
      </c>
      <c r="Y1095" s="2178">
        <f t="shared" si="2314"/>
        <v>0</v>
      </c>
      <c r="Z1095" s="2181">
        <f t="shared" si="2333"/>
        <v>0</v>
      </c>
      <c r="AA1095" s="2179">
        <f t="shared" si="2333"/>
        <v>0</v>
      </c>
      <c r="AB1095" s="2178">
        <f t="shared" si="2316"/>
        <v>0</v>
      </c>
      <c r="AC1095" s="2184">
        <f t="shared" ref="AC1095:AD1099" si="2338">AC1108+AC1121</f>
        <v>0</v>
      </c>
      <c r="AD1095" s="2179">
        <f t="shared" si="2338"/>
        <v>0</v>
      </c>
      <c r="AE1095" s="2178">
        <f t="shared" si="2317"/>
        <v>0</v>
      </c>
      <c r="AF1095" s="2204"/>
      <c r="AG1095" s="2114"/>
      <c r="AH1095" s="2188">
        <f t="shared" ref="AH1095:AI1099" si="2339">AH1108+AH1121</f>
        <v>0</v>
      </c>
      <c r="AI1095" s="2188">
        <f t="shared" si="2339"/>
        <v>0</v>
      </c>
      <c r="AJ1095" s="2186">
        <f t="shared" si="2318"/>
        <v>0</v>
      </c>
      <c r="AK1095" s="2188">
        <f t="shared" ref="AK1095:AL1099" si="2340">AK1108+AK1121</f>
        <v>0</v>
      </c>
      <c r="AL1095" s="2188">
        <f t="shared" si="2340"/>
        <v>0</v>
      </c>
      <c r="AM1095" s="2186">
        <f t="shared" si="2319"/>
        <v>0</v>
      </c>
      <c r="AN1095" s="2188">
        <f t="shared" ref="AN1095:AO1099" si="2341">AN1108+AN1121</f>
        <v>0</v>
      </c>
      <c r="AO1095" s="2188">
        <f t="shared" si="2341"/>
        <v>0</v>
      </c>
      <c r="AP1095" s="2186">
        <f t="shared" si="2320"/>
        <v>0</v>
      </c>
      <c r="AQ1095" s="2188">
        <f t="shared" ref="AQ1095:AR1099" si="2342">AQ1108+AQ1121</f>
        <v>0</v>
      </c>
      <c r="AR1095" s="2188">
        <f t="shared" si="2342"/>
        <v>0</v>
      </c>
      <c r="AS1095" s="2186">
        <f t="shared" si="2321"/>
        <v>0</v>
      </c>
      <c r="AT1095" s="2188">
        <f t="shared" ref="AT1095:AU1099" si="2343">AT1108+AT1121</f>
        <v>0</v>
      </c>
      <c r="AU1095" s="2188">
        <f t="shared" si="2343"/>
        <v>0</v>
      </c>
      <c r="AV1095" s="2186">
        <f t="shared" si="2322"/>
        <v>0</v>
      </c>
      <c r="AW1095" s="2188">
        <f t="shared" ref="AW1095:AX1099" si="2344">AW1108+AW1121</f>
        <v>0</v>
      </c>
      <c r="AX1095" s="2188">
        <f t="shared" si="2344"/>
        <v>0</v>
      </c>
      <c r="AY1095" s="2186">
        <f t="shared" si="2323"/>
        <v>0</v>
      </c>
      <c r="AZ1095" s="2188">
        <f t="shared" ref="AZ1095:BA1099" si="2345">AZ1108+AZ1121</f>
        <v>0</v>
      </c>
      <c r="BA1095" s="2188">
        <f t="shared" si="2345"/>
        <v>0</v>
      </c>
      <c r="BB1095" s="2186">
        <f t="shared" si="2324"/>
        <v>0</v>
      </c>
      <c r="BC1095" s="2188">
        <f t="shared" ref="BC1095:BD1099" si="2346">BC1108+BC1121</f>
        <v>0</v>
      </c>
      <c r="BD1095" s="2188">
        <f t="shared" si="2346"/>
        <v>0</v>
      </c>
      <c r="BE1095" s="2186">
        <f t="shared" si="2325"/>
        <v>0</v>
      </c>
      <c r="BF1095" s="2188">
        <f t="shared" ref="BF1095:BG1099" si="2347">BF1108+BF1121</f>
        <v>0</v>
      </c>
      <c r="BG1095" s="2188">
        <f t="shared" si="2347"/>
        <v>0</v>
      </c>
      <c r="BH1095" s="2186">
        <f t="shared" si="2326"/>
        <v>0</v>
      </c>
      <c r="BI1095" s="2188">
        <f t="shared" ref="BI1095:BJ1099" si="2348">BI1108+BI1121</f>
        <v>0</v>
      </c>
      <c r="BJ1095" s="2188">
        <f t="shared" si="2348"/>
        <v>0</v>
      </c>
      <c r="BK1095" s="2186">
        <f t="shared" si="2327"/>
        <v>0</v>
      </c>
      <c r="BL1095" s="2188">
        <f t="shared" ref="BL1095:BM1099" si="2349">BL1108+BL1121</f>
        <v>0</v>
      </c>
      <c r="BM1095" s="2188">
        <f t="shared" si="2349"/>
        <v>0</v>
      </c>
      <c r="BN1095" s="2186">
        <f t="shared" si="2328"/>
        <v>0</v>
      </c>
      <c r="BO1095" s="2188">
        <f t="shared" ref="BO1095:BP1099" si="2350">BO1108+BO1121</f>
        <v>0</v>
      </c>
      <c r="BP1095" s="2188">
        <f t="shared" si="2350"/>
        <v>0</v>
      </c>
      <c r="BQ1095" s="2186">
        <f t="shared" si="2329"/>
        <v>0</v>
      </c>
    </row>
    <row r="1096" spans="3:69" s="2087" customFormat="1" ht="12" hidden="1" customHeight="1">
      <c r="C1096" s="2473" t="s">
        <v>3289</v>
      </c>
      <c r="D1096" s="2334" t="s">
        <v>2434</v>
      </c>
      <c r="E1096" s="2250" t="s">
        <v>1833</v>
      </c>
      <c r="F1096" s="2176"/>
      <c r="G1096" s="2179">
        <f t="shared" si="2334"/>
        <v>0</v>
      </c>
      <c r="H1096" s="2179">
        <f t="shared" si="2334"/>
        <v>0</v>
      </c>
      <c r="I1096" s="2178">
        <f t="shared" si="2308"/>
        <v>0</v>
      </c>
      <c r="J1096" s="2176"/>
      <c r="K1096" s="2179">
        <f>N1096+Q1096+W1096+AC1096</f>
        <v>0</v>
      </c>
      <c r="L1096" s="2179">
        <f>O1096+R1096+X1096+AD1096</f>
        <v>0</v>
      </c>
      <c r="M1096" s="2178">
        <f t="shared" si="2309"/>
        <v>0</v>
      </c>
      <c r="N1096" s="2179">
        <f t="shared" si="2335"/>
        <v>0</v>
      </c>
      <c r="O1096" s="2179">
        <f t="shared" si="2335"/>
        <v>0</v>
      </c>
      <c r="P1096" s="2178">
        <f t="shared" si="2310"/>
        <v>0</v>
      </c>
      <c r="Q1096" s="2179">
        <f t="shared" si="2336"/>
        <v>0</v>
      </c>
      <c r="R1096" s="2179">
        <f t="shared" si="2336"/>
        <v>0</v>
      </c>
      <c r="S1096" s="2178">
        <f t="shared" si="2311"/>
        <v>0</v>
      </c>
      <c r="T1096" s="2181">
        <f>N1096+Q1096</f>
        <v>0</v>
      </c>
      <c r="U1096" s="2179">
        <f>O1096+R1096</f>
        <v>0</v>
      </c>
      <c r="V1096" s="2178">
        <f t="shared" si="2313"/>
        <v>0</v>
      </c>
      <c r="W1096" s="2179">
        <f t="shared" si="2337"/>
        <v>0</v>
      </c>
      <c r="X1096" s="2179">
        <f t="shared" si="2337"/>
        <v>0</v>
      </c>
      <c r="Y1096" s="2178">
        <f t="shared" si="2314"/>
        <v>0</v>
      </c>
      <c r="Z1096" s="2181">
        <f>T1096+W1096</f>
        <v>0</v>
      </c>
      <c r="AA1096" s="2179">
        <f>U1096+X1096</f>
        <v>0</v>
      </c>
      <c r="AB1096" s="2178">
        <f t="shared" si="2316"/>
        <v>0</v>
      </c>
      <c r="AC1096" s="2179">
        <f t="shared" si="2338"/>
        <v>0</v>
      </c>
      <c r="AD1096" s="2179">
        <f t="shared" si="2338"/>
        <v>0</v>
      </c>
      <c r="AE1096" s="2178">
        <f t="shared" si="2317"/>
        <v>0</v>
      </c>
      <c r="AF1096" s="2204"/>
      <c r="AG1096" s="2114"/>
      <c r="AH1096" s="2188">
        <f t="shared" si="2339"/>
        <v>0</v>
      </c>
      <c r="AI1096" s="2188">
        <f t="shared" si="2339"/>
        <v>0</v>
      </c>
      <c r="AJ1096" s="2186">
        <f t="shared" si="2318"/>
        <v>0</v>
      </c>
      <c r="AK1096" s="2188">
        <f t="shared" si="2340"/>
        <v>0</v>
      </c>
      <c r="AL1096" s="2188">
        <f t="shared" si="2340"/>
        <v>0</v>
      </c>
      <c r="AM1096" s="2186">
        <f t="shared" si="2319"/>
        <v>0</v>
      </c>
      <c r="AN1096" s="2188">
        <f t="shared" si="2341"/>
        <v>0</v>
      </c>
      <c r="AO1096" s="2188">
        <f t="shared" si="2341"/>
        <v>0</v>
      </c>
      <c r="AP1096" s="2186">
        <f t="shared" si="2320"/>
        <v>0</v>
      </c>
      <c r="AQ1096" s="2188">
        <f t="shared" si="2342"/>
        <v>0</v>
      </c>
      <c r="AR1096" s="2188">
        <f t="shared" si="2342"/>
        <v>0</v>
      </c>
      <c r="AS1096" s="2186">
        <f t="shared" si="2321"/>
        <v>0</v>
      </c>
      <c r="AT1096" s="2188">
        <f t="shared" si="2343"/>
        <v>0</v>
      </c>
      <c r="AU1096" s="2188">
        <f t="shared" si="2343"/>
        <v>0</v>
      </c>
      <c r="AV1096" s="2186">
        <f t="shared" si="2322"/>
        <v>0</v>
      </c>
      <c r="AW1096" s="2188">
        <f t="shared" si="2344"/>
        <v>0</v>
      </c>
      <c r="AX1096" s="2188">
        <f t="shared" si="2344"/>
        <v>0</v>
      </c>
      <c r="AY1096" s="2186">
        <f t="shared" si="2323"/>
        <v>0</v>
      </c>
      <c r="AZ1096" s="2188">
        <f t="shared" si="2345"/>
        <v>0</v>
      </c>
      <c r="BA1096" s="2188">
        <f t="shared" si="2345"/>
        <v>0</v>
      </c>
      <c r="BB1096" s="2186">
        <f t="shared" si="2324"/>
        <v>0</v>
      </c>
      <c r="BC1096" s="2188">
        <f t="shared" si="2346"/>
        <v>0</v>
      </c>
      <c r="BD1096" s="2188">
        <f t="shared" si="2346"/>
        <v>0</v>
      </c>
      <c r="BE1096" s="2186">
        <f t="shared" si="2325"/>
        <v>0</v>
      </c>
      <c r="BF1096" s="2188">
        <f t="shared" si="2347"/>
        <v>0</v>
      </c>
      <c r="BG1096" s="2188">
        <f t="shared" si="2347"/>
        <v>0</v>
      </c>
      <c r="BH1096" s="2186">
        <f t="shared" si="2326"/>
        <v>0</v>
      </c>
      <c r="BI1096" s="2188">
        <f t="shared" si="2348"/>
        <v>0</v>
      </c>
      <c r="BJ1096" s="2188">
        <f t="shared" si="2348"/>
        <v>0</v>
      </c>
      <c r="BK1096" s="2186">
        <f t="shared" si="2327"/>
        <v>0</v>
      </c>
      <c r="BL1096" s="2188">
        <f t="shared" si="2349"/>
        <v>0</v>
      </c>
      <c r="BM1096" s="2188">
        <f t="shared" si="2349"/>
        <v>0</v>
      </c>
      <c r="BN1096" s="2186">
        <f t="shared" si="2328"/>
        <v>0</v>
      </c>
      <c r="BO1096" s="2188">
        <f t="shared" si="2350"/>
        <v>0</v>
      </c>
      <c r="BP1096" s="2188">
        <f t="shared" si="2350"/>
        <v>0</v>
      </c>
      <c r="BQ1096" s="2186">
        <f t="shared" si="2329"/>
        <v>0</v>
      </c>
    </row>
    <row r="1097" spans="3:69" s="2087" customFormat="1" ht="12" hidden="1" customHeight="1">
      <c r="C1097" s="2473" t="s">
        <v>3290</v>
      </c>
      <c r="D1097" s="2334" t="s">
        <v>42</v>
      </c>
      <c r="E1097" s="2250" t="s">
        <v>1833</v>
      </c>
      <c r="F1097" s="2176"/>
      <c r="G1097" s="2179">
        <f t="shared" si="2334"/>
        <v>0</v>
      </c>
      <c r="H1097" s="2179">
        <f t="shared" si="2334"/>
        <v>0</v>
      </c>
      <c r="I1097" s="2178">
        <f t="shared" si="2308"/>
        <v>0</v>
      </c>
      <c r="J1097" s="2176"/>
      <c r="K1097" s="2179">
        <f t="shared" si="2331"/>
        <v>0</v>
      </c>
      <c r="L1097" s="2179">
        <f t="shared" si="2331"/>
        <v>0</v>
      </c>
      <c r="M1097" s="2178">
        <f t="shared" si="2309"/>
        <v>0</v>
      </c>
      <c r="N1097" s="2179">
        <f t="shared" si="2335"/>
        <v>0</v>
      </c>
      <c r="O1097" s="2179">
        <f t="shared" si="2335"/>
        <v>0</v>
      </c>
      <c r="P1097" s="2178">
        <f t="shared" si="2310"/>
        <v>0</v>
      </c>
      <c r="Q1097" s="2184">
        <f t="shared" si="2336"/>
        <v>0</v>
      </c>
      <c r="R1097" s="2179">
        <f t="shared" si="2336"/>
        <v>0</v>
      </c>
      <c r="S1097" s="2178">
        <f t="shared" si="2311"/>
        <v>0</v>
      </c>
      <c r="T1097" s="2181">
        <f t="shared" si="2332"/>
        <v>0</v>
      </c>
      <c r="U1097" s="2179">
        <f t="shared" si="2332"/>
        <v>0</v>
      </c>
      <c r="V1097" s="2178">
        <f t="shared" si="2313"/>
        <v>0</v>
      </c>
      <c r="W1097" s="2184">
        <f t="shared" si="2337"/>
        <v>0</v>
      </c>
      <c r="X1097" s="2179">
        <f t="shared" si="2337"/>
        <v>0</v>
      </c>
      <c r="Y1097" s="2178">
        <f t="shared" si="2314"/>
        <v>0</v>
      </c>
      <c r="Z1097" s="2181">
        <f t="shared" si="2333"/>
        <v>0</v>
      </c>
      <c r="AA1097" s="2179">
        <f t="shared" si="2333"/>
        <v>0</v>
      </c>
      <c r="AB1097" s="2178">
        <f t="shared" si="2316"/>
        <v>0</v>
      </c>
      <c r="AC1097" s="2184">
        <f t="shared" si="2338"/>
        <v>0</v>
      </c>
      <c r="AD1097" s="2179">
        <f t="shared" si="2338"/>
        <v>0</v>
      </c>
      <c r="AE1097" s="2178">
        <f t="shared" si="2317"/>
        <v>0</v>
      </c>
      <c r="AF1097" s="2204"/>
      <c r="AG1097" s="2114"/>
      <c r="AH1097" s="2188">
        <f t="shared" si="2339"/>
        <v>0</v>
      </c>
      <c r="AI1097" s="2188">
        <f t="shared" si="2339"/>
        <v>0</v>
      </c>
      <c r="AJ1097" s="2186">
        <f t="shared" si="2318"/>
        <v>0</v>
      </c>
      <c r="AK1097" s="2188">
        <f t="shared" si="2340"/>
        <v>0</v>
      </c>
      <c r="AL1097" s="2188">
        <f t="shared" si="2340"/>
        <v>0</v>
      </c>
      <c r="AM1097" s="2186">
        <f t="shared" si="2319"/>
        <v>0</v>
      </c>
      <c r="AN1097" s="2188">
        <f t="shared" si="2341"/>
        <v>0</v>
      </c>
      <c r="AO1097" s="2188">
        <f t="shared" si="2341"/>
        <v>0</v>
      </c>
      <c r="AP1097" s="2186">
        <f t="shared" si="2320"/>
        <v>0</v>
      </c>
      <c r="AQ1097" s="2188">
        <f t="shared" si="2342"/>
        <v>0</v>
      </c>
      <c r="AR1097" s="2188">
        <f t="shared" si="2342"/>
        <v>0</v>
      </c>
      <c r="AS1097" s="2186">
        <f t="shared" si="2321"/>
        <v>0</v>
      </c>
      <c r="AT1097" s="2188">
        <f t="shared" si="2343"/>
        <v>0</v>
      </c>
      <c r="AU1097" s="2188">
        <f t="shared" si="2343"/>
        <v>0</v>
      </c>
      <c r="AV1097" s="2186">
        <f t="shared" si="2322"/>
        <v>0</v>
      </c>
      <c r="AW1097" s="2188">
        <f t="shared" si="2344"/>
        <v>0</v>
      </c>
      <c r="AX1097" s="2188">
        <f t="shared" si="2344"/>
        <v>0</v>
      </c>
      <c r="AY1097" s="2186">
        <f t="shared" si="2323"/>
        <v>0</v>
      </c>
      <c r="AZ1097" s="2188">
        <f t="shared" si="2345"/>
        <v>0</v>
      </c>
      <c r="BA1097" s="2188">
        <f t="shared" si="2345"/>
        <v>0</v>
      </c>
      <c r="BB1097" s="2186">
        <f t="shared" si="2324"/>
        <v>0</v>
      </c>
      <c r="BC1097" s="2188">
        <f t="shared" si="2346"/>
        <v>0</v>
      </c>
      <c r="BD1097" s="2188">
        <f t="shared" si="2346"/>
        <v>0</v>
      </c>
      <c r="BE1097" s="2186">
        <f t="shared" si="2325"/>
        <v>0</v>
      </c>
      <c r="BF1097" s="2188">
        <f t="shared" si="2347"/>
        <v>0</v>
      </c>
      <c r="BG1097" s="2188">
        <f t="shared" si="2347"/>
        <v>0</v>
      </c>
      <c r="BH1097" s="2186">
        <f t="shared" si="2326"/>
        <v>0</v>
      </c>
      <c r="BI1097" s="2188">
        <f t="shared" si="2348"/>
        <v>0</v>
      </c>
      <c r="BJ1097" s="2188">
        <f t="shared" si="2348"/>
        <v>0</v>
      </c>
      <c r="BK1097" s="2186">
        <f t="shared" si="2327"/>
        <v>0</v>
      </c>
      <c r="BL1097" s="2188">
        <f t="shared" si="2349"/>
        <v>0</v>
      </c>
      <c r="BM1097" s="2188">
        <f t="shared" si="2349"/>
        <v>0</v>
      </c>
      <c r="BN1097" s="2186">
        <f t="shared" si="2328"/>
        <v>0</v>
      </c>
      <c r="BO1097" s="2188">
        <f t="shared" si="2350"/>
        <v>0</v>
      </c>
      <c r="BP1097" s="2188">
        <f t="shared" si="2350"/>
        <v>0</v>
      </c>
      <c r="BQ1097" s="2186">
        <f t="shared" si="2329"/>
        <v>0</v>
      </c>
    </row>
    <row r="1098" spans="3:69" s="2087" customFormat="1" ht="12" hidden="1" customHeight="1">
      <c r="C1098" s="2473" t="s">
        <v>3290</v>
      </c>
      <c r="D1098" s="2334" t="s">
        <v>2434</v>
      </c>
      <c r="E1098" s="2250" t="s">
        <v>1833</v>
      </c>
      <c r="F1098" s="2176"/>
      <c r="G1098" s="2179">
        <f t="shared" si="2334"/>
        <v>0</v>
      </c>
      <c r="H1098" s="2179">
        <f t="shared" si="2334"/>
        <v>0</v>
      </c>
      <c r="I1098" s="2178">
        <f t="shared" si="2308"/>
        <v>0</v>
      </c>
      <c r="J1098" s="2176"/>
      <c r="K1098" s="2179">
        <f>N1098+Q1098+W1098+AC1098</f>
        <v>0</v>
      </c>
      <c r="L1098" s="2179">
        <f>O1098+R1098+X1098+AD1098</f>
        <v>0</v>
      </c>
      <c r="M1098" s="2178">
        <f t="shared" si="2309"/>
        <v>0</v>
      </c>
      <c r="N1098" s="2179">
        <f t="shared" si="2335"/>
        <v>0</v>
      </c>
      <c r="O1098" s="2179">
        <f t="shared" si="2335"/>
        <v>0</v>
      </c>
      <c r="P1098" s="2178">
        <f t="shared" si="2310"/>
        <v>0</v>
      </c>
      <c r="Q1098" s="2179">
        <f t="shared" si="2336"/>
        <v>0</v>
      </c>
      <c r="R1098" s="2179">
        <f t="shared" si="2336"/>
        <v>0</v>
      </c>
      <c r="S1098" s="2178">
        <f t="shared" si="2311"/>
        <v>0</v>
      </c>
      <c r="T1098" s="2181">
        <f>N1098+Q1098</f>
        <v>0</v>
      </c>
      <c r="U1098" s="2179">
        <f>O1098+R1098</f>
        <v>0</v>
      </c>
      <c r="V1098" s="2178">
        <f t="shared" si="2313"/>
        <v>0</v>
      </c>
      <c r="W1098" s="2179">
        <f t="shared" si="2337"/>
        <v>0</v>
      </c>
      <c r="X1098" s="2179">
        <f t="shared" si="2337"/>
        <v>0</v>
      </c>
      <c r="Y1098" s="2178">
        <f t="shared" si="2314"/>
        <v>0</v>
      </c>
      <c r="Z1098" s="2181">
        <f>T1098+W1098</f>
        <v>0</v>
      </c>
      <c r="AA1098" s="2179">
        <f>U1098+X1098</f>
        <v>0</v>
      </c>
      <c r="AB1098" s="2178">
        <f t="shared" si="2316"/>
        <v>0</v>
      </c>
      <c r="AC1098" s="2179">
        <f t="shared" si="2338"/>
        <v>0</v>
      </c>
      <c r="AD1098" s="2179">
        <f t="shared" si="2338"/>
        <v>0</v>
      </c>
      <c r="AE1098" s="2178">
        <f t="shared" si="2317"/>
        <v>0</v>
      </c>
      <c r="AF1098" s="2204"/>
      <c r="AG1098" s="2114"/>
      <c r="AH1098" s="2188">
        <f t="shared" si="2339"/>
        <v>0</v>
      </c>
      <c r="AI1098" s="2188">
        <f t="shared" si="2339"/>
        <v>0</v>
      </c>
      <c r="AJ1098" s="2186">
        <f t="shared" si="2318"/>
        <v>0</v>
      </c>
      <c r="AK1098" s="2188">
        <f t="shared" si="2340"/>
        <v>0</v>
      </c>
      <c r="AL1098" s="2188">
        <f t="shared" si="2340"/>
        <v>0</v>
      </c>
      <c r="AM1098" s="2186">
        <f t="shared" si="2319"/>
        <v>0</v>
      </c>
      <c r="AN1098" s="2188">
        <f t="shared" si="2341"/>
        <v>0</v>
      </c>
      <c r="AO1098" s="2188">
        <f t="shared" si="2341"/>
        <v>0</v>
      </c>
      <c r="AP1098" s="2186">
        <f t="shared" si="2320"/>
        <v>0</v>
      </c>
      <c r="AQ1098" s="2188">
        <f t="shared" si="2342"/>
        <v>0</v>
      </c>
      <c r="AR1098" s="2188">
        <f t="shared" si="2342"/>
        <v>0</v>
      </c>
      <c r="AS1098" s="2186">
        <f t="shared" si="2321"/>
        <v>0</v>
      </c>
      <c r="AT1098" s="2188">
        <f t="shared" si="2343"/>
        <v>0</v>
      </c>
      <c r="AU1098" s="2188">
        <f t="shared" si="2343"/>
        <v>0</v>
      </c>
      <c r="AV1098" s="2186">
        <f t="shared" si="2322"/>
        <v>0</v>
      </c>
      <c r="AW1098" s="2188">
        <f t="shared" si="2344"/>
        <v>0</v>
      </c>
      <c r="AX1098" s="2188">
        <f t="shared" si="2344"/>
        <v>0</v>
      </c>
      <c r="AY1098" s="2186">
        <f t="shared" si="2323"/>
        <v>0</v>
      </c>
      <c r="AZ1098" s="2188">
        <f t="shared" si="2345"/>
        <v>0</v>
      </c>
      <c r="BA1098" s="2188">
        <f t="shared" si="2345"/>
        <v>0</v>
      </c>
      <c r="BB1098" s="2186">
        <f t="shared" si="2324"/>
        <v>0</v>
      </c>
      <c r="BC1098" s="2188">
        <f t="shared" si="2346"/>
        <v>0</v>
      </c>
      <c r="BD1098" s="2188">
        <f t="shared" si="2346"/>
        <v>0</v>
      </c>
      <c r="BE1098" s="2186">
        <f t="shared" si="2325"/>
        <v>0</v>
      </c>
      <c r="BF1098" s="2188">
        <f t="shared" si="2347"/>
        <v>0</v>
      </c>
      <c r="BG1098" s="2188">
        <f t="shared" si="2347"/>
        <v>0</v>
      </c>
      <c r="BH1098" s="2186">
        <f t="shared" si="2326"/>
        <v>0</v>
      </c>
      <c r="BI1098" s="2188">
        <f t="shared" si="2348"/>
        <v>0</v>
      </c>
      <c r="BJ1098" s="2188">
        <f t="shared" si="2348"/>
        <v>0</v>
      </c>
      <c r="BK1098" s="2186">
        <f t="shared" si="2327"/>
        <v>0</v>
      </c>
      <c r="BL1098" s="2188">
        <f t="shared" si="2349"/>
        <v>0</v>
      </c>
      <c r="BM1098" s="2188">
        <f t="shared" si="2349"/>
        <v>0</v>
      </c>
      <c r="BN1098" s="2186">
        <f t="shared" si="2328"/>
        <v>0</v>
      </c>
      <c r="BO1098" s="2188">
        <f t="shared" si="2350"/>
        <v>0</v>
      </c>
      <c r="BP1098" s="2188">
        <f t="shared" si="2350"/>
        <v>0</v>
      </c>
      <c r="BQ1098" s="2186">
        <f t="shared" si="2329"/>
        <v>0</v>
      </c>
    </row>
    <row r="1099" spans="3:69" s="2087" customFormat="1" ht="12" hidden="1" customHeight="1">
      <c r="C1099" s="2423" t="s">
        <v>3287</v>
      </c>
      <c r="D1099" s="2421" t="s">
        <v>3151</v>
      </c>
      <c r="E1099" s="2250" t="s">
        <v>1833</v>
      </c>
      <c r="F1099" s="2176"/>
      <c r="G1099" s="2179">
        <f t="shared" si="2334"/>
        <v>0</v>
      </c>
      <c r="H1099" s="2179">
        <f t="shared" si="2334"/>
        <v>0</v>
      </c>
      <c r="I1099" s="2178">
        <f t="shared" si="2308"/>
        <v>0</v>
      </c>
      <c r="J1099" s="2176"/>
      <c r="K1099" s="2179">
        <f t="shared" si="2331"/>
        <v>0</v>
      </c>
      <c r="L1099" s="2179">
        <f t="shared" si="2331"/>
        <v>0</v>
      </c>
      <c r="M1099" s="2178">
        <f t="shared" si="2309"/>
        <v>0</v>
      </c>
      <c r="N1099" s="2179">
        <f t="shared" si="2335"/>
        <v>0</v>
      </c>
      <c r="O1099" s="2179">
        <f t="shared" si="2335"/>
        <v>0</v>
      </c>
      <c r="P1099" s="2178">
        <f t="shared" si="2310"/>
        <v>0</v>
      </c>
      <c r="Q1099" s="2184">
        <f t="shared" si="2336"/>
        <v>0</v>
      </c>
      <c r="R1099" s="2179">
        <f t="shared" si="2336"/>
        <v>0</v>
      </c>
      <c r="S1099" s="2178">
        <f t="shared" si="2311"/>
        <v>0</v>
      </c>
      <c r="T1099" s="2181">
        <f t="shared" si="2332"/>
        <v>0</v>
      </c>
      <c r="U1099" s="2179">
        <f t="shared" si="2332"/>
        <v>0</v>
      </c>
      <c r="V1099" s="2178">
        <f t="shared" si="2313"/>
        <v>0</v>
      </c>
      <c r="W1099" s="2184">
        <f t="shared" si="2337"/>
        <v>0</v>
      </c>
      <c r="X1099" s="2179">
        <f t="shared" si="2337"/>
        <v>0</v>
      </c>
      <c r="Y1099" s="2178">
        <f t="shared" si="2314"/>
        <v>0</v>
      </c>
      <c r="Z1099" s="2181">
        <f t="shared" si="2333"/>
        <v>0</v>
      </c>
      <c r="AA1099" s="2179">
        <f t="shared" si="2333"/>
        <v>0</v>
      </c>
      <c r="AB1099" s="2178">
        <f t="shared" si="2316"/>
        <v>0</v>
      </c>
      <c r="AC1099" s="2184">
        <f t="shared" si="2338"/>
        <v>0</v>
      </c>
      <c r="AD1099" s="2179">
        <f t="shared" si="2338"/>
        <v>0</v>
      </c>
      <c r="AE1099" s="2178">
        <f t="shared" si="2317"/>
        <v>0</v>
      </c>
      <c r="AF1099" s="2204"/>
      <c r="AG1099" s="2114"/>
      <c r="AH1099" s="2188">
        <f t="shared" si="2339"/>
        <v>0</v>
      </c>
      <c r="AI1099" s="2188">
        <f t="shared" si="2339"/>
        <v>0</v>
      </c>
      <c r="AJ1099" s="2186">
        <f t="shared" si="2318"/>
        <v>0</v>
      </c>
      <c r="AK1099" s="2188">
        <f t="shared" si="2340"/>
        <v>0</v>
      </c>
      <c r="AL1099" s="2188">
        <f t="shared" si="2340"/>
        <v>0</v>
      </c>
      <c r="AM1099" s="2186">
        <f t="shared" si="2319"/>
        <v>0</v>
      </c>
      <c r="AN1099" s="2188">
        <f t="shared" si="2341"/>
        <v>0</v>
      </c>
      <c r="AO1099" s="2188">
        <f t="shared" si="2341"/>
        <v>0</v>
      </c>
      <c r="AP1099" s="2186">
        <f t="shared" si="2320"/>
        <v>0</v>
      </c>
      <c r="AQ1099" s="2188">
        <f t="shared" si="2342"/>
        <v>0</v>
      </c>
      <c r="AR1099" s="2188">
        <f t="shared" si="2342"/>
        <v>0</v>
      </c>
      <c r="AS1099" s="2186">
        <f t="shared" si="2321"/>
        <v>0</v>
      </c>
      <c r="AT1099" s="2188">
        <f t="shared" si="2343"/>
        <v>0</v>
      </c>
      <c r="AU1099" s="2188">
        <f t="shared" si="2343"/>
        <v>0</v>
      </c>
      <c r="AV1099" s="2186">
        <f t="shared" si="2322"/>
        <v>0</v>
      </c>
      <c r="AW1099" s="2188">
        <f t="shared" si="2344"/>
        <v>0</v>
      </c>
      <c r="AX1099" s="2188">
        <f t="shared" si="2344"/>
        <v>0</v>
      </c>
      <c r="AY1099" s="2186">
        <f t="shared" si="2323"/>
        <v>0</v>
      </c>
      <c r="AZ1099" s="2188">
        <f t="shared" si="2345"/>
        <v>0</v>
      </c>
      <c r="BA1099" s="2188">
        <f t="shared" si="2345"/>
        <v>0</v>
      </c>
      <c r="BB1099" s="2186">
        <f t="shared" si="2324"/>
        <v>0</v>
      </c>
      <c r="BC1099" s="2188">
        <f t="shared" si="2346"/>
        <v>0</v>
      </c>
      <c r="BD1099" s="2188">
        <f t="shared" si="2346"/>
        <v>0</v>
      </c>
      <c r="BE1099" s="2186">
        <f t="shared" si="2325"/>
        <v>0</v>
      </c>
      <c r="BF1099" s="2188">
        <f t="shared" si="2347"/>
        <v>0</v>
      </c>
      <c r="BG1099" s="2188">
        <f t="shared" si="2347"/>
        <v>0</v>
      </c>
      <c r="BH1099" s="2186">
        <f t="shared" si="2326"/>
        <v>0</v>
      </c>
      <c r="BI1099" s="2188">
        <f t="shared" si="2348"/>
        <v>0</v>
      </c>
      <c r="BJ1099" s="2188">
        <f t="shared" si="2348"/>
        <v>0</v>
      </c>
      <c r="BK1099" s="2186">
        <f t="shared" si="2327"/>
        <v>0</v>
      </c>
      <c r="BL1099" s="2188">
        <f t="shared" si="2349"/>
        <v>0</v>
      </c>
      <c r="BM1099" s="2188">
        <f t="shared" si="2349"/>
        <v>0</v>
      </c>
      <c r="BN1099" s="2186">
        <f t="shared" si="2328"/>
        <v>0</v>
      </c>
      <c r="BO1099" s="2188">
        <f t="shared" si="2350"/>
        <v>0</v>
      </c>
      <c r="BP1099" s="2188">
        <f t="shared" si="2350"/>
        <v>0</v>
      </c>
      <c r="BQ1099" s="2186">
        <f t="shared" si="2329"/>
        <v>0</v>
      </c>
    </row>
    <row r="1100" spans="3:69" s="2087" customFormat="1" ht="12" hidden="1" customHeight="1">
      <c r="C1100" s="2486" t="s">
        <v>3288</v>
      </c>
      <c r="D1100" s="2334" t="s">
        <v>28</v>
      </c>
      <c r="E1100" s="2250" t="s">
        <v>1833</v>
      </c>
      <c r="F1100" s="2176"/>
      <c r="G1100" s="2179">
        <f>G1126</f>
        <v>0</v>
      </c>
      <c r="H1100" s="2179">
        <f>H1126</f>
        <v>0</v>
      </c>
      <c r="I1100" s="2178">
        <f t="shared" si="2308"/>
        <v>0</v>
      </c>
      <c r="J1100" s="2176"/>
      <c r="K1100" s="2179">
        <f t="shared" si="2331"/>
        <v>0</v>
      </c>
      <c r="L1100" s="2179">
        <f t="shared" si="2331"/>
        <v>0</v>
      </c>
      <c r="M1100" s="2178">
        <f t="shared" si="2309"/>
        <v>0</v>
      </c>
      <c r="N1100" s="2179">
        <f>N1126</f>
        <v>0</v>
      </c>
      <c r="O1100" s="2179">
        <f>O1126</f>
        <v>0</v>
      </c>
      <c r="P1100" s="2178">
        <f t="shared" si="2310"/>
        <v>0</v>
      </c>
      <c r="Q1100" s="2184">
        <f>Q1126</f>
        <v>0</v>
      </c>
      <c r="R1100" s="2179">
        <f>R1126</f>
        <v>0</v>
      </c>
      <c r="S1100" s="2178">
        <f t="shared" si="2311"/>
        <v>0</v>
      </c>
      <c r="T1100" s="2181">
        <f t="shared" si="2332"/>
        <v>0</v>
      </c>
      <c r="U1100" s="2179">
        <f t="shared" si="2332"/>
        <v>0</v>
      </c>
      <c r="V1100" s="2178">
        <f t="shared" si="2313"/>
        <v>0</v>
      </c>
      <c r="W1100" s="2184">
        <f>W1126</f>
        <v>0</v>
      </c>
      <c r="X1100" s="2179">
        <f>X1126</f>
        <v>0</v>
      </c>
      <c r="Y1100" s="2178">
        <f t="shared" si="2314"/>
        <v>0</v>
      </c>
      <c r="Z1100" s="2181">
        <f t="shared" si="2333"/>
        <v>0</v>
      </c>
      <c r="AA1100" s="2179">
        <f t="shared" si="2333"/>
        <v>0</v>
      </c>
      <c r="AB1100" s="2178">
        <f t="shared" si="2316"/>
        <v>0</v>
      </c>
      <c r="AC1100" s="2184">
        <f>AC1126</f>
        <v>0</v>
      </c>
      <c r="AD1100" s="2179">
        <f>AD1126</f>
        <v>0</v>
      </c>
      <c r="AE1100" s="2178">
        <f t="shared" si="2317"/>
        <v>0</v>
      </c>
      <c r="AF1100" s="2204"/>
      <c r="AG1100" s="2114"/>
      <c r="AH1100" s="2188">
        <f>AH1126</f>
        <v>0</v>
      </c>
      <c r="AI1100" s="2188">
        <f>AI1126</f>
        <v>0</v>
      </c>
      <c r="AJ1100" s="2186">
        <f t="shared" si="2318"/>
        <v>0</v>
      </c>
      <c r="AK1100" s="2188">
        <f>AK1126</f>
        <v>0</v>
      </c>
      <c r="AL1100" s="2188">
        <f>AL1126</f>
        <v>0</v>
      </c>
      <c r="AM1100" s="2186">
        <f t="shared" si="2319"/>
        <v>0</v>
      </c>
      <c r="AN1100" s="2188">
        <f>AN1126</f>
        <v>0</v>
      </c>
      <c r="AO1100" s="2188">
        <f>AO1126</f>
        <v>0</v>
      </c>
      <c r="AP1100" s="2186">
        <f t="shared" si="2320"/>
        <v>0</v>
      </c>
      <c r="AQ1100" s="2188">
        <f>AQ1126</f>
        <v>0</v>
      </c>
      <c r="AR1100" s="2188">
        <f>AR1126</f>
        <v>0</v>
      </c>
      <c r="AS1100" s="2186">
        <f t="shared" si="2321"/>
        <v>0</v>
      </c>
      <c r="AT1100" s="2188">
        <f>AT1126</f>
        <v>0</v>
      </c>
      <c r="AU1100" s="2188">
        <f>AU1126</f>
        <v>0</v>
      </c>
      <c r="AV1100" s="2186">
        <f t="shared" si="2322"/>
        <v>0</v>
      </c>
      <c r="AW1100" s="2188">
        <f>AW1126</f>
        <v>0</v>
      </c>
      <c r="AX1100" s="2188">
        <f>AX1126</f>
        <v>0</v>
      </c>
      <c r="AY1100" s="2186">
        <f t="shared" si="2323"/>
        <v>0</v>
      </c>
      <c r="AZ1100" s="2188">
        <f>AZ1126</f>
        <v>0</v>
      </c>
      <c r="BA1100" s="2188">
        <f>BA1126</f>
        <v>0</v>
      </c>
      <c r="BB1100" s="2186">
        <f t="shared" si="2324"/>
        <v>0</v>
      </c>
      <c r="BC1100" s="2188">
        <f>BC1126</f>
        <v>0</v>
      </c>
      <c r="BD1100" s="2188">
        <f>BD1126</f>
        <v>0</v>
      </c>
      <c r="BE1100" s="2186">
        <f t="shared" si="2325"/>
        <v>0</v>
      </c>
      <c r="BF1100" s="2188">
        <f>BF1126</f>
        <v>0</v>
      </c>
      <c r="BG1100" s="2188">
        <f>BG1126</f>
        <v>0</v>
      </c>
      <c r="BH1100" s="2186">
        <f t="shared" si="2326"/>
        <v>0</v>
      </c>
      <c r="BI1100" s="2188">
        <f>BI1126</f>
        <v>0</v>
      </c>
      <c r="BJ1100" s="2188">
        <f>BJ1126</f>
        <v>0</v>
      </c>
      <c r="BK1100" s="2186">
        <f t="shared" si="2327"/>
        <v>0</v>
      </c>
      <c r="BL1100" s="2188">
        <f>BL1126</f>
        <v>0</v>
      </c>
      <c r="BM1100" s="2188">
        <f>BM1126</f>
        <v>0</v>
      </c>
      <c r="BN1100" s="2186">
        <f t="shared" si="2328"/>
        <v>0</v>
      </c>
      <c r="BO1100" s="2188">
        <f>BO1126</f>
        <v>0</v>
      </c>
      <c r="BP1100" s="2188">
        <f>BP1126</f>
        <v>0</v>
      </c>
      <c r="BQ1100" s="2186">
        <f t="shared" si="2329"/>
        <v>0</v>
      </c>
    </row>
    <row r="1101" spans="3:69" s="2087" customFormat="1" ht="12" hidden="1" customHeight="1">
      <c r="C1101" s="2486" t="s">
        <v>3288</v>
      </c>
      <c r="D1101" s="2334" t="s">
        <v>2434</v>
      </c>
      <c r="E1101" s="2250" t="s">
        <v>1833</v>
      </c>
      <c r="F1101" s="2176"/>
      <c r="G1101" s="2179">
        <f>G1127</f>
        <v>0</v>
      </c>
      <c r="H1101" s="2179">
        <f>H1127</f>
        <v>0</v>
      </c>
      <c r="I1101" s="2178">
        <f t="shared" si="2308"/>
        <v>0</v>
      </c>
      <c r="J1101" s="2176"/>
      <c r="K1101" s="2179">
        <f>N1101+Q1101+W1101+AC1101</f>
        <v>0</v>
      </c>
      <c r="L1101" s="2179">
        <f>O1101+R1101+X1101+AD1101</f>
        <v>0</v>
      </c>
      <c r="M1101" s="2178">
        <f t="shared" si="2309"/>
        <v>0</v>
      </c>
      <c r="N1101" s="2179">
        <f>N1127</f>
        <v>0</v>
      </c>
      <c r="O1101" s="2179">
        <f>O1127</f>
        <v>0</v>
      </c>
      <c r="P1101" s="2178">
        <f t="shared" si="2310"/>
        <v>0</v>
      </c>
      <c r="Q1101" s="2179">
        <f>Q1127</f>
        <v>0</v>
      </c>
      <c r="R1101" s="2179">
        <f>R1127</f>
        <v>0</v>
      </c>
      <c r="S1101" s="2178">
        <f t="shared" si="2311"/>
        <v>0</v>
      </c>
      <c r="T1101" s="2181">
        <f>N1101+Q1101</f>
        <v>0</v>
      </c>
      <c r="U1101" s="2179">
        <f>O1101+R1101</f>
        <v>0</v>
      </c>
      <c r="V1101" s="2178">
        <f t="shared" si="2313"/>
        <v>0</v>
      </c>
      <c r="W1101" s="2179">
        <f>W1127</f>
        <v>0</v>
      </c>
      <c r="X1101" s="2179">
        <f>X1127</f>
        <v>0</v>
      </c>
      <c r="Y1101" s="2178">
        <f t="shared" si="2314"/>
        <v>0</v>
      </c>
      <c r="Z1101" s="2181">
        <f>T1101+W1101</f>
        <v>0</v>
      </c>
      <c r="AA1101" s="2179">
        <f>U1101+X1101</f>
        <v>0</v>
      </c>
      <c r="AB1101" s="2178">
        <f t="shared" si="2316"/>
        <v>0</v>
      </c>
      <c r="AC1101" s="2179">
        <f>AC1127</f>
        <v>0</v>
      </c>
      <c r="AD1101" s="2179">
        <f>AD1127</f>
        <v>0</v>
      </c>
      <c r="AE1101" s="2178">
        <f t="shared" si="2317"/>
        <v>0</v>
      </c>
      <c r="AF1101" s="2204"/>
      <c r="AG1101" s="2114"/>
      <c r="AH1101" s="2188">
        <f>AH1127</f>
        <v>0</v>
      </c>
      <c r="AI1101" s="2188">
        <f>AI1127</f>
        <v>0</v>
      </c>
      <c r="AJ1101" s="2186">
        <f t="shared" si="2318"/>
        <v>0</v>
      </c>
      <c r="AK1101" s="2188">
        <f>AK1127</f>
        <v>0</v>
      </c>
      <c r="AL1101" s="2188">
        <f>AL1127</f>
        <v>0</v>
      </c>
      <c r="AM1101" s="2186">
        <f t="shared" si="2319"/>
        <v>0</v>
      </c>
      <c r="AN1101" s="2188">
        <f>AN1127</f>
        <v>0</v>
      </c>
      <c r="AO1101" s="2188">
        <f>AO1127</f>
        <v>0</v>
      </c>
      <c r="AP1101" s="2186">
        <f t="shared" si="2320"/>
        <v>0</v>
      </c>
      <c r="AQ1101" s="2188">
        <f>AQ1127</f>
        <v>0</v>
      </c>
      <c r="AR1101" s="2188">
        <f>AR1127</f>
        <v>0</v>
      </c>
      <c r="AS1101" s="2186">
        <f t="shared" si="2321"/>
        <v>0</v>
      </c>
      <c r="AT1101" s="2188">
        <f>AT1127</f>
        <v>0</v>
      </c>
      <c r="AU1101" s="2188">
        <f>AU1127</f>
        <v>0</v>
      </c>
      <c r="AV1101" s="2186">
        <f t="shared" si="2322"/>
        <v>0</v>
      </c>
      <c r="AW1101" s="2188">
        <f>AW1127</f>
        <v>0</v>
      </c>
      <c r="AX1101" s="2188">
        <f>AX1127</f>
        <v>0</v>
      </c>
      <c r="AY1101" s="2186">
        <f t="shared" si="2323"/>
        <v>0</v>
      </c>
      <c r="AZ1101" s="2188">
        <f>AZ1127</f>
        <v>0</v>
      </c>
      <c r="BA1101" s="2188">
        <f>BA1127</f>
        <v>0</v>
      </c>
      <c r="BB1101" s="2186">
        <f t="shared" si="2324"/>
        <v>0</v>
      </c>
      <c r="BC1101" s="2188">
        <f>BC1127</f>
        <v>0</v>
      </c>
      <c r="BD1101" s="2188">
        <f>BD1127</f>
        <v>0</v>
      </c>
      <c r="BE1101" s="2186">
        <f t="shared" si="2325"/>
        <v>0</v>
      </c>
      <c r="BF1101" s="2188">
        <f>BF1127</f>
        <v>0</v>
      </c>
      <c r="BG1101" s="2188">
        <f>BG1127</f>
        <v>0</v>
      </c>
      <c r="BH1101" s="2186">
        <f t="shared" si="2326"/>
        <v>0</v>
      </c>
      <c r="BI1101" s="2188">
        <f>BI1127</f>
        <v>0</v>
      </c>
      <c r="BJ1101" s="2188">
        <f>BJ1127</f>
        <v>0</v>
      </c>
      <c r="BK1101" s="2186">
        <f t="shared" si="2327"/>
        <v>0</v>
      </c>
      <c r="BL1101" s="2188">
        <f>BL1127</f>
        <v>0</v>
      </c>
      <c r="BM1101" s="2188">
        <f>BM1127</f>
        <v>0</v>
      </c>
      <c r="BN1101" s="2186">
        <f t="shared" si="2328"/>
        <v>0</v>
      </c>
      <c r="BO1101" s="2188">
        <f>BO1127</f>
        <v>0</v>
      </c>
      <c r="BP1101" s="2188">
        <f>BP1127</f>
        <v>0</v>
      </c>
      <c r="BQ1101" s="2186">
        <f t="shared" si="2329"/>
        <v>0</v>
      </c>
    </row>
    <row r="1102" spans="3:69" s="2087" customFormat="1" ht="12" hidden="1" customHeight="1">
      <c r="C1102" s="2486" t="s">
        <v>3289</v>
      </c>
      <c r="D1102" s="2334" t="s">
        <v>2872</v>
      </c>
      <c r="E1102" s="2250" t="s">
        <v>1833</v>
      </c>
      <c r="F1102" s="2176"/>
      <c r="G1102" s="2179">
        <f t="shared" ref="G1102:H1105" si="2351">G1113+G1128</f>
        <v>0</v>
      </c>
      <c r="H1102" s="2179">
        <f t="shared" si="2351"/>
        <v>0</v>
      </c>
      <c r="I1102" s="2178">
        <f t="shared" si="2308"/>
        <v>0</v>
      </c>
      <c r="J1102" s="2176"/>
      <c r="K1102" s="2179">
        <f t="shared" si="2331"/>
        <v>0</v>
      </c>
      <c r="L1102" s="2179">
        <f t="shared" si="2331"/>
        <v>0</v>
      </c>
      <c r="M1102" s="2178">
        <f t="shared" si="2309"/>
        <v>0</v>
      </c>
      <c r="N1102" s="2179">
        <f t="shared" ref="N1102:O1105" si="2352">N1113+N1128</f>
        <v>0</v>
      </c>
      <c r="O1102" s="2179">
        <f t="shared" si="2352"/>
        <v>0</v>
      </c>
      <c r="P1102" s="2178">
        <f t="shared" si="2310"/>
        <v>0</v>
      </c>
      <c r="Q1102" s="2184">
        <f t="shared" ref="Q1102:R1105" si="2353">Q1113+Q1128</f>
        <v>0</v>
      </c>
      <c r="R1102" s="2179">
        <f t="shared" si="2353"/>
        <v>0</v>
      </c>
      <c r="S1102" s="2178">
        <f t="shared" si="2311"/>
        <v>0</v>
      </c>
      <c r="T1102" s="2181">
        <f t="shared" si="2332"/>
        <v>0</v>
      </c>
      <c r="U1102" s="2179">
        <f t="shared" si="2332"/>
        <v>0</v>
      </c>
      <c r="V1102" s="2178">
        <f t="shared" si="2313"/>
        <v>0</v>
      </c>
      <c r="W1102" s="2184">
        <f t="shared" ref="W1102:X1105" si="2354">W1113+W1128</f>
        <v>0</v>
      </c>
      <c r="X1102" s="2179">
        <f t="shared" si="2354"/>
        <v>0</v>
      </c>
      <c r="Y1102" s="2178">
        <f t="shared" si="2314"/>
        <v>0</v>
      </c>
      <c r="Z1102" s="2181">
        <f t="shared" si="2333"/>
        <v>0</v>
      </c>
      <c r="AA1102" s="2179">
        <f t="shared" si="2333"/>
        <v>0</v>
      </c>
      <c r="AB1102" s="2178">
        <f t="shared" si="2316"/>
        <v>0</v>
      </c>
      <c r="AC1102" s="2184">
        <f t="shared" ref="AC1102:AD1105" si="2355">AC1113+AC1128</f>
        <v>0</v>
      </c>
      <c r="AD1102" s="2179">
        <f t="shared" si="2355"/>
        <v>0</v>
      </c>
      <c r="AE1102" s="2178">
        <f t="shared" si="2317"/>
        <v>0</v>
      </c>
      <c r="AF1102" s="2204"/>
      <c r="AG1102" s="2114"/>
      <c r="AH1102" s="2188">
        <f t="shared" ref="AH1102:AI1105" si="2356">AH1113+AH1128</f>
        <v>0</v>
      </c>
      <c r="AI1102" s="2188">
        <f t="shared" si="2356"/>
        <v>0</v>
      </c>
      <c r="AJ1102" s="2186">
        <f t="shared" si="2318"/>
        <v>0</v>
      </c>
      <c r="AK1102" s="2188">
        <f t="shared" ref="AK1102:AL1105" si="2357">AK1113+AK1128</f>
        <v>0</v>
      </c>
      <c r="AL1102" s="2188">
        <f t="shared" si="2357"/>
        <v>0</v>
      </c>
      <c r="AM1102" s="2186">
        <f t="shared" si="2319"/>
        <v>0</v>
      </c>
      <c r="AN1102" s="2188">
        <f t="shared" ref="AN1102:AO1105" si="2358">AN1113+AN1128</f>
        <v>0</v>
      </c>
      <c r="AO1102" s="2188">
        <f t="shared" si="2358"/>
        <v>0</v>
      </c>
      <c r="AP1102" s="2186">
        <f t="shared" si="2320"/>
        <v>0</v>
      </c>
      <c r="AQ1102" s="2188">
        <f t="shared" ref="AQ1102:AR1105" si="2359">AQ1113+AQ1128</f>
        <v>0</v>
      </c>
      <c r="AR1102" s="2188">
        <f t="shared" si="2359"/>
        <v>0</v>
      </c>
      <c r="AS1102" s="2186">
        <f t="shared" si="2321"/>
        <v>0</v>
      </c>
      <c r="AT1102" s="2188">
        <f t="shared" ref="AT1102:AU1105" si="2360">AT1113+AT1128</f>
        <v>0</v>
      </c>
      <c r="AU1102" s="2188">
        <f t="shared" si="2360"/>
        <v>0</v>
      </c>
      <c r="AV1102" s="2186">
        <f t="shared" si="2322"/>
        <v>0</v>
      </c>
      <c r="AW1102" s="2188">
        <f t="shared" ref="AW1102:AX1105" si="2361">AW1113+AW1128</f>
        <v>0</v>
      </c>
      <c r="AX1102" s="2188">
        <f t="shared" si="2361"/>
        <v>0</v>
      </c>
      <c r="AY1102" s="2186">
        <f t="shared" si="2323"/>
        <v>0</v>
      </c>
      <c r="AZ1102" s="2188">
        <f t="shared" ref="AZ1102:BA1105" si="2362">AZ1113+AZ1128</f>
        <v>0</v>
      </c>
      <c r="BA1102" s="2188">
        <f t="shared" si="2362"/>
        <v>0</v>
      </c>
      <c r="BB1102" s="2186">
        <f t="shared" si="2324"/>
        <v>0</v>
      </c>
      <c r="BC1102" s="2188">
        <f t="shared" ref="BC1102:BD1105" si="2363">BC1113+BC1128</f>
        <v>0</v>
      </c>
      <c r="BD1102" s="2188">
        <f t="shared" si="2363"/>
        <v>0</v>
      </c>
      <c r="BE1102" s="2186">
        <f t="shared" si="2325"/>
        <v>0</v>
      </c>
      <c r="BF1102" s="2188">
        <f t="shared" ref="BF1102:BG1105" si="2364">BF1113+BF1128</f>
        <v>0</v>
      </c>
      <c r="BG1102" s="2188">
        <f t="shared" si="2364"/>
        <v>0</v>
      </c>
      <c r="BH1102" s="2186">
        <f t="shared" si="2326"/>
        <v>0</v>
      </c>
      <c r="BI1102" s="2188">
        <f t="shared" ref="BI1102:BJ1105" si="2365">BI1113+BI1128</f>
        <v>0</v>
      </c>
      <c r="BJ1102" s="2188">
        <f t="shared" si="2365"/>
        <v>0</v>
      </c>
      <c r="BK1102" s="2186">
        <f t="shared" si="2327"/>
        <v>0</v>
      </c>
      <c r="BL1102" s="2188">
        <f t="shared" ref="BL1102:BM1105" si="2366">BL1113+BL1128</f>
        <v>0</v>
      </c>
      <c r="BM1102" s="2188">
        <f t="shared" si="2366"/>
        <v>0</v>
      </c>
      <c r="BN1102" s="2186">
        <f t="shared" si="2328"/>
        <v>0</v>
      </c>
      <c r="BO1102" s="2188">
        <f t="shared" ref="BO1102:BP1105" si="2367">BO1113+BO1128</f>
        <v>0</v>
      </c>
      <c r="BP1102" s="2188">
        <f t="shared" si="2367"/>
        <v>0</v>
      </c>
      <c r="BQ1102" s="2186">
        <f t="shared" si="2329"/>
        <v>0</v>
      </c>
    </row>
    <row r="1103" spans="3:69" s="2087" customFormat="1" ht="12" hidden="1" customHeight="1">
      <c r="C1103" s="2486" t="s">
        <v>3289</v>
      </c>
      <c r="D1103" s="2334" t="s">
        <v>2434</v>
      </c>
      <c r="E1103" s="2250" t="s">
        <v>1833</v>
      </c>
      <c r="F1103" s="2176"/>
      <c r="G1103" s="2179">
        <f t="shared" si="2351"/>
        <v>0</v>
      </c>
      <c r="H1103" s="2179">
        <f t="shared" si="2351"/>
        <v>0</v>
      </c>
      <c r="I1103" s="2178">
        <f t="shared" si="2308"/>
        <v>0</v>
      </c>
      <c r="J1103" s="2176"/>
      <c r="K1103" s="2179">
        <f>N1103+Q1103+W1103+AC1103</f>
        <v>0</v>
      </c>
      <c r="L1103" s="2179">
        <f>O1103+R1103+X1103+AD1103</f>
        <v>0</v>
      </c>
      <c r="M1103" s="2178">
        <f t="shared" si="2309"/>
        <v>0</v>
      </c>
      <c r="N1103" s="2179">
        <f t="shared" si="2352"/>
        <v>0</v>
      </c>
      <c r="O1103" s="2179">
        <f t="shared" si="2352"/>
        <v>0</v>
      </c>
      <c r="P1103" s="2178">
        <f t="shared" si="2310"/>
        <v>0</v>
      </c>
      <c r="Q1103" s="2179">
        <f t="shared" si="2353"/>
        <v>0</v>
      </c>
      <c r="R1103" s="2179">
        <f t="shared" si="2353"/>
        <v>0</v>
      </c>
      <c r="S1103" s="2178">
        <f t="shared" si="2311"/>
        <v>0</v>
      </c>
      <c r="T1103" s="2181">
        <f>N1103+Q1103</f>
        <v>0</v>
      </c>
      <c r="U1103" s="2179">
        <f>O1103+R1103</f>
        <v>0</v>
      </c>
      <c r="V1103" s="2178">
        <f t="shared" si="2313"/>
        <v>0</v>
      </c>
      <c r="W1103" s="2179">
        <f t="shared" si="2354"/>
        <v>0</v>
      </c>
      <c r="X1103" s="2179">
        <f t="shared" si="2354"/>
        <v>0</v>
      </c>
      <c r="Y1103" s="2178">
        <f t="shared" si="2314"/>
        <v>0</v>
      </c>
      <c r="Z1103" s="2181">
        <f>T1103+W1103</f>
        <v>0</v>
      </c>
      <c r="AA1103" s="2179">
        <f>U1103+X1103</f>
        <v>0</v>
      </c>
      <c r="AB1103" s="2178">
        <f t="shared" si="2316"/>
        <v>0</v>
      </c>
      <c r="AC1103" s="2179">
        <f t="shared" si="2355"/>
        <v>0</v>
      </c>
      <c r="AD1103" s="2179">
        <f t="shared" si="2355"/>
        <v>0</v>
      </c>
      <c r="AE1103" s="2178">
        <f t="shared" si="2317"/>
        <v>0</v>
      </c>
      <c r="AF1103" s="2204"/>
      <c r="AG1103" s="2114"/>
      <c r="AH1103" s="2188">
        <f t="shared" si="2356"/>
        <v>0</v>
      </c>
      <c r="AI1103" s="2188">
        <f t="shared" si="2356"/>
        <v>0</v>
      </c>
      <c r="AJ1103" s="2186">
        <f t="shared" si="2318"/>
        <v>0</v>
      </c>
      <c r="AK1103" s="2188">
        <f t="shared" si="2357"/>
        <v>0</v>
      </c>
      <c r="AL1103" s="2188">
        <f t="shared" si="2357"/>
        <v>0</v>
      </c>
      <c r="AM1103" s="2186">
        <f t="shared" si="2319"/>
        <v>0</v>
      </c>
      <c r="AN1103" s="2188">
        <f t="shared" si="2358"/>
        <v>0</v>
      </c>
      <c r="AO1103" s="2188">
        <f t="shared" si="2358"/>
        <v>0</v>
      </c>
      <c r="AP1103" s="2186">
        <f t="shared" si="2320"/>
        <v>0</v>
      </c>
      <c r="AQ1103" s="2188">
        <f t="shared" si="2359"/>
        <v>0</v>
      </c>
      <c r="AR1103" s="2188">
        <f t="shared" si="2359"/>
        <v>0</v>
      </c>
      <c r="AS1103" s="2186">
        <f t="shared" si="2321"/>
        <v>0</v>
      </c>
      <c r="AT1103" s="2188">
        <f t="shared" si="2360"/>
        <v>0</v>
      </c>
      <c r="AU1103" s="2188">
        <f t="shared" si="2360"/>
        <v>0</v>
      </c>
      <c r="AV1103" s="2186">
        <f t="shared" si="2322"/>
        <v>0</v>
      </c>
      <c r="AW1103" s="2188">
        <f t="shared" si="2361"/>
        <v>0</v>
      </c>
      <c r="AX1103" s="2188">
        <f t="shared" si="2361"/>
        <v>0</v>
      </c>
      <c r="AY1103" s="2186">
        <f t="shared" si="2323"/>
        <v>0</v>
      </c>
      <c r="AZ1103" s="2188">
        <f t="shared" si="2362"/>
        <v>0</v>
      </c>
      <c r="BA1103" s="2188">
        <f t="shared" si="2362"/>
        <v>0</v>
      </c>
      <c r="BB1103" s="2186">
        <f t="shared" si="2324"/>
        <v>0</v>
      </c>
      <c r="BC1103" s="2188">
        <f t="shared" si="2363"/>
        <v>0</v>
      </c>
      <c r="BD1103" s="2188">
        <f t="shared" si="2363"/>
        <v>0</v>
      </c>
      <c r="BE1103" s="2186">
        <f t="shared" si="2325"/>
        <v>0</v>
      </c>
      <c r="BF1103" s="2188">
        <f t="shared" si="2364"/>
        <v>0</v>
      </c>
      <c r="BG1103" s="2188">
        <f t="shared" si="2364"/>
        <v>0</v>
      </c>
      <c r="BH1103" s="2186">
        <f t="shared" si="2326"/>
        <v>0</v>
      </c>
      <c r="BI1103" s="2188">
        <f t="shared" si="2365"/>
        <v>0</v>
      </c>
      <c r="BJ1103" s="2188">
        <f t="shared" si="2365"/>
        <v>0</v>
      </c>
      <c r="BK1103" s="2186">
        <f t="shared" si="2327"/>
        <v>0</v>
      </c>
      <c r="BL1103" s="2188">
        <f t="shared" si="2366"/>
        <v>0</v>
      </c>
      <c r="BM1103" s="2188">
        <f t="shared" si="2366"/>
        <v>0</v>
      </c>
      <c r="BN1103" s="2186">
        <f t="shared" si="2328"/>
        <v>0</v>
      </c>
      <c r="BO1103" s="2188">
        <f t="shared" si="2367"/>
        <v>0</v>
      </c>
      <c r="BP1103" s="2188">
        <f t="shared" si="2367"/>
        <v>0</v>
      </c>
      <c r="BQ1103" s="2186">
        <f t="shared" si="2329"/>
        <v>0</v>
      </c>
    </row>
    <row r="1104" spans="3:69" s="2087" customFormat="1" ht="12" hidden="1" customHeight="1">
      <c r="C1104" s="2486" t="s">
        <v>3290</v>
      </c>
      <c r="D1104" s="2334" t="s">
        <v>42</v>
      </c>
      <c r="E1104" s="2250" t="s">
        <v>1833</v>
      </c>
      <c r="F1104" s="2176"/>
      <c r="G1104" s="2179">
        <f t="shared" si="2351"/>
        <v>0</v>
      </c>
      <c r="H1104" s="2179">
        <f t="shared" si="2351"/>
        <v>0</v>
      </c>
      <c r="I1104" s="2178">
        <f t="shared" si="2308"/>
        <v>0</v>
      </c>
      <c r="J1104" s="2176"/>
      <c r="K1104" s="2179">
        <f t="shared" si="2331"/>
        <v>0</v>
      </c>
      <c r="L1104" s="2179">
        <f t="shared" si="2331"/>
        <v>0</v>
      </c>
      <c r="M1104" s="2178">
        <f t="shared" si="2309"/>
        <v>0</v>
      </c>
      <c r="N1104" s="2179">
        <f t="shared" si="2352"/>
        <v>0</v>
      </c>
      <c r="O1104" s="2179">
        <f t="shared" si="2352"/>
        <v>0</v>
      </c>
      <c r="P1104" s="2178">
        <f t="shared" si="2310"/>
        <v>0</v>
      </c>
      <c r="Q1104" s="2184">
        <f t="shared" si="2353"/>
        <v>0</v>
      </c>
      <c r="R1104" s="2179">
        <f t="shared" si="2353"/>
        <v>0</v>
      </c>
      <c r="S1104" s="2178">
        <f t="shared" si="2311"/>
        <v>0</v>
      </c>
      <c r="T1104" s="2181">
        <f t="shared" si="2332"/>
        <v>0</v>
      </c>
      <c r="U1104" s="2179">
        <f t="shared" si="2332"/>
        <v>0</v>
      </c>
      <c r="V1104" s="2178">
        <f t="shared" si="2313"/>
        <v>0</v>
      </c>
      <c r="W1104" s="2184">
        <f t="shared" si="2354"/>
        <v>0</v>
      </c>
      <c r="X1104" s="2179">
        <f t="shared" si="2354"/>
        <v>0</v>
      </c>
      <c r="Y1104" s="2178">
        <f t="shared" si="2314"/>
        <v>0</v>
      </c>
      <c r="Z1104" s="2181">
        <f t="shared" si="2333"/>
        <v>0</v>
      </c>
      <c r="AA1104" s="2179">
        <f t="shared" si="2333"/>
        <v>0</v>
      </c>
      <c r="AB1104" s="2178">
        <f t="shared" si="2316"/>
        <v>0</v>
      </c>
      <c r="AC1104" s="2184">
        <f t="shared" si="2355"/>
        <v>0</v>
      </c>
      <c r="AD1104" s="2179">
        <f t="shared" si="2355"/>
        <v>0</v>
      </c>
      <c r="AE1104" s="2178">
        <f t="shared" si="2317"/>
        <v>0</v>
      </c>
      <c r="AF1104" s="2204"/>
      <c r="AG1104" s="2114"/>
      <c r="AH1104" s="2188">
        <f t="shared" si="2356"/>
        <v>0</v>
      </c>
      <c r="AI1104" s="2188">
        <f t="shared" si="2356"/>
        <v>0</v>
      </c>
      <c r="AJ1104" s="2186">
        <f t="shared" si="2318"/>
        <v>0</v>
      </c>
      <c r="AK1104" s="2188">
        <f t="shared" si="2357"/>
        <v>0</v>
      </c>
      <c r="AL1104" s="2188">
        <f t="shared" si="2357"/>
        <v>0</v>
      </c>
      <c r="AM1104" s="2186">
        <f t="shared" si="2319"/>
        <v>0</v>
      </c>
      <c r="AN1104" s="2188">
        <f t="shared" si="2358"/>
        <v>0</v>
      </c>
      <c r="AO1104" s="2188">
        <f t="shared" si="2358"/>
        <v>0</v>
      </c>
      <c r="AP1104" s="2186">
        <f t="shared" si="2320"/>
        <v>0</v>
      </c>
      <c r="AQ1104" s="2188">
        <f t="shared" si="2359"/>
        <v>0</v>
      </c>
      <c r="AR1104" s="2188">
        <f t="shared" si="2359"/>
        <v>0</v>
      </c>
      <c r="AS1104" s="2186">
        <f t="shared" si="2321"/>
        <v>0</v>
      </c>
      <c r="AT1104" s="2188">
        <f t="shared" si="2360"/>
        <v>0</v>
      </c>
      <c r="AU1104" s="2188">
        <f t="shared" si="2360"/>
        <v>0</v>
      </c>
      <c r="AV1104" s="2186">
        <f t="shared" si="2322"/>
        <v>0</v>
      </c>
      <c r="AW1104" s="2188">
        <f t="shared" si="2361"/>
        <v>0</v>
      </c>
      <c r="AX1104" s="2188">
        <f t="shared" si="2361"/>
        <v>0</v>
      </c>
      <c r="AY1104" s="2186">
        <f t="shared" si="2323"/>
        <v>0</v>
      </c>
      <c r="AZ1104" s="2188">
        <f t="shared" si="2362"/>
        <v>0</v>
      </c>
      <c r="BA1104" s="2188">
        <f t="shared" si="2362"/>
        <v>0</v>
      </c>
      <c r="BB1104" s="2186">
        <f t="shared" si="2324"/>
        <v>0</v>
      </c>
      <c r="BC1104" s="2188">
        <f t="shared" si="2363"/>
        <v>0</v>
      </c>
      <c r="BD1104" s="2188">
        <f t="shared" si="2363"/>
        <v>0</v>
      </c>
      <c r="BE1104" s="2186">
        <f t="shared" si="2325"/>
        <v>0</v>
      </c>
      <c r="BF1104" s="2188">
        <f t="shared" si="2364"/>
        <v>0</v>
      </c>
      <c r="BG1104" s="2188">
        <f t="shared" si="2364"/>
        <v>0</v>
      </c>
      <c r="BH1104" s="2186">
        <f t="shared" si="2326"/>
        <v>0</v>
      </c>
      <c r="BI1104" s="2188">
        <f t="shared" si="2365"/>
        <v>0</v>
      </c>
      <c r="BJ1104" s="2188">
        <f t="shared" si="2365"/>
        <v>0</v>
      </c>
      <c r="BK1104" s="2186">
        <f t="shared" si="2327"/>
        <v>0</v>
      </c>
      <c r="BL1104" s="2188">
        <f t="shared" si="2366"/>
        <v>0</v>
      </c>
      <c r="BM1104" s="2188">
        <f t="shared" si="2366"/>
        <v>0</v>
      </c>
      <c r="BN1104" s="2186">
        <f t="shared" si="2328"/>
        <v>0</v>
      </c>
      <c r="BO1104" s="2188">
        <f t="shared" si="2367"/>
        <v>0</v>
      </c>
      <c r="BP1104" s="2188">
        <f t="shared" si="2367"/>
        <v>0</v>
      </c>
      <c r="BQ1104" s="2186">
        <f t="shared" si="2329"/>
        <v>0</v>
      </c>
    </row>
    <row r="1105" spans="3:69" s="2087" customFormat="1" ht="12" hidden="1" customHeight="1">
      <c r="C1105" s="2486" t="s">
        <v>3290</v>
      </c>
      <c r="D1105" s="2334" t="s">
        <v>2434</v>
      </c>
      <c r="E1105" s="2250" t="s">
        <v>1833</v>
      </c>
      <c r="F1105" s="2176"/>
      <c r="G1105" s="2179">
        <f t="shared" si="2351"/>
        <v>0</v>
      </c>
      <c r="H1105" s="2179">
        <f t="shared" si="2351"/>
        <v>0</v>
      </c>
      <c r="I1105" s="2178">
        <f t="shared" si="2308"/>
        <v>0</v>
      </c>
      <c r="J1105" s="2176"/>
      <c r="K1105" s="2179">
        <f>N1105+Q1105+W1105+AC1105</f>
        <v>0</v>
      </c>
      <c r="L1105" s="2179">
        <f>O1105+R1105+X1105+AD1105</f>
        <v>0</v>
      </c>
      <c r="M1105" s="2178">
        <f t="shared" si="2309"/>
        <v>0</v>
      </c>
      <c r="N1105" s="2179">
        <f t="shared" si="2352"/>
        <v>0</v>
      </c>
      <c r="O1105" s="2179">
        <f t="shared" si="2352"/>
        <v>0</v>
      </c>
      <c r="P1105" s="2178">
        <f t="shared" si="2310"/>
        <v>0</v>
      </c>
      <c r="Q1105" s="2179">
        <f t="shared" si="2353"/>
        <v>0</v>
      </c>
      <c r="R1105" s="2179">
        <f t="shared" si="2353"/>
        <v>0</v>
      </c>
      <c r="S1105" s="2178">
        <f t="shared" si="2311"/>
        <v>0</v>
      </c>
      <c r="T1105" s="2181">
        <f>N1105+Q1105</f>
        <v>0</v>
      </c>
      <c r="U1105" s="2179">
        <f>O1105+R1105</f>
        <v>0</v>
      </c>
      <c r="V1105" s="2178">
        <f t="shared" si="2313"/>
        <v>0</v>
      </c>
      <c r="W1105" s="2179">
        <f t="shared" si="2354"/>
        <v>0</v>
      </c>
      <c r="X1105" s="2179">
        <f t="shared" si="2354"/>
        <v>0</v>
      </c>
      <c r="Y1105" s="2178">
        <f t="shared" si="2314"/>
        <v>0</v>
      </c>
      <c r="Z1105" s="2181">
        <f>T1105+W1105</f>
        <v>0</v>
      </c>
      <c r="AA1105" s="2179">
        <f>U1105+X1105</f>
        <v>0</v>
      </c>
      <c r="AB1105" s="2178">
        <f t="shared" si="2316"/>
        <v>0</v>
      </c>
      <c r="AC1105" s="2179">
        <f t="shared" si="2355"/>
        <v>0</v>
      </c>
      <c r="AD1105" s="2179">
        <f t="shared" si="2355"/>
        <v>0</v>
      </c>
      <c r="AE1105" s="2178">
        <f t="shared" si="2317"/>
        <v>0</v>
      </c>
      <c r="AF1105" s="2204"/>
      <c r="AG1105" s="2114"/>
      <c r="AH1105" s="2188">
        <f t="shared" si="2356"/>
        <v>0</v>
      </c>
      <c r="AI1105" s="2188">
        <f t="shared" si="2356"/>
        <v>0</v>
      </c>
      <c r="AJ1105" s="2186">
        <f t="shared" si="2318"/>
        <v>0</v>
      </c>
      <c r="AK1105" s="2188">
        <f t="shared" si="2357"/>
        <v>0</v>
      </c>
      <c r="AL1105" s="2188">
        <f t="shared" si="2357"/>
        <v>0</v>
      </c>
      <c r="AM1105" s="2186">
        <f t="shared" si="2319"/>
        <v>0</v>
      </c>
      <c r="AN1105" s="2188">
        <f t="shared" si="2358"/>
        <v>0</v>
      </c>
      <c r="AO1105" s="2188">
        <f t="shared" si="2358"/>
        <v>0</v>
      </c>
      <c r="AP1105" s="2186">
        <f t="shared" si="2320"/>
        <v>0</v>
      </c>
      <c r="AQ1105" s="2188">
        <f t="shared" si="2359"/>
        <v>0</v>
      </c>
      <c r="AR1105" s="2188">
        <f t="shared" si="2359"/>
        <v>0</v>
      </c>
      <c r="AS1105" s="2186">
        <f t="shared" si="2321"/>
        <v>0</v>
      </c>
      <c r="AT1105" s="2188">
        <f t="shared" si="2360"/>
        <v>0</v>
      </c>
      <c r="AU1105" s="2188">
        <f t="shared" si="2360"/>
        <v>0</v>
      </c>
      <c r="AV1105" s="2186">
        <f t="shared" si="2322"/>
        <v>0</v>
      </c>
      <c r="AW1105" s="2188">
        <f t="shared" si="2361"/>
        <v>0</v>
      </c>
      <c r="AX1105" s="2188">
        <f t="shared" si="2361"/>
        <v>0</v>
      </c>
      <c r="AY1105" s="2186">
        <f t="shared" si="2323"/>
        <v>0</v>
      </c>
      <c r="AZ1105" s="2188">
        <f t="shared" si="2362"/>
        <v>0</v>
      </c>
      <c r="BA1105" s="2188">
        <f t="shared" si="2362"/>
        <v>0</v>
      </c>
      <c r="BB1105" s="2186">
        <f t="shared" si="2324"/>
        <v>0</v>
      </c>
      <c r="BC1105" s="2188">
        <f t="shared" si="2363"/>
        <v>0</v>
      </c>
      <c r="BD1105" s="2188">
        <f t="shared" si="2363"/>
        <v>0</v>
      </c>
      <c r="BE1105" s="2186">
        <f t="shared" si="2325"/>
        <v>0</v>
      </c>
      <c r="BF1105" s="2188">
        <f t="shared" si="2364"/>
        <v>0</v>
      </c>
      <c r="BG1105" s="2188">
        <f t="shared" si="2364"/>
        <v>0</v>
      </c>
      <c r="BH1105" s="2186">
        <f t="shared" si="2326"/>
        <v>0</v>
      </c>
      <c r="BI1105" s="2188">
        <f t="shared" si="2365"/>
        <v>0</v>
      </c>
      <c r="BJ1105" s="2188">
        <f t="shared" si="2365"/>
        <v>0</v>
      </c>
      <c r="BK1105" s="2186">
        <f t="shared" si="2327"/>
        <v>0</v>
      </c>
      <c r="BL1105" s="2188">
        <f t="shared" si="2366"/>
        <v>0</v>
      </c>
      <c r="BM1105" s="2188">
        <f t="shared" si="2366"/>
        <v>0</v>
      </c>
      <c r="BN1105" s="2186">
        <f t="shared" si="2328"/>
        <v>0</v>
      </c>
      <c r="BO1105" s="2188">
        <f t="shared" si="2367"/>
        <v>0</v>
      </c>
      <c r="BP1105" s="2188">
        <f t="shared" si="2367"/>
        <v>0</v>
      </c>
      <c r="BQ1105" s="2186">
        <f t="shared" si="2329"/>
        <v>0</v>
      </c>
    </row>
    <row r="1106" spans="3:69" s="2159" customFormat="1" ht="12" hidden="1" customHeight="1">
      <c r="C1106" s="2474" t="s">
        <v>3291</v>
      </c>
      <c r="D1106" s="2475" t="s">
        <v>3231</v>
      </c>
      <c r="E1106" s="2120" t="s">
        <v>1833</v>
      </c>
      <c r="F1106" s="2162"/>
      <c r="G1106" s="2218"/>
      <c r="H1106" s="2218"/>
      <c r="I1106" s="2164">
        <f t="shared" si="2308"/>
        <v>0</v>
      </c>
      <c r="J1106" s="2162"/>
      <c r="K1106" s="2163">
        <f t="shared" si="2331"/>
        <v>0</v>
      </c>
      <c r="L1106" s="2163">
        <f t="shared" si="2331"/>
        <v>0</v>
      </c>
      <c r="M1106" s="2164">
        <f t="shared" si="2309"/>
        <v>0</v>
      </c>
      <c r="N1106" s="2218"/>
      <c r="O1106" s="2218"/>
      <c r="P1106" s="2164">
        <f t="shared" si="2310"/>
        <v>0</v>
      </c>
      <c r="Q1106" s="2162"/>
      <c r="R1106" s="2218"/>
      <c r="S1106" s="2164">
        <f t="shared" si="2311"/>
        <v>0</v>
      </c>
      <c r="T1106" s="2167">
        <f t="shared" ref="T1106:U1132" si="2368">N1106+Q1106</f>
        <v>0</v>
      </c>
      <c r="U1106" s="2163">
        <f t="shared" si="2368"/>
        <v>0</v>
      </c>
      <c r="V1106" s="2164">
        <f t="shared" si="2313"/>
        <v>0</v>
      </c>
      <c r="W1106" s="2162"/>
      <c r="X1106" s="2218"/>
      <c r="Y1106" s="2164">
        <f t="shared" si="2314"/>
        <v>0</v>
      </c>
      <c r="Z1106" s="2167">
        <f t="shared" ref="Z1106:AA1132" si="2369">T1106+W1106</f>
        <v>0</v>
      </c>
      <c r="AA1106" s="2163">
        <f t="shared" si="2369"/>
        <v>0</v>
      </c>
      <c r="AB1106" s="2164">
        <f t="shared" si="2316"/>
        <v>0</v>
      </c>
      <c r="AC1106" s="2162"/>
      <c r="AD1106" s="2218"/>
      <c r="AE1106" s="2164">
        <f t="shared" si="2317"/>
        <v>0</v>
      </c>
      <c r="AF1106" s="2204"/>
      <c r="AG1106" s="2158"/>
      <c r="AH1106" s="2218"/>
      <c r="AI1106" s="2218"/>
      <c r="AJ1106" s="2172">
        <f t="shared" si="2318"/>
        <v>0</v>
      </c>
      <c r="AK1106" s="2218"/>
      <c r="AL1106" s="2218"/>
      <c r="AM1106" s="2172">
        <f t="shared" si="2319"/>
        <v>0</v>
      </c>
      <c r="AN1106" s="2218"/>
      <c r="AO1106" s="2218"/>
      <c r="AP1106" s="2172">
        <f t="shared" si="2320"/>
        <v>0</v>
      </c>
      <c r="AQ1106" s="2218"/>
      <c r="AR1106" s="2218"/>
      <c r="AS1106" s="2172">
        <f t="shared" si="2321"/>
        <v>0</v>
      </c>
      <c r="AT1106" s="2218"/>
      <c r="AU1106" s="2218"/>
      <c r="AV1106" s="2172">
        <f t="shared" si="2322"/>
        <v>0</v>
      </c>
      <c r="AW1106" s="2218"/>
      <c r="AX1106" s="2218"/>
      <c r="AY1106" s="2172">
        <f t="shared" si="2323"/>
        <v>0</v>
      </c>
      <c r="AZ1106" s="2218"/>
      <c r="BA1106" s="2218"/>
      <c r="BB1106" s="2172">
        <f t="shared" si="2324"/>
        <v>0</v>
      </c>
      <c r="BC1106" s="2218"/>
      <c r="BD1106" s="2218"/>
      <c r="BE1106" s="2172">
        <f t="shared" si="2325"/>
        <v>0</v>
      </c>
      <c r="BF1106" s="2218"/>
      <c r="BG1106" s="2218"/>
      <c r="BH1106" s="2172">
        <f t="shared" si="2326"/>
        <v>0</v>
      </c>
      <c r="BI1106" s="2218"/>
      <c r="BJ1106" s="2218"/>
      <c r="BK1106" s="2172">
        <f t="shared" si="2327"/>
        <v>0</v>
      </c>
      <c r="BL1106" s="2218"/>
      <c r="BM1106" s="2218"/>
      <c r="BN1106" s="2172">
        <f t="shared" si="2328"/>
        <v>0</v>
      </c>
      <c r="BO1106" s="2218"/>
      <c r="BP1106" s="2218"/>
      <c r="BQ1106" s="2172">
        <f t="shared" si="2329"/>
        <v>0</v>
      </c>
    </row>
    <row r="1107" spans="3:69" s="2087" customFormat="1" ht="12" hidden="1" customHeight="1">
      <c r="C1107" s="2423" t="s">
        <v>3292</v>
      </c>
      <c r="D1107" s="2421" t="s">
        <v>3293</v>
      </c>
      <c r="E1107" s="2250" t="s">
        <v>1833</v>
      </c>
      <c r="F1107" s="2176"/>
      <c r="G1107" s="2179">
        <f>G1108+G1110</f>
        <v>0</v>
      </c>
      <c r="H1107" s="2179">
        <f>H1108+H1110</f>
        <v>0</v>
      </c>
      <c r="I1107" s="2178">
        <f t="shared" si="2308"/>
        <v>0</v>
      </c>
      <c r="J1107" s="2176"/>
      <c r="K1107" s="2179">
        <f t="shared" si="2331"/>
        <v>0</v>
      </c>
      <c r="L1107" s="2179">
        <f t="shared" si="2331"/>
        <v>0</v>
      </c>
      <c r="M1107" s="2178">
        <f t="shared" si="2309"/>
        <v>0</v>
      </c>
      <c r="N1107" s="2179">
        <f>N1108+N1110</f>
        <v>0</v>
      </c>
      <c r="O1107" s="2179">
        <f>O1108+O1110</f>
        <v>0</v>
      </c>
      <c r="P1107" s="2178">
        <f t="shared" si="2310"/>
        <v>0</v>
      </c>
      <c r="Q1107" s="2179">
        <f>Q1108+Q1110</f>
        <v>0</v>
      </c>
      <c r="R1107" s="2179">
        <f>R1108+R1110</f>
        <v>0</v>
      </c>
      <c r="S1107" s="2178">
        <f t="shared" si="2311"/>
        <v>0</v>
      </c>
      <c r="T1107" s="2181">
        <f t="shared" si="2368"/>
        <v>0</v>
      </c>
      <c r="U1107" s="2179">
        <f t="shared" si="2368"/>
        <v>0</v>
      </c>
      <c r="V1107" s="2178">
        <f t="shared" si="2313"/>
        <v>0</v>
      </c>
      <c r="W1107" s="2179">
        <f>W1108+W1110</f>
        <v>0</v>
      </c>
      <c r="X1107" s="2179">
        <f>X1108+X1110</f>
        <v>0</v>
      </c>
      <c r="Y1107" s="2178">
        <f t="shared" si="2314"/>
        <v>0</v>
      </c>
      <c r="Z1107" s="2181">
        <f t="shared" si="2369"/>
        <v>0</v>
      </c>
      <c r="AA1107" s="2179">
        <f t="shared" si="2369"/>
        <v>0</v>
      </c>
      <c r="AB1107" s="2178">
        <f t="shared" si="2316"/>
        <v>0</v>
      </c>
      <c r="AC1107" s="2179">
        <f>AC1108+AC1110</f>
        <v>0</v>
      </c>
      <c r="AD1107" s="2179">
        <f>AD1108+AD1110</f>
        <v>0</v>
      </c>
      <c r="AE1107" s="2178">
        <f t="shared" si="2317"/>
        <v>0</v>
      </c>
      <c r="AF1107" s="2204"/>
      <c r="AG1107" s="2114"/>
      <c r="AH1107" s="2188">
        <f>AH1108+AH1110</f>
        <v>0</v>
      </c>
      <c r="AI1107" s="2188">
        <f>AI1108+AI1110</f>
        <v>0</v>
      </c>
      <c r="AJ1107" s="2186">
        <f t="shared" si="2318"/>
        <v>0</v>
      </c>
      <c r="AK1107" s="2188">
        <f>AK1108+AK1110</f>
        <v>0</v>
      </c>
      <c r="AL1107" s="2188">
        <f>AL1108+AL1110</f>
        <v>0</v>
      </c>
      <c r="AM1107" s="2186">
        <f t="shared" si="2319"/>
        <v>0</v>
      </c>
      <c r="AN1107" s="2188">
        <f>AN1108+AN1110</f>
        <v>0</v>
      </c>
      <c r="AO1107" s="2188">
        <f>AO1108+AO1110</f>
        <v>0</v>
      </c>
      <c r="AP1107" s="2186">
        <f t="shared" si="2320"/>
        <v>0</v>
      </c>
      <c r="AQ1107" s="2188">
        <f>AQ1108+AQ1110</f>
        <v>0</v>
      </c>
      <c r="AR1107" s="2188">
        <f>AR1108+AR1110</f>
        <v>0</v>
      </c>
      <c r="AS1107" s="2186">
        <f t="shared" si="2321"/>
        <v>0</v>
      </c>
      <c r="AT1107" s="2188">
        <f>AT1108+AT1110</f>
        <v>0</v>
      </c>
      <c r="AU1107" s="2188">
        <f>AU1108+AU1110</f>
        <v>0</v>
      </c>
      <c r="AV1107" s="2186">
        <f t="shared" si="2322"/>
        <v>0</v>
      </c>
      <c r="AW1107" s="2188">
        <f>AW1108+AW1110</f>
        <v>0</v>
      </c>
      <c r="AX1107" s="2188">
        <f>AX1108+AX1110</f>
        <v>0</v>
      </c>
      <c r="AY1107" s="2186">
        <f t="shared" si="2323"/>
        <v>0</v>
      </c>
      <c r="AZ1107" s="2188">
        <f>AZ1108+AZ1110</f>
        <v>0</v>
      </c>
      <c r="BA1107" s="2188">
        <f>BA1108+BA1110</f>
        <v>0</v>
      </c>
      <c r="BB1107" s="2186">
        <f t="shared" si="2324"/>
        <v>0</v>
      </c>
      <c r="BC1107" s="2188">
        <f>BC1108+BC1110</f>
        <v>0</v>
      </c>
      <c r="BD1107" s="2188">
        <f>BD1108+BD1110</f>
        <v>0</v>
      </c>
      <c r="BE1107" s="2186">
        <f t="shared" si="2325"/>
        <v>0</v>
      </c>
      <c r="BF1107" s="2188">
        <f>BF1108+BF1110</f>
        <v>0</v>
      </c>
      <c r="BG1107" s="2188">
        <f>BG1108+BG1110</f>
        <v>0</v>
      </c>
      <c r="BH1107" s="2186">
        <f t="shared" si="2326"/>
        <v>0</v>
      </c>
      <c r="BI1107" s="2188">
        <f>BI1108+BI1110</f>
        <v>0</v>
      </c>
      <c r="BJ1107" s="2188">
        <f>BJ1108+BJ1110</f>
        <v>0</v>
      </c>
      <c r="BK1107" s="2186">
        <f t="shared" si="2327"/>
        <v>0</v>
      </c>
      <c r="BL1107" s="2188">
        <f>BL1108+BL1110</f>
        <v>0</v>
      </c>
      <c r="BM1107" s="2188">
        <f>BM1108+BM1110</f>
        <v>0</v>
      </c>
      <c r="BN1107" s="2186">
        <f t="shared" si="2328"/>
        <v>0</v>
      </c>
      <c r="BO1107" s="2188">
        <f>BO1108+BO1110</f>
        <v>0</v>
      </c>
      <c r="BP1107" s="2188">
        <f>BP1108+BP1110</f>
        <v>0</v>
      </c>
      <c r="BQ1107" s="2186">
        <f t="shared" si="2329"/>
        <v>0</v>
      </c>
    </row>
    <row r="1108" spans="3:69" s="2087" customFormat="1" ht="12" hidden="1" customHeight="1">
      <c r="C1108" s="2473" t="s">
        <v>3294</v>
      </c>
      <c r="D1108" s="2334" t="s">
        <v>1758</v>
      </c>
      <c r="E1108" s="2250" t="s">
        <v>1833</v>
      </c>
      <c r="F1108" s="2176"/>
      <c r="G1108" s="2177"/>
      <c r="H1108" s="2177"/>
      <c r="I1108" s="2178">
        <f t="shared" si="2308"/>
        <v>0</v>
      </c>
      <c r="J1108" s="2176"/>
      <c r="K1108" s="2179">
        <f t="shared" si="2331"/>
        <v>0</v>
      </c>
      <c r="L1108" s="2179">
        <f t="shared" si="2331"/>
        <v>0</v>
      </c>
      <c r="M1108" s="2178">
        <f t="shared" si="2309"/>
        <v>0</v>
      </c>
      <c r="N1108" s="2177"/>
      <c r="O1108" s="2177"/>
      <c r="P1108" s="2178">
        <f t="shared" si="2310"/>
        <v>0</v>
      </c>
      <c r="Q1108" s="2176"/>
      <c r="R1108" s="2177"/>
      <c r="S1108" s="2178">
        <f t="shared" si="2311"/>
        <v>0</v>
      </c>
      <c r="T1108" s="2181">
        <f t="shared" si="2368"/>
        <v>0</v>
      </c>
      <c r="U1108" s="2179">
        <f t="shared" si="2368"/>
        <v>0</v>
      </c>
      <c r="V1108" s="2178">
        <f t="shared" si="2313"/>
        <v>0</v>
      </c>
      <c r="W1108" s="2176"/>
      <c r="X1108" s="2177"/>
      <c r="Y1108" s="2178">
        <f t="shared" si="2314"/>
        <v>0</v>
      </c>
      <c r="Z1108" s="2181">
        <f t="shared" si="2369"/>
        <v>0</v>
      </c>
      <c r="AA1108" s="2179">
        <f t="shared" si="2369"/>
        <v>0</v>
      </c>
      <c r="AB1108" s="2178">
        <f t="shared" si="2316"/>
        <v>0</v>
      </c>
      <c r="AC1108" s="2176"/>
      <c r="AD1108" s="2177"/>
      <c r="AE1108" s="2178">
        <f t="shared" si="2317"/>
        <v>0</v>
      </c>
      <c r="AF1108" s="2204"/>
      <c r="AG1108" s="2114"/>
      <c r="AH1108" s="2177"/>
      <c r="AI1108" s="2177"/>
      <c r="AJ1108" s="2186">
        <f t="shared" si="2318"/>
        <v>0</v>
      </c>
      <c r="AK1108" s="2177"/>
      <c r="AL1108" s="2177"/>
      <c r="AM1108" s="2186">
        <f t="shared" si="2319"/>
        <v>0</v>
      </c>
      <c r="AN1108" s="2177"/>
      <c r="AO1108" s="2177"/>
      <c r="AP1108" s="2186">
        <f t="shared" si="2320"/>
        <v>0</v>
      </c>
      <c r="AQ1108" s="2177"/>
      <c r="AR1108" s="2177"/>
      <c r="AS1108" s="2186">
        <f t="shared" si="2321"/>
        <v>0</v>
      </c>
      <c r="AT1108" s="2177"/>
      <c r="AU1108" s="2177"/>
      <c r="AV1108" s="2186">
        <f t="shared" si="2322"/>
        <v>0</v>
      </c>
      <c r="AW1108" s="2177"/>
      <c r="AX1108" s="2177"/>
      <c r="AY1108" s="2186">
        <f t="shared" si="2323"/>
        <v>0</v>
      </c>
      <c r="AZ1108" s="2177"/>
      <c r="BA1108" s="2177"/>
      <c r="BB1108" s="2186">
        <f t="shared" si="2324"/>
        <v>0</v>
      </c>
      <c r="BC1108" s="2177"/>
      <c r="BD1108" s="2177"/>
      <c r="BE1108" s="2186">
        <f t="shared" si="2325"/>
        <v>0</v>
      </c>
      <c r="BF1108" s="2177"/>
      <c r="BG1108" s="2177"/>
      <c r="BH1108" s="2186">
        <f t="shared" si="2326"/>
        <v>0</v>
      </c>
      <c r="BI1108" s="2177"/>
      <c r="BJ1108" s="2177"/>
      <c r="BK1108" s="2186">
        <f t="shared" si="2327"/>
        <v>0</v>
      </c>
      <c r="BL1108" s="2177"/>
      <c r="BM1108" s="2177"/>
      <c r="BN1108" s="2186">
        <f t="shared" si="2328"/>
        <v>0</v>
      </c>
      <c r="BO1108" s="2177"/>
      <c r="BP1108" s="2177"/>
      <c r="BQ1108" s="2186">
        <f t="shared" si="2329"/>
        <v>0</v>
      </c>
    </row>
    <row r="1109" spans="3:69" s="2087" customFormat="1" ht="12" hidden="1" customHeight="1">
      <c r="C1109" s="2473" t="s">
        <v>3294</v>
      </c>
      <c r="D1109" s="2334" t="s">
        <v>2434</v>
      </c>
      <c r="E1109" s="2250" t="s">
        <v>1833</v>
      </c>
      <c r="F1109" s="2176"/>
      <c r="G1109" s="2177"/>
      <c r="H1109" s="2177"/>
      <c r="I1109" s="2178">
        <f t="shared" si="2308"/>
        <v>0</v>
      </c>
      <c r="J1109" s="2176"/>
      <c r="K1109" s="2179">
        <f>N1109+Q1109+W1109+AC1109</f>
        <v>0</v>
      </c>
      <c r="L1109" s="2179">
        <f>O1109+R1109+X1109+AD1109</f>
        <v>0</v>
      </c>
      <c r="M1109" s="2178">
        <f t="shared" si="2309"/>
        <v>0</v>
      </c>
      <c r="N1109" s="2177"/>
      <c r="O1109" s="2177"/>
      <c r="P1109" s="2178">
        <f t="shared" si="2310"/>
        <v>0</v>
      </c>
      <c r="Q1109" s="2176"/>
      <c r="R1109" s="2177"/>
      <c r="S1109" s="2178">
        <f t="shared" si="2311"/>
        <v>0</v>
      </c>
      <c r="T1109" s="2181">
        <f>N1109+Q1109</f>
        <v>0</v>
      </c>
      <c r="U1109" s="2179">
        <f>O1109+R1109</f>
        <v>0</v>
      </c>
      <c r="V1109" s="2178">
        <f t="shared" si="2313"/>
        <v>0</v>
      </c>
      <c r="W1109" s="2176"/>
      <c r="X1109" s="2177"/>
      <c r="Y1109" s="2178">
        <f t="shared" si="2314"/>
        <v>0</v>
      </c>
      <c r="Z1109" s="2181">
        <f>T1109+W1109</f>
        <v>0</v>
      </c>
      <c r="AA1109" s="2179">
        <f>U1109+X1109</f>
        <v>0</v>
      </c>
      <c r="AB1109" s="2178">
        <f t="shared" si="2316"/>
        <v>0</v>
      </c>
      <c r="AC1109" s="2176"/>
      <c r="AD1109" s="2177"/>
      <c r="AE1109" s="2178">
        <f t="shared" si="2317"/>
        <v>0</v>
      </c>
      <c r="AF1109" s="2204"/>
      <c r="AG1109" s="2114"/>
      <c r="AH1109" s="2177"/>
      <c r="AI1109" s="2177"/>
      <c r="AJ1109" s="2186">
        <f t="shared" si="2318"/>
        <v>0</v>
      </c>
      <c r="AK1109" s="2177"/>
      <c r="AL1109" s="2177"/>
      <c r="AM1109" s="2186">
        <f t="shared" si="2319"/>
        <v>0</v>
      </c>
      <c r="AN1109" s="2177"/>
      <c r="AO1109" s="2177"/>
      <c r="AP1109" s="2186">
        <f t="shared" si="2320"/>
        <v>0</v>
      </c>
      <c r="AQ1109" s="2177"/>
      <c r="AR1109" s="2177"/>
      <c r="AS1109" s="2186">
        <f t="shared" si="2321"/>
        <v>0</v>
      </c>
      <c r="AT1109" s="2177"/>
      <c r="AU1109" s="2177"/>
      <c r="AV1109" s="2186">
        <f t="shared" si="2322"/>
        <v>0</v>
      </c>
      <c r="AW1109" s="2177"/>
      <c r="AX1109" s="2177"/>
      <c r="AY1109" s="2186">
        <f t="shared" si="2323"/>
        <v>0</v>
      </c>
      <c r="AZ1109" s="2177"/>
      <c r="BA1109" s="2177"/>
      <c r="BB1109" s="2186">
        <f t="shared" si="2324"/>
        <v>0</v>
      </c>
      <c r="BC1109" s="2177"/>
      <c r="BD1109" s="2177"/>
      <c r="BE1109" s="2186">
        <f t="shared" si="2325"/>
        <v>0</v>
      </c>
      <c r="BF1109" s="2177"/>
      <c r="BG1109" s="2177"/>
      <c r="BH1109" s="2186">
        <f t="shared" si="2326"/>
        <v>0</v>
      </c>
      <c r="BI1109" s="2177"/>
      <c r="BJ1109" s="2177"/>
      <c r="BK1109" s="2186">
        <f t="shared" si="2327"/>
        <v>0</v>
      </c>
      <c r="BL1109" s="2177"/>
      <c r="BM1109" s="2177"/>
      <c r="BN1109" s="2186">
        <f t="shared" si="2328"/>
        <v>0</v>
      </c>
      <c r="BO1109" s="2177"/>
      <c r="BP1109" s="2177"/>
      <c r="BQ1109" s="2186">
        <f t="shared" si="2329"/>
        <v>0</v>
      </c>
    </row>
    <row r="1110" spans="3:69" s="2087" customFormat="1" ht="12" hidden="1" customHeight="1">
      <c r="C1110" s="2473" t="s">
        <v>3295</v>
      </c>
      <c r="D1110" s="2334" t="s">
        <v>3296</v>
      </c>
      <c r="E1110" s="2250" t="s">
        <v>1833</v>
      </c>
      <c r="F1110" s="2176"/>
      <c r="G1110" s="2177"/>
      <c r="H1110" s="2177"/>
      <c r="I1110" s="2178">
        <f t="shared" si="2308"/>
        <v>0</v>
      </c>
      <c r="J1110" s="2176"/>
      <c r="K1110" s="2179">
        <f t="shared" si="2331"/>
        <v>0</v>
      </c>
      <c r="L1110" s="2179">
        <f t="shared" si="2331"/>
        <v>0</v>
      </c>
      <c r="M1110" s="2178">
        <f t="shared" si="2309"/>
        <v>0</v>
      </c>
      <c r="N1110" s="2177"/>
      <c r="O1110" s="2177"/>
      <c r="P1110" s="2178">
        <f t="shared" si="2310"/>
        <v>0</v>
      </c>
      <c r="Q1110" s="2176"/>
      <c r="R1110" s="2177"/>
      <c r="S1110" s="2178">
        <f t="shared" si="2311"/>
        <v>0</v>
      </c>
      <c r="T1110" s="2181">
        <f t="shared" si="2368"/>
        <v>0</v>
      </c>
      <c r="U1110" s="2179">
        <f t="shared" si="2368"/>
        <v>0</v>
      </c>
      <c r="V1110" s="2178">
        <f t="shared" si="2313"/>
        <v>0</v>
      </c>
      <c r="W1110" s="2176"/>
      <c r="X1110" s="2177"/>
      <c r="Y1110" s="2178">
        <f t="shared" si="2314"/>
        <v>0</v>
      </c>
      <c r="Z1110" s="2181">
        <f t="shared" si="2369"/>
        <v>0</v>
      </c>
      <c r="AA1110" s="2179">
        <f t="shared" si="2369"/>
        <v>0</v>
      </c>
      <c r="AB1110" s="2178">
        <f t="shared" si="2316"/>
        <v>0</v>
      </c>
      <c r="AC1110" s="2176"/>
      <c r="AD1110" s="2177"/>
      <c r="AE1110" s="2178">
        <f t="shared" si="2317"/>
        <v>0</v>
      </c>
      <c r="AF1110" s="2204"/>
      <c r="AG1110" s="2114"/>
      <c r="AH1110" s="2177"/>
      <c r="AI1110" s="2177"/>
      <c r="AJ1110" s="2186">
        <f t="shared" si="2318"/>
        <v>0</v>
      </c>
      <c r="AK1110" s="2177"/>
      <c r="AL1110" s="2177"/>
      <c r="AM1110" s="2186">
        <f t="shared" si="2319"/>
        <v>0</v>
      </c>
      <c r="AN1110" s="2177"/>
      <c r="AO1110" s="2177"/>
      <c r="AP1110" s="2186">
        <f t="shared" si="2320"/>
        <v>0</v>
      </c>
      <c r="AQ1110" s="2177"/>
      <c r="AR1110" s="2177"/>
      <c r="AS1110" s="2186">
        <f t="shared" si="2321"/>
        <v>0</v>
      </c>
      <c r="AT1110" s="2177"/>
      <c r="AU1110" s="2177"/>
      <c r="AV1110" s="2186">
        <f t="shared" si="2322"/>
        <v>0</v>
      </c>
      <c r="AW1110" s="2177"/>
      <c r="AX1110" s="2177"/>
      <c r="AY1110" s="2186">
        <f t="shared" si="2323"/>
        <v>0</v>
      </c>
      <c r="AZ1110" s="2177"/>
      <c r="BA1110" s="2177"/>
      <c r="BB1110" s="2186">
        <f t="shared" si="2324"/>
        <v>0</v>
      </c>
      <c r="BC1110" s="2177"/>
      <c r="BD1110" s="2177"/>
      <c r="BE1110" s="2186">
        <f t="shared" si="2325"/>
        <v>0</v>
      </c>
      <c r="BF1110" s="2177"/>
      <c r="BG1110" s="2177"/>
      <c r="BH1110" s="2186">
        <f t="shared" si="2326"/>
        <v>0</v>
      </c>
      <c r="BI1110" s="2177"/>
      <c r="BJ1110" s="2177"/>
      <c r="BK1110" s="2186">
        <f t="shared" si="2327"/>
        <v>0</v>
      </c>
      <c r="BL1110" s="2177"/>
      <c r="BM1110" s="2177"/>
      <c r="BN1110" s="2186">
        <f t="shared" si="2328"/>
        <v>0</v>
      </c>
      <c r="BO1110" s="2177"/>
      <c r="BP1110" s="2177"/>
      <c r="BQ1110" s="2186">
        <f t="shared" si="2329"/>
        <v>0</v>
      </c>
    </row>
    <row r="1111" spans="3:69" s="2087" customFormat="1" ht="12" hidden="1" customHeight="1">
      <c r="C1111" s="2473" t="s">
        <v>3295</v>
      </c>
      <c r="D1111" s="2334" t="s">
        <v>2434</v>
      </c>
      <c r="E1111" s="2250" t="s">
        <v>1833</v>
      </c>
      <c r="F1111" s="2176"/>
      <c r="G1111" s="2177"/>
      <c r="H1111" s="2177"/>
      <c r="I1111" s="2178">
        <f t="shared" si="2308"/>
        <v>0</v>
      </c>
      <c r="J1111" s="2176"/>
      <c r="K1111" s="2179">
        <f>N1111+Q1111+W1111+AC1111</f>
        <v>0</v>
      </c>
      <c r="L1111" s="2179">
        <f>O1111+R1111+X1111+AD1111</f>
        <v>0</v>
      </c>
      <c r="M1111" s="2178">
        <f t="shared" si="2309"/>
        <v>0</v>
      </c>
      <c r="N1111" s="2177"/>
      <c r="O1111" s="2177"/>
      <c r="P1111" s="2178">
        <f t="shared" si="2310"/>
        <v>0</v>
      </c>
      <c r="Q1111" s="2176"/>
      <c r="R1111" s="2177"/>
      <c r="S1111" s="2178">
        <f t="shared" si="2311"/>
        <v>0</v>
      </c>
      <c r="T1111" s="2181">
        <f>N1111+Q1111</f>
        <v>0</v>
      </c>
      <c r="U1111" s="2179">
        <f>O1111+R1111</f>
        <v>0</v>
      </c>
      <c r="V1111" s="2178">
        <f t="shared" si="2313"/>
        <v>0</v>
      </c>
      <c r="W1111" s="2176"/>
      <c r="X1111" s="2177"/>
      <c r="Y1111" s="2178">
        <f t="shared" si="2314"/>
        <v>0</v>
      </c>
      <c r="Z1111" s="2181">
        <f>T1111+W1111</f>
        <v>0</v>
      </c>
      <c r="AA1111" s="2179">
        <f>U1111+X1111</f>
        <v>0</v>
      </c>
      <c r="AB1111" s="2178">
        <f t="shared" si="2316"/>
        <v>0</v>
      </c>
      <c r="AC1111" s="2176"/>
      <c r="AD1111" s="2177"/>
      <c r="AE1111" s="2178">
        <f t="shared" si="2317"/>
        <v>0</v>
      </c>
      <c r="AF1111" s="2204"/>
      <c r="AG1111" s="2114"/>
      <c r="AH1111" s="2177"/>
      <c r="AI1111" s="2177"/>
      <c r="AJ1111" s="2186">
        <f t="shared" si="2318"/>
        <v>0</v>
      </c>
      <c r="AK1111" s="2177"/>
      <c r="AL1111" s="2177"/>
      <c r="AM1111" s="2186">
        <f t="shared" si="2319"/>
        <v>0</v>
      </c>
      <c r="AN1111" s="2177"/>
      <c r="AO1111" s="2177"/>
      <c r="AP1111" s="2186">
        <f t="shared" si="2320"/>
        <v>0</v>
      </c>
      <c r="AQ1111" s="2177"/>
      <c r="AR1111" s="2177"/>
      <c r="AS1111" s="2186">
        <f t="shared" si="2321"/>
        <v>0</v>
      </c>
      <c r="AT1111" s="2177"/>
      <c r="AU1111" s="2177"/>
      <c r="AV1111" s="2186">
        <f t="shared" si="2322"/>
        <v>0</v>
      </c>
      <c r="AW1111" s="2177"/>
      <c r="AX1111" s="2177"/>
      <c r="AY1111" s="2186">
        <f t="shared" si="2323"/>
        <v>0</v>
      </c>
      <c r="AZ1111" s="2177"/>
      <c r="BA1111" s="2177"/>
      <c r="BB1111" s="2186">
        <f t="shared" si="2324"/>
        <v>0</v>
      </c>
      <c r="BC1111" s="2177"/>
      <c r="BD1111" s="2177"/>
      <c r="BE1111" s="2186">
        <f t="shared" si="2325"/>
        <v>0</v>
      </c>
      <c r="BF1111" s="2177"/>
      <c r="BG1111" s="2177"/>
      <c r="BH1111" s="2186">
        <f t="shared" si="2326"/>
        <v>0</v>
      </c>
      <c r="BI1111" s="2177"/>
      <c r="BJ1111" s="2177"/>
      <c r="BK1111" s="2186">
        <f t="shared" si="2327"/>
        <v>0</v>
      </c>
      <c r="BL1111" s="2177"/>
      <c r="BM1111" s="2177"/>
      <c r="BN1111" s="2186">
        <f t="shared" si="2328"/>
        <v>0</v>
      </c>
      <c r="BO1111" s="2177"/>
      <c r="BP1111" s="2177"/>
      <c r="BQ1111" s="2186">
        <f t="shared" si="2329"/>
        <v>0</v>
      </c>
    </row>
    <row r="1112" spans="3:69" s="2087" customFormat="1" ht="12" hidden="1" customHeight="1">
      <c r="C1112" s="2423" t="s">
        <v>3292</v>
      </c>
      <c r="D1112" s="2421" t="s">
        <v>3297</v>
      </c>
      <c r="E1112" s="2250" t="s">
        <v>1833</v>
      </c>
      <c r="F1112" s="2176"/>
      <c r="G1112" s="2179">
        <f>G1113+G1115</f>
        <v>0</v>
      </c>
      <c r="H1112" s="2179">
        <f>H1113+H1115</f>
        <v>0</v>
      </c>
      <c r="I1112" s="2178">
        <f t="shared" si="2308"/>
        <v>0</v>
      </c>
      <c r="J1112" s="2176"/>
      <c r="K1112" s="2179">
        <f t="shared" si="2331"/>
        <v>0</v>
      </c>
      <c r="L1112" s="2179">
        <f t="shared" si="2331"/>
        <v>0</v>
      </c>
      <c r="M1112" s="2178">
        <f t="shared" si="2309"/>
        <v>0</v>
      </c>
      <c r="N1112" s="2179">
        <f>N1113+N1115</f>
        <v>0</v>
      </c>
      <c r="O1112" s="2179">
        <f>O1113+O1115</f>
        <v>0</v>
      </c>
      <c r="P1112" s="2178">
        <f t="shared" si="2310"/>
        <v>0</v>
      </c>
      <c r="Q1112" s="2179">
        <f>Q1113+Q1115</f>
        <v>0</v>
      </c>
      <c r="R1112" s="2179">
        <f>R1113+R1115</f>
        <v>0</v>
      </c>
      <c r="S1112" s="2178">
        <f t="shared" si="2311"/>
        <v>0</v>
      </c>
      <c r="T1112" s="2181">
        <f t="shared" si="2368"/>
        <v>0</v>
      </c>
      <c r="U1112" s="2179">
        <f t="shared" si="2368"/>
        <v>0</v>
      </c>
      <c r="V1112" s="2178">
        <f t="shared" si="2313"/>
        <v>0</v>
      </c>
      <c r="W1112" s="2179">
        <f>W1113+W1115</f>
        <v>0</v>
      </c>
      <c r="X1112" s="2179">
        <f>X1113+X1115</f>
        <v>0</v>
      </c>
      <c r="Y1112" s="2178">
        <f t="shared" si="2314"/>
        <v>0</v>
      </c>
      <c r="Z1112" s="2181">
        <f t="shared" si="2369"/>
        <v>0</v>
      </c>
      <c r="AA1112" s="2179">
        <f t="shared" si="2369"/>
        <v>0</v>
      </c>
      <c r="AB1112" s="2178">
        <f t="shared" si="2316"/>
        <v>0</v>
      </c>
      <c r="AC1112" s="2179">
        <f>AC1113+AC1115</f>
        <v>0</v>
      </c>
      <c r="AD1112" s="2179">
        <f>AD1113+AD1115</f>
        <v>0</v>
      </c>
      <c r="AE1112" s="2178">
        <f t="shared" si="2317"/>
        <v>0</v>
      </c>
      <c r="AF1112" s="2204"/>
      <c r="AG1112" s="2114"/>
      <c r="AH1112" s="2188">
        <f>AH1113+AH1115</f>
        <v>0</v>
      </c>
      <c r="AI1112" s="2188">
        <f>AI1113+AI1115</f>
        <v>0</v>
      </c>
      <c r="AJ1112" s="2186">
        <f t="shared" si="2318"/>
        <v>0</v>
      </c>
      <c r="AK1112" s="2188">
        <f>AK1113+AK1115</f>
        <v>0</v>
      </c>
      <c r="AL1112" s="2188">
        <f>AL1113+AL1115</f>
        <v>0</v>
      </c>
      <c r="AM1112" s="2186">
        <f t="shared" si="2319"/>
        <v>0</v>
      </c>
      <c r="AN1112" s="2188">
        <f>AN1113+AN1115</f>
        <v>0</v>
      </c>
      <c r="AO1112" s="2188">
        <f>AO1113+AO1115</f>
        <v>0</v>
      </c>
      <c r="AP1112" s="2186">
        <f t="shared" si="2320"/>
        <v>0</v>
      </c>
      <c r="AQ1112" s="2188">
        <f>AQ1113+AQ1115</f>
        <v>0</v>
      </c>
      <c r="AR1112" s="2188">
        <f>AR1113+AR1115</f>
        <v>0</v>
      </c>
      <c r="AS1112" s="2186">
        <f t="shared" si="2321"/>
        <v>0</v>
      </c>
      <c r="AT1112" s="2188">
        <f>AT1113+AT1115</f>
        <v>0</v>
      </c>
      <c r="AU1112" s="2188">
        <f>AU1113+AU1115</f>
        <v>0</v>
      </c>
      <c r="AV1112" s="2186">
        <f t="shared" si="2322"/>
        <v>0</v>
      </c>
      <c r="AW1112" s="2188">
        <f>AW1113+AW1115</f>
        <v>0</v>
      </c>
      <c r="AX1112" s="2188">
        <f>AX1113+AX1115</f>
        <v>0</v>
      </c>
      <c r="AY1112" s="2186">
        <f t="shared" si="2323"/>
        <v>0</v>
      </c>
      <c r="AZ1112" s="2188">
        <f>AZ1113+AZ1115</f>
        <v>0</v>
      </c>
      <c r="BA1112" s="2188">
        <f>BA1113+BA1115</f>
        <v>0</v>
      </c>
      <c r="BB1112" s="2186">
        <f t="shared" si="2324"/>
        <v>0</v>
      </c>
      <c r="BC1112" s="2188">
        <f>BC1113+BC1115</f>
        <v>0</v>
      </c>
      <c r="BD1112" s="2188">
        <f>BD1113+BD1115</f>
        <v>0</v>
      </c>
      <c r="BE1112" s="2186">
        <f t="shared" si="2325"/>
        <v>0</v>
      </c>
      <c r="BF1112" s="2188">
        <f>BF1113+BF1115</f>
        <v>0</v>
      </c>
      <c r="BG1112" s="2188">
        <f>BG1113+BG1115</f>
        <v>0</v>
      </c>
      <c r="BH1112" s="2186">
        <f t="shared" si="2326"/>
        <v>0</v>
      </c>
      <c r="BI1112" s="2188">
        <f>BI1113+BI1115</f>
        <v>0</v>
      </c>
      <c r="BJ1112" s="2188">
        <f>BJ1113+BJ1115</f>
        <v>0</v>
      </c>
      <c r="BK1112" s="2186">
        <f t="shared" si="2327"/>
        <v>0</v>
      </c>
      <c r="BL1112" s="2188">
        <f>BL1113+BL1115</f>
        <v>0</v>
      </c>
      <c r="BM1112" s="2188">
        <f>BM1113+BM1115</f>
        <v>0</v>
      </c>
      <c r="BN1112" s="2186">
        <f t="shared" si="2328"/>
        <v>0</v>
      </c>
      <c r="BO1112" s="2188">
        <f>BO1113+BO1115</f>
        <v>0</v>
      </c>
      <c r="BP1112" s="2188">
        <f>BP1113+BP1115</f>
        <v>0</v>
      </c>
      <c r="BQ1112" s="2186">
        <f t="shared" si="2329"/>
        <v>0</v>
      </c>
    </row>
    <row r="1113" spans="3:69" s="2087" customFormat="1" ht="12" hidden="1" customHeight="1">
      <c r="C1113" s="2473" t="s">
        <v>3294</v>
      </c>
      <c r="D1113" s="2334" t="s">
        <v>1758</v>
      </c>
      <c r="E1113" s="2250" t="s">
        <v>1833</v>
      </c>
      <c r="F1113" s="2176"/>
      <c r="G1113" s="2177"/>
      <c r="H1113" s="2177"/>
      <c r="I1113" s="2178">
        <f t="shared" si="2308"/>
        <v>0</v>
      </c>
      <c r="J1113" s="2176"/>
      <c r="K1113" s="2179">
        <f t="shared" si="2331"/>
        <v>0</v>
      </c>
      <c r="L1113" s="2179">
        <f t="shared" si="2331"/>
        <v>0</v>
      </c>
      <c r="M1113" s="2178">
        <f t="shared" si="2309"/>
        <v>0</v>
      </c>
      <c r="N1113" s="2177"/>
      <c r="O1113" s="2177"/>
      <c r="P1113" s="2178">
        <f t="shared" si="2310"/>
        <v>0</v>
      </c>
      <c r="Q1113" s="2176"/>
      <c r="R1113" s="2177"/>
      <c r="S1113" s="2178">
        <f t="shared" si="2311"/>
        <v>0</v>
      </c>
      <c r="T1113" s="2181">
        <f t="shared" si="2368"/>
        <v>0</v>
      </c>
      <c r="U1113" s="2179">
        <f t="shared" si="2368"/>
        <v>0</v>
      </c>
      <c r="V1113" s="2178">
        <f t="shared" si="2313"/>
        <v>0</v>
      </c>
      <c r="W1113" s="2176"/>
      <c r="X1113" s="2177"/>
      <c r="Y1113" s="2178">
        <f t="shared" si="2314"/>
        <v>0</v>
      </c>
      <c r="Z1113" s="2181">
        <f t="shared" si="2369"/>
        <v>0</v>
      </c>
      <c r="AA1113" s="2179">
        <f t="shared" si="2369"/>
        <v>0</v>
      </c>
      <c r="AB1113" s="2178">
        <f t="shared" si="2316"/>
        <v>0</v>
      </c>
      <c r="AC1113" s="2176"/>
      <c r="AD1113" s="2177"/>
      <c r="AE1113" s="2178">
        <f t="shared" si="2317"/>
        <v>0</v>
      </c>
      <c r="AF1113" s="2204"/>
      <c r="AG1113" s="2114"/>
      <c r="AH1113" s="2177"/>
      <c r="AI1113" s="2177"/>
      <c r="AJ1113" s="2186">
        <f t="shared" si="2318"/>
        <v>0</v>
      </c>
      <c r="AK1113" s="2177"/>
      <c r="AL1113" s="2177"/>
      <c r="AM1113" s="2186">
        <f t="shared" si="2319"/>
        <v>0</v>
      </c>
      <c r="AN1113" s="2177"/>
      <c r="AO1113" s="2177"/>
      <c r="AP1113" s="2186">
        <f t="shared" si="2320"/>
        <v>0</v>
      </c>
      <c r="AQ1113" s="2177"/>
      <c r="AR1113" s="2177"/>
      <c r="AS1113" s="2186">
        <f t="shared" si="2321"/>
        <v>0</v>
      </c>
      <c r="AT1113" s="2177"/>
      <c r="AU1113" s="2177"/>
      <c r="AV1113" s="2186">
        <f t="shared" si="2322"/>
        <v>0</v>
      </c>
      <c r="AW1113" s="2177"/>
      <c r="AX1113" s="2177"/>
      <c r="AY1113" s="2186">
        <f t="shared" si="2323"/>
        <v>0</v>
      </c>
      <c r="AZ1113" s="2177"/>
      <c r="BA1113" s="2177"/>
      <c r="BB1113" s="2186">
        <f t="shared" si="2324"/>
        <v>0</v>
      </c>
      <c r="BC1113" s="2177"/>
      <c r="BD1113" s="2177"/>
      <c r="BE1113" s="2186">
        <f t="shared" si="2325"/>
        <v>0</v>
      </c>
      <c r="BF1113" s="2177"/>
      <c r="BG1113" s="2177"/>
      <c r="BH1113" s="2186">
        <f t="shared" si="2326"/>
        <v>0</v>
      </c>
      <c r="BI1113" s="2177"/>
      <c r="BJ1113" s="2177"/>
      <c r="BK1113" s="2186">
        <f t="shared" si="2327"/>
        <v>0</v>
      </c>
      <c r="BL1113" s="2177"/>
      <c r="BM1113" s="2177"/>
      <c r="BN1113" s="2186">
        <f t="shared" si="2328"/>
        <v>0</v>
      </c>
      <c r="BO1113" s="2177"/>
      <c r="BP1113" s="2177"/>
      <c r="BQ1113" s="2186">
        <f t="shared" si="2329"/>
        <v>0</v>
      </c>
    </row>
    <row r="1114" spans="3:69" s="2087" customFormat="1" ht="12" hidden="1" customHeight="1">
      <c r="C1114" s="2473" t="s">
        <v>3294</v>
      </c>
      <c r="D1114" s="2334" t="s">
        <v>2434</v>
      </c>
      <c r="E1114" s="2250" t="s">
        <v>1833</v>
      </c>
      <c r="F1114" s="2176"/>
      <c r="G1114" s="2177"/>
      <c r="H1114" s="2177"/>
      <c r="I1114" s="2178">
        <f t="shared" si="2308"/>
        <v>0</v>
      </c>
      <c r="J1114" s="2176"/>
      <c r="K1114" s="2179">
        <f>N1114+Q1114+W1114+AC1114</f>
        <v>0</v>
      </c>
      <c r="L1114" s="2179">
        <f>O1114+R1114+X1114+AD1114</f>
        <v>0</v>
      </c>
      <c r="M1114" s="2178">
        <f t="shared" si="2309"/>
        <v>0</v>
      </c>
      <c r="N1114" s="2177"/>
      <c r="O1114" s="2177"/>
      <c r="P1114" s="2178">
        <f t="shared" si="2310"/>
        <v>0</v>
      </c>
      <c r="Q1114" s="2176"/>
      <c r="R1114" s="2177"/>
      <c r="S1114" s="2178">
        <f t="shared" si="2311"/>
        <v>0</v>
      </c>
      <c r="T1114" s="2181">
        <f>N1114+Q1114</f>
        <v>0</v>
      </c>
      <c r="U1114" s="2179">
        <f>O1114+R1114</f>
        <v>0</v>
      </c>
      <c r="V1114" s="2178">
        <f t="shared" si="2313"/>
        <v>0</v>
      </c>
      <c r="W1114" s="2176"/>
      <c r="X1114" s="2177"/>
      <c r="Y1114" s="2178">
        <f t="shared" si="2314"/>
        <v>0</v>
      </c>
      <c r="Z1114" s="2181">
        <f>T1114+W1114</f>
        <v>0</v>
      </c>
      <c r="AA1114" s="2179">
        <f>U1114+X1114</f>
        <v>0</v>
      </c>
      <c r="AB1114" s="2178">
        <f t="shared" si="2316"/>
        <v>0</v>
      </c>
      <c r="AC1114" s="2176"/>
      <c r="AD1114" s="2177"/>
      <c r="AE1114" s="2178">
        <f t="shared" si="2317"/>
        <v>0</v>
      </c>
      <c r="AF1114" s="2204"/>
      <c r="AG1114" s="2114"/>
      <c r="AH1114" s="2177"/>
      <c r="AI1114" s="2177"/>
      <c r="AJ1114" s="2186">
        <f t="shared" si="2318"/>
        <v>0</v>
      </c>
      <c r="AK1114" s="2177"/>
      <c r="AL1114" s="2177"/>
      <c r="AM1114" s="2186">
        <f t="shared" si="2319"/>
        <v>0</v>
      </c>
      <c r="AN1114" s="2177"/>
      <c r="AO1114" s="2177"/>
      <c r="AP1114" s="2186">
        <f t="shared" si="2320"/>
        <v>0</v>
      </c>
      <c r="AQ1114" s="2177"/>
      <c r="AR1114" s="2177"/>
      <c r="AS1114" s="2186">
        <f t="shared" si="2321"/>
        <v>0</v>
      </c>
      <c r="AT1114" s="2177"/>
      <c r="AU1114" s="2177"/>
      <c r="AV1114" s="2186">
        <f t="shared" si="2322"/>
        <v>0</v>
      </c>
      <c r="AW1114" s="2177"/>
      <c r="AX1114" s="2177"/>
      <c r="AY1114" s="2186">
        <f t="shared" si="2323"/>
        <v>0</v>
      </c>
      <c r="AZ1114" s="2177"/>
      <c r="BA1114" s="2177"/>
      <c r="BB1114" s="2186">
        <f t="shared" si="2324"/>
        <v>0</v>
      </c>
      <c r="BC1114" s="2177"/>
      <c r="BD1114" s="2177"/>
      <c r="BE1114" s="2186">
        <f t="shared" si="2325"/>
        <v>0</v>
      </c>
      <c r="BF1114" s="2177"/>
      <c r="BG1114" s="2177"/>
      <c r="BH1114" s="2186">
        <f t="shared" si="2326"/>
        <v>0</v>
      </c>
      <c r="BI1114" s="2177"/>
      <c r="BJ1114" s="2177"/>
      <c r="BK1114" s="2186">
        <f t="shared" si="2327"/>
        <v>0</v>
      </c>
      <c r="BL1114" s="2177"/>
      <c r="BM1114" s="2177"/>
      <c r="BN1114" s="2186">
        <f t="shared" si="2328"/>
        <v>0</v>
      </c>
      <c r="BO1114" s="2177"/>
      <c r="BP1114" s="2177"/>
      <c r="BQ1114" s="2186">
        <f t="shared" si="2329"/>
        <v>0</v>
      </c>
    </row>
    <row r="1115" spans="3:69" s="2087" customFormat="1" ht="12" hidden="1" customHeight="1">
      <c r="C1115" s="2473" t="s">
        <v>3295</v>
      </c>
      <c r="D1115" s="2334" t="s">
        <v>3296</v>
      </c>
      <c r="E1115" s="2250" t="s">
        <v>1833</v>
      </c>
      <c r="F1115" s="2176"/>
      <c r="G1115" s="2177"/>
      <c r="H1115" s="2177"/>
      <c r="I1115" s="2178">
        <f t="shared" si="2308"/>
        <v>0</v>
      </c>
      <c r="J1115" s="2176"/>
      <c r="K1115" s="2179">
        <f t="shared" si="2331"/>
        <v>0</v>
      </c>
      <c r="L1115" s="2179">
        <f t="shared" si="2331"/>
        <v>0</v>
      </c>
      <c r="M1115" s="2178">
        <f t="shared" si="2309"/>
        <v>0</v>
      </c>
      <c r="N1115" s="2177"/>
      <c r="O1115" s="2177"/>
      <c r="P1115" s="2178">
        <f t="shared" si="2310"/>
        <v>0</v>
      </c>
      <c r="Q1115" s="2176"/>
      <c r="R1115" s="2177"/>
      <c r="S1115" s="2178">
        <f t="shared" si="2311"/>
        <v>0</v>
      </c>
      <c r="T1115" s="2181">
        <f t="shared" si="2368"/>
        <v>0</v>
      </c>
      <c r="U1115" s="2179">
        <f t="shared" si="2368"/>
        <v>0</v>
      </c>
      <c r="V1115" s="2178">
        <f t="shared" si="2313"/>
        <v>0</v>
      </c>
      <c r="W1115" s="2176"/>
      <c r="X1115" s="2177"/>
      <c r="Y1115" s="2178">
        <f t="shared" si="2314"/>
        <v>0</v>
      </c>
      <c r="Z1115" s="2181">
        <f t="shared" si="2369"/>
        <v>0</v>
      </c>
      <c r="AA1115" s="2179">
        <f t="shared" si="2369"/>
        <v>0</v>
      </c>
      <c r="AB1115" s="2178">
        <f t="shared" si="2316"/>
        <v>0</v>
      </c>
      <c r="AC1115" s="2176"/>
      <c r="AD1115" s="2177"/>
      <c r="AE1115" s="2178">
        <f t="shared" si="2317"/>
        <v>0</v>
      </c>
      <c r="AF1115" s="2204"/>
      <c r="AG1115" s="2114"/>
      <c r="AH1115" s="2177"/>
      <c r="AI1115" s="2177"/>
      <c r="AJ1115" s="2186">
        <f t="shared" si="2318"/>
        <v>0</v>
      </c>
      <c r="AK1115" s="2177"/>
      <c r="AL1115" s="2177"/>
      <c r="AM1115" s="2186">
        <f t="shared" si="2319"/>
        <v>0</v>
      </c>
      <c r="AN1115" s="2177"/>
      <c r="AO1115" s="2177"/>
      <c r="AP1115" s="2186">
        <f t="shared" si="2320"/>
        <v>0</v>
      </c>
      <c r="AQ1115" s="2177"/>
      <c r="AR1115" s="2177"/>
      <c r="AS1115" s="2186">
        <f t="shared" si="2321"/>
        <v>0</v>
      </c>
      <c r="AT1115" s="2177"/>
      <c r="AU1115" s="2177"/>
      <c r="AV1115" s="2186">
        <f t="shared" si="2322"/>
        <v>0</v>
      </c>
      <c r="AW1115" s="2177"/>
      <c r="AX1115" s="2177"/>
      <c r="AY1115" s="2186">
        <f t="shared" si="2323"/>
        <v>0</v>
      </c>
      <c r="AZ1115" s="2177"/>
      <c r="BA1115" s="2177"/>
      <c r="BB1115" s="2186">
        <f t="shared" si="2324"/>
        <v>0</v>
      </c>
      <c r="BC1115" s="2177"/>
      <c r="BD1115" s="2177"/>
      <c r="BE1115" s="2186">
        <f t="shared" si="2325"/>
        <v>0</v>
      </c>
      <c r="BF1115" s="2177"/>
      <c r="BG1115" s="2177"/>
      <c r="BH1115" s="2186">
        <f t="shared" si="2326"/>
        <v>0</v>
      </c>
      <c r="BI1115" s="2177"/>
      <c r="BJ1115" s="2177"/>
      <c r="BK1115" s="2186">
        <f t="shared" si="2327"/>
        <v>0</v>
      </c>
      <c r="BL1115" s="2177"/>
      <c r="BM1115" s="2177"/>
      <c r="BN1115" s="2186">
        <f t="shared" si="2328"/>
        <v>0</v>
      </c>
      <c r="BO1115" s="2177"/>
      <c r="BP1115" s="2177"/>
      <c r="BQ1115" s="2186">
        <f t="shared" si="2329"/>
        <v>0</v>
      </c>
    </row>
    <row r="1116" spans="3:69" s="2087" customFormat="1" ht="12" hidden="1" customHeight="1">
      <c r="C1116" s="2473" t="s">
        <v>3295</v>
      </c>
      <c r="D1116" s="2334" t="s">
        <v>2434</v>
      </c>
      <c r="E1116" s="2250" t="s">
        <v>1833</v>
      </c>
      <c r="F1116" s="2176"/>
      <c r="G1116" s="2177"/>
      <c r="H1116" s="2177"/>
      <c r="I1116" s="2178">
        <f t="shared" si="2308"/>
        <v>0</v>
      </c>
      <c r="J1116" s="2176"/>
      <c r="K1116" s="2179">
        <f>N1116+Q1116+W1116+AC1116</f>
        <v>0</v>
      </c>
      <c r="L1116" s="2179">
        <f>O1116+R1116+X1116+AD1116</f>
        <v>0</v>
      </c>
      <c r="M1116" s="2178">
        <f t="shared" si="2309"/>
        <v>0</v>
      </c>
      <c r="N1116" s="2177"/>
      <c r="O1116" s="2177"/>
      <c r="P1116" s="2178">
        <f t="shared" si="2310"/>
        <v>0</v>
      </c>
      <c r="Q1116" s="2176"/>
      <c r="R1116" s="2177"/>
      <c r="S1116" s="2178">
        <f t="shared" si="2311"/>
        <v>0</v>
      </c>
      <c r="T1116" s="2181">
        <f>N1116+Q1116</f>
        <v>0</v>
      </c>
      <c r="U1116" s="2179">
        <f>O1116+R1116</f>
        <v>0</v>
      </c>
      <c r="V1116" s="2178">
        <f t="shared" si="2313"/>
        <v>0</v>
      </c>
      <c r="W1116" s="2176"/>
      <c r="X1116" s="2177"/>
      <c r="Y1116" s="2178">
        <f t="shared" si="2314"/>
        <v>0</v>
      </c>
      <c r="Z1116" s="2181">
        <f>T1116+W1116</f>
        <v>0</v>
      </c>
      <c r="AA1116" s="2179">
        <f>U1116+X1116</f>
        <v>0</v>
      </c>
      <c r="AB1116" s="2178">
        <f t="shared" si="2316"/>
        <v>0</v>
      </c>
      <c r="AC1116" s="2176"/>
      <c r="AD1116" s="2177"/>
      <c r="AE1116" s="2178">
        <f t="shared" si="2317"/>
        <v>0</v>
      </c>
      <c r="AF1116" s="2204"/>
      <c r="AG1116" s="2114"/>
      <c r="AH1116" s="2177"/>
      <c r="AI1116" s="2177"/>
      <c r="AJ1116" s="2186">
        <f t="shared" si="2318"/>
        <v>0</v>
      </c>
      <c r="AK1116" s="2177"/>
      <c r="AL1116" s="2177"/>
      <c r="AM1116" s="2186">
        <f t="shared" si="2319"/>
        <v>0</v>
      </c>
      <c r="AN1116" s="2177"/>
      <c r="AO1116" s="2177"/>
      <c r="AP1116" s="2186">
        <f t="shared" si="2320"/>
        <v>0</v>
      </c>
      <c r="AQ1116" s="2177"/>
      <c r="AR1116" s="2177"/>
      <c r="AS1116" s="2186">
        <f t="shared" si="2321"/>
        <v>0</v>
      </c>
      <c r="AT1116" s="2177"/>
      <c r="AU1116" s="2177"/>
      <c r="AV1116" s="2186">
        <f t="shared" si="2322"/>
        <v>0</v>
      </c>
      <c r="AW1116" s="2177"/>
      <c r="AX1116" s="2177"/>
      <c r="AY1116" s="2186">
        <f t="shared" si="2323"/>
        <v>0</v>
      </c>
      <c r="AZ1116" s="2177"/>
      <c r="BA1116" s="2177"/>
      <c r="BB1116" s="2186">
        <f t="shared" si="2324"/>
        <v>0</v>
      </c>
      <c r="BC1116" s="2177"/>
      <c r="BD1116" s="2177"/>
      <c r="BE1116" s="2186">
        <f t="shared" si="2325"/>
        <v>0</v>
      </c>
      <c r="BF1116" s="2177"/>
      <c r="BG1116" s="2177"/>
      <c r="BH1116" s="2186">
        <f t="shared" si="2326"/>
        <v>0</v>
      </c>
      <c r="BI1116" s="2177"/>
      <c r="BJ1116" s="2177"/>
      <c r="BK1116" s="2186">
        <f t="shared" si="2327"/>
        <v>0</v>
      </c>
      <c r="BL1116" s="2177"/>
      <c r="BM1116" s="2177"/>
      <c r="BN1116" s="2186">
        <f t="shared" si="2328"/>
        <v>0</v>
      </c>
      <c r="BO1116" s="2177"/>
      <c r="BP1116" s="2177"/>
      <c r="BQ1116" s="2186">
        <f t="shared" si="2329"/>
        <v>0</v>
      </c>
    </row>
    <row r="1117" spans="3:69" s="2159" customFormat="1" ht="12" hidden="1" customHeight="1">
      <c r="C1117" s="2474" t="s">
        <v>3298</v>
      </c>
      <c r="D1117" s="2475" t="s">
        <v>3237</v>
      </c>
      <c r="E1117" s="2120" t="s">
        <v>1833</v>
      </c>
      <c r="F1117" s="2162"/>
      <c r="G1117" s="2218"/>
      <c r="H1117" s="2218"/>
      <c r="I1117" s="2164">
        <f t="shared" si="2308"/>
        <v>0</v>
      </c>
      <c r="J1117" s="2162"/>
      <c r="K1117" s="2163">
        <f t="shared" si="2331"/>
        <v>0</v>
      </c>
      <c r="L1117" s="2163">
        <f t="shared" si="2331"/>
        <v>0</v>
      </c>
      <c r="M1117" s="2164">
        <f t="shared" si="2309"/>
        <v>0</v>
      </c>
      <c r="N1117" s="2218"/>
      <c r="O1117" s="2218"/>
      <c r="P1117" s="2164">
        <f t="shared" si="2310"/>
        <v>0</v>
      </c>
      <c r="Q1117" s="2162"/>
      <c r="R1117" s="2218"/>
      <c r="S1117" s="2164">
        <f t="shared" si="2311"/>
        <v>0</v>
      </c>
      <c r="T1117" s="2167">
        <f t="shared" si="2368"/>
        <v>0</v>
      </c>
      <c r="U1117" s="2163">
        <f t="shared" si="2368"/>
        <v>0</v>
      </c>
      <c r="V1117" s="2164">
        <f t="shared" si="2313"/>
        <v>0</v>
      </c>
      <c r="W1117" s="2162"/>
      <c r="X1117" s="2218"/>
      <c r="Y1117" s="2164">
        <f t="shared" si="2314"/>
        <v>0</v>
      </c>
      <c r="Z1117" s="2167">
        <f t="shared" si="2369"/>
        <v>0</v>
      </c>
      <c r="AA1117" s="2163">
        <f t="shared" si="2369"/>
        <v>0</v>
      </c>
      <c r="AB1117" s="2164">
        <f t="shared" si="2316"/>
        <v>0</v>
      </c>
      <c r="AC1117" s="2162"/>
      <c r="AD1117" s="2218"/>
      <c r="AE1117" s="2164">
        <f t="shared" si="2317"/>
        <v>0</v>
      </c>
      <c r="AF1117" s="2204"/>
      <c r="AG1117" s="2158"/>
      <c r="AH1117" s="2218"/>
      <c r="AI1117" s="2218"/>
      <c r="AJ1117" s="2172">
        <f t="shared" si="2318"/>
        <v>0</v>
      </c>
      <c r="AK1117" s="2218"/>
      <c r="AL1117" s="2218"/>
      <c r="AM1117" s="2172">
        <f t="shared" si="2319"/>
        <v>0</v>
      </c>
      <c r="AN1117" s="2218"/>
      <c r="AO1117" s="2218"/>
      <c r="AP1117" s="2172">
        <f t="shared" si="2320"/>
        <v>0</v>
      </c>
      <c r="AQ1117" s="2218"/>
      <c r="AR1117" s="2218"/>
      <c r="AS1117" s="2172">
        <f t="shared" si="2321"/>
        <v>0</v>
      </c>
      <c r="AT1117" s="2218"/>
      <c r="AU1117" s="2218"/>
      <c r="AV1117" s="2172">
        <f t="shared" si="2322"/>
        <v>0</v>
      </c>
      <c r="AW1117" s="2218"/>
      <c r="AX1117" s="2218"/>
      <c r="AY1117" s="2172">
        <f t="shared" si="2323"/>
        <v>0</v>
      </c>
      <c r="AZ1117" s="2218"/>
      <c r="BA1117" s="2218"/>
      <c r="BB1117" s="2172">
        <f t="shared" si="2324"/>
        <v>0</v>
      </c>
      <c r="BC1117" s="2218"/>
      <c r="BD1117" s="2218"/>
      <c r="BE1117" s="2172">
        <f t="shared" si="2325"/>
        <v>0</v>
      </c>
      <c r="BF1117" s="2218"/>
      <c r="BG1117" s="2218"/>
      <c r="BH1117" s="2172">
        <f t="shared" si="2326"/>
        <v>0</v>
      </c>
      <c r="BI1117" s="2218"/>
      <c r="BJ1117" s="2218"/>
      <c r="BK1117" s="2172">
        <f t="shared" si="2327"/>
        <v>0</v>
      </c>
      <c r="BL1117" s="2218"/>
      <c r="BM1117" s="2218"/>
      <c r="BN1117" s="2172">
        <f t="shared" si="2328"/>
        <v>0</v>
      </c>
      <c r="BO1117" s="2218"/>
      <c r="BP1117" s="2218"/>
      <c r="BQ1117" s="2172">
        <f t="shared" si="2329"/>
        <v>0</v>
      </c>
    </row>
    <row r="1118" spans="3:69" s="2087" customFormat="1" ht="12" hidden="1" customHeight="1">
      <c r="C1118" s="2423" t="s">
        <v>3299</v>
      </c>
      <c r="D1118" s="2421" t="s">
        <v>3293</v>
      </c>
      <c r="E1118" s="2250" t="s">
        <v>1833</v>
      </c>
      <c r="F1118" s="2176"/>
      <c r="G1118" s="2179">
        <f>G1119+G1121+G1123</f>
        <v>0</v>
      </c>
      <c r="H1118" s="2179">
        <f>H1119+H1121+H1123</f>
        <v>0</v>
      </c>
      <c r="I1118" s="2178">
        <f t="shared" si="2308"/>
        <v>0</v>
      </c>
      <c r="J1118" s="2176"/>
      <c r="K1118" s="2179">
        <f t="shared" si="2331"/>
        <v>0</v>
      </c>
      <c r="L1118" s="2179">
        <f t="shared" si="2331"/>
        <v>0</v>
      </c>
      <c r="M1118" s="2178">
        <f t="shared" si="2309"/>
        <v>0</v>
      </c>
      <c r="N1118" s="2179">
        <f>N1119+N1121+N1123</f>
        <v>0</v>
      </c>
      <c r="O1118" s="2179">
        <f>O1119+O1121+O1123</f>
        <v>0</v>
      </c>
      <c r="P1118" s="2178">
        <f t="shared" si="2310"/>
        <v>0</v>
      </c>
      <c r="Q1118" s="2179">
        <f>Q1119+Q1121+Q1123</f>
        <v>0</v>
      </c>
      <c r="R1118" s="2179">
        <f>R1119+R1121+R1123</f>
        <v>0</v>
      </c>
      <c r="S1118" s="2178">
        <f t="shared" si="2311"/>
        <v>0</v>
      </c>
      <c r="T1118" s="2181">
        <f t="shared" si="2368"/>
        <v>0</v>
      </c>
      <c r="U1118" s="2179">
        <f t="shared" si="2368"/>
        <v>0</v>
      </c>
      <c r="V1118" s="2178">
        <f t="shared" si="2313"/>
        <v>0</v>
      </c>
      <c r="W1118" s="2179">
        <f>W1119+W1121+W1123</f>
        <v>0</v>
      </c>
      <c r="X1118" s="2179">
        <f>X1119+X1121+X1123</f>
        <v>0</v>
      </c>
      <c r="Y1118" s="2178">
        <f t="shared" si="2314"/>
        <v>0</v>
      </c>
      <c r="Z1118" s="2181">
        <f t="shared" si="2369"/>
        <v>0</v>
      </c>
      <c r="AA1118" s="2179">
        <f t="shared" si="2369"/>
        <v>0</v>
      </c>
      <c r="AB1118" s="2178">
        <f t="shared" si="2316"/>
        <v>0</v>
      </c>
      <c r="AC1118" s="2179">
        <f>AC1119+AC1121+AC1123</f>
        <v>0</v>
      </c>
      <c r="AD1118" s="2179">
        <f>AD1119+AD1121+AD1123</f>
        <v>0</v>
      </c>
      <c r="AE1118" s="2178">
        <f t="shared" si="2317"/>
        <v>0</v>
      </c>
      <c r="AF1118" s="2204"/>
      <c r="AG1118" s="2114"/>
      <c r="AH1118" s="2188">
        <f>AH1119+AH1121+AH1123</f>
        <v>0</v>
      </c>
      <c r="AI1118" s="2188">
        <f>AI1119+AI1121+AI1123</f>
        <v>0</v>
      </c>
      <c r="AJ1118" s="2186">
        <f t="shared" si="2318"/>
        <v>0</v>
      </c>
      <c r="AK1118" s="2188">
        <f>AK1119+AK1121+AK1123</f>
        <v>0</v>
      </c>
      <c r="AL1118" s="2188">
        <f>AL1119+AL1121+AL1123</f>
        <v>0</v>
      </c>
      <c r="AM1118" s="2186">
        <f t="shared" si="2319"/>
        <v>0</v>
      </c>
      <c r="AN1118" s="2188">
        <f>AN1119+AN1121+AN1123</f>
        <v>0</v>
      </c>
      <c r="AO1118" s="2188">
        <f>AO1119+AO1121+AO1123</f>
        <v>0</v>
      </c>
      <c r="AP1118" s="2186">
        <f t="shared" si="2320"/>
        <v>0</v>
      </c>
      <c r="AQ1118" s="2188">
        <f>AQ1119+AQ1121+AQ1123</f>
        <v>0</v>
      </c>
      <c r="AR1118" s="2188">
        <f>AR1119+AR1121+AR1123</f>
        <v>0</v>
      </c>
      <c r="AS1118" s="2186">
        <f t="shared" si="2321"/>
        <v>0</v>
      </c>
      <c r="AT1118" s="2188">
        <f>AT1119+AT1121+AT1123</f>
        <v>0</v>
      </c>
      <c r="AU1118" s="2188">
        <f>AU1119+AU1121+AU1123</f>
        <v>0</v>
      </c>
      <c r="AV1118" s="2186">
        <f t="shared" si="2322"/>
        <v>0</v>
      </c>
      <c r="AW1118" s="2188">
        <f>AW1119+AW1121+AW1123</f>
        <v>0</v>
      </c>
      <c r="AX1118" s="2188">
        <f>AX1119+AX1121+AX1123</f>
        <v>0</v>
      </c>
      <c r="AY1118" s="2186">
        <f t="shared" si="2323"/>
        <v>0</v>
      </c>
      <c r="AZ1118" s="2188">
        <f>AZ1119+AZ1121+AZ1123</f>
        <v>0</v>
      </c>
      <c r="BA1118" s="2188">
        <f>BA1119+BA1121+BA1123</f>
        <v>0</v>
      </c>
      <c r="BB1118" s="2186">
        <f t="shared" si="2324"/>
        <v>0</v>
      </c>
      <c r="BC1118" s="2188">
        <f>BC1119+BC1121+BC1123</f>
        <v>0</v>
      </c>
      <c r="BD1118" s="2188">
        <f>BD1119+BD1121+BD1123</f>
        <v>0</v>
      </c>
      <c r="BE1118" s="2186">
        <f t="shared" si="2325"/>
        <v>0</v>
      </c>
      <c r="BF1118" s="2188">
        <f>BF1119+BF1121+BF1123</f>
        <v>0</v>
      </c>
      <c r="BG1118" s="2188">
        <f>BG1119+BG1121+BG1123</f>
        <v>0</v>
      </c>
      <c r="BH1118" s="2186">
        <f t="shared" si="2326"/>
        <v>0</v>
      </c>
      <c r="BI1118" s="2188">
        <f>BI1119+BI1121+BI1123</f>
        <v>0</v>
      </c>
      <c r="BJ1118" s="2188">
        <f>BJ1119+BJ1121+BJ1123</f>
        <v>0</v>
      </c>
      <c r="BK1118" s="2186">
        <f t="shared" si="2327"/>
        <v>0</v>
      </c>
      <c r="BL1118" s="2188">
        <f>BL1119+BL1121+BL1123</f>
        <v>0</v>
      </c>
      <c r="BM1118" s="2188">
        <f>BM1119+BM1121+BM1123</f>
        <v>0</v>
      </c>
      <c r="BN1118" s="2186">
        <f t="shared" si="2328"/>
        <v>0</v>
      </c>
      <c r="BO1118" s="2188">
        <f>BO1119+BO1121+BO1123</f>
        <v>0</v>
      </c>
      <c r="BP1118" s="2188">
        <f>BP1119+BP1121+BP1123</f>
        <v>0</v>
      </c>
      <c r="BQ1118" s="2186">
        <f t="shared" si="2329"/>
        <v>0</v>
      </c>
    </row>
    <row r="1119" spans="3:69" s="2087" customFormat="1" ht="12" hidden="1" customHeight="1">
      <c r="C1119" s="2473" t="s">
        <v>3300</v>
      </c>
      <c r="D1119" s="2334" t="s">
        <v>705</v>
      </c>
      <c r="E1119" s="2250" t="s">
        <v>1833</v>
      </c>
      <c r="F1119" s="2176"/>
      <c r="G1119" s="2177"/>
      <c r="H1119" s="2177"/>
      <c r="I1119" s="2178">
        <f t="shared" si="2308"/>
        <v>0</v>
      </c>
      <c r="J1119" s="2176"/>
      <c r="K1119" s="2179">
        <f t="shared" si="2331"/>
        <v>0</v>
      </c>
      <c r="L1119" s="2179">
        <f t="shared" si="2331"/>
        <v>0</v>
      </c>
      <c r="M1119" s="2178">
        <f t="shared" si="2309"/>
        <v>0</v>
      </c>
      <c r="N1119" s="2177"/>
      <c r="O1119" s="2177"/>
      <c r="P1119" s="2178">
        <f t="shared" si="2310"/>
        <v>0</v>
      </c>
      <c r="Q1119" s="2176"/>
      <c r="R1119" s="2177"/>
      <c r="S1119" s="2178">
        <f t="shared" si="2311"/>
        <v>0</v>
      </c>
      <c r="T1119" s="2181">
        <f t="shared" si="2368"/>
        <v>0</v>
      </c>
      <c r="U1119" s="2179">
        <f t="shared" si="2368"/>
        <v>0</v>
      </c>
      <c r="V1119" s="2178">
        <f t="shared" si="2313"/>
        <v>0</v>
      </c>
      <c r="W1119" s="2176"/>
      <c r="X1119" s="2177"/>
      <c r="Y1119" s="2178">
        <f t="shared" si="2314"/>
        <v>0</v>
      </c>
      <c r="Z1119" s="2181">
        <f t="shared" si="2369"/>
        <v>0</v>
      </c>
      <c r="AA1119" s="2179">
        <f t="shared" si="2369"/>
        <v>0</v>
      </c>
      <c r="AB1119" s="2178">
        <f t="shared" si="2316"/>
        <v>0</v>
      </c>
      <c r="AC1119" s="2176"/>
      <c r="AD1119" s="2177"/>
      <c r="AE1119" s="2178">
        <f t="shared" si="2317"/>
        <v>0</v>
      </c>
      <c r="AF1119" s="2204"/>
      <c r="AG1119" s="2114"/>
      <c r="AH1119" s="2177"/>
      <c r="AI1119" s="2177"/>
      <c r="AJ1119" s="2186">
        <f t="shared" si="2318"/>
        <v>0</v>
      </c>
      <c r="AK1119" s="2177"/>
      <c r="AL1119" s="2177"/>
      <c r="AM1119" s="2186">
        <f t="shared" si="2319"/>
        <v>0</v>
      </c>
      <c r="AN1119" s="2177"/>
      <c r="AO1119" s="2177"/>
      <c r="AP1119" s="2186">
        <f t="shared" si="2320"/>
        <v>0</v>
      </c>
      <c r="AQ1119" s="2177"/>
      <c r="AR1119" s="2177"/>
      <c r="AS1119" s="2186">
        <f t="shared" si="2321"/>
        <v>0</v>
      </c>
      <c r="AT1119" s="2177"/>
      <c r="AU1119" s="2177"/>
      <c r="AV1119" s="2186">
        <f t="shared" si="2322"/>
        <v>0</v>
      </c>
      <c r="AW1119" s="2177"/>
      <c r="AX1119" s="2177"/>
      <c r="AY1119" s="2186">
        <f t="shared" si="2323"/>
        <v>0</v>
      </c>
      <c r="AZ1119" s="2177"/>
      <c r="BA1119" s="2177"/>
      <c r="BB1119" s="2186">
        <f t="shared" si="2324"/>
        <v>0</v>
      </c>
      <c r="BC1119" s="2177"/>
      <c r="BD1119" s="2177"/>
      <c r="BE1119" s="2186">
        <f t="shared" si="2325"/>
        <v>0</v>
      </c>
      <c r="BF1119" s="2177"/>
      <c r="BG1119" s="2177"/>
      <c r="BH1119" s="2186">
        <f t="shared" si="2326"/>
        <v>0</v>
      </c>
      <c r="BI1119" s="2177"/>
      <c r="BJ1119" s="2177"/>
      <c r="BK1119" s="2186">
        <f t="shared" si="2327"/>
        <v>0</v>
      </c>
      <c r="BL1119" s="2177"/>
      <c r="BM1119" s="2177"/>
      <c r="BN1119" s="2186">
        <f t="shared" si="2328"/>
        <v>0</v>
      </c>
      <c r="BO1119" s="2177"/>
      <c r="BP1119" s="2177"/>
      <c r="BQ1119" s="2186">
        <f t="shared" si="2329"/>
        <v>0</v>
      </c>
    </row>
    <row r="1120" spans="3:69" s="2087" customFormat="1" ht="12" hidden="1" customHeight="1">
      <c r="C1120" s="2473" t="s">
        <v>3300</v>
      </c>
      <c r="D1120" s="2334" t="s">
        <v>2434</v>
      </c>
      <c r="E1120" s="2250" t="s">
        <v>1833</v>
      </c>
      <c r="F1120" s="2176"/>
      <c r="G1120" s="2177"/>
      <c r="H1120" s="2177"/>
      <c r="I1120" s="2178">
        <f t="shared" si="2308"/>
        <v>0</v>
      </c>
      <c r="J1120" s="2176"/>
      <c r="K1120" s="2179">
        <f>N1120+Q1120+W1120+AC1120</f>
        <v>0</v>
      </c>
      <c r="L1120" s="2179">
        <f>O1120+R1120+X1120+AD1120</f>
        <v>0</v>
      </c>
      <c r="M1120" s="2178">
        <f t="shared" si="2309"/>
        <v>0</v>
      </c>
      <c r="N1120" s="2177"/>
      <c r="O1120" s="2177"/>
      <c r="P1120" s="2178">
        <f t="shared" si="2310"/>
        <v>0</v>
      </c>
      <c r="Q1120" s="2176"/>
      <c r="R1120" s="2177"/>
      <c r="S1120" s="2178">
        <f t="shared" si="2311"/>
        <v>0</v>
      </c>
      <c r="T1120" s="2181">
        <f>N1120+Q1120</f>
        <v>0</v>
      </c>
      <c r="U1120" s="2179">
        <f>O1120+R1120</f>
        <v>0</v>
      </c>
      <c r="V1120" s="2178">
        <f t="shared" si="2313"/>
        <v>0</v>
      </c>
      <c r="W1120" s="2176"/>
      <c r="X1120" s="2177"/>
      <c r="Y1120" s="2178">
        <f t="shared" si="2314"/>
        <v>0</v>
      </c>
      <c r="Z1120" s="2181">
        <f>T1120+W1120</f>
        <v>0</v>
      </c>
      <c r="AA1120" s="2179">
        <f>U1120+X1120</f>
        <v>0</v>
      </c>
      <c r="AB1120" s="2178">
        <f t="shared" si="2316"/>
        <v>0</v>
      </c>
      <c r="AC1120" s="2176"/>
      <c r="AD1120" s="2177"/>
      <c r="AE1120" s="2178">
        <f t="shared" si="2317"/>
        <v>0</v>
      </c>
      <c r="AF1120" s="2204"/>
      <c r="AG1120" s="2114"/>
      <c r="AH1120" s="2177"/>
      <c r="AI1120" s="2177"/>
      <c r="AJ1120" s="2186">
        <f t="shared" si="2318"/>
        <v>0</v>
      </c>
      <c r="AK1120" s="2177"/>
      <c r="AL1120" s="2177"/>
      <c r="AM1120" s="2186">
        <f t="shared" si="2319"/>
        <v>0</v>
      </c>
      <c r="AN1120" s="2177"/>
      <c r="AO1120" s="2177"/>
      <c r="AP1120" s="2186">
        <f t="shared" si="2320"/>
        <v>0</v>
      </c>
      <c r="AQ1120" s="2177"/>
      <c r="AR1120" s="2177"/>
      <c r="AS1120" s="2186">
        <f t="shared" si="2321"/>
        <v>0</v>
      </c>
      <c r="AT1120" s="2177"/>
      <c r="AU1120" s="2177"/>
      <c r="AV1120" s="2186">
        <f t="shared" si="2322"/>
        <v>0</v>
      </c>
      <c r="AW1120" s="2177"/>
      <c r="AX1120" s="2177"/>
      <c r="AY1120" s="2186">
        <f t="shared" si="2323"/>
        <v>0</v>
      </c>
      <c r="AZ1120" s="2177"/>
      <c r="BA1120" s="2177"/>
      <c r="BB1120" s="2186">
        <f t="shared" si="2324"/>
        <v>0</v>
      </c>
      <c r="BC1120" s="2177"/>
      <c r="BD1120" s="2177"/>
      <c r="BE1120" s="2186">
        <f t="shared" si="2325"/>
        <v>0</v>
      </c>
      <c r="BF1120" s="2177"/>
      <c r="BG1120" s="2177"/>
      <c r="BH1120" s="2186">
        <f t="shared" si="2326"/>
        <v>0</v>
      </c>
      <c r="BI1120" s="2177"/>
      <c r="BJ1120" s="2177"/>
      <c r="BK1120" s="2186">
        <f t="shared" si="2327"/>
        <v>0</v>
      </c>
      <c r="BL1120" s="2177"/>
      <c r="BM1120" s="2177"/>
      <c r="BN1120" s="2186">
        <f t="shared" si="2328"/>
        <v>0</v>
      </c>
      <c r="BO1120" s="2177"/>
      <c r="BP1120" s="2177"/>
      <c r="BQ1120" s="2186">
        <f t="shared" si="2329"/>
        <v>0</v>
      </c>
    </row>
    <row r="1121" spans="3:69" s="2087" customFormat="1" ht="12" hidden="1" customHeight="1">
      <c r="C1121" s="2473" t="s">
        <v>3301</v>
      </c>
      <c r="D1121" s="2334" t="s">
        <v>1758</v>
      </c>
      <c r="E1121" s="2250" t="s">
        <v>1833</v>
      </c>
      <c r="F1121" s="2176"/>
      <c r="G1121" s="2177"/>
      <c r="H1121" s="2177"/>
      <c r="I1121" s="2178">
        <f t="shared" si="2308"/>
        <v>0</v>
      </c>
      <c r="J1121" s="2176"/>
      <c r="K1121" s="2179">
        <f t="shared" si="2331"/>
        <v>0</v>
      </c>
      <c r="L1121" s="2179">
        <f t="shared" si="2331"/>
        <v>0</v>
      </c>
      <c r="M1121" s="2178">
        <f t="shared" si="2309"/>
        <v>0</v>
      </c>
      <c r="N1121" s="2177"/>
      <c r="O1121" s="2177"/>
      <c r="P1121" s="2178">
        <f t="shared" si="2310"/>
        <v>0</v>
      </c>
      <c r="Q1121" s="2176"/>
      <c r="R1121" s="2177"/>
      <c r="S1121" s="2178">
        <f t="shared" si="2311"/>
        <v>0</v>
      </c>
      <c r="T1121" s="2181">
        <f t="shared" si="2368"/>
        <v>0</v>
      </c>
      <c r="U1121" s="2179">
        <f t="shared" si="2368"/>
        <v>0</v>
      </c>
      <c r="V1121" s="2178">
        <f t="shared" si="2313"/>
        <v>0</v>
      </c>
      <c r="W1121" s="2176"/>
      <c r="X1121" s="2177"/>
      <c r="Y1121" s="2178">
        <f t="shared" si="2314"/>
        <v>0</v>
      </c>
      <c r="Z1121" s="2181">
        <f t="shared" si="2369"/>
        <v>0</v>
      </c>
      <c r="AA1121" s="2179">
        <f t="shared" si="2369"/>
        <v>0</v>
      </c>
      <c r="AB1121" s="2178">
        <f t="shared" si="2316"/>
        <v>0</v>
      </c>
      <c r="AC1121" s="2176"/>
      <c r="AD1121" s="2177"/>
      <c r="AE1121" s="2178">
        <f t="shared" si="2317"/>
        <v>0</v>
      </c>
      <c r="AF1121" s="2204"/>
      <c r="AG1121" s="2114"/>
      <c r="AH1121" s="2177"/>
      <c r="AI1121" s="2177"/>
      <c r="AJ1121" s="2186">
        <f t="shared" si="2318"/>
        <v>0</v>
      </c>
      <c r="AK1121" s="2177"/>
      <c r="AL1121" s="2177"/>
      <c r="AM1121" s="2186">
        <f t="shared" si="2319"/>
        <v>0</v>
      </c>
      <c r="AN1121" s="2177"/>
      <c r="AO1121" s="2177"/>
      <c r="AP1121" s="2186">
        <f t="shared" si="2320"/>
        <v>0</v>
      </c>
      <c r="AQ1121" s="2177"/>
      <c r="AR1121" s="2177"/>
      <c r="AS1121" s="2186">
        <f t="shared" si="2321"/>
        <v>0</v>
      </c>
      <c r="AT1121" s="2177"/>
      <c r="AU1121" s="2177"/>
      <c r="AV1121" s="2186">
        <f t="shared" si="2322"/>
        <v>0</v>
      </c>
      <c r="AW1121" s="2177"/>
      <c r="AX1121" s="2177"/>
      <c r="AY1121" s="2186">
        <f t="shared" si="2323"/>
        <v>0</v>
      </c>
      <c r="AZ1121" s="2177"/>
      <c r="BA1121" s="2177"/>
      <c r="BB1121" s="2186">
        <f t="shared" si="2324"/>
        <v>0</v>
      </c>
      <c r="BC1121" s="2177"/>
      <c r="BD1121" s="2177"/>
      <c r="BE1121" s="2186">
        <f t="shared" si="2325"/>
        <v>0</v>
      </c>
      <c r="BF1121" s="2177"/>
      <c r="BG1121" s="2177"/>
      <c r="BH1121" s="2186">
        <f t="shared" si="2326"/>
        <v>0</v>
      </c>
      <c r="BI1121" s="2177"/>
      <c r="BJ1121" s="2177"/>
      <c r="BK1121" s="2186">
        <f t="shared" si="2327"/>
        <v>0</v>
      </c>
      <c r="BL1121" s="2177"/>
      <c r="BM1121" s="2177"/>
      <c r="BN1121" s="2186">
        <f t="shared" si="2328"/>
        <v>0</v>
      </c>
      <c r="BO1121" s="2177"/>
      <c r="BP1121" s="2177"/>
      <c r="BQ1121" s="2186">
        <f t="shared" si="2329"/>
        <v>0</v>
      </c>
    </row>
    <row r="1122" spans="3:69" s="2087" customFormat="1" ht="12" hidden="1" customHeight="1">
      <c r="C1122" s="2473" t="s">
        <v>3301</v>
      </c>
      <c r="D1122" s="2334" t="s">
        <v>2434</v>
      </c>
      <c r="E1122" s="2250" t="s">
        <v>1833</v>
      </c>
      <c r="F1122" s="2176"/>
      <c r="G1122" s="2177"/>
      <c r="H1122" s="2177"/>
      <c r="I1122" s="2178">
        <f t="shared" si="2308"/>
        <v>0</v>
      </c>
      <c r="J1122" s="2176"/>
      <c r="K1122" s="2179">
        <f>N1122+Q1122+W1122+AC1122</f>
        <v>0</v>
      </c>
      <c r="L1122" s="2179">
        <f>O1122+R1122+X1122+AD1122</f>
        <v>0</v>
      </c>
      <c r="M1122" s="2178">
        <f t="shared" si="2309"/>
        <v>0</v>
      </c>
      <c r="N1122" s="2177"/>
      <c r="O1122" s="2177"/>
      <c r="P1122" s="2178">
        <f t="shared" si="2310"/>
        <v>0</v>
      </c>
      <c r="Q1122" s="2176"/>
      <c r="R1122" s="2177"/>
      <c r="S1122" s="2178">
        <f t="shared" si="2311"/>
        <v>0</v>
      </c>
      <c r="T1122" s="2181">
        <f>N1122+Q1122</f>
        <v>0</v>
      </c>
      <c r="U1122" s="2179">
        <f>O1122+R1122</f>
        <v>0</v>
      </c>
      <c r="V1122" s="2178">
        <f t="shared" si="2313"/>
        <v>0</v>
      </c>
      <c r="W1122" s="2176"/>
      <c r="X1122" s="2177"/>
      <c r="Y1122" s="2178">
        <f t="shared" si="2314"/>
        <v>0</v>
      </c>
      <c r="Z1122" s="2181">
        <f>T1122+W1122</f>
        <v>0</v>
      </c>
      <c r="AA1122" s="2179">
        <f>U1122+X1122</f>
        <v>0</v>
      </c>
      <c r="AB1122" s="2178">
        <f t="shared" si="2316"/>
        <v>0</v>
      </c>
      <c r="AC1122" s="2176"/>
      <c r="AD1122" s="2177"/>
      <c r="AE1122" s="2178">
        <f t="shared" si="2317"/>
        <v>0</v>
      </c>
      <c r="AF1122" s="2204"/>
      <c r="AG1122" s="2114"/>
      <c r="AH1122" s="2177"/>
      <c r="AI1122" s="2177"/>
      <c r="AJ1122" s="2186">
        <f t="shared" si="2318"/>
        <v>0</v>
      </c>
      <c r="AK1122" s="2177"/>
      <c r="AL1122" s="2177"/>
      <c r="AM1122" s="2186">
        <f t="shared" si="2319"/>
        <v>0</v>
      </c>
      <c r="AN1122" s="2177"/>
      <c r="AO1122" s="2177"/>
      <c r="AP1122" s="2186">
        <f t="shared" si="2320"/>
        <v>0</v>
      </c>
      <c r="AQ1122" s="2177"/>
      <c r="AR1122" s="2177"/>
      <c r="AS1122" s="2186">
        <f t="shared" si="2321"/>
        <v>0</v>
      </c>
      <c r="AT1122" s="2177"/>
      <c r="AU1122" s="2177"/>
      <c r="AV1122" s="2186">
        <f t="shared" si="2322"/>
        <v>0</v>
      </c>
      <c r="AW1122" s="2177"/>
      <c r="AX1122" s="2177"/>
      <c r="AY1122" s="2186">
        <f t="shared" si="2323"/>
        <v>0</v>
      </c>
      <c r="AZ1122" s="2177"/>
      <c r="BA1122" s="2177"/>
      <c r="BB1122" s="2186">
        <f t="shared" si="2324"/>
        <v>0</v>
      </c>
      <c r="BC1122" s="2177"/>
      <c r="BD1122" s="2177"/>
      <c r="BE1122" s="2186">
        <f t="shared" si="2325"/>
        <v>0</v>
      </c>
      <c r="BF1122" s="2177"/>
      <c r="BG1122" s="2177"/>
      <c r="BH1122" s="2186">
        <f t="shared" si="2326"/>
        <v>0</v>
      </c>
      <c r="BI1122" s="2177"/>
      <c r="BJ1122" s="2177"/>
      <c r="BK1122" s="2186">
        <f t="shared" si="2327"/>
        <v>0</v>
      </c>
      <c r="BL1122" s="2177"/>
      <c r="BM1122" s="2177"/>
      <c r="BN1122" s="2186">
        <f t="shared" si="2328"/>
        <v>0</v>
      </c>
      <c r="BO1122" s="2177"/>
      <c r="BP1122" s="2177"/>
      <c r="BQ1122" s="2186">
        <f t="shared" si="2329"/>
        <v>0</v>
      </c>
    </row>
    <row r="1123" spans="3:69" s="2087" customFormat="1" ht="12" hidden="1" customHeight="1">
      <c r="C1123" s="2473" t="s">
        <v>3302</v>
      </c>
      <c r="D1123" s="2334" t="s">
        <v>3296</v>
      </c>
      <c r="E1123" s="2250" t="s">
        <v>1833</v>
      </c>
      <c r="F1123" s="2176"/>
      <c r="G1123" s="2177"/>
      <c r="H1123" s="2177"/>
      <c r="I1123" s="2178">
        <f t="shared" si="2308"/>
        <v>0</v>
      </c>
      <c r="J1123" s="2176"/>
      <c r="K1123" s="2179">
        <f t="shared" si="2331"/>
        <v>0</v>
      </c>
      <c r="L1123" s="2179">
        <f t="shared" si="2331"/>
        <v>0</v>
      </c>
      <c r="M1123" s="2178">
        <f t="shared" si="2309"/>
        <v>0</v>
      </c>
      <c r="N1123" s="2177"/>
      <c r="O1123" s="2177"/>
      <c r="P1123" s="2178">
        <f t="shared" si="2310"/>
        <v>0</v>
      </c>
      <c r="Q1123" s="2176"/>
      <c r="R1123" s="2177"/>
      <c r="S1123" s="2178">
        <f t="shared" si="2311"/>
        <v>0</v>
      </c>
      <c r="T1123" s="2181">
        <f t="shared" si="2368"/>
        <v>0</v>
      </c>
      <c r="U1123" s="2179">
        <f t="shared" si="2368"/>
        <v>0</v>
      </c>
      <c r="V1123" s="2178">
        <f t="shared" si="2313"/>
        <v>0</v>
      </c>
      <c r="W1123" s="2176"/>
      <c r="X1123" s="2177"/>
      <c r="Y1123" s="2178">
        <f t="shared" si="2314"/>
        <v>0</v>
      </c>
      <c r="Z1123" s="2181">
        <f t="shared" si="2369"/>
        <v>0</v>
      </c>
      <c r="AA1123" s="2179">
        <f t="shared" si="2369"/>
        <v>0</v>
      </c>
      <c r="AB1123" s="2178">
        <f t="shared" si="2316"/>
        <v>0</v>
      </c>
      <c r="AC1123" s="2176"/>
      <c r="AD1123" s="2177"/>
      <c r="AE1123" s="2178">
        <f t="shared" si="2317"/>
        <v>0</v>
      </c>
      <c r="AF1123" s="2204"/>
      <c r="AG1123" s="2114"/>
      <c r="AH1123" s="2177"/>
      <c r="AI1123" s="2177"/>
      <c r="AJ1123" s="2186">
        <f t="shared" si="2318"/>
        <v>0</v>
      </c>
      <c r="AK1123" s="2177"/>
      <c r="AL1123" s="2177"/>
      <c r="AM1123" s="2186">
        <f t="shared" si="2319"/>
        <v>0</v>
      </c>
      <c r="AN1123" s="2177"/>
      <c r="AO1123" s="2177"/>
      <c r="AP1123" s="2186">
        <f t="shared" si="2320"/>
        <v>0</v>
      </c>
      <c r="AQ1123" s="2177"/>
      <c r="AR1123" s="2177"/>
      <c r="AS1123" s="2186">
        <f t="shared" si="2321"/>
        <v>0</v>
      </c>
      <c r="AT1123" s="2177"/>
      <c r="AU1123" s="2177"/>
      <c r="AV1123" s="2186">
        <f t="shared" si="2322"/>
        <v>0</v>
      </c>
      <c r="AW1123" s="2177"/>
      <c r="AX1123" s="2177"/>
      <c r="AY1123" s="2186">
        <f t="shared" si="2323"/>
        <v>0</v>
      </c>
      <c r="AZ1123" s="2177"/>
      <c r="BA1123" s="2177"/>
      <c r="BB1123" s="2186">
        <f t="shared" si="2324"/>
        <v>0</v>
      </c>
      <c r="BC1123" s="2177"/>
      <c r="BD1123" s="2177"/>
      <c r="BE1123" s="2186">
        <f t="shared" si="2325"/>
        <v>0</v>
      </c>
      <c r="BF1123" s="2177"/>
      <c r="BG1123" s="2177"/>
      <c r="BH1123" s="2186">
        <f t="shared" si="2326"/>
        <v>0</v>
      </c>
      <c r="BI1123" s="2177"/>
      <c r="BJ1123" s="2177"/>
      <c r="BK1123" s="2186">
        <f t="shared" si="2327"/>
        <v>0</v>
      </c>
      <c r="BL1123" s="2177"/>
      <c r="BM1123" s="2177"/>
      <c r="BN1123" s="2186">
        <f t="shared" si="2328"/>
        <v>0</v>
      </c>
      <c r="BO1123" s="2177"/>
      <c r="BP1123" s="2177"/>
      <c r="BQ1123" s="2186">
        <f t="shared" si="2329"/>
        <v>0</v>
      </c>
    </row>
    <row r="1124" spans="3:69" s="2087" customFormat="1" ht="12" hidden="1" customHeight="1">
      <c r="C1124" s="2473" t="s">
        <v>3302</v>
      </c>
      <c r="D1124" s="2334" t="s">
        <v>2434</v>
      </c>
      <c r="E1124" s="2250" t="s">
        <v>1833</v>
      </c>
      <c r="F1124" s="2176"/>
      <c r="G1124" s="2177"/>
      <c r="H1124" s="2177"/>
      <c r="I1124" s="2178">
        <f t="shared" si="2308"/>
        <v>0</v>
      </c>
      <c r="J1124" s="2176"/>
      <c r="K1124" s="2179">
        <f>N1124+Q1124+W1124+AC1124</f>
        <v>0</v>
      </c>
      <c r="L1124" s="2179">
        <f>O1124+R1124+X1124+AD1124</f>
        <v>0</v>
      </c>
      <c r="M1124" s="2178">
        <f t="shared" si="2309"/>
        <v>0</v>
      </c>
      <c r="N1124" s="2177"/>
      <c r="O1124" s="2177"/>
      <c r="P1124" s="2178">
        <f t="shared" si="2310"/>
        <v>0</v>
      </c>
      <c r="Q1124" s="2176"/>
      <c r="R1124" s="2177"/>
      <c r="S1124" s="2178">
        <f t="shared" si="2311"/>
        <v>0</v>
      </c>
      <c r="T1124" s="2181">
        <f>N1124+Q1124</f>
        <v>0</v>
      </c>
      <c r="U1124" s="2179">
        <f>O1124+R1124</f>
        <v>0</v>
      </c>
      <c r="V1124" s="2178">
        <f t="shared" si="2313"/>
        <v>0</v>
      </c>
      <c r="W1124" s="2176"/>
      <c r="X1124" s="2177"/>
      <c r="Y1124" s="2178">
        <f t="shared" si="2314"/>
        <v>0</v>
      </c>
      <c r="Z1124" s="2181">
        <f>T1124+W1124</f>
        <v>0</v>
      </c>
      <c r="AA1124" s="2179">
        <f>U1124+X1124</f>
        <v>0</v>
      </c>
      <c r="AB1124" s="2178">
        <f t="shared" si="2316"/>
        <v>0</v>
      </c>
      <c r="AC1124" s="2176"/>
      <c r="AD1124" s="2177"/>
      <c r="AE1124" s="2178">
        <f t="shared" si="2317"/>
        <v>0</v>
      </c>
      <c r="AF1124" s="2204"/>
      <c r="AG1124" s="2114"/>
      <c r="AH1124" s="2177"/>
      <c r="AI1124" s="2177"/>
      <c r="AJ1124" s="2186">
        <f t="shared" si="2318"/>
        <v>0</v>
      </c>
      <c r="AK1124" s="2177"/>
      <c r="AL1124" s="2177"/>
      <c r="AM1124" s="2186">
        <f t="shared" si="2319"/>
        <v>0</v>
      </c>
      <c r="AN1124" s="2177"/>
      <c r="AO1124" s="2177"/>
      <c r="AP1124" s="2186">
        <f t="shared" si="2320"/>
        <v>0</v>
      </c>
      <c r="AQ1124" s="2177"/>
      <c r="AR1124" s="2177"/>
      <c r="AS1124" s="2186">
        <f t="shared" si="2321"/>
        <v>0</v>
      </c>
      <c r="AT1124" s="2177"/>
      <c r="AU1124" s="2177"/>
      <c r="AV1124" s="2186">
        <f t="shared" si="2322"/>
        <v>0</v>
      </c>
      <c r="AW1124" s="2177"/>
      <c r="AX1124" s="2177"/>
      <c r="AY1124" s="2186">
        <f t="shared" si="2323"/>
        <v>0</v>
      </c>
      <c r="AZ1124" s="2177"/>
      <c r="BA1124" s="2177"/>
      <c r="BB1124" s="2186">
        <f t="shared" si="2324"/>
        <v>0</v>
      </c>
      <c r="BC1124" s="2177"/>
      <c r="BD1124" s="2177"/>
      <c r="BE1124" s="2186">
        <f t="shared" si="2325"/>
        <v>0</v>
      </c>
      <c r="BF1124" s="2177"/>
      <c r="BG1124" s="2177"/>
      <c r="BH1124" s="2186">
        <f t="shared" si="2326"/>
        <v>0</v>
      </c>
      <c r="BI1124" s="2177"/>
      <c r="BJ1124" s="2177"/>
      <c r="BK1124" s="2186">
        <f t="shared" si="2327"/>
        <v>0</v>
      </c>
      <c r="BL1124" s="2177"/>
      <c r="BM1124" s="2177"/>
      <c r="BN1124" s="2186">
        <f t="shared" si="2328"/>
        <v>0</v>
      </c>
      <c r="BO1124" s="2177"/>
      <c r="BP1124" s="2177"/>
      <c r="BQ1124" s="2186">
        <f t="shared" si="2329"/>
        <v>0</v>
      </c>
    </row>
    <row r="1125" spans="3:69" s="2087" customFormat="1" ht="12" hidden="1" customHeight="1">
      <c r="C1125" s="2423" t="s">
        <v>3299</v>
      </c>
      <c r="D1125" s="2421" t="s">
        <v>3297</v>
      </c>
      <c r="E1125" s="2250" t="s">
        <v>1833</v>
      </c>
      <c r="F1125" s="2176"/>
      <c r="G1125" s="2179">
        <f>G1126+G1128+G1130</f>
        <v>0</v>
      </c>
      <c r="H1125" s="2179">
        <f>H1126+H1128+H1130</f>
        <v>0</v>
      </c>
      <c r="I1125" s="2178">
        <f t="shared" si="2308"/>
        <v>0</v>
      </c>
      <c r="J1125" s="2176"/>
      <c r="K1125" s="2179">
        <f t="shared" si="2331"/>
        <v>0</v>
      </c>
      <c r="L1125" s="2179">
        <f t="shared" si="2331"/>
        <v>0</v>
      </c>
      <c r="M1125" s="2178">
        <f t="shared" si="2309"/>
        <v>0</v>
      </c>
      <c r="N1125" s="2179">
        <f>N1126+N1128+N1130</f>
        <v>0</v>
      </c>
      <c r="O1125" s="2179">
        <f>O1126+O1128+O1130</f>
        <v>0</v>
      </c>
      <c r="P1125" s="2178">
        <f t="shared" si="2310"/>
        <v>0</v>
      </c>
      <c r="Q1125" s="2179">
        <f>Q1126+Q1128+Q1130</f>
        <v>0</v>
      </c>
      <c r="R1125" s="2179">
        <f>R1126+R1128+R1130</f>
        <v>0</v>
      </c>
      <c r="S1125" s="2178">
        <f t="shared" si="2311"/>
        <v>0</v>
      </c>
      <c r="T1125" s="2181">
        <f t="shared" si="2368"/>
        <v>0</v>
      </c>
      <c r="U1125" s="2179">
        <f t="shared" si="2368"/>
        <v>0</v>
      </c>
      <c r="V1125" s="2178">
        <f t="shared" si="2313"/>
        <v>0</v>
      </c>
      <c r="W1125" s="2179">
        <f>W1126+W1128+W1130</f>
        <v>0</v>
      </c>
      <c r="X1125" s="2179">
        <f>X1126+X1128+X1130</f>
        <v>0</v>
      </c>
      <c r="Y1125" s="2178">
        <f t="shared" si="2314"/>
        <v>0</v>
      </c>
      <c r="Z1125" s="2181">
        <f t="shared" si="2369"/>
        <v>0</v>
      </c>
      <c r="AA1125" s="2179">
        <f t="shared" si="2369"/>
        <v>0</v>
      </c>
      <c r="AB1125" s="2178">
        <f t="shared" si="2316"/>
        <v>0</v>
      </c>
      <c r="AC1125" s="2179">
        <f>AC1126+AC1128+AC1130</f>
        <v>0</v>
      </c>
      <c r="AD1125" s="2179">
        <f>AD1126+AD1128+AD1130</f>
        <v>0</v>
      </c>
      <c r="AE1125" s="2178">
        <f t="shared" si="2317"/>
        <v>0</v>
      </c>
      <c r="AF1125" s="2204"/>
      <c r="AG1125" s="2114"/>
      <c r="AH1125" s="2188">
        <f>AH1126+AH1128+AH1130</f>
        <v>0</v>
      </c>
      <c r="AI1125" s="2188">
        <f>AI1126+AI1128+AI1130</f>
        <v>0</v>
      </c>
      <c r="AJ1125" s="2186">
        <f t="shared" si="2318"/>
        <v>0</v>
      </c>
      <c r="AK1125" s="2188">
        <f>AK1126+AK1128+AK1130</f>
        <v>0</v>
      </c>
      <c r="AL1125" s="2188">
        <f>AL1126+AL1128+AL1130</f>
        <v>0</v>
      </c>
      <c r="AM1125" s="2186">
        <f t="shared" si="2319"/>
        <v>0</v>
      </c>
      <c r="AN1125" s="2188">
        <f>AN1126+AN1128+AN1130</f>
        <v>0</v>
      </c>
      <c r="AO1125" s="2188">
        <f>AO1126+AO1128+AO1130</f>
        <v>0</v>
      </c>
      <c r="AP1125" s="2186">
        <f t="shared" si="2320"/>
        <v>0</v>
      </c>
      <c r="AQ1125" s="2188">
        <f>AQ1126+AQ1128+AQ1130</f>
        <v>0</v>
      </c>
      <c r="AR1125" s="2188">
        <f>AR1126+AR1128+AR1130</f>
        <v>0</v>
      </c>
      <c r="AS1125" s="2186">
        <f t="shared" si="2321"/>
        <v>0</v>
      </c>
      <c r="AT1125" s="2188">
        <f>AT1126+AT1128+AT1130</f>
        <v>0</v>
      </c>
      <c r="AU1125" s="2188">
        <f>AU1126+AU1128+AU1130</f>
        <v>0</v>
      </c>
      <c r="AV1125" s="2186">
        <f t="shared" si="2322"/>
        <v>0</v>
      </c>
      <c r="AW1125" s="2188">
        <f>AW1126+AW1128+AW1130</f>
        <v>0</v>
      </c>
      <c r="AX1125" s="2188">
        <f>AX1126+AX1128+AX1130</f>
        <v>0</v>
      </c>
      <c r="AY1125" s="2186">
        <f t="shared" si="2323"/>
        <v>0</v>
      </c>
      <c r="AZ1125" s="2188">
        <f>AZ1126+AZ1128+AZ1130</f>
        <v>0</v>
      </c>
      <c r="BA1125" s="2188">
        <f>BA1126+BA1128+BA1130</f>
        <v>0</v>
      </c>
      <c r="BB1125" s="2186">
        <f t="shared" si="2324"/>
        <v>0</v>
      </c>
      <c r="BC1125" s="2188">
        <f>BC1126+BC1128+BC1130</f>
        <v>0</v>
      </c>
      <c r="BD1125" s="2188">
        <f>BD1126+BD1128+BD1130</f>
        <v>0</v>
      </c>
      <c r="BE1125" s="2186">
        <f t="shared" si="2325"/>
        <v>0</v>
      </c>
      <c r="BF1125" s="2188">
        <f>BF1126+BF1128+BF1130</f>
        <v>0</v>
      </c>
      <c r="BG1125" s="2188">
        <f>BG1126+BG1128+BG1130</f>
        <v>0</v>
      </c>
      <c r="BH1125" s="2186">
        <f t="shared" si="2326"/>
        <v>0</v>
      </c>
      <c r="BI1125" s="2188">
        <f>BI1126+BI1128+BI1130</f>
        <v>0</v>
      </c>
      <c r="BJ1125" s="2188">
        <f>BJ1126+BJ1128+BJ1130</f>
        <v>0</v>
      </c>
      <c r="BK1125" s="2186">
        <f t="shared" si="2327"/>
        <v>0</v>
      </c>
      <c r="BL1125" s="2188">
        <f>BL1126+BL1128+BL1130</f>
        <v>0</v>
      </c>
      <c r="BM1125" s="2188">
        <f>BM1126+BM1128+BM1130</f>
        <v>0</v>
      </c>
      <c r="BN1125" s="2186">
        <f t="shared" si="2328"/>
        <v>0</v>
      </c>
      <c r="BO1125" s="2188">
        <f>BO1126+BO1128+BO1130</f>
        <v>0</v>
      </c>
      <c r="BP1125" s="2188">
        <f>BP1126+BP1128+BP1130</f>
        <v>0</v>
      </c>
      <c r="BQ1125" s="2186">
        <f t="shared" si="2329"/>
        <v>0</v>
      </c>
    </row>
    <row r="1126" spans="3:69" s="2087" customFormat="1" ht="12" hidden="1" customHeight="1">
      <c r="C1126" s="2473" t="s">
        <v>3300</v>
      </c>
      <c r="D1126" s="2334" t="s">
        <v>705</v>
      </c>
      <c r="E1126" s="2250" t="s">
        <v>1833</v>
      </c>
      <c r="F1126" s="2176"/>
      <c r="G1126" s="2177"/>
      <c r="H1126" s="2177"/>
      <c r="I1126" s="2178">
        <f t="shared" si="2308"/>
        <v>0</v>
      </c>
      <c r="J1126" s="2176"/>
      <c r="K1126" s="2179">
        <f t="shared" si="2331"/>
        <v>0</v>
      </c>
      <c r="L1126" s="2179">
        <f t="shared" si="2331"/>
        <v>0</v>
      </c>
      <c r="M1126" s="2178">
        <f t="shared" si="2309"/>
        <v>0</v>
      </c>
      <c r="N1126" s="2177"/>
      <c r="O1126" s="2177"/>
      <c r="P1126" s="2178">
        <f t="shared" si="2310"/>
        <v>0</v>
      </c>
      <c r="Q1126" s="2176"/>
      <c r="R1126" s="2177"/>
      <c r="S1126" s="2178">
        <f t="shared" si="2311"/>
        <v>0</v>
      </c>
      <c r="T1126" s="2181">
        <f t="shared" si="2368"/>
        <v>0</v>
      </c>
      <c r="U1126" s="2179">
        <f t="shared" si="2368"/>
        <v>0</v>
      </c>
      <c r="V1126" s="2178">
        <f t="shared" si="2313"/>
        <v>0</v>
      </c>
      <c r="W1126" s="2176"/>
      <c r="X1126" s="2177"/>
      <c r="Y1126" s="2178">
        <f t="shared" si="2314"/>
        <v>0</v>
      </c>
      <c r="Z1126" s="2181">
        <f t="shared" si="2369"/>
        <v>0</v>
      </c>
      <c r="AA1126" s="2179">
        <f t="shared" si="2369"/>
        <v>0</v>
      </c>
      <c r="AB1126" s="2178">
        <f t="shared" si="2316"/>
        <v>0</v>
      </c>
      <c r="AC1126" s="2176"/>
      <c r="AD1126" s="2177"/>
      <c r="AE1126" s="2178">
        <f t="shared" si="2317"/>
        <v>0</v>
      </c>
      <c r="AF1126" s="2204"/>
      <c r="AG1126" s="2114"/>
      <c r="AH1126" s="2177"/>
      <c r="AI1126" s="2177"/>
      <c r="AJ1126" s="2186">
        <f t="shared" si="2318"/>
        <v>0</v>
      </c>
      <c r="AK1126" s="2177"/>
      <c r="AL1126" s="2177"/>
      <c r="AM1126" s="2186">
        <f t="shared" si="2319"/>
        <v>0</v>
      </c>
      <c r="AN1126" s="2177"/>
      <c r="AO1126" s="2177"/>
      <c r="AP1126" s="2186">
        <f t="shared" si="2320"/>
        <v>0</v>
      </c>
      <c r="AQ1126" s="2177"/>
      <c r="AR1126" s="2177"/>
      <c r="AS1126" s="2186">
        <f t="shared" si="2321"/>
        <v>0</v>
      </c>
      <c r="AT1126" s="2177"/>
      <c r="AU1126" s="2177"/>
      <c r="AV1126" s="2186">
        <f t="shared" si="2322"/>
        <v>0</v>
      </c>
      <c r="AW1126" s="2177"/>
      <c r="AX1126" s="2177"/>
      <c r="AY1126" s="2186">
        <f t="shared" si="2323"/>
        <v>0</v>
      </c>
      <c r="AZ1126" s="2177"/>
      <c r="BA1126" s="2177"/>
      <c r="BB1126" s="2186">
        <f t="shared" si="2324"/>
        <v>0</v>
      </c>
      <c r="BC1126" s="2177"/>
      <c r="BD1126" s="2177"/>
      <c r="BE1126" s="2186">
        <f t="shared" si="2325"/>
        <v>0</v>
      </c>
      <c r="BF1126" s="2177"/>
      <c r="BG1126" s="2177"/>
      <c r="BH1126" s="2186">
        <f t="shared" si="2326"/>
        <v>0</v>
      </c>
      <c r="BI1126" s="2177"/>
      <c r="BJ1126" s="2177"/>
      <c r="BK1126" s="2186">
        <f t="shared" si="2327"/>
        <v>0</v>
      </c>
      <c r="BL1126" s="2177"/>
      <c r="BM1126" s="2177"/>
      <c r="BN1126" s="2186">
        <f t="shared" si="2328"/>
        <v>0</v>
      </c>
      <c r="BO1126" s="2177"/>
      <c r="BP1126" s="2177"/>
      <c r="BQ1126" s="2186">
        <f t="shared" si="2329"/>
        <v>0</v>
      </c>
    </row>
    <row r="1127" spans="3:69" s="2087" customFormat="1" ht="12" hidden="1" customHeight="1">
      <c r="C1127" s="2473" t="s">
        <v>3300</v>
      </c>
      <c r="D1127" s="2334" t="s">
        <v>2434</v>
      </c>
      <c r="E1127" s="2250" t="s">
        <v>1833</v>
      </c>
      <c r="F1127" s="2176"/>
      <c r="G1127" s="2177"/>
      <c r="H1127" s="2177"/>
      <c r="I1127" s="2178">
        <f t="shared" si="2308"/>
        <v>0</v>
      </c>
      <c r="J1127" s="2176"/>
      <c r="K1127" s="2179">
        <f>N1127+Q1127+W1127+AC1127</f>
        <v>0</v>
      </c>
      <c r="L1127" s="2179">
        <f>O1127+R1127+X1127+AD1127</f>
        <v>0</v>
      </c>
      <c r="M1127" s="2178">
        <f t="shared" si="2309"/>
        <v>0</v>
      </c>
      <c r="N1127" s="2177"/>
      <c r="O1127" s="2177"/>
      <c r="P1127" s="2178">
        <f t="shared" si="2310"/>
        <v>0</v>
      </c>
      <c r="Q1127" s="2176"/>
      <c r="R1127" s="2177"/>
      <c r="S1127" s="2178">
        <f t="shared" si="2311"/>
        <v>0</v>
      </c>
      <c r="T1127" s="2181">
        <f>N1127+Q1127</f>
        <v>0</v>
      </c>
      <c r="U1127" s="2179">
        <f>O1127+R1127</f>
        <v>0</v>
      </c>
      <c r="V1127" s="2178">
        <f t="shared" si="2313"/>
        <v>0</v>
      </c>
      <c r="W1127" s="2176"/>
      <c r="X1127" s="2177"/>
      <c r="Y1127" s="2178">
        <f t="shared" si="2314"/>
        <v>0</v>
      </c>
      <c r="Z1127" s="2181">
        <f>T1127+W1127</f>
        <v>0</v>
      </c>
      <c r="AA1127" s="2179">
        <f>U1127+X1127</f>
        <v>0</v>
      </c>
      <c r="AB1127" s="2178">
        <f t="shared" si="2316"/>
        <v>0</v>
      </c>
      <c r="AC1127" s="2176"/>
      <c r="AD1127" s="2177"/>
      <c r="AE1127" s="2178">
        <f t="shared" si="2317"/>
        <v>0</v>
      </c>
      <c r="AF1127" s="2204"/>
      <c r="AG1127" s="2114"/>
      <c r="AH1127" s="2177"/>
      <c r="AI1127" s="2177"/>
      <c r="AJ1127" s="2186">
        <f t="shared" si="2318"/>
        <v>0</v>
      </c>
      <c r="AK1127" s="2177"/>
      <c r="AL1127" s="2177"/>
      <c r="AM1127" s="2186">
        <f t="shared" si="2319"/>
        <v>0</v>
      </c>
      <c r="AN1127" s="2177"/>
      <c r="AO1127" s="2177"/>
      <c r="AP1127" s="2186">
        <f t="shared" si="2320"/>
        <v>0</v>
      </c>
      <c r="AQ1127" s="2177"/>
      <c r="AR1127" s="2177"/>
      <c r="AS1127" s="2186">
        <f t="shared" si="2321"/>
        <v>0</v>
      </c>
      <c r="AT1127" s="2177"/>
      <c r="AU1127" s="2177"/>
      <c r="AV1127" s="2186">
        <f t="shared" si="2322"/>
        <v>0</v>
      </c>
      <c r="AW1127" s="2177"/>
      <c r="AX1127" s="2177"/>
      <c r="AY1127" s="2186">
        <f t="shared" si="2323"/>
        <v>0</v>
      </c>
      <c r="AZ1127" s="2177"/>
      <c r="BA1127" s="2177"/>
      <c r="BB1127" s="2186">
        <f t="shared" si="2324"/>
        <v>0</v>
      </c>
      <c r="BC1127" s="2177"/>
      <c r="BD1127" s="2177"/>
      <c r="BE1127" s="2186">
        <f t="shared" si="2325"/>
        <v>0</v>
      </c>
      <c r="BF1127" s="2177"/>
      <c r="BG1127" s="2177"/>
      <c r="BH1127" s="2186">
        <f t="shared" si="2326"/>
        <v>0</v>
      </c>
      <c r="BI1127" s="2177"/>
      <c r="BJ1127" s="2177"/>
      <c r="BK1127" s="2186">
        <f t="shared" si="2327"/>
        <v>0</v>
      </c>
      <c r="BL1127" s="2177"/>
      <c r="BM1127" s="2177"/>
      <c r="BN1127" s="2186">
        <f t="shared" si="2328"/>
        <v>0</v>
      </c>
      <c r="BO1127" s="2177"/>
      <c r="BP1127" s="2177"/>
      <c r="BQ1127" s="2186">
        <f t="shared" si="2329"/>
        <v>0</v>
      </c>
    </row>
    <row r="1128" spans="3:69" s="2087" customFormat="1" ht="12" hidden="1" customHeight="1">
      <c r="C1128" s="2473" t="s">
        <v>3301</v>
      </c>
      <c r="D1128" s="2334" t="s">
        <v>1758</v>
      </c>
      <c r="E1128" s="2250" t="s">
        <v>1833</v>
      </c>
      <c r="F1128" s="2176"/>
      <c r="G1128" s="2177"/>
      <c r="H1128" s="2177"/>
      <c r="I1128" s="2178">
        <f t="shared" si="2308"/>
        <v>0</v>
      </c>
      <c r="J1128" s="2176"/>
      <c r="K1128" s="2179">
        <f t="shared" si="2331"/>
        <v>0</v>
      </c>
      <c r="L1128" s="2179">
        <f t="shared" si="2331"/>
        <v>0</v>
      </c>
      <c r="M1128" s="2178">
        <f t="shared" si="2309"/>
        <v>0</v>
      </c>
      <c r="N1128" s="2177"/>
      <c r="O1128" s="2177"/>
      <c r="P1128" s="2178">
        <f t="shared" si="2310"/>
        <v>0</v>
      </c>
      <c r="Q1128" s="2176"/>
      <c r="R1128" s="2177"/>
      <c r="S1128" s="2178">
        <f t="shared" si="2311"/>
        <v>0</v>
      </c>
      <c r="T1128" s="2181">
        <f t="shared" si="2368"/>
        <v>0</v>
      </c>
      <c r="U1128" s="2179">
        <f t="shared" si="2368"/>
        <v>0</v>
      </c>
      <c r="V1128" s="2178">
        <f t="shared" si="2313"/>
        <v>0</v>
      </c>
      <c r="W1128" s="2176"/>
      <c r="X1128" s="2177"/>
      <c r="Y1128" s="2178">
        <f t="shared" si="2314"/>
        <v>0</v>
      </c>
      <c r="Z1128" s="2181">
        <f t="shared" si="2369"/>
        <v>0</v>
      </c>
      <c r="AA1128" s="2179">
        <f t="shared" si="2369"/>
        <v>0</v>
      </c>
      <c r="AB1128" s="2178">
        <f t="shared" si="2316"/>
        <v>0</v>
      </c>
      <c r="AC1128" s="2176"/>
      <c r="AD1128" s="2177"/>
      <c r="AE1128" s="2178">
        <f t="shared" si="2317"/>
        <v>0</v>
      </c>
      <c r="AF1128" s="2204"/>
      <c r="AG1128" s="2114"/>
      <c r="AH1128" s="2177"/>
      <c r="AI1128" s="2177"/>
      <c r="AJ1128" s="2186">
        <f t="shared" si="2318"/>
        <v>0</v>
      </c>
      <c r="AK1128" s="2177"/>
      <c r="AL1128" s="2177"/>
      <c r="AM1128" s="2186">
        <f t="shared" si="2319"/>
        <v>0</v>
      </c>
      <c r="AN1128" s="2177"/>
      <c r="AO1128" s="2177"/>
      <c r="AP1128" s="2186">
        <f t="shared" si="2320"/>
        <v>0</v>
      </c>
      <c r="AQ1128" s="2177"/>
      <c r="AR1128" s="2177"/>
      <c r="AS1128" s="2186">
        <f t="shared" si="2321"/>
        <v>0</v>
      </c>
      <c r="AT1128" s="2177"/>
      <c r="AU1128" s="2177"/>
      <c r="AV1128" s="2186">
        <f t="shared" si="2322"/>
        <v>0</v>
      </c>
      <c r="AW1128" s="2177"/>
      <c r="AX1128" s="2177"/>
      <c r="AY1128" s="2186">
        <f t="shared" si="2323"/>
        <v>0</v>
      </c>
      <c r="AZ1128" s="2177"/>
      <c r="BA1128" s="2177"/>
      <c r="BB1128" s="2186">
        <f t="shared" si="2324"/>
        <v>0</v>
      </c>
      <c r="BC1128" s="2177"/>
      <c r="BD1128" s="2177"/>
      <c r="BE1128" s="2186">
        <f t="shared" si="2325"/>
        <v>0</v>
      </c>
      <c r="BF1128" s="2177"/>
      <c r="BG1128" s="2177"/>
      <c r="BH1128" s="2186">
        <f t="shared" si="2326"/>
        <v>0</v>
      </c>
      <c r="BI1128" s="2177"/>
      <c r="BJ1128" s="2177"/>
      <c r="BK1128" s="2186">
        <f t="shared" si="2327"/>
        <v>0</v>
      </c>
      <c r="BL1128" s="2177"/>
      <c r="BM1128" s="2177"/>
      <c r="BN1128" s="2186">
        <f t="shared" si="2328"/>
        <v>0</v>
      </c>
      <c r="BO1128" s="2177"/>
      <c r="BP1128" s="2177"/>
      <c r="BQ1128" s="2186">
        <f t="shared" si="2329"/>
        <v>0</v>
      </c>
    </row>
    <row r="1129" spans="3:69" s="2087" customFormat="1" ht="12" hidden="1" customHeight="1">
      <c r="C1129" s="2473" t="s">
        <v>3301</v>
      </c>
      <c r="D1129" s="2334" t="s">
        <v>2434</v>
      </c>
      <c r="E1129" s="2250" t="s">
        <v>1833</v>
      </c>
      <c r="F1129" s="2176"/>
      <c r="G1129" s="2177"/>
      <c r="H1129" s="2177"/>
      <c r="I1129" s="2178">
        <f t="shared" si="2308"/>
        <v>0</v>
      </c>
      <c r="J1129" s="2176"/>
      <c r="K1129" s="2179">
        <f>N1129+Q1129+W1129+AC1129</f>
        <v>0</v>
      </c>
      <c r="L1129" s="2179">
        <f>O1129+R1129+X1129+AD1129</f>
        <v>0</v>
      </c>
      <c r="M1129" s="2178">
        <f t="shared" si="2309"/>
        <v>0</v>
      </c>
      <c r="N1129" s="2177"/>
      <c r="O1129" s="2177"/>
      <c r="P1129" s="2178">
        <f t="shared" si="2310"/>
        <v>0</v>
      </c>
      <c r="Q1129" s="2176"/>
      <c r="R1129" s="2177"/>
      <c r="S1129" s="2178">
        <f t="shared" si="2311"/>
        <v>0</v>
      </c>
      <c r="T1129" s="2181">
        <f>N1129+Q1129</f>
        <v>0</v>
      </c>
      <c r="U1129" s="2179">
        <f>O1129+R1129</f>
        <v>0</v>
      </c>
      <c r="V1129" s="2178">
        <f t="shared" si="2313"/>
        <v>0</v>
      </c>
      <c r="W1129" s="2176"/>
      <c r="X1129" s="2177"/>
      <c r="Y1129" s="2178">
        <f t="shared" si="2314"/>
        <v>0</v>
      </c>
      <c r="Z1129" s="2181">
        <f>T1129+W1129</f>
        <v>0</v>
      </c>
      <c r="AA1129" s="2179">
        <f>U1129+X1129</f>
        <v>0</v>
      </c>
      <c r="AB1129" s="2178">
        <f t="shared" si="2316"/>
        <v>0</v>
      </c>
      <c r="AC1129" s="2176"/>
      <c r="AD1129" s="2177"/>
      <c r="AE1129" s="2178">
        <f t="shared" si="2317"/>
        <v>0</v>
      </c>
      <c r="AF1129" s="2204"/>
      <c r="AG1129" s="2114"/>
      <c r="AH1129" s="2177"/>
      <c r="AI1129" s="2177"/>
      <c r="AJ1129" s="2186">
        <f t="shared" si="2318"/>
        <v>0</v>
      </c>
      <c r="AK1129" s="2177"/>
      <c r="AL1129" s="2177"/>
      <c r="AM1129" s="2186">
        <f t="shared" si="2319"/>
        <v>0</v>
      </c>
      <c r="AN1129" s="2177"/>
      <c r="AO1129" s="2177"/>
      <c r="AP1129" s="2186">
        <f t="shared" si="2320"/>
        <v>0</v>
      </c>
      <c r="AQ1129" s="2177"/>
      <c r="AR1129" s="2177"/>
      <c r="AS1129" s="2186">
        <f t="shared" si="2321"/>
        <v>0</v>
      </c>
      <c r="AT1129" s="2177"/>
      <c r="AU1129" s="2177"/>
      <c r="AV1129" s="2186">
        <f t="shared" si="2322"/>
        <v>0</v>
      </c>
      <c r="AW1129" s="2177"/>
      <c r="AX1129" s="2177"/>
      <c r="AY1129" s="2186">
        <f t="shared" si="2323"/>
        <v>0</v>
      </c>
      <c r="AZ1129" s="2177"/>
      <c r="BA1129" s="2177"/>
      <c r="BB1129" s="2186">
        <f t="shared" si="2324"/>
        <v>0</v>
      </c>
      <c r="BC1129" s="2177"/>
      <c r="BD1129" s="2177"/>
      <c r="BE1129" s="2186">
        <f t="shared" si="2325"/>
        <v>0</v>
      </c>
      <c r="BF1129" s="2177"/>
      <c r="BG1129" s="2177"/>
      <c r="BH1129" s="2186">
        <f t="shared" si="2326"/>
        <v>0</v>
      </c>
      <c r="BI1129" s="2177"/>
      <c r="BJ1129" s="2177"/>
      <c r="BK1129" s="2186">
        <f t="shared" si="2327"/>
        <v>0</v>
      </c>
      <c r="BL1129" s="2177"/>
      <c r="BM1129" s="2177"/>
      <c r="BN1129" s="2186">
        <f t="shared" si="2328"/>
        <v>0</v>
      </c>
      <c r="BO1129" s="2177"/>
      <c r="BP1129" s="2177"/>
      <c r="BQ1129" s="2186">
        <f t="shared" si="2329"/>
        <v>0</v>
      </c>
    </row>
    <row r="1130" spans="3:69" s="2087" customFormat="1" ht="12" hidden="1" customHeight="1">
      <c r="C1130" s="2473" t="s">
        <v>3302</v>
      </c>
      <c r="D1130" s="2334" t="s">
        <v>3296</v>
      </c>
      <c r="E1130" s="2250" t="s">
        <v>1833</v>
      </c>
      <c r="F1130" s="2176"/>
      <c r="G1130" s="2177"/>
      <c r="H1130" s="2177"/>
      <c r="I1130" s="2178">
        <f t="shared" si="2308"/>
        <v>0</v>
      </c>
      <c r="J1130" s="2176"/>
      <c r="K1130" s="2179">
        <f t="shared" si="2331"/>
        <v>0</v>
      </c>
      <c r="L1130" s="2179">
        <f t="shared" si="2331"/>
        <v>0</v>
      </c>
      <c r="M1130" s="2178">
        <f t="shared" si="2309"/>
        <v>0</v>
      </c>
      <c r="N1130" s="2177"/>
      <c r="O1130" s="2177"/>
      <c r="P1130" s="2178">
        <f t="shared" si="2310"/>
        <v>0</v>
      </c>
      <c r="Q1130" s="2176"/>
      <c r="R1130" s="2177"/>
      <c r="S1130" s="2178">
        <f t="shared" si="2311"/>
        <v>0</v>
      </c>
      <c r="T1130" s="2181">
        <f t="shared" si="2368"/>
        <v>0</v>
      </c>
      <c r="U1130" s="2179">
        <f t="shared" si="2368"/>
        <v>0</v>
      </c>
      <c r="V1130" s="2178">
        <f t="shared" si="2313"/>
        <v>0</v>
      </c>
      <c r="W1130" s="2176"/>
      <c r="X1130" s="2177"/>
      <c r="Y1130" s="2178">
        <f t="shared" si="2314"/>
        <v>0</v>
      </c>
      <c r="Z1130" s="2181">
        <f t="shared" si="2369"/>
        <v>0</v>
      </c>
      <c r="AA1130" s="2179">
        <f t="shared" si="2369"/>
        <v>0</v>
      </c>
      <c r="AB1130" s="2178">
        <f t="shared" si="2316"/>
        <v>0</v>
      </c>
      <c r="AC1130" s="2176"/>
      <c r="AD1130" s="2177"/>
      <c r="AE1130" s="2178">
        <f t="shared" si="2317"/>
        <v>0</v>
      </c>
      <c r="AF1130" s="2204"/>
      <c r="AG1130" s="2114"/>
      <c r="AH1130" s="2177"/>
      <c r="AI1130" s="2177"/>
      <c r="AJ1130" s="2186">
        <f t="shared" si="2318"/>
        <v>0</v>
      </c>
      <c r="AK1130" s="2177"/>
      <c r="AL1130" s="2177"/>
      <c r="AM1130" s="2186">
        <f t="shared" si="2319"/>
        <v>0</v>
      </c>
      <c r="AN1130" s="2177"/>
      <c r="AO1130" s="2177"/>
      <c r="AP1130" s="2186">
        <f t="shared" si="2320"/>
        <v>0</v>
      </c>
      <c r="AQ1130" s="2177"/>
      <c r="AR1130" s="2177"/>
      <c r="AS1130" s="2186">
        <f t="shared" si="2321"/>
        <v>0</v>
      </c>
      <c r="AT1130" s="2177"/>
      <c r="AU1130" s="2177"/>
      <c r="AV1130" s="2186">
        <f t="shared" si="2322"/>
        <v>0</v>
      </c>
      <c r="AW1130" s="2177"/>
      <c r="AX1130" s="2177"/>
      <c r="AY1130" s="2186">
        <f t="shared" si="2323"/>
        <v>0</v>
      </c>
      <c r="AZ1130" s="2177"/>
      <c r="BA1130" s="2177"/>
      <c r="BB1130" s="2186">
        <f t="shared" si="2324"/>
        <v>0</v>
      </c>
      <c r="BC1130" s="2177"/>
      <c r="BD1130" s="2177"/>
      <c r="BE1130" s="2186">
        <f t="shared" si="2325"/>
        <v>0</v>
      </c>
      <c r="BF1130" s="2177"/>
      <c r="BG1130" s="2177"/>
      <c r="BH1130" s="2186">
        <f t="shared" si="2326"/>
        <v>0</v>
      </c>
      <c r="BI1130" s="2177"/>
      <c r="BJ1130" s="2177"/>
      <c r="BK1130" s="2186">
        <f t="shared" si="2327"/>
        <v>0</v>
      </c>
      <c r="BL1130" s="2177"/>
      <c r="BM1130" s="2177"/>
      <c r="BN1130" s="2186">
        <f t="shared" si="2328"/>
        <v>0</v>
      </c>
      <c r="BO1130" s="2177"/>
      <c r="BP1130" s="2177"/>
      <c r="BQ1130" s="2186">
        <f t="shared" si="2329"/>
        <v>0</v>
      </c>
    </row>
    <row r="1131" spans="3:69" s="2087" customFormat="1" ht="12" hidden="1" customHeight="1">
      <c r="C1131" s="2473" t="s">
        <v>3302</v>
      </c>
      <c r="D1131" s="2334" t="s">
        <v>2434</v>
      </c>
      <c r="E1131" s="2250" t="s">
        <v>1833</v>
      </c>
      <c r="F1131" s="2176"/>
      <c r="G1131" s="2177"/>
      <c r="H1131" s="2177"/>
      <c r="I1131" s="2178">
        <f t="shared" si="2308"/>
        <v>0</v>
      </c>
      <c r="J1131" s="2176"/>
      <c r="K1131" s="2179">
        <f>N1131+Q1131+W1131+AC1131</f>
        <v>0</v>
      </c>
      <c r="L1131" s="2179">
        <f>O1131+R1131+X1131+AD1131</f>
        <v>0</v>
      </c>
      <c r="M1131" s="2178">
        <f t="shared" si="2309"/>
        <v>0</v>
      </c>
      <c r="N1131" s="2177"/>
      <c r="O1131" s="2177"/>
      <c r="P1131" s="2178">
        <f t="shared" si="2310"/>
        <v>0</v>
      </c>
      <c r="Q1131" s="2176"/>
      <c r="R1131" s="2177"/>
      <c r="S1131" s="2178">
        <f t="shared" si="2311"/>
        <v>0</v>
      </c>
      <c r="T1131" s="2181">
        <f>N1131+Q1131</f>
        <v>0</v>
      </c>
      <c r="U1131" s="2179">
        <f>O1131+R1131</f>
        <v>0</v>
      </c>
      <c r="V1131" s="2178">
        <f t="shared" si="2313"/>
        <v>0</v>
      </c>
      <c r="W1131" s="2176"/>
      <c r="X1131" s="2177"/>
      <c r="Y1131" s="2178">
        <f t="shared" si="2314"/>
        <v>0</v>
      </c>
      <c r="Z1131" s="2181">
        <f>T1131+W1131</f>
        <v>0</v>
      </c>
      <c r="AA1131" s="2179">
        <f>U1131+X1131</f>
        <v>0</v>
      </c>
      <c r="AB1131" s="2178">
        <f t="shared" si="2316"/>
        <v>0</v>
      </c>
      <c r="AC1131" s="2176"/>
      <c r="AD1131" s="2177"/>
      <c r="AE1131" s="2178">
        <f t="shared" si="2317"/>
        <v>0</v>
      </c>
      <c r="AF1131" s="2204"/>
      <c r="AG1131" s="2114"/>
      <c r="AH1131" s="2177"/>
      <c r="AI1131" s="2177"/>
      <c r="AJ1131" s="2186">
        <f t="shared" si="2318"/>
        <v>0</v>
      </c>
      <c r="AK1131" s="2177"/>
      <c r="AL1131" s="2177"/>
      <c r="AM1131" s="2186">
        <f t="shared" si="2319"/>
        <v>0</v>
      </c>
      <c r="AN1131" s="2177"/>
      <c r="AO1131" s="2177"/>
      <c r="AP1131" s="2186">
        <f t="shared" si="2320"/>
        <v>0</v>
      </c>
      <c r="AQ1131" s="2177"/>
      <c r="AR1131" s="2177"/>
      <c r="AS1131" s="2186">
        <f t="shared" si="2321"/>
        <v>0</v>
      </c>
      <c r="AT1131" s="2177"/>
      <c r="AU1131" s="2177"/>
      <c r="AV1131" s="2186">
        <f t="shared" si="2322"/>
        <v>0</v>
      </c>
      <c r="AW1131" s="2177"/>
      <c r="AX1131" s="2177"/>
      <c r="AY1131" s="2186">
        <f t="shared" si="2323"/>
        <v>0</v>
      </c>
      <c r="AZ1131" s="2177"/>
      <c r="BA1131" s="2177"/>
      <c r="BB1131" s="2186">
        <f t="shared" si="2324"/>
        <v>0</v>
      </c>
      <c r="BC1131" s="2177"/>
      <c r="BD1131" s="2177"/>
      <c r="BE1131" s="2186">
        <f t="shared" si="2325"/>
        <v>0</v>
      </c>
      <c r="BF1131" s="2177"/>
      <c r="BG1131" s="2177"/>
      <c r="BH1131" s="2186">
        <f t="shared" si="2326"/>
        <v>0</v>
      </c>
      <c r="BI1131" s="2177"/>
      <c r="BJ1131" s="2177"/>
      <c r="BK1131" s="2186">
        <f t="shared" si="2327"/>
        <v>0</v>
      </c>
      <c r="BL1131" s="2177"/>
      <c r="BM1131" s="2177"/>
      <c r="BN1131" s="2186">
        <f t="shared" si="2328"/>
        <v>0</v>
      </c>
      <c r="BO1131" s="2177"/>
      <c r="BP1131" s="2177"/>
      <c r="BQ1131" s="2186">
        <f t="shared" si="2329"/>
        <v>0</v>
      </c>
    </row>
    <row r="1132" spans="3:69" s="2159" customFormat="1" ht="12" hidden="1" customHeight="1" collapsed="1">
      <c r="C1132" s="2474" t="s">
        <v>3303</v>
      </c>
      <c r="D1132" s="2477" t="s">
        <v>3176</v>
      </c>
      <c r="E1132" s="2120" t="s">
        <v>1833</v>
      </c>
      <c r="F1132" s="2162"/>
      <c r="G1132" s="2163">
        <f>G1133+G1140</f>
        <v>0</v>
      </c>
      <c r="H1132" s="2163">
        <f>H1133+H1140</f>
        <v>0</v>
      </c>
      <c r="I1132" s="2164">
        <f t="shared" si="2308"/>
        <v>0</v>
      </c>
      <c r="J1132" s="2162"/>
      <c r="K1132" s="2163">
        <f t="shared" si="2331"/>
        <v>0</v>
      </c>
      <c r="L1132" s="2163">
        <f t="shared" si="2331"/>
        <v>0</v>
      </c>
      <c r="M1132" s="2164">
        <f t="shared" si="2309"/>
        <v>0</v>
      </c>
      <c r="N1132" s="2163">
        <f>N1133+N1140</f>
        <v>0</v>
      </c>
      <c r="O1132" s="2163">
        <f>O1133+O1140</f>
        <v>0</v>
      </c>
      <c r="P1132" s="2164">
        <f t="shared" si="2310"/>
        <v>0</v>
      </c>
      <c r="Q1132" s="2165">
        <f>Q1133+Q1140</f>
        <v>0</v>
      </c>
      <c r="R1132" s="2163">
        <f>R1133+R1140</f>
        <v>0</v>
      </c>
      <c r="S1132" s="2164">
        <f t="shared" si="2311"/>
        <v>0</v>
      </c>
      <c r="T1132" s="2167">
        <f t="shared" si="2368"/>
        <v>0</v>
      </c>
      <c r="U1132" s="2163">
        <f t="shared" si="2368"/>
        <v>0</v>
      </c>
      <c r="V1132" s="2164">
        <f t="shared" si="2313"/>
        <v>0</v>
      </c>
      <c r="W1132" s="2165">
        <f>W1133+W1140</f>
        <v>0</v>
      </c>
      <c r="X1132" s="2163">
        <f>X1133+X1140</f>
        <v>0</v>
      </c>
      <c r="Y1132" s="2164">
        <f t="shared" si="2314"/>
        <v>0</v>
      </c>
      <c r="Z1132" s="2167">
        <f t="shared" si="2369"/>
        <v>0</v>
      </c>
      <c r="AA1132" s="2163">
        <f t="shared" si="2369"/>
        <v>0</v>
      </c>
      <c r="AB1132" s="2164">
        <f t="shared" si="2316"/>
        <v>0</v>
      </c>
      <c r="AC1132" s="2165">
        <f>AC1133+AC1140</f>
        <v>0</v>
      </c>
      <c r="AD1132" s="2163">
        <f>AD1133+AD1140</f>
        <v>0</v>
      </c>
      <c r="AE1132" s="2164">
        <f t="shared" si="2317"/>
        <v>0</v>
      </c>
      <c r="AF1132" s="2204"/>
      <c r="AG1132" s="2158"/>
      <c r="AH1132" s="2171">
        <f>AH1133+AH1140</f>
        <v>0</v>
      </c>
      <c r="AI1132" s="2171">
        <f>AI1133+AI1140</f>
        <v>0</v>
      </c>
      <c r="AJ1132" s="2172">
        <f t="shared" si="2318"/>
        <v>0</v>
      </c>
      <c r="AK1132" s="2171">
        <f>AK1133+AK1140</f>
        <v>0</v>
      </c>
      <c r="AL1132" s="2171">
        <f>AL1133+AL1140</f>
        <v>0</v>
      </c>
      <c r="AM1132" s="2172">
        <f t="shared" si="2319"/>
        <v>0</v>
      </c>
      <c r="AN1132" s="2171">
        <f>AN1133+AN1140</f>
        <v>0</v>
      </c>
      <c r="AO1132" s="2171">
        <f>AO1133+AO1140</f>
        <v>0</v>
      </c>
      <c r="AP1132" s="2172">
        <f t="shared" si="2320"/>
        <v>0</v>
      </c>
      <c r="AQ1132" s="2171">
        <f>AQ1133+AQ1140</f>
        <v>0</v>
      </c>
      <c r="AR1132" s="2171">
        <f>AR1133+AR1140</f>
        <v>0</v>
      </c>
      <c r="AS1132" s="2172">
        <f t="shared" si="2321"/>
        <v>0</v>
      </c>
      <c r="AT1132" s="2171">
        <f>AT1133+AT1140</f>
        <v>0</v>
      </c>
      <c r="AU1132" s="2171">
        <f>AU1133+AU1140</f>
        <v>0</v>
      </c>
      <c r="AV1132" s="2172">
        <f t="shared" si="2322"/>
        <v>0</v>
      </c>
      <c r="AW1132" s="2171">
        <f>AW1133+AW1140</f>
        <v>0</v>
      </c>
      <c r="AX1132" s="2171">
        <f>AX1133+AX1140</f>
        <v>0</v>
      </c>
      <c r="AY1132" s="2172">
        <f t="shared" si="2323"/>
        <v>0</v>
      </c>
      <c r="AZ1132" s="2171">
        <f>AZ1133+AZ1140</f>
        <v>0</v>
      </c>
      <c r="BA1132" s="2171">
        <f>BA1133+BA1140</f>
        <v>0</v>
      </c>
      <c r="BB1132" s="2172">
        <f t="shared" si="2324"/>
        <v>0</v>
      </c>
      <c r="BC1132" s="2171">
        <f>BC1133+BC1140</f>
        <v>0</v>
      </c>
      <c r="BD1132" s="2171">
        <f>BD1133+BD1140</f>
        <v>0</v>
      </c>
      <c r="BE1132" s="2172">
        <f t="shared" si="2325"/>
        <v>0</v>
      </c>
      <c r="BF1132" s="2171">
        <f>BF1133+BF1140</f>
        <v>0</v>
      </c>
      <c r="BG1132" s="2171">
        <f>BG1133+BG1140</f>
        <v>0</v>
      </c>
      <c r="BH1132" s="2172">
        <f t="shared" si="2326"/>
        <v>0</v>
      </c>
      <c r="BI1132" s="2171">
        <f>BI1133+BI1140</f>
        <v>0</v>
      </c>
      <c r="BJ1132" s="2171">
        <f>BJ1133+BJ1140</f>
        <v>0</v>
      </c>
      <c r="BK1132" s="2172">
        <f t="shared" si="2327"/>
        <v>0</v>
      </c>
      <c r="BL1132" s="2171">
        <f>BL1133+BL1140</f>
        <v>0</v>
      </c>
      <c r="BM1132" s="2171">
        <f>BM1133+BM1140</f>
        <v>0</v>
      </c>
      <c r="BN1132" s="2172">
        <f t="shared" si="2328"/>
        <v>0</v>
      </c>
      <c r="BO1132" s="2171">
        <f>BO1133+BO1140</f>
        <v>0</v>
      </c>
      <c r="BP1132" s="2171">
        <f>BP1133+BP1140</f>
        <v>0</v>
      </c>
      <c r="BQ1132" s="2172">
        <f t="shared" si="2329"/>
        <v>0</v>
      </c>
    </row>
    <row r="1133" spans="3:69" s="2159" customFormat="1" ht="12" hidden="1" customHeight="1">
      <c r="C1133" s="2474" t="s">
        <v>3304</v>
      </c>
      <c r="D1133" s="2476" t="s">
        <v>3281</v>
      </c>
      <c r="E1133" s="2120" t="s">
        <v>1833</v>
      </c>
      <c r="F1133" s="2162"/>
      <c r="G1133" s="2163">
        <f>G1134+G1136+G1138</f>
        <v>0</v>
      </c>
      <c r="H1133" s="2163">
        <f>H1134+H1136+H1138</f>
        <v>0</v>
      </c>
      <c r="I1133" s="2164">
        <f t="shared" si="2308"/>
        <v>0</v>
      </c>
      <c r="J1133" s="2162"/>
      <c r="K1133" s="2163">
        <f t="shared" si="2331"/>
        <v>0</v>
      </c>
      <c r="L1133" s="2163">
        <f t="shared" si="2331"/>
        <v>0</v>
      </c>
      <c r="M1133" s="2164">
        <f t="shared" si="2309"/>
        <v>0</v>
      </c>
      <c r="N1133" s="2163">
        <f>N1134+N1136+N1138</f>
        <v>0</v>
      </c>
      <c r="O1133" s="2163">
        <f>O1134+O1136+O1138</f>
        <v>0</v>
      </c>
      <c r="P1133" s="2164">
        <f t="shared" si="2310"/>
        <v>0</v>
      </c>
      <c r="Q1133" s="2163">
        <f>Q1134+Q1136+Q1138</f>
        <v>0</v>
      </c>
      <c r="R1133" s="2163">
        <f>R1134+R1136+R1138</f>
        <v>0</v>
      </c>
      <c r="S1133" s="2164">
        <f t="shared" si="2311"/>
        <v>0</v>
      </c>
      <c r="T1133" s="2167">
        <f t="shared" ref="T1133:U1148" si="2370">N1133+Q1133</f>
        <v>0</v>
      </c>
      <c r="U1133" s="2163">
        <f t="shared" si="2370"/>
        <v>0</v>
      </c>
      <c r="V1133" s="2164">
        <f t="shared" si="2313"/>
        <v>0</v>
      </c>
      <c r="W1133" s="2163">
        <f>W1134+W1136+W1138</f>
        <v>0</v>
      </c>
      <c r="X1133" s="2163">
        <f>X1134+X1136+X1138</f>
        <v>0</v>
      </c>
      <c r="Y1133" s="2164">
        <f t="shared" si="2314"/>
        <v>0</v>
      </c>
      <c r="Z1133" s="2167">
        <f t="shared" ref="Z1133:AA1148" si="2371">T1133+W1133</f>
        <v>0</v>
      </c>
      <c r="AA1133" s="2163">
        <f t="shared" si="2371"/>
        <v>0</v>
      </c>
      <c r="AB1133" s="2164">
        <f t="shared" si="2316"/>
        <v>0</v>
      </c>
      <c r="AC1133" s="2163">
        <f>AC1134+AC1136+AC1138</f>
        <v>0</v>
      </c>
      <c r="AD1133" s="2163">
        <f>AD1134+AD1136+AD1138</f>
        <v>0</v>
      </c>
      <c r="AE1133" s="2164">
        <f t="shared" si="2317"/>
        <v>0</v>
      </c>
      <c r="AF1133" s="2204"/>
      <c r="AG1133" s="2158"/>
      <c r="AH1133" s="2171">
        <f>AH1134+AH1136+AH1138</f>
        <v>0</v>
      </c>
      <c r="AI1133" s="2171">
        <f>AI1134+AI1136+AI1138</f>
        <v>0</v>
      </c>
      <c r="AJ1133" s="2172">
        <f t="shared" si="2318"/>
        <v>0</v>
      </c>
      <c r="AK1133" s="2171">
        <f>AK1134+AK1136+AK1138</f>
        <v>0</v>
      </c>
      <c r="AL1133" s="2171">
        <f>AL1134+AL1136+AL1138</f>
        <v>0</v>
      </c>
      <c r="AM1133" s="2172">
        <f t="shared" si="2319"/>
        <v>0</v>
      </c>
      <c r="AN1133" s="2171">
        <f>AN1134+AN1136+AN1138</f>
        <v>0</v>
      </c>
      <c r="AO1133" s="2171">
        <f>AO1134+AO1136+AO1138</f>
        <v>0</v>
      </c>
      <c r="AP1133" s="2172">
        <f t="shared" si="2320"/>
        <v>0</v>
      </c>
      <c r="AQ1133" s="2171">
        <f>AQ1134+AQ1136+AQ1138</f>
        <v>0</v>
      </c>
      <c r="AR1133" s="2171">
        <f>AR1134+AR1136+AR1138</f>
        <v>0</v>
      </c>
      <c r="AS1133" s="2172">
        <f t="shared" si="2321"/>
        <v>0</v>
      </c>
      <c r="AT1133" s="2171">
        <f>AT1134+AT1136+AT1138</f>
        <v>0</v>
      </c>
      <c r="AU1133" s="2171">
        <f>AU1134+AU1136+AU1138</f>
        <v>0</v>
      </c>
      <c r="AV1133" s="2172">
        <f t="shared" si="2322"/>
        <v>0</v>
      </c>
      <c r="AW1133" s="2171">
        <f>AW1134+AW1136+AW1138</f>
        <v>0</v>
      </c>
      <c r="AX1133" s="2171">
        <f>AX1134+AX1136+AX1138</f>
        <v>0</v>
      </c>
      <c r="AY1133" s="2172">
        <f t="shared" si="2323"/>
        <v>0</v>
      </c>
      <c r="AZ1133" s="2171">
        <f>AZ1134+AZ1136+AZ1138</f>
        <v>0</v>
      </c>
      <c r="BA1133" s="2171">
        <f>BA1134+BA1136+BA1138</f>
        <v>0</v>
      </c>
      <c r="BB1133" s="2172">
        <f t="shared" si="2324"/>
        <v>0</v>
      </c>
      <c r="BC1133" s="2171">
        <f>BC1134+BC1136+BC1138</f>
        <v>0</v>
      </c>
      <c r="BD1133" s="2171">
        <f>BD1134+BD1136+BD1138</f>
        <v>0</v>
      </c>
      <c r="BE1133" s="2172">
        <f t="shared" si="2325"/>
        <v>0</v>
      </c>
      <c r="BF1133" s="2171">
        <f>BF1134+BF1136+BF1138</f>
        <v>0</v>
      </c>
      <c r="BG1133" s="2171">
        <f>BG1134+BG1136+BG1138</f>
        <v>0</v>
      </c>
      <c r="BH1133" s="2172">
        <f t="shared" si="2326"/>
        <v>0</v>
      </c>
      <c r="BI1133" s="2171">
        <f>BI1134+BI1136+BI1138</f>
        <v>0</v>
      </c>
      <c r="BJ1133" s="2171">
        <f>BJ1134+BJ1136+BJ1138</f>
        <v>0</v>
      </c>
      <c r="BK1133" s="2172">
        <f t="shared" si="2327"/>
        <v>0</v>
      </c>
      <c r="BL1133" s="2171">
        <f>BL1134+BL1136+BL1138</f>
        <v>0</v>
      </c>
      <c r="BM1133" s="2171">
        <f>BM1134+BM1136+BM1138</f>
        <v>0</v>
      </c>
      <c r="BN1133" s="2172">
        <f t="shared" si="2328"/>
        <v>0</v>
      </c>
      <c r="BO1133" s="2171">
        <f>BO1134+BO1136+BO1138</f>
        <v>0</v>
      </c>
      <c r="BP1133" s="2171">
        <f>BP1134+BP1136+BP1138</f>
        <v>0</v>
      </c>
      <c r="BQ1133" s="2172">
        <f t="shared" si="2329"/>
        <v>0</v>
      </c>
    </row>
    <row r="1134" spans="3:69" s="2087" customFormat="1" ht="12" hidden="1" customHeight="1">
      <c r="C1134" s="2473" t="s">
        <v>3305</v>
      </c>
      <c r="D1134" s="2334" t="s">
        <v>28</v>
      </c>
      <c r="E1134" s="2250" t="s">
        <v>1833</v>
      </c>
      <c r="F1134" s="2176"/>
      <c r="G1134" s="2177"/>
      <c r="H1134" s="2177"/>
      <c r="I1134" s="2178">
        <f t="shared" si="2308"/>
        <v>0</v>
      </c>
      <c r="J1134" s="2176"/>
      <c r="K1134" s="2179">
        <f t="shared" si="2331"/>
        <v>0</v>
      </c>
      <c r="L1134" s="2179">
        <f t="shared" si="2331"/>
        <v>0</v>
      </c>
      <c r="M1134" s="2178">
        <f t="shared" si="2309"/>
        <v>0</v>
      </c>
      <c r="N1134" s="2177"/>
      <c r="O1134" s="2177"/>
      <c r="P1134" s="2178">
        <f t="shared" si="2310"/>
        <v>0</v>
      </c>
      <c r="Q1134" s="2176"/>
      <c r="R1134" s="2177"/>
      <c r="S1134" s="2178">
        <f t="shared" si="2311"/>
        <v>0</v>
      </c>
      <c r="T1134" s="2181">
        <f t="shared" si="2370"/>
        <v>0</v>
      </c>
      <c r="U1134" s="2179">
        <f t="shared" si="2370"/>
        <v>0</v>
      </c>
      <c r="V1134" s="2178">
        <f t="shared" si="2313"/>
        <v>0</v>
      </c>
      <c r="W1134" s="2176"/>
      <c r="X1134" s="2177"/>
      <c r="Y1134" s="2178">
        <f t="shared" si="2314"/>
        <v>0</v>
      </c>
      <c r="Z1134" s="2181">
        <f t="shared" si="2371"/>
        <v>0</v>
      </c>
      <c r="AA1134" s="2179">
        <f t="shared" si="2371"/>
        <v>0</v>
      </c>
      <c r="AB1134" s="2178">
        <f t="shared" si="2316"/>
        <v>0</v>
      </c>
      <c r="AC1134" s="2176"/>
      <c r="AD1134" s="2177"/>
      <c r="AE1134" s="2178">
        <f t="shared" si="2317"/>
        <v>0</v>
      </c>
      <c r="AF1134" s="2204"/>
      <c r="AG1134" s="2114"/>
      <c r="AH1134" s="2177"/>
      <c r="AI1134" s="2177"/>
      <c r="AJ1134" s="2186">
        <f t="shared" si="2318"/>
        <v>0</v>
      </c>
      <c r="AK1134" s="2177"/>
      <c r="AL1134" s="2177"/>
      <c r="AM1134" s="2186">
        <f t="shared" si="2319"/>
        <v>0</v>
      </c>
      <c r="AN1134" s="2177"/>
      <c r="AO1134" s="2177"/>
      <c r="AP1134" s="2186">
        <f t="shared" si="2320"/>
        <v>0</v>
      </c>
      <c r="AQ1134" s="2177"/>
      <c r="AR1134" s="2177"/>
      <c r="AS1134" s="2186">
        <f t="shared" si="2321"/>
        <v>0</v>
      </c>
      <c r="AT1134" s="2177"/>
      <c r="AU1134" s="2177"/>
      <c r="AV1134" s="2186">
        <f t="shared" si="2322"/>
        <v>0</v>
      </c>
      <c r="AW1134" s="2177"/>
      <c r="AX1134" s="2177"/>
      <c r="AY1134" s="2186">
        <f t="shared" si="2323"/>
        <v>0</v>
      </c>
      <c r="AZ1134" s="2177"/>
      <c r="BA1134" s="2177"/>
      <c r="BB1134" s="2186">
        <f t="shared" si="2324"/>
        <v>0</v>
      </c>
      <c r="BC1134" s="2177"/>
      <c r="BD1134" s="2177"/>
      <c r="BE1134" s="2186">
        <f t="shared" si="2325"/>
        <v>0</v>
      </c>
      <c r="BF1134" s="2177"/>
      <c r="BG1134" s="2177"/>
      <c r="BH1134" s="2186">
        <f t="shared" si="2326"/>
        <v>0</v>
      </c>
      <c r="BI1134" s="2177"/>
      <c r="BJ1134" s="2177"/>
      <c r="BK1134" s="2186">
        <f t="shared" si="2327"/>
        <v>0</v>
      </c>
      <c r="BL1134" s="2177"/>
      <c r="BM1134" s="2177"/>
      <c r="BN1134" s="2186">
        <f t="shared" si="2328"/>
        <v>0</v>
      </c>
      <c r="BO1134" s="2177"/>
      <c r="BP1134" s="2177"/>
      <c r="BQ1134" s="2186">
        <f t="shared" si="2329"/>
        <v>0</v>
      </c>
    </row>
    <row r="1135" spans="3:69" s="2087" customFormat="1" ht="12" hidden="1" customHeight="1">
      <c r="C1135" s="2473" t="s">
        <v>3305</v>
      </c>
      <c r="D1135" s="2334" t="s">
        <v>2434</v>
      </c>
      <c r="E1135" s="2250" t="s">
        <v>1833</v>
      </c>
      <c r="F1135" s="2176"/>
      <c r="G1135" s="2177"/>
      <c r="H1135" s="2177"/>
      <c r="I1135" s="2178">
        <f t="shared" si="2308"/>
        <v>0</v>
      </c>
      <c r="J1135" s="2176"/>
      <c r="K1135" s="2179">
        <f>N1135+Q1135+W1135+AC1135</f>
        <v>0</v>
      </c>
      <c r="L1135" s="2179">
        <f>O1135+R1135+X1135+AD1135</f>
        <v>0</v>
      </c>
      <c r="M1135" s="2178">
        <f t="shared" si="2309"/>
        <v>0</v>
      </c>
      <c r="N1135" s="2177"/>
      <c r="O1135" s="2177"/>
      <c r="P1135" s="2178">
        <f t="shared" si="2310"/>
        <v>0</v>
      </c>
      <c r="Q1135" s="2176"/>
      <c r="R1135" s="2177"/>
      <c r="S1135" s="2178">
        <f t="shared" si="2311"/>
        <v>0</v>
      </c>
      <c r="T1135" s="2181">
        <f>N1135+Q1135</f>
        <v>0</v>
      </c>
      <c r="U1135" s="2179">
        <f>O1135+R1135</f>
        <v>0</v>
      </c>
      <c r="V1135" s="2178">
        <f t="shared" si="2313"/>
        <v>0</v>
      </c>
      <c r="W1135" s="2176"/>
      <c r="X1135" s="2177"/>
      <c r="Y1135" s="2178">
        <f t="shared" si="2314"/>
        <v>0</v>
      </c>
      <c r="Z1135" s="2181">
        <f>T1135+W1135</f>
        <v>0</v>
      </c>
      <c r="AA1135" s="2179">
        <f>U1135+X1135</f>
        <v>0</v>
      </c>
      <c r="AB1135" s="2178">
        <f t="shared" si="2316"/>
        <v>0</v>
      </c>
      <c r="AC1135" s="2176"/>
      <c r="AD1135" s="2177"/>
      <c r="AE1135" s="2178">
        <f t="shared" si="2317"/>
        <v>0</v>
      </c>
      <c r="AF1135" s="2204"/>
      <c r="AG1135" s="2114"/>
      <c r="AH1135" s="2177"/>
      <c r="AI1135" s="2177"/>
      <c r="AJ1135" s="2186">
        <f t="shared" si="2318"/>
        <v>0</v>
      </c>
      <c r="AK1135" s="2177"/>
      <c r="AL1135" s="2177"/>
      <c r="AM1135" s="2186">
        <f t="shared" si="2319"/>
        <v>0</v>
      </c>
      <c r="AN1135" s="2177"/>
      <c r="AO1135" s="2177"/>
      <c r="AP1135" s="2186">
        <f t="shared" si="2320"/>
        <v>0</v>
      </c>
      <c r="AQ1135" s="2177"/>
      <c r="AR1135" s="2177"/>
      <c r="AS1135" s="2186">
        <f t="shared" si="2321"/>
        <v>0</v>
      </c>
      <c r="AT1135" s="2177"/>
      <c r="AU1135" s="2177"/>
      <c r="AV1135" s="2186">
        <f t="shared" si="2322"/>
        <v>0</v>
      </c>
      <c r="AW1135" s="2177"/>
      <c r="AX1135" s="2177"/>
      <c r="AY1135" s="2186">
        <f t="shared" si="2323"/>
        <v>0</v>
      </c>
      <c r="AZ1135" s="2177"/>
      <c r="BA1135" s="2177"/>
      <c r="BB1135" s="2186">
        <f t="shared" si="2324"/>
        <v>0</v>
      </c>
      <c r="BC1135" s="2177"/>
      <c r="BD1135" s="2177"/>
      <c r="BE1135" s="2186">
        <f t="shared" si="2325"/>
        <v>0</v>
      </c>
      <c r="BF1135" s="2177"/>
      <c r="BG1135" s="2177"/>
      <c r="BH1135" s="2186">
        <f t="shared" si="2326"/>
        <v>0</v>
      </c>
      <c r="BI1135" s="2177"/>
      <c r="BJ1135" s="2177"/>
      <c r="BK1135" s="2186">
        <f t="shared" si="2327"/>
        <v>0</v>
      </c>
      <c r="BL1135" s="2177"/>
      <c r="BM1135" s="2177"/>
      <c r="BN1135" s="2186">
        <f t="shared" si="2328"/>
        <v>0</v>
      </c>
      <c r="BO1135" s="2177"/>
      <c r="BP1135" s="2177"/>
      <c r="BQ1135" s="2186">
        <f t="shared" si="2329"/>
        <v>0</v>
      </c>
    </row>
    <row r="1136" spans="3:69" s="2087" customFormat="1" ht="12" hidden="1" customHeight="1">
      <c r="C1136" s="2473" t="s">
        <v>3306</v>
      </c>
      <c r="D1136" s="2334" t="s">
        <v>2872</v>
      </c>
      <c r="E1136" s="2250" t="s">
        <v>1833</v>
      </c>
      <c r="F1136" s="2176"/>
      <c r="G1136" s="2177"/>
      <c r="H1136" s="2177"/>
      <c r="I1136" s="2178">
        <f t="shared" si="2308"/>
        <v>0</v>
      </c>
      <c r="J1136" s="2176"/>
      <c r="K1136" s="2179">
        <f t="shared" si="2331"/>
        <v>0</v>
      </c>
      <c r="L1136" s="2179">
        <f t="shared" si="2331"/>
        <v>0</v>
      </c>
      <c r="M1136" s="2178">
        <f t="shared" si="2309"/>
        <v>0</v>
      </c>
      <c r="N1136" s="2177"/>
      <c r="O1136" s="2177"/>
      <c r="P1136" s="2178">
        <f t="shared" si="2310"/>
        <v>0</v>
      </c>
      <c r="Q1136" s="2176"/>
      <c r="R1136" s="2177"/>
      <c r="S1136" s="2178">
        <f t="shared" si="2311"/>
        <v>0</v>
      </c>
      <c r="T1136" s="2181">
        <f t="shared" si="2370"/>
        <v>0</v>
      </c>
      <c r="U1136" s="2179">
        <f t="shared" si="2370"/>
        <v>0</v>
      </c>
      <c r="V1136" s="2178">
        <f t="shared" si="2313"/>
        <v>0</v>
      </c>
      <c r="W1136" s="2176"/>
      <c r="X1136" s="2177"/>
      <c r="Y1136" s="2178">
        <f t="shared" si="2314"/>
        <v>0</v>
      </c>
      <c r="Z1136" s="2181">
        <f t="shared" si="2371"/>
        <v>0</v>
      </c>
      <c r="AA1136" s="2179">
        <f t="shared" si="2371"/>
        <v>0</v>
      </c>
      <c r="AB1136" s="2178">
        <f t="shared" si="2316"/>
        <v>0</v>
      </c>
      <c r="AC1136" s="2176"/>
      <c r="AD1136" s="2177"/>
      <c r="AE1136" s="2178">
        <f t="shared" si="2317"/>
        <v>0</v>
      </c>
      <c r="AF1136" s="2204"/>
      <c r="AG1136" s="2114"/>
      <c r="AH1136" s="2177"/>
      <c r="AI1136" s="2177"/>
      <c r="AJ1136" s="2186">
        <f t="shared" si="2318"/>
        <v>0</v>
      </c>
      <c r="AK1136" s="2177"/>
      <c r="AL1136" s="2177"/>
      <c r="AM1136" s="2186">
        <f t="shared" si="2319"/>
        <v>0</v>
      </c>
      <c r="AN1136" s="2177"/>
      <c r="AO1136" s="2177"/>
      <c r="AP1136" s="2186">
        <f t="shared" si="2320"/>
        <v>0</v>
      </c>
      <c r="AQ1136" s="2177"/>
      <c r="AR1136" s="2177"/>
      <c r="AS1136" s="2186">
        <f t="shared" si="2321"/>
        <v>0</v>
      </c>
      <c r="AT1136" s="2177"/>
      <c r="AU1136" s="2177"/>
      <c r="AV1136" s="2186">
        <f t="shared" si="2322"/>
        <v>0</v>
      </c>
      <c r="AW1136" s="2177"/>
      <c r="AX1136" s="2177"/>
      <c r="AY1136" s="2186">
        <f t="shared" si="2323"/>
        <v>0</v>
      </c>
      <c r="AZ1136" s="2177"/>
      <c r="BA1136" s="2177"/>
      <c r="BB1136" s="2186">
        <f t="shared" si="2324"/>
        <v>0</v>
      </c>
      <c r="BC1136" s="2177"/>
      <c r="BD1136" s="2177"/>
      <c r="BE1136" s="2186">
        <f t="shared" si="2325"/>
        <v>0</v>
      </c>
      <c r="BF1136" s="2177"/>
      <c r="BG1136" s="2177"/>
      <c r="BH1136" s="2186">
        <f t="shared" si="2326"/>
        <v>0</v>
      </c>
      <c r="BI1136" s="2177"/>
      <c r="BJ1136" s="2177"/>
      <c r="BK1136" s="2186">
        <f t="shared" si="2327"/>
        <v>0</v>
      </c>
      <c r="BL1136" s="2177"/>
      <c r="BM1136" s="2177"/>
      <c r="BN1136" s="2186">
        <f t="shared" si="2328"/>
        <v>0</v>
      </c>
      <c r="BO1136" s="2177"/>
      <c r="BP1136" s="2177"/>
      <c r="BQ1136" s="2186">
        <f t="shared" si="2329"/>
        <v>0</v>
      </c>
    </row>
    <row r="1137" spans="3:69" s="2087" customFormat="1" ht="12" hidden="1" customHeight="1">
      <c r="C1137" s="2473" t="s">
        <v>3306</v>
      </c>
      <c r="D1137" s="2334" t="s">
        <v>2434</v>
      </c>
      <c r="E1137" s="2250" t="s">
        <v>1833</v>
      </c>
      <c r="F1137" s="2176"/>
      <c r="G1137" s="2177"/>
      <c r="H1137" s="2177"/>
      <c r="I1137" s="2178">
        <f t="shared" si="2308"/>
        <v>0</v>
      </c>
      <c r="J1137" s="2176"/>
      <c r="K1137" s="2179">
        <f>N1137+Q1137+W1137+AC1137</f>
        <v>0</v>
      </c>
      <c r="L1137" s="2179">
        <f>O1137+R1137+X1137+AD1137</f>
        <v>0</v>
      </c>
      <c r="M1137" s="2178">
        <f t="shared" si="2309"/>
        <v>0</v>
      </c>
      <c r="N1137" s="2177"/>
      <c r="O1137" s="2177"/>
      <c r="P1137" s="2178">
        <f t="shared" si="2310"/>
        <v>0</v>
      </c>
      <c r="Q1137" s="2176"/>
      <c r="R1137" s="2177"/>
      <c r="S1137" s="2178">
        <f t="shared" si="2311"/>
        <v>0</v>
      </c>
      <c r="T1137" s="2181">
        <f>N1137+Q1137</f>
        <v>0</v>
      </c>
      <c r="U1137" s="2179">
        <f>O1137+R1137</f>
        <v>0</v>
      </c>
      <c r="V1137" s="2178">
        <f t="shared" si="2313"/>
        <v>0</v>
      </c>
      <c r="W1137" s="2176"/>
      <c r="X1137" s="2177"/>
      <c r="Y1137" s="2178">
        <f t="shared" si="2314"/>
        <v>0</v>
      </c>
      <c r="Z1137" s="2181">
        <f>T1137+W1137</f>
        <v>0</v>
      </c>
      <c r="AA1137" s="2179">
        <f>U1137+X1137</f>
        <v>0</v>
      </c>
      <c r="AB1137" s="2178">
        <f t="shared" si="2316"/>
        <v>0</v>
      </c>
      <c r="AC1137" s="2176"/>
      <c r="AD1137" s="2177"/>
      <c r="AE1137" s="2178">
        <f t="shared" si="2317"/>
        <v>0</v>
      </c>
      <c r="AF1137" s="2204"/>
      <c r="AG1137" s="2114"/>
      <c r="AH1137" s="2177"/>
      <c r="AI1137" s="2177"/>
      <c r="AJ1137" s="2186">
        <f t="shared" si="2318"/>
        <v>0</v>
      </c>
      <c r="AK1137" s="2177"/>
      <c r="AL1137" s="2177"/>
      <c r="AM1137" s="2186">
        <f t="shared" si="2319"/>
        <v>0</v>
      </c>
      <c r="AN1137" s="2177"/>
      <c r="AO1137" s="2177"/>
      <c r="AP1137" s="2186">
        <f t="shared" si="2320"/>
        <v>0</v>
      </c>
      <c r="AQ1137" s="2177"/>
      <c r="AR1137" s="2177"/>
      <c r="AS1137" s="2186">
        <f t="shared" si="2321"/>
        <v>0</v>
      </c>
      <c r="AT1137" s="2177"/>
      <c r="AU1137" s="2177"/>
      <c r="AV1137" s="2186">
        <f t="shared" si="2322"/>
        <v>0</v>
      </c>
      <c r="AW1137" s="2177"/>
      <c r="AX1137" s="2177"/>
      <c r="AY1137" s="2186">
        <f t="shared" si="2323"/>
        <v>0</v>
      </c>
      <c r="AZ1137" s="2177"/>
      <c r="BA1137" s="2177"/>
      <c r="BB1137" s="2186">
        <f t="shared" si="2324"/>
        <v>0</v>
      </c>
      <c r="BC1137" s="2177"/>
      <c r="BD1137" s="2177"/>
      <c r="BE1137" s="2186">
        <f t="shared" si="2325"/>
        <v>0</v>
      </c>
      <c r="BF1137" s="2177"/>
      <c r="BG1137" s="2177"/>
      <c r="BH1137" s="2186">
        <f t="shared" si="2326"/>
        <v>0</v>
      </c>
      <c r="BI1137" s="2177"/>
      <c r="BJ1137" s="2177"/>
      <c r="BK1137" s="2186">
        <f t="shared" si="2327"/>
        <v>0</v>
      </c>
      <c r="BL1137" s="2177"/>
      <c r="BM1137" s="2177"/>
      <c r="BN1137" s="2186">
        <f t="shared" si="2328"/>
        <v>0</v>
      </c>
      <c r="BO1137" s="2177"/>
      <c r="BP1137" s="2177"/>
      <c r="BQ1137" s="2186">
        <f t="shared" si="2329"/>
        <v>0</v>
      </c>
    </row>
    <row r="1138" spans="3:69" s="2087" customFormat="1" ht="12" hidden="1" customHeight="1">
      <c r="C1138" s="2473" t="s">
        <v>3307</v>
      </c>
      <c r="D1138" s="2334" t="s">
        <v>42</v>
      </c>
      <c r="E1138" s="2250" t="s">
        <v>1833</v>
      </c>
      <c r="F1138" s="2176"/>
      <c r="G1138" s="2177"/>
      <c r="H1138" s="2177"/>
      <c r="I1138" s="2178">
        <f t="shared" si="2308"/>
        <v>0</v>
      </c>
      <c r="J1138" s="2176"/>
      <c r="K1138" s="2179">
        <f t="shared" si="2331"/>
        <v>0</v>
      </c>
      <c r="L1138" s="2179">
        <f t="shared" si="2331"/>
        <v>0</v>
      </c>
      <c r="M1138" s="2178">
        <f t="shared" si="2309"/>
        <v>0</v>
      </c>
      <c r="N1138" s="2177"/>
      <c r="O1138" s="2177"/>
      <c r="P1138" s="2178">
        <f t="shared" si="2310"/>
        <v>0</v>
      </c>
      <c r="Q1138" s="2176"/>
      <c r="R1138" s="2177"/>
      <c r="S1138" s="2178">
        <f t="shared" si="2311"/>
        <v>0</v>
      </c>
      <c r="T1138" s="2181">
        <f t="shared" si="2370"/>
        <v>0</v>
      </c>
      <c r="U1138" s="2179">
        <f t="shared" si="2370"/>
        <v>0</v>
      </c>
      <c r="V1138" s="2178">
        <f t="shared" si="2313"/>
        <v>0</v>
      </c>
      <c r="W1138" s="2176"/>
      <c r="X1138" s="2177"/>
      <c r="Y1138" s="2178">
        <f t="shared" si="2314"/>
        <v>0</v>
      </c>
      <c r="Z1138" s="2181">
        <f t="shared" si="2371"/>
        <v>0</v>
      </c>
      <c r="AA1138" s="2179">
        <f t="shared" si="2371"/>
        <v>0</v>
      </c>
      <c r="AB1138" s="2178">
        <f t="shared" si="2316"/>
        <v>0</v>
      </c>
      <c r="AC1138" s="2176"/>
      <c r="AD1138" s="2177"/>
      <c r="AE1138" s="2178">
        <f t="shared" si="2317"/>
        <v>0</v>
      </c>
      <c r="AF1138" s="2204"/>
      <c r="AG1138" s="2114"/>
      <c r="AH1138" s="2177"/>
      <c r="AI1138" s="2177"/>
      <c r="AJ1138" s="2186">
        <f t="shared" si="2318"/>
        <v>0</v>
      </c>
      <c r="AK1138" s="2177"/>
      <c r="AL1138" s="2177"/>
      <c r="AM1138" s="2186">
        <f t="shared" si="2319"/>
        <v>0</v>
      </c>
      <c r="AN1138" s="2177"/>
      <c r="AO1138" s="2177"/>
      <c r="AP1138" s="2186">
        <f t="shared" si="2320"/>
        <v>0</v>
      </c>
      <c r="AQ1138" s="2177"/>
      <c r="AR1138" s="2177"/>
      <c r="AS1138" s="2186">
        <f t="shared" si="2321"/>
        <v>0</v>
      </c>
      <c r="AT1138" s="2177"/>
      <c r="AU1138" s="2177"/>
      <c r="AV1138" s="2186">
        <f t="shared" si="2322"/>
        <v>0</v>
      </c>
      <c r="AW1138" s="2177"/>
      <c r="AX1138" s="2177"/>
      <c r="AY1138" s="2186">
        <f t="shared" si="2323"/>
        <v>0</v>
      </c>
      <c r="AZ1138" s="2177"/>
      <c r="BA1138" s="2177"/>
      <c r="BB1138" s="2186">
        <f t="shared" si="2324"/>
        <v>0</v>
      </c>
      <c r="BC1138" s="2177"/>
      <c r="BD1138" s="2177"/>
      <c r="BE1138" s="2186">
        <f t="shared" si="2325"/>
        <v>0</v>
      </c>
      <c r="BF1138" s="2177"/>
      <c r="BG1138" s="2177"/>
      <c r="BH1138" s="2186">
        <f t="shared" si="2326"/>
        <v>0</v>
      </c>
      <c r="BI1138" s="2177"/>
      <c r="BJ1138" s="2177"/>
      <c r="BK1138" s="2186">
        <f t="shared" si="2327"/>
        <v>0</v>
      </c>
      <c r="BL1138" s="2177"/>
      <c r="BM1138" s="2177"/>
      <c r="BN1138" s="2186">
        <f t="shared" si="2328"/>
        <v>0</v>
      </c>
      <c r="BO1138" s="2177"/>
      <c r="BP1138" s="2177"/>
      <c r="BQ1138" s="2186">
        <f t="shared" si="2329"/>
        <v>0</v>
      </c>
    </row>
    <row r="1139" spans="3:69" s="2087" customFormat="1" ht="12" hidden="1" customHeight="1">
      <c r="C1139" s="2473" t="s">
        <v>3307</v>
      </c>
      <c r="D1139" s="2334" t="s">
        <v>2434</v>
      </c>
      <c r="E1139" s="2250" t="s">
        <v>1833</v>
      </c>
      <c r="F1139" s="2176"/>
      <c r="G1139" s="2177"/>
      <c r="H1139" s="2177"/>
      <c r="I1139" s="2178">
        <f t="shared" si="2308"/>
        <v>0</v>
      </c>
      <c r="J1139" s="2176"/>
      <c r="K1139" s="2179">
        <f>N1139+Q1139+W1139+AC1139</f>
        <v>0</v>
      </c>
      <c r="L1139" s="2179">
        <f>O1139+R1139+X1139+AD1139</f>
        <v>0</v>
      </c>
      <c r="M1139" s="2178">
        <f t="shared" si="2309"/>
        <v>0</v>
      </c>
      <c r="N1139" s="2177"/>
      <c r="O1139" s="2177"/>
      <c r="P1139" s="2178">
        <f t="shared" si="2310"/>
        <v>0</v>
      </c>
      <c r="Q1139" s="2176"/>
      <c r="R1139" s="2177"/>
      <c r="S1139" s="2178">
        <f t="shared" si="2311"/>
        <v>0</v>
      </c>
      <c r="T1139" s="2181">
        <f>N1139+Q1139</f>
        <v>0</v>
      </c>
      <c r="U1139" s="2179">
        <f>O1139+R1139</f>
        <v>0</v>
      </c>
      <c r="V1139" s="2178">
        <f t="shared" si="2313"/>
        <v>0</v>
      </c>
      <c r="W1139" s="2176"/>
      <c r="X1139" s="2177"/>
      <c r="Y1139" s="2178">
        <f t="shared" si="2314"/>
        <v>0</v>
      </c>
      <c r="Z1139" s="2181">
        <f>T1139+W1139</f>
        <v>0</v>
      </c>
      <c r="AA1139" s="2179">
        <f>U1139+X1139</f>
        <v>0</v>
      </c>
      <c r="AB1139" s="2178">
        <f t="shared" si="2316"/>
        <v>0</v>
      </c>
      <c r="AC1139" s="2176"/>
      <c r="AD1139" s="2177"/>
      <c r="AE1139" s="2178">
        <f t="shared" si="2317"/>
        <v>0</v>
      </c>
      <c r="AF1139" s="2204"/>
      <c r="AG1139" s="2114"/>
      <c r="AH1139" s="2177"/>
      <c r="AI1139" s="2177"/>
      <c r="AJ1139" s="2186">
        <f t="shared" si="2318"/>
        <v>0</v>
      </c>
      <c r="AK1139" s="2177"/>
      <c r="AL1139" s="2177"/>
      <c r="AM1139" s="2186">
        <f t="shared" si="2319"/>
        <v>0</v>
      </c>
      <c r="AN1139" s="2177"/>
      <c r="AO1139" s="2177"/>
      <c r="AP1139" s="2186">
        <f t="shared" si="2320"/>
        <v>0</v>
      </c>
      <c r="AQ1139" s="2177"/>
      <c r="AR1139" s="2177"/>
      <c r="AS1139" s="2186">
        <f t="shared" si="2321"/>
        <v>0</v>
      </c>
      <c r="AT1139" s="2177"/>
      <c r="AU1139" s="2177"/>
      <c r="AV1139" s="2186">
        <f t="shared" si="2322"/>
        <v>0</v>
      </c>
      <c r="AW1139" s="2177"/>
      <c r="AX1139" s="2177"/>
      <c r="AY1139" s="2186">
        <f t="shared" si="2323"/>
        <v>0</v>
      </c>
      <c r="AZ1139" s="2177"/>
      <c r="BA1139" s="2177"/>
      <c r="BB1139" s="2186">
        <f t="shared" si="2324"/>
        <v>0</v>
      </c>
      <c r="BC1139" s="2177"/>
      <c r="BD1139" s="2177"/>
      <c r="BE1139" s="2186">
        <f t="shared" si="2325"/>
        <v>0</v>
      </c>
      <c r="BF1139" s="2177"/>
      <c r="BG1139" s="2177"/>
      <c r="BH1139" s="2186">
        <f t="shared" si="2326"/>
        <v>0</v>
      </c>
      <c r="BI1139" s="2177"/>
      <c r="BJ1139" s="2177"/>
      <c r="BK1139" s="2186">
        <f t="shared" si="2327"/>
        <v>0</v>
      </c>
      <c r="BL1139" s="2177"/>
      <c r="BM1139" s="2177"/>
      <c r="BN1139" s="2186">
        <f t="shared" si="2328"/>
        <v>0</v>
      </c>
      <c r="BO1139" s="2177"/>
      <c r="BP1139" s="2177"/>
      <c r="BQ1139" s="2186">
        <f t="shared" si="2329"/>
        <v>0</v>
      </c>
    </row>
    <row r="1140" spans="3:69" s="2159" customFormat="1" ht="12" hidden="1" customHeight="1">
      <c r="C1140" s="2474" t="s">
        <v>3308</v>
      </c>
      <c r="D1140" s="2476" t="s">
        <v>3309</v>
      </c>
      <c r="E1140" s="2120" t="s">
        <v>1833</v>
      </c>
      <c r="F1140" s="2162"/>
      <c r="G1140" s="2163">
        <f>G1141+G1148</f>
        <v>0</v>
      </c>
      <c r="H1140" s="2163">
        <f>H1141+H1148</f>
        <v>0</v>
      </c>
      <c r="I1140" s="2164">
        <f t="shared" ref="I1140:I1184" si="2372">H1140-G1140</f>
        <v>0</v>
      </c>
      <c r="J1140" s="2162"/>
      <c r="K1140" s="2163">
        <f t="shared" si="2331"/>
        <v>0</v>
      </c>
      <c r="L1140" s="2163">
        <f t="shared" si="2331"/>
        <v>0</v>
      </c>
      <c r="M1140" s="2164">
        <f t="shared" ref="M1140:M1184" si="2373">L1140-K1140</f>
        <v>0</v>
      </c>
      <c r="N1140" s="2163">
        <f>N1141+N1148</f>
        <v>0</v>
      </c>
      <c r="O1140" s="2163">
        <f>O1141+O1148</f>
        <v>0</v>
      </c>
      <c r="P1140" s="2164">
        <f t="shared" ref="P1140:P1184" si="2374">O1140-N1140</f>
        <v>0</v>
      </c>
      <c r="Q1140" s="2165">
        <f>Q1141+Q1148</f>
        <v>0</v>
      </c>
      <c r="R1140" s="2163">
        <f>R1141+R1148</f>
        <v>0</v>
      </c>
      <c r="S1140" s="2164">
        <f t="shared" ref="S1140:S1184" si="2375">R1140-Q1140</f>
        <v>0</v>
      </c>
      <c r="T1140" s="2167">
        <f t="shared" si="2370"/>
        <v>0</v>
      </c>
      <c r="U1140" s="2163">
        <f t="shared" si="2370"/>
        <v>0</v>
      </c>
      <c r="V1140" s="2164">
        <f t="shared" ref="V1140:V1184" si="2376">U1140-T1140</f>
        <v>0</v>
      </c>
      <c r="W1140" s="2165">
        <f>W1141+W1148</f>
        <v>0</v>
      </c>
      <c r="X1140" s="2163">
        <f>X1141+X1148</f>
        <v>0</v>
      </c>
      <c r="Y1140" s="2164">
        <f t="shared" ref="Y1140:Y1184" si="2377">X1140-W1140</f>
        <v>0</v>
      </c>
      <c r="Z1140" s="2167">
        <f t="shared" si="2371"/>
        <v>0</v>
      </c>
      <c r="AA1140" s="2163">
        <f t="shared" si="2371"/>
        <v>0</v>
      </c>
      <c r="AB1140" s="2164">
        <f t="shared" ref="AB1140:AB1184" si="2378">AA1140-Z1140</f>
        <v>0</v>
      </c>
      <c r="AC1140" s="2165">
        <f>AC1141+AC1148</f>
        <v>0</v>
      </c>
      <c r="AD1140" s="2163">
        <f>AD1141+AD1148</f>
        <v>0</v>
      </c>
      <c r="AE1140" s="2164">
        <f t="shared" ref="AE1140:AE1184" si="2379">AD1140-AC1140</f>
        <v>0</v>
      </c>
      <c r="AF1140" s="2204"/>
      <c r="AG1140" s="2158"/>
      <c r="AH1140" s="2171">
        <f>AH1141+AH1148</f>
        <v>0</v>
      </c>
      <c r="AI1140" s="2171">
        <f>AI1141+AI1148</f>
        <v>0</v>
      </c>
      <c r="AJ1140" s="2172">
        <f t="shared" ref="AJ1140:AJ1184" si="2380">AI1140-AH1140</f>
        <v>0</v>
      </c>
      <c r="AK1140" s="2171">
        <f>AK1141+AK1148</f>
        <v>0</v>
      </c>
      <c r="AL1140" s="2171">
        <f>AL1141+AL1148</f>
        <v>0</v>
      </c>
      <c r="AM1140" s="2172">
        <f t="shared" ref="AM1140:AM1184" si="2381">AL1140-AK1140</f>
        <v>0</v>
      </c>
      <c r="AN1140" s="2171">
        <f>AN1141+AN1148</f>
        <v>0</v>
      </c>
      <c r="AO1140" s="2171">
        <f>AO1141+AO1148</f>
        <v>0</v>
      </c>
      <c r="AP1140" s="2172">
        <f t="shared" ref="AP1140:AP1184" si="2382">AO1140-AN1140</f>
        <v>0</v>
      </c>
      <c r="AQ1140" s="2171">
        <f>AQ1141+AQ1148</f>
        <v>0</v>
      </c>
      <c r="AR1140" s="2171">
        <f>AR1141+AR1148</f>
        <v>0</v>
      </c>
      <c r="AS1140" s="2172">
        <f t="shared" ref="AS1140:AS1184" si="2383">AR1140-AQ1140</f>
        <v>0</v>
      </c>
      <c r="AT1140" s="2171">
        <f>AT1141+AT1148</f>
        <v>0</v>
      </c>
      <c r="AU1140" s="2171">
        <f>AU1141+AU1148</f>
        <v>0</v>
      </c>
      <c r="AV1140" s="2172">
        <f t="shared" ref="AV1140:AV1184" si="2384">AU1140-AT1140</f>
        <v>0</v>
      </c>
      <c r="AW1140" s="2171">
        <f>AW1141+AW1148</f>
        <v>0</v>
      </c>
      <c r="AX1140" s="2171">
        <f>AX1141+AX1148</f>
        <v>0</v>
      </c>
      <c r="AY1140" s="2172">
        <f t="shared" ref="AY1140:AY1184" si="2385">AX1140-AW1140</f>
        <v>0</v>
      </c>
      <c r="AZ1140" s="2171">
        <f>AZ1141+AZ1148</f>
        <v>0</v>
      </c>
      <c r="BA1140" s="2171">
        <f>BA1141+BA1148</f>
        <v>0</v>
      </c>
      <c r="BB1140" s="2172">
        <f t="shared" ref="BB1140:BB1184" si="2386">BA1140-AZ1140</f>
        <v>0</v>
      </c>
      <c r="BC1140" s="2171">
        <f>BC1141+BC1148</f>
        <v>0</v>
      </c>
      <c r="BD1140" s="2171">
        <f>BD1141+BD1148</f>
        <v>0</v>
      </c>
      <c r="BE1140" s="2172">
        <f t="shared" ref="BE1140:BE1184" si="2387">BD1140-BC1140</f>
        <v>0</v>
      </c>
      <c r="BF1140" s="2171">
        <f>BF1141+BF1148</f>
        <v>0</v>
      </c>
      <c r="BG1140" s="2171">
        <f>BG1141+BG1148</f>
        <v>0</v>
      </c>
      <c r="BH1140" s="2172">
        <f t="shared" ref="BH1140:BH1184" si="2388">BG1140-BF1140</f>
        <v>0</v>
      </c>
      <c r="BI1140" s="2171">
        <f>BI1141+BI1148</f>
        <v>0</v>
      </c>
      <c r="BJ1140" s="2171">
        <f>BJ1141+BJ1148</f>
        <v>0</v>
      </c>
      <c r="BK1140" s="2172">
        <f t="shared" ref="BK1140:BK1184" si="2389">BJ1140-BI1140</f>
        <v>0</v>
      </c>
      <c r="BL1140" s="2171">
        <f>BL1141+BL1148</f>
        <v>0</v>
      </c>
      <c r="BM1140" s="2171">
        <f>BM1141+BM1148</f>
        <v>0</v>
      </c>
      <c r="BN1140" s="2172">
        <f t="shared" ref="BN1140:BN1184" si="2390">BM1140-BL1140</f>
        <v>0</v>
      </c>
      <c r="BO1140" s="2171">
        <f>BO1141+BO1148</f>
        <v>0</v>
      </c>
      <c r="BP1140" s="2171">
        <f>BP1141+BP1148</f>
        <v>0</v>
      </c>
      <c r="BQ1140" s="2172">
        <f t="shared" ref="BQ1140:BQ1184" si="2391">BP1140-BO1140</f>
        <v>0</v>
      </c>
    </row>
    <row r="1141" spans="3:69" s="2087" customFormat="1" ht="12" hidden="1" customHeight="1">
      <c r="C1141" s="2423" t="s">
        <v>3310</v>
      </c>
      <c r="D1141" s="2421" t="s">
        <v>3187</v>
      </c>
      <c r="E1141" s="2250" t="s">
        <v>1833</v>
      </c>
      <c r="F1141" s="2176"/>
      <c r="G1141" s="2179">
        <f>G1156+G1167</f>
        <v>0</v>
      </c>
      <c r="H1141" s="2179">
        <f>H1156+H1167</f>
        <v>0</v>
      </c>
      <c r="I1141" s="2178">
        <f t="shared" si="2372"/>
        <v>0</v>
      </c>
      <c r="J1141" s="2176"/>
      <c r="K1141" s="2179">
        <f t="shared" si="2331"/>
        <v>0</v>
      </c>
      <c r="L1141" s="2179">
        <f t="shared" si="2331"/>
        <v>0</v>
      </c>
      <c r="M1141" s="2178">
        <f t="shared" si="2373"/>
        <v>0</v>
      </c>
      <c r="N1141" s="2179">
        <f>N1156+N1167</f>
        <v>0</v>
      </c>
      <c r="O1141" s="2179">
        <f>O1156+O1167</f>
        <v>0</v>
      </c>
      <c r="P1141" s="2178">
        <f t="shared" si="2374"/>
        <v>0</v>
      </c>
      <c r="Q1141" s="2184">
        <f>Q1156+Q1167</f>
        <v>0</v>
      </c>
      <c r="R1141" s="2179">
        <f>R1156+R1167</f>
        <v>0</v>
      </c>
      <c r="S1141" s="2178">
        <f t="shared" si="2375"/>
        <v>0</v>
      </c>
      <c r="T1141" s="2181">
        <f t="shared" si="2370"/>
        <v>0</v>
      </c>
      <c r="U1141" s="2179">
        <f t="shared" si="2370"/>
        <v>0</v>
      </c>
      <c r="V1141" s="2178">
        <f t="shared" si="2376"/>
        <v>0</v>
      </c>
      <c r="W1141" s="2184">
        <f>W1156+W1167</f>
        <v>0</v>
      </c>
      <c r="X1141" s="2179">
        <f>X1156+X1167</f>
        <v>0</v>
      </c>
      <c r="Y1141" s="2178">
        <f t="shared" si="2377"/>
        <v>0</v>
      </c>
      <c r="Z1141" s="2181">
        <f t="shared" si="2371"/>
        <v>0</v>
      </c>
      <c r="AA1141" s="2179">
        <f t="shared" si="2371"/>
        <v>0</v>
      </c>
      <c r="AB1141" s="2178">
        <f t="shared" si="2378"/>
        <v>0</v>
      </c>
      <c r="AC1141" s="2184">
        <f>AC1156+AC1167</f>
        <v>0</v>
      </c>
      <c r="AD1141" s="2179">
        <f>AD1156+AD1167</f>
        <v>0</v>
      </c>
      <c r="AE1141" s="2178">
        <f t="shared" si="2379"/>
        <v>0</v>
      </c>
      <c r="AF1141" s="2204"/>
      <c r="AG1141" s="2114"/>
      <c r="AH1141" s="2188">
        <f>AH1156+AH1167</f>
        <v>0</v>
      </c>
      <c r="AI1141" s="2188">
        <f>AI1156+AI1167</f>
        <v>0</v>
      </c>
      <c r="AJ1141" s="2186">
        <f t="shared" si="2380"/>
        <v>0</v>
      </c>
      <c r="AK1141" s="2188">
        <f>AK1156+AK1167</f>
        <v>0</v>
      </c>
      <c r="AL1141" s="2188">
        <f>AL1156+AL1167</f>
        <v>0</v>
      </c>
      <c r="AM1141" s="2186">
        <f t="shared" si="2381"/>
        <v>0</v>
      </c>
      <c r="AN1141" s="2188">
        <f>AN1156+AN1167</f>
        <v>0</v>
      </c>
      <c r="AO1141" s="2188">
        <f>AO1156+AO1167</f>
        <v>0</v>
      </c>
      <c r="AP1141" s="2186">
        <f t="shared" si="2382"/>
        <v>0</v>
      </c>
      <c r="AQ1141" s="2188">
        <f>AQ1156+AQ1167</f>
        <v>0</v>
      </c>
      <c r="AR1141" s="2188">
        <f>AR1156+AR1167</f>
        <v>0</v>
      </c>
      <c r="AS1141" s="2186">
        <f t="shared" si="2383"/>
        <v>0</v>
      </c>
      <c r="AT1141" s="2188">
        <f>AT1156+AT1167</f>
        <v>0</v>
      </c>
      <c r="AU1141" s="2188">
        <f>AU1156+AU1167</f>
        <v>0</v>
      </c>
      <c r="AV1141" s="2186">
        <f t="shared" si="2384"/>
        <v>0</v>
      </c>
      <c r="AW1141" s="2188">
        <f>AW1156+AW1167</f>
        <v>0</v>
      </c>
      <c r="AX1141" s="2188">
        <f>AX1156+AX1167</f>
        <v>0</v>
      </c>
      <c r="AY1141" s="2186">
        <f t="shared" si="2385"/>
        <v>0</v>
      </c>
      <c r="AZ1141" s="2188">
        <f>AZ1156+AZ1167</f>
        <v>0</v>
      </c>
      <c r="BA1141" s="2188">
        <f>BA1156+BA1167</f>
        <v>0</v>
      </c>
      <c r="BB1141" s="2186">
        <f t="shared" si="2386"/>
        <v>0</v>
      </c>
      <c r="BC1141" s="2188">
        <f>BC1156+BC1167</f>
        <v>0</v>
      </c>
      <c r="BD1141" s="2188">
        <f>BD1156+BD1167</f>
        <v>0</v>
      </c>
      <c r="BE1141" s="2186">
        <f t="shared" si="2387"/>
        <v>0</v>
      </c>
      <c r="BF1141" s="2188">
        <f>BF1156+BF1167</f>
        <v>0</v>
      </c>
      <c r="BG1141" s="2188">
        <f>BG1156+BG1167</f>
        <v>0</v>
      </c>
      <c r="BH1141" s="2186">
        <f t="shared" si="2388"/>
        <v>0</v>
      </c>
      <c r="BI1141" s="2188">
        <f>BI1156+BI1167</f>
        <v>0</v>
      </c>
      <c r="BJ1141" s="2188">
        <f>BJ1156+BJ1167</f>
        <v>0</v>
      </c>
      <c r="BK1141" s="2186">
        <f t="shared" si="2389"/>
        <v>0</v>
      </c>
      <c r="BL1141" s="2188">
        <f>BL1156+BL1167</f>
        <v>0</v>
      </c>
      <c r="BM1141" s="2188">
        <f>BM1156+BM1167</f>
        <v>0</v>
      </c>
      <c r="BN1141" s="2186">
        <f t="shared" si="2390"/>
        <v>0</v>
      </c>
      <c r="BO1141" s="2188">
        <f>BO1156+BO1167</f>
        <v>0</v>
      </c>
      <c r="BP1141" s="2188">
        <f>BP1156+BP1167</f>
        <v>0</v>
      </c>
      <c r="BQ1141" s="2186">
        <f t="shared" si="2391"/>
        <v>0</v>
      </c>
    </row>
    <row r="1142" spans="3:69" s="2087" customFormat="1" ht="12" hidden="1" customHeight="1">
      <c r="C1142" s="2473" t="s">
        <v>3311</v>
      </c>
      <c r="D1142" s="2334" t="s">
        <v>28</v>
      </c>
      <c r="E1142" s="2250" t="s">
        <v>1833</v>
      </c>
      <c r="F1142" s="2176"/>
      <c r="G1142" s="2179">
        <f>G1168</f>
        <v>0</v>
      </c>
      <c r="H1142" s="2179">
        <f>H1168</f>
        <v>0</v>
      </c>
      <c r="I1142" s="2178">
        <f t="shared" si="2372"/>
        <v>0</v>
      </c>
      <c r="J1142" s="2176"/>
      <c r="K1142" s="2179">
        <f t="shared" si="2331"/>
        <v>0</v>
      </c>
      <c r="L1142" s="2179">
        <f t="shared" si="2331"/>
        <v>0</v>
      </c>
      <c r="M1142" s="2178">
        <f t="shared" si="2373"/>
        <v>0</v>
      </c>
      <c r="N1142" s="2179">
        <f>N1168</f>
        <v>0</v>
      </c>
      <c r="O1142" s="2179">
        <f>O1168</f>
        <v>0</v>
      </c>
      <c r="P1142" s="2178">
        <f t="shared" si="2374"/>
        <v>0</v>
      </c>
      <c r="Q1142" s="2184">
        <f>Q1168</f>
        <v>0</v>
      </c>
      <c r="R1142" s="2179">
        <f>R1168</f>
        <v>0</v>
      </c>
      <c r="S1142" s="2178">
        <f t="shared" si="2375"/>
        <v>0</v>
      </c>
      <c r="T1142" s="2181">
        <f t="shared" si="2370"/>
        <v>0</v>
      </c>
      <c r="U1142" s="2179">
        <f t="shared" si="2370"/>
        <v>0</v>
      </c>
      <c r="V1142" s="2178">
        <f t="shared" si="2376"/>
        <v>0</v>
      </c>
      <c r="W1142" s="2184">
        <f>W1168</f>
        <v>0</v>
      </c>
      <c r="X1142" s="2179">
        <f>X1168</f>
        <v>0</v>
      </c>
      <c r="Y1142" s="2178">
        <f t="shared" si="2377"/>
        <v>0</v>
      </c>
      <c r="Z1142" s="2181">
        <f t="shared" si="2371"/>
        <v>0</v>
      </c>
      <c r="AA1142" s="2179">
        <f t="shared" si="2371"/>
        <v>0</v>
      </c>
      <c r="AB1142" s="2178">
        <f t="shared" si="2378"/>
        <v>0</v>
      </c>
      <c r="AC1142" s="2184">
        <f>AC1168</f>
        <v>0</v>
      </c>
      <c r="AD1142" s="2179">
        <f>AD1168</f>
        <v>0</v>
      </c>
      <c r="AE1142" s="2178">
        <f t="shared" si="2379"/>
        <v>0</v>
      </c>
      <c r="AF1142" s="2204"/>
      <c r="AG1142" s="2114"/>
      <c r="AH1142" s="2188">
        <f>AH1168</f>
        <v>0</v>
      </c>
      <c r="AI1142" s="2188">
        <f>AI1168</f>
        <v>0</v>
      </c>
      <c r="AJ1142" s="2186">
        <f t="shared" si="2380"/>
        <v>0</v>
      </c>
      <c r="AK1142" s="2188">
        <f>AK1168</f>
        <v>0</v>
      </c>
      <c r="AL1142" s="2188">
        <f>AL1168</f>
        <v>0</v>
      </c>
      <c r="AM1142" s="2186">
        <f t="shared" si="2381"/>
        <v>0</v>
      </c>
      <c r="AN1142" s="2188">
        <f>AN1168</f>
        <v>0</v>
      </c>
      <c r="AO1142" s="2188">
        <f>AO1168</f>
        <v>0</v>
      </c>
      <c r="AP1142" s="2186">
        <f t="shared" si="2382"/>
        <v>0</v>
      </c>
      <c r="AQ1142" s="2188">
        <f>AQ1168</f>
        <v>0</v>
      </c>
      <c r="AR1142" s="2188">
        <f>AR1168</f>
        <v>0</v>
      </c>
      <c r="AS1142" s="2186">
        <f t="shared" si="2383"/>
        <v>0</v>
      </c>
      <c r="AT1142" s="2188">
        <f>AT1168</f>
        <v>0</v>
      </c>
      <c r="AU1142" s="2188">
        <f>AU1168</f>
        <v>0</v>
      </c>
      <c r="AV1142" s="2186">
        <f t="shared" si="2384"/>
        <v>0</v>
      </c>
      <c r="AW1142" s="2188">
        <f>AW1168</f>
        <v>0</v>
      </c>
      <c r="AX1142" s="2188">
        <f>AX1168</f>
        <v>0</v>
      </c>
      <c r="AY1142" s="2186">
        <f t="shared" si="2385"/>
        <v>0</v>
      </c>
      <c r="AZ1142" s="2188">
        <f>AZ1168</f>
        <v>0</v>
      </c>
      <c r="BA1142" s="2188">
        <f>BA1168</f>
        <v>0</v>
      </c>
      <c r="BB1142" s="2186">
        <f t="shared" si="2386"/>
        <v>0</v>
      </c>
      <c r="BC1142" s="2188">
        <f>BC1168</f>
        <v>0</v>
      </c>
      <c r="BD1142" s="2188">
        <f>BD1168</f>
        <v>0</v>
      </c>
      <c r="BE1142" s="2186">
        <f t="shared" si="2387"/>
        <v>0</v>
      </c>
      <c r="BF1142" s="2188">
        <f>BF1168</f>
        <v>0</v>
      </c>
      <c r="BG1142" s="2188">
        <f>BG1168</f>
        <v>0</v>
      </c>
      <c r="BH1142" s="2186">
        <f t="shared" si="2388"/>
        <v>0</v>
      </c>
      <c r="BI1142" s="2188">
        <f>BI1168</f>
        <v>0</v>
      </c>
      <c r="BJ1142" s="2188">
        <f>BJ1168</f>
        <v>0</v>
      </c>
      <c r="BK1142" s="2186">
        <f t="shared" si="2389"/>
        <v>0</v>
      </c>
      <c r="BL1142" s="2188">
        <f>BL1168</f>
        <v>0</v>
      </c>
      <c r="BM1142" s="2188">
        <f>BM1168</f>
        <v>0</v>
      </c>
      <c r="BN1142" s="2186">
        <f t="shared" si="2390"/>
        <v>0</v>
      </c>
      <c r="BO1142" s="2188">
        <f>BO1168</f>
        <v>0</v>
      </c>
      <c r="BP1142" s="2188">
        <f>BP1168</f>
        <v>0</v>
      </c>
      <c r="BQ1142" s="2186">
        <f t="shared" si="2391"/>
        <v>0</v>
      </c>
    </row>
    <row r="1143" spans="3:69" s="2087" customFormat="1" ht="12" hidden="1" customHeight="1">
      <c r="C1143" s="2473" t="s">
        <v>3311</v>
      </c>
      <c r="D1143" s="2334" t="s">
        <v>2434</v>
      </c>
      <c r="E1143" s="2250" t="s">
        <v>1833</v>
      </c>
      <c r="F1143" s="2176"/>
      <c r="G1143" s="2179">
        <f>G1169</f>
        <v>0</v>
      </c>
      <c r="H1143" s="2179">
        <f>H1169</f>
        <v>0</v>
      </c>
      <c r="I1143" s="2178">
        <f t="shared" si="2372"/>
        <v>0</v>
      </c>
      <c r="J1143" s="2176"/>
      <c r="K1143" s="2179">
        <f>N1143+Q1143+W1143+AC1143</f>
        <v>0</v>
      </c>
      <c r="L1143" s="2179">
        <f>O1143+R1143+X1143+AD1143</f>
        <v>0</v>
      </c>
      <c r="M1143" s="2178">
        <f t="shared" si="2373"/>
        <v>0</v>
      </c>
      <c r="N1143" s="2179">
        <f>N1169</f>
        <v>0</v>
      </c>
      <c r="O1143" s="2179">
        <f>O1169</f>
        <v>0</v>
      </c>
      <c r="P1143" s="2178">
        <f t="shared" si="2374"/>
        <v>0</v>
      </c>
      <c r="Q1143" s="2179">
        <f>Q1169</f>
        <v>0</v>
      </c>
      <c r="R1143" s="2179">
        <f>R1169</f>
        <v>0</v>
      </c>
      <c r="S1143" s="2178">
        <f t="shared" si="2375"/>
        <v>0</v>
      </c>
      <c r="T1143" s="2181">
        <f>N1143+Q1143</f>
        <v>0</v>
      </c>
      <c r="U1143" s="2179">
        <f>O1143+R1143</f>
        <v>0</v>
      </c>
      <c r="V1143" s="2178">
        <f t="shared" si="2376"/>
        <v>0</v>
      </c>
      <c r="W1143" s="2179">
        <f>W1169</f>
        <v>0</v>
      </c>
      <c r="X1143" s="2179">
        <f>X1169</f>
        <v>0</v>
      </c>
      <c r="Y1143" s="2178">
        <f t="shared" si="2377"/>
        <v>0</v>
      </c>
      <c r="Z1143" s="2181">
        <f>T1143+W1143</f>
        <v>0</v>
      </c>
      <c r="AA1143" s="2179">
        <f>U1143+X1143</f>
        <v>0</v>
      </c>
      <c r="AB1143" s="2178">
        <f t="shared" si="2378"/>
        <v>0</v>
      </c>
      <c r="AC1143" s="2179">
        <f>AC1169</f>
        <v>0</v>
      </c>
      <c r="AD1143" s="2179">
        <f>AD1169</f>
        <v>0</v>
      </c>
      <c r="AE1143" s="2178">
        <f t="shared" si="2379"/>
        <v>0</v>
      </c>
      <c r="AF1143" s="2204"/>
      <c r="AG1143" s="2114"/>
      <c r="AH1143" s="2188">
        <f>AH1169</f>
        <v>0</v>
      </c>
      <c r="AI1143" s="2188">
        <f>AI1169</f>
        <v>0</v>
      </c>
      <c r="AJ1143" s="2186">
        <f t="shared" si="2380"/>
        <v>0</v>
      </c>
      <c r="AK1143" s="2188">
        <f>AK1169</f>
        <v>0</v>
      </c>
      <c r="AL1143" s="2188">
        <f>AL1169</f>
        <v>0</v>
      </c>
      <c r="AM1143" s="2186">
        <f t="shared" si="2381"/>
        <v>0</v>
      </c>
      <c r="AN1143" s="2188">
        <f>AN1169</f>
        <v>0</v>
      </c>
      <c r="AO1143" s="2188">
        <f>AO1169</f>
        <v>0</v>
      </c>
      <c r="AP1143" s="2186">
        <f t="shared" si="2382"/>
        <v>0</v>
      </c>
      <c r="AQ1143" s="2188">
        <f>AQ1169</f>
        <v>0</v>
      </c>
      <c r="AR1143" s="2188">
        <f>AR1169</f>
        <v>0</v>
      </c>
      <c r="AS1143" s="2186">
        <f t="shared" si="2383"/>
        <v>0</v>
      </c>
      <c r="AT1143" s="2188">
        <f>AT1169</f>
        <v>0</v>
      </c>
      <c r="AU1143" s="2188">
        <f>AU1169</f>
        <v>0</v>
      </c>
      <c r="AV1143" s="2186">
        <f t="shared" si="2384"/>
        <v>0</v>
      </c>
      <c r="AW1143" s="2188">
        <f>AW1169</f>
        <v>0</v>
      </c>
      <c r="AX1143" s="2188">
        <f>AX1169</f>
        <v>0</v>
      </c>
      <c r="AY1143" s="2186">
        <f t="shared" si="2385"/>
        <v>0</v>
      </c>
      <c r="AZ1143" s="2188">
        <f>AZ1169</f>
        <v>0</v>
      </c>
      <c r="BA1143" s="2188">
        <f>BA1169</f>
        <v>0</v>
      </c>
      <c r="BB1143" s="2186">
        <f t="shared" si="2386"/>
        <v>0</v>
      </c>
      <c r="BC1143" s="2188">
        <f>BC1169</f>
        <v>0</v>
      </c>
      <c r="BD1143" s="2188">
        <f>BD1169</f>
        <v>0</v>
      </c>
      <c r="BE1143" s="2186">
        <f t="shared" si="2387"/>
        <v>0</v>
      </c>
      <c r="BF1143" s="2188">
        <f>BF1169</f>
        <v>0</v>
      </c>
      <c r="BG1143" s="2188">
        <f>BG1169</f>
        <v>0</v>
      </c>
      <c r="BH1143" s="2186">
        <f t="shared" si="2388"/>
        <v>0</v>
      </c>
      <c r="BI1143" s="2188">
        <f>BI1169</f>
        <v>0</v>
      </c>
      <c r="BJ1143" s="2188">
        <f>BJ1169</f>
        <v>0</v>
      </c>
      <c r="BK1143" s="2186">
        <f t="shared" si="2389"/>
        <v>0</v>
      </c>
      <c r="BL1143" s="2188">
        <f>BL1169</f>
        <v>0</v>
      </c>
      <c r="BM1143" s="2188">
        <f>BM1169</f>
        <v>0</v>
      </c>
      <c r="BN1143" s="2186">
        <f t="shared" si="2390"/>
        <v>0</v>
      </c>
      <c r="BO1143" s="2188">
        <f>BO1169</f>
        <v>0</v>
      </c>
      <c r="BP1143" s="2188">
        <f>BP1169</f>
        <v>0</v>
      </c>
      <c r="BQ1143" s="2186">
        <f t="shared" si="2391"/>
        <v>0</v>
      </c>
    </row>
    <row r="1144" spans="3:69" s="2087" customFormat="1" ht="12" hidden="1" customHeight="1">
      <c r="C1144" s="2473" t="s">
        <v>3312</v>
      </c>
      <c r="D1144" s="2334" t="s">
        <v>2872</v>
      </c>
      <c r="E1144" s="2250" t="s">
        <v>1833</v>
      </c>
      <c r="F1144" s="2176"/>
      <c r="G1144" s="2179">
        <f t="shared" ref="G1144:H1148" si="2392">G1157+G1170</f>
        <v>0</v>
      </c>
      <c r="H1144" s="2179">
        <f t="shared" si="2392"/>
        <v>0</v>
      </c>
      <c r="I1144" s="2178">
        <f t="shared" si="2372"/>
        <v>0</v>
      </c>
      <c r="J1144" s="2176"/>
      <c r="K1144" s="2179">
        <f t="shared" si="2331"/>
        <v>0</v>
      </c>
      <c r="L1144" s="2179">
        <f t="shared" si="2331"/>
        <v>0</v>
      </c>
      <c r="M1144" s="2178">
        <f t="shared" si="2373"/>
        <v>0</v>
      </c>
      <c r="N1144" s="2179">
        <f t="shared" ref="N1144:O1148" si="2393">N1157+N1170</f>
        <v>0</v>
      </c>
      <c r="O1144" s="2179">
        <f t="shared" si="2393"/>
        <v>0</v>
      </c>
      <c r="P1144" s="2178">
        <f t="shared" si="2374"/>
        <v>0</v>
      </c>
      <c r="Q1144" s="2184">
        <f t="shared" ref="Q1144:R1148" si="2394">Q1157+Q1170</f>
        <v>0</v>
      </c>
      <c r="R1144" s="2179">
        <f t="shared" si="2394"/>
        <v>0</v>
      </c>
      <c r="S1144" s="2178">
        <f t="shared" si="2375"/>
        <v>0</v>
      </c>
      <c r="T1144" s="2181">
        <f t="shared" si="2370"/>
        <v>0</v>
      </c>
      <c r="U1144" s="2179">
        <f t="shared" si="2370"/>
        <v>0</v>
      </c>
      <c r="V1144" s="2178">
        <f t="shared" si="2376"/>
        <v>0</v>
      </c>
      <c r="W1144" s="2184">
        <f t="shared" ref="W1144:X1148" si="2395">W1157+W1170</f>
        <v>0</v>
      </c>
      <c r="X1144" s="2179">
        <f t="shared" si="2395"/>
        <v>0</v>
      </c>
      <c r="Y1144" s="2178">
        <f t="shared" si="2377"/>
        <v>0</v>
      </c>
      <c r="Z1144" s="2181">
        <f t="shared" si="2371"/>
        <v>0</v>
      </c>
      <c r="AA1144" s="2179">
        <f t="shared" si="2371"/>
        <v>0</v>
      </c>
      <c r="AB1144" s="2178">
        <f t="shared" si="2378"/>
        <v>0</v>
      </c>
      <c r="AC1144" s="2184">
        <f t="shared" ref="AC1144:AD1148" si="2396">AC1157+AC1170</f>
        <v>0</v>
      </c>
      <c r="AD1144" s="2179">
        <f t="shared" si="2396"/>
        <v>0</v>
      </c>
      <c r="AE1144" s="2178">
        <f t="shared" si="2379"/>
        <v>0</v>
      </c>
      <c r="AF1144" s="2204"/>
      <c r="AG1144" s="2114"/>
      <c r="AH1144" s="2188">
        <f t="shared" ref="AH1144:AI1148" si="2397">AH1157+AH1170</f>
        <v>0</v>
      </c>
      <c r="AI1144" s="2188">
        <f t="shared" si="2397"/>
        <v>0</v>
      </c>
      <c r="AJ1144" s="2186">
        <f t="shared" si="2380"/>
        <v>0</v>
      </c>
      <c r="AK1144" s="2188">
        <f t="shared" ref="AK1144:AL1148" si="2398">AK1157+AK1170</f>
        <v>0</v>
      </c>
      <c r="AL1144" s="2188">
        <f t="shared" si="2398"/>
        <v>0</v>
      </c>
      <c r="AM1144" s="2186">
        <f t="shared" si="2381"/>
        <v>0</v>
      </c>
      <c r="AN1144" s="2188">
        <f t="shared" ref="AN1144:AO1148" si="2399">AN1157+AN1170</f>
        <v>0</v>
      </c>
      <c r="AO1144" s="2188">
        <f t="shared" si="2399"/>
        <v>0</v>
      </c>
      <c r="AP1144" s="2186">
        <f t="shared" si="2382"/>
        <v>0</v>
      </c>
      <c r="AQ1144" s="2188">
        <f t="shared" ref="AQ1144:AR1148" si="2400">AQ1157+AQ1170</f>
        <v>0</v>
      </c>
      <c r="AR1144" s="2188">
        <f t="shared" si="2400"/>
        <v>0</v>
      </c>
      <c r="AS1144" s="2186">
        <f t="shared" si="2383"/>
        <v>0</v>
      </c>
      <c r="AT1144" s="2188">
        <f t="shared" ref="AT1144:AU1148" si="2401">AT1157+AT1170</f>
        <v>0</v>
      </c>
      <c r="AU1144" s="2188">
        <f t="shared" si="2401"/>
        <v>0</v>
      </c>
      <c r="AV1144" s="2186">
        <f t="shared" si="2384"/>
        <v>0</v>
      </c>
      <c r="AW1144" s="2188">
        <f t="shared" ref="AW1144:AX1148" si="2402">AW1157+AW1170</f>
        <v>0</v>
      </c>
      <c r="AX1144" s="2188">
        <f t="shared" si="2402"/>
        <v>0</v>
      </c>
      <c r="AY1144" s="2186">
        <f t="shared" si="2385"/>
        <v>0</v>
      </c>
      <c r="AZ1144" s="2188">
        <f t="shared" ref="AZ1144:BA1148" si="2403">AZ1157+AZ1170</f>
        <v>0</v>
      </c>
      <c r="BA1144" s="2188">
        <f t="shared" si="2403"/>
        <v>0</v>
      </c>
      <c r="BB1144" s="2186">
        <f t="shared" si="2386"/>
        <v>0</v>
      </c>
      <c r="BC1144" s="2188">
        <f t="shared" ref="BC1144:BD1148" si="2404">BC1157+BC1170</f>
        <v>0</v>
      </c>
      <c r="BD1144" s="2188">
        <f t="shared" si="2404"/>
        <v>0</v>
      </c>
      <c r="BE1144" s="2186">
        <f t="shared" si="2387"/>
        <v>0</v>
      </c>
      <c r="BF1144" s="2188">
        <f t="shared" ref="BF1144:BG1148" si="2405">BF1157+BF1170</f>
        <v>0</v>
      </c>
      <c r="BG1144" s="2188">
        <f t="shared" si="2405"/>
        <v>0</v>
      </c>
      <c r="BH1144" s="2186">
        <f t="shared" si="2388"/>
        <v>0</v>
      </c>
      <c r="BI1144" s="2188">
        <f t="shared" ref="BI1144:BJ1148" si="2406">BI1157+BI1170</f>
        <v>0</v>
      </c>
      <c r="BJ1144" s="2188">
        <f t="shared" si="2406"/>
        <v>0</v>
      </c>
      <c r="BK1144" s="2186">
        <f t="shared" si="2389"/>
        <v>0</v>
      </c>
      <c r="BL1144" s="2188">
        <f t="shared" ref="BL1144:BM1148" si="2407">BL1157+BL1170</f>
        <v>0</v>
      </c>
      <c r="BM1144" s="2188">
        <f t="shared" si="2407"/>
        <v>0</v>
      </c>
      <c r="BN1144" s="2186">
        <f t="shared" si="2390"/>
        <v>0</v>
      </c>
      <c r="BO1144" s="2188">
        <f t="shared" ref="BO1144:BP1148" si="2408">BO1157+BO1170</f>
        <v>0</v>
      </c>
      <c r="BP1144" s="2188">
        <f t="shared" si="2408"/>
        <v>0</v>
      </c>
      <c r="BQ1144" s="2186">
        <f t="shared" si="2391"/>
        <v>0</v>
      </c>
    </row>
    <row r="1145" spans="3:69" s="2087" customFormat="1" ht="12" hidden="1" customHeight="1">
      <c r="C1145" s="2473" t="s">
        <v>3312</v>
      </c>
      <c r="D1145" s="2334" t="s">
        <v>2434</v>
      </c>
      <c r="E1145" s="2250" t="s">
        <v>1833</v>
      </c>
      <c r="F1145" s="2176"/>
      <c r="G1145" s="2179">
        <f t="shared" si="2392"/>
        <v>0</v>
      </c>
      <c r="H1145" s="2179">
        <f t="shared" si="2392"/>
        <v>0</v>
      </c>
      <c r="I1145" s="2178">
        <f t="shared" si="2372"/>
        <v>0</v>
      </c>
      <c r="J1145" s="2176"/>
      <c r="K1145" s="2179">
        <f>N1145+Q1145+W1145+AC1145</f>
        <v>0</v>
      </c>
      <c r="L1145" s="2179">
        <f>O1145+R1145+X1145+AD1145</f>
        <v>0</v>
      </c>
      <c r="M1145" s="2178">
        <f t="shared" si="2373"/>
        <v>0</v>
      </c>
      <c r="N1145" s="2179">
        <f t="shared" si="2393"/>
        <v>0</v>
      </c>
      <c r="O1145" s="2179">
        <f t="shared" si="2393"/>
        <v>0</v>
      </c>
      <c r="P1145" s="2178">
        <f t="shared" si="2374"/>
        <v>0</v>
      </c>
      <c r="Q1145" s="2179">
        <f t="shared" si="2394"/>
        <v>0</v>
      </c>
      <c r="R1145" s="2179">
        <f t="shared" si="2394"/>
        <v>0</v>
      </c>
      <c r="S1145" s="2178">
        <f t="shared" si="2375"/>
        <v>0</v>
      </c>
      <c r="T1145" s="2181">
        <f>N1145+Q1145</f>
        <v>0</v>
      </c>
      <c r="U1145" s="2179">
        <f>O1145+R1145</f>
        <v>0</v>
      </c>
      <c r="V1145" s="2178">
        <f t="shared" si="2376"/>
        <v>0</v>
      </c>
      <c r="W1145" s="2179">
        <f t="shared" si="2395"/>
        <v>0</v>
      </c>
      <c r="X1145" s="2179">
        <f t="shared" si="2395"/>
        <v>0</v>
      </c>
      <c r="Y1145" s="2178">
        <f t="shared" si="2377"/>
        <v>0</v>
      </c>
      <c r="Z1145" s="2181">
        <f>T1145+W1145</f>
        <v>0</v>
      </c>
      <c r="AA1145" s="2179">
        <f>U1145+X1145</f>
        <v>0</v>
      </c>
      <c r="AB1145" s="2178">
        <f t="shared" si="2378"/>
        <v>0</v>
      </c>
      <c r="AC1145" s="2179">
        <f t="shared" si="2396"/>
        <v>0</v>
      </c>
      <c r="AD1145" s="2179">
        <f t="shared" si="2396"/>
        <v>0</v>
      </c>
      <c r="AE1145" s="2178">
        <f t="shared" si="2379"/>
        <v>0</v>
      </c>
      <c r="AF1145" s="2204"/>
      <c r="AG1145" s="2114"/>
      <c r="AH1145" s="2188">
        <f t="shared" si="2397"/>
        <v>0</v>
      </c>
      <c r="AI1145" s="2188">
        <f t="shared" si="2397"/>
        <v>0</v>
      </c>
      <c r="AJ1145" s="2186">
        <f t="shared" si="2380"/>
        <v>0</v>
      </c>
      <c r="AK1145" s="2188">
        <f t="shared" si="2398"/>
        <v>0</v>
      </c>
      <c r="AL1145" s="2188">
        <f t="shared" si="2398"/>
        <v>0</v>
      </c>
      <c r="AM1145" s="2186">
        <f t="shared" si="2381"/>
        <v>0</v>
      </c>
      <c r="AN1145" s="2188">
        <f t="shared" si="2399"/>
        <v>0</v>
      </c>
      <c r="AO1145" s="2188">
        <f t="shared" si="2399"/>
        <v>0</v>
      </c>
      <c r="AP1145" s="2186">
        <f t="shared" si="2382"/>
        <v>0</v>
      </c>
      <c r="AQ1145" s="2188">
        <f t="shared" si="2400"/>
        <v>0</v>
      </c>
      <c r="AR1145" s="2188">
        <f t="shared" si="2400"/>
        <v>0</v>
      </c>
      <c r="AS1145" s="2186">
        <f t="shared" si="2383"/>
        <v>0</v>
      </c>
      <c r="AT1145" s="2188">
        <f t="shared" si="2401"/>
        <v>0</v>
      </c>
      <c r="AU1145" s="2188">
        <f t="shared" si="2401"/>
        <v>0</v>
      </c>
      <c r="AV1145" s="2186">
        <f t="shared" si="2384"/>
        <v>0</v>
      </c>
      <c r="AW1145" s="2188">
        <f t="shared" si="2402"/>
        <v>0</v>
      </c>
      <c r="AX1145" s="2188">
        <f t="shared" si="2402"/>
        <v>0</v>
      </c>
      <c r="AY1145" s="2186">
        <f t="shared" si="2385"/>
        <v>0</v>
      </c>
      <c r="AZ1145" s="2188">
        <f t="shared" si="2403"/>
        <v>0</v>
      </c>
      <c r="BA1145" s="2188">
        <f t="shared" si="2403"/>
        <v>0</v>
      </c>
      <c r="BB1145" s="2186">
        <f t="shared" si="2386"/>
        <v>0</v>
      </c>
      <c r="BC1145" s="2188">
        <f t="shared" si="2404"/>
        <v>0</v>
      </c>
      <c r="BD1145" s="2188">
        <f t="shared" si="2404"/>
        <v>0</v>
      </c>
      <c r="BE1145" s="2186">
        <f t="shared" si="2387"/>
        <v>0</v>
      </c>
      <c r="BF1145" s="2188">
        <f t="shared" si="2405"/>
        <v>0</v>
      </c>
      <c r="BG1145" s="2188">
        <f t="shared" si="2405"/>
        <v>0</v>
      </c>
      <c r="BH1145" s="2186">
        <f t="shared" si="2388"/>
        <v>0</v>
      </c>
      <c r="BI1145" s="2188">
        <f t="shared" si="2406"/>
        <v>0</v>
      </c>
      <c r="BJ1145" s="2188">
        <f t="shared" si="2406"/>
        <v>0</v>
      </c>
      <c r="BK1145" s="2186">
        <f t="shared" si="2389"/>
        <v>0</v>
      </c>
      <c r="BL1145" s="2188">
        <f t="shared" si="2407"/>
        <v>0</v>
      </c>
      <c r="BM1145" s="2188">
        <f t="shared" si="2407"/>
        <v>0</v>
      </c>
      <c r="BN1145" s="2186">
        <f t="shared" si="2390"/>
        <v>0</v>
      </c>
      <c r="BO1145" s="2188">
        <f t="shared" si="2408"/>
        <v>0</v>
      </c>
      <c r="BP1145" s="2188">
        <f t="shared" si="2408"/>
        <v>0</v>
      </c>
      <c r="BQ1145" s="2186">
        <f t="shared" si="2391"/>
        <v>0</v>
      </c>
    </row>
    <row r="1146" spans="3:69" s="2087" customFormat="1" ht="12" hidden="1" customHeight="1">
      <c r="C1146" s="2473" t="s">
        <v>3312</v>
      </c>
      <c r="D1146" s="2334" t="s">
        <v>42</v>
      </c>
      <c r="E1146" s="2250" t="s">
        <v>1833</v>
      </c>
      <c r="F1146" s="2176"/>
      <c r="G1146" s="2179">
        <f t="shared" si="2392"/>
        <v>0</v>
      </c>
      <c r="H1146" s="2179">
        <f t="shared" si="2392"/>
        <v>0</v>
      </c>
      <c r="I1146" s="2178">
        <f t="shared" si="2372"/>
        <v>0</v>
      </c>
      <c r="J1146" s="2176"/>
      <c r="K1146" s="2179">
        <f t="shared" si="2331"/>
        <v>0</v>
      </c>
      <c r="L1146" s="2179">
        <f t="shared" si="2331"/>
        <v>0</v>
      </c>
      <c r="M1146" s="2178">
        <f t="shared" si="2373"/>
        <v>0</v>
      </c>
      <c r="N1146" s="2179">
        <f t="shared" si="2393"/>
        <v>0</v>
      </c>
      <c r="O1146" s="2179">
        <f t="shared" si="2393"/>
        <v>0</v>
      </c>
      <c r="P1146" s="2178">
        <f t="shared" si="2374"/>
        <v>0</v>
      </c>
      <c r="Q1146" s="2184">
        <f t="shared" si="2394"/>
        <v>0</v>
      </c>
      <c r="R1146" s="2179">
        <f t="shared" si="2394"/>
        <v>0</v>
      </c>
      <c r="S1146" s="2178">
        <f t="shared" si="2375"/>
        <v>0</v>
      </c>
      <c r="T1146" s="2181">
        <f t="shared" si="2370"/>
        <v>0</v>
      </c>
      <c r="U1146" s="2179">
        <f t="shared" si="2370"/>
        <v>0</v>
      </c>
      <c r="V1146" s="2178">
        <f t="shared" si="2376"/>
        <v>0</v>
      </c>
      <c r="W1146" s="2184">
        <f t="shared" si="2395"/>
        <v>0</v>
      </c>
      <c r="X1146" s="2179">
        <f t="shared" si="2395"/>
        <v>0</v>
      </c>
      <c r="Y1146" s="2178">
        <f t="shared" si="2377"/>
        <v>0</v>
      </c>
      <c r="Z1146" s="2181">
        <f t="shared" si="2371"/>
        <v>0</v>
      </c>
      <c r="AA1146" s="2179">
        <f t="shared" si="2371"/>
        <v>0</v>
      </c>
      <c r="AB1146" s="2178">
        <f t="shared" si="2378"/>
        <v>0</v>
      </c>
      <c r="AC1146" s="2184">
        <f t="shared" si="2396"/>
        <v>0</v>
      </c>
      <c r="AD1146" s="2179">
        <f t="shared" si="2396"/>
        <v>0</v>
      </c>
      <c r="AE1146" s="2178">
        <f t="shared" si="2379"/>
        <v>0</v>
      </c>
      <c r="AF1146" s="2204"/>
      <c r="AG1146" s="2114"/>
      <c r="AH1146" s="2188">
        <f t="shared" si="2397"/>
        <v>0</v>
      </c>
      <c r="AI1146" s="2188">
        <f t="shared" si="2397"/>
        <v>0</v>
      </c>
      <c r="AJ1146" s="2186">
        <f t="shared" si="2380"/>
        <v>0</v>
      </c>
      <c r="AK1146" s="2188">
        <f t="shared" si="2398"/>
        <v>0</v>
      </c>
      <c r="AL1146" s="2188">
        <f t="shared" si="2398"/>
        <v>0</v>
      </c>
      <c r="AM1146" s="2186">
        <f t="shared" si="2381"/>
        <v>0</v>
      </c>
      <c r="AN1146" s="2188">
        <f t="shared" si="2399"/>
        <v>0</v>
      </c>
      <c r="AO1146" s="2188">
        <f t="shared" si="2399"/>
        <v>0</v>
      </c>
      <c r="AP1146" s="2186">
        <f t="shared" si="2382"/>
        <v>0</v>
      </c>
      <c r="AQ1146" s="2188">
        <f t="shared" si="2400"/>
        <v>0</v>
      </c>
      <c r="AR1146" s="2188">
        <f t="shared" si="2400"/>
        <v>0</v>
      </c>
      <c r="AS1146" s="2186">
        <f t="shared" si="2383"/>
        <v>0</v>
      </c>
      <c r="AT1146" s="2188">
        <f t="shared" si="2401"/>
        <v>0</v>
      </c>
      <c r="AU1146" s="2188">
        <f t="shared" si="2401"/>
        <v>0</v>
      </c>
      <c r="AV1146" s="2186">
        <f t="shared" si="2384"/>
        <v>0</v>
      </c>
      <c r="AW1146" s="2188">
        <f t="shared" si="2402"/>
        <v>0</v>
      </c>
      <c r="AX1146" s="2188">
        <f t="shared" si="2402"/>
        <v>0</v>
      </c>
      <c r="AY1146" s="2186">
        <f t="shared" si="2385"/>
        <v>0</v>
      </c>
      <c r="AZ1146" s="2188">
        <f t="shared" si="2403"/>
        <v>0</v>
      </c>
      <c r="BA1146" s="2188">
        <f t="shared" si="2403"/>
        <v>0</v>
      </c>
      <c r="BB1146" s="2186">
        <f t="shared" si="2386"/>
        <v>0</v>
      </c>
      <c r="BC1146" s="2188">
        <f t="shared" si="2404"/>
        <v>0</v>
      </c>
      <c r="BD1146" s="2188">
        <f t="shared" si="2404"/>
        <v>0</v>
      </c>
      <c r="BE1146" s="2186">
        <f t="shared" si="2387"/>
        <v>0</v>
      </c>
      <c r="BF1146" s="2188">
        <f t="shared" si="2405"/>
        <v>0</v>
      </c>
      <c r="BG1146" s="2188">
        <f t="shared" si="2405"/>
        <v>0</v>
      </c>
      <c r="BH1146" s="2186">
        <f t="shared" si="2388"/>
        <v>0</v>
      </c>
      <c r="BI1146" s="2188">
        <f t="shared" si="2406"/>
        <v>0</v>
      </c>
      <c r="BJ1146" s="2188">
        <f t="shared" si="2406"/>
        <v>0</v>
      </c>
      <c r="BK1146" s="2186">
        <f t="shared" si="2389"/>
        <v>0</v>
      </c>
      <c r="BL1146" s="2188">
        <f t="shared" si="2407"/>
        <v>0</v>
      </c>
      <c r="BM1146" s="2188">
        <f t="shared" si="2407"/>
        <v>0</v>
      </c>
      <c r="BN1146" s="2186">
        <f t="shared" si="2390"/>
        <v>0</v>
      </c>
      <c r="BO1146" s="2188">
        <f t="shared" si="2408"/>
        <v>0</v>
      </c>
      <c r="BP1146" s="2188">
        <f t="shared" si="2408"/>
        <v>0</v>
      </c>
      <c r="BQ1146" s="2186">
        <f t="shared" si="2391"/>
        <v>0</v>
      </c>
    </row>
    <row r="1147" spans="3:69" s="2087" customFormat="1" ht="12" hidden="1" customHeight="1">
      <c r="C1147" s="2473" t="s">
        <v>3312</v>
      </c>
      <c r="D1147" s="2334" t="s">
        <v>2434</v>
      </c>
      <c r="E1147" s="2250" t="s">
        <v>1833</v>
      </c>
      <c r="F1147" s="2176"/>
      <c r="G1147" s="2179">
        <f t="shared" si="2392"/>
        <v>0</v>
      </c>
      <c r="H1147" s="2179">
        <f t="shared" si="2392"/>
        <v>0</v>
      </c>
      <c r="I1147" s="2178">
        <f t="shared" si="2372"/>
        <v>0</v>
      </c>
      <c r="J1147" s="2176"/>
      <c r="K1147" s="2179">
        <f>N1147+Q1147+W1147+AC1147</f>
        <v>0</v>
      </c>
      <c r="L1147" s="2179">
        <f>O1147+R1147+X1147+AD1147</f>
        <v>0</v>
      </c>
      <c r="M1147" s="2178">
        <f t="shared" si="2373"/>
        <v>0</v>
      </c>
      <c r="N1147" s="2179">
        <f t="shared" si="2393"/>
        <v>0</v>
      </c>
      <c r="O1147" s="2179">
        <f t="shared" si="2393"/>
        <v>0</v>
      </c>
      <c r="P1147" s="2178">
        <f t="shared" si="2374"/>
        <v>0</v>
      </c>
      <c r="Q1147" s="2179">
        <f t="shared" si="2394"/>
        <v>0</v>
      </c>
      <c r="R1147" s="2179">
        <f t="shared" si="2394"/>
        <v>0</v>
      </c>
      <c r="S1147" s="2178">
        <f t="shared" si="2375"/>
        <v>0</v>
      </c>
      <c r="T1147" s="2181">
        <f>N1147+Q1147</f>
        <v>0</v>
      </c>
      <c r="U1147" s="2179">
        <f>O1147+R1147</f>
        <v>0</v>
      </c>
      <c r="V1147" s="2178">
        <f t="shared" si="2376"/>
        <v>0</v>
      </c>
      <c r="W1147" s="2179">
        <f t="shared" si="2395"/>
        <v>0</v>
      </c>
      <c r="X1147" s="2179">
        <f t="shared" si="2395"/>
        <v>0</v>
      </c>
      <c r="Y1147" s="2178">
        <f t="shared" si="2377"/>
        <v>0</v>
      </c>
      <c r="Z1147" s="2181">
        <f>T1147+W1147</f>
        <v>0</v>
      </c>
      <c r="AA1147" s="2179">
        <f>U1147+X1147</f>
        <v>0</v>
      </c>
      <c r="AB1147" s="2178">
        <f t="shared" si="2378"/>
        <v>0</v>
      </c>
      <c r="AC1147" s="2179">
        <f t="shared" si="2396"/>
        <v>0</v>
      </c>
      <c r="AD1147" s="2179">
        <f t="shared" si="2396"/>
        <v>0</v>
      </c>
      <c r="AE1147" s="2178">
        <f t="shared" si="2379"/>
        <v>0</v>
      </c>
      <c r="AF1147" s="2204"/>
      <c r="AG1147" s="2114"/>
      <c r="AH1147" s="2188">
        <f t="shared" si="2397"/>
        <v>0</v>
      </c>
      <c r="AI1147" s="2188">
        <f t="shared" si="2397"/>
        <v>0</v>
      </c>
      <c r="AJ1147" s="2186">
        <f t="shared" si="2380"/>
        <v>0</v>
      </c>
      <c r="AK1147" s="2188">
        <f t="shared" si="2398"/>
        <v>0</v>
      </c>
      <c r="AL1147" s="2188">
        <f t="shared" si="2398"/>
        <v>0</v>
      </c>
      <c r="AM1147" s="2186">
        <f t="shared" si="2381"/>
        <v>0</v>
      </c>
      <c r="AN1147" s="2188">
        <f t="shared" si="2399"/>
        <v>0</v>
      </c>
      <c r="AO1147" s="2188">
        <f t="shared" si="2399"/>
        <v>0</v>
      </c>
      <c r="AP1147" s="2186">
        <f t="shared" si="2382"/>
        <v>0</v>
      </c>
      <c r="AQ1147" s="2188">
        <f t="shared" si="2400"/>
        <v>0</v>
      </c>
      <c r="AR1147" s="2188">
        <f t="shared" si="2400"/>
        <v>0</v>
      </c>
      <c r="AS1147" s="2186">
        <f t="shared" si="2383"/>
        <v>0</v>
      </c>
      <c r="AT1147" s="2188">
        <f t="shared" si="2401"/>
        <v>0</v>
      </c>
      <c r="AU1147" s="2188">
        <f t="shared" si="2401"/>
        <v>0</v>
      </c>
      <c r="AV1147" s="2186">
        <f t="shared" si="2384"/>
        <v>0</v>
      </c>
      <c r="AW1147" s="2188">
        <f t="shared" si="2402"/>
        <v>0</v>
      </c>
      <c r="AX1147" s="2188">
        <f t="shared" si="2402"/>
        <v>0</v>
      </c>
      <c r="AY1147" s="2186">
        <f t="shared" si="2385"/>
        <v>0</v>
      </c>
      <c r="AZ1147" s="2188">
        <f t="shared" si="2403"/>
        <v>0</v>
      </c>
      <c r="BA1147" s="2188">
        <f t="shared" si="2403"/>
        <v>0</v>
      </c>
      <c r="BB1147" s="2186">
        <f t="shared" si="2386"/>
        <v>0</v>
      </c>
      <c r="BC1147" s="2188">
        <f t="shared" si="2404"/>
        <v>0</v>
      </c>
      <c r="BD1147" s="2188">
        <f t="shared" si="2404"/>
        <v>0</v>
      </c>
      <c r="BE1147" s="2186">
        <f t="shared" si="2387"/>
        <v>0</v>
      </c>
      <c r="BF1147" s="2188">
        <f t="shared" si="2405"/>
        <v>0</v>
      </c>
      <c r="BG1147" s="2188">
        <f t="shared" si="2405"/>
        <v>0</v>
      </c>
      <c r="BH1147" s="2186">
        <f t="shared" si="2388"/>
        <v>0</v>
      </c>
      <c r="BI1147" s="2188">
        <f t="shared" si="2406"/>
        <v>0</v>
      </c>
      <c r="BJ1147" s="2188">
        <f t="shared" si="2406"/>
        <v>0</v>
      </c>
      <c r="BK1147" s="2186">
        <f t="shared" si="2389"/>
        <v>0</v>
      </c>
      <c r="BL1147" s="2188">
        <f t="shared" si="2407"/>
        <v>0</v>
      </c>
      <c r="BM1147" s="2188">
        <f t="shared" si="2407"/>
        <v>0</v>
      </c>
      <c r="BN1147" s="2186">
        <f t="shared" si="2390"/>
        <v>0</v>
      </c>
      <c r="BO1147" s="2188">
        <f t="shared" si="2408"/>
        <v>0</v>
      </c>
      <c r="BP1147" s="2188">
        <f t="shared" si="2408"/>
        <v>0</v>
      </c>
      <c r="BQ1147" s="2186">
        <f t="shared" si="2391"/>
        <v>0</v>
      </c>
    </row>
    <row r="1148" spans="3:69" s="2087" customFormat="1" ht="12" hidden="1" customHeight="1">
      <c r="C1148" s="2423" t="s">
        <v>3186</v>
      </c>
      <c r="D1148" s="2421" t="s">
        <v>3151</v>
      </c>
      <c r="E1148" s="2250" t="s">
        <v>1833</v>
      </c>
      <c r="F1148" s="2176"/>
      <c r="G1148" s="2179">
        <f>G1161+G1174</f>
        <v>0</v>
      </c>
      <c r="H1148" s="2179">
        <f t="shared" si="2392"/>
        <v>0</v>
      </c>
      <c r="I1148" s="2178">
        <f t="shared" si="2372"/>
        <v>0</v>
      </c>
      <c r="J1148" s="2176"/>
      <c r="K1148" s="2179">
        <f t="shared" si="2331"/>
        <v>0</v>
      </c>
      <c r="L1148" s="2179">
        <f t="shared" si="2331"/>
        <v>0</v>
      </c>
      <c r="M1148" s="2178">
        <f t="shared" si="2373"/>
        <v>0</v>
      </c>
      <c r="N1148" s="2179">
        <f t="shared" si="2393"/>
        <v>0</v>
      </c>
      <c r="O1148" s="2179">
        <f t="shared" si="2393"/>
        <v>0</v>
      </c>
      <c r="P1148" s="2178">
        <f t="shared" si="2374"/>
        <v>0</v>
      </c>
      <c r="Q1148" s="2184">
        <f t="shared" si="2394"/>
        <v>0</v>
      </c>
      <c r="R1148" s="2179">
        <f t="shared" si="2394"/>
        <v>0</v>
      </c>
      <c r="S1148" s="2178">
        <f t="shared" si="2375"/>
        <v>0</v>
      </c>
      <c r="T1148" s="2181">
        <f t="shared" si="2370"/>
        <v>0</v>
      </c>
      <c r="U1148" s="2179">
        <f t="shared" si="2370"/>
        <v>0</v>
      </c>
      <c r="V1148" s="2178">
        <f t="shared" si="2376"/>
        <v>0</v>
      </c>
      <c r="W1148" s="2184">
        <f t="shared" si="2395"/>
        <v>0</v>
      </c>
      <c r="X1148" s="2179">
        <f t="shared" si="2395"/>
        <v>0</v>
      </c>
      <c r="Y1148" s="2178">
        <f t="shared" si="2377"/>
        <v>0</v>
      </c>
      <c r="Z1148" s="2181">
        <f t="shared" si="2371"/>
        <v>0</v>
      </c>
      <c r="AA1148" s="2179">
        <f t="shared" si="2371"/>
        <v>0</v>
      </c>
      <c r="AB1148" s="2178">
        <f t="shared" si="2378"/>
        <v>0</v>
      </c>
      <c r="AC1148" s="2184">
        <f t="shared" si="2396"/>
        <v>0</v>
      </c>
      <c r="AD1148" s="2179">
        <f t="shared" si="2396"/>
        <v>0</v>
      </c>
      <c r="AE1148" s="2178">
        <f t="shared" si="2379"/>
        <v>0</v>
      </c>
      <c r="AF1148" s="2204"/>
      <c r="AG1148" s="2114"/>
      <c r="AH1148" s="2188">
        <f t="shared" si="2397"/>
        <v>0</v>
      </c>
      <c r="AI1148" s="2188">
        <f t="shared" si="2397"/>
        <v>0</v>
      </c>
      <c r="AJ1148" s="2186">
        <f t="shared" si="2380"/>
        <v>0</v>
      </c>
      <c r="AK1148" s="2188">
        <f t="shared" si="2398"/>
        <v>0</v>
      </c>
      <c r="AL1148" s="2188">
        <f t="shared" si="2398"/>
        <v>0</v>
      </c>
      <c r="AM1148" s="2186">
        <f t="shared" si="2381"/>
        <v>0</v>
      </c>
      <c r="AN1148" s="2188">
        <f t="shared" si="2399"/>
        <v>0</v>
      </c>
      <c r="AO1148" s="2188">
        <f t="shared" si="2399"/>
        <v>0</v>
      </c>
      <c r="AP1148" s="2186">
        <f t="shared" si="2382"/>
        <v>0</v>
      </c>
      <c r="AQ1148" s="2188">
        <f t="shared" si="2400"/>
        <v>0</v>
      </c>
      <c r="AR1148" s="2188">
        <f t="shared" si="2400"/>
        <v>0</v>
      </c>
      <c r="AS1148" s="2186">
        <f t="shared" si="2383"/>
        <v>0</v>
      </c>
      <c r="AT1148" s="2188">
        <f t="shared" si="2401"/>
        <v>0</v>
      </c>
      <c r="AU1148" s="2188">
        <f t="shared" si="2401"/>
        <v>0</v>
      </c>
      <c r="AV1148" s="2186">
        <f t="shared" si="2384"/>
        <v>0</v>
      </c>
      <c r="AW1148" s="2188">
        <f t="shared" si="2402"/>
        <v>0</v>
      </c>
      <c r="AX1148" s="2188">
        <f t="shared" si="2402"/>
        <v>0</v>
      </c>
      <c r="AY1148" s="2186">
        <f t="shared" si="2385"/>
        <v>0</v>
      </c>
      <c r="AZ1148" s="2188">
        <f t="shared" si="2403"/>
        <v>0</v>
      </c>
      <c r="BA1148" s="2188">
        <f t="shared" si="2403"/>
        <v>0</v>
      </c>
      <c r="BB1148" s="2186">
        <f t="shared" si="2386"/>
        <v>0</v>
      </c>
      <c r="BC1148" s="2188">
        <f t="shared" si="2404"/>
        <v>0</v>
      </c>
      <c r="BD1148" s="2188">
        <f t="shared" si="2404"/>
        <v>0</v>
      </c>
      <c r="BE1148" s="2186">
        <f t="shared" si="2387"/>
        <v>0</v>
      </c>
      <c r="BF1148" s="2188">
        <f t="shared" si="2405"/>
        <v>0</v>
      </c>
      <c r="BG1148" s="2188">
        <f t="shared" si="2405"/>
        <v>0</v>
      </c>
      <c r="BH1148" s="2186">
        <f t="shared" si="2388"/>
        <v>0</v>
      </c>
      <c r="BI1148" s="2188">
        <f t="shared" si="2406"/>
        <v>0</v>
      </c>
      <c r="BJ1148" s="2188">
        <f t="shared" si="2406"/>
        <v>0</v>
      </c>
      <c r="BK1148" s="2186">
        <f t="shared" si="2389"/>
        <v>0</v>
      </c>
      <c r="BL1148" s="2188">
        <f t="shared" si="2407"/>
        <v>0</v>
      </c>
      <c r="BM1148" s="2188">
        <f t="shared" si="2407"/>
        <v>0</v>
      </c>
      <c r="BN1148" s="2186">
        <f t="shared" si="2390"/>
        <v>0</v>
      </c>
      <c r="BO1148" s="2188">
        <f t="shared" si="2408"/>
        <v>0</v>
      </c>
      <c r="BP1148" s="2188">
        <f t="shared" si="2408"/>
        <v>0</v>
      </c>
      <c r="BQ1148" s="2186">
        <f t="shared" si="2391"/>
        <v>0</v>
      </c>
    </row>
    <row r="1149" spans="3:69" s="2087" customFormat="1" ht="12" hidden="1" customHeight="1">
      <c r="C1149" s="2473" t="s">
        <v>3311</v>
      </c>
      <c r="D1149" s="2334" t="s">
        <v>28</v>
      </c>
      <c r="E1149" s="2250" t="s">
        <v>1833</v>
      </c>
      <c r="F1149" s="2176"/>
      <c r="G1149" s="2179">
        <f>G1175</f>
        <v>0</v>
      </c>
      <c r="H1149" s="2179">
        <f>H1175</f>
        <v>0</v>
      </c>
      <c r="I1149" s="2178">
        <f t="shared" si="2372"/>
        <v>0</v>
      </c>
      <c r="J1149" s="2176"/>
      <c r="K1149" s="2179">
        <f t="shared" si="2331"/>
        <v>0</v>
      </c>
      <c r="L1149" s="2179">
        <f t="shared" si="2331"/>
        <v>0</v>
      </c>
      <c r="M1149" s="2178">
        <f t="shared" si="2373"/>
        <v>0</v>
      </c>
      <c r="N1149" s="2179">
        <f>N1175</f>
        <v>0</v>
      </c>
      <c r="O1149" s="2179">
        <f>O1175</f>
        <v>0</v>
      </c>
      <c r="P1149" s="2178">
        <f t="shared" si="2374"/>
        <v>0</v>
      </c>
      <c r="Q1149" s="2184">
        <f>Q1175</f>
        <v>0</v>
      </c>
      <c r="R1149" s="2179">
        <f>R1175</f>
        <v>0</v>
      </c>
      <c r="S1149" s="2178">
        <f t="shared" si="2375"/>
        <v>0</v>
      </c>
      <c r="T1149" s="2181">
        <f t="shared" ref="T1149:U1153" si="2409">N1149+Q1149</f>
        <v>0</v>
      </c>
      <c r="U1149" s="2179">
        <f t="shared" si="2409"/>
        <v>0</v>
      </c>
      <c r="V1149" s="2178">
        <f t="shared" si="2376"/>
        <v>0</v>
      </c>
      <c r="W1149" s="2184">
        <f>W1175</f>
        <v>0</v>
      </c>
      <c r="X1149" s="2179">
        <f>X1175</f>
        <v>0</v>
      </c>
      <c r="Y1149" s="2178">
        <f t="shared" si="2377"/>
        <v>0</v>
      </c>
      <c r="Z1149" s="2181">
        <f t="shared" ref="Z1149:AA1153" si="2410">T1149+W1149</f>
        <v>0</v>
      </c>
      <c r="AA1149" s="2179">
        <f t="shared" si="2410"/>
        <v>0</v>
      </c>
      <c r="AB1149" s="2178">
        <f t="shared" si="2378"/>
        <v>0</v>
      </c>
      <c r="AC1149" s="2184">
        <f>AC1175</f>
        <v>0</v>
      </c>
      <c r="AD1149" s="2179">
        <f>AD1175</f>
        <v>0</v>
      </c>
      <c r="AE1149" s="2178">
        <f t="shared" si="2379"/>
        <v>0</v>
      </c>
      <c r="AF1149" s="2204"/>
      <c r="AG1149" s="2114"/>
      <c r="AH1149" s="2188">
        <f>AH1175</f>
        <v>0</v>
      </c>
      <c r="AI1149" s="2188">
        <f>AI1175</f>
        <v>0</v>
      </c>
      <c r="AJ1149" s="2186">
        <f t="shared" si="2380"/>
        <v>0</v>
      </c>
      <c r="AK1149" s="2188">
        <f>AK1175</f>
        <v>0</v>
      </c>
      <c r="AL1149" s="2188">
        <f>AL1175</f>
        <v>0</v>
      </c>
      <c r="AM1149" s="2186">
        <f t="shared" si="2381"/>
        <v>0</v>
      </c>
      <c r="AN1149" s="2188">
        <f>AN1175</f>
        <v>0</v>
      </c>
      <c r="AO1149" s="2188">
        <f>AO1175</f>
        <v>0</v>
      </c>
      <c r="AP1149" s="2186">
        <f t="shared" si="2382"/>
        <v>0</v>
      </c>
      <c r="AQ1149" s="2188">
        <f>AQ1175</f>
        <v>0</v>
      </c>
      <c r="AR1149" s="2188">
        <f>AR1175</f>
        <v>0</v>
      </c>
      <c r="AS1149" s="2186">
        <f t="shared" si="2383"/>
        <v>0</v>
      </c>
      <c r="AT1149" s="2188">
        <f>AT1175</f>
        <v>0</v>
      </c>
      <c r="AU1149" s="2188">
        <f>AU1175</f>
        <v>0</v>
      </c>
      <c r="AV1149" s="2186">
        <f t="shared" si="2384"/>
        <v>0</v>
      </c>
      <c r="AW1149" s="2188">
        <f>AW1175</f>
        <v>0</v>
      </c>
      <c r="AX1149" s="2188">
        <f>AX1175</f>
        <v>0</v>
      </c>
      <c r="AY1149" s="2186">
        <f t="shared" si="2385"/>
        <v>0</v>
      </c>
      <c r="AZ1149" s="2188">
        <f>AZ1175</f>
        <v>0</v>
      </c>
      <c r="BA1149" s="2188">
        <f>BA1175</f>
        <v>0</v>
      </c>
      <c r="BB1149" s="2186">
        <f t="shared" si="2386"/>
        <v>0</v>
      </c>
      <c r="BC1149" s="2188">
        <f>BC1175</f>
        <v>0</v>
      </c>
      <c r="BD1149" s="2188">
        <f>BD1175</f>
        <v>0</v>
      </c>
      <c r="BE1149" s="2186">
        <f t="shared" si="2387"/>
        <v>0</v>
      </c>
      <c r="BF1149" s="2188">
        <f>BF1175</f>
        <v>0</v>
      </c>
      <c r="BG1149" s="2188">
        <f>BG1175</f>
        <v>0</v>
      </c>
      <c r="BH1149" s="2186">
        <f t="shared" si="2388"/>
        <v>0</v>
      </c>
      <c r="BI1149" s="2188">
        <f>BI1175</f>
        <v>0</v>
      </c>
      <c r="BJ1149" s="2188">
        <f>BJ1175</f>
        <v>0</v>
      </c>
      <c r="BK1149" s="2186">
        <f t="shared" si="2389"/>
        <v>0</v>
      </c>
      <c r="BL1149" s="2188">
        <f>BL1175</f>
        <v>0</v>
      </c>
      <c r="BM1149" s="2188">
        <f>BM1175</f>
        <v>0</v>
      </c>
      <c r="BN1149" s="2186">
        <f t="shared" si="2390"/>
        <v>0</v>
      </c>
      <c r="BO1149" s="2188">
        <f>BO1175</f>
        <v>0</v>
      </c>
      <c r="BP1149" s="2188">
        <f>BP1175</f>
        <v>0</v>
      </c>
      <c r="BQ1149" s="2186">
        <f t="shared" si="2391"/>
        <v>0</v>
      </c>
    </row>
    <row r="1150" spans="3:69" s="2087" customFormat="1" ht="12" hidden="1" customHeight="1">
      <c r="C1150" s="2473" t="s">
        <v>3311</v>
      </c>
      <c r="D1150" s="2334" t="s">
        <v>2434</v>
      </c>
      <c r="E1150" s="2250" t="s">
        <v>1833</v>
      </c>
      <c r="F1150" s="2176"/>
      <c r="G1150" s="2179">
        <f>G1176</f>
        <v>0</v>
      </c>
      <c r="H1150" s="2179">
        <f>H1176</f>
        <v>0</v>
      </c>
      <c r="I1150" s="2178">
        <f t="shared" si="2372"/>
        <v>0</v>
      </c>
      <c r="J1150" s="2176"/>
      <c r="K1150" s="2179">
        <f>N1150+Q1150+W1150+AC1150</f>
        <v>0</v>
      </c>
      <c r="L1150" s="2179">
        <f>O1150+R1150+X1150+AD1150</f>
        <v>0</v>
      </c>
      <c r="M1150" s="2178">
        <f t="shared" si="2373"/>
        <v>0</v>
      </c>
      <c r="N1150" s="2179">
        <f>N1176</f>
        <v>0</v>
      </c>
      <c r="O1150" s="2179">
        <f>O1176</f>
        <v>0</v>
      </c>
      <c r="P1150" s="2178">
        <f t="shared" si="2374"/>
        <v>0</v>
      </c>
      <c r="Q1150" s="2179">
        <f>Q1176</f>
        <v>0</v>
      </c>
      <c r="R1150" s="2179">
        <f>R1176</f>
        <v>0</v>
      </c>
      <c r="S1150" s="2178">
        <f t="shared" si="2375"/>
        <v>0</v>
      </c>
      <c r="T1150" s="2181">
        <f>N1150+Q1150</f>
        <v>0</v>
      </c>
      <c r="U1150" s="2179">
        <f>O1150+R1150</f>
        <v>0</v>
      </c>
      <c r="V1150" s="2178">
        <f t="shared" si="2376"/>
        <v>0</v>
      </c>
      <c r="W1150" s="2179">
        <f>W1176</f>
        <v>0</v>
      </c>
      <c r="X1150" s="2179">
        <f>X1176</f>
        <v>0</v>
      </c>
      <c r="Y1150" s="2178">
        <f t="shared" si="2377"/>
        <v>0</v>
      </c>
      <c r="Z1150" s="2181">
        <f>T1150+W1150</f>
        <v>0</v>
      </c>
      <c r="AA1150" s="2179">
        <f>U1150+X1150</f>
        <v>0</v>
      </c>
      <c r="AB1150" s="2178">
        <f t="shared" si="2378"/>
        <v>0</v>
      </c>
      <c r="AC1150" s="2179">
        <f>AC1176</f>
        <v>0</v>
      </c>
      <c r="AD1150" s="2179">
        <f>AD1176</f>
        <v>0</v>
      </c>
      <c r="AE1150" s="2178">
        <f t="shared" si="2379"/>
        <v>0</v>
      </c>
      <c r="AF1150" s="2204"/>
      <c r="AG1150" s="2114"/>
      <c r="AH1150" s="2188">
        <f>AH1176</f>
        <v>0</v>
      </c>
      <c r="AI1150" s="2188">
        <f>AI1176</f>
        <v>0</v>
      </c>
      <c r="AJ1150" s="2186">
        <f t="shared" si="2380"/>
        <v>0</v>
      </c>
      <c r="AK1150" s="2188">
        <f>AK1176</f>
        <v>0</v>
      </c>
      <c r="AL1150" s="2188">
        <f>AL1176</f>
        <v>0</v>
      </c>
      <c r="AM1150" s="2186">
        <f t="shared" si="2381"/>
        <v>0</v>
      </c>
      <c r="AN1150" s="2188">
        <f>AN1176</f>
        <v>0</v>
      </c>
      <c r="AO1150" s="2188">
        <f>AO1176</f>
        <v>0</v>
      </c>
      <c r="AP1150" s="2186">
        <f t="shared" si="2382"/>
        <v>0</v>
      </c>
      <c r="AQ1150" s="2188">
        <f>AQ1176</f>
        <v>0</v>
      </c>
      <c r="AR1150" s="2188">
        <f>AR1176</f>
        <v>0</v>
      </c>
      <c r="AS1150" s="2186">
        <f t="shared" si="2383"/>
        <v>0</v>
      </c>
      <c r="AT1150" s="2188">
        <f>AT1176</f>
        <v>0</v>
      </c>
      <c r="AU1150" s="2188">
        <f>AU1176</f>
        <v>0</v>
      </c>
      <c r="AV1150" s="2186">
        <f t="shared" si="2384"/>
        <v>0</v>
      </c>
      <c r="AW1150" s="2188">
        <f>AW1176</f>
        <v>0</v>
      </c>
      <c r="AX1150" s="2188">
        <f>AX1176</f>
        <v>0</v>
      </c>
      <c r="AY1150" s="2186">
        <f t="shared" si="2385"/>
        <v>0</v>
      </c>
      <c r="AZ1150" s="2188">
        <f>AZ1176</f>
        <v>0</v>
      </c>
      <c r="BA1150" s="2188">
        <f>BA1176</f>
        <v>0</v>
      </c>
      <c r="BB1150" s="2186">
        <f t="shared" si="2386"/>
        <v>0</v>
      </c>
      <c r="BC1150" s="2188">
        <f>BC1176</f>
        <v>0</v>
      </c>
      <c r="BD1150" s="2188">
        <f>BD1176</f>
        <v>0</v>
      </c>
      <c r="BE1150" s="2186">
        <f t="shared" si="2387"/>
        <v>0</v>
      </c>
      <c r="BF1150" s="2188">
        <f>BF1176</f>
        <v>0</v>
      </c>
      <c r="BG1150" s="2188">
        <f>BG1176</f>
        <v>0</v>
      </c>
      <c r="BH1150" s="2186">
        <f t="shared" si="2388"/>
        <v>0</v>
      </c>
      <c r="BI1150" s="2188">
        <f>BI1176</f>
        <v>0</v>
      </c>
      <c r="BJ1150" s="2188">
        <f>BJ1176</f>
        <v>0</v>
      </c>
      <c r="BK1150" s="2186">
        <f t="shared" si="2389"/>
        <v>0</v>
      </c>
      <c r="BL1150" s="2188">
        <f>BL1176</f>
        <v>0</v>
      </c>
      <c r="BM1150" s="2188">
        <f>BM1176</f>
        <v>0</v>
      </c>
      <c r="BN1150" s="2186">
        <f t="shared" si="2390"/>
        <v>0</v>
      </c>
      <c r="BO1150" s="2188">
        <f>BO1176</f>
        <v>0</v>
      </c>
      <c r="BP1150" s="2188">
        <f>BP1176</f>
        <v>0</v>
      </c>
      <c r="BQ1150" s="2186">
        <f t="shared" si="2391"/>
        <v>0</v>
      </c>
    </row>
    <row r="1151" spans="3:69" s="2087" customFormat="1" ht="12" hidden="1" customHeight="1">
      <c r="C1151" s="2473" t="s">
        <v>3312</v>
      </c>
      <c r="D1151" s="2334" t="s">
        <v>2872</v>
      </c>
      <c r="E1151" s="2250" t="s">
        <v>1833</v>
      </c>
      <c r="F1151" s="2176"/>
      <c r="G1151" s="2179">
        <f t="shared" ref="G1151:H1154" si="2411">G1162+G1177</f>
        <v>0</v>
      </c>
      <c r="H1151" s="2179">
        <f t="shared" si="2411"/>
        <v>0</v>
      </c>
      <c r="I1151" s="2178">
        <f t="shared" si="2372"/>
        <v>0</v>
      </c>
      <c r="J1151" s="2176"/>
      <c r="K1151" s="2179">
        <f t="shared" si="2331"/>
        <v>0</v>
      </c>
      <c r="L1151" s="2179">
        <f t="shared" si="2331"/>
        <v>0</v>
      </c>
      <c r="M1151" s="2178">
        <f t="shared" si="2373"/>
        <v>0</v>
      </c>
      <c r="N1151" s="2179">
        <f t="shared" ref="N1151:O1154" si="2412">N1162+N1177</f>
        <v>0</v>
      </c>
      <c r="O1151" s="2179">
        <f t="shared" si="2412"/>
        <v>0</v>
      </c>
      <c r="P1151" s="2178">
        <f t="shared" si="2374"/>
        <v>0</v>
      </c>
      <c r="Q1151" s="2184">
        <f t="shared" ref="Q1151:R1154" si="2413">Q1162+Q1177</f>
        <v>0</v>
      </c>
      <c r="R1151" s="2179">
        <f t="shared" si="2413"/>
        <v>0</v>
      </c>
      <c r="S1151" s="2178">
        <f t="shared" si="2375"/>
        <v>0</v>
      </c>
      <c r="T1151" s="2181">
        <f t="shared" si="2409"/>
        <v>0</v>
      </c>
      <c r="U1151" s="2179">
        <f t="shared" si="2409"/>
        <v>0</v>
      </c>
      <c r="V1151" s="2178">
        <f t="shared" si="2376"/>
        <v>0</v>
      </c>
      <c r="W1151" s="2184">
        <f t="shared" ref="W1151:X1154" si="2414">W1162+W1177</f>
        <v>0</v>
      </c>
      <c r="X1151" s="2179">
        <f t="shared" si="2414"/>
        <v>0</v>
      </c>
      <c r="Y1151" s="2178">
        <f t="shared" si="2377"/>
        <v>0</v>
      </c>
      <c r="Z1151" s="2181">
        <f t="shared" si="2410"/>
        <v>0</v>
      </c>
      <c r="AA1151" s="2179">
        <f t="shared" si="2410"/>
        <v>0</v>
      </c>
      <c r="AB1151" s="2178">
        <f t="shared" si="2378"/>
        <v>0</v>
      </c>
      <c r="AC1151" s="2184">
        <f t="shared" ref="AC1151:AD1154" si="2415">AC1162+AC1177</f>
        <v>0</v>
      </c>
      <c r="AD1151" s="2179">
        <f t="shared" si="2415"/>
        <v>0</v>
      </c>
      <c r="AE1151" s="2178">
        <f t="shared" si="2379"/>
        <v>0</v>
      </c>
      <c r="AF1151" s="2204"/>
      <c r="AG1151" s="2114"/>
      <c r="AH1151" s="2188">
        <f t="shared" ref="AH1151:AI1154" si="2416">AH1162+AH1177</f>
        <v>0</v>
      </c>
      <c r="AI1151" s="2188">
        <f t="shared" si="2416"/>
        <v>0</v>
      </c>
      <c r="AJ1151" s="2186">
        <f t="shared" si="2380"/>
        <v>0</v>
      </c>
      <c r="AK1151" s="2188">
        <f t="shared" ref="AK1151:AL1154" si="2417">AK1162+AK1177</f>
        <v>0</v>
      </c>
      <c r="AL1151" s="2188">
        <f t="shared" si="2417"/>
        <v>0</v>
      </c>
      <c r="AM1151" s="2186">
        <f t="shared" si="2381"/>
        <v>0</v>
      </c>
      <c r="AN1151" s="2188">
        <f t="shared" ref="AN1151:AO1154" si="2418">AN1162+AN1177</f>
        <v>0</v>
      </c>
      <c r="AO1151" s="2188">
        <f t="shared" si="2418"/>
        <v>0</v>
      </c>
      <c r="AP1151" s="2186">
        <f t="shared" si="2382"/>
        <v>0</v>
      </c>
      <c r="AQ1151" s="2188">
        <f t="shared" ref="AQ1151:AR1154" si="2419">AQ1162+AQ1177</f>
        <v>0</v>
      </c>
      <c r="AR1151" s="2188">
        <f t="shared" si="2419"/>
        <v>0</v>
      </c>
      <c r="AS1151" s="2186">
        <f t="shared" si="2383"/>
        <v>0</v>
      </c>
      <c r="AT1151" s="2188">
        <f t="shared" ref="AT1151:AU1154" si="2420">AT1162+AT1177</f>
        <v>0</v>
      </c>
      <c r="AU1151" s="2188">
        <f t="shared" si="2420"/>
        <v>0</v>
      </c>
      <c r="AV1151" s="2186">
        <f t="shared" si="2384"/>
        <v>0</v>
      </c>
      <c r="AW1151" s="2188">
        <f t="shared" ref="AW1151:AX1154" si="2421">AW1162+AW1177</f>
        <v>0</v>
      </c>
      <c r="AX1151" s="2188">
        <f t="shared" si="2421"/>
        <v>0</v>
      </c>
      <c r="AY1151" s="2186">
        <f t="shared" si="2385"/>
        <v>0</v>
      </c>
      <c r="AZ1151" s="2188">
        <f t="shared" ref="AZ1151:BA1154" si="2422">AZ1162+AZ1177</f>
        <v>0</v>
      </c>
      <c r="BA1151" s="2188">
        <f t="shared" si="2422"/>
        <v>0</v>
      </c>
      <c r="BB1151" s="2186">
        <f t="shared" si="2386"/>
        <v>0</v>
      </c>
      <c r="BC1151" s="2188">
        <f t="shared" ref="BC1151:BD1154" si="2423">BC1162+BC1177</f>
        <v>0</v>
      </c>
      <c r="BD1151" s="2188">
        <f t="shared" si="2423"/>
        <v>0</v>
      </c>
      <c r="BE1151" s="2186">
        <f t="shared" si="2387"/>
        <v>0</v>
      </c>
      <c r="BF1151" s="2188">
        <f t="shared" ref="BF1151:BG1154" si="2424">BF1162+BF1177</f>
        <v>0</v>
      </c>
      <c r="BG1151" s="2188">
        <f t="shared" si="2424"/>
        <v>0</v>
      </c>
      <c r="BH1151" s="2186">
        <f t="shared" si="2388"/>
        <v>0</v>
      </c>
      <c r="BI1151" s="2188">
        <f t="shared" ref="BI1151:BJ1154" si="2425">BI1162+BI1177</f>
        <v>0</v>
      </c>
      <c r="BJ1151" s="2188">
        <f t="shared" si="2425"/>
        <v>0</v>
      </c>
      <c r="BK1151" s="2186">
        <f t="shared" si="2389"/>
        <v>0</v>
      </c>
      <c r="BL1151" s="2188">
        <f t="shared" ref="BL1151:BM1154" si="2426">BL1162+BL1177</f>
        <v>0</v>
      </c>
      <c r="BM1151" s="2188">
        <f t="shared" si="2426"/>
        <v>0</v>
      </c>
      <c r="BN1151" s="2186">
        <f t="shared" si="2390"/>
        <v>0</v>
      </c>
      <c r="BO1151" s="2188">
        <f t="shared" ref="BO1151:BP1154" si="2427">BO1162+BO1177</f>
        <v>0</v>
      </c>
      <c r="BP1151" s="2188">
        <f t="shared" si="2427"/>
        <v>0</v>
      </c>
      <c r="BQ1151" s="2186">
        <f t="shared" si="2391"/>
        <v>0</v>
      </c>
    </row>
    <row r="1152" spans="3:69" s="2087" customFormat="1" ht="12" hidden="1" customHeight="1">
      <c r="C1152" s="2473" t="s">
        <v>3312</v>
      </c>
      <c r="D1152" s="2334" t="s">
        <v>2434</v>
      </c>
      <c r="E1152" s="2250" t="s">
        <v>1833</v>
      </c>
      <c r="F1152" s="2176"/>
      <c r="G1152" s="2179">
        <f t="shared" si="2411"/>
        <v>0</v>
      </c>
      <c r="H1152" s="2179">
        <f t="shared" si="2411"/>
        <v>0</v>
      </c>
      <c r="I1152" s="2178">
        <f t="shared" si="2372"/>
        <v>0</v>
      </c>
      <c r="J1152" s="2176"/>
      <c r="K1152" s="2179">
        <f>N1152+Q1152+W1152+AC1152</f>
        <v>0</v>
      </c>
      <c r="L1152" s="2179">
        <f>O1152+R1152+X1152+AD1152</f>
        <v>0</v>
      </c>
      <c r="M1152" s="2178">
        <f t="shared" si="2373"/>
        <v>0</v>
      </c>
      <c r="N1152" s="2179">
        <f t="shared" si="2412"/>
        <v>0</v>
      </c>
      <c r="O1152" s="2179">
        <f t="shared" si="2412"/>
        <v>0</v>
      </c>
      <c r="P1152" s="2178">
        <f t="shared" si="2374"/>
        <v>0</v>
      </c>
      <c r="Q1152" s="2179">
        <f t="shared" si="2413"/>
        <v>0</v>
      </c>
      <c r="R1152" s="2179">
        <f t="shared" si="2413"/>
        <v>0</v>
      </c>
      <c r="S1152" s="2178">
        <f t="shared" si="2375"/>
        <v>0</v>
      </c>
      <c r="T1152" s="2181">
        <f>N1152+Q1152</f>
        <v>0</v>
      </c>
      <c r="U1152" s="2179">
        <f>O1152+R1152</f>
        <v>0</v>
      </c>
      <c r="V1152" s="2178">
        <f t="shared" si="2376"/>
        <v>0</v>
      </c>
      <c r="W1152" s="2179">
        <f t="shared" si="2414"/>
        <v>0</v>
      </c>
      <c r="X1152" s="2179">
        <f t="shared" si="2414"/>
        <v>0</v>
      </c>
      <c r="Y1152" s="2178">
        <f t="shared" si="2377"/>
        <v>0</v>
      </c>
      <c r="Z1152" s="2181">
        <f>T1152+W1152</f>
        <v>0</v>
      </c>
      <c r="AA1152" s="2179">
        <f>U1152+X1152</f>
        <v>0</v>
      </c>
      <c r="AB1152" s="2178">
        <f t="shared" si="2378"/>
        <v>0</v>
      </c>
      <c r="AC1152" s="2179">
        <f t="shared" si="2415"/>
        <v>0</v>
      </c>
      <c r="AD1152" s="2179">
        <f t="shared" si="2415"/>
        <v>0</v>
      </c>
      <c r="AE1152" s="2178">
        <f t="shared" si="2379"/>
        <v>0</v>
      </c>
      <c r="AF1152" s="2204"/>
      <c r="AG1152" s="2114"/>
      <c r="AH1152" s="2188">
        <f t="shared" si="2416"/>
        <v>0</v>
      </c>
      <c r="AI1152" s="2188">
        <f t="shared" si="2416"/>
        <v>0</v>
      </c>
      <c r="AJ1152" s="2186">
        <f t="shared" si="2380"/>
        <v>0</v>
      </c>
      <c r="AK1152" s="2188">
        <f t="shared" si="2417"/>
        <v>0</v>
      </c>
      <c r="AL1152" s="2188">
        <f t="shared" si="2417"/>
        <v>0</v>
      </c>
      <c r="AM1152" s="2186">
        <f t="shared" si="2381"/>
        <v>0</v>
      </c>
      <c r="AN1152" s="2188">
        <f t="shared" si="2418"/>
        <v>0</v>
      </c>
      <c r="AO1152" s="2188">
        <f t="shared" si="2418"/>
        <v>0</v>
      </c>
      <c r="AP1152" s="2186">
        <f t="shared" si="2382"/>
        <v>0</v>
      </c>
      <c r="AQ1152" s="2188">
        <f t="shared" si="2419"/>
        <v>0</v>
      </c>
      <c r="AR1152" s="2188">
        <f t="shared" si="2419"/>
        <v>0</v>
      </c>
      <c r="AS1152" s="2186">
        <f t="shared" si="2383"/>
        <v>0</v>
      </c>
      <c r="AT1152" s="2188">
        <f t="shared" si="2420"/>
        <v>0</v>
      </c>
      <c r="AU1152" s="2188">
        <f t="shared" si="2420"/>
        <v>0</v>
      </c>
      <c r="AV1152" s="2186">
        <f t="shared" si="2384"/>
        <v>0</v>
      </c>
      <c r="AW1152" s="2188">
        <f t="shared" si="2421"/>
        <v>0</v>
      </c>
      <c r="AX1152" s="2188">
        <f t="shared" si="2421"/>
        <v>0</v>
      </c>
      <c r="AY1152" s="2186">
        <f t="shared" si="2385"/>
        <v>0</v>
      </c>
      <c r="AZ1152" s="2188">
        <f t="shared" si="2422"/>
        <v>0</v>
      </c>
      <c r="BA1152" s="2188">
        <f t="shared" si="2422"/>
        <v>0</v>
      </c>
      <c r="BB1152" s="2186">
        <f t="shared" si="2386"/>
        <v>0</v>
      </c>
      <c r="BC1152" s="2188">
        <f t="shared" si="2423"/>
        <v>0</v>
      </c>
      <c r="BD1152" s="2188">
        <f t="shared" si="2423"/>
        <v>0</v>
      </c>
      <c r="BE1152" s="2186">
        <f t="shared" si="2387"/>
        <v>0</v>
      </c>
      <c r="BF1152" s="2188">
        <f t="shared" si="2424"/>
        <v>0</v>
      </c>
      <c r="BG1152" s="2188">
        <f t="shared" si="2424"/>
        <v>0</v>
      </c>
      <c r="BH1152" s="2186">
        <f t="shared" si="2388"/>
        <v>0</v>
      </c>
      <c r="BI1152" s="2188">
        <f t="shared" si="2425"/>
        <v>0</v>
      </c>
      <c r="BJ1152" s="2188">
        <f t="shared" si="2425"/>
        <v>0</v>
      </c>
      <c r="BK1152" s="2186">
        <f t="shared" si="2389"/>
        <v>0</v>
      </c>
      <c r="BL1152" s="2188">
        <f t="shared" si="2426"/>
        <v>0</v>
      </c>
      <c r="BM1152" s="2188">
        <f t="shared" si="2426"/>
        <v>0</v>
      </c>
      <c r="BN1152" s="2186">
        <f t="shared" si="2390"/>
        <v>0</v>
      </c>
      <c r="BO1152" s="2188">
        <f t="shared" si="2427"/>
        <v>0</v>
      </c>
      <c r="BP1152" s="2188">
        <f t="shared" si="2427"/>
        <v>0</v>
      </c>
      <c r="BQ1152" s="2186">
        <f t="shared" si="2391"/>
        <v>0</v>
      </c>
    </row>
    <row r="1153" spans="3:69" s="2087" customFormat="1" ht="12" hidden="1" customHeight="1">
      <c r="C1153" s="2473" t="s">
        <v>3313</v>
      </c>
      <c r="D1153" s="2334" t="s">
        <v>42</v>
      </c>
      <c r="E1153" s="2250" t="s">
        <v>1833</v>
      </c>
      <c r="F1153" s="2176"/>
      <c r="G1153" s="2179">
        <f t="shared" si="2411"/>
        <v>0</v>
      </c>
      <c r="H1153" s="2179">
        <f t="shared" si="2411"/>
        <v>0</v>
      </c>
      <c r="I1153" s="2178">
        <f t="shared" si="2372"/>
        <v>0</v>
      </c>
      <c r="J1153" s="2176"/>
      <c r="K1153" s="2179">
        <f t="shared" si="2331"/>
        <v>0</v>
      </c>
      <c r="L1153" s="2179">
        <f t="shared" si="2331"/>
        <v>0</v>
      </c>
      <c r="M1153" s="2178">
        <f t="shared" si="2373"/>
        <v>0</v>
      </c>
      <c r="N1153" s="2179">
        <f t="shared" si="2412"/>
        <v>0</v>
      </c>
      <c r="O1153" s="2179">
        <f t="shared" si="2412"/>
        <v>0</v>
      </c>
      <c r="P1153" s="2178">
        <f t="shared" si="2374"/>
        <v>0</v>
      </c>
      <c r="Q1153" s="2184">
        <f t="shared" si="2413"/>
        <v>0</v>
      </c>
      <c r="R1153" s="2179">
        <f t="shared" si="2413"/>
        <v>0</v>
      </c>
      <c r="S1153" s="2178">
        <f t="shared" si="2375"/>
        <v>0</v>
      </c>
      <c r="T1153" s="2181">
        <f t="shared" si="2409"/>
        <v>0</v>
      </c>
      <c r="U1153" s="2179">
        <f t="shared" si="2409"/>
        <v>0</v>
      </c>
      <c r="V1153" s="2178">
        <f t="shared" si="2376"/>
        <v>0</v>
      </c>
      <c r="W1153" s="2184">
        <f t="shared" si="2414"/>
        <v>0</v>
      </c>
      <c r="X1153" s="2179">
        <f t="shared" si="2414"/>
        <v>0</v>
      </c>
      <c r="Y1153" s="2178">
        <f t="shared" si="2377"/>
        <v>0</v>
      </c>
      <c r="Z1153" s="2181">
        <f t="shared" si="2410"/>
        <v>0</v>
      </c>
      <c r="AA1153" s="2179">
        <f t="shared" si="2410"/>
        <v>0</v>
      </c>
      <c r="AB1153" s="2178">
        <f t="shared" si="2378"/>
        <v>0</v>
      </c>
      <c r="AC1153" s="2184">
        <f t="shared" si="2415"/>
        <v>0</v>
      </c>
      <c r="AD1153" s="2179">
        <f t="shared" si="2415"/>
        <v>0</v>
      </c>
      <c r="AE1153" s="2178">
        <f t="shared" si="2379"/>
        <v>0</v>
      </c>
      <c r="AF1153" s="2204"/>
      <c r="AG1153" s="2114"/>
      <c r="AH1153" s="2188">
        <f t="shared" si="2416"/>
        <v>0</v>
      </c>
      <c r="AI1153" s="2188">
        <f t="shared" si="2416"/>
        <v>0</v>
      </c>
      <c r="AJ1153" s="2186">
        <f t="shared" si="2380"/>
        <v>0</v>
      </c>
      <c r="AK1153" s="2188">
        <f t="shared" si="2417"/>
        <v>0</v>
      </c>
      <c r="AL1153" s="2188">
        <f t="shared" si="2417"/>
        <v>0</v>
      </c>
      <c r="AM1153" s="2186">
        <f t="shared" si="2381"/>
        <v>0</v>
      </c>
      <c r="AN1153" s="2188">
        <f t="shared" si="2418"/>
        <v>0</v>
      </c>
      <c r="AO1153" s="2188">
        <f t="shared" si="2418"/>
        <v>0</v>
      </c>
      <c r="AP1153" s="2186">
        <f t="shared" si="2382"/>
        <v>0</v>
      </c>
      <c r="AQ1153" s="2188">
        <f t="shared" si="2419"/>
        <v>0</v>
      </c>
      <c r="AR1153" s="2188">
        <f t="shared" si="2419"/>
        <v>0</v>
      </c>
      <c r="AS1153" s="2186">
        <f t="shared" si="2383"/>
        <v>0</v>
      </c>
      <c r="AT1153" s="2188">
        <f t="shared" si="2420"/>
        <v>0</v>
      </c>
      <c r="AU1153" s="2188">
        <f t="shared" si="2420"/>
        <v>0</v>
      </c>
      <c r="AV1153" s="2186">
        <f t="shared" si="2384"/>
        <v>0</v>
      </c>
      <c r="AW1153" s="2188">
        <f t="shared" si="2421"/>
        <v>0</v>
      </c>
      <c r="AX1153" s="2188">
        <f t="shared" si="2421"/>
        <v>0</v>
      </c>
      <c r="AY1153" s="2186">
        <f t="shared" si="2385"/>
        <v>0</v>
      </c>
      <c r="AZ1153" s="2188">
        <f t="shared" si="2422"/>
        <v>0</v>
      </c>
      <c r="BA1153" s="2188">
        <f t="shared" si="2422"/>
        <v>0</v>
      </c>
      <c r="BB1153" s="2186">
        <f t="shared" si="2386"/>
        <v>0</v>
      </c>
      <c r="BC1153" s="2188">
        <f t="shared" si="2423"/>
        <v>0</v>
      </c>
      <c r="BD1153" s="2188">
        <f t="shared" si="2423"/>
        <v>0</v>
      </c>
      <c r="BE1153" s="2186">
        <f t="shared" si="2387"/>
        <v>0</v>
      </c>
      <c r="BF1153" s="2188">
        <f t="shared" si="2424"/>
        <v>0</v>
      </c>
      <c r="BG1153" s="2188">
        <f t="shared" si="2424"/>
        <v>0</v>
      </c>
      <c r="BH1153" s="2186">
        <f t="shared" si="2388"/>
        <v>0</v>
      </c>
      <c r="BI1153" s="2188">
        <f t="shared" si="2425"/>
        <v>0</v>
      </c>
      <c r="BJ1153" s="2188">
        <f t="shared" si="2425"/>
        <v>0</v>
      </c>
      <c r="BK1153" s="2186">
        <f t="shared" si="2389"/>
        <v>0</v>
      </c>
      <c r="BL1153" s="2188">
        <f t="shared" si="2426"/>
        <v>0</v>
      </c>
      <c r="BM1153" s="2188">
        <f t="shared" si="2426"/>
        <v>0</v>
      </c>
      <c r="BN1153" s="2186">
        <f t="shared" si="2390"/>
        <v>0</v>
      </c>
      <c r="BO1153" s="2188">
        <f t="shared" si="2427"/>
        <v>0</v>
      </c>
      <c r="BP1153" s="2188">
        <f t="shared" si="2427"/>
        <v>0</v>
      </c>
      <c r="BQ1153" s="2186">
        <f t="shared" si="2391"/>
        <v>0</v>
      </c>
    </row>
    <row r="1154" spans="3:69" s="2087" customFormat="1" ht="12" hidden="1" customHeight="1">
      <c r="C1154" s="2473" t="s">
        <v>3313</v>
      </c>
      <c r="D1154" s="2334" t="s">
        <v>2434</v>
      </c>
      <c r="E1154" s="2250" t="s">
        <v>1833</v>
      </c>
      <c r="F1154" s="2176"/>
      <c r="G1154" s="2179">
        <f t="shared" si="2411"/>
        <v>0</v>
      </c>
      <c r="H1154" s="2179">
        <f t="shared" si="2411"/>
        <v>0</v>
      </c>
      <c r="I1154" s="2178">
        <f t="shared" si="2372"/>
        <v>0</v>
      </c>
      <c r="J1154" s="2176"/>
      <c r="K1154" s="2179">
        <f>N1154+Q1154+W1154+AC1154</f>
        <v>0</v>
      </c>
      <c r="L1154" s="2179">
        <f>O1154+R1154+X1154+AD1154</f>
        <v>0</v>
      </c>
      <c r="M1154" s="2178">
        <f t="shared" si="2373"/>
        <v>0</v>
      </c>
      <c r="N1154" s="2179">
        <f t="shared" si="2412"/>
        <v>0</v>
      </c>
      <c r="O1154" s="2179">
        <f t="shared" si="2412"/>
        <v>0</v>
      </c>
      <c r="P1154" s="2178">
        <f t="shared" si="2374"/>
        <v>0</v>
      </c>
      <c r="Q1154" s="2179">
        <f t="shared" si="2413"/>
        <v>0</v>
      </c>
      <c r="R1154" s="2179">
        <f t="shared" si="2413"/>
        <v>0</v>
      </c>
      <c r="S1154" s="2178">
        <f t="shared" si="2375"/>
        <v>0</v>
      </c>
      <c r="T1154" s="2181">
        <f>N1154+Q1154</f>
        <v>0</v>
      </c>
      <c r="U1154" s="2179">
        <f>O1154+R1154</f>
        <v>0</v>
      </c>
      <c r="V1154" s="2178">
        <f t="shared" si="2376"/>
        <v>0</v>
      </c>
      <c r="W1154" s="2179">
        <f t="shared" si="2414"/>
        <v>0</v>
      </c>
      <c r="X1154" s="2179">
        <f t="shared" si="2414"/>
        <v>0</v>
      </c>
      <c r="Y1154" s="2178">
        <f t="shared" si="2377"/>
        <v>0</v>
      </c>
      <c r="Z1154" s="2181">
        <f>T1154+W1154</f>
        <v>0</v>
      </c>
      <c r="AA1154" s="2179">
        <f>U1154+X1154</f>
        <v>0</v>
      </c>
      <c r="AB1154" s="2178">
        <f t="shared" si="2378"/>
        <v>0</v>
      </c>
      <c r="AC1154" s="2179">
        <f t="shared" si="2415"/>
        <v>0</v>
      </c>
      <c r="AD1154" s="2179">
        <f t="shared" si="2415"/>
        <v>0</v>
      </c>
      <c r="AE1154" s="2178">
        <f t="shared" si="2379"/>
        <v>0</v>
      </c>
      <c r="AF1154" s="2204"/>
      <c r="AG1154" s="2114"/>
      <c r="AH1154" s="2188">
        <f t="shared" si="2416"/>
        <v>0</v>
      </c>
      <c r="AI1154" s="2188">
        <f t="shared" si="2416"/>
        <v>0</v>
      </c>
      <c r="AJ1154" s="2186">
        <f t="shared" si="2380"/>
        <v>0</v>
      </c>
      <c r="AK1154" s="2188">
        <f t="shared" si="2417"/>
        <v>0</v>
      </c>
      <c r="AL1154" s="2188">
        <f t="shared" si="2417"/>
        <v>0</v>
      </c>
      <c r="AM1154" s="2186">
        <f t="shared" si="2381"/>
        <v>0</v>
      </c>
      <c r="AN1154" s="2188">
        <f t="shared" si="2418"/>
        <v>0</v>
      </c>
      <c r="AO1154" s="2188">
        <f t="shared" si="2418"/>
        <v>0</v>
      </c>
      <c r="AP1154" s="2186">
        <f t="shared" si="2382"/>
        <v>0</v>
      </c>
      <c r="AQ1154" s="2188">
        <f t="shared" si="2419"/>
        <v>0</v>
      </c>
      <c r="AR1154" s="2188">
        <f t="shared" si="2419"/>
        <v>0</v>
      </c>
      <c r="AS1154" s="2186">
        <f t="shared" si="2383"/>
        <v>0</v>
      </c>
      <c r="AT1154" s="2188">
        <f t="shared" si="2420"/>
        <v>0</v>
      </c>
      <c r="AU1154" s="2188">
        <f t="shared" si="2420"/>
        <v>0</v>
      </c>
      <c r="AV1154" s="2186">
        <f t="shared" si="2384"/>
        <v>0</v>
      </c>
      <c r="AW1154" s="2188">
        <f t="shared" si="2421"/>
        <v>0</v>
      </c>
      <c r="AX1154" s="2188">
        <f t="shared" si="2421"/>
        <v>0</v>
      </c>
      <c r="AY1154" s="2186">
        <f t="shared" si="2385"/>
        <v>0</v>
      </c>
      <c r="AZ1154" s="2188">
        <f t="shared" si="2422"/>
        <v>0</v>
      </c>
      <c r="BA1154" s="2188">
        <f t="shared" si="2422"/>
        <v>0</v>
      </c>
      <c r="BB1154" s="2186">
        <f t="shared" si="2386"/>
        <v>0</v>
      </c>
      <c r="BC1154" s="2188">
        <f t="shared" si="2423"/>
        <v>0</v>
      </c>
      <c r="BD1154" s="2188">
        <f t="shared" si="2423"/>
        <v>0</v>
      </c>
      <c r="BE1154" s="2186">
        <f t="shared" si="2387"/>
        <v>0</v>
      </c>
      <c r="BF1154" s="2188">
        <f t="shared" si="2424"/>
        <v>0</v>
      </c>
      <c r="BG1154" s="2188">
        <f t="shared" si="2424"/>
        <v>0</v>
      </c>
      <c r="BH1154" s="2186">
        <f t="shared" si="2388"/>
        <v>0</v>
      </c>
      <c r="BI1154" s="2188">
        <f t="shared" si="2425"/>
        <v>0</v>
      </c>
      <c r="BJ1154" s="2188">
        <f t="shared" si="2425"/>
        <v>0</v>
      </c>
      <c r="BK1154" s="2186">
        <f t="shared" si="2389"/>
        <v>0</v>
      </c>
      <c r="BL1154" s="2188">
        <f t="shared" si="2426"/>
        <v>0</v>
      </c>
      <c r="BM1154" s="2188">
        <f t="shared" si="2426"/>
        <v>0</v>
      </c>
      <c r="BN1154" s="2186">
        <f t="shared" si="2390"/>
        <v>0</v>
      </c>
      <c r="BO1154" s="2188">
        <f t="shared" si="2427"/>
        <v>0</v>
      </c>
      <c r="BP1154" s="2188">
        <f t="shared" si="2427"/>
        <v>0</v>
      </c>
      <c r="BQ1154" s="2186">
        <f t="shared" si="2391"/>
        <v>0</v>
      </c>
    </row>
    <row r="1155" spans="3:69" s="2159" customFormat="1" ht="12" hidden="1" customHeight="1">
      <c r="C1155" s="2474" t="s">
        <v>3314</v>
      </c>
      <c r="D1155" s="2475" t="s">
        <v>3159</v>
      </c>
      <c r="E1155" s="2120" t="s">
        <v>1833</v>
      </c>
      <c r="F1155" s="2162"/>
      <c r="G1155" s="2163">
        <f>G1156+G1161</f>
        <v>0</v>
      </c>
      <c r="H1155" s="2163">
        <f>H1156+H1161</f>
        <v>0</v>
      </c>
      <c r="I1155" s="2164">
        <f t="shared" si="2372"/>
        <v>0</v>
      </c>
      <c r="J1155" s="2162"/>
      <c r="K1155" s="2163">
        <f>N1155+Q1155+W1155+AC1155</f>
        <v>0</v>
      </c>
      <c r="L1155" s="2163">
        <f t="shared" si="2331"/>
        <v>0</v>
      </c>
      <c r="M1155" s="2164">
        <f t="shared" si="2373"/>
        <v>0</v>
      </c>
      <c r="N1155" s="2163">
        <f>N1156+N1161</f>
        <v>0</v>
      </c>
      <c r="O1155" s="2163">
        <f>O1156+O1161</f>
        <v>0</v>
      </c>
      <c r="P1155" s="2164">
        <f t="shared" si="2374"/>
        <v>0</v>
      </c>
      <c r="Q1155" s="2165">
        <f>Q1156+Q1161</f>
        <v>0</v>
      </c>
      <c r="R1155" s="2163">
        <f>R1156+R1161</f>
        <v>0</v>
      </c>
      <c r="S1155" s="2164">
        <f t="shared" si="2375"/>
        <v>0</v>
      </c>
      <c r="T1155" s="2167">
        <f>N1155+Q1155</f>
        <v>0</v>
      </c>
      <c r="U1155" s="2163">
        <f>O1155+R1155</f>
        <v>0</v>
      </c>
      <c r="V1155" s="2164">
        <f t="shared" si="2376"/>
        <v>0</v>
      </c>
      <c r="W1155" s="2165">
        <f>W1156+W1161</f>
        <v>0</v>
      </c>
      <c r="X1155" s="2163">
        <f>X1156+X1161</f>
        <v>0</v>
      </c>
      <c r="Y1155" s="2164">
        <f t="shared" si="2377"/>
        <v>0</v>
      </c>
      <c r="Z1155" s="2167">
        <f>T1155+W1155</f>
        <v>0</v>
      </c>
      <c r="AA1155" s="2163">
        <f>U1155+X1155</f>
        <v>0</v>
      </c>
      <c r="AB1155" s="2164">
        <f t="shared" si="2378"/>
        <v>0</v>
      </c>
      <c r="AC1155" s="2165">
        <f>AC1156+AC1161</f>
        <v>0</v>
      </c>
      <c r="AD1155" s="2163">
        <f>AD1156+AD1161</f>
        <v>0</v>
      </c>
      <c r="AE1155" s="2164">
        <f t="shared" si="2379"/>
        <v>0</v>
      </c>
      <c r="AF1155" s="2204"/>
      <c r="AG1155" s="2158"/>
      <c r="AH1155" s="2171">
        <f>AH1156+AH1161</f>
        <v>0</v>
      </c>
      <c r="AI1155" s="2171">
        <f>AI1156+AI1161</f>
        <v>0</v>
      </c>
      <c r="AJ1155" s="2172">
        <f t="shared" si="2380"/>
        <v>0</v>
      </c>
      <c r="AK1155" s="2171">
        <f>AK1156+AK1161</f>
        <v>0</v>
      </c>
      <c r="AL1155" s="2171">
        <f>AL1156+AL1161</f>
        <v>0</v>
      </c>
      <c r="AM1155" s="2172">
        <f t="shared" si="2381"/>
        <v>0</v>
      </c>
      <c r="AN1155" s="2171">
        <f>AN1156+AN1161</f>
        <v>0</v>
      </c>
      <c r="AO1155" s="2171">
        <f>AO1156+AO1161</f>
        <v>0</v>
      </c>
      <c r="AP1155" s="2172">
        <f t="shared" si="2382"/>
        <v>0</v>
      </c>
      <c r="AQ1155" s="2171">
        <f>AQ1156+AQ1161</f>
        <v>0</v>
      </c>
      <c r="AR1155" s="2171">
        <f>AR1156+AR1161</f>
        <v>0</v>
      </c>
      <c r="AS1155" s="2172">
        <f t="shared" si="2383"/>
        <v>0</v>
      </c>
      <c r="AT1155" s="2171">
        <f>AT1156+AT1161</f>
        <v>0</v>
      </c>
      <c r="AU1155" s="2171">
        <f>AU1156+AU1161</f>
        <v>0</v>
      </c>
      <c r="AV1155" s="2172">
        <f t="shared" si="2384"/>
        <v>0</v>
      </c>
      <c r="AW1155" s="2171">
        <f>AW1156+AW1161</f>
        <v>0</v>
      </c>
      <c r="AX1155" s="2171">
        <f>AX1156+AX1161</f>
        <v>0</v>
      </c>
      <c r="AY1155" s="2172">
        <f t="shared" si="2385"/>
        <v>0</v>
      </c>
      <c r="AZ1155" s="2171">
        <f>AZ1156+AZ1161</f>
        <v>0</v>
      </c>
      <c r="BA1155" s="2171">
        <f>BA1156+BA1161</f>
        <v>0</v>
      </c>
      <c r="BB1155" s="2172">
        <f t="shared" si="2386"/>
        <v>0</v>
      </c>
      <c r="BC1155" s="2171">
        <f>BC1156+BC1161</f>
        <v>0</v>
      </c>
      <c r="BD1155" s="2171">
        <f>BD1156+BD1161</f>
        <v>0</v>
      </c>
      <c r="BE1155" s="2172">
        <f t="shared" si="2387"/>
        <v>0</v>
      </c>
      <c r="BF1155" s="2171">
        <f>BF1156+BF1161</f>
        <v>0</v>
      </c>
      <c r="BG1155" s="2171">
        <f>BG1156+BG1161</f>
        <v>0</v>
      </c>
      <c r="BH1155" s="2172">
        <f t="shared" si="2388"/>
        <v>0</v>
      </c>
      <c r="BI1155" s="2171">
        <f>BI1156+BI1161</f>
        <v>0</v>
      </c>
      <c r="BJ1155" s="2171">
        <f>BJ1156+BJ1161</f>
        <v>0</v>
      </c>
      <c r="BK1155" s="2172">
        <f t="shared" si="2389"/>
        <v>0</v>
      </c>
      <c r="BL1155" s="2171">
        <f>BL1156+BL1161</f>
        <v>0</v>
      </c>
      <c r="BM1155" s="2171">
        <f>BM1156+BM1161</f>
        <v>0</v>
      </c>
      <c r="BN1155" s="2172">
        <f t="shared" si="2390"/>
        <v>0</v>
      </c>
      <c r="BO1155" s="2171">
        <f>BO1156+BO1161</f>
        <v>0</v>
      </c>
      <c r="BP1155" s="2171">
        <f>BP1156+BP1161</f>
        <v>0</v>
      </c>
      <c r="BQ1155" s="2172">
        <f t="shared" si="2391"/>
        <v>0</v>
      </c>
    </row>
    <row r="1156" spans="3:69" s="2087" customFormat="1" ht="12" hidden="1" customHeight="1">
      <c r="C1156" s="2423" t="s">
        <v>3315</v>
      </c>
      <c r="D1156" s="2421" t="s">
        <v>3187</v>
      </c>
      <c r="E1156" s="2250" t="s">
        <v>1833</v>
      </c>
      <c r="F1156" s="2176"/>
      <c r="G1156" s="2179">
        <f>G1157+G1159</f>
        <v>0</v>
      </c>
      <c r="H1156" s="2179">
        <f>H1157+H1159</f>
        <v>0</v>
      </c>
      <c r="I1156" s="2178">
        <f t="shared" si="2372"/>
        <v>0</v>
      </c>
      <c r="J1156" s="2176"/>
      <c r="K1156" s="2179">
        <f t="shared" si="2331"/>
        <v>0</v>
      </c>
      <c r="L1156" s="2179">
        <f t="shared" si="2331"/>
        <v>0</v>
      </c>
      <c r="M1156" s="2178">
        <f t="shared" si="2373"/>
        <v>0</v>
      </c>
      <c r="N1156" s="2179">
        <f>N1157+N1159</f>
        <v>0</v>
      </c>
      <c r="O1156" s="2179">
        <f>O1157+O1159</f>
        <v>0</v>
      </c>
      <c r="P1156" s="2178">
        <f t="shared" si="2374"/>
        <v>0</v>
      </c>
      <c r="Q1156" s="2179">
        <f>Q1157+Q1159</f>
        <v>0</v>
      </c>
      <c r="R1156" s="2179">
        <f>R1157+R1159</f>
        <v>0</v>
      </c>
      <c r="S1156" s="2178">
        <f t="shared" si="2375"/>
        <v>0</v>
      </c>
      <c r="T1156" s="2181">
        <f t="shared" ref="T1156:U1164" si="2428">N1156+Q1156</f>
        <v>0</v>
      </c>
      <c r="U1156" s="2179">
        <f t="shared" si="2428"/>
        <v>0</v>
      </c>
      <c r="V1156" s="2178">
        <f t="shared" si="2376"/>
        <v>0</v>
      </c>
      <c r="W1156" s="2179">
        <f>W1157+W1159</f>
        <v>0</v>
      </c>
      <c r="X1156" s="2179">
        <f>X1157+X1159</f>
        <v>0</v>
      </c>
      <c r="Y1156" s="2178">
        <f t="shared" si="2377"/>
        <v>0</v>
      </c>
      <c r="Z1156" s="2181">
        <f t="shared" ref="Z1156:AA1164" si="2429">T1156+W1156</f>
        <v>0</v>
      </c>
      <c r="AA1156" s="2179">
        <f t="shared" si="2429"/>
        <v>0</v>
      </c>
      <c r="AB1156" s="2178">
        <f t="shared" si="2378"/>
        <v>0</v>
      </c>
      <c r="AC1156" s="2179">
        <f>AC1157+AC1159</f>
        <v>0</v>
      </c>
      <c r="AD1156" s="2179">
        <f>AD1157+AD1159</f>
        <v>0</v>
      </c>
      <c r="AE1156" s="2178">
        <f t="shared" si="2379"/>
        <v>0</v>
      </c>
      <c r="AF1156" s="2204"/>
      <c r="AG1156" s="2114"/>
      <c r="AH1156" s="2188">
        <f>AH1157+AH1159</f>
        <v>0</v>
      </c>
      <c r="AI1156" s="2188">
        <f>AI1157+AI1159</f>
        <v>0</v>
      </c>
      <c r="AJ1156" s="2186">
        <f t="shared" si="2380"/>
        <v>0</v>
      </c>
      <c r="AK1156" s="2188">
        <f>AK1157+AK1159</f>
        <v>0</v>
      </c>
      <c r="AL1156" s="2188">
        <f>AL1157+AL1159</f>
        <v>0</v>
      </c>
      <c r="AM1156" s="2186">
        <f t="shared" si="2381"/>
        <v>0</v>
      </c>
      <c r="AN1156" s="2188">
        <f>AN1157+AN1159</f>
        <v>0</v>
      </c>
      <c r="AO1156" s="2188">
        <f>AO1157+AO1159</f>
        <v>0</v>
      </c>
      <c r="AP1156" s="2186">
        <f t="shared" si="2382"/>
        <v>0</v>
      </c>
      <c r="AQ1156" s="2188">
        <f>AQ1157+AQ1159</f>
        <v>0</v>
      </c>
      <c r="AR1156" s="2188">
        <f>AR1157+AR1159</f>
        <v>0</v>
      </c>
      <c r="AS1156" s="2186">
        <f t="shared" si="2383"/>
        <v>0</v>
      </c>
      <c r="AT1156" s="2188">
        <f>AT1157+AT1159</f>
        <v>0</v>
      </c>
      <c r="AU1156" s="2188">
        <f>AU1157+AU1159</f>
        <v>0</v>
      </c>
      <c r="AV1156" s="2186">
        <f t="shared" si="2384"/>
        <v>0</v>
      </c>
      <c r="AW1156" s="2188">
        <f>AW1157+AW1159</f>
        <v>0</v>
      </c>
      <c r="AX1156" s="2188">
        <f>AX1157+AX1159</f>
        <v>0</v>
      </c>
      <c r="AY1156" s="2186">
        <f t="shared" si="2385"/>
        <v>0</v>
      </c>
      <c r="AZ1156" s="2188">
        <f>AZ1157+AZ1159</f>
        <v>0</v>
      </c>
      <c r="BA1156" s="2188">
        <f>BA1157+BA1159</f>
        <v>0</v>
      </c>
      <c r="BB1156" s="2186">
        <f t="shared" si="2386"/>
        <v>0</v>
      </c>
      <c r="BC1156" s="2188">
        <f>BC1157+BC1159</f>
        <v>0</v>
      </c>
      <c r="BD1156" s="2188">
        <f>BD1157+BD1159</f>
        <v>0</v>
      </c>
      <c r="BE1156" s="2186">
        <f t="shared" si="2387"/>
        <v>0</v>
      </c>
      <c r="BF1156" s="2188">
        <f>BF1157+BF1159</f>
        <v>0</v>
      </c>
      <c r="BG1156" s="2188">
        <f>BG1157+BG1159</f>
        <v>0</v>
      </c>
      <c r="BH1156" s="2186">
        <f t="shared" si="2388"/>
        <v>0</v>
      </c>
      <c r="BI1156" s="2188">
        <f>BI1157+BI1159</f>
        <v>0</v>
      </c>
      <c r="BJ1156" s="2188">
        <f>BJ1157+BJ1159</f>
        <v>0</v>
      </c>
      <c r="BK1156" s="2186">
        <f t="shared" si="2389"/>
        <v>0</v>
      </c>
      <c r="BL1156" s="2188">
        <f>BL1157+BL1159</f>
        <v>0</v>
      </c>
      <c r="BM1156" s="2188">
        <f>BM1157+BM1159</f>
        <v>0</v>
      </c>
      <c r="BN1156" s="2186">
        <f t="shared" si="2390"/>
        <v>0</v>
      </c>
      <c r="BO1156" s="2188">
        <f>BO1157+BO1159</f>
        <v>0</v>
      </c>
      <c r="BP1156" s="2188">
        <f>BP1157+BP1159</f>
        <v>0</v>
      </c>
      <c r="BQ1156" s="2186">
        <f t="shared" si="2391"/>
        <v>0</v>
      </c>
    </row>
    <row r="1157" spans="3:69" s="2087" customFormat="1" ht="12" hidden="1" customHeight="1">
      <c r="C1157" s="2473" t="s">
        <v>3316</v>
      </c>
      <c r="D1157" s="2334" t="s">
        <v>2872</v>
      </c>
      <c r="E1157" s="2250" t="s">
        <v>1833</v>
      </c>
      <c r="F1157" s="2176"/>
      <c r="G1157" s="2177"/>
      <c r="H1157" s="2177"/>
      <c r="I1157" s="2178">
        <f t="shared" si="2372"/>
        <v>0</v>
      </c>
      <c r="J1157" s="2176"/>
      <c r="K1157" s="2179">
        <f t="shared" si="2331"/>
        <v>0</v>
      </c>
      <c r="L1157" s="2179">
        <f t="shared" si="2331"/>
        <v>0</v>
      </c>
      <c r="M1157" s="2178">
        <f t="shared" si="2373"/>
        <v>0</v>
      </c>
      <c r="N1157" s="2177"/>
      <c r="O1157" s="2177"/>
      <c r="P1157" s="2178">
        <f t="shared" si="2374"/>
        <v>0</v>
      </c>
      <c r="Q1157" s="2176"/>
      <c r="R1157" s="2177"/>
      <c r="S1157" s="2178">
        <f t="shared" si="2375"/>
        <v>0</v>
      </c>
      <c r="T1157" s="2181">
        <f t="shared" si="2428"/>
        <v>0</v>
      </c>
      <c r="U1157" s="2179">
        <f t="shared" si="2428"/>
        <v>0</v>
      </c>
      <c r="V1157" s="2178">
        <f t="shared" si="2376"/>
        <v>0</v>
      </c>
      <c r="W1157" s="2176"/>
      <c r="X1157" s="2177"/>
      <c r="Y1157" s="2178">
        <f t="shared" si="2377"/>
        <v>0</v>
      </c>
      <c r="Z1157" s="2181">
        <f t="shared" si="2429"/>
        <v>0</v>
      </c>
      <c r="AA1157" s="2179">
        <f t="shared" si="2429"/>
        <v>0</v>
      </c>
      <c r="AB1157" s="2178">
        <f t="shared" si="2378"/>
        <v>0</v>
      </c>
      <c r="AC1157" s="2176"/>
      <c r="AD1157" s="2177"/>
      <c r="AE1157" s="2178">
        <f t="shared" si="2379"/>
        <v>0</v>
      </c>
      <c r="AF1157" s="2204"/>
      <c r="AG1157" s="2114"/>
      <c r="AH1157" s="2177"/>
      <c r="AI1157" s="2177"/>
      <c r="AJ1157" s="2186">
        <f t="shared" si="2380"/>
        <v>0</v>
      </c>
      <c r="AK1157" s="2177"/>
      <c r="AL1157" s="2177"/>
      <c r="AM1157" s="2186">
        <f t="shared" si="2381"/>
        <v>0</v>
      </c>
      <c r="AN1157" s="2177"/>
      <c r="AO1157" s="2177"/>
      <c r="AP1157" s="2186">
        <f t="shared" si="2382"/>
        <v>0</v>
      </c>
      <c r="AQ1157" s="2177"/>
      <c r="AR1157" s="2177"/>
      <c r="AS1157" s="2186">
        <f t="shared" si="2383"/>
        <v>0</v>
      </c>
      <c r="AT1157" s="2177"/>
      <c r="AU1157" s="2177"/>
      <c r="AV1157" s="2186">
        <f t="shared" si="2384"/>
        <v>0</v>
      </c>
      <c r="AW1157" s="2177"/>
      <c r="AX1157" s="2177"/>
      <c r="AY1157" s="2186">
        <f t="shared" si="2385"/>
        <v>0</v>
      </c>
      <c r="AZ1157" s="2177"/>
      <c r="BA1157" s="2177"/>
      <c r="BB1157" s="2186">
        <f t="shared" si="2386"/>
        <v>0</v>
      </c>
      <c r="BC1157" s="2177"/>
      <c r="BD1157" s="2177"/>
      <c r="BE1157" s="2186">
        <f t="shared" si="2387"/>
        <v>0</v>
      </c>
      <c r="BF1157" s="2177"/>
      <c r="BG1157" s="2177"/>
      <c r="BH1157" s="2186">
        <f t="shared" si="2388"/>
        <v>0</v>
      </c>
      <c r="BI1157" s="2177"/>
      <c r="BJ1157" s="2177"/>
      <c r="BK1157" s="2186">
        <f t="shared" si="2389"/>
        <v>0</v>
      </c>
      <c r="BL1157" s="2177"/>
      <c r="BM1157" s="2177"/>
      <c r="BN1157" s="2186">
        <f t="shared" si="2390"/>
        <v>0</v>
      </c>
      <c r="BO1157" s="2177"/>
      <c r="BP1157" s="2177"/>
      <c r="BQ1157" s="2186">
        <f t="shared" si="2391"/>
        <v>0</v>
      </c>
    </row>
    <row r="1158" spans="3:69" s="2087" customFormat="1" ht="12" hidden="1" customHeight="1">
      <c r="C1158" s="2473" t="s">
        <v>3316</v>
      </c>
      <c r="D1158" s="2334" t="s">
        <v>2434</v>
      </c>
      <c r="E1158" s="2250" t="s">
        <v>1833</v>
      </c>
      <c r="F1158" s="2176"/>
      <c r="G1158" s="2177"/>
      <c r="H1158" s="2177"/>
      <c r="I1158" s="2178">
        <f t="shared" si="2372"/>
        <v>0</v>
      </c>
      <c r="J1158" s="2176"/>
      <c r="K1158" s="2179">
        <f>N1158+Q1158+W1158+AC1158</f>
        <v>0</v>
      </c>
      <c r="L1158" s="2179">
        <f>O1158+R1158+X1158+AD1158</f>
        <v>0</v>
      </c>
      <c r="M1158" s="2178">
        <f t="shared" si="2373"/>
        <v>0</v>
      </c>
      <c r="N1158" s="2177"/>
      <c r="O1158" s="2177"/>
      <c r="P1158" s="2178">
        <f t="shared" si="2374"/>
        <v>0</v>
      </c>
      <c r="Q1158" s="2176"/>
      <c r="R1158" s="2177"/>
      <c r="S1158" s="2178">
        <f t="shared" si="2375"/>
        <v>0</v>
      </c>
      <c r="T1158" s="2181">
        <f>N1158+Q1158</f>
        <v>0</v>
      </c>
      <c r="U1158" s="2179">
        <f>O1158+R1158</f>
        <v>0</v>
      </c>
      <c r="V1158" s="2178">
        <f t="shared" si="2376"/>
        <v>0</v>
      </c>
      <c r="W1158" s="2176"/>
      <c r="X1158" s="2177"/>
      <c r="Y1158" s="2178">
        <f t="shared" si="2377"/>
        <v>0</v>
      </c>
      <c r="Z1158" s="2181">
        <f>T1158+W1158</f>
        <v>0</v>
      </c>
      <c r="AA1158" s="2179">
        <f>U1158+X1158</f>
        <v>0</v>
      </c>
      <c r="AB1158" s="2178">
        <f t="shared" si="2378"/>
        <v>0</v>
      </c>
      <c r="AC1158" s="2176"/>
      <c r="AD1158" s="2177"/>
      <c r="AE1158" s="2178">
        <f t="shared" si="2379"/>
        <v>0</v>
      </c>
      <c r="AF1158" s="2204"/>
      <c r="AG1158" s="2114"/>
      <c r="AH1158" s="2177"/>
      <c r="AI1158" s="2177"/>
      <c r="AJ1158" s="2186">
        <f t="shared" si="2380"/>
        <v>0</v>
      </c>
      <c r="AK1158" s="2177"/>
      <c r="AL1158" s="2177"/>
      <c r="AM1158" s="2186">
        <f t="shared" si="2381"/>
        <v>0</v>
      </c>
      <c r="AN1158" s="2177"/>
      <c r="AO1158" s="2177"/>
      <c r="AP1158" s="2186">
        <f t="shared" si="2382"/>
        <v>0</v>
      </c>
      <c r="AQ1158" s="2177"/>
      <c r="AR1158" s="2177"/>
      <c r="AS1158" s="2186">
        <f t="shared" si="2383"/>
        <v>0</v>
      </c>
      <c r="AT1158" s="2177"/>
      <c r="AU1158" s="2177"/>
      <c r="AV1158" s="2186">
        <f t="shared" si="2384"/>
        <v>0</v>
      </c>
      <c r="AW1158" s="2177"/>
      <c r="AX1158" s="2177"/>
      <c r="AY1158" s="2186">
        <f t="shared" si="2385"/>
        <v>0</v>
      </c>
      <c r="AZ1158" s="2177"/>
      <c r="BA1158" s="2177"/>
      <c r="BB1158" s="2186">
        <f t="shared" si="2386"/>
        <v>0</v>
      </c>
      <c r="BC1158" s="2177"/>
      <c r="BD1158" s="2177"/>
      <c r="BE1158" s="2186">
        <f t="shared" si="2387"/>
        <v>0</v>
      </c>
      <c r="BF1158" s="2177"/>
      <c r="BG1158" s="2177"/>
      <c r="BH1158" s="2186">
        <f t="shared" si="2388"/>
        <v>0</v>
      </c>
      <c r="BI1158" s="2177"/>
      <c r="BJ1158" s="2177"/>
      <c r="BK1158" s="2186">
        <f t="shared" si="2389"/>
        <v>0</v>
      </c>
      <c r="BL1158" s="2177"/>
      <c r="BM1158" s="2177"/>
      <c r="BN1158" s="2186">
        <f t="shared" si="2390"/>
        <v>0</v>
      </c>
      <c r="BO1158" s="2177"/>
      <c r="BP1158" s="2177"/>
      <c r="BQ1158" s="2186">
        <f t="shared" si="2391"/>
        <v>0</v>
      </c>
    </row>
    <row r="1159" spans="3:69" s="2087" customFormat="1" ht="12" hidden="1" customHeight="1">
      <c r="C1159" s="2473" t="s">
        <v>3317</v>
      </c>
      <c r="D1159" s="2334" t="s">
        <v>42</v>
      </c>
      <c r="E1159" s="2250" t="s">
        <v>1833</v>
      </c>
      <c r="F1159" s="2176"/>
      <c r="G1159" s="2177"/>
      <c r="H1159" s="2177"/>
      <c r="I1159" s="2178">
        <f t="shared" si="2372"/>
        <v>0</v>
      </c>
      <c r="J1159" s="2176"/>
      <c r="K1159" s="2179">
        <f t="shared" si="2331"/>
        <v>0</v>
      </c>
      <c r="L1159" s="2179">
        <f t="shared" si="2331"/>
        <v>0</v>
      </c>
      <c r="M1159" s="2178">
        <f t="shared" si="2373"/>
        <v>0</v>
      </c>
      <c r="N1159" s="2177"/>
      <c r="O1159" s="2177"/>
      <c r="P1159" s="2178">
        <f t="shared" si="2374"/>
        <v>0</v>
      </c>
      <c r="Q1159" s="2176"/>
      <c r="R1159" s="2177"/>
      <c r="S1159" s="2178">
        <f t="shared" si="2375"/>
        <v>0</v>
      </c>
      <c r="T1159" s="2181">
        <f t="shared" si="2428"/>
        <v>0</v>
      </c>
      <c r="U1159" s="2179">
        <f t="shared" si="2428"/>
        <v>0</v>
      </c>
      <c r="V1159" s="2178">
        <f t="shared" si="2376"/>
        <v>0</v>
      </c>
      <c r="W1159" s="2176"/>
      <c r="X1159" s="2177"/>
      <c r="Y1159" s="2178">
        <f t="shared" si="2377"/>
        <v>0</v>
      </c>
      <c r="Z1159" s="2181">
        <f t="shared" si="2429"/>
        <v>0</v>
      </c>
      <c r="AA1159" s="2179">
        <f t="shared" si="2429"/>
        <v>0</v>
      </c>
      <c r="AB1159" s="2178">
        <f t="shared" si="2378"/>
        <v>0</v>
      </c>
      <c r="AC1159" s="2176"/>
      <c r="AD1159" s="2177"/>
      <c r="AE1159" s="2178">
        <f t="shared" si="2379"/>
        <v>0</v>
      </c>
      <c r="AF1159" s="2204"/>
      <c r="AG1159" s="2114"/>
      <c r="AH1159" s="2177"/>
      <c r="AI1159" s="2177"/>
      <c r="AJ1159" s="2186">
        <f t="shared" si="2380"/>
        <v>0</v>
      </c>
      <c r="AK1159" s="2177"/>
      <c r="AL1159" s="2177"/>
      <c r="AM1159" s="2186">
        <f t="shared" si="2381"/>
        <v>0</v>
      </c>
      <c r="AN1159" s="2177"/>
      <c r="AO1159" s="2177"/>
      <c r="AP1159" s="2186">
        <f t="shared" si="2382"/>
        <v>0</v>
      </c>
      <c r="AQ1159" s="2177"/>
      <c r="AR1159" s="2177"/>
      <c r="AS1159" s="2186">
        <f t="shared" si="2383"/>
        <v>0</v>
      </c>
      <c r="AT1159" s="2177"/>
      <c r="AU1159" s="2177"/>
      <c r="AV1159" s="2186">
        <f t="shared" si="2384"/>
        <v>0</v>
      </c>
      <c r="AW1159" s="2177"/>
      <c r="AX1159" s="2177"/>
      <c r="AY1159" s="2186">
        <f t="shared" si="2385"/>
        <v>0</v>
      </c>
      <c r="AZ1159" s="2177"/>
      <c r="BA1159" s="2177"/>
      <c r="BB1159" s="2186">
        <f t="shared" si="2386"/>
        <v>0</v>
      </c>
      <c r="BC1159" s="2177"/>
      <c r="BD1159" s="2177"/>
      <c r="BE1159" s="2186">
        <f t="shared" si="2387"/>
        <v>0</v>
      </c>
      <c r="BF1159" s="2177"/>
      <c r="BG1159" s="2177"/>
      <c r="BH1159" s="2186">
        <f t="shared" si="2388"/>
        <v>0</v>
      </c>
      <c r="BI1159" s="2177"/>
      <c r="BJ1159" s="2177"/>
      <c r="BK1159" s="2186">
        <f t="shared" si="2389"/>
        <v>0</v>
      </c>
      <c r="BL1159" s="2177"/>
      <c r="BM1159" s="2177"/>
      <c r="BN1159" s="2186">
        <f t="shared" si="2390"/>
        <v>0</v>
      </c>
      <c r="BO1159" s="2177"/>
      <c r="BP1159" s="2177"/>
      <c r="BQ1159" s="2186">
        <f t="shared" si="2391"/>
        <v>0</v>
      </c>
    </row>
    <row r="1160" spans="3:69" s="2087" customFormat="1" ht="12" hidden="1" customHeight="1">
      <c r="C1160" s="2473" t="s">
        <v>3317</v>
      </c>
      <c r="D1160" s="2334" t="s">
        <v>2434</v>
      </c>
      <c r="E1160" s="2250" t="s">
        <v>1833</v>
      </c>
      <c r="F1160" s="2176"/>
      <c r="G1160" s="2177"/>
      <c r="H1160" s="2177"/>
      <c r="I1160" s="2178">
        <f t="shared" si="2372"/>
        <v>0</v>
      </c>
      <c r="J1160" s="2176"/>
      <c r="K1160" s="2179">
        <f>N1160+Q1160+W1160+AC1160</f>
        <v>0</v>
      </c>
      <c r="L1160" s="2179">
        <f>O1160+R1160+X1160+AD1160</f>
        <v>0</v>
      </c>
      <c r="M1160" s="2178">
        <f t="shared" si="2373"/>
        <v>0</v>
      </c>
      <c r="N1160" s="2177"/>
      <c r="O1160" s="2177"/>
      <c r="P1160" s="2178">
        <f t="shared" si="2374"/>
        <v>0</v>
      </c>
      <c r="Q1160" s="2176"/>
      <c r="R1160" s="2177"/>
      <c r="S1160" s="2178">
        <f t="shared" si="2375"/>
        <v>0</v>
      </c>
      <c r="T1160" s="2181">
        <f>N1160+Q1160</f>
        <v>0</v>
      </c>
      <c r="U1160" s="2179">
        <f>O1160+R1160</f>
        <v>0</v>
      </c>
      <c r="V1160" s="2178">
        <f t="shared" si="2376"/>
        <v>0</v>
      </c>
      <c r="W1160" s="2176"/>
      <c r="X1160" s="2177"/>
      <c r="Y1160" s="2178">
        <f t="shared" si="2377"/>
        <v>0</v>
      </c>
      <c r="Z1160" s="2181">
        <f>T1160+W1160</f>
        <v>0</v>
      </c>
      <c r="AA1160" s="2179">
        <f>U1160+X1160</f>
        <v>0</v>
      </c>
      <c r="AB1160" s="2178">
        <f t="shared" si="2378"/>
        <v>0</v>
      </c>
      <c r="AC1160" s="2176"/>
      <c r="AD1160" s="2177"/>
      <c r="AE1160" s="2178">
        <f t="shared" si="2379"/>
        <v>0</v>
      </c>
      <c r="AF1160" s="2204"/>
      <c r="AG1160" s="2114"/>
      <c r="AH1160" s="2177"/>
      <c r="AI1160" s="2177"/>
      <c r="AJ1160" s="2186">
        <f t="shared" si="2380"/>
        <v>0</v>
      </c>
      <c r="AK1160" s="2177"/>
      <c r="AL1160" s="2177"/>
      <c r="AM1160" s="2186">
        <f t="shared" si="2381"/>
        <v>0</v>
      </c>
      <c r="AN1160" s="2177"/>
      <c r="AO1160" s="2177"/>
      <c r="AP1160" s="2186">
        <f t="shared" si="2382"/>
        <v>0</v>
      </c>
      <c r="AQ1160" s="2177"/>
      <c r="AR1160" s="2177"/>
      <c r="AS1160" s="2186">
        <f t="shared" si="2383"/>
        <v>0</v>
      </c>
      <c r="AT1160" s="2177"/>
      <c r="AU1160" s="2177"/>
      <c r="AV1160" s="2186">
        <f t="shared" si="2384"/>
        <v>0</v>
      </c>
      <c r="AW1160" s="2177"/>
      <c r="AX1160" s="2177"/>
      <c r="AY1160" s="2186">
        <f t="shared" si="2385"/>
        <v>0</v>
      </c>
      <c r="AZ1160" s="2177"/>
      <c r="BA1160" s="2177"/>
      <c r="BB1160" s="2186">
        <f t="shared" si="2386"/>
        <v>0</v>
      </c>
      <c r="BC1160" s="2177"/>
      <c r="BD1160" s="2177"/>
      <c r="BE1160" s="2186">
        <f t="shared" si="2387"/>
        <v>0</v>
      </c>
      <c r="BF1160" s="2177"/>
      <c r="BG1160" s="2177"/>
      <c r="BH1160" s="2186">
        <f t="shared" si="2388"/>
        <v>0</v>
      </c>
      <c r="BI1160" s="2177"/>
      <c r="BJ1160" s="2177"/>
      <c r="BK1160" s="2186">
        <f t="shared" si="2389"/>
        <v>0</v>
      </c>
      <c r="BL1160" s="2177"/>
      <c r="BM1160" s="2177"/>
      <c r="BN1160" s="2186">
        <f t="shared" si="2390"/>
        <v>0</v>
      </c>
      <c r="BO1160" s="2177"/>
      <c r="BP1160" s="2177"/>
      <c r="BQ1160" s="2186">
        <f t="shared" si="2391"/>
        <v>0</v>
      </c>
    </row>
    <row r="1161" spans="3:69" s="2087" customFormat="1" ht="12" hidden="1" customHeight="1">
      <c r="C1161" s="2423" t="s">
        <v>3315</v>
      </c>
      <c r="D1161" s="2421" t="s">
        <v>3151</v>
      </c>
      <c r="E1161" s="2250" t="s">
        <v>1833</v>
      </c>
      <c r="F1161" s="2176"/>
      <c r="G1161" s="2179">
        <f>G1162+G1164</f>
        <v>0</v>
      </c>
      <c r="H1161" s="2179">
        <f>H1162+H1164</f>
        <v>0</v>
      </c>
      <c r="I1161" s="2178">
        <f t="shared" si="2372"/>
        <v>0</v>
      </c>
      <c r="J1161" s="2176"/>
      <c r="K1161" s="2179">
        <f t="shared" si="2331"/>
        <v>0</v>
      </c>
      <c r="L1161" s="2179">
        <f t="shared" si="2331"/>
        <v>0</v>
      </c>
      <c r="M1161" s="2178">
        <f t="shared" si="2373"/>
        <v>0</v>
      </c>
      <c r="N1161" s="2179">
        <f>N1162+N1164</f>
        <v>0</v>
      </c>
      <c r="O1161" s="2179">
        <f>O1162+O1164</f>
        <v>0</v>
      </c>
      <c r="P1161" s="2178">
        <f t="shared" si="2374"/>
        <v>0</v>
      </c>
      <c r="Q1161" s="2179">
        <f>Q1162+Q1164</f>
        <v>0</v>
      </c>
      <c r="R1161" s="2179">
        <f>R1162+R1164</f>
        <v>0</v>
      </c>
      <c r="S1161" s="2178">
        <f t="shared" si="2375"/>
        <v>0</v>
      </c>
      <c r="T1161" s="2181">
        <f t="shared" si="2428"/>
        <v>0</v>
      </c>
      <c r="U1161" s="2179">
        <f t="shared" si="2428"/>
        <v>0</v>
      </c>
      <c r="V1161" s="2178">
        <f t="shared" si="2376"/>
        <v>0</v>
      </c>
      <c r="W1161" s="2179">
        <f>W1162+W1164</f>
        <v>0</v>
      </c>
      <c r="X1161" s="2179">
        <f>X1162+X1164</f>
        <v>0</v>
      </c>
      <c r="Y1161" s="2178">
        <f t="shared" si="2377"/>
        <v>0</v>
      </c>
      <c r="Z1161" s="2181">
        <f t="shared" si="2429"/>
        <v>0</v>
      </c>
      <c r="AA1161" s="2179">
        <f t="shared" si="2429"/>
        <v>0</v>
      </c>
      <c r="AB1161" s="2178">
        <f t="shared" si="2378"/>
        <v>0</v>
      </c>
      <c r="AC1161" s="2179">
        <f>AC1162+AC1164</f>
        <v>0</v>
      </c>
      <c r="AD1161" s="2179">
        <f>AD1162+AD1164</f>
        <v>0</v>
      </c>
      <c r="AE1161" s="2178">
        <f t="shared" si="2379"/>
        <v>0</v>
      </c>
      <c r="AF1161" s="2204"/>
      <c r="AG1161" s="2114"/>
      <c r="AH1161" s="2188">
        <f>AH1162+AH1164</f>
        <v>0</v>
      </c>
      <c r="AI1161" s="2188">
        <f>AI1162+AI1164</f>
        <v>0</v>
      </c>
      <c r="AJ1161" s="2186">
        <f t="shared" si="2380"/>
        <v>0</v>
      </c>
      <c r="AK1161" s="2188">
        <f>AK1162+AK1164</f>
        <v>0</v>
      </c>
      <c r="AL1161" s="2188">
        <f>AL1162+AL1164</f>
        <v>0</v>
      </c>
      <c r="AM1161" s="2186">
        <f t="shared" si="2381"/>
        <v>0</v>
      </c>
      <c r="AN1161" s="2188">
        <f>AN1162+AN1164</f>
        <v>0</v>
      </c>
      <c r="AO1161" s="2188">
        <f>AO1162+AO1164</f>
        <v>0</v>
      </c>
      <c r="AP1161" s="2186">
        <f t="shared" si="2382"/>
        <v>0</v>
      </c>
      <c r="AQ1161" s="2188">
        <f>AQ1162+AQ1164</f>
        <v>0</v>
      </c>
      <c r="AR1161" s="2188">
        <f>AR1162+AR1164</f>
        <v>0</v>
      </c>
      <c r="AS1161" s="2186">
        <f t="shared" si="2383"/>
        <v>0</v>
      </c>
      <c r="AT1161" s="2188">
        <f>AT1162+AT1164</f>
        <v>0</v>
      </c>
      <c r="AU1161" s="2188">
        <f>AU1162+AU1164</f>
        <v>0</v>
      </c>
      <c r="AV1161" s="2186">
        <f t="shared" si="2384"/>
        <v>0</v>
      </c>
      <c r="AW1161" s="2188">
        <f>AW1162+AW1164</f>
        <v>0</v>
      </c>
      <c r="AX1161" s="2188">
        <f>AX1162+AX1164</f>
        <v>0</v>
      </c>
      <c r="AY1161" s="2186">
        <f t="shared" si="2385"/>
        <v>0</v>
      </c>
      <c r="AZ1161" s="2188">
        <f>AZ1162+AZ1164</f>
        <v>0</v>
      </c>
      <c r="BA1161" s="2188">
        <f>BA1162+BA1164</f>
        <v>0</v>
      </c>
      <c r="BB1161" s="2186">
        <f t="shared" si="2386"/>
        <v>0</v>
      </c>
      <c r="BC1161" s="2188">
        <f>BC1162+BC1164</f>
        <v>0</v>
      </c>
      <c r="BD1161" s="2188">
        <f>BD1162+BD1164</f>
        <v>0</v>
      </c>
      <c r="BE1161" s="2186">
        <f t="shared" si="2387"/>
        <v>0</v>
      </c>
      <c r="BF1161" s="2188">
        <f>BF1162+BF1164</f>
        <v>0</v>
      </c>
      <c r="BG1161" s="2188">
        <f>BG1162+BG1164</f>
        <v>0</v>
      </c>
      <c r="BH1161" s="2186">
        <f t="shared" si="2388"/>
        <v>0</v>
      </c>
      <c r="BI1161" s="2188">
        <f>BI1162+BI1164</f>
        <v>0</v>
      </c>
      <c r="BJ1161" s="2188">
        <f>BJ1162+BJ1164</f>
        <v>0</v>
      </c>
      <c r="BK1161" s="2186">
        <f t="shared" si="2389"/>
        <v>0</v>
      </c>
      <c r="BL1161" s="2188">
        <f>BL1162+BL1164</f>
        <v>0</v>
      </c>
      <c r="BM1161" s="2188">
        <f>BM1162+BM1164</f>
        <v>0</v>
      </c>
      <c r="BN1161" s="2186">
        <f t="shared" si="2390"/>
        <v>0</v>
      </c>
      <c r="BO1161" s="2188">
        <f>BO1162+BO1164</f>
        <v>0</v>
      </c>
      <c r="BP1161" s="2188">
        <f>BP1162+BP1164</f>
        <v>0</v>
      </c>
      <c r="BQ1161" s="2186">
        <f t="shared" si="2391"/>
        <v>0</v>
      </c>
    </row>
    <row r="1162" spans="3:69" s="2087" customFormat="1" ht="12" hidden="1" customHeight="1">
      <c r="C1162" s="2473" t="s">
        <v>3316</v>
      </c>
      <c r="D1162" s="2334" t="s">
        <v>2872</v>
      </c>
      <c r="E1162" s="2250" t="s">
        <v>1833</v>
      </c>
      <c r="F1162" s="2176"/>
      <c r="G1162" s="2177"/>
      <c r="H1162" s="2177"/>
      <c r="I1162" s="2178">
        <f t="shared" si="2372"/>
        <v>0</v>
      </c>
      <c r="J1162" s="2176"/>
      <c r="K1162" s="2179">
        <f t="shared" si="2331"/>
        <v>0</v>
      </c>
      <c r="L1162" s="2179">
        <f t="shared" si="2331"/>
        <v>0</v>
      </c>
      <c r="M1162" s="2178">
        <f t="shared" si="2373"/>
        <v>0</v>
      </c>
      <c r="N1162" s="2177"/>
      <c r="O1162" s="2177"/>
      <c r="P1162" s="2178">
        <f t="shared" si="2374"/>
        <v>0</v>
      </c>
      <c r="Q1162" s="2176"/>
      <c r="R1162" s="2177"/>
      <c r="S1162" s="2178">
        <f t="shared" si="2375"/>
        <v>0</v>
      </c>
      <c r="T1162" s="2181">
        <f t="shared" si="2428"/>
        <v>0</v>
      </c>
      <c r="U1162" s="2179">
        <f t="shared" si="2428"/>
        <v>0</v>
      </c>
      <c r="V1162" s="2178">
        <f t="shared" si="2376"/>
        <v>0</v>
      </c>
      <c r="W1162" s="2176"/>
      <c r="X1162" s="2177"/>
      <c r="Y1162" s="2178">
        <f t="shared" si="2377"/>
        <v>0</v>
      </c>
      <c r="Z1162" s="2181">
        <f t="shared" si="2429"/>
        <v>0</v>
      </c>
      <c r="AA1162" s="2179">
        <f t="shared" si="2429"/>
        <v>0</v>
      </c>
      <c r="AB1162" s="2178">
        <f t="shared" si="2378"/>
        <v>0</v>
      </c>
      <c r="AC1162" s="2176"/>
      <c r="AD1162" s="2177"/>
      <c r="AE1162" s="2178">
        <f t="shared" si="2379"/>
        <v>0</v>
      </c>
      <c r="AF1162" s="2204"/>
      <c r="AG1162" s="2114"/>
      <c r="AH1162" s="2177"/>
      <c r="AI1162" s="2177"/>
      <c r="AJ1162" s="2186">
        <f t="shared" si="2380"/>
        <v>0</v>
      </c>
      <c r="AK1162" s="2177"/>
      <c r="AL1162" s="2177"/>
      <c r="AM1162" s="2186">
        <f t="shared" si="2381"/>
        <v>0</v>
      </c>
      <c r="AN1162" s="2177"/>
      <c r="AO1162" s="2177"/>
      <c r="AP1162" s="2186">
        <f t="shared" si="2382"/>
        <v>0</v>
      </c>
      <c r="AQ1162" s="2177"/>
      <c r="AR1162" s="2177"/>
      <c r="AS1162" s="2186">
        <f t="shared" si="2383"/>
        <v>0</v>
      </c>
      <c r="AT1162" s="2177"/>
      <c r="AU1162" s="2177"/>
      <c r="AV1162" s="2186">
        <f t="shared" si="2384"/>
        <v>0</v>
      </c>
      <c r="AW1162" s="2177"/>
      <c r="AX1162" s="2177"/>
      <c r="AY1162" s="2186">
        <f t="shared" si="2385"/>
        <v>0</v>
      </c>
      <c r="AZ1162" s="2177"/>
      <c r="BA1162" s="2177"/>
      <c r="BB1162" s="2186">
        <f t="shared" si="2386"/>
        <v>0</v>
      </c>
      <c r="BC1162" s="2177"/>
      <c r="BD1162" s="2177"/>
      <c r="BE1162" s="2186">
        <f t="shared" si="2387"/>
        <v>0</v>
      </c>
      <c r="BF1162" s="2177"/>
      <c r="BG1162" s="2177"/>
      <c r="BH1162" s="2186">
        <f t="shared" si="2388"/>
        <v>0</v>
      </c>
      <c r="BI1162" s="2177"/>
      <c r="BJ1162" s="2177"/>
      <c r="BK1162" s="2186">
        <f t="shared" si="2389"/>
        <v>0</v>
      </c>
      <c r="BL1162" s="2177"/>
      <c r="BM1162" s="2177"/>
      <c r="BN1162" s="2186">
        <f t="shared" si="2390"/>
        <v>0</v>
      </c>
      <c r="BO1162" s="2177"/>
      <c r="BP1162" s="2177"/>
      <c r="BQ1162" s="2186">
        <f t="shared" si="2391"/>
        <v>0</v>
      </c>
    </row>
    <row r="1163" spans="3:69" s="2087" customFormat="1" ht="12" hidden="1" customHeight="1">
      <c r="C1163" s="2473" t="s">
        <v>3316</v>
      </c>
      <c r="D1163" s="2334" t="s">
        <v>2434</v>
      </c>
      <c r="E1163" s="2250" t="s">
        <v>1833</v>
      </c>
      <c r="F1163" s="2176"/>
      <c r="G1163" s="2177"/>
      <c r="H1163" s="2177"/>
      <c r="I1163" s="2178">
        <f t="shared" si="2372"/>
        <v>0</v>
      </c>
      <c r="J1163" s="2176"/>
      <c r="K1163" s="2179">
        <f>N1163+Q1163+W1163+AC1163</f>
        <v>0</v>
      </c>
      <c r="L1163" s="2179">
        <f>O1163+R1163+X1163+AD1163</f>
        <v>0</v>
      </c>
      <c r="M1163" s="2178">
        <f t="shared" si="2373"/>
        <v>0</v>
      </c>
      <c r="N1163" s="2177"/>
      <c r="O1163" s="2177"/>
      <c r="P1163" s="2178">
        <f t="shared" si="2374"/>
        <v>0</v>
      </c>
      <c r="Q1163" s="2176"/>
      <c r="R1163" s="2177"/>
      <c r="S1163" s="2178">
        <f t="shared" si="2375"/>
        <v>0</v>
      </c>
      <c r="T1163" s="2181">
        <f>N1163+Q1163</f>
        <v>0</v>
      </c>
      <c r="U1163" s="2179">
        <f>O1163+R1163</f>
        <v>0</v>
      </c>
      <c r="V1163" s="2178">
        <f t="shared" si="2376"/>
        <v>0</v>
      </c>
      <c r="W1163" s="2176"/>
      <c r="X1163" s="2177"/>
      <c r="Y1163" s="2178">
        <f t="shared" si="2377"/>
        <v>0</v>
      </c>
      <c r="Z1163" s="2181">
        <f>T1163+W1163</f>
        <v>0</v>
      </c>
      <c r="AA1163" s="2179">
        <f>U1163+X1163</f>
        <v>0</v>
      </c>
      <c r="AB1163" s="2178">
        <f t="shared" si="2378"/>
        <v>0</v>
      </c>
      <c r="AC1163" s="2176"/>
      <c r="AD1163" s="2177"/>
      <c r="AE1163" s="2178">
        <f t="shared" si="2379"/>
        <v>0</v>
      </c>
      <c r="AF1163" s="2204"/>
      <c r="AG1163" s="2114"/>
      <c r="AH1163" s="2177"/>
      <c r="AI1163" s="2177"/>
      <c r="AJ1163" s="2186">
        <f t="shared" si="2380"/>
        <v>0</v>
      </c>
      <c r="AK1163" s="2177"/>
      <c r="AL1163" s="2177"/>
      <c r="AM1163" s="2186">
        <f t="shared" si="2381"/>
        <v>0</v>
      </c>
      <c r="AN1163" s="2177"/>
      <c r="AO1163" s="2177"/>
      <c r="AP1163" s="2186">
        <f t="shared" si="2382"/>
        <v>0</v>
      </c>
      <c r="AQ1163" s="2177"/>
      <c r="AR1163" s="2177"/>
      <c r="AS1163" s="2186">
        <f t="shared" si="2383"/>
        <v>0</v>
      </c>
      <c r="AT1163" s="2177"/>
      <c r="AU1163" s="2177"/>
      <c r="AV1163" s="2186">
        <f t="shared" si="2384"/>
        <v>0</v>
      </c>
      <c r="AW1163" s="2177"/>
      <c r="AX1163" s="2177"/>
      <c r="AY1163" s="2186">
        <f t="shared" si="2385"/>
        <v>0</v>
      </c>
      <c r="AZ1163" s="2177"/>
      <c r="BA1163" s="2177"/>
      <c r="BB1163" s="2186">
        <f t="shared" si="2386"/>
        <v>0</v>
      </c>
      <c r="BC1163" s="2177"/>
      <c r="BD1163" s="2177"/>
      <c r="BE1163" s="2186">
        <f t="shared" si="2387"/>
        <v>0</v>
      </c>
      <c r="BF1163" s="2177"/>
      <c r="BG1163" s="2177"/>
      <c r="BH1163" s="2186">
        <f t="shared" si="2388"/>
        <v>0</v>
      </c>
      <c r="BI1163" s="2177"/>
      <c r="BJ1163" s="2177"/>
      <c r="BK1163" s="2186">
        <f t="shared" si="2389"/>
        <v>0</v>
      </c>
      <c r="BL1163" s="2177"/>
      <c r="BM1163" s="2177"/>
      <c r="BN1163" s="2186">
        <f t="shared" si="2390"/>
        <v>0</v>
      </c>
      <c r="BO1163" s="2177"/>
      <c r="BP1163" s="2177"/>
      <c r="BQ1163" s="2186">
        <f t="shared" si="2391"/>
        <v>0</v>
      </c>
    </row>
    <row r="1164" spans="3:69" s="2087" customFormat="1" ht="12" hidden="1" customHeight="1">
      <c r="C1164" s="2473" t="s">
        <v>3317</v>
      </c>
      <c r="D1164" s="2334" t="s">
        <v>42</v>
      </c>
      <c r="E1164" s="2250" t="s">
        <v>1833</v>
      </c>
      <c r="F1164" s="2176"/>
      <c r="G1164" s="2177"/>
      <c r="H1164" s="2177"/>
      <c r="I1164" s="2178">
        <f t="shared" si="2372"/>
        <v>0</v>
      </c>
      <c r="J1164" s="2176"/>
      <c r="K1164" s="2179">
        <f t="shared" si="2331"/>
        <v>0</v>
      </c>
      <c r="L1164" s="2179">
        <f t="shared" si="2331"/>
        <v>0</v>
      </c>
      <c r="M1164" s="2178">
        <f t="shared" si="2373"/>
        <v>0</v>
      </c>
      <c r="N1164" s="2177"/>
      <c r="O1164" s="2177"/>
      <c r="P1164" s="2178">
        <f t="shared" si="2374"/>
        <v>0</v>
      </c>
      <c r="Q1164" s="2176"/>
      <c r="R1164" s="2177"/>
      <c r="S1164" s="2178">
        <f t="shared" si="2375"/>
        <v>0</v>
      </c>
      <c r="T1164" s="2181">
        <f t="shared" si="2428"/>
        <v>0</v>
      </c>
      <c r="U1164" s="2179">
        <f t="shared" si="2428"/>
        <v>0</v>
      </c>
      <c r="V1164" s="2178">
        <f t="shared" si="2376"/>
        <v>0</v>
      </c>
      <c r="W1164" s="2176"/>
      <c r="X1164" s="2177"/>
      <c r="Y1164" s="2178">
        <f t="shared" si="2377"/>
        <v>0</v>
      </c>
      <c r="Z1164" s="2181">
        <f t="shared" si="2429"/>
        <v>0</v>
      </c>
      <c r="AA1164" s="2179">
        <f t="shared" si="2429"/>
        <v>0</v>
      </c>
      <c r="AB1164" s="2178">
        <f t="shared" si="2378"/>
        <v>0</v>
      </c>
      <c r="AC1164" s="2176"/>
      <c r="AD1164" s="2177"/>
      <c r="AE1164" s="2178">
        <f t="shared" si="2379"/>
        <v>0</v>
      </c>
      <c r="AF1164" s="2204"/>
      <c r="AG1164" s="2114"/>
      <c r="AH1164" s="2177"/>
      <c r="AI1164" s="2177"/>
      <c r="AJ1164" s="2186">
        <f t="shared" si="2380"/>
        <v>0</v>
      </c>
      <c r="AK1164" s="2177"/>
      <c r="AL1164" s="2177"/>
      <c r="AM1164" s="2186">
        <f t="shared" si="2381"/>
        <v>0</v>
      </c>
      <c r="AN1164" s="2177"/>
      <c r="AO1164" s="2177"/>
      <c r="AP1164" s="2186">
        <f t="shared" si="2382"/>
        <v>0</v>
      </c>
      <c r="AQ1164" s="2177"/>
      <c r="AR1164" s="2177"/>
      <c r="AS1164" s="2186">
        <f t="shared" si="2383"/>
        <v>0</v>
      </c>
      <c r="AT1164" s="2177"/>
      <c r="AU1164" s="2177"/>
      <c r="AV1164" s="2186">
        <f t="shared" si="2384"/>
        <v>0</v>
      </c>
      <c r="AW1164" s="2177"/>
      <c r="AX1164" s="2177"/>
      <c r="AY1164" s="2186">
        <f t="shared" si="2385"/>
        <v>0</v>
      </c>
      <c r="AZ1164" s="2177"/>
      <c r="BA1164" s="2177"/>
      <c r="BB1164" s="2186">
        <f t="shared" si="2386"/>
        <v>0</v>
      </c>
      <c r="BC1164" s="2177"/>
      <c r="BD1164" s="2177"/>
      <c r="BE1164" s="2186">
        <f t="shared" si="2387"/>
        <v>0</v>
      </c>
      <c r="BF1164" s="2177"/>
      <c r="BG1164" s="2177"/>
      <c r="BH1164" s="2186">
        <f t="shared" si="2388"/>
        <v>0</v>
      </c>
      <c r="BI1164" s="2177"/>
      <c r="BJ1164" s="2177"/>
      <c r="BK1164" s="2186">
        <f t="shared" si="2389"/>
        <v>0</v>
      </c>
      <c r="BL1164" s="2177"/>
      <c r="BM1164" s="2177"/>
      <c r="BN1164" s="2186">
        <f t="shared" si="2390"/>
        <v>0</v>
      </c>
      <c r="BO1164" s="2177"/>
      <c r="BP1164" s="2177"/>
      <c r="BQ1164" s="2186">
        <f t="shared" si="2391"/>
        <v>0</v>
      </c>
    </row>
    <row r="1165" spans="3:69" s="2087" customFormat="1" ht="12" hidden="1" customHeight="1">
      <c r="C1165" s="2473" t="s">
        <v>3317</v>
      </c>
      <c r="D1165" s="2334" t="s">
        <v>2434</v>
      </c>
      <c r="E1165" s="2250" t="s">
        <v>1833</v>
      </c>
      <c r="F1165" s="2176"/>
      <c r="G1165" s="2177"/>
      <c r="H1165" s="2177"/>
      <c r="I1165" s="2178">
        <f t="shared" si="2372"/>
        <v>0</v>
      </c>
      <c r="J1165" s="2176"/>
      <c r="K1165" s="2179">
        <f>N1165+Q1165+W1165+AC1165</f>
        <v>0</v>
      </c>
      <c r="L1165" s="2179">
        <f>O1165+R1165+X1165+AD1165</f>
        <v>0</v>
      </c>
      <c r="M1165" s="2178">
        <f t="shared" si="2373"/>
        <v>0</v>
      </c>
      <c r="N1165" s="2177"/>
      <c r="O1165" s="2177"/>
      <c r="P1165" s="2178">
        <f t="shared" si="2374"/>
        <v>0</v>
      </c>
      <c r="Q1165" s="2176"/>
      <c r="R1165" s="2177"/>
      <c r="S1165" s="2178">
        <f t="shared" si="2375"/>
        <v>0</v>
      </c>
      <c r="T1165" s="2181">
        <f>N1165+Q1165</f>
        <v>0</v>
      </c>
      <c r="U1165" s="2179">
        <f>O1165+R1165</f>
        <v>0</v>
      </c>
      <c r="V1165" s="2178">
        <f t="shared" si="2376"/>
        <v>0</v>
      </c>
      <c r="W1165" s="2176"/>
      <c r="X1165" s="2177"/>
      <c r="Y1165" s="2178">
        <f t="shared" si="2377"/>
        <v>0</v>
      </c>
      <c r="Z1165" s="2181">
        <f>T1165+W1165</f>
        <v>0</v>
      </c>
      <c r="AA1165" s="2179">
        <f>U1165+X1165</f>
        <v>0</v>
      </c>
      <c r="AB1165" s="2178">
        <f t="shared" si="2378"/>
        <v>0</v>
      </c>
      <c r="AC1165" s="2176"/>
      <c r="AD1165" s="2177"/>
      <c r="AE1165" s="2178">
        <f t="shared" si="2379"/>
        <v>0</v>
      </c>
      <c r="AF1165" s="2204"/>
      <c r="AG1165" s="2114"/>
      <c r="AH1165" s="2177"/>
      <c r="AI1165" s="2177"/>
      <c r="AJ1165" s="2186">
        <f t="shared" si="2380"/>
        <v>0</v>
      </c>
      <c r="AK1165" s="2177"/>
      <c r="AL1165" s="2177"/>
      <c r="AM1165" s="2186">
        <f t="shared" si="2381"/>
        <v>0</v>
      </c>
      <c r="AN1165" s="2177"/>
      <c r="AO1165" s="2177"/>
      <c r="AP1165" s="2186">
        <f t="shared" si="2382"/>
        <v>0</v>
      </c>
      <c r="AQ1165" s="2177"/>
      <c r="AR1165" s="2177"/>
      <c r="AS1165" s="2186">
        <f t="shared" si="2383"/>
        <v>0</v>
      </c>
      <c r="AT1165" s="2177"/>
      <c r="AU1165" s="2177"/>
      <c r="AV1165" s="2186">
        <f t="shared" si="2384"/>
        <v>0</v>
      </c>
      <c r="AW1165" s="2177"/>
      <c r="AX1165" s="2177"/>
      <c r="AY1165" s="2186">
        <f t="shared" si="2385"/>
        <v>0</v>
      </c>
      <c r="AZ1165" s="2177"/>
      <c r="BA1165" s="2177"/>
      <c r="BB1165" s="2186">
        <f t="shared" si="2386"/>
        <v>0</v>
      </c>
      <c r="BC1165" s="2177"/>
      <c r="BD1165" s="2177"/>
      <c r="BE1165" s="2186">
        <f t="shared" si="2387"/>
        <v>0</v>
      </c>
      <c r="BF1165" s="2177"/>
      <c r="BG1165" s="2177"/>
      <c r="BH1165" s="2186">
        <f t="shared" si="2388"/>
        <v>0</v>
      </c>
      <c r="BI1165" s="2177"/>
      <c r="BJ1165" s="2177"/>
      <c r="BK1165" s="2186">
        <f t="shared" si="2389"/>
        <v>0</v>
      </c>
      <c r="BL1165" s="2177"/>
      <c r="BM1165" s="2177"/>
      <c r="BN1165" s="2186">
        <f t="shared" si="2390"/>
        <v>0</v>
      </c>
      <c r="BO1165" s="2177"/>
      <c r="BP1165" s="2177"/>
      <c r="BQ1165" s="2186">
        <f t="shared" si="2391"/>
        <v>0</v>
      </c>
    </row>
    <row r="1166" spans="3:69" s="2159" customFormat="1" ht="12" hidden="1" customHeight="1">
      <c r="C1166" s="2474" t="s">
        <v>3318</v>
      </c>
      <c r="D1166" s="2475" t="s">
        <v>3167</v>
      </c>
      <c r="E1166" s="2120" t="s">
        <v>1833</v>
      </c>
      <c r="F1166" s="2162"/>
      <c r="G1166" s="2163">
        <f>G1167+G1174</f>
        <v>0</v>
      </c>
      <c r="H1166" s="2163">
        <f>H1167+H1174</f>
        <v>0</v>
      </c>
      <c r="I1166" s="2164">
        <f t="shared" si="2372"/>
        <v>0</v>
      </c>
      <c r="J1166" s="2162"/>
      <c r="K1166" s="2163">
        <f t="shared" si="2331"/>
        <v>0</v>
      </c>
      <c r="L1166" s="2163">
        <f t="shared" si="2331"/>
        <v>0</v>
      </c>
      <c r="M1166" s="2164">
        <f t="shared" si="2373"/>
        <v>0</v>
      </c>
      <c r="N1166" s="2163">
        <f>N1167+N1174</f>
        <v>0</v>
      </c>
      <c r="O1166" s="2163">
        <f>O1167+O1174</f>
        <v>0</v>
      </c>
      <c r="P1166" s="2164">
        <f t="shared" si="2374"/>
        <v>0</v>
      </c>
      <c r="Q1166" s="2165">
        <f>Q1167+Q1174</f>
        <v>0</v>
      </c>
      <c r="R1166" s="2163">
        <f>R1167+R1174</f>
        <v>0</v>
      </c>
      <c r="S1166" s="2164">
        <f t="shared" si="2375"/>
        <v>0</v>
      </c>
      <c r="T1166" s="2167">
        <f>N1166+Q1166</f>
        <v>0</v>
      </c>
      <c r="U1166" s="2163">
        <f>O1166+R1166</f>
        <v>0</v>
      </c>
      <c r="V1166" s="2164">
        <f t="shared" si="2376"/>
        <v>0</v>
      </c>
      <c r="W1166" s="2165">
        <f>W1167+W1174</f>
        <v>0</v>
      </c>
      <c r="X1166" s="2163">
        <f>X1167+X1174</f>
        <v>0</v>
      </c>
      <c r="Y1166" s="2164">
        <f t="shared" si="2377"/>
        <v>0</v>
      </c>
      <c r="Z1166" s="2167">
        <f>T1166+W1166</f>
        <v>0</v>
      </c>
      <c r="AA1166" s="2163">
        <f>U1166+X1166</f>
        <v>0</v>
      </c>
      <c r="AB1166" s="2164">
        <f t="shared" si="2378"/>
        <v>0</v>
      </c>
      <c r="AC1166" s="2165">
        <f>AC1167+AC1174</f>
        <v>0</v>
      </c>
      <c r="AD1166" s="2163">
        <f>AD1167+AD1174</f>
        <v>0</v>
      </c>
      <c r="AE1166" s="2164">
        <f t="shared" si="2379"/>
        <v>0</v>
      </c>
      <c r="AF1166" s="2204"/>
      <c r="AG1166" s="2158"/>
      <c r="AH1166" s="2171">
        <f>AH1167+AH1174</f>
        <v>0</v>
      </c>
      <c r="AI1166" s="2171">
        <f>AI1167+AI1174</f>
        <v>0</v>
      </c>
      <c r="AJ1166" s="2172">
        <f t="shared" si="2380"/>
        <v>0</v>
      </c>
      <c r="AK1166" s="2171">
        <f>AK1167+AK1174</f>
        <v>0</v>
      </c>
      <c r="AL1166" s="2171">
        <f>AL1167+AL1174</f>
        <v>0</v>
      </c>
      <c r="AM1166" s="2172">
        <f t="shared" si="2381"/>
        <v>0</v>
      </c>
      <c r="AN1166" s="2171">
        <f>AN1167+AN1174</f>
        <v>0</v>
      </c>
      <c r="AO1166" s="2171">
        <f>AO1167+AO1174</f>
        <v>0</v>
      </c>
      <c r="AP1166" s="2172">
        <f t="shared" si="2382"/>
        <v>0</v>
      </c>
      <c r="AQ1166" s="2171">
        <f>AQ1167+AQ1174</f>
        <v>0</v>
      </c>
      <c r="AR1166" s="2171">
        <f>AR1167+AR1174</f>
        <v>0</v>
      </c>
      <c r="AS1166" s="2172">
        <f t="shared" si="2383"/>
        <v>0</v>
      </c>
      <c r="AT1166" s="2171">
        <f>AT1167+AT1174</f>
        <v>0</v>
      </c>
      <c r="AU1166" s="2171">
        <f>AU1167+AU1174</f>
        <v>0</v>
      </c>
      <c r="AV1166" s="2172">
        <f t="shared" si="2384"/>
        <v>0</v>
      </c>
      <c r="AW1166" s="2171">
        <f>AW1167+AW1174</f>
        <v>0</v>
      </c>
      <c r="AX1166" s="2171">
        <f>AX1167+AX1174</f>
        <v>0</v>
      </c>
      <c r="AY1166" s="2172">
        <f t="shared" si="2385"/>
        <v>0</v>
      </c>
      <c r="AZ1166" s="2171">
        <f>AZ1167+AZ1174</f>
        <v>0</v>
      </c>
      <c r="BA1166" s="2171">
        <f>BA1167+BA1174</f>
        <v>0</v>
      </c>
      <c r="BB1166" s="2172">
        <f t="shared" si="2386"/>
        <v>0</v>
      </c>
      <c r="BC1166" s="2171">
        <f>BC1167+BC1174</f>
        <v>0</v>
      </c>
      <c r="BD1166" s="2171">
        <f>BD1167+BD1174</f>
        <v>0</v>
      </c>
      <c r="BE1166" s="2172">
        <f t="shared" si="2387"/>
        <v>0</v>
      </c>
      <c r="BF1166" s="2171">
        <f>BF1167+BF1174</f>
        <v>0</v>
      </c>
      <c r="BG1166" s="2171">
        <f>BG1167+BG1174</f>
        <v>0</v>
      </c>
      <c r="BH1166" s="2172">
        <f t="shared" si="2388"/>
        <v>0</v>
      </c>
      <c r="BI1166" s="2171">
        <f>BI1167+BI1174</f>
        <v>0</v>
      </c>
      <c r="BJ1166" s="2171">
        <f>BJ1167+BJ1174</f>
        <v>0</v>
      </c>
      <c r="BK1166" s="2172">
        <f t="shared" si="2389"/>
        <v>0</v>
      </c>
      <c r="BL1166" s="2171">
        <f>BL1167+BL1174</f>
        <v>0</v>
      </c>
      <c r="BM1166" s="2171">
        <f>BM1167+BM1174</f>
        <v>0</v>
      </c>
      <c r="BN1166" s="2172">
        <f t="shared" si="2390"/>
        <v>0</v>
      </c>
      <c r="BO1166" s="2171">
        <f>BO1167+BO1174</f>
        <v>0</v>
      </c>
      <c r="BP1166" s="2171">
        <f>BP1167+BP1174</f>
        <v>0</v>
      </c>
      <c r="BQ1166" s="2172">
        <f t="shared" si="2391"/>
        <v>0</v>
      </c>
    </row>
    <row r="1167" spans="3:69" s="2087" customFormat="1" ht="12" hidden="1" customHeight="1">
      <c r="C1167" s="2423" t="s">
        <v>3319</v>
      </c>
      <c r="D1167" s="2421" t="s">
        <v>3187</v>
      </c>
      <c r="E1167" s="2250" t="s">
        <v>1833</v>
      </c>
      <c r="F1167" s="2176"/>
      <c r="G1167" s="2179">
        <f>G1168+G1170+G1172</f>
        <v>0</v>
      </c>
      <c r="H1167" s="2179">
        <f>H1168+H1170+H1172</f>
        <v>0</v>
      </c>
      <c r="I1167" s="2178">
        <f t="shared" si="2372"/>
        <v>0</v>
      </c>
      <c r="J1167" s="2176"/>
      <c r="K1167" s="2179">
        <f t="shared" si="2331"/>
        <v>0</v>
      </c>
      <c r="L1167" s="2179">
        <f t="shared" si="2331"/>
        <v>0</v>
      </c>
      <c r="M1167" s="2178">
        <f t="shared" si="2373"/>
        <v>0</v>
      </c>
      <c r="N1167" s="2179">
        <f>N1168+N1170+N1172</f>
        <v>0</v>
      </c>
      <c r="O1167" s="2179">
        <f>O1168+O1170+O1172</f>
        <v>0</v>
      </c>
      <c r="P1167" s="2178">
        <f t="shared" si="2374"/>
        <v>0</v>
      </c>
      <c r="Q1167" s="2179">
        <f>Q1168+Q1170+Q1172</f>
        <v>0</v>
      </c>
      <c r="R1167" s="2179">
        <f>R1168+R1170+R1172</f>
        <v>0</v>
      </c>
      <c r="S1167" s="2178">
        <f t="shared" si="2375"/>
        <v>0</v>
      </c>
      <c r="T1167" s="2181">
        <f t="shared" ref="T1167:U1182" si="2430">N1167+Q1167</f>
        <v>0</v>
      </c>
      <c r="U1167" s="2179">
        <f t="shared" si="2430"/>
        <v>0</v>
      </c>
      <c r="V1167" s="2178">
        <f t="shared" si="2376"/>
        <v>0</v>
      </c>
      <c r="W1167" s="2179">
        <f>W1168+W1170+W1172</f>
        <v>0</v>
      </c>
      <c r="X1167" s="2179">
        <f>X1168+X1170+X1172</f>
        <v>0</v>
      </c>
      <c r="Y1167" s="2178">
        <f t="shared" si="2377"/>
        <v>0</v>
      </c>
      <c r="Z1167" s="2181">
        <f t="shared" ref="Z1167:AA1182" si="2431">T1167+W1167</f>
        <v>0</v>
      </c>
      <c r="AA1167" s="2179">
        <f t="shared" si="2431"/>
        <v>0</v>
      </c>
      <c r="AB1167" s="2178">
        <f t="shared" si="2378"/>
        <v>0</v>
      </c>
      <c r="AC1167" s="2179">
        <f>AC1168+AC1170+AC1172</f>
        <v>0</v>
      </c>
      <c r="AD1167" s="2179">
        <f>AD1168+AD1170+AD1172</f>
        <v>0</v>
      </c>
      <c r="AE1167" s="2178">
        <f t="shared" si="2379"/>
        <v>0</v>
      </c>
      <c r="AF1167" s="2204"/>
      <c r="AG1167" s="2114"/>
      <c r="AH1167" s="2188">
        <f>AH1168+AH1170+AH1172</f>
        <v>0</v>
      </c>
      <c r="AI1167" s="2188">
        <f>AI1168+AI1170+AI1172</f>
        <v>0</v>
      </c>
      <c r="AJ1167" s="2186">
        <f t="shared" si="2380"/>
        <v>0</v>
      </c>
      <c r="AK1167" s="2188">
        <f>AK1168+AK1170+AK1172</f>
        <v>0</v>
      </c>
      <c r="AL1167" s="2188">
        <f>AL1168+AL1170+AL1172</f>
        <v>0</v>
      </c>
      <c r="AM1167" s="2186">
        <f t="shared" si="2381"/>
        <v>0</v>
      </c>
      <c r="AN1167" s="2188">
        <f>AN1168+AN1170+AN1172</f>
        <v>0</v>
      </c>
      <c r="AO1167" s="2188">
        <f>AO1168+AO1170+AO1172</f>
        <v>0</v>
      </c>
      <c r="AP1167" s="2186">
        <f t="shared" si="2382"/>
        <v>0</v>
      </c>
      <c r="AQ1167" s="2188">
        <f>AQ1168+AQ1170+AQ1172</f>
        <v>0</v>
      </c>
      <c r="AR1167" s="2188">
        <f>AR1168+AR1170+AR1172</f>
        <v>0</v>
      </c>
      <c r="AS1167" s="2186">
        <f t="shared" si="2383"/>
        <v>0</v>
      </c>
      <c r="AT1167" s="2188">
        <f>AT1168+AT1170+AT1172</f>
        <v>0</v>
      </c>
      <c r="AU1167" s="2188">
        <f>AU1168+AU1170+AU1172</f>
        <v>0</v>
      </c>
      <c r="AV1167" s="2186">
        <f t="shared" si="2384"/>
        <v>0</v>
      </c>
      <c r="AW1167" s="2188">
        <f>AW1168+AW1170+AW1172</f>
        <v>0</v>
      </c>
      <c r="AX1167" s="2188">
        <f>AX1168+AX1170+AX1172</f>
        <v>0</v>
      </c>
      <c r="AY1167" s="2186">
        <f t="shared" si="2385"/>
        <v>0</v>
      </c>
      <c r="AZ1167" s="2188">
        <f>AZ1168+AZ1170+AZ1172</f>
        <v>0</v>
      </c>
      <c r="BA1167" s="2188">
        <f>BA1168+BA1170+BA1172</f>
        <v>0</v>
      </c>
      <c r="BB1167" s="2186">
        <f t="shared" si="2386"/>
        <v>0</v>
      </c>
      <c r="BC1167" s="2188">
        <f>BC1168+BC1170+BC1172</f>
        <v>0</v>
      </c>
      <c r="BD1167" s="2188">
        <f>BD1168+BD1170+BD1172</f>
        <v>0</v>
      </c>
      <c r="BE1167" s="2186">
        <f t="shared" si="2387"/>
        <v>0</v>
      </c>
      <c r="BF1167" s="2188">
        <f>BF1168+BF1170+BF1172</f>
        <v>0</v>
      </c>
      <c r="BG1167" s="2188">
        <f>BG1168+BG1170+BG1172</f>
        <v>0</v>
      </c>
      <c r="BH1167" s="2186">
        <f t="shared" si="2388"/>
        <v>0</v>
      </c>
      <c r="BI1167" s="2188">
        <f>BI1168+BI1170+BI1172</f>
        <v>0</v>
      </c>
      <c r="BJ1167" s="2188">
        <f>BJ1168+BJ1170+BJ1172</f>
        <v>0</v>
      </c>
      <c r="BK1167" s="2186">
        <f t="shared" si="2389"/>
        <v>0</v>
      </c>
      <c r="BL1167" s="2188">
        <f>BL1168+BL1170+BL1172</f>
        <v>0</v>
      </c>
      <c r="BM1167" s="2188">
        <f>BM1168+BM1170+BM1172</f>
        <v>0</v>
      </c>
      <c r="BN1167" s="2186">
        <f t="shared" si="2390"/>
        <v>0</v>
      </c>
      <c r="BO1167" s="2188">
        <f>BO1168+BO1170+BO1172</f>
        <v>0</v>
      </c>
      <c r="BP1167" s="2188">
        <f>BP1168+BP1170+BP1172</f>
        <v>0</v>
      </c>
      <c r="BQ1167" s="2186">
        <f t="shared" si="2391"/>
        <v>0</v>
      </c>
    </row>
    <row r="1168" spans="3:69" s="2087" customFormat="1" ht="12" hidden="1" customHeight="1">
      <c r="C1168" s="2473" t="s">
        <v>3320</v>
      </c>
      <c r="D1168" s="2334" t="s">
        <v>28</v>
      </c>
      <c r="E1168" s="2250" t="s">
        <v>1833</v>
      </c>
      <c r="F1168" s="2176"/>
      <c r="G1168" s="2177"/>
      <c r="H1168" s="2177"/>
      <c r="I1168" s="2178">
        <f t="shared" si="2372"/>
        <v>0</v>
      </c>
      <c r="J1168" s="2176"/>
      <c r="K1168" s="2179">
        <f t="shared" si="2331"/>
        <v>0</v>
      </c>
      <c r="L1168" s="2179">
        <f t="shared" si="2331"/>
        <v>0</v>
      </c>
      <c r="M1168" s="2178">
        <f t="shared" si="2373"/>
        <v>0</v>
      </c>
      <c r="N1168" s="2177"/>
      <c r="O1168" s="2177"/>
      <c r="P1168" s="2178">
        <f t="shared" si="2374"/>
        <v>0</v>
      </c>
      <c r="Q1168" s="2176"/>
      <c r="R1168" s="2177"/>
      <c r="S1168" s="2178">
        <f t="shared" si="2375"/>
        <v>0</v>
      </c>
      <c r="T1168" s="2181">
        <f t="shared" si="2430"/>
        <v>0</v>
      </c>
      <c r="U1168" s="2179">
        <f t="shared" si="2430"/>
        <v>0</v>
      </c>
      <c r="V1168" s="2178">
        <f t="shared" si="2376"/>
        <v>0</v>
      </c>
      <c r="W1168" s="2176"/>
      <c r="X1168" s="2177"/>
      <c r="Y1168" s="2178">
        <f t="shared" si="2377"/>
        <v>0</v>
      </c>
      <c r="Z1168" s="2181">
        <f t="shared" si="2431"/>
        <v>0</v>
      </c>
      <c r="AA1168" s="2179">
        <f t="shared" si="2431"/>
        <v>0</v>
      </c>
      <c r="AB1168" s="2178">
        <f t="shared" si="2378"/>
        <v>0</v>
      </c>
      <c r="AC1168" s="2176"/>
      <c r="AD1168" s="2177"/>
      <c r="AE1168" s="2178">
        <f t="shared" si="2379"/>
        <v>0</v>
      </c>
      <c r="AF1168" s="2204"/>
      <c r="AG1168" s="2114"/>
      <c r="AH1168" s="2177"/>
      <c r="AI1168" s="2177"/>
      <c r="AJ1168" s="2186">
        <f t="shared" si="2380"/>
        <v>0</v>
      </c>
      <c r="AK1168" s="2177"/>
      <c r="AL1168" s="2177"/>
      <c r="AM1168" s="2186">
        <f t="shared" si="2381"/>
        <v>0</v>
      </c>
      <c r="AN1168" s="2177"/>
      <c r="AO1168" s="2177"/>
      <c r="AP1168" s="2186">
        <f t="shared" si="2382"/>
        <v>0</v>
      </c>
      <c r="AQ1168" s="2177"/>
      <c r="AR1168" s="2177"/>
      <c r="AS1168" s="2186">
        <f t="shared" si="2383"/>
        <v>0</v>
      </c>
      <c r="AT1168" s="2177"/>
      <c r="AU1168" s="2177"/>
      <c r="AV1168" s="2186">
        <f t="shared" si="2384"/>
        <v>0</v>
      </c>
      <c r="AW1168" s="2177"/>
      <c r="AX1168" s="2177"/>
      <c r="AY1168" s="2186">
        <f t="shared" si="2385"/>
        <v>0</v>
      </c>
      <c r="AZ1168" s="2177"/>
      <c r="BA1168" s="2177"/>
      <c r="BB1168" s="2186">
        <f t="shared" si="2386"/>
        <v>0</v>
      </c>
      <c r="BC1168" s="2177"/>
      <c r="BD1168" s="2177"/>
      <c r="BE1168" s="2186">
        <f t="shared" si="2387"/>
        <v>0</v>
      </c>
      <c r="BF1168" s="2177"/>
      <c r="BG1168" s="2177"/>
      <c r="BH1168" s="2186">
        <f t="shared" si="2388"/>
        <v>0</v>
      </c>
      <c r="BI1168" s="2177"/>
      <c r="BJ1168" s="2177"/>
      <c r="BK1168" s="2186">
        <f t="shared" si="2389"/>
        <v>0</v>
      </c>
      <c r="BL1168" s="2177"/>
      <c r="BM1168" s="2177"/>
      <c r="BN1168" s="2186">
        <f t="shared" si="2390"/>
        <v>0</v>
      </c>
      <c r="BO1168" s="2177"/>
      <c r="BP1168" s="2177"/>
      <c r="BQ1168" s="2186">
        <f t="shared" si="2391"/>
        <v>0</v>
      </c>
    </row>
    <row r="1169" spans="3:69" s="2087" customFormat="1" ht="12" hidden="1" customHeight="1">
      <c r="C1169" s="2473" t="s">
        <v>3320</v>
      </c>
      <c r="D1169" s="2334" t="s">
        <v>2434</v>
      </c>
      <c r="E1169" s="2250" t="s">
        <v>1833</v>
      </c>
      <c r="F1169" s="2176"/>
      <c r="G1169" s="2177"/>
      <c r="H1169" s="2177"/>
      <c r="I1169" s="2178">
        <f t="shared" si="2372"/>
        <v>0</v>
      </c>
      <c r="J1169" s="2176"/>
      <c r="K1169" s="2179">
        <f>N1169+Q1169+W1169+AC1169</f>
        <v>0</v>
      </c>
      <c r="L1169" s="2179">
        <f>O1169+R1169+X1169+AD1169</f>
        <v>0</v>
      </c>
      <c r="M1169" s="2178">
        <f t="shared" si="2373"/>
        <v>0</v>
      </c>
      <c r="N1169" s="2177"/>
      <c r="O1169" s="2177"/>
      <c r="P1169" s="2178">
        <f t="shared" si="2374"/>
        <v>0</v>
      </c>
      <c r="Q1169" s="2176"/>
      <c r="R1169" s="2177"/>
      <c r="S1169" s="2178">
        <f t="shared" si="2375"/>
        <v>0</v>
      </c>
      <c r="T1169" s="2181">
        <f>N1169+Q1169</f>
        <v>0</v>
      </c>
      <c r="U1169" s="2179">
        <f>O1169+R1169</f>
        <v>0</v>
      </c>
      <c r="V1169" s="2178">
        <f t="shared" si="2376"/>
        <v>0</v>
      </c>
      <c r="W1169" s="2176"/>
      <c r="X1169" s="2177"/>
      <c r="Y1169" s="2178">
        <f t="shared" si="2377"/>
        <v>0</v>
      </c>
      <c r="Z1169" s="2181">
        <f>T1169+W1169</f>
        <v>0</v>
      </c>
      <c r="AA1169" s="2179">
        <f>U1169+X1169</f>
        <v>0</v>
      </c>
      <c r="AB1169" s="2178">
        <f t="shared" si="2378"/>
        <v>0</v>
      </c>
      <c r="AC1169" s="2176"/>
      <c r="AD1169" s="2177"/>
      <c r="AE1169" s="2178">
        <f t="shared" si="2379"/>
        <v>0</v>
      </c>
      <c r="AF1169" s="2204"/>
      <c r="AG1169" s="2114"/>
      <c r="AH1169" s="2177"/>
      <c r="AI1169" s="2177"/>
      <c r="AJ1169" s="2186">
        <f t="shared" si="2380"/>
        <v>0</v>
      </c>
      <c r="AK1169" s="2177"/>
      <c r="AL1169" s="2177"/>
      <c r="AM1169" s="2186">
        <f t="shared" si="2381"/>
        <v>0</v>
      </c>
      <c r="AN1169" s="2177"/>
      <c r="AO1169" s="2177"/>
      <c r="AP1169" s="2186">
        <f t="shared" si="2382"/>
        <v>0</v>
      </c>
      <c r="AQ1169" s="2177"/>
      <c r="AR1169" s="2177"/>
      <c r="AS1169" s="2186">
        <f t="shared" si="2383"/>
        <v>0</v>
      </c>
      <c r="AT1169" s="2177"/>
      <c r="AU1169" s="2177"/>
      <c r="AV1169" s="2186">
        <f t="shared" si="2384"/>
        <v>0</v>
      </c>
      <c r="AW1169" s="2177"/>
      <c r="AX1169" s="2177"/>
      <c r="AY1169" s="2186">
        <f t="shared" si="2385"/>
        <v>0</v>
      </c>
      <c r="AZ1169" s="2177"/>
      <c r="BA1169" s="2177"/>
      <c r="BB1169" s="2186">
        <f t="shared" si="2386"/>
        <v>0</v>
      </c>
      <c r="BC1169" s="2177"/>
      <c r="BD1169" s="2177"/>
      <c r="BE1169" s="2186">
        <f t="shared" si="2387"/>
        <v>0</v>
      </c>
      <c r="BF1169" s="2177"/>
      <c r="BG1169" s="2177"/>
      <c r="BH1169" s="2186">
        <f t="shared" si="2388"/>
        <v>0</v>
      </c>
      <c r="BI1169" s="2177"/>
      <c r="BJ1169" s="2177"/>
      <c r="BK1169" s="2186">
        <f t="shared" si="2389"/>
        <v>0</v>
      </c>
      <c r="BL1169" s="2177"/>
      <c r="BM1169" s="2177"/>
      <c r="BN1169" s="2186">
        <f t="shared" si="2390"/>
        <v>0</v>
      </c>
      <c r="BO1169" s="2177"/>
      <c r="BP1169" s="2177"/>
      <c r="BQ1169" s="2186">
        <f t="shared" si="2391"/>
        <v>0</v>
      </c>
    </row>
    <row r="1170" spans="3:69" s="2087" customFormat="1" ht="12" hidden="1" customHeight="1">
      <c r="C1170" s="2473" t="s">
        <v>3321</v>
      </c>
      <c r="D1170" s="2334" t="s">
        <v>2872</v>
      </c>
      <c r="E1170" s="2250" t="s">
        <v>1833</v>
      </c>
      <c r="F1170" s="2176"/>
      <c r="G1170" s="2177"/>
      <c r="H1170" s="2177"/>
      <c r="I1170" s="2178">
        <f t="shared" si="2372"/>
        <v>0</v>
      </c>
      <c r="J1170" s="2176"/>
      <c r="K1170" s="2179">
        <f t="shared" si="2331"/>
        <v>0</v>
      </c>
      <c r="L1170" s="2179">
        <f t="shared" si="2331"/>
        <v>0</v>
      </c>
      <c r="M1170" s="2178">
        <f t="shared" si="2373"/>
        <v>0</v>
      </c>
      <c r="N1170" s="2177"/>
      <c r="O1170" s="2177"/>
      <c r="P1170" s="2178">
        <f t="shared" si="2374"/>
        <v>0</v>
      </c>
      <c r="Q1170" s="2176"/>
      <c r="R1170" s="2177"/>
      <c r="S1170" s="2178">
        <f t="shared" si="2375"/>
        <v>0</v>
      </c>
      <c r="T1170" s="2181">
        <f t="shared" si="2430"/>
        <v>0</v>
      </c>
      <c r="U1170" s="2179">
        <f t="shared" si="2430"/>
        <v>0</v>
      </c>
      <c r="V1170" s="2178">
        <f t="shared" si="2376"/>
        <v>0</v>
      </c>
      <c r="W1170" s="2176"/>
      <c r="X1170" s="2177"/>
      <c r="Y1170" s="2178">
        <f t="shared" si="2377"/>
        <v>0</v>
      </c>
      <c r="Z1170" s="2181">
        <f t="shared" si="2431"/>
        <v>0</v>
      </c>
      <c r="AA1170" s="2179">
        <f t="shared" si="2431"/>
        <v>0</v>
      </c>
      <c r="AB1170" s="2178">
        <f t="shared" si="2378"/>
        <v>0</v>
      </c>
      <c r="AC1170" s="2176"/>
      <c r="AD1170" s="2177"/>
      <c r="AE1170" s="2178">
        <f t="shared" si="2379"/>
        <v>0</v>
      </c>
      <c r="AF1170" s="2204"/>
      <c r="AG1170" s="2114"/>
      <c r="AH1170" s="2177"/>
      <c r="AI1170" s="2177"/>
      <c r="AJ1170" s="2186">
        <f t="shared" si="2380"/>
        <v>0</v>
      </c>
      <c r="AK1170" s="2177"/>
      <c r="AL1170" s="2177"/>
      <c r="AM1170" s="2186">
        <f t="shared" si="2381"/>
        <v>0</v>
      </c>
      <c r="AN1170" s="2177"/>
      <c r="AO1170" s="2177"/>
      <c r="AP1170" s="2186">
        <f t="shared" si="2382"/>
        <v>0</v>
      </c>
      <c r="AQ1170" s="2177"/>
      <c r="AR1170" s="2177"/>
      <c r="AS1170" s="2186">
        <f t="shared" si="2383"/>
        <v>0</v>
      </c>
      <c r="AT1170" s="2177"/>
      <c r="AU1170" s="2177"/>
      <c r="AV1170" s="2186">
        <f t="shared" si="2384"/>
        <v>0</v>
      </c>
      <c r="AW1170" s="2177"/>
      <c r="AX1170" s="2177"/>
      <c r="AY1170" s="2186">
        <f t="shared" si="2385"/>
        <v>0</v>
      </c>
      <c r="AZ1170" s="2177"/>
      <c r="BA1170" s="2177"/>
      <c r="BB1170" s="2186">
        <f t="shared" si="2386"/>
        <v>0</v>
      </c>
      <c r="BC1170" s="2177"/>
      <c r="BD1170" s="2177"/>
      <c r="BE1170" s="2186">
        <f t="shared" si="2387"/>
        <v>0</v>
      </c>
      <c r="BF1170" s="2177"/>
      <c r="BG1170" s="2177"/>
      <c r="BH1170" s="2186">
        <f t="shared" si="2388"/>
        <v>0</v>
      </c>
      <c r="BI1170" s="2177"/>
      <c r="BJ1170" s="2177"/>
      <c r="BK1170" s="2186">
        <f t="shared" si="2389"/>
        <v>0</v>
      </c>
      <c r="BL1170" s="2177"/>
      <c r="BM1170" s="2177"/>
      <c r="BN1170" s="2186">
        <f t="shared" si="2390"/>
        <v>0</v>
      </c>
      <c r="BO1170" s="2177"/>
      <c r="BP1170" s="2177"/>
      <c r="BQ1170" s="2186">
        <f t="shared" si="2391"/>
        <v>0</v>
      </c>
    </row>
    <row r="1171" spans="3:69" s="2087" customFormat="1" ht="12" hidden="1" customHeight="1">
      <c r="C1171" s="2473" t="s">
        <v>3321</v>
      </c>
      <c r="D1171" s="2334" t="s">
        <v>2434</v>
      </c>
      <c r="E1171" s="2250" t="s">
        <v>1833</v>
      </c>
      <c r="F1171" s="2176"/>
      <c r="G1171" s="2177"/>
      <c r="H1171" s="2177"/>
      <c r="I1171" s="2178">
        <f t="shared" si="2372"/>
        <v>0</v>
      </c>
      <c r="J1171" s="2176"/>
      <c r="K1171" s="2179">
        <f>N1171+Q1171+W1171+AC1171</f>
        <v>0</v>
      </c>
      <c r="L1171" s="2179">
        <f>O1171+R1171+X1171+AD1171</f>
        <v>0</v>
      </c>
      <c r="M1171" s="2178">
        <f t="shared" si="2373"/>
        <v>0</v>
      </c>
      <c r="N1171" s="2177"/>
      <c r="O1171" s="2177"/>
      <c r="P1171" s="2178">
        <f t="shared" si="2374"/>
        <v>0</v>
      </c>
      <c r="Q1171" s="2176"/>
      <c r="R1171" s="2177"/>
      <c r="S1171" s="2178">
        <f t="shared" si="2375"/>
        <v>0</v>
      </c>
      <c r="T1171" s="2181">
        <f>N1171+Q1171</f>
        <v>0</v>
      </c>
      <c r="U1171" s="2179">
        <f>O1171+R1171</f>
        <v>0</v>
      </c>
      <c r="V1171" s="2178">
        <f t="shared" si="2376"/>
        <v>0</v>
      </c>
      <c r="W1171" s="2176"/>
      <c r="X1171" s="2177"/>
      <c r="Y1171" s="2178">
        <f t="shared" si="2377"/>
        <v>0</v>
      </c>
      <c r="Z1171" s="2181">
        <f>T1171+W1171</f>
        <v>0</v>
      </c>
      <c r="AA1171" s="2179">
        <f>U1171+X1171</f>
        <v>0</v>
      </c>
      <c r="AB1171" s="2178">
        <f t="shared" si="2378"/>
        <v>0</v>
      </c>
      <c r="AC1171" s="2176"/>
      <c r="AD1171" s="2177"/>
      <c r="AE1171" s="2178">
        <f t="shared" si="2379"/>
        <v>0</v>
      </c>
      <c r="AF1171" s="2204"/>
      <c r="AG1171" s="2114"/>
      <c r="AH1171" s="2177"/>
      <c r="AI1171" s="2177"/>
      <c r="AJ1171" s="2186">
        <f t="shared" si="2380"/>
        <v>0</v>
      </c>
      <c r="AK1171" s="2177"/>
      <c r="AL1171" s="2177"/>
      <c r="AM1171" s="2186">
        <f t="shared" si="2381"/>
        <v>0</v>
      </c>
      <c r="AN1171" s="2177"/>
      <c r="AO1171" s="2177"/>
      <c r="AP1171" s="2186">
        <f t="shared" si="2382"/>
        <v>0</v>
      </c>
      <c r="AQ1171" s="2177"/>
      <c r="AR1171" s="2177"/>
      <c r="AS1171" s="2186">
        <f t="shared" si="2383"/>
        <v>0</v>
      </c>
      <c r="AT1171" s="2177"/>
      <c r="AU1171" s="2177"/>
      <c r="AV1171" s="2186">
        <f t="shared" si="2384"/>
        <v>0</v>
      </c>
      <c r="AW1171" s="2177"/>
      <c r="AX1171" s="2177"/>
      <c r="AY1171" s="2186">
        <f t="shared" si="2385"/>
        <v>0</v>
      </c>
      <c r="AZ1171" s="2177"/>
      <c r="BA1171" s="2177"/>
      <c r="BB1171" s="2186">
        <f t="shared" si="2386"/>
        <v>0</v>
      </c>
      <c r="BC1171" s="2177"/>
      <c r="BD1171" s="2177"/>
      <c r="BE1171" s="2186">
        <f t="shared" si="2387"/>
        <v>0</v>
      </c>
      <c r="BF1171" s="2177"/>
      <c r="BG1171" s="2177"/>
      <c r="BH1171" s="2186">
        <f t="shared" si="2388"/>
        <v>0</v>
      </c>
      <c r="BI1171" s="2177"/>
      <c r="BJ1171" s="2177"/>
      <c r="BK1171" s="2186">
        <f t="shared" si="2389"/>
        <v>0</v>
      </c>
      <c r="BL1171" s="2177"/>
      <c r="BM1171" s="2177"/>
      <c r="BN1171" s="2186">
        <f t="shared" si="2390"/>
        <v>0</v>
      </c>
      <c r="BO1171" s="2177"/>
      <c r="BP1171" s="2177"/>
      <c r="BQ1171" s="2186">
        <f t="shared" si="2391"/>
        <v>0</v>
      </c>
    </row>
    <row r="1172" spans="3:69" s="2087" customFormat="1" ht="12" hidden="1" customHeight="1">
      <c r="C1172" s="2473" t="s">
        <v>3322</v>
      </c>
      <c r="D1172" s="2334" t="s">
        <v>42</v>
      </c>
      <c r="E1172" s="2250" t="s">
        <v>1833</v>
      </c>
      <c r="F1172" s="2176"/>
      <c r="G1172" s="2177"/>
      <c r="H1172" s="2177"/>
      <c r="I1172" s="2178">
        <f t="shared" si="2372"/>
        <v>0</v>
      </c>
      <c r="J1172" s="2176"/>
      <c r="K1172" s="2179">
        <f t="shared" si="2331"/>
        <v>0</v>
      </c>
      <c r="L1172" s="2179">
        <f t="shared" si="2331"/>
        <v>0</v>
      </c>
      <c r="M1172" s="2178">
        <f t="shared" si="2373"/>
        <v>0</v>
      </c>
      <c r="N1172" s="2177"/>
      <c r="O1172" s="2177"/>
      <c r="P1172" s="2178">
        <f t="shared" si="2374"/>
        <v>0</v>
      </c>
      <c r="Q1172" s="2176"/>
      <c r="R1172" s="2177"/>
      <c r="S1172" s="2178">
        <f t="shared" si="2375"/>
        <v>0</v>
      </c>
      <c r="T1172" s="2181">
        <f t="shared" si="2430"/>
        <v>0</v>
      </c>
      <c r="U1172" s="2179">
        <f t="shared" si="2430"/>
        <v>0</v>
      </c>
      <c r="V1172" s="2178">
        <f t="shared" si="2376"/>
        <v>0</v>
      </c>
      <c r="W1172" s="2176"/>
      <c r="X1172" s="2177"/>
      <c r="Y1172" s="2178">
        <f t="shared" si="2377"/>
        <v>0</v>
      </c>
      <c r="Z1172" s="2181">
        <f t="shared" si="2431"/>
        <v>0</v>
      </c>
      <c r="AA1172" s="2179">
        <f t="shared" si="2431"/>
        <v>0</v>
      </c>
      <c r="AB1172" s="2178">
        <f t="shared" si="2378"/>
        <v>0</v>
      </c>
      <c r="AC1172" s="2176"/>
      <c r="AD1172" s="2177"/>
      <c r="AE1172" s="2178">
        <f t="shared" si="2379"/>
        <v>0</v>
      </c>
      <c r="AF1172" s="2204"/>
      <c r="AG1172" s="2114"/>
      <c r="AH1172" s="2177"/>
      <c r="AI1172" s="2177"/>
      <c r="AJ1172" s="2186">
        <f t="shared" si="2380"/>
        <v>0</v>
      </c>
      <c r="AK1172" s="2177"/>
      <c r="AL1172" s="2177"/>
      <c r="AM1172" s="2186">
        <f t="shared" si="2381"/>
        <v>0</v>
      </c>
      <c r="AN1172" s="2177"/>
      <c r="AO1172" s="2177"/>
      <c r="AP1172" s="2186">
        <f t="shared" si="2382"/>
        <v>0</v>
      </c>
      <c r="AQ1172" s="2177"/>
      <c r="AR1172" s="2177"/>
      <c r="AS1172" s="2186">
        <f t="shared" si="2383"/>
        <v>0</v>
      </c>
      <c r="AT1172" s="2177"/>
      <c r="AU1172" s="2177"/>
      <c r="AV1172" s="2186">
        <f t="shared" si="2384"/>
        <v>0</v>
      </c>
      <c r="AW1172" s="2177"/>
      <c r="AX1172" s="2177"/>
      <c r="AY1172" s="2186">
        <f t="shared" si="2385"/>
        <v>0</v>
      </c>
      <c r="AZ1172" s="2177"/>
      <c r="BA1172" s="2177"/>
      <c r="BB1172" s="2186">
        <f t="shared" si="2386"/>
        <v>0</v>
      </c>
      <c r="BC1172" s="2177"/>
      <c r="BD1172" s="2177"/>
      <c r="BE1172" s="2186">
        <f t="shared" si="2387"/>
        <v>0</v>
      </c>
      <c r="BF1172" s="2177"/>
      <c r="BG1172" s="2177"/>
      <c r="BH1172" s="2186">
        <f t="shared" si="2388"/>
        <v>0</v>
      </c>
      <c r="BI1172" s="2177"/>
      <c r="BJ1172" s="2177"/>
      <c r="BK1172" s="2186">
        <f t="shared" si="2389"/>
        <v>0</v>
      </c>
      <c r="BL1172" s="2177"/>
      <c r="BM1172" s="2177"/>
      <c r="BN1172" s="2186">
        <f t="shared" si="2390"/>
        <v>0</v>
      </c>
      <c r="BO1172" s="2177"/>
      <c r="BP1172" s="2177"/>
      <c r="BQ1172" s="2186">
        <f t="shared" si="2391"/>
        <v>0</v>
      </c>
    </row>
    <row r="1173" spans="3:69" s="2087" customFormat="1" ht="12" hidden="1" customHeight="1">
      <c r="C1173" s="2473" t="s">
        <v>3322</v>
      </c>
      <c r="D1173" s="2334" t="s">
        <v>2434</v>
      </c>
      <c r="E1173" s="2250" t="s">
        <v>1833</v>
      </c>
      <c r="F1173" s="2176"/>
      <c r="G1173" s="2177"/>
      <c r="H1173" s="2177"/>
      <c r="I1173" s="2178">
        <f t="shared" si="2372"/>
        <v>0</v>
      </c>
      <c r="J1173" s="2176"/>
      <c r="K1173" s="2179">
        <f>N1173+Q1173+W1173+AC1173</f>
        <v>0</v>
      </c>
      <c r="L1173" s="2179">
        <f>O1173+R1173+X1173+AD1173</f>
        <v>0</v>
      </c>
      <c r="M1173" s="2178">
        <f t="shared" si="2373"/>
        <v>0</v>
      </c>
      <c r="N1173" s="2177"/>
      <c r="O1173" s="2177"/>
      <c r="P1173" s="2178">
        <f t="shared" si="2374"/>
        <v>0</v>
      </c>
      <c r="Q1173" s="2176"/>
      <c r="R1173" s="2177"/>
      <c r="S1173" s="2178">
        <f t="shared" si="2375"/>
        <v>0</v>
      </c>
      <c r="T1173" s="2181">
        <f>N1173+Q1173</f>
        <v>0</v>
      </c>
      <c r="U1173" s="2179">
        <f>O1173+R1173</f>
        <v>0</v>
      </c>
      <c r="V1173" s="2178">
        <f t="shared" si="2376"/>
        <v>0</v>
      </c>
      <c r="W1173" s="2176"/>
      <c r="X1173" s="2177"/>
      <c r="Y1173" s="2178">
        <f t="shared" si="2377"/>
        <v>0</v>
      </c>
      <c r="Z1173" s="2181">
        <f>T1173+W1173</f>
        <v>0</v>
      </c>
      <c r="AA1173" s="2179">
        <f>U1173+X1173</f>
        <v>0</v>
      </c>
      <c r="AB1173" s="2178">
        <f t="shared" si="2378"/>
        <v>0</v>
      </c>
      <c r="AC1173" s="2176"/>
      <c r="AD1173" s="2177"/>
      <c r="AE1173" s="2178">
        <f t="shared" si="2379"/>
        <v>0</v>
      </c>
      <c r="AF1173" s="2204"/>
      <c r="AG1173" s="2114"/>
      <c r="AH1173" s="2177"/>
      <c r="AI1173" s="2177"/>
      <c r="AJ1173" s="2186">
        <f t="shared" si="2380"/>
        <v>0</v>
      </c>
      <c r="AK1173" s="2177"/>
      <c r="AL1173" s="2177"/>
      <c r="AM1173" s="2186">
        <f t="shared" si="2381"/>
        <v>0</v>
      </c>
      <c r="AN1173" s="2177"/>
      <c r="AO1173" s="2177"/>
      <c r="AP1173" s="2186">
        <f t="shared" si="2382"/>
        <v>0</v>
      </c>
      <c r="AQ1173" s="2177"/>
      <c r="AR1173" s="2177"/>
      <c r="AS1173" s="2186">
        <f t="shared" si="2383"/>
        <v>0</v>
      </c>
      <c r="AT1173" s="2177"/>
      <c r="AU1173" s="2177"/>
      <c r="AV1173" s="2186">
        <f t="shared" si="2384"/>
        <v>0</v>
      </c>
      <c r="AW1173" s="2177"/>
      <c r="AX1173" s="2177"/>
      <c r="AY1173" s="2186">
        <f t="shared" si="2385"/>
        <v>0</v>
      </c>
      <c r="AZ1173" s="2177"/>
      <c r="BA1173" s="2177"/>
      <c r="BB1173" s="2186">
        <f t="shared" si="2386"/>
        <v>0</v>
      </c>
      <c r="BC1173" s="2177"/>
      <c r="BD1173" s="2177"/>
      <c r="BE1173" s="2186">
        <f t="shared" si="2387"/>
        <v>0</v>
      </c>
      <c r="BF1173" s="2177"/>
      <c r="BG1173" s="2177"/>
      <c r="BH1173" s="2186">
        <f t="shared" si="2388"/>
        <v>0</v>
      </c>
      <c r="BI1173" s="2177"/>
      <c r="BJ1173" s="2177"/>
      <c r="BK1173" s="2186">
        <f t="shared" si="2389"/>
        <v>0</v>
      </c>
      <c r="BL1173" s="2177"/>
      <c r="BM1173" s="2177"/>
      <c r="BN1173" s="2186">
        <f t="shared" si="2390"/>
        <v>0</v>
      </c>
      <c r="BO1173" s="2177"/>
      <c r="BP1173" s="2177"/>
      <c r="BQ1173" s="2186">
        <f t="shared" si="2391"/>
        <v>0</v>
      </c>
    </row>
    <row r="1174" spans="3:69" s="2087" customFormat="1" ht="12" hidden="1" customHeight="1">
      <c r="C1174" s="2423" t="s">
        <v>3323</v>
      </c>
      <c r="D1174" s="2421" t="s">
        <v>3151</v>
      </c>
      <c r="E1174" s="2250" t="s">
        <v>1833</v>
      </c>
      <c r="F1174" s="2176"/>
      <c r="G1174" s="2179">
        <f>G1175+G1177+G1179</f>
        <v>0</v>
      </c>
      <c r="H1174" s="2179">
        <f>H1175+H1177+H1179</f>
        <v>0</v>
      </c>
      <c r="I1174" s="2178">
        <f t="shared" si="2372"/>
        <v>0</v>
      </c>
      <c r="J1174" s="2176"/>
      <c r="K1174" s="2179">
        <f t="shared" si="2331"/>
        <v>0</v>
      </c>
      <c r="L1174" s="2179">
        <f t="shared" si="2331"/>
        <v>0</v>
      </c>
      <c r="M1174" s="2178">
        <f t="shared" si="2373"/>
        <v>0</v>
      </c>
      <c r="N1174" s="2179">
        <f>N1175+N1177+N1179</f>
        <v>0</v>
      </c>
      <c r="O1174" s="2179">
        <f>O1175+O1177+O1179</f>
        <v>0</v>
      </c>
      <c r="P1174" s="2178">
        <f t="shared" si="2374"/>
        <v>0</v>
      </c>
      <c r="Q1174" s="2179">
        <f>Q1175+Q1177+Q1179</f>
        <v>0</v>
      </c>
      <c r="R1174" s="2179">
        <f>R1175+R1177+R1179</f>
        <v>0</v>
      </c>
      <c r="S1174" s="2178">
        <f t="shared" si="2375"/>
        <v>0</v>
      </c>
      <c r="T1174" s="2181">
        <f t="shared" si="2430"/>
        <v>0</v>
      </c>
      <c r="U1174" s="2179">
        <f t="shared" si="2430"/>
        <v>0</v>
      </c>
      <c r="V1174" s="2178">
        <f t="shared" si="2376"/>
        <v>0</v>
      </c>
      <c r="W1174" s="2179">
        <f>W1175+W1177+W1179</f>
        <v>0</v>
      </c>
      <c r="X1174" s="2179">
        <f>X1175+X1177+X1179</f>
        <v>0</v>
      </c>
      <c r="Y1174" s="2178">
        <f t="shared" si="2377"/>
        <v>0</v>
      </c>
      <c r="Z1174" s="2181">
        <f t="shared" si="2431"/>
        <v>0</v>
      </c>
      <c r="AA1174" s="2179">
        <f t="shared" si="2431"/>
        <v>0</v>
      </c>
      <c r="AB1174" s="2178">
        <f t="shared" si="2378"/>
        <v>0</v>
      </c>
      <c r="AC1174" s="2179">
        <f>AC1175+AC1177+AC1179</f>
        <v>0</v>
      </c>
      <c r="AD1174" s="2179">
        <f>AD1175+AD1177+AD1179</f>
        <v>0</v>
      </c>
      <c r="AE1174" s="2178">
        <f t="shared" si="2379"/>
        <v>0</v>
      </c>
      <c r="AF1174" s="2204"/>
      <c r="AG1174" s="2114"/>
      <c r="AH1174" s="2188">
        <f>AH1175+AH1177+AH1179</f>
        <v>0</v>
      </c>
      <c r="AI1174" s="2188">
        <f>AI1175+AI1177+AI1179</f>
        <v>0</v>
      </c>
      <c r="AJ1174" s="2186">
        <f t="shared" si="2380"/>
        <v>0</v>
      </c>
      <c r="AK1174" s="2188">
        <f>AK1175+AK1177+AK1179</f>
        <v>0</v>
      </c>
      <c r="AL1174" s="2188">
        <f>AL1175+AL1177+AL1179</f>
        <v>0</v>
      </c>
      <c r="AM1174" s="2186">
        <f t="shared" si="2381"/>
        <v>0</v>
      </c>
      <c r="AN1174" s="2188">
        <f>AN1175+AN1177+AN1179</f>
        <v>0</v>
      </c>
      <c r="AO1174" s="2188">
        <f>AO1175+AO1177+AO1179</f>
        <v>0</v>
      </c>
      <c r="AP1174" s="2186">
        <f t="shared" si="2382"/>
        <v>0</v>
      </c>
      <c r="AQ1174" s="2188">
        <f>AQ1175+AQ1177+AQ1179</f>
        <v>0</v>
      </c>
      <c r="AR1174" s="2188">
        <f>AR1175+AR1177+AR1179</f>
        <v>0</v>
      </c>
      <c r="AS1174" s="2186">
        <f t="shared" si="2383"/>
        <v>0</v>
      </c>
      <c r="AT1174" s="2188">
        <f>AT1175+AT1177+AT1179</f>
        <v>0</v>
      </c>
      <c r="AU1174" s="2188">
        <f>AU1175+AU1177+AU1179</f>
        <v>0</v>
      </c>
      <c r="AV1174" s="2186">
        <f t="shared" si="2384"/>
        <v>0</v>
      </c>
      <c r="AW1174" s="2188">
        <f>AW1175+AW1177+AW1179</f>
        <v>0</v>
      </c>
      <c r="AX1174" s="2188">
        <f>AX1175+AX1177+AX1179</f>
        <v>0</v>
      </c>
      <c r="AY1174" s="2186">
        <f t="shared" si="2385"/>
        <v>0</v>
      </c>
      <c r="AZ1174" s="2188">
        <f>AZ1175+AZ1177+AZ1179</f>
        <v>0</v>
      </c>
      <c r="BA1174" s="2188">
        <f>BA1175+BA1177+BA1179</f>
        <v>0</v>
      </c>
      <c r="BB1174" s="2186">
        <f t="shared" si="2386"/>
        <v>0</v>
      </c>
      <c r="BC1174" s="2188">
        <f>BC1175+BC1177+BC1179</f>
        <v>0</v>
      </c>
      <c r="BD1174" s="2188">
        <f>BD1175+BD1177+BD1179</f>
        <v>0</v>
      </c>
      <c r="BE1174" s="2186">
        <f t="shared" si="2387"/>
        <v>0</v>
      </c>
      <c r="BF1174" s="2188">
        <f>BF1175+BF1177+BF1179</f>
        <v>0</v>
      </c>
      <c r="BG1174" s="2188">
        <f>BG1175+BG1177+BG1179</f>
        <v>0</v>
      </c>
      <c r="BH1174" s="2186">
        <f t="shared" si="2388"/>
        <v>0</v>
      </c>
      <c r="BI1174" s="2188">
        <f>BI1175+BI1177+BI1179</f>
        <v>0</v>
      </c>
      <c r="BJ1174" s="2188">
        <f>BJ1175+BJ1177+BJ1179</f>
        <v>0</v>
      </c>
      <c r="BK1174" s="2186">
        <f t="shared" si="2389"/>
        <v>0</v>
      </c>
      <c r="BL1174" s="2188">
        <f>BL1175+BL1177+BL1179</f>
        <v>0</v>
      </c>
      <c r="BM1174" s="2188">
        <f>BM1175+BM1177+BM1179</f>
        <v>0</v>
      </c>
      <c r="BN1174" s="2186">
        <f t="shared" si="2390"/>
        <v>0</v>
      </c>
      <c r="BO1174" s="2188">
        <f>BO1175+BO1177+BO1179</f>
        <v>0</v>
      </c>
      <c r="BP1174" s="2188">
        <f>BP1175+BP1177+BP1179</f>
        <v>0</v>
      </c>
      <c r="BQ1174" s="2186">
        <f t="shared" si="2391"/>
        <v>0</v>
      </c>
    </row>
    <row r="1175" spans="3:69" s="2087" customFormat="1" ht="12" hidden="1" customHeight="1">
      <c r="C1175" s="2473" t="s">
        <v>3324</v>
      </c>
      <c r="D1175" s="2334" t="s">
        <v>28</v>
      </c>
      <c r="E1175" s="2250" t="s">
        <v>1833</v>
      </c>
      <c r="F1175" s="2176"/>
      <c r="G1175" s="2177"/>
      <c r="H1175" s="2177"/>
      <c r="I1175" s="2178">
        <f t="shared" si="2372"/>
        <v>0</v>
      </c>
      <c r="J1175" s="2176"/>
      <c r="K1175" s="2179">
        <f t="shared" si="2331"/>
        <v>0</v>
      </c>
      <c r="L1175" s="2179">
        <f t="shared" si="2331"/>
        <v>0</v>
      </c>
      <c r="M1175" s="2178">
        <f t="shared" si="2373"/>
        <v>0</v>
      </c>
      <c r="N1175" s="2177"/>
      <c r="O1175" s="2177"/>
      <c r="P1175" s="2178">
        <f t="shared" si="2374"/>
        <v>0</v>
      </c>
      <c r="Q1175" s="2176"/>
      <c r="R1175" s="2177"/>
      <c r="S1175" s="2178">
        <f t="shared" si="2375"/>
        <v>0</v>
      </c>
      <c r="T1175" s="2181">
        <f t="shared" si="2430"/>
        <v>0</v>
      </c>
      <c r="U1175" s="2179">
        <f t="shared" si="2430"/>
        <v>0</v>
      </c>
      <c r="V1175" s="2178">
        <f t="shared" si="2376"/>
        <v>0</v>
      </c>
      <c r="W1175" s="2176"/>
      <c r="X1175" s="2177"/>
      <c r="Y1175" s="2178">
        <f t="shared" si="2377"/>
        <v>0</v>
      </c>
      <c r="Z1175" s="2181">
        <f t="shared" si="2431"/>
        <v>0</v>
      </c>
      <c r="AA1175" s="2179">
        <f t="shared" si="2431"/>
        <v>0</v>
      </c>
      <c r="AB1175" s="2178">
        <f t="shared" si="2378"/>
        <v>0</v>
      </c>
      <c r="AC1175" s="2176"/>
      <c r="AD1175" s="2177"/>
      <c r="AE1175" s="2178">
        <f t="shared" si="2379"/>
        <v>0</v>
      </c>
      <c r="AF1175" s="2204"/>
      <c r="AG1175" s="2114"/>
      <c r="AH1175" s="2177"/>
      <c r="AI1175" s="2177"/>
      <c r="AJ1175" s="2186">
        <f t="shared" si="2380"/>
        <v>0</v>
      </c>
      <c r="AK1175" s="2177"/>
      <c r="AL1175" s="2177"/>
      <c r="AM1175" s="2186">
        <f t="shared" si="2381"/>
        <v>0</v>
      </c>
      <c r="AN1175" s="2177"/>
      <c r="AO1175" s="2177"/>
      <c r="AP1175" s="2186">
        <f t="shared" si="2382"/>
        <v>0</v>
      </c>
      <c r="AQ1175" s="2177"/>
      <c r="AR1175" s="2177"/>
      <c r="AS1175" s="2186">
        <f t="shared" si="2383"/>
        <v>0</v>
      </c>
      <c r="AT1175" s="2177"/>
      <c r="AU1175" s="2177"/>
      <c r="AV1175" s="2186">
        <f t="shared" si="2384"/>
        <v>0</v>
      </c>
      <c r="AW1175" s="2177"/>
      <c r="AX1175" s="2177"/>
      <c r="AY1175" s="2186">
        <f t="shared" si="2385"/>
        <v>0</v>
      </c>
      <c r="AZ1175" s="2177"/>
      <c r="BA1175" s="2177"/>
      <c r="BB1175" s="2186">
        <f t="shared" si="2386"/>
        <v>0</v>
      </c>
      <c r="BC1175" s="2177"/>
      <c r="BD1175" s="2177"/>
      <c r="BE1175" s="2186">
        <f t="shared" si="2387"/>
        <v>0</v>
      </c>
      <c r="BF1175" s="2177"/>
      <c r="BG1175" s="2177"/>
      <c r="BH1175" s="2186">
        <f t="shared" si="2388"/>
        <v>0</v>
      </c>
      <c r="BI1175" s="2177"/>
      <c r="BJ1175" s="2177"/>
      <c r="BK1175" s="2186">
        <f t="shared" si="2389"/>
        <v>0</v>
      </c>
      <c r="BL1175" s="2177"/>
      <c r="BM1175" s="2177"/>
      <c r="BN1175" s="2186">
        <f t="shared" si="2390"/>
        <v>0</v>
      </c>
      <c r="BO1175" s="2177"/>
      <c r="BP1175" s="2177"/>
      <c r="BQ1175" s="2186">
        <f t="shared" si="2391"/>
        <v>0</v>
      </c>
    </row>
    <row r="1176" spans="3:69" s="2087" customFormat="1" ht="12" hidden="1" customHeight="1">
      <c r="C1176" s="2473" t="s">
        <v>3324</v>
      </c>
      <c r="D1176" s="2334" t="s">
        <v>2434</v>
      </c>
      <c r="E1176" s="2250" t="s">
        <v>1833</v>
      </c>
      <c r="F1176" s="2176"/>
      <c r="G1176" s="2177"/>
      <c r="H1176" s="2177"/>
      <c r="I1176" s="2178">
        <f t="shared" si="2372"/>
        <v>0</v>
      </c>
      <c r="J1176" s="2176"/>
      <c r="K1176" s="2179">
        <f>N1176+Q1176+W1176+AC1176</f>
        <v>0</v>
      </c>
      <c r="L1176" s="2179">
        <f>O1176+R1176+X1176+AD1176</f>
        <v>0</v>
      </c>
      <c r="M1176" s="2178">
        <f t="shared" si="2373"/>
        <v>0</v>
      </c>
      <c r="N1176" s="2177"/>
      <c r="O1176" s="2177"/>
      <c r="P1176" s="2178">
        <f t="shared" si="2374"/>
        <v>0</v>
      </c>
      <c r="Q1176" s="2176"/>
      <c r="R1176" s="2177"/>
      <c r="S1176" s="2178">
        <f t="shared" si="2375"/>
        <v>0</v>
      </c>
      <c r="T1176" s="2181">
        <f>N1176+Q1176</f>
        <v>0</v>
      </c>
      <c r="U1176" s="2179">
        <f>O1176+R1176</f>
        <v>0</v>
      </c>
      <c r="V1176" s="2178">
        <f t="shared" si="2376"/>
        <v>0</v>
      </c>
      <c r="W1176" s="2176"/>
      <c r="X1176" s="2177"/>
      <c r="Y1176" s="2178">
        <f t="shared" si="2377"/>
        <v>0</v>
      </c>
      <c r="Z1176" s="2181">
        <f>T1176+W1176</f>
        <v>0</v>
      </c>
      <c r="AA1176" s="2179">
        <f>U1176+X1176</f>
        <v>0</v>
      </c>
      <c r="AB1176" s="2178">
        <f t="shared" si="2378"/>
        <v>0</v>
      </c>
      <c r="AC1176" s="2176"/>
      <c r="AD1176" s="2177"/>
      <c r="AE1176" s="2178">
        <f t="shared" si="2379"/>
        <v>0</v>
      </c>
      <c r="AF1176" s="2204"/>
      <c r="AG1176" s="2114"/>
      <c r="AH1176" s="2177"/>
      <c r="AI1176" s="2177"/>
      <c r="AJ1176" s="2186">
        <f t="shared" si="2380"/>
        <v>0</v>
      </c>
      <c r="AK1176" s="2177"/>
      <c r="AL1176" s="2177"/>
      <c r="AM1176" s="2186">
        <f t="shared" si="2381"/>
        <v>0</v>
      </c>
      <c r="AN1176" s="2177"/>
      <c r="AO1176" s="2177"/>
      <c r="AP1176" s="2186">
        <f t="shared" si="2382"/>
        <v>0</v>
      </c>
      <c r="AQ1176" s="2177"/>
      <c r="AR1176" s="2177"/>
      <c r="AS1176" s="2186">
        <f t="shared" si="2383"/>
        <v>0</v>
      </c>
      <c r="AT1176" s="2177"/>
      <c r="AU1176" s="2177"/>
      <c r="AV1176" s="2186">
        <f t="shared" si="2384"/>
        <v>0</v>
      </c>
      <c r="AW1176" s="2177"/>
      <c r="AX1176" s="2177"/>
      <c r="AY1176" s="2186">
        <f t="shared" si="2385"/>
        <v>0</v>
      </c>
      <c r="AZ1176" s="2177"/>
      <c r="BA1176" s="2177"/>
      <c r="BB1176" s="2186">
        <f t="shared" si="2386"/>
        <v>0</v>
      </c>
      <c r="BC1176" s="2177"/>
      <c r="BD1176" s="2177"/>
      <c r="BE1176" s="2186">
        <f t="shared" si="2387"/>
        <v>0</v>
      </c>
      <c r="BF1176" s="2177"/>
      <c r="BG1176" s="2177"/>
      <c r="BH1176" s="2186">
        <f t="shared" si="2388"/>
        <v>0</v>
      </c>
      <c r="BI1176" s="2177"/>
      <c r="BJ1176" s="2177"/>
      <c r="BK1176" s="2186">
        <f t="shared" si="2389"/>
        <v>0</v>
      </c>
      <c r="BL1176" s="2177"/>
      <c r="BM1176" s="2177"/>
      <c r="BN1176" s="2186">
        <f t="shared" si="2390"/>
        <v>0</v>
      </c>
      <c r="BO1176" s="2177"/>
      <c r="BP1176" s="2177"/>
      <c r="BQ1176" s="2186">
        <f t="shared" si="2391"/>
        <v>0</v>
      </c>
    </row>
    <row r="1177" spans="3:69" s="2087" customFormat="1" ht="12" hidden="1" customHeight="1">
      <c r="C1177" s="2473" t="s">
        <v>3325</v>
      </c>
      <c r="D1177" s="2334" t="s">
        <v>2872</v>
      </c>
      <c r="E1177" s="2250" t="s">
        <v>1833</v>
      </c>
      <c r="F1177" s="2176"/>
      <c r="G1177" s="2177"/>
      <c r="H1177" s="2177"/>
      <c r="I1177" s="2178">
        <f t="shared" si="2372"/>
        <v>0</v>
      </c>
      <c r="J1177" s="2176"/>
      <c r="K1177" s="2179">
        <f t="shared" si="2331"/>
        <v>0</v>
      </c>
      <c r="L1177" s="2179">
        <f t="shared" si="2331"/>
        <v>0</v>
      </c>
      <c r="M1177" s="2178">
        <f t="shared" si="2373"/>
        <v>0</v>
      </c>
      <c r="N1177" s="2177"/>
      <c r="O1177" s="2177"/>
      <c r="P1177" s="2178">
        <f t="shared" si="2374"/>
        <v>0</v>
      </c>
      <c r="Q1177" s="2176"/>
      <c r="R1177" s="2177"/>
      <c r="S1177" s="2178">
        <f t="shared" si="2375"/>
        <v>0</v>
      </c>
      <c r="T1177" s="2181">
        <f t="shared" si="2430"/>
        <v>0</v>
      </c>
      <c r="U1177" s="2179">
        <f t="shared" si="2430"/>
        <v>0</v>
      </c>
      <c r="V1177" s="2178">
        <f t="shared" si="2376"/>
        <v>0</v>
      </c>
      <c r="W1177" s="2176"/>
      <c r="X1177" s="2177"/>
      <c r="Y1177" s="2178">
        <f t="shared" si="2377"/>
        <v>0</v>
      </c>
      <c r="Z1177" s="2181">
        <f t="shared" si="2431"/>
        <v>0</v>
      </c>
      <c r="AA1177" s="2179">
        <f t="shared" si="2431"/>
        <v>0</v>
      </c>
      <c r="AB1177" s="2178">
        <f t="shared" si="2378"/>
        <v>0</v>
      </c>
      <c r="AC1177" s="2176"/>
      <c r="AD1177" s="2177"/>
      <c r="AE1177" s="2178">
        <f t="shared" si="2379"/>
        <v>0</v>
      </c>
      <c r="AF1177" s="2204"/>
      <c r="AG1177" s="2114"/>
      <c r="AH1177" s="2177"/>
      <c r="AI1177" s="2177"/>
      <c r="AJ1177" s="2186">
        <f t="shared" si="2380"/>
        <v>0</v>
      </c>
      <c r="AK1177" s="2177"/>
      <c r="AL1177" s="2177"/>
      <c r="AM1177" s="2186">
        <f t="shared" si="2381"/>
        <v>0</v>
      </c>
      <c r="AN1177" s="2177"/>
      <c r="AO1177" s="2177"/>
      <c r="AP1177" s="2186">
        <f t="shared" si="2382"/>
        <v>0</v>
      </c>
      <c r="AQ1177" s="2177"/>
      <c r="AR1177" s="2177"/>
      <c r="AS1177" s="2186">
        <f t="shared" si="2383"/>
        <v>0</v>
      </c>
      <c r="AT1177" s="2177"/>
      <c r="AU1177" s="2177"/>
      <c r="AV1177" s="2186">
        <f t="shared" si="2384"/>
        <v>0</v>
      </c>
      <c r="AW1177" s="2177"/>
      <c r="AX1177" s="2177"/>
      <c r="AY1177" s="2186">
        <f t="shared" si="2385"/>
        <v>0</v>
      </c>
      <c r="AZ1177" s="2177"/>
      <c r="BA1177" s="2177"/>
      <c r="BB1177" s="2186">
        <f t="shared" si="2386"/>
        <v>0</v>
      </c>
      <c r="BC1177" s="2177"/>
      <c r="BD1177" s="2177"/>
      <c r="BE1177" s="2186">
        <f t="shared" si="2387"/>
        <v>0</v>
      </c>
      <c r="BF1177" s="2177"/>
      <c r="BG1177" s="2177"/>
      <c r="BH1177" s="2186">
        <f t="shared" si="2388"/>
        <v>0</v>
      </c>
      <c r="BI1177" s="2177"/>
      <c r="BJ1177" s="2177"/>
      <c r="BK1177" s="2186">
        <f t="shared" si="2389"/>
        <v>0</v>
      </c>
      <c r="BL1177" s="2177"/>
      <c r="BM1177" s="2177"/>
      <c r="BN1177" s="2186">
        <f t="shared" si="2390"/>
        <v>0</v>
      </c>
      <c r="BO1177" s="2177"/>
      <c r="BP1177" s="2177"/>
      <c r="BQ1177" s="2186">
        <f t="shared" si="2391"/>
        <v>0</v>
      </c>
    </row>
    <row r="1178" spans="3:69" s="2087" customFormat="1" ht="12" hidden="1" customHeight="1">
      <c r="C1178" s="2473" t="s">
        <v>3325</v>
      </c>
      <c r="D1178" s="2334" t="s">
        <v>2434</v>
      </c>
      <c r="E1178" s="2250" t="s">
        <v>1833</v>
      </c>
      <c r="F1178" s="2176"/>
      <c r="G1178" s="2177"/>
      <c r="H1178" s="2177"/>
      <c r="I1178" s="2178">
        <f t="shared" si="2372"/>
        <v>0</v>
      </c>
      <c r="J1178" s="2176"/>
      <c r="K1178" s="2179">
        <f>N1178+Q1178+W1178+AC1178</f>
        <v>0</v>
      </c>
      <c r="L1178" s="2179">
        <f>O1178+R1178+X1178+AD1178</f>
        <v>0</v>
      </c>
      <c r="M1178" s="2178">
        <f t="shared" si="2373"/>
        <v>0</v>
      </c>
      <c r="N1178" s="2177"/>
      <c r="O1178" s="2177"/>
      <c r="P1178" s="2178">
        <f t="shared" si="2374"/>
        <v>0</v>
      </c>
      <c r="Q1178" s="2176"/>
      <c r="R1178" s="2177"/>
      <c r="S1178" s="2178">
        <f t="shared" si="2375"/>
        <v>0</v>
      </c>
      <c r="T1178" s="2181">
        <f>N1178+Q1178</f>
        <v>0</v>
      </c>
      <c r="U1178" s="2179">
        <f>O1178+R1178</f>
        <v>0</v>
      </c>
      <c r="V1178" s="2178">
        <f t="shared" si="2376"/>
        <v>0</v>
      </c>
      <c r="W1178" s="2176"/>
      <c r="X1178" s="2177"/>
      <c r="Y1178" s="2178">
        <f t="shared" si="2377"/>
        <v>0</v>
      </c>
      <c r="Z1178" s="2181">
        <f>T1178+W1178</f>
        <v>0</v>
      </c>
      <c r="AA1178" s="2179">
        <f>U1178+X1178</f>
        <v>0</v>
      </c>
      <c r="AB1178" s="2178">
        <f t="shared" si="2378"/>
        <v>0</v>
      </c>
      <c r="AC1178" s="2176"/>
      <c r="AD1178" s="2177"/>
      <c r="AE1178" s="2178">
        <f t="shared" si="2379"/>
        <v>0</v>
      </c>
      <c r="AF1178" s="2204"/>
      <c r="AG1178" s="2114"/>
      <c r="AH1178" s="2177"/>
      <c r="AI1178" s="2177"/>
      <c r="AJ1178" s="2186">
        <f t="shared" si="2380"/>
        <v>0</v>
      </c>
      <c r="AK1178" s="2177"/>
      <c r="AL1178" s="2177"/>
      <c r="AM1178" s="2186">
        <f t="shared" si="2381"/>
        <v>0</v>
      </c>
      <c r="AN1178" s="2177"/>
      <c r="AO1178" s="2177"/>
      <c r="AP1178" s="2186">
        <f t="shared" si="2382"/>
        <v>0</v>
      </c>
      <c r="AQ1178" s="2177"/>
      <c r="AR1178" s="2177"/>
      <c r="AS1178" s="2186">
        <f t="shared" si="2383"/>
        <v>0</v>
      </c>
      <c r="AT1178" s="2177"/>
      <c r="AU1178" s="2177"/>
      <c r="AV1178" s="2186">
        <f t="shared" si="2384"/>
        <v>0</v>
      </c>
      <c r="AW1178" s="2177"/>
      <c r="AX1178" s="2177"/>
      <c r="AY1178" s="2186">
        <f t="shared" si="2385"/>
        <v>0</v>
      </c>
      <c r="AZ1178" s="2177"/>
      <c r="BA1178" s="2177"/>
      <c r="BB1178" s="2186">
        <f t="shared" si="2386"/>
        <v>0</v>
      </c>
      <c r="BC1178" s="2177"/>
      <c r="BD1178" s="2177"/>
      <c r="BE1178" s="2186">
        <f t="shared" si="2387"/>
        <v>0</v>
      </c>
      <c r="BF1178" s="2177"/>
      <c r="BG1178" s="2177"/>
      <c r="BH1178" s="2186">
        <f t="shared" si="2388"/>
        <v>0</v>
      </c>
      <c r="BI1178" s="2177"/>
      <c r="BJ1178" s="2177"/>
      <c r="BK1178" s="2186">
        <f t="shared" si="2389"/>
        <v>0</v>
      </c>
      <c r="BL1178" s="2177"/>
      <c r="BM1178" s="2177"/>
      <c r="BN1178" s="2186">
        <f t="shared" si="2390"/>
        <v>0</v>
      </c>
      <c r="BO1178" s="2177"/>
      <c r="BP1178" s="2177"/>
      <c r="BQ1178" s="2186">
        <f t="shared" si="2391"/>
        <v>0</v>
      </c>
    </row>
    <row r="1179" spans="3:69" s="2087" customFormat="1" ht="12" hidden="1" customHeight="1">
      <c r="C1179" s="2486" t="s">
        <v>3326</v>
      </c>
      <c r="D1179" s="2334" t="s">
        <v>42</v>
      </c>
      <c r="E1179" s="2250" t="s">
        <v>1833</v>
      </c>
      <c r="F1179" s="2176"/>
      <c r="G1179" s="2177"/>
      <c r="H1179" s="2177"/>
      <c r="I1179" s="2178">
        <f t="shared" si="2372"/>
        <v>0</v>
      </c>
      <c r="J1179" s="2176"/>
      <c r="K1179" s="2179">
        <f t="shared" si="2331"/>
        <v>0</v>
      </c>
      <c r="L1179" s="2179">
        <f t="shared" si="2331"/>
        <v>0</v>
      </c>
      <c r="M1179" s="2178">
        <f t="shared" si="2373"/>
        <v>0</v>
      </c>
      <c r="N1179" s="2177"/>
      <c r="O1179" s="2177"/>
      <c r="P1179" s="2178">
        <f t="shared" si="2374"/>
        <v>0</v>
      </c>
      <c r="Q1179" s="2176"/>
      <c r="R1179" s="2177"/>
      <c r="S1179" s="2178">
        <f t="shared" si="2375"/>
        <v>0</v>
      </c>
      <c r="T1179" s="2181">
        <f t="shared" si="2430"/>
        <v>0</v>
      </c>
      <c r="U1179" s="2179">
        <f t="shared" si="2430"/>
        <v>0</v>
      </c>
      <c r="V1179" s="2178">
        <f t="shared" si="2376"/>
        <v>0</v>
      </c>
      <c r="W1179" s="2176"/>
      <c r="X1179" s="2177"/>
      <c r="Y1179" s="2178">
        <f t="shared" si="2377"/>
        <v>0</v>
      </c>
      <c r="Z1179" s="2181">
        <f t="shared" si="2431"/>
        <v>0</v>
      </c>
      <c r="AA1179" s="2179">
        <f t="shared" si="2431"/>
        <v>0</v>
      </c>
      <c r="AB1179" s="2178">
        <f t="shared" si="2378"/>
        <v>0</v>
      </c>
      <c r="AC1179" s="2176"/>
      <c r="AD1179" s="2177"/>
      <c r="AE1179" s="2178">
        <f t="shared" si="2379"/>
        <v>0</v>
      </c>
      <c r="AF1179" s="2204"/>
      <c r="AG1179" s="2114"/>
      <c r="AH1179" s="2177"/>
      <c r="AI1179" s="2177"/>
      <c r="AJ1179" s="2186">
        <f t="shared" si="2380"/>
        <v>0</v>
      </c>
      <c r="AK1179" s="2177"/>
      <c r="AL1179" s="2177"/>
      <c r="AM1179" s="2186">
        <f t="shared" si="2381"/>
        <v>0</v>
      </c>
      <c r="AN1179" s="2177"/>
      <c r="AO1179" s="2177"/>
      <c r="AP1179" s="2186">
        <f t="shared" si="2382"/>
        <v>0</v>
      </c>
      <c r="AQ1179" s="2177"/>
      <c r="AR1179" s="2177"/>
      <c r="AS1179" s="2186">
        <f t="shared" si="2383"/>
        <v>0</v>
      </c>
      <c r="AT1179" s="2177"/>
      <c r="AU1179" s="2177"/>
      <c r="AV1179" s="2186">
        <f t="shared" si="2384"/>
        <v>0</v>
      </c>
      <c r="AW1179" s="2177"/>
      <c r="AX1179" s="2177"/>
      <c r="AY1179" s="2186">
        <f t="shared" si="2385"/>
        <v>0</v>
      </c>
      <c r="AZ1179" s="2177"/>
      <c r="BA1179" s="2177"/>
      <c r="BB1179" s="2186">
        <f t="shared" si="2386"/>
        <v>0</v>
      </c>
      <c r="BC1179" s="2177"/>
      <c r="BD1179" s="2177"/>
      <c r="BE1179" s="2186">
        <f t="shared" si="2387"/>
        <v>0</v>
      </c>
      <c r="BF1179" s="2177"/>
      <c r="BG1179" s="2177"/>
      <c r="BH1179" s="2186">
        <f t="shared" si="2388"/>
        <v>0</v>
      </c>
      <c r="BI1179" s="2177"/>
      <c r="BJ1179" s="2177"/>
      <c r="BK1179" s="2186">
        <f t="shared" si="2389"/>
        <v>0</v>
      </c>
      <c r="BL1179" s="2177"/>
      <c r="BM1179" s="2177"/>
      <c r="BN1179" s="2186">
        <f t="shared" si="2390"/>
        <v>0</v>
      </c>
      <c r="BO1179" s="2177"/>
      <c r="BP1179" s="2177"/>
      <c r="BQ1179" s="2186">
        <f t="shared" si="2391"/>
        <v>0</v>
      </c>
    </row>
    <row r="1180" spans="3:69" s="2087" customFormat="1" ht="12" hidden="1" customHeight="1">
      <c r="C1180" s="2486" t="s">
        <v>3326</v>
      </c>
      <c r="D1180" s="2334" t="s">
        <v>2434</v>
      </c>
      <c r="E1180" s="2250" t="s">
        <v>1833</v>
      </c>
      <c r="F1180" s="2176"/>
      <c r="G1180" s="2177"/>
      <c r="H1180" s="2177"/>
      <c r="I1180" s="2178">
        <f t="shared" si="2372"/>
        <v>0</v>
      </c>
      <c r="J1180" s="2176"/>
      <c r="K1180" s="2179">
        <f t="shared" ref="K1180:L1184" si="2432">N1180+Q1180+W1180+AC1180</f>
        <v>0</v>
      </c>
      <c r="L1180" s="2179">
        <f t="shared" si="2432"/>
        <v>0</v>
      </c>
      <c r="M1180" s="2178">
        <f t="shared" si="2373"/>
        <v>0</v>
      </c>
      <c r="N1180" s="2177"/>
      <c r="O1180" s="2177"/>
      <c r="P1180" s="2178">
        <f t="shared" si="2374"/>
        <v>0</v>
      </c>
      <c r="Q1180" s="2176"/>
      <c r="R1180" s="2177"/>
      <c r="S1180" s="2178">
        <f t="shared" si="2375"/>
        <v>0</v>
      </c>
      <c r="T1180" s="2181">
        <f>N1180+Q1180</f>
        <v>0</v>
      </c>
      <c r="U1180" s="2179">
        <f>O1180+R1180</f>
        <v>0</v>
      </c>
      <c r="V1180" s="2178">
        <f t="shared" si="2376"/>
        <v>0</v>
      </c>
      <c r="W1180" s="2176"/>
      <c r="X1180" s="2177"/>
      <c r="Y1180" s="2178">
        <f t="shared" si="2377"/>
        <v>0</v>
      </c>
      <c r="Z1180" s="2181">
        <f>T1180+W1180</f>
        <v>0</v>
      </c>
      <c r="AA1180" s="2179">
        <f>U1180+X1180</f>
        <v>0</v>
      </c>
      <c r="AB1180" s="2178">
        <f t="shared" si="2378"/>
        <v>0</v>
      </c>
      <c r="AC1180" s="2176"/>
      <c r="AD1180" s="2177"/>
      <c r="AE1180" s="2178">
        <f t="shared" si="2379"/>
        <v>0</v>
      </c>
      <c r="AF1180" s="2204"/>
      <c r="AG1180" s="2114"/>
      <c r="AH1180" s="2177"/>
      <c r="AI1180" s="2177"/>
      <c r="AJ1180" s="2186">
        <f t="shared" si="2380"/>
        <v>0</v>
      </c>
      <c r="AK1180" s="2177"/>
      <c r="AL1180" s="2177"/>
      <c r="AM1180" s="2186">
        <f t="shared" si="2381"/>
        <v>0</v>
      </c>
      <c r="AN1180" s="2177"/>
      <c r="AO1180" s="2177"/>
      <c r="AP1180" s="2186">
        <f t="shared" si="2382"/>
        <v>0</v>
      </c>
      <c r="AQ1180" s="2177"/>
      <c r="AR1180" s="2177"/>
      <c r="AS1180" s="2186">
        <f t="shared" si="2383"/>
        <v>0</v>
      </c>
      <c r="AT1180" s="2177"/>
      <c r="AU1180" s="2177"/>
      <c r="AV1180" s="2186">
        <f t="shared" si="2384"/>
        <v>0</v>
      </c>
      <c r="AW1180" s="2177"/>
      <c r="AX1180" s="2177"/>
      <c r="AY1180" s="2186">
        <f t="shared" si="2385"/>
        <v>0</v>
      </c>
      <c r="AZ1180" s="2177"/>
      <c r="BA1180" s="2177"/>
      <c r="BB1180" s="2186">
        <f t="shared" si="2386"/>
        <v>0</v>
      </c>
      <c r="BC1180" s="2177"/>
      <c r="BD1180" s="2177"/>
      <c r="BE1180" s="2186">
        <f t="shared" si="2387"/>
        <v>0</v>
      </c>
      <c r="BF1180" s="2177"/>
      <c r="BG1180" s="2177"/>
      <c r="BH1180" s="2186">
        <f t="shared" si="2388"/>
        <v>0</v>
      </c>
      <c r="BI1180" s="2177"/>
      <c r="BJ1180" s="2177"/>
      <c r="BK1180" s="2186">
        <f t="shared" si="2389"/>
        <v>0</v>
      </c>
      <c r="BL1180" s="2177"/>
      <c r="BM1180" s="2177"/>
      <c r="BN1180" s="2186">
        <f t="shared" si="2390"/>
        <v>0</v>
      </c>
      <c r="BO1180" s="2177"/>
      <c r="BP1180" s="2177"/>
      <c r="BQ1180" s="2186">
        <f t="shared" si="2391"/>
        <v>0</v>
      </c>
    </row>
    <row r="1181" spans="3:69" s="2159" customFormat="1" ht="12" hidden="1" customHeight="1">
      <c r="C1181" s="2474" t="s">
        <v>3327</v>
      </c>
      <c r="D1181" s="2477" t="s">
        <v>3328</v>
      </c>
      <c r="E1181" s="2120" t="s">
        <v>1833</v>
      </c>
      <c r="F1181" s="2162"/>
      <c r="G1181" s="2218"/>
      <c r="H1181" s="2218"/>
      <c r="I1181" s="2164">
        <f t="shared" si="2372"/>
        <v>0</v>
      </c>
      <c r="J1181" s="2162"/>
      <c r="K1181" s="2163">
        <f t="shared" si="2432"/>
        <v>0</v>
      </c>
      <c r="L1181" s="2163">
        <f t="shared" si="2432"/>
        <v>0</v>
      </c>
      <c r="M1181" s="2164">
        <f t="shared" si="2373"/>
        <v>0</v>
      </c>
      <c r="N1181" s="2218"/>
      <c r="O1181" s="2218"/>
      <c r="P1181" s="2164">
        <f t="shared" si="2374"/>
        <v>0</v>
      </c>
      <c r="Q1181" s="2162"/>
      <c r="R1181" s="2218"/>
      <c r="S1181" s="2164">
        <f t="shared" si="2375"/>
        <v>0</v>
      </c>
      <c r="T1181" s="2167">
        <f t="shared" si="2430"/>
        <v>0</v>
      </c>
      <c r="U1181" s="2163">
        <f t="shared" si="2430"/>
        <v>0</v>
      </c>
      <c r="V1181" s="2164">
        <f t="shared" si="2376"/>
        <v>0</v>
      </c>
      <c r="W1181" s="2162"/>
      <c r="X1181" s="2218"/>
      <c r="Y1181" s="2164">
        <f t="shared" si="2377"/>
        <v>0</v>
      </c>
      <c r="Z1181" s="2167">
        <f t="shared" si="2431"/>
        <v>0</v>
      </c>
      <c r="AA1181" s="2163">
        <f t="shared" si="2431"/>
        <v>0</v>
      </c>
      <c r="AB1181" s="2164">
        <f t="shared" si="2378"/>
        <v>0</v>
      </c>
      <c r="AC1181" s="2162"/>
      <c r="AD1181" s="2218"/>
      <c r="AE1181" s="2164">
        <f t="shared" si="2379"/>
        <v>0</v>
      </c>
      <c r="AF1181" s="2204"/>
      <c r="AG1181" s="2158"/>
      <c r="AH1181" s="2218"/>
      <c r="AI1181" s="2218"/>
      <c r="AJ1181" s="2172">
        <f t="shared" si="2380"/>
        <v>0</v>
      </c>
      <c r="AK1181" s="2218"/>
      <c r="AL1181" s="2218"/>
      <c r="AM1181" s="2172">
        <f t="shared" si="2381"/>
        <v>0</v>
      </c>
      <c r="AN1181" s="2218"/>
      <c r="AO1181" s="2218"/>
      <c r="AP1181" s="2172">
        <f t="shared" si="2382"/>
        <v>0</v>
      </c>
      <c r="AQ1181" s="2218"/>
      <c r="AR1181" s="2218"/>
      <c r="AS1181" s="2172">
        <f t="shared" si="2383"/>
        <v>0</v>
      </c>
      <c r="AT1181" s="2218"/>
      <c r="AU1181" s="2218"/>
      <c r="AV1181" s="2172">
        <f t="shared" si="2384"/>
        <v>0</v>
      </c>
      <c r="AW1181" s="2218"/>
      <c r="AX1181" s="2218"/>
      <c r="AY1181" s="2172">
        <f t="shared" si="2385"/>
        <v>0</v>
      </c>
      <c r="AZ1181" s="2218"/>
      <c r="BA1181" s="2218"/>
      <c r="BB1181" s="2172">
        <f t="shared" si="2386"/>
        <v>0</v>
      </c>
      <c r="BC1181" s="2218"/>
      <c r="BD1181" s="2218"/>
      <c r="BE1181" s="2172">
        <f t="shared" si="2387"/>
        <v>0</v>
      </c>
      <c r="BF1181" s="2218"/>
      <c r="BG1181" s="2218"/>
      <c r="BH1181" s="2172">
        <f t="shared" si="2388"/>
        <v>0</v>
      </c>
      <c r="BI1181" s="2218"/>
      <c r="BJ1181" s="2218"/>
      <c r="BK1181" s="2172">
        <f t="shared" si="2389"/>
        <v>0</v>
      </c>
      <c r="BL1181" s="2218"/>
      <c r="BM1181" s="2218"/>
      <c r="BN1181" s="2172">
        <f t="shared" si="2390"/>
        <v>0</v>
      </c>
      <c r="BO1181" s="2218"/>
      <c r="BP1181" s="2218"/>
      <c r="BQ1181" s="2172">
        <f t="shared" si="2391"/>
        <v>0</v>
      </c>
    </row>
    <row r="1182" spans="3:69" s="2159" customFormat="1" ht="12" hidden="1" customHeight="1">
      <c r="C1182" s="2423" t="s">
        <v>3327</v>
      </c>
      <c r="D1182" s="2287" t="s">
        <v>2434</v>
      </c>
      <c r="E1182" s="2250" t="s">
        <v>1833</v>
      </c>
      <c r="F1182" s="2176"/>
      <c r="G1182" s="2177"/>
      <c r="H1182" s="2177"/>
      <c r="I1182" s="2178">
        <f t="shared" si="2372"/>
        <v>0</v>
      </c>
      <c r="J1182" s="2176"/>
      <c r="K1182" s="2179">
        <f t="shared" si="2432"/>
        <v>0</v>
      </c>
      <c r="L1182" s="2179">
        <f t="shared" si="2432"/>
        <v>0</v>
      </c>
      <c r="M1182" s="2178">
        <f t="shared" si="2373"/>
        <v>0</v>
      </c>
      <c r="N1182" s="2177"/>
      <c r="O1182" s="2177"/>
      <c r="P1182" s="2178">
        <f t="shared" si="2374"/>
        <v>0</v>
      </c>
      <c r="Q1182" s="2176"/>
      <c r="R1182" s="2177"/>
      <c r="S1182" s="2178">
        <f t="shared" si="2375"/>
        <v>0</v>
      </c>
      <c r="T1182" s="2181">
        <f t="shared" si="2430"/>
        <v>0</v>
      </c>
      <c r="U1182" s="2179">
        <f t="shared" si="2430"/>
        <v>0</v>
      </c>
      <c r="V1182" s="2178">
        <f t="shared" si="2376"/>
        <v>0</v>
      </c>
      <c r="W1182" s="2176"/>
      <c r="X1182" s="2177"/>
      <c r="Y1182" s="2178">
        <f t="shared" si="2377"/>
        <v>0</v>
      </c>
      <c r="Z1182" s="2181">
        <f t="shared" si="2431"/>
        <v>0</v>
      </c>
      <c r="AA1182" s="2179">
        <f t="shared" si="2431"/>
        <v>0</v>
      </c>
      <c r="AB1182" s="2178">
        <f t="shared" si="2378"/>
        <v>0</v>
      </c>
      <c r="AC1182" s="2176"/>
      <c r="AD1182" s="2177"/>
      <c r="AE1182" s="2178">
        <f t="shared" si="2379"/>
        <v>0</v>
      </c>
      <c r="AF1182" s="2204"/>
      <c r="AG1182" s="2158"/>
      <c r="AH1182" s="2177"/>
      <c r="AI1182" s="2177"/>
      <c r="AJ1182" s="2186">
        <f t="shared" si="2380"/>
        <v>0</v>
      </c>
      <c r="AK1182" s="2177"/>
      <c r="AL1182" s="2177"/>
      <c r="AM1182" s="2186">
        <f t="shared" si="2381"/>
        <v>0</v>
      </c>
      <c r="AN1182" s="2177"/>
      <c r="AO1182" s="2177"/>
      <c r="AP1182" s="2186">
        <f t="shared" si="2382"/>
        <v>0</v>
      </c>
      <c r="AQ1182" s="2177"/>
      <c r="AR1182" s="2177"/>
      <c r="AS1182" s="2186">
        <f t="shared" si="2383"/>
        <v>0</v>
      </c>
      <c r="AT1182" s="2177"/>
      <c r="AU1182" s="2177"/>
      <c r="AV1182" s="2186">
        <f t="shared" si="2384"/>
        <v>0</v>
      </c>
      <c r="AW1182" s="2177"/>
      <c r="AX1182" s="2177"/>
      <c r="AY1182" s="2186">
        <f t="shared" si="2385"/>
        <v>0</v>
      </c>
      <c r="AZ1182" s="2177"/>
      <c r="BA1182" s="2177"/>
      <c r="BB1182" s="2186">
        <f t="shared" si="2386"/>
        <v>0</v>
      </c>
      <c r="BC1182" s="2177"/>
      <c r="BD1182" s="2177"/>
      <c r="BE1182" s="2186">
        <f t="shared" si="2387"/>
        <v>0</v>
      </c>
      <c r="BF1182" s="2177"/>
      <c r="BG1182" s="2177"/>
      <c r="BH1182" s="2186">
        <f t="shared" si="2388"/>
        <v>0</v>
      </c>
      <c r="BI1182" s="2177"/>
      <c r="BJ1182" s="2177"/>
      <c r="BK1182" s="2186">
        <f t="shared" si="2389"/>
        <v>0</v>
      </c>
      <c r="BL1182" s="2177"/>
      <c r="BM1182" s="2177"/>
      <c r="BN1182" s="2186">
        <f t="shared" si="2390"/>
        <v>0</v>
      </c>
      <c r="BO1182" s="2177"/>
      <c r="BP1182" s="2177"/>
      <c r="BQ1182" s="2186">
        <f t="shared" si="2391"/>
        <v>0</v>
      </c>
    </row>
    <row r="1183" spans="3:69" s="2159" customFormat="1" ht="12" hidden="1" customHeight="1" collapsed="1">
      <c r="C1183" s="2474" t="s">
        <v>3329</v>
      </c>
      <c r="D1183" s="2485" t="s">
        <v>3330</v>
      </c>
      <c r="E1183" s="2120" t="s">
        <v>1833</v>
      </c>
      <c r="F1183" s="2162"/>
      <c r="G1183" s="2218"/>
      <c r="H1183" s="2218"/>
      <c r="I1183" s="2164">
        <f t="shared" si="2372"/>
        <v>0</v>
      </c>
      <c r="J1183" s="2162"/>
      <c r="K1183" s="2163">
        <f t="shared" si="2432"/>
        <v>0</v>
      </c>
      <c r="L1183" s="2163">
        <f t="shared" si="2432"/>
        <v>0</v>
      </c>
      <c r="M1183" s="2164">
        <f t="shared" si="2373"/>
        <v>0</v>
      </c>
      <c r="N1183" s="2218"/>
      <c r="O1183" s="2218"/>
      <c r="P1183" s="2164">
        <f t="shared" si="2374"/>
        <v>0</v>
      </c>
      <c r="Q1183" s="2162"/>
      <c r="R1183" s="2218"/>
      <c r="S1183" s="2164">
        <f t="shared" si="2375"/>
        <v>0</v>
      </c>
      <c r="T1183" s="2167">
        <f t="shared" ref="T1183:U1184" si="2433">N1183+Q1183</f>
        <v>0</v>
      </c>
      <c r="U1183" s="2163">
        <f t="shared" si="2433"/>
        <v>0</v>
      </c>
      <c r="V1183" s="2164">
        <f t="shared" si="2376"/>
        <v>0</v>
      </c>
      <c r="W1183" s="2162"/>
      <c r="X1183" s="2218"/>
      <c r="Y1183" s="2164">
        <f t="shared" si="2377"/>
        <v>0</v>
      </c>
      <c r="Z1183" s="2167">
        <f t="shared" ref="Z1183:AA1184" si="2434">T1183+W1183</f>
        <v>0</v>
      </c>
      <c r="AA1183" s="2163">
        <f t="shared" si="2434"/>
        <v>0</v>
      </c>
      <c r="AB1183" s="2164">
        <f t="shared" si="2378"/>
        <v>0</v>
      </c>
      <c r="AC1183" s="2162"/>
      <c r="AD1183" s="2218"/>
      <c r="AE1183" s="2164">
        <f t="shared" si="2379"/>
        <v>0</v>
      </c>
      <c r="AF1183" s="2204"/>
      <c r="AG1183" s="2158"/>
      <c r="AH1183" s="2218"/>
      <c r="AI1183" s="2218"/>
      <c r="AJ1183" s="2172">
        <f t="shared" si="2380"/>
        <v>0</v>
      </c>
      <c r="AK1183" s="2218"/>
      <c r="AL1183" s="2218"/>
      <c r="AM1183" s="2172">
        <f t="shared" si="2381"/>
        <v>0</v>
      </c>
      <c r="AN1183" s="2218"/>
      <c r="AO1183" s="2218"/>
      <c r="AP1183" s="2172">
        <f t="shared" si="2382"/>
        <v>0</v>
      </c>
      <c r="AQ1183" s="2218"/>
      <c r="AR1183" s="2218"/>
      <c r="AS1183" s="2172">
        <f t="shared" si="2383"/>
        <v>0</v>
      </c>
      <c r="AT1183" s="2218"/>
      <c r="AU1183" s="2218"/>
      <c r="AV1183" s="2172">
        <f t="shared" si="2384"/>
        <v>0</v>
      </c>
      <c r="AW1183" s="2218"/>
      <c r="AX1183" s="2218"/>
      <c r="AY1183" s="2172">
        <f t="shared" si="2385"/>
        <v>0</v>
      </c>
      <c r="AZ1183" s="2218"/>
      <c r="BA1183" s="2218"/>
      <c r="BB1183" s="2172">
        <f t="shared" si="2386"/>
        <v>0</v>
      </c>
      <c r="BC1183" s="2218"/>
      <c r="BD1183" s="2218"/>
      <c r="BE1183" s="2172">
        <f t="shared" si="2387"/>
        <v>0</v>
      </c>
      <c r="BF1183" s="2218"/>
      <c r="BG1183" s="2218"/>
      <c r="BH1183" s="2172">
        <f t="shared" si="2388"/>
        <v>0</v>
      </c>
      <c r="BI1183" s="2218"/>
      <c r="BJ1183" s="2218"/>
      <c r="BK1183" s="2172">
        <f t="shared" si="2389"/>
        <v>0</v>
      </c>
      <c r="BL1183" s="2218"/>
      <c r="BM1183" s="2218"/>
      <c r="BN1183" s="2172">
        <f t="shared" si="2390"/>
        <v>0</v>
      </c>
      <c r="BO1183" s="2218"/>
      <c r="BP1183" s="2218"/>
      <c r="BQ1183" s="2172">
        <f t="shared" si="2391"/>
        <v>0</v>
      </c>
    </row>
    <row r="1184" spans="3:69" s="2159" customFormat="1" ht="12" hidden="1" customHeight="1">
      <c r="C1184" s="2293" t="s">
        <v>3331</v>
      </c>
      <c r="D1184" s="2485" t="s">
        <v>3332</v>
      </c>
      <c r="E1184" s="2120" t="s">
        <v>1833</v>
      </c>
      <c r="F1184" s="2162"/>
      <c r="G1184" s="2163">
        <f>G1183+G1076</f>
        <v>0</v>
      </c>
      <c r="H1184" s="2163">
        <f>H1183+H1076</f>
        <v>0</v>
      </c>
      <c r="I1184" s="2164">
        <f t="shared" si="2372"/>
        <v>0</v>
      </c>
      <c r="J1184" s="2162"/>
      <c r="K1184" s="2163">
        <f t="shared" si="2432"/>
        <v>0</v>
      </c>
      <c r="L1184" s="2163">
        <f t="shared" si="2432"/>
        <v>0</v>
      </c>
      <c r="M1184" s="2164">
        <f t="shared" si="2373"/>
        <v>0</v>
      </c>
      <c r="N1184" s="2163">
        <f>N1183+N1076</f>
        <v>0</v>
      </c>
      <c r="O1184" s="2163">
        <f>O1183+O1076</f>
        <v>0</v>
      </c>
      <c r="P1184" s="2164">
        <f t="shared" si="2374"/>
        <v>0</v>
      </c>
      <c r="Q1184" s="2165">
        <f>Q1183+Q1076</f>
        <v>0</v>
      </c>
      <c r="R1184" s="2163">
        <f>R1183+R1076</f>
        <v>0</v>
      </c>
      <c r="S1184" s="2164">
        <f t="shared" si="2375"/>
        <v>0</v>
      </c>
      <c r="T1184" s="2167">
        <f t="shared" si="2433"/>
        <v>0</v>
      </c>
      <c r="U1184" s="2163">
        <f t="shared" si="2433"/>
        <v>0</v>
      </c>
      <c r="V1184" s="2164">
        <f t="shared" si="2376"/>
        <v>0</v>
      </c>
      <c r="W1184" s="2165">
        <f>W1183+W1076</f>
        <v>0</v>
      </c>
      <c r="X1184" s="2163">
        <f>X1183+X1076</f>
        <v>0</v>
      </c>
      <c r="Y1184" s="2164">
        <f t="shared" si="2377"/>
        <v>0</v>
      </c>
      <c r="Z1184" s="2167">
        <f t="shared" si="2434"/>
        <v>0</v>
      </c>
      <c r="AA1184" s="2163">
        <f t="shared" si="2434"/>
        <v>0</v>
      </c>
      <c r="AB1184" s="2164">
        <f t="shared" si="2378"/>
        <v>0</v>
      </c>
      <c r="AC1184" s="2165">
        <f>AC1183+AC1076</f>
        <v>0</v>
      </c>
      <c r="AD1184" s="2163">
        <f>AD1183+AD1076</f>
        <v>0</v>
      </c>
      <c r="AE1184" s="2164">
        <f t="shared" si="2379"/>
        <v>0</v>
      </c>
      <c r="AF1184" s="2204"/>
      <c r="AG1184" s="2158"/>
      <c r="AH1184" s="2171">
        <f>AH1183+AH1076</f>
        <v>0</v>
      </c>
      <c r="AI1184" s="2171">
        <f>AI1183+AI1076</f>
        <v>0</v>
      </c>
      <c r="AJ1184" s="2172">
        <f t="shared" si="2380"/>
        <v>0</v>
      </c>
      <c r="AK1184" s="2171">
        <f>AK1183+AK1076</f>
        <v>0</v>
      </c>
      <c r="AL1184" s="2171">
        <f>AL1183+AL1076</f>
        <v>0</v>
      </c>
      <c r="AM1184" s="2172">
        <f t="shared" si="2381"/>
        <v>0</v>
      </c>
      <c r="AN1184" s="2171">
        <f>AN1183+AN1076</f>
        <v>0</v>
      </c>
      <c r="AO1184" s="2171">
        <f>AO1183+AO1076</f>
        <v>0</v>
      </c>
      <c r="AP1184" s="2172">
        <f t="shared" si="2382"/>
        <v>0</v>
      </c>
      <c r="AQ1184" s="2171">
        <f>AQ1183+AQ1076</f>
        <v>0</v>
      </c>
      <c r="AR1184" s="2171">
        <f>AR1183+AR1076</f>
        <v>0</v>
      </c>
      <c r="AS1184" s="2172">
        <f t="shared" si="2383"/>
        <v>0</v>
      </c>
      <c r="AT1184" s="2171">
        <f>AT1183+AT1076</f>
        <v>0</v>
      </c>
      <c r="AU1184" s="2171">
        <f>AU1183+AU1076</f>
        <v>0</v>
      </c>
      <c r="AV1184" s="2172">
        <f t="shared" si="2384"/>
        <v>0</v>
      </c>
      <c r="AW1184" s="2171">
        <f>AW1183+AW1076</f>
        <v>0</v>
      </c>
      <c r="AX1184" s="2171">
        <f>AX1183+AX1076</f>
        <v>0</v>
      </c>
      <c r="AY1184" s="2172">
        <f t="shared" si="2385"/>
        <v>0</v>
      </c>
      <c r="AZ1184" s="2171">
        <f>AZ1183+AZ1076</f>
        <v>0</v>
      </c>
      <c r="BA1184" s="2171">
        <f>BA1183+BA1076</f>
        <v>0</v>
      </c>
      <c r="BB1184" s="2172">
        <f t="shared" si="2386"/>
        <v>0</v>
      </c>
      <c r="BC1184" s="2171">
        <f>BC1183+BC1076</f>
        <v>0</v>
      </c>
      <c r="BD1184" s="2171">
        <f>BD1183+BD1076</f>
        <v>0</v>
      </c>
      <c r="BE1184" s="2172">
        <f t="shared" si="2387"/>
        <v>0</v>
      </c>
      <c r="BF1184" s="2171">
        <f>BF1183+BF1076</f>
        <v>0</v>
      </c>
      <c r="BG1184" s="2171">
        <f>BG1183+BG1076</f>
        <v>0</v>
      </c>
      <c r="BH1184" s="2172">
        <f t="shared" si="2388"/>
        <v>0</v>
      </c>
      <c r="BI1184" s="2171">
        <f>BI1183+BI1076</f>
        <v>0</v>
      </c>
      <c r="BJ1184" s="2171">
        <f>BJ1183+BJ1076</f>
        <v>0</v>
      </c>
      <c r="BK1184" s="2172">
        <f t="shared" si="2389"/>
        <v>0</v>
      </c>
      <c r="BL1184" s="2171">
        <f>BL1183+BL1076</f>
        <v>0</v>
      </c>
      <c r="BM1184" s="2171">
        <f>BM1183+BM1076</f>
        <v>0</v>
      </c>
      <c r="BN1184" s="2172">
        <f t="shared" si="2390"/>
        <v>0</v>
      </c>
      <c r="BO1184" s="2171">
        <f>BO1183+BO1076</f>
        <v>0</v>
      </c>
      <c r="BP1184" s="2171">
        <f>BP1183+BP1076</f>
        <v>0</v>
      </c>
      <c r="BQ1184" s="2172">
        <f t="shared" si="2391"/>
        <v>0</v>
      </c>
    </row>
    <row r="1185" spans="3:69" s="2207" customFormat="1" ht="12" hidden="1" customHeight="1">
      <c r="C1185" s="2134" t="s">
        <v>52</v>
      </c>
      <c r="D1185" s="2135" t="s">
        <v>3333</v>
      </c>
      <c r="E1185" s="2136"/>
      <c r="F1185" s="2224"/>
      <c r="G1185" s="2225"/>
      <c r="H1185" s="2225"/>
      <c r="I1185" s="2226"/>
      <c r="J1185" s="2224"/>
      <c r="K1185" s="2225"/>
      <c r="L1185" s="2225"/>
      <c r="M1185" s="2226"/>
      <c r="N1185" s="2225"/>
      <c r="O1185" s="2225"/>
      <c r="P1185" s="2226"/>
      <c r="Q1185" s="2224"/>
      <c r="R1185" s="2225"/>
      <c r="S1185" s="2227"/>
      <c r="T1185" s="2228"/>
      <c r="U1185" s="2225"/>
      <c r="V1185" s="2226"/>
      <c r="W1185" s="2224"/>
      <c r="X1185" s="2225"/>
      <c r="Y1185" s="2227"/>
      <c r="Z1185" s="2228"/>
      <c r="AA1185" s="2225"/>
      <c r="AB1185" s="2226"/>
      <c r="AC1185" s="2224"/>
      <c r="AD1185" s="2225"/>
      <c r="AE1185" s="2227"/>
      <c r="AF1185" s="2231"/>
      <c r="AG1185" s="2206"/>
      <c r="AH1185" s="2225"/>
      <c r="AI1185" s="2225"/>
      <c r="AJ1185" s="2226"/>
      <c r="AK1185" s="2225"/>
      <c r="AL1185" s="2225"/>
      <c r="AM1185" s="2226"/>
      <c r="AN1185" s="2225"/>
      <c r="AO1185" s="2225"/>
      <c r="AP1185" s="2226"/>
      <c r="AQ1185" s="2225"/>
      <c r="AR1185" s="2225"/>
      <c r="AS1185" s="2226"/>
      <c r="AT1185" s="2225"/>
      <c r="AU1185" s="2225"/>
      <c r="AV1185" s="2226"/>
      <c r="AW1185" s="2225"/>
      <c r="AX1185" s="2225"/>
      <c r="AY1185" s="2226"/>
      <c r="AZ1185" s="2225"/>
      <c r="BA1185" s="2225"/>
      <c r="BB1185" s="2226"/>
      <c r="BC1185" s="2225"/>
      <c r="BD1185" s="2225"/>
      <c r="BE1185" s="2226"/>
      <c r="BF1185" s="2225"/>
      <c r="BG1185" s="2225"/>
      <c r="BH1185" s="2226"/>
      <c r="BI1185" s="2225"/>
      <c r="BJ1185" s="2225"/>
      <c r="BK1185" s="2226"/>
      <c r="BL1185" s="2225"/>
      <c r="BM1185" s="2225"/>
      <c r="BN1185" s="2226"/>
      <c r="BO1185" s="2225"/>
      <c r="BP1185" s="2225"/>
      <c r="BQ1185" s="2226"/>
    </row>
    <row r="1186" spans="3:69" s="2159" customFormat="1" ht="12" hidden="1" customHeight="1" collapsed="1">
      <c r="C1186" s="2147" t="s">
        <v>3334</v>
      </c>
      <c r="D1186" s="2148" t="s">
        <v>2080</v>
      </c>
      <c r="E1186" s="2149"/>
      <c r="F1186" s="2150"/>
      <c r="G1186" s="2151"/>
      <c r="H1186" s="2151"/>
      <c r="I1186" s="2152"/>
      <c r="J1186" s="2150"/>
      <c r="K1186" s="2151"/>
      <c r="L1186" s="2151"/>
      <c r="M1186" s="2152"/>
      <c r="N1186" s="2151"/>
      <c r="O1186" s="2151"/>
      <c r="P1186" s="2152"/>
      <c r="Q1186" s="2150"/>
      <c r="R1186" s="2151"/>
      <c r="S1186" s="2153"/>
      <c r="T1186" s="2154"/>
      <c r="U1186" s="2151"/>
      <c r="V1186" s="2152"/>
      <c r="W1186" s="2150"/>
      <c r="X1186" s="2151"/>
      <c r="Y1186" s="2153"/>
      <c r="Z1186" s="2154"/>
      <c r="AA1186" s="2151"/>
      <c r="AB1186" s="2152"/>
      <c r="AC1186" s="2150"/>
      <c r="AD1186" s="2151"/>
      <c r="AE1186" s="2153"/>
      <c r="AF1186" s="2157"/>
      <c r="AG1186" s="2158"/>
      <c r="AH1186" s="2151"/>
      <c r="AI1186" s="2151"/>
      <c r="AJ1186" s="2152"/>
      <c r="AK1186" s="2151"/>
      <c r="AL1186" s="2151"/>
      <c r="AM1186" s="2152"/>
      <c r="AN1186" s="2151"/>
      <c r="AO1186" s="2151"/>
      <c r="AP1186" s="2152"/>
      <c r="AQ1186" s="2151"/>
      <c r="AR1186" s="2151"/>
      <c r="AS1186" s="2152"/>
      <c r="AT1186" s="2151"/>
      <c r="AU1186" s="2151"/>
      <c r="AV1186" s="2152"/>
      <c r="AW1186" s="2151"/>
      <c r="AX1186" s="2151"/>
      <c r="AY1186" s="2152"/>
      <c r="AZ1186" s="2151"/>
      <c r="BA1186" s="2151"/>
      <c r="BB1186" s="2152"/>
      <c r="BC1186" s="2151"/>
      <c r="BD1186" s="2151"/>
      <c r="BE1186" s="2152"/>
      <c r="BF1186" s="2151"/>
      <c r="BG1186" s="2151"/>
      <c r="BH1186" s="2152"/>
      <c r="BI1186" s="2151"/>
      <c r="BJ1186" s="2151"/>
      <c r="BK1186" s="2152"/>
      <c r="BL1186" s="2151"/>
      <c r="BM1186" s="2151"/>
      <c r="BN1186" s="2152"/>
      <c r="BO1186" s="2151"/>
      <c r="BP1186" s="2151"/>
      <c r="BQ1186" s="2152"/>
    </row>
    <row r="1187" spans="3:69" s="2159" customFormat="1" ht="12" hidden="1" customHeight="1">
      <c r="C1187" s="2474" t="s">
        <v>3335</v>
      </c>
      <c r="D1187" s="2485" t="s">
        <v>3336</v>
      </c>
      <c r="E1187" s="2122" t="s">
        <v>3177</v>
      </c>
      <c r="F1187" s="2162"/>
      <c r="G1187" s="2163">
        <f>G1194+G1201+G1208+G1210</f>
        <v>0</v>
      </c>
      <c r="H1187" s="2163">
        <f>H1194+H1201+H1208+H1210</f>
        <v>0</v>
      </c>
      <c r="I1187" s="2164">
        <f>H1187-G1187</f>
        <v>0</v>
      </c>
      <c r="J1187" s="2162"/>
      <c r="K1187" s="2163">
        <f>N1187+Q1187+W1187+AC1187</f>
        <v>0</v>
      </c>
      <c r="L1187" s="2163">
        <f>O1187+R1187+X1187+AD1187</f>
        <v>0</v>
      </c>
      <c r="M1187" s="2164">
        <f>L1187-K1187</f>
        <v>0</v>
      </c>
      <c r="N1187" s="2163">
        <f>N1194+N1201+N1208+N1210</f>
        <v>0</v>
      </c>
      <c r="O1187" s="2163">
        <f>O1194+O1201+O1208+O1210</f>
        <v>0</v>
      </c>
      <c r="P1187" s="2164">
        <f>O1187-N1187</f>
        <v>0</v>
      </c>
      <c r="Q1187" s="2163">
        <f>Q1194+Q1201+Q1208+Q1210</f>
        <v>0</v>
      </c>
      <c r="R1187" s="2163">
        <f>R1194+R1201+R1208+R1210</f>
        <v>0</v>
      </c>
      <c r="S1187" s="2164">
        <f>R1187-Q1187</f>
        <v>0</v>
      </c>
      <c r="T1187" s="2167">
        <f t="shared" ref="T1187:U1192" si="2435">N1187+Q1187</f>
        <v>0</v>
      </c>
      <c r="U1187" s="2163">
        <f t="shared" si="2435"/>
        <v>0</v>
      </c>
      <c r="V1187" s="2164">
        <f>U1187-T1187</f>
        <v>0</v>
      </c>
      <c r="W1187" s="2163">
        <f>W1194+W1201+W1208+W1210</f>
        <v>0</v>
      </c>
      <c r="X1187" s="2163">
        <f>X1194+X1201+X1208+X1210</f>
        <v>0</v>
      </c>
      <c r="Y1187" s="2164">
        <f>X1187-W1187</f>
        <v>0</v>
      </c>
      <c r="Z1187" s="2167">
        <f t="shared" ref="Z1187:AA1192" si="2436">T1187+W1187</f>
        <v>0</v>
      </c>
      <c r="AA1187" s="2163">
        <f t="shared" si="2436"/>
        <v>0</v>
      </c>
      <c r="AB1187" s="2164">
        <f>AA1187-Z1187</f>
        <v>0</v>
      </c>
      <c r="AC1187" s="2163">
        <f>AC1194+AC1201+AC1208+AC1210</f>
        <v>0</v>
      </c>
      <c r="AD1187" s="2163">
        <f>AD1194+AD1201+AD1208+AD1210</f>
        <v>0</v>
      </c>
      <c r="AE1187" s="2164">
        <f>AD1187-AC1187</f>
        <v>0</v>
      </c>
      <c r="AF1187" s="2204"/>
      <c r="AG1187" s="2158"/>
      <c r="AH1187" s="2171">
        <f>AH1194+AH1201+AH1208+AH1210</f>
        <v>0</v>
      </c>
      <c r="AI1187" s="2171">
        <f>AI1194+AI1201+AI1208+AI1210</f>
        <v>0</v>
      </c>
      <c r="AJ1187" s="2172">
        <f>AI1187-AH1187</f>
        <v>0</v>
      </c>
      <c r="AK1187" s="2171">
        <f>AK1194+AK1201+AK1208+AK1210</f>
        <v>0</v>
      </c>
      <c r="AL1187" s="2171">
        <f>AL1194+AL1201+AL1208+AL1210</f>
        <v>0</v>
      </c>
      <c r="AM1187" s="2172">
        <f>AL1187-AK1187</f>
        <v>0</v>
      </c>
      <c r="AN1187" s="2171">
        <f>AN1194+AN1201+AN1208+AN1210</f>
        <v>0</v>
      </c>
      <c r="AO1187" s="2171">
        <f>AO1194+AO1201+AO1208+AO1210</f>
        <v>0</v>
      </c>
      <c r="AP1187" s="2172">
        <f>AO1187-AN1187</f>
        <v>0</v>
      </c>
      <c r="AQ1187" s="2171">
        <f>AQ1194+AQ1201+AQ1208+AQ1210</f>
        <v>0</v>
      </c>
      <c r="AR1187" s="2171">
        <f>AR1194+AR1201+AR1208+AR1210</f>
        <v>0</v>
      </c>
      <c r="AS1187" s="2172">
        <f>AR1187-AQ1187</f>
        <v>0</v>
      </c>
      <c r="AT1187" s="2171">
        <f>AT1194+AT1201+AT1208+AT1210</f>
        <v>0</v>
      </c>
      <c r="AU1187" s="2171">
        <f>AU1194+AU1201+AU1208+AU1210</f>
        <v>0</v>
      </c>
      <c r="AV1187" s="2172">
        <f>AU1187-AT1187</f>
        <v>0</v>
      </c>
      <c r="AW1187" s="2171">
        <f>AW1194+AW1201+AW1208+AW1210</f>
        <v>0</v>
      </c>
      <c r="AX1187" s="2171">
        <f>AX1194+AX1201+AX1208+AX1210</f>
        <v>0</v>
      </c>
      <c r="AY1187" s="2172">
        <f>AX1187-AW1187</f>
        <v>0</v>
      </c>
      <c r="AZ1187" s="2171">
        <f>AZ1194+AZ1201+AZ1208+AZ1210</f>
        <v>0</v>
      </c>
      <c r="BA1187" s="2171">
        <f>BA1194+BA1201+BA1208+BA1210</f>
        <v>0</v>
      </c>
      <c r="BB1187" s="2172">
        <f>BA1187-AZ1187</f>
        <v>0</v>
      </c>
      <c r="BC1187" s="2171">
        <f>BC1194+BC1201+BC1208+BC1210</f>
        <v>0</v>
      </c>
      <c r="BD1187" s="2171">
        <f>BD1194+BD1201+BD1208+BD1210</f>
        <v>0</v>
      </c>
      <c r="BE1187" s="2172">
        <f>BD1187-BC1187</f>
        <v>0</v>
      </c>
      <c r="BF1187" s="2171">
        <f>BF1194+BF1201+BF1208+BF1210</f>
        <v>0</v>
      </c>
      <c r="BG1187" s="2171">
        <f>BG1194+BG1201+BG1208+BG1210</f>
        <v>0</v>
      </c>
      <c r="BH1187" s="2172">
        <f>BG1187-BF1187</f>
        <v>0</v>
      </c>
      <c r="BI1187" s="2171">
        <f>BI1194+BI1201+BI1208+BI1210</f>
        <v>0</v>
      </c>
      <c r="BJ1187" s="2171">
        <f>BJ1194+BJ1201+BJ1208+BJ1210</f>
        <v>0</v>
      </c>
      <c r="BK1187" s="2172">
        <f>BJ1187-BI1187</f>
        <v>0</v>
      </c>
      <c r="BL1187" s="2171">
        <f>BL1194+BL1201+BL1208+BL1210</f>
        <v>0</v>
      </c>
      <c r="BM1187" s="2171">
        <f>BM1194+BM1201+BM1208+BM1210</f>
        <v>0</v>
      </c>
      <c r="BN1187" s="2172">
        <f>BM1187-BL1187</f>
        <v>0</v>
      </c>
      <c r="BO1187" s="2171">
        <f>BO1194+BO1201+BO1208+BO1210</f>
        <v>0</v>
      </c>
      <c r="BP1187" s="2171">
        <f>BP1194+BP1201+BP1208+BP1210</f>
        <v>0</v>
      </c>
      <c r="BQ1187" s="2172">
        <f>BP1187-BO1187</f>
        <v>0</v>
      </c>
    </row>
    <row r="1188" spans="3:69" s="2087" customFormat="1" ht="12" hidden="1" customHeight="1">
      <c r="C1188" s="2285" t="s">
        <v>3337</v>
      </c>
      <c r="D1188" s="2418" t="s">
        <v>28</v>
      </c>
      <c r="E1188" s="2250" t="s">
        <v>3046</v>
      </c>
      <c r="F1188" s="2176"/>
      <c r="G1188" s="2179">
        <f t="shared" ref="G1188:H1191" si="2437">G1195+G1202</f>
        <v>0</v>
      </c>
      <c r="H1188" s="2179">
        <f t="shared" si="2437"/>
        <v>0</v>
      </c>
      <c r="I1188" s="2178">
        <f>H1188-G1188</f>
        <v>0</v>
      </c>
      <c r="J1188" s="2176"/>
      <c r="K1188" s="2179">
        <f t="shared" ref="K1188:L1210" si="2438">N1188+Q1188+W1188+AC1188</f>
        <v>0</v>
      </c>
      <c r="L1188" s="2179">
        <f t="shared" si="2438"/>
        <v>0</v>
      </c>
      <c r="M1188" s="2178">
        <f>L1188-K1188</f>
        <v>0</v>
      </c>
      <c r="N1188" s="2179">
        <f t="shared" ref="N1188:O1191" si="2439">N1195+N1202</f>
        <v>0</v>
      </c>
      <c r="O1188" s="2179">
        <f t="shared" si="2439"/>
        <v>0</v>
      </c>
      <c r="P1188" s="2178">
        <f>O1188-N1188</f>
        <v>0</v>
      </c>
      <c r="Q1188" s="2184">
        <f t="shared" ref="Q1188:R1191" si="2440">Q1195+Q1202</f>
        <v>0</v>
      </c>
      <c r="R1188" s="2179">
        <f t="shared" si="2440"/>
        <v>0</v>
      </c>
      <c r="S1188" s="2178">
        <f>R1188-Q1188</f>
        <v>0</v>
      </c>
      <c r="T1188" s="2181">
        <f t="shared" si="2435"/>
        <v>0</v>
      </c>
      <c r="U1188" s="2179">
        <f t="shared" si="2435"/>
        <v>0</v>
      </c>
      <c r="V1188" s="2178">
        <f>U1188-T1188</f>
        <v>0</v>
      </c>
      <c r="W1188" s="2184">
        <f t="shared" ref="W1188:X1191" si="2441">W1195+W1202</f>
        <v>0</v>
      </c>
      <c r="X1188" s="2179">
        <f t="shared" si="2441"/>
        <v>0</v>
      </c>
      <c r="Y1188" s="2178">
        <f>X1188-W1188</f>
        <v>0</v>
      </c>
      <c r="Z1188" s="2181">
        <f t="shared" si="2436"/>
        <v>0</v>
      </c>
      <c r="AA1188" s="2179">
        <f t="shared" si="2436"/>
        <v>0</v>
      </c>
      <c r="AB1188" s="2178">
        <f>AA1188-Z1188</f>
        <v>0</v>
      </c>
      <c r="AC1188" s="2184">
        <f t="shared" ref="AC1188:AD1191" si="2442">AC1195+AC1202</f>
        <v>0</v>
      </c>
      <c r="AD1188" s="2179">
        <f t="shared" si="2442"/>
        <v>0</v>
      </c>
      <c r="AE1188" s="2178">
        <f>AD1188-AC1188</f>
        <v>0</v>
      </c>
      <c r="AF1188" s="2204"/>
      <c r="AG1188" s="2114"/>
      <c r="AH1188" s="2188">
        <f t="shared" ref="AH1188:AI1191" si="2443">AH1195+AH1202</f>
        <v>0</v>
      </c>
      <c r="AI1188" s="2188">
        <f t="shared" si="2443"/>
        <v>0</v>
      </c>
      <c r="AJ1188" s="2186">
        <f>AI1188-AH1188</f>
        <v>0</v>
      </c>
      <c r="AK1188" s="2188">
        <f t="shared" ref="AK1188:AL1191" si="2444">AK1195+AK1202</f>
        <v>0</v>
      </c>
      <c r="AL1188" s="2188">
        <f t="shared" si="2444"/>
        <v>0</v>
      </c>
      <c r="AM1188" s="2186">
        <f>AL1188-AK1188</f>
        <v>0</v>
      </c>
      <c r="AN1188" s="2188">
        <f t="shared" ref="AN1188:AO1191" si="2445">AN1195+AN1202</f>
        <v>0</v>
      </c>
      <c r="AO1188" s="2188">
        <f t="shared" si="2445"/>
        <v>0</v>
      </c>
      <c r="AP1188" s="2186">
        <f>AO1188-AN1188</f>
        <v>0</v>
      </c>
      <c r="AQ1188" s="2188">
        <f t="shared" ref="AQ1188:AR1191" si="2446">AQ1195+AQ1202</f>
        <v>0</v>
      </c>
      <c r="AR1188" s="2188">
        <f t="shared" si="2446"/>
        <v>0</v>
      </c>
      <c r="AS1188" s="2186">
        <f>AR1188-AQ1188</f>
        <v>0</v>
      </c>
      <c r="AT1188" s="2188">
        <f t="shared" ref="AT1188:AU1191" si="2447">AT1195+AT1202</f>
        <v>0</v>
      </c>
      <c r="AU1188" s="2188">
        <f t="shared" si="2447"/>
        <v>0</v>
      </c>
      <c r="AV1188" s="2186">
        <f>AU1188-AT1188</f>
        <v>0</v>
      </c>
      <c r="AW1188" s="2188">
        <f t="shared" ref="AW1188:AX1191" si="2448">AW1195+AW1202</f>
        <v>0</v>
      </c>
      <c r="AX1188" s="2188">
        <f t="shared" si="2448"/>
        <v>0</v>
      </c>
      <c r="AY1188" s="2186">
        <f>AX1188-AW1188</f>
        <v>0</v>
      </c>
      <c r="AZ1188" s="2188">
        <f t="shared" ref="AZ1188:BA1191" si="2449">AZ1195+AZ1202</f>
        <v>0</v>
      </c>
      <c r="BA1188" s="2188">
        <f t="shared" si="2449"/>
        <v>0</v>
      </c>
      <c r="BB1188" s="2186">
        <f>BA1188-AZ1188</f>
        <v>0</v>
      </c>
      <c r="BC1188" s="2188">
        <f t="shared" ref="BC1188:BD1191" si="2450">BC1195+BC1202</f>
        <v>0</v>
      </c>
      <c r="BD1188" s="2188">
        <f t="shared" si="2450"/>
        <v>0</v>
      </c>
      <c r="BE1188" s="2186">
        <f>BD1188-BC1188</f>
        <v>0</v>
      </c>
      <c r="BF1188" s="2188">
        <f t="shared" ref="BF1188:BG1191" si="2451">BF1195+BF1202</f>
        <v>0</v>
      </c>
      <c r="BG1188" s="2188">
        <f t="shared" si="2451"/>
        <v>0</v>
      </c>
      <c r="BH1188" s="2186">
        <f>BG1188-BF1188</f>
        <v>0</v>
      </c>
      <c r="BI1188" s="2188">
        <f t="shared" ref="BI1188:BJ1191" si="2452">BI1195+BI1202</f>
        <v>0</v>
      </c>
      <c r="BJ1188" s="2188">
        <f t="shared" si="2452"/>
        <v>0</v>
      </c>
      <c r="BK1188" s="2186">
        <f>BJ1188-BI1188</f>
        <v>0</v>
      </c>
      <c r="BL1188" s="2188">
        <f t="shared" ref="BL1188:BM1191" si="2453">BL1195+BL1202</f>
        <v>0</v>
      </c>
      <c r="BM1188" s="2188">
        <f t="shared" si="2453"/>
        <v>0</v>
      </c>
      <c r="BN1188" s="2186">
        <f>BM1188-BL1188</f>
        <v>0</v>
      </c>
      <c r="BO1188" s="2188">
        <f t="shared" ref="BO1188:BP1191" si="2454">BO1195+BO1202</f>
        <v>0</v>
      </c>
      <c r="BP1188" s="2188">
        <f t="shared" si="2454"/>
        <v>0</v>
      </c>
      <c r="BQ1188" s="2186">
        <f>BP1188-BO1188</f>
        <v>0</v>
      </c>
    </row>
    <row r="1189" spans="3:69" s="2087" customFormat="1" ht="12" hidden="1" customHeight="1">
      <c r="C1189" s="2285" t="s">
        <v>3338</v>
      </c>
      <c r="D1189" s="2421" t="s">
        <v>2434</v>
      </c>
      <c r="E1189" s="2250" t="s">
        <v>3046</v>
      </c>
      <c r="F1189" s="2176"/>
      <c r="G1189" s="2179">
        <f t="shared" si="2437"/>
        <v>0</v>
      </c>
      <c r="H1189" s="2179">
        <f t="shared" si="2437"/>
        <v>0</v>
      </c>
      <c r="I1189" s="2178">
        <f t="shared" ref="I1189:I1211" si="2455">H1189-G1189</f>
        <v>0</v>
      </c>
      <c r="J1189" s="2176"/>
      <c r="K1189" s="2179">
        <f>N1189+Q1189+W1189+AC1189</f>
        <v>0</v>
      </c>
      <c r="L1189" s="2179">
        <f>O1189+R1189+X1189+AD1189</f>
        <v>0</v>
      </c>
      <c r="M1189" s="2178">
        <f t="shared" ref="M1189:M1211" si="2456">L1189-K1189</f>
        <v>0</v>
      </c>
      <c r="N1189" s="2179">
        <f t="shared" si="2439"/>
        <v>0</v>
      </c>
      <c r="O1189" s="2179">
        <f t="shared" si="2439"/>
        <v>0</v>
      </c>
      <c r="P1189" s="2178">
        <f t="shared" ref="P1189:P1211" si="2457">O1189-N1189</f>
        <v>0</v>
      </c>
      <c r="Q1189" s="2179">
        <f t="shared" si="2440"/>
        <v>0</v>
      </c>
      <c r="R1189" s="2179">
        <f t="shared" si="2440"/>
        <v>0</v>
      </c>
      <c r="S1189" s="2178">
        <f t="shared" ref="S1189:S1211" si="2458">R1189-Q1189</f>
        <v>0</v>
      </c>
      <c r="T1189" s="2179">
        <f>N1189+Q1189</f>
        <v>0</v>
      </c>
      <c r="U1189" s="2179">
        <f>O1189+R1189</f>
        <v>0</v>
      </c>
      <c r="V1189" s="2178">
        <f t="shared" ref="V1189:V1211" si="2459">U1189-T1189</f>
        <v>0</v>
      </c>
      <c r="W1189" s="2179">
        <f t="shared" si="2441"/>
        <v>0</v>
      </c>
      <c r="X1189" s="2179">
        <f t="shared" si="2441"/>
        <v>0</v>
      </c>
      <c r="Y1189" s="2178">
        <f t="shared" ref="Y1189:Y1211" si="2460">X1189-W1189</f>
        <v>0</v>
      </c>
      <c r="Z1189" s="2179">
        <f>T1189+W1189</f>
        <v>0</v>
      </c>
      <c r="AA1189" s="2179">
        <f>U1189+X1189</f>
        <v>0</v>
      </c>
      <c r="AB1189" s="2178">
        <f t="shared" ref="AB1189:AB1211" si="2461">AA1189-Z1189</f>
        <v>0</v>
      </c>
      <c r="AC1189" s="2179">
        <f t="shared" si="2442"/>
        <v>0</v>
      </c>
      <c r="AD1189" s="2179">
        <f t="shared" si="2442"/>
        <v>0</v>
      </c>
      <c r="AE1189" s="2178">
        <f t="shared" ref="AE1189:AE1211" si="2462">AD1189-AC1189</f>
        <v>0</v>
      </c>
      <c r="AF1189" s="2204"/>
      <c r="AG1189" s="2114"/>
      <c r="AH1189" s="2188">
        <f t="shared" si="2443"/>
        <v>0</v>
      </c>
      <c r="AI1189" s="2188">
        <f t="shared" si="2443"/>
        <v>0</v>
      </c>
      <c r="AJ1189" s="2186">
        <f t="shared" ref="AJ1189:AJ1211" si="2463">AI1189-AH1189</f>
        <v>0</v>
      </c>
      <c r="AK1189" s="2188">
        <f t="shared" si="2444"/>
        <v>0</v>
      </c>
      <c r="AL1189" s="2188">
        <f t="shared" si="2444"/>
        <v>0</v>
      </c>
      <c r="AM1189" s="2186">
        <f t="shared" ref="AM1189:AM1211" si="2464">AL1189-AK1189</f>
        <v>0</v>
      </c>
      <c r="AN1189" s="2188">
        <f t="shared" si="2445"/>
        <v>0</v>
      </c>
      <c r="AO1189" s="2188">
        <f t="shared" si="2445"/>
        <v>0</v>
      </c>
      <c r="AP1189" s="2186">
        <f t="shared" ref="AP1189:AP1211" si="2465">AO1189-AN1189</f>
        <v>0</v>
      </c>
      <c r="AQ1189" s="2188">
        <f t="shared" si="2446"/>
        <v>0</v>
      </c>
      <c r="AR1189" s="2188">
        <f t="shared" si="2446"/>
        <v>0</v>
      </c>
      <c r="AS1189" s="2186">
        <f t="shared" ref="AS1189:AS1211" si="2466">AR1189-AQ1189</f>
        <v>0</v>
      </c>
      <c r="AT1189" s="2188">
        <f t="shared" si="2447"/>
        <v>0</v>
      </c>
      <c r="AU1189" s="2188">
        <f t="shared" si="2447"/>
        <v>0</v>
      </c>
      <c r="AV1189" s="2186">
        <f t="shared" ref="AV1189:AV1211" si="2467">AU1189-AT1189</f>
        <v>0</v>
      </c>
      <c r="AW1189" s="2188">
        <f t="shared" si="2448"/>
        <v>0</v>
      </c>
      <c r="AX1189" s="2188">
        <f t="shared" si="2448"/>
        <v>0</v>
      </c>
      <c r="AY1189" s="2186">
        <f t="shared" ref="AY1189:AY1211" si="2468">AX1189-AW1189</f>
        <v>0</v>
      </c>
      <c r="AZ1189" s="2188">
        <f t="shared" si="2449"/>
        <v>0</v>
      </c>
      <c r="BA1189" s="2188">
        <f t="shared" si="2449"/>
        <v>0</v>
      </c>
      <c r="BB1189" s="2186">
        <f t="shared" ref="BB1189:BB1211" si="2469">BA1189-AZ1189</f>
        <v>0</v>
      </c>
      <c r="BC1189" s="2188">
        <f t="shared" si="2450"/>
        <v>0</v>
      </c>
      <c r="BD1189" s="2188">
        <f t="shared" si="2450"/>
        <v>0</v>
      </c>
      <c r="BE1189" s="2186">
        <f t="shared" ref="BE1189:BE1211" si="2470">BD1189-BC1189</f>
        <v>0</v>
      </c>
      <c r="BF1189" s="2188">
        <f t="shared" si="2451"/>
        <v>0</v>
      </c>
      <c r="BG1189" s="2188">
        <f t="shared" si="2451"/>
        <v>0</v>
      </c>
      <c r="BH1189" s="2186">
        <f t="shared" ref="BH1189:BH1211" si="2471">BG1189-BF1189</f>
        <v>0</v>
      </c>
      <c r="BI1189" s="2188">
        <f t="shared" si="2452"/>
        <v>0</v>
      </c>
      <c r="BJ1189" s="2188">
        <f t="shared" si="2452"/>
        <v>0</v>
      </c>
      <c r="BK1189" s="2186">
        <f t="shared" ref="BK1189:BK1211" si="2472">BJ1189-BI1189</f>
        <v>0</v>
      </c>
      <c r="BL1189" s="2188">
        <f t="shared" si="2453"/>
        <v>0</v>
      </c>
      <c r="BM1189" s="2188">
        <f t="shared" si="2453"/>
        <v>0</v>
      </c>
      <c r="BN1189" s="2186">
        <f t="shared" ref="BN1189:BN1211" si="2473">BM1189-BL1189</f>
        <v>0</v>
      </c>
      <c r="BO1189" s="2188">
        <f t="shared" si="2454"/>
        <v>0</v>
      </c>
      <c r="BP1189" s="2188">
        <f t="shared" si="2454"/>
        <v>0</v>
      </c>
      <c r="BQ1189" s="2186">
        <f t="shared" ref="BQ1189:BQ1211" si="2474">BP1189-BO1189</f>
        <v>0</v>
      </c>
    </row>
    <row r="1190" spans="3:69" s="2087" customFormat="1" ht="12" hidden="1" customHeight="1">
      <c r="C1190" s="2285" t="s">
        <v>3339</v>
      </c>
      <c r="D1190" s="2418" t="s">
        <v>2872</v>
      </c>
      <c r="E1190" s="2250" t="s">
        <v>3046</v>
      </c>
      <c r="F1190" s="2176"/>
      <c r="G1190" s="2179">
        <f t="shared" si="2437"/>
        <v>0</v>
      </c>
      <c r="H1190" s="2179">
        <f t="shared" si="2437"/>
        <v>0</v>
      </c>
      <c r="I1190" s="2178">
        <f t="shared" si="2455"/>
        <v>0</v>
      </c>
      <c r="J1190" s="2176"/>
      <c r="K1190" s="2179">
        <f t="shared" si="2438"/>
        <v>0</v>
      </c>
      <c r="L1190" s="2179">
        <f t="shared" si="2438"/>
        <v>0</v>
      </c>
      <c r="M1190" s="2178">
        <f t="shared" si="2456"/>
        <v>0</v>
      </c>
      <c r="N1190" s="2179">
        <f t="shared" si="2439"/>
        <v>0</v>
      </c>
      <c r="O1190" s="2179">
        <f t="shared" si="2439"/>
        <v>0</v>
      </c>
      <c r="P1190" s="2178">
        <f t="shared" si="2457"/>
        <v>0</v>
      </c>
      <c r="Q1190" s="2184">
        <f t="shared" si="2440"/>
        <v>0</v>
      </c>
      <c r="R1190" s="2179">
        <f t="shared" si="2440"/>
        <v>0</v>
      </c>
      <c r="S1190" s="2178">
        <f t="shared" si="2458"/>
        <v>0</v>
      </c>
      <c r="T1190" s="2181">
        <f t="shared" si="2435"/>
        <v>0</v>
      </c>
      <c r="U1190" s="2179">
        <f t="shared" si="2435"/>
        <v>0</v>
      </c>
      <c r="V1190" s="2178">
        <f t="shared" si="2459"/>
        <v>0</v>
      </c>
      <c r="W1190" s="2184">
        <f t="shared" si="2441"/>
        <v>0</v>
      </c>
      <c r="X1190" s="2179">
        <f t="shared" si="2441"/>
        <v>0</v>
      </c>
      <c r="Y1190" s="2178">
        <f t="shared" si="2460"/>
        <v>0</v>
      </c>
      <c r="Z1190" s="2181">
        <f t="shared" si="2436"/>
        <v>0</v>
      </c>
      <c r="AA1190" s="2179">
        <f t="shared" si="2436"/>
        <v>0</v>
      </c>
      <c r="AB1190" s="2178">
        <f t="shared" si="2461"/>
        <v>0</v>
      </c>
      <c r="AC1190" s="2184">
        <f t="shared" si="2442"/>
        <v>0</v>
      </c>
      <c r="AD1190" s="2179">
        <f t="shared" si="2442"/>
        <v>0</v>
      </c>
      <c r="AE1190" s="2178">
        <f t="shared" si="2462"/>
        <v>0</v>
      </c>
      <c r="AF1190" s="2204"/>
      <c r="AG1190" s="2114"/>
      <c r="AH1190" s="2188">
        <f t="shared" si="2443"/>
        <v>0</v>
      </c>
      <c r="AI1190" s="2188">
        <f t="shared" si="2443"/>
        <v>0</v>
      </c>
      <c r="AJ1190" s="2186">
        <f t="shared" si="2463"/>
        <v>0</v>
      </c>
      <c r="AK1190" s="2188">
        <f t="shared" si="2444"/>
        <v>0</v>
      </c>
      <c r="AL1190" s="2188">
        <f t="shared" si="2444"/>
        <v>0</v>
      </c>
      <c r="AM1190" s="2186">
        <f t="shared" si="2464"/>
        <v>0</v>
      </c>
      <c r="AN1190" s="2188">
        <f t="shared" si="2445"/>
        <v>0</v>
      </c>
      <c r="AO1190" s="2188">
        <f t="shared" si="2445"/>
        <v>0</v>
      </c>
      <c r="AP1190" s="2186">
        <f t="shared" si="2465"/>
        <v>0</v>
      </c>
      <c r="AQ1190" s="2188">
        <f t="shared" si="2446"/>
        <v>0</v>
      </c>
      <c r="AR1190" s="2188">
        <f t="shared" si="2446"/>
        <v>0</v>
      </c>
      <c r="AS1190" s="2186">
        <f t="shared" si="2466"/>
        <v>0</v>
      </c>
      <c r="AT1190" s="2188">
        <f t="shared" si="2447"/>
        <v>0</v>
      </c>
      <c r="AU1190" s="2188">
        <f t="shared" si="2447"/>
        <v>0</v>
      </c>
      <c r="AV1190" s="2186">
        <f t="shared" si="2467"/>
        <v>0</v>
      </c>
      <c r="AW1190" s="2188">
        <f t="shared" si="2448"/>
        <v>0</v>
      </c>
      <c r="AX1190" s="2188">
        <f t="shared" si="2448"/>
        <v>0</v>
      </c>
      <c r="AY1190" s="2186">
        <f t="shared" si="2468"/>
        <v>0</v>
      </c>
      <c r="AZ1190" s="2188">
        <f t="shared" si="2449"/>
        <v>0</v>
      </c>
      <c r="BA1190" s="2188">
        <f t="shared" si="2449"/>
        <v>0</v>
      </c>
      <c r="BB1190" s="2186">
        <f t="shared" si="2469"/>
        <v>0</v>
      </c>
      <c r="BC1190" s="2188">
        <f t="shared" si="2450"/>
        <v>0</v>
      </c>
      <c r="BD1190" s="2188">
        <f t="shared" si="2450"/>
        <v>0</v>
      </c>
      <c r="BE1190" s="2186">
        <f t="shared" si="2470"/>
        <v>0</v>
      </c>
      <c r="BF1190" s="2188">
        <f t="shared" si="2451"/>
        <v>0</v>
      </c>
      <c r="BG1190" s="2188">
        <f t="shared" si="2451"/>
        <v>0</v>
      </c>
      <c r="BH1190" s="2186">
        <f t="shared" si="2471"/>
        <v>0</v>
      </c>
      <c r="BI1190" s="2188">
        <f t="shared" si="2452"/>
        <v>0</v>
      </c>
      <c r="BJ1190" s="2188">
        <f t="shared" si="2452"/>
        <v>0</v>
      </c>
      <c r="BK1190" s="2186">
        <f t="shared" si="2472"/>
        <v>0</v>
      </c>
      <c r="BL1190" s="2188">
        <f t="shared" si="2453"/>
        <v>0</v>
      </c>
      <c r="BM1190" s="2188">
        <f t="shared" si="2453"/>
        <v>0</v>
      </c>
      <c r="BN1190" s="2186">
        <f t="shared" si="2473"/>
        <v>0</v>
      </c>
      <c r="BO1190" s="2188">
        <f t="shared" si="2454"/>
        <v>0</v>
      </c>
      <c r="BP1190" s="2188">
        <f t="shared" si="2454"/>
        <v>0</v>
      </c>
      <c r="BQ1190" s="2186">
        <f t="shared" si="2474"/>
        <v>0</v>
      </c>
    </row>
    <row r="1191" spans="3:69" s="2087" customFormat="1" ht="12" hidden="1" customHeight="1">
      <c r="C1191" s="2285" t="s">
        <v>3340</v>
      </c>
      <c r="D1191" s="2421" t="s">
        <v>2434</v>
      </c>
      <c r="E1191" s="2250" t="s">
        <v>3046</v>
      </c>
      <c r="F1191" s="2176"/>
      <c r="G1191" s="2179">
        <f t="shared" si="2437"/>
        <v>0</v>
      </c>
      <c r="H1191" s="2179">
        <f t="shared" si="2437"/>
        <v>0</v>
      </c>
      <c r="I1191" s="2178">
        <f t="shared" si="2455"/>
        <v>0</v>
      </c>
      <c r="J1191" s="2176"/>
      <c r="K1191" s="2179">
        <f>N1191+Q1191+W1191+AC1191</f>
        <v>0</v>
      </c>
      <c r="L1191" s="2179">
        <f>O1191+R1191+X1191+AD1191</f>
        <v>0</v>
      </c>
      <c r="M1191" s="2178">
        <f t="shared" si="2456"/>
        <v>0</v>
      </c>
      <c r="N1191" s="2179">
        <f t="shared" si="2439"/>
        <v>0</v>
      </c>
      <c r="O1191" s="2179">
        <f t="shared" si="2439"/>
        <v>0</v>
      </c>
      <c r="P1191" s="2178">
        <f t="shared" si="2457"/>
        <v>0</v>
      </c>
      <c r="Q1191" s="2179">
        <f t="shared" si="2440"/>
        <v>0</v>
      </c>
      <c r="R1191" s="2179">
        <f t="shared" si="2440"/>
        <v>0</v>
      </c>
      <c r="S1191" s="2178">
        <f t="shared" si="2458"/>
        <v>0</v>
      </c>
      <c r="T1191" s="2179">
        <f>N1191+Q1191</f>
        <v>0</v>
      </c>
      <c r="U1191" s="2179">
        <f>O1191+R1191</f>
        <v>0</v>
      </c>
      <c r="V1191" s="2178">
        <f t="shared" si="2459"/>
        <v>0</v>
      </c>
      <c r="W1191" s="2179">
        <f t="shared" si="2441"/>
        <v>0</v>
      </c>
      <c r="X1191" s="2179">
        <f t="shared" si="2441"/>
        <v>0</v>
      </c>
      <c r="Y1191" s="2178">
        <f t="shared" si="2460"/>
        <v>0</v>
      </c>
      <c r="Z1191" s="2179">
        <f>T1191+W1191</f>
        <v>0</v>
      </c>
      <c r="AA1191" s="2179">
        <f>U1191+X1191</f>
        <v>0</v>
      </c>
      <c r="AB1191" s="2178">
        <f t="shared" si="2461"/>
        <v>0</v>
      </c>
      <c r="AC1191" s="2179">
        <f t="shared" si="2442"/>
        <v>0</v>
      </c>
      <c r="AD1191" s="2179">
        <f t="shared" si="2442"/>
        <v>0</v>
      </c>
      <c r="AE1191" s="2178">
        <f t="shared" si="2462"/>
        <v>0</v>
      </c>
      <c r="AF1191" s="2204"/>
      <c r="AG1191" s="2114"/>
      <c r="AH1191" s="2188">
        <f t="shared" si="2443"/>
        <v>0</v>
      </c>
      <c r="AI1191" s="2188">
        <f t="shared" si="2443"/>
        <v>0</v>
      </c>
      <c r="AJ1191" s="2186">
        <f t="shared" si="2463"/>
        <v>0</v>
      </c>
      <c r="AK1191" s="2188">
        <f t="shared" si="2444"/>
        <v>0</v>
      </c>
      <c r="AL1191" s="2188">
        <f t="shared" si="2444"/>
        <v>0</v>
      </c>
      <c r="AM1191" s="2186">
        <f t="shared" si="2464"/>
        <v>0</v>
      </c>
      <c r="AN1191" s="2188">
        <f t="shared" si="2445"/>
        <v>0</v>
      </c>
      <c r="AO1191" s="2188">
        <f t="shared" si="2445"/>
        <v>0</v>
      </c>
      <c r="AP1191" s="2186">
        <f t="shared" si="2465"/>
        <v>0</v>
      </c>
      <c r="AQ1191" s="2188">
        <f t="shared" si="2446"/>
        <v>0</v>
      </c>
      <c r="AR1191" s="2188">
        <f t="shared" si="2446"/>
        <v>0</v>
      </c>
      <c r="AS1191" s="2186">
        <f t="shared" si="2466"/>
        <v>0</v>
      </c>
      <c r="AT1191" s="2188">
        <f t="shared" si="2447"/>
        <v>0</v>
      </c>
      <c r="AU1191" s="2188">
        <f t="shared" si="2447"/>
        <v>0</v>
      </c>
      <c r="AV1191" s="2186">
        <f t="shared" si="2467"/>
        <v>0</v>
      </c>
      <c r="AW1191" s="2188">
        <f t="shared" si="2448"/>
        <v>0</v>
      </c>
      <c r="AX1191" s="2188">
        <f t="shared" si="2448"/>
        <v>0</v>
      </c>
      <c r="AY1191" s="2186">
        <f t="shared" si="2468"/>
        <v>0</v>
      </c>
      <c r="AZ1191" s="2188">
        <f t="shared" si="2449"/>
        <v>0</v>
      </c>
      <c r="BA1191" s="2188">
        <f t="shared" si="2449"/>
        <v>0</v>
      </c>
      <c r="BB1191" s="2186">
        <f t="shared" si="2469"/>
        <v>0</v>
      </c>
      <c r="BC1191" s="2188">
        <f t="shared" si="2450"/>
        <v>0</v>
      </c>
      <c r="BD1191" s="2188">
        <f t="shared" si="2450"/>
        <v>0</v>
      </c>
      <c r="BE1191" s="2186">
        <f t="shared" si="2470"/>
        <v>0</v>
      </c>
      <c r="BF1191" s="2188">
        <f t="shared" si="2451"/>
        <v>0</v>
      </c>
      <c r="BG1191" s="2188">
        <f t="shared" si="2451"/>
        <v>0</v>
      </c>
      <c r="BH1191" s="2186">
        <f t="shared" si="2471"/>
        <v>0</v>
      </c>
      <c r="BI1191" s="2188">
        <f t="shared" si="2452"/>
        <v>0</v>
      </c>
      <c r="BJ1191" s="2188">
        <f t="shared" si="2452"/>
        <v>0</v>
      </c>
      <c r="BK1191" s="2186">
        <f t="shared" si="2472"/>
        <v>0</v>
      </c>
      <c r="BL1191" s="2188">
        <f t="shared" si="2453"/>
        <v>0</v>
      </c>
      <c r="BM1191" s="2188">
        <f t="shared" si="2453"/>
        <v>0</v>
      </c>
      <c r="BN1191" s="2186">
        <f t="shared" si="2473"/>
        <v>0</v>
      </c>
      <c r="BO1191" s="2188">
        <f t="shared" si="2454"/>
        <v>0</v>
      </c>
      <c r="BP1191" s="2188">
        <f t="shared" si="2454"/>
        <v>0</v>
      </c>
      <c r="BQ1191" s="2186">
        <f t="shared" si="2474"/>
        <v>0</v>
      </c>
    </row>
    <row r="1192" spans="3:69" s="2159" customFormat="1" ht="12" hidden="1" customHeight="1">
      <c r="C1192" s="2285" t="s">
        <v>3341</v>
      </c>
      <c r="D1192" s="2418" t="s">
        <v>42</v>
      </c>
      <c r="E1192" s="2250" t="s">
        <v>3046</v>
      </c>
      <c r="F1192" s="2176"/>
      <c r="G1192" s="2179">
        <f>G1199+G1206+G1208+G1210</f>
        <v>0</v>
      </c>
      <c r="H1192" s="2179">
        <f>H1199+H1206+H1208+H1210</f>
        <v>0</v>
      </c>
      <c r="I1192" s="2178">
        <f t="shared" si="2455"/>
        <v>0</v>
      </c>
      <c r="J1192" s="2176"/>
      <c r="K1192" s="2179">
        <f t="shared" si="2438"/>
        <v>0</v>
      </c>
      <c r="L1192" s="2179">
        <f t="shared" si="2438"/>
        <v>0</v>
      </c>
      <c r="M1192" s="2178">
        <f t="shared" si="2456"/>
        <v>0</v>
      </c>
      <c r="N1192" s="2179">
        <f>N1199+N1206+N1208+N1210</f>
        <v>0</v>
      </c>
      <c r="O1192" s="2179">
        <f>O1199+O1206+O1208+O1210</f>
        <v>0</v>
      </c>
      <c r="P1192" s="2178">
        <f t="shared" si="2457"/>
        <v>0</v>
      </c>
      <c r="Q1192" s="2184">
        <f>Q1199+Q1206+Q1208+Q1210</f>
        <v>0</v>
      </c>
      <c r="R1192" s="2179">
        <f>R1199+R1206+R1208+R1210</f>
        <v>0</v>
      </c>
      <c r="S1192" s="2178">
        <f t="shared" si="2458"/>
        <v>0</v>
      </c>
      <c r="T1192" s="2181">
        <f t="shared" si="2435"/>
        <v>0</v>
      </c>
      <c r="U1192" s="2179">
        <f t="shared" si="2435"/>
        <v>0</v>
      </c>
      <c r="V1192" s="2178">
        <f t="shared" si="2459"/>
        <v>0</v>
      </c>
      <c r="W1192" s="2184">
        <f>W1199+W1206+W1208+W1210</f>
        <v>0</v>
      </c>
      <c r="X1192" s="2179">
        <f>X1199+X1206+X1208+X1210</f>
        <v>0</v>
      </c>
      <c r="Y1192" s="2178">
        <f t="shared" si="2460"/>
        <v>0</v>
      </c>
      <c r="Z1192" s="2181">
        <f t="shared" si="2436"/>
        <v>0</v>
      </c>
      <c r="AA1192" s="2179">
        <f t="shared" si="2436"/>
        <v>0</v>
      </c>
      <c r="AB1192" s="2178">
        <f t="shared" si="2461"/>
        <v>0</v>
      </c>
      <c r="AC1192" s="2184">
        <f>AC1199+AC1206+AC1208+AC1210</f>
        <v>0</v>
      </c>
      <c r="AD1192" s="2179">
        <f>AD1199+AD1206+AD1208+AD1210</f>
        <v>0</v>
      </c>
      <c r="AE1192" s="2178">
        <f t="shared" si="2462"/>
        <v>0</v>
      </c>
      <c r="AF1192" s="2204"/>
      <c r="AG1192" s="2158"/>
      <c r="AH1192" s="2188">
        <f>AH1199+AH1206+AH1208+AH1210</f>
        <v>0</v>
      </c>
      <c r="AI1192" s="2188">
        <f>AI1199+AI1206+AI1208+AI1210</f>
        <v>0</v>
      </c>
      <c r="AJ1192" s="2186">
        <f t="shared" si="2463"/>
        <v>0</v>
      </c>
      <c r="AK1192" s="2188">
        <f>AK1199+AK1206+AK1208+AK1210</f>
        <v>0</v>
      </c>
      <c r="AL1192" s="2188">
        <f>AL1199+AL1206+AL1208+AL1210</f>
        <v>0</v>
      </c>
      <c r="AM1192" s="2186">
        <f t="shared" si="2464"/>
        <v>0</v>
      </c>
      <c r="AN1192" s="2188">
        <f>AN1199+AN1206+AN1208+AN1210</f>
        <v>0</v>
      </c>
      <c r="AO1192" s="2188">
        <f>AO1199+AO1206+AO1208+AO1210</f>
        <v>0</v>
      </c>
      <c r="AP1192" s="2186">
        <f t="shared" si="2465"/>
        <v>0</v>
      </c>
      <c r="AQ1192" s="2188">
        <f>AQ1199+AQ1206+AQ1208+AQ1210</f>
        <v>0</v>
      </c>
      <c r="AR1192" s="2188">
        <f>AR1199+AR1206+AR1208+AR1210</f>
        <v>0</v>
      </c>
      <c r="AS1192" s="2186">
        <f t="shared" si="2466"/>
        <v>0</v>
      </c>
      <c r="AT1192" s="2188">
        <f>AT1199+AT1206+AT1208+AT1210</f>
        <v>0</v>
      </c>
      <c r="AU1192" s="2188">
        <f>AU1199+AU1206+AU1208+AU1210</f>
        <v>0</v>
      </c>
      <c r="AV1192" s="2186">
        <f t="shared" si="2467"/>
        <v>0</v>
      </c>
      <c r="AW1192" s="2188">
        <f>AW1199+AW1206+AW1208+AW1210</f>
        <v>0</v>
      </c>
      <c r="AX1192" s="2188">
        <f>AX1199+AX1206+AX1208+AX1210</f>
        <v>0</v>
      </c>
      <c r="AY1192" s="2186">
        <f t="shared" si="2468"/>
        <v>0</v>
      </c>
      <c r="AZ1192" s="2188">
        <f>AZ1199+AZ1206+AZ1208+AZ1210</f>
        <v>0</v>
      </c>
      <c r="BA1192" s="2188">
        <f>BA1199+BA1206+BA1208+BA1210</f>
        <v>0</v>
      </c>
      <c r="BB1192" s="2186">
        <f t="shared" si="2469"/>
        <v>0</v>
      </c>
      <c r="BC1192" s="2188">
        <f>BC1199+BC1206+BC1208+BC1210</f>
        <v>0</v>
      </c>
      <c r="BD1192" s="2188">
        <f>BD1199+BD1206+BD1208+BD1210</f>
        <v>0</v>
      </c>
      <c r="BE1192" s="2186">
        <f t="shared" si="2470"/>
        <v>0</v>
      </c>
      <c r="BF1192" s="2188">
        <f>BF1199+BF1206+BF1208+BF1210</f>
        <v>0</v>
      </c>
      <c r="BG1192" s="2188">
        <f>BG1199+BG1206+BG1208+BG1210</f>
        <v>0</v>
      </c>
      <c r="BH1192" s="2186">
        <f t="shared" si="2471"/>
        <v>0</v>
      </c>
      <c r="BI1192" s="2188">
        <f>BI1199+BI1206+BI1208+BI1210</f>
        <v>0</v>
      </c>
      <c r="BJ1192" s="2188">
        <f>BJ1199+BJ1206+BJ1208+BJ1210</f>
        <v>0</v>
      </c>
      <c r="BK1192" s="2186">
        <f t="shared" si="2472"/>
        <v>0</v>
      </c>
      <c r="BL1192" s="2188">
        <f>BL1199+BL1206+BL1208+BL1210</f>
        <v>0</v>
      </c>
      <c r="BM1192" s="2188">
        <f>BM1199+BM1206+BM1208+BM1210</f>
        <v>0</v>
      </c>
      <c r="BN1192" s="2186">
        <f t="shared" si="2473"/>
        <v>0</v>
      </c>
      <c r="BO1192" s="2188">
        <f>BO1199+BO1206+BO1208+BO1210</f>
        <v>0</v>
      </c>
      <c r="BP1192" s="2188">
        <f>BP1199+BP1206+BP1208+BP1210</f>
        <v>0</v>
      </c>
      <c r="BQ1192" s="2186">
        <f t="shared" si="2474"/>
        <v>0</v>
      </c>
    </row>
    <row r="1193" spans="3:69" s="2159" customFormat="1" ht="12" hidden="1" customHeight="1">
      <c r="C1193" s="2285" t="s">
        <v>3342</v>
      </c>
      <c r="D1193" s="2421" t="s">
        <v>2434</v>
      </c>
      <c r="E1193" s="2250" t="s">
        <v>3046</v>
      </c>
      <c r="F1193" s="2176"/>
      <c r="G1193" s="2179">
        <f>G1200+G1207+G1209+G1211</f>
        <v>0</v>
      </c>
      <c r="H1193" s="2179">
        <f>H1200+H1207+H1209+H1211</f>
        <v>0</v>
      </c>
      <c r="I1193" s="2178">
        <f t="shared" si="2455"/>
        <v>0</v>
      </c>
      <c r="J1193" s="2176"/>
      <c r="K1193" s="2179">
        <f>N1193+Q1193+W1193+AC1193</f>
        <v>0</v>
      </c>
      <c r="L1193" s="2179">
        <f>O1193+R1193+X1193+AD1193</f>
        <v>0</v>
      </c>
      <c r="M1193" s="2178">
        <f t="shared" si="2456"/>
        <v>0</v>
      </c>
      <c r="N1193" s="2179">
        <f>N1200+N1207+N1209+N1211</f>
        <v>0</v>
      </c>
      <c r="O1193" s="2179">
        <f>O1200+O1207+O1209+O1211</f>
        <v>0</v>
      </c>
      <c r="P1193" s="2178">
        <f t="shared" si="2457"/>
        <v>0</v>
      </c>
      <c r="Q1193" s="2179">
        <f>Q1200+Q1207+Q1209+Q1211</f>
        <v>0</v>
      </c>
      <c r="R1193" s="2179">
        <f>R1200+R1207+R1209+R1211</f>
        <v>0</v>
      </c>
      <c r="S1193" s="2178">
        <f t="shared" si="2458"/>
        <v>0</v>
      </c>
      <c r="T1193" s="2179">
        <f>N1193+Q1193</f>
        <v>0</v>
      </c>
      <c r="U1193" s="2179">
        <f>O1193+R1193</f>
        <v>0</v>
      </c>
      <c r="V1193" s="2178">
        <f t="shared" si="2459"/>
        <v>0</v>
      </c>
      <c r="W1193" s="2179">
        <f>W1200+W1207+W1209+W1211</f>
        <v>0</v>
      </c>
      <c r="X1193" s="2179">
        <f>X1200+X1207+X1209+X1211</f>
        <v>0</v>
      </c>
      <c r="Y1193" s="2178">
        <f t="shared" si="2460"/>
        <v>0</v>
      </c>
      <c r="Z1193" s="2179">
        <f>T1193+W1193</f>
        <v>0</v>
      </c>
      <c r="AA1193" s="2179">
        <f>U1193+X1193</f>
        <v>0</v>
      </c>
      <c r="AB1193" s="2178">
        <f t="shared" si="2461"/>
        <v>0</v>
      </c>
      <c r="AC1193" s="2179">
        <f>AC1200+AC1207+AC1209+AC1211</f>
        <v>0</v>
      </c>
      <c r="AD1193" s="2179">
        <f>AD1200+AD1207+AD1209+AD1211</f>
        <v>0</v>
      </c>
      <c r="AE1193" s="2178">
        <f t="shared" si="2462"/>
        <v>0</v>
      </c>
      <c r="AF1193" s="2204"/>
      <c r="AG1193" s="2158"/>
      <c r="AH1193" s="2188">
        <f>AH1200+AH1207+AH1209+AH1211</f>
        <v>0</v>
      </c>
      <c r="AI1193" s="2188">
        <f>AI1200+AI1207+AI1209+AI1211</f>
        <v>0</v>
      </c>
      <c r="AJ1193" s="2186">
        <f t="shared" si="2463"/>
        <v>0</v>
      </c>
      <c r="AK1193" s="2188">
        <f>AK1200+AK1207+AK1209+AK1211</f>
        <v>0</v>
      </c>
      <c r="AL1193" s="2188">
        <f>AL1200+AL1207+AL1209+AL1211</f>
        <v>0</v>
      </c>
      <c r="AM1193" s="2186">
        <f t="shared" si="2464"/>
        <v>0</v>
      </c>
      <c r="AN1193" s="2188">
        <f>AN1200+AN1207+AN1209+AN1211</f>
        <v>0</v>
      </c>
      <c r="AO1193" s="2188">
        <f>AO1200+AO1207+AO1209+AO1211</f>
        <v>0</v>
      </c>
      <c r="AP1193" s="2186">
        <f t="shared" si="2465"/>
        <v>0</v>
      </c>
      <c r="AQ1193" s="2188">
        <f>AQ1200+AQ1207+AQ1209+AQ1211</f>
        <v>0</v>
      </c>
      <c r="AR1193" s="2188">
        <f>AR1200+AR1207+AR1209+AR1211</f>
        <v>0</v>
      </c>
      <c r="AS1193" s="2186">
        <f t="shared" si="2466"/>
        <v>0</v>
      </c>
      <c r="AT1193" s="2188">
        <f>AT1200+AT1207+AT1209+AT1211</f>
        <v>0</v>
      </c>
      <c r="AU1193" s="2188">
        <f>AU1200+AU1207+AU1209+AU1211</f>
        <v>0</v>
      </c>
      <c r="AV1193" s="2186">
        <f t="shared" si="2467"/>
        <v>0</v>
      </c>
      <c r="AW1193" s="2188">
        <f>AW1200+AW1207+AW1209+AW1211</f>
        <v>0</v>
      </c>
      <c r="AX1193" s="2188">
        <f>AX1200+AX1207+AX1209+AX1211</f>
        <v>0</v>
      </c>
      <c r="AY1193" s="2186">
        <f t="shared" si="2468"/>
        <v>0</v>
      </c>
      <c r="AZ1193" s="2188">
        <f>AZ1200+AZ1207+AZ1209+AZ1211</f>
        <v>0</v>
      </c>
      <c r="BA1193" s="2188">
        <f>BA1200+BA1207+BA1209+BA1211</f>
        <v>0</v>
      </c>
      <c r="BB1193" s="2186">
        <f t="shared" si="2469"/>
        <v>0</v>
      </c>
      <c r="BC1193" s="2188">
        <f>BC1200+BC1207+BC1209+BC1211</f>
        <v>0</v>
      </c>
      <c r="BD1193" s="2188">
        <f>BD1200+BD1207+BD1209+BD1211</f>
        <v>0</v>
      </c>
      <c r="BE1193" s="2186">
        <f t="shared" si="2470"/>
        <v>0</v>
      </c>
      <c r="BF1193" s="2188">
        <f>BF1200+BF1207+BF1209+BF1211</f>
        <v>0</v>
      </c>
      <c r="BG1193" s="2188">
        <f>BG1200+BG1207+BG1209+BG1211</f>
        <v>0</v>
      </c>
      <c r="BH1193" s="2186">
        <f t="shared" si="2471"/>
        <v>0</v>
      </c>
      <c r="BI1193" s="2188">
        <f>BI1200+BI1207+BI1209+BI1211</f>
        <v>0</v>
      </c>
      <c r="BJ1193" s="2188">
        <f>BJ1200+BJ1207+BJ1209+BJ1211</f>
        <v>0</v>
      </c>
      <c r="BK1193" s="2186">
        <f t="shared" si="2472"/>
        <v>0</v>
      </c>
      <c r="BL1193" s="2188">
        <f>BL1200+BL1207+BL1209+BL1211</f>
        <v>0</v>
      </c>
      <c r="BM1193" s="2188">
        <f>BM1200+BM1207+BM1209+BM1211</f>
        <v>0</v>
      </c>
      <c r="BN1193" s="2186">
        <f t="shared" si="2473"/>
        <v>0</v>
      </c>
      <c r="BO1193" s="2188">
        <f>BO1200+BO1207+BO1209+BO1211</f>
        <v>0</v>
      </c>
      <c r="BP1193" s="2188">
        <f>BP1200+BP1207+BP1209+BP1211</f>
        <v>0</v>
      </c>
      <c r="BQ1193" s="2186">
        <f t="shared" si="2474"/>
        <v>0</v>
      </c>
    </row>
    <row r="1194" spans="3:69" s="2159" customFormat="1" ht="12" hidden="1" customHeight="1">
      <c r="C1194" s="2474" t="s">
        <v>3343</v>
      </c>
      <c r="D1194" s="2476" t="s">
        <v>3344</v>
      </c>
      <c r="E1194" s="2120" t="s">
        <v>3345</v>
      </c>
      <c r="F1194" s="2162"/>
      <c r="G1194" s="2163">
        <f>G1195+G1197+G1199</f>
        <v>0</v>
      </c>
      <c r="H1194" s="2163">
        <f>H1195+H1197+H1199</f>
        <v>0</v>
      </c>
      <c r="I1194" s="2164">
        <f t="shared" si="2455"/>
        <v>0</v>
      </c>
      <c r="J1194" s="2162"/>
      <c r="K1194" s="2163">
        <f t="shared" si="2438"/>
        <v>0</v>
      </c>
      <c r="L1194" s="2163">
        <f t="shared" si="2438"/>
        <v>0</v>
      </c>
      <c r="M1194" s="2164">
        <f t="shared" si="2456"/>
        <v>0</v>
      </c>
      <c r="N1194" s="2163">
        <f>N1195+N1197+N1199</f>
        <v>0</v>
      </c>
      <c r="O1194" s="2163">
        <f>O1195+O1197+O1199</f>
        <v>0</v>
      </c>
      <c r="P1194" s="2164">
        <f t="shared" si="2457"/>
        <v>0</v>
      </c>
      <c r="Q1194" s="2163">
        <f>Q1195+Q1197+Q1199</f>
        <v>0</v>
      </c>
      <c r="R1194" s="2163">
        <f>R1195+R1197+R1199</f>
        <v>0</v>
      </c>
      <c r="S1194" s="2164">
        <f t="shared" si="2458"/>
        <v>0</v>
      </c>
      <c r="T1194" s="2167">
        <f t="shared" ref="T1194:U1210" si="2475">N1194+Q1194</f>
        <v>0</v>
      </c>
      <c r="U1194" s="2163">
        <f t="shared" si="2475"/>
        <v>0</v>
      </c>
      <c r="V1194" s="2164">
        <f t="shared" si="2459"/>
        <v>0</v>
      </c>
      <c r="W1194" s="2163">
        <f>W1195+W1197+W1199</f>
        <v>0</v>
      </c>
      <c r="X1194" s="2163">
        <f>X1195+X1197+X1199</f>
        <v>0</v>
      </c>
      <c r="Y1194" s="2164">
        <f t="shared" si="2460"/>
        <v>0</v>
      </c>
      <c r="Z1194" s="2167">
        <f t="shared" ref="Z1194:AA1210" si="2476">T1194+W1194</f>
        <v>0</v>
      </c>
      <c r="AA1194" s="2163">
        <f t="shared" si="2476"/>
        <v>0</v>
      </c>
      <c r="AB1194" s="2164">
        <f t="shared" si="2461"/>
        <v>0</v>
      </c>
      <c r="AC1194" s="2163">
        <f>AC1195+AC1197+AC1199</f>
        <v>0</v>
      </c>
      <c r="AD1194" s="2163">
        <f>AD1195+AD1197+AD1199</f>
        <v>0</v>
      </c>
      <c r="AE1194" s="2164">
        <f t="shared" si="2462"/>
        <v>0</v>
      </c>
      <c r="AF1194" s="2204"/>
      <c r="AG1194" s="2158"/>
      <c r="AH1194" s="2171">
        <f>AH1195+AH1197+AH1199</f>
        <v>0</v>
      </c>
      <c r="AI1194" s="2171">
        <f>AI1195+AI1197+AI1199</f>
        <v>0</v>
      </c>
      <c r="AJ1194" s="2172">
        <f t="shared" si="2463"/>
        <v>0</v>
      </c>
      <c r="AK1194" s="2171">
        <f>AK1195+AK1197+AK1199</f>
        <v>0</v>
      </c>
      <c r="AL1194" s="2171">
        <f>AL1195+AL1197+AL1199</f>
        <v>0</v>
      </c>
      <c r="AM1194" s="2172">
        <f t="shared" si="2464"/>
        <v>0</v>
      </c>
      <c r="AN1194" s="2171">
        <f>AN1195+AN1197+AN1199</f>
        <v>0</v>
      </c>
      <c r="AO1194" s="2171">
        <f>AO1195+AO1197+AO1199</f>
        <v>0</v>
      </c>
      <c r="AP1194" s="2172">
        <f t="shared" si="2465"/>
        <v>0</v>
      </c>
      <c r="AQ1194" s="2171">
        <f>AQ1195+AQ1197+AQ1199</f>
        <v>0</v>
      </c>
      <c r="AR1194" s="2171">
        <f>AR1195+AR1197+AR1199</f>
        <v>0</v>
      </c>
      <c r="AS1194" s="2172">
        <f t="shared" si="2466"/>
        <v>0</v>
      </c>
      <c r="AT1194" s="2171">
        <f>AT1195+AT1197+AT1199</f>
        <v>0</v>
      </c>
      <c r="AU1194" s="2171">
        <f>AU1195+AU1197+AU1199</f>
        <v>0</v>
      </c>
      <c r="AV1194" s="2172">
        <f t="shared" si="2467"/>
        <v>0</v>
      </c>
      <c r="AW1194" s="2171">
        <f>AW1195+AW1197+AW1199</f>
        <v>0</v>
      </c>
      <c r="AX1194" s="2171">
        <f>AX1195+AX1197+AX1199</f>
        <v>0</v>
      </c>
      <c r="AY1194" s="2172">
        <f t="shared" si="2468"/>
        <v>0</v>
      </c>
      <c r="AZ1194" s="2171">
        <f>AZ1195+AZ1197+AZ1199</f>
        <v>0</v>
      </c>
      <c r="BA1194" s="2171">
        <f>BA1195+BA1197+BA1199</f>
        <v>0</v>
      </c>
      <c r="BB1194" s="2172">
        <f t="shared" si="2469"/>
        <v>0</v>
      </c>
      <c r="BC1194" s="2171">
        <f>BC1195+BC1197+BC1199</f>
        <v>0</v>
      </c>
      <c r="BD1194" s="2171">
        <f>BD1195+BD1197+BD1199</f>
        <v>0</v>
      </c>
      <c r="BE1194" s="2172">
        <f t="shared" si="2470"/>
        <v>0</v>
      </c>
      <c r="BF1194" s="2171">
        <f>BF1195+BF1197+BF1199</f>
        <v>0</v>
      </c>
      <c r="BG1194" s="2171">
        <f>BG1195+BG1197+BG1199</f>
        <v>0</v>
      </c>
      <c r="BH1194" s="2172">
        <f t="shared" si="2471"/>
        <v>0</v>
      </c>
      <c r="BI1194" s="2171">
        <f>BI1195+BI1197+BI1199</f>
        <v>0</v>
      </c>
      <c r="BJ1194" s="2171">
        <f>BJ1195+BJ1197+BJ1199</f>
        <v>0</v>
      </c>
      <c r="BK1194" s="2172">
        <f t="shared" si="2472"/>
        <v>0</v>
      </c>
      <c r="BL1194" s="2171">
        <f>BL1195+BL1197+BL1199</f>
        <v>0</v>
      </c>
      <c r="BM1194" s="2171">
        <f>BM1195+BM1197+BM1199</f>
        <v>0</v>
      </c>
      <c r="BN1194" s="2172">
        <f t="shared" si="2473"/>
        <v>0</v>
      </c>
      <c r="BO1194" s="2171">
        <f>BO1195+BO1197+BO1199</f>
        <v>0</v>
      </c>
      <c r="BP1194" s="2171">
        <f>BP1195+BP1197+BP1199</f>
        <v>0</v>
      </c>
      <c r="BQ1194" s="2172">
        <f t="shared" si="2474"/>
        <v>0</v>
      </c>
    </row>
    <row r="1195" spans="3:69" s="2087" customFormat="1" ht="12" hidden="1" customHeight="1">
      <c r="C1195" s="2285" t="s">
        <v>3346</v>
      </c>
      <c r="D1195" s="2418" t="s">
        <v>28</v>
      </c>
      <c r="E1195" s="2250" t="s">
        <v>3046</v>
      </c>
      <c r="F1195" s="2176"/>
      <c r="G1195" s="2177"/>
      <c r="H1195" s="2177"/>
      <c r="I1195" s="2178">
        <f t="shared" si="2455"/>
        <v>0</v>
      </c>
      <c r="J1195" s="2176"/>
      <c r="K1195" s="2179">
        <f t="shared" si="2438"/>
        <v>0</v>
      </c>
      <c r="L1195" s="2179">
        <f t="shared" si="2438"/>
        <v>0</v>
      </c>
      <c r="M1195" s="2178">
        <f t="shared" si="2456"/>
        <v>0</v>
      </c>
      <c r="N1195" s="2177"/>
      <c r="O1195" s="2177"/>
      <c r="P1195" s="2178">
        <f t="shared" si="2457"/>
        <v>0</v>
      </c>
      <c r="Q1195" s="2176"/>
      <c r="R1195" s="2177"/>
      <c r="S1195" s="2178">
        <f t="shared" si="2458"/>
        <v>0</v>
      </c>
      <c r="T1195" s="2181">
        <f t="shared" si="2475"/>
        <v>0</v>
      </c>
      <c r="U1195" s="2179">
        <f t="shared" si="2475"/>
        <v>0</v>
      </c>
      <c r="V1195" s="2178">
        <f t="shared" si="2459"/>
        <v>0</v>
      </c>
      <c r="W1195" s="2176"/>
      <c r="X1195" s="2177"/>
      <c r="Y1195" s="2178">
        <f t="shared" si="2460"/>
        <v>0</v>
      </c>
      <c r="Z1195" s="2181">
        <f t="shared" si="2476"/>
        <v>0</v>
      </c>
      <c r="AA1195" s="2179">
        <f t="shared" si="2476"/>
        <v>0</v>
      </c>
      <c r="AB1195" s="2178">
        <f t="shared" si="2461"/>
        <v>0</v>
      </c>
      <c r="AC1195" s="2176"/>
      <c r="AD1195" s="2177"/>
      <c r="AE1195" s="2178">
        <f t="shared" si="2462"/>
        <v>0</v>
      </c>
      <c r="AF1195" s="2204"/>
      <c r="AG1195" s="2114"/>
      <c r="AH1195" s="2177"/>
      <c r="AI1195" s="2177"/>
      <c r="AJ1195" s="2186">
        <f t="shared" si="2463"/>
        <v>0</v>
      </c>
      <c r="AK1195" s="2177"/>
      <c r="AL1195" s="2177"/>
      <c r="AM1195" s="2186">
        <f t="shared" si="2464"/>
        <v>0</v>
      </c>
      <c r="AN1195" s="2177"/>
      <c r="AO1195" s="2177"/>
      <c r="AP1195" s="2186">
        <f t="shared" si="2465"/>
        <v>0</v>
      </c>
      <c r="AQ1195" s="2177"/>
      <c r="AR1195" s="2177"/>
      <c r="AS1195" s="2186">
        <f t="shared" si="2466"/>
        <v>0</v>
      </c>
      <c r="AT1195" s="2177"/>
      <c r="AU1195" s="2177"/>
      <c r="AV1195" s="2186">
        <f t="shared" si="2467"/>
        <v>0</v>
      </c>
      <c r="AW1195" s="2177"/>
      <c r="AX1195" s="2177"/>
      <c r="AY1195" s="2186">
        <f t="shared" si="2468"/>
        <v>0</v>
      </c>
      <c r="AZ1195" s="2177"/>
      <c r="BA1195" s="2177"/>
      <c r="BB1195" s="2186">
        <f t="shared" si="2469"/>
        <v>0</v>
      </c>
      <c r="BC1195" s="2177"/>
      <c r="BD1195" s="2177"/>
      <c r="BE1195" s="2186">
        <f t="shared" si="2470"/>
        <v>0</v>
      </c>
      <c r="BF1195" s="2177"/>
      <c r="BG1195" s="2177"/>
      <c r="BH1195" s="2186">
        <f t="shared" si="2471"/>
        <v>0</v>
      </c>
      <c r="BI1195" s="2177"/>
      <c r="BJ1195" s="2177"/>
      <c r="BK1195" s="2186">
        <f t="shared" si="2472"/>
        <v>0</v>
      </c>
      <c r="BL1195" s="2177"/>
      <c r="BM1195" s="2177"/>
      <c r="BN1195" s="2186">
        <f t="shared" si="2473"/>
        <v>0</v>
      </c>
      <c r="BO1195" s="2177"/>
      <c r="BP1195" s="2177"/>
      <c r="BQ1195" s="2186">
        <f t="shared" si="2474"/>
        <v>0</v>
      </c>
    </row>
    <row r="1196" spans="3:69" s="2087" customFormat="1" ht="12" hidden="1" customHeight="1">
      <c r="C1196" s="2285" t="s">
        <v>3347</v>
      </c>
      <c r="D1196" s="2421" t="s">
        <v>2434</v>
      </c>
      <c r="E1196" s="2250" t="s">
        <v>3046</v>
      </c>
      <c r="F1196" s="2176"/>
      <c r="G1196" s="2177"/>
      <c r="H1196" s="2177"/>
      <c r="I1196" s="2178">
        <f t="shared" si="2455"/>
        <v>0</v>
      </c>
      <c r="J1196" s="2176"/>
      <c r="K1196" s="2179">
        <f>N1196+Q1196+W1196+AC1196</f>
        <v>0</v>
      </c>
      <c r="L1196" s="2179">
        <f>O1196+R1196+X1196+AD1196</f>
        <v>0</v>
      </c>
      <c r="M1196" s="2178">
        <f t="shared" si="2456"/>
        <v>0</v>
      </c>
      <c r="N1196" s="2177"/>
      <c r="O1196" s="2177"/>
      <c r="P1196" s="2178">
        <f t="shared" si="2457"/>
        <v>0</v>
      </c>
      <c r="Q1196" s="2176"/>
      <c r="R1196" s="2177"/>
      <c r="S1196" s="2178">
        <f t="shared" si="2458"/>
        <v>0</v>
      </c>
      <c r="T1196" s="2179">
        <f>N1196+Q1196</f>
        <v>0</v>
      </c>
      <c r="U1196" s="2179">
        <f>O1196+R1196</f>
        <v>0</v>
      </c>
      <c r="V1196" s="2178">
        <f t="shared" si="2459"/>
        <v>0</v>
      </c>
      <c r="W1196" s="2176"/>
      <c r="X1196" s="2177"/>
      <c r="Y1196" s="2178">
        <f t="shared" si="2460"/>
        <v>0</v>
      </c>
      <c r="Z1196" s="2179">
        <f>T1196+W1196</f>
        <v>0</v>
      </c>
      <c r="AA1196" s="2179">
        <f>U1196+X1196</f>
        <v>0</v>
      </c>
      <c r="AB1196" s="2178">
        <f t="shared" si="2461"/>
        <v>0</v>
      </c>
      <c r="AC1196" s="2176"/>
      <c r="AD1196" s="2177"/>
      <c r="AE1196" s="2178">
        <f t="shared" si="2462"/>
        <v>0</v>
      </c>
      <c r="AF1196" s="2204"/>
      <c r="AG1196" s="2114"/>
      <c r="AH1196" s="2177"/>
      <c r="AI1196" s="2177"/>
      <c r="AJ1196" s="2186">
        <f t="shared" si="2463"/>
        <v>0</v>
      </c>
      <c r="AK1196" s="2177"/>
      <c r="AL1196" s="2177"/>
      <c r="AM1196" s="2186">
        <f t="shared" si="2464"/>
        <v>0</v>
      </c>
      <c r="AN1196" s="2177"/>
      <c r="AO1196" s="2177"/>
      <c r="AP1196" s="2186">
        <f t="shared" si="2465"/>
        <v>0</v>
      </c>
      <c r="AQ1196" s="2177"/>
      <c r="AR1196" s="2177"/>
      <c r="AS1196" s="2186">
        <f t="shared" si="2466"/>
        <v>0</v>
      </c>
      <c r="AT1196" s="2177"/>
      <c r="AU1196" s="2177"/>
      <c r="AV1196" s="2186">
        <f t="shared" si="2467"/>
        <v>0</v>
      </c>
      <c r="AW1196" s="2177"/>
      <c r="AX1196" s="2177"/>
      <c r="AY1196" s="2186">
        <f t="shared" si="2468"/>
        <v>0</v>
      </c>
      <c r="AZ1196" s="2177"/>
      <c r="BA1196" s="2177"/>
      <c r="BB1196" s="2186">
        <f t="shared" si="2469"/>
        <v>0</v>
      </c>
      <c r="BC1196" s="2177"/>
      <c r="BD1196" s="2177"/>
      <c r="BE1196" s="2186">
        <f t="shared" si="2470"/>
        <v>0</v>
      </c>
      <c r="BF1196" s="2177"/>
      <c r="BG1196" s="2177"/>
      <c r="BH1196" s="2186">
        <f t="shared" si="2471"/>
        <v>0</v>
      </c>
      <c r="BI1196" s="2177"/>
      <c r="BJ1196" s="2177"/>
      <c r="BK1196" s="2186">
        <f t="shared" si="2472"/>
        <v>0</v>
      </c>
      <c r="BL1196" s="2177"/>
      <c r="BM1196" s="2177"/>
      <c r="BN1196" s="2186">
        <f t="shared" si="2473"/>
        <v>0</v>
      </c>
      <c r="BO1196" s="2177"/>
      <c r="BP1196" s="2177"/>
      <c r="BQ1196" s="2186">
        <f t="shared" si="2474"/>
        <v>0</v>
      </c>
    </row>
    <row r="1197" spans="3:69" s="2087" customFormat="1" ht="12" hidden="1" customHeight="1">
      <c r="C1197" s="2285" t="s">
        <v>3348</v>
      </c>
      <c r="D1197" s="2418" t="s">
        <v>2872</v>
      </c>
      <c r="E1197" s="2250" t="s">
        <v>3046</v>
      </c>
      <c r="F1197" s="2176"/>
      <c r="G1197" s="2177"/>
      <c r="H1197" s="2177"/>
      <c r="I1197" s="2178">
        <f t="shared" si="2455"/>
        <v>0</v>
      </c>
      <c r="J1197" s="2176"/>
      <c r="K1197" s="2179">
        <f t="shared" si="2438"/>
        <v>0</v>
      </c>
      <c r="L1197" s="2179">
        <f t="shared" si="2438"/>
        <v>0</v>
      </c>
      <c r="M1197" s="2178">
        <f t="shared" si="2456"/>
        <v>0</v>
      </c>
      <c r="N1197" s="2177"/>
      <c r="O1197" s="2177"/>
      <c r="P1197" s="2178">
        <f t="shared" si="2457"/>
        <v>0</v>
      </c>
      <c r="Q1197" s="2176"/>
      <c r="R1197" s="2177"/>
      <c r="S1197" s="2178">
        <f t="shared" si="2458"/>
        <v>0</v>
      </c>
      <c r="T1197" s="2181">
        <f t="shared" si="2475"/>
        <v>0</v>
      </c>
      <c r="U1197" s="2179">
        <f t="shared" si="2475"/>
        <v>0</v>
      </c>
      <c r="V1197" s="2178">
        <f t="shared" si="2459"/>
        <v>0</v>
      </c>
      <c r="W1197" s="2176"/>
      <c r="X1197" s="2177"/>
      <c r="Y1197" s="2178">
        <f t="shared" si="2460"/>
        <v>0</v>
      </c>
      <c r="Z1197" s="2181">
        <f t="shared" si="2476"/>
        <v>0</v>
      </c>
      <c r="AA1197" s="2179">
        <f t="shared" si="2476"/>
        <v>0</v>
      </c>
      <c r="AB1197" s="2178">
        <f t="shared" si="2461"/>
        <v>0</v>
      </c>
      <c r="AC1197" s="2176"/>
      <c r="AD1197" s="2177"/>
      <c r="AE1197" s="2178">
        <f t="shared" si="2462"/>
        <v>0</v>
      </c>
      <c r="AF1197" s="2204"/>
      <c r="AG1197" s="2114"/>
      <c r="AH1197" s="2177"/>
      <c r="AI1197" s="2177"/>
      <c r="AJ1197" s="2186">
        <f t="shared" si="2463"/>
        <v>0</v>
      </c>
      <c r="AK1197" s="2177"/>
      <c r="AL1197" s="2177"/>
      <c r="AM1197" s="2186">
        <f t="shared" si="2464"/>
        <v>0</v>
      </c>
      <c r="AN1197" s="2177"/>
      <c r="AO1197" s="2177"/>
      <c r="AP1197" s="2186">
        <f t="shared" si="2465"/>
        <v>0</v>
      </c>
      <c r="AQ1197" s="2177"/>
      <c r="AR1197" s="2177"/>
      <c r="AS1197" s="2186">
        <f t="shared" si="2466"/>
        <v>0</v>
      </c>
      <c r="AT1197" s="2177"/>
      <c r="AU1197" s="2177"/>
      <c r="AV1197" s="2186">
        <f t="shared" si="2467"/>
        <v>0</v>
      </c>
      <c r="AW1197" s="2177"/>
      <c r="AX1197" s="2177"/>
      <c r="AY1197" s="2186">
        <f t="shared" si="2468"/>
        <v>0</v>
      </c>
      <c r="AZ1197" s="2177"/>
      <c r="BA1197" s="2177"/>
      <c r="BB1197" s="2186">
        <f t="shared" si="2469"/>
        <v>0</v>
      </c>
      <c r="BC1197" s="2177"/>
      <c r="BD1197" s="2177"/>
      <c r="BE1197" s="2186">
        <f t="shared" si="2470"/>
        <v>0</v>
      </c>
      <c r="BF1197" s="2177"/>
      <c r="BG1197" s="2177"/>
      <c r="BH1197" s="2186">
        <f t="shared" si="2471"/>
        <v>0</v>
      </c>
      <c r="BI1197" s="2177"/>
      <c r="BJ1197" s="2177"/>
      <c r="BK1197" s="2186">
        <f t="shared" si="2472"/>
        <v>0</v>
      </c>
      <c r="BL1197" s="2177"/>
      <c r="BM1197" s="2177"/>
      <c r="BN1197" s="2186">
        <f t="shared" si="2473"/>
        <v>0</v>
      </c>
      <c r="BO1197" s="2177"/>
      <c r="BP1197" s="2177"/>
      <c r="BQ1197" s="2186">
        <f t="shared" si="2474"/>
        <v>0</v>
      </c>
    </row>
    <row r="1198" spans="3:69" s="2087" customFormat="1" ht="12" hidden="1" customHeight="1">
      <c r="C1198" s="2285" t="s">
        <v>3349</v>
      </c>
      <c r="D1198" s="2421" t="s">
        <v>2434</v>
      </c>
      <c r="E1198" s="2250" t="s">
        <v>3046</v>
      </c>
      <c r="F1198" s="2176"/>
      <c r="G1198" s="2177"/>
      <c r="H1198" s="2177"/>
      <c r="I1198" s="2178">
        <f t="shared" si="2455"/>
        <v>0</v>
      </c>
      <c r="J1198" s="2176"/>
      <c r="K1198" s="2179">
        <f>N1198+Q1198+W1198+AC1198</f>
        <v>0</v>
      </c>
      <c r="L1198" s="2179">
        <f>O1198+R1198+X1198+AD1198</f>
        <v>0</v>
      </c>
      <c r="M1198" s="2178">
        <f t="shared" si="2456"/>
        <v>0</v>
      </c>
      <c r="N1198" s="2177"/>
      <c r="O1198" s="2177"/>
      <c r="P1198" s="2178">
        <f t="shared" si="2457"/>
        <v>0</v>
      </c>
      <c r="Q1198" s="2176"/>
      <c r="R1198" s="2177"/>
      <c r="S1198" s="2178">
        <f t="shared" si="2458"/>
        <v>0</v>
      </c>
      <c r="T1198" s="2179">
        <f>N1198+Q1198</f>
        <v>0</v>
      </c>
      <c r="U1198" s="2179">
        <f>O1198+R1198</f>
        <v>0</v>
      </c>
      <c r="V1198" s="2178">
        <f t="shared" si="2459"/>
        <v>0</v>
      </c>
      <c r="W1198" s="2176"/>
      <c r="X1198" s="2177"/>
      <c r="Y1198" s="2178">
        <f t="shared" si="2460"/>
        <v>0</v>
      </c>
      <c r="Z1198" s="2179">
        <f>T1198+W1198</f>
        <v>0</v>
      </c>
      <c r="AA1198" s="2179">
        <f>U1198+X1198</f>
        <v>0</v>
      </c>
      <c r="AB1198" s="2178">
        <f t="shared" si="2461"/>
        <v>0</v>
      </c>
      <c r="AC1198" s="2176"/>
      <c r="AD1198" s="2177"/>
      <c r="AE1198" s="2178">
        <f t="shared" si="2462"/>
        <v>0</v>
      </c>
      <c r="AF1198" s="2204"/>
      <c r="AG1198" s="2114"/>
      <c r="AH1198" s="2177"/>
      <c r="AI1198" s="2177"/>
      <c r="AJ1198" s="2186">
        <f t="shared" si="2463"/>
        <v>0</v>
      </c>
      <c r="AK1198" s="2177"/>
      <c r="AL1198" s="2177"/>
      <c r="AM1198" s="2186">
        <f t="shared" si="2464"/>
        <v>0</v>
      </c>
      <c r="AN1198" s="2177"/>
      <c r="AO1198" s="2177"/>
      <c r="AP1198" s="2186">
        <f t="shared" si="2465"/>
        <v>0</v>
      </c>
      <c r="AQ1198" s="2177"/>
      <c r="AR1198" s="2177"/>
      <c r="AS1198" s="2186">
        <f t="shared" si="2466"/>
        <v>0</v>
      </c>
      <c r="AT1198" s="2177"/>
      <c r="AU1198" s="2177"/>
      <c r="AV1198" s="2186">
        <f t="shared" si="2467"/>
        <v>0</v>
      </c>
      <c r="AW1198" s="2177"/>
      <c r="AX1198" s="2177"/>
      <c r="AY1198" s="2186">
        <f t="shared" si="2468"/>
        <v>0</v>
      </c>
      <c r="AZ1198" s="2177"/>
      <c r="BA1198" s="2177"/>
      <c r="BB1198" s="2186">
        <f t="shared" si="2469"/>
        <v>0</v>
      </c>
      <c r="BC1198" s="2177"/>
      <c r="BD1198" s="2177"/>
      <c r="BE1198" s="2186">
        <f t="shared" si="2470"/>
        <v>0</v>
      </c>
      <c r="BF1198" s="2177"/>
      <c r="BG1198" s="2177"/>
      <c r="BH1198" s="2186">
        <f t="shared" si="2471"/>
        <v>0</v>
      </c>
      <c r="BI1198" s="2177"/>
      <c r="BJ1198" s="2177"/>
      <c r="BK1198" s="2186">
        <f t="shared" si="2472"/>
        <v>0</v>
      </c>
      <c r="BL1198" s="2177"/>
      <c r="BM1198" s="2177"/>
      <c r="BN1198" s="2186">
        <f t="shared" si="2473"/>
        <v>0</v>
      </c>
      <c r="BO1198" s="2177"/>
      <c r="BP1198" s="2177"/>
      <c r="BQ1198" s="2186">
        <f t="shared" si="2474"/>
        <v>0</v>
      </c>
    </row>
    <row r="1199" spans="3:69" s="2159" customFormat="1" ht="12" hidden="1" customHeight="1">
      <c r="C1199" s="2285" t="s">
        <v>3350</v>
      </c>
      <c r="D1199" s="2418" t="s">
        <v>42</v>
      </c>
      <c r="E1199" s="2250" t="s">
        <v>3046</v>
      </c>
      <c r="F1199" s="2176"/>
      <c r="G1199" s="2177"/>
      <c r="H1199" s="2177"/>
      <c r="I1199" s="2178">
        <f t="shared" si="2455"/>
        <v>0</v>
      </c>
      <c r="J1199" s="2176"/>
      <c r="K1199" s="2179">
        <f t="shared" si="2438"/>
        <v>0</v>
      </c>
      <c r="L1199" s="2179">
        <f t="shared" si="2438"/>
        <v>0</v>
      </c>
      <c r="M1199" s="2178">
        <f t="shared" si="2456"/>
        <v>0</v>
      </c>
      <c r="N1199" s="2177"/>
      <c r="O1199" s="2177"/>
      <c r="P1199" s="2178">
        <f t="shared" si="2457"/>
        <v>0</v>
      </c>
      <c r="Q1199" s="2176"/>
      <c r="R1199" s="2177"/>
      <c r="S1199" s="2178">
        <f t="shared" si="2458"/>
        <v>0</v>
      </c>
      <c r="T1199" s="2181">
        <f t="shared" si="2475"/>
        <v>0</v>
      </c>
      <c r="U1199" s="2179">
        <f t="shared" si="2475"/>
        <v>0</v>
      </c>
      <c r="V1199" s="2178">
        <f t="shared" si="2459"/>
        <v>0</v>
      </c>
      <c r="W1199" s="2176"/>
      <c r="X1199" s="2177"/>
      <c r="Y1199" s="2178">
        <f t="shared" si="2460"/>
        <v>0</v>
      </c>
      <c r="Z1199" s="2181">
        <f t="shared" si="2476"/>
        <v>0</v>
      </c>
      <c r="AA1199" s="2179">
        <f t="shared" si="2476"/>
        <v>0</v>
      </c>
      <c r="AB1199" s="2178">
        <f t="shared" si="2461"/>
        <v>0</v>
      </c>
      <c r="AC1199" s="2176"/>
      <c r="AD1199" s="2177"/>
      <c r="AE1199" s="2178">
        <f t="shared" si="2462"/>
        <v>0</v>
      </c>
      <c r="AF1199" s="2204"/>
      <c r="AG1199" s="2158"/>
      <c r="AH1199" s="2177"/>
      <c r="AI1199" s="2177"/>
      <c r="AJ1199" s="2186">
        <f t="shared" si="2463"/>
        <v>0</v>
      </c>
      <c r="AK1199" s="2177"/>
      <c r="AL1199" s="2177"/>
      <c r="AM1199" s="2186">
        <f t="shared" si="2464"/>
        <v>0</v>
      </c>
      <c r="AN1199" s="2177"/>
      <c r="AO1199" s="2177"/>
      <c r="AP1199" s="2186">
        <f t="shared" si="2465"/>
        <v>0</v>
      </c>
      <c r="AQ1199" s="2177"/>
      <c r="AR1199" s="2177"/>
      <c r="AS1199" s="2186">
        <f t="shared" si="2466"/>
        <v>0</v>
      </c>
      <c r="AT1199" s="2177"/>
      <c r="AU1199" s="2177"/>
      <c r="AV1199" s="2186">
        <f t="shared" si="2467"/>
        <v>0</v>
      </c>
      <c r="AW1199" s="2177"/>
      <c r="AX1199" s="2177"/>
      <c r="AY1199" s="2186">
        <f t="shared" si="2468"/>
        <v>0</v>
      </c>
      <c r="AZ1199" s="2177"/>
      <c r="BA1199" s="2177"/>
      <c r="BB1199" s="2186">
        <f t="shared" si="2469"/>
        <v>0</v>
      </c>
      <c r="BC1199" s="2177"/>
      <c r="BD1199" s="2177"/>
      <c r="BE1199" s="2186">
        <f t="shared" si="2470"/>
        <v>0</v>
      </c>
      <c r="BF1199" s="2177"/>
      <c r="BG1199" s="2177"/>
      <c r="BH1199" s="2186">
        <f t="shared" si="2471"/>
        <v>0</v>
      </c>
      <c r="BI1199" s="2177"/>
      <c r="BJ1199" s="2177"/>
      <c r="BK1199" s="2186">
        <f t="shared" si="2472"/>
        <v>0</v>
      </c>
      <c r="BL1199" s="2177"/>
      <c r="BM1199" s="2177"/>
      <c r="BN1199" s="2186">
        <f t="shared" si="2473"/>
        <v>0</v>
      </c>
      <c r="BO1199" s="2177"/>
      <c r="BP1199" s="2177"/>
      <c r="BQ1199" s="2186">
        <f t="shared" si="2474"/>
        <v>0</v>
      </c>
    </row>
    <row r="1200" spans="3:69" s="2159" customFormat="1" ht="12" hidden="1" customHeight="1">
      <c r="C1200" s="2285" t="s">
        <v>3351</v>
      </c>
      <c r="D1200" s="2421" t="s">
        <v>2434</v>
      </c>
      <c r="E1200" s="2250" t="s">
        <v>3046</v>
      </c>
      <c r="F1200" s="2176"/>
      <c r="G1200" s="2177"/>
      <c r="H1200" s="2177"/>
      <c r="I1200" s="2178">
        <f t="shared" si="2455"/>
        <v>0</v>
      </c>
      <c r="J1200" s="2176"/>
      <c r="K1200" s="2179">
        <f>N1200+Q1200+W1200+AC1200</f>
        <v>0</v>
      </c>
      <c r="L1200" s="2179">
        <f>O1200+R1200+X1200+AD1200</f>
        <v>0</v>
      </c>
      <c r="M1200" s="2178">
        <f t="shared" si="2456"/>
        <v>0</v>
      </c>
      <c r="N1200" s="2177"/>
      <c r="O1200" s="2177"/>
      <c r="P1200" s="2178">
        <f t="shared" si="2457"/>
        <v>0</v>
      </c>
      <c r="Q1200" s="2176"/>
      <c r="R1200" s="2177"/>
      <c r="S1200" s="2178">
        <f t="shared" si="2458"/>
        <v>0</v>
      </c>
      <c r="T1200" s="2179">
        <f>N1200+Q1200</f>
        <v>0</v>
      </c>
      <c r="U1200" s="2179">
        <f>O1200+R1200</f>
        <v>0</v>
      </c>
      <c r="V1200" s="2178">
        <f t="shared" si="2459"/>
        <v>0</v>
      </c>
      <c r="W1200" s="2176"/>
      <c r="X1200" s="2177"/>
      <c r="Y1200" s="2178">
        <f t="shared" si="2460"/>
        <v>0</v>
      </c>
      <c r="Z1200" s="2179">
        <f>T1200+W1200</f>
        <v>0</v>
      </c>
      <c r="AA1200" s="2179">
        <f>U1200+X1200</f>
        <v>0</v>
      </c>
      <c r="AB1200" s="2178">
        <f t="shared" si="2461"/>
        <v>0</v>
      </c>
      <c r="AC1200" s="2176"/>
      <c r="AD1200" s="2177"/>
      <c r="AE1200" s="2178">
        <f t="shared" si="2462"/>
        <v>0</v>
      </c>
      <c r="AF1200" s="2204"/>
      <c r="AG1200" s="2158"/>
      <c r="AH1200" s="2177"/>
      <c r="AI1200" s="2177"/>
      <c r="AJ1200" s="2186">
        <f t="shared" si="2463"/>
        <v>0</v>
      </c>
      <c r="AK1200" s="2177"/>
      <c r="AL1200" s="2177"/>
      <c r="AM1200" s="2186">
        <f t="shared" si="2464"/>
        <v>0</v>
      </c>
      <c r="AN1200" s="2177"/>
      <c r="AO1200" s="2177"/>
      <c r="AP1200" s="2186">
        <f t="shared" si="2465"/>
        <v>0</v>
      </c>
      <c r="AQ1200" s="2177"/>
      <c r="AR1200" s="2177"/>
      <c r="AS1200" s="2186">
        <f t="shared" si="2466"/>
        <v>0</v>
      </c>
      <c r="AT1200" s="2177"/>
      <c r="AU1200" s="2177"/>
      <c r="AV1200" s="2186">
        <f t="shared" si="2467"/>
        <v>0</v>
      </c>
      <c r="AW1200" s="2177"/>
      <c r="AX1200" s="2177"/>
      <c r="AY1200" s="2186">
        <f t="shared" si="2468"/>
        <v>0</v>
      </c>
      <c r="AZ1200" s="2177"/>
      <c r="BA1200" s="2177"/>
      <c r="BB1200" s="2186">
        <f t="shared" si="2469"/>
        <v>0</v>
      </c>
      <c r="BC1200" s="2177"/>
      <c r="BD1200" s="2177"/>
      <c r="BE1200" s="2186">
        <f t="shared" si="2470"/>
        <v>0</v>
      </c>
      <c r="BF1200" s="2177"/>
      <c r="BG1200" s="2177"/>
      <c r="BH1200" s="2186">
        <f t="shared" si="2471"/>
        <v>0</v>
      </c>
      <c r="BI1200" s="2177"/>
      <c r="BJ1200" s="2177"/>
      <c r="BK1200" s="2186">
        <f t="shared" si="2472"/>
        <v>0</v>
      </c>
      <c r="BL1200" s="2177"/>
      <c r="BM1200" s="2177"/>
      <c r="BN1200" s="2186">
        <f t="shared" si="2473"/>
        <v>0</v>
      </c>
      <c r="BO1200" s="2177"/>
      <c r="BP1200" s="2177"/>
      <c r="BQ1200" s="2186">
        <f t="shared" si="2474"/>
        <v>0</v>
      </c>
    </row>
    <row r="1201" spans="3:69" s="2159" customFormat="1" ht="12" hidden="1" customHeight="1">
      <c r="C1201" s="2474" t="s">
        <v>3352</v>
      </c>
      <c r="D1201" s="2476" t="s">
        <v>3353</v>
      </c>
      <c r="E1201" s="2120" t="s">
        <v>3345</v>
      </c>
      <c r="F1201" s="2162"/>
      <c r="G1201" s="2163">
        <f>G1202+G1204+G1206</f>
        <v>0</v>
      </c>
      <c r="H1201" s="2163">
        <f>H1202+H1204+H1206</f>
        <v>0</v>
      </c>
      <c r="I1201" s="2164">
        <f t="shared" si="2455"/>
        <v>0</v>
      </c>
      <c r="J1201" s="2162"/>
      <c r="K1201" s="2163">
        <f t="shared" si="2438"/>
        <v>0</v>
      </c>
      <c r="L1201" s="2163">
        <f t="shared" si="2438"/>
        <v>0</v>
      </c>
      <c r="M1201" s="2164">
        <f t="shared" si="2456"/>
        <v>0</v>
      </c>
      <c r="N1201" s="2163">
        <f>N1202+N1204+N1206</f>
        <v>0</v>
      </c>
      <c r="O1201" s="2163">
        <f>O1202+O1204+O1206</f>
        <v>0</v>
      </c>
      <c r="P1201" s="2164">
        <f t="shared" si="2457"/>
        <v>0</v>
      </c>
      <c r="Q1201" s="2163">
        <f>Q1202+Q1204+Q1206</f>
        <v>0</v>
      </c>
      <c r="R1201" s="2163">
        <f>R1202+R1204+R1206</f>
        <v>0</v>
      </c>
      <c r="S1201" s="2164">
        <f t="shared" si="2458"/>
        <v>0</v>
      </c>
      <c r="T1201" s="2167">
        <f t="shared" si="2475"/>
        <v>0</v>
      </c>
      <c r="U1201" s="2163">
        <f t="shared" si="2475"/>
        <v>0</v>
      </c>
      <c r="V1201" s="2164">
        <f t="shared" si="2459"/>
        <v>0</v>
      </c>
      <c r="W1201" s="2163">
        <f>W1202+W1204+W1206</f>
        <v>0</v>
      </c>
      <c r="X1201" s="2163">
        <f>X1202+X1204+X1206</f>
        <v>0</v>
      </c>
      <c r="Y1201" s="2164">
        <f t="shared" si="2460"/>
        <v>0</v>
      </c>
      <c r="Z1201" s="2167">
        <f t="shared" si="2476"/>
        <v>0</v>
      </c>
      <c r="AA1201" s="2163">
        <f t="shared" si="2476"/>
        <v>0</v>
      </c>
      <c r="AB1201" s="2164">
        <f t="shared" si="2461"/>
        <v>0</v>
      </c>
      <c r="AC1201" s="2163">
        <f>AC1202+AC1204+AC1206</f>
        <v>0</v>
      </c>
      <c r="AD1201" s="2163">
        <f>AD1202+AD1204+AD1206</f>
        <v>0</v>
      </c>
      <c r="AE1201" s="2164">
        <f t="shared" si="2462"/>
        <v>0</v>
      </c>
      <c r="AF1201" s="2281"/>
      <c r="AG1201" s="2158"/>
      <c r="AH1201" s="2171">
        <f>AH1202+AH1204+AH1206</f>
        <v>0</v>
      </c>
      <c r="AI1201" s="2171">
        <f>AI1202+AI1204+AI1206</f>
        <v>0</v>
      </c>
      <c r="AJ1201" s="2172">
        <f t="shared" si="2463"/>
        <v>0</v>
      </c>
      <c r="AK1201" s="2171">
        <f>AK1202+AK1204+AK1206</f>
        <v>0</v>
      </c>
      <c r="AL1201" s="2171">
        <f>AL1202+AL1204+AL1206</f>
        <v>0</v>
      </c>
      <c r="AM1201" s="2172">
        <f t="shared" si="2464"/>
        <v>0</v>
      </c>
      <c r="AN1201" s="2171">
        <f>AN1202+AN1204+AN1206</f>
        <v>0</v>
      </c>
      <c r="AO1201" s="2171">
        <f>AO1202+AO1204+AO1206</f>
        <v>0</v>
      </c>
      <c r="AP1201" s="2172">
        <f t="shared" si="2465"/>
        <v>0</v>
      </c>
      <c r="AQ1201" s="2171">
        <f>AQ1202+AQ1204+AQ1206</f>
        <v>0</v>
      </c>
      <c r="AR1201" s="2171">
        <f>AR1202+AR1204+AR1206</f>
        <v>0</v>
      </c>
      <c r="AS1201" s="2172">
        <f t="shared" si="2466"/>
        <v>0</v>
      </c>
      <c r="AT1201" s="2171">
        <f>AT1202+AT1204+AT1206</f>
        <v>0</v>
      </c>
      <c r="AU1201" s="2171">
        <f>AU1202+AU1204+AU1206</f>
        <v>0</v>
      </c>
      <c r="AV1201" s="2172">
        <f t="shared" si="2467"/>
        <v>0</v>
      </c>
      <c r="AW1201" s="2171">
        <f>AW1202+AW1204+AW1206</f>
        <v>0</v>
      </c>
      <c r="AX1201" s="2171">
        <f>AX1202+AX1204+AX1206</f>
        <v>0</v>
      </c>
      <c r="AY1201" s="2172">
        <f t="shared" si="2468"/>
        <v>0</v>
      </c>
      <c r="AZ1201" s="2171">
        <f>AZ1202+AZ1204+AZ1206</f>
        <v>0</v>
      </c>
      <c r="BA1201" s="2171">
        <f>BA1202+BA1204+BA1206</f>
        <v>0</v>
      </c>
      <c r="BB1201" s="2172">
        <f t="shared" si="2469"/>
        <v>0</v>
      </c>
      <c r="BC1201" s="2171">
        <f>BC1202+BC1204+BC1206</f>
        <v>0</v>
      </c>
      <c r="BD1201" s="2171">
        <f>BD1202+BD1204+BD1206</f>
        <v>0</v>
      </c>
      <c r="BE1201" s="2172">
        <f t="shared" si="2470"/>
        <v>0</v>
      </c>
      <c r="BF1201" s="2171">
        <f>BF1202+BF1204+BF1206</f>
        <v>0</v>
      </c>
      <c r="BG1201" s="2171">
        <f>BG1202+BG1204+BG1206</f>
        <v>0</v>
      </c>
      <c r="BH1201" s="2172">
        <f t="shared" si="2471"/>
        <v>0</v>
      </c>
      <c r="BI1201" s="2171">
        <f>BI1202+BI1204+BI1206</f>
        <v>0</v>
      </c>
      <c r="BJ1201" s="2171">
        <f>BJ1202+BJ1204+BJ1206</f>
        <v>0</v>
      </c>
      <c r="BK1201" s="2172">
        <f t="shared" si="2472"/>
        <v>0</v>
      </c>
      <c r="BL1201" s="2171">
        <f>BL1202+BL1204+BL1206</f>
        <v>0</v>
      </c>
      <c r="BM1201" s="2171">
        <f>BM1202+BM1204+BM1206</f>
        <v>0</v>
      </c>
      <c r="BN1201" s="2172">
        <f t="shared" si="2473"/>
        <v>0</v>
      </c>
      <c r="BO1201" s="2171">
        <f>BO1202+BO1204+BO1206</f>
        <v>0</v>
      </c>
      <c r="BP1201" s="2171">
        <f>BP1202+BP1204+BP1206</f>
        <v>0</v>
      </c>
      <c r="BQ1201" s="2172">
        <f t="shared" si="2474"/>
        <v>0</v>
      </c>
    </row>
    <row r="1202" spans="3:69" s="2087" customFormat="1" ht="12" hidden="1" customHeight="1">
      <c r="C1202" s="2423" t="s">
        <v>3354</v>
      </c>
      <c r="D1202" s="2418" t="s">
        <v>28</v>
      </c>
      <c r="E1202" s="2250" t="s">
        <v>3046</v>
      </c>
      <c r="F1202" s="2176"/>
      <c r="G1202" s="2177"/>
      <c r="H1202" s="2177"/>
      <c r="I1202" s="2178">
        <f t="shared" si="2455"/>
        <v>0</v>
      </c>
      <c r="J1202" s="2176"/>
      <c r="K1202" s="2179">
        <f t="shared" si="2438"/>
        <v>0</v>
      </c>
      <c r="L1202" s="2179">
        <f t="shared" si="2438"/>
        <v>0</v>
      </c>
      <c r="M1202" s="2178">
        <f t="shared" si="2456"/>
        <v>0</v>
      </c>
      <c r="N1202" s="2177"/>
      <c r="O1202" s="2177"/>
      <c r="P1202" s="2178">
        <f t="shared" si="2457"/>
        <v>0</v>
      </c>
      <c r="Q1202" s="2176"/>
      <c r="R1202" s="2177"/>
      <c r="S1202" s="2178">
        <f t="shared" si="2458"/>
        <v>0</v>
      </c>
      <c r="T1202" s="2181">
        <f t="shared" si="2475"/>
        <v>0</v>
      </c>
      <c r="U1202" s="2179">
        <f t="shared" si="2475"/>
        <v>0</v>
      </c>
      <c r="V1202" s="2178">
        <f t="shared" si="2459"/>
        <v>0</v>
      </c>
      <c r="W1202" s="2176"/>
      <c r="X1202" s="2177"/>
      <c r="Y1202" s="2178">
        <f t="shared" si="2460"/>
        <v>0</v>
      </c>
      <c r="Z1202" s="2181">
        <f t="shared" si="2476"/>
        <v>0</v>
      </c>
      <c r="AA1202" s="2179">
        <f t="shared" si="2476"/>
        <v>0</v>
      </c>
      <c r="AB1202" s="2178">
        <f t="shared" si="2461"/>
        <v>0</v>
      </c>
      <c r="AC1202" s="2176"/>
      <c r="AD1202" s="2177"/>
      <c r="AE1202" s="2178">
        <f t="shared" si="2462"/>
        <v>0</v>
      </c>
      <c r="AF1202" s="2281"/>
      <c r="AG1202" s="2114"/>
      <c r="AH1202" s="2177"/>
      <c r="AI1202" s="2177"/>
      <c r="AJ1202" s="2186">
        <f t="shared" si="2463"/>
        <v>0</v>
      </c>
      <c r="AK1202" s="2177"/>
      <c r="AL1202" s="2177"/>
      <c r="AM1202" s="2186">
        <f t="shared" si="2464"/>
        <v>0</v>
      </c>
      <c r="AN1202" s="2177"/>
      <c r="AO1202" s="2177"/>
      <c r="AP1202" s="2186">
        <f t="shared" si="2465"/>
        <v>0</v>
      </c>
      <c r="AQ1202" s="2177"/>
      <c r="AR1202" s="2177"/>
      <c r="AS1202" s="2186">
        <f t="shared" si="2466"/>
        <v>0</v>
      </c>
      <c r="AT1202" s="2177"/>
      <c r="AU1202" s="2177"/>
      <c r="AV1202" s="2186">
        <f t="shared" si="2467"/>
        <v>0</v>
      </c>
      <c r="AW1202" s="2177"/>
      <c r="AX1202" s="2177"/>
      <c r="AY1202" s="2186">
        <f t="shared" si="2468"/>
        <v>0</v>
      </c>
      <c r="AZ1202" s="2177"/>
      <c r="BA1202" s="2177"/>
      <c r="BB1202" s="2186">
        <f t="shared" si="2469"/>
        <v>0</v>
      </c>
      <c r="BC1202" s="2177"/>
      <c r="BD1202" s="2177"/>
      <c r="BE1202" s="2186">
        <f t="shared" si="2470"/>
        <v>0</v>
      </c>
      <c r="BF1202" s="2177"/>
      <c r="BG1202" s="2177"/>
      <c r="BH1202" s="2186">
        <f t="shared" si="2471"/>
        <v>0</v>
      </c>
      <c r="BI1202" s="2177"/>
      <c r="BJ1202" s="2177"/>
      <c r="BK1202" s="2186">
        <f t="shared" si="2472"/>
        <v>0</v>
      </c>
      <c r="BL1202" s="2177"/>
      <c r="BM1202" s="2177"/>
      <c r="BN1202" s="2186">
        <f t="shared" si="2473"/>
        <v>0</v>
      </c>
      <c r="BO1202" s="2177"/>
      <c r="BP1202" s="2177"/>
      <c r="BQ1202" s="2186">
        <f t="shared" si="2474"/>
        <v>0</v>
      </c>
    </row>
    <row r="1203" spans="3:69" s="2087" customFormat="1" ht="12" hidden="1" customHeight="1">
      <c r="C1203" s="2423" t="s">
        <v>3355</v>
      </c>
      <c r="D1203" s="2421" t="s">
        <v>2434</v>
      </c>
      <c r="E1203" s="2250" t="s">
        <v>3046</v>
      </c>
      <c r="F1203" s="2176"/>
      <c r="G1203" s="2177"/>
      <c r="H1203" s="2177"/>
      <c r="I1203" s="2178">
        <f t="shared" si="2455"/>
        <v>0</v>
      </c>
      <c r="J1203" s="2176"/>
      <c r="K1203" s="2179">
        <f>N1203+Q1203+W1203+AC1203</f>
        <v>0</v>
      </c>
      <c r="L1203" s="2179">
        <f>O1203+R1203+X1203+AD1203</f>
        <v>0</v>
      </c>
      <c r="M1203" s="2178">
        <f t="shared" si="2456"/>
        <v>0</v>
      </c>
      <c r="N1203" s="2177"/>
      <c r="O1203" s="2177"/>
      <c r="P1203" s="2178">
        <f t="shared" si="2457"/>
        <v>0</v>
      </c>
      <c r="Q1203" s="2176"/>
      <c r="R1203" s="2177"/>
      <c r="S1203" s="2178">
        <f t="shared" si="2458"/>
        <v>0</v>
      </c>
      <c r="T1203" s="2179">
        <f>N1203+Q1203</f>
        <v>0</v>
      </c>
      <c r="U1203" s="2179">
        <f>O1203+R1203</f>
        <v>0</v>
      </c>
      <c r="V1203" s="2178">
        <f t="shared" si="2459"/>
        <v>0</v>
      </c>
      <c r="W1203" s="2176"/>
      <c r="X1203" s="2177"/>
      <c r="Y1203" s="2178">
        <f t="shared" si="2460"/>
        <v>0</v>
      </c>
      <c r="Z1203" s="2179">
        <f>T1203+W1203</f>
        <v>0</v>
      </c>
      <c r="AA1203" s="2179">
        <f>U1203+X1203</f>
        <v>0</v>
      </c>
      <c r="AB1203" s="2178">
        <f t="shared" si="2461"/>
        <v>0</v>
      </c>
      <c r="AC1203" s="2176"/>
      <c r="AD1203" s="2177"/>
      <c r="AE1203" s="2178">
        <f t="shared" si="2462"/>
        <v>0</v>
      </c>
      <c r="AF1203" s="2281"/>
      <c r="AG1203" s="2114"/>
      <c r="AH1203" s="2177"/>
      <c r="AI1203" s="2177"/>
      <c r="AJ1203" s="2186">
        <f t="shared" si="2463"/>
        <v>0</v>
      </c>
      <c r="AK1203" s="2177"/>
      <c r="AL1203" s="2177"/>
      <c r="AM1203" s="2186">
        <f t="shared" si="2464"/>
        <v>0</v>
      </c>
      <c r="AN1203" s="2177"/>
      <c r="AO1203" s="2177"/>
      <c r="AP1203" s="2186">
        <f t="shared" si="2465"/>
        <v>0</v>
      </c>
      <c r="AQ1203" s="2177"/>
      <c r="AR1203" s="2177"/>
      <c r="AS1203" s="2186">
        <f t="shared" si="2466"/>
        <v>0</v>
      </c>
      <c r="AT1203" s="2177"/>
      <c r="AU1203" s="2177"/>
      <c r="AV1203" s="2186">
        <f t="shared" si="2467"/>
        <v>0</v>
      </c>
      <c r="AW1203" s="2177"/>
      <c r="AX1203" s="2177"/>
      <c r="AY1203" s="2186">
        <f t="shared" si="2468"/>
        <v>0</v>
      </c>
      <c r="AZ1203" s="2177"/>
      <c r="BA1203" s="2177"/>
      <c r="BB1203" s="2186">
        <f t="shared" si="2469"/>
        <v>0</v>
      </c>
      <c r="BC1203" s="2177"/>
      <c r="BD1203" s="2177"/>
      <c r="BE1203" s="2186">
        <f t="shared" si="2470"/>
        <v>0</v>
      </c>
      <c r="BF1203" s="2177"/>
      <c r="BG1203" s="2177"/>
      <c r="BH1203" s="2186">
        <f t="shared" si="2471"/>
        <v>0</v>
      </c>
      <c r="BI1203" s="2177"/>
      <c r="BJ1203" s="2177"/>
      <c r="BK1203" s="2186">
        <f t="shared" si="2472"/>
        <v>0</v>
      </c>
      <c r="BL1203" s="2177"/>
      <c r="BM1203" s="2177"/>
      <c r="BN1203" s="2186">
        <f t="shared" si="2473"/>
        <v>0</v>
      </c>
      <c r="BO1203" s="2177"/>
      <c r="BP1203" s="2177"/>
      <c r="BQ1203" s="2186">
        <f t="shared" si="2474"/>
        <v>0</v>
      </c>
    </row>
    <row r="1204" spans="3:69" s="2087" customFormat="1" ht="12" hidden="1" customHeight="1">
      <c r="C1204" s="2423" t="s">
        <v>3356</v>
      </c>
      <c r="D1204" s="2418" t="s">
        <v>2872</v>
      </c>
      <c r="E1204" s="2250" t="s">
        <v>3046</v>
      </c>
      <c r="F1204" s="2176"/>
      <c r="G1204" s="2177"/>
      <c r="H1204" s="2177"/>
      <c r="I1204" s="2178">
        <f t="shared" si="2455"/>
        <v>0</v>
      </c>
      <c r="J1204" s="2176"/>
      <c r="K1204" s="2179">
        <f t="shared" si="2438"/>
        <v>0</v>
      </c>
      <c r="L1204" s="2179">
        <f t="shared" si="2438"/>
        <v>0</v>
      </c>
      <c r="M1204" s="2178">
        <f t="shared" si="2456"/>
        <v>0</v>
      </c>
      <c r="N1204" s="2177"/>
      <c r="O1204" s="2177"/>
      <c r="P1204" s="2178">
        <f t="shared" si="2457"/>
        <v>0</v>
      </c>
      <c r="Q1204" s="2176"/>
      <c r="R1204" s="2177"/>
      <c r="S1204" s="2178">
        <f t="shared" si="2458"/>
        <v>0</v>
      </c>
      <c r="T1204" s="2181">
        <f t="shared" si="2475"/>
        <v>0</v>
      </c>
      <c r="U1204" s="2179">
        <f t="shared" si="2475"/>
        <v>0</v>
      </c>
      <c r="V1204" s="2178">
        <f t="shared" si="2459"/>
        <v>0</v>
      </c>
      <c r="W1204" s="2176"/>
      <c r="X1204" s="2177"/>
      <c r="Y1204" s="2178">
        <f t="shared" si="2460"/>
        <v>0</v>
      </c>
      <c r="Z1204" s="2181">
        <f t="shared" si="2476"/>
        <v>0</v>
      </c>
      <c r="AA1204" s="2179">
        <f t="shared" si="2476"/>
        <v>0</v>
      </c>
      <c r="AB1204" s="2178">
        <f t="shared" si="2461"/>
        <v>0</v>
      </c>
      <c r="AC1204" s="2176"/>
      <c r="AD1204" s="2177"/>
      <c r="AE1204" s="2178">
        <f t="shared" si="2462"/>
        <v>0</v>
      </c>
      <c r="AF1204" s="2281"/>
      <c r="AG1204" s="2114"/>
      <c r="AH1204" s="2177"/>
      <c r="AI1204" s="2177"/>
      <c r="AJ1204" s="2186">
        <f t="shared" si="2463"/>
        <v>0</v>
      </c>
      <c r="AK1204" s="2177"/>
      <c r="AL1204" s="2177"/>
      <c r="AM1204" s="2186">
        <f t="shared" si="2464"/>
        <v>0</v>
      </c>
      <c r="AN1204" s="2177"/>
      <c r="AO1204" s="2177"/>
      <c r="AP1204" s="2186">
        <f t="shared" si="2465"/>
        <v>0</v>
      </c>
      <c r="AQ1204" s="2177"/>
      <c r="AR1204" s="2177"/>
      <c r="AS1204" s="2186">
        <f t="shared" si="2466"/>
        <v>0</v>
      </c>
      <c r="AT1204" s="2177"/>
      <c r="AU1204" s="2177"/>
      <c r="AV1204" s="2186">
        <f t="shared" si="2467"/>
        <v>0</v>
      </c>
      <c r="AW1204" s="2177"/>
      <c r="AX1204" s="2177"/>
      <c r="AY1204" s="2186">
        <f t="shared" si="2468"/>
        <v>0</v>
      </c>
      <c r="AZ1204" s="2177"/>
      <c r="BA1204" s="2177"/>
      <c r="BB1204" s="2186">
        <f t="shared" si="2469"/>
        <v>0</v>
      </c>
      <c r="BC1204" s="2177"/>
      <c r="BD1204" s="2177"/>
      <c r="BE1204" s="2186">
        <f t="shared" si="2470"/>
        <v>0</v>
      </c>
      <c r="BF1204" s="2177"/>
      <c r="BG1204" s="2177"/>
      <c r="BH1204" s="2186">
        <f t="shared" si="2471"/>
        <v>0</v>
      </c>
      <c r="BI1204" s="2177"/>
      <c r="BJ1204" s="2177"/>
      <c r="BK1204" s="2186">
        <f t="shared" si="2472"/>
        <v>0</v>
      </c>
      <c r="BL1204" s="2177"/>
      <c r="BM1204" s="2177"/>
      <c r="BN1204" s="2186">
        <f t="shared" si="2473"/>
        <v>0</v>
      </c>
      <c r="BO1204" s="2177"/>
      <c r="BP1204" s="2177"/>
      <c r="BQ1204" s="2186">
        <f t="shared" si="2474"/>
        <v>0</v>
      </c>
    </row>
    <row r="1205" spans="3:69" s="2087" customFormat="1" ht="12" hidden="1" customHeight="1">
      <c r="C1205" s="2423" t="s">
        <v>3357</v>
      </c>
      <c r="D1205" s="2421" t="s">
        <v>2434</v>
      </c>
      <c r="E1205" s="2250" t="s">
        <v>3046</v>
      </c>
      <c r="F1205" s="2176"/>
      <c r="G1205" s="2177"/>
      <c r="H1205" s="2177"/>
      <c r="I1205" s="2178">
        <f t="shared" si="2455"/>
        <v>0</v>
      </c>
      <c r="J1205" s="2176"/>
      <c r="K1205" s="2179">
        <f>N1205+Q1205+W1205+AC1205</f>
        <v>0</v>
      </c>
      <c r="L1205" s="2179">
        <f>O1205+R1205+X1205+AD1205</f>
        <v>0</v>
      </c>
      <c r="M1205" s="2178">
        <f t="shared" si="2456"/>
        <v>0</v>
      </c>
      <c r="N1205" s="2177"/>
      <c r="O1205" s="2177"/>
      <c r="P1205" s="2178">
        <f t="shared" si="2457"/>
        <v>0</v>
      </c>
      <c r="Q1205" s="2176"/>
      <c r="R1205" s="2177"/>
      <c r="S1205" s="2178">
        <f t="shared" si="2458"/>
        <v>0</v>
      </c>
      <c r="T1205" s="2179">
        <f>N1205+Q1205</f>
        <v>0</v>
      </c>
      <c r="U1205" s="2179">
        <f>O1205+R1205</f>
        <v>0</v>
      </c>
      <c r="V1205" s="2178">
        <f t="shared" si="2459"/>
        <v>0</v>
      </c>
      <c r="W1205" s="2176"/>
      <c r="X1205" s="2177"/>
      <c r="Y1205" s="2178">
        <f t="shared" si="2460"/>
        <v>0</v>
      </c>
      <c r="Z1205" s="2179">
        <f>T1205+W1205</f>
        <v>0</v>
      </c>
      <c r="AA1205" s="2179">
        <f>U1205+X1205</f>
        <v>0</v>
      </c>
      <c r="AB1205" s="2178">
        <f t="shared" si="2461"/>
        <v>0</v>
      </c>
      <c r="AC1205" s="2176"/>
      <c r="AD1205" s="2177"/>
      <c r="AE1205" s="2178">
        <f t="shared" si="2462"/>
        <v>0</v>
      </c>
      <c r="AF1205" s="2281"/>
      <c r="AG1205" s="2114"/>
      <c r="AH1205" s="2177"/>
      <c r="AI1205" s="2177"/>
      <c r="AJ1205" s="2186">
        <f t="shared" si="2463"/>
        <v>0</v>
      </c>
      <c r="AK1205" s="2177"/>
      <c r="AL1205" s="2177"/>
      <c r="AM1205" s="2186">
        <f t="shared" si="2464"/>
        <v>0</v>
      </c>
      <c r="AN1205" s="2177"/>
      <c r="AO1205" s="2177"/>
      <c r="AP1205" s="2186">
        <f t="shared" si="2465"/>
        <v>0</v>
      </c>
      <c r="AQ1205" s="2177"/>
      <c r="AR1205" s="2177"/>
      <c r="AS1205" s="2186">
        <f t="shared" si="2466"/>
        <v>0</v>
      </c>
      <c r="AT1205" s="2177"/>
      <c r="AU1205" s="2177"/>
      <c r="AV1205" s="2186">
        <f t="shared" si="2467"/>
        <v>0</v>
      </c>
      <c r="AW1205" s="2177"/>
      <c r="AX1205" s="2177"/>
      <c r="AY1205" s="2186">
        <f t="shared" si="2468"/>
        <v>0</v>
      </c>
      <c r="AZ1205" s="2177"/>
      <c r="BA1205" s="2177"/>
      <c r="BB1205" s="2186">
        <f t="shared" si="2469"/>
        <v>0</v>
      </c>
      <c r="BC1205" s="2177"/>
      <c r="BD1205" s="2177"/>
      <c r="BE1205" s="2186">
        <f t="shared" si="2470"/>
        <v>0</v>
      </c>
      <c r="BF1205" s="2177"/>
      <c r="BG1205" s="2177"/>
      <c r="BH1205" s="2186">
        <f t="shared" si="2471"/>
        <v>0</v>
      </c>
      <c r="BI1205" s="2177"/>
      <c r="BJ1205" s="2177"/>
      <c r="BK1205" s="2186">
        <f t="shared" si="2472"/>
        <v>0</v>
      </c>
      <c r="BL1205" s="2177"/>
      <c r="BM1205" s="2177"/>
      <c r="BN1205" s="2186">
        <f t="shared" si="2473"/>
        <v>0</v>
      </c>
      <c r="BO1205" s="2177"/>
      <c r="BP1205" s="2177"/>
      <c r="BQ1205" s="2186">
        <f t="shared" si="2474"/>
        <v>0</v>
      </c>
    </row>
    <row r="1206" spans="3:69" s="2087" customFormat="1" ht="12" hidden="1" customHeight="1">
      <c r="C1206" s="2423" t="s">
        <v>3358</v>
      </c>
      <c r="D1206" s="2418" t="s">
        <v>42</v>
      </c>
      <c r="E1206" s="2250" t="s">
        <v>3046</v>
      </c>
      <c r="F1206" s="2176"/>
      <c r="G1206" s="2177"/>
      <c r="H1206" s="2177"/>
      <c r="I1206" s="2178">
        <f t="shared" si="2455"/>
        <v>0</v>
      </c>
      <c r="J1206" s="2176"/>
      <c r="K1206" s="2179">
        <f t="shared" si="2438"/>
        <v>0</v>
      </c>
      <c r="L1206" s="2179">
        <f t="shared" si="2438"/>
        <v>0</v>
      </c>
      <c r="M1206" s="2178">
        <f t="shared" si="2456"/>
        <v>0</v>
      </c>
      <c r="N1206" s="2177"/>
      <c r="O1206" s="2177"/>
      <c r="P1206" s="2178">
        <f t="shared" si="2457"/>
        <v>0</v>
      </c>
      <c r="Q1206" s="2176"/>
      <c r="R1206" s="2177"/>
      <c r="S1206" s="2178">
        <f t="shared" si="2458"/>
        <v>0</v>
      </c>
      <c r="T1206" s="2181">
        <f t="shared" si="2475"/>
        <v>0</v>
      </c>
      <c r="U1206" s="2179">
        <f t="shared" si="2475"/>
        <v>0</v>
      </c>
      <c r="V1206" s="2178">
        <f t="shared" si="2459"/>
        <v>0</v>
      </c>
      <c r="W1206" s="2176"/>
      <c r="X1206" s="2177"/>
      <c r="Y1206" s="2178">
        <f t="shared" si="2460"/>
        <v>0</v>
      </c>
      <c r="Z1206" s="2181">
        <f t="shared" si="2476"/>
        <v>0</v>
      </c>
      <c r="AA1206" s="2179">
        <f t="shared" si="2476"/>
        <v>0</v>
      </c>
      <c r="AB1206" s="2178">
        <f t="shared" si="2461"/>
        <v>0</v>
      </c>
      <c r="AC1206" s="2176"/>
      <c r="AD1206" s="2177"/>
      <c r="AE1206" s="2178">
        <f t="shared" si="2462"/>
        <v>0</v>
      </c>
      <c r="AF1206" s="2281"/>
      <c r="AG1206" s="2114"/>
      <c r="AH1206" s="2177"/>
      <c r="AI1206" s="2177"/>
      <c r="AJ1206" s="2186">
        <f t="shared" si="2463"/>
        <v>0</v>
      </c>
      <c r="AK1206" s="2177"/>
      <c r="AL1206" s="2177"/>
      <c r="AM1206" s="2186">
        <f t="shared" si="2464"/>
        <v>0</v>
      </c>
      <c r="AN1206" s="2177"/>
      <c r="AO1206" s="2177"/>
      <c r="AP1206" s="2186">
        <f t="shared" si="2465"/>
        <v>0</v>
      </c>
      <c r="AQ1206" s="2177"/>
      <c r="AR1206" s="2177"/>
      <c r="AS1206" s="2186">
        <f t="shared" si="2466"/>
        <v>0</v>
      </c>
      <c r="AT1206" s="2177"/>
      <c r="AU1206" s="2177"/>
      <c r="AV1206" s="2186">
        <f t="shared" si="2467"/>
        <v>0</v>
      </c>
      <c r="AW1206" s="2177"/>
      <c r="AX1206" s="2177"/>
      <c r="AY1206" s="2186">
        <f t="shared" si="2468"/>
        <v>0</v>
      </c>
      <c r="AZ1206" s="2177"/>
      <c r="BA1206" s="2177"/>
      <c r="BB1206" s="2186">
        <f t="shared" si="2469"/>
        <v>0</v>
      </c>
      <c r="BC1206" s="2177"/>
      <c r="BD1206" s="2177"/>
      <c r="BE1206" s="2186">
        <f t="shared" si="2470"/>
        <v>0</v>
      </c>
      <c r="BF1206" s="2177"/>
      <c r="BG1206" s="2177"/>
      <c r="BH1206" s="2186">
        <f t="shared" si="2471"/>
        <v>0</v>
      </c>
      <c r="BI1206" s="2177"/>
      <c r="BJ1206" s="2177"/>
      <c r="BK1206" s="2186">
        <f t="shared" si="2472"/>
        <v>0</v>
      </c>
      <c r="BL1206" s="2177"/>
      <c r="BM1206" s="2177"/>
      <c r="BN1206" s="2186">
        <f t="shared" si="2473"/>
        <v>0</v>
      </c>
      <c r="BO1206" s="2177"/>
      <c r="BP1206" s="2177"/>
      <c r="BQ1206" s="2186">
        <f t="shared" si="2474"/>
        <v>0</v>
      </c>
    </row>
    <row r="1207" spans="3:69" s="2087" customFormat="1" ht="12" hidden="1" customHeight="1">
      <c r="C1207" s="2423" t="s">
        <v>3359</v>
      </c>
      <c r="D1207" s="2421" t="s">
        <v>2434</v>
      </c>
      <c r="E1207" s="2250" t="s">
        <v>3046</v>
      </c>
      <c r="F1207" s="2176"/>
      <c r="G1207" s="2177"/>
      <c r="H1207" s="2177"/>
      <c r="I1207" s="2178">
        <f t="shared" si="2455"/>
        <v>0</v>
      </c>
      <c r="J1207" s="2176"/>
      <c r="K1207" s="2179">
        <f>N1207+Q1207+W1207+AC1207</f>
        <v>0</v>
      </c>
      <c r="L1207" s="2179">
        <f>O1207+R1207+X1207+AD1207</f>
        <v>0</v>
      </c>
      <c r="M1207" s="2178">
        <f t="shared" si="2456"/>
        <v>0</v>
      </c>
      <c r="N1207" s="2177"/>
      <c r="O1207" s="2177"/>
      <c r="P1207" s="2178">
        <f t="shared" si="2457"/>
        <v>0</v>
      </c>
      <c r="Q1207" s="2176"/>
      <c r="R1207" s="2177"/>
      <c r="S1207" s="2178">
        <f t="shared" si="2458"/>
        <v>0</v>
      </c>
      <c r="T1207" s="2179">
        <f>N1207+Q1207</f>
        <v>0</v>
      </c>
      <c r="U1207" s="2179">
        <f>O1207+R1207</f>
        <v>0</v>
      </c>
      <c r="V1207" s="2178">
        <f t="shared" si="2459"/>
        <v>0</v>
      </c>
      <c r="W1207" s="2176"/>
      <c r="X1207" s="2177"/>
      <c r="Y1207" s="2178">
        <f t="shared" si="2460"/>
        <v>0</v>
      </c>
      <c r="Z1207" s="2179">
        <f>T1207+W1207</f>
        <v>0</v>
      </c>
      <c r="AA1207" s="2179">
        <f>U1207+X1207</f>
        <v>0</v>
      </c>
      <c r="AB1207" s="2178">
        <f t="shared" si="2461"/>
        <v>0</v>
      </c>
      <c r="AC1207" s="2176"/>
      <c r="AD1207" s="2177"/>
      <c r="AE1207" s="2178">
        <f t="shared" si="2462"/>
        <v>0</v>
      </c>
      <c r="AF1207" s="2281"/>
      <c r="AG1207" s="2114"/>
      <c r="AH1207" s="2177"/>
      <c r="AI1207" s="2177"/>
      <c r="AJ1207" s="2186">
        <f t="shared" si="2463"/>
        <v>0</v>
      </c>
      <c r="AK1207" s="2177"/>
      <c r="AL1207" s="2177"/>
      <c r="AM1207" s="2186">
        <f t="shared" si="2464"/>
        <v>0</v>
      </c>
      <c r="AN1207" s="2177"/>
      <c r="AO1207" s="2177"/>
      <c r="AP1207" s="2186">
        <f t="shared" si="2465"/>
        <v>0</v>
      </c>
      <c r="AQ1207" s="2177"/>
      <c r="AR1207" s="2177"/>
      <c r="AS1207" s="2186">
        <f t="shared" si="2466"/>
        <v>0</v>
      </c>
      <c r="AT1207" s="2177"/>
      <c r="AU1207" s="2177"/>
      <c r="AV1207" s="2186">
        <f t="shared" si="2467"/>
        <v>0</v>
      </c>
      <c r="AW1207" s="2177"/>
      <c r="AX1207" s="2177"/>
      <c r="AY1207" s="2186">
        <f t="shared" si="2468"/>
        <v>0</v>
      </c>
      <c r="AZ1207" s="2177"/>
      <c r="BA1207" s="2177"/>
      <c r="BB1207" s="2186">
        <f t="shared" si="2469"/>
        <v>0</v>
      </c>
      <c r="BC1207" s="2177"/>
      <c r="BD1207" s="2177"/>
      <c r="BE1207" s="2186">
        <f t="shared" si="2470"/>
        <v>0</v>
      </c>
      <c r="BF1207" s="2177"/>
      <c r="BG1207" s="2177"/>
      <c r="BH1207" s="2186">
        <f t="shared" si="2471"/>
        <v>0</v>
      </c>
      <c r="BI1207" s="2177"/>
      <c r="BJ1207" s="2177"/>
      <c r="BK1207" s="2186">
        <f t="shared" si="2472"/>
        <v>0</v>
      </c>
      <c r="BL1207" s="2177"/>
      <c r="BM1207" s="2177"/>
      <c r="BN1207" s="2186">
        <f t="shared" si="2473"/>
        <v>0</v>
      </c>
      <c r="BO1207" s="2177"/>
      <c r="BP1207" s="2177"/>
      <c r="BQ1207" s="2186">
        <f t="shared" si="2474"/>
        <v>0</v>
      </c>
    </row>
    <row r="1208" spans="3:69" s="2159" customFormat="1" ht="12" hidden="1" customHeight="1">
      <c r="C1208" s="2474" t="s">
        <v>3360</v>
      </c>
      <c r="D1208" s="2487" t="s">
        <v>3361</v>
      </c>
      <c r="E1208" s="2120" t="s">
        <v>3345</v>
      </c>
      <c r="F1208" s="2162"/>
      <c r="G1208" s="2218"/>
      <c r="H1208" s="2218"/>
      <c r="I1208" s="2164">
        <f t="shared" si="2455"/>
        <v>0</v>
      </c>
      <c r="J1208" s="2162"/>
      <c r="K1208" s="2163">
        <f t="shared" si="2438"/>
        <v>0</v>
      </c>
      <c r="L1208" s="2163">
        <f t="shared" si="2438"/>
        <v>0</v>
      </c>
      <c r="M1208" s="2164">
        <f t="shared" si="2456"/>
        <v>0</v>
      </c>
      <c r="N1208" s="2218"/>
      <c r="O1208" s="2218"/>
      <c r="P1208" s="2164">
        <f t="shared" si="2457"/>
        <v>0</v>
      </c>
      <c r="Q1208" s="2162"/>
      <c r="R1208" s="2218"/>
      <c r="S1208" s="2164">
        <f t="shared" si="2458"/>
        <v>0</v>
      </c>
      <c r="T1208" s="2167">
        <f t="shared" si="2475"/>
        <v>0</v>
      </c>
      <c r="U1208" s="2163">
        <f t="shared" si="2475"/>
        <v>0</v>
      </c>
      <c r="V1208" s="2164">
        <f t="shared" si="2459"/>
        <v>0</v>
      </c>
      <c r="W1208" s="2162"/>
      <c r="X1208" s="2218"/>
      <c r="Y1208" s="2164">
        <f t="shared" si="2460"/>
        <v>0</v>
      </c>
      <c r="Z1208" s="2167">
        <f t="shared" si="2476"/>
        <v>0</v>
      </c>
      <c r="AA1208" s="2163">
        <f t="shared" si="2476"/>
        <v>0</v>
      </c>
      <c r="AB1208" s="2164">
        <f t="shared" si="2461"/>
        <v>0</v>
      </c>
      <c r="AC1208" s="2162"/>
      <c r="AD1208" s="2218"/>
      <c r="AE1208" s="2164">
        <f t="shared" si="2462"/>
        <v>0</v>
      </c>
      <c r="AF1208" s="2281"/>
      <c r="AG1208" s="2158"/>
      <c r="AH1208" s="2218"/>
      <c r="AI1208" s="2218"/>
      <c r="AJ1208" s="2172">
        <f t="shared" si="2463"/>
        <v>0</v>
      </c>
      <c r="AK1208" s="2218"/>
      <c r="AL1208" s="2218"/>
      <c r="AM1208" s="2172">
        <f t="shared" si="2464"/>
        <v>0</v>
      </c>
      <c r="AN1208" s="2218"/>
      <c r="AO1208" s="2218"/>
      <c r="AP1208" s="2172">
        <f t="shared" si="2465"/>
        <v>0</v>
      </c>
      <c r="AQ1208" s="2218"/>
      <c r="AR1208" s="2218"/>
      <c r="AS1208" s="2172">
        <f t="shared" si="2466"/>
        <v>0</v>
      </c>
      <c r="AT1208" s="2218"/>
      <c r="AU1208" s="2218"/>
      <c r="AV1208" s="2172">
        <f t="shared" si="2467"/>
        <v>0</v>
      </c>
      <c r="AW1208" s="2218"/>
      <c r="AX1208" s="2218"/>
      <c r="AY1208" s="2172">
        <f t="shared" si="2468"/>
        <v>0</v>
      </c>
      <c r="AZ1208" s="2218"/>
      <c r="BA1208" s="2218"/>
      <c r="BB1208" s="2172">
        <f t="shared" si="2469"/>
        <v>0</v>
      </c>
      <c r="BC1208" s="2218"/>
      <c r="BD1208" s="2218"/>
      <c r="BE1208" s="2172">
        <f t="shared" si="2470"/>
        <v>0</v>
      </c>
      <c r="BF1208" s="2218"/>
      <c r="BG1208" s="2218"/>
      <c r="BH1208" s="2172">
        <f t="shared" si="2471"/>
        <v>0</v>
      </c>
      <c r="BI1208" s="2218"/>
      <c r="BJ1208" s="2218"/>
      <c r="BK1208" s="2172">
        <f t="shared" si="2472"/>
        <v>0</v>
      </c>
      <c r="BL1208" s="2218"/>
      <c r="BM1208" s="2218"/>
      <c r="BN1208" s="2172">
        <f t="shared" si="2473"/>
        <v>0</v>
      </c>
      <c r="BO1208" s="2218"/>
      <c r="BP1208" s="2218"/>
      <c r="BQ1208" s="2172">
        <f t="shared" si="2474"/>
        <v>0</v>
      </c>
    </row>
    <row r="1209" spans="3:69" s="2159" customFormat="1" ht="12" hidden="1" customHeight="1">
      <c r="C1209" s="2423" t="s">
        <v>3362</v>
      </c>
      <c r="D1209" s="2286" t="s">
        <v>2434</v>
      </c>
      <c r="E1209" s="2250" t="s">
        <v>3046</v>
      </c>
      <c r="F1209" s="2176"/>
      <c r="G1209" s="2177"/>
      <c r="H1209" s="2177"/>
      <c r="I1209" s="2178">
        <f t="shared" si="2455"/>
        <v>0</v>
      </c>
      <c r="J1209" s="2176"/>
      <c r="K1209" s="2179">
        <f>N1209+Q1209+W1209+AC1209</f>
        <v>0</v>
      </c>
      <c r="L1209" s="2179">
        <f>O1209+R1209+X1209+AD1209</f>
        <v>0</v>
      </c>
      <c r="M1209" s="2178">
        <f t="shared" si="2456"/>
        <v>0</v>
      </c>
      <c r="N1209" s="2177"/>
      <c r="O1209" s="2177"/>
      <c r="P1209" s="2178">
        <f t="shared" si="2457"/>
        <v>0</v>
      </c>
      <c r="Q1209" s="2176"/>
      <c r="R1209" s="2177"/>
      <c r="S1209" s="2178">
        <f t="shared" si="2458"/>
        <v>0</v>
      </c>
      <c r="T1209" s="2179">
        <f>N1209+Q1209</f>
        <v>0</v>
      </c>
      <c r="U1209" s="2179">
        <f>O1209+R1209</f>
        <v>0</v>
      </c>
      <c r="V1209" s="2178">
        <f t="shared" si="2459"/>
        <v>0</v>
      </c>
      <c r="W1209" s="2176"/>
      <c r="X1209" s="2177"/>
      <c r="Y1209" s="2178">
        <f t="shared" si="2460"/>
        <v>0</v>
      </c>
      <c r="Z1209" s="2179">
        <f>T1209+W1209</f>
        <v>0</v>
      </c>
      <c r="AA1209" s="2179">
        <f>U1209+X1209</f>
        <v>0</v>
      </c>
      <c r="AB1209" s="2178">
        <f t="shared" si="2461"/>
        <v>0</v>
      </c>
      <c r="AC1209" s="2176"/>
      <c r="AD1209" s="2177"/>
      <c r="AE1209" s="2178">
        <f t="shared" si="2462"/>
        <v>0</v>
      </c>
      <c r="AF1209" s="2281"/>
      <c r="AG1209" s="2158"/>
      <c r="AH1209" s="2177"/>
      <c r="AI1209" s="2177"/>
      <c r="AJ1209" s="2186">
        <f t="shared" si="2463"/>
        <v>0</v>
      </c>
      <c r="AK1209" s="2177"/>
      <c r="AL1209" s="2177"/>
      <c r="AM1209" s="2186">
        <f t="shared" si="2464"/>
        <v>0</v>
      </c>
      <c r="AN1209" s="2177"/>
      <c r="AO1209" s="2177"/>
      <c r="AP1209" s="2186">
        <f t="shared" si="2465"/>
        <v>0</v>
      </c>
      <c r="AQ1209" s="2177"/>
      <c r="AR1209" s="2177"/>
      <c r="AS1209" s="2186">
        <f t="shared" si="2466"/>
        <v>0</v>
      </c>
      <c r="AT1209" s="2177"/>
      <c r="AU1209" s="2177"/>
      <c r="AV1209" s="2186">
        <f t="shared" si="2467"/>
        <v>0</v>
      </c>
      <c r="AW1209" s="2177"/>
      <c r="AX1209" s="2177"/>
      <c r="AY1209" s="2186">
        <f t="shared" si="2468"/>
        <v>0</v>
      </c>
      <c r="AZ1209" s="2177"/>
      <c r="BA1209" s="2177"/>
      <c r="BB1209" s="2186">
        <f t="shared" si="2469"/>
        <v>0</v>
      </c>
      <c r="BC1209" s="2177"/>
      <c r="BD1209" s="2177"/>
      <c r="BE1209" s="2186">
        <f t="shared" si="2470"/>
        <v>0</v>
      </c>
      <c r="BF1209" s="2177"/>
      <c r="BG1209" s="2177"/>
      <c r="BH1209" s="2186">
        <f t="shared" si="2471"/>
        <v>0</v>
      </c>
      <c r="BI1209" s="2177"/>
      <c r="BJ1209" s="2177"/>
      <c r="BK1209" s="2186">
        <f t="shared" si="2472"/>
        <v>0</v>
      </c>
      <c r="BL1209" s="2177"/>
      <c r="BM1209" s="2177"/>
      <c r="BN1209" s="2186">
        <f t="shared" si="2473"/>
        <v>0</v>
      </c>
      <c r="BO1209" s="2177"/>
      <c r="BP1209" s="2177"/>
      <c r="BQ1209" s="2186">
        <f t="shared" si="2474"/>
        <v>0</v>
      </c>
    </row>
    <row r="1210" spans="3:69" s="2159" customFormat="1" ht="12" hidden="1" thickBot="1">
      <c r="C1210" s="2474" t="s">
        <v>3363</v>
      </c>
      <c r="D1210" s="2487" t="s">
        <v>3364</v>
      </c>
      <c r="E1210" s="2120" t="s">
        <v>3345</v>
      </c>
      <c r="F1210" s="2162"/>
      <c r="G1210" s="2218"/>
      <c r="H1210" s="2218"/>
      <c r="I1210" s="2164">
        <f t="shared" si="2455"/>
        <v>0</v>
      </c>
      <c r="J1210" s="2162"/>
      <c r="K1210" s="2163">
        <f t="shared" si="2438"/>
        <v>0</v>
      </c>
      <c r="L1210" s="2163">
        <f t="shared" si="2438"/>
        <v>0</v>
      </c>
      <c r="M1210" s="2164">
        <f t="shared" si="2456"/>
        <v>0</v>
      </c>
      <c r="N1210" s="2218"/>
      <c r="O1210" s="2218"/>
      <c r="P1210" s="2164">
        <f t="shared" si="2457"/>
        <v>0</v>
      </c>
      <c r="Q1210" s="2162"/>
      <c r="R1210" s="2218"/>
      <c r="S1210" s="2164">
        <f t="shared" si="2458"/>
        <v>0</v>
      </c>
      <c r="T1210" s="2167">
        <f t="shared" si="2475"/>
        <v>0</v>
      </c>
      <c r="U1210" s="2163">
        <f t="shared" si="2475"/>
        <v>0</v>
      </c>
      <c r="V1210" s="2164">
        <f t="shared" si="2459"/>
        <v>0</v>
      </c>
      <c r="W1210" s="2162"/>
      <c r="X1210" s="2218"/>
      <c r="Y1210" s="2164">
        <f t="shared" si="2460"/>
        <v>0</v>
      </c>
      <c r="Z1210" s="2167">
        <f t="shared" si="2476"/>
        <v>0</v>
      </c>
      <c r="AA1210" s="2163">
        <f t="shared" si="2476"/>
        <v>0</v>
      </c>
      <c r="AB1210" s="2164">
        <f t="shared" si="2461"/>
        <v>0</v>
      </c>
      <c r="AC1210" s="2162"/>
      <c r="AD1210" s="2218"/>
      <c r="AE1210" s="2164">
        <f t="shared" si="2462"/>
        <v>0</v>
      </c>
      <c r="AF1210" s="2281"/>
      <c r="AG1210" s="2158"/>
      <c r="AH1210" s="2218"/>
      <c r="AI1210" s="2218"/>
      <c r="AJ1210" s="2172">
        <f t="shared" si="2463"/>
        <v>0</v>
      </c>
      <c r="AK1210" s="2218"/>
      <c r="AL1210" s="2218"/>
      <c r="AM1210" s="2172">
        <f t="shared" si="2464"/>
        <v>0</v>
      </c>
      <c r="AN1210" s="2218"/>
      <c r="AO1210" s="2218"/>
      <c r="AP1210" s="2172">
        <f t="shared" si="2465"/>
        <v>0</v>
      </c>
      <c r="AQ1210" s="2218"/>
      <c r="AR1210" s="2218"/>
      <c r="AS1210" s="2172">
        <f t="shared" si="2466"/>
        <v>0</v>
      </c>
      <c r="AT1210" s="2218"/>
      <c r="AU1210" s="2218"/>
      <c r="AV1210" s="2172">
        <f t="shared" si="2467"/>
        <v>0</v>
      </c>
      <c r="AW1210" s="2218"/>
      <c r="AX1210" s="2218"/>
      <c r="AY1210" s="2172">
        <f t="shared" si="2468"/>
        <v>0</v>
      </c>
      <c r="AZ1210" s="2218"/>
      <c r="BA1210" s="2218"/>
      <c r="BB1210" s="2172">
        <f t="shared" si="2469"/>
        <v>0</v>
      </c>
      <c r="BC1210" s="2218"/>
      <c r="BD1210" s="2218"/>
      <c r="BE1210" s="2172">
        <f t="shared" si="2470"/>
        <v>0</v>
      </c>
      <c r="BF1210" s="2218"/>
      <c r="BG1210" s="2218"/>
      <c r="BH1210" s="2172">
        <f t="shared" si="2471"/>
        <v>0</v>
      </c>
      <c r="BI1210" s="2218"/>
      <c r="BJ1210" s="2218"/>
      <c r="BK1210" s="2172">
        <f t="shared" si="2472"/>
        <v>0</v>
      </c>
      <c r="BL1210" s="2218"/>
      <c r="BM1210" s="2218"/>
      <c r="BN1210" s="2172">
        <f t="shared" si="2473"/>
        <v>0</v>
      </c>
      <c r="BO1210" s="2218"/>
      <c r="BP1210" s="2218"/>
      <c r="BQ1210" s="2172">
        <f t="shared" si="2474"/>
        <v>0</v>
      </c>
    </row>
    <row r="1211" spans="3:69" s="2159" customFormat="1" ht="12" hidden="1" thickBot="1">
      <c r="C1211" s="2423" t="s">
        <v>3365</v>
      </c>
      <c r="D1211" s="2286" t="s">
        <v>2434</v>
      </c>
      <c r="E1211" s="2250" t="s">
        <v>3046</v>
      </c>
      <c r="F1211" s="2176"/>
      <c r="G1211" s="2177"/>
      <c r="H1211" s="2177"/>
      <c r="I1211" s="2178">
        <f t="shared" si="2455"/>
        <v>0</v>
      </c>
      <c r="J1211" s="2176"/>
      <c r="K1211" s="2179">
        <f>N1211+Q1211+W1211+AC1211</f>
        <v>0</v>
      </c>
      <c r="L1211" s="2179">
        <f>O1211+R1211+X1211+AD1211</f>
        <v>0</v>
      </c>
      <c r="M1211" s="2178">
        <f t="shared" si="2456"/>
        <v>0</v>
      </c>
      <c r="N1211" s="2177"/>
      <c r="O1211" s="2177"/>
      <c r="P1211" s="2178">
        <f t="shared" si="2457"/>
        <v>0</v>
      </c>
      <c r="Q1211" s="2176"/>
      <c r="R1211" s="2177"/>
      <c r="S1211" s="2178">
        <f t="shared" si="2458"/>
        <v>0</v>
      </c>
      <c r="T1211" s="2179">
        <f>N1211+Q1211</f>
        <v>0</v>
      </c>
      <c r="U1211" s="2179">
        <f>O1211+R1211</f>
        <v>0</v>
      </c>
      <c r="V1211" s="2178">
        <f t="shared" si="2459"/>
        <v>0</v>
      </c>
      <c r="W1211" s="2176"/>
      <c r="X1211" s="2177"/>
      <c r="Y1211" s="2178">
        <f t="shared" si="2460"/>
        <v>0</v>
      </c>
      <c r="Z1211" s="2179">
        <f>T1211+W1211</f>
        <v>0</v>
      </c>
      <c r="AA1211" s="2179">
        <f>U1211+X1211</f>
        <v>0</v>
      </c>
      <c r="AB1211" s="2178">
        <f t="shared" si="2461"/>
        <v>0</v>
      </c>
      <c r="AC1211" s="2176"/>
      <c r="AD1211" s="2177"/>
      <c r="AE1211" s="2178">
        <f t="shared" si="2462"/>
        <v>0</v>
      </c>
      <c r="AF1211" s="2281"/>
      <c r="AG1211" s="2158"/>
      <c r="AH1211" s="2177"/>
      <c r="AI1211" s="2177"/>
      <c r="AJ1211" s="2186">
        <f t="shared" si="2463"/>
        <v>0</v>
      </c>
      <c r="AK1211" s="2177"/>
      <c r="AL1211" s="2177"/>
      <c r="AM1211" s="2186">
        <f t="shared" si="2464"/>
        <v>0</v>
      </c>
      <c r="AN1211" s="2177"/>
      <c r="AO1211" s="2177"/>
      <c r="AP1211" s="2186">
        <f t="shared" si="2465"/>
        <v>0</v>
      </c>
      <c r="AQ1211" s="2177"/>
      <c r="AR1211" s="2177"/>
      <c r="AS1211" s="2186">
        <f t="shared" si="2466"/>
        <v>0</v>
      </c>
      <c r="AT1211" s="2177"/>
      <c r="AU1211" s="2177"/>
      <c r="AV1211" s="2186">
        <f t="shared" si="2467"/>
        <v>0</v>
      </c>
      <c r="AW1211" s="2177"/>
      <c r="AX1211" s="2177"/>
      <c r="AY1211" s="2186">
        <f t="shared" si="2468"/>
        <v>0</v>
      </c>
      <c r="AZ1211" s="2177"/>
      <c r="BA1211" s="2177"/>
      <c r="BB1211" s="2186">
        <f t="shared" si="2469"/>
        <v>0</v>
      </c>
      <c r="BC1211" s="2177"/>
      <c r="BD1211" s="2177"/>
      <c r="BE1211" s="2186">
        <f t="shared" si="2470"/>
        <v>0</v>
      </c>
      <c r="BF1211" s="2177"/>
      <c r="BG1211" s="2177"/>
      <c r="BH1211" s="2186">
        <f t="shared" si="2471"/>
        <v>0</v>
      </c>
      <c r="BI1211" s="2177"/>
      <c r="BJ1211" s="2177"/>
      <c r="BK1211" s="2186">
        <f t="shared" si="2472"/>
        <v>0</v>
      </c>
      <c r="BL1211" s="2177"/>
      <c r="BM1211" s="2177"/>
      <c r="BN1211" s="2186">
        <f t="shared" si="2473"/>
        <v>0</v>
      </c>
      <c r="BO1211" s="2177"/>
      <c r="BP1211" s="2177"/>
      <c r="BQ1211" s="2186">
        <f t="shared" si="2474"/>
        <v>0</v>
      </c>
    </row>
    <row r="1212" spans="3:69" s="2159" customFormat="1" ht="12" hidden="1" customHeight="1">
      <c r="C1212" s="2147" t="s">
        <v>3366</v>
      </c>
      <c r="D1212" s="2148" t="s">
        <v>2133</v>
      </c>
      <c r="E1212" s="2149"/>
      <c r="F1212" s="2150"/>
      <c r="G1212" s="2151"/>
      <c r="H1212" s="2151"/>
      <c r="I1212" s="2152"/>
      <c r="J1212" s="2150"/>
      <c r="K1212" s="2151"/>
      <c r="L1212" s="2151"/>
      <c r="M1212" s="2152"/>
      <c r="N1212" s="2151"/>
      <c r="O1212" s="2151"/>
      <c r="P1212" s="2152"/>
      <c r="Q1212" s="2150"/>
      <c r="R1212" s="2151"/>
      <c r="S1212" s="2153"/>
      <c r="T1212" s="2154"/>
      <c r="U1212" s="2151"/>
      <c r="V1212" s="2152"/>
      <c r="W1212" s="2150"/>
      <c r="X1212" s="2151"/>
      <c r="Y1212" s="2153"/>
      <c r="Z1212" s="2154"/>
      <c r="AA1212" s="2151"/>
      <c r="AB1212" s="2152"/>
      <c r="AC1212" s="2150"/>
      <c r="AD1212" s="2151"/>
      <c r="AE1212" s="2153"/>
      <c r="AF1212" s="2157"/>
      <c r="AG1212" s="2158"/>
      <c r="AH1212" s="2151"/>
      <c r="AI1212" s="2151"/>
      <c r="AJ1212" s="2152"/>
      <c r="AK1212" s="2151"/>
      <c r="AL1212" s="2151"/>
      <c r="AM1212" s="2152"/>
      <c r="AN1212" s="2151"/>
      <c r="AO1212" s="2151"/>
      <c r="AP1212" s="2152"/>
      <c r="AQ1212" s="2151"/>
      <c r="AR1212" s="2151"/>
      <c r="AS1212" s="2152"/>
      <c r="AT1212" s="2151"/>
      <c r="AU1212" s="2151"/>
      <c r="AV1212" s="2152"/>
      <c r="AW1212" s="2151"/>
      <c r="AX1212" s="2151"/>
      <c r="AY1212" s="2152"/>
      <c r="AZ1212" s="2151"/>
      <c r="BA1212" s="2151"/>
      <c r="BB1212" s="2152"/>
      <c r="BC1212" s="2151"/>
      <c r="BD1212" s="2151"/>
      <c r="BE1212" s="2152"/>
      <c r="BF1212" s="2151"/>
      <c r="BG1212" s="2151"/>
      <c r="BH1212" s="2152"/>
      <c r="BI1212" s="2151"/>
      <c r="BJ1212" s="2151"/>
      <c r="BK1212" s="2152"/>
      <c r="BL1212" s="2151"/>
      <c r="BM1212" s="2151"/>
      <c r="BN1212" s="2152"/>
      <c r="BO1212" s="2151"/>
      <c r="BP1212" s="2151"/>
      <c r="BQ1212" s="2152"/>
    </row>
    <row r="1213" spans="3:69" s="2159" customFormat="1" ht="12" hidden="1" customHeight="1">
      <c r="C1213" s="2474" t="s">
        <v>3367</v>
      </c>
      <c r="D1213" s="2485" t="s">
        <v>3368</v>
      </c>
      <c r="E1213" s="2122" t="s">
        <v>3220</v>
      </c>
      <c r="F1213" s="2162"/>
      <c r="G1213" s="2455">
        <f t="shared" ref="G1213:H1215" si="2477">IFERROR(G1233/G1187,0)</f>
        <v>0</v>
      </c>
      <c r="H1213" s="2455">
        <f t="shared" si="2477"/>
        <v>0</v>
      </c>
      <c r="I1213" s="2479">
        <f>H1213-G1213</f>
        <v>0</v>
      </c>
      <c r="J1213" s="2454"/>
      <c r="K1213" s="2455">
        <f t="shared" ref="K1213:L1215" si="2478">IFERROR(K1233/K1187,0)</f>
        <v>0</v>
      </c>
      <c r="L1213" s="2455">
        <f t="shared" si="2478"/>
        <v>0</v>
      </c>
      <c r="M1213" s="2479">
        <f>L1213-K1213</f>
        <v>0</v>
      </c>
      <c r="N1213" s="2455">
        <f t="shared" ref="N1213:O1215" si="2479">IFERROR(N1233/N1187,0)</f>
        <v>0</v>
      </c>
      <c r="O1213" s="2455">
        <f t="shared" si="2479"/>
        <v>0</v>
      </c>
      <c r="P1213" s="2479">
        <f>O1213-N1213</f>
        <v>0</v>
      </c>
      <c r="Q1213" s="2456">
        <f t="shared" ref="Q1213:R1215" si="2480">IFERROR(Q1233/Q1187,0)</f>
        <v>0</v>
      </c>
      <c r="R1213" s="2455">
        <f t="shared" si="2480"/>
        <v>0</v>
      </c>
      <c r="S1213" s="2479">
        <f>R1213-Q1213</f>
        <v>0</v>
      </c>
      <c r="T1213" s="2457">
        <f t="shared" ref="T1213:U1215" si="2481">IFERROR(T1233/T1187,0)</f>
        <v>0</v>
      </c>
      <c r="U1213" s="2455">
        <f t="shared" si="2481"/>
        <v>0</v>
      </c>
      <c r="V1213" s="2479">
        <f>U1213-T1213</f>
        <v>0</v>
      </c>
      <c r="W1213" s="2456">
        <f t="shared" ref="W1213:X1215" si="2482">IFERROR(W1233/W1187,0)</f>
        <v>0</v>
      </c>
      <c r="X1213" s="2455">
        <f t="shared" si="2482"/>
        <v>0</v>
      </c>
      <c r="Y1213" s="2479">
        <f>X1213-W1213</f>
        <v>0</v>
      </c>
      <c r="Z1213" s="2457">
        <f t="shared" ref="Z1213:AA1215" si="2483">IFERROR(Z1233/Z1187,0)</f>
        <v>0</v>
      </c>
      <c r="AA1213" s="2455">
        <f t="shared" si="2483"/>
        <v>0</v>
      </c>
      <c r="AB1213" s="2479">
        <f>AA1213-Z1213</f>
        <v>0</v>
      </c>
      <c r="AC1213" s="2456">
        <f t="shared" ref="AC1213:AD1215" si="2484">IFERROR(AC1233/AC1187,0)</f>
        <v>0</v>
      </c>
      <c r="AD1213" s="2455">
        <f t="shared" si="2484"/>
        <v>0</v>
      </c>
      <c r="AE1213" s="2479">
        <f>AD1213-AC1213</f>
        <v>0</v>
      </c>
      <c r="AF1213" s="2204"/>
      <c r="AG1213" s="2158"/>
      <c r="AH1213" s="2458">
        <f t="shared" ref="AH1213:AI1215" si="2485">IFERROR(AH1233/AH1187,0)</f>
        <v>0</v>
      </c>
      <c r="AI1213" s="2458">
        <f t="shared" si="2485"/>
        <v>0</v>
      </c>
      <c r="AJ1213" s="2480">
        <f>AI1213-AH1213</f>
        <v>0</v>
      </c>
      <c r="AK1213" s="2458">
        <f t="shared" ref="AK1213:AL1215" si="2486">IFERROR(AK1233/AK1187,0)</f>
        <v>0</v>
      </c>
      <c r="AL1213" s="2458">
        <f t="shared" si="2486"/>
        <v>0</v>
      </c>
      <c r="AM1213" s="2480">
        <f>AL1213-AK1213</f>
        <v>0</v>
      </c>
      <c r="AN1213" s="2458">
        <f t="shared" ref="AN1213:AO1215" si="2487">IFERROR(AN1233/AN1187,0)</f>
        <v>0</v>
      </c>
      <c r="AO1213" s="2458">
        <f t="shared" si="2487"/>
        <v>0</v>
      </c>
      <c r="AP1213" s="2480">
        <f>AO1213-AN1213</f>
        <v>0</v>
      </c>
      <c r="AQ1213" s="2458">
        <f t="shared" ref="AQ1213:AR1215" si="2488">IFERROR(AQ1233/AQ1187,0)</f>
        <v>0</v>
      </c>
      <c r="AR1213" s="2458">
        <f t="shared" si="2488"/>
        <v>0</v>
      </c>
      <c r="AS1213" s="2480">
        <f>AR1213-AQ1213</f>
        <v>0</v>
      </c>
      <c r="AT1213" s="2458">
        <f t="shared" ref="AT1213:AU1215" si="2489">IFERROR(AT1233/AT1187,0)</f>
        <v>0</v>
      </c>
      <c r="AU1213" s="2458">
        <f t="shared" si="2489"/>
        <v>0</v>
      </c>
      <c r="AV1213" s="2480">
        <f>AU1213-AT1213</f>
        <v>0</v>
      </c>
      <c r="AW1213" s="2458">
        <f t="shared" ref="AW1213:AX1215" si="2490">IFERROR(AW1233/AW1187,0)</f>
        <v>0</v>
      </c>
      <c r="AX1213" s="2458">
        <f t="shared" si="2490"/>
        <v>0</v>
      </c>
      <c r="AY1213" s="2480">
        <f>AX1213-AW1213</f>
        <v>0</v>
      </c>
      <c r="AZ1213" s="2458">
        <f t="shared" ref="AZ1213:BA1215" si="2491">IFERROR(AZ1233/AZ1187,0)</f>
        <v>0</v>
      </c>
      <c r="BA1213" s="2458">
        <f t="shared" si="2491"/>
        <v>0</v>
      </c>
      <c r="BB1213" s="2480">
        <f>BA1213-AZ1213</f>
        <v>0</v>
      </c>
      <c r="BC1213" s="2458">
        <f t="shared" ref="BC1213:BD1215" si="2492">IFERROR(BC1233/BC1187,0)</f>
        <v>0</v>
      </c>
      <c r="BD1213" s="2458">
        <f t="shared" si="2492"/>
        <v>0</v>
      </c>
      <c r="BE1213" s="2480">
        <f>BD1213-BC1213</f>
        <v>0</v>
      </c>
      <c r="BF1213" s="2458">
        <f t="shared" ref="BF1213:BG1215" si="2493">IFERROR(BF1233/BF1187,0)</f>
        <v>0</v>
      </c>
      <c r="BG1213" s="2458">
        <f t="shared" si="2493"/>
        <v>0</v>
      </c>
      <c r="BH1213" s="2480">
        <f>BG1213-BF1213</f>
        <v>0</v>
      </c>
      <c r="BI1213" s="2458">
        <f t="shared" ref="BI1213:BJ1215" si="2494">IFERROR(BI1233/BI1187,0)</f>
        <v>0</v>
      </c>
      <c r="BJ1213" s="2458">
        <f t="shared" si="2494"/>
        <v>0</v>
      </c>
      <c r="BK1213" s="2480">
        <f>BJ1213-BI1213</f>
        <v>0</v>
      </c>
      <c r="BL1213" s="2458">
        <f t="shared" ref="BL1213:BM1215" si="2495">IFERROR(BL1233/BL1187,0)</f>
        <v>0</v>
      </c>
      <c r="BM1213" s="2458">
        <f t="shared" si="2495"/>
        <v>0</v>
      </c>
      <c r="BN1213" s="2480">
        <f>BM1213-BL1213</f>
        <v>0</v>
      </c>
      <c r="BO1213" s="2458">
        <f t="shared" ref="BO1213:BP1215" si="2496">IFERROR(BO1233/BO1187,0)</f>
        <v>0</v>
      </c>
      <c r="BP1213" s="2458">
        <f t="shared" si="2496"/>
        <v>0</v>
      </c>
      <c r="BQ1213" s="2480">
        <f>BP1213-BO1213</f>
        <v>0</v>
      </c>
    </row>
    <row r="1214" spans="3:69" s="2087" customFormat="1" ht="12" hidden="1" customHeight="1">
      <c r="C1214" s="2285" t="s">
        <v>3369</v>
      </c>
      <c r="D1214" s="2418" t="s">
        <v>28</v>
      </c>
      <c r="E1214" s="2250" t="s">
        <v>3220</v>
      </c>
      <c r="F1214" s="2176"/>
      <c r="G1214" s="2339">
        <f t="shared" si="2477"/>
        <v>0</v>
      </c>
      <c r="H1214" s="2339">
        <f t="shared" si="2477"/>
        <v>0</v>
      </c>
      <c r="I1214" s="2337">
        <f>H1214-G1214</f>
        <v>0</v>
      </c>
      <c r="J1214" s="2338"/>
      <c r="K1214" s="2339">
        <f t="shared" si="2478"/>
        <v>0</v>
      </c>
      <c r="L1214" s="2339">
        <f t="shared" si="2478"/>
        <v>0</v>
      </c>
      <c r="M1214" s="2337">
        <f>L1214-K1214</f>
        <v>0</v>
      </c>
      <c r="N1214" s="2339">
        <f t="shared" si="2479"/>
        <v>0</v>
      </c>
      <c r="O1214" s="2339">
        <f t="shared" si="2479"/>
        <v>0</v>
      </c>
      <c r="P1214" s="2337">
        <f>O1214-N1214</f>
        <v>0</v>
      </c>
      <c r="Q1214" s="2344">
        <f t="shared" si="2480"/>
        <v>0</v>
      </c>
      <c r="R1214" s="2339">
        <f t="shared" si="2480"/>
        <v>0</v>
      </c>
      <c r="S1214" s="2337">
        <f>R1214-Q1214</f>
        <v>0</v>
      </c>
      <c r="T1214" s="2340">
        <f t="shared" si="2481"/>
        <v>0</v>
      </c>
      <c r="U1214" s="2339">
        <f t="shared" si="2481"/>
        <v>0</v>
      </c>
      <c r="V1214" s="2337">
        <f>U1214-T1214</f>
        <v>0</v>
      </c>
      <c r="W1214" s="2344">
        <f t="shared" si="2482"/>
        <v>0</v>
      </c>
      <c r="X1214" s="2339">
        <f t="shared" si="2482"/>
        <v>0</v>
      </c>
      <c r="Y1214" s="2337">
        <f>X1214-W1214</f>
        <v>0</v>
      </c>
      <c r="Z1214" s="2340">
        <f t="shared" si="2483"/>
        <v>0</v>
      </c>
      <c r="AA1214" s="2339">
        <f t="shared" si="2483"/>
        <v>0</v>
      </c>
      <c r="AB1214" s="2337">
        <f>AA1214-Z1214</f>
        <v>0</v>
      </c>
      <c r="AC1214" s="2344">
        <f t="shared" si="2484"/>
        <v>0</v>
      </c>
      <c r="AD1214" s="2339">
        <f t="shared" si="2484"/>
        <v>0</v>
      </c>
      <c r="AE1214" s="2337">
        <f>AD1214-AC1214</f>
        <v>0</v>
      </c>
      <c r="AF1214" s="2204"/>
      <c r="AG1214" s="2114"/>
      <c r="AH1214" s="2345">
        <f t="shared" si="2485"/>
        <v>0</v>
      </c>
      <c r="AI1214" s="2345">
        <f t="shared" si="2485"/>
        <v>0</v>
      </c>
      <c r="AJ1214" s="2346">
        <f>AI1214-AH1214</f>
        <v>0</v>
      </c>
      <c r="AK1214" s="2345">
        <f t="shared" si="2486"/>
        <v>0</v>
      </c>
      <c r="AL1214" s="2345">
        <f t="shared" si="2486"/>
        <v>0</v>
      </c>
      <c r="AM1214" s="2346">
        <f>AL1214-AK1214</f>
        <v>0</v>
      </c>
      <c r="AN1214" s="2345">
        <f t="shared" si="2487"/>
        <v>0</v>
      </c>
      <c r="AO1214" s="2345">
        <f t="shared" si="2487"/>
        <v>0</v>
      </c>
      <c r="AP1214" s="2346">
        <f>AO1214-AN1214</f>
        <v>0</v>
      </c>
      <c r="AQ1214" s="2345">
        <f t="shared" si="2488"/>
        <v>0</v>
      </c>
      <c r="AR1214" s="2345">
        <f t="shared" si="2488"/>
        <v>0</v>
      </c>
      <c r="AS1214" s="2346">
        <f>AR1214-AQ1214</f>
        <v>0</v>
      </c>
      <c r="AT1214" s="2345">
        <f t="shared" si="2489"/>
        <v>0</v>
      </c>
      <c r="AU1214" s="2345">
        <f t="shared" si="2489"/>
        <v>0</v>
      </c>
      <c r="AV1214" s="2346">
        <f>AU1214-AT1214</f>
        <v>0</v>
      </c>
      <c r="AW1214" s="2345">
        <f t="shared" si="2490"/>
        <v>0</v>
      </c>
      <c r="AX1214" s="2345">
        <f t="shared" si="2490"/>
        <v>0</v>
      </c>
      <c r="AY1214" s="2346">
        <f>AX1214-AW1214</f>
        <v>0</v>
      </c>
      <c r="AZ1214" s="2345">
        <f t="shared" si="2491"/>
        <v>0</v>
      </c>
      <c r="BA1214" s="2345">
        <f t="shared" si="2491"/>
        <v>0</v>
      </c>
      <c r="BB1214" s="2346">
        <f>BA1214-AZ1214</f>
        <v>0</v>
      </c>
      <c r="BC1214" s="2345">
        <f t="shared" si="2492"/>
        <v>0</v>
      </c>
      <c r="BD1214" s="2345">
        <f t="shared" si="2492"/>
        <v>0</v>
      </c>
      <c r="BE1214" s="2346">
        <f>BD1214-BC1214</f>
        <v>0</v>
      </c>
      <c r="BF1214" s="2345">
        <f t="shared" si="2493"/>
        <v>0</v>
      </c>
      <c r="BG1214" s="2345">
        <f t="shared" si="2493"/>
        <v>0</v>
      </c>
      <c r="BH1214" s="2346">
        <f>BG1214-BF1214</f>
        <v>0</v>
      </c>
      <c r="BI1214" s="2345">
        <f t="shared" si="2494"/>
        <v>0</v>
      </c>
      <c r="BJ1214" s="2345">
        <f t="shared" si="2494"/>
        <v>0</v>
      </c>
      <c r="BK1214" s="2346">
        <f>BJ1214-BI1214</f>
        <v>0</v>
      </c>
      <c r="BL1214" s="2345">
        <f t="shared" si="2495"/>
        <v>0</v>
      </c>
      <c r="BM1214" s="2345">
        <f t="shared" si="2495"/>
        <v>0</v>
      </c>
      <c r="BN1214" s="2346">
        <f>BM1214-BL1214</f>
        <v>0</v>
      </c>
      <c r="BO1214" s="2345">
        <f t="shared" si="2496"/>
        <v>0</v>
      </c>
      <c r="BP1214" s="2345">
        <f t="shared" si="2496"/>
        <v>0</v>
      </c>
      <c r="BQ1214" s="2346">
        <f>BP1214-BO1214</f>
        <v>0</v>
      </c>
    </row>
    <row r="1215" spans="3:69" s="2087" customFormat="1" ht="12" hidden="1" customHeight="1">
      <c r="C1215" s="2285" t="s">
        <v>3370</v>
      </c>
      <c r="D1215" s="2421" t="s">
        <v>2434</v>
      </c>
      <c r="E1215" s="2250" t="s">
        <v>3220</v>
      </c>
      <c r="F1215" s="2176"/>
      <c r="G1215" s="2339">
        <f t="shared" si="2477"/>
        <v>0</v>
      </c>
      <c r="H1215" s="2339">
        <f t="shared" si="2477"/>
        <v>0</v>
      </c>
      <c r="I1215" s="2337">
        <f t="shared" ref="I1215:I1231" si="2497">H1215-G1215</f>
        <v>0</v>
      </c>
      <c r="J1215" s="2338"/>
      <c r="K1215" s="2339">
        <f t="shared" si="2478"/>
        <v>0</v>
      </c>
      <c r="L1215" s="2339">
        <f t="shared" si="2478"/>
        <v>0</v>
      </c>
      <c r="M1215" s="2337">
        <f t="shared" ref="M1215:M1231" si="2498">L1215-K1215</f>
        <v>0</v>
      </c>
      <c r="N1215" s="2339">
        <f t="shared" si="2479"/>
        <v>0</v>
      </c>
      <c r="O1215" s="2339">
        <f t="shared" si="2479"/>
        <v>0</v>
      </c>
      <c r="P1215" s="2337">
        <f t="shared" ref="P1215:P1231" si="2499">O1215-N1215</f>
        <v>0</v>
      </c>
      <c r="Q1215" s="2339">
        <f t="shared" si="2480"/>
        <v>0</v>
      </c>
      <c r="R1215" s="2339">
        <f t="shared" si="2480"/>
        <v>0</v>
      </c>
      <c r="S1215" s="2337">
        <f t="shared" ref="S1215:S1231" si="2500">R1215-Q1215</f>
        <v>0</v>
      </c>
      <c r="T1215" s="2339">
        <f t="shared" si="2481"/>
        <v>0</v>
      </c>
      <c r="U1215" s="2339">
        <f t="shared" si="2481"/>
        <v>0</v>
      </c>
      <c r="V1215" s="2337">
        <f t="shared" ref="V1215:V1231" si="2501">U1215-T1215</f>
        <v>0</v>
      </c>
      <c r="W1215" s="2339">
        <f t="shared" si="2482"/>
        <v>0</v>
      </c>
      <c r="X1215" s="2339">
        <f t="shared" si="2482"/>
        <v>0</v>
      </c>
      <c r="Y1215" s="2337">
        <f t="shared" ref="Y1215:Y1231" si="2502">X1215-W1215</f>
        <v>0</v>
      </c>
      <c r="Z1215" s="2339">
        <f t="shared" si="2483"/>
        <v>0</v>
      </c>
      <c r="AA1215" s="2339">
        <f t="shared" si="2483"/>
        <v>0</v>
      </c>
      <c r="AB1215" s="2337">
        <f t="shared" ref="AB1215:AB1231" si="2503">AA1215-Z1215</f>
        <v>0</v>
      </c>
      <c r="AC1215" s="2339">
        <f t="shared" si="2484"/>
        <v>0</v>
      </c>
      <c r="AD1215" s="2339">
        <f t="shared" si="2484"/>
        <v>0</v>
      </c>
      <c r="AE1215" s="2337">
        <f t="shared" ref="AE1215:AE1231" si="2504">AD1215-AC1215</f>
        <v>0</v>
      </c>
      <c r="AF1215" s="2204"/>
      <c r="AG1215" s="2114"/>
      <c r="AH1215" s="2345">
        <f t="shared" si="2485"/>
        <v>0</v>
      </c>
      <c r="AI1215" s="2345">
        <f t="shared" si="2485"/>
        <v>0</v>
      </c>
      <c r="AJ1215" s="2346">
        <f t="shared" ref="AJ1215:AJ1231" si="2505">AI1215-AH1215</f>
        <v>0</v>
      </c>
      <c r="AK1215" s="2345">
        <f t="shared" si="2486"/>
        <v>0</v>
      </c>
      <c r="AL1215" s="2345">
        <f t="shared" si="2486"/>
        <v>0</v>
      </c>
      <c r="AM1215" s="2346">
        <f t="shared" ref="AM1215:AM1231" si="2506">AL1215-AK1215</f>
        <v>0</v>
      </c>
      <c r="AN1215" s="2345">
        <f t="shared" si="2487"/>
        <v>0</v>
      </c>
      <c r="AO1215" s="2345">
        <f t="shared" si="2487"/>
        <v>0</v>
      </c>
      <c r="AP1215" s="2346">
        <f t="shared" ref="AP1215:AP1231" si="2507">AO1215-AN1215</f>
        <v>0</v>
      </c>
      <c r="AQ1215" s="2345">
        <f t="shared" si="2488"/>
        <v>0</v>
      </c>
      <c r="AR1215" s="2345">
        <f t="shared" si="2488"/>
        <v>0</v>
      </c>
      <c r="AS1215" s="2346">
        <f t="shared" ref="AS1215:AS1231" si="2508">AR1215-AQ1215</f>
        <v>0</v>
      </c>
      <c r="AT1215" s="2345">
        <f t="shared" si="2489"/>
        <v>0</v>
      </c>
      <c r="AU1215" s="2345">
        <f t="shared" si="2489"/>
        <v>0</v>
      </c>
      <c r="AV1215" s="2346">
        <f t="shared" ref="AV1215:AV1231" si="2509">AU1215-AT1215</f>
        <v>0</v>
      </c>
      <c r="AW1215" s="2345">
        <f t="shared" si="2490"/>
        <v>0</v>
      </c>
      <c r="AX1215" s="2345">
        <f t="shared" si="2490"/>
        <v>0</v>
      </c>
      <c r="AY1215" s="2346">
        <f t="shared" ref="AY1215:AY1231" si="2510">AX1215-AW1215</f>
        <v>0</v>
      </c>
      <c r="AZ1215" s="2345">
        <f t="shared" si="2491"/>
        <v>0</v>
      </c>
      <c r="BA1215" s="2345">
        <f t="shared" si="2491"/>
        <v>0</v>
      </c>
      <c r="BB1215" s="2346">
        <f t="shared" ref="BB1215:BB1231" si="2511">BA1215-AZ1215</f>
        <v>0</v>
      </c>
      <c r="BC1215" s="2345">
        <f t="shared" si="2492"/>
        <v>0</v>
      </c>
      <c r="BD1215" s="2345">
        <f t="shared" si="2492"/>
        <v>0</v>
      </c>
      <c r="BE1215" s="2346">
        <f t="shared" ref="BE1215:BE1231" si="2512">BD1215-BC1215</f>
        <v>0</v>
      </c>
      <c r="BF1215" s="2345">
        <f t="shared" si="2493"/>
        <v>0</v>
      </c>
      <c r="BG1215" s="2345">
        <f t="shared" si="2493"/>
        <v>0</v>
      </c>
      <c r="BH1215" s="2346">
        <f t="shared" ref="BH1215:BH1231" si="2513">BG1215-BF1215</f>
        <v>0</v>
      </c>
      <c r="BI1215" s="2345">
        <f t="shared" si="2494"/>
        <v>0</v>
      </c>
      <c r="BJ1215" s="2345">
        <f t="shared" si="2494"/>
        <v>0</v>
      </c>
      <c r="BK1215" s="2346">
        <f t="shared" ref="BK1215:BK1231" si="2514">BJ1215-BI1215</f>
        <v>0</v>
      </c>
      <c r="BL1215" s="2345">
        <f t="shared" si="2495"/>
        <v>0</v>
      </c>
      <c r="BM1215" s="2345">
        <f t="shared" si="2495"/>
        <v>0</v>
      </c>
      <c r="BN1215" s="2346">
        <f t="shared" ref="BN1215:BN1231" si="2515">BM1215-BL1215</f>
        <v>0</v>
      </c>
      <c r="BO1215" s="2345">
        <f t="shared" si="2496"/>
        <v>0</v>
      </c>
      <c r="BP1215" s="2345">
        <f t="shared" si="2496"/>
        <v>0</v>
      </c>
      <c r="BQ1215" s="2346">
        <f t="shared" ref="BQ1215:BQ1231" si="2516">BP1215-BO1215</f>
        <v>0</v>
      </c>
    </row>
    <row r="1216" spans="3:69" s="2159" customFormat="1" ht="12" hidden="1" customHeight="1">
      <c r="C1216" s="2285" t="s">
        <v>3371</v>
      </c>
      <c r="D1216" s="2418" t="s">
        <v>42</v>
      </c>
      <c r="E1216" s="2250" t="s">
        <v>3220</v>
      </c>
      <c r="F1216" s="2176"/>
      <c r="G1216" s="2339">
        <f>IFERROR((G1236+G1238)/(G1190+G1192),0)</f>
        <v>0</v>
      </c>
      <c r="H1216" s="2339">
        <f>IFERROR((H1236+H1238)/(H1190+H1192),0)</f>
        <v>0</v>
      </c>
      <c r="I1216" s="2337">
        <f t="shared" si="2497"/>
        <v>0</v>
      </c>
      <c r="J1216" s="2338"/>
      <c r="K1216" s="2339">
        <f>IFERROR((K1236+K1238)/(K1190+K1192),0)</f>
        <v>0</v>
      </c>
      <c r="L1216" s="2339">
        <f>IFERROR((L1236+L1238)/(L1190+L1192),0)</f>
        <v>0</v>
      </c>
      <c r="M1216" s="2337">
        <f t="shared" si="2498"/>
        <v>0</v>
      </c>
      <c r="N1216" s="2339">
        <f>IFERROR((N1236+N1238)/(N1190+N1192),0)</f>
        <v>0</v>
      </c>
      <c r="O1216" s="2339">
        <f>IFERROR((O1236+O1238)/(O1190+O1192),0)</f>
        <v>0</v>
      </c>
      <c r="P1216" s="2337">
        <f t="shared" si="2499"/>
        <v>0</v>
      </c>
      <c r="Q1216" s="2344">
        <f>IFERROR((Q1236+Q1238)/(Q1190+Q1192),0)</f>
        <v>0</v>
      </c>
      <c r="R1216" s="2339">
        <f>IFERROR((R1236+R1238)/(R1190+R1192),0)</f>
        <v>0</v>
      </c>
      <c r="S1216" s="2337">
        <f t="shared" si="2500"/>
        <v>0</v>
      </c>
      <c r="T1216" s="2340">
        <f>IFERROR((T1236+T1238)/(T1190+T1192),0)</f>
        <v>0</v>
      </c>
      <c r="U1216" s="2339">
        <f>IFERROR((U1236+U1238)/(U1190+U1192),0)</f>
        <v>0</v>
      </c>
      <c r="V1216" s="2337">
        <f t="shared" si="2501"/>
        <v>0</v>
      </c>
      <c r="W1216" s="2344">
        <f>IFERROR((W1236+W1238)/(W1190+W1192),0)</f>
        <v>0</v>
      </c>
      <c r="X1216" s="2339">
        <f>IFERROR((X1236+X1238)/(X1190+X1192),0)</f>
        <v>0</v>
      </c>
      <c r="Y1216" s="2337">
        <f t="shared" si="2502"/>
        <v>0</v>
      </c>
      <c r="Z1216" s="2340">
        <f>IFERROR((Z1236+Z1238)/(Z1190+Z1192),0)</f>
        <v>0</v>
      </c>
      <c r="AA1216" s="2339">
        <f>IFERROR((AA1236+AA1238)/(AA1190+AA1192),0)</f>
        <v>0</v>
      </c>
      <c r="AB1216" s="2337">
        <f t="shared" si="2503"/>
        <v>0</v>
      </c>
      <c r="AC1216" s="2344">
        <f>IFERROR((AC1236+AC1238)/(AC1190+AC1192),0)</f>
        <v>0</v>
      </c>
      <c r="AD1216" s="2339">
        <f>IFERROR((AD1236+AD1238)/(AD1190+AD1192),0)</f>
        <v>0</v>
      </c>
      <c r="AE1216" s="2337">
        <f t="shared" si="2504"/>
        <v>0</v>
      </c>
      <c r="AF1216" s="2204"/>
      <c r="AG1216" s="2158"/>
      <c r="AH1216" s="2345">
        <f>IFERROR((AH1236+AH1238)/(AH1190+AH1192),0)</f>
        <v>0</v>
      </c>
      <c r="AI1216" s="2345">
        <f>IFERROR((AI1236+AI1238)/(AI1190+AI1192),0)</f>
        <v>0</v>
      </c>
      <c r="AJ1216" s="2346">
        <f t="shared" si="2505"/>
        <v>0</v>
      </c>
      <c r="AK1216" s="2345">
        <f>IFERROR((AK1236+AK1238)/(AK1190+AK1192),0)</f>
        <v>0</v>
      </c>
      <c r="AL1216" s="2345">
        <f>IFERROR((AL1236+AL1238)/(AL1190+AL1192),0)</f>
        <v>0</v>
      </c>
      <c r="AM1216" s="2346">
        <f t="shared" si="2506"/>
        <v>0</v>
      </c>
      <c r="AN1216" s="2345">
        <f>IFERROR((AN1236+AN1238)/(AN1190+AN1192),0)</f>
        <v>0</v>
      </c>
      <c r="AO1216" s="2345">
        <f>IFERROR((AO1236+AO1238)/(AO1190+AO1192),0)</f>
        <v>0</v>
      </c>
      <c r="AP1216" s="2346">
        <f t="shared" si="2507"/>
        <v>0</v>
      </c>
      <c r="AQ1216" s="2345">
        <f>IFERROR((AQ1236+AQ1238)/(AQ1190+AQ1192),0)</f>
        <v>0</v>
      </c>
      <c r="AR1216" s="2345">
        <f>IFERROR((AR1236+AR1238)/(AR1190+AR1192),0)</f>
        <v>0</v>
      </c>
      <c r="AS1216" s="2346">
        <f t="shared" si="2508"/>
        <v>0</v>
      </c>
      <c r="AT1216" s="2345">
        <f>IFERROR((AT1236+AT1238)/(AT1190+AT1192),0)</f>
        <v>0</v>
      </c>
      <c r="AU1216" s="2345">
        <f>IFERROR((AU1236+AU1238)/(AU1190+AU1192),0)</f>
        <v>0</v>
      </c>
      <c r="AV1216" s="2346">
        <f t="shared" si="2509"/>
        <v>0</v>
      </c>
      <c r="AW1216" s="2345">
        <f>IFERROR((AW1236+AW1238)/(AW1190+AW1192),0)</f>
        <v>0</v>
      </c>
      <c r="AX1216" s="2345">
        <f>IFERROR((AX1236+AX1238)/(AX1190+AX1192),0)</f>
        <v>0</v>
      </c>
      <c r="AY1216" s="2346">
        <f t="shared" si="2510"/>
        <v>0</v>
      </c>
      <c r="AZ1216" s="2345">
        <f>IFERROR((AZ1236+AZ1238)/(AZ1190+AZ1192),0)</f>
        <v>0</v>
      </c>
      <c r="BA1216" s="2345">
        <f>IFERROR((BA1236+BA1238)/(BA1190+BA1192),0)</f>
        <v>0</v>
      </c>
      <c r="BB1216" s="2346">
        <f t="shared" si="2511"/>
        <v>0</v>
      </c>
      <c r="BC1216" s="2345">
        <f>IFERROR((BC1236+BC1238)/(BC1190+BC1192),0)</f>
        <v>0</v>
      </c>
      <c r="BD1216" s="2345">
        <f>IFERROR((BD1236+BD1238)/(BD1190+BD1192),0)</f>
        <v>0</v>
      </c>
      <c r="BE1216" s="2346">
        <f t="shared" si="2512"/>
        <v>0</v>
      </c>
      <c r="BF1216" s="2345">
        <f>IFERROR((BF1236+BF1238)/(BF1190+BF1192),0)</f>
        <v>0</v>
      </c>
      <c r="BG1216" s="2345">
        <f>IFERROR((BG1236+BG1238)/(BG1190+BG1192),0)</f>
        <v>0</v>
      </c>
      <c r="BH1216" s="2346">
        <f t="shared" si="2513"/>
        <v>0</v>
      </c>
      <c r="BI1216" s="2345">
        <f>IFERROR((BI1236+BI1238)/(BI1190+BI1192),0)</f>
        <v>0</v>
      </c>
      <c r="BJ1216" s="2345">
        <f>IFERROR((BJ1236+BJ1238)/(BJ1190+BJ1192),0)</f>
        <v>0</v>
      </c>
      <c r="BK1216" s="2346">
        <f t="shared" si="2514"/>
        <v>0</v>
      </c>
      <c r="BL1216" s="2345">
        <f>IFERROR((BL1236+BL1238)/(BL1190+BL1192),0)</f>
        <v>0</v>
      </c>
      <c r="BM1216" s="2345">
        <f>IFERROR((BM1236+BM1238)/(BM1190+BM1192),0)</f>
        <v>0</v>
      </c>
      <c r="BN1216" s="2346">
        <f t="shared" si="2515"/>
        <v>0</v>
      </c>
      <c r="BO1216" s="2345">
        <f>IFERROR((BO1236+BO1238)/(BO1190+BO1192),0)</f>
        <v>0</v>
      </c>
      <c r="BP1216" s="2345">
        <f>IFERROR((BP1236+BP1238)/(BP1190+BP1192),0)</f>
        <v>0</v>
      </c>
      <c r="BQ1216" s="2346">
        <f t="shared" si="2516"/>
        <v>0</v>
      </c>
    </row>
    <row r="1217" spans="3:69" s="2159" customFormat="1" ht="12" hidden="1" customHeight="1">
      <c r="C1217" s="2285" t="s">
        <v>3372</v>
      </c>
      <c r="D1217" s="2421" t="s">
        <v>2434</v>
      </c>
      <c r="E1217" s="2250" t="s">
        <v>3220</v>
      </c>
      <c r="F1217" s="2176"/>
      <c r="G1217" s="2339">
        <f>IFERROR((G1237+G1239)/(G1191+G1193),0)</f>
        <v>0</v>
      </c>
      <c r="H1217" s="2339">
        <f>IFERROR((H1237+H1239)/(H1191+H1193),0)</f>
        <v>0</v>
      </c>
      <c r="I1217" s="2337">
        <f t="shared" si="2497"/>
        <v>0</v>
      </c>
      <c r="J1217" s="2338"/>
      <c r="K1217" s="2339">
        <f>IFERROR((K1237+K1239)/(K1191+K1193),0)</f>
        <v>0</v>
      </c>
      <c r="L1217" s="2339">
        <f>IFERROR((L1237+L1239)/(L1191+L1193),0)</f>
        <v>0</v>
      </c>
      <c r="M1217" s="2337">
        <f t="shared" si="2498"/>
        <v>0</v>
      </c>
      <c r="N1217" s="2339">
        <f>IFERROR((N1237+N1239)/(N1191+N1193),0)</f>
        <v>0</v>
      </c>
      <c r="O1217" s="2339">
        <f>IFERROR((O1237+O1239)/(O1191+O1193),0)</f>
        <v>0</v>
      </c>
      <c r="P1217" s="2337">
        <f t="shared" si="2499"/>
        <v>0</v>
      </c>
      <c r="Q1217" s="2339">
        <f>IFERROR((Q1237+Q1239)/(Q1191+Q1193),0)</f>
        <v>0</v>
      </c>
      <c r="R1217" s="2339">
        <f>IFERROR((R1237+R1239)/(R1191+R1193),0)</f>
        <v>0</v>
      </c>
      <c r="S1217" s="2337">
        <f t="shared" si="2500"/>
        <v>0</v>
      </c>
      <c r="T1217" s="2339">
        <f>IFERROR((T1237+T1239)/(T1191+T1193),0)</f>
        <v>0</v>
      </c>
      <c r="U1217" s="2339">
        <f>IFERROR((U1237+U1239)/(U1191+U1193),0)</f>
        <v>0</v>
      </c>
      <c r="V1217" s="2337">
        <f t="shared" si="2501"/>
        <v>0</v>
      </c>
      <c r="W1217" s="2339">
        <f>IFERROR((W1237+W1239)/(W1191+W1193),0)</f>
        <v>0</v>
      </c>
      <c r="X1217" s="2339">
        <f>IFERROR((X1237+X1239)/(X1191+X1193),0)</f>
        <v>0</v>
      </c>
      <c r="Y1217" s="2337">
        <f t="shared" si="2502"/>
        <v>0</v>
      </c>
      <c r="Z1217" s="2339">
        <f>IFERROR((Z1237+Z1239)/(Z1191+Z1193),0)</f>
        <v>0</v>
      </c>
      <c r="AA1217" s="2339">
        <f>IFERROR((AA1237+AA1239)/(AA1191+AA1193),0)</f>
        <v>0</v>
      </c>
      <c r="AB1217" s="2337">
        <f t="shared" si="2503"/>
        <v>0</v>
      </c>
      <c r="AC1217" s="2339">
        <f>IFERROR((AC1237+AC1239)/(AC1191+AC1193),0)</f>
        <v>0</v>
      </c>
      <c r="AD1217" s="2339">
        <f>IFERROR((AD1237+AD1239)/(AD1191+AD1193),0)</f>
        <v>0</v>
      </c>
      <c r="AE1217" s="2337">
        <f t="shared" si="2504"/>
        <v>0</v>
      </c>
      <c r="AF1217" s="2204"/>
      <c r="AG1217" s="2158"/>
      <c r="AH1217" s="2345">
        <f>IFERROR((AH1237+AH1239)/(AH1191+AH1193),0)</f>
        <v>0</v>
      </c>
      <c r="AI1217" s="2345">
        <f>IFERROR((AI1237+AI1239)/(AI1191+AI1193),0)</f>
        <v>0</v>
      </c>
      <c r="AJ1217" s="2346">
        <f t="shared" si="2505"/>
        <v>0</v>
      </c>
      <c r="AK1217" s="2345">
        <f>IFERROR((AK1237+AK1239)/(AK1191+AK1193),0)</f>
        <v>0</v>
      </c>
      <c r="AL1217" s="2345">
        <f>IFERROR((AL1237+AL1239)/(AL1191+AL1193),0)</f>
        <v>0</v>
      </c>
      <c r="AM1217" s="2346">
        <f t="shared" si="2506"/>
        <v>0</v>
      </c>
      <c r="AN1217" s="2345">
        <f>IFERROR((AN1237+AN1239)/(AN1191+AN1193),0)</f>
        <v>0</v>
      </c>
      <c r="AO1217" s="2345">
        <f>IFERROR((AO1237+AO1239)/(AO1191+AO1193),0)</f>
        <v>0</v>
      </c>
      <c r="AP1217" s="2346">
        <f t="shared" si="2507"/>
        <v>0</v>
      </c>
      <c r="AQ1217" s="2345">
        <f>IFERROR((AQ1237+AQ1239)/(AQ1191+AQ1193),0)</f>
        <v>0</v>
      </c>
      <c r="AR1217" s="2345">
        <f>IFERROR((AR1237+AR1239)/(AR1191+AR1193),0)</f>
        <v>0</v>
      </c>
      <c r="AS1217" s="2346">
        <f t="shared" si="2508"/>
        <v>0</v>
      </c>
      <c r="AT1217" s="2345">
        <f>IFERROR((AT1237+AT1239)/(AT1191+AT1193),0)</f>
        <v>0</v>
      </c>
      <c r="AU1217" s="2345">
        <f>IFERROR((AU1237+AU1239)/(AU1191+AU1193),0)</f>
        <v>0</v>
      </c>
      <c r="AV1217" s="2346">
        <f t="shared" si="2509"/>
        <v>0</v>
      </c>
      <c r="AW1217" s="2345">
        <f>IFERROR((AW1237+AW1239)/(AW1191+AW1193),0)</f>
        <v>0</v>
      </c>
      <c r="AX1217" s="2345">
        <f>IFERROR((AX1237+AX1239)/(AX1191+AX1193),0)</f>
        <v>0</v>
      </c>
      <c r="AY1217" s="2346">
        <f t="shared" si="2510"/>
        <v>0</v>
      </c>
      <c r="AZ1217" s="2345">
        <f>IFERROR((AZ1237+AZ1239)/(AZ1191+AZ1193),0)</f>
        <v>0</v>
      </c>
      <c r="BA1217" s="2345">
        <f>IFERROR((BA1237+BA1239)/(BA1191+BA1193),0)</f>
        <v>0</v>
      </c>
      <c r="BB1217" s="2346">
        <f t="shared" si="2511"/>
        <v>0</v>
      </c>
      <c r="BC1217" s="2345">
        <f>IFERROR((BC1237+BC1239)/(BC1191+BC1193),0)</f>
        <v>0</v>
      </c>
      <c r="BD1217" s="2345">
        <f>IFERROR((BD1237+BD1239)/(BD1191+BD1193),0)</f>
        <v>0</v>
      </c>
      <c r="BE1217" s="2346">
        <f t="shared" si="2512"/>
        <v>0</v>
      </c>
      <c r="BF1217" s="2345">
        <f>IFERROR((BF1237+BF1239)/(BF1191+BF1193),0)</f>
        <v>0</v>
      </c>
      <c r="BG1217" s="2345">
        <f>IFERROR((BG1237+BG1239)/(BG1191+BG1193),0)</f>
        <v>0</v>
      </c>
      <c r="BH1217" s="2346">
        <f t="shared" si="2513"/>
        <v>0</v>
      </c>
      <c r="BI1217" s="2345">
        <f>IFERROR((BI1237+BI1239)/(BI1191+BI1193),0)</f>
        <v>0</v>
      </c>
      <c r="BJ1217" s="2345">
        <f>IFERROR((BJ1237+BJ1239)/(BJ1191+BJ1193),0)</f>
        <v>0</v>
      </c>
      <c r="BK1217" s="2346">
        <f t="shared" si="2514"/>
        <v>0</v>
      </c>
      <c r="BL1217" s="2345">
        <f>IFERROR((BL1237+BL1239)/(BL1191+BL1193),0)</f>
        <v>0</v>
      </c>
      <c r="BM1217" s="2345">
        <f>IFERROR((BM1237+BM1239)/(BM1191+BM1193),0)</f>
        <v>0</v>
      </c>
      <c r="BN1217" s="2346">
        <f t="shared" si="2515"/>
        <v>0</v>
      </c>
      <c r="BO1217" s="2345">
        <f>IFERROR((BO1237+BO1239)/(BO1191+BO1193),0)</f>
        <v>0</v>
      </c>
      <c r="BP1217" s="2345">
        <f>IFERROR((BP1237+BP1239)/(BP1191+BP1193),0)</f>
        <v>0</v>
      </c>
      <c r="BQ1217" s="2346">
        <f t="shared" si="2516"/>
        <v>0</v>
      </c>
    </row>
    <row r="1218" spans="3:69" s="2159" customFormat="1" ht="12" hidden="1" customHeight="1">
      <c r="C1218" s="2474" t="s">
        <v>3373</v>
      </c>
      <c r="D1218" s="2476" t="s">
        <v>3374</v>
      </c>
      <c r="E1218" s="2120" t="s">
        <v>3220</v>
      </c>
      <c r="F1218" s="2162"/>
      <c r="G1218" s="2455">
        <f t="shared" ref="G1218:H1220" si="2517">IFERROR(G1240/G1194,0)</f>
        <v>0</v>
      </c>
      <c r="H1218" s="2455">
        <f t="shared" si="2517"/>
        <v>0</v>
      </c>
      <c r="I1218" s="2479">
        <f t="shared" si="2497"/>
        <v>0</v>
      </c>
      <c r="J1218" s="2454"/>
      <c r="K1218" s="2455">
        <f t="shared" ref="K1218:L1220" si="2518">IFERROR(K1240/K1194,0)</f>
        <v>0</v>
      </c>
      <c r="L1218" s="2455">
        <f t="shared" si="2518"/>
        <v>0</v>
      </c>
      <c r="M1218" s="2479">
        <f t="shared" si="2498"/>
        <v>0</v>
      </c>
      <c r="N1218" s="2455">
        <f t="shared" ref="N1218:O1220" si="2519">IFERROR(N1240/N1194,0)</f>
        <v>0</v>
      </c>
      <c r="O1218" s="2455">
        <f t="shared" si="2519"/>
        <v>0</v>
      </c>
      <c r="P1218" s="2479">
        <f t="shared" si="2499"/>
        <v>0</v>
      </c>
      <c r="Q1218" s="2456">
        <f t="shared" ref="Q1218:R1220" si="2520">IFERROR(Q1240/Q1194,0)</f>
        <v>0</v>
      </c>
      <c r="R1218" s="2455">
        <f t="shared" si="2520"/>
        <v>0</v>
      </c>
      <c r="S1218" s="2479">
        <f t="shared" si="2500"/>
        <v>0</v>
      </c>
      <c r="T1218" s="2457">
        <f t="shared" ref="T1218:U1220" si="2521">IFERROR(T1240/T1194,0)</f>
        <v>0</v>
      </c>
      <c r="U1218" s="2455">
        <f t="shared" si="2521"/>
        <v>0</v>
      </c>
      <c r="V1218" s="2479">
        <f t="shared" si="2501"/>
        <v>0</v>
      </c>
      <c r="W1218" s="2456">
        <f t="shared" ref="W1218:X1220" si="2522">IFERROR(W1240/W1194,0)</f>
        <v>0</v>
      </c>
      <c r="X1218" s="2455">
        <f t="shared" si="2522"/>
        <v>0</v>
      </c>
      <c r="Y1218" s="2479">
        <f t="shared" si="2502"/>
        <v>0</v>
      </c>
      <c r="Z1218" s="2457">
        <f t="shared" ref="Z1218:AA1220" si="2523">IFERROR(Z1240/Z1194,0)</f>
        <v>0</v>
      </c>
      <c r="AA1218" s="2455">
        <f t="shared" si="2523"/>
        <v>0</v>
      </c>
      <c r="AB1218" s="2479">
        <f t="shared" si="2503"/>
        <v>0</v>
      </c>
      <c r="AC1218" s="2456">
        <f t="shared" ref="AC1218:AD1220" si="2524">IFERROR(AC1240/AC1194,0)</f>
        <v>0</v>
      </c>
      <c r="AD1218" s="2455">
        <f t="shared" si="2524"/>
        <v>0</v>
      </c>
      <c r="AE1218" s="2479">
        <f t="shared" si="2504"/>
        <v>0</v>
      </c>
      <c r="AF1218" s="2204"/>
      <c r="AG1218" s="2158"/>
      <c r="AH1218" s="2458">
        <f t="shared" ref="AH1218:AI1220" si="2525">IFERROR(AH1240/AH1194,0)</f>
        <v>0</v>
      </c>
      <c r="AI1218" s="2458">
        <f t="shared" si="2525"/>
        <v>0</v>
      </c>
      <c r="AJ1218" s="2480">
        <f t="shared" si="2505"/>
        <v>0</v>
      </c>
      <c r="AK1218" s="2458">
        <f t="shared" ref="AK1218:AL1220" si="2526">IFERROR(AK1240/AK1194,0)</f>
        <v>0</v>
      </c>
      <c r="AL1218" s="2458">
        <f t="shared" si="2526"/>
        <v>0</v>
      </c>
      <c r="AM1218" s="2480">
        <f t="shared" si="2506"/>
        <v>0</v>
      </c>
      <c r="AN1218" s="2458">
        <f t="shared" ref="AN1218:AO1220" si="2527">IFERROR(AN1240/AN1194,0)</f>
        <v>0</v>
      </c>
      <c r="AO1218" s="2458">
        <f t="shared" si="2527"/>
        <v>0</v>
      </c>
      <c r="AP1218" s="2480">
        <f t="shared" si="2507"/>
        <v>0</v>
      </c>
      <c r="AQ1218" s="2458">
        <f t="shared" ref="AQ1218:AR1220" si="2528">IFERROR(AQ1240/AQ1194,0)</f>
        <v>0</v>
      </c>
      <c r="AR1218" s="2458">
        <f t="shared" si="2528"/>
        <v>0</v>
      </c>
      <c r="AS1218" s="2480">
        <f t="shared" si="2508"/>
        <v>0</v>
      </c>
      <c r="AT1218" s="2458">
        <f t="shared" ref="AT1218:AU1220" si="2529">IFERROR(AT1240/AT1194,0)</f>
        <v>0</v>
      </c>
      <c r="AU1218" s="2458">
        <f t="shared" si="2529"/>
        <v>0</v>
      </c>
      <c r="AV1218" s="2480">
        <f t="shared" si="2509"/>
        <v>0</v>
      </c>
      <c r="AW1218" s="2458">
        <f t="shared" ref="AW1218:AX1220" si="2530">IFERROR(AW1240/AW1194,0)</f>
        <v>0</v>
      </c>
      <c r="AX1218" s="2458">
        <f t="shared" si="2530"/>
        <v>0</v>
      </c>
      <c r="AY1218" s="2480">
        <f t="shared" si="2510"/>
        <v>0</v>
      </c>
      <c r="AZ1218" s="2458">
        <f t="shared" ref="AZ1218:BA1220" si="2531">IFERROR(AZ1240/AZ1194,0)</f>
        <v>0</v>
      </c>
      <c r="BA1218" s="2458">
        <f t="shared" si="2531"/>
        <v>0</v>
      </c>
      <c r="BB1218" s="2480">
        <f t="shared" si="2511"/>
        <v>0</v>
      </c>
      <c r="BC1218" s="2458">
        <f t="shared" ref="BC1218:BD1220" si="2532">IFERROR(BC1240/BC1194,0)</f>
        <v>0</v>
      </c>
      <c r="BD1218" s="2458">
        <f t="shared" si="2532"/>
        <v>0</v>
      </c>
      <c r="BE1218" s="2480">
        <f t="shared" si="2512"/>
        <v>0</v>
      </c>
      <c r="BF1218" s="2458">
        <f t="shared" ref="BF1218:BG1220" si="2533">IFERROR(BF1240/BF1194,0)</f>
        <v>0</v>
      </c>
      <c r="BG1218" s="2458">
        <f t="shared" si="2533"/>
        <v>0</v>
      </c>
      <c r="BH1218" s="2480">
        <f t="shared" si="2513"/>
        <v>0</v>
      </c>
      <c r="BI1218" s="2458">
        <f t="shared" ref="BI1218:BJ1220" si="2534">IFERROR(BI1240/BI1194,0)</f>
        <v>0</v>
      </c>
      <c r="BJ1218" s="2458">
        <f t="shared" si="2534"/>
        <v>0</v>
      </c>
      <c r="BK1218" s="2480">
        <f t="shared" si="2514"/>
        <v>0</v>
      </c>
      <c r="BL1218" s="2458">
        <f t="shared" ref="BL1218:BM1220" si="2535">IFERROR(BL1240/BL1194,0)</f>
        <v>0</v>
      </c>
      <c r="BM1218" s="2458">
        <f t="shared" si="2535"/>
        <v>0</v>
      </c>
      <c r="BN1218" s="2480">
        <f t="shared" si="2515"/>
        <v>0</v>
      </c>
      <c r="BO1218" s="2458">
        <f t="shared" ref="BO1218:BP1220" si="2536">IFERROR(BO1240/BO1194,0)</f>
        <v>0</v>
      </c>
      <c r="BP1218" s="2458">
        <f t="shared" si="2536"/>
        <v>0</v>
      </c>
      <c r="BQ1218" s="2480">
        <f t="shared" si="2516"/>
        <v>0</v>
      </c>
    </row>
    <row r="1219" spans="3:69" s="2087" customFormat="1" ht="12" hidden="1" customHeight="1">
      <c r="C1219" s="2285" t="s">
        <v>3375</v>
      </c>
      <c r="D1219" s="2418" t="s">
        <v>28</v>
      </c>
      <c r="E1219" s="2250" t="s">
        <v>3220</v>
      </c>
      <c r="F1219" s="2176"/>
      <c r="G1219" s="2339">
        <f t="shared" si="2517"/>
        <v>0</v>
      </c>
      <c r="H1219" s="2339">
        <f t="shared" si="2517"/>
        <v>0</v>
      </c>
      <c r="I1219" s="2337">
        <f t="shared" si="2497"/>
        <v>0</v>
      </c>
      <c r="J1219" s="2338"/>
      <c r="K1219" s="2339">
        <f t="shared" si="2518"/>
        <v>0</v>
      </c>
      <c r="L1219" s="2339">
        <f t="shared" si="2518"/>
        <v>0</v>
      </c>
      <c r="M1219" s="2337">
        <f t="shared" si="2498"/>
        <v>0</v>
      </c>
      <c r="N1219" s="2339">
        <f t="shared" si="2519"/>
        <v>0</v>
      </c>
      <c r="O1219" s="2339">
        <f>IFERROR(O1241/O1195,0)</f>
        <v>0</v>
      </c>
      <c r="P1219" s="2337">
        <f t="shared" si="2499"/>
        <v>0</v>
      </c>
      <c r="Q1219" s="2344">
        <f t="shared" si="2520"/>
        <v>0</v>
      </c>
      <c r="R1219" s="2339">
        <f t="shared" si="2520"/>
        <v>0</v>
      </c>
      <c r="S1219" s="2337">
        <f t="shared" si="2500"/>
        <v>0</v>
      </c>
      <c r="T1219" s="2340">
        <f t="shared" si="2521"/>
        <v>0</v>
      </c>
      <c r="U1219" s="2339">
        <f t="shared" si="2521"/>
        <v>0</v>
      </c>
      <c r="V1219" s="2337">
        <f t="shared" si="2501"/>
        <v>0</v>
      </c>
      <c r="W1219" s="2344">
        <f t="shared" si="2522"/>
        <v>0</v>
      </c>
      <c r="X1219" s="2339">
        <f t="shared" si="2522"/>
        <v>0</v>
      </c>
      <c r="Y1219" s="2337">
        <f t="shared" si="2502"/>
        <v>0</v>
      </c>
      <c r="Z1219" s="2340">
        <f t="shared" si="2523"/>
        <v>0</v>
      </c>
      <c r="AA1219" s="2339">
        <f t="shared" si="2523"/>
        <v>0</v>
      </c>
      <c r="AB1219" s="2337">
        <f t="shared" si="2503"/>
        <v>0</v>
      </c>
      <c r="AC1219" s="2344">
        <f t="shared" si="2524"/>
        <v>0</v>
      </c>
      <c r="AD1219" s="2339">
        <f t="shared" si="2524"/>
        <v>0</v>
      </c>
      <c r="AE1219" s="2337">
        <f t="shared" si="2504"/>
        <v>0</v>
      </c>
      <c r="AF1219" s="2204"/>
      <c r="AG1219" s="2114"/>
      <c r="AH1219" s="2345">
        <f t="shared" si="2525"/>
        <v>0</v>
      </c>
      <c r="AI1219" s="2345">
        <f>IFERROR(AI1241/AI1195,0)</f>
        <v>0</v>
      </c>
      <c r="AJ1219" s="2346">
        <f t="shared" si="2505"/>
        <v>0</v>
      </c>
      <c r="AK1219" s="2345">
        <f t="shared" si="2526"/>
        <v>0</v>
      </c>
      <c r="AL1219" s="2345">
        <f>IFERROR(AL1241/AL1195,0)</f>
        <v>0</v>
      </c>
      <c r="AM1219" s="2346">
        <f t="shared" si="2506"/>
        <v>0</v>
      </c>
      <c r="AN1219" s="2345">
        <f t="shared" si="2527"/>
        <v>0</v>
      </c>
      <c r="AO1219" s="2345">
        <f>IFERROR(AO1241/AO1195,0)</f>
        <v>0</v>
      </c>
      <c r="AP1219" s="2346">
        <f t="shared" si="2507"/>
        <v>0</v>
      </c>
      <c r="AQ1219" s="2345">
        <f t="shared" si="2528"/>
        <v>0</v>
      </c>
      <c r="AR1219" s="2345">
        <f>IFERROR(AR1241/AR1195,0)</f>
        <v>0</v>
      </c>
      <c r="AS1219" s="2346">
        <f t="shared" si="2508"/>
        <v>0</v>
      </c>
      <c r="AT1219" s="2345">
        <f t="shared" si="2529"/>
        <v>0</v>
      </c>
      <c r="AU1219" s="2345">
        <f>IFERROR(AU1241/AU1195,0)</f>
        <v>0</v>
      </c>
      <c r="AV1219" s="2346">
        <f t="shared" si="2509"/>
        <v>0</v>
      </c>
      <c r="AW1219" s="2345">
        <f t="shared" si="2530"/>
        <v>0</v>
      </c>
      <c r="AX1219" s="2345">
        <f>IFERROR(AX1241/AX1195,0)</f>
        <v>0</v>
      </c>
      <c r="AY1219" s="2346">
        <f t="shared" si="2510"/>
        <v>0</v>
      </c>
      <c r="AZ1219" s="2345">
        <f t="shared" si="2531"/>
        <v>0</v>
      </c>
      <c r="BA1219" s="2345">
        <f>IFERROR(BA1241/BA1195,0)</f>
        <v>0</v>
      </c>
      <c r="BB1219" s="2346">
        <f t="shared" si="2511"/>
        <v>0</v>
      </c>
      <c r="BC1219" s="2345">
        <f t="shared" si="2532"/>
        <v>0</v>
      </c>
      <c r="BD1219" s="2345">
        <f>IFERROR(BD1241/BD1195,0)</f>
        <v>0</v>
      </c>
      <c r="BE1219" s="2346">
        <f t="shared" si="2512"/>
        <v>0</v>
      </c>
      <c r="BF1219" s="2345">
        <f t="shared" si="2533"/>
        <v>0</v>
      </c>
      <c r="BG1219" s="2345">
        <f>IFERROR(BG1241/BG1195,0)</f>
        <v>0</v>
      </c>
      <c r="BH1219" s="2346">
        <f t="shared" si="2513"/>
        <v>0</v>
      </c>
      <c r="BI1219" s="2345">
        <f t="shared" si="2534"/>
        <v>0</v>
      </c>
      <c r="BJ1219" s="2345">
        <f>IFERROR(BJ1241/BJ1195,0)</f>
        <v>0</v>
      </c>
      <c r="BK1219" s="2346">
        <f t="shared" si="2514"/>
        <v>0</v>
      </c>
      <c r="BL1219" s="2345">
        <f t="shared" si="2535"/>
        <v>0</v>
      </c>
      <c r="BM1219" s="2345">
        <f>IFERROR(BM1241/BM1195,0)</f>
        <v>0</v>
      </c>
      <c r="BN1219" s="2346">
        <f t="shared" si="2515"/>
        <v>0</v>
      </c>
      <c r="BO1219" s="2345">
        <f t="shared" si="2536"/>
        <v>0</v>
      </c>
      <c r="BP1219" s="2345">
        <f>IFERROR(BP1241/BP1195,0)</f>
        <v>0</v>
      </c>
      <c r="BQ1219" s="2346">
        <f t="shared" si="2516"/>
        <v>0</v>
      </c>
    </row>
    <row r="1220" spans="3:69" s="2087" customFormat="1" ht="12" hidden="1" customHeight="1">
      <c r="C1220" s="2285" t="s">
        <v>3376</v>
      </c>
      <c r="D1220" s="2421" t="s">
        <v>2434</v>
      </c>
      <c r="E1220" s="2250" t="s">
        <v>3220</v>
      </c>
      <c r="F1220" s="2176"/>
      <c r="G1220" s="2339">
        <f t="shared" si="2517"/>
        <v>0</v>
      </c>
      <c r="H1220" s="2339">
        <f t="shared" si="2517"/>
        <v>0</v>
      </c>
      <c r="I1220" s="2337">
        <f t="shared" si="2497"/>
        <v>0</v>
      </c>
      <c r="J1220" s="2338"/>
      <c r="K1220" s="2339">
        <f t="shared" si="2518"/>
        <v>0</v>
      </c>
      <c r="L1220" s="2339">
        <f t="shared" si="2518"/>
        <v>0</v>
      </c>
      <c r="M1220" s="2337">
        <f t="shared" si="2498"/>
        <v>0</v>
      </c>
      <c r="N1220" s="2339">
        <f t="shared" si="2519"/>
        <v>0</v>
      </c>
      <c r="O1220" s="2339">
        <f t="shared" si="2519"/>
        <v>0</v>
      </c>
      <c r="P1220" s="2337">
        <f t="shared" si="2499"/>
        <v>0</v>
      </c>
      <c r="Q1220" s="2339">
        <f t="shared" si="2520"/>
        <v>0</v>
      </c>
      <c r="R1220" s="2339">
        <f t="shared" si="2520"/>
        <v>0</v>
      </c>
      <c r="S1220" s="2337">
        <f t="shared" si="2500"/>
        <v>0</v>
      </c>
      <c r="T1220" s="2339">
        <f t="shared" si="2521"/>
        <v>0</v>
      </c>
      <c r="U1220" s="2339">
        <f t="shared" si="2521"/>
        <v>0</v>
      </c>
      <c r="V1220" s="2337">
        <f t="shared" si="2501"/>
        <v>0</v>
      </c>
      <c r="W1220" s="2339">
        <f t="shared" si="2522"/>
        <v>0</v>
      </c>
      <c r="X1220" s="2339">
        <f t="shared" si="2522"/>
        <v>0</v>
      </c>
      <c r="Y1220" s="2337">
        <f t="shared" si="2502"/>
        <v>0</v>
      </c>
      <c r="Z1220" s="2339">
        <f t="shared" si="2523"/>
        <v>0</v>
      </c>
      <c r="AA1220" s="2339">
        <f t="shared" si="2523"/>
        <v>0</v>
      </c>
      <c r="AB1220" s="2337">
        <f t="shared" si="2503"/>
        <v>0</v>
      </c>
      <c r="AC1220" s="2339">
        <f t="shared" si="2524"/>
        <v>0</v>
      </c>
      <c r="AD1220" s="2339">
        <f t="shared" si="2524"/>
        <v>0</v>
      </c>
      <c r="AE1220" s="2337">
        <f t="shared" si="2504"/>
        <v>0</v>
      </c>
      <c r="AF1220" s="2204"/>
      <c r="AG1220" s="2114"/>
      <c r="AH1220" s="2345">
        <f t="shared" si="2525"/>
        <v>0</v>
      </c>
      <c r="AI1220" s="2345">
        <f t="shared" si="2525"/>
        <v>0</v>
      </c>
      <c r="AJ1220" s="2346">
        <f t="shared" si="2505"/>
        <v>0</v>
      </c>
      <c r="AK1220" s="2345">
        <f t="shared" si="2526"/>
        <v>0</v>
      </c>
      <c r="AL1220" s="2345">
        <f t="shared" si="2526"/>
        <v>0</v>
      </c>
      <c r="AM1220" s="2346">
        <f t="shared" si="2506"/>
        <v>0</v>
      </c>
      <c r="AN1220" s="2345">
        <f t="shared" si="2527"/>
        <v>0</v>
      </c>
      <c r="AO1220" s="2345">
        <f t="shared" si="2527"/>
        <v>0</v>
      </c>
      <c r="AP1220" s="2346">
        <f t="shared" si="2507"/>
        <v>0</v>
      </c>
      <c r="AQ1220" s="2345">
        <f t="shared" si="2528"/>
        <v>0</v>
      </c>
      <c r="AR1220" s="2345">
        <f t="shared" si="2528"/>
        <v>0</v>
      </c>
      <c r="AS1220" s="2346">
        <f t="shared" si="2508"/>
        <v>0</v>
      </c>
      <c r="AT1220" s="2345">
        <f t="shared" si="2529"/>
        <v>0</v>
      </c>
      <c r="AU1220" s="2345">
        <f t="shared" si="2529"/>
        <v>0</v>
      </c>
      <c r="AV1220" s="2346">
        <f t="shared" si="2509"/>
        <v>0</v>
      </c>
      <c r="AW1220" s="2345">
        <f t="shared" si="2530"/>
        <v>0</v>
      </c>
      <c r="AX1220" s="2345">
        <f t="shared" si="2530"/>
        <v>0</v>
      </c>
      <c r="AY1220" s="2346">
        <f t="shared" si="2510"/>
        <v>0</v>
      </c>
      <c r="AZ1220" s="2345">
        <f t="shared" si="2531"/>
        <v>0</v>
      </c>
      <c r="BA1220" s="2345">
        <f t="shared" si="2531"/>
        <v>0</v>
      </c>
      <c r="BB1220" s="2346">
        <f t="shared" si="2511"/>
        <v>0</v>
      </c>
      <c r="BC1220" s="2345">
        <f t="shared" si="2532"/>
        <v>0</v>
      </c>
      <c r="BD1220" s="2345">
        <f t="shared" si="2532"/>
        <v>0</v>
      </c>
      <c r="BE1220" s="2346">
        <f t="shared" si="2512"/>
        <v>0</v>
      </c>
      <c r="BF1220" s="2345">
        <f t="shared" si="2533"/>
        <v>0</v>
      </c>
      <c r="BG1220" s="2345">
        <f t="shared" si="2533"/>
        <v>0</v>
      </c>
      <c r="BH1220" s="2346">
        <f t="shared" si="2513"/>
        <v>0</v>
      </c>
      <c r="BI1220" s="2345">
        <f t="shared" si="2534"/>
        <v>0</v>
      </c>
      <c r="BJ1220" s="2345">
        <f t="shared" si="2534"/>
        <v>0</v>
      </c>
      <c r="BK1220" s="2346">
        <f t="shared" si="2514"/>
        <v>0</v>
      </c>
      <c r="BL1220" s="2345">
        <f t="shared" si="2535"/>
        <v>0</v>
      </c>
      <c r="BM1220" s="2345">
        <f t="shared" si="2535"/>
        <v>0</v>
      </c>
      <c r="BN1220" s="2346">
        <f t="shared" si="2515"/>
        <v>0</v>
      </c>
      <c r="BO1220" s="2345">
        <f t="shared" si="2536"/>
        <v>0</v>
      </c>
      <c r="BP1220" s="2345">
        <f t="shared" si="2536"/>
        <v>0</v>
      </c>
      <c r="BQ1220" s="2346">
        <f t="shared" si="2516"/>
        <v>0</v>
      </c>
    </row>
    <row r="1221" spans="3:69" s="2159" customFormat="1" ht="12" hidden="1" customHeight="1">
      <c r="C1221" s="2285" t="s">
        <v>3377</v>
      </c>
      <c r="D1221" s="2418" t="s">
        <v>42</v>
      </c>
      <c r="E1221" s="2250" t="s">
        <v>3220</v>
      </c>
      <c r="F1221" s="2176"/>
      <c r="G1221" s="2339">
        <f>IFERROR((G1243+G1245)/(G1197+G1199),0)</f>
        <v>0</v>
      </c>
      <c r="H1221" s="2339">
        <f>IFERROR((H1243+H1245)/(H1197+H1199),0)</f>
        <v>0</v>
      </c>
      <c r="I1221" s="2337">
        <f t="shared" si="2497"/>
        <v>0</v>
      </c>
      <c r="J1221" s="2338"/>
      <c r="K1221" s="2339">
        <f>IFERROR((K1243+K1245)/(K1197+K1199),0)</f>
        <v>0</v>
      </c>
      <c r="L1221" s="2339">
        <f>IFERROR((L1243+L1245)/(L1197+L1199),0)</f>
        <v>0</v>
      </c>
      <c r="M1221" s="2337">
        <f t="shared" si="2498"/>
        <v>0</v>
      </c>
      <c r="N1221" s="2339">
        <f>IFERROR((N1243+N1245)/(N1197+N1199),0)</f>
        <v>0</v>
      </c>
      <c r="O1221" s="2339">
        <f>IFERROR((O1243+O1245)/(O1197+O1199),0)</f>
        <v>0</v>
      </c>
      <c r="P1221" s="2337">
        <f t="shared" si="2499"/>
        <v>0</v>
      </c>
      <c r="Q1221" s="2344">
        <f>IFERROR((Q1243+Q1245)/(Q1197+Q1199),0)</f>
        <v>0</v>
      </c>
      <c r="R1221" s="2339">
        <f>IFERROR((R1243+R1245)/(R1197+R1199),0)</f>
        <v>0</v>
      </c>
      <c r="S1221" s="2337">
        <f t="shared" si="2500"/>
        <v>0</v>
      </c>
      <c r="T1221" s="2340">
        <f>IFERROR((T1243+T1245)/(T1197+T1199),0)</f>
        <v>0</v>
      </c>
      <c r="U1221" s="2339">
        <f>IFERROR((U1243+U1245)/(U1197+U1199),0)</f>
        <v>0</v>
      </c>
      <c r="V1221" s="2337">
        <f t="shared" si="2501"/>
        <v>0</v>
      </c>
      <c r="W1221" s="2344">
        <f>IFERROR((W1243+W1245)/(W1197+W1199),0)</f>
        <v>0</v>
      </c>
      <c r="X1221" s="2339">
        <f>IFERROR((X1243+X1245)/(X1197+X1199),0)</f>
        <v>0</v>
      </c>
      <c r="Y1221" s="2337">
        <f t="shared" si="2502"/>
        <v>0</v>
      </c>
      <c r="Z1221" s="2340">
        <f>IFERROR((Z1243+Z1245)/(Z1197+Z1199),0)</f>
        <v>0</v>
      </c>
      <c r="AA1221" s="2339">
        <f>IFERROR((AA1243+AA1245)/(AA1197+AA1199),0)</f>
        <v>0</v>
      </c>
      <c r="AB1221" s="2337">
        <f t="shared" si="2503"/>
        <v>0</v>
      </c>
      <c r="AC1221" s="2344">
        <f>IFERROR((AC1243+AC1245)/(AC1197+AC1199),0)</f>
        <v>0</v>
      </c>
      <c r="AD1221" s="2339">
        <f>IFERROR((AD1243+AD1245)/(AD1197+AD1199),0)</f>
        <v>0</v>
      </c>
      <c r="AE1221" s="2337">
        <f t="shared" si="2504"/>
        <v>0</v>
      </c>
      <c r="AF1221" s="2204"/>
      <c r="AG1221" s="2158"/>
      <c r="AH1221" s="2345">
        <f>IFERROR((AH1243+AH1245)/(AH1197+AH1199),0)</f>
        <v>0</v>
      </c>
      <c r="AI1221" s="2345">
        <f>IFERROR((AI1243+AI1245)/(AI1197+AI1199),0)</f>
        <v>0</v>
      </c>
      <c r="AJ1221" s="2346">
        <f t="shared" si="2505"/>
        <v>0</v>
      </c>
      <c r="AK1221" s="2345">
        <f>IFERROR((AK1243+AK1245)/(AK1197+AK1199),0)</f>
        <v>0</v>
      </c>
      <c r="AL1221" s="2345">
        <f>IFERROR((AL1243+AL1245)/(AL1197+AL1199),0)</f>
        <v>0</v>
      </c>
      <c r="AM1221" s="2346">
        <f t="shared" si="2506"/>
        <v>0</v>
      </c>
      <c r="AN1221" s="2345">
        <f>IFERROR((AN1243+AN1245)/(AN1197+AN1199),0)</f>
        <v>0</v>
      </c>
      <c r="AO1221" s="2345">
        <f>IFERROR((AO1243+AO1245)/(AO1197+AO1199),0)</f>
        <v>0</v>
      </c>
      <c r="AP1221" s="2346">
        <f t="shared" si="2507"/>
        <v>0</v>
      </c>
      <c r="AQ1221" s="2345">
        <f>IFERROR((AQ1243+AQ1245)/(AQ1197+AQ1199),0)</f>
        <v>0</v>
      </c>
      <c r="AR1221" s="2345">
        <f>IFERROR((AR1243+AR1245)/(AR1197+AR1199),0)</f>
        <v>0</v>
      </c>
      <c r="AS1221" s="2346">
        <f t="shared" si="2508"/>
        <v>0</v>
      </c>
      <c r="AT1221" s="2345">
        <f>IFERROR((AT1243+AT1245)/(AT1197+AT1199),0)</f>
        <v>0</v>
      </c>
      <c r="AU1221" s="2345">
        <f>IFERROR((AU1243+AU1245)/(AU1197+AU1199),0)</f>
        <v>0</v>
      </c>
      <c r="AV1221" s="2346">
        <f t="shared" si="2509"/>
        <v>0</v>
      </c>
      <c r="AW1221" s="2345">
        <f>IFERROR((AW1243+AW1245)/(AW1197+AW1199),0)</f>
        <v>0</v>
      </c>
      <c r="AX1221" s="2345">
        <f>IFERROR((AX1243+AX1245)/(AX1197+AX1199),0)</f>
        <v>0</v>
      </c>
      <c r="AY1221" s="2346">
        <f t="shared" si="2510"/>
        <v>0</v>
      </c>
      <c r="AZ1221" s="2345">
        <f>IFERROR((AZ1243+AZ1245)/(AZ1197+AZ1199),0)</f>
        <v>0</v>
      </c>
      <c r="BA1221" s="2345">
        <f>IFERROR((BA1243+BA1245)/(BA1197+BA1199),0)</f>
        <v>0</v>
      </c>
      <c r="BB1221" s="2346">
        <f t="shared" si="2511"/>
        <v>0</v>
      </c>
      <c r="BC1221" s="2345">
        <f>IFERROR((BC1243+BC1245)/(BC1197+BC1199),0)</f>
        <v>0</v>
      </c>
      <c r="BD1221" s="2345">
        <f>IFERROR((BD1243+BD1245)/(BD1197+BD1199),0)</f>
        <v>0</v>
      </c>
      <c r="BE1221" s="2346">
        <f t="shared" si="2512"/>
        <v>0</v>
      </c>
      <c r="BF1221" s="2345">
        <f>IFERROR((BF1243+BF1245)/(BF1197+BF1199),0)</f>
        <v>0</v>
      </c>
      <c r="BG1221" s="2345">
        <f>IFERROR((BG1243+BG1245)/(BG1197+BG1199),0)</f>
        <v>0</v>
      </c>
      <c r="BH1221" s="2346">
        <f t="shared" si="2513"/>
        <v>0</v>
      </c>
      <c r="BI1221" s="2345">
        <f>IFERROR((BI1243+BI1245)/(BI1197+BI1199),0)</f>
        <v>0</v>
      </c>
      <c r="BJ1221" s="2345">
        <f>IFERROR((BJ1243+BJ1245)/(BJ1197+BJ1199),0)</f>
        <v>0</v>
      </c>
      <c r="BK1221" s="2346">
        <f t="shared" si="2514"/>
        <v>0</v>
      </c>
      <c r="BL1221" s="2345">
        <f>IFERROR((BL1243+BL1245)/(BL1197+BL1199),0)</f>
        <v>0</v>
      </c>
      <c r="BM1221" s="2345">
        <f>IFERROR((BM1243+BM1245)/(BM1197+BM1199),0)</f>
        <v>0</v>
      </c>
      <c r="BN1221" s="2346">
        <f t="shared" si="2515"/>
        <v>0</v>
      </c>
      <c r="BO1221" s="2345">
        <f>IFERROR((BO1243+BO1245)/(BO1197+BO1199),0)</f>
        <v>0</v>
      </c>
      <c r="BP1221" s="2345">
        <f>IFERROR((BP1243+BP1245)/(BP1197+BP1199),0)</f>
        <v>0</v>
      </c>
      <c r="BQ1221" s="2346">
        <f t="shared" si="2516"/>
        <v>0</v>
      </c>
    </row>
    <row r="1222" spans="3:69" s="2159" customFormat="1" ht="12" hidden="1" customHeight="1">
      <c r="C1222" s="2285" t="s">
        <v>3378</v>
      </c>
      <c r="D1222" s="2421" t="s">
        <v>2434</v>
      </c>
      <c r="E1222" s="2250" t="s">
        <v>3220</v>
      </c>
      <c r="F1222" s="2176"/>
      <c r="G1222" s="2339">
        <f>IFERROR((G1244+G1246)/(G1198+G1200),0)</f>
        <v>0</v>
      </c>
      <c r="H1222" s="2339">
        <f>IFERROR((H1244+H1246)/(H1198+H1200),0)</f>
        <v>0</v>
      </c>
      <c r="I1222" s="2337">
        <f t="shared" si="2497"/>
        <v>0</v>
      </c>
      <c r="J1222" s="2338"/>
      <c r="K1222" s="2339">
        <f>IFERROR((K1244+K1246)/(K1198+K1200),0)</f>
        <v>0</v>
      </c>
      <c r="L1222" s="2339">
        <f>IFERROR((L1244+L1246)/(L1198+L1200),0)</f>
        <v>0</v>
      </c>
      <c r="M1222" s="2337">
        <f t="shared" si="2498"/>
        <v>0</v>
      </c>
      <c r="N1222" s="2339">
        <f>IFERROR((N1244+N1246)/(N1198+N1200),0)</f>
        <v>0</v>
      </c>
      <c r="O1222" s="2339">
        <f>IFERROR((O1244+O1246)/(O1198+O1200),0)</f>
        <v>0</v>
      </c>
      <c r="P1222" s="2337">
        <f t="shared" si="2499"/>
        <v>0</v>
      </c>
      <c r="Q1222" s="2339">
        <f>IFERROR((Q1244+Q1246)/(Q1198+Q1200),0)</f>
        <v>0</v>
      </c>
      <c r="R1222" s="2339">
        <f>IFERROR((R1244+R1246)/(R1198+R1200),0)</f>
        <v>0</v>
      </c>
      <c r="S1222" s="2337">
        <f t="shared" si="2500"/>
        <v>0</v>
      </c>
      <c r="T1222" s="2339">
        <f>IFERROR((T1244+T1246)/(T1198+T1200),0)</f>
        <v>0</v>
      </c>
      <c r="U1222" s="2339">
        <f>IFERROR((U1244+U1246)/(U1198+U1200),0)</f>
        <v>0</v>
      </c>
      <c r="V1222" s="2337">
        <f t="shared" si="2501"/>
        <v>0</v>
      </c>
      <c r="W1222" s="2339">
        <f>IFERROR((W1244+W1246)/(W1198+W1200),0)</f>
        <v>0</v>
      </c>
      <c r="X1222" s="2339">
        <f>IFERROR((X1244+X1246)/(X1198+X1200),0)</f>
        <v>0</v>
      </c>
      <c r="Y1222" s="2337">
        <f t="shared" si="2502"/>
        <v>0</v>
      </c>
      <c r="Z1222" s="2339">
        <f>IFERROR((Z1244+Z1246)/(Z1198+Z1200),0)</f>
        <v>0</v>
      </c>
      <c r="AA1222" s="2339">
        <f>IFERROR((AA1244+AA1246)/(AA1198+AA1200),0)</f>
        <v>0</v>
      </c>
      <c r="AB1222" s="2337">
        <f t="shared" si="2503"/>
        <v>0</v>
      </c>
      <c r="AC1222" s="2339">
        <f>IFERROR((AC1244+AC1246)/(AC1198+AC1200),0)</f>
        <v>0</v>
      </c>
      <c r="AD1222" s="2339">
        <f>IFERROR((AD1244+AD1246)/(AD1198+AD1200),0)</f>
        <v>0</v>
      </c>
      <c r="AE1222" s="2337">
        <f t="shared" si="2504"/>
        <v>0</v>
      </c>
      <c r="AF1222" s="2204"/>
      <c r="AG1222" s="2158"/>
      <c r="AH1222" s="2345">
        <f>IFERROR((AH1244+AH1246)/(AH1198+AH1200),0)</f>
        <v>0</v>
      </c>
      <c r="AI1222" s="2345">
        <f>IFERROR((AI1244+AI1246)/(AI1198+AI1200),0)</f>
        <v>0</v>
      </c>
      <c r="AJ1222" s="2346">
        <f t="shared" si="2505"/>
        <v>0</v>
      </c>
      <c r="AK1222" s="2345">
        <f>IFERROR((AK1244+AK1246)/(AK1198+AK1200),0)</f>
        <v>0</v>
      </c>
      <c r="AL1222" s="2345">
        <f>IFERROR((AL1244+AL1246)/(AL1198+AL1200),0)</f>
        <v>0</v>
      </c>
      <c r="AM1222" s="2346">
        <f t="shared" si="2506"/>
        <v>0</v>
      </c>
      <c r="AN1222" s="2345">
        <f>IFERROR((AN1244+AN1246)/(AN1198+AN1200),0)</f>
        <v>0</v>
      </c>
      <c r="AO1222" s="2345">
        <f>IFERROR((AO1244+AO1246)/(AO1198+AO1200),0)</f>
        <v>0</v>
      </c>
      <c r="AP1222" s="2346">
        <f t="shared" si="2507"/>
        <v>0</v>
      </c>
      <c r="AQ1222" s="2345">
        <f>IFERROR((AQ1244+AQ1246)/(AQ1198+AQ1200),0)</f>
        <v>0</v>
      </c>
      <c r="AR1222" s="2345">
        <f>IFERROR((AR1244+AR1246)/(AR1198+AR1200),0)</f>
        <v>0</v>
      </c>
      <c r="AS1222" s="2346">
        <f t="shared" si="2508"/>
        <v>0</v>
      </c>
      <c r="AT1222" s="2345">
        <f>IFERROR((AT1244+AT1246)/(AT1198+AT1200),0)</f>
        <v>0</v>
      </c>
      <c r="AU1222" s="2345">
        <f>IFERROR((AU1244+AU1246)/(AU1198+AU1200),0)</f>
        <v>0</v>
      </c>
      <c r="AV1222" s="2346">
        <f t="shared" si="2509"/>
        <v>0</v>
      </c>
      <c r="AW1222" s="2345">
        <f>IFERROR((AW1244+AW1246)/(AW1198+AW1200),0)</f>
        <v>0</v>
      </c>
      <c r="AX1222" s="2345">
        <f>IFERROR((AX1244+AX1246)/(AX1198+AX1200),0)</f>
        <v>0</v>
      </c>
      <c r="AY1222" s="2346">
        <f t="shared" si="2510"/>
        <v>0</v>
      </c>
      <c r="AZ1222" s="2345">
        <f>IFERROR((AZ1244+AZ1246)/(AZ1198+AZ1200),0)</f>
        <v>0</v>
      </c>
      <c r="BA1222" s="2345">
        <f>IFERROR((BA1244+BA1246)/(BA1198+BA1200),0)</f>
        <v>0</v>
      </c>
      <c r="BB1222" s="2346">
        <f t="shared" si="2511"/>
        <v>0</v>
      </c>
      <c r="BC1222" s="2345">
        <f>IFERROR((BC1244+BC1246)/(BC1198+BC1200),0)</f>
        <v>0</v>
      </c>
      <c r="BD1222" s="2345">
        <f>IFERROR((BD1244+BD1246)/(BD1198+BD1200),0)</f>
        <v>0</v>
      </c>
      <c r="BE1222" s="2346">
        <f t="shared" si="2512"/>
        <v>0</v>
      </c>
      <c r="BF1222" s="2345">
        <f>IFERROR((BF1244+BF1246)/(BF1198+BF1200),0)</f>
        <v>0</v>
      </c>
      <c r="BG1222" s="2345">
        <f>IFERROR((BG1244+BG1246)/(BG1198+BG1200),0)</f>
        <v>0</v>
      </c>
      <c r="BH1222" s="2346">
        <f t="shared" si="2513"/>
        <v>0</v>
      </c>
      <c r="BI1222" s="2345">
        <f>IFERROR((BI1244+BI1246)/(BI1198+BI1200),0)</f>
        <v>0</v>
      </c>
      <c r="BJ1222" s="2345">
        <f>IFERROR((BJ1244+BJ1246)/(BJ1198+BJ1200),0)</f>
        <v>0</v>
      </c>
      <c r="BK1222" s="2346">
        <f t="shared" si="2514"/>
        <v>0</v>
      </c>
      <c r="BL1222" s="2345">
        <f>IFERROR((BL1244+BL1246)/(BL1198+BL1200),0)</f>
        <v>0</v>
      </c>
      <c r="BM1222" s="2345">
        <f>IFERROR((BM1244+BM1246)/(BM1198+BM1200),0)</f>
        <v>0</v>
      </c>
      <c r="BN1222" s="2346">
        <f t="shared" si="2515"/>
        <v>0</v>
      </c>
      <c r="BO1222" s="2345">
        <f>IFERROR((BO1244+BO1246)/(BO1198+BO1200),0)</f>
        <v>0</v>
      </c>
      <c r="BP1222" s="2345">
        <f>IFERROR((BP1244+BP1246)/(BP1198+BP1200),0)</f>
        <v>0</v>
      </c>
      <c r="BQ1222" s="2346">
        <f t="shared" si="2516"/>
        <v>0</v>
      </c>
    </row>
    <row r="1223" spans="3:69" s="2159" customFormat="1" ht="12" hidden="1" customHeight="1">
      <c r="C1223" s="2474" t="s">
        <v>3379</v>
      </c>
      <c r="D1223" s="2476" t="s">
        <v>3380</v>
      </c>
      <c r="E1223" s="2120" t="s">
        <v>3220</v>
      </c>
      <c r="F1223" s="2162"/>
      <c r="G1223" s="2455">
        <f t="shared" ref="G1223:H1225" si="2537">IFERROR(G1247/G1201,0)</f>
        <v>0</v>
      </c>
      <c r="H1223" s="2455">
        <f t="shared" si="2537"/>
        <v>0</v>
      </c>
      <c r="I1223" s="2479">
        <f t="shared" si="2497"/>
        <v>0</v>
      </c>
      <c r="J1223" s="2454"/>
      <c r="K1223" s="2455">
        <f t="shared" ref="K1223:L1225" si="2538">IFERROR(K1247/K1201,0)</f>
        <v>0</v>
      </c>
      <c r="L1223" s="2455">
        <f t="shared" si="2538"/>
        <v>0</v>
      </c>
      <c r="M1223" s="2479">
        <f t="shared" si="2498"/>
        <v>0</v>
      </c>
      <c r="N1223" s="2455">
        <f t="shared" ref="N1223:O1225" si="2539">IFERROR(N1247/N1201,0)</f>
        <v>0</v>
      </c>
      <c r="O1223" s="2455">
        <f t="shared" si="2539"/>
        <v>0</v>
      </c>
      <c r="P1223" s="2479">
        <f t="shared" si="2499"/>
        <v>0</v>
      </c>
      <c r="Q1223" s="2456">
        <f t="shared" ref="Q1223:R1225" si="2540">IFERROR(Q1247/Q1201,0)</f>
        <v>0</v>
      </c>
      <c r="R1223" s="2455">
        <f t="shared" si="2540"/>
        <v>0</v>
      </c>
      <c r="S1223" s="2479">
        <f t="shared" si="2500"/>
        <v>0</v>
      </c>
      <c r="T1223" s="2457">
        <f t="shared" ref="T1223:U1225" si="2541">IFERROR(T1247/T1201,0)</f>
        <v>0</v>
      </c>
      <c r="U1223" s="2455">
        <f t="shared" si="2541"/>
        <v>0</v>
      </c>
      <c r="V1223" s="2479">
        <f t="shared" si="2501"/>
        <v>0</v>
      </c>
      <c r="W1223" s="2456">
        <f t="shared" ref="W1223:X1225" si="2542">IFERROR(W1247/W1201,0)</f>
        <v>0</v>
      </c>
      <c r="X1223" s="2455">
        <f t="shared" si="2542"/>
        <v>0</v>
      </c>
      <c r="Y1223" s="2479">
        <f t="shared" si="2502"/>
        <v>0</v>
      </c>
      <c r="Z1223" s="2457">
        <f t="shared" ref="Z1223:AA1225" si="2543">IFERROR(Z1247/Z1201,0)</f>
        <v>0</v>
      </c>
      <c r="AA1223" s="2455">
        <f t="shared" si="2543"/>
        <v>0</v>
      </c>
      <c r="AB1223" s="2479">
        <f t="shared" si="2503"/>
        <v>0</v>
      </c>
      <c r="AC1223" s="2456">
        <f t="shared" ref="AC1223:AD1225" si="2544">IFERROR(AC1247/AC1201,0)</f>
        <v>0</v>
      </c>
      <c r="AD1223" s="2455">
        <f t="shared" si="2544"/>
        <v>0</v>
      </c>
      <c r="AE1223" s="2479">
        <f t="shared" si="2504"/>
        <v>0</v>
      </c>
      <c r="AF1223" s="2281"/>
      <c r="AG1223" s="2158"/>
      <c r="AH1223" s="2458">
        <f t="shared" ref="AH1223:AI1225" si="2545">IFERROR(AH1247/AH1201,0)</f>
        <v>0</v>
      </c>
      <c r="AI1223" s="2458">
        <f t="shared" si="2545"/>
        <v>0</v>
      </c>
      <c r="AJ1223" s="2480">
        <f t="shared" si="2505"/>
        <v>0</v>
      </c>
      <c r="AK1223" s="2458">
        <f t="shared" ref="AK1223:AL1225" si="2546">IFERROR(AK1247/AK1201,0)</f>
        <v>0</v>
      </c>
      <c r="AL1223" s="2458">
        <f t="shared" si="2546"/>
        <v>0</v>
      </c>
      <c r="AM1223" s="2480">
        <f t="shared" si="2506"/>
        <v>0</v>
      </c>
      <c r="AN1223" s="2458">
        <f t="shared" ref="AN1223:AO1225" si="2547">IFERROR(AN1247/AN1201,0)</f>
        <v>0</v>
      </c>
      <c r="AO1223" s="2458">
        <f t="shared" si="2547"/>
        <v>0</v>
      </c>
      <c r="AP1223" s="2480">
        <f t="shared" si="2507"/>
        <v>0</v>
      </c>
      <c r="AQ1223" s="2458">
        <f t="shared" ref="AQ1223:AR1225" si="2548">IFERROR(AQ1247/AQ1201,0)</f>
        <v>0</v>
      </c>
      <c r="AR1223" s="2458">
        <f t="shared" si="2548"/>
        <v>0</v>
      </c>
      <c r="AS1223" s="2480">
        <f t="shared" si="2508"/>
        <v>0</v>
      </c>
      <c r="AT1223" s="2458">
        <f t="shared" ref="AT1223:AU1225" si="2549">IFERROR(AT1247/AT1201,0)</f>
        <v>0</v>
      </c>
      <c r="AU1223" s="2458">
        <f t="shared" si="2549"/>
        <v>0</v>
      </c>
      <c r="AV1223" s="2480">
        <f t="shared" si="2509"/>
        <v>0</v>
      </c>
      <c r="AW1223" s="2458">
        <f t="shared" ref="AW1223:AX1225" si="2550">IFERROR(AW1247/AW1201,0)</f>
        <v>0</v>
      </c>
      <c r="AX1223" s="2458">
        <f t="shared" si="2550"/>
        <v>0</v>
      </c>
      <c r="AY1223" s="2480">
        <f t="shared" si="2510"/>
        <v>0</v>
      </c>
      <c r="AZ1223" s="2458">
        <f t="shared" ref="AZ1223:BA1225" si="2551">IFERROR(AZ1247/AZ1201,0)</f>
        <v>0</v>
      </c>
      <c r="BA1223" s="2458">
        <f t="shared" si="2551"/>
        <v>0</v>
      </c>
      <c r="BB1223" s="2480">
        <f t="shared" si="2511"/>
        <v>0</v>
      </c>
      <c r="BC1223" s="2458">
        <f t="shared" ref="BC1223:BD1225" si="2552">IFERROR(BC1247/BC1201,0)</f>
        <v>0</v>
      </c>
      <c r="BD1223" s="2458">
        <f t="shared" si="2552"/>
        <v>0</v>
      </c>
      <c r="BE1223" s="2480">
        <f t="shared" si="2512"/>
        <v>0</v>
      </c>
      <c r="BF1223" s="2458">
        <f t="shared" ref="BF1223:BG1225" si="2553">IFERROR(BF1247/BF1201,0)</f>
        <v>0</v>
      </c>
      <c r="BG1223" s="2458">
        <f t="shared" si="2553"/>
        <v>0</v>
      </c>
      <c r="BH1223" s="2480">
        <f t="shared" si="2513"/>
        <v>0</v>
      </c>
      <c r="BI1223" s="2458">
        <f t="shared" ref="BI1223:BJ1225" si="2554">IFERROR(BI1247/BI1201,0)</f>
        <v>0</v>
      </c>
      <c r="BJ1223" s="2458">
        <f t="shared" si="2554"/>
        <v>0</v>
      </c>
      <c r="BK1223" s="2480">
        <f t="shared" si="2514"/>
        <v>0</v>
      </c>
      <c r="BL1223" s="2458">
        <f t="shared" ref="BL1223:BM1225" si="2555">IFERROR(BL1247/BL1201,0)</f>
        <v>0</v>
      </c>
      <c r="BM1223" s="2458">
        <f t="shared" si="2555"/>
        <v>0</v>
      </c>
      <c r="BN1223" s="2480">
        <f t="shared" si="2515"/>
        <v>0</v>
      </c>
      <c r="BO1223" s="2458">
        <f t="shared" ref="BO1223:BP1225" si="2556">IFERROR(BO1247/BO1201,0)</f>
        <v>0</v>
      </c>
      <c r="BP1223" s="2458">
        <f t="shared" si="2556"/>
        <v>0</v>
      </c>
      <c r="BQ1223" s="2480">
        <f t="shared" si="2516"/>
        <v>0</v>
      </c>
    </row>
    <row r="1224" spans="3:69" s="2087" customFormat="1" ht="12" hidden="1" customHeight="1">
      <c r="C1224" s="2423" t="s">
        <v>3381</v>
      </c>
      <c r="D1224" s="2418" t="s">
        <v>28</v>
      </c>
      <c r="E1224" s="2250" t="s">
        <v>3220</v>
      </c>
      <c r="F1224" s="2176"/>
      <c r="G1224" s="2339">
        <f t="shared" si="2537"/>
        <v>0</v>
      </c>
      <c r="H1224" s="2339">
        <f t="shared" si="2537"/>
        <v>0</v>
      </c>
      <c r="I1224" s="2337">
        <f t="shared" si="2497"/>
        <v>0</v>
      </c>
      <c r="J1224" s="2338"/>
      <c r="K1224" s="2339">
        <f t="shared" si="2538"/>
        <v>0</v>
      </c>
      <c r="L1224" s="2339">
        <f t="shared" si="2538"/>
        <v>0</v>
      </c>
      <c r="M1224" s="2337">
        <f t="shared" si="2498"/>
        <v>0</v>
      </c>
      <c r="N1224" s="2339">
        <f t="shared" si="2539"/>
        <v>0</v>
      </c>
      <c r="O1224" s="2339">
        <f t="shared" si="2539"/>
        <v>0</v>
      </c>
      <c r="P1224" s="2337">
        <f t="shared" si="2499"/>
        <v>0</v>
      </c>
      <c r="Q1224" s="2344">
        <f t="shared" si="2540"/>
        <v>0</v>
      </c>
      <c r="R1224" s="2339">
        <f t="shared" si="2540"/>
        <v>0</v>
      </c>
      <c r="S1224" s="2337">
        <f t="shared" si="2500"/>
        <v>0</v>
      </c>
      <c r="T1224" s="2340">
        <f t="shared" si="2541"/>
        <v>0</v>
      </c>
      <c r="U1224" s="2339">
        <f t="shared" si="2541"/>
        <v>0</v>
      </c>
      <c r="V1224" s="2337">
        <f t="shared" si="2501"/>
        <v>0</v>
      </c>
      <c r="W1224" s="2344">
        <f t="shared" si="2542"/>
        <v>0</v>
      </c>
      <c r="X1224" s="2339">
        <f t="shared" si="2542"/>
        <v>0</v>
      </c>
      <c r="Y1224" s="2337">
        <f t="shared" si="2502"/>
        <v>0</v>
      </c>
      <c r="Z1224" s="2340">
        <f t="shared" si="2543"/>
        <v>0</v>
      </c>
      <c r="AA1224" s="2339">
        <f t="shared" si="2543"/>
        <v>0</v>
      </c>
      <c r="AB1224" s="2337">
        <f t="shared" si="2503"/>
        <v>0</v>
      </c>
      <c r="AC1224" s="2344">
        <f t="shared" si="2544"/>
        <v>0</v>
      </c>
      <c r="AD1224" s="2339">
        <f t="shared" si="2544"/>
        <v>0</v>
      </c>
      <c r="AE1224" s="2337">
        <f t="shared" si="2504"/>
        <v>0</v>
      </c>
      <c r="AF1224" s="2281"/>
      <c r="AG1224" s="2114"/>
      <c r="AH1224" s="2345">
        <f t="shared" si="2545"/>
        <v>0</v>
      </c>
      <c r="AI1224" s="2345">
        <f t="shared" si="2545"/>
        <v>0</v>
      </c>
      <c r="AJ1224" s="2346">
        <f t="shared" si="2505"/>
        <v>0</v>
      </c>
      <c r="AK1224" s="2345">
        <f t="shared" si="2546"/>
        <v>0</v>
      </c>
      <c r="AL1224" s="2345">
        <f t="shared" si="2546"/>
        <v>0</v>
      </c>
      <c r="AM1224" s="2346">
        <f t="shared" si="2506"/>
        <v>0</v>
      </c>
      <c r="AN1224" s="2345">
        <f t="shared" si="2547"/>
        <v>0</v>
      </c>
      <c r="AO1224" s="2345">
        <f t="shared" si="2547"/>
        <v>0</v>
      </c>
      <c r="AP1224" s="2346">
        <f t="shared" si="2507"/>
        <v>0</v>
      </c>
      <c r="AQ1224" s="2345">
        <f t="shared" si="2548"/>
        <v>0</v>
      </c>
      <c r="AR1224" s="2345">
        <f t="shared" si="2548"/>
        <v>0</v>
      </c>
      <c r="AS1224" s="2346">
        <f t="shared" si="2508"/>
        <v>0</v>
      </c>
      <c r="AT1224" s="2345">
        <f t="shared" si="2549"/>
        <v>0</v>
      </c>
      <c r="AU1224" s="2345">
        <f t="shared" si="2549"/>
        <v>0</v>
      </c>
      <c r="AV1224" s="2346">
        <f t="shared" si="2509"/>
        <v>0</v>
      </c>
      <c r="AW1224" s="2345">
        <f t="shared" si="2550"/>
        <v>0</v>
      </c>
      <c r="AX1224" s="2345">
        <f t="shared" si="2550"/>
        <v>0</v>
      </c>
      <c r="AY1224" s="2346">
        <f t="shared" si="2510"/>
        <v>0</v>
      </c>
      <c r="AZ1224" s="2345">
        <f t="shared" si="2551"/>
        <v>0</v>
      </c>
      <c r="BA1224" s="2345">
        <f t="shared" si="2551"/>
        <v>0</v>
      </c>
      <c r="BB1224" s="2346">
        <f t="shared" si="2511"/>
        <v>0</v>
      </c>
      <c r="BC1224" s="2345">
        <f t="shared" si="2552"/>
        <v>0</v>
      </c>
      <c r="BD1224" s="2345">
        <f t="shared" si="2552"/>
        <v>0</v>
      </c>
      <c r="BE1224" s="2346">
        <f t="shared" si="2512"/>
        <v>0</v>
      </c>
      <c r="BF1224" s="2345">
        <f t="shared" si="2553"/>
        <v>0</v>
      </c>
      <c r="BG1224" s="2345">
        <f t="shared" si="2553"/>
        <v>0</v>
      </c>
      <c r="BH1224" s="2346">
        <f t="shared" si="2513"/>
        <v>0</v>
      </c>
      <c r="BI1224" s="2345">
        <f t="shared" si="2554"/>
        <v>0</v>
      </c>
      <c r="BJ1224" s="2345">
        <f t="shared" si="2554"/>
        <v>0</v>
      </c>
      <c r="BK1224" s="2346">
        <f t="shared" si="2514"/>
        <v>0</v>
      </c>
      <c r="BL1224" s="2345">
        <f t="shared" si="2555"/>
        <v>0</v>
      </c>
      <c r="BM1224" s="2345">
        <f t="shared" si="2555"/>
        <v>0</v>
      </c>
      <c r="BN1224" s="2346">
        <f t="shared" si="2515"/>
        <v>0</v>
      </c>
      <c r="BO1224" s="2345">
        <f t="shared" si="2556"/>
        <v>0</v>
      </c>
      <c r="BP1224" s="2345">
        <f t="shared" si="2556"/>
        <v>0</v>
      </c>
      <c r="BQ1224" s="2346">
        <f t="shared" si="2516"/>
        <v>0</v>
      </c>
    </row>
    <row r="1225" spans="3:69" s="2087" customFormat="1" ht="12" hidden="1" customHeight="1">
      <c r="C1225" s="2423" t="s">
        <v>3382</v>
      </c>
      <c r="D1225" s="2421" t="s">
        <v>2434</v>
      </c>
      <c r="E1225" s="2250" t="s">
        <v>3220</v>
      </c>
      <c r="F1225" s="2176"/>
      <c r="G1225" s="2339">
        <f t="shared" si="2537"/>
        <v>0</v>
      </c>
      <c r="H1225" s="2339">
        <f t="shared" si="2537"/>
        <v>0</v>
      </c>
      <c r="I1225" s="2337">
        <f t="shared" si="2497"/>
        <v>0</v>
      </c>
      <c r="J1225" s="2338"/>
      <c r="K1225" s="2339">
        <f t="shared" si="2538"/>
        <v>0</v>
      </c>
      <c r="L1225" s="2339">
        <f t="shared" si="2538"/>
        <v>0</v>
      </c>
      <c r="M1225" s="2337">
        <f t="shared" si="2498"/>
        <v>0</v>
      </c>
      <c r="N1225" s="2339">
        <f t="shared" si="2539"/>
        <v>0</v>
      </c>
      <c r="O1225" s="2339">
        <f t="shared" si="2539"/>
        <v>0</v>
      </c>
      <c r="P1225" s="2337">
        <f t="shared" si="2499"/>
        <v>0</v>
      </c>
      <c r="Q1225" s="2339">
        <f t="shared" si="2540"/>
        <v>0</v>
      </c>
      <c r="R1225" s="2339">
        <f t="shared" si="2540"/>
        <v>0</v>
      </c>
      <c r="S1225" s="2337">
        <f t="shared" si="2500"/>
        <v>0</v>
      </c>
      <c r="T1225" s="2339">
        <f t="shared" si="2541"/>
        <v>0</v>
      </c>
      <c r="U1225" s="2339">
        <f t="shared" si="2541"/>
        <v>0</v>
      </c>
      <c r="V1225" s="2337">
        <f t="shared" si="2501"/>
        <v>0</v>
      </c>
      <c r="W1225" s="2339">
        <f t="shared" si="2542"/>
        <v>0</v>
      </c>
      <c r="X1225" s="2339">
        <f t="shared" si="2542"/>
        <v>0</v>
      </c>
      <c r="Y1225" s="2337">
        <f t="shared" si="2502"/>
        <v>0</v>
      </c>
      <c r="Z1225" s="2339">
        <f t="shared" si="2543"/>
        <v>0</v>
      </c>
      <c r="AA1225" s="2339">
        <f t="shared" si="2543"/>
        <v>0</v>
      </c>
      <c r="AB1225" s="2337">
        <f t="shared" si="2503"/>
        <v>0</v>
      </c>
      <c r="AC1225" s="2339">
        <f t="shared" si="2544"/>
        <v>0</v>
      </c>
      <c r="AD1225" s="2339">
        <f t="shared" si="2544"/>
        <v>0</v>
      </c>
      <c r="AE1225" s="2337">
        <f t="shared" si="2504"/>
        <v>0</v>
      </c>
      <c r="AF1225" s="2281"/>
      <c r="AG1225" s="2114"/>
      <c r="AH1225" s="2345">
        <f t="shared" si="2545"/>
        <v>0</v>
      </c>
      <c r="AI1225" s="2345">
        <f t="shared" si="2545"/>
        <v>0</v>
      </c>
      <c r="AJ1225" s="2346">
        <f t="shared" si="2505"/>
        <v>0</v>
      </c>
      <c r="AK1225" s="2345">
        <f t="shared" si="2546"/>
        <v>0</v>
      </c>
      <c r="AL1225" s="2345">
        <f t="shared" si="2546"/>
        <v>0</v>
      </c>
      <c r="AM1225" s="2346">
        <f t="shared" si="2506"/>
        <v>0</v>
      </c>
      <c r="AN1225" s="2345">
        <f t="shared" si="2547"/>
        <v>0</v>
      </c>
      <c r="AO1225" s="2345">
        <f t="shared" si="2547"/>
        <v>0</v>
      </c>
      <c r="AP1225" s="2346">
        <f t="shared" si="2507"/>
        <v>0</v>
      </c>
      <c r="AQ1225" s="2345">
        <f t="shared" si="2548"/>
        <v>0</v>
      </c>
      <c r="AR1225" s="2345">
        <f t="shared" si="2548"/>
        <v>0</v>
      </c>
      <c r="AS1225" s="2346">
        <f t="shared" si="2508"/>
        <v>0</v>
      </c>
      <c r="AT1225" s="2345">
        <f t="shared" si="2549"/>
        <v>0</v>
      </c>
      <c r="AU1225" s="2345">
        <f t="shared" si="2549"/>
        <v>0</v>
      </c>
      <c r="AV1225" s="2346">
        <f t="shared" si="2509"/>
        <v>0</v>
      </c>
      <c r="AW1225" s="2345">
        <f t="shared" si="2550"/>
        <v>0</v>
      </c>
      <c r="AX1225" s="2345">
        <f t="shared" si="2550"/>
        <v>0</v>
      </c>
      <c r="AY1225" s="2346">
        <f t="shared" si="2510"/>
        <v>0</v>
      </c>
      <c r="AZ1225" s="2345">
        <f t="shared" si="2551"/>
        <v>0</v>
      </c>
      <c r="BA1225" s="2345">
        <f t="shared" si="2551"/>
        <v>0</v>
      </c>
      <c r="BB1225" s="2346">
        <f t="shared" si="2511"/>
        <v>0</v>
      </c>
      <c r="BC1225" s="2345">
        <f t="shared" si="2552"/>
        <v>0</v>
      </c>
      <c r="BD1225" s="2345">
        <f t="shared" si="2552"/>
        <v>0</v>
      </c>
      <c r="BE1225" s="2346">
        <f t="shared" si="2512"/>
        <v>0</v>
      </c>
      <c r="BF1225" s="2345">
        <f t="shared" si="2553"/>
        <v>0</v>
      </c>
      <c r="BG1225" s="2345">
        <f t="shared" si="2553"/>
        <v>0</v>
      </c>
      <c r="BH1225" s="2346">
        <f t="shared" si="2513"/>
        <v>0</v>
      </c>
      <c r="BI1225" s="2345">
        <f t="shared" si="2554"/>
        <v>0</v>
      </c>
      <c r="BJ1225" s="2345">
        <f t="shared" si="2554"/>
        <v>0</v>
      </c>
      <c r="BK1225" s="2346">
        <f t="shared" si="2514"/>
        <v>0</v>
      </c>
      <c r="BL1225" s="2345">
        <f t="shared" si="2555"/>
        <v>0</v>
      </c>
      <c r="BM1225" s="2345">
        <f t="shared" si="2555"/>
        <v>0</v>
      </c>
      <c r="BN1225" s="2346">
        <f t="shared" si="2515"/>
        <v>0</v>
      </c>
      <c r="BO1225" s="2345">
        <f t="shared" si="2556"/>
        <v>0</v>
      </c>
      <c r="BP1225" s="2345">
        <f t="shared" si="2556"/>
        <v>0</v>
      </c>
      <c r="BQ1225" s="2346">
        <f t="shared" si="2516"/>
        <v>0</v>
      </c>
    </row>
    <row r="1226" spans="3:69" s="2087" customFormat="1" ht="12" hidden="1" customHeight="1">
      <c r="C1226" s="2423" t="s">
        <v>3383</v>
      </c>
      <c r="D1226" s="2418" t="s">
        <v>42</v>
      </c>
      <c r="E1226" s="2250" t="s">
        <v>3220</v>
      </c>
      <c r="F1226" s="2176"/>
      <c r="G1226" s="2339">
        <f>IFERROR((G1250+G1252)/(G1204+G1206),0)</f>
        <v>0</v>
      </c>
      <c r="H1226" s="2339">
        <f>IFERROR((H1250+H1252)/(H1204+H1206),0)</f>
        <v>0</v>
      </c>
      <c r="I1226" s="2337">
        <f t="shared" si="2497"/>
        <v>0</v>
      </c>
      <c r="J1226" s="2338"/>
      <c r="K1226" s="2339">
        <f>IFERROR((K1250+K1252)/(K1204+K1206),0)</f>
        <v>0</v>
      </c>
      <c r="L1226" s="2339">
        <f>IFERROR((L1250+L1252)/(L1204+L1206),0)</f>
        <v>0</v>
      </c>
      <c r="M1226" s="2337">
        <f t="shared" si="2498"/>
        <v>0</v>
      </c>
      <c r="N1226" s="2339">
        <f>IFERROR((N1250+N1252)/(N1204+N1206),0)</f>
        <v>0</v>
      </c>
      <c r="O1226" s="2339">
        <f>IFERROR((O1250+O1252)/(O1204+O1206),0)</f>
        <v>0</v>
      </c>
      <c r="P1226" s="2337">
        <f t="shared" si="2499"/>
        <v>0</v>
      </c>
      <c r="Q1226" s="2344">
        <f>IFERROR((Q1250+Q1252)/(Q1204+Q1206),0)</f>
        <v>0</v>
      </c>
      <c r="R1226" s="2339">
        <f>IFERROR((R1250+R1252)/(R1204+R1206),0)</f>
        <v>0</v>
      </c>
      <c r="S1226" s="2337">
        <f t="shared" si="2500"/>
        <v>0</v>
      </c>
      <c r="T1226" s="2340">
        <f>IFERROR((T1250+T1252)/(T1204+T1206),0)</f>
        <v>0</v>
      </c>
      <c r="U1226" s="2339">
        <f>IFERROR((U1250+U1252)/(U1204+U1206),0)</f>
        <v>0</v>
      </c>
      <c r="V1226" s="2337">
        <f t="shared" si="2501"/>
        <v>0</v>
      </c>
      <c r="W1226" s="2344">
        <f>IFERROR((W1250+W1252)/(W1204+W1206),0)</f>
        <v>0</v>
      </c>
      <c r="X1226" s="2339">
        <f>IFERROR((X1250+X1252)/(X1204+X1206),0)</f>
        <v>0</v>
      </c>
      <c r="Y1226" s="2337">
        <f t="shared" si="2502"/>
        <v>0</v>
      </c>
      <c r="Z1226" s="2340">
        <f>IFERROR((Z1250+Z1252)/(Z1204+Z1206),0)</f>
        <v>0</v>
      </c>
      <c r="AA1226" s="2339">
        <f>IFERROR((AA1250+AA1252)/(AA1204+AA1206),0)</f>
        <v>0</v>
      </c>
      <c r="AB1226" s="2337">
        <f t="shared" si="2503"/>
        <v>0</v>
      </c>
      <c r="AC1226" s="2344">
        <f>IFERROR((AC1250+AC1252)/(AC1204+AC1206),0)</f>
        <v>0</v>
      </c>
      <c r="AD1226" s="2339">
        <f>IFERROR((AD1250+AD1252)/(AD1204+AD1206),0)</f>
        <v>0</v>
      </c>
      <c r="AE1226" s="2337">
        <f t="shared" si="2504"/>
        <v>0</v>
      </c>
      <c r="AF1226" s="2281"/>
      <c r="AG1226" s="2114"/>
      <c r="AH1226" s="2345">
        <f>IFERROR((AH1250+AH1252)/(AH1204+AH1206),0)</f>
        <v>0</v>
      </c>
      <c r="AI1226" s="2345">
        <f>IFERROR((AI1250+AI1252)/(AI1204+AI1206),0)</f>
        <v>0</v>
      </c>
      <c r="AJ1226" s="2346">
        <f t="shared" si="2505"/>
        <v>0</v>
      </c>
      <c r="AK1226" s="2345">
        <f>IFERROR((AK1250+AK1252)/(AK1204+AK1206),0)</f>
        <v>0</v>
      </c>
      <c r="AL1226" s="2345">
        <f>IFERROR((AL1250+AL1252)/(AL1204+AL1206),0)</f>
        <v>0</v>
      </c>
      <c r="AM1226" s="2346">
        <f t="shared" si="2506"/>
        <v>0</v>
      </c>
      <c r="AN1226" s="2345">
        <f>IFERROR((AN1250+AN1252)/(AN1204+AN1206),0)</f>
        <v>0</v>
      </c>
      <c r="AO1226" s="2345">
        <f>IFERROR((AO1250+AO1252)/(AO1204+AO1206),0)</f>
        <v>0</v>
      </c>
      <c r="AP1226" s="2346">
        <f t="shared" si="2507"/>
        <v>0</v>
      </c>
      <c r="AQ1226" s="2345">
        <f>IFERROR((AQ1250+AQ1252)/(AQ1204+AQ1206),0)</f>
        <v>0</v>
      </c>
      <c r="AR1226" s="2345">
        <f>IFERROR((AR1250+AR1252)/(AR1204+AR1206),0)</f>
        <v>0</v>
      </c>
      <c r="AS1226" s="2346">
        <f t="shared" si="2508"/>
        <v>0</v>
      </c>
      <c r="AT1226" s="2345">
        <f>IFERROR((AT1250+AT1252)/(AT1204+AT1206),0)</f>
        <v>0</v>
      </c>
      <c r="AU1226" s="2345">
        <f>IFERROR((AU1250+AU1252)/(AU1204+AU1206),0)</f>
        <v>0</v>
      </c>
      <c r="AV1226" s="2346">
        <f t="shared" si="2509"/>
        <v>0</v>
      </c>
      <c r="AW1226" s="2345">
        <f>IFERROR((AW1250+AW1252)/(AW1204+AW1206),0)</f>
        <v>0</v>
      </c>
      <c r="AX1226" s="2345">
        <f>IFERROR((AX1250+AX1252)/(AX1204+AX1206),0)</f>
        <v>0</v>
      </c>
      <c r="AY1226" s="2346">
        <f t="shared" si="2510"/>
        <v>0</v>
      </c>
      <c r="AZ1226" s="2345">
        <f>IFERROR((AZ1250+AZ1252)/(AZ1204+AZ1206),0)</f>
        <v>0</v>
      </c>
      <c r="BA1226" s="2345">
        <f>IFERROR((BA1250+BA1252)/(BA1204+BA1206),0)</f>
        <v>0</v>
      </c>
      <c r="BB1226" s="2346">
        <f t="shared" si="2511"/>
        <v>0</v>
      </c>
      <c r="BC1226" s="2345">
        <f>IFERROR((BC1250+BC1252)/(BC1204+BC1206),0)</f>
        <v>0</v>
      </c>
      <c r="BD1226" s="2345">
        <f>IFERROR((BD1250+BD1252)/(BD1204+BD1206),0)</f>
        <v>0</v>
      </c>
      <c r="BE1226" s="2346">
        <f t="shared" si="2512"/>
        <v>0</v>
      </c>
      <c r="BF1226" s="2345">
        <f>IFERROR((BF1250+BF1252)/(BF1204+BF1206),0)</f>
        <v>0</v>
      </c>
      <c r="BG1226" s="2345">
        <f>IFERROR((BG1250+BG1252)/(BG1204+BG1206),0)</f>
        <v>0</v>
      </c>
      <c r="BH1226" s="2346">
        <f t="shared" si="2513"/>
        <v>0</v>
      </c>
      <c r="BI1226" s="2345">
        <f>IFERROR((BI1250+BI1252)/(BI1204+BI1206),0)</f>
        <v>0</v>
      </c>
      <c r="BJ1226" s="2345">
        <f>IFERROR((BJ1250+BJ1252)/(BJ1204+BJ1206),0)</f>
        <v>0</v>
      </c>
      <c r="BK1226" s="2346">
        <f t="shared" si="2514"/>
        <v>0</v>
      </c>
      <c r="BL1226" s="2345">
        <f>IFERROR((BL1250+BL1252)/(BL1204+BL1206),0)</f>
        <v>0</v>
      </c>
      <c r="BM1226" s="2345">
        <f>IFERROR((BM1250+BM1252)/(BM1204+BM1206),0)</f>
        <v>0</v>
      </c>
      <c r="BN1226" s="2346">
        <f t="shared" si="2515"/>
        <v>0</v>
      </c>
      <c r="BO1226" s="2345">
        <f>IFERROR((BO1250+BO1252)/(BO1204+BO1206),0)</f>
        <v>0</v>
      </c>
      <c r="BP1226" s="2345">
        <f>IFERROR((BP1250+BP1252)/(BP1204+BP1206),0)</f>
        <v>0</v>
      </c>
      <c r="BQ1226" s="2346">
        <f t="shared" si="2516"/>
        <v>0</v>
      </c>
    </row>
    <row r="1227" spans="3:69" s="2087" customFormat="1" ht="12" hidden="1" customHeight="1">
      <c r="C1227" s="2423" t="s">
        <v>3384</v>
      </c>
      <c r="D1227" s="2421" t="s">
        <v>2434</v>
      </c>
      <c r="E1227" s="2250" t="s">
        <v>3220</v>
      </c>
      <c r="F1227" s="2176"/>
      <c r="G1227" s="2339">
        <f>IFERROR((G1251+G1253)/(G1205+G1207),0)</f>
        <v>0</v>
      </c>
      <c r="H1227" s="2339">
        <f>IFERROR((H1251+H1253)/(H1205+H1207),0)</f>
        <v>0</v>
      </c>
      <c r="I1227" s="2337">
        <f t="shared" si="2497"/>
        <v>0</v>
      </c>
      <c r="J1227" s="2338"/>
      <c r="K1227" s="2339">
        <f>IFERROR((K1251+K1253)/(K1205+K1207),0)</f>
        <v>0</v>
      </c>
      <c r="L1227" s="2339">
        <f>IFERROR((L1251+L1253)/(L1205+L1207),0)</f>
        <v>0</v>
      </c>
      <c r="M1227" s="2337">
        <f t="shared" si="2498"/>
        <v>0</v>
      </c>
      <c r="N1227" s="2339">
        <f>IFERROR((N1251+N1253)/(N1205+N1207),0)</f>
        <v>0</v>
      </c>
      <c r="O1227" s="2339">
        <f>IFERROR((O1251+O1253)/(O1205+O1207),0)</f>
        <v>0</v>
      </c>
      <c r="P1227" s="2337">
        <f t="shared" si="2499"/>
        <v>0</v>
      </c>
      <c r="Q1227" s="2339">
        <f>IFERROR((Q1251+Q1253)/(Q1205+Q1207),0)</f>
        <v>0</v>
      </c>
      <c r="R1227" s="2339">
        <f>IFERROR((R1251+R1253)/(R1205+R1207),0)</f>
        <v>0</v>
      </c>
      <c r="S1227" s="2337">
        <f t="shared" si="2500"/>
        <v>0</v>
      </c>
      <c r="T1227" s="2339">
        <f>IFERROR((T1251+T1253)/(T1205+T1207),0)</f>
        <v>0</v>
      </c>
      <c r="U1227" s="2339">
        <f>IFERROR((U1251+U1253)/(U1205+U1207),0)</f>
        <v>0</v>
      </c>
      <c r="V1227" s="2337">
        <f t="shared" si="2501"/>
        <v>0</v>
      </c>
      <c r="W1227" s="2339">
        <f>IFERROR((W1251+W1253)/(W1205+W1207),0)</f>
        <v>0</v>
      </c>
      <c r="X1227" s="2339">
        <f>IFERROR((X1251+X1253)/(X1205+X1207),0)</f>
        <v>0</v>
      </c>
      <c r="Y1227" s="2337">
        <f t="shared" si="2502"/>
        <v>0</v>
      </c>
      <c r="Z1227" s="2339">
        <f>IFERROR((Z1251+Z1253)/(Z1205+Z1207),0)</f>
        <v>0</v>
      </c>
      <c r="AA1227" s="2339">
        <f>IFERROR((AA1251+AA1253)/(AA1205+AA1207),0)</f>
        <v>0</v>
      </c>
      <c r="AB1227" s="2337">
        <f t="shared" si="2503"/>
        <v>0</v>
      </c>
      <c r="AC1227" s="2339">
        <f>IFERROR((AC1251+AC1253)/(AC1205+AC1207),0)</f>
        <v>0</v>
      </c>
      <c r="AD1227" s="2339">
        <f>IFERROR((AD1251+AD1253)/(AD1205+AD1207),0)</f>
        <v>0</v>
      </c>
      <c r="AE1227" s="2337">
        <f t="shared" si="2504"/>
        <v>0</v>
      </c>
      <c r="AF1227" s="2281"/>
      <c r="AG1227" s="2114"/>
      <c r="AH1227" s="2345">
        <f>IFERROR((AH1251+AH1253)/(AH1205+AH1207),0)</f>
        <v>0</v>
      </c>
      <c r="AI1227" s="2345">
        <f>IFERROR((AI1251+AI1253)/(AI1205+AI1207),0)</f>
        <v>0</v>
      </c>
      <c r="AJ1227" s="2346">
        <f t="shared" si="2505"/>
        <v>0</v>
      </c>
      <c r="AK1227" s="2345">
        <f>IFERROR((AK1251+AK1253)/(AK1205+AK1207),0)</f>
        <v>0</v>
      </c>
      <c r="AL1227" s="2345">
        <f>IFERROR((AL1251+AL1253)/(AL1205+AL1207),0)</f>
        <v>0</v>
      </c>
      <c r="AM1227" s="2346">
        <f t="shared" si="2506"/>
        <v>0</v>
      </c>
      <c r="AN1227" s="2345">
        <f>IFERROR((AN1251+AN1253)/(AN1205+AN1207),0)</f>
        <v>0</v>
      </c>
      <c r="AO1227" s="2345">
        <f>IFERROR((AO1251+AO1253)/(AO1205+AO1207),0)</f>
        <v>0</v>
      </c>
      <c r="AP1227" s="2346">
        <f t="shared" si="2507"/>
        <v>0</v>
      </c>
      <c r="AQ1227" s="2345">
        <f>IFERROR((AQ1251+AQ1253)/(AQ1205+AQ1207),0)</f>
        <v>0</v>
      </c>
      <c r="AR1227" s="2345">
        <f>IFERROR((AR1251+AR1253)/(AR1205+AR1207),0)</f>
        <v>0</v>
      </c>
      <c r="AS1227" s="2346">
        <f t="shared" si="2508"/>
        <v>0</v>
      </c>
      <c r="AT1227" s="2345">
        <f>IFERROR((AT1251+AT1253)/(AT1205+AT1207),0)</f>
        <v>0</v>
      </c>
      <c r="AU1227" s="2345">
        <f>IFERROR((AU1251+AU1253)/(AU1205+AU1207),0)</f>
        <v>0</v>
      </c>
      <c r="AV1227" s="2346">
        <f t="shared" si="2509"/>
        <v>0</v>
      </c>
      <c r="AW1227" s="2345">
        <f>IFERROR((AW1251+AW1253)/(AW1205+AW1207),0)</f>
        <v>0</v>
      </c>
      <c r="AX1227" s="2345">
        <f>IFERROR((AX1251+AX1253)/(AX1205+AX1207),0)</f>
        <v>0</v>
      </c>
      <c r="AY1227" s="2346">
        <f t="shared" si="2510"/>
        <v>0</v>
      </c>
      <c r="AZ1227" s="2345">
        <f>IFERROR((AZ1251+AZ1253)/(AZ1205+AZ1207),0)</f>
        <v>0</v>
      </c>
      <c r="BA1227" s="2345">
        <f>IFERROR((BA1251+BA1253)/(BA1205+BA1207),0)</f>
        <v>0</v>
      </c>
      <c r="BB1227" s="2346">
        <f t="shared" si="2511"/>
        <v>0</v>
      </c>
      <c r="BC1227" s="2345">
        <f>IFERROR((BC1251+BC1253)/(BC1205+BC1207),0)</f>
        <v>0</v>
      </c>
      <c r="BD1227" s="2345">
        <f>IFERROR((BD1251+BD1253)/(BD1205+BD1207),0)</f>
        <v>0</v>
      </c>
      <c r="BE1227" s="2346">
        <f t="shared" si="2512"/>
        <v>0</v>
      </c>
      <c r="BF1227" s="2345">
        <f>IFERROR((BF1251+BF1253)/(BF1205+BF1207),0)</f>
        <v>0</v>
      </c>
      <c r="BG1227" s="2345">
        <f>IFERROR((BG1251+BG1253)/(BG1205+BG1207),0)</f>
        <v>0</v>
      </c>
      <c r="BH1227" s="2346">
        <f t="shared" si="2513"/>
        <v>0</v>
      </c>
      <c r="BI1227" s="2345">
        <f>IFERROR((BI1251+BI1253)/(BI1205+BI1207),0)</f>
        <v>0</v>
      </c>
      <c r="BJ1227" s="2345">
        <f>IFERROR((BJ1251+BJ1253)/(BJ1205+BJ1207),0)</f>
        <v>0</v>
      </c>
      <c r="BK1227" s="2346">
        <f t="shared" si="2514"/>
        <v>0</v>
      </c>
      <c r="BL1227" s="2345">
        <f>IFERROR((BL1251+BL1253)/(BL1205+BL1207),0)</f>
        <v>0</v>
      </c>
      <c r="BM1227" s="2345">
        <f>IFERROR((BM1251+BM1253)/(BM1205+BM1207),0)</f>
        <v>0</v>
      </c>
      <c r="BN1227" s="2346">
        <f t="shared" si="2515"/>
        <v>0</v>
      </c>
      <c r="BO1227" s="2345">
        <f>IFERROR((BO1251+BO1253)/(BO1205+BO1207),0)</f>
        <v>0</v>
      </c>
      <c r="BP1227" s="2345">
        <f>IFERROR((BP1251+BP1253)/(BP1205+BP1207),0)</f>
        <v>0</v>
      </c>
      <c r="BQ1227" s="2346">
        <f t="shared" si="2516"/>
        <v>0</v>
      </c>
    </row>
    <row r="1228" spans="3:69" s="2159" customFormat="1" ht="12" hidden="1" customHeight="1">
      <c r="C1228" s="2474" t="s">
        <v>3385</v>
      </c>
      <c r="D1228" s="2487" t="s">
        <v>3361</v>
      </c>
      <c r="E1228" s="2120" t="s">
        <v>3220</v>
      </c>
      <c r="F1228" s="2162"/>
      <c r="G1228" s="2455">
        <f t="shared" ref="G1228:H1231" si="2557">IFERROR(G1254/G1208,0)</f>
        <v>0</v>
      </c>
      <c r="H1228" s="2455">
        <f t="shared" si="2557"/>
        <v>0</v>
      </c>
      <c r="I1228" s="2479">
        <f t="shared" si="2497"/>
        <v>0</v>
      </c>
      <c r="J1228" s="2454"/>
      <c r="K1228" s="2455">
        <f t="shared" ref="K1228:L1231" si="2558">IFERROR(K1254/K1208,0)</f>
        <v>0</v>
      </c>
      <c r="L1228" s="2455">
        <f t="shared" si="2558"/>
        <v>0</v>
      </c>
      <c r="M1228" s="2479">
        <f t="shared" si="2498"/>
        <v>0</v>
      </c>
      <c r="N1228" s="2455">
        <f t="shared" ref="N1228:O1231" si="2559">IFERROR(N1254/N1208,0)</f>
        <v>0</v>
      </c>
      <c r="O1228" s="2455">
        <f t="shared" si="2559"/>
        <v>0</v>
      </c>
      <c r="P1228" s="2479">
        <f t="shared" si="2499"/>
        <v>0</v>
      </c>
      <c r="Q1228" s="2456">
        <f t="shared" ref="Q1228:R1231" si="2560">IFERROR(Q1254/Q1208,0)</f>
        <v>0</v>
      </c>
      <c r="R1228" s="2455">
        <f t="shared" si="2560"/>
        <v>0</v>
      </c>
      <c r="S1228" s="2479">
        <f t="shared" si="2500"/>
        <v>0</v>
      </c>
      <c r="T1228" s="2457">
        <f t="shared" ref="T1228:U1231" si="2561">IFERROR(T1254/T1208,0)</f>
        <v>0</v>
      </c>
      <c r="U1228" s="2455">
        <f t="shared" si="2561"/>
        <v>0</v>
      </c>
      <c r="V1228" s="2479">
        <f t="shared" si="2501"/>
        <v>0</v>
      </c>
      <c r="W1228" s="2456">
        <f t="shared" ref="W1228:X1231" si="2562">IFERROR(W1254/W1208,0)</f>
        <v>0</v>
      </c>
      <c r="X1228" s="2455">
        <f t="shared" si="2562"/>
        <v>0</v>
      </c>
      <c r="Y1228" s="2479">
        <f t="shared" si="2502"/>
        <v>0</v>
      </c>
      <c r="Z1228" s="2457">
        <f t="shared" ref="Z1228:AA1231" si="2563">IFERROR(Z1254/Z1208,0)</f>
        <v>0</v>
      </c>
      <c r="AA1228" s="2455">
        <f t="shared" si="2563"/>
        <v>0</v>
      </c>
      <c r="AB1228" s="2479">
        <f t="shared" si="2503"/>
        <v>0</v>
      </c>
      <c r="AC1228" s="2456">
        <f t="shared" ref="AC1228:AD1231" si="2564">IFERROR(AC1254/AC1208,0)</f>
        <v>0</v>
      </c>
      <c r="AD1228" s="2455">
        <f t="shared" si="2564"/>
        <v>0</v>
      </c>
      <c r="AE1228" s="2479">
        <f t="shared" si="2504"/>
        <v>0</v>
      </c>
      <c r="AF1228" s="2281"/>
      <c r="AG1228" s="2158"/>
      <c r="AH1228" s="2458">
        <f t="shared" ref="AH1228:AI1231" si="2565">IFERROR(AH1254/AH1208,0)</f>
        <v>0</v>
      </c>
      <c r="AI1228" s="2458">
        <f t="shared" si="2565"/>
        <v>0</v>
      </c>
      <c r="AJ1228" s="2480">
        <f t="shared" si="2505"/>
        <v>0</v>
      </c>
      <c r="AK1228" s="2458">
        <f t="shared" ref="AK1228:AL1231" si="2566">IFERROR(AK1254/AK1208,0)</f>
        <v>0</v>
      </c>
      <c r="AL1228" s="2458">
        <f t="shared" si="2566"/>
        <v>0</v>
      </c>
      <c r="AM1228" s="2480">
        <f t="shared" si="2506"/>
        <v>0</v>
      </c>
      <c r="AN1228" s="2458">
        <f t="shared" ref="AN1228:AO1231" si="2567">IFERROR(AN1254/AN1208,0)</f>
        <v>0</v>
      </c>
      <c r="AO1228" s="2458">
        <f t="shared" si="2567"/>
        <v>0</v>
      </c>
      <c r="AP1228" s="2480">
        <f t="shared" si="2507"/>
        <v>0</v>
      </c>
      <c r="AQ1228" s="2458">
        <f t="shared" ref="AQ1228:AR1231" si="2568">IFERROR(AQ1254/AQ1208,0)</f>
        <v>0</v>
      </c>
      <c r="AR1228" s="2458">
        <f t="shared" si="2568"/>
        <v>0</v>
      </c>
      <c r="AS1228" s="2480">
        <f t="shared" si="2508"/>
        <v>0</v>
      </c>
      <c r="AT1228" s="2458">
        <f t="shared" ref="AT1228:AU1231" si="2569">IFERROR(AT1254/AT1208,0)</f>
        <v>0</v>
      </c>
      <c r="AU1228" s="2458">
        <f t="shared" si="2569"/>
        <v>0</v>
      </c>
      <c r="AV1228" s="2480">
        <f t="shared" si="2509"/>
        <v>0</v>
      </c>
      <c r="AW1228" s="2458">
        <f t="shared" ref="AW1228:AX1231" si="2570">IFERROR(AW1254/AW1208,0)</f>
        <v>0</v>
      </c>
      <c r="AX1228" s="2458">
        <f t="shared" si="2570"/>
        <v>0</v>
      </c>
      <c r="AY1228" s="2480">
        <f t="shared" si="2510"/>
        <v>0</v>
      </c>
      <c r="AZ1228" s="2458">
        <f t="shared" ref="AZ1228:BA1231" si="2571">IFERROR(AZ1254/AZ1208,0)</f>
        <v>0</v>
      </c>
      <c r="BA1228" s="2458">
        <f t="shared" si="2571"/>
        <v>0</v>
      </c>
      <c r="BB1228" s="2480">
        <f t="shared" si="2511"/>
        <v>0</v>
      </c>
      <c r="BC1228" s="2458">
        <f t="shared" ref="BC1228:BD1231" si="2572">IFERROR(BC1254/BC1208,0)</f>
        <v>0</v>
      </c>
      <c r="BD1228" s="2458">
        <f t="shared" si="2572"/>
        <v>0</v>
      </c>
      <c r="BE1228" s="2480">
        <f t="shared" si="2512"/>
        <v>0</v>
      </c>
      <c r="BF1228" s="2458">
        <f t="shared" ref="BF1228:BG1231" si="2573">IFERROR(BF1254/BF1208,0)</f>
        <v>0</v>
      </c>
      <c r="BG1228" s="2458">
        <f t="shared" si="2573"/>
        <v>0</v>
      </c>
      <c r="BH1228" s="2480">
        <f t="shared" si="2513"/>
        <v>0</v>
      </c>
      <c r="BI1228" s="2458">
        <f t="shared" ref="BI1228:BJ1231" si="2574">IFERROR(BI1254/BI1208,0)</f>
        <v>0</v>
      </c>
      <c r="BJ1228" s="2458">
        <f t="shared" si="2574"/>
        <v>0</v>
      </c>
      <c r="BK1228" s="2480">
        <f t="shared" si="2514"/>
        <v>0</v>
      </c>
      <c r="BL1228" s="2458">
        <f t="shared" ref="BL1228:BM1231" si="2575">IFERROR(BL1254/BL1208,0)</f>
        <v>0</v>
      </c>
      <c r="BM1228" s="2458">
        <f t="shared" si="2575"/>
        <v>0</v>
      </c>
      <c r="BN1228" s="2480">
        <f t="shared" si="2515"/>
        <v>0</v>
      </c>
      <c r="BO1228" s="2458">
        <f t="shared" ref="BO1228:BP1231" si="2576">IFERROR(BO1254/BO1208,0)</f>
        <v>0</v>
      </c>
      <c r="BP1228" s="2458">
        <f t="shared" si="2576"/>
        <v>0</v>
      </c>
      <c r="BQ1228" s="2480">
        <f t="shared" si="2516"/>
        <v>0</v>
      </c>
    </row>
    <row r="1229" spans="3:69" s="2159" customFormat="1" ht="12" hidden="1" customHeight="1">
      <c r="C1229" s="2423" t="s">
        <v>3386</v>
      </c>
      <c r="D1229" s="2286" t="s">
        <v>2434</v>
      </c>
      <c r="E1229" s="2250" t="s">
        <v>3220</v>
      </c>
      <c r="F1229" s="2176"/>
      <c r="G1229" s="2339">
        <f t="shared" si="2557"/>
        <v>0</v>
      </c>
      <c r="H1229" s="2339">
        <f t="shared" si="2557"/>
        <v>0</v>
      </c>
      <c r="I1229" s="2337">
        <f t="shared" si="2497"/>
        <v>0</v>
      </c>
      <c r="J1229" s="2338"/>
      <c r="K1229" s="2339">
        <f t="shared" si="2558"/>
        <v>0</v>
      </c>
      <c r="L1229" s="2339">
        <f t="shared" si="2558"/>
        <v>0</v>
      </c>
      <c r="M1229" s="2337">
        <f t="shared" si="2498"/>
        <v>0</v>
      </c>
      <c r="N1229" s="2339">
        <f t="shared" si="2559"/>
        <v>0</v>
      </c>
      <c r="O1229" s="2339">
        <f t="shared" si="2559"/>
        <v>0</v>
      </c>
      <c r="P1229" s="2337">
        <f t="shared" si="2499"/>
        <v>0</v>
      </c>
      <c r="Q1229" s="2339">
        <f t="shared" si="2560"/>
        <v>0</v>
      </c>
      <c r="R1229" s="2339">
        <f t="shared" si="2560"/>
        <v>0</v>
      </c>
      <c r="S1229" s="2337">
        <f t="shared" si="2500"/>
        <v>0</v>
      </c>
      <c r="T1229" s="2339">
        <f t="shared" si="2561"/>
        <v>0</v>
      </c>
      <c r="U1229" s="2339">
        <f t="shared" si="2561"/>
        <v>0</v>
      </c>
      <c r="V1229" s="2337">
        <f t="shared" si="2501"/>
        <v>0</v>
      </c>
      <c r="W1229" s="2339">
        <f t="shared" si="2562"/>
        <v>0</v>
      </c>
      <c r="X1229" s="2339">
        <f t="shared" si="2562"/>
        <v>0</v>
      </c>
      <c r="Y1229" s="2337">
        <f t="shared" si="2502"/>
        <v>0</v>
      </c>
      <c r="Z1229" s="2339">
        <f t="shared" si="2563"/>
        <v>0</v>
      </c>
      <c r="AA1229" s="2339">
        <f t="shared" si="2563"/>
        <v>0</v>
      </c>
      <c r="AB1229" s="2337">
        <f t="shared" si="2503"/>
        <v>0</v>
      </c>
      <c r="AC1229" s="2339">
        <f t="shared" si="2564"/>
        <v>0</v>
      </c>
      <c r="AD1229" s="2339">
        <f t="shared" si="2564"/>
        <v>0</v>
      </c>
      <c r="AE1229" s="2337">
        <f t="shared" si="2504"/>
        <v>0</v>
      </c>
      <c r="AF1229" s="2281"/>
      <c r="AG1229" s="2158"/>
      <c r="AH1229" s="2345">
        <f t="shared" si="2565"/>
        <v>0</v>
      </c>
      <c r="AI1229" s="2345">
        <f t="shared" si="2565"/>
        <v>0</v>
      </c>
      <c r="AJ1229" s="2346">
        <f t="shared" si="2505"/>
        <v>0</v>
      </c>
      <c r="AK1229" s="2345">
        <f t="shared" si="2566"/>
        <v>0</v>
      </c>
      <c r="AL1229" s="2345">
        <f t="shared" si="2566"/>
        <v>0</v>
      </c>
      <c r="AM1229" s="2346">
        <f t="shared" si="2506"/>
        <v>0</v>
      </c>
      <c r="AN1229" s="2345">
        <f t="shared" si="2567"/>
        <v>0</v>
      </c>
      <c r="AO1229" s="2345">
        <f t="shared" si="2567"/>
        <v>0</v>
      </c>
      <c r="AP1229" s="2346">
        <f t="shared" si="2507"/>
        <v>0</v>
      </c>
      <c r="AQ1229" s="2345">
        <f t="shared" si="2568"/>
        <v>0</v>
      </c>
      <c r="AR1229" s="2345">
        <f t="shared" si="2568"/>
        <v>0</v>
      </c>
      <c r="AS1229" s="2346">
        <f t="shared" si="2508"/>
        <v>0</v>
      </c>
      <c r="AT1229" s="2345">
        <f t="shared" si="2569"/>
        <v>0</v>
      </c>
      <c r="AU1229" s="2345">
        <f t="shared" si="2569"/>
        <v>0</v>
      </c>
      <c r="AV1229" s="2346">
        <f t="shared" si="2509"/>
        <v>0</v>
      </c>
      <c r="AW1229" s="2345">
        <f t="shared" si="2570"/>
        <v>0</v>
      </c>
      <c r="AX1229" s="2345">
        <f t="shared" si="2570"/>
        <v>0</v>
      </c>
      <c r="AY1229" s="2346">
        <f t="shared" si="2510"/>
        <v>0</v>
      </c>
      <c r="AZ1229" s="2345">
        <f t="shared" si="2571"/>
        <v>0</v>
      </c>
      <c r="BA1229" s="2345">
        <f t="shared" si="2571"/>
        <v>0</v>
      </c>
      <c r="BB1229" s="2346">
        <f t="shared" si="2511"/>
        <v>0</v>
      </c>
      <c r="BC1229" s="2345">
        <f t="shared" si="2572"/>
        <v>0</v>
      </c>
      <c r="BD1229" s="2345">
        <f t="shared" si="2572"/>
        <v>0</v>
      </c>
      <c r="BE1229" s="2346">
        <f t="shared" si="2512"/>
        <v>0</v>
      </c>
      <c r="BF1229" s="2345">
        <f t="shared" si="2573"/>
        <v>0</v>
      </c>
      <c r="BG1229" s="2345">
        <f t="shared" si="2573"/>
        <v>0</v>
      </c>
      <c r="BH1229" s="2346">
        <f t="shared" si="2513"/>
        <v>0</v>
      </c>
      <c r="BI1229" s="2345">
        <f t="shared" si="2574"/>
        <v>0</v>
      </c>
      <c r="BJ1229" s="2345">
        <f t="shared" si="2574"/>
        <v>0</v>
      </c>
      <c r="BK1229" s="2346">
        <f t="shared" si="2514"/>
        <v>0</v>
      </c>
      <c r="BL1229" s="2345">
        <f t="shared" si="2575"/>
        <v>0</v>
      </c>
      <c r="BM1229" s="2345">
        <f t="shared" si="2575"/>
        <v>0</v>
      </c>
      <c r="BN1229" s="2346">
        <f t="shared" si="2515"/>
        <v>0</v>
      </c>
      <c r="BO1229" s="2345">
        <f t="shared" si="2576"/>
        <v>0</v>
      </c>
      <c r="BP1229" s="2345">
        <f t="shared" si="2576"/>
        <v>0</v>
      </c>
      <c r="BQ1229" s="2346">
        <f t="shared" si="2516"/>
        <v>0</v>
      </c>
    </row>
    <row r="1230" spans="3:69" s="2159" customFormat="1" ht="12" hidden="1" customHeight="1">
      <c r="C1230" s="2474" t="s">
        <v>3387</v>
      </c>
      <c r="D1230" s="2487" t="s">
        <v>3364</v>
      </c>
      <c r="E1230" s="2120" t="s">
        <v>3220</v>
      </c>
      <c r="F1230" s="2162"/>
      <c r="G1230" s="2455">
        <f t="shared" si="2557"/>
        <v>0</v>
      </c>
      <c r="H1230" s="2455">
        <f t="shared" si="2557"/>
        <v>0</v>
      </c>
      <c r="I1230" s="2479">
        <f t="shared" si="2497"/>
        <v>0</v>
      </c>
      <c r="J1230" s="2454"/>
      <c r="K1230" s="2455">
        <f t="shared" si="2558"/>
        <v>0</v>
      </c>
      <c r="L1230" s="2455">
        <f t="shared" si="2558"/>
        <v>0</v>
      </c>
      <c r="M1230" s="2479">
        <f t="shared" si="2498"/>
        <v>0</v>
      </c>
      <c r="N1230" s="2455">
        <f t="shared" si="2559"/>
        <v>0</v>
      </c>
      <c r="O1230" s="2455">
        <f t="shared" si="2559"/>
        <v>0</v>
      </c>
      <c r="P1230" s="2479">
        <f t="shared" si="2499"/>
        <v>0</v>
      </c>
      <c r="Q1230" s="2456">
        <f t="shared" si="2560"/>
        <v>0</v>
      </c>
      <c r="R1230" s="2455">
        <f t="shared" si="2560"/>
        <v>0</v>
      </c>
      <c r="S1230" s="2479">
        <f t="shared" si="2500"/>
        <v>0</v>
      </c>
      <c r="T1230" s="2457">
        <f t="shared" si="2561"/>
        <v>0</v>
      </c>
      <c r="U1230" s="2455">
        <f t="shared" si="2561"/>
        <v>0</v>
      </c>
      <c r="V1230" s="2479">
        <f t="shared" si="2501"/>
        <v>0</v>
      </c>
      <c r="W1230" s="2456">
        <f t="shared" si="2562"/>
        <v>0</v>
      </c>
      <c r="X1230" s="2455">
        <f t="shared" si="2562"/>
        <v>0</v>
      </c>
      <c r="Y1230" s="2479">
        <f t="shared" si="2502"/>
        <v>0</v>
      </c>
      <c r="Z1230" s="2457">
        <f t="shared" si="2563"/>
        <v>0</v>
      </c>
      <c r="AA1230" s="2455">
        <f t="shared" si="2563"/>
        <v>0</v>
      </c>
      <c r="AB1230" s="2479">
        <f t="shared" si="2503"/>
        <v>0</v>
      </c>
      <c r="AC1230" s="2456">
        <f t="shared" si="2564"/>
        <v>0</v>
      </c>
      <c r="AD1230" s="2455">
        <f t="shared" si="2564"/>
        <v>0</v>
      </c>
      <c r="AE1230" s="2479">
        <f t="shared" si="2504"/>
        <v>0</v>
      </c>
      <c r="AF1230" s="2281"/>
      <c r="AG1230" s="2158"/>
      <c r="AH1230" s="2458">
        <f t="shared" si="2565"/>
        <v>0</v>
      </c>
      <c r="AI1230" s="2458">
        <f t="shared" si="2565"/>
        <v>0</v>
      </c>
      <c r="AJ1230" s="2480">
        <f t="shared" si="2505"/>
        <v>0</v>
      </c>
      <c r="AK1230" s="2458">
        <f t="shared" si="2566"/>
        <v>0</v>
      </c>
      <c r="AL1230" s="2458">
        <f t="shared" si="2566"/>
        <v>0</v>
      </c>
      <c r="AM1230" s="2480">
        <f t="shared" si="2506"/>
        <v>0</v>
      </c>
      <c r="AN1230" s="2458">
        <f t="shared" si="2567"/>
        <v>0</v>
      </c>
      <c r="AO1230" s="2458">
        <f t="shared" si="2567"/>
        <v>0</v>
      </c>
      <c r="AP1230" s="2480">
        <f t="shared" si="2507"/>
        <v>0</v>
      </c>
      <c r="AQ1230" s="2458">
        <f t="shared" si="2568"/>
        <v>0</v>
      </c>
      <c r="AR1230" s="2458">
        <f t="shared" si="2568"/>
        <v>0</v>
      </c>
      <c r="AS1230" s="2480">
        <f t="shared" si="2508"/>
        <v>0</v>
      </c>
      <c r="AT1230" s="2458">
        <f t="shared" si="2569"/>
        <v>0</v>
      </c>
      <c r="AU1230" s="2458">
        <f t="shared" si="2569"/>
        <v>0</v>
      </c>
      <c r="AV1230" s="2480">
        <f t="shared" si="2509"/>
        <v>0</v>
      </c>
      <c r="AW1230" s="2458">
        <f t="shared" si="2570"/>
        <v>0</v>
      </c>
      <c r="AX1230" s="2458">
        <f t="shared" si="2570"/>
        <v>0</v>
      </c>
      <c r="AY1230" s="2480">
        <f t="shared" si="2510"/>
        <v>0</v>
      </c>
      <c r="AZ1230" s="2458">
        <f t="shared" si="2571"/>
        <v>0</v>
      </c>
      <c r="BA1230" s="2458">
        <f t="shared" si="2571"/>
        <v>0</v>
      </c>
      <c r="BB1230" s="2480">
        <f t="shared" si="2511"/>
        <v>0</v>
      </c>
      <c r="BC1230" s="2458">
        <f t="shared" si="2572"/>
        <v>0</v>
      </c>
      <c r="BD1230" s="2458">
        <f t="shared" si="2572"/>
        <v>0</v>
      </c>
      <c r="BE1230" s="2480">
        <f t="shared" si="2512"/>
        <v>0</v>
      </c>
      <c r="BF1230" s="2458">
        <f t="shared" si="2573"/>
        <v>0</v>
      </c>
      <c r="BG1230" s="2458">
        <f t="shared" si="2573"/>
        <v>0</v>
      </c>
      <c r="BH1230" s="2480">
        <f t="shared" si="2513"/>
        <v>0</v>
      </c>
      <c r="BI1230" s="2458">
        <f t="shared" si="2574"/>
        <v>0</v>
      </c>
      <c r="BJ1230" s="2458">
        <f t="shared" si="2574"/>
        <v>0</v>
      </c>
      <c r="BK1230" s="2480">
        <f t="shared" si="2514"/>
        <v>0</v>
      </c>
      <c r="BL1230" s="2458">
        <f t="shared" si="2575"/>
        <v>0</v>
      </c>
      <c r="BM1230" s="2458">
        <f t="shared" si="2575"/>
        <v>0</v>
      </c>
      <c r="BN1230" s="2480">
        <f t="shared" si="2515"/>
        <v>0</v>
      </c>
      <c r="BO1230" s="2458">
        <f t="shared" si="2576"/>
        <v>0</v>
      </c>
      <c r="BP1230" s="2458">
        <f t="shared" si="2576"/>
        <v>0</v>
      </c>
      <c r="BQ1230" s="2480">
        <f t="shared" si="2516"/>
        <v>0</v>
      </c>
    </row>
    <row r="1231" spans="3:69" s="2159" customFormat="1" ht="12" hidden="1" customHeight="1">
      <c r="C1231" s="2423" t="s">
        <v>3388</v>
      </c>
      <c r="D1231" s="2286" t="s">
        <v>2434</v>
      </c>
      <c r="E1231" s="2250" t="s">
        <v>3220</v>
      </c>
      <c r="F1231" s="2176"/>
      <c r="G1231" s="2339">
        <f t="shared" si="2557"/>
        <v>0</v>
      </c>
      <c r="H1231" s="2339">
        <f t="shared" si="2557"/>
        <v>0</v>
      </c>
      <c r="I1231" s="2337">
        <f t="shared" si="2497"/>
        <v>0</v>
      </c>
      <c r="J1231" s="2338"/>
      <c r="K1231" s="2339">
        <f t="shared" si="2558"/>
        <v>0</v>
      </c>
      <c r="L1231" s="2339">
        <f t="shared" si="2558"/>
        <v>0</v>
      </c>
      <c r="M1231" s="2337">
        <f t="shared" si="2498"/>
        <v>0</v>
      </c>
      <c r="N1231" s="2339">
        <f t="shared" si="2559"/>
        <v>0</v>
      </c>
      <c r="O1231" s="2339">
        <f t="shared" si="2559"/>
        <v>0</v>
      </c>
      <c r="P1231" s="2337">
        <f t="shared" si="2499"/>
        <v>0</v>
      </c>
      <c r="Q1231" s="2339">
        <f t="shared" si="2560"/>
        <v>0</v>
      </c>
      <c r="R1231" s="2339">
        <f t="shared" si="2560"/>
        <v>0</v>
      </c>
      <c r="S1231" s="2337">
        <f t="shared" si="2500"/>
        <v>0</v>
      </c>
      <c r="T1231" s="2339">
        <f t="shared" si="2561"/>
        <v>0</v>
      </c>
      <c r="U1231" s="2339">
        <f t="shared" si="2561"/>
        <v>0</v>
      </c>
      <c r="V1231" s="2337">
        <f t="shared" si="2501"/>
        <v>0</v>
      </c>
      <c r="W1231" s="2339">
        <f t="shared" si="2562"/>
        <v>0</v>
      </c>
      <c r="X1231" s="2339">
        <f t="shared" si="2562"/>
        <v>0</v>
      </c>
      <c r="Y1231" s="2337">
        <f t="shared" si="2502"/>
        <v>0</v>
      </c>
      <c r="Z1231" s="2339">
        <f t="shared" si="2563"/>
        <v>0</v>
      </c>
      <c r="AA1231" s="2339">
        <f t="shared" si="2563"/>
        <v>0</v>
      </c>
      <c r="AB1231" s="2337">
        <f t="shared" si="2503"/>
        <v>0</v>
      </c>
      <c r="AC1231" s="2339">
        <f t="shared" si="2564"/>
        <v>0</v>
      </c>
      <c r="AD1231" s="2339">
        <f t="shared" si="2564"/>
        <v>0</v>
      </c>
      <c r="AE1231" s="2337">
        <f t="shared" si="2504"/>
        <v>0</v>
      </c>
      <c r="AF1231" s="2281"/>
      <c r="AG1231" s="2158"/>
      <c r="AH1231" s="2345">
        <f t="shared" si="2565"/>
        <v>0</v>
      </c>
      <c r="AI1231" s="2345">
        <f t="shared" si="2565"/>
        <v>0</v>
      </c>
      <c r="AJ1231" s="2346">
        <f t="shared" si="2505"/>
        <v>0</v>
      </c>
      <c r="AK1231" s="2345">
        <f t="shared" si="2566"/>
        <v>0</v>
      </c>
      <c r="AL1231" s="2345">
        <f t="shared" si="2566"/>
        <v>0</v>
      </c>
      <c r="AM1231" s="2346">
        <f t="shared" si="2506"/>
        <v>0</v>
      </c>
      <c r="AN1231" s="2345">
        <f t="shared" si="2567"/>
        <v>0</v>
      </c>
      <c r="AO1231" s="2345">
        <f t="shared" si="2567"/>
        <v>0</v>
      </c>
      <c r="AP1231" s="2346">
        <f t="shared" si="2507"/>
        <v>0</v>
      </c>
      <c r="AQ1231" s="2345">
        <f t="shared" si="2568"/>
        <v>0</v>
      </c>
      <c r="AR1231" s="2345">
        <f t="shared" si="2568"/>
        <v>0</v>
      </c>
      <c r="AS1231" s="2346">
        <f t="shared" si="2508"/>
        <v>0</v>
      </c>
      <c r="AT1231" s="2345">
        <f t="shared" si="2569"/>
        <v>0</v>
      </c>
      <c r="AU1231" s="2345">
        <f t="shared" si="2569"/>
        <v>0</v>
      </c>
      <c r="AV1231" s="2346">
        <f t="shared" si="2509"/>
        <v>0</v>
      </c>
      <c r="AW1231" s="2345">
        <f t="shared" si="2570"/>
        <v>0</v>
      </c>
      <c r="AX1231" s="2345">
        <f t="shared" si="2570"/>
        <v>0</v>
      </c>
      <c r="AY1231" s="2346">
        <f t="shared" si="2510"/>
        <v>0</v>
      </c>
      <c r="AZ1231" s="2345">
        <f t="shared" si="2571"/>
        <v>0</v>
      </c>
      <c r="BA1231" s="2345">
        <f t="shared" si="2571"/>
        <v>0</v>
      </c>
      <c r="BB1231" s="2346">
        <f t="shared" si="2511"/>
        <v>0</v>
      </c>
      <c r="BC1231" s="2345">
        <f t="shared" si="2572"/>
        <v>0</v>
      </c>
      <c r="BD1231" s="2345">
        <f t="shared" si="2572"/>
        <v>0</v>
      </c>
      <c r="BE1231" s="2346">
        <f t="shared" si="2512"/>
        <v>0</v>
      </c>
      <c r="BF1231" s="2345">
        <f t="shared" si="2573"/>
        <v>0</v>
      </c>
      <c r="BG1231" s="2345">
        <f t="shared" si="2573"/>
        <v>0</v>
      </c>
      <c r="BH1231" s="2346">
        <f t="shared" si="2513"/>
        <v>0</v>
      </c>
      <c r="BI1231" s="2345">
        <f t="shared" si="2574"/>
        <v>0</v>
      </c>
      <c r="BJ1231" s="2345">
        <f t="shared" si="2574"/>
        <v>0</v>
      </c>
      <c r="BK1231" s="2346">
        <f t="shared" si="2514"/>
        <v>0</v>
      </c>
      <c r="BL1231" s="2345">
        <f t="shared" si="2575"/>
        <v>0</v>
      </c>
      <c r="BM1231" s="2345">
        <f t="shared" si="2575"/>
        <v>0</v>
      </c>
      <c r="BN1231" s="2346">
        <f t="shared" si="2515"/>
        <v>0</v>
      </c>
      <c r="BO1231" s="2345">
        <f t="shared" si="2576"/>
        <v>0</v>
      </c>
      <c r="BP1231" s="2345">
        <f t="shared" si="2576"/>
        <v>0</v>
      </c>
      <c r="BQ1231" s="2346">
        <f t="shared" si="2516"/>
        <v>0</v>
      </c>
    </row>
    <row r="1232" spans="3:69" s="2159" customFormat="1" ht="12" hidden="1" customHeight="1">
      <c r="C1232" s="2147" t="s">
        <v>3389</v>
      </c>
      <c r="D1232" s="2148" t="s">
        <v>1420</v>
      </c>
      <c r="E1232" s="2149"/>
      <c r="F1232" s="2150"/>
      <c r="G1232" s="2151"/>
      <c r="H1232" s="2151"/>
      <c r="I1232" s="2152"/>
      <c r="J1232" s="2150"/>
      <c r="K1232" s="2151"/>
      <c r="L1232" s="2151"/>
      <c r="M1232" s="2152"/>
      <c r="N1232" s="2151"/>
      <c r="O1232" s="2151"/>
      <c r="P1232" s="2152"/>
      <c r="Q1232" s="2150"/>
      <c r="R1232" s="2151"/>
      <c r="S1232" s="2153"/>
      <c r="T1232" s="2154"/>
      <c r="U1232" s="2151"/>
      <c r="V1232" s="2152"/>
      <c r="W1232" s="2150"/>
      <c r="X1232" s="2151"/>
      <c r="Y1232" s="2153"/>
      <c r="Z1232" s="2154"/>
      <c r="AA1232" s="2151"/>
      <c r="AB1232" s="2152"/>
      <c r="AC1232" s="2150"/>
      <c r="AD1232" s="2151"/>
      <c r="AE1232" s="2153"/>
      <c r="AF1232" s="2157"/>
      <c r="AG1232" s="2158"/>
      <c r="AH1232" s="2151"/>
      <c r="AI1232" s="2151"/>
      <c r="AJ1232" s="2152"/>
      <c r="AK1232" s="2151"/>
      <c r="AL1232" s="2151"/>
      <c r="AM1232" s="2152"/>
      <c r="AN1232" s="2151"/>
      <c r="AO1232" s="2151"/>
      <c r="AP1232" s="2152"/>
      <c r="AQ1232" s="2151"/>
      <c r="AR1232" s="2151"/>
      <c r="AS1232" s="2152"/>
      <c r="AT1232" s="2151"/>
      <c r="AU1232" s="2151"/>
      <c r="AV1232" s="2152"/>
      <c r="AW1232" s="2151"/>
      <c r="AX1232" s="2151"/>
      <c r="AY1232" s="2152"/>
      <c r="AZ1232" s="2151"/>
      <c r="BA1232" s="2151"/>
      <c r="BB1232" s="2152"/>
      <c r="BC1232" s="2151"/>
      <c r="BD1232" s="2151"/>
      <c r="BE1232" s="2152"/>
      <c r="BF1232" s="2151"/>
      <c r="BG1232" s="2151"/>
      <c r="BH1232" s="2152"/>
      <c r="BI1232" s="2151"/>
      <c r="BJ1232" s="2151"/>
      <c r="BK1232" s="2152"/>
      <c r="BL1232" s="2151"/>
      <c r="BM1232" s="2151"/>
      <c r="BN1232" s="2152"/>
      <c r="BO1232" s="2151"/>
      <c r="BP1232" s="2151"/>
      <c r="BQ1232" s="2152"/>
    </row>
    <row r="1233" spans="3:69" s="2159" customFormat="1" ht="12" hidden="1" customHeight="1">
      <c r="C1233" s="2474" t="s">
        <v>3390</v>
      </c>
      <c r="D1233" s="2485" t="s">
        <v>3391</v>
      </c>
      <c r="E1233" s="2122" t="s">
        <v>1833</v>
      </c>
      <c r="F1233" s="2162"/>
      <c r="G1233" s="2163">
        <f>G1240+G1247+G1254+G1256</f>
        <v>0</v>
      </c>
      <c r="H1233" s="2163">
        <f>H1240+H1247+H1254+H1256</f>
        <v>0</v>
      </c>
      <c r="I1233" s="2164">
        <f>H1233-G1233</f>
        <v>0</v>
      </c>
      <c r="J1233" s="2162"/>
      <c r="K1233" s="2163">
        <f>N1233+Q1233+W1233+AC1233</f>
        <v>0</v>
      </c>
      <c r="L1233" s="2163">
        <f>O1233+R1233+X1233+AD1233</f>
        <v>0</v>
      </c>
      <c r="M1233" s="2164">
        <f>L1233-K1233</f>
        <v>0</v>
      </c>
      <c r="N1233" s="2163">
        <f>N1240+N1247+N1254+N1256</f>
        <v>0</v>
      </c>
      <c r="O1233" s="2163">
        <f>O1240+O1247+O1254+O1256</f>
        <v>0</v>
      </c>
      <c r="P1233" s="2164">
        <f>O1233-N1233</f>
        <v>0</v>
      </c>
      <c r="Q1233" s="2163">
        <f>Q1240+Q1247+Q1254+Q1256</f>
        <v>0</v>
      </c>
      <c r="R1233" s="2163">
        <f>R1240+R1247+R1254+R1256</f>
        <v>0</v>
      </c>
      <c r="S1233" s="2164">
        <f>R1233-Q1233</f>
        <v>0</v>
      </c>
      <c r="T1233" s="2167">
        <f>N1233+Q1233</f>
        <v>0</v>
      </c>
      <c r="U1233" s="2163">
        <f>O1233+R1233</f>
        <v>0</v>
      </c>
      <c r="V1233" s="2164">
        <f>U1233-T1233</f>
        <v>0</v>
      </c>
      <c r="W1233" s="2163">
        <f>W1240+W1247+W1254+W1256</f>
        <v>0</v>
      </c>
      <c r="X1233" s="2163">
        <f>X1240+X1247+X1254+X1256</f>
        <v>0</v>
      </c>
      <c r="Y1233" s="2164">
        <f>X1233-W1233</f>
        <v>0</v>
      </c>
      <c r="Z1233" s="2167">
        <f>T1233+W1233</f>
        <v>0</v>
      </c>
      <c r="AA1233" s="2163">
        <f>U1233+X1233</f>
        <v>0</v>
      </c>
      <c r="AB1233" s="2164">
        <f>AA1233-Z1233</f>
        <v>0</v>
      </c>
      <c r="AC1233" s="2163">
        <f>AC1240+AC1247+AC1254+AC1256</f>
        <v>0</v>
      </c>
      <c r="AD1233" s="2163">
        <f>AD1240+AD1247+AD1254+AD1256</f>
        <v>0</v>
      </c>
      <c r="AE1233" s="2164">
        <f>AD1233-AC1233</f>
        <v>0</v>
      </c>
      <c r="AF1233" s="2204"/>
      <c r="AG1233" s="2158"/>
      <c r="AH1233" s="2171">
        <f>AH1240+AH1247+AH1254+AH1256</f>
        <v>0</v>
      </c>
      <c r="AI1233" s="2171">
        <f>AI1240+AI1247+AI1254+AI1256</f>
        <v>0</v>
      </c>
      <c r="AJ1233" s="2172">
        <f>AI1233-AH1233</f>
        <v>0</v>
      </c>
      <c r="AK1233" s="2171">
        <f>AK1240+AK1247+AK1254+AK1256</f>
        <v>0</v>
      </c>
      <c r="AL1233" s="2171">
        <f>AL1240+AL1247+AL1254+AL1256</f>
        <v>0</v>
      </c>
      <c r="AM1233" s="2172">
        <f>AL1233-AK1233</f>
        <v>0</v>
      </c>
      <c r="AN1233" s="2171">
        <f>AN1240+AN1247+AN1254+AN1256</f>
        <v>0</v>
      </c>
      <c r="AO1233" s="2171">
        <f>AO1240+AO1247+AO1254+AO1256</f>
        <v>0</v>
      </c>
      <c r="AP1233" s="2172">
        <f>AO1233-AN1233</f>
        <v>0</v>
      </c>
      <c r="AQ1233" s="2171">
        <f>AQ1240+AQ1247+AQ1254+AQ1256</f>
        <v>0</v>
      </c>
      <c r="AR1233" s="2171">
        <f>AR1240+AR1247+AR1254+AR1256</f>
        <v>0</v>
      </c>
      <c r="AS1233" s="2172">
        <f>AR1233-AQ1233</f>
        <v>0</v>
      </c>
      <c r="AT1233" s="2171">
        <f>AT1240+AT1247+AT1254+AT1256</f>
        <v>0</v>
      </c>
      <c r="AU1233" s="2171">
        <f>AU1240+AU1247+AU1254+AU1256</f>
        <v>0</v>
      </c>
      <c r="AV1233" s="2172">
        <f>AU1233-AT1233</f>
        <v>0</v>
      </c>
      <c r="AW1233" s="2171">
        <f>AW1240+AW1247+AW1254+AW1256</f>
        <v>0</v>
      </c>
      <c r="AX1233" s="2171">
        <f>AX1240+AX1247+AX1254+AX1256</f>
        <v>0</v>
      </c>
      <c r="AY1233" s="2172">
        <f>AX1233-AW1233</f>
        <v>0</v>
      </c>
      <c r="AZ1233" s="2171">
        <f>AZ1240+AZ1247+AZ1254+AZ1256</f>
        <v>0</v>
      </c>
      <c r="BA1233" s="2171">
        <f>BA1240+BA1247+BA1254+BA1256</f>
        <v>0</v>
      </c>
      <c r="BB1233" s="2172">
        <f>BA1233-AZ1233</f>
        <v>0</v>
      </c>
      <c r="BC1233" s="2171">
        <f>BC1240+BC1247+BC1254+BC1256</f>
        <v>0</v>
      </c>
      <c r="BD1233" s="2171">
        <f>BD1240+BD1247+BD1254+BD1256</f>
        <v>0</v>
      </c>
      <c r="BE1233" s="2172">
        <f>BD1233-BC1233</f>
        <v>0</v>
      </c>
      <c r="BF1233" s="2171">
        <f>BF1240+BF1247+BF1254+BF1256</f>
        <v>0</v>
      </c>
      <c r="BG1233" s="2171">
        <f>BG1240+BG1247+BG1254+BG1256</f>
        <v>0</v>
      </c>
      <c r="BH1233" s="2172">
        <f>BG1233-BF1233</f>
        <v>0</v>
      </c>
      <c r="BI1233" s="2171">
        <f>BI1240+BI1247+BI1254+BI1256</f>
        <v>0</v>
      </c>
      <c r="BJ1233" s="2171">
        <f>BJ1240+BJ1247+BJ1254+BJ1256</f>
        <v>0</v>
      </c>
      <c r="BK1233" s="2172">
        <f>BJ1233-BI1233</f>
        <v>0</v>
      </c>
      <c r="BL1233" s="2171">
        <f>BL1240+BL1247+BL1254+BL1256</f>
        <v>0</v>
      </c>
      <c r="BM1233" s="2171">
        <f>BM1240+BM1247+BM1254+BM1256</f>
        <v>0</v>
      </c>
      <c r="BN1233" s="2172">
        <f>BM1233-BL1233</f>
        <v>0</v>
      </c>
      <c r="BO1233" s="2171">
        <f>BO1240+BO1247+BO1254+BO1256</f>
        <v>0</v>
      </c>
      <c r="BP1233" s="2171">
        <f>BP1240+BP1247+BP1254+BP1256</f>
        <v>0</v>
      </c>
      <c r="BQ1233" s="2172">
        <f>BP1233-BO1233</f>
        <v>0</v>
      </c>
    </row>
    <row r="1234" spans="3:69" s="2087" customFormat="1" ht="12" hidden="1" customHeight="1">
      <c r="C1234" s="2285" t="s">
        <v>3392</v>
      </c>
      <c r="D1234" s="2418" t="s">
        <v>28</v>
      </c>
      <c r="E1234" s="2250" t="s">
        <v>1833</v>
      </c>
      <c r="F1234" s="2176"/>
      <c r="G1234" s="2179">
        <f>G1241+G1248</f>
        <v>0</v>
      </c>
      <c r="H1234" s="2179">
        <f t="shared" ref="G1234:H1237" si="2577">H1241+H1248</f>
        <v>0</v>
      </c>
      <c r="I1234" s="2178">
        <f>H1234-G1234</f>
        <v>0</v>
      </c>
      <c r="J1234" s="2176"/>
      <c r="K1234" s="2179">
        <f t="shared" ref="K1234:L1259" si="2578">N1234+Q1234+W1234+AC1234</f>
        <v>0</v>
      </c>
      <c r="L1234" s="2179">
        <f t="shared" si="2578"/>
        <v>0</v>
      </c>
      <c r="M1234" s="2178">
        <f>L1234-K1234</f>
        <v>0</v>
      </c>
      <c r="N1234" s="2179">
        <f t="shared" ref="N1234:O1237" si="2579">N1241+N1248</f>
        <v>0</v>
      </c>
      <c r="O1234" s="2179">
        <f t="shared" si="2579"/>
        <v>0</v>
      </c>
      <c r="P1234" s="2178">
        <f>O1234-N1234</f>
        <v>0</v>
      </c>
      <c r="Q1234" s="2184">
        <f t="shared" ref="Q1234:R1237" si="2580">Q1241+Q1248</f>
        <v>0</v>
      </c>
      <c r="R1234" s="2179">
        <f t="shared" si="2580"/>
        <v>0</v>
      </c>
      <c r="S1234" s="2178">
        <f>R1234-Q1234</f>
        <v>0</v>
      </c>
      <c r="T1234" s="2181">
        <f t="shared" ref="T1234:U1256" si="2581">N1234+Q1234</f>
        <v>0</v>
      </c>
      <c r="U1234" s="2179">
        <f t="shared" si="2581"/>
        <v>0</v>
      </c>
      <c r="V1234" s="2178">
        <f>U1234-T1234</f>
        <v>0</v>
      </c>
      <c r="W1234" s="2184">
        <f t="shared" ref="W1234:X1237" si="2582">W1241+W1248</f>
        <v>0</v>
      </c>
      <c r="X1234" s="2179">
        <f t="shared" si="2582"/>
        <v>0</v>
      </c>
      <c r="Y1234" s="2178">
        <f>X1234-W1234</f>
        <v>0</v>
      </c>
      <c r="Z1234" s="2181">
        <f t="shared" ref="Z1234:AA1256" si="2583">T1234+W1234</f>
        <v>0</v>
      </c>
      <c r="AA1234" s="2179">
        <f t="shared" si="2583"/>
        <v>0</v>
      </c>
      <c r="AB1234" s="2178">
        <f>AA1234-Z1234</f>
        <v>0</v>
      </c>
      <c r="AC1234" s="2184">
        <f t="shared" ref="AC1234:AD1237" si="2584">AC1241+AC1248</f>
        <v>0</v>
      </c>
      <c r="AD1234" s="2179">
        <f t="shared" si="2584"/>
        <v>0</v>
      </c>
      <c r="AE1234" s="2178">
        <f>AD1234-AC1234</f>
        <v>0</v>
      </c>
      <c r="AF1234" s="2204"/>
      <c r="AG1234" s="2114"/>
      <c r="AH1234" s="2188">
        <f t="shared" ref="AH1234:AI1237" si="2585">AH1241+AH1248</f>
        <v>0</v>
      </c>
      <c r="AI1234" s="2188">
        <f t="shared" si="2585"/>
        <v>0</v>
      </c>
      <c r="AJ1234" s="2186">
        <f>AI1234-AH1234</f>
        <v>0</v>
      </c>
      <c r="AK1234" s="2188">
        <f t="shared" ref="AK1234:AL1237" si="2586">AK1241+AK1248</f>
        <v>0</v>
      </c>
      <c r="AL1234" s="2188">
        <f t="shared" si="2586"/>
        <v>0</v>
      </c>
      <c r="AM1234" s="2186">
        <f>AL1234-AK1234</f>
        <v>0</v>
      </c>
      <c r="AN1234" s="2188">
        <f t="shared" ref="AN1234:AO1237" si="2587">AN1241+AN1248</f>
        <v>0</v>
      </c>
      <c r="AO1234" s="2188">
        <f t="shared" si="2587"/>
        <v>0</v>
      </c>
      <c r="AP1234" s="2186">
        <f>AO1234-AN1234</f>
        <v>0</v>
      </c>
      <c r="AQ1234" s="2188">
        <f t="shared" ref="AQ1234:AR1237" si="2588">AQ1241+AQ1248</f>
        <v>0</v>
      </c>
      <c r="AR1234" s="2188">
        <f t="shared" si="2588"/>
        <v>0</v>
      </c>
      <c r="AS1234" s="2186">
        <f>AR1234-AQ1234</f>
        <v>0</v>
      </c>
      <c r="AT1234" s="2188">
        <f t="shared" ref="AT1234:AU1237" si="2589">AT1241+AT1248</f>
        <v>0</v>
      </c>
      <c r="AU1234" s="2188">
        <f t="shared" si="2589"/>
        <v>0</v>
      </c>
      <c r="AV1234" s="2186">
        <f>AU1234-AT1234</f>
        <v>0</v>
      </c>
      <c r="AW1234" s="2188">
        <f t="shared" ref="AW1234:AX1237" si="2590">AW1241+AW1248</f>
        <v>0</v>
      </c>
      <c r="AX1234" s="2188">
        <f t="shared" si="2590"/>
        <v>0</v>
      </c>
      <c r="AY1234" s="2186">
        <f>AX1234-AW1234</f>
        <v>0</v>
      </c>
      <c r="AZ1234" s="2188">
        <f t="shared" ref="AZ1234:BA1237" si="2591">AZ1241+AZ1248</f>
        <v>0</v>
      </c>
      <c r="BA1234" s="2188">
        <f t="shared" si="2591"/>
        <v>0</v>
      </c>
      <c r="BB1234" s="2186">
        <f>BA1234-AZ1234</f>
        <v>0</v>
      </c>
      <c r="BC1234" s="2188">
        <f t="shared" ref="BC1234:BD1237" si="2592">BC1241+BC1248</f>
        <v>0</v>
      </c>
      <c r="BD1234" s="2188">
        <f t="shared" si="2592"/>
        <v>0</v>
      </c>
      <c r="BE1234" s="2186">
        <f>BD1234-BC1234</f>
        <v>0</v>
      </c>
      <c r="BF1234" s="2188">
        <f t="shared" ref="BF1234:BG1237" si="2593">BF1241+BF1248</f>
        <v>0</v>
      </c>
      <c r="BG1234" s="2188">
        <f t="shared" si="2593"/>
        <v>0</v>
      </c>
      <c r="BH1234" s="2186">
        <f>BG1234-BF1234</f>
        <v>0</v>
      </c>
      <c r="BI1234" s="2188">
        <f t="shared" ref="BI1234:BJ1237" si="2594">BI1241+BI1248</f>
        <v>0</v>
      </c>
      <c r="BJ1234" s="2188">
        <f t="shared" si="2594"/>
        <v>0</v>
      </c>
      <c r="BK1234" s="2186">
        <f>BJ1234-BI1234</f>
        <v>0</v>
      </c>
      <c r="BL1234" s="2188">
        <f t="shared" ref="BL1234:BM1237" si="2595">BL1241+BL1248</f>
        <v>0</v>
      </c>
      <c r="BM1234" s="2188">
        <f t="shared" si="2595"/>
        <v>0</v>
      </c>
      <c r="BN1234" s="2186">
        <f>BM1234-BL1234</f>
        <v>0</v>
      </c>
      <c r="BO1234" s="2188">
        <f t="shared" ref="BO1234:BP1237" si="2596">BO1241+BO1248</f>
        <v>0</v>
      </c>
      <c r="BP1234" s="2188">
        <f t="shared" si="2596"/>
        <v>0</v>
      </c>
      <c r="BQ1234" s="2186">
        <f>BP1234-BO1234</f>
        <v>0</v>
      </c>
    </row>
    <row r="1235" spans="3:69" s="2087" customFormat="1" ht="12" hidden="1" customHeight="1">
      <c r="C1235" s="2285" t="s">
        <v>3393</v>
      </c>
      <c r="D1235" s="2421" t="s">
        <v>2434</v>
      </c>
      <c r="E1235" s="2250" t="s">
        <v>1833</v>
      </c>
      <c r="F1235" s="2176"/>
      <c r="G1235" s="2179">
        <f t="shared" si="2577"/>
        <v>0</v>
      </c>
      <c r="H1235" s="2179">
        <f t="shared" si="2577"/>
        <v>0</v>
      </c>
      <c r="I1235" s="2178">
        <f t="shared" ref="I1235:I1259" si="2597">H1235-G1235</f>
        <v>0</v>
      </c>
      <c r="J1235" s="2176"/>
      <c r="K1235" s="2179">
        <f>N1235+Q1235+W1235+AC1235</f>
        <v>0</v>
      </c>
      <c r="L1235" s="2179">
        <f>O1235+R1235+X1235+AD1235</f>
        <v>0</v>
      </c>
      <c r="M1235" s="2178">
        <f t="shared" ref="M1235:M1259" si="2598">L1235-K1235</f>
        <v>0</v>
      </c>
      <c r="N1235" s="2179">
        <f t="shared" si="2579"/>
        <v>0</v>
      </c>
      <c r="O1235" s="2179">
        <f t="shared" si="2579"/>
        <v>0</v>
      </c>
      <c r="P1235" s="2178">
        <f t="shared" ref="P1235:P1259" si="2599">O1235-N1235</f>
        <v>0</v>
      </c>
      <c r="Q1235" s="2179">
        <f t="shared" si="2580"/>
        <v>0</v>
      </c>
      <c r="R1235" s="2179">
        <f t="shared" si="2580"/>
        <v>0</v>
      </c>
      <c r="S1235" s="2178">
        <f t="shared" ref="S1235:S1259" si="2600">R1235-Q1235</f>
        <v>0</v>
      </c>
      <c r="T1235" s="2179">
        <f>N1235+Q1235</f>
        <v>0</v>
      </c>
      <c r="U1235" s="2179">
        <f>O1235+R1235</f>
        <v>0</v>
      </c>
      <c r="V1235" s="2178">
        <f t="shared" ref="V1235:V1259" si="2601">U1235-T1235</f>
        <v>0</v>
      </c>
      <c r="W1235" s="2179">
        <f t="shared" si="2582"/>
        <v>0</v>
      </c>
      <c r="X1235" s="2179">
        <f t="shared" si="2582"/>
        <v>0</v>
      </c>
      <c r="Y1235" s="2178">
        <f t="shared" ref="Y1235:Y1259" si="2602">X1235-W1235</f>
        <v>0</v>
      </c>
      <c r="Z1235" s="2179">
        <f>T1235+W1235</f>
        <v>0</v>
      </c>
      <c r="AA1235" s="2179">
        <f>U1235+X1235</f>
        <v>0</v>
      </c>
      <c r="AB1235" s="2178">
        <f t="shared" ref="AB1235:AB1259" si="2603">AA1235-Z1235</f>
        <v>0</v>
      </c>
      <c r="AC1235" s="2179">
        <f t="shared" si="2584"/>
        <v>0</v>
      </c>
      <c r="AD1235" s="2179">
        <f t="shared" si="2584"/>
        <v>0</v>
      </c>
      <c r="AE1235" s="2178">
        <f t="shared" ref="AE1235:AE1259" si="2604">AD1235-AC1235</f>
        <v>0</v>
      </c>
      <c r="AF1235" s="2204"/>
      <c r="AG1235" s="2114"/>
      <c r="AH1235" s="2188">
        <f t="shared" si="2585"/>
        <v>0</v>
      </c>
      <c r="AI1235" s="2188">
        <f t="shared" si="2585"/>
        <v>0</v>
      </c>
      <c r="AJ1235" s="2186">
        <f t="shared" ref="AJ1235:AJ1259" si="2605">AI1235-AH1235</f>
        <v>0</v>
      </c>
      <c r="AK1235" s="2188">
        <f t="shared" si="2586"/>
        <v>0</v>
      </c>
      <c r="AL1235" s="2188">
        <f t="shared" si="2586"/>
        <v>0</v>
      </c>
      <c r="AM1235" s="2186">
        <f t="shared" ref="AM1235:AM1259" si="2606">AL1235-AK1235</f>
        <v>0</v>
      </c>
      <c r="AN1235" s="2188">
        <f t="shared" si="2587"/>
        <v>0</v>
      </c>
      <c r="AO1235" s="2188">
        <f t="shared" si="2587"/>
        <v>0</v>
      </c>
      <c r="AP1235" s="2186">
        <f t="shared" ref="AP1235:AP1259" si="2607">AO1235-AN1235</f>
        <v>0</v>
      </c>
      <c r="AQ1235" s="2188">
        <f t="shared" si="2588"/>
        <v>0</v>
      </c>
      <c r="AR1235" s="2188">
        <f t="shared" si="2588"/>
        <v>0</v>
      </c>
      <c r="AS1235" s="2186">
        <f t="shared" ref="AS1235:AS1259" si="2608">AR1235-AQ1235</f>
        <v>0</v>
      </c>
      <c r="AT1235" s="2188">
        <f t="shared" si="2589"/>
        <v>0</v>
      </c>
      <c r="AU1235" s="2188">
        <f t="shared" si="2589"/>
        <v>0</v>
      </c>
      <c r="AV1235" s="2186">
        <f t="shared" ref="AV1235:AV1259" si="2609">AU1235-AT1235</f>
        <v>0</v>
      </c>
      <c r="AW1235" s="2188">
        <f t="shared" si="2590"/>
        <v>0</v>
      </c>
      <c r="AX1235" s="2188">
        <f t="shared" si="2590"/>
        <v>0</v>
      </c>
      <c r="AY1235" s="2186">
        <f t="shared" ref="AY1235:AY1259" si="2610">AX1235-AW1235</f>
        <v>0</v>
      </c>
      <c r="AZ1235" s="2188">
        <f t="shared" si="2591"/>
        <v>0</v>
      </c>
      <c r="BA1235" s="2188">
        <f t="shared" si="2591"/>
        <v>0</v>
      </c>
      <c r="BB1235" s="2186">
        <f t="shared" ref="BB1235:BB1259" si="2611">BA1235-AZ1235</f>
        <v>0</v>
      </c>
      <c r="BC1235" s="2188">
        <f t="shared" si="2592"/>
        <v>0</v>
      </c>
      <c r="BD1235" s="2188">
        <f t="shared" si="2592"/>
        <v>0</v>
      </c>
      <c r="BE1235" s="2186">
        <f t="shared" ref="BE1235:BE1259" si="2612">BD1235-BC1235</f>
        <v>0</v>
      </c>
      <c r="BF1235" s="2188">
        <f t="shared" si="2593"/>
        <v>0</v>
      </c>
      <c r="BG1235" s="2188">
        <f t="shared" si="2593"/>
        <v>0</v>
      </c>
      <c r="BH1235" s="2186">
        <f t="shared" ref="BH1235:BH1259" si="2613">BG1235-BF1235</f>
        <v>0</v>
      </c>
      <c r="BI1235" s="2188">
        <f t="shared" si="2594"/>
        <v>0</v>
      </c>
      <c r="BJ1235" s="2188">
        <f t="shared" si="2594"/>
        <v>0</v>
      </c>
      <c r="BK1235" s="2186">
        <f t="shared" ref="BK1235:BK1259" si="2614">BJ1235-BI1235</f>
        <v>0</v>
      </c>
      <c r="BL1235" s="2188">
        <f t="shared" si="2595"/>
        <v>0</v>
      </c>
      <c r="BM1235" s="2188">
        <f t="shared" si="2595"/>
        <v>0</v>
      </c>
      <c r="BN1235" s="2186">
        <f t="shared" ref="BN1235:BN1259" si="2615">BM1235-BL1235</f>
        <v>0</v>
      </c>
      <c r="BO1235" s="2188">
        <f t="shared" si="2596"/>
        <v>0</v>
      </c>
      <c r="BP1235" s="2188">
        <f t="shared" si="2596"/>
        <v>0</v>
      </c>
      <c r="BQ1235" s="2186">
        <f t="shared" ref="BQ1235:BQ1259" si="2616">BP1235-BO1235</f>
        <v>0</v>
      </c>
    </row>
    <row r="1236" spans="3:69" s="2087" customFormat="1" ht="12" hidden="1" customHeight="1">
      <c r="C1236" s="2285" t="s">
        <v>3394</v>
      </c>
      <c r="D1236" s="2418" t="s">
        <v>2872</v>
      </c>
      <c r="E1236" s="2250" t="s">
        <v>1833</v>
      </c>
      <c r="F1236" s="2176"/>
      <c r="G1236" s="2179">
        <f>G1243+G1250</f>
        <v>0</v>
      </c>
      <c r="H1236" s="2179">
        <f t="shared" si="2577"/>
        <v>0</v>
      </c>
      <c r="I1236" s="2178">
        <f t="shared" si="2597"/>
        <v>0</v>
      </c>
      <c r="J1236" s="2176"/>
      <c r="K1236" s="2179">
        <f t="shared" si="2578"/>
        <v>0</v>
      </c>
      <c r="L1236" s="2179">
        <f t="shared" si="2578"/>
        <v>0</v>
      </c>
      <c r="M1236" s="2178">
        <f t="shared" si="2598"/>
        <v>0</v>
      </c>
      <c r="N1236" s="2179">
        <f t="shared" si="2579"/>
        <v>0</v>
      </c>
      <c r="O1236" s="2179">
        <f t="shared" si="2579"/>
        <v>0</v>
      </c>
      <c r="P1236" s="2178">
        <f t="shared" si="2599"/>
        <v>0</v>
      </c>
      <c r="Q1236" s="2184">
        <f t="shared" si="2580"/>
        <v>0</v>
      </c>
      <c r="R1236" s="2179">
        <f t="shared" si="2580"/>
        <v>0</v>
      </c>
      <c r="S1236" s="2178">
        <f t="shared" si="2600"/>
        <v>0</v>
      </c>
      <c r="T1236" s="2181">
        <f t="shared" si="2581"/>
        <v>0</v>
      </c>
      <c r="U1236" s="2179">
        <f t="shared" si="2581"/>
        <v>0</v>
      </c>
      <c r="V1236" s="2178">
        <f t="shared" si="2601"/>
        <v>0</v>
      </c>
      <c r="W1236" s="2184">
        <f t="shared" si="2582"/>
        <v>0</v>
      </c>
      <c r="X1236" s="2179">
        <f t="shared" si="2582"/>
        <v>0</v>
      </c>
      <c r="Y1236" s="2178">
        <f t="shared" si="2602"/>
        <v>0</v>
      </c>
      <c r="Z1236" s="2181">
        <f t="shared" si="2583"/>
        <v>0</v>
      </c>
      <c r="AA1236" s="2179">
        <f t="shared" si="2583"/>
        <v>0</v>
      </c>
      <c r="AB1236" s="2178">
        <f t="shared" si="2603"/>
        <v>0</v>
      </c>
      <c r="AC1236" s="2184">
        <f t="shared" si="2584"/>
        <v>0</v>
      </c>
      <c r="AD1236" s="2179">
        <f t="shared" si="2584"/>
        <v>0</v>
      </c>
      <c r="AE1236" s="2178">
        <f t="shared" si="2604"/>
        <v>0</v>
      </c>
      <c r="AF1236" s="2204"/>
      <c r="AG1236" s="2114"/>
      <c r="AH1236" s="2188">
        <f t="shared" si="2585"/>
        <v>0</v>
      </c>
      <c r="AI1236" s="2188">
        <f t="shared" si="2585"/>
        <v>0</v>
      </c>
      <c r="AJ1236" s="2186">
        <f t="shared" si="2605"/>
        <v>0</v>
      </c>
      <c r="AK1236" s="2188">
        <f t="shared" si="2586"/>
        <v>0</v>
      </c>
      <c r="AL1236" s="2188">
        <f t="shared" si="2586"/>
        <v>0</v>
      </c>
      <c r="AM1236" s="2186">
        <f t="shared" si="2606"/>
        <v>0</v>
      </c>
      <c r="AN1236" s="2188">
        <f t="shared" si="2587"/>
        <v>0</v>
      </c>
      <c r="AO1236" s="2188">
        <f t="shared" si="2587"/>
        <v>0</v>
      </c>
      <c r="AP1236" s="2186">
        <f t="shared" si="2607"/>
        <v>0</v>
      </c>
      <c r="AQ1236" s="2188">
        <f t="shared" si="2588"/>
        <v>0</v>
      </c>
      <c r="AR1236" s="2188">
        <f t="shared" si="2588"/>
        <v>0</v>
      </c>
      <c r="AS1236" s="2186">
        <f t="shared" si="2608"/>
        <v>0</v>
      </c>
      <c r="AT1236" s="2188">
        <f t="shared" si="2589"/>
        <v>0</v>
      </c>
      <c r="AU1236" s="2188">
        <f t="shared" si="2589"/>
        <v>0</v>
      </c>
      <c r="AV1236" s="2186">
        <f t="shared" si="2609"/>
        <v>0</v>
      </c>
      <c r="AW1236" s="2188">
        <f t="shared" si="2590"/>
        <v>0</v>
      </c>
      <c r="AX1236" s="2188">
        <f t="shared" si="2590"/>
        <v>0</v>
      </c>
      <c r="AY1236" s="2186">
        <f t="shared" si="2610"/>
        <v>0</v>
      </c>
      <c r="AZ1236" s="2188">
        <f t="shared" si="2591"/>
        <v>0</v>
      </c>
      <c r="BA1236" s="2188">
        <f t="shared" si="2591"/>
        <v>0</v>
      </c>
      <c r="BB1236" s="2186">
        <f t="shared" si="2611"/>
        <v>0</v>
      </c>
      <c r="BC1236" s="2188">
        <f t="shared" si="2592"/>
        <v>0</v>
      </c>
      <c r="BD1236" s="2188">
        <f t="shared" si="2592"/>
        <v>0</v>
      </c>
      <c r="BE1236" s="2186">
        <f t="shared" si="2612"/>
        <v>0</v>
      </c>
      <c r="BF1236" s="2188">
        <f t="shared" si="2593"/>
        <v>0</v>
      </c>
      <c r="BG1236" s="2188">
        <f t="shared" si="2593"/>
        <v>0</v>
      </c>
      <c r="BH1236" s="2186">
        <f t="shared" si="2613"/>
        <v>0</v>
      </c>
      <c r="BI1236" s="2188">
        <f t="shared" si="2594"/>
        <v>0</v>
      </c>
      <c r="BJ1236" s="2188">
        <f t="shared" si="2594"/>
        <v>0</v>
      </c>
      <c r="BK1236" s="2186">
        <f t="shared" si="2614"/>
        <v>0</v>
      </c>
      <c r="BL1236" s="2188">
        <f t="shared" si="2595"/>
        <v>0</v>
      </c>
      <c r="BM1236" s="2188">
        <f t="shared" si="2595"/>
        <v>0</v>
      </c>
      <c r="BN1236" s="2186">
        <f t="shared" si="2615"/>
        <v>0</v>
      </c>
      <c r="BO1236" s="2188">
        <f t="shared" si="2596"/>
        <v>0</v>
      </c>
      <c r="BP1236" s="2188">
        <f t="shared" si="2596"/>
        <v>0</v>
      </c>
      <c r="BQ1236" s="2186">
        <f t="shared" si="2616"/>
        <v>0</v>
      </c>
    </row>
    <row r="1237" spans="3:69" s="2087" customFormat="1" ht="12" hidden="1" customHeight="1">
      <c r="C1237" s="2285" t="s">
        <v>3395</v>
      </c>
      <c r="D1237" s="2421" t="s">
        <v>2434</v>
      </c>
      <c r="E1237" s="2250" t="s">
        <v>1833</v>
      </c>
      <c r="F1237" s="2176"/>
      <c r="G1237" s="2179">
        <f t="shared" si="2577"/>
        <v>0</v>
      </c>
      <c r="H1237" s="2179">
        <f t="shared" si="2577"/>
        <v>0</v>
      </c>
      <c r="I1237" s="2178">
        <f t="shared" si="2597"/>
        <v>0</v>
      </c>
      <c r="J1237" s="2176"/>
      <c r="K1237" s="2179">
        <f>N1237+Q1237+W1237+AC1237</f>
        <v>0</v>
      </c>
      <c r="L1237" s="2179">
        <f>O1237+R1237+X1237+AD1237</f>
        <v>0</v>
      </c>
      <c r="M1237" s="2178">
        <f t="shared" si="2598"/>
        <v>0</v>
      </c>
      <c r="N1237" s="2179">
        <f t="shared" si="2579"/>
        <v>0</v>
      </c>
      <c r="O1237" s="2179">
        <f t="shared" si="2579"/>
        <v>0</v>
      </c>
      <c r="P1237" s="2178">
        <f t="shared" si="2599"/>
        <v>0</v>
      </c>
      <c r="Q1237" s="2179">
        <f t="shared" si="2580"/>
        <v>0</v>
      </c>
      <c r="R1237" s="2179">
        <f t="shared" si="2580"/>
        <v>0</v>
      </c>
      <c r="S1237" s="2178">
        <f t="shared" si="2600"/>
        <v>0</v>
      </c>
      <c r="T1237" s="2179">
        <f>N1237+Q1237</f>
        <v>0</v>
      </c>
      <c r="U1237" s="2179">
        <f>O1237+R1237</f>
        <v>0</v>
      </c>
      <c r="V1237" s="2178">
        <f t="shared" si="2601"/>
        <v>0</v>
      </c>
      <c r="W1237" s="2179">
        <f t="shared" si="2582"/>
        <v>0</v>
      </c>
      <c r="X1237" s="2179">
        <f t="shared" si="2582"/>
        <v>0</v>
      </c>
      <c r="Y1237" s="2178">
        <f t="shared" si="2602"/>
        <v>0</v>
      </c>
      <c r="Z1237" s="2179">
        <f>T1237+W1237</f>
        <v>0</v>
      </c>
      <c r="AA1237" s="2179">
        <f>U1237+X1237</f>
        <v>0</v>
      </c>
      <c r="AB1237" s="2178">
        <f t="shared" si="2603"/>
        <v>0</v>
      </c>
      <c r="AC1237" s="2179">
        <f t="shared" si="2584"/>
        <v>0</v>
      </c>
      <c r="AD1237" s="2179">
        <f t="shared" si="2584"/>
        <v>0</v>
      </c>
      <c r="AE1237" s="2178">
        <f t="shared" si="2604"/>
        <v>0</v>
      </c>
      <c r="AF1237" s="2204"/>
      <c r="AG1237" s="2114"/>
      <c r="AH1237" s="2188">
        <f t="shared" si="2585"/>
        <v>0</v>
      </c>
      <c r="AI1237" s="2188">
        <f t="shared" si="2585"/>
        <v>0</v>
      </c>
      <c r="AJ1237" s="2186">
        <f t="shared" si="2605"/>
        <v>0</v>
      </c>
      <c r="AK1237" s="2188">
        <f t="shared" si="2586"/>
        <v>0</v>
      </c>
      <c r="AL1237" s="2188">
        <f t="shared" si="2586"/>
        <v>0</v>
      </c>
      <c r="AM1237" s="2186">
        <f t="shared" si="2606"/>
        <v>0</v>
      </c>
      <c r="AN1237" s="2188">
        <f t="shared" si="2587"/>
        <v>0</v>
      </c>
      <c r="AO1237" s="2188">
        <f t="shared" si="2587"/>
        <v>0</v>
      </c>
      <c r="AP1237" s="2186">
        <f t="shared" si="2607"/>
        <v>0</v>
      </c>
      <c r="AQ1237" s="2188">
        <f t="shared" si="2588"/>
        <v>0</v>
      </c>
      <c r="AR1237" s="2188">
        <f t="shared" si="2588"/>
        <v>0</v>
      </c>
      <c r="AS1237" s="2186">
        <f t="shared" si="2608"/>
        <v>0</v>
      </c>
      <c r="AT1237" s="2188">
        <f t="shared" si="2589"/>
        <v>0</v>
      </c>
      <c r="AU1237" s="2188">
        <f t="shared" si="2589"/>
        <v>0</v>
      </c>
      <c r="AV1237" s="2186">
        <f t="shared" si="2609"/>
        <v>0</v>
      </c>
      <c r="AW1237" s="2188">
        <f t="shared" si="2590"/>
        <v>0</v>
      </c>
      <c r="AX1237" s="2188">
        <f t="shared" si="2590"/>
        <v>0</v>
      </c>
      <c r="AY1237" s="2186">
        <f t="shared" si="2610"/>
        <v>0</v>
      </c>
      <c r="AZ1237" s="2188">
        <f t="shared" si="2591"/>
        <v>0</v>
      </c>
      <c r="BA1237" s="2188">
        <f t="shared" si="2591"/>
        <v>0</v>
      </c>
      <c r="BB1237" s="2186">
        <f t="shared" si="2611"/>
        <v>0</v>
      </c>
      <c r="BC1237" s="2188">
        <f t="shared" si="2592"/>
        <v>0</v>
      </c>
      <c r="BD1237" s="2188">
        <f t="shared" si="2592"/>
        <v>0</v>
      </c>
      <c r="BE1237" s="2186">
        <f t="shared" si="2612"/>
        <v>0</v>
      </c>
      <c r="BF1237" s="2188">
        <f t="shared" si="2593"/>
        <v>0</v>
      </c>
      <c r="BG1237" s="2188">
        <f t="shared" si="2593"/>
        <v>0</v>
      </c>
      <c r="BH1237" s="2186">
        <f t="shared" si="2613"/>
        <v>0</v>
      </c>
      <c r="BI1237" s="2188">
        <f t="shared" si="2594"/>
        <v>0</v>
      </c>
      <c r="BJ1237" s="2188">
        <f t="shared" si="2594"/>
        <v>0</v>
      </c>
      <c r="BK1237" s="2186">
        <f t="shared" si="2614"/>
        <v>0</v>
      </c>
      <c r="BL1237" s="2188">
        <f t="shared" si="2595"/>
        <v>0</v>
      </c>
      <c r="BM1237" s="2188">
        <f t="shared" si="2595"/>
        <v>0</v>
      </c>
      <c r="BN1237" s="2186">
        <f t="shared" si="2615"/>
        <v>0</v>
      </c>
      <c r="BO1237" s="2188">
        <f t="shared" si="2596"/>
        <v>0</v>
      </c>
      <c r="BP1237" s="2188">
        <f t="shared" si="2596"/>
        <v>0</v>
      </c>
      <c r="BQ1237" s="2186">
        <f t="shared" si="2616"/>
        <v>0</v>
      </c>
    </row>
    <row r="1238" spans="3:69" s="2087" customFormat="1" ht="12" hidden="1" customHeight="1">
      <c r="C1238" s="2285" t="s">
        <v>3396</v>
      </c>
      <c r="D1238" s="2418" t="s">
        <v>42</v>
      </c>
      <c r="E1238" s="2250" t="s">
        <v>1833</v>
      </c>
      <c r="F1238" s="2176"/>
      <c r="G1238" s="2179">
        <f>G1245+G1252+G1254+G1256</f>
        <v>0</v>
      </c>
      <c r="H1238" s="2179">
        <f>H1245+H1252+H1254+H1256</f>
        <v>0</v>
      </c>
      <c r="I1238" s="2178">
        <f t="shared" si="2597"/>
        <v>0</v>
      </c>
      <c r="J1238" s="2176"/>
      <c r="K1238" s="2179">
        <f t="shared" si="2578"/>
        <v>0</v>
      </c>
      <c r="L1238" s="2179">
        <f t="shared" si="2578"/>
        <v>0</v>
      </c>
      <c r="M1238" s="2178">
        <f t="shared" si="2598"/>
        <v>0</v>
      </c>
      <c r="N1238" s="2179">
        <f>N1245+N1252+N1254+N1256</f>
        <v>0</v>
      </c>
      <c r="O1238" s="2179">
        <f>O1245+O1252+O1254+O1256</f>
        <v>0</v>
      </c>
      <c r="P1238" s="2178">
        <f t="shared" si="2599"/>
        <v>0</v>
      </c>
      <c r="Q1238" s="2184">
        <f>Q1245+Q1252+Q1254+Q1256</f>
        <v>0</v>
      </c>
      <c r="R1238" s="2179">
        <f>R1245+R1252+R1254+R1256</f>
        <v>0</v>
      </c>
      <c r="S1238" s="2178">
        <f t="shared" si="2600"/>
        <v>0</v>
      </c>
      <c r="T1238" s="2181">
        <f t="shared" si="2581"/>
        <v>0</v>
      </c>
      <c r="U1238" s="2179">
        <f t="shared" si="2581"/>
        <v>0</v>
      </c>
      <c r="V1238" s="2178">
        <f t="shared" si="2601"/>
        <v>0</v>
      </c>
      <c r="W1238" s="2184">
        <f>W1245+W1252+W1254+W1256</f>
        <v>0</v>
      </c>
      <c r="X1238" s="2179">
        <f>X1245+X1252+X1254+X1256</f>
        <v>0</v>
      </c>
      <c r="Y1238" s="2178">
        <f t="shared" si="2602"/>
        <v>0</v>
      </c>
      <c r="Z1238" s="2181">
        <f t="shared" si="2583"/>
        <v>0</v>
      </c>
      <c r="AA1238" s="2179">
        <f t="shared" si="2583"/>
        <v>0</v>
      </c>
      <c r="AB1238" s="2178">
        <f t="shared" si="2603"/>
        <v>0</v>
      </c>
      <c r="AC1238" s="2184">
        <f>AC1245+AC1252+AC1254+AC1256</f>
        <v>0</v>
      </c>
      <c r="AD1238" s="2179">
        <f>AD1245+AD1252+AD1254+AD1256</f>
        <v>0</v>
      </c>
      <c r="AE1238" s="2178">
        <f t="shared" si="2604"/>
        <v>0</v>
      </c>
      <c r="AF1238" s="2204"/>
      <c r="AG1238" s="2114"/>
      <c r="AH1238" s="2188">
        <f>AH1245+AH1252+AH1254+AH1256</f>
        <v>0</v>
      </c>
      <c r="AI1238" s="2188">
        <f>AI1245+AI1252+AI1254+AI1256</f>
        <v>0</v>
      </c>
      <c r="AJ1238" s="2186">
        <f t="shared" si="2605"/>
        <v>0</v>
      </c>
      <c r="AK1238" s="2188">
        <f>AK1245+AK1252+AK1254+AK1256</f>
        <v>0</v>
      </c>
      <c r="AL1238" s="2188">
        <f>AL1245+AL1252+AL1254+AL1256</f>
        <v>0</v>
      </c>
      <c r="AM1238" s="2186">
        <f t="shared" si="2606"/>
        <v>0</v>
      </c>
      <c r="AN1238" s="2188">
        <f>AN1245+AN1252+AN1254+AN1256</f>
        <v>0</v>
      </c>
      <c r="AO1238" s="2188">
        <f>AO1245+AO1252+AO1254+AO1256</f>
        <v>0</v>
      </c>
      <c r="AP1238" s="2186">
        <f t="shared" si="2607"/>
        <v>0</v>
      </c>
      <c r="AQ1238" s="2188">
        <f>AQ1245+AQ1252+AQ1254+AQ1256</f>
        <v>0</v>
      </c>
      <c r="AR1238" s="2188">
        <f>AR1245+AR1252+AR1254+AR1256</f>
        <v>0</v>
      </c>
      <c r="AS1238" s="2186">
        <f t="shared" si="2608"/>
        <v>0</v>
      </c>
      <c r="AT1238" s="2188">
        <f>AT1245+AT1252+AT1254+AT1256</f>
        <v>0</v>
      </c>
      <c r="AU1238" s="2188">
        <f>AU1245+AU1252+AU1254+AU1256</f>
        <v>0</v>
      </c>
      <c r="AV1238" s="2186">
        <f t="shared" si="2609"/>
        <v>0</v>
      </c>
      <c r="AW1238" s="2188">
        <f>AW1245+AW1252+AW1254+AW1256</f>
        <v>0</v>
      </c>
      <c r="AX1238" s="2188">
        <f>AX1245+AX1252+AX1254+AX1256</f>
        <v>0</v>
      </c>
      <c r="AY1238" s="2186">
        <f t="shared" si="2610"/>
        <v>0</v>
      </c>
      <c r="AZ1238" s="2188">
        <f>AZ1245+AZ1252+AZ1254+AZ1256</f>
        <v>0</v>
      </c>
      <c r="BA1238" s="2188">
        <f>BA1245+BA1252+BA1254+BA1256</f>
        <v>0</v>
      </c>
      <c r="BB1238" s="2186">
        <f t="shared" si="2611"/>
        <v>0</v>
      </c>
      <c r="BC1238" s="2188">
        <f>BC1245+BC1252+BC1254+BC1256</f>
        <v>0</v>
      </c>
      <c r="BD1238" s="2188">
        <f>BD1245+BD1252+BD1254+BD1256</f>
        <v>0</v>
      </c>
      <c r="BE1238" s="2186">
        <f t="shared" si="2612"/>
        <v>0</v>
      </c>
      <c r="BF1238" s="2188">
        <f>BF1245+BF1252+BF1254+BF1256</f>
        <v>0</v>
      </c>
      <c r="BG1238" s="2188">
        <f>BG1245+BG1252+BG1254+BG1256</f>
        <v>0</v>
      </c>
      <c r="BH1238" s="2186">
        <f t="shared" si="2613"/>
        <v>0</v>
      </c>
      <c r="BI1238" s="2188">
        <f>BI1245+BI1252+BI1254+BI1256</f>
        <v>0</v>
      </c>
      <c r="BJ1238" s="2188">
        <f>BJ1245+BJ1252+BJ1254+BJ1256</f>
        <v>0</v>
      </c>
      <c r="BK1238" s="2186">
        <f t="shared" si="2614"/>
        <v>0</v>
      </c>
      <c r="BL1238" s="2188">
        <f>BL1245+BL1252+BL1254+BL1256</f>
        <v>0</v>
      </c>
      <c r="BM1238" s="2188">
        <f>BM1245+BM1252+BM1254+BM1256</f>
        <v>0</v>
      </c>
      <c r="BN1238" s="2186">
        <f t="shared" si="2615"/>
        <v>0</v>
      </c>
      <c r="BO1238" s="2188">
        <f>BO1245+BO1252+BO1254+BO1256</f>
        <v>0</v>
      </c>
      <c r="BP1238" s="2188">
        <f>BP1245+BP1252+BP1254+BP1256</f>
        <v>0</v>
      </c>
      <c r="BQ1238" s="2186">
        <f t="shared" si="2616"/>
        <v>0</v>
      </c>
    </row>
    <row r="1239" spans="3:69" s="2087" customFormat="1" ht="12" hidden="1" customHeight="1">
      <c r="C1239" s="2285" t="s">
        <v>3397</v>
      </c>
      <c r="D1239" s="2421" t="s">
        <v>2434</v>
      </c>
      <c r="E1239" s="2250" t="s">
        <v>1833</v>
      </c>
      <c r="F1239" s="2176"/>
      <c r="G1239" s="2179">
        <f>G1246+G1253+G1255+G1257</f>
        <v>0</v>
      </c>
      <c r="H1239" s="2179">
        <f>H1246+H1253+H1255+H1257</f>
        <v>0</v>
      </c>
      <c r="I1239" s="2178">
        <f t="shared" si="2597"/>
        <v>0</v>
      </c>
      <c r="J1239" s="2176"/>
      <c r="K1239" s="2179">
        <f>N1239+Q1239+W1239+AC1239</f>
        <v>0</v>
      </c>
      <c r="L1239" s="2179">
        <f>O1239+R1239+X1239+AD1239</f>
        <v>0</v>
      </c>
      <c r="M1239" s="2178">
        <f t="shared" si="2598"/>
        <v>0</v>
      </c>
      <c r="N1239" s="2179">
        <f>N1246+N1253+N1255+N1257</f>
        <v>0</v>
      </c>
      <c r="O1239" s="2179">
        <f>O1246+O1253+O1255+O1257</f>
        <v>0</v>
      </c>
      <c r="P1239" s="2178">
        <f t="shared" si="2599"/>
        <v>0</v>
      </c>
      <c r="Q1239" s="2179">
        <f>Q1246+Q1253+Q1255+Q1257</f>
        <v>0</v>
      </c>
      <c r="R1239" s="2179">
        <f>R1246+R1253+R1255+R1257</f>
        <v>0</v>
      </c>
      <c r="S1239" s="2178">
        <f t="shared" si="2600"/>
        <v>0</v>
      </c>
      <c r="T1239" s="2179">
        <f>N1239+Q1239</f>
        <v>0</v>
      </c>
      <c r="U1239" s="2179">
        <f>O1239+R1239</f>
        <v>0</v>
      </c>
      <c r="V1239" s="2178">
        <f t="shared" si="2601"/>
        <v>0</v>
      </c>
      <c r="W1239" s="2179">
        <f>W1246+W1253+W1255+W1257</f>
        <v>0</v>
      </c>
      <c r="X1239" s="2179">
        <f>X1246+X1253+X1255+X1257</f>
        <v>0</v>
      </c>
      <c r="Y1239" s="2178">
        <f t="shared" si="2602"/>
        <v>0</v>
      </c>
      <c r="Z1239" s="2179">
        <f>T1239+W1239</f>
        <v>0</v>
      </c>
      <c r="AA1239" s="2179">
        <f>U1239+X1239</f>
        <v>0</v>
      </c>
      <c r="AB1239" s="2178">
        <f t="shared" si="2603"/>
        <v>0</v>
      </c>
      <c r="AC1239" s="2179">
        <f>AC1246+AC1253+AC1255+AC1257</f>
        <v>0</v>
      </c>
      <c r="AD1239" s="2179">
        <f>AD1246+AD1253+AD1255+AD1257</f>
        <v>0</v>
      </c>
      <c r="AE1239" s="2178">
        <f t="shared" si="2604"/>
        <v>0</v>
      </c>
      <c r="AF1239" s="2204"/>
      <c r="AG1239" s="2114"/>
      <c r="AH1239" s="2188">
        <f>AH1246+AH1253+AH1255+AH1257</f>
        <v>0</v>
      </c>
      <c r="AI1239" s="2188">
        <f>AI1246+AI1253+AI1255+AI1257</f>
        <v>0</v>
      </c>
      <c r="AJ1239" s="2186">
        <f t="shared" si="2605"/>
        <v>0</v>
      </c>
      <c r="AK1239" s="2188">
        <f>AK1246+AK1253+AK1255+AK1257</f>
        <v>0</v>
      </c>
      <c r="AL1239" s="2188">
        <f>AL1246+AL1253+AL1255+AL1257</f>
        <v>0</v>
      </c>
      <c r="AM1239" s="2186">
        <f t="shared" si="2606"/>
        <v>0</v>
      </c>
      <c r="AN1239" s="2188">
        <f>AN1246+AN1253+AN1255+AN1257</f>
        <v>0</v>
      </c>
      <c r="AO1239" s="2188">
        <f>AO1246+AO1253+AO1255+AO1257</f>
        <v>0</v>
      </c>
      <c r="AP1239" s="2186">
        <f t="shared" si="2607"/>
        <v>0</v>
      </c>
      <c r="AQ1239" s="2188">
        <f>AQ1246+AQ1253+AQ1255+AQ1257</f>
        <v>0</v>
      </c>
      <c r="AR1239" s="2188">
        <f>AR1246+AR1253+AR1255+AR1257</f>
        <v>0</v>
      </c>
      <c r="AS1239" s="2186">
        <f t="shared" si="2608"/>
        <v>0</v>
      </c>
      <c r="AT1239" s="2188">
        <f>AT1246+AT1253+AT1255+AT1257</f>
        <v>0</v>
      </c>
      <c r="AU1239" s="2188">
        <f>AU1246+AU1253+AU1255+AU1257</f>
        <v>0</v>
      </c>
      <c r="AV1239" s="2186">
        <f t="shared" si="2609"/>
        <v>0</v>
      </c>
      <c r="AW1239" s="2188">
        <f>AW1246+AW1253+AW1255+AW1257</f>
        <v>0</v>
      </c>
      <c r="AX1239" s="2188">
        <f>AX1246+AX1253+AX1255+AX1257</f>
        <v>0</v>
      </c>
      <c r="AY1239" s="2186">
        <f t="shared" si="2610"/>
        <v>0</v>
      </c>
      <c r="AZ1239" s="2188">
        <f>AZ1246+AZ1253+AZ1255+AZ1257</f>
        <v>0</v>
      </c>
      <c r="BA1239" s="2188">
        <f>BA1246+BA1253+BA1255+BA1257</f>
        <v>0</v>
      </c>
      <c r="BB1239" s="2186">
        <f t="shared" si="2611"/>
        <v>0</v>
      </c>
      <c r="BC1239" s="2188">
        <f>BC1246+BC1253+BC1255+BC1257</f>
        <v>0</v>
      </c>
      <c r="BD1239" s="2188">
        <f>BD1246+BD1253+BD1255+BD1257</f>
        <v>0</v>
      </c>
      <c r="BE1239" s="2186">
        <f t="shared" si="2612"/>
        <v>0</v>
      </c>
      <c r="BF1239" s="2188">
        <f>BF1246+BF1253+BF1255+BF1257</f>
        <v>0</v>
      </c>
      <c r="BG1239" s="2188">
        <f>BG1246+BG1253+BG1255+BG1257</f>
        <v>0</v>
      </c>
      <c r="BH1239" s="2186">
        <f t="shared" si="2613"/>
        <v>0</v>
      </c>
      <c r="BI1239" s="2188">
        <f>BI1246+BI1253+BI1255+BI1257</f>
        <v>0</v>
      </c>
      <c r="BJ1239" s="2188">
        <f>BJ1246+BJ1253+BJ1255+BJ1257</f>
        <v>0</v>
      </c>
      <c r="BK1239" s="2186">
        <f t="shared" si="2614"/>
        <v>0</v>
      </c>
      <c r="BL1239" s="2188">
        <f>BL1246+BL1253+BL1255+BL1257</f>
        <v>0</v>
      </c>
      <c r="BM1239" s="2188">
        <f>BM1246+BM1253+BM1255+BM1257</f>
        <v>0</v>
      </c>
      <c r="BN1239" s="2186">
        <f t="shared" si="2615"/>
        <v>0</v>
      </c>
      <c r="BO1239" s="2188">
        <f>BO1246+BO1253+BO1255+BO1257</f>
        <v>0</v>
      </c>
      <c r="BP1239" s="2188">
        <f>BP1246+BP1253+BP1255+BP1257</f>
        <v>0</v>
      </c>
      <c r="BQ1239" s="2186">
        <f t="shared" si="2616"/>
        <v>0</v>
      </c>
    </row>
    <row r="1240" spans="3:69" s="2159" customFormat="1" ht="12" hidden="1" customHeight="1">
      <c r="C1240" s="2474" t="s">
        <v>3398</v>
      </c>
      <c r="D1240" s="2476" t="s">
        <v>3399</v>
      </c>
      <c r="E1240" s="2120" t="s">
        <v>1833</v>
      </c>
      <c r="F1240" s="2162"/>
      <c r="G1240" s="2163">
        <f>G1241+G1243+G1245</f>
        <v>0</v>
      </c>
      <c r="H1240" s="2163">
        <f>H1241+H1243+H1245</f>
        <v>0</v>
      </c>
      <c r="I1240" s="2164">
        <f t="shared" si="2597"/>
        <v>0</v>
      </c>
      <c r="J1240" s="2162"/>
      <c r="K1240" s="2163">
        <f t="shared" si="2578"/>
        <v>0</v>
      </c>
      <c r="L1240" s="2163">
        <f t="shared" si="2578"/>
        <v>0</v>
      </c>
      <c r="M1240" s="2164">
        <f t="shared" si="2598"/>
        <v>0</v>
      </c>
      <c r="N1240" s="2163">
        <f>N1241+N1243+N1245</f>
        <v>0</v>
      </c>
      <c r="O1240" s="2163">
        <f>O1241+O1243+O1245</f>
        <v>0</v>
      </c>
      <c r="P1240" s="2164">
        <f t="shared" si="2599"/>
        <v>0</v>
      </c>
      <c r="Q1240" s="2163">
        <f>Q1241+Q1243+Q1245</f>
        <v>0</v>
      </c>
      <c r="R1240" s="2163">
        <f>R1241+R1243+R1245</f>
        <v>0</v>
      </c>
      <c r="S1240" s="2164">
        <f t="shared" si="2600"/>
        <v>0</v>
      </c>
      <c r="T1240" s="2167">
        <f t="shared" si="2581"/>
        <v>0</v>
      </c>
      <c r="U1240" s="2163">
        <f t="shared" si="2581"/>
        <v>0</v>
      </c>
      <c r="V1240" s="2164">
        <f t="shared" si="2601"/>
        <v>0</v>
      </c>
      <c r="W1240" s="2163">
        <f>W1241+W1243+W1245</f>
        <v>0</v>
      </c>
      <c r="X1240" s="2163">
        <f>X1241+X1243+X1245</f>
        <v>0</v>
      </c>
      <c r="Y1240" s="2164">
        <f t="shared" si="2602"/>
        <v>0</v>
      </c>
      <c r="Z1240" s="2167">
        <f t="shared" si="2583"/>
        <v>0</v>
      </c>
      <c r="AA1240" s="2163">
        <f t="shared" si="2583"/>
        <v>0</v>
      </c>
      <c r="AB1240" s="2164">
        <f t="shared" si="2603"/>
        <v>0</v>
      </c>
      <c r="AC1240" s="2163">
        <f>AC1241+AC1243+AC1245</f>
        <v>0</v>
      </c>
      <c r="AD1240" s="2163">
        <f>AD1241+AD1243+AD1245</f>
        <v>0</v>
      </c>
      <c r="AE1240" s="2164">
        <f t="shared" si="2604"/>
        <v>0</v>
      </c>
      <c r="AF1240" s="2204"/>
      <c r="AG1240" s="2158"/>
      <c r="AH1240" s="2171">
        <f>AH1241+AH1243+AH1245</f>
        <v>0</v>
      </c>
      <c r="AI1240" s="2171">
        <f>AI1241+AI1243+AI1245</f>
        <v>0</v>
      </c>
      <c r="AJ1240" s="2172">
        <f t="shared" si="2605"/>
        <v>0</v>
      </c>
      <c r="AK1240" s="2171">
        <f>AK1241+AK1243+AK1245</f>
        <v>0</v>
      </c>
      <c r="AL1240" s="2171">
        <f>AL1241+AL1243+AL1245</f>
        <v>0</v>
      </c>
      <c r="AM1240" s="2172">
        <f t="shared" si="2606"/>
        <v>0</v>
      </c>
      <c r="AN1240" s="2171">
        <f>AN1241+AN1243+AN1245</f>
        <v>0</v>
      </c>
      <c r="AO1240" s="2171">
        <f>AO1241+AO1243+AO1245</f>
        <v>0</v>
      </c>
      <c r="AP1240" s="2172">
        <f t="shared" si="2607"/>
        <v>0</v>
      </c>
      <c r="AQ1240" s="2171">
        <f>AQ1241+AQ1243+AQ1245</f>
        <v>0</v>
      </c>
      <c r="AR1240" s="2171">
        <f>AR1241+AR1243+AR1245</f>
        <v>0</v>
      </c>
      <c r="AS1240" s="2172">
        <f t="shared" si="2608"/>
        <v>0</v>
      </c>
      <c r="AT1240" s="2171">
        <f>AT1241+AT1243+AT1245</f>
        <v>0</v>
      </c>
      <c r="AU1240" s="2171">
        <f>AU1241+AU1243+AU1245</f>
        <v>0</v>
      </c>
      <c r="AV1240" s="2172">
        <f t="shared" si="2609"/>
        <v>0</v>
      </c>
      <c r="AW1240" s="2171">
        <f>AW1241+AW1243+AW1245</f>
        <v>0</v>
      </c>
      <c r="AX1240" s="2171">
        <f>AX1241+AX1243+AX1245</f>
        <v>0</v>
      </c>
      <c r="AY1240" s="2172">
        <f t="shared" si="2610"/>
        <v>0</v>
      </c>
      <c r="AZ1240" s="2171">
        <f>AZ1241+AZ1243+AZ1245</f>
        <v>0</v>
      </c>
      <c r="BA1240" s="2171">
        <f>BA1241+BA1243+BA1245</f>
        <v>0</v>
      </c>
      <c r="BB1240" s="2172">
        <f t="shared" si="2611"/>
        <v>0</v>
      </c>
      <c r="BC1240" s="2171">
        <f>BC1241+BC1243+BC1245</f>
        <v>0</v>
      </c>
      <c r="BD1240" s="2171">
        <f>BD1241+BD1243+BD1245</f>
        <v>0</v>
      </c>
      <c r="BE1240" s="2172">
        <f t="shared" si="2612"/>
        <v>0</v>
      </c>
      <c r="BF1240" s="2171">
        <f>BF1241+BF1243+BF1245</f>
        <v>0</v>
      </c>
      <c r="BG1240" s="2171">
        <f>BG1241+BG1243+BG1245</f>
        <v>0</v>
      </c>
      <c r="BH1240" s="2172">
        <f t="shared" si="2613"/>
        <v>0</v>
      </c>
      <c r="BI1240" s="2171">
        <f>BI1241+BI1243+BI1245</f>
        <v>0</v>
      </c>
      <c r="BJ1240" s="2171">
        <f>BJ1241+BJ1243+BJ1245</f>
        <v>0</v>
      </c>
      <c r="BK1240" s="2172">
        <f t="shared" si="2614"/>
        <v>0</v>
      </c>
      <c r="BL1240" s="2171">
        <f>BL1241+BL1243+BL1245</f>
        <v>0</v>
      </c>
      <c r="BM1240" s="2171">
        <f>BM1241+BM1243+BM1245</f>
        <v>0</v>
      </c>
      <c r="BN1240" s="2172">
        <f t="shared" si="2615"/>
        <v>0</v>
      </c>
      <c r="BO1240" s="2171">
        <f>BO1241+BO1243+BO1245</f>
        <v>0</v>
      </c>
      <c r="BP1240" s="2171">
        <f>BP1241+BP1243+BP1245</f>
        <v>0</v>
      </c>
      <c r="BQ1240" s="2172">
        <f t="shared" si="2616"/>
        <v>0</v>
      </c>
    </row>
    <row r="1241" spans="3:69" s="2087" customFormat="1" ht="12" hidden="1" customHeight="1">
      <c r="C1241" s="2285" t="s">
        <v>3400</v>
      </c>
      <c r="D1241" s="2418" t="s">
        <v>28</v>
      </c>
      <c r="E1241" s="2250" t="s">
        <v>1833</v>
      </c>
      <c r="F1241" s="2176"/>
      <c r="G1241" s="2177"/>
      <c r="H1241" s="2177"/>
      <c r="I1241" s="2178">
        <f t="shared" si="2597"/>
        <v>0</v>
      </c>
      <c r="J1241" s="2176"/>
      <c r="K1241" s="2179">
        <f t="shared" si="2578"/>
        <v>0</v>
      </c>
      <c r="L1241" s="2179">
        <f t="shared" si="2578"/>
        <v>0</v>
      </c>
      <c r="M1241" s="2178">
        <f t="shared" si="2598"/>
        <v>0</v>
      </c>
      <c r="N1241" s="2177"/>
      <c r="O1241" s="2177"/>
      <c r="P1241" s="2178">
        <f t="shared" si="2599"/>
        <v>0</v>
      </c>
      <c r="Q1241" s="2176"/>
      <c r="R1241" s="2177"/>
      <c r="S1241" s="2178">
        <f t="shared" si="2600"/>
        <v>0</v>
      </c>
      <c r="T1241" s="2181">
        <f t="shared" si="2581"/>
        <v>0</v>
      </c>
      <c r="U1241" s="2179">
        <f t="shared" si="2581"/>
        <v>0</v>
      </c>
      <c r="V1241" s="2178">
        <f t="shared" si="2601"/>
        <v>0</v>
      </c>
      <c r="W1241" s="2176"/>
      <c r="X1241" s="2177"/>
      <c r="Y1241" s="2178">
        <f t="shared" si="2602"/>
        <v>0</v>
      </c>
      <c r="Z1241" s="2181">
        <f t="shared" si="2583"/>
        <v>0</v>
      </c>
      <c r="AA1241" s="2179">
        <f t="shared" si="2583"/>
        <v>0</v>
      </c>
      <c r="AB1241" s="2178">
        <f t="shared" si="2603"/>
        <v>0</v>
      </c>
      <c r="AC1241" s="2176"/>
      <c r="AD1241" s="2177"/>
      <c r="AE1241" s="2178">
        <f t="shared" si="2604"/>
        <v>0</v>
      </c>
      <c r="AF1241" s="2204"/>
      <c r="AG1241" s="2114"/>
      <c r="AH1241" s="2177"/>
      <c r="AI1241" s="2177"/>
      <c r="AJ1241" s="2186">
        <f t="shared" si="2605"/>
        <v>0</v>
      </c>
      <c r="AK1241" s="2177"/>
      <c r="AL1241" s="2177"/>
      <c r="AM1241" s="2186">
        <f t="shared" si="2606"/>
        <v>0</v>
      </c>
      <c r="AN1241" s="2177"/>
      <c r="AO1241" s="2177"/>
      <c r="AP1241" s="2186">
        <f t="shared" si="2607"/>
        <v>0</v>
      </c>
      <c r="AQ1241" s="2177"/>
      <c r="AR1241" s="2177"/>
      <c r="AS1241" s="2186">
        <f t="shared" si="2608"/>
        <v>0</v>
      </c>
      <c r="AT1241" s="2177"/>
      <c r="AU1241" s="2177"/>
      <c r="AV1241" s="2186">
        <f t="shared" si="2609"/>
        <v>0</v>
      </c>
      <c r="AW1241" s="2177"/>
      <c r="AX1241" s="2177"/>
      <c r="AY1241" s="2186">
        <f t="shared" si="2610"/>
        <v>0</v>
      </c>
      <c r="AZ1241" s="2177"/>
      <c r="BA1241" s="2177"/>
      <c r="BB1241" s="2186">
        <f t="shared" si="2611"/>
        <v>0</v>
      </c>
      <c r="BC1241" s="2177"/>
      <c r="BD1241" s="2177"/>
      <c r="BE1241" s="2186">
        <f t="shared" si="2612"/>
        <v>0</v>
      </c>
      <c r="BF1241" s="2177"/>
      <c r="BG1241" s="2177"/>
      <c r="BH1241" s="2186">
        <f t="shared" si="2613"/>
        <v>0</v>
      </c>
      <c r="BI1241" s="2177"/>
      <c r="BJ1241" s="2177"/>
      <c r="BK1241" s="2186">
        <f t="shared" si="2614"/>
        <v>0</v>
      </c>
      <c r="BL1241" s="2177"/>
      <c r="BM1241" s="2177"/>
      <c r="BN1241" s="2186">
        <f t="shared" si="2615"/>
        <v>0</v>
      </c>
      <c r="BO1241" s="2177"/>
      <c r="BP1241" s="2177"/>
      <c r="BQ1241" s="2186">
        <f t="shared" si="2616"/>
        <v>0</v>
      </c>
    </row>
    <row r="1242" spans="3:69" s="2087" customFormat="1" ht="12" hidden="1" customHeight="1">
      <c r="C1242" s="2285" t="s">
        <v>3401</v>
      </c>
      <c r="D1242" s="2421" t="s">
        <v>2434</v>
      </c>
      <c r="E1242" s="2250" t="s">
        <v>1833</v>
      </c>
      <c r="F1242" s="2176"/>
      <c r="G1242" s="2177"/>
      <c r="H1242" s="2177"/>
      <c r="I1242" s="2178">
        <f t="shared" si="2597"/>
        <v>0</v>
      </c>
      <c r="J1242" s="2176"/>
      <c r="K1242" s="2179">
        <f>N1242+Q1242+W1242+AC1242</f>
        <v>0</v>
      </c>
      <c r="L1242" s="2179">
        <f>O1242+R1242+X1242+AD1242</f>
        <v>0</v>
      </c>
      <c r="M1242" s="2178">
        <f t="shared" si="2598"/>
        <v>0</v>
      </c>
      <c r="N1242" s="2177"/>
      <c r="O1242" s="2177"/>
      <c r="P1242" s="2178">
        <f t="shared" si="2599"/>
        <v>0</v>
      </c>
      <c r="Q1242" s="2176"/>
      <c r="R1242" s="2177"/>
      <c r="S1242" s="2178">
        <f t="shared" si="2600"/>
        <v>0</v>
      </c>
      <c r="T1242" s="2179">
        <f>N1242+Q1242</f>
        <v>0</v>
      </c>
      <c r="U1242" s="2179">
        <f>O1242+R1242</f>
        <v>0</v>
      </c>
      <c r="V1242" s="2178">
        <f t="shared" si="2601"/>
        <v>0</v>
      </c>
      <c r="W1242" s="2176"/>
      <c r="X1242" s="2177"/>
      <c r="Y1242" s="2178">
        <f t="shared" si="2602"/>
        <v>0</v>
      </c>
      <c r="Z1242" s="2179">
        <f>T1242+W1242</f>
        <v>0</v>
      </c>
      <c r="AA1242" s="2179">
        <f>U1242+X1242</f>
        <v>0</v>
      </c>
      <c r="AB1242" s="2178">
        <f t="shared" si="2603"/>
        <v>0</v>
      </c>
      <c r="AC1242" s="2176"/>
      <c r="AD1242" s="2177"/>
      <c r="AE1242" s="2178">
        <f t="shared" si="2604"/>
        <v>0</v>
      </c>
      <c r="AF1242" s="2204"/>
      <c r="AG1242" s="2114"/>
      <c r="AH1242" s="2177"/>
      <c r="AI1242" s="2177"/>
      <c r="AJ1242" s="2186">
        <f t="shared" si="2605"/>
        <v>0</v>
      </c>
      <c r="AK1242" s="2177"/>
      <c r="AL1242" s="2177"/>
      <c r="AM1242" s="2186">
        <f t="shared" si="2606"/>
        <v>0</v>
      </c>
      <c r="AN1242" s="2177"/>
      <c r="AO1242" s="2177"/>
      <c r="AP1242" s="2186">
        <f t="shared" si="2607"/>
        <v>0</v>
      </c>
      <c r="AQ1242" s="2177"/>
      <c r="AR1242" s="2177"/>
      <c r="AS1242" s="2186">
        <f t="shared" si="2608"/>
        <v>0</v>
      </c>
      <c r="AT1242" s="2177"/>
      <c r="AU1242" s="2177"/>
      <c r="AV1242" s="2186">
        <f t="shared" si="2609"/>
        <v>0</v>
      </c>
      <c r="AW1242" s="2177"/>
      <c r="AX1242" s="2177"/>
      <c r="AY1242" s="2186">
        <f t="shared" si="2610"/>
        <v>0</v>
      </c>
      <c r="AZ1242" s="2177"/>
      <c r="BA1242" s="2177"/>
      <c r="BB1242" s="2186">
        <f t="shared" si="2611"/>
        <v>0</v>
      </c>
      <c r="BC1242" s="2177"/>
      <c r="BD1242" s="2177"/>
      <c r="BE1242" s="2186">
        <f t="shared" si="2612"/>
        <v>0</v>
      </c>
      <c r="BF1242" s="2177"/>
      <c r="BG1242" s="2177"/>
      <c r="BH1242" s="2186">
        <f t="shared" si="2613"/>
        <v>0</v>
      </c>
      <c r="BI1242" s="2177"/>
      <c r="BJ1242" s="2177"/>
      <c r="BK1242" s="2186">
        <f t="shared" si="2614"/>
        <v>0</v>
      </c>
      <c r="BL1242" s="2177"/>
      <c r="BM1242" s="2177"/>
      <c r="BN1242" s="2186">
        <f t="shared" si="2615"/>
        <v>0</v>
      </c>
      <c r="BO1242" s="2177"/>
      <c r="BP1242" s="2177"/>
      <c r="BQ1242" s="2186">
        <f t="shared" si="2616"/>
        <v>0</v>
      </c>
    </row>
    <row r="1243" spans="3:69" s="2087" customFormat="1" ht="12" hidden="1" customHeight="1">
      <c r="C1243" s="2285" t="s">
        <v>3402</v>
      </c>
      <c r="D1243" s="2418" t="s">
        <v>2872</v>
      </c>
      <c r="E1243" s="2250" t="s">
        <v>1833</v>
      </c>
      <c r="F1243" s="2176"/>
      <c r="G1243" s="2177"/>
      <c r="H1243" s="2177"/>
      <c r="I1243" s="2178">
        <f t="shared" si="2597"/>
        <v>0</v>
      </c>
      <c r="J1243" s="2176"/>
      <c r="K1243" s="2179">
        <f t="shared" si="2578"/>
        <v>0</v>
      </c>
      <c r="L1243" s="2179">
        <f t="shared" si="2578"/>
        <v>0</v>
      </c>
      <c r="M1243" s="2178">
        <f t="shared" si="2598"/>
        <v>0</v>
      </c>
      <c r="N1243" s="2177"/>
      <c r="O1243" s="2177"/>
      <c r="P1243" s="2178">
        <f t="shared" si="2599"/>
        <v>0</v>
      </c>
      <c r="Q1243" s="2176"/>
      <c r="R1243" s="2177"/>
      <c r="S1243" s="2178">
        <f t="shared" si="2600"/>
        <v>0</v>
      </c>
      <c r="T1243" s="2181">
        <f t="shared" si="2581"/>
        <v>0</v>
      </c>
      <c r="U1243" s="2179">
        <f t="shared" si="2581"/>
        <v>0</v>
      </c>
      <c r="V1243" s="2178">
        <f t="shared" si="2601"/>
        <v>0</v>
      </c>
      <c r="W1243" s="2176"/>
      <c r="X1243" s="2177"/>
      <c r="Y1243" s="2178">
        <f t="shared" si="2602"/>
        <v>0</v>
      </c>
      <c r="Z1243" s="2181">
        <f t="shared" si="2583"/>
        <v>0</v>
      </c>
      <c r="AA1243" s="2179">
        <f t="shared" si="2583"/>
        <v>0</v>
      </c>
      <c r="AB1243" s="2178">
        <f t="shared" si="2603"/>
        <v>0</v>
      </c>
      <c r="AC1243" s="2176"/>
      <c r="AD1243" s="2177"/>
      <c r="AE1243" s="2178">
        <f t="shared" si="2604"/>
        <v>0</v>
      </c>
      <c r="AF1243" s="2204"/>
      <c r="AG1243" s="2114"/>
      <c r="AH1243" s="2177"/>
      <c r="AI1243" s="2177"/>
      <c r="AJ1243" s="2186">
        <f t="shared" si="2605"/>
        <v>0</v>
      </c>
      <c r="AK1243" s="2177"/>
      <c r="AL1243" s="2177"/>
      <c r="AM1243" s="2186">
        <f t="shared" si="2606"/>
        <v>0</v>
      </c>
      <c r="AN1243" s="2177"/>
      <c r="AO1243" s="2177"/>
      <c r="AP1243" s="2186">
        <f t="shared" si="2607"/>
        <v>0</v>
      </c>
      <c r="AQ1243" s="2177"/>
      <c r="AR1243" s="2177"/>
      <c r="AS1243" s="2186">
        <f t="shared" si="2608"/>
        <v>0</v>
      </c>
      <c r="AT1243" s="2177"/>
      <c r="AU1243" s="2177"/>
      <c r="AV1243" s="2186">
        <f t="shared" si="2609"/>
        <v>0</v>
      </c>
      <c r="AW1243" s="2177"/>
      <c r="AX1243" s="2177"/>
      <c r="AY1243" s="2186">
        <f t="shared" si="2610"/>
        <v>0</v>
      </c>
      <c r="AZ1243" s="2177"/>
      <c r="BA1243" s="2177"/>
      <c r="BB1243" s="2186">
        <f t="shared" si="2611"/>
        <v>0</v>
      </c>
      <c r="BC1243" s="2177"/>
      <c r="BD1243" s="2177"/>
      <c r="BE1243" s="2186">
        <f t="shared" si="2612"/>
        <v>0</v>
      </c>
      <c r="BF1243" s="2177"/>
      <c r="BG1243" s="2177"/>
      <c r="BH1243" s="2186">
        <f t="shared" si="2613"/>
        <v>0</v>
      </c>
      <c r="BI1243" s="2177"/>
      <c r="BJ1243" s="2177"/>
      <c r="BK1243" s="2186">
        <f t="shared" si="2614"/>
        <v>0</v>
      </c>
      <c r="BL1243" s="2177"/>
      <c r="BM1243" s="2177"/>
      <c r="BN1243" s="2186">
        <f t="shared" si="2615"/>
        <v>0</v>
      </c>
      <c r="BO1243" s="2177"/>
      <c r="BP1243" s="2177"/>
      <c r="BQ1243" s="2186">
        <f t="shared" si="2616"/>
        <v>0</v>
      </c>
    </row>
    <row r="1244" spans="3:69" s="2087" customFormat="1" ht="12" hidden="1" customHeight="1">
      <c r="C1244" s="2285" t="s">
        <v>3403</v>
      </c>
      <c r="D1244" s="2421" t="s">
        <v>2434</v>
      </c>
      <c r="E1244" s="2250" t="s">
        <v>1833</v>
      </c>
      <c r="F1244" s="2176"/>
      <c r="G1244" s="2177"/>
      <c r="H1244" s="2177"/>
      <c r="I1244" s="2178">
        <f t="shared" si="2597"/>
        <v>0</v>
      </c>
      <c r="J1244" s="2176"/>
      <c r="K1244" s="2179">
        <f>N1244+Q1244+W1244+AC1244</f>
        <v>0</v>
      </c>
      <c r="L1244" s="2179">
        <f>O1244+R1244+X1244+AD1244</f>
        <v>0</v>
      </c>
      <c r="M1244" s="2178">
        <f t="shared" si="2598"/>
        <v>0</v>
      </c>
      <c r="N1244" s="2177"/>
      <c r="O1244" s="2177"/>
      <c r="P1244" s="2178">
        <f t="shared" si="2599"/>
        <v>0</v>
      </c>
      <c r="Q1244" s="2176"/>
      <c r="R1244" s="2177"/>
      <c r="S1244" s="2178">
        <f t="shared" si="2600"/>
        <v>0</v>
      </c>
      <c r="T1244" s="2179">
        <f>N1244+Q1244</f>
        <v>0</v>
      </c>
      <c r="U1244" s="2179">
        <f>O1244+R1244</f>
        <v>0</v>
      </c>
      <c r="V1244" s="2178">
        <f t="shared" si="2601"/>
        <v>0</v>
      </c>
      <c r="W1244" s="2176"/>
      <c r="X1244" s="2177"/>
      <c r="Y1244" s="2178">
        <f t="shared" si="2602"/>
        <v>0</v>
      </c>
      <c r="Z1244" s="2179">
        <f>T1244+W1244</f>
        <v>0</v>
      </c>
      <c r="AA1244" s="2179">
        <f>U1244+X1244</f>
        <v>0</v>
      </c>
      <c r="AB1244" s="2178">
        <f t="shared" si="2603"/>
        <v>0</v>
      </c>
      <c r="AC1244" s="2176"/>
      <c r="AD1244" s="2177"/>
      <c r="AE1244" s="2178">
        <f t="shared" si="2604"/>
        <v>0</v>
      </c>
      <c r="AF1244" s="2204"/>
      <c r="AG1244" s="2114"/>
      <c r="AH1244" s="2177"/>
      <c r="AI1244" s="2177"/>
      <c r="AJ1244" s="2186">
        <f t="shared" si="2605"/>
        <v>0</v>
      </c>
      <c r="AK1244" s="2177"/>
      <c r="AL1244" s="2177"/>
      <c r="AM1244" s="2186">
        <f t="shared" si="2606"/>
        <v>0</v>
      </c>
      <c r="AN1244" s="2177"/>
      <c r="AO1244" s="2177"/>
      <c r="AP1244" s="2186">
        <f t="shared" si="2607"/>
        <v>0</v>
      </c>
      <c r="AQ1244" s="2177"/>
      <c r="AR1244" s="2177"/>
      <c r="AS1244" s="2186">
        <f t="shared" si="2608"/>
        <v>0</v>
      </c>
      <c r="AT1244" s="2177"/>
      <c r="AU1244" s="2177"/>
      <c r="AV1244" s="2186">
        <f t="shared" si="2609"/>
        <v>0</v>
      </c>
      <c r="AW1244" s="2177"/>
      <c r="AX1244" s="2177"/>
      <c r="AY1244" s="2186">
        <f t="shared" si="2610"/>
        <v>0</v>
      </c>
      <c r="AZ1244" s="2177"/>
      <c r="BA1244" s="2177"/>
      <c r="BB1244" s="2186">
        <f t="shared" si="2611"/>
        <v>0</v>
      </c>
      <c r="BC1244" s="2177"/>
      <c r="BD1244" s="2177"/>
      <c r="BE1244" s="2186">
        <f t="shared" si="2612"/>
        <v>0</v>
      </c>
      <c r="BF1244" s="2177"/>
      <c r="BG1244" s="2177"/>
      <c r="BH1244" s="2186">
        <f t="shared" si="2613"/>
        <v>0</v>
      </c>
      <c r="BI1244" s="2177"/>
      <c r="BJ1244" s="2177"/>
      <c r="BK1244" s="2186">
        <f t="shared" si="2614"/>
        <v>0</v>
      </c>
      <c r="BL1244" s="2177"/>
      <c r="BM1244" s="2177"/>
      <c r="BN1244" s="2186">
        <f t="shared" si="2615"/>
        <v>0</v>
      </c>
      <c r="BO1244" s="2177"/>
      <c r="BP1244" s="2177"/>
      <c r="BQ1244" s="2186">
        <f t="shared" si="2616"/>
        <v>0</v>
      </c>
    </row>
    <row r="1245" spans="3:69" s="2087" customFormat="1" ht="12" hidden="1" customHeight="1">
      <c r="C1245" s="2285" t="s">
        <v>3404</v>
      </c>
      <c r="D1245" s="2418" t="s">
        <v>42</v>
      </c>
      <c r="E1245" s="2250" t="s">
        <v>1833</v>
      </c>
      <c r="F1245" s="2176"/>
      <c r="G1245" s="2177"/>
      <c r="H1245" s="2177"/>
      <c r="I1245" s="2178">
        <f t="shared" si="2597"/>
        <v>0</v>
      </c>
      <c r="J1245" s="2176"/>
      <c r="K1245" s="2179">
        <f t="shared" si="2578"/>
        <v>0</v>
      </c>
      <c r="L1245" s="2179">
        <f t="shared" si="2578"/>
        <v>0</v>
      </c>
      <c r="M1245" s="2178">
        <f t="shared" si="2598"/>
        <v>0</v>
      </c>
      <c r="N1245" s="2177"/>
      <c r="O1245" s="2177"/>
      <c r="P1245" s="2178">
        <f t="shared" si="2599"/>
        <v>0</v>
      </c>
      <c r="Q1245" s="2176"/>
      <c r="R1245" s="2177"/>
      <c r="S1245" s="2178">
        <f t="shared" si="2600"/>
        <v>0</v>
      </c>
      <c r="T1245" s="2181">
        <f t="shared" si="2581"/>
        <v>0</v>
      </c>
      <c r="U1245" s="2179">
        <f t="shared" si="2581"/>
        <v>0</v>
      </c>
      <c r="V1245" s="2178">
        <f t="shared" si="2601"/>
        <v>0</v>
      </c>
      <c r="W1245" s="2176"/>
      <c r="X1245" s="2177"/>
      <c r="Y1245" s="2178">
        <f t="shared" si="2602"/>
        <v>0</v>
      </c>
      <c r="Z1245" s="2181">
        <f t="shared" si="2583"/>
        <v>0</v>
      </c>
      <c r="AA1245" s="2179">
        <f t="shared" si="2583"/>
        <v>0</v>
      </c>
      <c r="AB1245" s="2178">
        <f t="shared" si="2603"/>
        <v>0</v>
      </c>
      <c r="AC1245" s="2176"/>
      <c r="AD1245" s="2177"/>
      <c r="AE1245" s="2178">
        <f t="shared" si="2604"/>
        <v>0</v>
      </c>
      <c r="AF1245" s="2204"/>
      <c r="AG1245" s="2114"/>
      <c r="AH1245" s="2177"/>
      <c r="AI1245" s="2177"/>
      <c r="AJ1245" s="2186">
        <f t="shared" si="2605"/>
        <v>0</v>
      </c>
      <c r="AK1245" s="2177"/>
      <c r="AL1245" s="2177"/>
      <c r="AM1245" s="2186">
        <f t="shared" si="2606"/>
        <v>0</v>
      </c>
      <c r="AN1245" s="2177"/>
      <c r="AO1245" s="2177"/>
      <c r="AP1245" s="2186">
        <f t="shared" si="2607"/>
        <v>0</v>
      </c>
      <c r="AQ1245" s="2177"/>
      <c r="AR1245" s="2177"/>
      <c r="AS1245" s="2186">
        <f t="shared" si="2608"/>
        <v>0</v>
      </c>
      <c r="AT1245" s="2177"/>
      <c r="AU1245" s="2177"/>
      <c r="AV1245" s="2186">
        <f t="shared" si="2609"/>
        <v>0</v>
      </c>
      <c r="AW1245" s="2177"/>
      <c r="AX1245" s="2177"/>
      <c r="AY1245" s="2186">
        <f t="shared" si="2610"/>
        <v>0</v>
      </c>
      <c r="AZ1245" s="2177"/>
      <c r="BA1245" s="2177"/>
      <c r="BB1245" s="2186">
        <f t="shared" si="2611"/>
        <v>0</v>
      </c>
      <c r="BC1245" s="2177"/>
      <c r="BD1245" s="2177"/>
      <c r="BE1245" s="2186">
        <f t="shared" si="2612"/>
        <v>0</v>
      </c>
      <c r="BF1245" s="2177"/>
      <c r="BG1245" s="2177"/>
      <c r="BH1245" s="2186">
        <f t="shared" si="2613"/>
        <v>0</v>
      </c>
      <c r="BI1245" s="2177"/>
      <c r="BJ1245" s="2177"/>
      <c r="BK1245" s="2186">
        <f t="shared" si="2614"/>
        <v>0</v>
      </c>
      <c r="BL1245" s="2177"/>
      <c r="BM1245" s="2177"/>
      <c r="BN1245" s="2186">
        <f t="shared" si="2615"/>
        <v>0</v>
      </c>
      <c r="BO1245" s="2177"/>
      <c r="BP1245" s="2177"/>
      <c r="BQ1245" s="2186">
        <f t="shared" si="2616"/>
        <v>0</v>
      </c>
    </row>
    <row r="1246" spans="3:69" s="2087" customFormat="1" ht="12" hidden="1" customHeight="1">
      <c r="C1246" s="2285" t="s">
        <v>3405</v>
      </c>
      <c r="D1246" s="2421" t="s">
        <v>2434</v>
      </c>
      <c r="E1246" s="2250" t="s">
        <v>1833</v>
      </c>
      <c r="F1246" s="2176"/>
      <c r="G1246" s="2177"/>
      <c r="H1246" s="2177"/>
      <c r="I1246" s="2178">
        <f t="shared" si="2597"/>
        <v>0</v>
      </c>
      <c r="J1246" s="2176"/>
      <c r="K1246" s="2179">
        <f>N1246+Q1246+W1246+AC1246</f>
        <v>0</v>
      </c>
      <c r="L1246" s="2179">
        <f>O1246+R1246+X1246+AD1246</f>
        <v>0</v>
      </c>
      <c r="M1246" s="2178">
        <f t="shared" si="2598"/>
        <v>0</v>
      </c>
      <c r="N1246" s="2177"/>
      <c r="O1246" s="2177"/>
      <c r="P1246" s="2178">
        <f t="shared" si="2599"/>
        <v>0</v>
      </c>
      <c r="Q1246" s="2176"/>
      <c r="R1246" s="2177"/>
      <c r="S1246" s="2178">
        <f t="shared" si="2600"/>
        <v>0</v>
      </c>
      <c r="T1246" s="2179">
        <f>N1246+Q1246</f>
        <v>0</v>
      </c>
      <c r="U1246" s="2179">
        <f>O1246+R1246</f>
        <v>0</v>
      </c>
      <c r="V1246" s="2178">
        <f t="shared" si="2601"/>
        <v>0</v>
      </c>
      <c r="W1246" s="2176"/>
      <c r="X1246" s="2177"/>
      <c r="Y1246" s="2178">
        <f t="shared" si="2602"/>
        <v>0</v>
      </c>
      <c r="Z1246" s="2179">
        <f>T1246+W1246</f>
        <v>0</v>
      </c>
      <c r="AA1246" s="2179">
        <f>U1246+X1246</f>
        <v>0</v>
      </c>
      <c r="AB1246" s="2178">
        <f t="shared" si="2603"/>
        <v>0</v>
      </c>
      <c r="AC1246" s="2176"/>
      <c r="AD1246" s="2177"/>
      <c r="AE1246" s="2178">
        <f t="shared" si="2604"/>
        <v>0</v>
      </c>
      <c r="AF1246" s="2204"/>
      <c r="AG1246" s="2114"/>
      <c r="AH1246" s="2177"/>
      <c r="AI1246" s="2177"/>
      <c r="AJ1246" s="2186">
        <f t="shared" si="2605"/>
        <v>0</v>
      </c>
      <c r="AK1246" s="2177"/>
      <c r="AL1246" s="2177"/>
      <c r="AM1246" s="2186">
        <f t="shared" si="2606"/>
        <v>0</v>
      </c>
      <c r="AN1246" s="2177"/>
      <c r="AO1246" s="2177"/>
      <c r="AP1246" s="2186">
        <f t="shared" si="2607"/>
        <v>0</v>
      </c>
      <c r="AQ1246" s="2177"/>
      <c r="AR1246" s="2177"/>
      <c r="AS1246" s="2186">
        <f t="shared" si="2608"/>
        <v>0</v>
      </c>
      <c r="AT1246" s="2177"/>
      <c r="AU1246" s="2177"/>
      <c r="AV1246" s="2186">
        <f t="shared" si="2609"/>
        <v>0</v>
      </c>
      <c r="AW1246" s="2177"/>
      <c r="AX1246" s="2177"/>
      <c r="AY1246" s="2186">
        <f t="shared" si="2610"/>
        <v>0</v>
      </c>
      <c r="AZ1246" s="2177"/>
      <c r="BA1246" s="2177"/>
      <c r="BB1246" s="2186">
        <f t="shared" si="2611"/>
        <v>0</v>
      </c>
      <c r="BC1246" s="2177"/>
      <c r="BD1246" s="2177"/>
      <c r="BE1246" s="2186">
        <f t="shared" si="2612"/>
        <v>0</v>
      </c>
      <c r="BF1246" s="2177"/>
      <c r="BG1246" s="2177"/>
      <c r="BH1246" s="2186">
        <f t="shared" si="2613"/>
        <v>0</v>
      </c>
      <c r="BI1246" s="2177"/>
      <c r="BJ1246" s="2177"/>
      <c r="BK1246" s="2186">
        <f t="shared" si="2614"/>
        <v>0</v>
      </c>
      <c r="BL1246" s="2177"/>
      <c r="BM1246" s="2177"/>
      <c r="BN1246" s="2186">
        <f t="shared" si="2615"/>
        <v>0</v>
      </c>
      <c r="BO1246" s="2177"/>
      <c r="BP1246" s="2177"/>
      <c r="BQ1246" s="2186">
        <f t="shared" si="2616"/>
        <v>0</v>
      </c>
    </row>
    <row r="1247" spans="3:69" s="2159" customFormat="1" ht="12" hidden="1" customHeight="1">
      <c r="C1247" s="2474" t="s">
        <v>3406</v>
      </c>
      <c r="D1247" s="2476" t="s">
        <v>3407</v>
      </c>
      <c r="E1247" s="2120" t="s">
        <v>1833</v>
      </c>
      <c r="F1247" s="2162"/>
      <c r="G1247" s="2163">
        <f>G1248+G1250+G1252</f>
        <v>0</v>
      </c>
      <c r="H1247" s="2163">
        <f>H1248+H1250+H1252</f>
        <v>0</v>
      </c>
      <c r="I1247" s="2164">
        <f t="shared" si="2597"/>
        <v>0</v>
      </c>
      <c r="J1247" s="2162"/>
      <c r="K1247" s="2163">
        <f t="shared" si="2578"/>
        <v>0</v>
      </c>
      <c r="L1247" s="2163">
        <f t="shared" si="2578"/>
        <v>0</v>
      </c>
      <c r="M1247" s="2164">
        <f t="shared" si="2598"/>
        <v>0</v>
      </c>
      <c r="N1247" s="2163">
        <f>N1248+N1250+N1252</f>
        <v>0</v>
      </c>
      <c r="O1247" s="2163">
        <f>O1248+O1250+O1252</f>
        <v>0</v>
      </c>
      <c r="P1247" s="2164">
        <f t="shared" si="2599"/>
        <v>0</v>
      </c>
      <c r="Q1247" s="2163">
        <f>Q1248+Q1250+Q1252</f>
        <v>0</v>
      </c>
      <c r="R1247" s="2163">
        <f>R1248+R1250+R1252</f>
        <v>0</v>
      </c>
      <c r="S1247" s="2164">
        <f t="shared" si="2600"/>
        <v>0</v>
      </c>
      <c r="T1247" s="2167">
        <f t="shared" si="2581"/>
        <v>0</v>
      </c>
      <c r="U1247" s="2163">
        <f t="shared" si="2581"/>
        <v>0</v>
      </c>
      <c r="V1247" s="2164">
        <f t="shared" si="2601"/>
        <v>0</v>
      </c>
      <c r="W1247" s="2163">
        <f>W1248+W1250+W1252</f>
        <v>0</v>
      </c>
      <c r="X1247" s="2163">
        <f>X1248+X1250+X1252</f>
        <v>0</v>
      </c>
      <c r="Y1247" s="2164">
        <f t="shared" si="2602"/>
        <v>0</v>
      </c>
      <c r="Z1247" s="2167">
        <f t="shared" si="2583"/>
        <v>0</v>
      </c>
      <c r="AA1247" s="2163">
        <f t="shared" si="2583"/>
        <v>0</v>
      </c>
      <c r="AB1247" s="2164">
        <f t="shared" si="2603"/>
        <v>0</v>
      </c>
      <c r="AC1247" s="2163">
        <f>AC1248+AC1250+AC1252</f>
        <v>0</v>
      </c>
      <c r="AD1247" s="2163">
        <f>AD1248+AD1250+AD1252</f>
        <v>0</v>
      </c>
      <c r="AE1247" s="2164">
        <f t="shared" si="2604"/>
        <v>0</v>
      </c>
      <c r="AF1247" s="2204"/>
      <c r="AG1247" s="2158"/>
      <c r="AH1247" s="2171">
        <f>AH1248+AH1250+AH1252</f>
        <v>0</v>
      </c>
      <c r="AI1247" s="2171">
        <f>AI1248+AI1250+AI1252</f>
        <v>0</v>
      </c>
      <c r="AJ1247" s="2172">
        <f t="shared" si="2605"/>
        <v>0</v>
      </c>
      <c r="AK1247" s="2171">
        <f>AK1248+AK1250+AK1252</f>
        <v>0</v>
      </c>
      <c r="AL1247" s="2171">
        <f>AL1248+AL1250+AL1252</f>
        <v>0</v>
      </c>
      <c r="AM1247" s="2172">
        <f t="shared" si="2606"/>
        <v>0</v>
      </c>
      <c r="AN1247" s="2171">
        <f>AN1248+AN1250+AN1252</f>
        <v>0</v>
      </c>
      <c r="AO1247" s="2171">
        <f>AO1248+AO1250+AO1252</f>
        <v>0</v>
      </c>
      <c r="AP1247" s="2172">
        <f t="shared" si="2607"/>
        <v>0</v>
      </c>
      <c r="AQ1247" s="2171">
        <f>AQ1248+AQ1250+AQ1252</f>
        <v>0</v>
      </c>
      <c r="AR1247" s="2171">
        <f>AR1248+AR1250+AR1252</f>
        <v>0</v>
      </c>
      <c r="AS1247" s="2172">
        <f t="shared" si="2608"/>
        <v>0</v>
      </c>
      <c r="AT1247" s="2171">
        <f>AT1248+AT1250+AT1252</f>
        <v>0</v>
      </c>
      <c r="AU1247" s="2171">
        <f>AU1248+AU1250+AU1252</f>
        <v>0</v>
      </c>
      <c r="AV1247" s="2172">
        <f t="shared" si="2609"/>
        <v>0</v>
      </c>
      <c r="AW1247" s="2171">
        <f>AW1248+AW1250+AW1252</f>
        <v>0</v>
      </c>
      <c r="AX1247" s="2171">
        <f>AX1248+AX1250+AX1252</f>
        <v>0</v>
      </c>
      <c r="AY1247" s="2172">
        <f t="shared" si="2610"/>
        <v>0</v>
      </c>
      <c r="AZ1247" s="2171">
        <f>AZ1248+AZ1250+AZ1252</f>
        <v>0</v>
      </c>
      <c r="BA1247" s="2171">
        <f>BA1248+BA1250+BA1252</f>
        <v>0</v>
      </c>
      <c r="BB1247" s="2172">
        <f t="shared" si="2611"/>
        <v>0</v>
      </c>
      <c r="BC1247" s="2171">
        <f>BC1248+BC1250+BC1252</f>
        <v>0</v>
      </c>
      <c r="BD1247" s="2171">
        <f>BD1248+BD1250+BD1252</f>
        <v>0</v>
      </c>
      <c r="BE1247" s="2172">
        <f t="shared" si="2612"/>
        <v>0</v>
      </c>
      <c r="BF1247" s="2171">
        <f>BF1248+BF1250+BF1252</f>
        <v>0</v>
      </c>
      <c r="BG1247" s="2171">
        <f>BG1248+BG1250+BG1252</f>
        <v>0</v>
      </c>
      <c r="BH1247" s="2172">
        <f t="shared" si="2613"/>
        <v>0</v>
      </c>
      <c r="BI1247" s="2171">
        <f>BI1248+BI1250+BI1252</f>
        <v>0</v>
      </c>
      <c r="BJ1247" s="2171">
        <f>BJ1248+BJ1250+BJ1252</f>
        <v>0</v>
      </c>
      <c r="BK1247" s="2172">
        <f t="shared" si="2614"/>
        <v>0</v>
      </c>
      <c r="BL1247" s="2171">
        <f>BL1248+BL1250+BL1252</f>
        <v>0</v>
      </c>
      <c r="BM1247" s="2171">
        <f>BM1248+BM1250+BM1252</f>
        <v>0</v>
      </c>
      <c r="BN1247" s="2172">
        <f t="shared" si="2615"/>
        <v>0</v>
      </c>
      <c r="BO1247" s="2171">
        <f>BO1248+BO1250+BO1252</f>
        <v>0</v>
      </c>
      <c r="BP1247" s="2171">
        <f>BP1248+BP1250+BP1252</f>
        <v>0</v>
      </c>
      <c r="BQ1247" s="2172">
        <f t="shared" si="2616"/>
        <v>0</v>
      </c>
    </row>
    <row r="1248" spans="3:69" s="2087" customFormat="1" ht="12" hidden="1" customHeight="1">
      <c r="C1248" s="2423" t="s">
        <v>3408</v>
      </c>
      <c r="D1248" s="2418" t="s">
        <v>28</v>
      </c>
      <c r="E1248" s="2250" t="s">
        <v>1833</v>
      </c>
      <c r="F1248" s="2176"/>
      <c r="G1248" s="2177"/>
      <c r="H1248" s="2177"/>
      <c r="I1248" s="2178">
        <f t="shared" si="2597"/>
        <v>0</v>
      </c>
      <c r="J1248" s="2176"/>
      <c r="K1248" s="2179">
        <f t="shared" si="2578"/>
        <v>0</v>
      </c>
      <c r="L1248" s="2179">
        <f t="shared" si="2578"/>
        <v>0</v>
      </c>
      <c r="M1248" s="2178">
        <f t="shared" si="2598"/>
        <v>0</v>
      </c>
      <c r="N1248" s="2177"/>
      <c r="O1248" s="2177"/>
      <c r="P1248" s="2178">
        <f t="shared" si="2599"/>
        <v>0</v>
      </c>
      <c r="Q1248" s="2176"/>
      <c r="R1248" s="2177"/>
      <c r="S1248" s="2178">
        <f t="shared" si="2600"/>
        <v>0</v>
      </c>
      <c r="T1248" s="2181">
        <f t="shared" si="2581"/>
        <v>0</v>
      </c>
      <c r="U1248" s="2179">
        <f t="shared" si="2581"/>
        <v>0</v>
      </c>
      <c r="V1248" s="2178">
        <f t="shared" si="2601"/>
        <v>0</v>
      </c>
      <c r="W1248" s="2176"/>
      <c r="X1248" s="2177"/>
      <c r="Y1248" s="2178">
        <f t="shared" si="2602"/>
        <v>0</v>
      </c>
      <c r="Z1248" s="2181">
        <f t="shared" si="2583"/>
        <v>0</v>
      </c>
      <c r="AA1248" s="2179">
        <f t="shared" si="2583"/>
        <v>0</v>
      </c>
      <c r="AB1248" s="2178">
        <f t="shared" si="2603"/>
        <v>0</v>
      </c>
      <c r="AC1248" s="2176"/>
      <c r="AD1248" s="2177"/>
      <c r="AE1248" s="2178">
        <f t="shared" si="2604"/>
        <v>0</v>
      </c>
      <c r="AF1248" s="2204"/>
      <c r="AG1248" s="2114"/>
      <c r="AH1248" s="2177"/>
      <c r="AI1248" s="2177"/>
      <c r="AJ1248" s="2186">
        <f t="shared" si="2605"/>
        <v>0</v>
      </c>
      <c r="AK1248" s="2177"/>
      <c r="AL1248" s="2177"/>
      <c r="AM1248" s="2186">
        <f t="shared" si="2606"/>
        <v>0</v>
      </c>
      <c r="AN1248" s="2177"/>
      <c r="AO1248" s="2177"/>
      <c r="AP1248" s="2186">
        <f t="shared" si="2607"/>
        <v>0</v>
      </c>
      <c r="AQ1248" s="2177"/>
      <c r="AR1248" s="2177"/>
      <c r="AS1248" s="2186">
        <f t="shared" si="2608"/>
        <v>0</v>
      </c>
      <c r="AT1248" s="2177"/>
      <c r="AU1248" s="2177"/>
      <c r="AV1248" s="2186">
        <f t="shared" si="2609"/>
        <v>0</v>
      </c>
      <c r="AW1248" s="2177"/>
      <c r="AX1248" s="2177"/>
      <c r="AY1248" s="2186">
        <f t="shared" si="2610"/>
        <v>0</v>
      </c>
      <c r="AZ1248" s="2177"/>
      <c r="BA1248" s="2177"/>
      <c r="BB1248" s="2186">
        <f t="shared" si="2611"/>
        <v>0</v>
      </c>
      <c r="BC1248" s="2177"/>
      <c r="BD1248" s="2177"/>
      <c r="BE1248" s="2186">
        <f t="shared" si="2612"/>
        <v>0</v>
      </c>
      <c r="BF1248" s="2177"/>
      <c r="BG1248" s="2177"/>
      <c r="BH1248" s="2186">
        <f t="shared" si="2613"/>
        <v>0</v>
      </c>
      <c r="BI1248" s="2177"/>
      <c r="BJ1248" s="2177"/>
      <c r="BK1248" s="2186">
        <f t="shared" si="2614"/>
        <v>0</v>
      </c>
      <c r="BL1248" s="2177"/>
      <c r="BM1248" s="2177"/>
      <c r="BN1248" s="2186">
        <f t="shared" si="2615"/>
        <v>0</v>
      </c>
      <c r="BO1248" s="2177"/>
      <c r="BP1248" s="2177"/>
      <c r="BQ1248" s="2186">
        <f t="shared" si="2616"/>
        <v>0</v>
      </c>
    </row>
    <row r="1249" spans="3:69" s="2087" customFormat="1" ht="12" hidden="1" customHeight="1">
      <c r="C1249" s="2423" t="s">
        <v>3409</v>
      </c>
      <c r="D1249" s="2421" t="s">
        <v>2434</v>
      </c>
      <c r="E1249" s="2250" t="s">
        <v>1833</v>
      </c>
      <c r="F1249" s="2176"/>
      <c r="G1249" s="2177"/>
      <c r="H1249" s="2177"/>
      <c r="I1249" s="2178">
        <f t="shared" si="2597"/>
        <v>0</v>
      </c>
      <c r="J1249" s="2176"/>
      <c r="K1249" s="2179">
        <f>N1249+Q1249+W1249+AC1249</f>
        <v>0</v>
      </c>
      <c r="L1249" s="2179">
        <f>O1249+R1249+X1249+AD1249</f>
        <v>0</v>
      </c>
      <c r="M1249" s="2178">
        <f t="shared" si="2598"/>
        <v>0</v>
      </c>
      <c r="N1249" s="2177"/>
      <c r="O1249" s="2177"/>
      <c r="P1249" s="2178">
        <f t="shared" si="2599"/>
        <v>0</v>
      </c>
      <c r="Q1249" s="2176"/>
      <c r="R1249" s="2177"/>
      <c r="S1249" s="2178">
        <f t="shared" si="2600"/>
        <v>0</v>
      </c>
      <c r="T1249" s="2179">
        <f>N1249+Q1249</f>
        <v>0</v>
      </c>
      <c r="U1249" s="2179">
        <f>O1249+R1249</f>
        <v>0</v>
      </c>
      <c r="V1249" s="2178">
        <f t="shared" si="2601"/>
        <v>0</v>
      </c>
      <c r="W1249" s="2176"/>
      <c r="X1249" s="2177"/>
      <c r="Y1249" s="2178">
        <f t="shared" si="2602"/>
        <v>0</v>
      </c>
      <c r="Z1249" s="2179">
        <f>T1249+W1249</f>
        <v>0</v>
      </c>
      <c r="AA1249" s="2179">
        <f>U1249+X1249</f>
        <v>0</v>
      </c>
      <c r="AB1249" s="2178">
        <f t="shared" si="2603"/>
        <v>0</v>
      </c>
      <c r="AC1249" s="2176"/>
      <c r="AD1249" s="2177"/>
      <c r="AE1249" s="2178">
        <f t="shared" si="2604"/>
        <v>0</v>
      </c>
      <c r="AF1249" s="2204"/>
      <c r="AG1249" s="2114"/>
      <c r="AH1249" s="2177"/>
      <c r="AI1249" s="2177"/>
      <c r="AJ1249" s="2186">
        <f t="shared" si="2605"/>
        <v>0</v>
      </c>
      <c r="AK1249" s="2177"/>
      <c r="AL1249" s="2177"/>
      <c r="AM1249" s="2186">
        <f t="shared" si="2606"/>
        <v>0</v>
      </c>
      <c r="AN1249" s="2177"/>
      <c r="AO1249" s="2177"/>
      <c r="AP1249" s="2186">
        <f t="shared" si="2607"/>
        <v>0</v>
      </c>
      <c r="AQ1249" s="2177"/>
      <c r="AR1249" s="2177"/>
      <c r="AS1249" s="2186">
        <f t="shared" si="2608"/>
        <v>0</v>
      </c>
      <c r="AT1249" s="2177"/>
      <c r="AU1249" s="2177"/>
      <c r="AV1249" s="2186">
        <f t="shared" si="2609"/>
        <v>0</v>
      </c>
      <c r="AW1249" s="2177"/>
      <c r="AX1249" s="2177"/>
      <c r="AY1249" s="2186">
        <f t="shared" si="2610"/>
        <v>0</v>
      </c>
      <c r="AZ1249" s="2177"/>
      <c r="BA1249" s="2177"/>
      <c r="BB1249" s="2186">
        <f t="shared" si="2611"/>
        <v>0</v>
      </c>
      <c r="BC1249" s="2177"/>
      <c r="BD1249" s="2177"/>
      <c r="BE1249" s="2186">
        <f t="shared" si="2612"/>
        <v>0</v>
      </c>
      <c r="BF1249" s="2177"/>
      <c r="BG1249" s="2177"/>
      <c r="BH1249" s="2186">
        <f t="shared" si="2613"/>
        <v>0</v>
      </c>
      <c r="BI1249" s="2177"/>
      <c r="BJ1249" s="2177"/>
      <c r="BK1249" s="2186">
        <f t="shared" si="2614"/>
        <v>0</v>
      </c>
      <c r="BL1249" s="2177"/>
      <c r="BM1249" s="2177"/>
      <c r="BN1249" s="2186">
        <f t="shared" si="2615"/>
        <v>0</v>
      </c>
      <c r="BO1249" s="2177"/>
      <c r="BP1249" s="2177"/>
      <c r="BQ1249" s="2186">
        <f t="shared" si="2616"/>
        <v>0</v>
      </c>
    </row>
    <row r="1250" spans="3:69" s="2087" customFormat="1" ht="12" hidden="1" customHeight="1">
      <c r="C1250" s="2423" t="s">
        <v>3410</v>
      </c>
      <c r="D1250" s="2418" t="s">
        <v>2872</v>
      </c>
      <c r="E1250" s="2250" t="s">
        <v>1833</v>
      </c>
      <c r="F1250" s="2176"/>
      <c r="G1250" s="2177"/>
      <c r="H1250" s="2177"/>
      <c r="I1250" s="2178">
        <f t="shared" si="2597"/>
        <v>0</v>
      </c>
      <c r="J1250" s="2176"/>
      <c r="K1250" s="2179">
        <f t="shared" si="2578"/>
        <v>0</v>
      </c>
      <c r="L1250" s="2179">
        <f t="shared" si="2578"/>
        <v>0</v>
      </c>
      <c r="M1250" s="2178">
        <f t="shared" si="2598"/>
        <v>0</v>
      </c>
      <c r="N1250" s="2177"/>
      <c r="O1250" s="2177"/>
      <c r="P1250" s="2178">
        <f t="shared" si="2599"/>
        <v>0</v>
      </c>
      <c r="Q1250" s="2176"/>
      <c r="R1250" s="2177"/>
      <c r="S1250" s="2178">
        <f t="shared" si="2600"/>
        <v>0</v>
      </c>
      <c r="T1250" s="2181">
        <f t="shared" si="2581"/>
        <v>0</v>
      </c>
      <c r="U1250" s="2179">
        <f t="shared" si="2581"/>
        <v>0</v>
      </c>
      <c r="V1250" s="2178">
        <f t="shared" si="2601"/>
        <v>0</v>
      </c>
      <c r="W1250" s="2176"/>
      <c r="X1250" s="2177"/>
      <c r="Y1250" s="2178">
        <f t="shared" si="2602"/>
        <v>0</v>
      </c>
      <c r="Z1250" s="2181">
        <f t="shared" si="2583"/>
        <v>0</v>
      </c>
      <c r="AA1250" s="2179">
        <f t="shared" si="2583"/>
        <v>0</v>
      </c>
      <c r="AB1250" s="2178">
        <f t="shared" si="2603"/>
        <v>0</v>
      </c>
      <c r="AC1250" s="2176"/>
      <c r="AD1250" s="2177"/>
      <c r="AE1250" s="2178">
        <f t="shared" si="2604"/>
        <v>0</v>
      </c>
      <c r="AF1250" s="2204"/>
      <c r="AG1250" s="2114"/>
      <c r="AH1250" s="2177"/>
      <c r="AI1250" s="2177"/>
      <c r="AJ1250" s="2186">
        <f t="shared" si="2605"/>
        <v>0</v>
      </c>
      <c r="AK1250" s="2177"/>
      <c r="AL1250" s="2177"/>
      <c r="AM1250" s="2186">
        <f t="shared" si="2606"/>
        <v>0</v>
      </c>
      <c r="AN1250" s="2177"/>
      <c r="AO1250" s="2177"/>
      <c r="AP1250" s="2186">
        <f t="shared" si="2607"/>
        <v>0</v>
      </c>
      <c r="AQ1250" s="2177"/>
      <c r="AR1250" s="2177"/>
      <c r="AS1250" s="2186">
        <f t="shared" si="2608"/>
        <v>0</v>
      </c>
      <c r="AT1250" s="2177"/>
      <c r="AU1250" s="2177"/>
      <c r="AV1250" s="2186">
        <f t="shared" si="2609"/>
        <v>0</v>
      </c>
      <c r="AW1250" s="2177"/>
      <c r="AX1250" s="2177"/>
      <c r="AY1250" s="2186">
        <f t="shared" si="2610"/>
        <v>0</v>
      </c>
      <c r="AZ1250" s="2177"/>
      <c r="BA1250" s="2177"/>
      <c r="BB1250" s="2186">
        <f t="shared" si="2611"/>
        <v>0</v>
      </c>
      <c r="BC1250" s="2177"/>
      <c r="BD1250" s="2177"/>
      <c r="BE1250" s="2186">
        <f t="shared" si="2612"/>
        <v>0</v>
      </c>
      <c r="BF1250" s="2177"/>
      <c r="BG1250" s="2177"/>
      <c r="BH1250" s="2186">
        <f t="shared" si="2613"/>
        <v>0</v>
      </c>
      <c r="BI1250" s="2177"/>
      <c r="BJ1250" s="2177"/>
      <c r="BK1250" s="2186">
        <f t="shared" si="2614"/>
        <v>0</v>
      </c>
      <c r="BL1250" s="2177"/>
      <c r="BM1250" s="2177"/>
      <c r="BN1250" s="2186">
        <f t="shared" si="2615"/>
        <v>0</v>
      </c>
      <c r="BO1250" s="2177"/>
      <c r="BP1250" s="2177"/>
      <c r="BQ1250" s="2186">
        <f t="shared" si="2616"/>
        <v>0</v>
      </c>
    </row>
    <row r="1251" spans="3:69" s="2087" customFormat="1" ht="12" hidden="1" customHeight="1">
      <c r="C1251" s="2423" t="s">
        <v>3411</v>
      </c>
      <c r="D1251" s="2421" t="s">
        <v>2434</v>
      </c>
      <c r="E1251" s="2250" t="s">
        <v>1833</v>
      </c>
      <c r="F1251" s="2176"/>
      <c r="G1251" s="2177"/>
      <c r="H1251" s="2177"/>
      <c r="I1251" s="2178">
        <f t="shared" si="2597"/>
        <v>0</v>
      </c>
      <c r="J1251" s="2176"/>
      <c r="K1251" s="2179">
        <f>N1251+Q1251+W1251+AC1251</f>
        <v>0</v>
      </c>
      <c r="L1251" s="2179">
        <f>O1251+R1251+X1251+AD1251</f>
        <v>0</v>
      </c>
      <c r="M1251" s="2178">
        <f t="shared" si="2598"/>
        <v>0</v>
      </c>
      <c r="N1251" s="2177"/>
      <c r="O1251" s="2177"/>
      <c r="P1251" s="2178">
        <f t="shared" si="2599"/>
        <v>0</v>
      </c>
      <c r="Q1251" s="2176"/>
      <c r="R1251" s="2177"/>
      <c r="S1251" s="2178">
        <f t="shared" si="2600"/>
        <v>0</v>
      </c>
      <c r="T1251" s="2179">
        <f>N1251+Q1251</f>
        <v>0</v>
      </c>
      <c r="U1251" s="2179">
        <f>O1251+R1251</f>
        <v>0</v>
      </c>
      <c r="V1251" s="2178">
        <f t="shared" si="2601"/>
        <v>0</v>
      </c>
      <c r="W1251" s="2176"/>
      <c r="X1251" s="2177"/>
      <c r="Y1251" s="2178">
        <f t="shared" si="2602"/>
        <v>0</v>
      </c>
      <c r="Z1251" s="2179">
        <f>T1251+W1251</f>
        <v>0</v>
      </c>
      <c r="AA1251" s="2179">
        <f>U1251+X1251</f>
        <v>0</v>
      </c>
      <c r="AB1251" s="2178">
        <f t="shared" si="2603"/>
        <v>0</v>
      </c>
      <c r="AC1251" s="2176"/>
      <c r="AD1251" s="2177"/>
      <c r="AE1251" s="2178">
        <f t="shared" si="2604"/>
        <v>0</v>
      </c>
      <c r="AF1251" s="2204"/>
      <c r="AG1251" s="2114"/>
      <c r="AH1251" s="2177"/>
      <c r="AI1251" s="2177"/>
      <c r="AJ1251" s="2186">
        <f t="shared" si="2605"/>
        <v>0</v>
      </c>
      <c r="AK1251" s="2177"/>
      <c r="AL1251" s="2177"/>
      <c r="AM1251" s="2186">
        <f t="shared" si="2606"/>
        <v>0</v>
      </c>
      <c r="AN1251" s="2177"/>
      <c r="AO1251" s="2177"/>
      <c r="AP1251" s="2186">
        <f t="shared" si="2607"/>
        <v>0</v>
      </c>
      <c r="AQ1251" s="2177"/>
      <c r="AR1251" s="2177"/>
      <c r="AS1251" s="2186">
        <f t="shared" si="2608"/>
        <v>0</v>
      </c>
      <c r="AT1251" s="2177"/>
      <c r="AU1251" s="2177"/>
      <c r="AV1251" s="2186">
        <f t="shared" si="2609"/>
        <v>0</v>
      </c>
      <c r="AW1251" s="2177"/>
      <c r="AX1251" s="2177"/>
      <c r="AY1251" s="2186">
        <f t="shared" si="2610"/>
        <v>0</v>
      </c>
      <c r="AZ1251" s="2177"/>
      <c r="BA1251" s="2177"/>
      <c r="BB1251" s="2186">
        <f t="shared" si="2611"/>
        <v>0</v>
      </c>
      <c r="BC1251" s="2177"/>
      <c r="BD1251" s="2177"/>
      <c r="BE1251" s="2186">
        <f t="shared" si="2612"/>
        <v>0</v>
      </c>
      <c r="BF1251" s="2177"/>
      <c r="BG1251" s="2177"/>
      <c r="BH1251" s="2186">
        <f t="shared" si="2613"/>
        <v>0</v>
      </c>
      <c r="BI1251" s="2177"/>
      <c r="BJ1251" s="2177"/>
      <c r="BK1251" s="2186">
        <f t="shared" si="2614"/>
        <v>0</v>
      </c>
      <c r="BL1251" s="2177"/>
      <c r="BM1251" s="2177"/>
      <c r="BN1251" s="2186">
        <f t="shared" si="2615"/>
        <v>0</v>
      </c>
      <c r="BO1251" s="2177"/>
      <c r="BP1251" s="2177"/>
      <c r="BQ1251" s="2186">
        <f t="shared" si="2616"/>
        <v>0</v>
      </c>
    </row>
    <row r="1252" spans="3:69" s="2087" customFormat="1" ht="12" hidden="1" customHeight="1">
      <c r="C1252" s="2423" t="s">
        <v>3412</v>
      </c>
      <c r="D1252" s="2418" t="s">
        <v>42</v>
      </c>
      <c r="E1252" s="2250" t="s">
        <v>1833</v>
      </c>
      <c r="F1252" s="2176"/>
      <c r="G1252" s="2177"/>
      <c r="H1252" s="2177"/>
      <c r="I1252" s="2178">
        <f t="shared" si="2597"/>
        <v>0</v>
      </c>
      <c r="J1252" s="2176"/>
      <c r="K1252" s="2179">
        <f t="shared" si="2578"/>
        <v>0</v>
      </c>
      <c r="L1252" s="2179">
        <f t="shared" si="2578"/>
        <v>0</v>
      </c>
      <c r="M1252" s="2178">
        <f t="shared" si="2598"/>
        <v>0</v>
      </c>
      <c r="N1252" s="2177"/>
      <c r="O1252" s="2177"/>
      <c r="P1252" s="2178">
        <f t="shared" si="2599"/>
        <v>0</v>
      </c>
      <c r="Q1252" s="2176"/>
      <c r="R1252" s="2177"/>
      <c r="S1252" s="2178">
        <f t="shared" si="2600"/>
        <v>0</v>
      </c>
      <c r="T1252" s="2181">
        <f t="shared" si="2581"/>
        <v>0</v>
      </c>
      <c r="U1252" s="2179">
        <f t="shared" si="2581"/>
        <v>0</v>
      </c>
      <c r="V1252" s="2178">
        <f t="shared" si="2601"/>
        <v>0</v>
      </c>
      <c r="W1252" s="2176"/>
      <c r="X1252" s="2177"/>
      <c r="Y1252" s="2178">
        <f t="shared" si="2602"/>
        <v>0</v>
      </c>
      <c r="Z1252" s="2181">
        <f t="shared" si="2583"/>
        <v>0</v>
      </c>
      <c r="AA1252" s="2179">
        <f t="shared" si="2583"/>
        <v>0</v>
      </c>
      <c r="AB1252" s="2178">
        <f t="shared" si="2603"/>
        <v>0</v>
      </c>
      <c r="AC1252" s="2176"/>
      <c r="AD1252" s="2177"/>
      <c r="AE1252" s="2178">
        <f t="shared" si="2604"/>
        <v>0</v>
      </c>
      <c r="AF1252" s="2281"/>
      <c r="AG1252" s="2114"/>
      <c r="AH1252" s="2177"/>
      <c r="AI1252" s="2177"/>
      <c r="AJ1252" s="2186">
        <f t="shared" si="2605"/>
        <v>0</v>
      </c>
      <c r="AK1252" s="2177"/>
      <c r="AL1252" s="2177"/>
      <c r="AM1252" s="2186">
        <f t="shared" si="2606"/>
        <v>0</v>
      </c>
      <c r="AN1252" s="2177"/>
      <c r="AO1252" s="2177"/>
      <c r="AP1252" s="2186">
        <f t="shared" si="2607"/>
        <v>0</v>
      </c>
      <c r="AQ1252" s="2177"/>
      <c r="AR1252" s="2177"/>
      <c r="AS1252" s="2186">
        <f t="shared" si="2608"/>
        <v>0</v>
      </c>
      <c r="AT1252" s="2177"/>
      <c r="AU1252" s="2177"/>
      <c r="AV1252" s="2186">
        <f t="shared" si="2609"/>
        <v>0</v>
      </c>
      <c r="AW1252" s="2177"/>
      <c r="AX1252" s="2177"/>
      <c r="AY1252" s="2186">
        <f t="shared" si="2610"/>
        <v>0</v>
      </c>
      <c r="AZ1252" s="2177"/>
      <c r="BA1252" s="2177"/>
      <c r="BB1252" s="2186">
        <f t="shared" si="2611"/>
        <v>0</v>
      </c>
      <c r="BC1252" s="2177"/>
      <c r="BD1252" s="2177"/>
      <c r="BE1252" s="2186">
        <f t="shared" si="2612"/>
        <v>0</v>
      </c>
      <c r="BF1252" s="2177"/>
      <c r="BG1252" s="2177"/>
      <c r="BH1252" s="2186">
        <f t="shared" si="2613"/>
        <v>0</v>
      </c>
      <c r="BI1252" s="2177"/>
      <c r="BJ1252" s="2177"/>
      <c r="BK1252" s="2186">
        <f t="shared" si="2614"/>
        <v>0</v>
      </c>
      <c r="BL1252" s="2177"/>
      <c r="BM1252" s="2177"/>
      <c r="BN1252" s="2186">
        <f t="shared" si="2615"/>
        <v>0</v>
      </c>
      <c r="BO1252" s="2177"/>
      <c r="BP1252" s="2177"/>
      <c r="BQ1252" s="2186">
        <f t="shared" si="2616"/>
        <v>0</v>
      </c>
    </row>
    <row r="1253" spans="3:69" s="2087" customFormat="1" ht="12" hidden="1" customHeight="1">
      <c r="C1253" s="2423" t="s">
        <v>3413</v>
      </c>
      <c r="D1253" s="2421" t="s">
        <v>2434</v>
      </c>
      <c r="E1253" s="2250" t="s">
        <v>1833</v>
      </c>
      <c r="F1253" s="2176"/>
      <c r="G1253" s="2177"/>
      <c r="H1253" s="2177"/>
      <c r="I1253" s="2178">
        <f t="shared" si="2597"/>
        <v>0</v>
      </c>
      <c r="J1253" s="2176"/>
      <c r="K1253" s="2179">
        <f>N1253+Q1253+W1253+AC1253</f>
        <v>0</v>
      </c>
      <c r="L1253" s="2179">
        <f>O1253+R1253+X1253+AD1253</f>
        <v>0</v>
      </c>
      <c r="M1253" s="2178">
        <f t="shared" si="2598"/>
        <v>0</v>
      </c>
      <c r="N1253" s="2177"/>
      <c r="O1253" s="2177"/>
      <c r="P1253" s="2178">
        <f t="shared" si="2599"/>
        <v>0</v>
      </c>
      <c r="Q1253" s="2176"/>
      <c r="R1253" s="2177"/>
      <c r="S1253" s="2178">
        <f t="shared" si="2600"/>
        <v>0</v>
      </c>
      <c r="T1253" s="2179">
        <f>N1253+Q1253</f>
        <v>0</v>
      </c>
      <c r="U1253" s="2179">
        <f>O1253+R1253</f>
        <v>0</v>
      </c>
      <c r="V1253" s="2178">
        <f t="shared" si="2601"/>
        <v>0</v>
      </c>
      <c r="W1253" s="2176"/>
      <c r="X1253" s="2177"/>
      <c r="Y1253" s="2178">
        <f t="shared" si="2602"/>
        <v>0</v>
      </c>
      <c r="Z1253" s="2179">
        <f>T1253+W1253</f>
        <v>0</v>
      </c>
      <c r="AA1253" s="2179">
        <f>U1253+X1253</f>
        <v>0</v>
      </c>
      <c r="AB1253" s="2178">
        <f t="shared" si="2603"/>
        <v>0</v>
      </c>
      <c r="AC1253" s="2176"/>
      <c r="AD1253" s="2177"/>
      <c r="AE1253" s="2178">
        <f t="shared" si="2604"/>
        <v>0</v>
      </c>
      <c r="AF1253" s="2281"/>
      <c r="AG1253" s="2114"/>
      <c r="AH1253" s="2177"/>
      <c r="AI1253" s="2177"/>
      <c r="AJ1253" s="2186">
        <f t="shared" si="2605"/>
        <v>0</v>
      </c>
      <c r="AK1253" s="2177"/>
      <c r="AL1253" s="2177"/>
      <c r="AM1253" s="2186">
        <f t="shared" si="2606"/>
        <v>0</v>
      </c>
      <c r="AN1253" s="2177"/>
      <c r="AO1253" s="2177"/>
      <c r="AP1253" s="2186">
        <f t="shared" si="2607"/>
        <v>0</v>
      </c>
      <c r="AQ1253" s="2177"/>
      <c r="AR1253" s="2177"/>
      <c r="AS1253" s="2186">
        <f t="shared" si="2608"/>
        <v>0</v>
      </c>
      <c r="AT1253" s="2177"/>
      <c r="AU1253" s="2177"/>
      <c r="AV1253" s="2186">
        <f t="shared" si="2609"/>
        <v>0</v>
      </c>
      <c r="AW1253" s="2177"/>
      <c r="AX1253" s="2177"/>
      <c r="AY1253" s="2186">
        <f t="shared" si="2610"/>
        <v>0</v>
      </c>
      <c r="AZ1253" s="2177"/>
      <c r="BA1253" s="2177"/>
      <c r="BB1253" s="2186">
        <f t="shared" si="2611"/>
        <v>0</v>
      </c>
      <c r="BC1253" s="2177"/>
      <c r="BD1253" s="2177"/>
      <c r="BE1253" s="2186">
        <f t="shared" si="2612"/>
        <v>0</v>
      </c>
      <c r="BF1253" s="2177"/>
      <c r="BG1253" s="2177"/>
      <c r="BH1253" s="2186">
        <f t="shared" si="2613"/>
        <v>0</v>
      </c>
      <c r="BI1253" s="2177"/>
      <c r="BJ1253" s="2177"/>
      <c r="BK1253" s="2186">
        <f t="shared" si="2614"/>
        <v>0</v>
      </c>
      <c r="BL1253" s="2177"/>
      <c r="BM1253" s="2177"/>
      <c r="BN1253" s="2186">
        <f t="shared" si="2615"/>
        <v>0</v>
      </c>
      <c r="BO1253" s="2177"/>
      <c r="BP1253" s="2177"/>
      <c r="BQ1253" s="2186">
        <f t="shared" si="2616"/>
        <v>0</v>
      </c>
    </row>
    <row r="1254" spans="3:69" s="2159" customFormat="1" ht="12" hidden="1" customHeight="1">
      <c r="C1254" s="2474" t="s">
        <v>3414</v>
      </c>
      <c r="D1254" s="2476" t="s">
        <v>3415</v>
      </c>
      <c r="E1254" s="2120" t="s">
        <v>1833</v>
      </c>
      <c r="F1254" s="2162"/>
      <c r="G1254" s="2218"/>
      <c r="H1254" s="2218"/>
      <c r="I1254" s="2164">
        <f t="shared" si="2597"/>
        <v>0</v>
      </c>
      <c r="J1254" s="2162"/>
      <c r="K1254" s="2163">
        <f t="shared" si="2578"/>
        <v>0</v>
      </c>
      <c r="L1254" s="2163">
        <f t="shared" si="2578"/>
        <v>0</v>
      </c>
      <c r="M1254" s="2164">
        <f t="shared" si="2598"/>
        <v>0</v>
      </c>
      <c r="N1254" s="2218"/>
      <c r="O1254" s="2218"/>
      <c r="P1254" s="2164">
        <f t="shared" si="2599"/>
        <v>0</v>
      </c>
      <c r="Q1254" s="2162"/>
      <c r="R1254" s="2218"/>
      <c r="S1254" s="2164">
        <f t="shared" si="2600"/>
        <v>0</v>
      </c>
      <c r="T1254" s="2167">
        <f t="shared" si="2581"/>
        <v>0</v>
      </c>
      <c r="U1254" s="2163">
        <f t="shared" si="2581"/>
        <v>0</v>
      </c>
      <c r="V1254" s="2164">
        <f t="shared" si="2601"/>
        <v>0</v>
      </c>
      <c r="W1254" s="2162"/>
      <c r="X1254" s="2218"/>
      <c r="Y1254" s="2164">
        <f t="shared" si="2602"/>
        <v>0</v>
      </c>
      <c r="Z1254" s="2167">
        <f t="shared" si="2583"/>
        <v>0</v>
      </c>
      <c r="AA1254" s="2163">
        <f t="shared" si="2583"/>
        <v>0</v>
      </c>
      <c r="AB1254" s="2164">
        <f t="shared" si="2603"/>
        <v>0</v>
      </c>
      <c r="AC1254" s="2162"/>
      <c r="AD1254" s="2218"/>
      <c r="AE1254" s="2164">
        <f t="shared" si="2604"/>
        <v>0</v>
      </c>
      <c r="AF1254" s="2281"/>
      <c r="AG1254" s="2158"/>
      <c r="AH1254" s="2218"/>
      <c r="AI1254" s="2218"/>
      <c r="AJ1254" s="2172">
        <f t="shared" si="2605"/>
        <v>0</v>
      </c>
      <c r="AK1254" s="2218"/>
      <c r="AL1254" s="2218"/>
      <c r="AM1254" s="2172">
        <f t="shared" si="2606"/>
        <v>0</v>
      </c>
      <c r="AN1254" s="2218"/>
      <c r="AO1254" s="2218"/>
      <c r="AP1254" s="2172">
        <f t="shared" si="2607"/>
        <v>0</v>
      </c>
      <c r="AQ1254" s="2218"/>
      <c r="AR1254" s="2218"/>
      <c r="AS1254" s="2172">
        <f t="shared" si="2608"/>
        <v>0</v>
      </c>
      <c r="AT1254" s="2218"/>
      <c r="AU1254" s="2218"/>
      <c r="AV1254" s="2172">
        <f t="shared" si="2609"/>
        <v>0</v>
      </c>
      <c r="AW1254" s="2218"/>
      <c r="AX1254" s="2218"/>
      <c r="AY1254" s="2172">
        <f t="shared" si="2610"/>
        <v>0</v>
      </c>
      <c r="AZ1254" s="2218"/>
      <c r="BA1254" s="2218"/>
      <c r="BB1254" s="2172">
        <f t="shared" si="2611"/>
        <v>0</v>
      </c>
      <c r="BC1254" s="2218"/>
      <c r="BD1254" s="2218"/>
      <c r="BE1254" s="2172">
        <f t="shared" si="2612"/>
        <v>0</v>
      </c>
      <c r="BF1254" s="2218"/>
      <c r="BG1254" s="2218"/>
      <c r="BH1254" s="2172">
        <f t="shared" si="2613"/>
        <v>0</v>
      </c>
      <c r="BI1254" s="2218"/>
      <c r="BJ1254" s="2218"/>
      <c r="BK1254" s="2172">
        <f t="shared" si="2614"/>
        <v>0</v>
      </c>
      <c r="BL1254" s="2218"/>
      <c r="BM1254" s="2218"/>
      <c r="BN1254" s="2172">
        <f t="shared" si="2615"/>
        <v>0</v>
      </c>
      <c r="BO1254" s="2218"/>
      <c r="BP1254" s="2218"/>
      <c r="BQ1254" s="2172">
        <f t="shared" si="2616"/>
        <v>0</v>
      </c>
    </row>
    <row r="1255" spans="3:69" s="2159" customFormat="1" ht="12" hidden="1" customHeight="1">
      <c r="C1255" s="2423" t="s">
        <v>3416</v>
      </c>
      <c r="D1255" s="2286" t="s">
        <v>2434</v>
      </c>
      <c r="E1255" s="2250" t="s">
        <v>1833</v>
      </c>
      <c r="F1255" s="2176"/>
      <c r="G1255" s="2177"/>
      <c r="H1255" s="2177"/>
      <c r="I1255" s="2178">
        <f t="shared" si="2597"/>
        <v>0</v>
      </c>
      <c r="J1255" s="2176"/>
      <c r="K1255" s="2179">
        <f>N1255+Q1255+W1255+AC1255</f>
        <v>0</v>
      </c>
      <c r="L1255" s="2179">
        <f>O1255+R1255+X1255+AD1255</f>
        <v>0</v>
      </c>
      <c r="M1255" s="2178">
        <f t="shared" si="2598"/>
        <v>0</v>
      </c>
      <c r="N1255" s="2177"/>
      <c r="O1255" s="2177"/>
      <c r="P1255" s="2178">
        <f t="shared" si="2599"/>
        <v>0</v>
      </c>
      <c r="Q1255" s="2176"/>
      <c r="R1255" s="2177"/>
      <c r="S1255" s="2178">
        <f t="shared" si="2600"/>
        <v>0</v>
      </c>
      <c r="T1255" s="2179">
        <f>N1255+Q1255</f>
        <v>0</v>
      </c>
      <c r="U1255" s="2179">
        <f>O1255+R1255</f>
        <v>0</v>
      </c>
      <c r="V1255" s="2178">
        <f t="shared" si="2601"/>
        <v>0</v>
      </c>
      <c r="W1255" s="2176"/>
      <c r="X1255" s="2177"/>
      <c r="Y1255" s="2178">
        <f t="shared" si="2602"/>
        <v>0</v>
      </c>
      <c r="Z1255" s="2179">
        <f>T1255+W1255</f>
        <v>0</v>
      </c>
      <c r="AA1255" s="2179">
        <f>U1255+X1255</f>
        <v>0</v>
      </c>
      <c r="AB1255" s="2178">
        <f t="shared" si="2603"/>
        <v>0</v>
      </c>
      <c r="AC1255" s="2176"/>
      <c r="AD1255" s="2177"/>
      <c r="AE1255" s="2178">
        <f t="shared" si="2604"/>
        <v>0</v>
      </c>
      <c r="AF1255" s="2281"/>
      <c r="AG1255" s="2158"/>
      <c r="AH1255" s="2177"/>
      <c r="AI1255" s="2177"/>
      <c r="AJ1255" s="2186">
        <f t="shared" si="2605"/>
        <v>0</v>
      </c>
      <c r="AK1255" s="2177"/>
      <c r="AL1255" s="2177"/>
      <c r="AM1255" s="2186">
        <f t="shared" si="2606"/>
        <v>0</v>
      </c>
      <c r="AN1255" s="2177"/>
      <c r="AO1255" s="2177"/>
      <c r="AP1255" s="2186">
        <f t="shared" si="2607"/>
        <v>0</v>
      </c>
      <c r="AQ1255" s="2177"/>
      <c r="AR1255" s="2177"/>
      <c r="AS1255" s="2186">
        <f t="shared" si="2608"/>
        <v>0</v>
      </c>
      <c r="AT1255" s="2177"/>
      <c r="AU1255" s="2177"/>
      <c r="AV1255" s="2186">
        <f t="shared" si="2609"/>
        <v>0</v>
      </c>
      <c r="AW1255" s="2177"/>
      <c r="AX1255" s="2177"/>
      <c r="AY1255" s="2186">
        <f t="shared" si="2610"/>
        <v>0</v>
      </c>
      <c r="AZ1255" s="2177"/>
      <c r="BA1255" s="2177"/>
      <c r="BB1255" s="2186">
        <f t="shared" si="2611"/>
        <v>0</v>
      </c>
      <c r="BC1255" s="2177"/>
      <c r="BD1255" s="2177"/>
      <c r="BE1255" s="2186">
        <f t="shared" si="2612"/>
        <v>0</v>
      </c>
      <c r="BF1255" s="2177"/>
      <c r="BG1255" s="2177"/>
      <c r="BH1255" s="2186">
        <f t="shared" si="2613"/>
        <v>0</v>
      </c>
      <c r="BI1255" s="2177"/>
      <c r="BJ1255" s="2177"/>
      <c r="BK1255" s="2186">
        <f t="shared" si="2614"/>
        <v>0</v>
      </c>
      <c r="BL1255" s="2177"/>
      <c r="BM1255" s="2177"/>
      <c r="BN1255" s="2186">
        <f t="shared" si="2615"/>
        <v>0</v>
      </c>
      <c r="BO1255" s="2177"/>
      <c r="BP1255" s="2177"/>
      <c r="BQ1255" s="2186">
        <f t="shared" si="2616"/>
        <v>0</v>
      </c>
    </row>
    <row r="1256" spans="3:69" s="2159" customFormat="1" ht="12" hidden="1" customHeight="1">
      <c r="C1256" s="2474" t="s">
        <v>3417</v>
      </c>
      <c r="D1256" s="2476" t="s">
        <v>3418</v>
      </c>
      <c r="E1256" s="2120" t="s">
        <v>1833</v>
      </c>
      <c r="F1256" s="2162"/>
      <c r="G1256" s="2218"/>
      <c r="H1256" s="2218"/>
      <c r="I1256" s="2164">
        <f t="shared" si="2597"/>
        <v>0</v>
      </c>
      <c r="J1256" s="2162"/>
      <c r="K1256" s="2163">
        <f t="shared" si="2578"/>
        <v>0</v>
      </c>
      <c r="L1256" s="2163">
        <f t="shared" si="2578"/>
        <v>0</v>
      </c>
      <c r="M1256" s="2164">
        <f t="shared" si="2598"/>
        <v>0</v>
      </c>
      <c r="N1256" s="2218"/>
      <c r="O1256" s="2218"/>
      <c r="P1256" s="2164">
        <f t="shared" si="2599"/>
        <v>0</v>
      </c>
      <c r="Q1256" s="2162"/>
      <c r="R1256" s="2218"/>
      <c r="S1256" s="2164">
        <f t="shared" si="2600"/>
        <v>0</v>
      </c>
      <c r="T1256" s="2167">
        <f t="shared" si="2581"/>
        <v>0</v>
      </c>
      <c r="U1256" s="2163">
        <f t="shared" si="2581"/>
        <v>0</v>
      </c>
      <c r="V1256" s="2164">
        <f t="shared" si="2601"/>
        <v>0</v>
      </c>
      <c r="W1256" s="2162"/>
      <c r="X1256" s="2218"/>
      <c r="Y1256" s="2164">
        <f t="shared" si="2602"/>
        <v>0</v>
      </c>
      <c r="Z1256" s="2167">
        <f t="shared" si="2583"/>
        <v>0</v>
      </c>
      <c r="AA1256" s="2163">
        <f t="shared" si="2583"/>
        <v>0</v>
      </c>
      <c r="AB1256" s="2164">
        <f t="shared" si="2603"/>
        <v>0</v>
      </c>
      <c r="AC1256" s="2162"/>
      <c r="AD1256" s="2218"/>
      <c r="AE1256" s="2164">
        <f t="shared" si="2604"/>
        <v>0</v>
      </c>
      <c r="AF1256" s="2281"/>
      <c r="AG1256" s="2158"/>
      <c r="AH1256" s="2218"/>
      <c r="AI1256" s="2218"/>
      <c r="AJ1256" s="2172">
        <f t="shared" si="2605"/>
        <v>0</v>
      </c>
      <c r="AK1256" s="2218"/>
      <c r="AL1256" s="2218"/>
      <c r="AM1256" s="2172">
        <f t="shared" si="2606"/>
        <v>0</v>
      </c>
      <c r="AN1256" s="2218"/>
      <c r="AO1256" s="2218"/>
      <c r="AP1256" s="2172">
        <f t="shared" si="2607"/>
        <v>0</v>
      </c>
      <c r="AQ1256" s="2218"/>
      <c r="AR1256" s="2218"/>
      <c r="AS1256" s="2172">
        <f t="shared" si="2608"/>
        <v>0</v>
      </c>
      <c r="AT1256" s="2218"/>
      <c r="AU1256" s="2218"/>
      <c r="AV1256" s="2172">
        <f t="shared" si="2609"/>
        <v>0</v>
      </c>
      <c r="AW1256" s="2218"/>
      <c r="AX1256" s="2218"/>
      <c r="AY1256" s="2172">
        <f t="shared" si="2610"/>
        <v>0</v>
      </c>
      <c r="AZ1256" s="2218"/>
      <c r="BA1256" s="2218"/>
      <c r="BB1256" s="2172">
        <f t="shared" si="2611"/>
        <v>0</v>
      </c>
      <c r="BC1256" s="2218"/>
      <c r="BD1256" s="2218"/>
      <c r="BE1256" s="2172">
        <f t="shared" si="2612"/>
        <v>0</v>
      </c>
      <c r="BF1256" s="2218"/>
      <c r="BG1256" s="2218"/>
      <c r="BH1256" s="2172">
        <f t="shared" si="2613"/>
        <v>0</v>
      </c>
      <c r="BI1256" s="2218"/>
      <c r="BJ1256" s="2218"/>
      <c r="BK1256" s="2172">
        <f t="shared" si="2614"/>
        <v>0</v>
      </c>
      <c r="BL1256" s="2218"/>
      <c r="BM1256" s="2218"/>
      <c r="BN1256" s="2172">
        <f t="shared" si="2615"/>
        <v>0</v>
      </c>
      <c r="BO1256" s="2218"/>
      <c r="BP1256" s="2218"/>
      <c r="BQ1256" s="2172">
        <f t="shared" si="2616"/>
        <v>0</v>
      </c>
    </row>
    <row r="1257" spans="3:69" s="2159" customFormat="1" ht="12" hidden="1" customHeight="1">
      <c r="C1257" s="2423" t="s">
        <v>3419</v>
      </c>
      <c r="D1257" s="2286" t="s">
        <v>2434</v>
      </c>
      <c r="E1257" s="2250" t="s">
        <v>1833</v>
      </c>
      <c r="F1257" s="2176"/>
      <c r="G1257" s="2177"/>
      <c r="H1257" s="2177"/>
      <c r="I1257" s="2178">
        <f t="shared" si="2597"/>
        <v>0</v>
      </c>
      <c r="J1257" s="2176"/>
      <c r="K1257" s="2179">
        <f>N1257+Q1257+W1257+AC1257</f>
        <v>0</v>
      </c>
      <c r="L1257" s="2179">
        <f>O1257+R1257+X1257+AD1257</f>
        <v>0</v>
      </c>
      <c r="M1257" s="2178">
        <f t="shared" si="2598"/>
        <v>0</v>
      </c>
      <c r="N1257" s="2177"/>
      <c r="O1257" s="2177"/>
      <c r="P1257" s="2178">
        <f t="shared" si="2599"/>
        <v>0</v>
      </c>
      <c r="Q1257" s="2176"/>
      <c r="R1257" s="2177"/>
      <c r="S1257" s="2178">
        <f t="shared" si="2600"/>
        <v>0</v>
      </c>
      <c r="T1257" s="2179">
        <f t="shared" ref="T1257:U1259" si="2617">N1257+Q1257</f>
        <v>0</v>
      </c>
      <c r="U1257" s="2179">
        <f t="shared" si="2617"/>
        <v>0</v>
      </c>
      <c r="V1257" s="2178">
        <f t="shared" si="2601"/>
        <v>0</v>
      </c>
      <c r="W1257" s="2176"/>
      <c r="X1257" s="2177"/>
      <c r="Y1257" s="2178">
        <f t="shared" si="2602"/>
        <v>0</v>
      </c>
      <c r="Z1257" s="2179">
        <f t="shared" ref="Z1257:AA1259" si="2618">T1257+W1257</f>
        <v>0</v>
      </c>
      <c r="AA1257" s="2179">
        <f t="shared" si="2618"/>
        <v>0</v>
      </c>
      <c r="AB1257" s="2178">
        <f t="shared" si="2603"/>
        <v>0</v>
      </c>
      <c r="AC1257" s="2176"/>
      <c r="AD1257" s="2177"/>
      <c r="AE1257" s="2178">
        <f t="shared" si="2604"/>
        <v>0</v>
      </c>
      <c r="AF1257" s="2281"/>
      <c r="AG1257" s="2158"/>
      <c r="AH1257" s="2177"/>
      <c r="AI1257" s="2177"/>
      <c r="AJ1257" s="2186">
        <f t="shared" si="2605"/>
        <v>0</v>
      </c>
      <c r="AK1257" s="2177"/>
      <c r="AL1257" s="2177"/>
      <c r="AM1257" s="2186">
        <f t="shared" si="2606"/>
        <v>0</v>
      </c>
      <c r="AN1257" s="2177"/>
      <c r="AO1257" s="2177"/>
      <c r="AP1257" s="2186">
        <f t="shared" si="2607"/>
        <v>0</v>
      </c>
      <c r="AQ1257" s="2177"/>
      <c r="AR1257" s="2177"/>
      <c r="AS1257" s="2186">
        <f t="shared" si="2608"/>
        <v>0</v>
      </c>
      <c r="AT1257" s="2177"/>
      <c r="AU1257" s="2177"/>
      <c r="AV1257" s="2186">
        <f t="shared" si="2609"/>
        <v>0</v>
      </c>
      <c r="AW1257" s="2177"/>
      <c r="AX1257" s="2177"/>
      <c r="AY1257" s="2186">
        <f t="shared" si="2610"/>
        <v>0</v>
      </c>
      <c r="AZ1257" s="2177"/>
      <c r="BA1257" s="2177"/>
      <c r="BB1257" s="2186">
        <f t="shared" si="2611"/>
        <v>0</v>
      </c>
      <c r="BC1257" s="2177"/>
      <c r="BD1257" s="2177"/>
      <c r="BE1257" s="2186">
        <f t="shared" si="2612"/>
        <v>0</v>
      </c>
      <c r="BF1257" s="2177"/>
      <c r="BG1257" s="2177"/>
      <c r="BH1257" s="2186">
        <f t="shared" si="2613"/>
        <v>0</v>
      </c>
      <c r="BI1257" s="2177"/>
      <c r="BJ1257" s="2177"/>
      <c r="BK1257" s="2186">
        <f t="shared" si="2614"/>
        <v>0</v>
      </c>
      <c r="BL1257" s="2177"/>
      <c r="BM1257" s="2177"/>
      <c r="BN1257" s="2186">
        <f t="shared" si="2615"/>
        <v>0</v>
      </c>
      <c r="BO1257" s="2177"/>
      <c r="BP1257" s="2177"/>
      <c r="BQ1257" s="2186">
        <f t="shared" si="2616"/>
        <v>0</v>
      </c>
    </row>
    <row r="1258" spans="3:69" s="2159" customFormat="1" ht="12" hidden="1" customHeight="1">
      <c r="C1258" s="2474" t="s">
        <v>3420</v>
      </c>
      <c r="D1258" s="2485" t="s">
        <v>3421</v>
      </c>
      <c r="E1258" s="2122" t="s">
        <v>2590</v>
      </c>
      <c r="F1258" s="2162"/>
      <c r="G1258" s="2218"/>
      <c r="H1258" s="2218"/>
      <c r="I1258" s="2164">
        <f t="shared" si="2597"/>
        <v>0</v>
      </c>
      <c r="J1258" s="2162"/>
      <c r="K1258" s="2163">
        <f t="shared" si="2578"/>
        <v>0</v>
      </c>
      <c r="L1258" s="2163">
        <f t="shared" si="2578"/>
        <v>0</v>
      </c>
      <c r="M1258" s="2164">
        <f t="shared" si="2598"/>
        <v>0</v>
      </c>
      <c r="N1258" s="2218"/>
      <c r="O1258" s="2218"/>
      <c r="P1258" s="2164">
        <f t="shared" si="2599"/>
        <v>0</v>
      </c>
      <c r="Q1258" s="2162"/>
      <c r="R1258" s="2218"/>
      <c r="S1258" s="2164">
        <f t="shared" si="2600"/>
        <v>0</v>
      </c>
      <c r="T1258" s="2167">
        <f t="shared" si="2617"/>
        <v>0</v>
      </c>
      <c r="U1258" s="2163">
        <f t="shared" si="2617"/>
        <v>0</v>
      </c>
      <c r="V1258" s="2164">
        <f t="shared" si="2601"/>
        <v>0</v>
      </c>
      <c r="W1258" s="2162"/>
      <c r="X1258" s="2218"/>
      <c r="Y1258" s="2164">
        <f t="shared" si="2602"/>
        <v>0</v>
      </c>
      <c r="Z1258" s="2167">
        <f t="shared" si="2618"/>
        <v>0</v>
      </c>
      <c r="AA1258" s="2163">
        <f t="shared" si="2618"/>
        <v>0</v>
      </c>
      <c r="AB1258" s="2164">
        <f t="shared" si="2603"/>
        <v>0</v>
      </c>
      <c r="AC1258" s="2162"/>
      <c r="AD1258" s="2218"/>
      <c r="AE1258" s="2164">
        <f t="shared" si="2604"/>
        <v>0</v>
      </c>
      <c r="AF1258" s="2204"/>
      <c r="AG1258" s="2158"/>
      <c r="AH1258" s="2218"/>
      <c r="AI1258" s="2218"/>
      <c r="AJ1258" s="2172">
        <f t="shared" si="2605"/>
        <v>0</v>
      </c>
      <c r="AK1258" s="2218"/>
      <c r="AL1258" s="2218"/>
      <c r="AM1258" s="2172">
        <f t="shared" si="2606"/>
        <v>0</v>
      </c>
      <c r="AN1258" s="2218"/>
      <c r="AO1258" s="2218"/>
      <c r="AP1258" s="2172">
        <f t="shared" si="2607"/>
        <v>0</v>
      </c>
      <c r="AQ1258" s="2218"/>
      <c r="AR1258" s="2218"/>
      <c r="AS1258" s="2172">
        <f t="shared" si="2608"/>
        <v>0</v>
      </c>
      <c r="AT1258" s="2218"/>
      <c r="AU1258" s="2218"/>
      <c r="AV1258" s="2172">
        <f t="shared" si="2609"/>
        <v>0</v>
      </c>
      <c r="AW1258" s="2218"/>
      <c r="AX1258" s="2218"/>
      <c r="AY1258" s="2172">
        <f t="shared" si="2610"/>
        <v>0</v>
      </c>
      <c r="AZ1258" s="2218"/>
      <c r="BA1258" s="2218"/>
      <c r="BB1258" s="2172">
        <f t="shared" si="2611"/>
        <v>0</v>
      </c>
      <c r="BC1258" s="2218"/>
      <c r="BD1258" s="2218"/>
      <c r="BE1258" s="2172">
        <f t="shared" si="2612"/>
        <v>0</v>
      </c>
      <c r="BF1258" s="2218"/>
      <c r="BG1258" s="2218"/>
      <c r="BH1258" s="2172">
        <f t="shared" si="2613"/>
        <v>0</v>
      </c>
      <c r="BI1258" s="2218"/>
      <c r="BJ1258" s="2218"/>
      <c r="BK1258" s="2172">
        <f t="shared" si="2614"/>
        <v>0</v>
      </c>
      <c r="BL1258" s="2218"/>
      <c r="BM1258" s="2218"/>
      <c r="BN1258" s="2172">
        <f t="shared" si="2615"/>
        <v>0</v>
      </c>
      <c r="BO1258" s="2218"/>
      <c r="BP1258" s="2218"/>
      <c r="BQ1258" s="2172">
        <f t="shared" si="2616"/>
        <v>0</v>
      </c>
    </row>
    <row r="1259" spans="3:69" s="2159" customFormat="1" ht="12" hidden="1" customHeight="1">
      <c r="C1259" s="2474" t="s">
        <v>3422</v>
      </c>
      <c r="D1259" s="2485" t="s">
        <v>3423</v>
      </c>
      <c r="E1259" s="2122" t="s">
        <v>2590</v>
      </c>
      <c r="F1259" s="2162"/>
      <c r="G1259" s="2163">
        <f>G1233+G1258</f>
        <v>0</v>
      </c>
      <c r="H1259" s="2163">
        <f>H1233+H1258</f>
        <v>0</v>
      </c>
      <c r="I1259" s="2164">
        <f t="shared" si="2597"/>
        <v>0</v>
      </c>
      <c r="J1259" s="2162"/>
      <c r="K1259" s="2163">
        <f t="shared" si="2578"/>
        <v>0</v>
      </c>
      <c r="L1259" s="2163">
        <f t="shared" si="2578"/>
        <v>0</v>
      </c>
      <c r="M1259" s="2164">
        <f t="shared" si="2598"/>
        <v>0</v>
      </c>
      <c r="N1259" s="2163">
        <f>N1233+N1258</f>
        <v>0</v>
      </c>
      <c r="O1259" s="2163">
        <f>O1233+O1258</f>
        <v>0</v>
      </c>
      <c r="P1259" s="2164">
        <f t="shared" si="2599"/>
        <v>0</v>
      </c>
      <c r="Q1259" s="2165">
        <f>Q1233+Q1258</f>
        <v>0</v>
      </c>
      <c r="R1259" s="2163">
        <f>R1233+R1258</f>
        <v>0</v>
      </c>
      <c r="S1259" s="2164">
        <f t="shared" si="2600"/>
        <v>0</v>
      </c>
      <c r="T1259" s="2167">
        <f t="shared" si="2617"/>
        <v>0</v>
      </c>
      <c r="U1259" s="2163">
        <f t="shared" si="2617"/>
        <v>0</v>
      </c>
      <c r="V1259" s="2164">
        <f t="shared" si="2601"/>
        <v>0</v>
      </c>
      <c r="W1259" s="2165">
        <f>W1233+W1258</f>
        <v>0</v>
      </c>
      <c r="X1259" s="2163">
        <f>X1233+X1258</f>
        <v>0</v>
      </c>
      <c r="Y1259" s="2164">
        <f t="shared" si="2602"/>
        <v>0</v>
      </c>
      <c r="Z1259" s="2167">
        <f t="shared" si="2618"/>
        <v>0</v>
      </c>
      <c r="AA1259" s="2163">
        <f t="shared" si="2618"/>
        <v>0</v>
      </c>
      <c r="AB1259" s="2164">
        <f t="shared" si="2603"/>
        <v>0</v>
      </c>
      <c r="AC1259" s="2165">
        <f>AC1233+AC1258</f>
        <v>0</v>
      </c>
      <c r="AD1259" s="2163">
        <f>AD1233+AD1258</f>
        <v>0</v>
      </c>
      <c r="AE1259" s="2164">
        <f t="shared" si="2604"/>
        <v>0</v>
      </c>
      <c r="AF1259" s="2204"/>
      <c r="AG1259" s="2158"/>
      <c r="AH1259" s="2171">
        <f>AH1233+AH1258</f>
        <v>0</v>
      </c>
      <c r="AI1259" s="2171">
        <f>AI1233+AI1258</f>
        <v>0</v>
      </c>
      <c r="AJ1259" s="2172">
        <f t="shared" si="2605"/>
        <v>0</v>
      </c>
      <c r="AK1259" s="2171">
        <f>AK1233+AK1258</f>
        <v>0</v>
      </c>
      <c r="AL1259" s="2171">
        <f>AL1233+AL1258</f>
        <v>0</v>
      </c>
      <c r="AM1259" s="2172">
        <f t="shared" si="2606"/>
        <v>0</v>
      </c>
      <c r="AN1259" s="2171">
        <f>AN1233+AN1258</f>
        <v>0</v>
      </c>
      <c r="AO1259" s="2171">
        <f>AO1233+AO1258</f>
        <v>0</v>
      </c>
      <c r="AP1259" s="2172">
        <f t="shared" si="2607"/>
        <v>0</v>
      </c>
      <c r="AQ1259" s="2171">
        <f>AQ1233+AQ1258</f>
        <v>0</v>
      </c>
      <c r="AR1259" s="2171">
        <f>AR1233+AR1258</f>
        <v>0</v>
      </c>
      <c r="AS1259" s="2172">
        <f t="shared" si="2608"/>
        <v>0</v>
      </c>
      <c r="AT1259" s="2171">
        <f>AT1233+AT1258</f>
        <v>0</v>
      </c>
      <c r="AU1259" s="2171">
        <f>AU1233+AU1258</f>
        <v>0</v>
      </c>
      <c r="AV1259" s="2172">
        <f t="shared" si="2609"/>
        <v>0</v>
      </c>
      <c r="AW1259" s="2171">
        <f>AW1233+AW1258</f>
        <v>0</v>
      </c>
      <c r="AX1259" s="2171">
        <f>AX1233+AX1258</f>
        <v>0</v>
      </c>
      <c r="AY1259" s="2172">
        <f t="shared" si="2610"/>
        <v>0</v>
      </c>
      <c r="AZ1259" s="2171">
        <f>AZ1233+AZ1258</f>
        <v>0</v>
      </c>
      <c r="BA1259" s="2171">
        <f>BA1233+BA1258</f>
        <v>0</v>
      </c>
      <c r="BB1259" s="2172">
        <f t="shared" si="2611"/>
        <v>0</v>
      </c>
      <c r="BC1259" s="2171">
        <f>BC1233+BC1258</f>
        <v>0</v>
      </c>
      <c r="BD1259" s="2171">
        <f>BD1233+BD1258</f>
        <v>0</v>
      </c>
      <c r="BE1259" s="2172">
        <f t="shared" si="2612"/>
        <v>0</v>
      </c>
      <c r="BF1259" s="2171">
        <f>BF1233+BF1258</f>
        <v>0</v>
      </c>
      <c r="BG1259" s="2171">
        <f>BG1233+BG1258</f>
        <v>0</v>
      </c>
      <c r="BH1259" s="2172">
        <f t="shared" si="2613"/>
        <v>0</v>
      </c>
      <c r="BI1259" s="2171">
        <f>BI1233+BI1258</f>
        <v>0</v>
      </c>
      <c r="BJ1259" s="2171">
        <f>BJ1233+BJ1258</f>
        <v>0</v>
      </c>
      <c r="BK1259" s="2172">
        <f t="shared" si="2614"/>
        <v>0</v>
      </c>
      <c r="BL1259" s="2171">
        <f>BL1233+BL1258</f>
        <v>0</v>
      </c>
      <c r="BM1259" s="2171">
        <f>BM1233+BM1258</f>
        <v>0</v>
      </c>
      <c r="BN1259" s="2172">
        <f t="shared" si="2615"/>
        <v>0</v>
      </c>
      <c r="BO1259" s="2171">
        <f>BO1233+BO1258</f>
        <v>0</v>
      </c>
      <c r="BP1259" s="2171">
        <f>BP1233+BP1258</f>
        <v>0</v>
      </c>
      <c r="BQ1259" s="2172">
        <f t="shared" si="2616"/>
        <v>0</v>
      </c>
    </row>
    <row r="1260" spans="3:69" s="2207" customFormat="1" ht="12" hidden="1" customHeight="1">
      <c r="C1260" s="2134" t="s">
        <v>372</v>
      </c>
      <c r="D1260" s="2135" t="s">
        <v>3424</v>
      </c>
      <c r="E1260" s="2136"/>
      <c r="F1260" s="2137"/>
      <c r="G1260" s="2138"/>
      <c r="H1260" s="2138"/>
      <c r="I1260" s="2139"/>
      <c r="J1260" s="2137"/>
      <c r="K1260" s="2138"/>
      <c r="L1260" s="2138"/>
      <c r="M1260" s="2139"/>
      <c r="N1260" s="2138"/>
      <c r="O1260" s="2138"/>
      <c r="P1260" s="2139"/>
      <c r="Q1260" s="2137"/>
      <c r="R1260" s="2138"/>
      <c r="S1260" s="2140"/>
      <c r="T1260" s="2141"/>
      <c r="U1260" s="2138"/>
      <c r="V1260" s="2139"/>
      <c r="W1260" s="2137"/>
      <c r="X1260" s="2138"/>
      <c r="Y1260" s="2140"/>
      <c r="Z1260" s="2141"/>
      <c r="AA1260" s="2138"/>
      <c r="AB1260" s="2139"/>
      <c r="AC1260" s="2137"/>
      <c r="AD1260" s="2138"/>
      <c r="AE1260" s="2140"/>
      <c r="AF1260" s="2231"/>
      <c r="AG1260" s="2206"/>
      <c r="AH1260" s="2138"/>
      <c r="AI1260" s="2138"/>
      <c r="AJ1260" s="2139"/>
      <c r="AK1260" s="2138"/>
      <c r="AL1260" s="2138"/>
      <c r="AM1260" s="2139"/>
      <c r="AN1260" s="2138"/>
      <c r="AO1260" s="2138"/>
      <c r="AP1260" s="2139"/>
      <c r="AQ1260" s="2138"/>
      <c r="AR1260" s="2138"/>
      <c r="AS1260" s="2139"/>
      <c r="AT1260" s="2138"/>
      <c r="AU1260" s="2138"/>
      <c r="AV1260" s="2139"/>
      <c r="AW1260" s="2138"/>
      <c r="AX1260" s="2138"/>
      <c r="AY1260" s="2139"/>
      <c r="AZ1260" s="2138"/>
      <c r="BA1260" s="2138"/>
      <c r="BB1260" s="2139"/>
      <c r="BC1260" s="2138"/>
      <c r="BD1260" s="2138"/>
      <c r="BE1260" s="2139"/>
      <c r="BF1260" s="2138"/>
      <c r="BG1260" s="2138"/>
      <c r="BH1260" s="2139"/>
      <c r="BI1260" s="2138"/>
      <c r="BJ1260" s="2138"/>
      <c r="BK1260" s="2139"/>
      <c r="BL1260" s="2138"/>
      <c r="BM1260" s="2138"/>
      <c r="BN1260" s="2139"/>
      <c r="BO1260" s="2138"/>
      <c r="BP1260" s="2138"/>
      <c r="BQ1260" s="2139"/>
    </row>
    <row r="1261" spans="3:69" s="2159" customFormat="1" ht="12" hidden="1" customHeight="1" collapsed="1">
      <c r="C1261" s="2147" t="s">
        <v>3425</v>
      </c>
      <c r="D1261" s="2148" t="s">
        <v>2080</v>
      </c>
      <c r="E1261" s="2149"/>
      <c r="F1261" s="2150"/>
      <c r="G1261" s="2151"/>
      <c r="H1261" s="2151"/>
      <c r="I1261" s="2152"/>
      <c r="J1261" s="2150"/>
      <c r="K1261" s="2151"/>
      <c r="L1261" s="2151"/>
      <c r="M1261" s="2152"/>
      <c r="N1261" s="2151"/>
      <c r="O1261" s="2151"/>
      <c r="P1261" s="2152"/>
      <c r="Q1261" s="2150"/>
      <c r="R1261" s="2151"/>
      <c r="S1261" s="2153"/>
      <c r="T1261" s="2154"/>
      <c r="U1261" s="2151"/>
      <c r="V1261" s="2152"/>
      <c r="W1261" s="2150"/>
      <c r="X1261" s="2151"/>
      <c r="Y1261" s="2153"/>
      <c r="Z1261" s="2154"/>
      <c r="AA1261" s="2151"/>
      <c r="AB1261" s="2152"/>
      <c r="AC1261" s="2150"/>
      <c r="AD1261" s="2151"/>
      <c r="AE1261" s="2153"/>
      <c r="AF1261" s="2157"/>
      <c r="AG1261" s="2158"/>
      <c r="AH1261" s="2151"/>
      <c r="AI1261" s="2151"/>
      <c r="AJ1261" s="2152"/>
      <c r="AK1261" s="2151"/>
      <c r="AL1261" s="2151"/>
      <c r="AM1261" s="2152"/>
      <c r="AN1261" s="2151"/>
      <c r="AO1261" s="2151"/>
      <c r="AP1261" s="2152"/>
      <c r="AQ1261" s="2151"/>
      <c r="AR1261" s="2151"/>
      <c r="AS1261" s="2152"/>
      <c r="AT1261" s="2151"/>
      <c r="AU1261" s="2151"/>
      <c r="AV1261" s="2152"/>
      <c r="AW1261" s="2151"/>
      <c r="AX1261" s="2151"/>
      <c r="AY1261" s="2152"/>
      <c r="AZ1261" s="2151"/>
      <c r="BA1261" s="2151"/>
      <c r="BB1261" s="2152"/>
      <c r="BC1261" s="2151"/>
      <c r="BD1261" s="2151"/>
      <c r="BE1261" s="2152"/>
      <c r="BF1261" s="2151"/>
      <c r="BG1261" s="2151"/>
      <c r="BH1261" s="2152"/>
      <c r="BI1261" s="2151"/>
      <c r="BJ1261" s="2151"/>
      <c r="BK1261" s="2152"/>
      <c r="BL1261" s="2151"/>
      <c r="BM1261" s="2151"/>
      <c r="BN1261" s="2152"/>
      <c r="BO1261" s="2151"/>
      <c r="BP1261" s="2151"/>
      <c r="BQ1261" s="2152"/>
    </row>
    <row r="1262" spans="3:69" s="2159" customFormat="1" ht="12" hidden="1" customHeight="1">
      <c r="C1262" s="2293" t="s">
        <v>3426</v>
      </c>
      <c r="D1262" s="2485" t="s">
        <v>3427</v>
      </c>
      <c r="E1262" s="2120" t="s">
        <v>3177</v>
      </c>
      <c r="F1262" s="2162"/>
      <c r="G1262" s="2163">
        <f>G1263+G1270</f>
        <v>0</v>
      </c>
      <c r="H1262" s="2163">
        <f>H1263+H1270</f>
        <v>0</v>
      </c>
      <c r="I1262" s="2164">
        <f t="shared" ref="I1262:I1271" si="2619">H1262-G1262</f>
        <v>0</v>
      </c>
      <c r="J1262" s="2162"/>
      <c r="K1262" s="2163">
        <f t="shared" ref="K1262:L1270" si="2620">N1262+Q1262+W1262+AC1262</f>
        <v>0</v>
      </c>
      <c r="L1262" s="2163">
        <f t="shared" si="2620"/>
        <v>0</v>
      </c>
      <c r="M1262" s="2164">
        <f t="shared" ref="M1262:M1271" si="2621">L1262-K1262</f>
        <v>0</v>
      </c>
      <c r="N1262" s="2163">
        <f>N1263+N1270</f>
        <v>0</v>
      </c>
      <c r="O1262" s="2163">
        <f>O1263+O1270</f>
        <v>0</v>
      </c>
      <c r="P1262" s="2164">
        <f t="shared" ref="P1262:P1271" si="2622">O1262-N1262</f>
        <v>0</v>
      </c>
      <c r="Q1262" s="2163">
        <f>Q1263+Q1270</f>
        <v>0</v>
      </c>
      <c r="R1262" s="2163">
        <f>R1263+R1270</f>
        <v>0</v>
      </c>
      <c r="S1262" s="2164">
        <f t="shared" ref="S1262:S1271" si="2623">R1262-Q1262</f>
        <v>0</v>
      </c>
      <c r="T1262" s="2167">
        <f t="shared" ref="T1262:U1270" si="2624">N1262+Q1262</f>
        <v>0</v>
      </c>
      <c r="U1262" s="2163">
        <f t="shared" si="2624"/>
        <v>0</v>
      </c>
      <c r="V1262" s="2164">
        <f t="shared" ref="V1262:V1271" si="2625">U1262-T1262</f>
        <v>0</v>
      </c>
      <c r="W1262" s="2163">
        <f>W1263+W1270</f>
        <v>0</v>
      </c>
      <c r="X1262" s="2163">
        <f>X1263+X1270</f>
        <v>0</v>
      </c>
      <c r="Y1262" s="2166">
        <f t="shared" ref="Y1262:Y1270" si="2626">X1262-W1262</f>
        <v>0</v>
      </c>
      <c r="Z1262" s="2167">
        <f t="shared" ref="Z1262:AA1270" si="2627">T1262+W1262</f>
        <v>0</v>
      </c>
      <c r="AA1262" s="2163">
        <f t="shared" si="2627"/>
        <v>0</v>
      </c>
      <c r="AB1262" s="2164">
        <f t="shared" ref="AB1262:AB1271" si="2628">AA1262-Z1262</f>
        <v>0</v>
      </c>
      <c r="AC1262" s="2163">
        <f>AC1263+AC1270</f>
        <v>0</v>
      </c>
      <c r="AD1262" s="2163">
        <f>AD1263+AD1270</f>
        <v>0</v>
      </c>
      <c r="AE1262" s="2164">
        <f t="shared" ref="AE1262:AE1271" si="2629">AD1262-AC1262</f>
        <v>0</v>
      </c>
      <c r="AF1262" s="2204"/>
      <c r="AG1262" s="2158"/>
      <c r="AH1262" s="2171">
        <f>AH1263+AH1270</f>
        <v>0</v>
      </c>
      <c r="AI1262" s="2171">
        <f>AI1263+AI1270</f>
        <v>0</v>
      </c>
      <c r="AJ1262" s="2172">
        <f t="shared" ref="AJ1262:AJ1271" si="2630">AI1262-AH1262</f>
        <v>0</v>
      </c>
      <c r="AK1262" s="2171">
        <f>AK1263+AK1270</f>
        <v>0</v>
      </c>
      <c r="AL1262" s="2171">
        <f>AL1263+AL1270</f>
        <v>0</v>
      </c>
      <c r="AM1262" s="2172">
        <f t="shared" ref="AM1262:AM1271" si="2631">AL1262-AK1262</f>
        <v>0</v>
      </c>
      <c r="AN1262" s="2171">
        <f>AN1263+AN1270</f>
        <v>0</v>
      </c>
      <c r="AO1262" s="2171">
        <f>AO1263+AO1270</f>
        <v>0</v>
      </c>
      <c r="AP1262" s="2172">
        <f t="shared" ref="AP1262:AP1271" si="2632">AO1262-AN1262</f>
        <v>0</v>
      </c>
      <c r="AQ1262" s="2171">
        <f>AQ1263+AQ1270</f>
        <v>0</v>
      </c>
      <c r="AR1262" s="2171">
        <f>AR1263+AR1270</f>
        <v>0</v>
      </c>
      <c r="AS1262" s="2172">
        <f t="shared" ref="AS1262:AS1271" si="2633">AR1262-AQ1262</f>
        <v>0</v>
      </c>
      <c r="AT1262" s="2171">
        <f>AT1263+AT1270</f>
        <v>0</v>
      </c>
      <c r="AU1262" s="2171">
        <f>AU1263+AU1270</f>
        <v>0</v>
      </c>
      <c r="AV1262" s="2172">
        <f t="shared" ref="AV1262:AV1271" si="2634">AU1262-AT1262</f>
        <v>0</v>
      </c>
      <c r="AW1262" s="2171">
        <f>AW1263+AW1270</f>
        <v>0</v>
      </c>
      <c r="AX1262" s="2171">
        <f>AX1263+AX1270</f>
        <v>0</v>
      </c>
      <c r="AY1262" s="2172">
        <f t="shared" ref="AY1262:AY1271" si="2635">AX1262-AW1262</f>
        <v>0</v>
      </c>
      <c r="AZ1262" s="2171">
        <f>AZ1263+AZ1270</f>
        <v>0</v>
      </c>
      <c r="BA1262" s="2171">
        <f>BA1263+BA1270</f>
        <v>0</v>
      </c>
      <c r="BB1262" s="2172">
        <f t="shared" ref="BB1262:BB1271" si="2636">BA1262-AZ1262</f>
        <v>0</v>
      </c>
      <c r="BC1262" s="2171">
        <f>BC1263+BC1270</f>
        <v>0</v>
      </c>
      <c r="BD1262" s="2171">
        <f>BD1263+BD1270</f>
        <v>0</v>
      </c>
      <c r="BE1262" s="2172">
        <f t="shared" ref="BE1262:BE1271" si="2637">BD1262-BC1262</f>
        <v>0</v>
      </c>
      <c r="BF1262" s="2171">
        <f>BF1263+BF1270</f>
        <v>0</v>
      </c>
      <c r="BG1262" s="2171">
        <f>BG1263+BG1270</f>
        <v>0</v>
      </c>
      <c r="BH1262" s="2172">
        <f t="shared" ref="BH1262:BH1271" si="2638">BG1262-BF1262</f>
        <v>0</v>
      </c>
      <c r="BI1262" s="2171">
        <f>BI1263+BI1270</f>
        <v>0</v>
      </c>
      <c r="BJ1262" s="2171">
        <f>BJ1263+BJ1270</f>
        <v>0</v>
      </c>
      <c r="BK1262" s="2172">
        <f t="shared" ref="BK1262:BK1271" si="2639">BJ1262-BI1262</f>
        <v>0</v>
      </c>
      <c r="BL1262" s="2171">
        <f>BL1263+BL1270</f>
        <v>0</v>
      </c>
      <c r="BM1262" s="2171">
        <f>BM1263+BM1270</f>
        <v>0</v>
      </c>
      <c r="BN1262" s="2172">
        <f t="shared" ref="BN1262:BN1271" si="2640">BM1262-BL1262</f>
        <v>0</v>
      </c>
      <c r="BO1262" s="2171">
        <f>BO1263+BO1270</f>
        <v>0</v>
      </c>
      <c r="BP1262" s="2171">
        <f>BP1263+BP1270</f>
        <v>0</v>
      </c>
      <c r="BQ1262" s="2172">
        <f t="shared" ref="BQ1262:BQ1271" si="2641">BP1262-BO1262</f>
        <v>0</v>
      </c>
    </row>
    <row r="1263" spans="3:69" s="2159" customFormat="1" ht="12" hidden="1" customHeight="1">
      <c r="C1263" s="2293" t="s">
        <v>3428</v>
      </c>
      <c r="D1263" s="2476" t="s">
        <v>3429</v>
      </c>
      <c r="E1263" s="2120" t="s">
        <v>3177</v>
      </c>
      <c r="F1263" s="2162"/>
      <c r="G1263" s="2163">
        <f>G1264+G1266+G1268</f>
        <v>0</v>
      </c>
      <c r="H1263" s="2163">
        <f>H1264+H1266+H1268</f>
        <v>0</v>
      </c>
      <c r="I1263" s="2164">
        <f t="shared" si="2619"/>
        <v>0</v>
      </c>
      <c r="J1263" s="2162"/>
      <c r="K1263" s="2163">
        <f t="shared" si="2620"/>
        <v>0</v>
      </c>
      <c r="L1263" s="2163">
        <f t="shared" si="2620"/>
        <v>0</v>
      </c>
      <c r="M1263" s="2164">
        <f t="shared" si="2621"/>
        <v>0</v>
      </c>
      <c r="N1263" s="2163">
        <f>N1264+N1266+N1268</f>
        <v>0</v>
      </c>
      <c r="O1263" s="2163">
        <f>O1264+O1266+O1268</f>
        <v>0</v>
      </c>
      <c r="P1263" s="2164">
        <f t="shared" si="2622"/>
        <v>0</v>
      </c>
      <c r="Q1263" s="2163">
        <f>Q1264+Q1266+Q1268</f>
        <v>0</v>
      </c>
      <c r="R1263" s="2163">
        <f>R1264+R1266+R1268</f>
        <v>0</v>
      </c>
      <c r="S1263" s="2164">
        <f t="shared" si="2623"/>
        <v>0</v>
      </c>
      <c r="T1263" s="2167">
        <f t="shared" si="2624"/>
        <v>0</v>
      </c>
      <c r="U1263" s="2163">
        <f t="shared" si="2624"/>
        <v>0</v>
      </c>
      <c r="V1263" s="2164">
        <f t="shared" si="2625"/>
        <v>0</v>
      </c>
      <c r="W1263" s="2163">
        <f>W1264+W1266+W1268</f>
        <v>0</v>
      </c>
      <c r="X1263" s="2163">
        <f>X1264+X1266+X1268</f>
        <v>0</v>
      </c>
      <c r="Y1263" s="2166">
        <f t="shared" si="2626"/>
        <v>0</v>
      </c>
      <c r="Z1263" s="2167">
        <f t="shared" si="2627"/>
        <v>0</v>
      </c>
      <c r="AA1263" s="2163">
        <f t="shared" si="2627"/>
        <v>0</v>
      </c>
      <c r="AB1263" s="2164">
        <f t="shared" si="2628"/>
        <v>0</v>
      </c>
      <c r="AC1263" s="2163">
        <f>AC1264+AC1266+AC1268</f>
        <v>0</v>
      </c>
      <c r="AD1263" s="2163">
        <f>AD1264+AD1266+AD1268</f>
        <v>0</v>
      </c>
      <c r="AE1263" s="2164">
        <f t="shared" si="2629"/>
        <v>0</v>
      </c>
      <c r="AF1263" s="2204"/>
      <c r="AG1263" s="2158"/>
      <c r="AH1263" s="2171">
        <f>AH1264+AH1266+AH1268</f>
        <v>0</v>
      </c>
      <c r="AI1263" s="2171">
        <f>AI1264+AI1266+AI1268</f>
        <v>0</v>
      </c>
      <c r="AJ1263" s="2172">
        <f t="shared" si="2630"/>
        <v>0</v>
      </c>
      <c r="AK1263" s="2171">
        <f>AK1264+AK1266+AK1268</f>
        <v>0</v>
      </c>
      <c r="AL1263" s="2171">
        <f>AL1264+AL1266+AL1268</f>
        <v>0</v>
      </c>
      <c r="AM1263" s="2172">
        <f t="shared" si="2631"/>
        <v>0</v>
      </c>
      <c r="AN1263" s="2171">
        <f>AN1264+AN1266+AN1268</f>
        <v>0</v>
      </c>
      <c r="AO1263" s="2171">
        <f>AO1264+AO1266+AO1268</f>
        <v>0</v>
      </c>
      <c r="AP1263" s="2172">
        <f t="shared" si="2632"/>
        <v>0</v>
      </c>
      <c r="AQ1263" s="2171">
        <f>AQ1264+AQ1266+AQ1268</f>
        <v>0</v>
      </c>
      <c r="AR1263" s="2171">
        <f>AR1264+AR1266+AR1268</f>
        <v>0</v>
      </c>
      <c r="AS1263" s="2172">
        <f t="shared" si="2633"/>
        <v>0</v>
      </c>
      <c r="AT1263" s="2171">
        <f>AT1264+AT1266+AT1268</f>
        <v>0</v>
      </c>
      <c r="AU1263" s="2171">
        <f>AU1264+AU1266+AU1268</f>
        <v>0</v>
      </c>
      <c r="AV1263" s="2172">
        <f t="shared" si="2634"/>
        <v>0</v>
      </c>
      <c r="AW1263" s="2171">
        <f>AW1264+AW1266+AW1268</f>
        <v>0</v>
      </c>
      <c r="AX1263" s="2171">
        <f>AX1264+AX1266+AX1268</f>
        <v>0</v>
      </c>
      <c r="AY1263" s="2172">
        <f t="shared" si="2635"/>
        <v>0</v>
      </c>
      <c r="AZ1263" s="2171">
        <f>AZ1264+AZ1266+AZ1268</f>
        <v>0</v>
      </c>
      <c r="BA1263" s="2171">
        <f>BA1264+BA1266+BA1268</f>
        <v>0</v>
      </c>
      <c r="BB1263" s="2172">
        <f t="shared" si="2636"/>
        <v>0</v>
      </c>
      <c r="BC1263" s="2171">
        <f>BC1264+BC1266+BC1268</f>
        <v>0</v>
      </c>
      <c r="BD1263" s="2171">
        <f>BD1264+BD1266+BD1268</f>
        <v>0</v>
      </c>
      <c r="BE1263" s="2172">
        <f t="shared" si="2637"/>
        <v>0</v>
      </c>
      <c r="BF1263" s="2171">
        <f>BF1264+BF1266+BF1268</f>
        <v>0</v>
      </c>
      <c r="BG1263" s="2171">
        <f>BG1264+BG1266+BG1268</f>
        <v>0</v>
      </c>
      <c r="BH1263" s="2172">
        <f t="shared" si="2638"/>
        <v>0</v>
      </c>
      <c r="BI1263" s="2171">
        <f>BI1264+BI1266+BI1268</f>
        <v>0</v>
      </c>
      <c r="BJ1263" s="2171">
        <f>BJ1264+BJ1266+BJ1268</f>
        <v>0</v>
      </c>
      <c r="BK1263" s="2172">
        <f t="shared" si="2639"/>
        <v>0</v>
      </c>
      <c r="BL1263" s="2171">
        <f>BL1264+BL1266+BL1268</f>
        <v>0</v>
      </c>
      <c r="BM1263" s="2171">
        <f>BM1264+BM1266+BM1268</f>
        <v>0</v>
      </c>
      <c r="BN1263" s="2172">
        <f t="shared" si="2640"/>
        <v>0</v>
      </c>
      <c r="BO1263" s="2171">
        <f>BO1264+BO1266+BO1268</f>
        <v>0</v>
      </c>
      <c r="BP1263" s="2171">
        <f>BP1264+BP1266+BP1268</f>
        <v>0</v>
      </c>
      <c r="BQ1263" s="2172">
        <f t="shared" si="2641"/>
        <v>0</v>
      </c>
    </row>
    <row r="1264" spans="3:69" s="2087" customFormat="1" ht="12" hidden="1" customHeight="1">
      <c r="C1264" s="2285" t="s">
        <v>3430</v>
      </c>
      <c r="D1264" s="2418" t="s">
        <v>28</v>
      </c>
      <c r="E1264" s="2222" t="s">
        <v>3177</v>
      </c>
      <c r="F1264" s="2176"/>
      <c r="G1264" s="2177"/>
      <c r="H1264" s="2177"/>
      <c r="I1264" s="2178">
        <f t="shared" si="2619"/>
        <v>0</v>
      </c>
      <c r="J1264" s="2176"/>
      <c r="K1264" s="2179">
        <f t="shared" si="2620"/>
        <v>0</v>
      </c>
      <c r="L1264" s="2179">
        <f t="shared" si="2620"/>
        <v>0</v>
      </c>
      <c r="M1264" s="2178">
        <f t="shared" si="2621"/>
        <v>0</v>
      </c>
      <c r="N1264" s="2177"/>
      <c r="O1264" s="2177"/>
      <c r="P1264" s="2178">
        <f t="shared" si="2622"/>
        <v>0</v>
      </c>
      <c r="Q1264" s="2176"/>
      <c r="R1264" s="2177"/>
      <c r="S1264" s="2178">
        <f t="shared" si="2623"/>
        <v>0</v>
      </c>
      <c r="T1264" s="2181">
        <f t="shared" si="2624"/>
        <v>0</v>
      </c>
      <c r="U1264" s="2179">
        <f t="shared" si="2624"/>
        <v>0</v>
      </c>
      <c r="V1264" s="2178">
        <f t="shared" si="2625"/>
        <v>0</v>
      </c>
      <c r="W1264" s="2176"/>
      <c r="X1264" s="2177"/>
      <c r="Y1264" s="2180">
        <f t="shared" si="2626"/>
        <v>0</v>
      </c>
      <c r="Z1264" s="2181">
        <f t="shared" si="2627"/>
        <v>0</v>
      </c>
      <c r="AA1264" s="2179">
        <f t="shared" si="2627"/>
        <v>0</v>
      </c>
      <c r="AB1264" s="2178">
        <f t="shared" si="2628"/>
        <v>0</v>
      </c>
      <c r="AC1264" s="2176"/>
      <c r="AD1264" s="2177"/>
      <c r="AE1264" s="2178">
        <f t="shared" si="2629"/>
        <v>0</v>
      </c>
      <c r="AF1264" s="2204"/>
      <c r="AG1264" s="2114"/>
      <c r="AH1264" s="2177"/>
      <c r="AI1264" s="2177"/>
      <c r="AJ1264" s="2186">
        <f t="shared" si="2630"/>
        <v>0</v>
      </c>
      <c r="AK1264" s="2177"/>
      <c r="AL1264" s="2177"/>
      <c r="AM1264" s="2186">
        <f t="shared" si="2631"/>
        <v>0</v>
      </c>
      <c r="AN1264" s="2177"/>
      <c r="AO1264" s="2177"/>
      <c r="AP1264" s="2186">
        <f t="shared" si="2632"/>
        <v>0</v>
      </c>
      <c r="AQ1264" s="2177"/>
      <c r="AR1264" s="2177"/>
      <c r="AS1264" s="2186">
        <f t="shared" si="2633"/>
        <v>0</v>
      </c>
      <c r="AT1264" s="2177"/>
      <c r="AU1264" s="2177"/>
      <c r="AV1264" s="2186">
        <f t="shared" si="2634"/>
        <v>0</v>
      </c>
      <c r="AW1264" s="2177"/>
      <c r="AX1264" s="2177"/>
      <c r="AY1264" s="2186">
        <f t="shared" si="2635"/>
        <v>0</v>
      </c>
      <c r="AZ1264" s="2177"/>
      <c r="BA1264" s="2177"/>
      <c r="BB1264" s="2186">
        <f t="shared" si="2636"/>
        <v>0</v>
      </c>
      <c r="BC1264" s="2177"/>
      <c r="BD1264" s="2177"/>
      <c r="BE1264" s="2186">
        <f t="shared" si="2637"/>
        <v>0</v>
      </c>
      <c r="BF1264" s="2177"/>
      <c r="BG1264" s="2177"/>
      <c r="BH1264" s="2186">
        <f t="shared" si="2638"/>
        <v>0</v>
      </c>
      <c r="BI1264" s="2177"/>
      <c r="BJ1264" s="2177"/>
      <c r="BK1264" s="2186">
        <f t="shared" si="2639"/>
        <v>0</v>
      </c>
      <c r="BL1264" s="2177"/>
      <c r="BM1264" s="2177"/>
      <c r="BN1264" s="2186">
        <f t="shared" si="2640"/>
        <v>0</v>
      </c>
      <c r="BO1264" s="2177"/>
      <c r="BP1264" s="2177"/>
      <c r="BQ1264" s="2186">
        <f t="shared" si="2641"/>
        <v>0</v>
      </c>
    </row>
    <row r="1265" spans="3:69" s="2087" customFormat="1" ht="12" hidden="1" customHeight="1">
      <c r="C1265" s="2285" t="s">
        <v>3431</v>
      </c>
      <c r="D1265" s="2421" t="s">
        <v>2434</v>
      </c>
      <c r="E1265" s="2222" t="s">
        <v>3177</v>
      </c>
      <c r="F1265" s="2176"/>
      <c r="G1265" s="2177"/>
      <c r="H1265" s="2177"/>
      <c r="I1265" s="2178">
        <f t="shared" si="2619"/>
        <v>0</v>
      </c>
      <c r="J1265" s="2176"/>
      <c r="K1265" s="2179">
        <f>N1265+Q1265+W1265+AC1265</f>
        <v>0</v>
      </c>
      <c r="L1265" s="2179">
        <f>O1265+R1265+X1265+AD1265</f>
        <v>0</v>
      </c>
      <c r="M1265" s="2178">
        <f t="shared" si="2621"/>
        <v>0</v>
      </c>
      <c r="N1265" s="2177"/>
      <c r="O1265" s="2177"/>
      <c r="P1265" s="2178">
        <f t="shared" si="2622"/>
        <v>0</v>
      </c>
      <c r="Q1265" s="2176"/>
      <c r="R1265" s="2177"/>
      <c r="S1265" s="2178">
        <f t="shared" si="2623"/>
        <v>0</v>
      </c>
      <c r="T1265" s="2181">
        <f>N1265+Q1265</f>
        <v>0</v>
      </c>
      <c r="U1265" s="2179">
        <f>O1265+R1265</f>
        <v>0</v>
      </c>
      <c r="V1265" s="2178">
        <f t="shared" si="2625"/>
        <v>0</v>
      </c>
      <c r="W1265" s="2176"/>
      <c r="X1265" s="2177"/>
      <c r="Y1265" s="2266"/>
      <c r="Z1265" s="2181">
        <f>T1265+W1265</f>
        <v>0</v>
      </c>
      <c r="AA1265" s="2179">
        <f>U1265+X1265</f>
        <v>0</v>
      </c>
      <c r="AB1265" s="2178">
        <f t="shared" si="2628"/>
        <v>0</v>
      </c>
      <c r="AC1265" s="2176"/>
      <c r="AD1265" s="2177"/>
      <c r="AE1265" s="2178">
        <f t="shared" si="2629"/>
        <v>0</v>
      </c>
      <c r="AF1265" s="2204"/>
      <c r="AG1265" s="2114"/>
      <c r="AH1265" s="2177"/>
      <c r="AI1265" s="2177"/>
      <c r="AJ1265" s="2186">
        <f t="shared" si="2630"/>
        <v>0</v>
      </c>
      <c r="AK1265" s="2177"/>
      <c r="AL1265" s="2177"/>
      <c r="AM1265" s="2186">
        <f t="shared" si="2631"/>
        <v>0</v>
      </c>
      <c r="AN1265" s="2177"/>
      <c r="AO1265" s="2177"/>
      <c r="AP1265" s="2186">
        <f t="shared" si="2632"/>
        <v>0</v>
      </c>
      <c r="AQ1265" s="2177"/>
      <c r="AR1265" s="2177"/>
      <c r="AS1265" s="2186">
        <f t="shared" si="2633"/>
        <v>0</v>
      </c>
      <c r="AT1265" s="2177"/>
      <c r="AU1265" s="2177"/>
      <c r="AV1265" s="2186">
        <f t="shared" si="2634"/>
        <v>0</v>
      </c>
      <c r="AW1265" s="2177"/>
      <c r="AX1265" s="2177"/>
      <c r="AY1265" s="2186">
        <f t="shared" si="2635"/>
        <v>0</v>
      </c>
      <c r="AZ1265" s="2177"/>
      <c r="BA1265" s="2177"/>
      <c r="BB1265" s="2186">
        <f t="shared" si="2636"/>
        <v>0</v>
      </c>
      <c r="BC1265" s="2177"/>
      <c r="BD1265" s="2177"/>
      <c r="BE1265" s="2186">
        <f t="shared" si="2637"/>
        <v>0</v>
      </c>
      <c r="BF1265" s="2177"/>
      <c r="BG1265" s="2177"/>
      <c r="BH1265" s="2186">
        <f t="shared" si="2638"/>
        <v>0</v>
      </c>
      <c r="BI1265" s="2177"/>
      <c r="BJ1265" s="2177"/>
      <c r="BK1265" s="2186">
        <f t="shared" si="2639"/>
        <v>0</v>
      </c>
      <c r="BL1265" s="2177"/>
      <c r="BM1265" s="2177"/>
      <c r="BN1265" s="2186">
        <f t="shared" si="2640"/>
        <v>0</v>
      </c>
      <c r="BO1265" s="2177"/>
      <c r="BP1265" s="2177"/>
      <c r="BQ1265" s="2186">
        <f t="shared" si="2641"/>
        <v>0</v>
      </c>
    </row>
    <row r="1266" spans="3:69" s="2087" customFormat="1" ht="12" hidden="1" customHeight="1">
      <c r="C1266" s="2285" t="s">
        <v>3432</v>
      </c>
      <c r="D1266" s="2418" t="s">
        <v>2872</v>
      </c>
      <c r="E1266" s="2222" t="s">
        <v>3177</v>
      </c>
      <c r="F1266" s="2176"/>
      <c r="G1266" s="2177"/>
      <c r="H1266" s="2177"/>
      <c r="I1266" s="2178">
        <f t="shared" si="2619"/>
        <v>0</v>
      </c>
      <c r="J1266" s="2176"/>
      <c r="K1266" s="2179">
        <f t="shared" si="2620"/>
        <v>0</v>
      </c>
      <c r="L1266" s="2179">
        <f t="shared" si="2620"/>
        <v>0</v>
      </c>
      <c r="M1266" s="2178">
        <f t="shared" si="2621"/>
        <v>0</v>
      </c>
      <c r="N1266" s="2177"/>
      <c r="O1266" s="2177"/>
      <c r="P1266" s="2178">
        <f t="shared" si="2622"/>
        <v>0</v>
      </c>
      <c r="Q1266" s="2176"/>
      <c r="R1266" s="2177"/>
      <c r="S1266" s="2178">
        <f t="shared" si="2623"/>
        <v>0</v>
      </c>
      <c r="T1266" s="2181">
        <f t="shared" si="2624"/>
        <v>0</v>
      </c>
      <c r="U1266" s="2179">
        <f t="shared" si="2624"/>
        <v>0</v>
      </c>
      <c r="V1266" s="2178">
        <f t="shared" si="2625"/>
        <v>0</v>
      </c>
      <c r="W1266" s="2176"/>
      <c r="X1266" s="2177"/>
      <c r="Y1266" s="2180">
        <f t="shared" si="2626"/>
        <v>0</v>
      </c>
      <c r="Z1266" s="2181">
        <f t="shared" si="2627"/>
        <v>0</v>
      </c>
      <c r="AA1266" s="2179">
        <f t="shared" si="2627"/>
        <v>0</v>
      </c>
      <c r="AB1266" s="2178">
        <f t="shared" si="2628"/>
        <v>0</v>
      </c>
      <c r="AC1266" s="2176"/>
      <c r="AD1266" s="2177"/>
      <c r="AE1266" s="2178">
        <f t="shared" si="2629"/>
        <v>0</v>
      </c>
      <c r="AF1266" s="2204"/>
      <c r="AG1266" s="2114"/>
      <c r="AH1266" s="2177"/>
      <c r="AI1266" s="2177"/>
      <c r="AJ1266" s="2186">
        <f t="shared" si="2630"/>
        <v>0</v>
      </c>
      <c r="AK1266" s="2177"/>
      <c r="AL1266" s="2177"/>
      <c r="AM1266" s="2186">
        <f t="shared" si="2631"/>
        <v>0</v>
      </c>
      <c r="AN1266" s="2177"/>
      <c r="AO1266" s="2177"/>
      <c r="AP1266" s="2186">
        <f t="shared" si="2632"/>
        <v>0</v>
      </c>
      <c r="AQ1266" s="2177"/>
      <c r="AR1266" s="2177"/>
      <c r="AS1266" s="2186">
        <f t="shared" si="2633"/>
        <v>0</v>
      </c>
      <c r="AT1266" s="2177"/>
      <c r="AU1266" s="2177"/>
      <c r="AV1266" s="2186">
        <f t="shared" si="2634"/>
        <v>0</v>
      </c>
      <c r="AW1266" s="2177"/>
      <c r="AX1266" s="2177"/>
      <c r="AY1266" s="2186">
        <f t="shared" si="2635"/>
        <v>0</v>
      </c>
      <c r="AZ1266" s="2177"/>
      <c r="BA1266" s="2177"/>
      <c r="BB1266" s="2186">
        <f t="shared" si="2636"/>
        <v>0</v>
      </c>
      <c r="BC1266" s="2177"/>
      <c r="BD1266" s="2177"/>
      <c r="BE1266" s="2186">
        <f t="shared" si="2637"/>
        <v>0</v>
      </c>
      <c r="BF1266" s="2177"/>
      <c r="BG1266" s="2177"/>
      <c r="BH1266" s="2186">
        <f t="shared" si="2638"/>
        <v>0</v>
      </c>
      <c r="BI1266" s="2177"/>
      <c r="BJ1266" s="2177"/>
      <c r="BK1266" s="2186">
        <f t="shared" si="2639"/>
        <v>0</v>
      </c>
      <c r="BL1266" s="2177"/>
      <c r="BM1266" s="2177"/>
      <c r="BN1266" s="2186">
        <f t="shared" si="2640"/>
        <v>0</v>
      </c>
      <c r="BO1266" s="2177"/>
      <c r="BP1266" s="2177"/>
      <c r="BQ1266" s="2186">
        <f t="shared" si="2641"/>
        <v>0</v>
      </c>
    </row>
    <row r="1267" spans="3:69" s="2087" customFormat="1" ht="12" hidden="1" customHeight="1">
      <c r="C1267" s="2285" t="s">
        <v>3433</v>
      </c>
      <c r="D1267" s="2421" t="s">
        <v>2434</v>
      </c>
      <c r="E1267" s="2222" t="s">
        <v>3177</v>
      </c>
      <c r="F1267" s="2176"/>
      <c r="G1267" s="2177"/>
      <c r="H1267" s="2177"/>
      <c r="I1267" s="2178">
        <f t="shared" si="2619"/>
        <v>0</v>
      </c>
      <c r="J1267" s="2176"/>
      <c r="K1267" s="2179">
        <f>N1267+Q1267+W1267+AC1267</f>
        <v>0</v>
      </c>
      <c r="L1267" s="2179">
        <f>O1267+R1267+X1267+AD1267</f>
        <v>0</v>
      </c>
      <c r="M1267" s="2178">
        <f t="shared" si="2621"/>
        <v>0</v>
      </c>
      <c r="N1267" s="2177"/>
      <c r="O1267" s="2177"/>
      <c r="P1267" s="2178">
        <f t="shared" si="2622"/>
        <v>0</v>
      </c>
      <c r="Q1267" s="2176"/>
      <c r="R1267" s="2177"/>
      <c r="S1267" s="2178">
        <f t="shared" si="2623"/>
        <v>0</v>
      </c>
      <c r="T1267" s="2181">
        <f>N1267+Q1267</f>
        <v>0</v>
      </c>
      <c r="U1267" s="2179">
        <f>O1267+R1267</f>
        <v>0</v>
      </c>
      <c r="V1267" s="2178">
        <f t="shared" si="2625"/>
        <v>0</v>
      </c>
      <c r="W1267" s="2176"/>
      <c r="X1267" s="2177"/>
      <c r="Y1267" s="2266"/>
      <c r="Z1267" s="2181">
        <f>T1267+W1267</f>
        <v>0</v>
      </c>
      <c r="AA1267" s="2179">
        <f>U1267+X1267</f>
        <v>0</v>
      </c>
      <c r="AB1267" s="2178">
        <f t="shared" si="2628"/>
        <v>0</v>
      </c>
      <c r="AC1267" s="2176"/>
      <c r="AD1267" s="2177"/>
      <c r="AE1267" s="2178">
        <f t="shared" si="2629"/>
        <v>0</v>
      </c>
      <c r="AF1267" s="2204"/>
      <c r="AG1267" s="2114"/>
      <c r="AH1267" s="2177"/>
      <c r="AI1267" s="2177"/>
      <c r="AJ1267" s="2186">
        <f t="shared" si="2630"/>
        <v>0</v>
      </c>
      <c r="AK1267" s="2177"/>
      <c r="AL1267" s="2177"/>
      <c r="AM1267" s="2186">
        <f t="shared" si="2631"/>
        <v>0</v>
      </c>
      <c r="AN1267" s="2177"/>
      <c r="AO1267" s="2177"/>
      <c r="AP1267" s="2186">
        <f t="shared" si="2632"/>
        <v>0</v>
      </c>
      <c r="AQ1267" s="2177"/>
      <c r="AR1267" s="2177"/>
      <c r="AS1267" s="2186">
        <f t="shared" si="2633"/>
        <v>0</v>
      </c>
      <c r="AT1267" s="2177"/>
      <c r="AU1267" s="2177"/>
      <c r="AV1267" s="2186">
        <f t="shared" si="2634"/>
        <v>0</v>
      </c>
      <c r="AW1267" s="2177"/>
      <c r="AX1267" s="2177"/>
      <c r="AY1267" s="2186">
        <f t="shared" si="2635"/>
        <v>0</v>
      </c>
      <c r="AZ1267" s="2177"/>
      <c r="BA1267" s="2177"/>
      <c r="BB1267" s="2186">
        <f t="shared" si="2636"/>
        <v>0</v>
      </c>
      <c r="BC1267" s="2177"/>
      <c r="BD1267" s="2177"/>
      <c r="BE1267" s="2186">
        <f t="shared" si="2637"/>
        <v>0</v>
      </c>
      <c r="BF1267" s="2177"/>
      <c r="BG1267" s="2177"/>
      <c r="BH1267" s="2186">
        <f t="shared" si="2638"/>
        <v>0</v>
      </c>
      <c r="BI1267" s="2177"/>
      <c r="BJ1267" s="2177"/>
      <c r="BK1267" s="2186">
        <f t="shared" si="2639"/>
        <v>0</v>
      </c>
      <c r="BL1267" s="2177"/>
      <c r="BM1267" s="2177"/>
      <c r="BN1267" s="2186">
        <f t="shared" si="2640"/>
        <v>0</v>
      </c>
      <c r="BO1267" s="2177"/>
      <c r="BP1267" s="2177"/>
      <c r="BQ1267" s="2186">
        <f t="shared" si="2641"/>
        <v>0</v>
      </c>
    </row>
    <row r="1268" spans="3:69" s="2087" customFormat="1" ht="12" hidden="1" customHeight="1">
      <c r="C1268" s="2285" t="s">
        <v>3434</v>
      </c>
      <c r="D1268" s="2418" t="s">
        <v>42</v>
      </c>
      <c r="E1268" s="2222" t="s">
        <v>3177</v>
      </c>
      <c r="F1268" s="2176"/>
      <c r="G1268" s="2177"/>
      <c r="H1268" s="2177"/>
      <c r="I1268" s="2178">
        <f t="shared" si="2619"/>
        <v>0</v>
      </c>
      <c r="J1268" s="2176"/>
      <c r="K1268" s="2179">
        <f t="shared" si="2620"/>
        <v>0</v>
      </c>
      <c r="L1268" s="2179">
        <f t="shared" si="2620"/>
        <v>0</v>
      </c>
      <c r="M1268" s="2178">
        <f t="shared" si="2621"/>
        <v>0</v>
      </c>
      <c r="N1268" s="2177"/>
      <c r="O1268" s="2177"/>
      <c r="P1268" s="2178">
        <f t="shared" si="2622"/>
        <v>0</v>
      </c>
      <c r="Q1268" s="2176"/>
      <c r="R1268" s="2177"/>
      <c r="S1268" s="2178">
        <f t="shared" si="2623"/>
        <v>0</v>
      </c>
      <c r="T1268" s="2181">
        <f t="shared" si="2624"/>
        <v>0</v>
      </c>
      <c r="U1268" s="2179">
        <f t="shared" si="2624"/>
        <v>0</v>
      </c>
      <c r="V1268" s="2178">
        <f t="shared" si="2625"/>
        <v>0</v>
      </c>
      <c r="W1268" s="2176"/>
      <c r="X1268" s="2177"/>
      <c r="Y1268" s="2180">
        <f t="shared" si="2626"/>
        <v>0</v>
      </c>
      <c r="Z1268" s="2181">
        <f t="shared" si="2627"/>
        <v>0</v>
      </c>
      <c r="AA1268" s="2179">
        <f t="shared" si="2627"/>
        <v>0</v>
      </c>
      <c r="AB1268" s="2178">
        <f t="shared" si="2628"/>
        <v>0</v>
      </c>
      <c r="AC1268" s="2176"/>
      <c r="AD1268" s="2177"/>
      <c r="AE1268" s="2178">
        <f t="shared" si="2629"/>
        <v>0</v>
      </c>
      <c r="AF1268" s="2185"/>
      <c r="AG1268" s="2114"/>
      <c r="AH1268" s="2177"/>
      <c r="AI1268" s="2177"/>
      <c r="AJ1268" s="2186">
        <f t="shared" si="2630"/>
        <v>0</v>
      </c>
      <c r="AK1268" s="2177"/>
      <c r="AL1268" s="2177"/>
      <c r="AM1268" s="2186">
        <f t="shared" si="2631"/>
        <v>0</v>
      </c>
      <c r="AN1268" s="2177"/>
      <c r="AO1268" s="2177"/>
      <c r="AP1268" s="2186">
        <f t="shared" si="2632"/>
        <v>0</v>
      </c>
      <c r="AQ1268" s="2177"/>
      <c r="AR1268" s="2177"/>
      <c r="AS1268" s="2186">
        <f t="shared" si="2633"/>
        <v>0</v>
      </c>
      <c r="AT1268" s="2177"/>
      <c r="AU1268" s="2177"/>
      <c r="AV1268" s="2186">
        <f t="shared" si="2634"/>
        <v>0</v>
      </c>
      <c r="AW1268" s="2177"/>
      <c r="AX1268" s="2177"/>
      <c r="AY1268" s="2186">
        <f t="shared" si="2635"/>
        <v>0</v>
      </c>
      <c r="AZ1268" s="2177"/>
      <c r="BA1268" s="2177"/>
      <c r="BB1268" s="2186">
        <f t="shared" si="2636"/>
        <v>0</v>
      </c>
      <c r="BC1268" s="2177"/>
      <c r="BD1268" s="2177"/>
      <c r="BE1268" s="2186">
        <f t="shared" si="2637"/>
        <v>0</v>
      </c>
      <c r="BF1268" s="2177"/>
      <c r="BG1268" s="2177"/>
      <c r="BH1268" s="2186">
        <f t="shared" si="2638"/>
        <v>0</v>
      </c>
      <c r="BI1268" s="2177"/>
      <c r="BJ1268" s="2177"/>
      <c r="BK1268" s="2186">
        <f t="shared" si="2639"/>
        <v>0</v>
      </c>
      <c r="BL1268" s="2177"/>
      <c r="BM1268" s="2177"/>
      <c r="BN1268" s="2186">
        <f t="shared" si="2640"/>
        <v>0</v>
      </c>
      <c r="BO1268" s="2177"/>
      <c r="BP1268" s="2177"/>
      <c r="BQ1268" s="2186">
        <f t="shared" si="2641"/>
        <v>0</v>
      </c>
    </row>
    <row r="1269" spans="3:69" s="2087" customFormat="1" ht="12" hidden="1" customHeight="1">
      <c r="C1269" s="2285" t="s">
        <v>3435</v>
      </c>
      <c r="D1269" s="2421" t="s">
        <v>2434</v>
      </c>
      <c r="E1269" s="2222" t="s">
        <v>3177</v>
      </c>
      <c r="F1269" s="2176"/>
      <c r="G1269" s="2177"/>
      <c r="H1269" s="2177"/>
      <c r="I1269" s="2178">
        <f t="shared" si="2619"/>
        <v>0</v>
      </c>
      <c r="J1269" s="2176"/>
      <c r="K1269" s="2179">
        <f>N1269+Q1269+W1269+AC1269</f>
        <v>0</v>
      </c>
      <c r="L1269" s="2179">
        <f>O1269+R1269+X1269+AD1269</f>
        <v>0</v>
      </c>
      <c r="M1269" s="2178">
        <f t="shared" si="2621"/>
        <v>0</v>
      </c>
      <c r="N1269" s="2177"/>
      <c r="O1269" s="2177"/>
      <c r="P1269" s="2178">
        <f t="shared" si="2622"/>
        <v>0</v>
      </c>
      <c r="Q1269" s="2176"/>
      <c r="R1269" s="2177"/>
      <c r="S1269" s="2178">
        <f t="shared" si="2623"/>
        <v>0</v>
      </c>
      <c r="T1269" s="2181">
        <f>N1269+Q1269</f>
        <v>0</v>
      </c>
      <c r="U1269" s="2179">
        <f>O1269+R1269</f>
        <v>0</v>
      </c>
      <c r="V1269" s="2178">
        <f t="shared" si="2625"/>
        <v>0</v>
      </c>
      <c r="W1269" s="2176"/>
      <c r="X1269" s="2177"/>
      <c r="Y1269" s="2266"/>
      <c r="Z1269" s="2181">
        <f>T1269+W1269</f>
        <v>0</v>
      </c>
      <c r="AA1269" s="2179">
        <f>U1269+X1269</f>
        <v>0</v>
      </c>
      <c r="AB1269" s="2178">
        <f t="shared" si="2628"/>
        <v>0</v>
      </c>
      <c r="AC1269" s="2176"/>
      <c r="AD1269" s="2177"/>
      <c r="AE1269" s="2178">
        <f t="shared" si="2629"/>
        <v>0</v>
      </c>
      <c r="AF1269" s="2185"/>
      <c r="AG1269" s="2114"/>
      <c r="AH1269" s="2177"/>
      <c r="AI1269" s="2177"/>
      <c r="AJ1269" s="2186">
        <f t="shared" si="2630"/>
        <v>0</v>
      </c>
      <c r="AK1269" s="2177"/>
      <c r="AL1269" s="2177"/>
      <c r="AM1269" s="2186">
        <f t="shared" si="2631"/>
        <v>0</v>
      </c>
      <c r="AN1269" s="2177"/>
      <c r="AO1269" s="2177"/>
      <c r="AP1269" s="2186">
        <f t="shared" si="2632"/>
        <v>0</v>
      </c>
      <c r="AQ1269" s="2177"/>
      <c r="AR1269" s="2177"/>
      <c r="AS1269" s="2186">
        <f t="shared" si="2633"/>
        <v>0</v>
      </c>
      <c r="AT1269" s="2177"/>
      <c r="AU1269" s="2177"/>
      <c r="AV1269" s="2186">
        <f t="shared" si="2634"/>
        <v>0</v>
      </c>
      <c r="AW1269" s="2177"/>
      <c r="AX1269" s="2177"/>
      <c r="AY1269" s="2186">
        <f t="shared" si="2635"/>
        <v>0</v>
      </c>
      <c r="AZ1269" s="2177"/>
      <c r="BA1269" s="2177"/>
      <c r="BB1269" s="2186">
        <f t="shared" si="2636"/>
        <v>0</v>
      </c>
      <c r="BC1269" s="2177"/>
      <c r="BD1269" s="2177"/>
      <c r="BE1269" s="2186">
        <f t="shared" si="2637"/>
        <v>0</v>
      </c>
      <c r="BF1269" s="2177"/>
      <c r="BG1269" s="2177"/>
      <c r="BH1269" s="2186">
        <f t="shared" si="2638"/>
        <v>0</v>
      </c>
      <c r="BI1269" s="2177"/>
      <c r="BJ1269" s="2177"/>
      <c r="BK1269" s="2186">
        <f t="shared" si="2639"/>
        <v>0</v>
      </c>
      <c r="BL1269" s="2177"/>
      <c r="BM1269" s="2177"/>
      <c r="BN1269" s="2186">
        <f t="shared" si="2640"/>
        <v>0</v>
      </c>
      <c r="BO1269" s="2177"/>
      <c r="BP1269" s="2177"/>
      <c r="BQ1269" s="2186">
        <f t="shared" si="2641"/>
        <v>0</v>
      </c>
    </row>
    <row r="1270" spans="3:69" s="2159" customFormat="1" ht="12" hidden="1" customHeight="1">
      <c r="C1270" s="2212" t="s">
        <v>3436</v>
      </c>
      <c r="D1270" s="2476" t="s">
        <v>3437</v>
      </c>
      <c r="E1270" s="2203" t="s">
        <v>3177</v>
      </c>
      <c r="F1270" s="2162"/>
      <c r="G1270" s="2218"/>
      <c r="H1270" s="2218"/>
      <c r="I1270" s="2164">
        <f t="shared" si="2619"/>
        <v>0</v>
      </c>
      <c r="J1270" s="2162"/>
      <c r="K1270" s="2163">
        <f t="shared" si="2620"/>
        <v>0</v>
      </c>
      <c r="L1270" s="2163">
        <f t="shared" si="2620"/>
        <v>0</v>
      </c>
      <c r="M1270" s="2164">
        <f t="shared" si="2621"/>
        <v>0</v>
      </c>
      <c r="N1270" s="2218"/>
      <c r="O1270" s="2218"/>
      <c r="P1270" s="2164">
        <f t="shared" si="2622"/>
        <v>0</v>
      </c>
      <c r="Q1270" s="2162"/>
      <c r="R1270" s="2218"/>
      <c r="S1270" s="2164">
        <f t="shared" si="2623"/>
        <v>0</v>
      </c>
      <c r="T1270" s="2167">
        <f t="shared" si="2624"/>
        <v>0</v>
      </c>
      <c r="U1270" s="2163">
        <f t="shared" si="2624"/>
        <v>0</v>
      </c>
      <c r="V1270" s="2164">
        <f t="shared" si="2625"/>
        <v>0</v>
      </c>
      <c r="W1270" s="2162"/>
      <c r="X1270" s="2218"/>
      <c r="Y1270" s="2166">
        <f t="shared" si="2626"/>
        <v>0</v>
      </c>
      <c r="Z1270" s="2167">
        <f t="shared" si="2627"/>
        <v>0</v>
      </c>
      <c r="AA1270" s="2163">
        <f t="shared" si="2627"/>
        <v>0</v>
      </c>
      <c r="AB1270" s="2164">
        <f t="shared" si="2628"/>
        <v>0</v>
      </c>
      <c r="AC1270" s="2162"/>
      <c r="AD1270" s="2218"/>
      <c r="AE1270" s="2164">
        <f t="shared" si="2629"/>
        <v>0</v>
      </c>
      <c r="AF1270" s="2281"/>
      <c r="AG1270" s="2158"/>
      <c r="AH1270" s="2218"/>
      <c r="AI1270" s="2218"/>
      <c r="AJ1270" s="2172">
        <f t="shared" si="2630"/>
        <v>0</v>
      </c>
      <c r="AK1270" s="2218"/>
      <c r="AL1270" s="2218"/>
      <c r="AM1270" s="2172">
        <f t="shared" si="2631"/>
        <v>0</v>
      </c>
      <c r="AN1270" s="2218"/>
      <c r="AO1270" s="2218"/>
      <c r="AP1270" s="2172">
        <f t="shared" si="2632"/>
        <v>0</v>
      </c>
      <c r="AQ1270" s="2218"/>
      <c r="AR1270" s="2218"/>
      <c r="AS1270" s="2172">
        <f t="shared" si="2633"/>
        <v>0</v>
      </c>
      <c r="AT1270" s="2218"/>
      <c r="AU1270" s="2218"/>
      <c r="AV1270" s="2172">
        <f t="shared" si="2634"/>
        <v>0</v>
      </c>
      <c r="AW1270" s="2218"/>
      <c r="AX1270" s="2218"/>
      <c r="AY1270" s="2172">
        <f t="shared" si="2635"/>
        <v>0</v>
      </c>
      <c r="AZ1270" s="2218"/>
      <c r="BA1270" s="2218"/>
      <c r="BB1270" s="2172">
        <f t="shared" si="2636"/>
        <v>0</v>
      </c>
      <c r="BC1270" s="2218"/>
      <c r="BD1270" s="2218"/>
      <c r="BE1270" s="2172">
        <f t="shared" si="2637"/>
        <v>0</v>
      </c>
      <c r="BF1270" s="2218"/>
      <c r="BG1270" s="2218"/>
      <c r="BH1270" s="2172">
        <f t="shared" si="2638"/>
        <v>0</v>
      </c>
      <c r="BI1270" s="2218"/>
      <c r="BJ1270" s="2218"/>
      <c r="BK1270" s="2172">
        <f t="shared" si="2639"/>
        <v>0</v>
      </c>
      <c r="BL1270" s="2218"/>
      <c r="BM1270" s="2218"/>
      <c r="BN1270" s="2172">
        <f t="shared" si="2640"/>
        <v>0</v>
      </c>
      <c r="BO1270" s="2218"/>
      <c r="BP1270" s="2218"/>
      <c r="BQ1270" s="2172">
        <f t="shared" si="2641"/>
        <v>0</v>
      </c>
    </row>
    <row r="1271" spans="3:69" s="2159" customFormat="1" ht="12" hidden="1" customHeight="1">
      <c r="C1271" s="2488" t="s">
        <v>3438</v>
      </c>
      <c r="D1271" s="2286" t="s">
        <v>2434</v>
      </c>
      <c r="E1271" s="2222" t="s">
        <v>3177</v>
      </c>
      <c r="F1271" s="2176"/>
      <c r="G1271" s="2177"/>
      <c r="H1271" s="2177"/>
      <c r="I1271" s="2178">
        <f t="shared" si="2619"/>
        <v>0</v>
      </c>
      <c r="J1271" s="2176"/>
      <c r="K1271" s="2179">
        <f>N1271+Q1271+W1271+AC1271</f>
        <v>0</v>
      </c>
      <c r="L1271" s="2179">
        <f>O1271+R1271+X1271+AD1271</f>
        <v>0</v>
      </c>
      <c r="M1271" s="2178">
        <f t="shared" si="2621"/>
        <v>0</v>
      </c>
      <c r="N1271" s="2177"/>
      <c r="O1271" s="2177"/>
      <c r="P1271" s="2178">
        <f t="shared" si="2622"/>
        <v>0</v>
      </c>
      <c r="Q1271" s="2176"/>
      <c r="R1271" s="2177"/>
      <c r="S1271" s="2178">
        <f t="shared" si="2623"/>
        <v>0</v>
      </c>
      <c r="T1271" s="2181">
        <f>N1271+Q1271</f>
        <v>0</v>
      </c>
      <c r="U1271" s="2179">
        <f>O1271+R1271</f>
        <v>0</v>
      </c>
      <c r="V1271" s="2178">
        <f t="shared" si="2625"/>
        <v>0</v>
      </c>
      <c r="W1271" s="2176"/>
      <c r="X1271" s="2177"/>
      <c r="Y1271" s="2266"/>
      <c r="Z1271" s="2181">
        <f>T1271+W1271</f>
        <v>0</v>
      </c>
      <c r="AA1271" s="2179">
        <f>U1271+X1271</f>
        <v>0</v>
      </c>
      <c r="AB1271" s="2178">
        <f t="shared" si="2628"/>
        <v>0</v>
      </c>
      <c r="AC1271" s="2176"/>
      <c r="AD1271" s="2177"/>
      <c r="AE1271" s="2178">
        <f t="shared" si="2629"/>
        <v>0</v>
      </c>
      <c r="AF1271" s="2281"/>
      <c r="AG1271" s="2158"/>
      <c r="AH1271" s="2177"/>
      <c r="AI1271" s="2177"/>
      <c r="AJ1271" s="2186">
        <f t="shared" si="2630"/>
        <v>0</v>
      </c>
      <c r="AK1271" s="2177"/>
      <c r="AL1271" s="2177"/>
      <c r="AM1271" s="2186">
        <f t="shared" si="2631"/>
        <v>0</v>
      </c>
      <c r="AN1271" s="2177"/>
      <c r="AO1271" s="2177"/>
      <c r="AP1271" s="2186">
        <f t="shared" si="2632"/>
        <v>0</v>
      </c>
      <c r="AQ1271" s="2177"/>
      <c r="AR1271" s="2177"/>
      <c r="AS1271" s="2186">
        <f t="shared" si="2633"/>
        <v>0</v>
      </c>
      <c r="AT1271" s="2177"/>
      <c r="AU1271" s="2177"/>
      <c r="AV1271" s="2186">
        <f t="shared" si="2634"/>
        <v>0</v>
      </c>
      <c r="AW1271" s="2177"/>
      <c r="AX1271" s="2177"/>
      <c r="AY1271" s="2186">
        <f t="shared" si="2635"/>
        <v>0</v>
      </c>
      <c r="AZ1271" s="2177"/>
      <c r="BA1271" s="2177"/>
      <c r="BB1271" s="2186">
        <f t="shared" si="2636"/>
        <v>0</v>
      </c>
      <c r="BC1271" s="2177"/>
      <c r="BD1271" s="2177"/>
      <c r="BE1271" s="2186">
        <f t="shared" si="2637"/>
        <v>0</v>
      </c>
      <c r="BF1271" s="2177"/>
      <c r="BG1271" s="2177"/>
      <c r="BH1271" s="2186">
        <f t="shared" si="2638"/>
        <v>0</v>
      </c>
      <c r="BI1271" s="2177"/>
      <c r="BJ1271" s="2177"/>
      <c r="BK1271" s="2186">
        <f t="shared" si="2639"/>
        <v>0</v>
      </c>
      <c r="BL1271" s="2177"/>
      <c r="BM1271" s="2177"/>
      <c r="BN1271" s="2186">
        <f t="shared" si="2640"/>
        <v>0</v>
      </c>
      <c r="BO1271" s="2177"/>
      <c r="BP1271" s="2177"/>
      <c r="BQ1271" s="2186">
        <f t="shared" si="2641"/>
        <v>0</v>
      </c>
    </row>
    <row r="1272" spans="3:69" s="2159" customFormat="1" ht="12" hidden="1" customHeight="1" collapsed="1">
      <c r="C1272" s="2147" t="s">
        <v>3439</v>
      </c>
      <c r="D1272" s="2148" t="s">
        <v>2133</v>
      </c>
      <c r="E1272" s="2149"/>
      <c r="F1272" s="2150"/>
      <c r="G1272" s="2151"/>
      <c r="H1272" s="2151"/>
      <c r="I1272" s="2152"/>
      <c r="J1272" s="2150"/>
      <c r="K1272" s="2151"/>
      <c r="L1272" s="2151"/>
      <c r="M1272" s="2152"/>
      <c r="N1272" s="2151"/>
      <c r="O1272" s="2151"/>
      <c r="P1272" s="2152"/>
      <c r="Q1272" s="2150"/>
      <c r="R1272" s="2151"/>
      <c r="S1272" s="2153"/>
      <c r="T1272" s="2154"/>
      <c r="U1272" s="2151"/>
      <c r="V1272" s="2152"/>
      <c r="W1272" s="2150"/>
      <c r="X1272" s="2151"/>
      <c r="Y1272" s="2153"/>
      <c r="Z1272" s="2154"/>
      <c r="AA1272" s="2151"/>
      <c r="AB1272" s="2152"/>
      <c r="AC1272" s="2150"/>
      <c r="AD1272" s="2151"/>
      <c r="AE1272" s="2153"/>
      <c r="AF1272" s="2157"/>
      <c r="AG1272" s="2158"/>
      <c r="AH1272" s="2151"/>
      <c r="AI1272" s="2151"/>
      <c r="AJ1272" s="2152"/>
      <c r="AK1272" s="2151"/>
      <c r="AL1272" s="2151"/>
      <c r="AM1272" s="2152"/>
      <c r="AN1272" s="2151"/>
      <c r="AO1272" s="2151"/>
      <c r="AP1272" s="2152"/>
      <c r="AQ1272" s="2151"/>
      <c r="AR1272" s="2151"/>
      <c r="AS1272" s="2152"/>
      <c r="AT1272" s="2151"/>
      <c r="AU1272" s="2151"/>
      <c r="AV1272" s="2152"/>
      <c r="AW1272" s="2151"/>
      <c r="AX1272" s="2151"/>
      <c r="AY1272" s="2152"/>
      <c r="AZ1272" s="2151"/>
      <c r="BA1272" s="2151"/>
      <c r="BB1272" s="2152"/>
      <c r="BC1272" s="2151"/>
      <c r="BD1272" s="2151"/>
      <c r="BE1272" s="2152"/>
      <c r="BF1272" s="2151"/>
      <c r="BG1272" s="2151"/>
      <c r="BH1272" s="2152"/>
      <c r="BI1272" s="2151"/>
      <c r="BJ1272" s="2151"/>
      <c r="BK1272" s="2152"/>
      <c r="BL1272" s="2151"/>
      <c r="BM1272" s="2151"/>
      <c r="BN1272" s="2152"/>
      <c r="BO1272" s="2151"/>
      <c r="BP1272" s="2151"/>
      <c r="BQ1272" s="2152"/>
    </row>
    <row r="1273" spans="3:69" s="2159" customFormat="1" ht="12" hidden="1" customHeight="1">
      <c r="C1273" s="2293" t="s">
        <v>3440</v>
      </c>
      <c r="D1273" s="2485" t="s">
        <v>3441</v>
      </c>
      <c r="E1273" s="2120" t="s">
        <v>3076</v>
      </c>
      <c r="F1273" s="2162"/>
      <c r="G1273" s="2455">
        <f t="shared" ref="G1273:H1276" si="2642">IFERROR(G1282/G1262,0)</f>
        <v>0</v>
      </c>
      <c r="H1273" s="2455">
        <f t="shared" si="2642"/>
        <v>0</v>
      </c>
      <c r="I1273" s="2479">
        <f>H1273-G1273</f>
        <v>0</v>
      </c>
      <c r="J1273" s="2454"/>
      <c r="K1273" s="2455">
        <f t="shared" ref="K1273:L1276" si="2643">IFERROR(K1282/K1262,0)</f>
        <v>0</v>
      </c>
      <c r="L1273" s="2455">
        <f t="shared" si="2643"/>
        <v>0</v>
      </c>
      <c r="M1273" s="2479">
        <f>L1273-K1273</f>
        <v>0</v>
      </c>
      <c r="N1273" s="2455">
        <f t="shared" ref="N1273:O1276" si="2644">IFERROR(N1282/N1262,0)</f>
        <v>0</v>
      </c>
      <c r="O1273" s="2455">
        <f t="shared" si="2644"/>
        <v>0</v>
      </c>
      <c r="P1273" s="2479">
        <f>O1273-N1273</f>
        <v>0</v>
      </c>
      <c r="Q1273" s="2456">
        <f t="shared" ref="Q1273:R1276" si="2645">IFERROR(Q1282/Q1262,0)</f>
        <v>0</v>
      </c>
      <c r="R1273" s="2455">
        <f t="shared" si="2645"/>
        <v>0</v>
      </c>
      <c r="S1273" s="2479">
        <f>R1273-Q1273</f>
        <v>0</v>
      </c>
      <c r="T1273" s="2457">
        <f t="shared" ref="T1273:U1276" si="2646">IFERROR(T1282/T1262,0)</f>
        <v>0</v>
      </c>
      <c r="U1273" s="2455">
        <f t="shared" si="2646"/>
        <v>0</v>
      </c>
      <c r="V1273" s="2479">
        <f>U1273-T1273</f>
        <v>0</v>
      </c>
      <c r="W1273" s="2456">
        <f t="shared" ref="W1273:X1276" si="2647">IFERROR(W1282/W1262,0)</f>
        <v>0</v>
      </c>
      <c r="X1273" s="2455">
        <f t="shared" si="2647"/>
        <v>0</v>
      </c>
      <c r="Y1273" s="2479">
        <f>X1273-W1273</f>
        <v>0</v>
      </c>
      <c r="Z1273" s="2457">
        <f t="shared" ref="Z1273:AA1276" si="2648">IFERROR(Z1282/Z1262,0)</f>
        <v>0</v>
      </c>
      <c r="AA1273" s="2455">
        <f t="shared" si="2648"/>
        <v>0</v>
      </c>
      <c r="AB1273" s="2479">
        <f>AA1273-Z1273</f>
        <v>0</v>
      </c>
      <c r="AC1273" s="2456">
        <f t="shared" ref="AC1273:AD1275" si="2649">IFERROR(AC1282/AC1262,0)</f>
        <v>0</v>
      </c>
      <c r="AD1273" s="2455">
        <f t="shared" si="2649"/>
        <v>0</v>
      </c>
      <c r="AE1273" s="2479">
        <f>AD1273-AC1273</f>
        <v>0</v>
      </c>
      <c r="AF1273" s="2204"/>
      <c r="AG1273" s="2158"/>
      <c r="AH1273" s="2458">
        <f t="shared" ref="AH1273:AI1276" si="2650">IFERROR(AH1282/AH1262,0)</f>
        <v>0</v>
      </c>
      <c r="AI1273" s="2458">
        <f t="shared" si="2650"/>
        <v>0</v>
      </c>
      <c r="AJ1273" s="2480">
        <f>AI1273-AH1273</f>
        <v>0</v>
      </c>
      <c r="AK1273" s="2458">
        <f t="shared" ref="AK1273:AL1276" si="2651">IFERROR(AK1282/AK1262,0)</f>
        <v>0</v>
      </c>
      <c r="AL1273" s="2458">
        <f t="shared" si="2651"/>
        <v>0</v>
      </c>
      <c r="AM1273" s="2480">
        <f>AL1273-AK1273</f>
        <v>0</v>
      </c>
      <c r="AN1273" s="2458">
        <f t="shared" ref="AN1273:AO1276" si="2652">IFERROR(AN1282/AN1262,0)</f>
        <v>0</v>
      </c>
      <c r="AO1273" s="2458">
        <f t="shared" si="2652"/>
        <v>0</v>
      </c>
      <c r="AP1273" s="2480">
        <f>AO1273-AN1273</f>
        <v>0</v>
      </c>
      <c r="AQ1273" s="2458">
        <f t="shared" ref="AQ1273:AR1276" si="2653">IFERROR(AQ1282/AQ1262,0)</f>
        <v>0</v>
      </c>
      <c r="AR1273" s="2458">
        <f t="shared" si="2653"/>
        <v>0</v>
      </c>
      <c r="AS1273" s="2480">
        <f>AR1273-AQ1273</f>
        <v>0</v>
      </c>
      <c r="AT1273" s="2458">
        <f t="shared" ref="AT1273:AU1276" si="2654">IFERROR(AT1282/AT1262,0)</f>
        <v>0</v>
      </c>
      <c r="AU1273" s="2458">
        <f t="shared" si="2654"/>
        <v>0</v>
      </c>
      <c r="AV1273" s="2480">
        <f>AU1273-AT1273</f>
        <v>0</v>
      </c>
      <c r="AW1273" s="2458">
        <f t="shared" ref="AW1273:AX1276" si="2655">IFERROR(AW1282/AW1262,0)</f>
        <v>0</v>
      </c>
      <c r="AX1273" s="2458">
        <f t="shared" si="2655"/>
        <v>0</v>
      </c>
      <c r="AY1273" s="2480">
        <f>AX1273-AW1273</f>
        <v>0</v>
      </c>
      <c r="AZ1273" s="2458">
        <f t="shared" ref="AZ1273:BA1276" si="2656">IFERROR(AZ1282/AZ1262,0)</f>
        <v>0</v>
      </c>
      <c r="BA1273" s="2458">
        <f t="shared" si="2656"/>
        <v>0</v>
      </c>
      <c r="BB1273" s="2480">
        <f>BA1273-AZ1273</f>
        <v>0</v>
      </c>
      <c r="BC1273" s="2458">
        <f t="shared" ref="BC1273:BD1276" si="2657">IFERROR(BC1282/BC1262,0)</f>
        <v>0</v>
      </c>
      <c r="BD1273" s="2458">
        <f t="shared" si="2657"/>
        <v>0</v>
      </c>
      <c r="BE1273" s="2480">
        <f>BD1273-BC1273</f>
        <v>0</v>
      </c>
      <c r="BF1273" s="2458">
        <f t="shared" ref="BF1273:BG1276" si="2658">IFERROR(BF1282/BF1262,0)</f>
        <v>0</v>
      </c>
      <c r="BG1273" s="2458">
        <f t="shared" si="2658"/>
        <v>0</v>
      </c>
      <c r="BH1273" s="2480">
        <f>BG1273-BF1273</f>
        <v>0</v>
      </c>
      <c r="BI1273" s="2458">
        <f t="shared" ref="BI1273:BJ1276" si="2659">IFERROR(BI1282/BI1262,0)</f>
        <v>0</v>
      </c>
      <c r="BJ1273" s="2458">
        <f t="shared" si="2659"/>
        <v>0</v>
      </c>
      <c r="BK1273" s="2480">
        <f>BJ1273-BI1273</f>
        <v>0</v>
      </c>
      <c r="BL1273" s="2458">
        <f t="shared" ref="BL1273:BM1276" si="2660">IFERROR(BL1282/BL1262,0)</f>
        <v>0</v>
      </c>
      <c r="BM1273" s="2458">
        <f t="shared" si="2660"/>
        <v>0</v>
      </c>
      <c r="BN1273" s="2480">
        <f>BM1273-BL1273</f>
        <v>0</v>
      </c>
      <c r="BO1273" s="2458">
        <f t="shared" ref="BO1273:BP1276" si="2661">IFERROR(BO1282/BO1262,0)</f>
        <v>0</v>
      </c>
      <c r="BP1273" s="2458">
        <f t="shared" si="2661"/>
        <v>0</v>
      </c>
      <c r="BQ1273" s="2480">
        <f>BP1273-BO1273</f>
        <v>0</v>
      </c>
    </row>
    <row r="1274" spans="3:69" s="2207" customFormat="1" ht="12" hidden="1" customHeight="1">
      <c r="C1274" s="2293" t="s">
        <v>3442</v>
      </c>
      <c r="D1274" s="2476" t="s">
        <v>3443</v>
      </c>
      <c r="E1274" s="2120" t="s">
        <v>3076</v>
      </c>
      <c r="F1274" s="2162"/>
      <c r="G1274" s="2455">
        <f t="shared" si="2642"/>
        <v>0</v>
      </c>
      <c r="H1274" s="2455">
        <f t="shared" si="2642"/>
        <v>0</v>
      </c>
      <c r="I1274" s="2479">
        <f>H1274-G1274</f>
        <v>0</v>
      </c>
      <c r="J1274" s="2454"/>
      <c r="K1274" s="2455">
        <f t="shared" si="2643"/>
        <v>0</v>
      </c>
      <c r="L1274" s="2455">
        <f t="shared" si="2643"/>
        <v>0</v>
      </c>
      <c r="M1274" s="2479">
        <f>L1274-K1274</f>
        <v>0</v>
      </c>
      <c r="N1274" s="2455">
        <f t="shared" si="2644"/>
        <v>0</v>
      </c>
      <c r="O1274" s="2455">
        <f t="shared" si="2644"/>
        <v>0</v>
      </c>
      <c r="P1274" s="2479">
        <f>O1274-N1274</f>
        <v>0</v>
      </c>
      <c r="Q1274" s="2456">
        <f t="shared" si="2645"/>
        <v>0</v>
      </c>
      <c r="R1274" s="2455">
        <f t="shared" si="2645"/>
        <v>0</v>
      </c>
      <c r="S1274" s="2479">
        <f>R1274-Q1274</f>
        <v>0</v>
      </c>
      <c r="T1274" s="2457">
        <f t="shared" si="2646"/>
        <v>0</v>
      </c>
      <c r="U1274" s="2455">
        <f t="shared" si="2646"/>
        <v>0</v>
      </c>
      <c r="V1274" s="2479">
        <f>U1274-T1274</f>
        <v>0</v>
      </c>
      <c r="W1274" s="2456">
        <f t="shared" si="2647"/>
        <v>0</v>
      </c>
      <c r="X1274" s="2455">
        <f t="shared" si="2647"/>
        <v>0</v>
      </c>
      <c r="Y1274" s="2479">
        <f>X1274-W1274</f>
        <v>0</v>
      </c>
      <c r="Z1274" s="2457">
        <f t="shared" si="2648"/>
        <v>0</v>
      </c>
      <c r="AA1274" s="2455">
        <f t="shared" si="2648"/>
        <v>0</v>
      </c>
      <c r="AB1274" s="2479">
        <f>AA1274-Z1274</f>
        <v>0</v>
      </c>
      <c r="AC1274" s="2456">
        <f t="shared" si="2649"/>
        <v>0</v>
      </c>
      <c r="AD1274" s="2455">
        <f t="shared" si="2649"/>
        <v>0</v>
      </c>
      <c r="AE1274" s="2479">
        <f>AD1274-AC1274</f>
        <v>0</v>
      </c>
      <c r="AF1274" s="2281"/>
      <c r="AG1274" s="2206"/>
      <c r="AH1274" s="2458">
        <f t="shared" si="2650"/>
        <v>0</v>
      </c>
      <c r="AI1274" s="2458">
        <f t="shared" si="2650"/>
        <v>0</v>
      </c>
      <c r="AJ1274" s="2480">
        <f>AI1274-AH1274</f>
        <v>0</v>
      </c>
      <c r="AK1274" s="2458">
        <f t="shared" si="2651"/>
        <v>0</v>
      </c>
      <c r="AL1274" s="2458">
        <f t="shared" si="2651"/>
        <v>0</v>
      </c>
      <c r="AM1274" s="2480">
        <f>AL1274-AK1274</f>
        <v>0</v>
      </c>
      <c r="AN1274" s="2458">
        <f t="shared" si="2652"/>
        <v>0</v>
      </c>
      <c r="AO1274" s="2458">
        <f t="shared" si="2652"/>
        <v>0</v>
      </c>
      <c r="AP1274" s="2480">
        <f>AO1274-AN1274</f>
        <v>0</v>
      </c>
      <c r="AQ1274" s="2458">
        <f t="shared" si="2653"/>
        <v>0</v>
      </c>
      <c r="AR1274" s="2458">
        <f t="shared" si="2653"/>
        <v>0</v>
      </c>
      <c r="AS1274" s="2480">
        <f>AR1274-AQ1274</f>
        <v>0</v>
      </c>
      <c r="AT1274" s="2458">
        <f t="shared" si="2654"/>
        <v>0</v>
      </c>
      <c r="AU1274" s="2458">
        <f t="shared" si="2654"/>
        <v>0</v>
      </c>
      <c r="AV1274" s="2480">
        <f>AU1274-AT1274</f>
        <v>0</v>
      </c>
      <c r="AW1274" s="2458">
        <f t="shared" si="2655"/>
        <v>0</v>
      </c>
      <c r="AX1274" s="2458">
        <f t="shared" si="2655"/>
        <v>0</v>
      </c>
      <c r="AY1274" s="2480">
        <f>AX1274-AW1274</f>
        <v>0</v>
      </c>
      <c r="AZ1274" s="2458">
        <f t="shared" si="2656"/>
        <v>0</v>
      </c>
      <c r="BA1274" s="2458">
        <f t="shared" si="2656"/>
        <v>0</v>
      </c>
      <c r="BB1274" s="2480">
        <f>BA1274-AZ1274</f>
        <v>0</v>
      </c>
      <c r="BC1274" s="2458">
        <f t="shared" si="2657"/>
        <v>0</v>
      </c>
      <c r="BD1274" s="2458">
        <f t="shared" si="2657"/>
        <v>0</v>
      </c>
      <c r="BE1274" s="2480">
        <f>BD1274-BC1274</f>
        <v>0</v>
      </c>
      <c r="BF1274" s="2458">
        <f t="shared" si="2658"/>
        <v>0</v>
      </c>
      <c r="BG1274" s="2458">
        <f t="shared" si="2658"/>
        <v>0</v>
      </c>
      <c r="BH1274" s="2480">
        <f>BG1274-BF1274</f>
        <v>0</v>
      </c>
      <c r="BI1274" s="2458">
        <f t="shared" si="2659"/>
        <v>0</v>
      </c>
      <c r="BJ1274" s="2458">
        <f t="shared" si="2659"/>
        <v>0</v>
      </c>
      <c r="BK1274" s="2480">
        <f>BJ1274-BI1274</f>
        <v>0</v>
      </c>
      <c r="BL1274" s="2458">
        <f t="shared" si="2660"/>
        <v>0</v>
      </c>
      <c r="BM1274" s="2458">
        <f t="shared" si="2660"/>
        <v>0</v>
      </c>
      <c r="BN1274" s="2480">
        <f>BM1274-BL1274</f>
        <v>0</v>
      </c>
      <c r="BO1274" s="2458">
        <f t="shared" si="2661"/>
        <v>0</v>
      </c>
      <c r="BP1274" s="2458">
        <f t="shared" si="2661"/>
        <v>0</v>
      </c>
      <c r="BQ1274" s="2480">
        <f>BP1274-BO1274</f>
        <v>0</v>
      </c>
    </row>
    <row r="1275" spans="3:69" ht="12" hidden="1" customHeight="1">
      <c r="C1275" s="2285" t="s">
        <v>3444</v>
      </c>
      <c r="D1275" s="2418" t="s">
        <v>28</v>
      </c>
      <c r="E1275" s="2250" t="s">
        <v>3079</v>
      </c>
      <c r="F1275" s="2176"/>
      <c r="G1275" s="2339">
        <f t="shared" si="2642"/>
        <v>0</v>
      </c>
      <c r="H1275" s="2339">
        <f t="shared" si="2642"/>
        <v>0</v>
      </c>
      <c r="I1275" s="2337">
        <f>H1275-G1275</f>
        <v>0</v>
      </c>
      <c r="J1275" s="2338"/>
      <c r="K1275" s="2339">
        <f t="shared" si="2643"/>
        <v>0</v>
      </c>
      <c r="L1275" s="2339">
        <f t="shared" si="2643"/>
        <v>0</v>
      </c>
      <c r="M1275" s="2337">
        <f>L1275-K1275</f>
        <v>0</v>
      </c>
      <c r="N1275" s="2339">
        <f t="shared" si="2644"/>
        <v>0</v>
      </c>
      <c r="O1275" s="2339">
        <f t="shared" si="2644"/>
        <v>0</v>
      </c>
      <c r="P1275" s="2337">
        <f>O1275-N1275</f>
        <v>0</v>
      </c>
      <c r="Q1275" s="2344">
        <f t="shared" si="2645"/>
        <v>0</v>
      </c>
      <c r="R1275" s="2339">
        <f t="shared" si="2645"/>
        <v>0</v>
      </c>
      <c r="S1275" s="2337">
        <f>R1275-Q1275</f>
        <v>0</v>
      </c>
      <c r="T1275" s="2340">
        <f t="shared" si="2646"/>
        <v>0</v>
      </c>
      <c r="U1275" s="2339">
        <f t="shared" si="2646"/>
        <v>0</v>
      </c>
      <c r="V1275" s="2337">
        <f>U1275-T1275</f>
        <v>0</v>
      </c>
      <c r="W1275" s="2344">
        <f t="shared" si="2647"/>
        <v>0</v>
      </c>
      <c r="X1275" s="2339">
        <f t="shared" si="2647"/>
        <v>0</v>
      </c>
      <c r="Y1275" s="2337">
        <f>X1275-W1275</f>
        <v>0</v>
      </c>
      <c r="Z1275" s="2340">
        <f t="shared" si="2648"/>
        <v>0</v>
      </c>
      <c r="AA1275" s="2339">
        <f t="shared" si="2648"/>
        <v>0</v>
      </c>
      <c r="AB1275" s="2337">
        <f>AA1275-Z1275</f>
        <v>0</v>
      </c>
      <c r="AC1275" s="2344">
        <f t="shared" si="2649"/>
        <v>0</v>
      </c>
      <c r="AD1275" s="2339">
        <f t="shared" si="2649"/>
        <v>0</v>
      </c>
      <c r="AE1275" s="2337">
        <f>AD1275-AC1275</f>
        <v>0</v>
      </c>
      <c r="AF1275" s="2277"/>
      <c r="AG1275" s="2145"/>
      <c r="AH1275" s="2345">
        <f t="shared" si="2650"/>
        <v>0</v>
      </c>
      <c r="AI1275" s="2345">
        <f t="shared" si="2650"/>
        <v>0</v>
      </c>
      <c r="AJ1275" s="2346">
        <f>AI1275-AH1275</f>
        <v>0</v>
      </c>
      <c r="AK1275" s="2345">
        <f t="shared" si="2651"/>
        <v>0</v>
      </c>
      <c r="AL1275" s="2345">
        <f t="shared" si="2651"/>
        <v>0</v>
      </c>
      <c r="AM1275" s="2346">
        <f>AL1275-AK1275</f>
        <v>0</v>
      </c>
      <c r="AN1275" s="2345">
        <f t="shared" si="2652"/>
        <v>0</v>
      </c>
      <c r="AO1275" s="2345">
        <f t="shared" si="2652"/>
        <v>0</v>
      </c>
      <c r="AP1275" s="2346">
        <f>AO1275-AN1275</f>
        <v>0</v>
      </c>
      <c r="AQ1275" s="2345">
        <f t="shared" si="2653"/>
        <v>0</v>
      </c>
      <c r="AR1275" s="2345">
        <f t="shared" si="2653"/>
        <v>0</v>
      </c>
      <c r="AS1275" s="2346">
        <f>AR1275-AQ1275</f>
        <v>0</v>
      </c>
      <c r="AT1275" s="2345">
        <f t="shared" si="2654"/>
        <v>0</v>
      </c>
      <c r="AU1275" s="2345">
        <f t="shared" si="2654"/>
        <v>0</v>
      </c>
      <c r="AV1275" s="2346">
        <f>AU1275-AT1275</f>
        <v>0</v>
      </c>
      <c r="AW1275" s="2345">
        <f t="shared" si="2655"/>
        <v>0</v>
      </c>
      <c r="AX1275" s="2345">
        <f t="shared" si="2655"/>
        <v>0</v>
      </c>
      <c r="AY1275" s="2346">
        <f>AX1275-AW1275</f>
        <v>0</v>
      </c>
      <c r="AZ1275" s="2345">
        <f t="shared" si="2656"/>
        <v>0</v>
      </c>
      <c r="BA1275" s="2345">
        <f t="shared" si="2656"/>
        <v>0</v>
      </c>
      <c r="BB1275" s="2346">
        <f>BA1275-AZ1275</f>
        <v>0</v>
      </c>
      <c r="BC1275" s="2345">
        <f t="shared" si="2657"/>
        <v>0</v>
      </c>
      <c r="BD1275" s="2345">
        <f t="shared" si="2657"/>
        <v>0</v>
      </c>
      <c r="BE1275" s="2346">
        <f>BD1275-BC1275</f>
        <v>0</v>
      </c>
      <c r="BF1275" s="2345">
        <f t="shared" si="2658"/>
        <v>0</v>
      </c>
      <c r="BG1275" s="2345">
        <f t="shared" si="2658"/>
        <v>0</v>
      </c>
      <c r="BH1275" s="2346">
        <f>BG1275-BF1275</f>
        <v>0</v>
      </c>
      <c r="BI1275" s="2345">
        <f t="shared" si="2659"/>
        <v>0</v>
      </c>
      <c r="BJ1275" s="2345">
        <f t="shared" si="2659"/>
        <v>0</v>
      </c>
      <c r="BK1275" s="2346">
        <f>BJ1275-BI1275</f>
        <v>0</v>
      </c>
      <c r="BL1275" s="2345">
        <f t="shared" si="2660"/>
        <v>0</v>
      </c>
      <c r="BM1275" s="2345">
        <f t="shared" si="2660"/>
        <v>0</v>
      </c>
      <c r="BN1275" s="2346">
        <f>BM1275-BL1275</f>
        <v>0</v>
      </c>
      <c r="BO1275" s="2345">
        <f t="shared" si="2661"/>
        <v>0</v>
      </c>
      <c r="BP1275" s="2345">
        <f t="shared" si="2661"/>
        <v>0</v>
      </c>
      <c r="BQ1275" s="2346">
        <f>BP1275-BO1275</f>
        <v>0</v>
      </c>
    </row>
    <row r="1276" spans="3:69" ht="12" hidden="1" customHeight="1">
      <c r="C1276" s="2285" t="s">
        <v>3445</v>
      </c>
      <c r="D1276" s="2421" t="s">
        <v>2434</v>
      </c>
      <c r="E1276" s="2250" t="s">
        <v>3079</v>
      </c>
      <c r="F1276" s="2176"/>
      <c r="G1276" s="2339">
        <f t="shared" si="2642"/>
        <v>0</v>
      </c>
      <c r="H1276" s="2339">
        <f t="shared" si="2642"/>
        <v>0</v>
      </c>
      <c r="I1276" s="2337">
        <f t="shared" ref="I1276:I1280" si="2662">H1276-G1276</f>
        <v>0</v>
      </c>
      <c r="J1276" s="2338"/>
      <c r="K1276" s="2339">
        <f t="shared" si="2643"/>
        <v>0</v>
      </c>
      <c r="L1276" s="2339">
        <f t="shared" si="2643"/>
        <v>0</v>
      </c>
      <c r="M1276" s="2337">
        <f t="shared" ref="M1276:M1280" si="2663">L1276-K1276</f>
        <v>0</v>
      </c>
      <c r="N1276" s="2339">
        <f t="shared" si="2644"/>
        <v>0</v>
      </c>
      <c r="O1276" s="2339">
        <f t="shared" si="2644"/>
        <v>0</v>
      </c>
      <c r="P1276" s="2337">
        <f t="shared" ref="P1276:P1280" si="2664">O1276-N1276</f>
        <v>0</v>
      </c>
      <c r="Q1276" s="2339">
        <f t="shared" si="2645"/>
        <v>0</v>
      </c>
      <c r="R1276" s="2339">
        <f t="shared" si="2645"/>
        <v>0</v>
      </c>
      <c r="S1276" s="2337">
        <f t="shared" ref="S1276:S1280" si="2665">R1276-Q1276</f>
        <v>0</v>
      </c>
      <c r="T1276" s="2339">
        <f t="shared" si="2646"/>
        <v>0</v>
      </c>
      <c r="U1276" s="2339">
        <f t="shared" si="2646"/>
        <v>0</v>
      </c>
      <c r="V1276" s="2337">
        <f t="shared" ref="V1276:V1280" si="2666">U1276-T1276</f>
        <v>0</v>
      </c>
      <c r="W1276" s="2339">
        <f t="shared" si="2647"/>
        <v>0</v>
      </c>
      <c r="X1276" s="2339">
        <f t="shared" si="2647"/>
        <v>0</v>
      </c>
      <c r="Y1276" s="2337">
        <f t="shared" ref="Y1276:Y1280" si="2667">X1276-W1276</f>
        <v>0</v>
      </c>
      <c r="Z1276" s="2339">
        <f t="shared" si="2648"/>
        <v>0</v>
      </c>
      <c r="AA1276" s="2339">
        <f t="shared" si="2648"/>
        <v>0</v>
      </c>
      <c r="AB1276" s="2337">
        <f t="shared" ref="AB1276:AB1280" si="2668">AA1276-Z1276</f>
        <v>0</v>
      </c>
      <c r="AC1276" s="2483"/>
      <c r="AD1276" s="2345"/>
      <c r="AE1276" s="2337">
        <f t="shared" ref="AE1276:AE1280" si="2669">AD1276-AC1276</f>
        <v>0</v>
      </c>
      <c r="AF1276" s="2277"/>
      <c r="AG1276" s="2145"/>
      <c r="AH1276" s="2345">
        <f t="shared" si="2650"/>
        <v>0</v>
      </c>
      <c r="AI1276" s="2345">
        <f t="shared" si="2650"/>
        <v>0</v>
      </c>
      <c r="AJ1276" s="2346">
        <f t="shared" ref="AJ1276:AJ1280" si="2670">AI1276-AH1276</f>
        <v>0</v>
      </c>
      <c r="AK1276" s="2345">
        <f t="shared" si="2651"/>
        <v>0</v>
      </c>
      <c r="AL1276" s="2345">
        <f t="shared" si="2651"/>
        <v>0</v>
      </c>
      <c r="AM1276" s="2346">
        <f t="shared" ref="AM1276:AM1280" si="2671">AL1276-AK1276</f>
        <v>0</v>
      </c>
      <c r="AN1276" s="2345">
        <f t="shared" si="2652"/>
        <v>0</v>
      </c>
      <c r="AO1276" s="2345">
        <f t="shared" si="2652"/>
        <v>0</v>
      </c>
      <c r="AP1276" s="2346">
        <f t="shared" ref="AP1276:AP1280" si="2672">AO1276-AN1276</f>
        <v>0</v>
      </c>
      <c r="AQ1276" s="2345">
        <f t="shared" si="2653"/>
        <v>0</v>
      </c>
      <c r="AR1276" s="2345">
        <f t="shared" si="2653"/>
        <v>0</v>
      </c>
      <c r="AS1276" s="2346">
        <f t="shared" ref="AS1276:AS1280" si="2673">AR1276-AQ1276</f>
        <v>0</v>
      </c>
      <c r="AT1276" s="2345">
        <f t="shared" si="2654"/>
        <v>0</v>
      </c>
      <c r="AU1276" s="2345">
        <f t="shared" si="2654"/>
        <v>0</v>
      </c>
      <c r="AV1276" s="2346">
        <f t="shared" ref="AV1276:AV1280" si="2674">AU1276-AT1276</f>
        <v>0</v>
      </c>
      <c r="AW1276" s="2345">
        <f t="shared" si="2655"/>
        <v>0</v>
      </c>
      <c r="AX1276" s="2345">
        <f t="shared" si="2655"/>
        <v>0</v>
      </c>
      <c r="AY1276" s="2346">
        <f t="shared" ref="AY1276:AY1280" si="2675">AX1276-AW1276</f>
        <v>0</v>
      </c>
      <c r="AZ1276" s="2345">
        <f t="shared" si="2656"/>
        <v>0</v>
      </c>
      <c r="BA1276" s="2345">
        <f t="shared" si="2656"/>
        <v>0</v>
      </c>
      <c r="BB1276" s="2346">
        <f t="shared" ref="BB1276:BB1280" si="2676">BA1276-AZ1276</f>
        <v>0</v>
      </c>
      <c r="BC1276" s="2345">
        <f t="shared" si="2657"/>
        <v>0</v>
      </c>
      <c r="BD1276" s="2345">
        <f t="shared" si="2657"/>
        <v>0</v>
      </c>
      <c r="BE1276" s="2346">
        <f t="shared" ref="BE1276:BE1280" si="2677">BD1276-BC1276</f>
        <v>0</v>
      </c>
      <c r="BF1276" s="2345">
        <f t="shared" si="2658"/>
        <v>0</v>
      </c>
      <c r="BG1276" s="2345">
        <f t="shared" si="2658"/>
        <v>0</v>
      </c>
      <c r="BH1276" s="2346">
        <f t="shared" ref="BH1276:BH1280" si="2678">BG1276-BF1276</f>
        <v>0</v>
      </c>
      <c r="BI1276" s="2345">
        <f t="shared" si="2659"/>
        <v>0</v>
      </c>
      <c r="BJ1276" s="2345">
        <f t="shared" si="2659"/>
        <v>0</v>
      </c>
      <c r="BK1276" s="2346">
        <f t="shared" ref="BK1276:BK1280" si="2679">BJ1276-BI1276</f>
        <v>0</v>
      </c>
      <c r="BL1276" s="2345">
        <f t="shared" si="2660"/>
        <v>0</v>
      </c>
      <c r="BM1276" s="2345">
        <f t="shared" si="2660"/>
        <v>0</v>
      </c>
      <c r="BN1276" s="2346">
        <f t="shared" ref="BN1276:BN1280" si="2680">BM1276-BL1276</f>
        <v>0</v>
      </c>
      <c r="BO1276" s="2345">
        <f t="shared" si="2661"/>
        <v>0</v>
      </c>
      <c r="BP1276" s="2345">
        <f t="shared" si="2661"/>
        <v>0</v>
      </c>
      <c r="BQ1276" s="2346">
        <f t="shared" ref="BQ1276:BQ1280" si="2681">BP1276-BO1276</f>
        <v>0</v>
      </c>
    </row>
    <row r="1277" spans="3:69" ht="12" hidden="1" customHeight="1">
      <c r="C1277" s="2285" t="s">
        <v>3446</v>
      </c>
      <c r="D1277" s="2418" t="s">
        <v>42</v>
      </c>
      <c r="E1277" s="2250" t="s">
        <v>3079</v>
      </c>
      <c r="F1277" s="2176"/>
      <c r="G1277" s="2339">
        <f>IFERROR((G1286+G1288)/(G1266+G1268),0)</f>
        <v>0</v>
      </c>
      <c r="H1277" s="2339">
        <f>IFERROR((H1286+H1288)/(H1266+H1268),0)</f>
        <v>0</v>
      </c>
      <c r="I1277" s="2337">
        <f t="shared" si="2662"/>
        <v>0</v>
      </c>
      <c r="J1277" s="2338"/>
      <c r="K1277" s="2339">
        <f>IFERROR((K1286+K1288)/(K1266+K1268),0)</f>
        <v>0</v>
      </c>
      <c r="L1277" s="2339">
        <f>IFERROR((L1286+L1288)/(L1266+L1268),0)</f>
        <v>0</v>
      </c>
      <c r="M1277" s="2337">
        <f t="shared" si="2663"/>
        <v>0</v>
      </c>
      <c r="N1277" s="2339">
        <f>IFERROR((N1286+N1288)/(N1266+N1268),0)</f>
        <v>0</v>
      </c>
      <c r="O1277" s="2339">
        <f>IFERROR((O1286+O1288)/(O1266+O1268),0)</f>
        <v>0</v>
      </c>
      <c r="P1277" s="2337">
        <f t="shared" si="2664"/>
        <v>0</v>
      </c>
      <c r="Q1277" s="2344">
        <f>IFERROR((Q1286+Q1288)/(Q1266+Q1268),0)</f>
        <v>0</v>
      </c>
      <c r="R1277" s="2339">
        <f>IFERROR((R1286+R1288)/(R1266+R1268),0)</f>
        <v>0</v>
      </c>
      <c r="S1277" s="2337">
        <f t="shared" si="2665"/>
        <v>0</v>
      </c>
      <c r="T1277" s="2340">
        <f>IFERROR((T1286+T1288)/(T1266+T1268),0)</f>
        <v>0</v>
      </c>
      <c r="U1277" s="2339">
        <f>IFERROR((U1286+U1288)/(U1266+U1268),0)</f>
        <v>0</v>
      </c>
      <c r="V1277" s="2337">
        <f t="shared" si="2666"/>
        <v>0</v>
      </c>
      <c r="W1277" s="2344">
        <f>IFERROR((W1286+W1288)/(W1266+W1268),0)</f>
        <v>0</v>
      </c>
      <c r="X1277" s="2339">
        <f>IFERROR((X1286+X1288)/(X1266+X1268),0)</f>
        <v>0</v>
      </c>
      <c r="Y1277" s="2337">
        <f t="shared" si="2667"/>
        <v>0</v>
      </c>
      <c r="Z1277" s="2340">
        <f>IFERROR((Z1286+Z1288)/(Z1266+Z1268),0)</f>
        <v>0</v>
      </c>
      <c r="AA1277" s="2339">
        <f>IFERROR((AA1286+AA1288)/(AA1266+AA1268),0)</f>
        <v>0</v>
      </c>
      <c r="AB1277" s="2337">
        <f t="shared" si="2668"/>
        <v>0</v>
      </c>
      <c r="AC1277" s="2344">
        <f>IFERROR((AC1286+AC1288)/(AC1266+AC1268),0)</f>
        <v>0</v>
      </c>
      <c r="AD1277" s="2339">
        <f>IFERROR((AD1286+AD1288)/(AD1266+AD1268),0)</f>
        <v>0</v>
      </c>
      <c r="AE1277" s="2337">
        <f t="shared" si="2669"/>
        <v>0</v>
      </c>
      <c r="AF1277" s="2277"/>
      <c r="AG1277" s="2145"/>
      <c r="AH1277" s="2345">
        <f>IFERROR((AH1286+AH1288)/(AH1266+AH1268),0)</f>
        <v>0</v>
      </c>
      <c r="AI1277" s="2345">
        <f>IFERROR((AI1286+AI1288)/(AI1266+AI1268),0)</f>
        <v>0</v>
      </c>
      <c r="AJ1277" s="2346">
        <f t="shared" si="2670"/>
        <v>0</v>
      </c>
      <c r="AK1277" s="2345">
        <f>IFERROR((AK1286+AK1288)/(AK1266+AK1268),0)</f>
        <v>0</v>
      </c>
      <c r="AL1277" s="2345">
        <f>IFERROR((AL1286+AL1288)/(AL1266+AL1268),0)</f>
        <v>0</v>
      </c>
      <c r="AM1277" s="2346">
        <f t="shared" si="2671"/>
        <v>0</v>
      </c>
      <c r="AN1277" s="2345">
        <f>IFERROR((AN1286+AN1288)/(AN1266+AN1268),0)</f>
        <v>0</v>
      </c>
      <c r="AO1277" s="2345">
        <f>IFERROR((AO1286+AO1288)/(AO1266+AO1268),0)</f>
        <v>0</v>
      </c>
      <c r="AP1277" s="2346">
        <f t="shared" si="2672"/>
        <v>0</v>
      </c>
      <c r="AQ1277" s="2345">
        <f>IFERROR((AQ1286+AQ1288)/(AQ1266+AQ1268),0)</f>
        <v>0</v>
      </c>
      <c r="AR1277" s="2345">
        <f>IFERROR((AR1286+AR1288)/(AR1266+AR1268),0)</f>
        <v>0</v>
      </c>
      <c r="AS1277" s="2346">
        <f t="shared" si="2673"/>
        <v>0</v>
      </c>
      <c r="AT1277" s="2345">
        <f>IFERROR((AT1286+AT1288)/(AT1266+AT1268),0)</f>
        <v>0</v>
      </c>
      <c r="AU1277" s="2345">
        <f>IFERROR((AU1286+AU1288)/(AU1266+AU1268),0)</f>
        <v>0</v>
      </c>
      <c r="AV1277" s="2346">
        <f t="shared" si="2674"/>
        <v>0</v>
      </c>
      <c r="AW1277" s="2345">
        <f>IFERROR((AW1286+AW1288)/(AW1266+AW1268),0)</f>
        <v>0</v>
      </c>
      <c r="AX1277" s="2345">
        <f>IFERROR((AX1286+AX1288)/(AX1266+AX1268),0)</f>
        <v>0</v>
      </c>
      <c r="AY1277" s="2346">
        <f t="shared" si="2675"/>
        <v>0</v>
      </c>
      <c r="AZ1277" s="2345">
        <f>IFERROR((AZ1286+AZ1288)/(AZ1266+AZ1268),0)</f>
        <v>0</v>
      </c>
      <c r="BA1277" s="2345">
        <f>IFERROR((BA1286+BA1288)/(BA1266+BA1268),0)</f>
        <v>0</v>
      </c>
      <c r="BB1277" s="2346">
        <f t="shared" si="2676"/>
        <v>0</v>
      </c>
      <c r="BC1277" s="2345">
        <f>IFERROR((BC1286+BC1288)/(BC1266+BC1268),0)</f>
        <v>0</v>
      </c>
      <c r="BD1277" s="2345">
        <f>IFERROR((BD1286+BD1288)/(BD1266+BD1268),0)</f>
        <v>0</v>
      </c>
      <c r="BE1277" s="2346">
        <f t="shared" si="2677"/>
        <v>0</v>
      </c>
      <c r="BF1277" s="2345">
        <f>IFERROR((BF1286+BF1288)/(BF1266+BF1268),0)</f>
        <v>0</v>
      </c>
      <c r="BG1277" s="2345">
        <f>IFERROR((BG1286+BG1288)/(BG1266+BG1268),0)</f>
        <v>0</v>
      </c>
      <c r="BH1277" s="2346">
        <f t="shared" si="2678"/>
        <v>0</v>
      </c>
      <c r="BI1277" s="2345">
        <f>IFERROR((BI1286+BI1288)/(BI1266+BI1268),0)</f>
        <v>0</v>
      </c>
      <c r="BJ1277" s="2345">
        <f>IFERROR((BJ1286+BJ1288)/(BJ1266+BJ1268),0)</f>
        <v>0</v>
      </c>
      <c r="BK1277" s="2346">
        <f t="shared" si="2679"/>
        <v>0</v>
      </c>
      <c r="BL1277" s="2345">
        <f>IFERROR((BL1286+BL1288)/(BL1266+BL1268),0)</f>
        <v>0</v>
      </c>
      <c r="BM1277" s="2345">
        <f>IFERROR((BM1286+BM1288)/(BM1266+BM1268),0)</f>
        <v>0</v>
      </c>
      <c r="BN1277" s="2346">
        <f t="shared" si="2680"/>
        <v>0</v>
      </c>
      <c r="BO1277" s="2345">
        <f>IFERROR((BO1286+BO1288)/(BO1266+BO1268),0)</f>
        <v>0</v>
      </c>
      <c r="BP1277" s="2345">
        <f>IFERROR((BP1286+BP1288)/(BP1266+BP1268),0)</f>
        <v>0</v>
      </c>
      <c r="BQ1277" s="2346">
        <f t="shared" si="2681"/>
        <v>0</v>
      </c>
    </row>
    <row r="1278" spans="3:69" ht="12" hidden="1" customHeight="1">
      <c r="C1278" s="2285" t="s">
        <v>3447</v>
      </c>
      <c r="D1278" s="2421" t="s">
        <v>2434</v>
      </c>
      <c r="E1278" s="2250" t="s">
        <v>3079</v>
      </c>
      <c r="F1278" s="2176"/>
      <c r="G1278" s="2339">
        <f>IFERROR((G1287+G1289)/(G1267+G1269),0)</f>
        <v>0</v>
      </c>
      <c r="H1278" s="2339">
        <f>IFERROR((H1287+H1289)/(H1267+H1269),0)</f>
        <v>0</v>
      </c>
      <c r="I1278" s="2337">
        <f t="shared" si="2662"/>
        <v>0</v>
      </c>
      <c r="J1278" s="2338"/>
      <c r="K1278" s="2339">
        <f>IFERROR((K1287+K1289)/(K1267+K1269),0)</f>
        <v>0</v>
      </c>
      <c r="L1278" s="2339">
        <f>IFERROR((L1287+L1289)/(L1267+L1269),0)</f>
        <v>0</v>
      </c>
      <c r="M1278" s="2337">
        <f t="shared" si="2663"/>
        <v>0</v>
      </c>
      <c r="N1278" s="2339">
        <f>IFERROR((N1287+N1289)/(N1267+N1269),0)</f>
        <v>0</v>
      </c>
      <c r="O1278" s="2339">
        <f>IFERROR((O1287+O1289)/(O1267+O1269),0)</f>
        <v>0</v>
      </c>
      <c r="P1278" s="2337">
        <f t="shared" si="2664"/>
        <v>0</v>
      </c>
      <c r="Q1278" s="2339">
        <f>IFERROR((Q1287+Q1289)/(Q1267+Q1269),0)</f>
        <v>0</v>
      </c>
      <c r="R1278" s="2339">
        <f>IFERROR((R1287+R1289)/(R1267+R1269),0)</f>
        <v>0</v>
      </c>
      <c r="S1278" s="2337">
        <f t="shared" si="2665"/>
        <v>0</v>
      </c>
      <c r="T1278" s="2339">
        <f>IFERROR((T1287+T1289)/(T1267+T1269),0)</f>
        <v>0</v>
      </c>
      <c r="U1278" s="2339">
        <f>IFERROR((U1287+U1289)/(U1267+U1269),0)</f>
        <v>0</v>
      </c>
      <c r="V1278" s="2337">
        <f t="shared" si="2666"/>
        <v>0</v>
      </c>
      <c r="W1278" s="2339">
        <f>IFERROR((W1287+W1289)/(W1267+W1269),0)</f>
        <v>0</v>
      </c>
      <c r="X1278" s="2339">
        <f>IFERROR((X1287+X1289)/(X1267+X1269),0)</f>
        <v>0</v>
      </c>
      <c r="Y1278" s="2337">
        <f t="shared" si="2667"/>
        <v>0</v>
      </c>
      <c r="Z1278" s="2339">
        <f>IFERROR((Z1287+Z1289)/(Z1267+Z1269),0)</f>
        <v>0</v>
      </c>
      <c r="AA1278" s="2339">
        <f>IFERROR((AA1287+AA1289)/(AA1267+AA1269),0)</f>
        <v>0</v>
      </c>
      <c r="AB1278" s="2337">
        <f t="shared" si="2668"/>
        <v>0</v>
      </c>
      <c r="AC1278" s="2339">
        <f>IFERROR((AC1287+AC1289)/(AC1267+AC1269),0)</f>
        <v>0</v>
      </c>
      <c r="AD1278" s="2339">
        <f>IFERROR((AD1287+AD1289)/(AD1267+AD1269),0)</f>
        <v>0</v>
      </c>
      <c r="AE1278" s="2337">
        <f t="shared" si="2669"/>
        <v>0</v>
      </c>
      <c r="AF1278" s="2277"/>
      <c r="AG1278" s="2145"/>
      <c r="AH1278" s="2345">
        <f>IFERROR((AH1287+AH1289)/(AH1267+AH1269),0)</f>
        <v>0</v>
      </c>
      <c r="AI1278" s="2345">
        <f>IFERROR((AI1287+AI1289)/(AI1267+AI1269),0)</f>
        <v>0</v>
      </c>
      <c r="AJ1278" s="2346">
        <f t="shared" si="2670"/>
        <v>0</v>
      </c>
      <c r="AK1278" s="2345">
        <f>IFERROR((AK1287+AK1289)/(AK1267+AK1269),0)</f>
        <v>0</v>
      </c>
      <c r="AL1278" s="2345">
        <f>IFERROR((AL1287+AL1289)/(AL1267+AL1269),0)</f>
        <v>0</v>
      </c>
      <c r="AM1278" s="2346">
        <f t="shared" si="2671"/>
        <v>0</v>
      </c>
      <c r="AN1278" s="2345">
        <f>IFERROR((AN1287+AN1289)/(AN1267+AN1269),0)</f>
        <v>0</v>
      </c>
      <c r="AO1278" s="2345">
        <f>IFERROR((AO1287+AO1289)/(AO1267+AO1269),0)</f>
        <v>0</v>
      </c>
      <c r="AP1278" s="2346">
        <f t="shared" si="2672"/>
        <v>0</v>
      </c>
      <c r="AQ1278" s="2345">
        <f>IFERROR((AQ1287+AQ1289)/(AQ1267+AQ1269),0)</f>
        <v>0</v>
      </c>
      <c r="AR1278" s="2345">
        <f>IFERROR((AR1287+AR1289)/(AR1267+AR1269),0)</f>
        <v>0</v>
      </c>
      <c r="AS1278" s="2346">
        <f t="shared" si="2673"/>
        <v>0</v>
      </c>
      <c r="AT1278" s="2345">
        <f>IFERROR((AT1287+AT1289)/(AT1267+AT1269),0)</f>
        <v>0</v>
      </c>
      <c r="AU1278" s="2345">
        <f>IFERROR((AU1287+AU1289)/(AU1267+AU1269),0)</f>
        <v>0</v>
      </c>
      <c r="AV1278" s="2346">
        <f t="shared" si="2674"/>
        <v>0</v>
      </c>
      <c r="AW1278" s="2345">
        <f>IFERROR((AW1287+AW1289)/(AW1267+AW1269),0)</f>
        <v>0</v>
      </c>
      <c r="AX1278" s="2345">
        <f>IFERROR((AX1287+AX1289)/(AX1267+AX1269),0)</f>
        <v>0</v>
      </c>
      <c r="AY1278" s="2346">
        <f t="shared" si="2675"/>
        <v>0</v>
      </c>
      <c r="AZ1278" s="2345">
        <f>IFERROR((AZ1287+AZ1289)/(AZ1267+AZ1269),0)</f>
        <v>0</v>
      </c>
      <c r="BA1278" s="2345">
        <f>IFERROR((BA1287+BA1289)/(BA1267+BA1269),0)</f>
        <v>0</v>
      </c>
      <c r="BB1278" s="2346">
        <f t="shared" si="2676"/>
        <v>0</v>
      </c>
      <c r="BC1278" s="2345">
        <f>IFERROR((BC1287+BC1289)/(BC1267+BC1269),0)</f>
        <v>0</v>
      </c>
      <c r="BD1278" s="2345">
        <f>IFERROR((BD1287+BD1289)/(BD1267+BD1269),0)</f>
        <v>0</v>
      </c>
      <c r="BE1278" s="2346">
        <f t="shared" si="2677"/>
        <v>0</v>
      </c>
      <c r="BF1278" s="2345">
        <f>IFERROR((BF1287+BF1289)/(BF1267+BF1269),0)</f>
        <v>0</v>
      </c>
      <c r="BG1278" s="2345">
        <f>IFERROR((BG1287+BG1289)/(BG1267+BG1269),0)</f>
        <v>0</v>
      </c>
      <c r="BH1278" s="2346">
        <f t="shared" si="2678"/>
        <v>0</v>
      </c>
      <c r="BI1278" s="2345">
        <f>IFERROR((BI1287+BI1289)/(BI1267+BI1269),0)</f>
        <v>0</v>
      </c>
      <c r="BJ1278" s="2345">
        <f>IFERROR((BJ1287+BJ1289)/(BJ1267+BJ1269),0)</f>
        <v>0</v>
      </c>
      <c r="BK1278" s="2346">
        <f t="shared" si="2679"/>
        <v>0</v>
      </c>
      <c r="BL1278" s="2345">
        <f>IFERROR((BL1287+BL1289)/(BL1267+BL1269),0)</f>
        <v>0</v>
      </c>
      <c r="BM1278" s="2345">
        <f>IFERROR((BM1287+BM1289)/(BM1267+BM1269),0)</f>
        <v>0</v>
      </c>
      <c r="BN1278" s="2346">
        <f t="shared" si="2680"/>
        <v>0</v>
      </c>
      <c r="BO1278" s="2345">
        <f>IFERROR((BO1287+BO1289)/(BO1267+BO1269),0)</f>
        <v>0</v>
      </c>
      <c r="BP1278" s="2345">
        <f>IFERROR((BP1287+BP1289)/(BP1267+BP1269),0)</f>
        <v>0</v>
      </c>
      <c r="BQ1278" s="2346">
        <f t="shared" si="2681"/>
        <v>0</v>
      </c>
    </row>
    <row r="1279" spans="3:69" s="2207" customFormat="1" ht="12" hidden="1" customHeight="1">
      <c r="C1279" s="2212" t="s">
        <v>3448</v>
      </c>
      <c r="D1279" s="2476" t="s">
        <v>3449</v>
      </c>
      <c r="E1279" s="2120" t="s">
        <v>3076</v>
      </c>
      <c r="F1279" s="2162"/>
      <c r="G1279" s="2455">
        <f>IFERROR(G1290/G1270,0)</f>
        <v>0</v>
      </c>
      <c r="H1279" s="2455">
        <f>IFERROR(H1290/H1270,0)</f>
        <v>0</v>
      </c>
      <c r="I1279" s="2479">
        <f t="shared" si="2662"/>
        <v>0</v>
      </c>
      <c r="J1279" s="2454"/>
      <c r="K1279" s="2455">
        <f>IFERROR(K1290/K1270,0)</f>
        <v>0</v>
      </c>
      <c r="L1279" s="2455">
        <f>IFERROR(L1290/L1270,0)</f>
        <v>0</v>
      </c>
      <c r="M1279" s="2479">
        <f t="shared" si="2663"/>
        <v>0</v>
      </c>
      <c r="N1279" s="2455">
        <f>IFERROR(N1290/N1270,0)</f>
        <v>0</v>
      </c>
      <c r="O1279" s="2455">
        <f>IFERROR(O1290/O1270,0)</f>
        <v>0</v>
      </c>
      <c r="P1279" s="2479">
        <f t="shared" si="2664"/>
        <v>0</v>
      </c>
      <c r="Q1279" s="2456">
        <f>IFERROR(Q1290/Q1270,0)</f>
        <v>0</v>
      </c>
      <c r="R1279" s="2455">
        <f>IFERROR(R1290/R1270,0)</f>
        <v>0</v>
      </c>
      <c r="S1279" s="2479">
        <f t="shared" si="2665"/>
        <v>0</v>
      </c>
      <c r="T1279" s="2457">
        <f>IFERROR(T1290/T1270,0)</f>
        <v>0</v>
      </c>
      <c r="U1279" s="2455">
        <f>IFERROR(U1290/U1270,0)</f>
        <v>0</v>
      </c>
      <c r="V1279" s="2479">
        <f t="shared" si="2666"/>
        <v>0</v>
      </c>
      <c r="W1279" s="2456">
        <f>IFERROR(W1290/W1270,0)</f>
        <v>0</v>
      </c>
      <c r="X1279" s="2455">
        <f>IFERROR(X1290/X1270,0)</f>
        <v>0</v>
      </c>
      <c r="Y1279" s="2479">
        <f t="shared" si="2667"/>
        <v>0</v>
      </c>
      <c r="Z1279" s="2457">
        <f>IFERROR(Z1290/Z1270,0)</f>
        <v>0</v>
      </c>
      <c r="AA1279" s="2455">
        <f>IFERROR(AA1290/AA1270,0)</f>
        <v>0</v>
      </c>
      <c r="AB1279" s="2479">
        <f t="shared" si="2668"/>
        <v>0</v>
      </c>
      <c r="AC1279" s="2456">
        <f>IFERROR(AC1290/AC1270,0)</f>
        <v>0</v>
      </c>
      <c r="AD1279" s="2455">
        <f>IFERROR(AD1290/AD1270,0)</f>
        <v>0</v>
      </c>
      <c r="AE1279" s="2479">
        <f t="shared" si="2669"/>
        <v>0</v>
      </c>
      <c r="AF1279" s="2281"/>
      <c r="AG1279" s="2206"/>
      <c r="AH1279" s="2458">
        <f>IFERROR(AH1290/AH1270,0)</f>
        <v>0</v>
      </c>
      <c r="AI1279" s="2458">
        <f>IFERROR(AI1290/AI1270,0)</f>
        <v>0</v>
      </c>
      <c r="AJ1279" s="2480">
        <f t="shared" si="2670"/>
        <v>0</v>
      </c>
      <c r="AK1279" s="2458">
        <f>IFERROR(AK1290/AK1270,0)</f>
        <v>0</v>
      </c>
      <c r="AL1279" s="2458">
        <f>IFERROR(AL1290/AL1270,0)</f>
        <v>0</v>
      </c>
      <c r="AM1279" s="2480">
        <f t="shared" si="2671"/>
        <v>0</v>
      </c>
      <c r="AN1279" s="2458">
        <f>IFERROR(AN1290/AN1270,0)</f>
        <v>0</v>
      </c>
      <c r="AO1279" s="2458">
        <f>IFERROR(AO1290/AO1270,0)</f>
        <v>0</v>
      </c>
      <c r="AP1279" s="2480">
        <f t="shared" si="2672"/>
        <v>0</v>
      </c>
      <c r="AQ1279" s="2458">
        <f>IFERROR(AQ1290/AQ1270,0)</f>
        <v>0</v>
      </c>
      <c r="AR1279" s="2458">
        <f>IFERROR(AR1290/AR1270,0)</f>
        <v>0</v>
      </c>
      <c r="AS1279" s="2480">
        <f t="shared" si="2673"/>
        <v>0</v>
      </c>
      <c r="AT1279" s="2458">
        <f>IFERROR(AT1290/AT1270,0)</f>
        <v>0</v>
      </c>
      <c r="AU1279" s="2458">
        <f>IFERROR(AU1290/AU1270,0)</f>
        <v>0</v>
      </c>
      <c r="AV1279" s="2480">
        <f t="shared" si="2674"/>
        <v>0</v>
      </c>
      <c r="AW1279" s="2458">
        <f>IFERROR(AW1290/AW1270,0)</f>
        <v>0</v>
      </c>
      <c r="AX1279" s="2458">
        <f>IFERROR(AX1290/AX1270,0)</f>
        <v>0</v>
      </c>
      <c r="AY1279" s="2480">
        <f t="shared" si="2675"/>
        <v>0</v>
      </c>
      <c r="AZ1279" s="2458">
        <f>IFERROR(AZ1290/AZ1270,0)</f>
        <v>0</v>
      </c>
      <c r="BA1279" s="2458">
        <f>IFERROR(BA1290/BA1270,0)</f>
        <v>0</v>
      </c>
      <c r="BB1279" s="2480">
        <f t="shared" si="2676"/>
        <v>0</v>
      </c>
      <c r="BC1279" s="2458">
        <f>IFERROR(BC1290/BC1270,0)</f>
        <v>0</v>
      </c>
      <c r="BD1279" s="2458">
        <f>IFERROR(BD1290/BD1270,0)</f>
        <v>0</v>
      </c>
      <c r="BE1279" s="2480">
        <f t="shared" si="2677"/>
        <v>0</v>
      </c>
      <c r="BF1279" s="2458">
        <f>IFERROR(BF1290/BF1270,0)</f>
        <v>0</v>
      </c>
      <c r="BG1279" s="2458">
        <f>IFERROR(BG1290/BG1270,0)</f>
        <v>0</v>
      </c>
      <c r="BH1279" s="2480">
        <f t="shared" si="2678"/>
        <v>0</v>
      </c>
      <c r="BI1279" s="2458">
        <f>IFERROR(BI1290/BI1270,0)</f>
        <v>0</v>
      </c>
      <c r="BJ1279" s="2458">
        <f>IFERROR(BJ1290/BJ1270,0)</f>
        <v>0</v>
      </c>
      <c r="BK1279" s="2480">
        <f t="shared" si="2679"/>
        <v>0</v>
      </c>
      <c r="BL1279" s="2458">
        <f>IFERROR(BL1290/BL1270,0)</f>
        <v>0</v>
      </c>
      <c r="BM1279" s="2458">
        <f>IFERROR(BM1290/BM1270,0)</f>
        <v>0</v>
      </c>
      <c r="BN1279" s="2480">
        <f t="shared" si="2680"/>
        <v>0</v>
      </c>
      <c r="BO1279" s="2458">
        <f>IFERROR(BO1290/BO1270,0)</f>
        <v>0</v>
      </c>
      <c r="BP1279" s="2458">
        <f>IFERROR(BP1290/BP1270,0)</f>
        <v>0</v>
      </c>
      <c r="BQ1279" s="2480">
        <f t="shared" si="2681"/>
        <v>0</v>
      </c>
    </row>
    <row r="1280" spans="3:69" s="2207" customFormat="1" ht="12" hidden="1" customHeight="1">
      <c r="C1280" s="2488" t="s">
        <v>3450</v>
      </c>
      <c r="D1280" s="2286" t="s">
        <v>2434</v>
      </c>
      <c r="E1280" s="2250" t="s">
        <v>3079</v>
      </c>
      <c r="F1280" s="2176"/>
      <c r="G1280" s="2339">
        <f>IFERROR(G1291/G1271,0)</f>
        <v>0</v>
      </c>
      <c r="H1280" s="2339">
        <f>IFERROR(H1291/H1271,0)</f>
        <v>0</v>
      </c>
      <c r="I1280" s="2337">
        <f t="shared" si="2662"/>
        <v>0</v>
      </c>
      <c r="J1280" s="2338"/>
      <c r="K1280" s="2339">
        <f>IFERROR(K1291/K1271,0)</f>
        <v>0</v>
      </c>
      <c r="L1280" s="2339">
        <f>IFERROR(L1291/L1271,0)</f>
        <v>0</v>
      </c>
      <c r="M1280" s="2337">
        <f t="shared" si="2663"/>
        <v>0</v>
      </c>
      <c r="N1280" s="2339">
        <f>IFERROR(N1291/N1271,0)</f>
        <v>0</v>
      </c>
      <c r="O1280" s="2339">
        <f>IFERROR(O1291/O1271,0)</f>
        <v>0</v>
      </c>
      <c r="P1280" s="2337">
        <f t="shared" si="2664"/>
        <v>0</v>
      </c>
      <c r="Q1280" s="2339">
        <f>IFERROR(Q1291/Q1271,0)</f>
        <v>0</v>
      </c>
      <c r="R1280" s="2339">
        <f>IFERROR(R1291/R1271,0)</f>
        <v>0</v>
      </c>
      <c r="S1280" s="2337">
        <f t="shared" si="2665"/>
        <v>0</v>
      </c>
      <c r="T1280" s="2339">
        <f>IFERROR(T1291/T1271,0)</f>
        <v>0</v>
      </c>
      <c r="U1280" s="2339">
        <f>IFERROR(U1291/U1271,0)</f>
        <v>0</v>
      </c>
      <c r="V1280" s="2337">
        <f t="shared" si="2666"/>
        <v>0</v>
      </c>
      <c r="W1280" s="2339">
        <f>IFERROR(W1291/W1271,0)</f>
        <v>0</v>
      </c>
      <c r="X1280" s="2339">
        <f>IFERROR(X1291/X1271,0)</f>
        <v>0</v>
      </c>
      <c r="Y1280" s="2337">
        <f t="shared" si="2667"/>
        <v>0</v>
      </c>
      <c r="Z1280" s="2339">
        <f>IFERROR(Z1291/Z1271,0)</f>
        <v>0</v>
      </c>
      <c r="AA1280" s="2339">
        <f>IFERROR(AA1291/AA1271,0)</f>
        <v>0</v>
      </c>
      <c r="AB1280" s="2337">
        <f t="shared" si="2668"/>
        <v>0</v>
      </c>
      <c r="AC1280" s="2339">
        <f>IFERROR(AC1291/AC1271,0)</f>
        <v>0</v>
      </c>
      <c r="AD1280" s="2339">
        <f>IFERROR(AD1291/AD1271,0)</f>
        <v>0</v>
      </c>
      <c r="AE1280" s="2337">
        <f t="shared" si="2669"/>
        <v>0</v>
      </c>
      <c r="AF1280" s="2281"/>
      <c r="AG1280" s="2206"/>
      <c r="AH1280" s="2345">
        <f>IFERROR(AH1291/AH1271,0)</f>
        <v>0</v>
      </c>
      <c r="AI1280" s="2345">
        <f>IFERROR(AI1291/AI1271,0)</f>
        <v>0</v>
      </c>
      <c r="AJ1280" s="2346">
        <f t="shared" si="2670"/>
        <v>0</v>
      </c>
      <c r="AK1280" s="2345">
        <f>IFERROR(AK1291/AK1271,0)</f>
        <v>0</v>
      </c>
      <c r="AL1280" s="2345">
        <f>IFERROR(AL1291/AL1271,0)</f>
        <v>0</v>
      </c>
      <c r="AM1280" s="2346">
        <f t="shared" si="2671"/>
        <v>0</v>
      </c>
      <c r="AN1280" s="2345">
        <f>IFERROR(AN1291/AN1271,0)</f>
        <v>0</v>
      </c>
      <c r="AO1280" s="2345">
        <f>IFERROR(AO1291/AO1271,0)</f>
        <v>0</v>
      </c>
      <c r="AP1280" s="2346">
        <f t="shared" si="2672"/>
        <v>0</v>
      </c>
      <c r="AQ1280" s="2345">
        <f>IFERROR(AQ1291/AQ1271,0)</f>
        <v>0</v>
      </c>
      <c r="AR1280" s="2345">
        <f>IFERROR(AR1291/AR1271,0)</f>
        <v>0</v>
      </c>
      <c r="AS1280" s="2346">
        <f t="shared" si="2673"/>
        <v>0</v>
      </c>
      <c r="AT1280" s="2345">
        <f>IFERROR(AT1291/AT1271,0)</f>
        <v>0</v>
      </c>
      <c r="AU1280" s="2345">
        <f>IFERROR(AU1291/AU1271,0)</f>
        <v>0</v>
      </c>
      <c r="AV1280" s="2346">
        <f t="shared" si="2674"/>
        <v>0</v>
      </c>
      <c r="AW1280" s="2345">
        <f>IFERROR(AW1291/AW1271,0)</f>
        <v>0</v>
      </c>
      <c r="AX1280" s="2345">
        <f>IFERROR(AX1291/AX1271,0)</f>
        <v>0</v>
      </c>
      <c r="AY1280" s="2346">
        <f t="shared" si="2675"/>
        <v>0</v>
      </c>
      <c r="AZ1280" s="2345">
        <f>IFERROR(AZ1291/AZ1271,0)</f>
        <v>0</v>
      </c>
      <c r="BA1280" s="2345">
        <f>IFERROR(BA1291/BA1271,0)</f>
        <v>0</v>
      </c>
      <c r="BB1280" s="2346">
        <f t="shared" si="2676"/>
        <v>0</v>
      </c>
      <c r="BC1280" s="2345">
        <f>IFERROR(BC1291/BC1271,0)</f>
        <v>0</v>
      </c>
      <c r="BD1280" s="2345">
        <f>IFERROR(BD1291/BD1271,0)</f>
        <v>0</v>
      </c>
      <c r="BE1280" s="2346">
        <f t="shared" si="2677"/>
        <v>0</v>
      </c>
      <c r="BF1280" s="2345">
        <f>IFERROR(BF1291/BF1271,0)</f>
        <v>0</v>
      </c>
      <c r="BG1280" s="2345">
        <f>IFERROR(BG1291/BG1271,0)</f>
        <v>0</v>
      </c>
      <c r="BH1280" s="2346">
        <f t="shared" si="2678"/>
        <v>0</v>
      </c>
      <c r="BI1280" s="2345">
        <f>IFERROR(BI1291/BI1271,0)</f>
        <v>0</v>
      </c>
      <c r="BJ1280" s="2345">
        <f>IFERROR(BJ1291/BJ1271,0)</f>
        <v>0</v>
      </c>
      <c r="BK1280" s="2346">
        <f t="shared" si="2679"/>
        <v>0</v>
      </c>
      <c r="BL1280" s="2345">
        <f>IFERROR(BL1291/BL1271,0)</f>
        <v>0</v>
      </c>
      <c r="BM1280" s="2345">
        <f>IFERROR(BM1291/BM1271,0)</f>
        <v>0</v>
      </c>
      <c r="BN1280" s="2346">
        <f t="shared" si="2680"/>
        <v>0</v>
      </c>
      <c r="BO1280" s="2345">
        <f>IFERROR(BO1291/BO1271,0)</f>
        <v>0</v>
      </c>
      <c r="BP1280" s="2345">
        <f>IFERROR(BP1291/BP1271,0)</f>
        <v>0</v>
      </c>
      <c r="BQ1280" s="2346">
        <f t="shared" si="2681"/>
        <v>0</v>
      </c>
    </row>
    <row r="1281" spans="3:69" s="2159" customFormat="1" ht="12" hidden="1" customHeight="1" collapsed="1">
      <c r="C1281" s="2293" t="s">
        <v>3451</v>
      </c>
      <c r="D1281" s="2485" t="s">
        <v>1420</v>
      </c>
      <c r="E1281" s="2149"/>
      <c r="F1281" s="2150"/>
      <c r="G1281" s="2151"/>
      <c r="H1281" s="2151"/>
      <c r="I1281" s="2152"/>
      <c r="J1281" s="2150"/>
      <c r="K1281" s="2151"/>
      <c r="L1281" s="2151"/>
      <c r="M1281" s="2152"/>
      <c r="N1281" s="2151"/>
      <c r="O1281" s="2151"/>
      <c r="P1281" s="2152"/>
      <c r="Q1281" s="2150"/>
      <c r="R1281" s="2151"/>
      <c r="S1281" s="2153"/>
      <c r="T1281" s="2154"/>
      <c r="U1281" s="2151"/>
      <c r="V1281" s="2152"/>
      <c r="W1281" s="2150"/>
      <c r="X1281" s="2151"/>
      <c r="Y1281" s="2153"/>
      <c r="Z1281" s="2154"/>
      <c r="AA1281" s="2151"/>
      <c r="AB1281" s="2152"/>
      <c r="AC1281" s="2150"/>
      <c r="AD1281" s="2151"/>
      <c r="AE1281" s="2153"/>
      <c r="AF1281" s="2157"/>
      <c r="AG1281" s="2158"/>
      <c r="AH1281" s="2151"/>
      <c r="AI1281" s="2151"/>
      <c r="AJ1281" s="2152"/>
      <c r="AK1281" s="2151"/>
      <c r="AL1281" s="2151"/>
      <c r="AM1281" s="2152"/>
      <c r="AN1281" s="2151"/>
      <c r="AO1281" s="2151"/>
      <c r="AP1281" s="2152"/>
      <c r="AQ1281" s="2151"/>
      <c r="AR1281" s="2151"/>
      <c r="AS1281" s="2152"/>
      <c r="AT1281" s="2151"/>
      <c r="AU1281" s="2151"/>
      <c r="AV1281" s="2152"/>
      <c r="AW1281" s="2151"/>
      <c r="AX1281" s="2151"/>
      <c r="AY1281" s="2152"/>
      <c r="AZ1281" s="2151"/>
      <c r="BA1281" s="2151"/>
      <c r="BB1281" s="2152"/>
      <c r="BC1281" s="2151"/>
      <c r="BD1281" s="2151"/>
      <c r="BE1281" s="2152"/>
      <c r="BF1281" s="2151"/>
      <c r="BG1281" s="2151"/>
      <c r="BH1281" s="2152"/>
      <c r="BI1281" s="2151"/>
      <c r="BJ1281" s="2151"/>
      <c r="BK1281" s="2152"/>
      <c r="BL1281" s="2151"/>
      <c r="BM1281" s="2151"/>
      <c r="BN1281" s="2152"/>
      <c r="BO1281" s="2151"/>
      <c r="BP1281" s="2151"/>
      <c r="BQ1281" s="2152"/>
    </row>
    <row r="1282" spans="3:69" s="2159" customFormat="1" ht="12" hidden="1" customHeight="1">
      <c r="C1282" s="2293" t="s">
        <v>3452</v>
      </c>
      <c r="D1282" s="2485" t="s">
        <v>3453</v>
      </c>
      <c r="E1282" s="2120" t="s">
        <v>1833</v>
      </c>
      <c r="F1282" s="2162"/>
      <c r="G1282" s="2163">
        <f>G1283+G1290</f>
        <v>0</v>
      </c>
      <c r="H1282" s="2163">
        <f>H1283+H1290</f>
        <v>0</v>
      </c>
      <c r="I1282" s="2164">
        <f t="shared" ref="I1282:I1293" si="2682">H1282-G1282</f>
        <v>0</v>
      </c>
      <c r="J1282" s="2162"/>
      <c r="K1282" s="2163">
        <f>N1282+Q1282+W1282+AC1282</f>
        <v>0</v>
      </c>
      <c r="L1282" s="2163">
        <f>O1282+R1282+X1282+AD1282</f>
        <v>0</v>
      </c>
      <c r="M1282" s="2164">
        <f t="shared" ref="M1282:M1293" si="2683">L1282-K1282</f>
        <v>0</v>
      </c>
      <c r="N1282" s="2163">
        <f>N1283+N1290</f>
        <v>0</v>
      </c>
      <c r="O1282" s="2163">
        <f>O1283+O1290</f>
        <v>0</v>
      </c>
      <c r="P1282" s="2164">
        <f t="shared" ref="P1282:P1293" si="2684">O1282-N1282</f>
        <v>0</v>
      </c>
      <c r="Q1282" s="2163">
        <f>Q1283+Q1290</f>
        <v>0</v>
      </c>
      <c r="R1282" s="2163">
        <f>R1283+R1290</f>
        <v>0</v>
      </c>
      <c r="S1282" s="2164">
        <f t="shared" ref="S1282:S1293" si="2685">R1282-Q1282</f>
        <v>0</v>
      </c>
      <c r="T1282" s="2167">
        <f t="shared" ref="T1282:U1293" si="2686">N1282+Q1282</f>
        <v>0</v>
      </c>
      <c r="U1282" s="2163">
        <f t="shared" si="2686"/>
        <v>0</v>
      </c>
      <c r="V1282" s="2164">
        <f t="shared" ref="V1282:V1293" si="2687">U1282-T1282</f>
        <v>0</v>
      </c>
      <c r="W1282" s="2163">
        <f>W1283+W1290</f>
        <v>0</v>
      </c>
      <c r="X1282" s="2163">
        <f>X1283+X1290</f>
        <v>0</v>
      </c>
      <c r="Y1282" s="2164">
        <f t="shared" ref="Y1282:Y1293" si="2688">X1282-W1282</f>
        <v>0</v>
      </c>
      <c r="Z1282" s="2167">
        <f t="shared" ref="Z1282:AA1293" si="2689">T1282+W1282</f>
        <v>0</v>
      </c>
      <c r="AA1282" s="2163">
        <f t="shared" si="2689"/>
        <v>0</v>
      </c>
      <c r="AB1282" s="2164">
        <f t="shared" ref="AB1282:AB1293" si="2690">AA1282-Z1282</f>
        <v>0</v>
      </c>
      <c r="AC1282" s="2163">
        <f>AC1283+AC1290</f>
        <v>0</v>
      </c>
      <c r="AD1282" s="2163">
        <f>AD1283+AD1290</f>
        <v>0</v>
      </c>
      <c r="AE1282" s="2164">
        <f t="shared" ref="AE1282:AE1293" si="2691">AD1282-AC1282</f>
        <v>0</v>
      </c>
      <c r="AF1282" s="2204"/>
      <c r="AG1282" s="2158"/>
      <c r="AH1282" s="2171">
        <f>AH1283+AH1290</f>
        <v>0</v>
      </c>
      <c r="AI1282" s="2171">
        <f>AI1283+AI1290</f>
        <v>0</v>
      </c>
      <c r="AJ1282" s="2172">
        <f t="shared" ref="AJ1282:AJ1293" si="2692">AI1282-AH1282</f>
        <v>0</v>
      </c>
      <c r="AK1282" s="2171">
        <f>AK1283+AK1290</f>
        <v>0</v>
      </c>
      <c r="AL1282" s="2171">
        <f>AL1283+AL1290</f>
        <v>0</v>
      </c>
      <c r="AM1282" s="2172">
        <f t="shared" ref="AM1282:AM1293" si="2693">AL1282-AK1282</f>
        <v>0</v>
      </c>
      <c r="AN1282" s="2171">
        <f>AN1283+AN1290</f>
        <v>0</v>
      </c>
      <c r="AO1282" s="2171">
        <f>AO1283+AO1290</f>
        <v>0</v>
      </c>
      <c r="AP1282" s="2172">
        <f t="shared" ref="AP1282:AP1293" si="2694">AO1282-AN1282</f>
        <v>0</v>
      </c>
      <c r="AQ1282" s="2171">
        <f>AQ1283+AQ1290</f>
        <v>0</v>
      </c>
      <c r="AR1282" s="2171">
        <f>AR1283+AR1290</f>
        <v>0</v>
      </c>
      <c r="AS1282" s="2172">
        <f t="shared" ref="AS1282:AS1293" si="2695">AR1282-AQ1282</f>
        <v>0</v>
      </c>
      <c r="AT1282" s="2171">
        <f>AT1283+AT1290</f>
        <v>0</v>
      </c>
      <c r="AU1282" s="2171">
        <f>AU1283+AU1290</f>
        <v>0</v>
      </c>
      <c r="AV1282" s="2172">
        <f t="shared" ref="AV1282:AV1293" si="2696">AU1282-AT1282</f>
        <v>0</v>
      </c>
      <c r="AW1282" s="2171">
        <f>AW1283+AW1290</f>
        <v>0</v>
      </c>
      <c r="AX1282" s="2171">
        <f>AX1283+AX1290</f>
        <v>0</v>
      </c>
      <c r="AY1282" s="2172">
        <f t="shared" ref="AY1282:AY1293" si="2697">AX1282-AW1282</f>
        <v>0</v>
      </c>
      <c r="AZ1282" s="2171">
        <f>AZ1283+AZ1290</f>
        <v>0</v>
      </c>
      <c r="BA1282" s="2171">
        <f>BA1283+BA1290</f>
        <v>0</v>
      </c>
      <c r="BB1282" s="2172">
        <f t="shared" ref="BB1282:BB1293" si="2698">BA1282-AZ1282</f>
        <v>0</v>
      </c>
      <c r="BC1282" s="2171">
        <f>BC1283+BC1290</f>
        <v>0</v>
      </c>
      <c r="BD1282" s="2171">
        <f>BD1283+BD1290</f>
        <v>0</v>
      </c>
      <c r="BE1282" s="2172">
        <f t="shared" ref="BE1282:BE1293" si="2699">BD1282-BC1282</f>
        <v>0</v>
      </c>
      <c r="BF1282" s="2171">
        <f>BF1283+BF1290</f>
        <v>0</v>
      </c>
      <c r="BG1282" s="2171">
        <f>BG1283+BG1290</f>
        <v>0</v>
      </c>
      <c r="BH1282" s="2172">
        <f t="shared" ref="BH1282:BH1293" si="2700">BG1282-BF1282</f>
        <v>0</v>
      </c>
      <c r="BI1282" s="2171">
        <f>BI1283+BI1290</f>
        <v>0</v>
      </c>
      <c r="BJ1282" s="2171">
        <f>BJ1283+BJ1290</f>
        <v>0</v>
      </c>
      <c r="BK1282" s="2172">
        <f t="shared" ref="BK1282:BK1293" si="2701">BJ1282-BI1282</f>
        <v>0</v>
      </c>
      <c r="BL1282" s="2171">
        <f>BL1283+BL1290</f>
        <v>0</v>
      </c>
      <c r="BM1282" s="2171">
        <f>BM1283+BM1290</f>
        <v>0</v>
      </c>
      <c r="BN1282" s="2172">
        <f t="shared" ref="BN1282:BN1293" si="2702">BM1282-BL1282</f>
        <v>0</v>
      </c>
      <c r="BO1282" s="2171">
        <f>BO1283+BO1290</f>
        <v>0</v>
      </c>
      <c r="BP1282" s="2171">
        <f>BP1283+BP1290</f>
        <v>0</v>
      </c>
      <c r="BQ1282" s="2172">
        <f t="shared" ref="BQ1282:BQ1293" si="2703">BP1282-BO1282</f>
        <v>0</v>
      </c>
    </row>
    <row r="1283" spans="3:69" s="2207" customFormat="1" ht="12" hidden="1" customHeight="1">
      <c r="C1283" s="2293" t="s">
        <v>3454</v>
      </c>
      <c r="D1283" s="2476" t="s">
        <v>3455</v>
      </c>
      <c r="E1283" s="2213" t="s">
        <v>1833</v>
      </c>
      <c r="F1283" s="2162"/>
      <c r="G1283" s="2163">
        <f>G1284+G1286+G1288</f>
        <v>0</v>
      </c>
      <c r="H1283" s="2163">
        <f>H1284+H1286+H1288</f>
        <v>0</v>
      </c>
      <c r="I1283" s="2164">
        <f t="shared" si="2682"/>
        <v>0</v>
      </c>
      <c r="J1283" s="2162"/>
      <c r="K1283" s="2163">
        <f t="shared" ref="K1283:L1293" si="2704">N1283+Q1283+W1283+AC1283</f>
        <v>0</v>
      </c>
      <c r="L1283" s="2163">
        <f t="shared" si="2704"/>
        <v>0</v>
      </c>
      <c r="M1283" s="2164">
        <f t="shared" si="2683"/>
        <v>0</v>
      </c>
      <c r="N1283" s="2163">
        <f>N1284+N1286+N1288</f>
        <v>0</v>
      </c>
      <c r="O1283" s="2163">
        <f>O1284+O1286+O1288</f>
        <v>0</v>
      </c>
      <c r="P1283" s="2164">
        <f t="shared" si="2684"/>
        <v>0</v>
      </c>
      <c r="Q1283" s="2163">
        <f>Q1284+Q1286+Q1288</f>
        <v>0</v>
      </c>
      <c r="R1283" s="2163">
        <f>R1284+R1286+R1288</f>
        <v>0</v>
      </c>
      <c r="S1283" s="2164">
        <f t="shared" si="2685"/>
        <v>0</v>
      </c>
      <c r="T1283" s="2167">
        <f t="shared" si="2686"/>
        <v>0</v>
      </c>
      <c r="U1283" s="2163">
        <f t="shared" si="2686"/>
        <v>0</v>
      </c>
      <c r="V1283" s="2164">
        <f t="shared" si="2687"/>
        <v>0</v>
      </c>
      <c r="W1283" s="2163">
        <f>W1284+W1286+W1288</f>
        <v>0</v>
      </c>
      <c r="X1283" s="2163">
        <f>X1284+X1286+X1288</f>
        <v>0</v>
      </c>
      <c r="Y1283" s="2164">
        <f t="shared" si="2688"/>
        <v>0</v>
      </c>
      <c r="Z1283" s="2167">
        <f t="shared" si="2689"/>
        <v>0</v>
      </c>
      <c r="AA1283" s="2163">
        <f t="shared" si="2689"/>
        <v>0</v>
      </c>
      <c r="AB1283" s="2164">
        <f t="shared" si="2690"/>
        <v>0</v>
      </c>
      <c r="AC1283" s="2163">
        <f>AC1284+AC1286+AC1288</f>
        <v>0</v>
      </c>
      <c r="AD1283" s="2163">
        <f>AD1284+AD1286+AD1288</f>
        <v>0</v>
      </c>
      <c r="AE1283" s="2164">
        <f t="shared" si="2691"/>
        <v>0</v>
      </c>
      <c r="AF1283" s="2281"/>
      <c r="AG1283" s="2206"/>
      <c r="AH1283" s="2171">
        <f>AH1284+AH1286+AH1288</f>
        <v>0</v>
      </c>
      <c r="AI1283" s="2171">
        <f>AI1284+AI1286+AI1288</f>
        <v>0</v>
      </c>
      <c r="AJ1283" s="2172">
        <f t="shared" si="2692"/>
        <v>0</v>
      </c>
      <c r="AK1283" s="2171">
        <f>AK1284+AK1286+AK1288</f>
        <v>0</v>
      </c>
      <c r="AL1283" s="2171">
        <f>AL1284+AL1286+AL1288</f>
        <v>0</v>
      </c>
      <c r="AM1283" s="2172">
        <f t="shared" si="2693"/>
        <v>0</v>
      </c>
      <c r="AN1283" s="2171">
        <f>AN1284+AN1286+AN1288</f>
        <v>0</v>
      </c>
      <c r="AO1283" s="2171">
        <f>AO1284+AO1286+AO1288</f>
        <v>0</v>
      </c>
      <c r="AP1283" s="2172">
        <f t="shared" si="2694"/>
        <v>0</v>
      </c>
      <c r="AQ1283" s="2171">
        <f>AQ1284+AQ1286+AQ1288</f>
        <v>0</v>
      </c>
      <c r="AR1283" s="2171">
        <f>AR1284+AR1286+AR1288</f>
        <v>0</v>
      </c>
      <c r="AS1283" s="2172">
        <f t="shared" si="2695"/>
        <v>0</v>
      </c>
      <c r="AT1283" s="2171">
        <f>AT1284+AT1286+AT1288</f>
        <v>0</v>
      </c>
      <c r="AU1283" s="2171">
        <f>AU1284+AU1286+AU1288</f>
        <v>0</v>
      </c>
      <c r="AV1283" s="2172">
        <f t="shared" si="2696"/>
        <v>0</v>
      </c>
      <c r="AW1283" s="2171">
        <f>AW1284+AW1286+AW1288</f>
        <v>0</v>
      </c>
      <c r="AX1283" s="2171">
        <f>AX1284+AX1286+AX1288</f>
        <v>0</v>
      </c>
      <c r="AY1283" s="2172">
        <f t="shared" si="2697"/>
        <v>0</v>
      </c>
      <c r="AZ1283" s="2171">
        <f>AZ1284+AZ1286+AZ1288</f>
        <v>0</v>
      </c>
      <c r="BA1283" s="2171">
        <f>BA1284+BA1286+BA1288</f>
        <v>0</v>
      </c>
      <c r="BB1283" s="2172">
        <f t="shared" si="2698"/>
        <v>0</v>
      </c>
      <c r="BC1283" s="2171">
        <f>BC1284+BC1286+BC1288</f>
        <v>0</v>
      </c>
      <c r="BD1283" s="2171">
        <f>BD1284+BD1286+BD1288</f>
        <v>0</v>
      </c>
      <c r="BE1283" s="2172">
        <f t="shared" si="2699"/>
        <v>0</v>
      </c>
      <c r="BF1283" s="2171">
        <f>BF1284+BF1286+BF1288</f>
        <v>0</v>
      </c>
      <c r="BG1283" s="2171">
        <f>BG1284+BG1286+BG1288</f>
        <v>0</v>
      </c>
      <c r="BH1283" s="2172">
        <f t="shared" si="2700"/>
        <v>0</v>
      </c>
      <c r="BI1283" s="2171">
        <f>BI1284+BI1286+BI1288</f>
        <v>0</v>
      </c>
      <c r="BJ1283" s="2171">
        <f>BJ1284+BJ1286+BJ1288</f>
        <v>0</v>
      </c>
      <c r="BK1283" s="2172">
        <f t="shared" si="2701"/>
        <v>0</v>
      </c>
      <c r="BL1283" s="2171">
        <f>BL1284+BL1286+BL1288</f>
        <v>0</v>
      </c>
      <c r="BM1283" s="2171">
        <f>BM1284+BM1286+BM1288</f>
        <v>0</v>
      </c>
      <c r="BN1283" s="2172">
        <f t="shared" si="2702"/>
        <v>0</v>
      </c>
      <c r="BO1283" s="2171">
        <f>BO1284+BO1286+BO1288</f>
        <v>0</v>
      </c>
      <c r="BP1283" s="2171">
        <f>BP1284+BP1286+BP1288</f>
        <v>0</v>
      </c>
      <c r="BQ1283" s="2172">
        <f t="shared" si="2703"/>
        <v>0</v>
      </c>
    </row>
    <row r="1284" spans="3:69" ht="12" hidden="1" customHeight="1">
      <c r="C1284" s="2285" t="s">
        <v>3456</v>
      </c>
      <c r="D1284" s="2418" t="s">
        <v>28</v>
      </c>
      <c r="E1284" s="2384" t="s">
        <v>1833</v>
      </c>
      <c r="F1284" s="2176"/>
      <c r="G1284" s="2177"/>
      <c r="H1284" s="2177"/>
      <c r="I1284" s="2178">
        <f t="shared" si="2682"/>
        <v>0</v>
      </c>
      <c r="J1284" s="2176"/>
      <c r="K1284" s="2179">
        <f t="shared" si="2704"/>
        <v>0</v>
      </c>
      <c r="L1284" s="2179">
        <f t="shared" si="2704"/>
        <v>0</v>
      </c>
      <c r="M1284" s="2178">
        <f t="shared" si="2683"/>
        <v>0</v>
      </c>
      <c r="N1284" s="2177"/>
      <c r="O1284" s="2177"/>
      <c r="P1284" s="2178">
        <f t="shared" si="2684"/>
        <v>0</v>
      </c>
      <c r="Q1284" s="2176"/>
      <c r="R1284" s="2177"/>
      <c r="S1284" s="2178">
        <f t="shared" si="2685"/>
        <v>0</v>
      </c>
      <c r="T1284" s="2181">
        <f t="shared" si="2686"/>
        <v>0</v>
      </c>
      <c r="U1284" s="2179">
        <f t="shared" si="2686"/>
        <v>0</v>
      </c>
      <c r="V1284" s="2178">
        <f t="shared" si="2687"/>
        <v>0</v>
      </c>
      <c r="W1284" s="2176"/>
      <c r="X1284" s="2177"/>
      <c r="Y1284" s="2178">
        <f t="shared" si="2688"/>
        <v>0</v>
      </c>
      <c r="Z1284" s="2181">
        <f t="shared" si="2689"/>
        <v>0</v>
      </c>
      <c r="AA1284" s="2179">
        <f t="shared" si="2689"/>
        <v>0</v>
      </c>
      <c r="AB1284" s="2178">
        <f t="shared" si="2690"/>
        <v>0</v>
      </c>
      <c r="AC1284" s="2176"/>
      <c r="AD1284" s="2177"/>
      <c r="AE1284" s="2178">
        <f t="shared" si="2691"/>
        <v>0</v>
      </c>
      <c r="AF1284" s="2277"/>
      <c r="AG1284" s="2145"/>
      <c r="AH1284" s="2177"/>
      <c r="AI1284" s="2177"/>
      <c r="AJ1284" s="2186">
        <f t="shared" si="2692"/>
        <v>0</v>
      </c>
      <c r="AK1284" s="2177"/>
      <c r="AL1284" s="2177"/>
      <c r="AM1284" s="2186">
        <f t="shared" si="2693"/>
        <v>0</v>
      </c>
      <c r="AN1284" s="2177"/>
      <c r="AO1284" s="2177"/>
      <c r="AP1284" s="2186">
        <f t="shared" si="2694"/>
        <v>0</v>
      </c>
      <c r="AQ1284" s="2177"/>
      <c r="AR1284" s="2177"/>
      <c r="AS1284" s="2186">
        <f t="shared" si="2695"/>
        <v>0</v>
      </c>
      <c r="AT1284" s="2177"/>
      <c r="AU1284" s="2177"/>
      <c r="AV1284" s="2186">
        <f t="shared" si="2696"/>
        <v>0</v>
      </c>
      <c r="AW1284" s="2177"/>
      <c r="AX1284" s="2177"/>
      <c r="AY1284" s="2186">
        <f t="shared" si="2697"/>
        <v>0</v>
      </c>
      <c r="AZ1284" s="2177"/>
      <c r="BA1284" s="2177"/>
      <c r="BB1284" s="2186">
        <f t="shared" si="2698"/>
        <v>0</v>
      </c>
      <c r="BC1284" s="2177"/>
      <c r="BD1284" s="2177"/>
      <c r="BE1284" s="2186">
        <f t="shared" si="2699"/>
        <v>0</v>
      </c>
      <c r="BF1284" s="2177"/>
      <c r="BG1284" s="2177"/>
      <c r="BH1284" s="2186">
        <f t="shared" si="2700"/>
        <v>0</v>
      </c>
      <c r="BI1284" s="2177"/>
      <c r="BJ1284" s="2177"/>
      <c r="BK1284" s="2186">
        <f t="shared" si="2701"/>
        <v>0</v>
      </c>
      <c r="BL1284" s="2177"/>
      <c r="BM1284" s="2177"/>
      <c r="BN1284" s="2186">
        <f t="shared" si="2702"/>
        <v>0</v>
      </c>
      <c r="BO1284" s="2177"/>
      <c r="BP1284" s="2177"/>
      <c r="BQ1284" s="2186">
        <f t="shared" si="2703"/>
        <v>0</v>
      </c>
    </row>
    <row r="1285" spans="3:69" ht="12" hidden="1" customHeight="1">
      <c r="C1285" s="2285" t="s">
        <v>3457</v>
      </c>
      <c r="D1285" s="2421" t="s">
        <v>2434</v>
      </c>
      <c r="E1285" s="2384" t="s">
        <v>1833</v>
      </c>
      <c r="F1285" s="2176"/>
      <c r="G1285" s="2177"/>
      <c r="H1285" s="2177"/>
      <c r="I1285" s="2178">
        <f t="shared" si="2682"/>
        <v>0</v>
      </c>
      <c r="J1285" s="2176"/>
      <c r="K1285" s="2179">
        <f>N1285+Q1285+W1285+AC1285</f>
        <v>0</v>
      </c>
      <c r="L1285" s="2179">
        <f>O1285+R1285+X1285+AD1285</f>
        <v>0</v>
      </c>
      <c r="M1285" s="2178">
        <f t="shared" si="2683"/>
        <v>0</v>
      </c>
      <c r="N1285" s="2177"/>
      <c r="O1285" s="2177"/>
      <c r="P1285" s="2178">
        <f t="shared" si="2684"/>
        <v>0</v>
      </c>
      <c r="Q1285" s="2176"/>
      <c r="R1285" s="2177"/>
      <c r="S1285" s="2178">
        <f t="shared" si="2685"/>
        <v>0</v>
      </c>
      <c r="T1285" s="2181">
        <f>N1285+Q1285</f>
        <v>0</v>
      </c>
      <c r="U1285" s="2179">
        <f>O1285+R1285</f>
        <v>0</v>
      </c>
      <c r="V1285" s="2178">
        <f t="shared" si="2687"/>
        <v>0</v>
      </c>
      <c r="W1285" s="2176"/>
      <c r="X1285" s="2177"/>
      <c r="Y1285" s="2178">
        <f t="shared" si="2688"/>
        <v>0</v>
      </c>
      <c r="Z1285" s="2181">
        <f>T1285+W1285</f>
        <v>0</v>
      </c>
      <c r="AA1285" s="2179">
        <f>U1285+X1285</f>
        <v>0</v>
      </c>
      <c r="AB1285" s="2178">
        <f t="shared" si="2690"/>
        <v>0</v>
      </c>
      <c r="AC1285" s="2176"/>
      <c r="AD1285" s="2177"/>
      <c r="AE1285" s="2178">
        <f t="shared" si="2691"/>
        <v>0</v>
      </c>
      <c r="AF1285" s="2277"/>
      <c r="AG1285" s="2145"/>
      <c r="AH1285" s="2177"/>
      <c r="AI1285" s="2177"/>
      <c r="AJ1285" s="2186">
        <f t="shared" si="2692"/>
        <v>0</v>
      </c>
      <c r="AK1285" s="2177"/>
      <c r="AL1285" s="2177"/>
      <c r="AM1285" s="2186">
        <f t="shared" si="2693"/>
        <v>0</v>
      </c>
      <c r="AN1285" s="2177"/>
      <c r="AO1285" s="2177"/>
      <c r="AP1285" s="2186">
        <f t="shared" si="2694"/>
        <v>0</v>
      </c>
      <c r="AQ1285" s="2177"/>
      <c r="AR1285" s="2177"/>
      <c r="AS1285" s="2186">
        <f t="shared" si="2695"/>
        <v>0</v>
      </c>
      <c r="AT1285" s="2177"/>
      <c r="AU1285" s="2177"/>
      <c r="AV1285" s="2186">
        <f t="shared" si="2696"/>
        <v>0</v>
      </c>
      <c r="AW1285" s="2177"/>
      <c r="AX1285" s="2177"/>
      <c r="AY1285" s="2186">
        <f t="shared" si="2697"/>
        <v>0</v>
      </c>
      <c r="AZ1285" s="2177"/>
      <c r="BA1285" s="2177"/>
      <c r="BB1285" s="2186">
        <f t="shared" si="2698"/>
        <v>0</v>
      </c>
      <c r="BC1285" s="2177"/>
      <c r="BD1285" s="2177"/>
      <c r="BE1285" s="2186">
        <f t="shared" si="2699"/>
        <v>0</v>
      </c>
      <c r="BF1285" s="2177"/>
      <c r="BG1285" s="2177"/>
      <c r="BH1285" s="2186">
        <f t="shared" si="2700"/>
        <v>0</v>
      </c>
      <c r="BI1285" s="2177"/>
      <c r="BJ1285" s="2177"/>
      <c r="BK1285" s="2186">
        <f t="shared" si="2701"/>
        <v>0</v>
      </c>
      <c r="BL1285" s="2177"/>
      <c r="BM1285" s="2177"/>
      <c r="BN1285" s="2186">
        <f t="shared" si="2702"/>
        <v>0</v>
      </c>
      <c r="BO1285" s="2177"/>
      <c r="BP1285" s="2177"/>
      <c r="BQ1285" s="2186">
        <f t="shared" si="2703"/>
        <v>0</v>
      </c>
    </row>
    <row r="1286" spans="3:69" ht="12" hidden="1" customHeight="1">
      <c r="C1286" s="2285" t="s">
        <v>3458</v>
      </c>
      <c r="D1286" s="2418" t="s">
        <v>2872</v>
      </c>
      <c r="E1286" s="2384" t="s">
        <v>1833</v>
      </c>
      <c r="F1286" s="2176"/>
      <c r="G1286" s="2177"/>
      <c r="H1286" s="2177"/>
      <c r="I1286" s="2178">
        <f t="shared" si="2682"/>
        <v>0</v>
      </c>
      <c r="J1286" s="2176"/>
      <c r="K1286" s="2179">
        <f t="shared" si="2704"/>
        <v>0</v>
      </c>
      <c r="L1286" s="2179">
        <f t="shared" si="2704"/>
        <v>0</v>
      </c>
      <c r="M1286" s="2178">
        <f t="shared" si="2683"/>
        <v>0</v>
      </c>
      <c r="N1286" s="2177"/>
      <c r="O1286" s="2177"/>
      <c r="P1286" s="2178">
        <f t="shared" si="2684"/>
        <v>0</v>
      </c>
      <c r="Q1286" s="2176"/>
      <c r="R1286" s="2177"/>
      <c r="S1286" s="2178">
        <f t="shared" si="2685"/>
        <v>0</v>
      </c>
      <c r="T1286" s="2181">
        <f t="shared" si="2686"/>
        <v>0</v>
      </c>
      <c r="U1286" s="2179">
        <f t="shared" si="2686"/>
        <v>0</v>
      </c>
      <c r="V1286" s="2178">
        <f t="shared" si="2687"/>
        <v>0</v>
      </c>
      <c r="W1286" s="2176"/>
      <c r="X1286" s="2177"/>
      <c r="Y1286" s="2178">
        <f t="shared" si="2688"/>
        <v>0</v>
      </c>
      <c r="Z1286" s="2181">
        <f t="shared" si="2689"/>
        <v>0</v>
      </c>
      <c r="AA1286" s="2179">
        <f t="shared" si="2689"/>
        <v>0</v>
      </c>
      <c r="AB1286" s="2178">
        <f t="shared" si="2690"/>
        <v>0</v>
      </c>
      <c r="AC1286" s="2176"/>
      <c r="AD1286" s="2177"/>
      <c r="AE1286" s="2178">
        <f t="shared" si="2691"/>
        <v>0</v>
      </c>
      <c r="AF1286" s="2277"/>
      <c r="AG1286" s="2145"/>
      <c r="AH1286" s="2177"/>
      <c r="AI1286" s="2177"/>
      <c r="AJ1286" s="2186">
        <f t="shared" si="2692"/>
        <v>0</v>
      </c>
      <c r="AK1286" s="2177"/>
      <c r="AL1286" s="2177"/>
      <c r="AM1286" s="2186">
        <f t="shared" si="2693"/>
        <v>0</v>
      </c>
      <c r="AN1286" s="2177"/>
      <c r="AO1286" s="2177"/>
      <c r="AP1286" s="2186">
        <f t="shared" si="2694"/>
        <v>0</v>
      </c>
      <c r="AQ1286" s="2177"/>
      <c r="AR1286" s="2177"/>
      <c r="AS1286" s="2186">
        <f t="shared" si="2695"/>
        <v>0</v>
      </c>
      <c r="AT1286" s="2177"/>
      <c r="AU1286" s="2177"/>
      <c r="AV1286" s="2186">
        <f t="shared" si="2696"/>
        <v>0</v>
      </c>
      <c r="AW1286" s="2177"/>
      <c r="AX1286" s="2177"/>
      <c r="AY1286" s="2186">
        <f t="shared" si="2697"/>
        <v>0</v>
      </c>
      <c r="AZ1286" s="2177"/>
      <c r="BA1286" s="2177"/>
      <c r="BB1286" s="2186">
        <f t="shared" si="2698"/>
        <v>0</v>
      </c>
      <c r="BC1286" s="2177"/>
      <c r="BD1286" s="2177"/>
      <c r="BE1286" s="2186">
        <f t="shared" si="2699"/>
        <v>0</v>
      </c>
      <c r="BF1286" s="2177"/>
      <c r="BG1286" s="2177"/>
      <c r="BH1286" s="2186">
        <f t="shared" si="2700"/>
        <v>0</v>
      </c>
      <c r="BI1286" s="2177"/>
      <c r="BJ1286" s="2177"/>
      <c r="BK1286" s="2186">
        <f t="shared" si="2701"/>
        <v>0</v>
      </c>
      <c r="BL1286" s="2177"/>
      <c r="BM1286" s="2177"/>
      <c r="BN1286" s="2186">
        <f t="shared" si="2702"/>
        <v>0</v>
      </c>
      <c r="BO1286" s="2177"/>
      <c r="BP1286" s="2177"/>
      <c r="BQ1286" s="2186">
        <f t="shared" si="2703"/>
        <v>0</v>
      </c>
    </row>
    <row r="1287" spans="3:69" ht="12" hidden="1" customHeight="1">
      <c r="C1287" s="2285" t="s">
        <v>3459</v>
      </c>
      <c r="D1287" s="2421" t="s">
        <v>2434</v>
      </c>
      <c r="E1287" s="2384" t="s">
        <v>1833</v>
      </c>
      <c r="F1287" s="2176"/>
      <c r="G1287" s="2177"/>
      <c r="H1287" s="2177"/>
      <c r="I1287" s="2178">
        <f t="shared" si="2682"/>
        <v>0</v>
      </c>
      <c r="J1287" s="2176"/>
      <c r="K1287" s="2179">
        <f>N1287+Q1287+W1287+AC1287</f>
        <v>0</v>
      </c>
      <c r="L1287" s="2179">
        <f>O1287+R1287+X1287+AD1287</f>
        <v>0</v>
      </c>
      <c r="M1287" s="2178">
        <f t="shared" si="2683"/>
        <v>0</v>
      </c>
      <c r="N1287" s="2177"/>
      <c r="O1287" s="2177"/>
      <c r="P1287" s="2178">
        <f t="shared" si="2684"/>
        <v>0</v>
      </c>
      <c r="Q1287" s="2176"/>
      <c r="R1287" s="2177"/>
      <c r="S1287" s="2178">
        <f t="shared" si="2685"/>
        <v>0</v>
      </c>
      <c r="T1287" s="2181">
        <f>N1287+Q1287</f>
        <v>0</v>
      </c>
      <c r="U1287" s="2179">
        <f>O1287+R1287</f>
        <v>0</v>
      </c>
      <c r="V1287" s="2178">
        <f t="shared" si="2687"/>
        <v>0</v>
      </c>
      <c r="W1287" s="2176"/>
      <c r="X1287" s="2177"/>
      <c r="Y1287" s="2178">
        <f t="shared" si="2688"/>
        <v>0</v>
      </c>
      <c r="Z1287" s="2181">
        <f>T1287+W1287</f>
        <v>0</v>
      </c>
      <c r="AA1287" s="2179">
        <f>U1287+X1287</f>
        <v>0</v>
      </c>
      <c r="AB1287" s="2178">
        <f t="shared" si="2690"/>
        <v>0</v>
      </c>
      <c r="AC1287" s="2176"/>
      <c r="AD1287" s="2177"/>
      <c r="AE1287" s="2178">
        <f t="shared" si="2691"/>
        <v>0</v>
      </c>
      <c r="AF1287" s="2277"/>
      <c r="AG1287" s="2145"/>
      <c r="AH1287" s="2177"/>
      <c r="AI1287" s="2177"/>
      <c r="AJ1287" s="2186">
        <f t="shared" si="2692"/>
        <v>0</v>
      </c>
      <c r="AK1287" s="2177"/>
      <c r="AL1287" s="2177"/>
      <c r="AM1287" s="2186">
        <f t="shared" si="2693"/>
        <v>0</v>
      </c>
      <c r="AN1287" s="2177"/>
      <c r="AO1287" s="2177"/>
      <c r="AP1287" s="2186">
        <f t="shared" si="2694"/>
        <v>0</v>
      </c>
      <c r="AQ1287" s="2177"/>
      <c r="AR1287" s="2177"/>
      <c r="AS1287" s="2186">
        <f t="shared" si="2695"/>
        <v>0</v>
      </c>
      <c r="AT1287" s="2177"/>
      <c r="AU1287" s="2177"/>
      <c r="AV1287" s="2186">
        <f t="shared" si="2696"/>
        <v>0</v>
      </c>
      <c r="AW1287" s="2177"/>
      <c r="AX1287" s="2177"/>
      <c r="AY1287" s="2186">
        <f t="shared" si="2697"/>
        <v>0</v>
      </c>
      <c r="AZ1287" s="2177"/>
      <c r="BA1287" s="2177"/>
      <c r="BB1287" s="2186">
        <f t="shared" si="2698"/>
        <v>0</v>
      </c>
      <c r="BC1287" s="2177"/>
      <c r="BD1287" s="2177"/>
      <c r="BE1287" s="2186">
        <f t="shared" si="2699"/>
        <v>0</v>
      </c>
      <c r="BF1287" s="2177"/>
      <c r="BG1287" s="2177"/>
      <c r="BH1287" s="2186">
        <f t="shared" si="2700"/>
        <v>0</v>
      </c>
      <c r="BI1287" s="2177"/>
      <c r="BJ1287" s="2177"/>
      <c r="BK1287" s="2186">
        <f t="shared" si="2701"/>
        <v>0</v>
      </c>
      <c r="BL1287" s="2177"/>
      <c r="BM1287" s="2177"/>
      <c r="BN1287" s="2186">
        <f t="shared" si="2702"/>
        <v>0</v>
      </c>
      <c r="BO1287" s="2177"/>
      <c r="BP1287" s="2177"/>
      <c r="BQ1287" s="2186">
        <f t="shared" si="2703"/>
        <v>0</v>
      </c>
    </row>
    <row r="1288" spans="3:69" ht="12" hidden="1" customHeight="1">
      <c r="C1288" s="2285" t="s">
        <v>3460</v>
      </c>
      <c r="D1288" s="2418" t="s">
        <v>42</v>
      </c>
      <c r="E1288" s="2384" t="s">
        <v>1833</v>
      </c>
      <c r="F1288" s="2176"/>
      <c r="G1288" s="2177"/>
      <c r="H1288" s="2177"/>
      <c r="I1288" s="2178">
        <f t="shared" si="2682"/>
        <v>0</v>
      </c>
      <c r="J1288" s="2176"/>
      <c r="K1288" s="2179">
        <f t="shared" si="2704"/>
        <v>0</v>
      </c>
      <c r="L1288" s="2179">
        <f t="shared" si="2704"/>
        <v>0</v>
      </c>
      <c r="M1288" s="2178">
        <f t="shared" si="2683"/>
        <v>0</v>
      </c>
      <c r="N1288" s="2177"/>
      <c r="O1288" s="2177"/>
      <c r="P1288" s="2178">
        <f t="shared" si="2684"/>
        <v>0</v>
      </c>
      <c r="Q1288" s="2176"/>
      <c r="R1288" s="2177"/>
      <c r="S1288" s="2178">
        <f t="shared" si="2685"/>
        <v>0</v>
      </c>
      <c r="T1288" s="2181">
        <f t="shared" si="2686"/>
        <v>0</v>
      </c>
      <c r="U1288" s="2179">
        <f t="shared" si="2686"/>
        <v>0</v>
      </c>
      <c r="V1288" s="2178">
        <f t="shared" si="2687"/>
        <v>0</v>
      </c>
      <c r="W1288" s="2176"/>
      <c r="X1288" s="2177"/>
      <c r="Y1288" s="2178">
        <f t="shared" si="2688"/>
        <v>0</v>
      </c>
      <c r="Z1288" s="2181">
        <f t="shared" si="2689"/>
        <v>0</v>
      </c>
      <c r="AA1288" s="2179">
        <f t="shared" si="2689"/>
        <v>0</v>
      </c>
      <c r="AB1288" s="2178">
        <f t="shared" si="2690"/>
        <v>0</v>
      </c>
      <c r="AC1288" s="2176"/>
      <c r="AD1288" s="2177"/>
      <c r="AE1288" s="2178">
        <f t="shared" si="2691"/>
        <v>0</v>
      </c>
      <c r="AF1288" s="2277"/>
      <c r="AG1288" s="2145"/>
      <c r="AH1288" s="2177"/>
      <c r="AI1288" s="2177"/>
      <c r="AJ1288" s="2186">
        <f t="shared" si="2692"/>
        <v>0</v>
      </c>
      <c r="AK1288" s="2177"/>
      <c r="AL1288" s="2177"/>
      <c r="AM1288" s="2186">
        <f t="shared" si="2693"/>
        <v>0</v>
      </c>
      <c r="AN1288" s="2177"/>
      <c r="AO1288" s="2177"/>
      <c r="AP1288" s="2186">
        <f t="shared" si="2694"/>
        <v>0</v>
      </c>
      <c r="AQ1288" s="2177"/>
      <c r="AR1288" s="2177"/>
      <c r="AS1288" s="2186">
        <f t="shared" si="2695"/>
        <v>0</v>
      </c>
      <c r="AT1288" s="2177"/>
      <c r="AU1288" s="2177"/>
      <c r="AV1288" s="2186">
        <f t="shared" si="2696"/>
        <v>0</v>
      </c>
      <c r="AW1288" s="2177"/>
      <c r="AX1288" s="2177"/>
      <c r="AY1288" s="2186">
        <f t="shared" si="2697"/>
        <v>0</v>
      </c>
      <c r="AZ1288" s="2177"/>
      <c r="BA1288" s="2177"/>
      <c r="BB1288" s="2186">
        <f t="shared" si="2698"/>
        <v>0</v>
      </c>
      <c r="BC1288" s="2177"/>
      <c r="BD1288" s="2177"/>
      <c r="BE1288" s="2186">
        <f t="shared" si="2699"/>
        <v>0</v>
      </c>
      <c r="BF1288" s="2177"/>
      <c r="BG1288" s="2177"/>
      <c r="BH1288" s="2186">
        <f t="shared" si="2700"/>
        <v>0</v>
      </c>
      <c r="BI1288" s="2177"/>
      <c r="BJ1288" s="2177"/>
      <c r="BK1288" s="2186">
        <f t="shared" si="2701"/>
        <v>0</v>
      </c>
      <c r="BL1288" s="2177"/>
      <c r="BM1288" s="2177"/>
      <c r="BN1288" s="2186">
        <f t="shared" si="2702"/>
        <v>0</v>
      </c>
      <c r="BO1288" s="2177"/>
      <c r="BP1288" s="2177"/>
      <c r="BQ1288" s="2186">
        <f t="shared" si="2703"/>
        <v>0</v>
      </c>
    </row>
    <row r="1289" spans="3:69" ht="12" hidden="1" customHeight="1">
      <c r="C1289" s="2285" t="s">
        <v>3461</v>
      </c>
      <c r="D1289" s="2421" t="s">
        <v>2434</v>
      </c>
      <c r="E1289" s="2384" t="s">
        <v>1833</v>
      </c>
      <c r="F1289" s="2176"/>
      <c r="G1289" s="2177"/>
      <c r="H1289" s="2177"/>
      <c r="I1289" s="2178">
        <f t="shared" si="2682"/>
        <v>0</v>
      </c>
      <c r="J1289" s="2176"/>
      <c r="K1289" s="2179">
        <f>N1289+Q1289+W1289+AC1289</f>
        <v>0</v>
      </c>
      <c r="L1289" s="2179">
        <f>O1289+R1289+X1289+AD1289</f>
        <v>0</v>
      </c>
      <c r="M1289" s="2178">
        <f t="shared" si="2683"/>
        <v>0</v>
      </c>
      <c r="N1289" s="2177"/>
      <c r="O1289" s="2177"/>
      <c r="P1289" s="2178">
        <f t="shared" si="2684"/>
        <v>0</v>
      </c>
      <c r="Q1289" s="2176"/>
      <c r="R1289" s="2177"/>
      <c r="S1289" s="2178">
        <f t="shared" si="2685"/>
        <v>0</v>
      </c>
      <c r="T1289" s="2181">
        <f>N1289+Q1289</f>
        <v>0</v>
      </c>
      <c r="U1289" s="2179">
        <f>O1289+R1289</f>
        <v>0</v>
      </c>
      <c r="V1289" s="2178">
        <f t="shared" si="2687"/>
        <v>0</v>
      </c>
      <c r="W1289" s="2176"/>
      <c r="X1289" s="2177"/>
      <c r="Y1289" s="2178">
        <f t="shared" si="2688"/>
        <v>0</v>
      </c>
      <c r="Z1289" s="2181">
        <f>T1289+W1289</f>
        <v>0</v>
      </c>
      <c r="AA1289" s="2179">
        <f>U1289+X1289</f>
        <v>0</v>
      </c>
      <c r="AB1289" s="2178">
        <f t="shared" si="2690"/>
        <v>0</v>
      </c>
      <c r="AC1289" s="2176"/>
      <c r="AD1289" s="2177"/>
      <c r="AE1289" s="2178">
        <f t="shared" si="2691"/>
        <v>0</v>
      </c>
      <c r="AF1289" s="2277"/>
      <c r="AG1289" s="2145"/>
      <c r="AH1289" s="2177"/>
      <c r="AI1289" s="2177"/>
      <c r="AJ1289" s="2186">
        <f t="shared" si="2692"/>
        <v>0</v>
      </c>
      <c r="AK1289" s="2177"/>
      <c r="AL1289" s="2177"/>
      <c r="AM1289" s="2186">
        <f t="shared" si="2693"/>
        <v>0</v>
      </c>
      <c r="AN1289" s="2177"/>
      <c r="AO1289" s="2177"/>
      <c r="AP1289" s="2186">
        <f t="shared" si="2694"/>
        <v>0</v>
      </c>
      <c r="AQ1289" s="2177"/>
      <c r="AR1289" s="2177"/>
      <c r="AS1289" s="2186">
        <f t="shared" si="2695"/>
        <v>0</v>
      </c>
      <c r="AT1289" s="2177"/>
      <c r="AU1289" s="2177"/>
      <c r="AV1289" s="2186">
        <f t="shared" si="2696"/>
        <v>0</v>
      </c>
      <c r="AW1289" s="2177"/>
      <c r="AX1289" s="2177"/>
      <c r="AY1289" s="2186">
        <f t="shared" si="2697"/>
        <v>0</v>
      </c>
      <c r="AZ1289" s="2177"/>
      <c r="BA1289" s="2177"/>
      <c r="BB1289" s="2186">
        <f t="shared" si="2698"/>
        <v>0</v>
      </c>
      <c r="BC1289" s="2177"/>
      <c r="BD1289" s="2177"/>
      <c r="BE1289" s="2186">
        <f t="shared" si="2699"/>
        <v>0</v>
      </c>
      <c r="BF1289" s="2177"/>
      <c r="BG1289" s="2177"/>
      <c r="BH1289" s="2186">
        <f t="shared" si="2700"/>
        <v>0</v>
      </c>
      <c r="BI1289" s="2177"/>
      <c r="BJ1289" s="2177"/>
      <c r="BK1289" s="2186">
        <f t="shared" si="2701"/>
        <v>0</v>
      </c>
      <c r="BL1289" s="2177"/>
      <c r="BM1289" s="2177"/>
      <c r="BN1289" s="2186">
        <f t="shared" si="2702"/>
        <v>0</v>
      </c>
      <c r="BO1289" s="2177"/>
      <c r="BP1289" s="2177"/>
      <c r="BQ1289" s="2186">
        <f t="shared" si="2703"/>
        <v>0</v>
      </c>
    </row>
    <row r="1290" spans="3:69" s="2207" customFormat="1" ht="12" hidden="1" customHeight="1">
      <c r="C1290" s="2212" t="s">
        <v>3462</v>
      </c>
      <c r="D1290" s="2476" t="s">
        <v>3463</v>
      </c>
      <c r="E1290" s="2213" t="s">
        <v>1833</v>
      </c>
      <c r="F1290" s="2162"/>
      <c r="G1290" s="2218"/>
      <c r="H1290" s="2218"/>
      <c r="I1290" s="2164">
        <f t="shared" si="2682"/>
        <v>0</v>
      </c>
      <c r="J1290" s="2162"/>
      <c r="K1290" s="2163">
        <f t="shared" si="2704"/>
        <v>0</v>
      </c>
      <c r="L1290" s="2163">
        <f t="shared" si="2704"/>
        <v>0</v>
      </c>
      <c r="M1290" s="2164">
        <f t="shared" si="2683"/>
        <v>0</v>
      </c>
      <c r="N1290" s="2218"/>
      <c r="O1290" s="2218"/>
      <c r="P1290" s="2164">
        <f t="shared" si="2684"/>
        <v>0</v>
      </c>
      <c r="Q1290" s="2162"/>
      <c r="R1290" s="2218"/>
      <c r="S1290" s="2164">
        <f t="shared" si="2685"/>
        <v>0</v>
      </c>
      <c r="T1290" s="2167">
        <f t="shared" si="2686"/>
        <v>0</v>
      </c>
      <c r="U1290" s="2163">
        <f t="shared" si="2686"/>
        <v>0</v>
      </c>
      <c r="V1290" s="2164">
        <f t="shared" si="2687"/>
        <v>0</v>
      </c>
      <c r="W1290" s="2162"/>
      <c r="X1290" s="2218"/>
      <c r="Y1290" s="2164">
        <f t="shared" si="2688"/>
        <v>0</v>
      </c>
      <c r="Z1290" s="2167">
        <f t="shared" si="2689"/>
        <v>0</v>
      </c>
      <c r="AA1290" s="2163">
        <f t="shared" si="2689"/>
        <v>0</v>
      </c>
      <c r="AB1290" s="2164">
        <f t="shared" si="2690"/>
        <v>0</v>
      </c>
      <c r="AC1290" s="2162"/>
      <c r="AD1290" s="2218"/>
      <c r="AE1290" s="2164">
        <f t="shared" si="2691"/>
        <v>0</v>
      </c>
      <c r="AF1290" s="2281"/>
      <c r="AG1290" s="2206"/>
      <c r="AH1290" s="2218"/>
      <c r="AI1290" s="2218"/>
      <c r="AJ1290" s="2172">
        <f t="shared" si="2692"/>
        <v>0</v>
      </c>
      <c r="AK1290" s="2218"/>
      <c r="AL1290" s="2218"/>
      <c r="AM1290" s="2172">
        <f t="shared" si="2693"/>
        <v>0</v>
      </c>
      <c r="AN1290" s="2218"/>
      <c r="AO1290" s="2218"/>
      <c r="AP1290" s="2172">
        <f t="shared" si="2694"/>
        <v>0</v>
      </c>
      <c r="AQ1290" s="2218"/>
      <c r="AR1290" s="2218"/>
      <c r="AS1290" s="2172">
        <f t="shared" si="2695"/>
        <v>0</v>
      </c>
      <c r="AT1290" s="2218"/>
      <c r="AU1290" s="2218"/>
      <c r="AV1290" s="2172">
        <f t="shared" si="2696"/>
        <v>0</v>
      </c>
      <c r="AW1290" s="2218"/>
      <c r="AX1290" s="2218"/>
      <c r="AY1290" s="2172">
        <f t="shared" si="2697"/>
        <v>0</v>
      </c>
      <c r="AZ1290" s="2218"/>
      <c r="BA1290" s="2218"/>
      <c r="BB1290" s="2172">
        <f t="shared" si="2698"/>
        <v>0</v>
      </c>
      <c r="BC1290" s="2218"/>
      <c r="BD1290" s="2218"/>
      <c r="BE1290" s="2172">
        <f t="shared" si="2699"/>
        <v>0</v>
      </c>
      <c r="BF1290" s="2218"/>
      <c r="BG1290" s="2218"/>
      <c r="BH1290" s="2172">
        <f t="shared" si="2700"/>
        <v>0</v>
      </c>
      <c r="BI1290" s="2218"/>
      <c r="BJ1290" s="2218"/>
      <c r="BK1290" s="2172">
        <f t="shared" si="2701"/>
        <v>0</v>
      </c>
      <c r="BL1290" s="2218"/>
      <c r="BM1290" s="2218"/>
      <c r="BN1290" s="2172">
        <f t="shared" si="2702"/>
        <v>0</v>
      </c>
      <c r="BO1290" s="2218"/>
      <c r="BP1290" s="2218"/>
      <c r="BQ1290" s="2172">
        <f t="shared" si="2703"/>
        <v>0</v>
      </c>
    </row>
    <row r="1291" spans="3:69" s="2207" customFormat="1" ht="12" hidden="1" customHeight="1">
      <c r="C1291" s="2488" t="s">
        <v>3464</v>
      </c>
      <c r="D1291" s="2286" t="s">
        <v>2434</v>
      </c>
      <c r="E1291" s="2384" t="s">
        <v>1833</v>
      </c>
      <c r="F1291" s="2176"/>
      <c r="G1291" s="2177"/>
      <c r="H1291" s="2177"/>
      <c r="I1291" s="2178">
        <f t="shared" si="2682"/>
        <v>0</v>
      </c>
      <c r="J1291" s="2176"/>
      <c r="K1291" s="2179">
        <f>N1291+Q1291+W1291+AC1291</f>
        <v>0</v>
      </c>
      <c r="L1291" s="2179">
        <f>O1291+R1291+X1291+AD1291</f>
        <v>0</v>
      </c>
      <c r="M1291" s="2178">
        <f t="shared" si="2683"/>
        <v>0</v>
      </c>
      <c r="N1291" s="2177"/>
      <c r="O1291" s="2177"/>
      <c r="P1291" s="2178">
        <f t="shared" si="2684"/>
        <v>0</v>
      </c>
      <c r="Q1291" s="2176"/>
      <c r="R1291" s="2177"/>
      <c r="S1291" s="2178">
        <f t="shared" si="2685"/>
        <v>0</v>
      </c>
      <c r="T1291" s="2181">
        <f>N1291+Q1291</f>
        <v>0</v>
      </c>
      <c r="U1291" s="2179">
        <f>O1291+R1291</f>
        <v>0</v>
      </c>
      <c r="V1291" s="2178">
        <f t="shared" si="2687"/>
        <v>0</v>
      </c>
      <c r="W1291" s="2176"/>
      <c r="X1291" s="2177"/>
      <c r="Y1291" s="2178">
        <f t="shared" si="2688"/>
        <v>0</v>
      </c>
      <c r="Z1291" s="2181">
        <f>T1291+W1291</f>
        <v>0</v>
      </c>
      <c r="AA1291" s="2179">
        <f>U1291+X1291</f>
        <v>0</v>
      </c>
      <c r="AB1291" s="2178">
        <f t="shared" si="2690"/>
        <v>0</v>
      </c>
      <c r="AC1291" s="2176"/>
      <c r="AD1291" s="2177"/>
      <c r="AE1291" s="2178">
        <f t="shared" si="2691"/>
        <v>0</v>
      </c>
      <c r="AF1291" s="2281"/>
      <c r="AG1291" s="2206"/>
      <c r="AH1291" s="2177"/>
      <c r="AI1291" s="2177"/>
      <c r="AJ1291" s="2186">
        <f t="shared" si="2692"/>
        <v>0</v>
      </c>
      <c r="AK1291" s="2177"/>
      <c r="AL1291" s="2177"/>
      <c r="AM1291" s="2186">
        <f t="shared" si="2693"/>
        <v>0</v>
      </c>
      <c r="AN1291" s="2177"/>
      <c r="AO1291" s="2177"/>
      <c r="AP1291" s="2186">
        <f t="shared" si="2694"/>
        <v>0</v>
      </c>
      <c r="AQ1291" s="2177"/>
      <c r="AR1291" s="2177"/>
      <c r="AS1291" s="2186">
        <f t="shared" si="2695"/>
        <v>0</v>
      </c>
      <c r="AT1291" s="2177"/>
      <c r="AU1291" s="2177"/>
      <c r="AV1291" s="2186">
        <f t="shared" si="2696"/>
        <v>0</v>
      </c>
      <c r="AW1291" s="2177"/>
      <c r="AX1291" s="2177"/>
      <c r="AY1291" s="2186">
        <f t="shared" si="2697"/>
        <v>0</v>
      </c>
      <c r="AZ1291" s="2177"/>
      <c r="BA1291" s="2177"/>
      <c r="BB1291" s="2186">
        <f t="shared" si="2698"/>
        <v>0</v>
      </c>
      <c r="BC1291" s="2177"/>
      <c r="BD1291" s="2177"/>
      <c r="BE1291" s="2186">
        <f t="shared" si="2699"/>
        <v>0</v>
      </c>
      <c r="BF1291" s="2177"/>
      <c r="BG1291" s="2177"/>
      <c r="BH1291" s="2186">
        <f t="shared" si="2700"/>
        <v>0</v>
      </c>
      <c r="BI1291" s="2177"/>
      <c r="BJ1291" s="2177"/>
      <c r="BK1291" s="2186">
        <f t="shared" si="2701"/>
        <v>0</v>
      </c>
      <c r="BL1291" s="2177"/>
      <c r="BM1291" s="2177"/>
      <c r="BN1291" s="2186">
        <f t="shared" si="2702"/>
        <v>0</v>
      </c>
      <c r="BO1291" s="2177"/>
      <c r="BP1291" s="2177"/>
      <c r="BQ1291" s="2186">
        <f t="shared" si="2703"/>
        <v>0</v>
      </c>
    </row>
    <row r="1292" spans="3:69" s="2159" customFormat="1" ht="12" hidden="1" customHeight="1">
      <c r="C1292" s="2293" t="s">
        <v>3465</v>
      </c>
      <c r="D1292" s="2485" t="s">
        <v>3466</v>
      </c>
      <c r="E1292" s="2120" t="s">
        <v>2590</v>
      </c>
      <c r="F1292" s="2162"/>
      <c r="G1292" s="2218"/>
      <c r="H1292" s="2218"/>
      <c r="I1292" s="2164">
        <f t="shared" si="2682"/>
        <v>0</v>
      </c>
      <c r="J1292" s="2162"/>
      <c r="K1292" s="2163">
        <f t="shared" si="2704"/>
        <v>0</v>
      </c>
      <c r="L1292" s="2163">
        <f t="shared" si="2704"/>
        <v>0</v>
      </c>
      <c r="M1292" s="2164">
        <f t="shared" si="2683"/>
        <v>0</v>
      </c>
      <c r="N1292" s="2218"/>
      <c r="O1292" s="2218"/>
      <c r="P1292" s="2164">
        <f t="shared" si="2684"/>
        <v>0</v>
      </c>
      <c r="Q1292" s="2162"/>
      <c r="R1292" s="2218"/>
      <c r="S1292" s="2164">
        <f t="shared" si="2685"/>
        <v>0</v>
      </c>
      <c r="T1292" s="2167">
        <f t="shared" si="2686"/>
        <v>0</v>
      </c>
      <c r="U1292" s="2163">
        <f t="shared" si="2686"/>
        <v>0</v>
      </c>
      <c r="V1292" s="2164">
        <f t="shared" si="2687"/>
        <v>0</v>
      </c>
      <c r="W1292" s="2162"/>
      <c r="X1292" s="2218"/>
      <c r="Y1292" s="2164">
        <f t="shared" si="2688"/>
        <v>0</v>
      </c>
      <c r="Z1292" s="2167">
        <f t="shared" si="2689"/>
        <v>0</v>
      </c>
      <c r="AA1292" s="2163">
        <f t="shared" si="2689"/>
        <v>0</v>
      </c>
      <c r="AB1292" s="2164">
        <f t="shared" si="2690"/>
        <v>0</v>
      </c>
      <c r="AC1292" s="2162"/>
      <c r="AD1292" s="2218"/>
      <c r="AE1292" s="2164">
        <f t="shared" si="2691"/>
        <v>0</v>
      </c>
      <c r="AF1292" s="2204"/>
      <c r="AG1292" s="2158"/>
      <c r="AH1292" s="2218"/>
      <c r="AI1292" s="2218"/>
      <c r="AJ1292" s="2172">
        <f t="shared" si="2692"/>
        <v>0</v>
      </c>
      <c r="AK1292" s="2218"/>
      <c r="AL1292" s="2218"/>
      <c r="AM1292" s="2172">
        <f t="shared" si="2693"/>
        <v>0</v>
      </c>
      <c r="AN1292" s="2218"/>
      <c r="AO1292" s="2218"/>
      <c r="AP1292" s="2172">
        <f t="shared" si="2694"/>
        <v>0</v>
      </c>
      <c r="AQ1292" s="2218"/>
      <c r="AR1292" s="2218"/>
      <c r="AS1292" s="2172">
        <f t="shared" si="2695"/>
        <v>0</v>
      </c>
      <c r="AT1292" s="2218"/>
      <c r="AU1292" s="2218"/>
      <c r="AV1292" s="2172">
        <f t="shared" si="2696"/>
        <v>0</v>
      </c>
      <c r="AW1292" s="2218"/>
      <c r="AX1292" s="2218"/>
      <c r="AY1292" s="2172">
        <f t="shared" si="2697"/>
        <v>0</v>
      </c>
      <c r="AZ1292" s="2218"/>
      <c r="BA1292" s="2218"/>
      <c r="BB1292" s="2172">
        <f t="shared" si="2698"/>
        <v>0</v>
      </c>
      <c r="BC1292" s="2218"/>
      <c r="BD1292" s="2218"/>
      <c r="BE1292" s="2172">
        <f t="shared" si="2699"/>
        <v>0</v>
      </c>
      <c r="BF1292" s="2218"/>
      <c r="BG1292" s="2218"/>
      <c r="BH1292" s="2172">
        <f t="shared" si="2700"/>
        <v>0</v>
      </c>
      <c r="BI1292" s="2218"/>
      <c r="BJ1292" s="2218"/>
      <c r="BK1292" s="2172">
        <f t="shared" si="2701"/>
        <v>0</v>
      </c>
      <c r="BL1292" s="2218"/>
      <c r="BM1292" s="2218"/>
      <c r="BN1292" s="2172">
        <f t="shared" si="2702"/>
        <v>0</v>
      </c>
      <c r="BO1292" s="2218"/>
      <c r="BP1292" s="2218"/>
      <c r="BQ1292" s="2172">
        <f t="shared" si="2703"/>
        <v>0</v>
      </c>
    </row>
    <row r="1293" spans="3:69" s="2159" customFormat="1" ht="12" hidden="1" customHeight="1">
      <c r="C1293" s="2293" t="s">
        <v>3467</v>
      </c>
      <c r="D1293" s="2485" t="s">
        <v>3468</v>
      </c>
      <c r="E1293" s="2120" t="s">
        <v>2590</v>
      </c>
      <c r="F1293" s="2162"/>
      <c r="G1293" s="2163">
        <f>G1282+G1292</f>
        <v>0</v>
      </c>
      <c r="H1293" s="2163">
        <f>H1282+H1292</f>
        <v>0</v>
      </c>
      <c r="I1293" s="2164">
        <f t="shared" si="2682"/>
        <v>0</v>
      </c>
      <c r="J1293" s="2162"/>
      <c r="K1293" s="2163">
        <f t="shared" si="2704"/>
        <v>0</v>
      </c>
      <c r="L1293" s="2163">
        <f t="shared" si="2704"/>
        <v>0</v>
      </c>
      <c r="M1293" s="2164">
        <f t="shared" si="2683"/>
        <v>0</v>
      </c>
      <c r="N1293" s="2163">
        <f>N1282+N1292</f>
        <v>0</v>
      </c>
      <c r="O1293" s="2163">
        <f>O1282+O1292</f>
        <v>0</v>
      </c>
      <c r="P1293" s="2164">
        <f t="shared" si="2684"/>
        <v>0</v>
      </c>
      <c r="Q1293" s="2165">
        <f>Q1282+Q1292</f>
        <v>0</v>
      </c>
      <c r="R1293" s="2163">
        <f>R1282+R1292</f>
        <v>0</v>
      </c>
      <c r="S1293" s="2164">
        <f t="shared" si="2685"/>
        <v>0</v>
      </c>
      <c r="T1293" s="2167">
        <f t="shared" si="2686"/>
        <v>0</v>
      </c>
      <c r="U1293" s="2163">
        <f t="shared" si="2686"/>
        <v>0</v>
      </c>
      <c r="V1293" s="2164">
        <f t="shared" si="2687"/>
        <v>0</v>
      </c>
      <c r="W1293" s="2165">
        <f>W1282+W1292</f>
        <v>0</v>
      </c>
      <c r="X1293" s="2163">
        <f>X1282+X1292</f>
        <v>0</v>
      </c>
      <c r="Y1293" s="2164">
        <f t="shared" si="2688"/>
        <v>0</v>
      </c>
      <c r="Z1293" s="2167">
        <f t="shared" si="2689"/>
        <v>0</v>
      </c>
      <c r="AA1293" s="2163">
        <f t="shared" si="2689"/>
        <v>0</v>
      </c>
      <c r="AB1293" s="2164">
        <f t="shared" si="2690"/>
        <v>0</v>
      </c>
      <c r="AC1293" s="2165">
        <f>AC1282+AC1292</f>
        <v>0</v>
      </c>
      <c r="AD1293" s="2163">
        <f>AD1282+AD1292</f>
        <v>0</v>
      </c>
      <c r="AE1293" s="2164">
        <f t="shared" si="2691"/>
        <v>0</v>
      </c>
      <c r="AF1293" s="2204"/>
      <c r="AG1293" s="2158"/>
      <c r="AH1293" s="2171">
        <f>AH1282+AH1292</f>
        <v>0</v>
      </c>
      <c r="AI1293" s="2171">
        <f>AI1282+AI1292</f>
        <v>0</v>
      </c>
      <c r="AJ1293" s="2172">
        <f t="shared" si="2692"/>
        <v>0</v>
      </c>
      <c r="AK1293" s="2171">
        <f>AK1282+AK1292</f>
        <v>0</v>
      </c>
      <c r="AL1293" s="2171">
        <f>AL1282+AL1292</f>
        <v>0</v>
      </c>
      <c r="AM1293" s="2172">
        <f t="shared" si="2693"/>
        <v>0</v>
      </c>
      <c r="AN1293" s="2171">
        <f>AN1282+AN1292</f>
        <v>0</v>
      </c>
      <c r="AO1293" s="2171">
        <f>AO1282+AO1292</f>
        <v>0</v>
      </c>
      <c r="AP1293" s="2172">
        <f t="shared" si="2694"/>
        <v>0</v>
      </c>
      <c r="AQ1293" s="2171">
        <f>AQ1282+AQ1292</f>
        <v>0</v>
      </c>
      <c r="AR1293" s="2171">
        <f>AR1282+AR1292</f>
        <v>0</v>
      </c>
      <c r="AS1293" s="2172">
        <f t="shared" si="2695"/>
        <v>0</v>
      </c>
      <c r="AT1293" s="2171">
        <f>AT1282+AT1292</f>
        <v>0</v>
      </c>
      <c r="AU1293" s="2171">
        <f>AU1282+AU1292</f>
        <v>0</v>
      </c>
      <c r="AV1293" s="2172">
        <f t="shared" si="2696"/>
        <v>0</v>
      </c>
      <c r="AW1293" s="2171">
        <f>AW1282+AW1292</f>
        <v>0</v>
      </c>
      <c r="AX1293" s="2171">
        <f>AX1282+AX1292</f>
        <v>0</v>
      </c>
      <c r="AY1293" s="2172">
        <f t="shared" si="2697"/>
        <v>0</v>
      </c>
      <c r="AZ1293" s="2171">
        <f>AZ1282+AZ1292</f>
        <v>0</v>
      </c>
      <c r="BA1293" s="2171">
        <f>BA1282+BA1292</f>
        <v>0</v>
      </c>
      <c r="BB1293" s="2172">
        <f t="shared" si="2698"/>
        <v>0</v>
      </c>
      <c r="BC1293" s="2171">
        <f>BC1282+BC1292</f>
        <v>0</v>
      </c>
      <c r="BD1293" s="2171">
        <f>BD1282+BD1292</f>
        <v>0</v>
      </c>
      <c r="BE1293" s="2172">
        <f t="shared" si="2699"/>
        <v>0</v>
      </c>
      <c r="BF1293" s="2171">
        <f>BF1282+BF1292</f>
        <v>0</v>
      </c>
      <c r="BG1293" s="2171">
        <f>BG1282+BG1292</f>
        <v>0</v>
      </c>
      <c r="BH1293" s="2172">
        <f t="shared" si="2700"/>
        <v>0</v>
      </c>
      <c r="BI1293" s="2171">
        <f>BI1282+BI1292</f>
        <v>0</v>
      </c>
      <c r="BJ1293" s="2171">
        <f>BJ1282+BJ1292</f>
        <v>0</v>
      </c>
      <c r="BK1293" s="2172">
        <f t="shared" si="2701"/>
        <v>0</v>
      </c>
      <c r="BL1293" s="2171">
        <f>BL1282+BL1292</f>
        <v>0</v>
      </c>
      <c r="BM1293" s="2171">
        <f>BM1282+BM1292</f>
        <v>0</v>
      </c>
      <c r="BN1293" s="2172">
        <f t="shared" si="2702"/>
        <v>0</v>
      </c>
      <c r="BO1293" s="2171">
        <f>BO1282+BO1292</f>
        <v>0</v>
      </c>
      <c r="BP1293" s="2171">
        <f>BP1282+BP1292</f>
        <v>0</v>
      </c>
      <c r="BQ1293" s="2172">
        <f t="shared" si="2703"/>
        <v>0</v>
      </c>
    </row>
    <row r="1294" spans="3:69" s="2207" customFormat="1" ht="12" hidden="1" customHeight="1">
      <c r="C1294" s="2134" t="s">
        <v>373</v>
      </c>
      <c r="D1294" s="2135" t="s">
        <v>3469</v>
      </c>
      <c r="E1294" s="2136"/>
      <c r="F1294" s="2224"/>
      <c r="G1294" s="2225"/>
      <c r="H1294" s="2225"/>
      <c r="I1294" s="2226"/>
      <c r="J1294" s="2224"/>
      <c r="K1294" s="2225"/>
      <c r="L1294" s="2225"/>
      <c r="M1294" s="2226"/>
      <c r="N1294" s="2225"/>
      <c r="O1294" s="2225"/>
      <c r="P1294" s="2226"/>
      <c r="Q1294" s="2224"/>
      <c r="R1294" s="2225"/>
      <c r="S1294" s="2227"/>
      <c r="T1294" s="2228"/>
      <c r="U1294" s="2225"/>
      <c r="V1294" s="2226"/>
      <c r="W1294" s="2224"/>
      <c r="X1294" s="2225"/>
      <c r="Y1294" s="2227"/>
      <c r="Z1294" s="2228"/>
      <c r="AA1294" s="2225"/>
      <c r="AB1294" s="2226"/>
      <c r="AC1294" s="2224"/>
      <c r="AD1294" s="2225"/>
      <c r="AE1294" s="2227"/>
      <c r="AF1294" s="2231"/>
      <c r="AG1294" s="2206"/>
      <c r="AH1294" s="2225"/>
      <c r="AI1294" s="2225"/>
      <c r="AJ1294" s="2226"/>
      <c r="AK1294" s="2225"/>
      <c r="AL1294" s="2225"/>
      <c r="AM1294" s="2226"/>
      <c r="AN1294" s="2225"/>
      <c r="AO1294" s="2225"/>
      <c r="AP1294" s="2226"/>
      <c r="AQ1294" s="2225"/>
      <c r="AR1294" s="2225"/>
      <c r="AS1294" s="2226"/>
      <c r="AT1294" s="2225"/>
      <c r="AU1294" s="2225"/>
      <c r="AV1294" s="2226"/>
      <c r="AW1294" s="2225"/>
      <c r="AX1294" s="2225"/>
      <c r="AY1294" s="2226"/>
      <c r="AZ1294" s="2225"/>
      <c r="BA1294" s="2225"/>
      <c r="BB1294" s="2226"/>
      <c r="BC1294" s="2225"/>
      <c r="BD1294" s="2225"/>
      <c r="BE1294" s="2226"/>
      <c r="BF1294" s="2225"/>
      <c r="BG1294" s="2225"/>
      <c r="BH1294" s="2226"/>
      <c r="BI1294" s="2225"/>
      <c r="BJ1294" s="2225"/>
      <c r="BK1294" s="2226"/>
      <c r="BL1294" s="2225"/>
      <c r="BM1294" s="2225"/>
      <c r="BN1294" s="2226"/>
      <c r="BO1294" s="2225"/>
      <c r="BP1294" s="2225"/>
      <c r="BQ1294" s="2226"/>
    </row>
    <row r="1295" spans="3:69" s="2159" customFormat="1" ht="12" hidden="1" customHeight="1" collapsed="1">
      <c r="C1295" s="2147" t="s">
        <v>3470</v>
      </c>
      <c r="D1295" s="2148" t="s">
        <v>2080</v>
      </c>
      <c r="E1295" s="2149"/>
      <c r="F1295" s="2150"/>
      <c r="G1295" s="2151"/>
      <c r="H1295" s="2151"/>
      <c r="I1295" s="2152"/>
      <c r="J1295" s="2150"/>
      <c r="K1295" s="2151"/>
      <c r="L1295" s="2151"/>
      <c r="M1295" s="2152"/>
      <c r="N1295" s="2151"/>
      <c r="O1295" s="2151"/>
      <c r="P1295" s="2152"/>
      <c r="Q1295" s="2150"/>
      <c r="R1295" s="2151"/>
      <c r="S1295" s="2153"/>
      <c r="T1295" s="2154"/>
      <c r="U1295" s="2151"/>
      <c r="V1295" s="2152"/>
      <c r="W1295" s="2150"/>
      <c r="X1295" s="2151"/>
      <c r="Y1295" s="2153"/>
      <c r="Z1295" s="2154"/>
      <c r="AA1295" s="2151"/>
      <c r="AB1295" s="2152"/>
      <c r="AC1295" s="2150"/>
      <c r="AD1295" s="2151"/>
      <c r="AE1295" s="2153"/>
      <c r="AF1295" s="2157"/>
      <c r="AG1295" s="2158"/>
      <c r="AH1295" s="2151"/>
      <c r="AI1295" s="2151"/>
      <c r="AJ1295" s="2152"/>
      <c r="AK1295" s="2151"/>
      <c r="AL1295" s="2151"/>
      <c r="AM1295" s="2152"/>
      <c r="AN1295" s="2151"/>
      <c r="AO1295" s="2151"/>
      <c r="AP1295" s="2152"/>
      <c r="AQ1295" s="2151"/>
      <c r="AR1295" s="2151"/>
      <c r="AS1295" s="2152"/>
      <c r="AT1295" s="2151"/>
      <c r="AU1295" s="2151"/>
      <c r="AV1295" s="2152"/>
      <c r="AW1295" s="2151"/>
      <c r="AX1295" s="2151"/>
      <c r="AY1295" s="2152"/>
      <c r="AZ1295" s="2151"/>
      <c r="BA1295" s="2151"/>
      <c r="BB1295" s="2152"/>
      <c r="BC1295" s="2151"/>
      <c r="BD1295" s="2151"/>
      <c r="BE1295" s="2152"/>
      <c r="BF1295" s="2151"/>
      <c r="BG1295" s="2151"/>
      <c r="BH1295" s="2152"/>
      <c r="BI1295" s="2151"/>
      <c r="BJ1295" s="2151"/>
      <c r="BK1295" s="2152"/>
      <c r="BL1295" s="2151"/>
      <c r="BM1295" s="2151"/>
      <c r="BN1295" s="2152"/>
      <c r="BO1295" s="2151"/>
      <c r="BP1295" s="2151"/>
      <c r="BQ1295" s="2152"/>
    </row>
    <row r="1296" spans="3:69" s="2159" customFormat="1" ht="12" hidden="1" customHeight="1">
      <c r="C1296" s="2256" t="s">
        <v>3471</v>
      </c>
      <c r="D1296" s="2161" t="s">
        <v>3472</v>
      </c>
      <c r="E1296" s="2120" t="s">
        <v>420</v>
      </c>
      <c r="F1296" s="2162"/>
      <c r="G1296" s="2163">
        <f>G1301+G1302</f>
        <v>0</v>
      </c>
      <c r="H1296" s="2163">
        <f>H1301+H1302</f>
        <v>0</v>
      </c>
      <c r="I1296" s="2164">
        <f>H1296-G1296</f>
        <v>0</v>
      </c>
      <c r="J1296" s="2162"/>
      <c r="K1296" s="2163">
        <f t="shared" ref="K1296:L1311" si="2705">N1296+Q1296+W1296+AC1296</f>
        <v>0</v>
      </c>
      <c r="L1296" s="2163">
        <f t="shared" si="2705"/>
        <v>0</v>
      </c>
      <c r="M1296" s="2164">
        <f>L1296-K1296</f>
        <v>0</v>
      </c>
      <c r="N1296" s="2163">
        <f>N1301+N1302</f>
        <v>0</v>
      </c>
      <c r="O1296" s="2163">
        <f>O1301+O1302</f>
        <v>0</v>
      </c>
      <c r="P1296" s="2164">
        <f>O1296-N1296</f>
        <v>0</v>
      </c>
      <c r="Q1296" s="2165">
        <f>Q1301+Q1302</f>
        <v>0</v>
      </c>
      <c r="R1296" s="2163">
        <f>R1301+R1302</f>
        <v>0</v>
      </c>
      <c r="S1296" s="2166">
        <f>R1296-Q1296</f>
        <v>0</v>
      </c>
      <c r="T1296" s="2167">
        <f>N1296+Q1296</f>
        <v>0</v>
      </c>
      <c r="U1296" s="2163">
        <f>O1296+R1296</f>
        <v>0</v>
      </c>
      <c r="V1296" s="2164">
        <f>U1296-T1296</f>
        <v>0</v>
      </c>
      <c r="W1296" s="2165">
        <f>W1301+W1302</f>
        <v>0</v>
      </c>
      <c r="X1296" s="2163">
        <f>X1301+X1302</f>
        <v>0</v>
      </c>
      <c r="Y1296" s="2166">
        <f>X1296-W1296</f>
        <v>0</v>
      </c>
      <c r="Z1296" s="2167">
        <f>T1296+W1296</f>
        <v>0</v>
      </c>
      <c r="AA1296" s="2163">
        <f>U1296+X1296</f>
        <v>0</v>
      </c>
      <c r="AB1296" s="2164">
        <f>AA1296-Z1296</f>
        <v>0</v>
      </c>
      <c r="AC1296" s="2165">
        <f>AC1301+AC1302</f>
        <v>0</v>
      </c>
      <c r="AD1296" s="2163">
        <f>AD1301+AD1302</f>
        <v>0</v>
      </c>
      <c r="AE1296" s="2166">
        <f>AD1296-AC1296</f>
        <v>0</v>
      </c>
      <c r="AF1296" s="2204"/>
      <c r="AG1296" s="2158"/>
      <c r="AH1296" s="2171">
        <f>AH1301+AH1302</f>
        <v>0</v>
      </c>
      <c r="AI1296" s="2171">
        <f>AI1301+AI1302</f>
        <v>0</v>
      </c>
      <c r="AJ1296" s="2172">
        <f>AI1296-AH1296</f>
        <v>0</v>
      </c>
      <c r="AK1296" s="2171">
        <f>AK1301+AK1302</f>
        <v>0</v>
      </c>
      <c r="AL1296" s="2171">
        <f>AL1301+AL1302</f>
        <v>0</v>
      </c>
      <c r="AM1296" s="2172">
        <f>AL1296-AK1296</f>
        <v>0</v>
      </c>
      <c r="AN1296" s="2171">
        <f>AN1301+AN1302</f>
        <v>0</v>
      </c>
      <c r="AO1296" s="2171">
        <f>AO1301+AO1302</f>
        <v>0</v>
      </c>
      <c r="AP1296" s="2172">
        <f>AO1296-AN1296</f>
        <v>0</v>
      </c>
      <c r="AQ1296" s="2171">
        <f>AQ1301+AQ1302</f>
        <v>0</v>
      </c>
      <c r="AR1296" s="2171">
        <f>AR1301+AR1302</f>
        <v>0</v>
      </c>
      <c r="AS1296" s="2172">
        <f>AR1296-AQ1296</f>
        <v>0</v>
      </c>
      <c r="AT1296" s="2171">
        <f>AT1301+AT1302</f>
        <v>0</v>
      </c>
      <c r="AU1296" s="2171">
        <f>AU1301+AU1302</f>
        <v>0</v>
      </c>
      <c r="AV1296" s="2172">
        <f>AU1296-AT1296</f>
        <v>0</v>
      </c>
      <c r="AW1296" s="2171">
        <f>AW1301+AW1302</f>
        <v>0</v>
      </c>
      <c r="AX1296" s="2171">
        <f>AX1301+AX1302</f>
        <v>0</v>
      </c>
      <c r="AY1296" s="2172">
        <f>AX1296-AW1296</f>
        <v>0</v>
      </c>
      <c r="AZ1296" s="2171">
        <f>AZ1301+AZ1302</f>
        <v>0</v>
      </c>
      <c r="BA1296" s="2171">
        <f>BA1301+BA1302</f>
        <v>0</v>
      </c>
      <c r="BB1296" s="2172">
        <f>BA1296-AZ1296</f>
        <v>0</v>
      </c>
      <c r="BC1296" s="2171">
        <f>BC1301+BC1302</f>
        <v>0</v>
      </c>
      <c r="BD1296" s="2171">
        <f>BD1301+BD1302</f>
        <v>0</v>
      </c>
      <c r="BE1296" s="2172">
        <f>BD1296-BC1296</f>
        <v>0</v>
      </c>
      <c r="BF1296" s="2171">
        <f>BF1301+BF1302</f>
        <v>0</v>
      </c>
      <c r="BG1296" s="2171">
        <f>BG1301+BG1302</f>
        <v>0</v>
      </c>
      <c r="BH1296" s="2172">
        <f>BG1296-BF1296</f>
        <v>0</v>
      </c>
      <c r="BI1296" s="2171">
        <f>BI1301+BI1302</f>
        <v>0</v>
      </c>
      <c r="BJ1296" s="2171">
        <f>BJ1301+BJ1302</f>
        <v>0</v>
      </c>
      <c r="BK1296" s="2172">
        <f>BJ1296-BI1296</f>
        <v>0</v>
      </c>
      <c r="BL1296" s="2171">
        <f>BL1301+BL1302</f>
        <v>0</v>
      </c>
      <c r="BM1296" s="2171">
        <f>BM1301+BM1302</f>
        <v>0</v>
      </c>
      <c r="BN1296" s="2172">
        <f>BM1296-BL1296</f>
        <v>0</v>
      </c>
      <c r="BO1296" s="2171">
        <f>BO1301+BO1302</f>
        <v>0</v>
      </c>
      <c r="BP1296" s="2171">
        <f>BP1301+BP1302</f>
        <v>0</v>
      </c>
      <c r="BQ1296" s="2172">
        <f>BP1296-BO1296</f>
        <v>0</v>
      </c>
    </row>
    <row r="1297" spans="3:69" s="2087" customFormat="1" ht="12" hidden="1" customHeight="1">
      <c r="C1297" s="2173" t="s">
        <v>3473</v>
      </c>
      <c r="D1297" s="2375" t="s">
        <v>2221</v>
      </c>
      <c r="E1297" s="2250" t="s">
        <v>420</v>
      </c>
      <c r="F1297" s="2176"/>
      <c r="G1297" s="2177"/>
      <c r="H1297" s="2177"/>
      <c r="I1297" s="2178">
        <f t="shared" ref="I1297:I1305" si="2706">H1297-G1297</f>
        <v>0</v>
      </c>
      <c r="J1297" s="2176"/>
      <c r="K1297" s="2179">
        <f t="shared" si="2705"/>
        <v>0</v>
      </c>
      <c r="L1297" s="2179">
        <f t="shared" si="2705"/>
        <v>0</v>
      </c>
      <c r="M1297" s="2178">
        <f t="shared" ref="M1297:M1305" si="2707">L1297-K1297</f>
        <v>0</v>
      </c>
      <c r="N1297" s="2177"/>
      <c r="O1297" s="2177"/>
      <c r="P1297" s="2178">
        <f t="shared" ref="P1297:P1305" si="2708">O1297-N1297</f>
        <v>0</v>
      </c>
      <c r="Q1297" s="2176"/>
      <c r="R1297" s="2177"/>
      <c r="S1297" s="2180">
        <f t="shared" ref="S1297:S1305" si="2709">R1297-Q1297</f>
        <v>0</v>
      </c>
      <c r="T1297" s="2181">
        <f t="shared" ref="T1297:U1305" si="2710">N1297+Q1297</f>
        <v>0</v>
      </c>
      <c r="U1297" s="2179">
        <f t="shared" si="2710"/>
        <v>0</v>
      </c>
      <c r="V1297" s="2178">
        <f t="shared" ref="V1297:V1305" si="2711">U1297-T1297</f>
        <v>0</v>
      </c>
      <c r="W1297" s="2176"/>
      <c r="X1297" s="2177"/>
      <c r="Y1297" s="2180">
        <f t="shared" ref="Y1297:Y1305" si="2712">X1297-W1297</f>
        <v>0</v>
      </c>
      <c r="Z1297" s="2181">
        <f t="shared" ref="Z1297:AA1305" si="2713">T1297+W1297</f>
        <v>0</v>
      </c>
      <c r="AA1297" s="2179">
        <f t="shared" si="2713"/>
        <v>0</v>
      </c>
      <c r="AB1297" s="2178">
        <f t="shared" ref="AB1297:AB1305" si="2714">AA1297-Z1297</f>
        <v>0</v>
      </c>
      <c r="AC1297" s="2176"/>
      <c r="AD1297" s="2177"/>
      <c r="AE1297" s="2180">
        <f t="shared" ref="AE1297:AE1305" si="2715">AD1297-AC1297</f>
        <v>0</v>
      </c>
      <c r="AF1297" s="2281"/>
      <c r="AG1297" s="2114"/>
      <c r="AH1297" s="2177"/>
      <c r="AI1297" s="2177"/>
      <c r="AJ1297" s="2186">
        <f t="shared" ref="AJ1297:AJ1305" si="2716">AI1297-AH1297</f>
        <v>0</v>
      </c>
      <c r="AK1297" s="2177"/>
      <c r="AL1297" s="2177"/>
      <c r="AM1297" s="2186">
        <f t="shared" ref="AM1297:AM1305" si="2717">AL1297-AK1297</f>
        <v>0</v>
      </c>
      <c r="AN1297" s="2177"/>
      <c r="AO1297" s="2177"/>
      <c r="AP1297" s="2186">
        <f t="shared" ref="AP1297:AP1305" si="2718">AO1297-AN1297</f>
        <v>0</v>
      </c>
      <c r="AQ1297" s="2177"/>
      <c r="AR1297" s="2177"/>
      <c r="AS1297" s="2186">
        <f t="shared" ref="AS1297:AS1305" si="2719">AR1297-AQ1297</f>
        <v>0</v>
      </c>
      <c r="AT1297" s="2177"/>
      <c r="AU1297" s="2177"/>
      <c r="AV1297" s="2186">
        <f t="shared" ref="AV1297:AV1305" si="2720">AU1297-AT1297</f>
        <v>0</v>
      </c>
      <c r="AW1297" s="2177"/>
      <c r="AX1297" s="2177"/>
      <c r="AY1297" s="2186">
        <f t="shared" ref="AY1297:AY1305" si="2721">AX1297-AW1297</f>
        <v>0</v>
      </c>
      <c r="AZ1297" s="2177"/>
      <c r="BA1297" s="2177"/>
      <c r="BB1297" s="2186">
        <f t="shared" ref="BB1297:BB1305" si="2722">BA1297-AZ1297</f>
        <v>0</v>
      </c>
      <c r="BC1297" s="2177"/>
      <c r="BD1297" s="2177"/>
      <c r="BE1297" s="2186">
        <f t="shared" ref="BE1297:BE1305" si="2723">BD1297-BC1297</f>
        <v>0</v>
      </c>
      <c r="BF1297" s="2177"/>
      <c r="BG1297" s="2177"/>
      <c r="BH1297" s="2186">
        <f t="shared" ref="BH1297:BH1305" si="2724">BG1297-BF1297</f>
        <v>0</v>
      </c>
      <c r="BI1297" s="2177"/>
      <c r="BJ1297" s="2177"/>
      <c r="BK1297" s="2186">
        <f t="shared" ref="BK1297:BK1305" si="2725">BJ1297-BI1297</f>
        <v>0</v>
      </c>
      <c r="BL1297" s="2177"/>
      <c r="BM1297" s="2177"/>
      <c r="BN1297" s="2186">
        <f t="shared" ref="BN1297:BN1305" si="2726">BM1297-BL1297</f>
        <v>0</v>
      </c>
      <c r="BO1297" s="2177"/>
      <c r="BP1297" s="2177"/>
      <c r="BQ1297" s="2186">
        <f t="shared" ref="BQ1297:BQ1305" si="2727">BP1297-BO1297</f>
        <v>0</v>
      </c>
    </row>
    <row r="1298" spans="3:69" s="2087" customFormat="1" ht="12" hidden="1" customHeight="1">
      <c r="C1298" s="2173" t="s">
        <v>3474</v>
      </c>
      <c r="D1298" s="2375" t="s">
        <v>2223</v>
      </c>
      <c r="E1298" s="2250" t="s">
        <v>420</v>
      </c>
      <c r="F1298" s="2176"/>
      <c r="G1298" s="2177"/>
      <c r="H1298" s="2177"/>
      <c r="I1298" s="2178">
        <f t="shared" si="2706"/>
        <v>0</v>
      </c>
      <c r="J1298" s="2176"/>
      <c r="K1298" s="2179">
        <f t="shared" si="2705"/>
        <v>0</v>
      </c>
      <c r="L1298" s="2179">
        <f t="shared" si="2705"/>
        <v>0</v>
      </c>
      <c r="M1298" s="2178">
        <f t="shared" si="2707"/>
        <v>0</v>
      </c>
      <c r="N1298" s="2177"/>
      <c r="O1298" s="2177"/>
      <c r="P1298" s="2178">
        <f t="shared" si="2708"/>
        <v>0</v>
      </c>
      <c r="Q1298" s="2176"/>
      <c r="R1298" s="2177"/>
      <c r="S1298" s="2180">
        <f t="shared" si="2709"/>
        <v>0</v>
      </c>
      <c r="T1298" s="2181">
        <f t="shared" si="2710"/>
        <v>0</v>
      </c>
      <c r="U1298" s="2179">
        <f t="shared" si="2710"/>
        <v>0</v>
      </c>
      <c r="V1298" s="2178">
        <f t="shared" si="2711"/>
        <v>0</v>
      </c>
      <c r="W1298" s="2176"/>
      <c r="X1298" s="2177"/>
      <c r="Y1298" s="2180">
        <f t="shared" si="2712"/>
        <v>0</v>
      </c>
      <c r="Z1298" s="2181">
        <f t="shared" si="2713"/>
        <v>0</v>
      </c>
      <c r="AA1298" s="2179">
        <f t="shared" si="2713"/>
        <v>0</v>
      </c>
      <c r="AB1298" s="2178">
        <f t="shared" si="2714"/>
        <v>0</v>
      </c>
      <c r="AC1298" s="2176"/>
      <c r="AD1298" s="2177"/>
      <c r="AE1298" s="2180">
        <f t="shared" si="2715"/>
        <v>0</v>
      </c>
      <c r="AF1298" s="2281"/>
      <c r="AG1298" s="2114"/>
      <c r="AH1298" s="2177"/>
      <c r="AI1298" s="2177"/>
      <c r="AJ1298" s="2186">
        <f t="shared" si="2716"/>
        <v>0</v>
      </c>
      <c r="AK1298" s="2177"/>
      <c r="AL1298" s="2177"/>
      <c r="AM1298" s="2186">
        <f t="shared" si="2717"/>
        <v>0</v>
      </c>
      <c r="AN1298" s="2177"/>
      <c r="AO1298" s="2177"/>
      <c r="AP1298" s="2186">
        <f t="shared" si="2718"/>
        <v>0</v>
      </c>
      <c r="AQ1298" s="2177"/>
      <c r="AR1298" s="2177"/>
      <c r="AS1298" s="2186">
        <f t="shared" si="2719"/>
        <v>0</v>
      </c>
      <c r="AT1298" s="2177"/>
      <c r="AU1298" s="2177"/>
      <c r="AV1298" s="2186">
        <f t="shared" si="2720"/>
        <v>0</v>
      </c>
      <c r="AW1298" s="2177"/>
      <c r="AX1298" s="2177"/>
      <c r="AY1298" s="2186">
        <f t="shared" si="2721"/>
        <v>0</v>
      </c>
      <c r="AZ1298" s="2177"/>
      <c r="BA1298" s="2177"/>
      <c r="BB1298" s="2186">
        <f t="shared" si="2722"/>
        <v>0</v>
      </c>
      <c r="BC1298" s="2177"/>
      <c r="BD1298" s="2177"/>
      <c r="BE1298" s="2186">
        <f t="shared" si="2723"/>
        <v>0</v>
      </c>
      <c r="BF1298" s="2177"/>
      <c r="BG1298" s="2177"/>
      <c r="BH1298" s="2186">
        <f t="shared" si="2724"/>
        <v>0</v>
      </c>
      <c r="BI1298" s="2177"/>
      <c r="BJ1298" s="2177"/>
      <c r="BK1298" s="2186">
        <f t="shared" si="2725"/>
        <v>0</v>
      </c>
      <c r="BL1298" s="2177"/>
      <c r="BM1298" s="2177"/>
      <c r="BN1298" s="2186">
        <f t="shared" si="2726"/>
        <v>0</v>
      </c>
      <c r="BO1298" s="2177"/>
      <c r="BP1298" s="2177"/>
      <c r="BQ1298" s="2186">
        <f t="shared" si="2727"/>
        <v>0</v>
      </c>
    </row>
    <row r="1299" spans="3:69" s="2087" customFormat="1" ht="12" hidden="1" customHeight="1">
      <c r="C1299" s="2173" t="s">
        <v>3475</v>
      </c>
      <c r="D1299" s="2375" t="s">
        <v>2225</v>
      </c>
      <c r="E1299" s="2250" t="s">
        <v>420</v>
      </c>
      <c r="F1299" s="2176"/>
      <c r="G1299" s="2177"/>
      <c r="H1299" s="2177"/>
      <c r="I1299" s="2178">
        <f t="shared" si="2706"/>
        <v>0</v>
      </c>
      <c r="J1299" s="2176"/>
      <c r="K1299" s="2179">
        <f t="shared" si="2705"/>
        <v>0</v>
      </c>
      <c r="L1299" s="2179">
        <f t="shared" si="2705"/>
        <v>0</v>
      </c>
      <c r="M1299" s="2178">
        <f t="shared" si="2707"/>
        <v>0</v>
      </c>
      <c r="N1299" s="2177"/>
      <c r="O1299" s="2177"/>
      <c r="P1299" s="2178">
        <f t="shared" si="2708"/>
        <v>0</v>
      </c>
      <c r="Q1299" s="2176"/>
      <c r="R1299" s="2177"/>
      <c r="S1299" s="2180">
        <f t="shared" si="2709"/>
        <v>0</v>
      </c>
      <c r="T1299" s="2181">
        <f t="shared" si="2710"/>
        <v>0</v>
      </c>
      <c r="U1299" s="2179">
        <f t="shared" si="2710"/>
        <v>0</v>
      </c>
      <c r="V1299" s="2178">
        <f t="shared" si="2711"/>
        <v>0</v>
      </c>
      <c r="W1299" s="2176"/>
      <c r="X1299" s="2177"/>
      <c r="Y1299" s="2180">
        <f t="shared" si="2712"/>
        <v>0</v>
      </c>
      <c r="Z1299" s="2181">
        <f t="shared" si="2713"/>
        <v>0</v>
      </c>
      <c r="AA1299" s="2179">
        <f t="shared" si="2713"/>
        <v>0</v>
      </c>
      <c r="AB1299" s="2178">
        <f t="shared" si="2714"/>
        <v>0</v>
      </c>
      <c r="AC1299" s="2176"/>
      <c r="AD1299" s="2177"/>
      <c r="AE1299" s="2180">
        <f t="shared" si="2715"/>
        <v>0</v>
      </c>
      <c r="AF1299" s="2281"/>
      <c r="AG1299" s="2114"/>
      <c r="AH1299" s="2177"/>
      <c r="AI1299" s="2177"/>
      <c r="AJ1299" s="2186">
        <f t="shared" si="2716"/>
        <v>0</v>
      </c>
      <c r="AK1299" s="2177"/>
      <c r="AL1299" s="2177"/>
      <c r="AM1299" s="2186">
        <f t="shared" si="2717"/>
        <v>0</v>
      </c>
      <c r="AN1299" s="2177"/>
      <c r="AO1299" s="2177"/>
      <c r="AP1299" s="2186">
        <f t="shared" si="2718"/>
        <v>0</v>
      </c>
      <c r="AQ1299" s="2177"/>
      <c r="AR1299" s="2177"/>
      <c r="AS1299" s="2186">
        <f t="shared" si="2719"/>
        <v>0</v>
      </c>
      <c r="AT1299" s="2177"/>
      <c r="AU1299" s="2177"/>
      <c r="AV1299" s="2186">
        <f t="shared" si="2720"/>
        <v>0</v>
      </c>
      <c r="AW1299" s="2177"/>
      <c r="AX1299" s="2177"/>
      <c r="AY1299" s="2186">
        <f t="shared" si="2721"/>
        <v>0</v>
      </c>
      <c r="AZ1299" s="2177"/>
      <c r="BA1299" s="2177"/>
      <c r="BB1299" s="2186">
        <f t="shared" si="2722"/>
        <v>0</v>
      </c>
      <c r="BC1299" s="2177"/>
      <c r="BD1299" s="2177"/>
      <c r="BE1299" s="2186">
        <f t="shared" si="2723"/>
        <v>0</v>
      </c>
      <c r="BF1299" s="2177"/>
      <c r="BG1299" s="2177"/>
      <c r="BH1299" s="2186">
        <f t="shared" si="2724"/>
        <v>0</v>
      </c>
      <c r="BI1299" s="2177"/>
      <c r="BJ1299" s="2177"/>
      <c r="BK1299" s="2186">
        <f t="shared" si="2725"/>
        <v>0</v>
      </c>
      <c r="BL1299" s="2177"/>
      <c r="BM1299" s="2177"/>
      <c r="BN1299" s="2186">
        <f t="shared" si="2726"/>
        <v>0</v>
      </c>
      <c r="BO1299" s="2177"/>
      <c r="BP1299" s="2177"/>
      <c r="BQ1299" s="2186">
        <f t="shared" si="2727"/>
        <v>0</v>
      </c>
    </row>
    <row r="1300" spans="3:69" s="2087" customFormat="1" ht="12" hidden="1" customHeight="1">
      <c r="C1300" s="2173" t="s">
        <v>3476</v>
      </c>
      <c r="D1300" s="2375" t="s">
        <v>2227</v>
      </c>
      <c r="E1300" s="2250" t="s">
        <v>420</v>
      </c>
      <c r="F1300" s="2176"/>
      <c r="G1300" s="2177"/>
      <c r="H1300" s="2177"/>
      <c r="I1300" s="2178">
        <f t="shared" si="2706"/>
        <v>0</v>
      </c>
      <c r="J1300" s="2176"/>
      <c r="K1300" s="2179">
        <f t="shared" si="2705"/>
        <v>0</v>
      </c>
      <c r="L1300" s="2179">
        <f t="shared" si="2705"/>
        <v>0</v>
      </c>
      <c r="M1300" s="2178">
        <f t="shared" si="2707"/>
        <v>0</v>
      </c>
      <c r="N1300" s="2177"/>
      <c r="O1300" s="2177"/>
      <c r="P1300" s="2178">
        <f t="shared" si="2708"/>
        <v>0</v>
      </c>
      <c r="Q1300" s="2176"/>
      <c r="R1300" s="2177"/>
      <c r="S1300" s="2180">
        <f t="shared" si="2709"/>
        <v>0</v>
      </c>
      <c r="T1300" s="2181">
        <f t="shared" si="2710"/>
        <v>0</v>
      </c>
      <c r="U1300" s="2179">
        <f t="shared" si="2710"/>
        <v>0</v>
      </c>
      <c r="V1300" s="2178">
        <f t="shared" si="2711"/>
        <v>0</v>
      </c>
      <c r="W1300" s="2176"/>
      <c r="X1300" s="2177"/>
      <c r="Y1300" s="2180">
        <f t="shared" si="2712"/>
        <v>0</v>
      </c>
      <c r="Z1300" s="2181">
        <f t="shared" si="2713"/>
        <v>0</v>
      </c>
      <c r="AA1300" s="2179">
        <f t="shared" si="2713"/>
        <v>0</v>
      </c>
      <c r="AB1300" s="2178">
        <f t="shared" si="2714"/>
        <v>0</v>
      </c>
      <c r="AC1300" s="2176"/>
      <c r="AD1300" s="2177"/>
      <c r="AE1300" s="2180">
        <f t="shared" si="2715"/>
        <v>0</v>
      </c>
      <c r="AF1300" s="2281"/>
      <c r="AG1300" s="2114"/>
      <c r="AH1300" s="2177"/>
      <c r="AI1300" s="2177"/>
      <c r="AJ1300" s="2186">
        <f t="shared" si="2716"/>
        <v>0</v>
      </c>
      <c r="AK1300" s="2177"/>
      <c r="AL1300" s="2177"/>
      <c r="AM1300" s="2186">
        <f t="shared" si="2717"/>
        <v>0</v>
      </c>
      <c r="AN1300" s="2177"/>
      <c r="AO1300" s="2177"/>
      <c r="AP1300" s="2186">
        <f t="shared" si="2718"/>
        <v>0</v>
      </c>
      <c r="AQ1300" s="2177"/>
      <c r="AR1300" s="2177"/>
      <c r="AS1300" s="2186">
        <f t="shared" si="2719"/>
        <v>0</v>
      </c>
      <c r="AT1300" s="2177"/>
      <c r="AU1300" s="2177"/>
      <c r="AV1300" s="2186">
        <f t="shared" si="2720"/>
        <v>0</v>
      </c>
      <c r="AW1300" s="2177"/>
      <c r="AX1300" s="2177"/>
      <c r="AY1300" s="2186">
        <f t="shared" si="2721"/>
        <v>0</v>
      </c>
      <c r="AZ1300" s="2177"/>
      <c r="BA1300" s="2177"/>
      <c r="BB1300" s="2186">
        <f t="shared" si="2722"/>
        <v>0</v>
      </c>
      <c r="BC1300" s="2177"/>
      <c r="BD1300" s="2177"/>
      <c r="BE1300" s="2186">
        <f t="shared" si="2723"/>
        <v>0</v>
      </c>
      <c r="BF1300" s="2177"/>
      <c r="BG1300" s="2177"/>
      <c r="BH1300" s="2186">
        <f t="shared" si="2724"/>
        <v>0</v>
      </c>
      <c r="BI1300" s="2177"/>
      <c r="BJ1300" s="2177"/>
      <c r="BK1300" s="2186">
        <f t="shared" si="2725"/>
        <v>0</v>
      </c>
      <c r="BL1300" s="2177"/>
      <c r="BM1300" s="2177"/>
      <c r="BN1300" s="2186">
        <f t="shared" si="2726"/>
        <v>0</v>
      </c>
      <c r="BO1300" s="2177"/>
      <c r="BP1300" s="2177"/>
      <c r="BQ1300" s="2186">
        <f t="shared" si="2727"/>
        <v>0</v>
      </c>
    </row>
    <row r="1301" spans="3:69" s="2087" customFormat="1" ht="12" hidden="1" customHeight="1">
      <c r="C1301" s="2173" t="s">
        <v>3477</v>
      </c>
      <c r="D1301" s="2174" t="s">
        <v>3478</v>
      </c>
      <c r="E1301" s="2250" t="s">
        <v>420</v>
      </c>
      <c r="F1301" s="2176"/>
      <c r="G1301" s="2177"/>
      <c r="H1301" s="2177"/>
      <c r="I1301" s="2178">
        <f t="shared" si="2706"/>
        <v>0</v>
      </c>
      <c r="J1301" s="2176"/>
      <c r="K1301" s="2179">
        <f t="shared" si="2705"/>
        <v>0</v>
      </c>
      <c r="L1301" s="2179">
        <f t="shared" si="2705"/>
        <v>0</v>
      </c>
      <c r="M1301" s="2178">
        <f t="shared" si="2707"/>
        <v>0</v>
      </c>
      <c r="N1301" s="2177"/>
      <c r="O1301" s="2177"/>
      <c r="P1301" s="2178">
        <f t="shared" si="2708"/>
        <v>0</v>
      </c>
      <c r="Q1301" s="2176"/>
      <c r="R1301" s="2177"/>
      <c r="S1301" s="2180">
        <f t="shared" si="2709"/>
        <v>0</v>
      </c>
      <c r="T1301" s="2181">
        <f t="shared" si="2710"/>
        <v>0</v>
      </c>
      <c r="U1301" s="2179">
        <f t="shared" si="2710"/>
        <v>0</v>
      </c>
      <c r="V1301" s="2178">
        <f t="shared" si="2711"/>
        <v>0</v>
      </c>
      <c r="W1301" s="2176"/>
      <c r="X1301" s="2177"/>
      <c r="Y1301" s="2180">
        <f t="shared" si="2712"/>
        <v>0</v>
      </c>
      <c r="Z1301" s="2181">
        <f t="shared" si="2713"/>
        <v>0</v>
      </c>
      <c r="AA1301" s="2179">
        <f t="shared" si="2713"/>
        <v>0</v>
      </c>
      <c r="AB1301" s="2178">
        <f t="shared" si="2714"/>
        <v>0</v>
      </c>
      <c r="AC1301" s="2176"/>
      <c r="AD1301" s="2177"/>
      <c r="AE1301" s="2180">
        <f t="shared" si="2715"/>
        <v>0</v>
      </c>
      <c r="AF1301" s="2277"/>
      <c r="AG1301" s="2114"/>
      <c r="AH1301" s="2177"/>
      <c r="AI1301" s="2177"/>
      <c r="AJ1301" s="2186">
        <f t="shared" si="2716"/>
        <v>0</v>
      </c>
      <c r="AK1301" s="2177"/>
      <c r="AL1301" s="2177"/>
      <c r="AM1301" s="2186">
        <f t="shared" si="2717"/>
        <v>0</v>
      </c>
      <c r="AN1301" s="2177"/>
      <c r="AO1301" s="2177"/>
      <c r="AP1301" s="2186">
        <f t="shared" si="2718"/>
        <v>0</v>
      </c>
      <c r="AQ1301" s="2177"/>
      <c r="AR1301" s="2177"/>
      <c r="AS1301" s="2186">
        <f t="shared" si="2719"/>
        <v>0</v>
      </c>
      <c r="AT1301" s="2177"/>
      <c r="AU1301" s="2177"/>
      <c r="AV1301" s="2186">
        <f t="shared" si="2720"/>
        <v>0</v>
      </c>
      <c r="AW1301" s="2177"/>
      <c r="AX1301" s="2177"/>
      <c r="AY1301" s="2186">
        <f t="shared" si="2721"/>
        <v>0</v>
      </c>
      <c r="AZ1301" s="2177"/>
      <c r="BA1301" s="2177"/>
      <c r="BB1301" s="2186">
        <f t="shared" si="2722"/>
        <v>0</v>
      </c>
      <c r="BC1301" s="2177"/>
      <c r="BD1301" s="2177"/>
      <c r="BE1301" s="2186">
        <f t="shared" si="2723"/>
        <v>0</v>
      </c>
      <c r="BF1301" s="2177"/>
      <c r="BG1301" s="2177"/>
      <c r="BH1301" s="2186">
        <f t="shared" si="2724"/>
        <v>0</v>
      </c>
      <c r="BI1301" s="2177"/>
      <c r="BJ1301" s="2177"/>
      <c r="BK1301" s="2186">
        <f t="shared" si="2725"/>
        <v>0</v>
      </c>
      <c r="BL1301" s="2177"/>
      <c r="BM1301" s="2177"/>
      <c r="BN1301" s="2186">
        <f t="shared" si="2726"/>
        <v>0</v>
      </c>
      <c r="BO1301" s="2177"/>
      <c r="BP1301" s="2177"/>
      <c r="BQ1301" s="2186">
        <f t="shared" si="2727"/>
        <v>0</v>
      </c>
    </row>
    <row r="1302" spans="3:69" s="2087" customFormat="1" ht="12" hidden="1" customHeight="1">
      <c r="C1302" s="2173" t="s">
        <v>3479</v>
      </c>
      <c r="D1302" s="2174" t="s">
        <v>3480</v>
      </c>
      <c r="E1302" s="2250" t="s">
        <v>420</v>
      </c>
      <c r="F1302" s="2176"/>
      <c r="G1302" s="2179">
        <f>G1303+G1304+G1305</f>
        <v>0</v>
      </c>
      <c r="H1302" s="2179">
        <f>H1303+H1304+H1305</f>
        <v>0</v>
      </c>
      <c r="I1302" s="2178">
        <f t="shared" si="2706"/>
        <v>0</v>
      </c>
      <c r="J1302" s="2176"/>
      <c r="K1302" s="2179">
        <f t="shared" si="2705"/>
        <v>0</v>
      </c>
      <c r="L1302" s="2179">
        <f t="shared" si="2705"/>
        <v>0</v>
      </c>
      <c r="M1302" s="2178">
        <f t="shared" si="2707"/>
        <v>0</v>
      </c>
      <c r="N1302" s="2179">
        <f>N1303+N1304+N1305</f>
        <v>0</v>
      </c>
      <c r="O1302" s="2179">
        <f>O1303+O1304+O1305</f>
        <v>0</v>
      </c>
      <c r="P1302" s="2178">
        <f t="shared" si="2708"/>
        <v>0</v>
      </c>
      <c r="Q1302" s="2184">
        <f>Q1303+Q1304+Q1305</f>
        <v>0</v>
      </c>
      <c r="R1302" s="2179">
        <f>R1303+R1304+R1305</f>
        <v>0</v>
      </c>
      <c r="S1302" s="2180">
        <f t="shared" si="2709"/>
        <v>0</v>
      </c>
      <c r="T1302" s="2181">
        <f t="shared" si="2710"/>
        <v>0</v>
      </c>
      <c r="U1302" s="2179">
        <f t="shared" si="2710"/>
        <v>0</v>
      </c>
      <c r="V1302" s="2178">
        <f t="shared" si="2711"/>
        <v>0</v>
      </c>
      <c r="W1302" s="2184">
        <f>W1303+W1304+W1305</f>
        <v>0</v>
      </c>
      <c r="X1302" s="2179">
        <f>X1303+X1304+X1305</f>
        <v>0</v>
      </c>
      <c r="Y1302" s="2180">
        <f t="shared" si="2712"/>
        <v>0</v>
      </c>
      <c r="Z1302" s="2181">
        <f t="shared" si="2713"/>
        <v>0</v>
      </c>
      <c r="AA1302" s="2179">
        <f t="shared" si="2713"/>
        <v>0</v>
      </c>
      <c r="AB1302" s="2178">
        <f t="shared" si="2714"/>
        <v>0</v>
      </c>
      <c r="AC1302" s="2184">
        <f>AC1303+AC1304+AC1305</f>
        <v>0</v>
      </c>
      <c r="AD1302" s="2179">
        <f>AD1303+AD1304+AD1305</f>
        <v>0</v>
      </c>
      <c r="AE1302" s="2180">
        <f t="shared" si="2715"/>
        <v>0</v>
      </c>
      <c r="AF1302" s="2277"/>
      <c r="AG1302" s="2114"/>
      <c r="AH1302" s="2188">
        <f>AH1303+AH1304+AH1305</f>
        <v>0</v>
      </c>
      <c r="AI1302" s="2188">
        <f>AI1303+AI1304+AI1305</f>
        <v>0</v>
      </c>
      <c r="AJ1302" s="2186">
        <f t="shared" si="2716"/>
        <v>0</v>
      </c>
      <c r="AK1302" s="2188">
        <f>AK1303+AK1304+AK1305</f>
        <v>0</v>
      </c>
      <c r="AL1302" s="2188">
        <f>AL1303+AL1304+AL1305</f>
        <v>0</v>
      </c>
      <c r="AM1302" s="2186">
        <f t="shared" si="2717"/>
        <v>0</v>
      </c>
      <c r="AN1302" s="2188">
        <f>AN1303+AN1304+AN1305</f>
        <v>0</v>
      </c>
      <c r="AO1302" s="2188">
        <f>AO1303+AO1304+AO1305</f>
        <v>0</v>
      </c>
      <c r="AP1302" s="2186">
        <f t="shared" si="2718"/>
        <v>0</v>
      </c>
      <c r="AQ1302" s="2188">
        <f>AQ1303+AQ1304+AQ1305</f>
        <v>0</v>
      </c>
      <c r="AR1302" s="2188">
        <f>AR1303+AR1304+AR1305</f>
        <v>0</v>
      </c>
      <c r="AS1302" s="2186">
        <f t="shared" si="2719"/>
        <v>0</v>
      </c>
      <c r="AT1302" s="2188">
        <f>AT1303+AT1304+AT1305</f>
        <v>0</v>
      </c>
      <c r="AU1302" s="2188">
        <f>AU1303+AU1304+AU1305</f>
        <v>0</v>
      </c>
      <c r="AV1302" s="2186">
        <f t="shared" si="2720"/>
        <v>0</v>
      </c>
      <c r="AW1302" s="2188">
        <f>AW1303+AW1304+AW1305</f>
        <v>0</v>
      </c>
      <c r="AX1302" s="2188">
        <f>AX1303+AX1304+AX1305</f>
        <v>0</v>
      </c>
      <c r="AY1302" s="2186">
        <f t="shared" si="2721"/>
        <v>0</v>
      </c>
      <c r="AZ1302" s="2188">
        <f>AZ1303+AZ1304+AZ1305</f>
        <v>0</v>
      </c>
      <c r="BA1302" s="2188">
        <f>BA1303+BA1304+BA1305</f>
        <v>0</v>
      </c>
      <c r="BB1302" s="2186">
        <f t="shared" si="2722"/>
        <v>0</v>
      </c>
      <c r="BC1302" s="2188">
        <f>BC1303+BC1304+BC1305</f>
        <v>0</v>
      </c>
      <c r="BD1302" s="2188">
        <f>BD1303+BD1304+BD1305</f>
        <v>0</v>
      </c>
      <c r="BE1302" s="2186">
        <f t="shared" si="2723"/>
        <v>0</v>
      </c>
      <c r="BF1302" s="2188">
        <f>BF1303+BF1304+BF1305</f>
        <v>0</v>
      </c>
      <c r="BG1302" s="2188">
        <f>BG1303+BG1304+BG1305</f>
        <v>0</v>
      </c>
      <c r="BH1302" s="2186">
        <f t="shared" si="2724"/>
        <v>0</v>
      </c>
      <c r="BI1302" s="2188">
        <f>BI1303+BI1304+BI1305</f>
        <v>0</v>
      </c>
      <c r="BJ1302" s="2188">
        <f>BJ1303+BJ1304+BJ1305</f>
        <v>0</v>
      </c>
      <c r="BK1302" s="2186">
        <f t="shared" si="2725"/>
        <v>0</v>
      </c>
      <c r="BL1302" s="2188">
        <f>BL1303+BL1304+BL1305</f>
        <v>0</v>
      </c>
      <c r="BM1302" s="2188">
        <f>BM1303+BM1304+BM1305</f>
        <v>0</v>
      </c>
      <c r="BN1302" s="2186">
        <f t="shared" si="2726"/>
        <v>0</v>
      </c>
      <c r="BO1302" s="2188">
        <f>BO1303+BO1304+BO1305</f>
        <v>0</v>
      </c>
      <c r="BP1302" s="2188">
        <f>BP1303+BP1304+BP1305</f>
        <v>0</v>
      </c>
      <c r="BQ1302" s="2186">
        <f t="shared" si="2727"/>
        <v>0</v>
      </c>
    </row>
    <row r="1303" spans="3:69" s="2087" customFormat="1" ht="12" hidden="1" customHeight="1">
      <c r="C1303" s="2489" t="s">
        <v>3481</v>
      </c>
      <c r="D1303" s="2375" t="s">
        <v>3482</v>
      </c>
      <c r="E1303" s="2250" t="s">
        <v>420</v>
      </c>
      <c r="F1303" s="2176"/>
      <c r="G1303" s="2177"/>
      <c r="H1303" s="2177"/>
      <c r="I1303" s="2178">
        <f t="shared" si="2706"/>
        <v>0</v>
      </c>
      <c r="J1303" s="2176"/>
      <c r="K1303" s="2179">
        <f t="shared" si="2705"/>
        <v>0</v>
      </c>
      <c r="L1303" s="2179">
        <f t="shared" si="2705"/>
        <v>0</v>
      </c>
      <c r="M1303" s="2178">
        <f t="shared" si="2707"/>
        <v>0</v>
      </c>
      <c r="N1303" s="2177"/>
      <c r="O1303" s="2177"/>
      <c r="P1303" s="2178">
        <f t="shared" si="2708"/>
        <v>0</v>
      </c>
      <c r="Q1303" s="2176"/>
      <c r="R1303" s="2177"/>
      <c r="S1303" s="2180">
        <f t="shared" si="2709"/>
        <v>0</v>
      </c>
      <c r="T1303" s="2181">
        <f>N1303+Q1303</f>
        <v>0</v>
      </c>
      <c r="U1303" s="2179">
        <f t="shared" si="2710"/>
        <v>0</v>
      </c>
      <c r="V1303" s="2178">
        <f t="shared" si="2711"/>
        <v>0</v>
      </c>
      <c r="W1303" s="2176"/>
      <c r="X1303" s="2177"/>
      <c r="Y1303" s="2180">
        <f t="shared" si="2712"/>
        <v>0</v>
      </c>
      <c r="Z1303" s="2181">
        <f t="shared" si="2713"/>
        <v>0</v>
      </c>
      <c r="AA1303" s="2179">
        <f t="shared" si="2713"/>
        <v>0</v>
      </c>
      <c r="AB1303" s="2178">
        <f t="shared" si="2714"/>
        <v>0</v>
      </c>
      <c r="AC1303" s="2176"/>
      <c r="AD1303" s="2177"/>
      <c r="AE1303" s="2180">
        <f t="shared" si="2715"/>
        <v>0</v>
      </c>
      <c r="AF1303" s="2277"/>
      <c r="AG1303" s="2114"/>
      <c r="AH1303" s="2177"/>
      <c r="AI1303" s="2177"/>
      <c r="AJ1303" s="2186">
        <f t="shared" si="2716"/>
        <v>0</v>
      </c>
      <c r="AK1303" s="2177"/>
      <c r="AL1303" s="2177"/>
      <c r="AM1303" s="2186">
        <f t="shared" si="2717"/>
        <v>0</v>
      </c>
      <c r="AN1303" s="2177"/>
      <c r="AO1303" s="2177"/>
      <c r="AP1303" s="2186">
        <f t="shared" si="2718"/>
        <v>0</v>
      </c>
      <c r="AQ1303" s="2177"/>
      <c r="AR1303" s="2177"/>
      <c r="AS1303" s="2186">
        <f t="shared" si="2719"/>
        <v>0</v>
      </c>
      <c r="AT1303" s="2177"/>
      <c r="AU1303" s="2177"/>
      <c r="AV1303" s="2186">
        <f t="shared" si="2720"/>
        <v>0</v>
      </c>
      <c r="AW1303" s="2177"/>
      <c r="AX1303" s="2177"/>
      <c r="AY1303" s="2186">
        <f t="shared" si="2721"/>
        <v>0</v>
      </c>
      <c r="AZ1303" s="2177"/>
      <c r="BA1303" s="2177"/>
      <c r="BB1303" s="2186">
        <f t="shared" si="2722"/>
        <v>0</v>
      </c>
      <c r="BC1303" s="2177"/>
      <c r="BD1303" s="2177"/>
      <c r="BE1303" s="2186">
        <f t="shared" si="2723"/>
        <v>0</v>
      </c>
      <c r="BF1303" s="2177"/>
      <c r="BG1303" s="2177"/>
      <c r="BH1303" s="2186">
        <f t="shared" si="2724"/>
        <v>0</v>
      </c>
      <c r="BI1303" s="2177"/>
      <c r="BJ1303" s="2177"/>
      <c r="BK1303" s="2186">
        <f t="shared" si="2725"/>
        <v>0</v>
      </c>
      <c r="BL1303" s="2177"/>
      <c r="BM1303" s="2177"/>
      <c r="BN1303" s="2186">
        <f t="shared" si="2726"/>
        <v>0</v>
      </c>
      <c r="BO1303" s="2177"/>
      <c r="BP1303" s="2177"/>
      <c r="BQ1303" s="2186">
        <f t="shared" si="2727"/>
        <v>0</v>
      </c>
    </row>
    <row r="1304" spans="3:69" s="2087" customFormat="1" ht="12" hidden="1" customHeight="1">
      <c r="C1304" s="2489" t="s">
        <v>3483</v>
      </c>
      <c r="D1304" s="2375" t="s">
        <v>3484</v>
      </c>
      <c r="E1304" s="2250" t="s">
        <v>420</v>
      </c>
      <c r="F1304" s="2176"/>
      <c r="G1304" s="2177"/>
      <c r="H1304" s="2177"/>
      <c r="I1304" s="2178">
        <f t="shared" si="2706"/>
        <v>0</v>
      </c>
      <c r="J1304" s="2176"/>
      <c r="K1304" s="2179">
        <f t="shared" si="2705"/>
        <v>0</v>
      </c>
      <c r="L1304" s="2179">
        <f t="shared" si="2705"/>
        <v>0</v>
      </c>
      <c r="M1304" s="2178">
        <f t="shared" si="2707"/>
        <v>0</v>
      </c>
      <c r="N1304" s="2177"/>
      <c r="O1304" s="2177"/>
      <c r="P1304" s="2178">
        <f t="shared" si="2708"/>
        <v>0</v>
      </c>
      <c r="Q1304" s="2176"/>
      <c r="R1304" s="2177"/>
      <c r="S1304" s="2180">
        <f t="shared" si="2709"/>
        <v>0</v>
      </c>
      <c r="T1304" s="2181">
        <f t="shared" si="2710"/>
        <v>0</v>
      </c>
      <c r="U1304" s="2179">
        <f t="shared" si="2710"/>
        <v>0</v>
      </c>
      <c r="V1304" s="2178">
        <f t="shared" si="2711"/>
        <v>0</v>
      </c>
      <c r="W1304" s="2176"/>
      <c r="X1304" s="2177"/>
      <c r="Y1304" s="2180">
        <f t="shared" si="2712"/>
        <v>0</v>
      </c>
      <c r="Z1304" s="2181">
        <f t="shared" si="2713"/>
        <v>0</v>
      </c>
      <c r="AA1304" s="2179">
        <f t="shared" si="2713"/>
        <v>0</v>
      </c>
      <c r="AB1304" s="2178">
        <f t="shared" si="2714"/>
        <v>0</v>
      </c>
      <c r="AC1304" s="2176"/>
      <c r="AD1304" s="2177"/>
      <c r="AE1304" s="2180">
        <f t="shared" si="2715"/>
        <v>0</v>
      </c>
      <c r="AF1304" s="2277"/>
      <c r="AG1304" s="2114"/>
      <c r="AH1304" s="2177"/>
      <c r="AI1304" s="2177"/>
      <c r="AJ1304" s="2186">
        <f t="shared" si="2716"/>
        <v>0</v>
      </c>
      <c r="AK1304" s="2177"/>
      <c r="AL1304" s="2177"/>
      <c r="AM1304" s="2186">
        <f t="shared" si="2717"/>
        <v>0</v>
      </c>
      <c r="AN1304" s="2177"/>
      <c r="AO1304" s="2177"/>
      <c r="AP1304" s="2186">
        <f t="shared" si="2718"/>
        <v>0</v>
      </c>
      <c r="AQ1304" s="2177"/>
      <c r="AR1304" s="2177"/>
      <c r="AS1304" s="2186">
        <f t="shared" si="2719"/>
        <v>0</v>
      </c>
      <c r="AT1304" s="2177"/>
      <c r="AU1304" s="2177"/>
      <c r="AV1304" s="2186">
        <f t="shared" si="2720"/>
        <v>0</v>
      </c>
      <c r="AW1304" s="2177"/>
      <c r="AX1304" s="2177"/>
      <c r="AY1304" s="2186">
        <f t="shared" si="2721"/>
        <v>0</v>
      </c>
      <c r="AZ1304" s="2177"/>
      <c r="BA1304" s="2177"/>
      <c r="BB1304" s="2186">
        <f t="shared" si="2722"/>
        <v>0</v>
      </c>
      <c r="BC1304" s="2177"/>
      <c r="BD1304" s="2177"/>
      <c r="BE1304" s="2186">
        <f t="shared" si="2723"/>
        <v>0</v>
      </c>
      <c r="BF1304" s="2177"/>
      <c r="BG1304" s="2177"/>
      <c r="BH1304" s="2186">
        <f t="shared" si="2724"/>
        <v>0</v>
      </c>
      <c r="BI1304" s="2177"/>
      <c r="BJ1304" s="2177"/>
      <c r="BK1304" s="2186">
        <f t="shared" si="2725"/>
        <v>0</v>
      </c>
      <c r="BL1304" s="2177"/>
      <c r="BM1304" s="2177"/>
      <c r="BN1304" s="2186">
        <f t="shared" si="2726"/>
        <v>0</v>
      </c>
      <c r="BO1304" s="2177"/>
      <c r="BP1304" s="2177"/>
      <c r="BQ1304" s="2186">
        <f t="shared" si="2727"/>
        <v>0</v>
      </c>
    </row>
    <row r="1305" spans="3:69" s="2087" customFormat="1" ht="12" hidden="1" customHeight="1">
      <c r="C1305" s="2489" t="s">
        <v>3485</v>
      </c>
      <c r="D1305" s="2375" t="s">
        <v>3486</v>
      </c>
      <c r="E1305" s="2250" t="s">
        <v>420</v>
      </c>
      <c r="F1305" s="2176"/>
      <c r="G1305" s="2177"/>
      <c r="H1305" s="2177"/>
      <c r="I1305" s="2178">
        <f t="shared" si="2706"/>
        <v>0</v>
      </c>
      <c r="J1305" s="2176"/>
      <c r="K1305" s="2179">
        <f t="shared" si="2705"/>
        <v>0</v>
      </c>
      <c r="L1305" s="2179">
        <f t="shared" si="2705"/>
        <v>0</v>
      </c>
      <c r="M1305" s="2178">
        <f t="shared" si="2707"/>
        <v>0</v>
      </c>
      <c r="N1305" s="2177"/>
      <c r="O1305" s="2177"/>
      <c r="P1305" s="2178">
        <f t="shared" si="2708"/>
        <v>0</v>
      </c>
      <c r="Q1305" s="2176"/>
      <c r="R1305" s="2177"/>
      <c r="S1305" s="2180">
        <f t="shared" si="2709"/>
        <v>0</v>
      </c>
      <c r="T1305" s="2181">
        <f t="shared" si="2710"/>
        <v>0</v>
      </c>
      <c r="U1305" s="2179">
        <f t="shared" si="2710"/>
        <v>0</v>
      </c>
      <c r="V1305" s="2178">
        <f t="shared" si="2711"/>
        <v>0</v>
      </c>
      <c r="W1305" s="2176"/>
      <c r="X1305" s="2177"/>
      <c r="Y1305" s="2180">
        <f t="shared" si="2712"/>
        <v>0</v>
      </c>
      <c r="Z1305" s="2181">
        <f t="shared" si="2713"/>
        <v>0</v>
      </c>
      <c r="AA1305" s="2179">
        <f t="shared" si="2713"/>
        <v>0</v>
      </c>
      <c r="AB1305" s="2178">
        <f t="shared" si="2714"/>
        <v>0</v>
      </c>
      <c r="AC1305" s="2176"/>
      <c r="AD1305" s="2177"/>
      <c r="AE1305" s="2180">
        <f t="shared" si="2715"/>
        <v>0</v>
      </c>
      <c r="AF1305" s="2277"/>
      <c r="AG1305" s="2114"/>
      <c r="AH1305" s="2177"/>
      <c r="AI1305" s="2177"/>
      <c r="AJ1305" s="2186">
        <f t="shared" si="2716"/>
        <v>0</v>
      </c>
      <c r="AK1305" s="2177"/>
      <c r="AL1305" s="2177"/>
      <c r="AM1305" s="2186">
        <f t="shared" si="2717"/>
        <v>0</v>
      </c>
      <c r="AN1305" s="2177"/>
      <c r="AO1305" s="2177"/>
      <c r="AP1305" s="2186">
        <f t="shared" si="2718"/>
        <v>0</v>
      </c>
      <c r="AQ1305" s="2177"/>
      <c r="AR1305" s="2177"/>
      <c r="AS1305" s="2186">
        <f t="shared" si="2719"/>
        <v>0</v>
      </c>
      <c r="AT1305" s="2177"/>
      <c r="AU1305" s="2177"/>
      <c r="AV1305" s="2186">
        <f t="shared" si="2720"/>
        <v>0</v>
      </c>
      <c r="AW1305" s="2177"/>
      <c r="AX1305" s="2177"/>
      <c r="AY1305" s="2186">
        <f t="shared" si="2721"/>
        <v>0</v>
      </c>
      <c r="AZ1305" s="2177"/>
      <c r="BA1305" s="2177"/>
      <c r="BB1305" s="2186">
        <f t="shared" si="2722"/>
        <v>0</v>
      </c>
      <c r="BC1305" s="2177"/>
      <c r="BD1305" s="2177"/>
      <c r="BE1305" s="2186">
        <f t="shared" si="2723"/>
        <v>0</v>
      </c>
      <c r="BF1305" s="2177"/>
      <c r="BG1305" s="2177"/>
      <c r="BH1305" s="2186">
        <f t="shared" si="2724"/>
        <v>0</v>
      </c>
      <c r="BI1305" s="2177"/>
      <c r="BJ1305" s="2177"/>
      <c r="BK1305" s="2186">
        <f t="shared" si="2725"/>
        <v>0</v>
      </c>
      <c r="BL1305" s="2177"/>
      <c r="BM1305" s="2177"/>
      <c r="BN1305" s="2186">
        <f t="shared" si="2726"/>
        <v>0</v>
      </c>
      <c r="BO1305" s="2177"/>
      <c r="BP1305" s="2177"/>
      <c r="BQ1305" s="2186">
        <f t="shared" si="2727"/>
        <v>0</v>
      </c>
    </row>
    <row r="1306" spans="3:69" s="2159" customFormat="1" ht="12" hidden="1" customHeight="1">
      <c r="C1306" s="2256" t="s">
        <v>3487</v>
      </c>
      <c r="D1306" s="2161" t="s">
        <v>3488</v>
      </c>
      <c r="E1306" s="2120" t="s">
        <v>3489</v>
      </c>
      <c r="F1306" s="2162"/>
      <c r="G1306" s="2163">
        <f>G1307+G1308</f>
        <v>0</v>
      </c>
      <c r="H1306" s="2163">
        <f>H1307+H1308</f>
        <v>0</v>
      </c>
      <c r="I1306" s="2164">
        <f>H1306-G1306</f>
        <v>0</v>
      </c>
      <c r="J1306" s="2162"/>
      <c r="K1306" s="2163">
        <f t="shared" si="2705"/>
        <v>0</v>
      </c>
      <c r="L1306" s="2163">
        <f t="shared" si="2705"/>
        <v>0</v>
      </c>
      <c r="M1306" s="2164">
        <f>L1306-K1306</f>
        <v>0</v>
      </c>
      <c r="N1306" s="2163">
        <f>N1307+N1308</f>
        <v>0</v>
      </c>
      <c r="O1306" s="2163">
        <f>O1307+O1308</f>
        <v>0</v>
      </c>
      <c r="P1306" s="2164">
        <f>O1306-N1306</f>
        <v>0</v>
      </c>
      <c r="Q1306" s="2165">
        <f>Q1307+Q1308</f>
        <v>0</v>
      </c>
      <c r="R1306" s="2163">
        <f>R1307+R1308</f>
        <v>0</v>
      </c>
      <c r="S1306" s="2166">
        <f>R1306-Q1306</f>
        <v>0</v>
      </c>
      <c r="T1306" s="2167">
        <f>N1306+Q1306</f>
        <v>0</v>
      </c>
      <c r="U1306" s="2163">
        <f>O1306+R1306</f>
        <v>0</v>
      </c>
      <c r="V1306" s="2164">
        <f>U1306-T1306</f>
        <v>0</v>
      </c>
      <c r="W1306" s="2165">
        <f>W1307+W1308</f>
        <v>0</v>
      </c>
      <c r="X1306" s="2163">
        <f>X1307+X1308</f>
        <v>0</v>
      </c>
      <c r="Y1306" s="2166">
        <f>X1306-W1306</f>
        <v>0</v>
      </c>
      <c r="Z1306" s="2167">
        <f>T1306+W1306</f>
        <v>0</v>
      </c>
      <c r="AA1306" s="2163">
        <f>U1306+X1306</f>
        <v>0</v>
      </c>
      <c r="AB1306" s="2164">
        <f>AA1306-Z1306</f>
        <v>0</v>
      </c>
      <c r="AC1306" s="2165">
        <f>AC1307+AC1308</f>
        <v>0</v>
      </c>
      <c r="AD1306" s="2163">
        <f>AD1307+AD1308</f>
        <v>0</v>
      </c>
      <c r="AE1306" s="2166">
        <f>AD1306-AC1306</f>
        <v>0</v>
      </c>
      <c r="AF1306" s="2204"/>
      <c r="AG1306" s="2158"/>
      <c r="AH1306" s="2171">
        <f>AH1307+AH1308</f>
        <v>0</v>
      </c>
      <c r="AI1306" s="2171">
        <f>AI1307+AI1308</f>
        <v>0</v>
      </c>
      <c r="AJ1306" s="2172">
        <f>AI1306-AH1306</f>
        <v>0</v>
      </c>
      <c r="AK1306" s="2171">
        <f>AK1307+AK1308</f>
        <v>0</v>
      </c>
      <c r="AL1306" s="2171">
        <f>AL1307+AL1308</f>
        <v>0</v>
      </c>
      <c r="AM1306" s="2172">
        <f>AL1306-AK1306</f>
        <v>0</v>
      </c>
      <c r="AN1306" s="2171">
        <f>AN1307+AN1308</f>
        <v>0</v>
      </c>
      <c r="AO1306" s="2171">
        <f>AO1307+AO1308</f>
        <v>0</v>
      </c>
      <c r="AP1306" s="2172">
        <f>AO1306-AN1306</f>
        <v>0</v>
      </c>
      <c r="AQ1306" s="2171">
        <f>AQ1307+AQ1308</f>
        <v>0</v>
      </c>
      <c r="AR1306" s="2171">
        <f>AR1307+AR1308</f>
        <v>0</v>
      </c>
      <c r="AS1306" s="2172">
        <f>AR1306-AQ1306</f>
        <v>0</v>
      </c>
      <c r="AT1306" s="2171">
        <f>AT1307+AT1308</f>
        <v>0</v>
      </c>
      <c r="AU1306" s="2171">
        <f>AU1307+AU1308</f>
        <v>0</v>
      </c>
      <c r="AV1306" s="2172">
        <f>AU1306-AT1306</f>
        <v>0</v>
      </c>
      <c r="AW1306" s="2171">
        <f>AW1307+AW1308</f>
        <v>0</v>
      </c>
      <c r="AX1306" s="2171">
        <f>AX1307+AX1308</f>
        <v>0</v>
      </c>
      <c r="AY1306" s="2172">
        <f>AX1306-AW1306</f>
        <v>0</v>
      </c>
      <c r="AZ1306" s="2171">
        <f>AZ1307+AZ1308</f>
        <v>0</v>
      </c>
      <c r="BA1306" s="2171">
        <f>BA1307+BA1308</f>
        <v>0</v>
      </c>
      <c r="BB1306" s="2172">
        <f>BA1306-AZ1306</f>
        <v>0</v>
      </c>
      <c r="BC1306" s="2171">
        <f>BC1307+BC1308</f>
        <v>0</v>
      </c>
      <c r="BD1306" s="2171">
        <f>BD1307+BD1308</f>
        <v>0</v>
      </c>
      <c r="BE1306" s="2172">
        <f>BD1306-BC1306</f>
        <v>0</v>
      </c>
      <c r="BF1306" s="2171">
        <f>BF1307+BF1308</f>
        <v>0</v>
      </c>
      <c r="BG1306" s="2171">
        <f>BG1307+BG1308</f>
        <v>0</v>
      </c>
      <c r="BH1306" s="2172">
        <f>BG1306-BF1306</f>
        <v>0</v>
      </c>
      <c r="BI1306" s="2171">
        <f>BI1307+BI1308</f>
        <v>0</v>
      </c>
      <c r="BJ1306" s="2171">
        <f>BJ1307+BJ1308</f>
        <v>0</v>
      </c>
      <c r="BK1306" s="2172">
        <f>BJ1306-BI1306</f>
        <v>0</v>
      </c>
      <c r="BL1306" s="2171">
        <f>BL1307+BL1308</f>
        <v>0</v>
      </c>
      <c r="BM1306" s="2171">
        <f>BM1307+BM1308</f>
        <v>0</v>
      </c>
      <c r="BN1306" s="2172">
        <f>BM1306-BL1306</f>
        <v>0</v>
      </c>
      <c r="BO1306" s="2171">
        <f>BO1307+BO1308</f>
        <v>0</v>
      </c>
      <c r="BP1306" s="2171">
        <f>BP1307+BP1308</f>
        <v>0</v>
      </c>
      <c r="BQ1306" s="2172">
        <f>BP1306-BO1306</f>
        <v>0</v>
      </c>
    </row>
    <row r="1307" spans="3:69" s="2087" customFormat="1" ht="12" hidden="1" customHeight="1">
      <c r="C1307" s="2173" t="s">
        <v>3490</v>
      </c>
      <c r="D1307" s="2174" t="s">
        <v>3478</v>
      </c>
      <c r="E1307" s="2250" t="s">
        <v>3489</v>
      </c>
      <c r="F1307" s="2176"/>
      <c r="G1307" s="2177"/>
      <c r="H1307" s="2177"/>
      <c r="I1307" s="2178">
        <f t="shared" ref="I1307" si="2728">H1307-G1307</f>
        <v>0</v>
      </c>
      <c r="J1307" s="2176"/>
      <c r="K1307" s="2179">
        <f t="shared" si="2705"/>
        <v>0</v>
      </c>
      <c r="L1307" s="2179">
        <f t="shared" si="2705"/>
        <v>0</v>
      </c>
      <c r="M1307" s="2178">
        <f t="shared" ref="M1307:M1314" si="2729">L1307-K1307</f>
        <v>0</v>
      </c>
      <c r="N1307" s="2177"/>
      <c r="O1307" s="2177"/>
      <c r="P1307" s="2178">
        <f t="shared" ref="P1307:P1314" si="2730">O1307-N1307</f>
        <v>0</v>
      </c>
      <c r="Q1307" s="2176"/>
      <c r="R1307" s="2177"/>
      <c r="S1307" s="2180">
        <f t="shared" ref="S1307" si="2731">R1307-Q1307</f>
        <v>0</v>
      </c>
      <c r="T1307" s="2181">
        <f t="shared" ref="T1307:U1314" si="2732">N1307+Q1307</f>
        <v>0</v>
      </c>
      <c r="U1307" s="2179">
        <f t="shared" si="2732"/>
        <v>0</v>
      </c>
      <c r="V1307" s="2178">
        <f t="shared" ref="V1307:V1314" si="2733">U1307-T1307</f>
        <v>0</v>
      </c>
      <c r="W1307" s="2176"/>
      <c r="X1307" s="2177"/>
      <c r="Y1307" s="2180">
        <f t="shared" ref="Y1307" si="2734">X1307-W1307</f>
        <v>0</v>
      </c>
      <c r="Z1307" s="2181">
        <f t="shared" ref="Z1307:AA1314" si="2735">T1307+W1307</f>
        <v>0</v>
      </c>
      <c r="AA1307" s="2179">
        <f t="shared" si="2735"/>
        <v>0</v>
      </c>
      <c r="AB1307" s="2178">
        <f t="shared" ref="AB1307:AB1314" si="2736">AA1307-Z1307</f>
        <v>0</v>
      </c>
      <c r="AC1307" s="2176"/>
      <c r="AD1307" s="2177"/>
      <c r="AE1307" s="2180">
        <f t="shared" ref="AE1307" si="2737">AD1307-AC1307</f>
        <v>0</v>
      </c>
      <c r="AF1307" s="2185"/>
      <c r="AG1307" s="2114"/>
      <c r="AH1307" s="2177"/>
      <c r="AI1307" s="2177"/>
      <c r="AJ1307" s="2186">
        <f t="shared" ref="AJ1307" si="2738">AI1307-AH1307</f>
        <v>0</v>
      </c>
      <c r="AK1307" s="2177"/>
      <c r="AL1307" s="2177"/>
      <c r="AM1307" s="2186">
        <f t="shared" ref="AM1307" si="2739">AL1307-AK1307</f>
        <v>0</v>
      </c>
      <c r="AN1307" s="2177"/>
      <c r="AO1307" s="2177"/>
      <c r="AP1307" s="2186">
        <f t="shared" ref="AP1307" si="2740">AO1307-AN1307</f>
        <v>0</v>
      </c>
      <c r="AQ1307" s="2177"/>
      <c r="AR1307" s="2177"/>
      <c r="AS1307" s="2186">
        <f t="shared" ref="AS1307" si="2741">AR1307-AQ1307</f>
        <v>0</v>
      </c>
      <c r="AT1307" s="2177"/>
      <c r="AU1307" s="2177"/>
      <c r="AV1307" s="2186">
        <f t="shared" ref="AV1307" si="2742">AU1307-AT1307</f>
        <v>0</v>
      </c>
      <c r="AW1307" s="2177"/>
      <c r="AX1307" s="2177"/>
      <c r="AY1307" s="2186">
        <f t="shared" ref="AY1307" si="2743">AX1307-AW1307</f>
        <v>0</v>
      </c>
      <c r="AZ1307" s="2177"/>
      <c r="BA1307" s="2177"/>
      <c r="BB1307" s="2186">
        <f t="shared" ref="BB1307" si="2744">BA1307-AZ1307</f>
        <v>0</v>
      </c>
      <c r="BC1307" s="2177"/>
      <c r="BD1307" s="2177"/>
      <c r="BE1307" s="2186">
        <f t="shared" ref="BE1307" si="2745">BD1307-BC1307</f>
        <v>0</v>
      </c>
      <c r="BF1307" s="2177"/>
      <c r="BG1307" s="2177"/>
      <c r="BH1307" s="2186">
        <f t="shared" ref="BH1307" si="2746">BG1307-BF1307</f>
        <v>0</v>
      </c>
      <c r="BI1307" s="2177"/>
      <c r="BJ1307" s="2177"/>
      <c r="BK1307" s="2186">
        <f t="shared" ref="BK1307" si="2747">BJ1307-BI1307</f>
        <v>0</v>
      </c>
      <c r="BL1307" s="2177"/>
      <c r="BM1307" s="2177"/>
      <c r="BN1307" s="2186">
        <f t="shared" ref="BN1307" si="2748">BM1307-BL1307</f>
        <v>0</v>
      </c>
      <c r="BO1307" s="2177"/>
      <c r="BP1307" s="2177"/>
      <c r="BQ1307" s="2186">
        <f t="shared" ref="BQ1307" si="2749">BP1307-BO1307</f>
        <v>0</v>
      </c>
    </row>
    <row r="1308" spans="3:69" s="2087" customFormat="1" ht="12" hidden="1" customHeight="1">
      <c r="C1308" s="2173" t="s">
        <v>3491</v>
      </c>
      <c r="D1308" s="2174" t="s">
        <v>3480</v>
      </c>
      <c r="E1308" s="2250" t="s">
        <v>3489</v>
      </c>
      <c r="F1308" s="2176"/>
      <c r="G1308" s="2179">
        <f>G1309+G1310+G1311</f>
        <v>0</v>
      </c>
      <c r="H1308" s="2179">
        <f>H1309+H1310+H1311</f>
        <v>0</v>
      </c>
      <c r="I1308" s="2178">
        <f>H1308-G1308</f>
        <v>0</v>
      </c>
      <c r="J1308" s="2176"/>
      <c r="K1308" s="2179">
        <f t="shared" si="2705"/>
        <v>0</v>
      </c>
      <c r="L1308" s="2179">
        <f t="shared" si="2705"/>
        <v>0</v>
      </c>
      <c r="M1308" s="2178">
        <f t="shared" si="2729"/>
        <v>0</v>
      </c>
      <c r="N1308" s="2179">
        <f>N1309+N1310+N1311</f>
        <v>0</v>
      </c>
      <c r="O1308" s="2179">
        <f>O1309+O1310+O1311</f>
        <v>0</v>
      </c>
      <c r="P1308" s="2178">
        <f>O1308-N1308</f>
        <v>0</v>
      </c>
      <c r="Q1308" s="2184">
        <f>Q1309+Q1310+Q1311</f>
        <v>0</v>
      </c>
      <c r="R1308" s="2179">
        <f>R1309+R1310+R1311</f>
        <v>0</v>
      </c>
      <c r="S1308" s="2180">
        <f>R1308-Q1308</f>
        <v>0</v>
      </c>
      <c r="T1308" s="2181">
        <f t="shared" si="2732"/>
        <v>0</v>
      </c>
      <c r="U1308" s="2179">
        <f t="shared" si="2732"/>
        <v>0</v>
      </c>
      <c r="V1308" s="2178">
        <f t="shared" si="2733"/>
        <v>0</v>
      </c>
      <c r="W1308" s="2184">
        <f>W1309+W1310+W1311</f>
        <v>0</v>
      </c>
      <c r="X1308" s="2179">
        <f>X1309+X1310+X1311</f>
        <v>0</v>
      </c>
      <c r="Y1308" s="2180">
        <f>X1308-W1308</f>
        <v>0</v>
      </c>
      <c r="Z1308" s="2181">
        <f t="shared" si="2735"/>
        <v>0</v>
      </c>
      <c r="AA1308" s="2179">
        <f t="shared" si="2735"/>
        <v>0</v>
      </c>
      <c r="AB1308" s="2178">
        <f t="shared" si="2736"/>
        <v>0</v>
      </c>
      <c r="AC1308" s="2184">
        <f>AC1309+AC1310+AC1311</f>
        <v>0</v>
      </c>
      <c r="AD1308" s="2179">
        <f>AD1309+AD1310+AD1311</f>
        <v>0</v>
      </c>
      <c r="AE1308" s="2180">
        <f>AD1308-AC1308</f>
        <v>0</v>
      </c>
      <c r="AF1308" s="2185"/>
      <c r="AG1308" s="2114"/>
      <c r="AH1308" s="2188">
        <f>AH1309+AH1310+AH1311</f>
        <v>0</v>
      </c>
      <c r="AI1308" s="2188">
        <f>AI1309+AI1310+AI1311</f>
        <v>0</v>
      </c>
      <c r="AJ1308" s="2186">
        <f>AI1308-AH1308</f>
        <v>0</v>
      </c>
      <c r="AK1308" s="2188">
        <f>AK1309+AK1310+AK1311</f>
        <v>0</v>
      </c>
      <c r="AL1308" s="2188">
        <f>AL1309+AL1310+AL1311</f>
        <v>0</v>
      </c>
      <c r="AM1308" s="2186">
        <f>AL1308-AK1308</f>
        <v>0</v>
      </c>
      <c r="AN1308" s="2188">
        <f>AN1309+AN1310+AN1311</f>
        <v>0</v>
      </c>
      <c r="AO1308" s="2188">
        <f>AO1309+AO1310+AO1311</f>
        <v>0</v>
      </c>
      <c r="AP1308" s="2186">
        <f>AO1308-AN1308</f>
        <v>0</v>
      </c>
      <c r="AQ1308" s="2188">
        <f>AQ1309+AQ1310+AQ1311</f>
        <v>0</v>
      </c>
      <c r="AR1308" s="2188">
        <f>AR1309+AR1310+AR1311</f>
        <v>0</v>
      </c>
      <c r="AS1308" s="2186">
        <f>AR1308-AQ1308</f>
        <v>0</v>
      </c>
      <c r="AT1308" s="2188">
        <f>AT1309+AT1310+AT1311</f>
        <v>0</v>
      </c>
      <c r="AU1308" s="2188">
        <f>AU1309+AU1310+AU1311</f>
        <v>0</v>
      </c>
      <c r="AV1308" s="2186">
        <f>AU1308-AT1308</f>
        <v>0</v>
      </c>
      <c r="AW1308" s="2188">
        <f>AW1309+AW1310+AW1311</f>
        <v>0</v>
      </c>
      <c r="AX1308" s="2188">
        <f>AX1309+AX1310+AX1311</f>
        <v>0</v>
      </c>
      <c r="AY1308" s="2186">
        <f>AX1308-AW1308</f>
        <v>0</v>
      </c>
      <c r="AZ1308" s="2188">
        <f>AZ1309+AZ1310+AZ1311</f>
        <v>0</v>
      </c>
      <c r="BA1308" s="2188">
        <f>BA1309+BA1310+BA1311</f>
        <v>0</v>
      </c>
      <c r="BB1308" s="2186">
        <f>BA1308-AZ1308</f>
        <v>0</v>
      </c>
      <c r="BC1308" s="2188">
        <f>BC1309+BC1310+BC1311</f>
        <v>0</v>
      </c>
      <c r="BD1308" s="2188">
        <f>BD1309+BD1310+BD1311</f>
        <v>0</v>
      </c>
      <c r="BE1308" s="2186">
        <f>BD1308-BC1308</f>
        <v>0</v>
      </c>
      <c r="BF1308" s="2188">
        <f>BF1309+BF1310+BF1311</f>
        <v>0</v>
      </c>
      <c r="BG1308" s="2188">
        <f>BG1309+BG1310+BG1311</f>
        <v>0</v>
      </c>
      <c r="BH1308" s="2186">
        <f>BG1308-BF1308</f>
        <v>0</v>
      </c>
      <c r="BI1308" s="2188">
        <f>BI1309+BI1310+BI1311</f>
        <v>0</v>
      </c>
      <c r="BJ1308" s="2188">
        <f>BJ1309+BJ1310+BJ1311</f>
        <v>0</v>
      </c>
      <c r="BK1308" s="2186">
        <f>BJ1308-BI1308</f>
        <v>0</v>
      </c>
      <c r="BL1308" s="2188">
        <f>BL1309+BL1310+BL1311</f>
        <v>0</v>
      </c>
      <c r="BM1308" s="2188">
        <f>BM1309+BM1310+BM1311</f>
        <v>0</v>
      </c>
      <c r="BN1308" s="2186">
        <f>BM1308-BL1308</f>
        <v>0</v>
      </c>
      <c r="BO1308" s="2188">
        <f>BO1309+BO1310+BO1311</f>
        <v>0</v>
      </c>
      <c r="BP1308" s="2188">
        <f>BP1309+BP1310+BP1311</f>
        <v>0</v>
      </c>
      <c r="BQ1308" s="2186">
        <f>BP1308-BO1308</f>
        <v>0</v>
      </c>
    </row>
    <row r="1309" spans="3:69" s="2087" customFormat="1" ht="12" hidden="1" customHeight="1">
      <c r="C1309" s="2173" t="s">
        <v>3492</v>
      </c>
      <c r="D1309" s="2490" t="s">
        <v>3493</v>
      </c>
      <c r="E1309" s="2250" t="s">
        <v>3489</v>
      </c>
      <c r="F1309" s="2176"/>
      <c r="G1309" s="2177"/>
      <c r="H1309" s="2177"/>
      <c r="I1309" s="2178">
        <f t="shared" ref="I1309:I1314" si="2750">H1309-G1309</f>
        <v>0</v>
      </c>
      <c r="J1309" s="2176"/>
      <c r="K1309" s="2179">
        <f t="shared" si="2705"/>
        <v>0</v>
      </c>
      <c r="L1309" s="2179">
        <f t="shared" si="2705"/>
        <v>0</v>
      </c>
      <c r="M1309" s="2178">
        <f t="shared" si="2729"/>
        <v>0</v>
      </c>
      <c r="N1309" s="2177"/>
      <c r="O1309" s="2177"/>
      <c r="P1309" s="2178">
        <f t="shared" si="2730"/>
        <v>0</v>
      </c>
      <c r="Q1309" s="2176"/>
      <c r="R1309" s="2177"/>
      <c r="S1309" s="2180">
        <f t="shared" ref="S1309:S1314" si="2751">R1309-Q1309</f>
        <v>0</v>
      </c>
      <c r="T1309" s="2181">
        <f t="shared" si="2732"/>
        <v>0</v>
      </c>
      <c r="U1309" s="2179">
        <f t="shared" si="2732"/>
        <v>0</v>
      </c>
      <c r="V1309" s="2178">
        <f t="shared" si="2733"/>
        <v>0</v>
      </c>
      <c r="W1309" s="2176"/>
      <c r="X1309" s="2177"/>
      <c r="Y1309" s="2180">
        <f t="shared" ref="Y1309:Y1314" si="2752">X1309-W1309</f>
        <v>0</v>
      </c>
      <c r="Z1309" s="2181">
        <f t="shared" si="2735"/>
        <v>0</v>
      </c>
      <c r="AA1309" s="2179">
        <f t="shared" si="2735"/>
        <v>0</v>
      </c>
      <c r="AB1309" s="2178">
        <f t="shared" si="2736"/>
        <v>0</v>
      </c>
      <c r="AC1309" s="2176"/>
      <c r="AD1309" s="2177"/>
      <c r="AE1309" s="2180">
        <f t="shared" ref="AE1309:AE1314" si="2753">AD1309-AC1309</f>
        <v>0</v>
      </c>
      <c r="AF1309" s="2185"/>
      <c r="AG1309" s="2114"/>
      <c r="AH1309" s="2177"/>
      <c r="AI1309" s="2177"/>
      <c r="AJ1309" s="2186">
        <f t="shared" ref="AJ1309:AJ1314" si="2754">AI1309-AH1309</f>
        <v>0</v>
      </c>
      <c r="AK1309" s="2177"/>
      <c r="AL1309" s="2177"/>
      <c r="AM1309" s="2186">
        <f t="shared" ref="AM1309:AM1314" si="2755">AL1309-AK1309</f>
        <v>0</v>
      </c>
      <c r="AN1309" s="2177"/>
      <c r="AO1309" s="2177"/>
      <c r="AP1309" s="2186">
        <f t="shared" ref="AP1309:AP1314" si="2756">AO1309-AN1309</f>
        <v>0</v>
      </c>
      <c r="AQ1309" s="2177"/>
      <c r="AR1309" s="2177"/>
      <c r="AS1309" s="2186">
        <f t="shared" ref="AS1309:AS1314" si="2757">AR1309-AQ1309</f>
        <v>0</v>
      </c>
      <c r="AT1309" s="2177"/>
      <c r="AU1309" s="2177"/>
      <c r="AV1309" s="2186">
        <f t="shared" ref="AV1309:AV1314" si="2758">AU1309-AT1309</f>
        <v>0</v>
      </c>
      <c r="AW1309" s="2177"/>
      <c r="AX1309" s="2177"/>
      <c r="AY1309" s="2186">
        <f t="shared" ref="AY1309:AY1314" si="2759">AX1309-AW1309</f>
        <v>0</v>
      </c>
      <c r="AZ1309" s="2177"/>
      <c r="BA1309" s="2177"/>
      <c r="BB1309" s="2186">
        <f t="shared" ref="BB1309:BB1314" si="2760">BA1309-AZ1309</f>
        <v>0</v>
      </c>
      <c r="BC1309" s="2177"/>
      <c r="BD1309" s="2177"/>
      <c r="BE1309" s="2186">
        <f t="shared" ref="BE1309:BE1314" si="2761">BD1309-BC1309</f>
        <v>0</v>
      </c>
      <c r="BF1309" s="2177"/>
      <c r="BG1309" s="2177"/>
      <c r="BH1309" s="2186">
        <f t="shared" ref="BH1309:BH1314" si="2762">BG1309-BF1309</f>
        <v>0</v>
      </c>
      <c r="BI1309" s="2177"/>
      <c r="BJ1309" s="2177"/>
      <c r="BK1309" s="2186">
        <f t="shared" ref="BK1309:BK1314" si="2763">BJ1309-BI1309</f>
        <v>0</v>
      </c>
      <c r="BL1309" s="2177"/>
      <c r="BM1309" s="2177"/>
      <c r="BN1309" s="2186">
        <f t="shared" ref="BN1309:BN1314" si="2764">BM1309-BL1309</f>
        <v>0</v>
      </c>
      <c r="BO1309" s="2177"/>
      <c r="BP1309" s="2177"/>
      <c r="BQ1309" s="2186">
        <f t="shared" ref="BQ1309:BQ1314" si="2765">BP1309-BO1309</f>
        <v>0</v>
      </c>
    </row>
    <row r="1310" spans="3:69" s="2087" customFormat="1" ht="12" hidden="1" customHeight="1">
      <c r="C1310" s="2173" t="s">
        <v>3494</v>
      </c>
      <c r="D1310" s="2490" t="s">
        <v>3495</v>
      </c>
      <c r="E1310" s="2250" t="s">
        <v>3489</v>
      </c>
      <c r="F1310" s="2176"/>
      <c r="G1310" s="2177"/>
      <c r="H1310" s="2177"/>
      <c r="I1310" s="2178">
        <f t="shared" si="2750"/>
        <v>0</v>
      </c>
      <c r="J1310" s="2176"/>
      <c r="K1310" s="2179">
        <f t="shared" si="2705"/>
        <v>0</v>
      </c>
      <c r="L1310" s="2179">
        <f t="shared" si="2705"/>
        <v>0</v>
      </c>
      <c r="M1310" s="2178">
        <f t="shared" si="2729"/>
        <v>0</v>
      </c>
      <c r="N1310" s="2177"/>
      <c r="O1310" s="2177"/>
      <c r="P1310" s="2178">
        <f t="shared" si="2730"/>
        <v>0</v>
      </c>
      <c r="Q1310" s="2176"/>
      <c r="R1310" s="2177"/>
      <c r="S1310" s="2180">
        <f t="shared" si="2751"/>
        <v>0</v>
      </c>
      <c r="T1310" s="2181">
        <f t="shared" si="2732"/>
        <v>0</v>
      </c>
      <c r="U1310" s="2179">
        <f t="shared" si="2732"/>
        <v>0</v>
      </c>
      <c r="V1310" s="2178">
        <f t="shared" si="2733"/>
        <v>0</v>
      </c>
      <c r="W1310" s="2176"/>
      <c r="X1310" s="2177"/>
      <c r="Y1310" s="2180">
        <f t="shared" si="2752"/>
        <v>0</v>
      </c>
      <c r="Z1310" s="2181">
        <f t="shared" si="2735"/>
        <v>0</v>
      </c>
      <c r="AA1310" s="2179">
        <f t="shared" si="2735"/>
        <v>0</v>
      </c>
      <c r="AB1310" s="2178">
        <f t="shared" si="2736"/>
        <v>0</v>
      </c>
      <c r="AC1310" s="2176"/>
      <c r="AD1310" s="2177"/>
      <c r="AE1310" s="2180">
        <f t="shared" si="2753"/>
        <v>0</v>
      </c>
      <c r="AF1310" s="2185"/>
      <c r="AG1310" s="2114"/>
      <c r="AH1310" s="2177"/>
      <c r="AI1310" s="2177"/>
      <c r="AJ1310" s="2186">
        <f t="shared" si="2754"/>
        <v>0</v>
      </c>
      <c r="AK1310" s="2177"/>
      <c r="AL1310" s="2177"/>
      <c r="AM1310" s="2186">
        <f t="shared" si="2755"/>
        <v>0</v>
      </c>
      <c r="AN1310" s="2177"/>
      <c r="AO1310" s="2177"/>
      <c r="AP1310" s="2186">
        <f t="shared" si="2756"/>
        <v>0</v>
      </c>
      <c r="AQ1310" s="2177"/>
      <c r="AR1310" s="2177"/>
      <c r="AS1310" s="2186">
        <f t="shared" si="2757"/>
        <v>0</v>
      </c>
      <c r="AT1310" s="2177"/>
      <c r="AU1310" s="2177"/>
      <c r="AV1310" s="2186">
        <f t="shared" si="2758"/>
        <v>0</v>
      </c>
      <c r="AW1310" s="2177"/>
      <c r="AX1310" s="2177"/>
      <c r="AY1310" s="2186">
        <f t="shared" si="2759"/>
        <v>0</v>
      </c>
      <c r="AZ1310" s="2177"/>
      <c r="BA1310" s="2177"/>
      <c r="BB1310" s="2186">
        <f t="shared" si="2760"/>
        <v>0</v>
      </c>
      <c r="BC1310" s="2177"/>
      <c r="BD1310" s="2177"/>
      <c r="BE1310" s="2186">
        <f t="shared" si="2761"/>
        <v>0</v>
      </c>
      <c r="BF1310" s="2177"/>
      <c r="BG1310" s="2177"/>
      <c r="BH1310" s="2186">
        <f t="shared" si="2762"/>
        <v>0</v>
      </c>
      <c r="BI1310" s="2177"/>
      <c r="BJ1310" s="2177"/>
      <c r="BK1310" s="2186">
        <f t="shared" si="2763"/>
        <v>0</v>
      </c>
      <c r="BL1310" s="2177"/>
      <c r="BM1310" s="2177"/>
      <c r="BN1310" s="2186">
        <f t="shared" si="2764"/>
        <v>0</v>
      </c>
      <c r="BO1310" s="2177"/>
      <c r="BP1310" s="2177"/>
      <c r="BQ1310" s="2186">
        <f t="shared" si="2765"/>
        <v>0</v>
      </c>
    </row>
    <row r="1311" spans="3:69" s="2087" customFormat="1" ht="12" hidden="1" customHeight="1">
      <c r="C1311" s="2173" t="s">
        <v>3496</v>
      </c>
      <c r="D1311" s="2490" t="s">
        <v>3497</v>
      </c>
      <c r="E1311" s="2250" t="s">
        <v>3489</v>
      </c>
      <c r="F1311" s="2176"/>
      <c r="G1311" s="2177"/>
      <c r="H1311" s="2177"/>
      <c r="I1311" s="2178">
        <f t="shared" si="2750"/>
        <v>0</v>
      </c>
      <c r="J1311" s="2176"/>
      <c r="K1311" s="2179">
        <f t="shared" si="2705"/>
        <v>0</v>
      </c>
      <c r="L1311" s="2179">
        <f t="shared" si="2705"/>
        <v>0</v>
      </c>
      <c r="M1311" s="2178">
        <f t="shared" si="2729"/>
        <v>0</v>
      </c>
      <c r="N1311" s="2177"/>
      <c r="O1311" s="2177"/>
      <c r="P1311" s="2178">
        <f t="shared" si="2730"/>
        <v>0</v>
      </c>
      <c r="Q1311" s="2176"/>
      <c r="R1311" s="2177"/>
      <c r="S1311" s="2180">
        <f t="shared" si="2751"/>
        <v>0</v>
      </c>
      <c r="T1311" s="2181">
        <f t="shared" si="2732"/>
        <v>0</v>
      </c>
      <c r="U1311" s="2179">
        <f t="shared" si="2732"/>
        <v>0</v>
      </c>
      <c r="V1311" s="2178">
        <f t="shared" si="2733"/>
        <v>0</v>
      </c>
      <c r="W1311" s="2176"/>
      <c r="X1311" s="2177"/>
      <c r="Y1311" s="2180">
        <f t="shared" si="2752"/>
        <v>0</v>
      </c>
      <c r="Z1311" s="2181">
        <f t="shared" si="2735"/>
        <v>0</v>
      </c>
      <c r="AA1311" s="2179">
        <f t="shared" si="2735"/>
        <v>0</v>
      </c>
      <c r="AB1311" s="2178">
        <f t="shared" si="2736"/>
        <v>0</v>
      </c>
      <c r="AC1311" s="2176"/>
      <c r="AD1311" s="2177"/>
      <c r="AE1311" s="2180">
        <f t="shared" si="2753"/>
        <v>0</v>
      </c>
      <c r="AF1311" s="2185"/>
      <c r="AG1311" s="2114"/>
      <c r="AH1311" s="2177"/>
      <c r="AI1311" s="2177"/>
      <c r="AJ1311" s="2186">
        <f t="shared" si="2754"/>
        <v>0</v>
      </c>
      <c r="AK1311" s="2177"/>
      <c r="AL1311" s="2177"/>
      <c r="AM1311" s="2186">
        <f t="shared" si="2755"/>
        <v>0</v>
      </c>
      <c r="AN1311" s="2177"/>
      <c r="AO1311" s="2177"/>
      <c r="AP1311" s="2186">
        <f t="shared" si="2756"/>
        <v>0</v>
      </c>
      <c r="AQ1311" s="2177"/>
      <c r="AR1311" s="2177"/>
      <c r="AS1311" s="2186">
        <f t="shared" si="2757"/>
        <v>0</v>
      </c>
      <c r="AT1311" s="2177"/>
      <c r="AU1311" s="2177"/>
      <c r="AV1311" s="2186">
        <f t="shared" si="2758"/>
        <v>0</v>
      </c>
      <c r="AW1311" s="2177"/>
      <c r="AX1311" s="2177"/>
      <c r="AY1311" s="2186">
        <f t="shared" si="2759"/>
        <v>0</v>
      </c>
      <c r="AZ1311" s="2177"/>
      <c r="BA1311" s="2177"/>
      <c r="BB1311" s="2186">
        <f t="shared" si="2760"/>
        <v>0</v>
      </c>
      <c r="BC1311" s="2177"/>
      <c r="BD1311" s="2177"/>
      <c r="BE1311" s="2186">
        <f t="shared" si="2761"/>
        <v>0</v>
      </c>
      <c r="BF1311" s="2177"/>
      <c r="BG1311" s="2177"/>
      <c r="BH1311" s="2186">
        <f t="shared" si="2762"/>
        <v>0</v>
      </c>
      <c r="BI1311" s="2177"/>
      <c r="BJ1311" s="2177"/>
      <c r="BK1311" s="2186">
        <f t="shared" si="2763"/>
        <v>0</v>
      </c>
      <c r="BL1311" s="2177"/>
      <c r="BM1311" s="2177"/>
      <c r="BN1311" s="2186">
        <f t="shared" si="2764"/>
        <v>0</v>
      </c>
      <c r="BO1311" s="2177"/>
      <c r="BP1311" s="2177"/>
      <c r="BQ1311" s="2186">
        <f t="shared" si="2765"/>
        <v>0</v>
      </c>
    </row>
    <row r="1312" spans="3:69" s="2159" customFormat="1" ht="23.25" hidden="1" thickBot="1">
      <c r="C1312" s="2256" t="s">
        <v>3498</v>
      </c>
      <c r="D1312" s="2161" t="s">
        <v>3499</v>
      </c>
      <c r="E1312" s="2120" t="s">
        <v>3500</v>
      </c>
      <c r="F1312" s="2162"/>
      <c r="G1312" s="2163">
        <f>G1313+G1314</f>
        <v>0</v>
      </c>
      <c r="H1312" s="2163">
        <f>H1313+H1314</f>
        <v>0</v>
      </c>
      <c r="I1312" s="2164">
        <f t="shared" si="2750"/>
        <v>0</v>
      </c>
      <c r="J1312" s="2162"/>
      <c r="K1312" s="2163">
        <f t="shared" ref="K1312:L1314" si="2766">N1312+Q1312+W1312+AC1312</f>
        <v>0</v>
      </c>
      <c r="L1312" s="2163">
        <f t="shared" si="2766"/>
        <v>0</v>
      </c>
      <c r="M1312" s="2164">
        <f t="shared" si="2729"/>
        <v>0</v>
      </c>
      <c r="N1312" s="2163">
        <f>N1313+N1314</f>
        <v>0</v>
      </c>
      <c r="O1312" s="2163">
        <f>O1313+O1314</f>
        <v>0</v>
      </c>
      <c r="P1312" s="2164">
        <f t="shared" si="2730"/>
        <v>0</v>
      </c>
      <c r="Q1312" s="2163">
        <f>Q1313+Q1314</f>
        <v>0</v>
      </c>
      <c r="R1312" s="2163">
        <f>R1313+R1314</f>
        <v>0</v>
      </c>
      <c r="S1312" s="2166">
        <f t="shared" si="2751"/>
        <v>0</v>
      </c>
      <c r="T1312" s="2167">
        <f t="shared" si="2732"/>
        <v>0</v>
      </c>
      <c r="U1312" s="2163">
        <f t="shared" si="2732"/>
        <v>0</v>
      </c>
      <c r="V1312" s="2164">
        <f t="shared" si="2733"/>
        <v>0</v>
      </c>
      <c r="W1312" s="2163">
        <f>W1313+W1314</f>
        <v>0</v>
      </c>
      <c r="X1312" s="2163">
        <f>X1313+X1314</f>
        <v>0</v>
      </c>
      <c r="Y1312" s="2166">
        <f t="shared" si="2752"/>
        <v>0</v>
      </c>
      <c r="Z1312" s="2167">
        <f t="shared" si="2735"/>
        <v>0</v>
      </c>
      <c r="AA1312" s="2163">
        <f t="shared" si="2735"/>
        <v>0</v>
      </c>
      <c r="AB1312" s="2164">
        <f t="shared" si="2736"/>
        <v>0</v>
      </c>
      <c r="AC1312" s="2163">
        <f>AC1313+AC1314</f>
        <v>0</v>
      </c>
      <c r="AD1312" s="2163">
        <f>AD1313+AD1314</f>
        <v>0</v>
      </c>
      <c r="AE1312" s="2166">
        <f t="shared" si="2753"/>
        <v>0</v>
      </c>
      <c r="AF1312" s="2204"/>
      <c r="AG1312" s="2158"/>
      <c r="AH1312" s="2171">
        <f>AH1313+AH1314</f>
        <v>0</v>
      </c>
      <c r="AI1312" s="2171">
        <f>AI1313+AI1314</f>
        <v>0</v>
      </c>
      <c r="AJ1312" s="2172">
        <f t="shared" si="2754"/>
        <v>0</v>
      </c>
      <c r="AK1312" s="2171">
        <f>AK1313+AK1314</f>
        <v>0</v>
      </c>
      <c r="AL1312" s="2171">
        <f>AL1313+AL1314</f>
        <v>0</v>
      </c>
      <c r="AM1312" s="2172">
        <f t="shared" si="2755"/>
        <v>0</v>
      </c>
      <c r="AN1312" s="2171">
        <f>AN1313+AN1314</f>
        <v>0</v>
      </c>
      <c r="AO1312" s="2171">
        <f>AO1313+AO1314</f>
        <v>0</v>
      </c>
      <c r="AP1312" s="2172">
        <f t="shared" si="2756"/>
        <v>0</v>
      </c>
      <c r="AQ1312" s="2171">
        <f>AQ1313+AQ1314</f>
        <v>0</v>
      </c>
      <c r="AR1312" s="2171">
        <f>AR1313+AR1314</f>
        <v>0</v>
      </c>
      <c r="AS1312" s="2172">
        <f t="shared" si="2757"/>
        <v>0</v>
      </c>
      <c r="AT1312" s="2171">
        <f>AT1313+AT1314</f>
        <v>0</v>
      </c>
      <c r="AU1312" s="2171">
        <f>AU1313+AU1314</f>
        <v>0</v>
      </c>
      <c r="AV1312" s="2172">
        <f t="shared" si="2758"/>
        <v>0</v>
      </c>
      <c r="AW1312" s="2171">
        <f>AW1313+AW1314</f>
        <v>0</v>
      </c>
      <c r="AX1312" s="2171">
        <f>AX1313+AX1314</f>
        <v>0</v>
      </c>
      <c r="AY1312" s="2172">
        <f t="shared" si="2759"/>
        <v>0</v>
      </c>
      <c r="AZ1312" s="2171">
        <f>AZ1313+AZ1314</f>
        <v>0</v>
      </c>
      <c r="BA1312" s="2171">
        <f>BA1313+BA1314</f>
        <v>0</v>
      </c>
      <c r="BB1312" s="2172">
        <f t="shared" si="2760"/>
        <v>0</v>
      </c>
      <c r="BC1312" s="2171">
        <f>BC1313+BC1314</f>
        <v>0</v>
      </c>
      <c r="BD1312" s="2171">
        <f>BD1313+BD1314</f>
        <v>0</v>
      </c>
      <c r="BE1312" s="2172">
        <f t="shared" si="2761"/>
        <v>0</v>
      </c>
      <c r="BF1312" s="2171">
        <f>BF1313+BF1314</f>
        <v>0</v>
      </c>
      <c r="BG1312" s="2171">
        <f>BG1313+BG1314</f>
        <v>0</v>
      </c>
      <c r="BH1312" s="2172">
        <f t="shared" si="2762"/>
        <v>0</v>
      </c>
      <c r="BI1312" s="2171">
        <f>BI1313+BI1314</f>
        <v>0</v>
      </c>
      <c r="BJ1312" s="2171">
        <f>BJ1313+BJ1314</f>
        <v>0</v>
      </c>
      <c r="BK1312" s="2172">
        <f t="shared" si="2763"/>
        <v>0</v>
      </c>
      <c r="BL1312" s="2171">
        <f>BL1313+BL1314</f>
        <v>0</v>
      </c>
      <c r="BM1312" s="2171">
        <f>BM1313+BM1314</f>
        <v>0</v>
      </c>
      <c r="BN1312" s="2172">
        <f t="shared" si="2764"/>
        <v>0</v>
      </c>
      <c r="BO1312" s="2171">
        <f>BO1313+BO1314</f>
        <v>0</v>
      </c>
      <c r="BP1312" s="2171">
        <f>BP1313+BP1314</f>
        <v>0</v>
      </c>
      <c r="BQ1312" s="2172">
        <f t="shared" si="2765"/>
        <v>0</v>
      </c>
    </row>
    <row r="1313" spans="3:69" s="2159" customFormat="1" ht="12" hidden="1" customHeight="1">
      <c r="C1313" s="2173" t="s">
        <v>3501</v>
      </c>
      <c r="D1313" s="2174" t="s">
        <v>3478</v>
      </c>
      <c r="E1313" s="2250" t="s">
        <v>3502</v>
      </c>
      <c r="F1313" s="2176"/>
      <c r="G1313" s="2177"/>
      <c r="H1313" s="2177"/>
      <c r="I1313" s="2178">
        <f t="shared" si="2750"/>
        <v>0</v>
      </c>
      <c r="J1313" s="2176"/>
      <c r="K1313" s="2179">
        <f t="shared" si="2766"/>
        <v>0</v>
      </c>
      <c r="L1313" s="2179">
        <f t="shared" si="2766"/>
        <v>0</v>
      </c>
      <c r="M1313" s="2178">
        <f t="shared" si="2729"/>
        <v>0</v>
      </c>
      <c r="N1313" s="2177"/>
      <c r="O1313" s="2177"/>
      <c r="P1313" s="2178">
        <f t="shared" si="2730"/>
        <v>0</v>
      </c>
      <c r="Q1313" s="2177"/>
      <c r="R1313" s="2177"/>
      <c r="S1313" s="2180">
        <f t="shared" si="2751"/>
        <v>0</v>
      </c>
      <c r="T1313" s="2181">
        <f t="shared" si="2732"/>
        <v>0</v>
      </c>
      <c r="U1313" s="2179">
        <f t="shared" si="2732"/>
        <v>0</v>
      </c>
      <c r="V1313" s="2178">
        <f t="shared" si="2733"/>
        <v>0</v>
      </c>
      <c r="W1313" s="2177"/>
      <c r="X1313" s="2177"/>
      <c r="Y1313" s="2180">
        <f t="shared" si="2752"/>
        <v>0</v>
      </c>
      <c r="Z1313" s="2181">
        <f t="shared" si="2735"/>
        <v>0</v>
      </c>
      <c r="AA1313" s="2179">
        <f t="shared" si="2735"/>
        <v>0</v>
      </c>
      <c r="AB1313" s="2178">
        <f t="shared" si="2736"/>
        <v>0</v>
      </c>
      <c r="AC1313" s="2177"/>
      <c r="AD1313" s="2177"/>
      <c r="AE1313" s="2180">
        <f t="shared" si="2753"/>
        <v>0</v>
      </c>
      <c r="AF1313" s="2204"/>
      <c r="AG1313" s="2158"/>
      <c r="AH1313" s="2177"/>
      <c r="AI1313" s="2177"/>
      <c r="AJ1313" s="2186">
        <f t="shared" si="2754"/>
        <v>0</v>
      </c>
      <c r="AK1313" s="2177"/>
      <c r="AL1313" s="2177"/>
      <c r="AM1313" s="2186">
        <f t="shared" si="2755"/>
        <v>0</v>
      </c>
      <c r="AN1313" s="2177"/>
      <c r="AO1313" s="2177"/>
      <c r="AP1313" s="2186">
        <f t="shared" si="2756"/>
        <v>0</v>
      </c>
      <c r="AQ1313" s="2177"/>
      <c r="AR1313" s="2177"/>
      <c r="AS1313" s="2186">
        <f t="shared" si="2757"/>
        <v>0</v>
      </c>
      <c r="AT1313" s="2177"/>
      <c r="AU1313" s="2177"/>
      <c r="AV1313" s="2186">
        <f t="shared" si="2758"/>
        <v>0</v>
      </c>
      <c r="AW1313" s="2177"/>
      <c r="AX1313" s="2177"/>
      <c r="AY1313" s="2186">
        <f t="shared" si="2759"/>
        <v>0</v>
      </c>
      <c r="AZ1313" s="2177"/>
      <c r="BA1313" s="2177"/>
      <c r="BB1313" s="2186">
        <f t="shared" si="2760"/>
        <v>0</v>
      </c>
      <c r="BC1313" s="2177"/>
      <c r="BD1313" s="2177"/>
      <c r="BE1313" s="2186">
        <f t="shared" si="2761"/>
        <v>0</v>
      </c>
      <c r="BF1313" s="2177"/>
      <c r="BG1313" s="2177"/>
      <c r="BH1313" s="2186">
        <f t="shared" si="2762"/>
        <v>0</v>
      </c>
      <c r="BI1313" s="2177"/>
      <c r="BJ1313" s="2177"/>
      <c r="BK1313" s="2186">
        <f t="shared" si="2763"/>
        <v>0</v>
      </c>
      <c r="BL1313" s="2177"/>
      <c r="BM1313" s="2177"/>
      <c r="BN1313" s="2186">
        <f t="shared" si="2764"/>
        <v>0</v>
      </c>
      <c r="BO1313" s="2177"/>
      <c r="BP1313" s="2177"/>
      <c r="BQ1313" s="2186">
        <f t="shared" si="2765"/>
        <v>0</v>
      </c>
    </row>
    <row r="1314" spans="3:69" s="2159" customFormat="1" ht="12" hidden="1" customHeight="1">
      <c r="C1314" s="2173" t="s">
        <v>3503</v>
      </c>
      <c r="D1314" s="2174" t="s">
        <v>3480</v>
      </c>
      <c r="E1314" s="2250" t="s">
        <v>3502</v>
      </c>
      <c r="F1314" s="2176"/>
      <c r="G1314" s="2177"/>
      <c r="H1314" s="2177"/>
      <c r="I1314" s="2178">
        <f t="shared" si="2750"/>
        <v>0</v>
      </c>
      <c r="J1314" s="2176"/>
      <c r="K1314" s="2179">
        <f t="shared" si="2766"/>
        <v>0</v>
      </c>
      <c r="L1314" s="2179">
        <f t="shared" si="2766"/>
        <v>0</v>
      </c>
      <c r="M1314" s="2178">
        <f t="shared" si="2729"/>
        <v>0</v>
      </c>
      <c r="N1314" s="2177"/>
      <c r="O1314" s="2177"/>
      <c r="P1314" s="2178">
        <f t="shared" si="2730"/>
        <v>0</v>
      </c>
      <c r="Q1314" s="2177"/>
      <c r="R1314" s="2177"/>
      <c r="S1314" s="2180">
        <f t="shared" si="2751"/>
        <v>0</v>
      </c>
      <c r="T1314" s="2181">
        <f t="shared" si="2732"/>
        <v>0</v>
      </c>
      <c r="U1314" s="2179">
        <f t="shared" si="2732"/>
        <v>0</v>
      </c>
      <c r="V1314" s="2178">
        <f t="shared" si="2733"/>
        <v>0</v>
      </c>
      <c r="W1314" s="2177"/>
      <c r="X1314" s="2177"/>
      <c r="Y1314" s="2180">
        <f t="shared" si="2752"/>
        <v>0</v>
      </c>
      <c r="Z1314" s="2181">
        <f t="shared" si="2735"/>
        <v>0</v>
      </c>
      <c r="AA1314" s="2179">
        <f t="shared" si="2735"/>
        <v>0</v>
      </c>
      <c r="AB1314" s="2178">
        <f t="shared" si="2736"/>
        <v>0</v>
      </c>
      <c r="AC1314" s="2177"/>
      <c r="AD1314" s="2177"/>
      <c r="AE1314" s="2180">
        <f t="shared" si="2753"/>
        <v>0</v>
      </c>
      <c r="AF1314" s="2204"/>
      <c r="AG1314" s="2158"/>
      <c r="AH1314" s="2177"/>
      <c r="AI1314" s="2177"/>
      <c r="AJ1314" s="2186">
        <f t="shared" si="2754"/>
        <v>0</v>
      </c>
      <c r="AK1314" s="2177"/>
      <c r="AL1314" s="2177"/>
      <c r="AM1314" s="2186">
        <f t="shared" si="2755"/>
        <v>0</v>
      </c>
      <c r="AN1314" s="2177"/>
      <c r="AO1314" s="2177"/>
      <c r="AP1314" s="2186">
        <f t="shared" si="2756"/>
        <v>0</v>
      </c>
      <c r="AQ1314" s="2177"/>
      <c r="AR1314" s="2177"/>
      <c r="AS1314" s="2186">
        <f t="shared" si="2757"/>
        <v>0</v>
      </c>
      <c r="AT1314" s="2177"/>
      <c r="AU1314" s="2177"/>
      <c r="AV1314" s="2186">
        <f t="shared" si="2758"/>
        <v>0</v>
      </c>
      <c r="AW1314" s="2177"/>
      <c r="AX1314" s="2177"/>
      <c r="AY1314" s="2186">
        <f t="shared" si="2759"/>
        <v>0</v>
      </c>
      <c r="AZ1314" s="2177"/>
      <c r="BA1314" s="2177"/>
      <c r="BB1314" s="2186">
        <f t="shared" si="2760"/>
        <v>0</v>
      </c>
      <c r="BC1314" s="2177"/>
      <c r="BD1314" s="2177"/>
      <c r="BE1314" s="2186">
        <f t="shared" si="2761"/>
        <v>0</v>
      </c>
      <c r="BF1314" s="2177"/>
      <c r="BG1314" s="2177"/>
      <c r="BH1314" s="2186">
        <f t="shared" si="2762"/>
        <v>0</v>
      </c>
      <c r="BI1314" s="2177"/>
      <c r="BJ1314" s="2177"/>
      <c r="BK1314" s="2186">
        <f t="shared" si="2763"/>
        <v>0</v>
      </c>
      <c r="BL1314" s="2177"/>
      <c r="BM1314" s="2177"/>
      <c r="BN1314" s="2186">
        <f t="shared" si="2764"/>
        <v>0</v>
      </c>
      <c r="BO1314" s="2177"/>
      <c r="BP1314" s="2177"/>
      <c r="BQ1314" s="2186">
        <f t="shared" si="2765"/>
        <v>0</v>
      </c>
    </row>
    <row r="1315" spans="3:69" s="2159" customFormat="1" ht="12" hidden="1" customHeight="1" collapsed="1">
      <c r="C1315" s="2147" t="s">
        <v>3504</v>
      </c>
      <c r="D1315" s="2148" t="s">
        <v>2133</v>
      </c>
      <c r="E1315" s="2149"/>
      <c r="F1315" s="2150"/>
      <c r="G1315" s="2151"/>
      <c r="H1315" s="2151"/>
      <c r="I1315" s="2152"/>
      <c r="J1315" s="2150"/>
      <c r="K1315" s="2151"/>
      <c r="L1315" s="2151"/>
      <c r="M1315" s="2152"/>
      <c r="N1315" s="2151"/>
      <c r="O1315" s="2151"/>
      <c r="P1315" s="2152"/>
      <c r="Q1315" s="2150"/>
      <c r="R1315" s="2151"/>
      <c r="S1315" s="2153"/>
      <c r="T1315" s="2154"/>
      <c r="U1315" s="2151"/>
      <c r="V1315" s="2152"/>
      <c r="W1315" s="2150"/>
      <c r="X1315" s="2151"/>
      <c r="Y1315" s="2153"/>
      <c r="Z1315" s="2154"/>
      <c r="AA1315" s="2151"/>
      <c r="AB1315" s="2152"/>
      <c r="AC1315" s="2150"/>
      <c r="AD1315" s="2151"/>
      <c r="AE1315" s="2153"/>
      <c r="AF1315" s="2157"/>
      <c r="AG1315" s="2158"/>
      <c r="AH1315" s="2151"/>
      <c r="AI1315" s="2151"/>
      <c r="AJ1315" s="2152"/>
      <c r="AK1315" s="2151"/>
      <c r="AL1315" s="2151"/>
      <c r="AM1315" s="2152"/>
      <c r="AN1315" s="2151"/>
      <c r="AO1315" s="2151"/>
      <c r="AP1315" s="2152"/>
      <c r="AQ1315" s="2151"/>
      <c r="AR1315" s="2151"/>
      <c r="AS1315" s="2152"/>
      <c r="AT1315" s="2151"/>
      <c r="AU1315" s="2151"/>
      <c r="AV1315" s="2152"/>
      <c r="AW1315" s="2151"/>
      <c r="AX1315" s="2151"/>
      <c r="AY1315" s="2152"/>
      <c r="AZ1315" s="2151"/>
      <c r="BA1315" s="2151"/>
      <c r="BB1315" s="2152"/>
      <c r="BC1315" s="2151"/>
      <c r="BD1315" s="2151"/>
      <c r="BE1315" s="2152"/>
      <c r="BF1315" s="2151"/>
      <c r="BG1315" s="2151"/>
      <c r="BH1315" s="2152"/>
      <c r="BI1315" s="2151"/>
      <c r="BJ1315" s="2151"/>
      <c r="BK1315" s="2152"/>
      <c r="BL1315" s="2151"/>
      <c r="BM1315" s="2151"/>
      <c r="BN1315" s="2152"/>
      <c r="BO1315" s="2151"/>
      <c r="BP1315" s="2151"/>
      <c r="BQ1315" s="2152"/>
    </row>
    <row r="1316" spans="3:69" s="2159" customFormat="1" ht="12" hidden="1" thickBot="1">
      <c r="C1316" s="2256" t="s">
        <v>3505</v>
      </c>
      <c r="D1316" s="2353" t="s">
        <v>3506</v>
      </c>
      <c r="E1316" s="2120" t="s">
        <v>3507</v>
      </c>
      <c r="F1316" s="2162"/>
      <c r="G1316" s="2163">
        <f t="shared" ref="G1316:H1325" si="2767">IFERROR(G1334/G1296,0)</f>
        <v>0</v>
      </c>
      <c r="H1316" s="2163">
        <f t="shared" si="2767"/>
        <v>0</v>
      </c>
      <c r="I1316" s="2164">
        <f>H1316-G1316</f>
        <v>0</v>
      </c>
      <c r="J1316" s="2162"/>
      <c r="K1316" s="2163">
        <f t="shared" ref="K1316:L1325" si="2768">IFERROR(K1334/K1296,0)</f>
        <v>0</v>
      </c>
      <c r="L1316" s="2163">
        <f t="shared" si="2768"/>
        <v>0</v>
      </c>
      <c r="M1316" s="2164">
        <f>L1316-K1316</f>
        <v>0</v>
      </c>
      <c r="N1316" s="2163">
        <f t="shared" ref="N1316:O1325" si="2769">IFERROR(N1334/N1296,0)</f>
        <v>0</v>
      </c>
      <c r="O1316" s="2163">
        <f t="shared" si="2769"/>
        <v>0</v>
      </c>
      <c r="P1316" s="2164">
        <f>O1316-N1316</f>
        <v>0</v>
      </c>
      <c r="Q1316" s="2165">
        <f t="shared" ref="Q1316:R1325" si="2770">IFERROR(Q1334/Q1296,0)</f>
        <v>0</v>
      </c>
      <c r="R1316" s="2163">
        <f t="shared" si="2770"/>
        <v>0</v>
      </c>
      <c r="S1316" s="2166">
        <f>R1316-Q1316</f>
        <v>0</v>
      </c>
      <c r="T1316" s="2167">
        <f t="shared" ref="T1316:U1325" si="2771">IFERROR(T1334/T1296,0)</f>
        <v>0</v>
      </c>
      <c r="U1316" s="2163">
        <f t="shared" si="2771"/>
        <v>0</v>
      </c>
      <c r="V1316" s="2164">
        <f>U1316-T1316</f>
        <v>0</v>
      </c>
      <c r="W1316" s="2165">
        <f t="shared" ref="W1316:X1325" si="2772">IFERROR(W1334/W1296,0)</f>
        <v>0</v>
      </c>
      <c r="X1316" s="2163">
        <f t="shared" si="2772"/>
        <v>0</v>
      </c>
      <c r="Y1316" s="2166">
        <f>X1316-W1316</f>
        <v>0</v>
      </c>
      <c r="Z1316" s="2167">
        <f t="shared" ref="Z1316:AA1325" si="2773">IFERROR(Z1334/Z1296,0)</f>
        <v>0</v>
      </c>
      <c r="AA1316" s="2163">
        <f t="shared" si="2773"/>
        <v>0</v>
      </c>
      <c r="AB1316" s="2164">
        <f>AA1316-Z1316</f>
        <v>0</v>
      </c>
      <c r="AC1316" s="2165">
        <f t="shared" ref="AC1316:AD1325" si="2774">IFERROR(AC1334/AC1296,0)</f>
        <v>0</v>
      </c>
      <c r="AD1316" s="2163">
        <f t="shared" si="2774"/>
        <v>0</v>
      </c>
      <c r="AE1316" s="2166">
        <f>AD1316-AC1316</f>
        <v>0</v>
      </c>
      <c r="AF1316" s="2204"/>
      <c r="AG1316" s="2158"/>
      <c r="AH1316" s="2171">
        <f t="shared" ref="AH1316:AI1325" si="2775">IFERROR(AH1334/AH1296,0)</f>
        <v>0</v>
      </c>
      <c r="AI1316" s="2171">
        <f t="shared" si="2775"/>
        <v>0</v>
      </c>
      <c r="AJ1316" s="2172">
        <f>AI1316-AH1316</f>
        <v>0</v>
      </c>
      <c r="AK1316" s="2171">
        <f t="shared" ref="AK1316:AL1325" si="2776">IFERROR(AK1334/AK1296,0)</f>
        <v>0</v>
      </c>
      <c r="AL1316" s="2171">
        <f t="shared" si="2776"/>
        <v>0</v>
      </c>
      <c r="AM1316" s="2172">
        <f>AL1316-AK1316</f>
        <v>0</v>
      </c>
      <c r="AN1316" s="2171">
        <f t="shared" ref="AN1316:AO1325" si="2777">IFERROR(AN1334/AN1296,0)</f>
        <v>0</v>
      </c>
      <c r="AO1316" s="2171">
        <f t="shared" si="2777"/>
        <v>0</v>
      </c>
      <c r="AP1316" s="2172">
        <f>AO1316-AN1316</f>
        <v>0</v>
      </c>
      <c r="AQ1316" s="2171">
        <f t="shared" ref="AQ1316:AR1325" si="2778">IFERROR(AQ1334/AQ1296,0)</f>
        <v>0</v>
      </c>
      <c r="AR1316" s="2171">
        <f t="shared" si="2778"/>
        <v>0</v>
      </c>
      <c r="AS1316" s="2172">
        <f>AR1316-AQ1316</f>
        <v>0</v>
      </c>
      <c r="AT1316" s="2171">
        <f t="shared" ref="AT1316:AU1325" si="2779">IFERROR(AT1334/AT1296,0)</f>
        <v>0</v>
      </c>
      <c r="AU1316" s="2171">
        <f t="shared" si="2779"/>
        <v>0</v>
      </c>
      <c r="AV1316" s="2172">
        <f>AU1316-AT1316</f>
        <v>0</v>
      </c>
      <c r="AW1316" s="2171">
        <f t="shared" ref="AW1316:AX1325" si="2780">IFERROR(AW1334/AW1296,0)</f>
        <v>0</v>
      </c>
      <c r="AX1316" s="2171">
        <f t="shared" si="2780"/>
        <v>0</v>
      </c>
      <c r="AY1316" s="2172">
        <f>AX1316-AW1316</f>
        <v>0</v>
      </c>
      <c r="AZ1316" s="2171">
        <f t="shared" ref="AZ1316:BA1325" si="2781">IFERROR(AZ1334/AZ1296,0)</f>
        <v>0</v>
      </c>
      <c r="BA1316" s="2171">
        <f t="shared" si="2781"/>
        <v>0</v>
      </c>
      <c r="BB1316" s="2172">
        <f>BA1316-AZ1316</f>
        <v>0</v>
      </c>
      <c r="BC1316" s="2171">
        <f t="shared" ref="BC1316:BD1325" si="2782">IFERROR(BC1334/BC1296,0)</f>
        <v>0</v>
      </c>
      <c r="BD1316" s="2171">
        <f t="shared" si="2782"/>
        <v>0</v>
      </c>
      <c r="BE1316" s="2172">
        <f>BD1316-BC1316</f>
        <v>0</v>
      </c>
      <c r="BF1316" s="2171">
        <f t="shared" ref="BF1316:BG1325" si="2783">IFERROR(BF1334/BF1296,0)</f>
        <v>0</v>
      </c>
      <c r="BG1316" s="2171">
        <f t="shared" si="2783"/>
        <v>0</v>
      </c>
      <c r="BH1316" s="2172">
        <f>BG1316-BF1316</f>
        <v>0</v>
      </c>
      <c r="BI1316" s="2171">
        <f t="shared" ref="BI1316:BJ1325" si="2784">IFERROR(BI1334/BI1296,0)</f>
        <v>0</v>
      </c>
      <c r="BJ1316" s="2171">
        <f t="shared" si="2784"/>
        <v>0</v>
      </c>
      <c r="BK1316" s="2172">
        <f>BJ1316-BI1316</f>
        <v>0</v>
      </c>
      <c r="BL1316" s="2171">
        <f t="shared" ref="BL1316:BM1325" si="2785">IFERROR(BL1334/BL1296,0)</f>
        <v>0</v>
      </c>
      <c r="BM1316" s="2171">
        <f t="shared" si="2785"/>
        <v>0</v>
      </c>
      <c r="BN1316" s="2172">
        <f>BM1316-BL1316</f>
        <v>0</v>
      </c>
      <c r="BO1316" s="2171">
        <f t="shared" ref="BO1316:BP1325" si="2786">IFERROR(BO1334/BO1296,0)</f>
        <v>0</v>
      </c>
      <c r="BP1316" s="2171">
        <f t="shared" si="2786"/>
        <v>0</v>
      </c>
      <c r="BQ1316" s="2172">
        <f>BP1316-BO1316</f>
        <v>0</v>
      </c>
    </row>
    <row r="1317" spans="3:69" s="2087" customFormat="1" ht="12" hidden="1" customHeight="1">
      <c r="C1317" s="2173" t="s">
        <v>3508</v>
      </c>
      <c r="D1317" s="2375" t="s">
        <v>2221</v>
      </c>
      <c r="E1317" s="2250" t="s">
        <v>3507</v>
      </c>
      <c r="F1317" s="2176"/>
      <c r="G1317" s="2179">
        <f t="shared" si="2767"/>
        <v>0</v>
      </c>
      <c r="H1317" s="2179">
        <f t="shared" si="2767"/>
        <v>0</v>
      </c>
      <c r="I1317" s="2178">
        <f t="shared" ref="I1317:I1332" si="2787">H1317-G1317</f>
        <v>0</v>
      </c>
      <c r="J1317" s="2176"/>
      <c r="K1317" s="2179">
        <f t="shared" si="2768"/>
        <v>0</v>
      </c>
      <c r="L1317" s="2179">
        <f t="shared" si="2768"/>
        <v>0</v>
      </c>
      <c r="M1317" s="2178">
        <f t="shared" ref="M1317:M1332" si="2788">L1317-K1317</f>
        <v>0</v>
      </c>
      <c r="N1317" s="2179">
        <f t="shared" si="2769"/>
        <v>0</v>
      </c>
      <c r="O1317" s="2179">
        <f t="shared" si="2769"/>
        <v>0</v>
      </c>
      <c r="P1317" s="2178">
        <f t="shared" ref="P1317:P1332" si="2789">O1317-N1317</f>
        <v>0</v>
      </c>
      <c r="Q1317" s="2184">
        <f t="shared" si="2770"/>
        <v>0</v>
      </c>
      <c r="R1317" s="2179">
        <f t="shared" si="2770"/>
        <v>0</v>
      </c>
      <c r="S1317" s="2180">
        <f t="shared" ref="S1317:S1332" si="2790">R1317-Q1317</f>
        <v>0</v>
      </c>
      <c r="T1317" s="2181">
        <f t="shared" si="2771"/>
        <v>0</v>
      </c>
      <c r="U1317" s="2179">
        <f t="shared" si="2771"/>
        <v>0</v>
      </c>
      <c r="V1317" s="2178">
        <f t="shared" ref="V1317:V1332" si="2791">U1317-T1317</f>
        <v>0</v>
      </c>
      <c r="W1317" s="2184">
        <f t="shared" si="2772"/>
        <v>0</v>
      </c>
      <c r="X1317" s="2179">
        <f t="shared" si="2772"/>
        <v>0</v>
      </c>
      <c r="Y1317" s="2180">
        <f t="shared" ref="Y1317:Y1332" si="2792">X1317-W1317</f>
        <v>0</v>
      </c>
      <c r="Z1317" s="2181">
        <f t="shared" si="2773"/>
        <v>0</v>
      </c>
      <c r="AA1317" s="2179">
        <f t="shared" si="2773"/>
        <v>0</v>
      </c>
      <c r="AB1317" s="2178">
        <f t="shared" ref="AB1317:AB1332" si="2793">AA1317-Z1317</f>
        <v>0</v>
      </c>
      <c r="AC1317" s="2184">
        <f t="shared" si="2774"/>
        <v>0</v>
      </c>
      <c r="AD1317" s="2179">
        <f t="shared" si="2774"/>
        <v>0</v>
      </c>
      <c r="AE1317" s="2180">
        <f t="shared" ref="AE1317:AE1332" si="2794">AD1317-AC1317</f>
        <v>0</v>
      </c>
      <c r="AF1317" s="2281"/>
      <c r="AG1317" s="2114"/>
      <c r="AH1317" s="2188">
        <f t="shared" si="2775"/>
        <v>0</v>
      </c>
      <c r="AI1317" s="2188">
        <f t="shared" si="2775"/>
        <v>0</v>
      </c>
      <c r="AJ1317" s="2186">
        <f t="shared" ref="AJ1317:AJ1332" si="2795">AI1317-AH1317</f>
        <v>0</v>
      </c>
      <c r="AK1317" s="2188">
        <f t="shared" si="2776"/>
        <v>0</v>
      </c>
      <c r="AL1317" s="2188">
        <f t="shared" si="2776"/>
        <v>0</v>
      </c>
      <c r="AM1317" s="2186">
        <f t="shared" ref="AM1317:AM1332" si="2796">AL1317-AK1317</f>
        <v>0</v>
      </c>
      <c r="AN1317" s="2188">
        <f t="shared" si="2777"/>
        <v>0</v>
      </c>
      <c r="AO1317" s="2188">
        <f t="shared" si="2777"/>
        <v>0</v>
      </c>
      <c r="AP1317" s="2186">
        <f t="shared" ref="AP1317:AP1332" si="2797">AO1317-AN1317</f>
        <v>0</v>
      </c>
      <c r="AQ1317" s="2188">
        <f t="shared" si="2778"/>
        <v>0</v>
      </c>
      <c r="AR1317" s="2188">
        <f t="shared" si="2778"/>
        <v>0</v>
      </c>
      <c r="AS1317" s="2186">
        <f t="shared" ref="AS1317:AS1332" si="2798">AR1317-AQ1317</f>
        <v>0</v>
      </c>
      <c r="AT1317" s="2188">
        <f t="shared" si="2779"/>
        <v>0</v>
      </c>
      <c r="AU1317" s="2188">
        <f t="shared" si="2779"/>
        <v>0</v>
      </c>
      <c r="AV1317" s="2186">
        <f t="shared" ref="AV1317:AV1332" si="2799">AU1317-AT1317</f>
        <v>0</v>
      </c>
      <c r="AW1317" s="2188">
        <f t="shared" si="2780"/>
        <v>0</v>
      </c>
      <c r="AX1317" s="2188">
        <f t="shared" si="2780"/>
        <v>0</v>
      </c>
      <c r="AY1317" s="2186">
        <f t="shared" ref="AY1317:AY1332" si="2800">AX1317-AW1317</f>
        <v>0</v>
      </c>
      <c r="AZ1317" s="2188">
        <f t="shared" si="2781"/>
        <v>0</v>
      </c>
      <c r="BA1317" s="2188">
        <f t="shared" si="2781"/>
        <v>0</v>
      </c>
      <c r="BB1317" s="2186">
        <f t="shared" ref="BB1317:BB1332" si="2801">BA1317-AZ1317</f>
        <v>0</v>
      </c>
      <c r="BC1317" s="2188">
        <f t="shared" si="2782"/>
        <v>0</v>
      </c>
      <c r="BD1317" s="2188">
        <f t="shared" si="2782"/>
        <v>0</v>
      </c>
      <c r="BE1317" s="2186">
        <f t="shared" ref="BE1317:BE1332" si="2802">BD1317-BC1317</f>
        <v>0</v>
      </c>
      <c r="BF1317" s="2188">
        <f t="shared" si="2783"/>
        <v>0</v>
      </c>
      <c r="BG1317" s="2188">
        <f t="shared" si="2783"/>
        <v>0</v>
      </c>
      <c r="BH1317" s="2186">
        <f t="shared" ref="BH1317:BH1332" si="2803">BG1317-BF1317</f>
        <v>0</v>
      </c>
      <c r="BI1317" s="2188">
        <f t="shared" si="2784"/>
        <v>0</v>
      </c>
      <c r="BJ1317" s="2188">
        <f t="shared" si="2784"/>
        <v>0</v>
      </c>
      <c r="BK1317" s="2186">
        <f t="shared" ref="BK1317:BK1332" si="2804">BJ1317-BI1317</f>
        <v>0</v>
      </c>
      <c r="BL1317" s="2188">
        <f t="shared" si="2785"/>
        <v>0</v>
      </c>
      <c r="BM1317" s="2188">
        <f t="shared" si="2785"/>
        <v>0</v>
      </c>
      <c r="BN1317" s="2186">
        <f t="shared" ref="BN1317:BN1332" si="2805">BM1317-BL1317</f>
        <v>0</v>
      </c>
      <c r="BO1317" s="2188">
        <f t="shared" si="2786"/>
        <v>0</v>
      </c>
      <c r="BP1317" s="2188">
        <f t="shared" si="2786"/>
        <v>0</v>
      </c>
      <c r="BQ1317" s="2186">
        <f t="shared" ref="BQ1317:BQ1332" si="2806">BP1317-BO1317</f>
        <v>0</v>
      </c>
    </row>
    <row r="1318" spans="3:69" s="2087" customFormat="1" ht="12" hidden="1" customHeight="1">
      <c r="C1318" s="2173" t="s">
        <v>3509</v>
      </c>
      <c r="D1318" s="2375" t="s">
        <v>2223</v>
      </c>
      <c r="E1318" s="2250" t="s">
        <v>3507</v>
      </c>
      <c r="F1318" s="2176"/>
      <c r="G1318" s="2179">
        <f t="shared" si="2767"/>
        <v>0</v>
      </c>
      <c r="H1318" s="2179">
        <f t="shared" si="2767"/>
        <v>0</v>
      </c>
      <c r="I1318" s="2178">
        <f t="shared" si="2787"/>
        <v>0</v>
      </c>
      <c r="J1318" s="2176"/>
      <c r="K1318" s="2179">
        <f t="shared" si="2768"/>
        <v>0</v>
      </c>
      <c r="L1318" s="2179">
        <f t="shared" si="2768"/>
        <v>0</v>
      </c>
      <c r="M1318" s="2178">
        <f t="shared" si="2788"/>
        <v>0</v>
      </c>
      <c r="N1318" s="2179">
        <f t="shared" si="2769"/>
        <v>0</v>
      </c>
      <c r="O1318" s="2179">
        <f t="shared" si="2769"/>
        <v>0</v>
      </c>
      <c r="P1318" s="2178">
        <f t="shared" si="2789"/>
        <v>0</v>
      </c>
      <c r="Q1318" s="2184">
        <f t="shared" si="2770"/>
        <v>0</v>
      </c>
      <c r="R1318" s="2179">
        <f t="shared" si="2770"/>
        <v>0</v>
      </c>
      <c r="S1318" s="2180">
        <f t="shared" si="2790"/>
        <v>0</v>
      </c>
      <c r="T1318" s="2181">
        <f t="shared" si="2771"/>
        <v>0</v>
      </c>
      <c r="U1318" s="2179">
        <f t="shared" si="2771"/>
        <v>0</v>
      </c>
      <c r="V1318" s="2178">
        <f t="shared" si="2791"/>
        <v>0</v>
      </c>
      <c r="W1318" s="2184">
        <f t="shared" si="2772"/>
        <v>0</v>
      </c>
      <c r="X1318" s="2179">
        <f t="shared" si="2772"/>
        <v>0</v>
      </c>
      <c r="Y1318" s="2180">
        <f t="shared" si="2792"/>
        <v>0</v>
      </c>
      <c r="Z1318" s="2181">
        <f t="shared" si="2773"/>
        <v>0</v>
      </c>
      <c r="AA1318" s="2179">
        <f t="shared" si="2773"/>
        <v>0</v>
      </c>
      <c r="AB1318" s="2178">
        <f t="shared" si="2793"/>
        <v>0</v>
      </c>
      <c r="AC1318" s="2184">
        <f t="shared" si="2774"/>
        <v>0</v>
      </c>
      <c r="AD1318" s="2179">
        <f t="shared" si="2774"/>
        <v>0</v>
      </c>
      <c r="AE1318" s="2180">
        <f t="shared" si="2794"/>
        <v>0</v>
      </c>
      <c r="AF1318" s="2281"/>
      <c r="AG1318" s="2114"/>
      <c r="AH1318" s="2188">
        <f t="shared" si="2775"/>
        <v>0</v>
      </c>
      <c r="AI1318" s="2188">
        <f t="shared" si="2775"/>
        <v>0</v>
      </c>
      <c r="AJ1318" s="2186">
        <f t="shared" si="2795"/>
        <v>0</v>
      </c>
      <c r="AK1318" s="2188">
        <f t="shared" si="2776"/>
        <v>0</v>
      </c>
      <c r="AL1318" s="2188">
        <f t="shared" si="2776"/>
        <v>0</v>
      </c>
      <c r="AM1318" s="2186">
        <f t="shared" si="2796"/>
        <v>0</v>
      </c>
      <c r="AN1318" s="2188">
        <f t="shared" si="2777"/>
        <v>0</v>
      </c>
      <c r="AO1318" s="2188">
        <f t="shared" si="2777"/>
        <v>0</v>
      </c>
      <c r="AP1318" s="2186">
        <f t="shared" si="2797"/>
        <v>0</v>
      </c>
      <c r="AQ1318" s="2188">
        <f t="shared" si="2778"/>
        <v>0</v>
      </c>
      <c r="AR1318" s="2188">
        <f t="shared" si="2778"/>
        <v>0</v>
      </c>
      <c r="AS1318" s="2186">
        <f t="shared" si="2798"/>
        <v>0</v>
      </c>
      <c r="AT1318" s="2188">
        <f t="shared" si="2779"/>
        <v>0</v>
      </c>
      <c r="AU1318" s="2188">
        <f t="shared" si="2779"/>
        <v>0</v>
      </c>
      <c r="AV1318" s="2186">
        <f t="shared" si="2799"/>
        <v>0</v>
      </c>
      <c r="AW1318" s="2188">
        <f t="shared" si="2780"/>
        <v>0</v>
      </c>
      <c r="AX1318" s="2188">
        <f t="shared" si="2780"/>
        <v>0</v>
      </c>
      <c r="AY1318" s="2186">
        <f t="shared" si="2800"/>
        <v>0</v>
      </c>
      <c r="AZ1318" s="2188">
        <f t="shared" si="2781"/>
        <v>0</v>
      </c>
      <c r="BA1318" s="2188">
        <f t="shared" si="2781"/>
        <v>0</v>
      </c>
      <c r="BB1318" s="2186">
        <f t="shared" si="2801"/>
        <v>0</v>
      </c>
      <c r="BC1318" s="2188">
        <f t="shared" si="2782"/>
        <v>0</v>
      </c>
      <c r="BD1318" s="2188">
        <f t="shared" si="2782"/>
        <v>0</v>
      </c>
      <c r="BE1318" s="2186">
        <f t="shared" si="2802"/>
        <v>0</v>
      </c>
      <c r="BF1318" s="2188">
        <f t="shared" si="2783"/>
        <v>0</v>
      </c>
      <c r="BG1318" s="2188">
        <f t="shared" si="2783"/>
        <v>0</v>
      </c>
      <c r="BH1318" s="2186">
        <f t="shared" si="2803"/>
        <v>0</v>
      </c>
      <c r="BI1318" s="2188">
        <f t="shared" si="2784"/>
        <v>0</v>
      </c>
      <c r="BJ1318" s="2188">
        <f t="shared" si="2784"/>
        <v>0</v>
      </c>
      <c r="BK1318" s="2186">
        <f t="shared" si="2804"/>
        <v>0</v>
      </c>
      <c r="BL1318" s="2188">
        <f t="shared" si="2785"/>
        <v>0</v>
      </c>
      <c r="BM1318" s="2188">
        <f t="shared" si="2785"/>
        <v>0</v>
      </c>
      <c r="BN1318" s="2186">
        <f t="shared" si="2805"/>
        <v>0</v>
      </c>
      <c r="BO1318" s="2188">
        <f t="shared" si="2786"/>
        <v>0</v>
      </c>
      <c r="BP1318" s="2188">
        <f t="shared" si="2786"/>
        <v>0</v>
      </c>
      <c r="BQ1318" s="2186">
        <f t="shared" si="2806"/>
        <v>0</v>
      </c>
    </row>
    <row r="1319" spans="3:69" s="2087" customFormat="1" ht="12" hidden="1" customHeight="1">
      <c r="C1319" s="2173" t="s">
        <v>3510</v>
      </c>
      <c r="D1319" s="2375" t="s">
        <v>2225</v>
      </c>
      <c r="E1319" s="2250" t="s">
        <v>3507</v>
      </c>
      <c r="F1319" s="2176"/>
      <c r="G1319" s="2179">
        <f t="shared" si="2767"/>
        <v>0</v>
      </c>
      <c r="H1319" s="2179">
        <f t="shared" si="2767"/>
        <v>0</v>
      </c>
      <c r="I1319" s="2178">
        <f t="shared" si="2787"/>
        <v>0</v>
      </c>
      <c r="J1319" s="2176"/>
      <c r="K1319" s="2179">
        <f t="shared" si="2768"/>
        <v>0</v>
      </c>
      <c r="L1319" s="2179">
        <f t="shared" si="2768"/>
        <v>0</v>
      </c>
      <c r="M1319" s="2178">
        <f t="shared" si="2788"/>
        <v>0</v>
      </c>
      <c r="N1319" s="2179">
        <f t="shared" si="2769"/>
        <v>0</v>
      </c>
      <c r="O1319" s="2179">
        <f t="shared" si="2769"/>
        <v>0</v>
      </c>
      <c r="P1319" s="2178">
        <f t="shared" si="2789"/>
        <v>0</v>
      </c>
      <c r="Q1319" s="2184">
        <f t="shared" si="2770"/>
        <v>0</v>
      </c>
      <c r="R1319" s="2179">
        <f t="shared" si="2770"/>
        <v>0</v>
      </c>
      <c r="S1319" s="2180">
        <f t="shared" si="2790"/>
        <v>0</v>
      </c>
      <c r="T1319" s="2181">
        <f t="shared" si="2771"/>
        <v>0</v>
      </c>
      <c r="U1319" s="2179">
        <f t="shared" si="2771"/>
        <v>0</v>
      </c>
      <c r="V1319" s="2178">
        <f t="shared" si="2791"/>
        <v>0</v>
      </c>
      <c r="W1319" s="2184">
        <f t="shared" si="2772"/>
        <v>0</v>
      </c>
      <c r="X1319" s="2179">
        <f t="shared" si="2772"/>
        <v>0</v>
      </c>
      <c r="Y1319" s="2180">
        <f t="shared" si="2792"/>
        <v>0</v>
      </c>
      <c r="Z1319" s="2181">
        <f t="shared" si="2773"/>
        <v>0</v>
      </c>
      <c r="AA1319" s="2179">
        <f t="shared" si="2773"/>
        <v>0</v>
      </c>
      <c r="AB1319" s="2178">
        <f t="shared" si="2793"/>
        <v>0</v>
      </c>
      <c r="AC1319" s="2184">
        <f t="shared" si="2774"/>
        <v>0</v>
      </c>
      <c r="AD1319" s="2179">
        <f t="shared" si="2774"/>
        <v>0</v>
      </c>
      <c r="AE1319" s="2180">
        <f t="shared" si="2794"/>
        <v>0</v>
      </c>
      <c r="AF1319" s="2281"/>
      <c r="AG1319" s="2114"/>
      <c r="AH1319" s="2188">
        <f t="shared" si="2775"/>
        <v>0</v>
      </c>
      <c r="AI1319" s="2188">
        <f t="shared" si="2775"/>
        <v>0</v>
      </c>
      <c r="AJ1319" s="2186">
        <f t="shared" si="2795"/>
        <v>0</v>
      </c>
      <c r="AK1319" s="2188">
        <f t="shared" si="2776"/>
        <v>0</v>
      </c>
      <c r="AL1319" s="2188">
        <f t="shared" si="2776"/>
        <v>0</v>
      </c>
      <c r="AM1319" s="2186">
        <f t="shared" si="2796"/>
        <v>0</v>
      </c>
      <c r="AN1319" s="2188">
        <f t="shared" si="2777"/>
        <v>0</v>
      </c>
      <c r="AO1319" s="2188">
        <f t="shared" si="2777"/>
        <v>0</v>
      </c>
      <c r="AP1319" s="2186">
        <f t="shared" si="2797"/>
        <v>0</v>
      </c>
      <c r="AQ1319" s="2188">
        <f t="shared" si="2778"/>
        <v>0</v>
      </c>
      <c r="AR1319" s="2188">
        <f t="shared" si="2778"/>
        <v>0</v>
      </c>
      <c r="AS1319" s="2186">
        <f t="shared" si="2798"/>
        <v>0</v>
      </c>
      <c r="AT1319" s="2188">
        <f t="shared" si="2779"/>
        <v>0</v>
      </c>
      <c r="AU1319" s="2188">
        <f t="shared" si="2779"/>
        <v>0</v>
      </c>
      <c r="AV1319" s="2186">
        <f t="shared" si="2799"/>
        <v>0</v>
      </c>
      <c r="AW1319" s="2188">
        <f t="shared" si="2780"/>
        <v>0</v>
      </c>
      <c r="AX1319" s="2188">
        <f t="shared" si="2780"/>
        <v>0</v>
      </c>
      <c r="AY1319" s="2186">
        <f t="shared" si="2800"/>
        <v>0</v>
      </c>
      <c r="AZ1319" s="2188">
        <f t="shared" si="2781"/>
        <v>0</v>
      </c>
      <c r="BA1319" s="2188">
        <f t="shared" si="2781"/>
        <v>0</v>
      </c>
      <c r="BB1319" s="2186">
        <f t="shared" si="2801"/>
        <v>0</v>
      </c>
      <c r="BC1319" s="2188">
        <f t="shared" si="2782"/>
        <v>0</v>
      </c>
      <c r="BD1319" s="2188">
        <f t="shared" si="2782"/>
        <v>0</v>
      </c>
      <c r="BE1319" s="2186">
        <f t="shared" si="2802"/>
        <v>0</v>
      </c>
      <c r="BF1319" s="2188">
        <f t="shared" si="2783"/>
        <v>0</v>
      </c>
      <c r="BG1319" s="2188">
        <f t="shared" si="2783"/>
        <v>0</v>
      </c>
      <c r="BH1319" s="2186">
        <f t="shared" si="2803"/>
        <v>0</v>
      </c>
      <c r="BI1319" s="2188">
        <f t="shared" si="2784"/>
        <v>0</v>
      </c>
      <c r="BJ1319" s="2188">
        <f t="shared" si="2784"/>
        <v>0</v>
      </c>
      <c r="BK1319" s="2186">
        <f t="shared" si="2804"/>
        <v>0</v>
      </c>
      <c r="BL1319" s="2188">
        <f t="shared" si="2785"/>
        <v>0</v>
      </c>
      <c r="BM1319" s="2188">
        <f t="shared" si="2785"/>
        <v>0</v>
      </c>
      <c r="BN1319" s="2186">
        <f t="shared" si="2805"/>
        <v>0</v>
      </c>
      <c r="BO1319" s="2188">
        <f t="shared" si="2786"/>
        <v>0</v>
      </c>
      <c r="BP1319" s="2188">
        <f t="shared" si="2786"/>
        <v>0</v>
      </c>
      <c r="BQ1319" s="2186">
        <f t="shared" si="2806"/>
        <v>0</v>
      </c>
    </row>
    <row r="1320" spans="3:69" s="2087" customFormat="1" ht="12" hidden="1" customHeight="1">
      <c r="C1320" s="2173" t="s">
        <v>3511</v>
      </c>
      <c r="D1320" s="2375" t="s">
        <v>2227</v>
      </c>
      <c r="E1320" s="2250" t="s">
        <v>3507</v>
      </c>
      <c r="F1320" s="2176"/>
      <c r="G1320" s="2179">
        <f t="shared" si="2767"/>
        <v>0</v>
      </c>
      <c r="H1320" s="2179">
        <f t="shared" si="2767"/>
        <v>0</v>
      </c>
      <c r="I1320" s="2178">
        <f t="shared" si="2787"/>
        <v>0</v>
      </c>
      <c r="J1320" s="2176"/>
      <c r="K1320" s="2179">
        <f t="shared" si="2768"/>
        <v>0</v>
      </c>
      <c r="L1320" s="2179">
        <f t="shared" si="2768"/>
        <v>0</v>
      </c>
      <c r="M1320" s="2178">
        <f t="shared" si="2788"/>
        <v>0</v>
      </c>
      <c r="N1320" s="2179">
        <f t="shared" si="2769"/>
        <v>0</v>
      </c>
      <c r="O1320" s="2179">
        <f t="shared" si="2769"/>
        <v>0</v>
      </c>
      <c r="P1320" s="2178">
        <f t="shared" si="2789"/>
        <v>0</v>
      </c>
      <c r="Q1320" s="2184">
        <f t="shared" si="2770"/>
        <v>0</v>
      </c>
      <c r="R1320" s="2179">
        <f t="shared" si="2770"/>
        <v>0</v>
      </c>
      <c r="S1320" s="2180">
        <f t="shared" si="2790"/>
        <v>0</v>
      </c>
      <c r="T1320" s="2181">
        <f t="shared" si="2771"/>
        <v>0</v>
      </c>
      <c r="U1320" s="2179">
        <f t="shared" si="2771"/>
        <v>0</v>
      </c>
      <c r="V1320" s="2178">
        <f t="shared" si="2791"/>
        <v>0</v>
      </c>
      <c r="W1320" s="2184">
        <f t="shared" si="2772"/>
        <v>0</v>
      </c>
      <c r="X1320" s="2179">
        <f t="shared" si="2772"/>
        <v>0</v>
      </c>
      <c r="Y1320" s="2180">
        <f t="shared" si="2792"/>
        <v>0</v>
      </c>
      <c r="Z1320" s="2181">
        <f t="shared" si="2773"/>
        <v>0</v>
      </c>
      <c r="AA1320" s="2179">
        <f t="shared" si="2773"/>
        <v>0</v>
      </c>
      <c r="AB1320" s="2178">
        <f t="shared" si="2793"/>
        <v>0</v>
      </c>
      <c r="AC1320" s="2184">
        <f t="shared" si="2774"/>
        <v>0</v>
      </c>
      <c r="AD1320" s="2179">
        <f t="shared" si="2774"/>
        <v>0</v>
      </c>
      <c r="AE1320" s="2180">
        <f t="shared" si="2794"/>
        <v>0</v>
      </c>
      <c r="AF1320" s="2281"/>
      <c r="AG1320" s="2114"/>
      <c r="AH1320" s="2188">
        <f t="shared" si="2775"/>
        <v>0</v>
      </c>
      <c r="AI1320" s="2188">
        <f t="shared" si="2775"/>
        <v>0</v>
      </c>
      <c r="AJ1320" s="2186">
        <f t="shared" si="2795"/>
        <v>0</v>
      </c>
      <c r="AK1320" s="2188">
        <f t="shared" si="2776"/>
        <v>0</v>
      </c>
      <c r="AL1320" s="2188">
        <f t="shared" si="2776"/>
        <v>0</v>
      </c>
      <c r="AM1320" s="2186">
        <f t="shared" si="2796"/>
        <v>0</v>
      </c>
      <c r="AN1320" s="2188">
        <f t="shared" si="2777"/>
        <v>0</v>
      </c>
      <c r="AO1320" s="2188">
        <f t="shared" si="2777"/>
        <v>0</v>
      </c>
      <c r="AP1320" s="2186">
        <f t="shared" si="2797"/>
        <v>0</v>
      </c>
      <c r="AQ1320" s="2188">
        <f t="shared" si="2778"/>
        <v>0</v>
      </c>
      <c r="AR1320" s="2188">
        <f t="shared" si="2778"/>
        <v>0</v>
      </c>
      <c r="AS1320" s="2186">
        <f t="shared" si="2798"/>
        <v>0</v>
      </c>
      <c r="AT1320" s="2188">
        <f t="shared" si="2779"/>
        <v>0</v>
      </c>
      <c r="AU1320" s="2188">
        <f t="shared" si="2779"/>
        <v>0</v>
      </c>
      <c r="AV1320" s="2186">
        <f t="shared" si="2799"/>
        <v>0</v>
      </c>
      <c r="AW1320" s="2188">
        <f t="shared" si="2780"/>
        <v>0</v>
      </c>
      <c r="AX1320" s="2188">
        <f t="shared" si="2780"/>
        <v>0</v>
      </c>
      <c r="AY1320" s="2186">
        <f t="shared" si="2800"/>
        <v>0</v>
      </c>
      <c r="AZ1320" s="2188">
        <f t="shared" si="2781"/>
        <v>0</v>
      </c>
      <c r="BA1320" s="2188">
        <f t="shared" si="2781"/>
        <v>0</v>
      </c>
      <c r="BB1320" s="2186">
        <f t="shared" si="2801"/>
        <v>0</v>
      </c>
      <c r="BC1320" s="2188">
        <f t="shared" si="2782"/>
        <v>0</v>
      </c>
      <c r="BD1320" s="2188">
        <f t="shared" si="2782"/>
        <v>0</v>
      </c>
      <c r="BE1320" s="2186">
        <f t="shared" si="2802"/>
        <v>0</v>
      </c>
      <c r="BF1320" s="2188">
        <f t="shared" si="2783"/>
        <v>0</v>
      </c>
      <c r="BG1320" s="2188">
        <f t="shared" si="2783"/>
        <v>0</v>
      </c>
      <c r="BH1320" s="2186">
        <f t="shared" si="2803"/>
        <v>0</v>
      </c>
      <c r="BI1320" s="2188">
        <f t="shared" si="2784"/>
        <v>0</v>
      </c>
      <c r="BJ1320" s="2188">
        <f t="shared" si="2784"/>
        <v>0</v>
      </c>
      <c r="BK1320" s="2186">
        <f t="shared" si="2804"/>
        <v>0</v>
      </c>
      <c r="BL1320" s="2188">
        <f t="shared" si="2785"/>
        <v>0</v>
      </c>
      <c r="BM1320" s="2188">
        <f t="shared" si="2785"/>
        <v>0</v>
      </c>
      <c r="BN1320" s="2186">
        <f t="shared" si="2805"/>
        <v>0</v>
      </c>
      <c r="BO1320" s="2188">
        <f t="shared" si="2786"/>
        <v>0</v>
      </c>
      <c r="BP1320" s="2188">
        <f t="shared" si="2786"/>
        <v>0</v>
      </c>
      <c r="BQ1320" s="2186">
        <f t="shared" si="2806"/>
        <v>0</v>
      </c>
    </row>
    <row r="1321" spans="3:69" s="2087" customFormat="1" ht="12" hidden="1" customHeight="1">
      <c r="C1321" s="2173" t="s">
        <v>3512</v>
      </c>
      <c r="D1321" s="2174" t="s">
        <v>3513</v>
      </c>
      <c r="E1321" s="2250" t="s">
        <v>3507</v>
      </c>
      <c r="F1321" s="2176"/>
      <c r="G1321" s="2179">
        <f t="shared" si="2767"/>
        <v>0</v>
      </c>
      <c r="H1321" s="2179">
        <f t="shared" si="2767"/>
        <v>0</v>
      </c>
      <c r="I1321" s="2178">
        <f t="shared" si="2787"/>
        <v>0</v>
      </c>
      <c r="J1321" s="2176"/>
      <c r="K1321" s="2179">
        <f t="shared" si="2768"/>
        <v>0</v>
      </c>
      <c r="L1321" s="2179">
        <f t="shared" si="2768"/>
        <v>0</v>
      </c>
      <c r="M1321" s="2178">
        <f t="shared" si="2788"/>
        <v>0</v>
      </c>
      <c r="N1321" s="2179">
        <f t="shared" si="2769"/>
        <v>0</v>
      </c>
      <c r="O1321" s="2179">
        <f t="shared" si="2769"/>
        <v>0</v>
      </c>
      <c r="P1321" s="2178">
        <f t="shared" si="2789"/>
        <v>0</v>
      </c>
      <c r="Q1321" s="2184">
        <f t="shared" si="2770"/>
        <v>0</v>
      </c>
      <c r="R1321" s="2179">
        <f t="shared" si="2770"/>
        <v>0</v>
      </c>
      <c r="S1321" s="2180">
        <f t="shared" si="2790"/>
        <v>0</v>
      </c>
      <c r="T1321" s="2181">
        <f t="shared" si="2771"/>
        <v>0</v>
      </c>
      <c r="U1321" s="2179">
        <f t="shared" si="2771"/>
        <v>0</v>
      </c>
      <c r="V1321" s="2178">
        <f t="shared" si="2791"/>
        <v>0</v>
      </c>
      <c r="W1321" s="2184">
        <f t="shared" si="2772"/>
        <v>0</v>
      </c>
      <c r="X1321" s="2179">
        <f t="shared" si="2772"/>
        <v>0</v>
      </c>
      <c r="Y1321" s="2180">
        <f t="shared" si="2792"/>
        <v>0</v>
      </c>
      <c r="Z1321" s="2181">
        <f t="shared" si="2773"/>
        <v>0</v>
      </c>
      <c r="AA1321" s="2179">
        <f t="shared" si="2773"/>
        <v>0</v>
      </c>
      <c r="AB1321" s="2178">
        <f t="shared" si="2793"/>
        <v>0</v>
      </c>
      <c r="AC1321" s="2184">
        <f t="shared" si="2774"/>
        <v>0</v>
      </c>
      <c r="AD1321" s="2179">
        <f t="shared" si="2774"/>
        <v>0</v>
      </c>
      <c r="AE1321" s="2180">
        <f t="shared" si="2794"/>
        <v>0</v>
      </c>
      <c r="AF1321" s="2277"/>
      <c r="AG1321" s="2114"/>
      <c r="AH1321" s="2188">
        <f t="shared" si="2775"/>
        <v>0</v>
      </c>
      <c r="AI1321" s="2188">
        <f t="shared" si="2775"/>
        <v>0</v>
      </c>
      <c r="AJ1321" s="2186">
        <f t="shared" si="2795"/>
        <v>0</v>
      </c>
      <c r="AK1321" s="2188">
        <f t="shared" si="2776"/>
        <v>0</v>
      </c>
      <c r="AL1321" s="2188">
        <f t="shared" si="2776"/>
        <v>0</v>
      </c>
      <c r="AM1321" s="2186">
        <f t="shared" si="2796"/>
        <v>0</v>
      </c>
      <c r="AN1321" s="2188">
        <f t="shared" si="2777"/>
        <v>0</v>
      </c>
      <c r="AO1321" s="2188">
        <f t="shared" si="2777"/>
        <v>0</v>
      </c>
      <c r="AP1321" s="2186">
        <f t="shared" si="2797"/>
        <v>0</v>
      </c>
      <c r="AQ1321" s="2188">
        <f t="shared" si="2778"/>
        <v>0</v>
      </c>
      <c r="AR1321" s="2188">
        <f t="shared" si="2778"/>
        <v>0</v>
      </c>
      <c r="AS1321" s="2186">
        <f t="shared" si="2798"/>
        <v>0</v>
      </c>
      <c r="AT1321" s="2188">
        <f t="shared" si="2779"/>
        <v>0</v>
      </c>
      <c r="AU1321" s="2188">
        <f t="shared" si="2779"/>
        <v>0</v>
      </c>
      <c r="AV1321" s="2186">
        <f t="shared" si="2799"/>
        <v>0</v>
      </c>
      <c r="AW1321" s="2188">
        <f t="shared" si="2780"/>
        <v>0</v>
      </c>
      <c r="AX1321" s="2188">
        <f t="shared" si="2780"/>
        <v>0</v>
      </c>
      <c r="AY1321" s="2186">
        <f t="shared" si="2800"/>
        <v>0</v>
      </c>
      <c r="AZ1321" s="2188">
        <f t="shared" si="2781"/>
        <v>0</v>
      </c>
      <c r="BA1321" s="2188">
        <f t="shared" si="2781"/>
        <v>0</v>
      </c>
      <c r="BB1321" s="2186">
        <f t="shared" si="2801"/>
        <v>0</v>
      </c>
      <c r="BC1321" s="2188">
        <f t="shared" si="2782"/>
        <v>0</v>
      </c>
      <c r="BD1321" s="2188">
        <f t="shared" si="2782"/>
        <v>0</v>
      </c>
      <c r="BE1321" s="2186">
        <f t="shared" si="2802"/>
        <v>0</v>
      </c>
      <c r="BF1321" s="2188">
        <f t="shared" si="2783"/>
        <v>0</v>
      </c>
      <c r="BG1321" s="2188">
        <f t="shared" si="2783"/>
        <v>0</v>
      </c>
      <c r="BH1321" s="2186">
        <f t="shared" si="2803"/>
        <v>0</v>
      </c>
      <c r="BI1321" s="2188">
        <f t="shared" si="2784"/>
        <v>0</v>
      </c>
      <c r="BJ1321" s="2188">
        <f t="shared" si="2784"/>
        <v>0</v>
      </c>
      <c r="BK1321" s="2186">
        <f t="shared" si="2804"/>
        <v>0</v>
      </c>
      <c r="BL1321" s="2188">
        <f t="shared" si="2785"/>
        <v>0</v>
      </c>
      <c r="BM1321" s="2188">
        <f t="shared" si="2785"/>
        <v>0</v>
      </c>
      <c r="BN1321" s="2186">
        <f t="shared" si="2805"/>
        <v>0</v>
      </c>
      <c r="BO1321" s="2188">
        <f t="shared" si="2786"/>
        <v>0</v>
      </c>
      <c r="BP1321" s="2188">
        <f t="shared" si="2786"/>
        <v>0</v>
      </c>
      <c r="BQ1321" s="2186">
        <f t="shared" si="2806"/>
        <v>0</v>
      </c>
    </row>
    <row r="1322" spans="3:69" s="2087" customFormat="1" ht="12" hidden="1" customHeight="1">
      <c r="C1322" s="2173" t="s">
        <v>3514</v>
      </c>
      <c r="D1322" s="2174" t="s">
        <v>3515</v>
      </c>
      <c r="E1322" s="2250" t="s">
        <v>3507</v>
      </c>
      <c r="F1322" s="2176"/>
      <c r="G1322" s="2179">
        <f t="shared" si="2767"/>
        <v>0</v>
      </c>
      <c r="H1322" s="2179">
        <f t="shared" si="2767"/>
        <v>0</v>
      </c>
      <c r="I1322" s="2178">
        <f t="shared" si="2787"/>
        <v>0</v>
      </c>
      <c r="J1322" s="2176"/>
      <c r="K1322" s="2179">
        <f t="shared" si="2768"/>
        <v>0</v>
      </c>
      <c r="L1322" s="2179">
        <f t="shared" si="2768"/>
        <v>0</v>
      </c>
      <c r="M1322" s="2178">
        <f t="shared" si="2788"/>
        <v>0</v>
      </c>
      <c r="N1322" s="2179">
        <f t="shared" si="2769"/>
        <v>0</v>
      </c>
      <c r="O1322" s="2179">
        <f t="shared" si="2769"/>
        <v>0</v>
      </c>
      <c r="P1322" s="2178">
        <f t="shared" si="2789"/>
        <v>0</v>
      </c>
      <c r="Q1322" s="2184">
        <f t="shared" si="2770"/>
        <v>0</v>
      </c>
      <c r="R1322" s="2179">
        <f t="shared" si="2770"/>
        <v>0</v>
      </c>
      <c r="S1322" s="2180">
        <f t="shared" si="2790"/>
        <v>0</v>
      </c>
      <c r="T1322" s="2181">
        <f t="shared" si="2771"/>
        <v>0</v>
      </c>
      <c r="U1322" s="2179">
        <f t="shared" si="2771"/>
        <v>0</v>
      </c>
      <c r="V1322" s="2178">
        <f t="shared" si="2791"/>
        <v>0</v>
      </c>
      <c r="W1322" s="2184">
        <f t="shared" si="2772"/>
        <v>0</v>
      </c>
      <c r="X1322" s="2179">
        <f t="shared" si="2772"/>
        <v>0</v>
      </c>
      <c r="Y1322" s="2180">
        <f t="shared" si="2792"/>
        <v>0</v>
      </c>
      <c r="Z1322" s="2181">
        <f t="shared" si="2773"/>
        <v>0</v>
      </c>
      <c r="AA1322" s="2179">
        <f t="shared" si="2773"/>
        <v>0</v>
      </c>
      <c r="AB1322" s="2178">
        <f t="shared" si="2793"/>
        <v>0</v>
      </c>
      <c r="AC1322" s="2184">
        <f t="shared" si="2774"/>
        <v>0</v>
      </c>
      <c r="AD1322" s="2179">
        <f t="shared" si="2774"/>
        <v>0</v>
      </c>
      <c r="AE1322" s="2180">
        <f t="shared" si="2794"/>
        <v>0</v>
      </c>
      <c r="AF1322" s="2277"/>
      <c r="AG1322" s="2114"/>
      <c r="AH1322" s="2188">
        <f t="shared" si="2775"/>
        <v>0</v>
      </c>
      <c r="AI1322" s="2188">
        <f t="shared" si="2775"/>
        <v>0</v>
      </c>
      <c r="AJ1322" s="2186">
        <f t="shared" si="2795"/>
        <v>0</v>
      </c>
      <c r="AK1322" s="2188">
        <f t="shared" si="2776"/>
        <v>0</v>
      </c>
      <c r="AL1322" s="2188">
        <f t="shared" si="2776"/>
        <v>0</v>
      </c>
      <c r="AM1322" s="2186">
        <f t="shared" si="2796"/>
        <v>0</v>
      </c>
      <c r="AN1322" s="2188">
        <f t="shared" si="2777"/>
        <v>0</v>
      </c>
      <c r="AO1322" s="2188">
        <f t="shared" si="2777"/>
        <v>0</v>
      </c>
      <c r="AP1322" s="2186">
        <f t="shared" si="2797"/>
        <v>0</v>
      </c>
      <c r="AQ1322" s="2188">
        <f t="shared" si="2778"/>
        <v>0</v>
      </c>
      <c r="AR1322" s="2188">
        <f t="shared" si="2778"/>
        <v>0</v>
      </c>
      <c r="AS1322" s="2186">
        <f t="shared" si="2798"/>
        <v>0</v>
      </c>
      <c r="AT1322" s="2188">
        <f t="shared" si="2779"/>
        <v>0</v>
      </c>
      <c r="AU1322" s="2188">
        <f t="shared" si="2779"/>
        <v>0</v>
      </c>
      <c r="AV1322" s="2186">
        <f t="shared" si="2799"/>
        <v>0</v>
      </c>
      <c r="AW1322" s="2188">
        <f t="shared" si="2780"/>
        <v>0</v>
      </c>
      <c r="AX1322" s="2188">
        <f t="shared" si="2780"/>
        <v>0</v>
      </c>
      <c r="AY1322" s="2186">
        <f t="shared" si="2800"/>
        <v>0</v>
      </c>
      <c r="AZ1322" s="2188">
        <f t="shared" si="2781"/>
        <v>0</v>
      </c>
      <c r="BA1322" s="2188">
        <f t="shared" si="2781"/>
        <v>0</v>
      </c>
      <c r="BB1322" s="2186">
        <f t="shared" si="2801"/>
        <v>0</v>
      </c>
      <c r="BC1322" s="2188">
        <f t="shared" si="2782"/>
        <v>0</v>
      </c>
      <c r="BD1322" s="2188">
        <f t="shared" si="2782"/>
        <v>0</v>
      </c>
      <c r="BE1322" s="2186">
        <f t="shared" si="2802"/>
        <v>0</v>
      </c>
      <c r="BF1322" s="2188">
        <f t="shared" si="2783"/>
        <v>0</v>
      </c>
      <c r="BG1322" s="2188">
        <f t="shared" si="2783"/>
        <v>0</v>
      </c>
      <c r="BH1322" s="2186">
        <f t="shared" si="2803"/>
        <v>0</v>
      </c>
      <c r="BI1322" s="2188">
        <f t="shared" si="2784"/>
        <v>0</v>
      </c>
      <c r="BJ1322" s="2188">
        <f t="shared" si="2784"/>
        <v>0</v>
      </c>
      <c r="BK1322" s="2186">
        <f t="shared" si="2804"/>
        <v>0</v>
      </c>
      <c r="BL1322" s="2188">
        <f t="shared" si="2785"/>
        <v>0</v>
      </c>
      <c r="BM1322" s="2188">
        <f t="shared" si="2785"/>
        <v>0</v>
      </c>
      <c r="BN1322" s="2186">
        <f t="shared" si="2805"/>
        <v>0</v>
      </c>
      <c r="BO1322" s="2188">
        <f t="shared" si="2786"/>
        <v>0</v>
      </c>
      <c r="BP1322" s="2188">
        <f t="shared" si="2786"/>
        <v>0</v>
      </c>
      <c r="BQ1322" s="2186">
        <f t="shared" si="2806"/>
        <v>0</v>
      </c>
    </row>
    <row r="1323" spans="3:69" s="2087" customFormat="1" ht="12" hidden="1" customHeight="1">
      <c r="C1323" s="2489" t="s">
        <v>3516</v>
      </c>
      <c r="D1323" s="2375" t="s">
        <v>3482</v>
      </c>
      <c r="E1323" s="2250" t="s">
        <v>3507</v>
      </c>
      <c r="F1323" s="2176"/>
      <c r="G1323" s="2179">
        <f t="shared" si="2767"/>
        <v>0</v>
      </c>
      <c r="H1323" s="2179">
        <f t="shared" si="2767"/>
        <v>0</v>
      </c>
      <c r="I1323" s="2178">
        <f t="shared" si="2787"/>
        <v>0</v>
      </c>
      <c r="J1323" s="2176"/>
      <c r="K1323" s="2179">
        <f t="shared" si="2768"/>
        <v>0</v>
      </c>
      <c r="L1323" s="2179">
        <f t="shared" si="2768"/>
        <v>0</v>
      </c>
      <c r="M1323" s="2178">
        <f t="shared" si="2788"/>
        <v>0</v>
      </c>
      <c r="N1323" s="2179">
        <f t="shared" si="2769"/>
        <v>0</v>
      </c>
      <c r="O1323" s="2179">
        <f t="shared" si="2769"/>
        <v>0</v>
      </c>
      <c r="P1323" s="2178">
        <f t="shared" si="2789"/>
        <v>0</v>
      </c>
      <c r="Q1323" s="2184">
        <f t="shared" si="2770"/>
        <v>0</v>
      </c>
      <c r="R1323" s="2179">
        <f t="shared" si="2770"/>
        <v>0</v>
      </c>
      <c r="S1323" s="2180">
        <f t="shared" si="2790"/>
        <v>0</v>
      </c>
      <c r="T1323" s="2181">
        <f t="shared" si="2771"/>
        <v>0</v>
      </c>
      <c r="U1323" s="2179">
        <f t="shared" si="2771"/>
        <v>0</v>
      </c>
      <c r="V1323" s="2178">
        <f t="shared" si="2791"/>
        <v>0</v>
      </c>
      <c r="W1323" s="2184">
        <f t="shared" si="2772"/>
        <v>0</v>
      </c>
      <c r="X1323" s="2179">
        <f t="shared" si="2772"/>
        <v>0</v>
      </c>
      <c r="Y1323" s="2180">
        <f t="shared" si="2792"/>
        <v>0</v>
      </c>
      <c r="Z1323" s="2181">
        <f t="shared" si="2773"/>
        <v>0</v>
      </c>
      <c r="AA1323" s="2179">
        <f t="shared" si="2773"/>
        <v>0</v>
      </c>
      <c r="AB1323" s="2178">
        <f t="shared" si="2793"/>
        <v>0</v>
      </c>
      <c r="AC1323" s="2184">
        <f t="shared" si="2774"/>
        <v>0</v>
      </c>
      <c r="AD1323" s="2179">
        <f t="shared" si="2774"/>
        <v>0</v>
      </c>
      <c r="AE1323" s="2180">
        <f t="shared" si="2794"/>
        <v>0</v>
      </c>
      <c r="AF1323" s="2281"/>
      <c r="AG1323" s="2114"/>
      <c r="AH1323" s="2188">
        <f t="shared" si="2775"/>
        <v>0</v>
      </c>
      <c r="AI1323" s="2188">
        <f t="shared" si="2775"/>
        <v>0</v>
      </c>
      <c r="AJ1323" s="2186">
        <f t="shared" si="2795"/>
        <v>0</v>
      </c>
      <c r="AK1323" s="2188">
        <f t="shared" si="2776"/>
        <v>0</v>
      </c>
      <c r="AL1323" s="2188">
        <f t="shared" si="2776"/>
        <v>0</v>
      </c>
      <c r="AM1323" s="2186">
        <f t="shared" si="2796"/>
        <v>0</v>
      </c>
      <c r="AN1323" s="2188">
        <f t="shared" si="2777"/>
        <v>0</v>
      </c>
      <c r="AO1323" s="2188">
        <f t="shared" si="2777"/>
        <v>0</v>
      </c>
      <c r="AP1323" s="2186">
        <f t="shared" si="2797"/>
        <v>0</v>
      </c>
      <c r="AQ1323" s="2188">
        <f t="shared" si="2778"/>
        <v>0</v>
      </c>
      <c r="AR1323" s="2188">
        <f t="shared" si="2778"/>
        <v>0</v>
      </c>
      <c r="AS1323" s="2186">
        <f t="shared" si="2798"/>
        <v>0</v>
      </c>
      <c r="AT1323" s="2188">
        <f t="shared" si="2779"/>
        <v>0</v>
      </c>
      <c r="AU1323" s="2188">
        <f t="shared" si="2779"/>
        <v>0</v>
      </c>
      <c r="AV1323" s="2186">
        <f t="shared" si="2799"/>
        <v>0</v>
      </c>
      <c r="AW1323" s="2188">
        <f t="shared" si="2780"/>
        <v>0</v>
      </c>
      <c r="AX1323" s="2188">
        <f t="shared" si="2780"/>
        <v>0</v>
      </c>
      <c r="AY1323" s="2186">
        <f t="shared" si="2800"/>
        <v>0</v>
      </c>
      <c r="AZ1323" s="2188">
        <f t="shared" si="2781"/>
        <v>0</v>
      </c>
      <c r="BA1323" s="2188">
        <f t="shared" si="2781"/>
        <v>0</v>
      </c>
      <c r="BB1323" s="2186">
        <f t="shared" si="2801"/>
        <v>0</v>
      </c>
      <c r="BC1323" s="2188">
        <f t="shared" si="2782"/>
        <v>0</v>
      </c>
      <c r="BD1323" s="2188">
        <f t="shared" si="2782"/>
        <v>0</v>
      </c>
      <c r="BE1323" s="2186">
        <f t="shared" si="2802"/>
        <v>0</v>
      </c>
      <c r="BF1323" s="2188">
        <f t="shared" si="2783"/>
        <v>0</v>
      </c>
      <c r="BG1323" s="2188">
        <f t="shared" si="2783"/>
        <v>0</v>
      </c>
      <c r="BH1323" s="2186">
        <f t="shared" si="2803"/>
        <v>0</v>
      </c>
      <c r="BI1323" s="2188">
        <f t="shared" si="2784"/>
        <v>0</v>
      </c>
      <c r="BJ1323" s="2188">
        <f t="shared" si="2784"/>
        <v>0</v>
      </c>
      <c r="BK1323" s="2186">
        <f t="shared" si="2804"/>
        <v>0</v>
      </c>
      <c r="BL1323" s="2188">
        <f t="shared" si="2785"/>
        <v>0</v>
      </c>
      <c r="BM1323" s="2188">
        <f t="shared" si="2785"/>
        <v>0</v>
      </c>
      <c r="BN1323" s="2186">
        <f t="shared" si="2805"/>
        <v>0</v>
      </c>
      <c r="BO1323" s="2188">
        <f t="shared" si="2786"/>
        <v>0</v>
      </c>
      <c r="BP1323" s="2188">
        <f t="shared" si="2786"/>
        <v>0</v>
      </c>
      <c r="BQ1323" s="2186">
        <f t="shared" si="2806"/>
        <v>0</v>
      </c>
    </row>
    <row r="1324" spans="3:69" s="2087" customFormat="1" ht="12" hidden="1" customHeight="1">
      <c r="C1324" s="2489" t="s">
        <v>3517</v>
      </c>
      <c r="D1324" s="2375" t="s">
        <v>3484</v>
      </c>
      <c r="E1324" s="2250" t="s">
        <v>3507</v>
      </c>
      <c r="F1324" s="2176"/>
      <c r="G1324" s="2179">
        <f t="shared" si="2767"/>
        <v>0</v>
      </c>
      <c r="H1324" s="2179">
        <f t="shared" si="2767"/>
        <v>0</v>
      </c>
      <c r="I1324" s="2178">
        <f t="shared" si="2787"/>
        <v>0</v>
      </c>
      <c r="J1324" s="2176"/>
      <c r="K1324" s="2179">
        <f t="shared" si="2768"/>
        <v>0</v>
      </c>
      <c r="L1324" s="2179">
        <f t="shared" si="2768"/>
        <v>0</v>
      </c>
      <c r="M1324" s="2178">
        <f t="shared" si="2788"/>
        <v>0</v>
      </c>
      <c r="N1324" s="2179">
        <f t="shared" si="2769"/>
        <v>0</v>
      </c>
      <c r="O1324" s="2179">
        <f t="shared" si="2769"/>
        <v>0</v>
      </c>
      <c r="P1324" s="2178">
        <f t="shared" si="2789"/>
        <v>0</v>
      </c>
      <c r="Q1324" s="2184">
        <f t="shared" si="2770"/>
        <v>0</v>
      </c>
      <c r="R1324" s="2179">
        <f t="shared" si="2770"/>
        <v>0</v>
      </c>
      <c r="S1324" s="2180">
        <f t="shared" si="2790"/>
        <v>0</v>
      </c>
      <c r="T1324" s="2181">
        <f t="shared" si="2771"/>
        <v>0</v>
      </c>
      <c r="U1324" s="2179">
        <f t="shared" si="2771"/>
        <v>0</v>
      </c>
      <c r="V1324" s="2178">
        <f t="shared" si="2791"/>
        <v>0</v>
      </c>
      <c r="W1324" s="2184">
        <f t="shared" si="2772"/>
        <v>0</v>
      </c>
      <c r="X1324" s="2179">
        <f t="shared" si="2772"/>
        <v>0</v>
      </c>
      <c r="Y1324" s="2180">
        <f t="shared" si="2792"/>
        <v>0</v>
      </c>
      <c r="Z1324" s="2181">
        <f t="shared" si="2773"/>
        <v>0</v>
      </c>
      <c r="AA1324" s="2179">
        <f t="shared" si="2773"/>
        <v>0</v>
      </c>
      <c r="AB1324" s="2178">
        <f t="shared" si="2793"/>
        <v>0</v>
      </c>
      <c r="AC1324" s="2184">
        <f t="shared" si="2774"/>
        <v>0</v>
      </c>
      <c r="AD1324" s="2179">
        <f t="shared" si="2774"/>
        <v>0</v>
      </c>
      <c r="AE1324" s="2180">
        <f t="shared" si="2794"/>
        <v>0</v>
      </c>
      <c r="AF1324" s="2281"/>
      <c r="AG1324" s="2114"/>
      <c r="AH1324" s="2188">
        <f t="shared" si="2775"/>
        <v>0</v>
      </c>
      <c r="AI1324" s="2188">
        <f t="shared" si="2775"/>
        <v>0</v>
      </c>
      <c r="AJ1324" s="2186">
        <f t="shared" si="2795"/>
        <v>0</v>
      </c>
      <c r="AK1324" s="2188">
        <f t="shared" si="2776"/>
        <v>0</v>
      </c>
      <c r="AL1324" s="2188">
        <f t="shared" si="2776"/>
        <v>0</v>
      </c>
      <c r="AM1324" s="2186">
        <f t="shared" si="2796"/>
        <v>0</v>
      </c>
      <c r="AN1324" s="2188">
        <f t="shared" si="2777"/>
        <v>0</v>
      </c>
      <c r="AO1324" s="2188">
        <f t="shared" si="2777"/>
        <v>0</v>
      </c>
      <c r="AP1324" s="2186">
        <f t="shared" si="2797"/>
        <v>0</v>
      </c>
      <c r="AQ1324" s="2188">
        <f t="shared" si="2778"/>
        <v>0</v>
      </c>
      <c r="AR1324" s="2188">
        <f t="shared" si="2778"/>
        <v>0</v>
      </c>
      <c r="AS1324" s="2186">
        <f t="shared" si="2798"/>
        <v>0</v>
      </c>
      <c r="AT1324" s="2188">
        <f t="shared" si="2779"/>
        <v>0</v>
      </c>
      <c r="AU1324" s="2188">
        <f t="shared" si="2779"/>
        <v>0</v>
      </c>
      <c r="AV1324" s="2186">
        <f t="shared" si="2799"/>
        <v>0</v>
      </c>
      <c r="AW1324" s="2188">
        <f t="shared" si="2780"/>
        <v>0</v>
      </c>
      <c r="AX1324" s="2188">
        <f t="shared" si="2780"/>
        <v>0</v>
      </c>
      <c r="AY1324" s="2186">
        <f t="shared" si="2800"/>
        <v>0</v>
      </c>
      <c r="AZ1324" s="2188">
        <f t="shared" si="2781"/>
        <v>0</v>
      </c>
      <c r="BA1324" s="2188">
        <f t="shared" si="2781"/>
        <v>0</v>
      </c>
      <c r="BB1324" s="2186">
        <f t="shared" si="2801"/>
        <v>0</v>
      </c>
      <c r="BC1324" s="2188">
        <f t="shared" si="2782"/>
        <v>0</v>
      </c>
      <c r="BD1324" s="2188">
        <f t="shared" si="2782"/>
        <v>0</v>
      </c>
      <c r="BE1324" s="2186">
        <f t="shared" si="2802"/>
        <v>0</v>
      </c>
      <c r="BF1324" s="2188">
        <f t="shared" si="2783"/>
        <v>0</v>
      </c>
      <c r="BG1324" s="2188">
        <f t="shared" si="2783"/>
        <v>0</v>
      </c>
      <c r="BH1324" s="2186">
        <f t="shared" si="2803"/>
        <v>0</v>
      </c>
      <c r="BI1324" s="2188">
        <f t="shared" si="2784"/>
        <v>0</v>
      </c>
      <c r="BJ1324" s="2188">
        <f t="shared" si="2784"/>
        <v>0</v>
      </c>
      <c r="BK1324" s="2186">
        <f t="shared" si="2804"/>
        <v>0</v>
      </c>
      <c r="BL1324" s="2188">
        <f t="shared" si="2785"/>
        <v>0</v>
      </c>
      <c r="BM1324" s="2188">
        <f t="shared" si="2785"/>
        <v>0</v>
      </c>
      <c r="BN1324" s="2186">
        <f t="shared" si="2805"/>
        <v>0</v>
      </c>
      <c r="BO1324" s="2188">
        <f t="shared" si="2786"/>
        <v>0</v>
      </c>
      <c r="BP1324" s="2188">
        <f t="shared" si="2786"/>
        <v>0</v>
      </c>
      <c r="BQ1324" s="2186">
        <f t="shared" si="2806"/>
        <v>0</v>
      </c>
    </row>
    <row r="1325" spans="3:69" s="2087" customFormat="1" ht="12" hidden="1" customHeight="1">
      <c r="C1325" s="2489" t="s">
        <v>3518</v>
      </c>
      <c r="D1325" s="2375" t="s">
        <v>3486</v>
      </c>
      <c r="E1325" s="2250" t="s">
        <v>3507</v>
      </c>
      <c r="F1325" s="2176"/>
      <c r="G1325" s="2179">
        <f t="shared" si="2767"/>
        <v>0</v>
      </c>
      <c r="H1325" s="2179">
        <f t="shared" si="2767"/>
        <v>0</v>
      </c>
      <c r="I1325" s="2178">
        <f t="shared" si="2787"/>
        <v>0</v>
      </c>
      <c r="J1325" s="2176"/>
      <c r="K1325" s="2179">
        <f t="shared" si="2768"/>
        <v>0</v>
      </c>
      <c r="L1325" s="2179">
        <f t="shared" si="2768"/>
        <v>0</v>
      </c>
      <c r="M1325" s="2178">
        <f t="shared" si="2788"/>
        <v>0</v>
      </c>
      <c r="N1325" s="2179">
        <f t="shared" si="2769"/>
        <v>0</v>
      </c>
      <c r="O1325" s="2179">
        <f t="shared" si="2769"/>
        <v>0</v>
      </c>
      <c r="P1325" s="2178">
        <f t="shared" si="2789"/>
        <v>0</v>
      </c>
      <c r="Q1325" s="2184">
        <f t="shared" si="2770"/>
        <v>0</v>
      </c>
      <c r="R1325" s="2179">
        <f t="shared" si="2770"/>
        <v>0</v>
      </c>
      <c r="S1325" s="2180">
        <f t="shared" si="2790"/>
        <v>0</v>
      </c>
      <c r="T1325" s="2181">
        <f t="shared" si="2771"/>
        <v>0</v>
      </c>
      <c r="U1325" s="2179">
        <f t="shared" si="2771"/>
        <v>0</v>
      </c>
      <c r="V1325" s="2178">
        <f t="shared" si="2791"/>
        <v>0</v>
      </c>
      <c r="W1325" s="2184">
        <f t="shared" si="2772"/>
        <v>0</v>
      </c>
      <c r="X1325" s="2179">
        <f t="shared" si="2772"/>
        <v>0</v>
      </c>
      <c r="Y1325" s="2180">
        <f t="shared" si="2792"/>
        <v>0</v>
      </c>
      <c r="Z1325" s="2181">
        <f t="shared" si="2773"/>
        <v>0</v>
      </c>
      <c r="AA1325" s="2179">
        <f t="shared" si="2773"/>
        <v>0</v>
      </c>
      <c r="AB1325" s="2178">
        <f t="shared" si="2793"/>
        <v>0</v>
      </c>
      <c r="AC1325" s="2184">
        <f t="shared" si="2774"/>
        <v>0</v>
      </c>
      <c r="AD1325" s="2179">
        <f t="shared" si="2774"/>
        <v>0</v>
      </c>
      <c r="AE1325" s="2180">
        <f t="shared" si="2794"/>
        <v>0</v>
      </c>
      <c r="AF1325" s="2281"/>
      <c r="AG1325" s="2114"/>
      <c r="AH1325" s="2188">
        <f t="shared" si="2775"/>
        <v>0</v>
      </c>
      <c r="AI1325" s="2188">
        <f t="shared" si="2775"/>
        <v>0</v>
      </c>
      <c r="AJ1325" s="2186">
        <f t="shared" si="2795"/>
        <v>0</v>
      </c>
      <c r="AK1325" s="2188">
        <f t="shared" si="2776"/>
        <v>0</v>
      </c>
      <c r="AL1325" s="2188">
        <f t="shared" si="2776"/>
        <v>0</v>
      </c>
      <c r="AM1325" s="2186">
        <f t="shared" si="2796"/>
        <v>0</v>
      </c>
      <c r="AN1325" s="2188">
        <f t="shared" si="2777"/>
        <v>0</v>
      </c>
      <c r="AO1325" s="2188">
        <f t="shared" si="2777"/>
        <v>0</v>
      </c>
      <c r="AP1325" s="2186">
        <f t="shared" si="2797"/>
        <v>0</v>
      </c>
      <c r="AQ1325" s="2188">
        <f t="shared" si="2778"/>
        <v>0</v>
      </c>
      <c r="AR1325" s="2188">
        <f t="shared" si="2778"/>
        <v>0</v>
      </c>
      <c r="AS1325" s="2186">
        <f t="shared" si="2798"/>
        <v>0</v>
      </c>
      <c r="AT1325" s="2188">
        <f t="shared" si="2779"/>
        <v>0</v>
      </c>
      <c r="AU1325" s="2188">
        <f t="shared" si="2779"/>
        <v>0</v>
      </c>
      <c r="AV1325" s="2186">
        <f t="shared" si="2799"/>
        <v>0</v>
      </c>
      <c r="AW1325" s="2188">
        <f t="shared" si="2780"/>
        <v>0</v>
      </c>
      <c r="AX1325" s="2188">
        <f t="shared" si="2780"/>
        <v>0</v>
      </c>
      <c r="AY1325" s="2186">
        <f t="shared" si="2800"/>
        <v>0</v>
      </c>
      <c r="AZ1325" s="2188">
        <f t="shared" si="2781"/>
        <v>0</v>
      </c>
      <c r="BA1325" s="2188">
        <f t="shared" si="2781"/>
        <v>0</v>
      </c>
      <c r="BB1325" s="2186">
        <f t="shared" si="2801"/>
        <v>0</v>
      </c>
      <c r="BC1325" s="2188">
        <f t="shared" si="2782"/>
        <v>0</v>
      </c>
      <c r="BD1325" s="2188">
        <f t="shared" si="2782"/>
        <v>0</v>
      </c>
      <c r="BE1325" s="2186">
        <f t="shared" si="2802"/>
        <v>0</v>
      </c>
      <c r="BF1325" s="2188">
        <f t="shared" si="2783"/>
        <v>0</v>
      </c>
      <c r="BG1325" s="2188">
        <f t="shared" si="2783"/>
        <v>0</v>
      </c>
      <c r="BH1325" s="2186">
        <f t="shared" si="2803"/>
        <v>0</v>
      </c>
      <c r="BI1325" s="2188">
        <f t="shared" si="2784"/>
        <v>0</v>
      </c>
      <c r="BJ1325" s="2188">
        <f t="shared" si="2784"/>
        <v>0</v>
      </c>
      <c r="BK1325" s="2186">
        <f t="shared" si="2804"/>
        <v>0</v>
      </c>
      <c r="BL1325" s="2188">
        <f t="shared" si="2785"/>
        <v>0</v>
      </c>
      <c r="BM1325" s="2188">
        <f t="shared" si="2785"/>
        <v>0</v>
      </c>
      <c r="BN1325" s="2186">
        <f t="shared" si="2805"/>
        <v>0</v>
      </c>
      <c r="BO1325" s="2188">
        <f t="shared" si="2786"/>
        <v>0</v>
      </c>
      <c r="BP1325" s="2188">
        <f t="shared" si="2786"/>
        <v>0</v>
      </c>
      <c r="BQ1325" s="2186">
        <f t="shared" si="2806"/>
        <v>0</v>
      </c>
    </row>
    <row r="1326" spans="3:69" s="2159" customFormat="1" ht="12" hidden="1" thickBot="1">
      <c r="C1326" s="2256" t="s">
        <v>3519</v>
      </c>
      <c r="D1326" s="2353" t="s">
        <v>3520</v>
      </c>
      <c r="E1326" s="2120" t="s">
        <v>3521</v>
      </c>
      <c r="F1326" s="2162"/>
      <c r="G1326" s="2163">
        <f t="shared" ref="G1326:H1332" si="2807">IFERROR(G1344/G1306*1000,0)</f>
        <v>0</v>
      </c>
      <c r="H1326" s="2163">
        <f t="shared" si="2807"/>
        <v>0</v>
      </c>
      <c r="I1326" s="2164">
        <f t="shared" si="2787"/>
        <v>0</v>
      </c>
      <c r="J1326" s="2162"/>
      <c r="K1326" s="2163">
        <f t="shared" ref="K1326:L1332" si="2808">IFERROR(K1344/K1306*1000,0)</f>
        <v>0</v>
      </c>
      <c r="L1326" s="2163">
        <f t="shared" si="2808"/>
        <v>0</v>
      </c>
      <c r="M1326" s="2164">
        <f t="shared" si="2788"/>
        <v>0</v>
      </c>
      <c r="N1326" s="2163">
        <f t="shared" ref="N1326:O1332" si="2809">IFERROR(N1344/N1306*1000,0)</f>
        <v>0</v>
      </c>
      <c r="O1326" s="2163">
        <f t="shared" si="2809"/>
        <v>0</v>
      </c>
      <c r="P1326" s="2164">
        <f t="shared" si="2789"/>
        <v>0</v>
      </c>
      <c r="Q1326" s="2165">
        <f t="shared" ref="Q1326:R1332" si="2810">IFERROR(Q1344/Q1306*1000,0)</f>
        <v>0</v>
      </c>
      <c r="R1326" s="2163">
        <f t="shared" si="2810"/>
        <v>0</v>
      </c>
      <c r="S1326" s="2166">
        <f t="shared" si="2790"/>
        <v>0</v>
      </c>
      <c r="T1326" s="2167">
        <f t="shared" ref="T1326:U1332" si="2811">IFERROR(T1344/T1306*1000,0)</f>
        <v>0</v>
      </c>
      <c r="U1326" s="2163">
        <f t="shared" si="2811"/>
        <v>0</v>
      </c>
      <c r="V1326" s="2164">
        <f t="shared" si="2791"/>
        <v>0</v>
      </c>
      <c r="W1326" s="2165">
        <f t="shared" ref="W1326:X1332" si="2812">IFERROR(W1344/W1306*1000,0)</f>
        <v>0</v>
      </c>
      <c r="X1326" s="2163">
        <f t="shared" si="2812"/>
        <v>0</v>
      </c>
      <c r="Y1326" s="2166">
        <f t="shared" si="2792"/>
        <v>0</v>
      </c>
      <c r="Z1326" s="2167">
        <f t="shared" ref="Z1326:AA1332" si="2813">IFERROR(Z1344/Z1306*1000,0)</f>
        <v>0</v>
      </c>
      <c r="AA1326" s="2163">
        <f t="shared" si="2813"/>
        <v>0</v>
      </c>
      <c r="AB1326" s="2164">
        <f t="shared" si="2793"/>
        <v>0</v>
      </c>
      <c r="AC1326" s="2165">
        <f t="shared" ref="AC1326:AD1332" si="2814">IFERROR(AC1344/AC1306*1000,0)</f>
        <v>0</v>
      </c>
      <c r="AD1326" s="2163">
        <f t="shared" si="2814"/>
        <v>0</v>
      </c>
      <c r="AE1326" s="2166">
        <f t="shared" si="2794"/>
        <v>0</v>
      </c>
      <c r="AF1326" s="2281"/>
      <c r="AG1326" s="2158"/>
      <c r="AH1326" s="2171">
        <f t="shared" ref="AH1326:AI1332" si="2815">IFERROR(AH1344/AH1306*1000,0)</f>
        <v>0</v>
      </c>
      <c r="AI1326" s="2171">
        <f t="shared" si="2815"/>
        <v>0</v>
      </c>
      <c r="AJ1326" s="2172">
        <f t="shared" si="2795"/>
        <v>0</v>
      </c>
      <c r="AK1326" s="2171">
        <f t="shared" ref="AK1326:AL1332" si="2816">IFERROR(AK1344/AK1306*1000,0)</f>
        <v>0</v>
      </c>
      <c r="AL1326" s="2171">
        <f t="shared" si="2816"/>
        <v>0</v>
      </c>
      <c r="AM1326" s="2172">
        <f t="shared" si="2796"/>
        <v>0</v>
      </c>
      <c r="AN1326" s="2171">
        <f t="shared" ref="AN1326:AO1332" si="2817">IFERROR(AN1344/AN1306*1000,0)</f>
        <v>0</v>
      </c>
      <c r="AO1326" s="2171">
        <f t="shared" si="2817"/>
        <v>0</v>
      </c>
      <c r="AP1326" s="2172">
        <f t="shared" si="2797"/>
        <v>0</v>
      </c>
      <c r="AQ1326" s="2171">
        <f t="shared" ref="AQ1326:AR1332" si="2818">IFERROR(AQ1344/AQ1306*1000,0)</f>
        <v>0</v>
      </c>
      <c r="AR1326" s="2171">
        <f t="shared" si="2818"/>
        <v>0</v>
      </c>
      <c r="AS1326" s="2172">
        <f t="shared" si="2798"/>
        <v>0</v>
      </c>
      <c r="AT1326" s="2171">
        <f t="shared" ref="AT1326:AU1332" si="2819">IFERROR(AT1344/AT1306*1000,0)</f>
        <v>0</v>
      </c>
      <c r="AU1326" s="2171">
        <f t="shared" si="2819"/>
        <v>0</v>
      </c>
      <c r="AV1326" s="2172">
        <f t="shared" si="2799"/>
        <v>0</v>
      </c>
      <c r="AW1326" s="2171">
        <f t="shared" ref="AW1326:AX1332" si="2820">IFERROR(AW1344/AW1306*1000,0)</f>
        <v>0</v>
      </c>
      <c r="AX1326" s="2171">
        <f t="shared" si="2820"/>
        <v>0</v>
      </c>
      <c r="AY1326" s="2172">
        <f t="shared" si="2800"/>
        <v>0</v>
      </c>
      <c r="AZ1326" s="2171">
        <f t="shared" ref="AZ1326:BA1332" si="2821">IFERROR(AZ1344/AZ1306*1000,0)</f>
        <v>0</v>
      </c>
      <c r="BA1326" s="2171">
        <f t="shared" si="2821"/>
        <v>0</v>
      </c>
      <c r="BB1326" s="2172">
        <f t="shared" si="2801"/>
        <v>0</v>
      </c>
      <c r="BC1326" s="2171">
        <f t="shared" ref="BC1326:BD1332" si="2822">IFERROR(BC1344/BC1306*1000,0)</f>
        <v>0</v>
      </c>
      <c r="BD1326" s="2171">
        <f t="shared" si="2822"/>
        <v>0</v>
      </c>
      <c r="BE1326" s="2172">
        <f t="shared" si="2802"/>
        <v>0</v>
      </c>
      <c r="BF1326" s="2171">
        <f t="shared" ref="BF1326:BG1332" si="2823">IFERROR(BF1344/BF1306*1000,0)</f>
        <v>0</v>
      </c>
      <c r="BG1326" s="2171">
        <f t="shared" si="2823"/>
        <v>0</v>
      </c>
      <c r="BH1326" s="2172">
        <f t="shared" si="2803"/>
        <v>0</v>
      </c>
      <c r="BI1326" s="2171">
        <f t="shared" ref="BI1326:BJ1332" si="2824">IFERROR(BI1344/BI1306*1000,0)</f>
        <v>0</v>
      </c>
      <c r="BJ1326" s="2171">
        <f t="shared" si="2824"/>
        <v>0</v>
      </c>
      <c r="BK1326" s="2172">
        <f t="shared" si="2804"/>
        <v>0</v>
      </c>
      <c r="BL1326" s="2171">
        <f t="shared" ref="BL1326:BM1332" si="2825">IFERROR(BL1344/BL1306*1000,0)</f>
        <v>0</v>
      </c>
      <c r="BM1326" s="2171">
        <f t="shared" si="2825"/>
        <v>0</v>
      </c>
      <c r="BN1326" s="2172">
        <f t="shared" si="2805"/>
        <v>0</v>
      </c>
      <c r="BO1326" s="2171">
        <f t="shared" ref="BO1326:BP1332" si="2826">IFERROR(BO1344/BO1306*1000,0)</f>
        <v>0</v>
      </c>
      <c r="BP1326" s="2171">
        <f t="shared" si="2826"/>
        <v>0</v>
      </c>
      <c r="BQ1326" s="2172">
        <f t="shared" si="2806"/>
        <v>0</v>
      </c>
    </row>
    <row r="1327" spans="3:69" s="2087" customFormat="1" ht="12" hidden="1" customHeight="1">
      <c r="C1327" s="2173" t="s">
        <v>3522</v>
      </c>
      <c r="D1327" s="2174" t="s">
        <v>3513</v>
      </c>
      <c r="E1327" s="2250" t="s">
        <v>3521</v>
      </c>
      <c r="F1327" s="2176"/>
      <c r="G1327" s="2179">
        <f t="shared" si="2807"/>
        <v>0</v>
      </c>
      <c r="H1327" s="2179">
        <f t="shared" si="2807"/>
        <v>0</v>
      </c>
      <c r="I1327" s="2178">
        <f t="shared" si="2787"/>
        <v>0</v>
      </c>
      <c r="J1327" s="2176"/>
      <c r="K1327" s="2179">
        <f t="shared" si="2808"/>
        <v>0</v>
      </c>
      <c r="L1327" s="2179">
        <f t="shared" si="2808"/>
        <v>0</v>
      </c>
      <c r="M1327" s="2178">
        <f t="shared" si="2788"/>
        <v>0</v>
      </c>
      <c r="N1327" s="2179">
        <f t="shared" si="2809"/>
        <v>0</v>
      </c>
      <c r="O1327" s="2179">
        <f t="shared" si="2809"/>
        <v>0</v>
      </c>
      <c r="P1327" s="2178">
        <f t="shared" si="2789"/>
        <v>0</v>
      </c>
      <c r="Q1327" s="2184">
        <f t="shared" si="2810"/>
        <v>0</v>
      </c>
      <c r="R1327" s="2179">
        <f t="shared" si="2810"/>
        <v>0</v>
      </c>
      <c r="S1327" s="2180">
        <f t="shared" si="2790"/>
        <v>0</v>
      </c>
      <c r="T1327" s="2181">
        <f t="shared" si="2811"/>
        <v>0</v>
      </c>
      <c r="U1327" s="2179">
        <f t="shared" si="2811"/>
        <v>0</v>
      </c>
      <c r="V1327" s="2178">
        <f t="shared" si="2791"/>
        <v>0</v>
      </c>
      <c r="W1327" s="2184">
        <f t="shared" si="2812"/>
        <v>0</v>
      </c>
      <c r="X1327" s="2179">
        <f t="shared" si="2812"/>
        <v>0</v>
      </c>
      <c r="Y1327" s="2180">
        <f t="shared" si="2792"/>
        <v>0</v>
      </c>
      <c r="Z1327" s="2181">
        <f t="shared" si="2813"/>
        <v>0</v>
      </c>
      <c r="AA1327" s="2179">
        <f t="shared" si="2813"/>
        <v>0</v>
      </c>
      <c r="AB1327" s="2178">
        <f t="shared" si="2793"/>
        <v>0</v>
      </c>
      <c r="AC1327" s="2184">
        <f t="shared" si="2814"/>
        <v>0</v>
      </c>
      <c r="AD1327" s="2179">
        <f t="shared" si="2814"/>
        <v>0</v>
      </c>
      <c r="AE1327" s="2180">
        <f t="shared" si="2794"/>
        <v>0</v>
      </c>
      <c r="AF1327" s="2185"/>
      <c r="AG1327" s="2114"/>
      <c r="AH1327" s="2188">
        <f t="shared" si="2815"/>
        <v>0</v>
      </c>
      <c r="AI1327" s="2188">
        <f t="shared" si="2815"/>
        <v>0</v>
      </c>
      <c r="AJ1327" s="2186">
        <f t="shared" si="2795"/>
        <v>0</v>
      </c>
      <c r="AK1327" s="2188">
        <f t="shared" si="2816"/>
        <v>0</v>
      </c>
      <c r="AL1327" s="2188">
        <f t="shared" si="2816"/>
        <v>0</v>
      </c>
      <c r="AM1327" s="2186">
        <f t="shared" si="2796"/>
        <v>0</v>
      </c>
      <c r="AN1327" s="2188">
        <f t="shared" si="2817"/>
        <v>0</v>
      </c>
      <c r="AO1327" s="2188">
        <f t="shared" si="2817"/>
        <v>0</v>
      </c>
      <c r="AP1327" s="2186">
        <f t="shared" si="2797"/>
        <v>0</v>
      </c>
      <c r="AQ1327" s="2188">
        <f t="shared" si="2818"/>
        <v>0</v>
      </c>
      <c r="AR1327" s="2188">
        <f t="shared" si="2818"/>
        <v>0</v>
      </c>
      <c r="AS1327" s="2186">
        <f t="shared" si="2798"/>
        <v>0</v>
      </c>
      <c r="AT1327" s="2188">
        <f t="shared" si="2819"/>
        <v>0</v>
      </c>
      <c r="AU1327" s="2188">
        <f t="shared" si="2819"/>
        <v>0</v>
      </c>
      <c r="AV1327" s="2186">
        <f t="shared" si="2799"/>
        <v>0</v>
      </c>
      <c r="AW1327" s="2188">
        <f t="shared" si="2820"/>
        <v>0</v>
      </c>
      <c r="AX1327" s="2188">
        <f t="shared" si="2820"/>
        <v>0</v>
      </c>
      <c r="AY1327" s="2186">
        <f t="shared" si="2800"/>
        <v>0</v>
      </c>
      <c r="AZ1327" s="2188">
        <f t="shared" si="2821"/>
        <v>0</v>
      </c>
      <c r="BA1327" s="2188">
        <f t="shared" si="2821"/>
        <v>0</v>
      </c>
      <c r="BB1327" s="2186">
        <f t="shared" si="2801"/>
        <v>0</v>
      </c>
      <c r="BC1327" s="2188">
        <f t="shared" si="2822"/>
        <v>0</v>
      </c>
      <c r="BD1327" s="2188">
        <f t="shared" si="2822"/>
        <v>0</v>
      </c>
      <c r="BE1327" s="2186">
        <f t="shared" si="2802"/>
        <v>0</v>
      </c>
      <c r="BF1327" s="2188">
        <f t="shared" si="2823"/>
        <v>0</v>
      </c>
      <c r="BG1327" s="2188">
        <f t="shared" si="2823"/>
        <v>0</v>
      </c>
      <c r="BH1327" s="2186">
        <f t="shared" si="2803"/>
        <v>0</v>
      </c>
      <c r="BI1327" s="2188">
        <f t="shared" si="2824"/>
        <v>0</v>
      </c>
      <c r="BJ1327" s="2188">
        <f t="shared" si="2824"/>
        <v>0</v>
      </c>
      <c r="BK1327" s="2186">
        <f t="shared" si="2804"/>
        <v>0</v>
      </c>
      <c r="BL1327" s="2188">
        <f t="shared" si="2825"/>
        <v>0</v>
      </c>
      <c r="BM1327" s="2188">
        <f t="shared" si="2825"/>
        <v>0</v>
      </c>
      <c r="BN1327" s="2186">
        <f t="shared" si="2805"/>
        <v>0</v>
      </c>
      <c r="BO1327" s="2188">
        <f t="shared" si="2826"/>
        <v>0</v>
      </c>
      <c r="BP1327" s="2188">
        <f t="shared" si="2826"/>
        <v>0</v>
      </c>
      <c r="BQ1327" s="2186">
        <f t="shared" si="2806"/>
        <v>0</v>
      </c>
    </row>
    <row r="1328" spans="3:69" s="2087" customFormat="1" ht="12" hidden="1" customHeight="1">
      <c r="C1328" s="2173" t="s">
        <v>3523</v>
      </c>
      <c r="D1328" s="2174" t="s">
        <v>3524</v>
      </c>
      <c r="E1328" s="2250" t="s">
        <v>3521</v>
      </c>
      <c r="F1328" s="2176"/>
      <c r="G1328" s="2179">
        <f t="shared" si="2807"/>
        <v>0</v>
      </c>
      <c r="H1328" s="2179">
        <f t="shared" si="2807"/>
        <v>0</v>
      </c>
      <c r="I1328" s="2178">
        <f t="shared" si="2787"/>
        <v>0</v>
      </c>
      <c r="J1328" s="2176"/>
      <c r="K1328" s="2179">
        <f t="shared" si="2808"/>
        <v>0</v>
      </c>
      <c r="L1328" s="2179">
        <f t="shared" si="2808"/>
        <v>0</v>
      </c>
      <c r="M1328" s="2178">
        <f t="shared" si="2788"/>
        <v>0</v>
      </c>
      <c r="N1328" s="2179">
        <f t="shared" si="2809"/>
        <v>0</v>
      </c>
      <c r="O1328" s="2179">
        <f t="shared" si="2809"/>
        <v>0</v>
      </c>
      <c r="P1328" s="2178">
        <f t="shared" si="2789"/>
        <v>0</v>
      </c>
      <c r="Q1328" s="2184">
        <f t="shared" si="2810"/>
        <v>0</v>
      </c>
      <c r="R1328" s="2179">
        <f t="shared" si="2810"/>
        <v>0</v>
      </c>
      <c r="S1328" s="2180">
        <f t="shared" si="2790"/>
        <v>0</v>
      </c>
      <c r="T1328" s="2181">
        <f t="shared" si="2811"/>
        <v>0</v>
      </c>
      <c r="U1328" s="2179">
        <f t="shared" si="2811"/>
        <v>0</v>
      </c>
      <c r="V1328" s="2178">
        <f t="shared" si="2791"/>
        <v>0</v>
      </c>
      <c r="W1328" s="2184">
        <f t="shared" si="2812"/>
        <v>0</v>
      </c>
      <c r="X1328" s="2179">
        <f t="shared" si="2812"/>
        <v>0</v>
      </c>
      <c r="Y1328" s="2180">
        <f t="shared" si="2792"/>
        <v>0</v>
      </c>
      <c r="Z1328" s="2181">
        <f t="shared" si="2813"/>
        <v>0</v>
      </c>
      <c r="AA1328" s="2179">
        <f t="shared" si="2813"/>
        <v>0</v>
      </c>
      <c r="AB1328" s="2178">
        <f t="shared" si="2793"/>
        <v>0</v>
      </c>
      <c r="AC1328" s="2184">
        <f t="shared" si="2814"/>
        <v>0</v>
      </c>
      <c r="AD1328" s="2179">
        <f t="shared" si="2814"/>
        <v>0</v>
      </c>
      <c r="AE1328" s="2180">
        <f t="shared" si="2794"/>
        <v>0</v>
      </c>
      <c r="AF1328" s="2185"/>
      <c r="AG1328" s="2114"/>
      <c r="AH1328" s="2188">
        <f t="shared" si="2815"/>
        <v>0</v>
      </c>
      <c r="AI1328" s="2188">
        <f t="shared" si="2815"/>
        <v>0</v>
      </c>
      <c r="AJ1328" s="2186">
        <f t="shared" si="2795"/>
        <v>0</v>
      </c>
      <c r="AK1328" s="2188">
        <f t="shared" si="2816"/>
        <v>0</v>
      </c>
      <c r="AL1328" s="2188">
        <f t="shared" si="2816"/>
        <v>0</v>
      </c>
      <c r="AM1328" s="2186">
        <f t="shared" si="2796"/>
        <v>0</v>
      </c>
      <c r="AN1328" s="2188">
        <f t="shared" si="2817"/>
        <v>0</v>
      </c>
      <c r="AO1328" s="2188">
        <f t="shared" si="2817"/>
        <v>0</v>
      </c>
      <c r="AP1328" s="2186">
        <f t="shared" si="2797"/>
        <v>0</v>
      </c>
      <c r="AQ1328" s="2188">
        <f t="shared" si="2818"/>
        <v>0</v>
      </c>
      <c r="AR1328" s="2188">
        <f t="shared" si="2818"/>
        <v>0</v>
      </c>
      <c r="AS1328" s="2186">
        <f t="shared" si="2798"/>
        <v>0</v>
      </c>
      <c r="AT1328" s="2188">
        <f t="shared" si="2819"/>
        <v>0</v>
      </c>
      <c r="AU1328" s="2188">
        <f t="shared" si="2819"/>
        <v>0</v>
      </c>
      <c r="AV1328" s="2186">
        <f t="shared" si="2799"/>
        <v>0</v>
      </c>
      <c r="AW1328" s="2188">
        <f t="shared" si="2820"/>
        <v>0</v>
      </c>
      <c r="AX1328" s="2188">
        <f t="shared" si="2820"/>
        <v>0</v>
      </c>
      <c r="AY1328" s="2186">
        <f t="shared" si="2800"/>
        <v>0</v>
      </c>
      <c r="AZ1328" s="2188">
        <f t="shared" si="2821"/>
        <v>0</v>
      </c>
      <c r="BA1328" s="2188">
        <f t="shared" si="2821"/>
        <v>0</v>
      </c>
      <c r="BB1328" s="2186">
        <f t="shared" si="2801"/>
        <v>0</v>
      </c>
      <c r="BC1328" s="2188">
        <f t="shared" si="2822"/>
        <v>0</v>
      </c>
      <c r="BD1328" s="2188">
        <f t="shared" si="2822"/>
        <v>0</v>
      </c>
      <c r="BE1328" s="2186">
        <f t="shared" si="2802"/>
        <v>0</v>
      </c>
      <c r="BF1328" s="2188">
        <f t="shared" si="2823"/>
        <v>0</v>
      </c>
      <c r="BG1328" s="2188">
        <f t="shared" si="2823"/>
        <v>0</v>
      </c>
      <c r="BH1328" s="2186">
        <f t="shared" si="2803"/>
        <v>0</v>
      </c>
      <c r="BI1328" s="2188">
        <f t="shared" si="2824"/>
        <v>0</v>
      </c>
      <c r="BJ1328" s="2188">
        <f t="shared" si="2824"/>
        <v>0</v>
      </c>
      <c r="BK1328" s="2186">
        <f t="shared" si="2804"/>
        <v>0</v>
      </c>
      <c r="BL1328" s="2188">
        <f t="shared" si="2825"/>
        <v>0</v>
      </c>
      <c r="BM1328" s="2188">
        <f t="shared" si="2825"/>
        <v>0</v>
      </c>
      <c r="BN1328" s="2186">
        <f t="shared" si="2805"/>
        <v>0</v>
      </c>
      <c r="BO1328" s="2188">
        <f t="shared" si="2826"/>
        <v>0</v>
      </c>
      <c r="BP1328" s="2188">
        <f t="shared" si="2826"/>
        <v>0</v>
      </c>
      <c r="BQ1328" s="2186">
        <f t="shared" si="2806"/>
        <v>0</v>
      </c>
    </row>
    <row r="1329" spans="3:69" s="2159" customFormat="1" ht="12" hidden="1" customHeight="1">
      <c r="C1329" s="2173" t="s">
        <v>3525</v>
      </c>
      <c r="D1329" s="2490" t="s">
        <v>3493</v>
      </c>
      <c r="E1329" s="2250" t="s">
        <v>3521</v>
      </c>
      <c r="F1329" s="2176"/>
      <c r="G1329" s="2179">
        <f t="shared" si="2807"/>
        <v>0</v>
      </c>
      <c r="H1329" s="2179">
        <f t="shared" si="2807"/>
        <v>0</v>
      </c>
      <c r="I1329" s="2178">
        <f t="shared" si="2787"/>
        <v>0</v>
      </c>
      <c r="J1329" s="2176"/>
      <c r="K1329" s="2179">
        <f t="shared" si="2808"/>
        <v>0</v>
      </c>
      <c r="L1329" s="2179">
        <f t="shared" si="2808"/>
        <v>0</v>
      </c>
      <c r="M1329" s="2178">
        <f t="shared" si="2788"/>
        <v>0</v>
      </c>
      <c r="N1329" s="2179">
        <f t="shared" si="2809"/>
        <v>0</v>
      </c>
      <c r="O1329" s="2179">
        <f t="shared" si="2809"/>
        <v>0</v>
      </c>
      <c r="P1329" s="2178">
        <f t="shared" si="2789"/>
        <v>0</v>
      </c>
      <c r="Q1329" s="2184">
        <f t="shared" si="2810"/>
        <v>0</v>
      </c>
      <c r="R1329" s="2179">
        <f t="shared" si="2810"/>
        <v>0</v>
      </c>
      <c r="S1329" s="2180">
        <f t="shared" si="2790"/>
        <v>0</v>
      </c>
      <c r="T1329" s="2181">
        <f t="shared" si="2811"/>
        <v>0</v>
      </c>
      <c r="U1329" s="2179">
        <f t="shared" si="2811"/>
        <v>0</v>
      </c>
      <c r="V1329" s="2178">
        <f t="shared" si="2791"/>
        <v>0</v>
      </c>
      <c r="W1329" s="2184">
        <f t="shared" si="2812"/>
        <v>0</v>
      </c>
      <c r="X1329" s="2179">
        <f t="shared" si="2812"/>
        <v>0</v>
      </c>
      <c r="Y1329" s="2180">
        <f t="shared" si="2792"/>
        <v>0</v>
      </c>
      <c r="Z1329" s="2181">
        <f t="shared" si="2813"/>
        <v>0</v>
      </c>
      <c r="AA1329" s="2179">
        <f t="shared" si="2813"/>
        <v>0</v>
      </c>
      <c r="AB1329" s="2178">
        <f t="shared" si="2793"/>
        <v>0</v>
      </c>
      <c r="AC1329" s="2184">
        <f t="shared" si="2814"/>
        <v>0</v>
      </c>
      <c r="AD1329" s="2179">
        <f t="shared" si="2814"/>
        <v>0</v>
      </c>
      <c r="AE1329" s="2180">
        <f t="shared" si="2794"/>
        <v>0</v>
      </c>
      <c r="AF1329" s="2204"/>
      <c r="AG1329" s="2158"/>
      <c r="AH1329" s="2188">
        <f t="shared" si="2815"/>
        <v>0</v>
      </c>
      <c r="AI1329" s="2188">
        <f t="shared" si="2815"/>
        <v>0</v>
      </c>
      <c r="AJ1329" s="2186">
        <f t="shared" si="2795"/>
        <v>0</v>
      </c>
      <c r="AK1329" s="2188">
        <f t="shared" si="2816"/>
        <v>0</v>
      </c>
      <c r="AL1329" s="2188">
        <f t="shared" si="2816"/>
        <v>0</v>
      </c>
      <c r="AM1329" s="2186">
        <f t="shared" si="2796"/>
        <v>0</v>
      </c>
      <c r="AN1329" s="2188">
        <f t="shared" si="2817"/>
        <v>0</v>
      </c>
      <c r="AO1329" s="2188">
        <f t="shared" si="2817"/>
        <v>0</v>
      </c>
      <c r="AP1329" s="2186">
        <f t="shared" si="2797"/>
        <v>0</v>
      </c>
      <c r="AQ1329" s="2188">
        <f t="shared" si="2818"/>
        <v>0</v>
      </c>
      <c r="AR1329" s="2188">
        <f t="shared" si="2818"/>
        <v>0</v>
      </c>
      <c r="AS1329" s="2186">
        <f t="shared" si="2798"/>
        <v>0</v>
      </c>
      <c r="AT1329" s="2188">
        <f t="shared" si="2819"/>
        <v>0</v>
      </c>
      <c r="AU1329" s="2188">
        <f t="shared" si="2819"/>
        <v>0</v>
      </c>
      <c r="AV1329" s="2186">
        <f t="shared" si="2799"/>
        <v>0</v>
      </c>
      <c r="AW1329" s="2188">
        <f t="shared" si="2820"/>
        <v>0</v>
      </c>
      <c r="AX1329" s="2188">
        <f t="shared" si="2820"/>
        <v>0</v>
      </c>
      <c r="AY1329" s="2186">
        <f t="shared" si="2800"/>
        <v>0</v>
      </c>
      <c r="AZ1329" s="2188">
        <f t="shared" si="2821"/>
        <v>0</v>
      </c>
      <c r="BA1329" s="2188">
        <f t="shared" si="2821"/>
        <v>0</v>
      </c>
      <c r="BB1329" s="2186">
        <f t="shared" si="2801"/>
        <v>0</v>
      </c>
      <c r="BC1329" s="2188">
        <f t="shared" si="2822"/>
        <v>0</v>
      </c>
      <c r="BD1329" s="2188">
        <f t="shared" si="2822"/>
        <v>0</v>
      </c>
      <c r="BE1329" s="2186">
        <f t="shared" si="2802"/>
        <v>0</v>
      </c>
      <c r="BF1329" s="2188">
        <f t="shared" si="2823"/>
        <v>0</v>
      </c>
      <c r="BG1329" s="2188">
        <f t="shared" si="2823"/>
        <v>0</v>
      </c>
      <c r="BH1329" s="2186">
        <f t="shared" si="2803"/>
        <v>0</v>
      </c>
      <c r="BI1329" s="2188">
        <f t="shared" si="2824"/>
        <v>0</v>
      </c>
      <c r="BJ1329" s="2188">
        <f t="shared" si="2824"/>
        <v>0</v>
      </c>
      <c r="BK1329" s="2186">
        <f t="shared" si="2804"/>
        <v>0</v>
      </c>
      <c r="BL1329" s="2188">
        <f t="shared" si="2825"/>
        <v>0</v>
      </c>
      <c r="BM1329" s="2188">
        <f t="shared" si="2825"/>
        <v>0</v>
      </c>
      <c r="BN1329" s="2186">
        <f t="shared" si="2805"/>
        <v>0</v>
      </c>
      <c r="BO1329" s="2188">
        <f t="shared" si="2826"/>
        <v>0</v>
      </c>
      <c r="BP1329" s="2188">
        <f t="shared" si="2826"/>
        <v>0</v>
      </c>
      <c r="BQ1329" s="2186">
        <f t="shared" si="2806"/>
        <v>0</v>
      </c>
    </row>
    <row r="1330" spans="3:69" s="2087" customFormat="1" ht="12" hidden="1" customHeight="1">
      <c r="C1330" s="2173" t="s">
        <v>3526</v>
      </c>
      <c r="D1330" s="2490" t="s">
        <v>3495</v>
      </c>
      <c r="E1330" s="2250" t="s">
        <v>3521</v>
      </c>
      <c r="F1330" s="2176"/>
      <c r="G1330" s="2179">
        <f t="shared" si="2807"/>
        <v>0</v>
      </c>
      <c r="H1330" s="2179">
        <f t="shared" si="2807"/>
        <v>0</v>
      </c>
      <c r="I1330" s="2178">
        <f t="shared" si="2787"/>
        <v>0</v>
      </c>
      <c r="J1330" s="2176"/>
      <c r="K1330" s="2179">
        <f t="shared" si="2808"/>
        <v>0</v>
      </c>
      <c r="L1330" s="2179">
        <f t="shared" si="2808"/>
        <v>0</v>
      </c>
      <c r="M1330" s="2178">
        <f t="shared" si="2788"/>
        <v>0</v>
      </c>
      <c r="N1330" s="2179">
        <f t="shared" si="2809"/>
        <v>0</v>
      </c>
      <c r="O1330" s="2179">
        <f t="shared" si="2809"/>
        <v>0</v>
      </c>
      <c r="P1330" s="2178">
        <f t="shared" si="2789"/>
        <v>0</v>
      </c>
      <c r="Q1330" s="2184">
        <f t="shared" si="2810"/>
        <v>0</v>
      </c>
      <c r="R1330" s="2179">
        <f t="shared" si="2810"/>
        <v>0</v>
      </c>
      <c r="S1330" s="2180">
        <f t="shared" si="2790"/>
        <v>0</v>
      </c>
      <c r="T1330" s="2181">
        <f t="shared" si="2811"/>
        <v>0</v>
      </c>
      <c r="U1330" s="2179">
        <f t="shared" si="2811"/>
        <v>0</v>
      </c>
      <c r="V1330" s="2178">
        <f t="shared" si="2791"/>
        <v>0</v>
      </c>
      <c r="W1330" s="2184">
        <f t="shared" si="2812"/>
        <v>0</v>
      </c>
      <c r="X1330" s="2179">
        <f t="shared" si="2812"/>
        <v>0</v>
      </c>
      <c r="Y1330" s="2180">
        <f t="shared" si="2792"/>
        <v>0</v>
      </c>
      <c r="Z1330" s="2181">
        <f t="shared" si="2813"/>
        <v>0</v>
      </c>
      <c r="AA1330" s="2179">
        <f t="shared" si="2813"/>
        <v>0</v>
      </c>
      <c r="AB1330" s="2178">
        <f t="shared" si="2793"/>
        <v>0</v>
      </c>
      <c r="AC1330" s="2184">
        <f t="shared" si="2814"/>
        <v>0</v>
      </c>
      <c r="AD1330" s="2179">
        <f t="shared" si="2814"/>
        <v>0</v>
      </c>
      <c r="AE1330" s="2180">
        <f t="shared" si="2794"/>
        <v>0</v>
      </c>
      <c r="AF1330" s="2204"/>
      <c r="AG1330" s="2114"/>
      <c r="AH1330" s="2188">
        <f t="shared" si="2815"/>
        <v>0</v>
      </c>
      <c r="AI1330" s="2188">
        <f t="shared" si="2815"/>
        <v>0</v>
      </c>
      <c r="AJ1330" s="2186">
        <f t="shared" si="2795"/>
        <v>0</v>
      </c>
      <c r="AK1330" s="2188">
        <f t="shared" si="2816"/>
        <v>0</v>
      </c>
      <c r="AL1330" s="2188">
        <f t="shared" si="2816"/>
        <v>0</v>
      </c>
      <c r="AM1330" s="2186">
        <f t="shared" si="2796"/>
        <v>0</v>
      </c>
      <c r="AN1330" s="2188">
        <f t="shared" si="2817"/>
        <v>0</v>
      </c>
      <c r="AO1330" s="2188">
        <f t="shared" si="2817"/>
        <v>0</v>
      </c>
      <c r="AP1330" s="2186">
        <f t="shared" si="2797"/>
        <v>0</v>
      </c>
      <c r="AQ1330" s="2188">
        <f t="shared" si="2818"/>
        <v>0</v>
      </c>
      <c r="AR1330" s="2188">
        <f t="shared" si="2818"/>
        <v>0</v>
      </c>
      <c r="AS1330" s="2186">
        <f t="shared" si="2798"/>
        <v>0</v>
      </c>
      <c r="AT1330" s="2188">
        <f t="shared" si="2819"/>
        <v>0</v>
      </c>
      <c r="AU1330" s="2188">
        <f t="shared" si="2819"/>
        <v>0</v>
      </c>
      <c r="AV1330" s="2186">
        <f t="shared" si="2799"/>
        <v>0</v>
      </c>
      <c r="AW1330" s="2188">
        <f t="shared" si="2820"/>
        <v>0</v>
      </c>
      <c r="AX1330" s="2188">
        <f t="shared" si="2820"/>
        <v>0</v>
      </c>
      <c r="AY1330" s="2186">
        <f t="shared" si="2800"/>
        <v>0</v>
      </c>
      <c r="AZ1330" s="2188">
        <f t="shared" si="2821"/>
        <v>0</v>
      </c>
      <c r="BA1330" s="2188">
        <f t="shared" si="2821"/>
        <v>0</v>
      </c>
      <c r="BB1330" s="2186">
        <f t="shared" si="2801"/>
        <v>0</v>
      </c>
      <c r="BC1330" s="2188">
        <f t="shared" si="2822"/>
        <v>0</v>
      </c>
      <c r="BD1330" s="2188">
        <f t="shared" si="2822"/>
        <v>0</v>
      </c>
      <c r="BE1330" s="2186">
        <f t="shared" si="2802"/>
        <v>0</v>
      </c>
      <c r="BF1330" s="2188">
        <f t="shared" si="2823"/>
        <v>0</v>
      </c>
      <c r="BG1330" s="2188">
        <f t="shared" si="2823"/>
        <v>0</v>
      </c>
      <c r="BH1330" s="2186">
        <f t="shared" si="2803"/>
        <v>0</v>
      </c>
      <c r="BI1330" s="2188">
        <f t="shared" si="2824"/>
        <v>0</v>
      </c>
      <c r="BJ1330" s="2188">
        <f t="shared" si="2824"/>
        <v>0</v>
      </c>
      <c r="BK1330" s="2186">
        <f t="shared" si="2804"/>
        <v>0</v>
      </c>
      <c r="BL1330" s="2188">
        <f t="shared" si="2825"/>
        <v>0</v>
      </c>
      <c r="BM1330" s="2188">
        <f t="shared" si="2825"/>
        <v>0</v>
      </c>
      <c r="BN1330" s="2186">
        <f t="shared" si="2805"/>
        <v>0</v>
      </c>
      <c r="BO1330" s="2188">
        <f t="shared" si="2826"/>
        <v>0</v>
      </c>
      <c r="BP1330" s="2188">
        <f t="shared" si="2826"/>
        <v>0</v>
      </c>
      <c r="BQ1330" s="2186">
        <f t="shared" si="2806"/>
        <v>0</v>
      </c>
    </row>
    <row r="1331" spans="3:69" s="2087" customFormat="1" ht="12" hidden="1" customHeight="1">
      <c r="C1331" s="2173" t="s">
        <v>3527</v>
      </c>
      <c r="D1331" s="2490" t="s">
        <v>3497</v>
      </c>
      <c r="E1331" s="2250" t="s">
        <v>3521</v>
      </c>
      <c r="F1331" s="2176"/>
      <c r="G1331" s="2179">
        <f t="shared" si="2807"/>
        <v>0</v>
      </c>
      <c r="H1331" s="2179">
        <f t="shared" si="2807"/>
        <v>0</v>
      </c>
      <c r="I1331" s="2178">
        <f t="shared" si="2787"/>
        <v>0</v>
      </c>
      <c r="J1331" s="2176"/>
      <c r="K1331" s="2179">
        <f t="shared" si="2808"/>
        <v>0</v>
      </c>
      <c r="L1331" s="2179">
        <f t="shared" si="2808"/>
        <v>0</v>
      </c>
      <c r="M1331" s="2178">
        <f t="shared" si="2788"/>
        <v>0</v>
      </c>
      <c r="N1331" s="2179">
        <f t="shared" si="2809"/>
        <v>0</v>
      </c>
      <c r="O1331" s="2179">
        <f t="shared" si="2809"/>
        <v>0</v>
      </c>
      <c r="P1331" s="2178">
        <f t="shared" si="2789"/>
        <v>0</v>
      </c>
      <c r="Q1331" s="2184">
        <f t="shared" si="2810"/>
        <v>0</v>
      </c>
      <c r="R1331" s="2179">
        <f t="shared" si="2810"/>
        <v>0</v>
      </c>
      <c r="S1331" s="2180">
        <f t="shared" si="2790"/>
        <v>0</v>
      </c>
      <c r="T1331" s="2181">
        <f t="shared" si="2811"/>
        <v>0</v>
      </c>
      <c r="U1331" s="2179">
        <f t="shared" si="2811"/>
        <v>0</v>
      </c>
      <c r="V1331" s="2178">
        <f t="shared" si="2791"/>
        <v>0</v>
      </c>
      <c r="W1331" s="2184">
        <f t="shared" si="2812"/>
        <v>0</v>
      </c>
      <c r="X1331" s="2179">
        <f t="shared" si="2812"/>
        <v>0</v>
      </c>
      <c r="Y1331" s="2180">
        <f t="shared" si="2792"/>
        <v>0</v>
      </c>
      <c r="Z1331" s="2181">
        <f t="shared" si="2813"/>
        <v>0</v>
      </c>
      <c r="AA1331" s="2179">
        <f t="shared" si="2813"/>
        <v>0</v>
      </c>
      <c r="AB1331" s="2178">
        <f t="shared" si="2793"/>
        <v>0</v>
      </c>
      <c r="AC1331" s="2184">
        <f t="shared" si="2814"/>
        <v>0</v>
      </c>
      <c r="AD1331" s="2179">
        <f t="shared" si="2814"/>
        <v>0</v>
      </c>
      <c r="AE1331" s="2180">
        <f t="shared" si="2794"/>
        <v>0</v>
      </c>
      <c r="AF1331" s="2204"/>
      <c r="AG1331" s="2114"/>
      <c r="AH1331" s="2188">
        <f t="shared" si="2815"/>
        <v>0</v>
      </c>
      <c r="AI1331" s="2188">
        <f t="shared" si="2815"/>
        <v>0</v>
      </c>
      <c r="AJ1331" s="2186">
        <f t="shared" si="2795"/>
        <v>0</v>
      </c>
      <c r="AK1331" s="2188">
        <f t="shared" si="2816"/>
        <v>0</v>
      </c>
      <c r="AL1331" s="2188">
        <f t="shared" si="2816"/>
        <v>0</v>
      </c>
      <c r="AM1331" s="2186">
        <f t="shared" si="2796"/>
        <v>0</v>
      </c>
      <c r="AN1331" s="2188">
        <f t="shared" si="2817"/>
        <v>0</v>
      </c>
      <c r="AO1331" s="2188">
        <f t="shared" si="2817"/>
        <v>0</v>
      </c>
      <c r="AP1331" s="2186">
        <f t="shared" si="2797"/>
        <v>0</v>
      </c>
      <c r="AQ1331" s="2188">
        <f t="shared" si="2818"/>
        <v>0</v>
      </c>
      <c r="AR1331" s="2188">
        <f t="shared" si="2818"/>
        <v>0</v>
      </c>
      <c r="AS1331" s="2186">
        <f t="shared" si="2798"/>
        <v>0</v>
      </c>
      <c r="AT1331" s="2188">
        <f t="shared" si="2819"/>
        <v>0</v>
      </c>
      <c r="AU1331" s="2188">
        <f t="shared" si="2819"/>
        <v>0</v>
      </c>
      <c r="AV1331" s="2186">
        <f t="shared" si="2799"/>
        <v>0</v>
      </c>
      <c r="AW1331" s="2188">
        <f t="shared" si="2820"/>
        <v>0</v>
      </c>
      <c r="AX1331" s="2188">
        <f t="shared" si="2820"/>
        <v>0</v>
      </c>
      <c r="AY1331" s="2186">
        <f t="shared" si="2800"/>
        <v>0</v>
      </c>
      <c r="AZ1331" s="2188">
        <f t="shared" si="2821"/>
        <v>0</v>
      </c>
      <c r="BA1331" s="2188">
        <f t="shared" si="2821"/>
        <v>0</v>
      </c>
      <c r="BB1331" s="2186">
        <f t="shared" si="2801"/>
        <v>0</v>
      </c>
      <c r="BC1331" s="2188">
        <f t="shared" si="2822"/>
        <v>0</v>
      </c>
      <c r="BD1331" s="2188">
        <f t="shared" si="2822"/>
        <v>0</v>
      </c>
      <c r="BE1331" s="2186">
        <f t="shared" si="2802"/>
        <v>0</v>
      </c>
      <c r="BF1331" s="2188">
        <f t="shared" si="2823"/>
        <v>0</v>
      </c>
      <c r="BG1331" s="2188">
        <f t="shared" si="2823"/>
        <v>0</v>
      </c>
      <c r="BH1331" s="2186">
        <f t="shared" si="2803"/>
        <v>0</v>
      </c>
      <c r="BI1331" s="2188">
        <f t="shared" si="2824"/>
        <v>0</v>
      </c>
      <c r="BJ1331" s="2188">
        <f t="shared" si="2824"/>
        <v>0</v>
      </c>
      <c r="BK1331" s="2186">
        <f t="shared" si="2804"/>
        <v>0</v>
      </c>
      <c r="BL1331" s="2188">
        <f t="shared" si="2825"/>
        <v>0</v>
      </c>
      <c r="BM1331" s="2188">
        <f t="shared" si="2825"/>
        <v>0</v>
      </c>
      <c r="BN1331" s="2186">
        <f t="shared" si="2805"/>
        <v>0</v>
      </c>
      <c r="BO1331" s="2188">
        <f t="shared" si="2826"/>
        <v>0</v>
      </c>
      <c r="BP1331" s="2188">
        <f t="shared" si="2826"/>
        <v>0</v>
      </c>
      <c r="BQ1331" s="2186">
        <f t="shared" si="2806"/>
        <v>0</v>
      </c>
    </row>
    <row r="1332" spans="3:69" s="2159" customFormat="1" ht="23.25" hidden="1" thickBot="1">
      <c r="C1332" s="2256" t="s">
        <v>3528</v>
      </c>
      <c r="D1332" s="2161" t="s">
        <v>3529</v>
      </c>
      <c r="E1332" s="2120" t="s">
        <v>3220</v>
      </c>
      <c r="F1332" s="2162"/>
      <c r="G1332" s="2163">
        <f t="shared" si="2807"/>
        <v>0</v>
      </c>
      <c r="H1332" s="2163">
        <f t="shared" si="2807"/>
        <v>0</v>
      </c>
      <c r="I1332" s="2164">
        <f t="shared" si="2787"/>
        <v>0</v>
      </c>
      <c r="J1332" s="2162"/>
      <c r="K1332" s="2163">
        <f t="shared" si="2808"/>
        <v>0</v>
      </c>
      <c r="L1332" s="2163">
        <f t="shared" si="2808"/>
        <v>0</v>
      </c>
      <c r="M1332" s="2164">
        <f t="shared" si="2788"/>
        <v>0</v>
      </c>
      <c r="N1332" s="2163">
        <f t="shared" si="2809"/>
        <v>0</v>
      </c>
      <c r="O1332" s="2163">
        <f t="shared" si="2809"/>
        <v>0</v>
      </c>
      <c r="P1332" s="2164">
        <f t="shared" si="2789"/>
        <v>0</v>
      </c>
      <c r="Q1332" s="2165">
        <f t="shared" si="2810"/>
        <v>0</v>
      </c>
      <c r="R1332" s="2163">
        <f t="shared" si="2810"/>
        <v>0</v>
      </c>
      <c r="S1332" s="2166">
        <f t="shared" si="2790"/>
        <v>0</v>
      </c>
      <c r="T1332" s="2167">
        <f t="shared" si="2811"/>
        <v>0</v>
      </c>
      <c r="U1332" s="2163">
        <f t="shared" si="2811"/>
        <v>0</v>
      </c>
      <c r="V1332" s="2164">
        <f t="shared" si="2791"/>
        <v>0</v>
      </c>
      <c r="W1332" s="2165">
        <f t="shared" si="2812"/>
        <v>0</v>
      </c>
      <c r="X1332" s="2163">
        <f t="shared" si="2812"/>
        <v>0</v>
      </c>
      <c r="Y1332" s="2166">
        <f t="shared" si="2792"/>
        <v>0</v>
      </c>
      <c r="Z1332" s="2167">
        <f t="shared" si="2813"/>
        <v>0</v>
      </c>
      <c r="AA1332" s="2163">
        <f t="shared" si="2813"/>
        <v>0</v>
      </c>
      <c r="AB1332" s="2164">
        <f t="shared" si="2793"/>
        <v>0</v>
      </c>
      <c r="AC1332" s="2165">
        <f t="shared" si="2814"/>
        <v>0</v>
      </c>
      <c r="AD1332" s="2163">
        <f t="shared" si="2814"/>
        <v>0</v>
      </c>
      <c r="AE1332" s="2166">
        <f t="shared" si="2794"/>
        <v>0</v>
      </c>
      <c r="AF1332" s="2204"/>
      <c r="AG1332" s="2158"/>
      <c r="AH1332" s="2171">
        <f t="shared" si="2815"/>
        <v>0</v>
      </c>
      <c r="AI1332" s="2171">
        <f t="shared" si="2815"/>
        <v>0</v>
      </c>
      <c r="AJ1332" s="2172">
        <f t="shared" si="2795"/>
        <v>0</v>
      </c>
      <c r="AK1332" s="2171">
        <f t="shared" si="2816"/>
        <v>0</v>
      </c>
      <c r="AL1332" s="2171">
        <f t="shared" si="2816"/>
        <v>0</v>
      </c>
      <c r="AM1332" s="2172">
        <f t="shared" si="2796"/>
        <v>0</v>
      </c>
      <c r="AN1332" s="2171">
        <f t="shared" si="2817"/>
        <v>0</v>
      </c>
      <c r="AO1332" s="2171">
        <f t="shared" si="2817"/>
        <v>0</v>
      </c>
      <c r="AP1332" s="2172">
        <f t="shared" si="2797"/>
        <v>0</v>
      </c>
      <c r="AQ1332" s="2171">
        <f t="shared" si="2818"/>
        <v>0</v>
      </c>
      <c r="AR1332" s="2171">
        <f t="shared" si="2818"/>
        <v>0</v>
      </c>
      <c r="AS1332" s="2172">
        <f t="shared" si="2798"/>
        <v>0</v>
      </c>
      <c r="AT1332" s="2171">
        <f t="shared" si="2819"/>
        <v>0</v>
      </c>
      <c r="AU1332" s="2171">
        <f t="shared" si="2819"/>
        <v>0</v>
      </c>
      <c r="AV1332" s="2172">
        <f t="shared" si="2799"/>
        <v>0</v>
      </c>
      <c r="AW1332" s="2171">
        <f t="shared" si="2820"/>
        <v>0</v>
      </c>
      <c r="AX1332" s="2171">
        <f t="shared" si="2820"/>
        <v>0</v>
      </c>
      <c r="AY1332" s="2172">
        <f t="shared" si="2800"/>
        <v>0</v>
      </c>
      <c r="AZ1332" s="2171">
        <f t="shared" si="2821"/>
        <v>0</v>
      </c>
      <c r="BA1332" s="2171">
        <f t="shared" si="2821"/>
        <v>0</v>
      </c>
      <c r="BB1332" s="2172">
        <f t="shared" si="2801"/>
        <v>0</v>
      </c>
      <c r="BC1332" s="2171">
        <f t="shared" si="2822"/>
        <v>0</v>
      </c>
      <c r="BD1332" s="2171">
        <f t="shared" si="2822"/>
        <v>0</v>
      </c>
      <c r="BE1332" s="2172">
        <f t="shared" si="2802"/>
        <v>0</v>
      </c>
      <c r="BF1332" s="2171">
        <f t="shared" si="2823"/>
        <v>0</v>
      </c>
      <c r="BG1332" s="2171">
        <f t="shared" si="2823"/>
        <v>0</v>
      </c>
      <c r="BH1332" s="2172">
        <f t="shared" si="2803"/>
        <v>0</v>
      </c>
      <c r="BI1332" s="2171">
        <f t="shared" si="2824"/>
        <v>0</v>
      </c>
      <c r="BJ1332" s="2171">
        <f t="shared" si="2824"/>
        <v>0</v>
      </c>
      <c r="BK1332" s="2172">
        <f t="shared" si="2804"/>
        <v>0</v>
      </c>
      <c r="BL1332" s="2171">
        <f t="shared" si="2825"/>
        <v>0</v>
      </c>
      <c r="BM1332" s="2171">
        <f t="shared" si="2825"/>
        <v>0</v>
      </c>
      <c r="BN1332" s="2172">
        <f t="shared" si="2805"/>
        <v>0</v>
      </c>
      <c r="BO1332" s="2171">
        <f t="shared" si="2826"/>
        <v>0</v>
      </c>
      <c r="BP1332" s="2171">
        <f t="shared" si="2826"/>
        <v>0</v>
      </c>
      <c r="BQ1332" s="2172">
        <f t="shared" si="2806"/>
        <v>0</v>
      </c>
    </row>
    <row r="1333" spans="3:69" s="2159" customFormat="1" ht="12" hidden="1" customHeight="1">
      <c r="C1333" s="2147" t="s">
        <v>3530</v>
      </c>
      <c r="D1333" s="2148" t="s">
        <v>1420</v>
      </c>
      <c r="E1333" s="2149"/>
      <c r="F1333" s="2150"/>
      <c r="G1333" s="2151"/>
      <c r="H1333" s="2151"/>
      <c r="I1333" s="2152"/>
      <c r="J1333" s="2150"/>
      <c r="K1333" s="2151"/>
      <c r="L1333" s="2151"/>
      <c r="M1333" s="2152"/>
      <c r="N1333" s="2151"/>
      <c r="O1333" s="2151"/>
      <c r="P1333" s="2152"/>
      <c r="Q1333" s="2150"/>
      <c r="R1333" s="2151"/>
      <c r="S1333" s="2153"/>
      <c r="T1333" s="2154"/>
      <c r="U1333" s="2151"/>
      <c r="V1333" s="2152"/>
      <c r="W1333" s="2150"/>
      <c r="X1333" s="2151"/>
      <c r="Y1333" s="2153"/>
      <c r="Z1333" s="2154"/>
      <c r="AA1333" s="2151"/>
      <c r="AB1333" s="2152"/>
      <c r="AC1333" s="2150"/>
      <c r="AD1333" s="2151"/>
      <c r="AE1333" s="2153"/>
      <c r="AF1333" s="2157"/>
      <c r="AG1333" s="2158"/>
      <c r="AH1333" s="2151"/>
      <c r="AI1333" s="2151"/>
      <c r="AJ1333" s="2152"/>
      <c r="AK1333" s="2151"/>
      <c r="AL1333" s="2151"/>
      <c r="AM1333" s="2152"/>
      <c r="AN1333" s="2151"/>
      <c r="AO1333" s="2151"/>
      <c r="AP1333" s="2152"/>
      <c r="AQ1333" s="2151"/>
      <c r="AR1333" s="2151"/>
      <c r="AS1333" s="2152"/>
      <c r="AT1333" s="2151"/>
      <c r="AU1333" s="2151"/>
      <c r="AV1333" s="2152"/>
      <c r="AW1333" s="2151"/>
      <c r="AX1333" s="2151"/>
      <c r="AY1333" s="2152"/>
      <c r="AZ1333" s="2151"/>
      <c r="BA1333" s="2151"/>
      <c r="BB1333" s="2152"/>
      <c r="BC1333" s="2151"/>
      <c r="BD1333" s="2151"/>
      <c r="BE1333" s="2152"/>
      <c r="BF1333" s="2151"/>
      <c r="BG1333" s="2151"/>
      <c r="BH1333" s="2152"/>
      <c r="BI1333" s="2151"/>
      <c r="BJ1333" s="2151"/>
      <c r="BK1333" s="2152"/>
      <c r="BL1333" s="2151"/>
      <c r="BM1333" s="2151"/>
      <c r="BN1333" s="2152"/>
      <c r="BO1333" s="2151"/>
      <c r="BP1333" s="2151"/>
      <c r="BQ1333" s="2152"/>
    </row>
    <row r="1334" spans="3:69" s="2159" customFormat="1" ht="12" hidden="1" thickBot="1">
      <c r="C1334" s="2256" t="s">
        <v>3531</v>
      </c>
      <c r="D1334" s="2353" t="s">
        <v>3532</v>
      </c>
      <c r="E1334" s="2120" t="s">
        <v>1833</v>
      </c>
      <c r="F1334" s="2162"/>
      <c r="G1334" s="2163">
        <f>G1339+G1340</f>
        <v>0</v>
      </c>
      <c r="H1334" s="2163">
        <f>H1339+H1340</f>
        <v>0</v>
      </c>
      <c r="I1334" s="2164">
        <f>H1334-G1334</f>
        <v>0</v>
      </c>
      <c r="J1334" s="2162"/>
      <c r="K1334" s="2163">
        <f t="shared" ref="K1334:L1349" si="2827">N1334+Q1334+W1334+AC1334</f>
        <v>0</v>
      </c>
      <c r="L1334" s="2163">
        <f t="shared" si="2827"/>
        <v>0</v>
      </c>
      <c r="M1334" s="2164">
        <f>L1334-K1334</f>
        <v>0</v>
      </c>
      <c r="N1334" s="2163">
        <f>N1339+N1340</f>
        <v>0</v>
      </c>
      <c r="O1334" s="2163">
        <f>O1339+O1340</f>
        <v>0</v>
      </c>
      <c r="P1334" s="2164">
        <f>O1334-N1334</f>
        <v>0</v>
      </c>
      <c r="Q1334" s="2165">
        <f>Q1339+Q1340</f>
        <v>0</v>
      </c>
      <c r="R1334" s="2163">
        <f>R1339+R1340</f>
        <v>0</v>
      </c>
      <c r="S1334" s="2166">
        <f>R1334-Q1334</f>
        <v>0</v>
      </c>
      <c r="T1334" s="2167">
        <f>N1334+Q1334</f>
        <v>0</v>
      </c>
      <c r="U1334" s="2163">
        <f>O1334+R1334</f>
        <v>0</v>
      </c>
      <c r="V1334" s="2164">
        <f>U1334-T1334</f>
        <v>0</v>
      </c>
      <c r="W1334" s="2165">
        <f>W1339+W1340</f>
        <v>0</v>
      </c>
      <c r="X1334" s="2163">
        <f>X1339+X1340</f>
        <v>0</v>
      </c>
      <c r="Y1334" s="2166">
        <f>X1334-W1334</f>
        <v>0</v>
      </c>
      <c r="Z1334" s="2167">
        <f>T1334+W1334</f>
        <v>0</v>
      </c>
      <c r="AA1334" s="2163">
        <f>U1334+X1334</f>
        <v>0</v>
      </c>
      <c r="AB1334" s="2164">
        <f>AA1334-Z1334</f>
        <v>0</v>
      </c>
      <c r="AC1334" s="2165">
        <f>AC1339+AC1340</f>
        <v>0</v>
      </c>
      <c r="AD1334" s="2163">
        <f>AD1339+AD1340</f>
        <v>0</v>
      </c>
      <c r="AE1334" s="2166">
        <f>AD1334-AC1334</f>
        <v>0</v>
      </c>
      <c r="AF1334" s="2204"/>
      <c r="AG1334" s="2158"/>
      <c r="AH1334" s="2171">
        <f>AH1339+AH1340</f>
        <v>0</v>
      </c>
      <c r="AI1334" s="2171">
        <f>AI1339+AI1340</f>
        <v>0</v>
      </c>
      <c r="AJ1334" s="2172">
        <f>AI1334-AH1334</f>
        <v>0</v>
      </c>
      <c r="AK1334" s="2171">
        <f>AK1339+AK1340</f>
        <v>0</v>
      </c>
      <c r="AL1334" s="2171">
        <f>AL1339+AL1340</f>
        <v>0</v>
      </c>
      <c r="AM1334" s="2172">
        <f>AL1334-AK1334</f>
        <v>0</v>
      </c>
      <c r="AN1334" s="2171">
        <f>AN1339+AN1340</f>
        <v>0</v>
      </c>
      <c r="AO1334" s="2171">
        <f>AO1339+AO1340</f>
        <v>0</v>
      </c>
      <c r="AP1334" s="2172">
        <f>AO1334-AN1334</f>
        <v>0</v>
      </c>
      <c r="AQ1334" s="2171">
        <f>AQ1339+AQ1340</f>
        <v>0</v>
      </c>
      <c r="AR1334" s="2171">
        <f>AR1339+AR1340</f>
        <v>0</v>
      </c>
      <c r="AS1334" s="2172">
        <f>AR1334-AQ1334</f>
        <v>0</v>
      </c>
      <c r="AT1334" s="2171">
        <f>AT1339+AT1340</f>
        <v>0</v>
      </c>
      <c r="AU1334" s="2171">
        <f>AU1339+AU1340</f>
        <v>0</v>
      </c>
      <c r="AV1334" s="2172">
        <f>AU1334-AT1334</f>
        <v>0</v>
      </c>
      <c r="AW1334" s="2171">
        <f>AW1339+AW1340</f>
        <v>0</v>
      </c>
      <c r="AX1334" s="2171">
        <f>AX1339+AX1340</f>
        <v>0</v>
      </c>
      <c r="AY1334" s="2172">
        <f>AX1334-AW1334</f>
        <v>0</v>
      </c>
      <c r="AZ1334" s="2171">
        <f>AZ1339+AZ1340</f>
        <v>0</v>
      </c>
      <c r="BA1334" s="2171">
        <f>BA1339+BA1340</f>
        <v>0</v>
      </c>
      <c r="BB1334" s="2172">
        <f>BA1334-AZ1334</f>
        <v>0</v>
      </c>
      <c r="BC1334" s="2171">
        <f>BC1339+BC1340</f>
        <v>0</v>
      </c>
      <c r="BD1334" s="2171">
        <f>BD1339+BD1340</f>
        <v>0</v>
      </c>
      <c r="BE1334" s="2172">
        <f>BD1334-BC1334</f>
        <v>0</v>
      </c>
      <c r="BF1334" s="2171">
        <f>BF1339+BF1340</f>
        <v>0</v>
      </c>
      <c r="BG1334" s="2171">
        <f>BG1339+BG1340</f>
        <v>0</v>
      </c>
      <c r="BH1334" s="2172">
        <f>BG1334-BF1334</f>
        <v>0</v>
      </c>
      <c r="BI1334" s="2171">
        <f>BI1339+BI1340</f>
        <v>0</v>
      </c>
      <c r="BJ1334" s="2171">
        <f>BJ1339+BJ1340</f>
        <v>0</v>
      </c>
      <c r="BK1334" s="2172">
        <f>BJ1334-BI1334</f>
        <v>0</v>
      </c>
      <c r="BL1334" s="2171">
        <f>BL1339+BL1340</f>
        <v>0</v>
      </c>
      <c r="BM1334" s="2171">
        <f>BM1339+BM1340</f>
        <v>0</v>
      </c>
      <c r="BN1334" s="2172">
        <f>BM1334-BL1334</f>
        <v>0</v>
      </c>
      <c r="BO1334" s="2171">
        <f>BO1339+BO1340</f>
        <v>0</v>
      </c>
      <c r="BP1334" s="2171">
        <f>BP1339+BP1340</f>
        <v>0</v>
      </c>
      <c r="BQ1334" s="2172">
        <f>BP1334-BO1334</f>
        <v>0</v>
      </c>
    </row>
    <row r="1335" spans="3:69" s="2087" customFormat="1" ht="12" hidden="1" customHeight="1">
      <c r="C1335" s="2173" t="s">
        <v>3533</v>
      </c>
      <c r="D1335" s="2375" t="s">
        <v>2221</v>
      </c>
      <c r="E1335" s="2250" t="s">
        <v>1833</v>
      </c>
      <c r="F1335" s="2176"/>
      <c r="G1335" s="2177"/>
      <c r="H1335" s="2177"/>
      <c r="I1335" s="2178">
        <f t="shared" ref="I1335:I1343" si="2828">H1335-G1335</f>
        <v>0</v>
      </c>
      <c r="J1335" s="2176"/>
      <c r="K1335" s="2179">
        <f t="shared" si="2827"/>
        <v>0</v>
      </c>
      <c r="L1335" s="2179">
        <f t="shared" si="2827"/>
        <v>0</v>
      </c>
      <c r="M1335" s="2178">
        <f t="shared" ref="M1335:M1343" si="2829">L1335-K1335</f>
        <v>0</v>
      </c>
      <c r="N1335" s="2177"/>
      <c r="O1335" s="2177"/>
      <c r="P1335" s="2178">
        <f t="shared" ref="P1335:P1343" si="2830">O1335-N1335</f>
        <v>0</v>
      </c>
      <c r="Q1335" s="2176"/>
      <c r="R1335" s="2177"/>
      <c r="S1335" s="2180">
        <f t="shared" ref="S1335:S1343" si="2831">R1335-Q1335</f>
        <v>0</v>
      </c>
      <c r="T1335" s="2181">
        <f t="shared" ref="T1335:U1343" si="2832">N1335+Q1335</f>
        <v>0</v>
      </c>
      <c r="U1335" s="2179">
        <f t="shared" si="2832"/>
        <v>0</v>
      </c>
      <c r="V1335" s="2178">
        <f t="shared" ref="V1335:V1343" si="2833">U1335-T1335</f>
        <v>0</v>
      </c>
      <c r="W1335" s="2176"/>
      <c r="X1335" s="2177"/>
      <c r="Y1335" s="2180">
        <f t="shared" ref="Y1335:Y1343" si="2834">X1335-W1335</f>
        <v>0</v>
      </c>
      <c r="Z1335" s="2181">
        <f t="shared" ref="Z1335:AA1343" si="2835">T1335+W1335</f>
        <v>0</v>
      </c>
      <c r="AA1335" s="2179">
        <f t="shared" si="2835"/>
        <v>0</v>
      </c>
      <c r="AB1335" s="2178">
        <f t="shared" ref="AB1335:AB1343" si="2836">AA1335-Z1335</f>
        <v>0</v>
      </c>
      <c r="AC1335" s="2176"/>
      <c r="AD1335" s="2177"/>
      <c r="AE1335" s="2180">
        <f t="shared" ref="AE1335:AE1343" si="2837">AD1335-AC1335</f>
        <v>0</v>
      </c>
      <c r="AF1335" s="2281"/>
      <c r="AG1335" s="2114"/>
      <c r="AH1335" s="2177"/>
      <c r="AI1335" s="2177"/>
      <c r="AJ1335" s="2186">
        <f t="shared" ref="AJ1335:AJ1343" si="2838">AI1335-AH1335</f>
        <v>0</v>
      </c>
      <c r="AK1335" s="2177"/>
      <c r="AL1335" s="2177"/>
      <c r="AM1335" s="2186">
        <f t="shared" ref="AM1335:AM1343" si="2839">AL1335-AK1335</f>
        <v>0</v>
      </c>
      <c r="AN1335" s="2177"/>
      <c r="AO1335" s="2177"/>
      <c r="AP1335" s="2186">
        <f t="shared" ref="AP1335:AP1343" si="2840">AO1335-AN1335</f>
        <v>0</v>
      </c>
      <c r="AQ1335" s="2177"/>
      <c r="AR1335" s="2177"/>
      <c r="AS1335" s="2186">
        <f t="shared" ref="AS1335:AS1343" si="2841">AR1335-AQ1335</f>
        <v>0</v>
      </c>
      <c r="AT1335" s="2177"/>
      <c r="AU1335" s="2177"/>
      <c r="AV1335" s="2186">
        <f t="shared" ref="AV1335:AV1343" si="2842">AU1335-AT1335</f>
        <v>0</v>
      </c>
      <c r="AW1335" s="2177"/>
      <c r="AX1335" s="2177"/>
      <c r="AY1335" s="2186">
        <f t="shared" ref="AY1335:AY1343" si="2843">AX1335-AW1335</f>
        <v>0</v>
      </c>
      <c r="AZ1335" s="2177"/>
      <c r="BA1335" s="2177"/>
      <c r="BB1335" s="2186">
        <f t="shared" ref="BB1335:BB1343" si="2844">BA1335-AZ1335</f>
        <v>0</v>
      </c>
      <c r="BC1335" s="2177"/>
      <c r="BD1335" s="2177"/>
      <c r="BE1335" s="2186">
        <f t="shared" ref="BE1335:BE1343" si="2845">BD1335-BC1335</f>
        <v>0</v>
      </c>
      <c r="BF1335" s="2177"/>
      <c r="BG1335" s="2177"/>
      <c r="BH1335" s="2186">
        <f t="shared" ref="BH1335:BH1343" si="2846">BG1335-BF1335</f>
        <v>0</v>
      </c>
      <c r="BI1335" s="2177"/>
      <c r="BJ1335" s="2177"/>
      <c r="BK1335" s="2186">
        <f t="shared" ref="BK1335:BK1343" si="2847">BJ1335-BI1335</f>
        <v>0</v>
      </c>
      <c r="BL1335" s="2177"/>
      <c r="BM1335" s="2177"/>
      <c r="BN1335" s="2186">
        <f t="shared" ref="BN1335:BN1343" si="2848">BM1335-BL1335</f>
        <v>0</v>
      </c>
      <c r="BO1335" s="2177"/>
      <c r="BP1335" s="2177"/>
      <c r="BQ1335" s="2186">
        <f t="shared" ref="BQ1335:BQ1343" si="2849">BP1335-BO1335</f>
        <v>0</v>
      </c>
    </row>
    <row r="1336" spans="3:69" s="2087" customFormat="1" ht="12" hidden="1" customHeight="1">
      <c r="C1336" s="2173" t="s">
        <v>3534</v>
      </c>
      <c r="D1336" s="2375" t="s">
        <v>2223</v>
      </c>
      <c r="E1336" s="2250" t="s">
        <v>1833</v>
      </c>
      <c r="F1336" s="2176"/>
      <c r="G1336" s="2177"/>
      <c r="H1336" s="2177"/>
      <c r="I1336" s="2178">
        <f t="shared" si="2828"/>
        <v>0</v>
      </c>
      <c r="J1336" s="2176"/>
      <c r="K1336" s="2179">
        <f t="shared" si="2827"/>
        <v>0</v>
      </c>
      <c r="L1336" s="2179">
        <f t="shared" si="2827"/>
        <v>0</v>
      </c>
      <c r="M1336" s="2178">
        <f t="shared" si="2829"/>
        <v>0</v>
      </c>
      <c r="N1336" s="2177"/>
      <c r="O1336" s="2177"/>
      <c r="P1336" s="2178">
        <f t="shared" si="2830"/>
        <v>0</v>
      </c>
      <c r="Q1336" s="2176"/>
      <c r="R1336" s="2177"/>
      <c r="S1336" s="2180">
        <f t="shared" si="2831"/>
        <v>0</v>
      </c>
      <c r="T1336" s="2181">
        <f t="shared" si="2832"/>
        <v>0</v>
      </c>
      <c r="U1336" s="2179">
        <f t="shared" si="2832"/>
        <v>0</v>
      </c>
      <c r="V1336" s="2178">
        <f t="shared" si="2833"/>
        <v>0</v>
      </c>
      <c r="W1336" s="2176"/>
      <c r="X1336" s="2177"/>
      <c r="Y1336" s="2180">
        <f t="shared" si="2834"/>
        <v>0</v>
      </c>
      <c r="Z1336" s="2181">
        <f t="shared" si="2835"/>
        <v>0</v>
      </c>
      <c r="AA1336" s="2179">
        <f t="shared" si="2835"/>
        <v>0</v>
      </c>
      <c r="AB1336" s="2178">
        <f t="shared" si="2836"/>
        <v>0</v>
      </c>
      <c r="AC1336" s="2176"/>
      <c r="AD1336" s="2177"/>
      <c r="AE1336" s="2180">
        <f t="shared" si="2837"/>
        <v>0</v>
      </c>
      <c r="AF1336" s="2281"/>
      <c r="AG1336" s="2114"/>
      <c r="AH1336" s="2177"/>
      <c r="AI1336" s="2177"/>
      <c r="AJ1336" s="2186">
        <f t="shared" si="2838"/>
        <v>0</v>
      </c>
      <c r="AK1336" s="2177"/>
      <c r="AL1336" s="2177"/>
      <c r="AM1336" s="2186">
        <f t="shared" si="2839"/>
        <v>0</v>
      </c>
      <c r="AN1336" s="2177"/>
      <c r="AO1336" s="2177"/>
      <c r="AP1336" s="2186">
        <f t="shared" si="2840"/>
        <v>0</v>
      </c>
      <c r="AQ1336" s="2177"/>
      <c r="AR1336" s="2177"/>
      <c r="AS1336" s="2186">
        <f t="shared" si="2841"/>
        <v>0</v>
      </c>
      <c r="AT1336" s="2177"/>
      <c r="AU1336" s="2177"/>
      <c r="AV1336" s="2186">
        <f t="shared" si="2842"/>
        <v>0</v>
      </c>
      <c r="AW1336" s="2177"/>
      <c r="AX1336" s="2177"/>
      <c r="AY1336" s="2186">
        <f t="shared" si="2843"/>
        <v>0</v>
      </c>
      <c r="AZ1336" s="2177"/>
      <c r="BA1336" s="2177"/>
      <c r="BB1336" s="2186">
        <f t="shared" si="2844"/>
        <v>0</v>
      </c>
      <c r="BC1336" s="2177"/>
      <c r="BD1336" s="2177"/>
      <c r="BE1336" s="2186">
        <f t="shared" si="2845"/>
        <v>0</v>
      </c>
      <c r="BF1336" s="2177"/>
      <c r="BG1336" s="2177"/>
      <c r="BH1336" s="2186">
        <f t="shared" si="2846"/>
        <v>0</v>
      </c>
      <c r="BI1336" s="2177"/>
      <c r="BJ1336" s="2177"/>
      <c r="BK1336" s="2186">
        <f t="shared" si="2847"/>
        <v>0</v>
      </c>
      <c r="BL1336" s="2177"/>
      <c r="BM1336" s="2177"/>
      <c r="BN1336" s="2186">
        <f t="shared" si="2848"/>
        <v>0</v>
      </c>
      <c r="BO1336" s="2177"/>
      <c r="BP1336" s="2177"/>
      <c r="BQ1336" s="2186">
        <f t="shared" si="2849"/>
        <v>0</v>
      </c>
    </row>
    <row r="1337" spans="3:69" s="2087" customFormat="1" ht="12" hidden="1" customHeight="1">
      <c r="C1337" s="2173" t="s">
        <v>3535</v>
      </c>
      <c r="D1337" s="2375" t="s">
        <v>2225</v>
      </c>
      <c r="E1337" s="2250" t="s">
        <v>1833</v>
      </c>
      <c r="F1337" s="2176"/>
      <c r="G1337" s="2177"/>
      <c r="H1337" s="2177"/>
      <c r="I1337" s="2178">
        <f t="shared" si="2828"/>
        <v>0</v>
      </c>
      <c r="J1337" s="2176"/>
      <c r="K1337" s="2179">
        <f t="shared" si="2827"/>
        <v>0</v>
      </c>
      <c r="L1337" s="2179">
        <f t="shared" si="2827"/>
        <v>0</v>
      </c>
      <c r="M1337" s="2178">
        <f t="shared" si="2829"/>
        <v>0</v>
      </c>
      <c r="N1337" s="2177"/>
      <c r="O1337" s="2177"/>
      <c r="P1337" s="2178">
        <f t="shared" si="2830"/>
        <v>0</v>
      </c>
      <c r="Q1337" s="2176"/>
      <c r="R1337" s="2177"/>
      <c r="S1337" s="2180">
        <f t="shared" si="2831"/>
        <v>0</v>
      </c>
      <c r="T1337" s="2181">
        <f t="shared" si="2832"/>
        <v>0</v>
      </c>
      <c r="U1337" s="2179">
        <f t="shared" si="2832"/>
        <v>0</v>
      </c>
      <c r="V1337" s="2178">
        <f t="shared" si="2833"/>
        <v>0</v>
      </c>
      <c r="W1337" s="2176"/>
      <c r="X1337" s="2177"/>
      <c r="Y1337" s="2180">
        <f t="shared" si="2834"/>
        <v>0</v>
      </c>
      <c r="Z1337" s="2181">
        <f t="shared" si="2835"/>
        <v>0</v>
      </c>
      <c r="AA1337" s="2179">
        <f t="shared" si="2835"/>
        <v>0</v>
      </c>
      <c r="AB1337" s="2178">
        <f t="shared" si="2836"/>
        <v>0</v>
      </c>
      <c r="AC1337" s="2176"/>
      <c r="AD1337" s="2177"/>
      <c r="AE1337" s="2180">
        <f t="shared" si="2837"/>
        <v>0</v>
      </c>
      <c r="AF1337" s="2281"/>
      <c r="AG1337" s="2114"/>
      <c r="AH1337" s="2177"/>
      <c r="AI1337" s="2177"/>
      <c r="AJ1337" s="2186">
        <f t="shared" si="2838"/>
        <v>0</v>
      </c>
      <c r="AK1337" s="2177"/>
      <c r="AL1337" s="2177"/>
      <c r="AM1337" s="2186">
        <f t="shared" si="2839"/>
        <v>0</v>
      </c>
      <c r="AN1337" s="2177"/>
      <c r="AO1337" s="2177"/>
      <c r="AP1337" s="2186">
        <f t="shared" si="2840"/>
        <v>0</v>
      </c>
      <c r="AQ1337" s="2177"/>
      <c r="AR1337" s="2177"/>
      <c r="AS1337" s="2186">
        <f t="shared" si="2841"/>
        <v>0</v>
      </c>
      <c r="AT1337" s="2177"/>
      <c r="AU1337" s="2177"/>
      <c r="AV1337" s="2186">
        <f t="shared" si="2842"/>
        <v>0</v>
      </c>
      <c r="AW1337" s="2177"/>
      <c r="AX1337" s="2177"/>
      <c r="AY1337" s="2186">
        <f t="shared" si="2843"/>
        <v>0</v>
      </c>
      <c r="AZ1337" s="2177"/>
      <c r="BA1337" s="2177"/>
      <c r="BB1337" s="2186">
        <f t="shared" si="2844"/>
        <v>0</v>
      </c>
      <c r="BC1337" s="2177"/>
      <c r="BD1337" s="2177"/>
      <c r="BE1337" s="2186">
        <f t="shared" si="2845"/>
        <v>0</v>
      </c>
      <c r="BF1337" s="2177"/>
      <c r="BG1337" s="2177"/>
      <c r="BH1337" s="2186">
        <f t="shared" si="2846"/>
        <v>0</v>
      </c>
      <c r="BI1337" s="2177"/>
      <c r="BJ1337" s="2177"/>
      <c r="BK1337" s="2186">
        <f t="shared" si="2847"/>
        <v>0</v>
      </c>
      <c r="BL1337" s="2177"/>
      <c r="BM1337" s="2177"/>
      <c r="BN1337" s="2186">
        <f t="shared" si="2848"/>
        <v>0</v>
      </c>
      <c r="BO1337" s="2177"/>
      <c r="BP1337" s="2177"/>
      <c r="BQ1337" s="2186">
        <f t="shared" si="2849"/>
        <v>0</v>
      </c>
    </row>
    <row r="1338" spans="3:69" s="2087" customFormat="1" ht="12" hidden="1" customHeight="1">
      <c r="C1338" s="2173" t="s">
        <v>3536</v>
      </c>
      <c r="D1338" s="2375" t="s">
        <v>2227</v>
      </c>
      <c r="E1338" s="2250" t="s">
        <v>1833</v>
      </c>
      <c r="F1338" s="2176"/>
      <c r="G1338" s="2177"/>
      <c r="H1338" s="2177"/>
      <c r="I1338" s="2178">
        <f t="shared" si="2828"/>
        <v>0</v>
      </c>
      <c r="J1338" s="2176"/>
      <c r="K1338" s="2179">
        <f t="shared" si="2827"/>
        <v>0</v>
      </c>
      <c r="L1338" s="2179">
        <f t="shared" si="2827"/>
        <v>0</v>
      </c>
      <c r="M1338" s="2178">
        <f t="shared" si="2829"/>
        <v>0</v>
      </c>
      <c r="N1338" s="2177"/>
      <c r="O1338" s="2177"/>
      <c r="P1338" s="2178">
        <f t="shared" si="2830"/>
        <v>0</v>
      </c>
      <c r="Q1338" s="2176"/>
      <c r="R1338" s="2177"/>
      <c r="S1338" s="2180">
        <f t="shared" si="2831"/>
        <v>0</v>
      </c>
      <c r="T1338" s="2181">
        <f t="shared" si="2832"/>
        <v>0</v>
      </c>
      <c r="U1338" s="2179">
        <f t="shared" si="2832"/>
        <v>0</v>
      </c>
      <c r="V1338" s="2178">
        <f t="shared" si="2833"/>
        <v>0</v>
      </c>
      <c r="W1338" s="2176"/>
      <c r="X1338" s="2177"/>
      <c r="Y1338" s="2180">
        <f t="shared" si="2834"/>
        <v>0</v>
      </c>
      <c r="Z1338" s="2181">
        <f t="shared" si="2835"/>
        <v>0</v>
      </c>
      <c r="AA1338" s="2179">
        <f t="shared" si="2835"/>
        <v>0</v>
      </c>
      <c r="AB1338" s="2178">
        <f t="shared" si="2836"/>
        <v>0</v>
      </c>
      <c r="AC1338" s="2176"/>
      <c r="AD1338" s="2177"/>
      <c r="AE1338" s="2180">
        <f t="shared" si="2837"/>
        <v>0</v>
      </c>
      <c r="AF1338" s="2281"/>
      <c r="AG1338" s="2114"/>
      <c r="AH1338" s="2177"/>
      <c r="AI1338" s="2177"/>
      <c r="AJ1338" s="2186">
        <f t="shared" si="2838"/>
        <v>0</v>
      </c>
      <c r="AK1338" s="2177"/>
      <c r="AL1338" s="2177"/>
      <c r="AM1338" s="2186">
        <f t="shared" si="2839"/>
        <v>0</v>
      </c>
      <c r="AN1338" s="2177"/>
      <c r="AO1338" s="2177"/>
      <c r="AP1338" s="2186">
        <f t="shared" si="2840"/>
        <v>0</v>
      </c>
      <c r="AQ1338" s="2177"/>
      <c r="AR1338" s="2177"/>
      <c r="AS1338" s="2186">
        <f t="shared" si="2841"/>
        <v>0</v>
      </c>
      <c r="AT1338" s="2177"/>
      <c r="AU1338" s="2177"/>
      <c r="AV1338" s="2186">
        <f t="shared" si="2842"/>
        <v>0</v>
      </c>
      <c r="AW1338" s="2177"/>
      <c r="AX1338" s="2177"/>
      <c r="AY1338" s="2186">
        <f t="shared" si="2843"/>
        <v>0</v>
      </c>
      <c r="AZ1338" s="2177"/>
      <c r="BA1338" s="2177"/>
      <c r="BB1338" s="2186">
        <f t="shared" si="2844"/>
        <v>0</v>
      </c>
      <c r="BC1338" s="2177"/>
      <c r="BD1338" s="2177"/>
      <c r="BE1338" s="2186">
        <f t="shared" si="2845"/>
        <v>0</v>
      </c>
      <c r="BF1338" s="2177"/>
      <c r="BG1338" s="2177"/>
      <c r="BH1338" s="2186">
        <f t="shared" si="2846"/>
        <v>0</v>
      </c>
      <c r="BI1338" s="2177"/>
      <c r="BJ1338" s="2177"/>
      <c r="BK1338" s="2186">
        <f t="shared" si="2847"/>
        <v>0</v>
      </c>
      <c r="BL1338" s="2177"/>
      <c r="BM1338" s="2177"/>
      <c r="BN1338" s="2186">
        <f t="shared" si="2848"/>
        <v>0</v>
      </c>
      <c r="BO1338" s="2177"/>
      <c r="BP1338" s="2177"/>
      <c r="BQ1338" s="2186">
        <f t="shared" si="2849"/>
        <v>0</v>
      </c>
    </row>
    <row r="1339" spans="3:69" s="2087" customFormat="1" ht="12" hidden="1" customHeight="1">
      <c r="C1339" s="2173" t="s">
        <v>3537</v>
      </c>
      <c r="D1339" s="2174" t="s">
        <v>3538</v>
      </c>
      <c r="E1339" s="2250" t="s">
        <v>1833</v>
      </c>
      <c r="F1339" s="2176"/>
      <c r="G1339" s="2177"/>
      <c r="H1339" s="2177"/>
      <c r="I1339" s="2178">
        <f t="shared" si="2828"/>
        <v>0</v>
      </c>
      <c r="J1339" s="2176"/>
      <c r="K1339" s="2179">
        <f t="shared" si="2827"/>
        <v>0</v>
      </c>
      <c r="L1339" s="2179">
        <f t="shared" si="2827"/>
        <v>0</v>
      </c>
      <c r="M1339" s="2178">
        <f t="shared" si="2829"/>
        <v>0</v>
      </c>
      <c r="N1339" s="2177"/>
      <c r="O1339" s="2177"/>
      <c r="P1339" s="2178">
        <f t="shared" si="2830"/>
        <v>0</v>
      </c>
      <c r="Q1339" s="2176"/>
      <c r="R1339" s="2177"/>
      <c r="S1339" s="2180">
        <f t="shared" si="2831"/>
        <v>0</v>
      </c>
      <c r="T1339" s="2181">
        <f t="shared" si="2832"/>
        <v>0</v>
      </c>
      <c r="U1339" s="2179">
        <f t="shared" si="2832"/>
        <v>0</v>
      </c>
      <c r="V1339" s="2178">
        <f t="shared" si="2833"/>
        <v>0</v>
      </c>
      <c r="W1339" s="2176"/>
      <c r="X1339" s="2177"/>
      <c r="Y1339" s="2180">
        <f t="shared" si="2834"/>
        <v>0</v>
      </c>
      <c r="Z1339" s="2181">
        <f t="shared" si="2835"/>
        <v>0</v>
      </c>
      <c r="AA1339" s="2179">
        <f t="shared" si="2835"/>
        <v>0</v>
      </c>
      <c r="AB1339" s="2178">
        <f t="shared" si="2836"/>
        <v>0</v>
      </c>
      <c r="AC1339" s="2176"/>
      <c r="AD1339" s="2177"/>
      <c r="AE1339" s="2180">
        <f t="shared" si="2837"/>
        <v>0</v>
      </c>
      <c r="AF1339" s="2277"/>
      <c r="AG1339" s="2114"/>
      <c r="AH1339" s="2177"/>
      <c r="AI1339" s="2177"/>
      <c r="AJ1339" s="2186">
        <f t="shared" si="2838"/>
        <v>0</v>
      </c>
      <c r="AK1339" s="2177"/>
      <c r="AL1339" s="2177"/>
      <c r="AM1339" s="2186">
        <f t="shared" si="2839"/>
        <v>0</v>
      </c>
      <c r="AN1339" s="2177"/>
      <c r="AO1339" s="2177"/>
      <c r="AP1339" s="2186">
        <f t="shared" si="2840"/>
        <v>0</v>
      </c>
      <c r="AQ1339" s="2177"/>
      <c r="AR1339" s="2177"/>
      <c r="AS1339" s="2186">
        <f t="shared" si="2841"/>
        <v>0</v>
      </c>
      <c r="AT1339" s="2177"/>
      <c r="AU1339" s="2177"/>
      <c r="AV1339" s="2186">
        <f t="shared" si="2842"/>
        <v>0</v>
      </c>
      <c r="AW1339" s="2177"/>
      <c r="AX1339" s="2177"/>
      <c r="AY1339" s="2186">
        <f t="shared" si="2843"/>
        <v>0</v>
      </c>
      <c r="AZ1339" s="2177"/>
      <c r="BA1339" s="2177"/>
      <c r="BB1339" s="2186">
        <f t="shared" si="2844"/>
        <v>0</v>
      </c>
      <c r="BC1339" s="2177"/>
      <c r="BD1339" s="2177"/>
      <c r="BE1339" s="2186">
        <f t="shared" si="2845"/>
        <v>0</v>
      </c>
      <c r="BF1339" s="2177"/>
      <c r="BG1339" s="2177"/>
      <c r="BH1339" s="2186">
        <f t="shared" si="2846"/>
        <v>0</v>
      </c>
      <c r="BI1339" s="2177"/>
      <c r="BJ1339" s="2177"/>
      <c r="BK1339" s="2186">
        <f t="shared" si="2847"/>
        <v>0</v>
      </c>
      <c r="BL1339" s="2177"/>
      <c r="BM1339" s="2177"/>
      <c r="BN1339" s="2186">
        <f t="shared" si="2848"/>
        <v>0</v>
      </c>
      <c r="BO1339" s="2177"/>
      <c r="BP1339" s="2177"/>
      <c r="BQ1339" s="2186">
        <f t="shared" si="2849"/>
        <v>0</v>
      </c>
    </row>
    <row r="1340" spans="3:69" s="2087" customFormat="1" ht="12" hidden="1" customHeight="1">
      <c r="C1340" s="2173" t="s">
        <v>3539</v>
      </c>
      <c r="D1340" s="2174" t="s">
        <v>3540</v>
      </c>
      <c r="E1340" s="2250" t="s">
        <v>1833</v>
      </c>
      <c r="F1340" s="2176"/>
      <c r="G1340" s="2179">
        <f>G1341+G1342+G1343</f>
        <v>0</v>
      </c>
      <c r="H1340" s="2179">
        <f>H1341+H1342+H1343</f>
        <v>0</v>
      </c>
      <c r="I1340" s="2178">
        <f t="shared" si="2828"/>
        <v>0</v>
      </c>
      <c r="J1340" s="2176"/>
      <c r="K1340" s="2179">
        <f t="shared" si="2827"/>
        <v>0</v>
      </c>
      <c r="L1340" s="2179">
        <f t="shared" si="2827"/>
        <v>0</v>
      </c>
      <c r="M1340" s="2178">
        <f t="shared" si="2829"/>
        <v>0</v>
      </c>
      <c r="N1340" s="2179">
        <f>N1341+N1342+N1343</f>
        <v>0</v>
      </c>
      <c r="O1340" s="2179">
        <f>O1341+O1342+O1343</f>
        <v>0</v>
      </c>
      <c r="P1340" s="2178">
        <f t="shared" si="2830"/>
        <v>0</v>
      </c>
      <c r="Q1340" s="2184">
        <f>Q1341+Q1342+Q1343</f>
        <v>0</v>
      </c>
      <c r="R1340" s="2179">
        <f>R1341+R1342+R1343</f>
        <v>0</v>
      </c>
      <c r="S1340" s="2180">
        <f t="shared" si="2831"/>
        <v>0</v>
      </c>
      <c r="T1340" s="2181">
        <f t="shared" si="2832"/>
        <v>0</v>
      </c>
      <c r="U1340" s="2179">
        <f t="shared" si="2832"/>
        <v>0</v>
      </c>
      <c r="V1340" s="2178">
        <f t="shared" si="2833"/>
        <v>0</v>
      </c>
      <c r="W1340" s="2184">
        <f>W1341+W1342+W1343</f>
        <v>0</v>
      </c>
      <c r="X1340" s="2179">
        <f>X1341+X1342+X1343</f>
        <v>0</v>
      </c>
      <c r="Y1340" s="2180">
        <f t="shared" si="2834"/>
        <v>0</v>
      </c>
      <c r="Z1340" s="2181">
        <f t="shared" si="2835"/>
        <v>0</v>
      </c>
      <c r="AA1340" s="2179">
        <f t="shared" si="2835"/>
        <v>0</v>
      </c>
      <c r="AB1340" s="2178">
        <f t="shared" si="2836"/>
        <v>0</v>
      </c>
      <c r="AC1340" s="2184">
        <f>AC1341+AC1342+AC1343</f>
        <v>0</v>
      </c>
      <c r="AD1340" s="2179">
        <f>AD1341+AD1342+AD1343</f>
        <v>0</v>
      </c>
      <c r="AE1340" s="2180">
        <f t="shared" si="2837"/>
        <v>0</v>
      </c>
      <c r="AF1340" s="2277"/>
      <c r="AG1340" s="2114"/>
      <c r="AH1340" s="2188">
        <f>AH1341+AH1342+AH1343</f>
        <v>0</v>
      </c>
      <c r="AI1340" s="2188">
        <f>AI1341+AI1342+AI1343</f>
        <v>0</v>
      </c>
      <c r="AJ1340" s="2186">
        <f t="shared" si="2838"/>
        <v>0</v>
      </c>
      <c r="AK1340" s="2188">
        <f>AK1341+AK1342+AK1343</f>
        <v>0</v>
      </c>
      <c r="AL1340" s="2188">
        <f>AL1341+AL1342+AL1343</f>
        <v>0</v>
      </c>
      <c r="AM1340" s="2186">
        <f t="shared" si="2839"/>
        <v>0</v>
      </c>
      <c r="AN1340" s="2188">
        <f>AN1341+AN1342+AN1343</f>
        <v>0</v>
      </c>
      <c r="AO1340" s="2188">
        <f>AO1341+AO1342+AO1343</f>
        <v>0</v>
      </c>
      <c r="AP1340" s="2186">
        <f t="shared" si="2840"/>
        <v>0</v>
      </c>
      <c r="AQ1340" s="2188">
        <f>AQ1341+AQ1342+AQ1343</f>
        <v>0</v>
      </c>
      <c r="AR1340" s="2188">
        <f>AR1341+AR1342+AR1343</f>
        <v>0</v>
      </c>
      <c r="AS1340" s="2186">
        <f t="shared" si="2841"/>
        <v>0</v>
      </c>
      <c r="AT1340" s="2188">
        <f>AT1341+AT1342+AT1343</f>
        <v>0</v>
      </c>
      <c r="AU1340" s="2188">
        <f>AU1341+AU1342+AU1343</f>
        <v>0</v>
      </c>
      <c r="AV1340" s="2186">
        <f t="shared" si="2842"/>
        <v>0</v>
      </c>
      <c r="AW1340" s="2188">
        <f>AW1341+AW1342+AW1343</f>
        <v>0</v>
      </c>
      <c r="AX1340" s="2188">
        <f>AX1341+AX1342+AX1343</f>
        <v>0</v>
      </c>
      <c r="AY1340" s="2186">
        <f t="shared" si="2843"/>
        <v>0</v>
      </c>
      <c r="AZ1340" s="2188">
        <f>AZ1341+AZ1342+AZ1343</f>
        <v>0</v>
      </c>
      <c r="BA1340" s="2188">
        <f>BA1341+BA1342+BA1343</f>
        <v>0</v>
      </c>
      <c r="BB1340" s="2186">
        <f t="shared" si="2844"/>
        <v>0</v>
      </c>
      <c r="BC1340" s="2188">
        <f>BC1341+BC1342+BC1343</f>
        <v>0</v>
      </c>
      <c r="BD1340" s="2188">
        <f>BD1341+BD1342+BD1343</f>
        <v>0</v>
      </c>
      <c r="BE1340" s="2186">
        <f t="shared" si="2845"/>
        <v>0</v>
      </c>
      <c r="BF1340" s="2188">
        <f>BF1341+BF1342+BF1343</f>
        <v>0</v>
      </c>
      <c r="BG1340" s="2188">
        <f>BG1341+BG1342+BG1343</f>
        <v>0</v>
      </c>
      <c r="BH1340" s="2186">
        <f t="shared" si="2846"/>
        <v>0</v>
      </c>
      <c r="BI1340" s="2188">
        <f>BI1341+BI1342+BI1343</f>
        <v>0</v>
      </c>
      <c r="BJ1340" s="2188">
        <f>BJ1341+BJ1342+BJ1343</f>
        <v>0</v>
      </c>
      <c r="BK1340" s="2186">
        <f t="shared" si="2847"/>
        <v>0</v>
      </c>
      <c r="BL1340" s="2188">
        <f>BL1341+BL1342+BL1343</f>
        <v>0</v>
      </c>
      <c r="BM1340" s="2188">
        <f>BM1341+BM1342+BM1343</f>
        <v>0</v>
      </c>
      <c r="BN1340" s="2186">
        <f t="shared" si="2848"/>
        <v>0</v>
      </c>
      <c r="BO1340" s="2188">
        <f>BO1341+BO1342+BO1343</f>
        <v>0</v>
      </c>
      <c r="BP1340" s="2188">
        <f>BP1341+BP1342+BP1343</f>
        <v>0</v>
      </c>
      <c r="BQ1340" s="2186">
        <f t="shared" si="2849"/>
        <v>0</v>
      </c>
    </row>
    <row r="1341" spans="3:69" s="2087" customFormat="1" ht="12" hidden="1" customHeight="1">
      <c r="C1341" s="2489" t="s">
        <v>3541</v>
      </c>
      <c r="D1341" s="2375" t="s">
        <v>3482</v>
      </c>
      <c r="E1341" s="2250" t="s">
        <v>1833</v>
      </c>
      <c r="F1341" s="2176"/>
      <c r="G1341" s="2177"/>
      <c r="H1341" s="2177"/>
      <c r="I1341" s="2178">
        <f t="shared" si="2828"/>
        <v>0</v>
      </c>
      <c r="J1341" s="2176"/>
      <c r="K1341" s="2179">
        <f t="shared" si="2827"/>
        <v>0</v>
      </c>
      <c r="L1341" s="2179">
        <f t="shared" si="2827"/>
        <v>0</v>
      </c>
      <c r="M1341" s="2178">
        <f t="shared" si="2829"/>
        <v>0</v>
      </c>
      <c r="N1341" s="2177"/>
      <c r="O1341" s="2177"/>
      <c r="P1341" s="2178">
        <f t="shared" si="2830"/>
        <v>0</v>
      </c>
      <c r="Q1341" s="2176"/>
      <c r="R1341" s="2177"/>
      <c r="S1341" s="2180">
        <f t="shared" si="2831"/>
        <v>0</v>
      </c>
      <c r="T1341" s="2181">
        <f>N1341+Q1341</f>
        <v>0</v>
      </c>
      <c r="U1341" s="2179">
        <f t="shared" si="2832"/>
        <v>0</v>
      </c>
      <c r="V1341" s="2178">
        <f t="shared" si="2833"/>
        <v>0</v>
      </c>
      <c r="W1341" s="2176"/>
      <c r="X1341" s="2177"/>
      <c r="Y1341" s="2180">
        <f t="shared" si="2834"/>
        <v>0</v>
      </c>
      <c r="Z1341" s="2181">
        <f t="shared" si="2835"/>
        <v>0</v>
      </c>
      <c r="AA1341" s="2179">
        <f t="shared" si="2835"/>
        <v>0</v>
      </c>
      <c r="AB1341" s="2178">
        <f t="shared" si="2836"/>
        <v>0</v>
      </c>
      <c r="AC1341" s="2176"/>
      <c r="AD1341" s="2177"/>
      <c r="AE1341" s="2180">
        <f t="shared" si="2837"/>
        <v>0</v>
      </c>
      <c r="AF1341" s="2281"/>
      <c r="AG1341" s="2114"/>
      <c r="AH1341" s="2177"/>
      <c r="AI1341" s="2177"/>
      <c r="AJ1341" s="2186">
        <f t="shared" si="2838"/>
        <v>0</v>
      </c>
      <c r="AK1341" s="2177"/>
      <c r="AL1341" s="2177"/>
      <c r="AM1341" s="2186">
        <f t="shared" si="2839"/>
        <v>0</v>
      </c>
      <c r="AN1341" s="2177"/>
      <c r="AO1341" s="2177"/>
      <c r="AP1341" s="2186">
        <f t="shared" si="2840"/>
        <v>0</v>
      </c>
      <c r="AQ1341" s="2177"/>
      <c r="AR1341" s="2177"/>
      <c r="AS1341" s="2186">
        <f t="shared" si="2841"/>
        <v>0</v>
      </c>
      <c r="AT1341" s="2177"/>
      <c r="AU1341" s="2177"/>
      <c r="AV1341" s="2186">
        <f t="shared" si="2842"/>
        <v>0</v>
      </c>
      <c r="AW1341" s="2177"/>
      <c r="AX1341" s="2177"/>
      <c r="AY1341" s="2186">
        <f t="shared" si="2843"/>
        <v>0</v>
      </c>
      <c r="AZ1341" s="2177"/>
      <c r="BA1341" s="2177"/>
      <c r="BB1341" s="2186">
        <f t="shared" si="2844"/>
        <v>0</v>
      </c>
      <c r="BC1341" s="2177"/>
      <c r="BD1341" s="2177"/>
      <c r="BE1341" s="2186">
        <f t="shared" si="2845"/>
        <v>0</v>
      </c>
      <c r="BF1341" s="2177"/>
      <c r="BG1341" s="2177"/>
      <c r="BH1341" s="2186">
        <f t="shared" si="2846"/>
        <v>0</v>
      </c>
      <c r="BI1341" s="2177"/>
      <c r="BJ1341" s="2177"/>
      <c r="BK1341" s="2186">
        <f t="shared" si="2847"/>
        <v>0</v>
      </c>
      <c r="BL1341" s="2177"/>
      <c r="BM1341" s="2177"/>
      <c r="BN1341" s="2186">
        <f t="shared" si="2848"/>
        <v>0</v>
      </c>
      <c r="BO1341" s="2177"/>
      <c r="BP1341" s="2177"/>
      <c r="BQ1341" s="2186">
        <f t="shared" si="2849"/>
        <v>0</v>
      </c>
    </row>
    <row r="1342" spans="3:69" s="2087" customFormat="1" ht="12" hidden="1" customHeight="1">
      <c r="C1342" s="2489" t="s">
        <v>3542</v>
      </c>
      <c r="D1342" s="2375" t="s">
        <v>3484</v>
      </c>
      <c r="E1342" s="2250" t="s">
        <v>1833</v>
      </c>
      <c r="F1342" s="2176"/>
      <c r="G1342" s="2177"/>
      <c r="H1342" s="2177"/>
      <c r="I1342" s="2178">
        <f t="shared" si="2828"/>
        <v>0</v>
      </c>
      <c r="J1342" s="2176"/>
      <c r="K1342" s="2179">
        <f t="shared" si="2827"/>
        <v>0</v>
      </c>
      <c r="L1342" s="2179">
        <f t="shared" si="2827"/>
        <v>0</v>
      </c>
      <c r="M1342" s="2178">
        <f t="shared" si="2829"/>
        <v>0</v>
      </c>
      <c r="N1342" s="2177"/>
      <c r="O1342" s="2177"/>
      <c r="P1342" s="2178">
        <f t="shared" si="2830"/>
        <v>0</v>
      </c>
      <c r="Q1342" s="2176"/>
      <c r="R1342" s="2177"/>
      <c r="S1342" s="2180">
        <f t="shared" si="2831"/>
        <v>0</v>
      </c>
      <c r="T1342" s="2181">
        <f t="shared" ref="T1342:T1343" si="2850">N1342+Q1342</f>
        <v>0</v>
      </c>
      <c r="U1342" s="2179">
        <f t="shared" si="2832"/>
        <v>0</v>
      </c>
      <c r="V1342" s="2178">
        <f t="shared" si="2833"/>
        <v>0</v>
      </c>
      <c r="W1342" s="2176"/>
      <c r="X1342" s="2177"/>
      <c r="Y1342" s="2180">
        <f t="shared" si="2834"/>
        <v>0</v>
      </c>
      <c r="Z1342" s="2181">
        <f t="shared" si="2835"/>
        <v>0</v>
      </c>
      <c r="AA1342" s="2179">
        <f t="shared" si="2835"/>
        <v>0</v>
      </c>
      <c r="AB1342" s="2178">
        <f t="shared" si="2836"/>
        <v>0</v>
      </c>
      <c r="AC1342" s="2176"/>
      <c r="AD1342" s="2177"/>
      <c r="AE1342" s="2180">
        <f t="shared" si="2837"/>
        <v>0</v>
      </c>
      <c r="AF1342" s="2281"/>
      <c r="AG1342" s="2114"/>
      <c r="AH1342" s="2177"/>
      <c r="AI1342" s="2177"/>
      <c r="AJ1342" s="2186">
        <f t="shared" si="2838"/>
        <v>0</v>
      </c>
      <c r="AK1342" s="2177"/>
      <c r="AL1342" s="2177"/>
      <c r="AM1342" s="2186">
        <f t="shared" si="2839"/>
        <v>0</v>
      </c>
      <c r="AN1342" s="2177"/>
      <c r="AO1342" s="2177"/>
      <c r="AP1342" s="2186">
        <f t="shared" si="2840"/>
        <v>0</v>
      </c>
      <c r="AQ1342" s="2177"/>
      <c r="AR1342" s="2177"/>
      <c r="AS1342" s="2186">
        <f t="shared" si="2841"/>
        <v>0</v>
      </c>
      <c r="AT1342" s="2177"/>
      <c r="AU1342" s="2177"/>
      <c r="AV1342" s="2186">
        <f t="shared" si="2842"/>
        <v>0</v>
      </c>
      <c r="AW1342" s="2177"/>
      <c r="AX1342" s="2177"/>
      <c r="AY1342" s="2186">
        <f t="shared" si="2843"/>
        <v>0</v>
      </c>
      <c r="AZ1342" s="2177"/>
      <c r="BA1342" s="2177"/>
      <c r="BB1342" s="2186">
        <f t="shared" si="2844"/>
        <v>0</v>
      </c>
      <c r="BC1342" s="2177"/>
      <c r="BD1342" s="2177"/>
      <c r="BE1342" s="2186">
        <f t="shared" si="2845"/>
        <v>0</v>
      </c>
      <c r="BF1342" s="2177"/>
      <c r="BG1342" s="2177"/>
      <c r="BH1342" s="2186">
        <f t="shared" si="2846"/>
        <v>0</v>
      </c>
      <c r="BI1342" s="2177"/>
      <c r="BJ1342" s="2177"/>
      <c r="BK1342" s="2186">
        <f t="shared" si="2847"/>
        <v>0</v>
      </c>
      <c r="BL1342" s="2177"/>
      <c r="BM1342" s="2177"/>
      <c r="BN1342" s="2186">
        <f t="shared" si="2848"/>
        <v>0</v>
      </c>
      <c r="BO1342" s="2177"/>
      <c r="BP1342" s="2177"/>
      <c r="BQ1342" s="2186">
        <f t="shared" si="2849"/>
        <v>0</v>
      </c>
    </row>
    <row r="1343" spans="3:69" s="2087" customFormat="1" ht="12" hidden="1" customHeight="1">
      <c r="C1343" s="2489" t="s">
        <v>3543</v>
      </c>
      <c r="D1343" s="2375" t="s">
        <v>3486</v>
      </c>
      <c r="E1343" s="2250" t="s">
        <v>1833</v>
      </c>
      <c r="F1343" s="2176"/>
      <c r="G1343" s="2177"/>
      <c r="H1343" s="2177"/>
      <c r="I1343" s="2178">
        <f t="shared" si="2828"/>
        <v>0</v>
      </c>
      <c r="J1343" s="2176"/>
      <c r="K1343" s="2179">
        <f t="shared" si="2827"/>
        <v>0</v>
      </c>
      <c r="L1343" s="2179">
        <f t="shared" si="2827"/>
        <v>0</v>
      </c>
      <c r="M1343" s="2178">
        <f t="shared" si="2829"/>
        <v>0</v>
      </c>
      <c r="N1343" s="2177"/>
      <c r="O1343" s="2177"/>
      <c r="P1343" s="2178">
        <f t="shared" si="2830"/>
        <v>0</v>
      </c>
      <c r="Q1343" s="2176"/>
      <c r="R1343" s="2177"/>
      <c r="S1343" s="2180">
        <f t="shared" si="2831"/>
        <v>0</v>
      </c>
      <c r="T1343" s="2181">
        <f t="shared" si="2850"/>
        <v>0</v>
      </c>
      <c r="U1343" s="2179">
        <f t="shared" si="2832"/>
        <v>0</v>
      </c>
      <c r="V1343" s="2178">
        <f t="shared" si="2833"/>
        <v>0</v>
      </c>
      <c r="W1343" s="2176"/>
      <c r="X1343" s="2177"/>
      <c r="Y1343" s="2180">
        <f t="shared" si="2834"/>
        <v>0</v>
      </c>
      <c r="Z1343" s="2181">
        <f t="shared" si="2835"/>
        <v>0</v>
      </c>
      <c r="AA1343" s="2179">
        <f t="shared" si="2835"/>
        <v>0</v>
      </c>
      <c r="AB1343" s="2178">
        <f t="shared" si="2836"/>
        <v>0</v>
      </c>
      <c r="AC1343" s="2176"/>
      <c r="AD1343" s="2177"/>
      <c r="AE1343" s="2180">
        <f t="shared" si="2837"/>
        <v>0</v>
      </c>
      <c r="AF1343" s="2281"/>
      <c r="AG1343" s="2114"/>
      <c r="AH1343" s="2177"/>
      <c r="AI1343" s="2177"/>
      <c r="AJ1343" s="2186">
        <f t="shared" si="2838"/>
        <v>0</v>
      </c>
      <c r="AK1343" s="2177"/>
      <c r="AL1343" s="2177"/>
      <c r="AM1343" s="2186">
        <f t="shared" si="2839"/>
        <v>0</v>
      </c>
      <c r="AN1343" s="2177"/>
      <c r="AO1343" s="2177"/>
      <c r="AP1343" s="2186">
        <f t="shared" si="2840"/>
        <v>0</v>
      </c>
      <c r="AQ1343" s="2177"/>
      <c r="AR1343" s="2177"/>
      <c r="AS1343" s="2186">
        <f t="shared" si="2841"/>
        <v>0</v>
      </c>
      <c r="AT1343" s="2177"/>
      <c r="AU1343" s="2177"/>
      <c r="AV1343" s="2186">
        <f t="shared" si="2842"/>
        <v>0</v>
      </c>
      <c r="AW1343" s="2177"/>
      <c r="AX1343" s="2177"/>
      <c r="AY1343" s="2186">
        <f t="shared" si="2843"/>
        <v>0</v>
      </c>
      <c r="AZ1343" s="2177"/>
      <c r="BA1343" s="2177"/>
      <c r="BB1343" s="2186">
        <f t="shared" si="2844"/>
        <v>0</v>
      </c>
      <c r="BC1343" s="2177"/>
      <c r="BD1343" s="2177"/>
      <c r="BE1343" s="2186">
        <f t="shared" si="2845"/>
        <v>0</v>
      </c>
      <c r="BF1343" s="2177"/>
      <c r="BG1343" s="2177"/>
      <c r="BH1343" s="2186">
        <f t="shared" si="2846"/>
        <v>0</v>
      </c>
      <c r="BI1343" s="2177"/>
      <c r="BJ1343" s="2177"/>
      <c r="BK1343" s="2186">
        <f t="shared" si="2847"/>
        <v>0</v>
      </c>
      <c r="BL1343" s="2177"/>
      <c r="BM1343" s="2177"/>
      <c r="BN1343" s="2186">
        <f t="shared" si="2848"/>
        <v>0</v>
      </c>
      <c r="BO1343" s="2177"/>
      <c r="BP1343" s="2177"/>
      <c r="BQ1343" s="2186">
        <f t="shared" si="2849"/>
        <v>0</v>
      </c>
    </row>
    <row r="1344" spans="3:69" s="2159" customFormat="1" ht="12" hidden="1" customHeight="1">
      <c r="C1344" s="2256" t="s">
        <v>3544</v>
      </c>
      <c r="D1344" s="2353" t="s">
        <v>3545</v>
      </c>
      <c r="E1344" s="2120" t="s">
        <v>1833</v>
      </c>
      <c r="F1344" s="2162"/>
      <c r="G1344" s="2163">
        <f>G1345+G1346</f>
        <v>0</v>
      </c>
      <c r="H1344" s="2163">
        <f>H1345+H1346</f>
        <v>0</v>
      </c>
      <c r="I1344" s="2164">
        <f>H1344-G1344</f>
        <v>0</v>
      </c>
      <c r="J1344" s="2162"/>
      <c r="K1344" s="2163">
        <f t="shared" si="2827"/>
        <v>0</v>
      </c>
      <c r="L1344" s="2163">
        <f t="shared" si="2827"/>
        <v>0</v>
      </c>
      <c r="M1344" s="2164">
        <f>L1344-K1344</f>
        <v>0</v>
      </c>
      <c r="N1344" s="2163">
        <f>N1345+N1346</f>
        <v>0</v>
      </c>
      <c r="O1344" s="2163">
        <f>O1345+O1346</f>
        <v>0</v>
      </c>
      <c r="P1344" s="2164">
        <f>O1344-N1344</f>
        <v>0</v>
      </c>
      <c r="Q1344" s="2165">
        <f>Q1345+Q1346</f>
        <v>0</v>
      </c>
      <c r="R1344" s="2163">
        <f>R1345+R1346</f>
        <v>0</v>
      </c>
      <c r="S1344" s="2166">
        <f>R1344-Q1344</f>
        <v>0</v>
      </c>
      <c r="T1344" s="2167">
        <f>N1344+Q1344</f>
        <v>0</v>
      </c>
      <c r="U1344" s="2163">
        <f>O1344+R1344</f>
        <v>0</v>
      </c>
      <c r="V1344" s="2164">
        <f>U1344-T1344</f>
        <v>0</v>
      </c>
      <c r="W1344" s="2165">
        <f>W1345+W1346</f>
        <v>0</v>
      </c>
      <c r="X1344" s="2163">
        <f>X1345+X1346</f>
        <v>0</v>
      </c>
      <c r="Y1344" s="2166">
        <f>X1344-W1344</f>
        <v>0</v>
      </c>
      <c r="Z1344" s="2167">
        <f>T1344+W1344</f>
        <v>0</v>
      </c>
      <c r="AA1344" s="2163">
        <f>U1344+X1344</f>
        <v>0</v>
      </c>
      <c r="AB1344" s="2164">
        <f>AA1344-Z1344</f>
        <v>0</v>
      </c>
      <c r="AC1344" s="2165">
        <f>AC1345+AC1346</f>
        <v>0</v>
      </c>
      <c r="AD1344" s="2163">
        <f>AD1345+AD1346</f>
        <v>0</v>
      </c>
      <c r="AE1344" s="2166">
        <f>AD1344-AC1344</f>
        <v>0</v>
      </c>
      <c r="AF1344" s="2281"/>
      <c r="AG1344" s="2158"/>
      <c r="AH1344" s="2171">
        <f>AH1345+AH1346</f>
        <v>0</v>
      </c>
      <c r="AI1344" s="2171">
        <f>AI1345+AI1346</f>
        <v>0</v>
      </c>
      <c r="AJ1344" s="2172">
        <f>AI1344-AH1344</f>
        <v>0</v>
      </c>
      <c r="AK1344" s="2171">
        <f>AK1345+AK1346</f>
        <v>0</v>
      </c>
      <c r="AL1344" s="2171">
        <f>AL1345+AL1346</f>
        <v>0</v>
      </c>
      <c r="AM1344" s="2172">
        <f>AL1344-AK1344</f>
        <v>0</v>
      </c>
      <c r="AN1344" s="2171">
        <f>AN1345+AN1346</f>
        <v>0</v>
      </c>
      <c r="AO1344" s="2171">
        <f>AO1345+AO1346</f>
        <v>0</v>
      </c>
      <c r="AP1344" s="2172">
        <f>AO1344-AN1344</f>
        <v>0</v>
      </c>
      <c r="AQ1344" s="2171">
        <f>AQ1345+AQ1346</f>
        <v>0</v>
      </c>
      <c r="AR1344" s="2171">
        <f>AR1345+AR1346</f>
        <v>0</v>
      </c>
      <c r="AS1344" s="2172">
        <f>AR1344-AQ1344</f>
        <v>0</v>
      </c>
      <c r="AT1344" s="2171">
        <f>AT1345+AT1346</f>
        <v>0</v>
      </c>
      <c r="AU1344" s="2171">
        <f>AU1345+AU1346</f>
        <v>0</v>
      </c>
      <c r="AV1344" s="2172">
        <f>AU1344-AT1344</f>
        <v>0</v>
      </c>
      <c r="AW1344" s="2171">
        <f>AW1345+AW1346</f>
        <v>0</v>
      </c>
      <c r="AX1344" s="2171">
        <f>AX1345+AX1346</f>
        <v>0</v>
      </c>
      <c r="AY1344" s="2172">
        <f>AX1344-AW1344</f>
        <v>0</v>
      </c>
      <c r="AZ1344" s="2171">
        <f>AZ1345+AZ1346</f>
        <v>0</v>
      </c>
      <c r="BA1344" s="2171">
        <f>BA1345+BA1346</f>
        <v>0</v>
      </c>
      <c r="BB1344" s="2172">
        <f>BA1344-AZ1344</f>
        <v>0</v>
      </c>
      <c r="BC1344" s="2171">
        <f>BC1345+BC1346</f>
        <v>0</v>
      </c>
      <c r="BD1344" s="2171">
        <f>BD1345+BD1346</f>
        <v>0</v>
      </c>
      <c r="BE1344" s="2172">
        <f>BD1344-BC1344</f>
        <v>0</v>
      </c>
      <c r="BF1344" s="2171">
        <f>BF1345+BF1346</f>
        <v>0</v>
      </c>
      <c r="BG1344" s="2171">
        <f>BG1345+BG1346</f>
        <v>0</v>
      </c>
      <c r="BH1344" s="2172">
        <f>BG1344-BF1344</f>
        <v>0</v>
      </c>
      <c r="BI1344" s="2171">
        <f>BI1345+BI1346</f>
        <v>0</v>
      </c>
      <c r="BJ1344" s="2171">
        <f>BJ1345+BJ1346</f>
        <v>0</v>
      </c>
      <c r="BK1344" s="2172">
        <f>BJ1344-BI1344</f>
        <v>0</v>
      </c>
      <c r="BL1344" s="2171">
        <f>BL1345+BL1346</f>
        <v>0</v>
      </c>
      <c r="BM1344" s="2171">
        <f>BM1345+BM1346</f>
        <v>0</v>
      </c>
      <c r="BN1344" s="2172">
        <f>BM1344-BL1344</f>
        <v>0</v>
      </c>
      <c r="BO1344" s="2171">
        <f>BO1345+BO1346</f>
        <v>0</v>
      </c>
      <c r="BP1344" s="2171">
        <f>BP1345+BP1346</f>
        <v>0</v>
      </c>
      <c r="BQ1344" s="2172">
        <f>BP1344-BO1344</f>
        <v>0</v>
      </c>
    </row>
    <row r="1345" spans="3:69" s="2087" customFormat="1" ht="12" hidden="1" customHeight="1">
      <c r="C1345" s="2173" t="s">
        <v>3546</v>
      </c>
      <c r="D1345" s="2174" t="s">
        <v>3538</v>
      </c>
      <c r="E1345" s="2250" t="s">
        <v>1833</v>
      </c>
      <c r="F1345" s="2176"/>
      <c r="G1345" s="2177"/>
      <c r="H1345" s="2177"/>
      <c r="I1345" s="2178">
        <f t="shared" ref="I1345" si="2851">H1345-G1345</f>
        <v>0</v>
      </c>
      <c r="J1345" s="2176"/>
      <c r="K1345" s="2179">
        <f t="shared" si="2827"/>
        <v>0</v>
      </c>
      <c r="L1345" s="2179">
        <f t="shared" si="2827"/>
        <v>0</v>
      </c>
      <c r="M1345" s="2178">
        <f t="shared" ref="M1345:M1352" si="2852">L1345-K1345</f>
        <v>0</v>
      </c>
      <c r="N1345" s="2177"/>
      <c r="O1345" s="2177"/>
      <c r="P1345" s="2178">
        <f t="shared" ref="P1345" si="2853">O1345-N1345</f>
        <v>0</v>
      </c>
      <c r="Q1345" s="2176"/>
      <c r="R1345" s="2177"/>
      <c r="S1345" s="2180">
        <f t="shared" ref="S1345" si="2854">R1345-Q1345</f>
        <v>0</v>
      </c>
      <c r="T1345" s="2181">
        <f t="shared" ref="T1345:U1352" si="2855">N1345+Q1345</f>
        <v>0</v>
      </c>
      <c r="U1345" s="2179">
        <f t="shared" si="2855"/>
        <v>0</v>
      </c>
      <c r="V1345" s="2178">
        <f t="shared" ref="V1345:V1352" si="2856">U1345-T1345</f>
        <v>0</v>
      </c>
      <c r="W1345" s="2176"/>
      <c r="X1345" s="2177"/>
      <c r="Y1345" s="2180">
        <f t="shared" ref="Y1345" si="2857">X1345-W1345</f>
        <v>0</v>
      </c>
      <c r="Z1345" s="2181">
        <f t="shared" ref="Z1345:AA1352" si="2858">T1345+W1345</f>
        <v>0</v>
      </c>
      <c r="AA1345" s="2179">
        <f t="shared" si="2858"/>
        <v>0</v>
      </c>
      <c r="AB1345" s="2178">
        <f t="shared" ref="AB1345:AB1352" si="2859">AA1345-Z1345</f>
        <v>0</v>
      </c>
      <c r="AC1345" s="2176"/>
      <c r="AD1345" s="2177"/>
      <c r="AE1345" s="2180">
        <f t="shared" ref="AE1345" si="2860">AD1345-AC1345</f>
        <v>0</v>
      </c>
      <c r="AF1345" s="2185"/>
      <c r="AG1345" s="2114"/>
      <c r="AH1345" s="2177"/>
      <c r="AI1345" s="2177"/>
      <c r="AJ1345" s="2186">
        <f t="shared" ref="AJ1345" si="2861">AI1345-AH1345</f>
        <v>0</v>
      </c>
      <c r="AK1345" s="2177"/>
      <c r="AL1345" s="2177"/>
      <c r="AM1345" s="2186">
        <f t="shared" ref="AM1345" si="2862">AL1345-AK1345</f>
        <v>0</v>
      </c>
      <c r="AN1345" s="2177"/>
      <c r="AO1345" s="2177"/>
      <c r="AP1345" s="2186">
        <f t="shared" ref="AP1345" si="2863">AO1345-AN1345</f>
        <v>0</v>
      </c>
      <c r="AQ1345" s="2177"/>
      <c r="AR1345" s="2177"/>
      <c r="AS1345" s="2186">
        <f t="shared" ref="AS1345" si="2864">AR1345-AQ1345</f>
        <v>0</v>
      </c>
      <c r="AT1345" s="2177"/>
      <c r="AU1345" s="2177"/>
      <c r="AV1345" s="2186">
        <f t="shared" ref="AV1345" si="2865">AU1345-AT1345</f>
        <v>0</v>
      </c>
      <c r="AW1345" s="2177"/>
      <c r="AX1345" s="2177"/>
      <c r="AY1345" s="2186">
        <f t="shared" ref="AY1345" si="2866">AX1345-AW1345</f>
        <v>0</v>
      </c>
      <c r="AZ1345" s="2177"/>
      <c r="BA1345" s="2177"/>
      <c r="BB1345" s="2186">
        <f t="shared" ref="BB1345" si="2867">BA1345-AZ1345</f>
        <v>0</v>
      </c>
      <c r="BC1345" s="2177"/>
      <c r="BD1345" s="2177"/>
      <c r="BE1345" s="2186">
        <f t="shared" ref="BE1345" si="2868">BD1345-BC1345</f>
        <v>0</v>
      </c>
      <c r="BF1345" s="2177"/>
      <c r="BG1345" s="2177"/>
      <c r="BH1345" s="2186">
        <f t="shared" ref="BH1345" si="2869">BG1345-BF1345</f>
        <v>0</v>
      </c>
      <c r="BI1345" s="2177"/>
      <c r="BJ1345" s="2177"/>
      <c r="BK1345" s="2186">
        <f t="shared" ref="BK1345" si="2870">BJ1345-BI1345</f>
        <v>0</v>
      </c>
      <c r="BL1345" s="2177"/>
      <c r="BM1345" s="2177"/>
      <c r="BN1345" s="2186">
        <f t="shared" ref="BN1345" si="2871">BM1345-BL1345</f>
        <v>0</v>
      </c>
      <c r="BO1345" s="2177"/>
      <c r="BP1345" s="2177"/>
      <c r="BQ1345" s="2186">
        <f t="shared" ref="BQ1345" si="2872">BP1345-BO1345</f>
        <v>0</v>
      </c>
    </row>
    <row r="1346" spans="3:69" s="2087" customFormat="1" ht="12" hidden="1" customHeight="1">
      <c r="C1346" s="2173" t="s">
        <v>3547</v>
      </c>
      <c r="D1346" s="2174" t="s">
        <v>3540</v>
      </c>
      <c r="E1346" s="2250" t="s">
        <v>1833</v>
      </c>
      <c r="F1346" s="2176"/>
      <c r="G1346" s="2179">
        <f>G1347+G1348+G1349</f>
        <v>0</v>
      </c>
      <c r="H1346" s="2179">
        <f>H1347+H1348+H1349</f>
        <v>0</v>
      </c>
      <c r="I1346" s="2178">
        <f>H1346-G1346</f>
        <v>0</v>
      </c>
      <c r="J1346" s="2176"/>
      <c r="K1346" s="2179">
        <f t="shared" si="2827"/>
        <v>0</v>
      </c>
      <c r="L1346" s="2179">
        <f t="shared" si="2827"/>
        <v>0</v>
      </c>
      <c r="M1346" s="2178">
        <f t="shared" si="2852"/>
        <v>0</v>
      </c>
      <c r="N1346" s="2179">
        <f>N1347+N1348+N1349</f>
        <v>0</v>
      </c>
      <c r="O1346" s="2179">
        <f>O1347+O1348+O1349</f>
        <v>0</v>
      </c>
      <c r="P1346" s="2178">
        <f>O1346-N1346</f>
        <v>0</v>
      </c>
      <c r="Q1346" s="2184">
        <f>Q1347+Q1348+Q1349</f>
        <v>0</v>
      </c>
      <c r="R1346" s="2179">
        <f>R1347+R1348+R1349</f>
        <v>0</v>
      </c>
      <c r="S1346" s="2180">
        <f>R1346-Q1346</f>
        <v>0</v>
      </c>
      <c r="T1346" s="2181">
        <f t="shared" si="2855"/>
        <v>0</v>
      </c>
      <c r="U1346" s="2179">
        <f t="shared" si="2855"/>
        <v>0</v>
      </c>
      <c r="V1346" s="2178">
        <f t="shared" si="2856"/>
        <v>0</v>
      </c>
      <c r="W1346" s="2184">
        <f>W1347+W1348+W1349</f>
        <v>0</v>
      </c>
      <c r="X1346" s="2179">
        <f>X1347+X1348+X1349</f>
        <v>0</v>
      </c>
      <c r="Y1346" s="2180">
        <f>X1346-W1346</f>
        <v>0</v>
      </c>
      <c r="Z1346" s="2181">
        <f t="shared" si="2858"/>
        <v>0</v>
      </c>
      <c r="AA1346" s="2179">
        <f t="shared" si="2858"/>
        <v>0</v>
      </c>
      <c r="AB1346" s="2178">
        <f t="shared" si="2859"/>
        <v>0</v>
      </c>
      <c r="AC1346" s="2184">
        <f>AC1347+AC1348+AC1349</f>
        <v>0</v>
      </c>
      <c r="AD1346" s="2179">
        <f>AD1347+AD1348+AD1349</f>
        <v>0</v>
      </c>
      <c r="AE1346" s="2180">
        <f>AD1346-AC1346</f>
        <v>0</v>
      </c>
      <c r="AF1346" s="2185"/>
      <c r="AG1346" s="2114"/>
      <c r="AH1346" s="2188">
        <f>AH1347+AH1348+AH1349</f>
        <v>0</v>
      </c>
      <c r="AI1346" s="2188">
        <f>AI1347+AI1348+AI1349</f>
        <v>0</v>
      </c>
      <c r="AJ1346" s="2186">
        <f>AI1346-AH1346</f>
        <v>0</v>
      </c>
      <c r="AK1346" s="2188">
        <f>AK1347+AK1348+AK1349</f>
        <v>0</v>
      </c>
      <c r="AL1346" s="2188">
        <f>AL1347+AL1348+AL1349</f>
        <v>0</v>
      </c>
      <c r="AM1346" s="2186">
        <f>AL1346-AK1346</f>
        <v>0</v>
      </c>
      <c r="AN1346" s="2188">
        <f>AN1347+AN1348+AN1349</f>
        <v>0</v>
      </c>
      <c r="AO1346" s="2188">
        <f>AO1347+AO1348+AO1349</f>
        <v>0</v>
      </c>
      <c r="AP1346" s="2186">
        <f>AO1346-AN1346</f>
        <v>0</v>
      </c>
      <c r="AQ1346" s="2188">
        <f>AQ1347+AQ1348+AQ1349</f>
        <v>0</v>
      </c>
      <c r="AR1346" s="2188">
        <f>AR1347+AR1348+AR1349</f>
        <v>0</v>
      </c>
      <c r="AS1346" s="2186">
        <f>AR1346-AQ1346</f>
        <v>0</v>
      </c>
      <c r="AT1346" s="2188">
        <f>AT1347+AT1348+AT1349</f>
        <v>0</v>
      </c>
      <c r="AU1346" s="2188">
        <f>AU1347+AU1348+AU1349</f>
        <v>0</v>
      </c>
      <c r="AV1346" s="2186">
        <f>AU1346-AT1346</f>
        <v>0</v>
      </c>
      <c r="AW1346" s="2188">
        <f>AW1347+AW1348+AW1349</f>
        <v>0</v>
      </c>
      <c r="AX1346" s="2188">
        <f>AX1347+AX1348+AX1349</f>
        <v>0</v>
      </c>
      <c r="AY1346" s="2186">
        <f>AX1346-AW1346</f>
        <v>0</v>
      </c>
      <c r="AZ1346" s="2188">
        <f>AZ1347+AZ1348+AZ1349</f>
        <v>0</v>
      </c>
      <c r="BA1346" s="2188">
        <f>BA1347+BA1348+BA1349</f>
        <v>0</v>
      </c>
      <c r="BB1346" s="2186">
        <f>BA1346-AZ1346</f>
        <v>0</v>
      </c>
      <c r="BC1346" s="2188">
        <f>BC1347+BC1348+BC1349</f>
        <v>0</v>
      </c>
      <c r="BD1346" s="2188">
        <f>BD1347+BD1348+BD1349</f>
        <v>0</v>
      </c>
      <c r="BE1346" s="2186">
        <f>BD1346-BC1346</f>
        <v>0</v>
      </c>
      <c r="BF1346" s="2188">
        <f>BF1347+BF1348+BF1349</f>
        <v>0</v>
      </c>
      <c r="BG1346" s="2188">
        <f>BG1347+BG1348+BG1349</f>
        <v>0</v>
      </c>
      <c r="BH1346" s="2186">
        <f>BG1346-BF1346</f>
        <v>0</v>
      </c>
      <c r="BI1346" s="2188">
        <f>BI1347+BI1348+BI1349</f>
        <v>0</v>
      </c>
      <c r="BJ1346" s="2188">
        <f>BJ1347+BJ1348+BJ1349</f>
        <v>0</v>
      </c>
      <c r="BK1346" s="2186">
        <f>BJ1346-BI1346</f>
        <v>0</v>
      </c>
      <c r="BL1346" s="2188">
        <f>BL1347+BL1348+BL1349</f>
        <v>0</v>
      </c>
      <c r="BM1346" s="2188">
        <f>BM1347+BM1348+BM1349</f>
        <v>0</v>
      </c>
      <c r="BN1346" s="2186">
        <f>BM1346-BL1346</f>
        <v>0</v>
      </c>
      <c r="BO1346" s="2188">
        <f>BO1347+BO1348+BO1349</f>
        <v>0</v>
      </c>
      <c r="BP1346" s="2188">
        <f>BP1347+BP1348+BP1349</f>
        <v>0</v>
      </c>
      <c r="BQ1346" s="2186">
        <f>BP1346-BO1346</f>
        <v>0</v>
      </c>
    </row>
    <row r="1347" spans="3:69" s="2087" customFormat="1" ht="12" hidden="1" customHeight="1">
      <c r="C1347" s="2173" t="s">
        <v>3548</v>
      </c>
      <c r="D1347" s="2490" t="s">
        <v>3493</v>
      </c>
      <c r="E1347" s="2250" t="s">
        <v>1833</v>
      </c>
      <c r="F1347" s="2176"/>
      <c r="G1347" s="2177"/>
      <c r="H1347" s="2177"/>
      <c r="I1347" s="2178">
        <f t="shared" ref="I1347:I1352" si="2873">H1347-G1347</f>
        <v>0</v>
      </c>
      <c r="J1347" s="2176"/>
      <c r="K1347" s="2179">
        <f t="shared" si="2827"/>
        <v>0</v>
      </c>
      <c r="L1347" s="2179">
        <f t="shared" si="2827"/>
        <v>0</v>
      </c>
      <c r="M1347" s="2178">
        <f t="shared" si="2852"/>
        <v>0</v>
      </c>
      <c r="N1347" s="2177"/>
      <c r="O1347" s="2177"/>
      <c r="P1347" s="2178">
        <f t="shared" ref="P1347:P1352" si="2874">O1347-N1347</f>
        <v>0</v>
      </c>
      <c r="Q1347" s="2176"/>
      <c r="R1347" s="2177"/>
      <c r="S1347" s="2180">
        <f t="shared" ref="S1347:S1352" si="2875">R1347-Q1347</f>
        <v>0</v>
      </c>
      <c r="T1347" s="2181">
        <f t="shared" si="2855"/>
        <v>0</v>
      </c>
      <c r="U1347" s="2179">
        <f t="shared" si="2855"/>
        <v>0</v>
      </c>
      <c r="V1347" s="2178">
        <f t="shared" si="2856"/>
        <v>0</v>
      </c>
      <c r="W1347" s="2176"/>
      <c r="X1347" s="2177"/>
      <c r="Y1347" s="2180">
        <f t="shared" ref="Y1347:Y1352" si="2876">X1347-W1347</f>
        <v>0</v>
      </c>
      <c r="Z1347" s="2181">
        <f t="shared" si="2858"/>
        <v>0</v>
      </c>
      <c r="AA1347" s="2179">
        <f t="shared" si="2858"/>
        <v>0</v>
      </c>
      <c r="AB1347" s="2178">
        <f t="shared" si="2859"/>
        <v>0</v>
      </c>
      <c r="AC1347" s="2176"/>
      <c r="AD1347" s="2177"/>
      <c r="AE1347" s="2180">
        <f t="shared" ref="AE1347:AE1352" si="2877">AD1347-AC1347</f>
        <v>0</v>
      </c>
      <c r="AF1347" s="2185"/>
      <c r="AG1347" s="2114"/>
      <c r="AH1347" s="2177"/>
      <c r="AI1347" s="2177"/>
      <c r="AJ1347" s="2186">
        <f t="shared" ref="AJ1347:AJ1352" si="2878">AI1347-AH1347</f>
        <v>0</v>
      </c>
      <c r="AK1347" s="2177"/>
      <c r="AL1347" s="2177"/>
      <c r="AM1347" s="2186">
        <f t="shared" ref="AM1347:AM1352" si="2879">AL1347-AK1347</f>
        <v>0</v>
      </c>
      <c r="AN1347" s="2177"/>
      <c r="AO1347" s="2177"/>
      <c r="AP1347" s="2186">
        <f t="shared" ref="AP1347:AP1352" si="2880">AO1347-AN1347</f>
        <v>0</v>
      </c>
      <c r="AQ1347" s="2177"/>
      <c r="AR1347" s="2177"/>
      <c r="AS1347" s="2186">
        <f t="shared" ref="AS1347:AS1352" si="2881">AR1347-AQ1347</f>
        <v>0</v>
      </c>
      <c r="AT1347" s="2177"/>
      <c r="AU1347" s="2177"/>
      <c r="AV1347" s="2186">
        <f t="shared" ref="AV1347:AV1352" si="2882">AU1347-AT1347</f>
        <v>0</v>
      </c>
      <c r="AW1347" s="2177"/>
      <c r="AX1347" s="2177"/>
      <c r="AY1347" s="2186">
        <f t="shared" ref="AY1347:AY1352" si="2883">AX1347-AW1347</f>
        <v>0</v>
      </c>
      <c r="AZ1347" s="2177"/>
      <c r="BA1347" s="2177"/>
      <c r="BB1347" s="2186">
        <f t="shared" ref="BB1347:BB1352" si="2884">BA1347-AZ1347</f>
        <v>0</v>
      </c>
      <c r="BC1347" s="2177"/>
      <c r="BD1347" s="2177"/>
      <c r="BE1347" s="2186">
        <f t="shared" ref="BE1347:BE1352" si="2885">BD1347-BC1347</f>
        <v>0</v>
      </c>
      <c r="BF1347" s="2177"/>
      <c r="BG1347" s="2177"/>
      <c r="BH1347" s="2186">
        <f t="shared" ref="BH1347:BH1352" si="2886">BG1347-BF1347</f>
        <v>0</v>
      </c>
      <c r="BI1347" s="2177"/>
      <c r="BJ1347" s="2177"/>
      <c r="BK1347" s="2186">
        <f t="shared" ref="BK1347:BK1352" si="2887">BJ1347-BI1347</f>
        <v>0</v>
      </c>
      <c r="BL1347" s="2177"/>
      <c r="BM1347" s="2177"/>
      <c r="BN1347" s="2186">
        <f t="shared" ref="BN1347:BN1352" si="2888">BM1347-BL1347</f>
        <v>0</v>
      </c>
      <c r="BO1347" s="2177"/>
      <c r="BP1347" s="2177"/>
      <c r="BQ1347" s="2186">
        <f t="shared" ref="BQ1347:BQ1352" si="2889">BP1347-BO1347</f>
        <v>0</v>
      </c>
    </row>
    <row r="1348" spans="3:69" s="2087" customFormat="1" ht="12" hidden="1" customHeight="1">
      <c r="C1348" s="2173" t="s">
        <v>3549</v>
      </c>
      <c r="D1348" s="2490" t="s">
        <v>3495</v>
      </c>
      <c r="E1348" s="2250" t="s">
        <v>1833</v>
      </c>
      <c r="F1348" s="2176"/>
      <c r="G1348" s="2177"/>
      <c r="H1348" s="2177"/>
      <c r="I1348" s="2178">
        <f t="shared" si="2873"/>
        <v>0</v>
      </c>
      <c r="J1348" s="2176"/>
      <c r="K1348" s="2179">
        <f t="shared" si="2827"/>
        <v>0</v>
      </c>
      <c r="L1348" s="2179">
        <f t="shared" si="2827"/>
        <v>0</v>
      </c>
      <c r="M1348" s="2178">
        <f t="shared" si="2852"/>
        <v>0</v>
      </c>
      <c r="N1348" s="2177"/>
      <c r="O1348" s="2177"/>
      <c r="P1348" s="2178">
        <f t="shared" si="2874"/>
        <v>0</v>
      </c>
      <c r="Q1348" s="2176"/>
      <c r="R1348" s="2177"/>
      <c r="S1348" s="2180">
        <f t="shared" si="2875"/>
        <v>0</v>
      </c>
      <c r="T1348" s="2181">
        <f t="shared" si="2855"/>
        <v>0</v>
      </c>
      <c r="U1348" s="2179">
        <f t="shared" si="2855"/>
        <v>0</v>
      </c>
      <c r="V1348" s="2178">
        <f t="shared" si="2856"/>
        <v>0</v>
      </c>
      <c r="W1348" s="2176"/>
      <c r="X1348" s="2177"/>
      <c r="Y1348" s="2180">
        <f t="shared" si="2876"/>
        <v>0</v>
      </c>
      <c r="Z1348" s="2181">
        <f t="shared" si="2858"/>
        <v>0</v>
      </c>
      <c r="AA1348" s="2179">
        <f t="shared" si="2858"/>
        <v>0</v>
      </c>
      <c r="AB1348" s="2178">
        <f t="shared" si="2859"/>
        <v>0</v>
      </c>
      <c r="AC1348" s="2176"/>
      <c r="AD1348" s="2177"/>
      <c r="AE1348" s="2180">
        <f t="shared" si="2877"/>
        <v>0</v>
      </c>
      <c r="AF1348" s="2185"/>
      <c r="AG1348" s="2114"/>
      <c r="AH1348" s="2177"/>
      <c r="AI1348" s="2177"/>
      <c r="AJ1348" s="2186">
        <f t="shared" si="2878"/>
        <v>0</v>
      </c>
      <c r="AK1348" s="2177"/>
      <c r="AL1348" s="2177"/>
      <c r="AM1348" s="2186">
        <f t="shared" si="2879"/>
        <v>0</v>
      </c>
      <c r="AN1348" s="2177"/>
      <c r="AO1348" s="2177"/>
      <c r="AP1348" s="2186">
        <f t="shared" si="2880"/>
        <v>0</v>
      </c>
      <c r="AQ1348" s="2177"/>
      <c r="AR1348" s="2177"/>
      <c r="AS1348" s="2186">
        <f t="shared" si="2881"/>
        <v>0</v>
      </c>
      <c r="AT1348" s="2177"/>
      <c r="AU1348" s="2177"/>
      <c r="AV1348" s="2186">
        <f t="shared" si="2882"/>
        <v>0</v>
      </c>
      <c r="AW1348" s="2177"/>
      <c r="AX1348" s="2177"/>
      <c r="AY1348" s="2186">
        <f t="shared" si="2883"/>
        <v>0</v>
      </c>
      <c r="AZ1348" s="2177"/>
      <c r="BA1348" s="2177"/>
      <c r="BB1348" s="2186">
        <f t="shared" si="2884"/>
        <v>0</v>
      </c>
      <c r="BC1348" s="2177"/>
      <c r="BD1348" s="2177"/>
      <c r="BE1348" s="2186">
        <f t="shared" si="2885"/>
        <v>0</v>
      </c>
      <c r="BF1348" s="2177"/>
      <c r="BG1348" s="2177"/>
      <c r="BH1348" s="2186">
        <f t="shared" si="2886"/>
        <v>0</v>
      </c>
      <c r="BI1348" s="2177"/>
      <c r="BJ1348" s="2177"/>
      <c r="BK1348" s="2186">
        <f t="shared" si="2887"/>
        <v>0</v>
      </c>
      <c r="BL1348" s="2177"/>
      <c r="BM1348" s="2177"/>
      <c r="BN1348" s="2186">
        <f t="shared" si="2888"/>
        <v>0</v>
      </c>
      <c r="BO1348" s="2177"/>
      <c r="BP1348" s="2177"/>
      <c r="BQ1348" s="2186">
        <f t="shared" si="2889"/>
        <v>0</v>
      </c>
    </row>
    <row r="1349" spans="3:69" s="2087" customFormat="1" ht="12" hidden="1" customHeight="1">
      <c r="C1349" s="2173" t="s">
        <v>3550</v>
      </c>
      <c r="D1349" s="2490" t="s">
        <v>3497</v>
      </c>
      <c r="E1349" s="2250" t="s">
        <v>1833</v>
      </c>
      <c r="F1349" s="2176"/>
      <c r="G1349" s="2177"/>
      <c r="H1349" s="2177"/>
      <c r="I1349" s="2178">
        <f t="shared" si="2873"/>
        <v>0</v>
      </c>
      <c r="J1349" s="2176"/>
      <c r="K1349" s="2179">
        <f t="shared" si="2827"/>
        <v>0</v>
      </c>
      <c r="L1349" s="2179">
        <f t="shared" si="2827"/>
        <v>0</v>
      </c>
      <c r="M1349" s="2178">
        <f t="shared" si="2852"/>
        <v>0</v>
      </c>
      <c r="N1349" s="2177"/>
      <c r="O1349" s="2177"/>
      <c r="P1349" s="2178">
        <f t="shared" si="2874"/>
        <v>0</v>
      </c>
      <c r="Q1349" s="2176"/>
      <c r="R1349" s="2177"/>
      <c r="S1349" s="2180">
        <f t="shared" si="2875"/>
        <v>0</v>
      </c>
      <c r="T1349" s="2181">
        <f t="shared" si="2855"/>
        <v>0</v>
      </c>
      <c r="U1349" s="2179">
        <f t="shared" si="2855"/>
        <v>0</v>
      </c>
      <c r="V1349" s="2178">
        <f t="shared" si="2856"/>
        <v>0</v>
      </c>
      <c r="W1349" s="2176"/>
      <c r="X1349" s="2177"/>
      <c r="Y1349" s="2180">
        <f t="shared" si="2876"/>
        <v>0</v>
      </c>
      <c r="Z1349" s="2181">
        <f t="shared" si="2858"/>
        <v>0</v>
      </c>
      <c r="AA1349" s="2179">
        <f t="shared" si="2858"/>
        <v>0</v>
      </c>
      <c r="AB1349" s="2178">
        <f t="shared" si="2859"/>
        <v>0</v>
      </c>
      <c r="AC1349" s="2176"/>
      <c r="AD1349" s="2177"/>
      <c r="AE1349" s="2180">
        <f t="shared" si="2877"/>
        <v>0</v>
      </c>
      <c r="AF1349" s="2185"/>
      <c r="AG1349" s="2114"/>
      <c r="AH1349" s="2177"/>
      <c r="AI1349" s="2177"/>
      <c r="AJ1349" s="2186">
        <f t="shared" si="2878"/>
        <v>0</v>
      </c>
      <c r="AK1349" s="2177"/>
      <c r="AL1349" s="2177"/>
      <c r="AM1349" s="2186">
        <f t="shared" si="2879"/>
        <v>0</v>
      </c>
      <c r="AN1349" s="2177"/>
      <c r="AO1349" s="2177"/>
      <c r="AP1349" s="2186">
        <f t="shared" si="2880"/>
        <v>0</v>
      </c>
      <c r="AQ1349" s="2177"/>
      <c r="AR1349" s="2177"/>
      <c r="AS1349" s="2186">
        <f t="shared" si="2881"/>
        <v>0</v>
      </c>
      <c r="AT1349" s="2177"/>
      <c r="AU1349" s="2177"/>
      <c r="AV1349" s="2186">
        <f t="shared" si="2882"/>
        <v>0</v>
      </c>
      <c r="AW1349" s="2177"/>
      <c r="AX1349" s="2177"/>
      <c r="AY1349" s="2186">
        <f t="shared" si="2883"/>
        <v>0</v>
      </c>
      <c r="AZ1349" s="2177"/>
      <c r="BA1349" s="2177"/>
      <c r="BB1349" s="2186">
        <f t="shared" si="2884"/>
        <v>0</v>
      </c>
      <c r="BC1349" s="2177"/>
      <c r="BD1349" s="2177"/>
      <c r="BE1349" s="2186">
        <f t="shared" si="2885"/>
        <v>0</v>
      </c>
      <c r="BF1349" s="2177"/>
      <c r="BG1349" s="2177"/>
      <c r="BH1349" s="2186">
        <f t="shared" si="2886"/>
        <v>0</v>
      </c>
      <c r="BI1349" s="2177"/>
      <c r="BJ1349" s="2177"/>
      <c r="BK1349" s="2186">
        <f t="shared" si="2887"/>
        <v>0</v>
      </c>
      <c r="BL1349" s="2177"/>
      <c r="BM1349" s="2177"/>
      <c r="BN1349" s="2186">
        <f t="shared" si="2888"/>
        <v>0</v>
      </c>
      <c r="BO1349" s="2177"/>
      <c r="BP1349" s="2177"/>
      <c r="BQ1349" s="2186">
        <f t="shared" si="2889"/>
        <v>0</v>
      </c>
    </row>
    <row r="1350" spans="3:69" s="2159" customFormat="1" ht="23.25" hidden="1" thickBot="1">
      <c r="C1350" s="2256" t="s">
        <v>3551</v>
      </c>
      <c r="D1350" s="2161" t="s">
        <v>3552</v>
      </c>
      <c r="E1350" s="2120" t="s">
        <v>1833</v>
      </c>
      <c r="F1350" s="2162"/>
      <c r="G1350" s="2163">
        <f>G1351+G1352</f>
        <v>0</v>
      </c>
      <c r="H1350" s="2163">
        <f>H1351+H1352</f>
        <v>0</v>
      </c>
      <c r="I1350" s="2164">
        <f t="shared" si="2873"/>
        <v>0</v>
      </c>
      <c r="J1350" s="2162"/>
      <c r="K1350" s="2163">
        <f>N1350+Q1350+W1350+AC1350</f>
        <v>0</v>
      </c>
      <c r="L1350" s="2163">
        <f t="shared" ref="K1350:L1352" si="2890">O1350+R1350+X1350+AD1350</f>
        <v>0</v>
      </c>
      <c r="M1350" s="2164">
        <f t="shared" si="2852"/>
        <v>0</v>
      </c>
      <c r="N1350" s="2163">
        <f>N1351+N1352</f>
        <v>0</v>
      </c>
      <c r="O1350" s="2163">
        <f>O1351+O1352</f>
        <v>0</v>
      </c>
      <c r="P1350" s="2164">
        <f t="shared" si="2874"/>
        <v>0</v>
      </c>
      <c r="Q1350" s="2163">
        <f>Q1351+Q1352</f>
        <v>0</v>
      </c>
      <c r="R1350" s="2163">
        <f>R1351+R1352</f>
        <v>0</v>
      </c>
      <c r="S1350" s="2166">
        <f t="shared" si="2875"/>
        <v>0</v>
      </c>
      <c r="T1350" s="2167">
        <f>N1350+Q1350</f>
        <v>0</v>
      </c>
      <c r="U1350" s="2163">
        <f t="shared" si="2855"/>
        <v>0</v>
      </c>
      <c r="V1350" s="2164">
        <f t="shared" si="2856"/>
        <v>0</v>
      </c>
      <c r="W1350" s="2163">
        <f>W1351+W1352</f>
        <v>0</v>
      </c>
      <c r="X1350" s="2163">
        <f>X1351+X1352</f>
        <v>0</v>
      </c>
      <c r="Y1350" s="2166">
        <f t="shared" si="2876"/>
        <v>0</v>
      </c>
      <c r="Z1350" s="2167">
        <f t="shared" si="2858"/>
        <v>0</v>
      </c>
      <c r="AA1350" s="2163">
        <f t="shared" si="2858"/>
        <v>0</v>
      </c>
      <c r="AB1350" s="2164">
        <f t="shared" si="2859"/>
        <v>0</v>
      </c>
      <c r="AC1350" s="2163">
        <f>AC1351+AC1352</f>
        <v>0</v>
      </c>
      <c r="AD1350" s="2163">
        <f>AD1351+AD1352</f>
        <v>0</v>
      </c>
      <c r="AE1350" s="2166">
        <f t="shared" si="2877"/>
        <v>0</v>
      </c>
      <c r="AF1350" s="2204"/>
      <c r="AG1350" s="2158"/>
      <c r="AH1350" s="2171">
        <f>AH1351+AH1352</f>
        <v>0</v>
      </c>
      <c r="AI1350" s="2171">
        <f>AI1351+AI1352</f>
        <v>0</v>
      </c>
      <c r="AJ1350" s="2172">
        <f t="shared" si="2878"/>
        <v>0</v>
      </c>
      <c r="AK1350" s="2171">
        <f>AK1351+AK1352</f>
        <v>0</v>
      </c>
      <c r="AL1350" s="2171">
        <f>AL1351+AL1352</f>
        <v>0</v>
      </c>
      <c r="AM1350" s="2172">
        <f t="shared" si="2879"/>
        <v>0</v>
      </c>
      <c r="AN1350" s="2171">
        <f>AN1351+AN1352</f>
        <v>0</v>
      </c>
      <c r="AO1350" s="2171">
        <f>AO1351+AO1352</f>
        <v>0</v>
      </c>
      <c r="AP1350" s="2172">
        <f t="shared" si="2880"/>
        <v>0</v>
      </c>
      <c r="AQ1350" s="2171">
        <f>AQ1351+AQ1352</f>
        <v>0</v>
      </c>
      <c r="AR1350" s="2171">
        <f>AR1351+AR1352</f>
        <v>0</v>
      </c>
      <c r="AS1350" s="2172">
        <f t="shared" si="2881"/>
        <v>0</v>
      </c>
      <c r="AT1350" s="2171">
        <f>AT1351+AT1352</f>
        <v>0</v>
      </c>
      <c r="AU1350" s="2171">
        <f>AU1351+AU1352</f>
        <v>0</v>
      </c>
      <c r="AV1350" s="2172">
        <f t="shared" si="2882"/>
        <v>0</v>
      </c>
      <c r="AW1350" s="2171">
        <f>AW1351+AW1352</f>
        <v>0</v>
      </c>
      <c r="AX1350" s="2171">
        <f>AX1351+AX1352</f>
        <v>0</v>
      </c>
      <c r="AY1350" s="2172">
        <f t="shared" si="2883"/>
        <v>0</v>
      </c>
      <c r="AZ1350" s="2171">
        <f>AZ1351+AZ1352</f>
        <v>0</v>
      </c>
      <c r="BA1350" s="2171">
        <f>BA1351+BA1352</f>
        <v>0</v>
      </c>
      <c r="BB1350" s="2172">
        <f t="shared" si="2884"/>
        <v>0</v>
      </c>
      <c r="BC1350" s="2171">
        <f>BC1351+BC1352</f>
        <v>0</v>
      </c>
      <c r="BD1350" s="2171">
        <f>BD1351+BD1352</f>
        <v>0</v>
      </c>
      <c r="BE1350" s="2172">
        <f t="shared" si="2885"/>
        <v>0</v>
      </c>
      <c r="BF1350" s="2171">
        <f>BF1351+BF1352</f>
        <v>0</v>
      </c>
      <c r="BG1350" s="2171">
        <f>BG1351+BG1352</f>
        <v>0</v>
      </c>
      <c r="BH1350" s="2172">
        <f t="shared" si="2886"/>
        <v>0</v>
      </c>
      <c r="BI1350" s="2171">
        <f>BI1351+BI1352</f>
        <v>0</v>
      </c>
      <c r="BJ1350" s="2171">
        <f>BJ1351+BJ1352</f>
        <v>0</v>
      </c>
      <c r="BK1350" s="2172">
        <f t="shared" si="2887"/>
        <v>0</v>
      </c>
      <c r="BL1350" s="2171">
        <f>BL1351+BL1352</f>
        <v>0</v>
      </c>
      <c r="BM1350" s="2171">
        <f>BM1351+BM1352</f>
        <v>0</v>
      </c>
      <c r="BN1350" s="2172">
        <f t="shared" si="2888"/>
        <v>0</v>
      </c>
      <c r="BO1350" s="2171">
        <f>BO1351+BO1352</f>
        <v>0</v>
      </c>
      <c r="BP1350" s="2171">
        <f>BP1351+BP1352</f>
        <v>0</v>
      </c>
      <c r="BQ1350" s="2172">
        <f t="shared" si="2889"/>
        <v>0</v>
      </c>
    </row>
    <row r="1351" spans="3:69" s="2159" customFormat="1" ht="12" hidden="1" customHeight="1">
      <c r="C1351" s="2491" t="s">
        <v>3553</v>
      </c>
      <c r="D1351" s="2174" t="s">
        <v>3538</v>
      </c>
      <c r="E1351" s="2492" t="s">
        <v>1833</v>
      </c>
      <c r="F1351" s="2427"/>
      <c r="G1351" s="2177"/>
      <c r="H1351" s="2177"/>
      <c r="I1351" s="2178">
        <f t="shared" si="2873"/>
        <v>0</v>
      </c>
      <c r="J1351" s="2427"/>
      <c r="K1351" s="2179">
        <f>N1351+Q1351+W1351+AC1351</f>
        <v>0</v>
      </c>
      <c r="L1351" s="2179">
        <f t="shared" si="2890"/>
        <v>0</v>
      </c>
      <c r="M1351" s="2178">
        <f t="shared" si="2852"/>
        <v>0</v>
      </c>
      <c r="N1351" s="2177"/>
      <c r="O1351" s="2177"/>
      <c r="P1351" s="2178">
        <f t="shared" si="2874"/>
        <v>0</v>
      </c>
      <c r="Q1351" s="2177"/>
      <c r="R1351" s="2177"/>
      <c r="S1351" s="2180">
        <f t="shared" si="2875"/>
        <v>0</v>
      </c>
      <c r="T1351" s="2181">
        <f>N1351+Q1351</f>
        <v>0</v>
      </c>
      <c r="U1351" s="2179">
        <f t="shared" si="2855"/>
        <v>0</v>
      </c>
      <c r="V1351" s="2178">
        <f t="shared" si="2856"/>
        <v>0</v>
      </c>
      <c r="W1351" s="2177"/>
      <c r="X1351" s="2177"/>
      <c r="Y1351" s="2180">
        <f t="shared" si="2876"/>
        <v>0</v>
      </c>
      <c r="Z1351" s="2181">
        <f t="shared" si="2858"/>
        <v>0</v>
      </c>
      <c r="AA1351" s="2179">
        <f t="shared" si="2858"/>
        <v>0</v>
      </c>
      <c r="AB1351" s="2178">
        <f t="shared" si="2859"/>
        <v>0</v>
      </c>
      <c r="AC1351" s="2177"/>
      <c r="AD1351" s="2177"/>
      <c r="AE1351" s="2180">
        <f t="shared" si="2877"/>
        <v>0</v>
      </c>
      <c r="AF1351" s="2443"/>
      <c r="AG1351" s="2158"/>
      <c r="AH1351" s="2177"/>
      <c r="AI1351" s="2177"/>
      <c r="AJ1351" s="2186">
        <f t="shared" si="2878"/>
        <v>0</v>
      </c>
      <c r="AK1351" s="2177"/>
      <c r="AL1351" s="2177"/>
      <c r="AM1351" s="2186">
        <f t="shared" si="2879"/>
        <v>0</v>
      </c>
      <c r="AN1351" s="2177"/>
      <c r="AO1351" s="2177"/>
      <c r="AP1351" s="2186">
        <f t="shared" si="2880"/>
        <v>0</v>
      </c>
      <c r="AQ1351" s="2177"/>
      <c r="AR1351" s="2177"/>
      <c r="AS1351" s="2186">
        <f t="shared" si="2881"/>
        <v>0</v>
      </c>
      <c r="AT1351" s="2177"/>
      <c r="AU1351" s="2177"/>
      <c r="AV1351" s="2186">
        <f t="shared" si="2882"/>
        <v>0</v>
      </c>
      <c r="AW1351" s="2177"/>
      <c r="AX1351" s="2177"/>
      <c r="AY1351" s="2186">
        <f t="shared" si="2883"/>
        <v>0</v>
      </c>
      <c r="AZ1351" s="2177"/>
      <c r="BA1351" s="2177"/>
      <c r="BB1351" s="2186">
        <f t="shared" si="2884"/>
        <v>0</v>
      </c>
      <c r="BC1351" s="2177"/>
      <c r="BD1351" s="2177"/>
      <c r="BE1351" s="2186">
        <f t="shared" si="2885"/>
        <v>0</v>
      </c>
      <c r="BF1351" s="2177"/>
      <c r="BG1351" s="2177"/>
      <c r="BH1351" s="2186">
        <f t="shared" si="2886"/>
        <v>0</v>
      </c>
      <c r="BI1351" s="2177"/>
      <c r="BJ1351" s="2177"/>
      <c r="BK1351" s="2186">
        <f t="shared" si="2887"/>
        <v>0</v>
      </c>
      <c r="BL1351" s="2177"/>
      <c r="BM1351" s="2177"/>
      <c r="BN1351" s="2186">
        <f t="shared" si="2888"/>
        <v>0</v>
      </c>
      <c r="BO1351" s="2177"/>
      <c r="BP1351" s="2177"/>
      <c r="BQ1351" s="2186">
        <f t="shared" si="2889"/>
        <v>0</v>
      </c>
    </row>
    <row r="1352" spans="3:69" s="2159" customFormat="1" ht="12" hidden="1" customHeight="1">
      <c r="C1352" s="2491" t="s">
        <v>3554</v>
      </c>
      <c r="D1352" s="2174" t="s">
        <v>3540</v>
      </c>
      <c r="E1352" s="2492" t="s">
        <v>1833</v>
      </c>
      <c r="F1352" s="2427"/>
      <c r="G1352" s="2177"/>
      <c r="H1352" s="2177"/>
      <c r="I1352" s="2178">
        <f t="shared" si="2873"/>
        <v>0</v>
      </c>
      <c r="J1352" s="2427"/>
      <c r="K1352" s="2179">
        <f t="shared" si="2890"/>
        <v>0</v>
      </c>
      <c r="L1352" s="2179">
        <f t="shared" si="2890"/>
        <v>0</v>
      </c>
      <c r="M1352" s="2178">
        <f t="shared" si="2852"/>
        <v>0</v>
      </c>
      <c r="N1352" s="2177"/>
      <c r="O1352" s="2177"/>
      <c r="P1352" s="2178">
        <f t="shared" si="2874"/>
        <v>0</v>
      </c>
      <c r="Q1352" s="2177"/>
      <c r="R1352" s="2177"/>
      <c r="S1352" s="2180">
        <f t="shared" si="2875"/>
        <v>0</v>
      </c>
      <c r="T1352" s="2181">
        <f>N1352+Q1352</f>
        <v>0</v>
      </c>
      <c r="U1352" s="2179">
        <f t="shared" si="2855"/>
        <v>0</v>
      </c>
      <c r="V1352" s="2178">
        <f t="shared" si="2856"/>
        <v>0</v>
      </c>
      <c r="W1352" s="2177"/>
      <c r="X1352" s="2177"/>
      <c r="Y1352" s="2180">
        <f t="shared" si="2876"/>
        <v>0</v>
      </c>
      <c r="Z1352" s="2181">
        <f t="shared" si="2858"/>
        <v>0</v>
      </c>
      <c r="AA1352" s="2179">
        <f t="shared" si="2858"/>
        <v>0</v>
      </c>
      <c r="AB1352" s="2178">
        <f t="shared" si="2859"/>
        <v>0</v>
      </c>
      <c r="AC1352" s="2177"/>
      <c r="AD1352" s="2177"/>
      <c r="AE1352" s="2180">
        <f t="shared" si="2877"/>
        <v>0</v>
      </c>
      <c r="AF1352" s="2443"/>
      <c r="AG1352" s="2158"/>
      <c r="AH1352" s="2177"/>
      <c r="AI1352" s="2177"/>
      <c r="AJ1352" s="2186">
        <f t="shared" si="2878"/>
        <v>0</v>
      </c>
      <c r="AK1352" s="2177"/>
      <c r="AL1352" s="2177"/>
      <c r="AM1352" s="2186">
        <f t="shared" si="2879"/>
        <v>0</v>
      </c>
      <c r="AN1352" s="2177"/>
      <c r="AO1352" s="2177"/>
      <c r="AP1352" s="2186">
        <f t="shared" si="2880"/>
        <v>0</v>
      </c>
      <c r="AQ1352" s="2177"/>
      <c r="AR1352" s="2177"/>
      <c r="AS1352" s="2186">
        <f t="shared" si="2881"/>
        <v>0</v>
      </c>
      <c r="AT1352" s="2177"/>
      <c r="AU1352" s="2177"/>
      <c r="AV1352" s="2186">
        <f t="shared" si="2882"/>
        <v>0</v>
      </c>
      <c r="AW1352" s="2177"/>
      <c r="AX1352" s="2177"/>
      <c r="AY1352" s="2186">
        <f t="shared" si="2883"/>
        <v>0</v>
      </c>
      <c r="AZ1352" s="2177"/>
      <c r="BA1352" s="2177"/>
      <c r="BB1352" s="2186">
        <f t="shared" si="2884"/>
        <v>0</v>
      </c>
      <c r="BC1352" s="2177"/>
      <c r="BD1352" s="2177"/>
      <c r="BE1352" s="2186">
        <f t="shared" si="2885"/>
        <v>0</v>
      </c>
      <c r="BF1352" s="2177"/>
      <c r="BG1352" s="2177"/>
      <c r="BH1352" s="2186">
        <f t="shared" si="2886"/>
        <v>0</v>
      </c>
      <c r="BI1352" s="2177"/>
      <c r="BJ1352" s="2177"/>
      <c r="BK1352" s="2186">
        <f t="shared" si="2887"/>
        <v>0</v>
      </c>
      <c r="BL1352" s="2177"/>
      <c r="BM1352" s="2177"/>
      <c r="BN1352" s="2186">
        <f t="shared" si="2888"/>
        <v>0</v>
      </c>
      <c r="BO1352" s="2177"/>
      <c r="BP1352" s="2177"/>
      <c r="BQ1352" s="2186">
        <f t="shared" si="2889"/>
        <v>0</v>
      </c>
    </row>
    <row r="1353" spans="3:69">
      <c r="C1353" s="2493"/>
      <c r="D1353" s="2493"/>
      <c r="E1353" s="2494"/>
      <c r="F1353" s="2495"/>
      <c r="G1353" s="2493"/>
      <c r="H1353" s="2493"/>
      <c r="I1353" s="2493"/>
      <c r="J1353" s="2495"/>
      <c r="K1353" s="2496"/>
      <c r="L1353" s="2493"/>
      <c r="M1353" s="2493"/>
      <c r="N1353" s="2497"/>
      <c r="O1353" s="2497"/>
      <c r="P1353" s="2497"/>
      <c r="Q1353" s="2497"/>
      <c r="R1353" s="2497"/>
      <c r="S1353" s="2497"/>
      <c r="T1353" s="2497"/>
      <c r="U1353" s="2497"/>
      <c r="V1353" s="2497"/>
      <c r="W1353" s="2497"/>
      <c r="X1353" s="2497"/>
      <c r="Y1353" s="2497"/>
      <c r="Z1353" s="2497"/>
      <c r="AA1353" s="2497"/>
      <c r="AB1353" s="2497"/>
      <c r="AC1353" s="2497"/>
      <c r="AD1353" s="2493"/>
      <c r="AE1353" s="2493"/>
      <c r="AF1353" s="2498"/>
      <c r="AH1353" s="2497"/>
      <c r="AI1353" s="2497"/>
      <c r="AJ1353" s="2497"/>
      <c r="AK1353" s="2497"/>
      <c r="AL1353" s="2497"/>
      <c r="AM1353" s="2497"/>
      <c r="AN1353" s="2497"/>
      <c r="AO1353" s="2497"/>
      <c r="AP1353" s="2497"/>
      <c r="AQ1353" s="2497"/>
      <c r="AR1353" s="2497"/>
      <c r="AS1353" s="2497"/>
      <c r="AT1353" s="2497"/>
      <c r="AU1353" s="2497"/>
      <c r="AV1353" s="2497"/>
      <c r="AW1353" s="2497"/>
      <c r="AX1353" s="2497"/>
      <c r="AY1353" s="2497"/>
      <c r="AZ1353" s="2497"/>
      <c r="BA1353" s="2497"/>
      <c r="BB1353" s="2497"/>
      <c r="BC1353" s="2497"/>
      <c r="BD1353" s="2497"/>
      <c r="BE1353" s="2497"/>
      <c r="BF1353" s="2497"/>
      <c r="BG1353" s="2497"/>
      <c r="BH1353" s="2497"/>
      <c r="BI1353" s="2497"/>
      <c r="BJ1353" s="2497"/>
      <c r="BK1353" s="2497"/>
      <c r="BL1353" s="2497"/>
      <c r="BM1353" s="2497"/>
      <c r="BN1353" s="2497"/>
      <c r="BO1353" s="2497"/>
      <c r="BP1353" s="2497"/>
      <c r="BQ1353" s="2497"/>
    </row>
    <row r="1354" spans="3:69" ht="12.75">
      <c r="C1354" s="1845"/>
      <c r="D1354" s="1845"/>
      <c r="E1354" s="1845"/>
      <c r="F1354" s="1845"/>
      <c r="G1354" s="1845"/>
      <c r="H1354" s="1845"/>
      <c r="I1354" s="1845"/>
      <c r="J1354" s="1845"/>
      <c r="K1354" s="1845"/>
      <c r="L1354" s="1845"/>
      <c r="M1354" s="1845"/>
      <c r="N1354" s="1845"/>
      <c r="O1354" s="1845"/>
      <c r="P1354" s="1845"/>
      <c r="Q1354" s="1845"/>
      <c r="R1354" s="1845"/>
      <c r="S1354" s="1845"/>
      <c r="T1354" s="1845"/>
      <c r="U1354" s="1845"/>
      <c r="V1354" s="1845"/>
      <c r="W1354" s="1845"/>
      <c r="X1354" s="1845"/>
      <c r="Y1354" s="1845"/>
      <c r="Z1354" s="1845"/>
      <c r="AA1354" s="1845"/>
      <c r="AB1354" s="1845"/>
      <c r="AC1354" s="1845"/>
      <c r="AD1354" s="1845"/>
      <c r="AE1354" s="1845"/>
      <c r="AF1354" s="1845"/>
      <c r="AG1354" s="1845"/>
      <c r="AH1354" s="1845"/>
      <c r="AI1354" s="1845"/>
      <c r="AJ1354" s="1845"/>
      <c r="AK1354" s="1845"/>
      <c r="AL1354" s="1845"/>
      <c r="AM1354" s="1845"/>
      <c r="AN1354" s="1845"/>
      <c r="AO1354" s="1845"/>
      <c r="AP1354" s="1845"/>
      <c r="AQ1354" s="1845"/>
      <c r="AR1354" s="1845"/>
      <c r="AS1354" s="1845"/>
      <c r="AT1354" s="1845"/>
      <c r="AU1354" s="1845"/>
      <c r="AV1354" s="1845"/>
      <c r="AW1354" s="1845"/>
      <c r="AX1354" s="1845"/>
      <c r="AY1354" s="1845"/>
      <c r="AZ1354" s="1845"/>
      <c r="BA1354" s="1845"/>
      <c r="BB1354" s="1845"/>
      <c r="BC1354" s="1845"/>
      <c r="BD1354" s="1845"/>
      <c r="BE1354" s="1845"/>
      <c r="BF1354" s="1845"/>
      <c r="BG1354" s="1845"/>
      <c r="BH1354" s="1845"/>
      <c r="BI1354" s="1845"/>
      <c r="BJ1354" s="1845"/>
      <c r="BK1354" s="1845"/>
      <c r="BL1354" s="1845"/>
      <c r="BM1354" s="1845"/>
      <c r="BN1354" s="1845"/>
      <c r="BO1354" s="1845"/>
      <c r="BP1354" s="1845"/>
      <c r="BQ1354" s="1845"/>
    </row>
    <row r="1355" spans="3:69" ht="18.75" hidden="1">
      <c r="D1355" s="2499" t="s">
        <v>3555</v>
      </c>
      <c r="L1355" s="2500"/>
      <c r="M1355" s="2499"/>
      <c r="N1355" s="2501"/>
      <c r="Q1355" s="2501"/>
      <c r="W1355" s="2501"/>
      <c r="AC1355" s="2501"/>
      <c r="AH1355" s="2501"/>
      <c r="AK1355" s="2501"/>
      <c r="AN1355" s="2501"/>
      <c r="AQ1355" s="2501"/>
      <c r="AT1355" s="2501"/>
      <c r="AW1355" s="2501"/>
      <c r="AZ1355" s="2501"/>
      <c r="BC1355" s="2501"/>
      <c r="BF1355" s="2501"/>
      <c r="BI1355" s="2501"/>
      <c r="BL1355" s="2501"/>
      <c r="BO1355" s="2501"/>
    </row>
    <row r="1356" spans="3:69" ht="15.75" hidden="1">
      <c r="C1356" s="1845"/>
      <c r="D1356" s="2502" t="s">
        <v>3556</v>
      </c>
      <c r="L1356" s="2503"/>
      <c r="M1356" s="2502"/>
      <c r="N1356" s="2504"/>
      <c r="Q1356" s="2504"/>
      <c r="W1356" s="2504"/>
      <c r="AC1356" s="2504"/>
      <c r="AH1356" s="2504"/>
      <c r="AK1356" s="2504"/>
      <c r="AN1356" s="2504"/>
      <c r="AQ1356" s="2504"/>
      <c r="AT1356" s="2504"/>
      <c r="AW1356" s="2504"/>
      <c r="AZ1356" s="2504"/>
      <c r="BC1356" s="2504"/>
      <c r="BF1356" s="2504"/>
      <c r="BI1356" s="2504"/>
      <c r="BL1356" s="2504"/>
      <c r="BO1356" s="2504"/>
    </row>
    <row r="1357" spans="3:69" ht="15.75" hidden="1">
      <c r="D1357" s="2502" t="s">
        <v>3557</v>
      </c>
      <c r="L1357" s="2503"/>
      <c r="M1357" s="2502"/>
      <c r="N1357" s="2504"/>
      <c r="Q1357" s="2504"/>
      <c r="W1357" s="2504"/>
      <c r="AC1357" s="2504"/>
      <c r="AH1357" s="2504"/>
      <c r="AK1357" s="2504"/>
      <c r="AN1357" s="2504"/>
      <c r="AQ1357" s="2504"/>
      <c r="AT1357" s="2504"/>
      <c r="AW1357" s="2504"/>
      <c r="AZ1357" s="2504"/>
      <c r="BC1357" s="2504"/>
      <c r="BF1357" s="2504"/>
      <c r="BI1357" s="2504"/>
      <c r="BL1357" s="2504"/>
      <c r="BO1357" s="2504"/>
    </row>
    <row r="1358" spans="3:69" ht="18.75" hidden="1">
      <c r="D1358" s="2505" t="s">
        <v>3558</v>
      </c>
      <c r="L1358" s="2506"/>
      <c r="M1358" s="2505"/>
      <c r="N1358" s="2507"/>
      <c r="Q1358" s="2507"/>
      <c r="W1358" s="2507"/>
      <c r="AC1358" s="2507"/>
      <c r="AH1358" s="2507"/>
      <c r="AK1358" s="2507"/>
      <c r="AN1358" s="2507"/>
      <c r="AQ1358" s="2507"/>
      <c r="AT1358" s="2507"/>
      <c r="AW1358" s="2507"/>
      <c r="AZ1358" s="2507"/>
      <c r="BC1358" s="2507"/>
      <c r="BF1358" s="2507"/>
      <c r="BI1358" s="2507"/>
      <c r="BL1358" s="2507"/>
      <c r="BO1358" s="2507"/>
    </row>
    <row r="1359" spans="3:69" ht="18.75" hidden="1">
      <c r="D1359" s="2508" t="s">
        <v>3559</v>
      </c>
      <c r="L1359" s="2506"/>
      <c r="M1359" s="2508"/>
      <c r="N1359" s="2507"/>
      <c r="Q1359" s="2507"/>
      <c r="W1359" s="2507"/>
      <c r="AC1359" s="2507"/>
      <c r="AH1359" s="2507"/>
      <c r="AK1359" s="2507"/>
      <c r="AN1359" s="2507"/>
      <c r="AQ1359" s="2507"/>
      <c r="AT1359" s="2507"/>
      <c r="AW1359" s="2507"/>
      <c r="AZ1359" s="2507"/>
      <c r="BC1359" s="2507"/>
      <c r="BF1359" s="2507"/>
      <c r="BI1359" s="2507"/>
      <c r="BL1359" s="2507"/>
      <c r="BO1359" s="2507"/>
    </row>
    <row r="1360" spans="3:69" ht="18.75" hidden="1">
      <c r="D1360" s="2508" t="s">
        <v>3560</v>
      </c>
      <c r="L1360" s="2506"/>
      <c r="M1360" s="2508"/>
      <c r="N1360" s="2507"/>
      <c r="Q1360" s="2507"/>
      <c r="W1360" s="2507"/>
      <c r="AC1360" s="2507"/>
      <c r="AH1360" s="2507"/>
      <c r="AK1360" s="2507"/>
      <c r="AN1360" s="2507"/>
      <c r="AQ1360" s="2507"/>
      <c r="AT1360" s="2507"/>
      <c r="AW1360" s="2507"/>
      <c r="AZ1360" s="2507"/>
      <c r="BC1360" s="2507"/>
      <c r="BF1360" s="2507"/>
      <c r="BI1360" s="2507"/>
      <c r="BL1360" s="2507"/>
      <c r="BO1360" s="2507"/>
    </row>
    <row r="1361" spans="4:67" ht="18.75">
      <c r="D1361" s="2508" t="s">
        <v>3561</v>
      </c>
      <c r="L1361" s="2506"/>
      <c r="M1361" s="2508"/>
      <c r="N1361" s="2507"/>
      <c r="Q1361" s="2507"/>
      <c r="W1361" s="2507"/>
      <c r="AC1361" s="2507"/>
      <c r="AH1361" s="2507"/>
      <c r="AK1361" s="2507"/>
      <c r="AN1361" s="2507"/>
      <c r="AQ1361" s="2507"/>
      <c r="AT1361" s="2507"/>
      <c r="AW1361" s="2507"/>
      <c r="AZ1361" s="2507"/>
      <c r="BC1361" s="2507"/>
      <c r="BF1361" s="2507"/>
      <c r="BI1361" s="2507"/>
      <c r="BL1361" s="2507"/>
      <c r="BO1361" s="2507"/>
    </row>
    <row r="1362" spans="4:67" ht="18.75">
      <c r="D1362" s="2505" t="s">
        <v>42</v>
      </c>
      <c r="L1362" s="2506"/>
      <c r="M1362" s="2505"/>
      <c r="N1362" s="2507"/>
      <c r="Q1362" s="2507"/>
      <c r="W1362" s="2507"/>
      <c r="AC1362" s="2507"/>
      <c r="AH1362" s="2507"/>
      <c r="AK1362" s="2507"/>
      <c r="AN1362" s="2507"/>
      <c r="AQ1362" s="2507"/>
      <c r="AT1362" s="2507"/>
      <c r="AW1362" s="2507"/>
      <c r="AZ1362" s="2507"/>
      <c r="BC1362" s="2507"/>
      <c r="BF1362" s="2507"/>
      <c r="BI1362" s="2507"/>
      <c r="BL1362" s="2507"/>
      <c r="BO1362" s="2507"/>
    </row>
    <row r="1363" spans="4:67" ht="18.75">
      <c r="D1363" s="2509" t="s">
        <v>3562</v>
      </c>
      <c r="L1363" s="2510"/>
      <c r="M1363" s="2509"/>
      <c r="N1363" s="2511"/>
      <c r="Q1363" s="2511"/>
      <c r="W1363" s="2511"/>
      <c r="AC1363" s="2511"/>
      <c r="AH1363" s="2511"/>
      <c r="AK1363" s="2511"/>
      <c r="AN1363" s="2511"/>
      <c r="AQ1363" s="2511"/>
      <c r="AT1363" s="2511"/>
      <c r="AW1363" s="2511"/>
      <c r="AZ1363" s="2511"/>
      <c r="BC1363" s="2511"/>
      <c r="BF1363" s="2511"/>
      <c r="BI1363" s="2511"/>
      <c r="BL1363" s="2511"/>
      <c r="BO1363" s="2511"/>
    </row>
    <row r="1364" spans="4:67" ht="18.75">
      <c r="D1364" s="2512" t="s">
        <v>156</v>
      </c>
      <c r="L1364" s="2513"/>
      <c r="M1364" s="2512"/>
      <c r="N1364" s="2514"/>
      <c r="Q1364" s="2514"/>
      <c r="W1364" s="2514"/>
      <c r="AC1364" s="2514"/>
      <c r="AH1364" s="2514"/>
      <c r="AK1364" s="2514"/>
      <c r="AN1364" s="2514"/>
      <c r="AQ1364" s="2514"/>
      <c r="AT1364" s="2514"/>
      <c r="AW1364" s="2514"/>
      <c r="AZ1364" s="2514"/>
      <c r="BC1364" s="2514"/>
      <c r="BF1364" s="2514"/>
      <c r="BI1364" s="2514"/>
      <c r="BL1364" s="2514"/>
      <c r="BO1364" s="2514"/>
    </row>
    <row r="1365" spans="4:67" ht="18.75">
      <c r="D1365" s="2512" t="s">
        <v>225</v>
      </c>
      <c r="L1365" s="2513"/>
      <c r="M1365" s="2512"/>
      <c r="N1365" s="2514"/>
      <c r="Q1365" s="2514"/>
      <c r="W1365" s="2514"/>
      <c r="AC1365" s="2514"/>
      <c r="AH1365" s="2514"/>
      <c r="AK1365" s="2514"/>
      <c r="AN1365" s="2514"/>
      <c r="AQ1365" s="2514"/>
      <c r="AT1365" s="2514"/>
      <c r="AW1365" s="2514"/>
      <c r="AZ1365" s="2514"/>
      <c r="BC1365" s="2514"/>
      <c r="BF1365" s="2514"/>
      <c r="BI1365" s="2514"/>
      <c r="BL1365" s="2514"/>
      <c r="BO1365" s="2514"/>
    </row>
    <row r="1366" spans="4:67" ht="18.75">
      <c r="D1366" s="2512" t="s">
        <v>226</v>
      </c>
      <c r="L1366" s="2513"/>
      <c r="M1366" s="2512"/>
      <c r="N1366" s="2514"/>
      <c r="Q1366" s="2514"/>
      <c r="W1366" s="2514"/>
      <c r="AC1366" s="2514"/>
      <c r="AH1366" s="2514"/>
      <c r="AK1366" s="2514"/>
      <c r="AN1366" s="2514"/>
      <c r="AQ1366" s="2514"/>
      <c r="AT1366" s="2514"/>
      <c r="AW1366" s="2514"/>
      <c r="AZ1366" s="2514"/>
      <c r="BC1366" s="2514"/>
      <c r="BF1366" s="2514"/>
      <c r="BI1366" s="2514"/>
      <c r="BL1366" s="2514"/>
      <c r="BO1366" s="2514"/>
    </row>
    <row r="1367" spans="4:67" ht="18.75">
      <c r="D1367" s="2512" t="s">
        <v>3563</v>
      </c>
      <c r="L1367" s="2513"/>
      <c r="M1367" s="2512"/>
      <c r="N1367" s="2514"/>
      <c r="Q1367" s="2514"/>
      <c r="W1367" s="2514"/>
      <c r="AC1367" s="2514"/>
      <c r="AH1367" s="2514"/>
      <c r="AK1367" s="2514"/>
      <c r="AN1367" s="2514"/>
      <c r="AQ1367" s="2514"/>
      <c r="AT1367" s="2514"/>
      <c r="AW1367" s="2514"/>
      <c r="AZ1367" s="2514"/>
      <c r="BC1367" s="2514"/>
      <c r="BF1367" s="2514"/>
      <c r="BI1367" s="2514"/>
      <c r="BL1367" s="2514"/>
      <c r="BO1367" s="2514"/>
    </row>
    <row r="1368" spans="4:67" ht="18.75">
      <c r="D1368" s="2509" t="s">
        <v>3562</v>
      </c>
      <c r="L1368" s="2510"/>
      <c r="M1368" s="2509"/>
      <c r="N1368" s="2507"/>
      <c r="Q1368" s="2507"/>
      <c r="W1368" s="2507"/>
      <c r="AC1368" s="2507"/>
      <c r="AH1368" s="2507"/>
      <c r="AK1368" s="2507"/>
      <c r="AN1368" s="2507"/>
      <c r="AQ1368" s="2507"/>
      <c r="AT1368" s="2507"/>
      <c r="AW1368" s="2507"/>
      <c r="AZ1368" s="2507"/>
      <c r="BC1368" s="2507"/>
      <c r="BF1368" s="2507"/>
      <c r="BI1368" s="2507"/>
      <c r="BL1368" s="2507"/>
      <c r="BO1368" s="2507"/>
    </row>
    <row r="1369" spans="4:67" ht="15.75">
      <c r="D1369" s="2515" t="s">
        <v>42</v>
      </c>
      <c r="L1369" s="2516"/>
      <c r="M1369" s="2515"/>
      <c r="N1369" s="2507"/>
      <c r="Q1369" s="2507"/>
      <c r="W1369" s="2507"/>
      <c r="AC1369" s="2507"/>
      <c r="AH1369" s="2507"/>
      <c r="AK1369" s="2507"/>
      <c r="AN1369" s="2507"/>
      <c r="AQ1369" s="2507"/>
      <c r="AT1369" s="2507"/>
      <c r="AW1369" s="2507"/>
      <c r="AZ1369" s="2507"/>
      <c r="BC1369" s="2507"/>
      <c r="BF1369" s="2507"/>
      <c r="BI1369" s="2507"/>
      <c r="BL1369" s="2507"/>
      <c r="BO1369" s="2507"/>
    </row>
    <row r="1370" spans="4:67" ht="15.75">
      <c r="D1370" s="2515" t="s">
        <v>521</v>
      </c>
      <c r="L1370" s="2517"/>
      <c r="M1370" s="2515"/>
      <c r="N1370" s="2507"/>
      <c r="Q1370" s="2507"/>
      <c r="W1370" s="2507"/>
      <c r="AC1370" s="2507"/>
      <c r="AH1370" s="2507"/>
      <c r="AK1370" s="2507"/>
      <c r="AN1370" s="2507"/>
      <c r="AQ1370" s="2507"/>
      <c r="AT1370" s="2507"/>
      <c r="AW1370" s="2507"/>
      <c r="AZ1370" s="2507"/>
      <c r="BC1370" s="2507"/>
      <c r="BF1370" s="2507"/>
      <c r="BI1370" s="2507"/>
      <c r="BL1370" s="2507"/>
      <c r="BO1370" s="2507"/>
    </row>
    <row r="1371" spans="4:67" ht="22.5">
      <c r="D1371" s="2518" t="s">
        <v>3564</v>
      </c>
      <c r="L1371" s="2519"/>
      <c r="M1371" s="2518"/>
      <c r="N1371" s="2507"/>
      <c r="Q1371" s="2507"/>
      <c r="W1371" s="2507"/>
      <c r="AC1371" s="2507"/>
      <c r="AH1371" s="2507"/>
      <c r="AK1371" s="2507"/>
      <c r="AN1371" s="2507"/>
      <c r="AQ1371" s="2507"/>
      <c r="AT1371" s="2507"/>
      <c r="AW1371" s="2507"/>
      <c r="AZ1371" s="2507"/>
      <c r="BC1371" s="2507"/>
      <c r="BF1371" s="2507"/>
      <c r="BI1371" s="2507"/>
      <c r="BL1371" s="2507"/>
      <c r="BO1371" s="2507"/>
    </row>
    <row r="1372" spans="4:67" ht="18.75">
      <c r="D1372" s="2509" t="s">
        <v>3565</v>
      </c>
      <c r="L1372" s="2520"/>
      <c r="M1372" s="2509"/>
      <c r="N1372" s="2504"/>
      <c r="Q1372" s="2504"/>
      <c r="W1372" s="2504"/>
      <c r="AC1372" s="2504"/>
      <c r="AH1372" s="2504"/>
      <c r="AK1372" s="2504"/>
      <c r="AN1372" s="2504"/>
      <c r="AQ1372" s="2504"/>
      <c r="AT1372" s="2504"/>
      <c r="AW1372" s="2504"/>
      <c r="AZ1372" s="2504"/>
      <c r="BC1372" s="2504"/>
      <c r="BF1372" s="2504"/>
      <c r="BI1372" s="2504"/>
      <c r="BL1372" s="2504"/>
      <c r="BO1372" s="2504"/>
    </row>
    <row r="1373" spans="4:67" ht="18.75">
      <c r="D1373" s="2512" t="s">
        <v>156</v>
      </c>
      <c r="L1373" s="2513"/>
      <c r="M1373" s="2512"/>
      <c r="N1373" s="2514"/>
      <c r="Q1373" s="2514"/>
      <c r="W1373" s="2514"/>
      <c r="AC1373" s="2514"/>
      <c r="AH1373" s="2514"/>
      <c r="AK1373" s="2514"/>
      <c r="AN1373" s="2514"/>
      <c r="AQ1373" s="2514"/>
      <c r="AT1373" s="2514"/>
      <c r="AW1373" s="2514"/>
      <c r="AZ1373" s="2514"/>
      <c r="BC1373" s="2514"/>
      <c r="BF1373" s="2514"/>
      <c r="BI1373" s="2514"/>
      <c r="BL1373" s="2514"/>
      <c r="BO1373" s="2514"/>
    </row>
    <row r="1374" spans="4:67" ht="15.75">
      <c r="D1374" s="2521" t="s">
        <v>3566</v>
      </c>
      <c r="L1374" s="2522"/>
      <c r="M1374" s="2521"/>
      <c r="N1374" s="2504"/>
      <c r="Q1374" s="2504"/>
      <c r="W1374" s="2504"/>
      <c r="AC1374" s="2504"/>
      <c r="AH1374" s="2504"/>
      <c r="AK1374" s="2504"/>
      <c r="AN1374" s="2504"/>
      <c r="AQ1374" s="2504"/>
      <c r="AT1374" s="2504"/>
      <c r="AW1374" s="2504"/>
      <c r="AZ1374" s="2504"/>
      <c r="BC1374" s="2504"/>
      <c r="BF1374" s="2504"/>
      <c r="BI1374" s="2504"/>
      <c r="BL1374" s="2504"/>
      <c r="BO1374" s="2504"/>
    </row>
    <row r="1375" spans="4:67" ht="15.75">
      <c r="D1375" s="2523" t="s">
        <v>230</v>
      </c>
      <c r="L1375" s="2524"/>
      <c r="M1375" s="2523"/>
      <c r="N1375" s="2504"/>
      <c r="Q1375" s="2504"/>
      <c r="W1375" s="2504"/>
      <c r="AC1375" s="2504"/>
      <c r="AH1375" s="2504"/>
      <c r="AK1375" s="2504"/>
      <c r="AN1375" s="2504"/>
      <c r="AQ1375" s="2504"/>
      <c r="AT1375" s="2504"/>
      <c r="AW1375" s="2504"/>
      <c r="AZ1375" s="2504"/>
      <c r="BC1375" s="2504"/>
      <c r="BF1375" s="2504"/>
      <c r="BI1375" s="2504"/>
      <c r="BL1375" s="2504"/>
      <c r="BO1375" s="2504"/>
    </row>
    <row r="1376" spans="4:67" ht="15.75">
      <c r="D1376" s="2523" t="s">
        <v>231</v>
      </c>
      <c r="L1376" s="2525"/>
      <c r="M1376" s="2523"/>
      <c r="N1376" s="2504"/>
      <c r="Q1376" s="2504"/>
      <c r="W1376" s="2504"/>
      <c r="AC1376" s="2504"/>
      <c r="AH1376" s="2504"/>
      <c r="AK1376" s="2504"/>
      <c r="AN1376" s="2504"/>
      <c r="AQ1376" s="2504"/>
      <c r="AT1376" s="2504"/>
      <c r="AW1376" s="2504"/>
      <c r="AZ1376" s="2504"/>
      <c r="BC1376" s="2504"/>
      <c r="BF1376" s="2504"/>
      <c r="BI1376" s="2504"/>
      <c r="BL1376" s="2504"/>
      <c r="BO1376" s="2504"/>
    </row>
    <row r="1377" spans="4:67" ht="18.75">
      <c r="D1377" s="2509" t="s">
        <v>3567</v>
      </c>
      <c r="L1377" s="2520"/>
      <c r="M1377" s="2509"/>
      <c r="N1377" s="2504"/>
      <c r="Q1377" s="2504"/>
      <c r="W1377" s="2504"/>
      <c r="AC1377" s="2504"/>
      <c r="AH1377" s="2504"/>
      <c r="AK1377" s="2504"/>
      <c r="AN1377" s="2504"/>
      <c r="AQ1377" s="2504"/>
      <c r="AT1377" s="2504"/>
      <c r="AW1377" s="2504"/>
      <c r="AZ1377" s="2504"/>
      <c r="BC1377" s="2504"/>
      <c r="BF1377" s="2504"/>
      <c r="BI1377" s="2504"/>
      <c r="BL1377" s="2504"/>
      <c r="BO1377" s="2504"/>
    </row>
    <row r="1378" spans="4:67" ht="18.75">
      <c r="D1378" s="2512" t="s">
        <v>226</v>
      </c>
      <c r="L1378" s="2513"/>
      <c r="M1378" s="2512"/>
      <c r="N1378" s="2514"/>
      <c r="Q1378" s="2514"/>
      <c r="W1378" s="2514"/>
      <c r="AC1378" s="2514"/>
      <c r="AH1378" s="2514"/>
      <c r="AK1378" s="2514"/>
      <c r="AN1378" s="2514"/>
      <c r="AQ1378" s="2514"/>
      <c r="AT1378" s="2514"/>
      <c r="AW1378" s="2514"/>
      <c r="AZ1378" s="2514"/>
      <c r="BC1378" s="2514"/>
      <c r="BF1378" s="2514"/>
      <c r="BI1378" s="2514"/>
      <c r="BL1378" s="2514"/>
      <c r="BO1378" s="2514"/>
    </row>
    <row r="1379" spans="4:67" ht="18.75">
      <c r="D1379" s="2509" t="s">
        <v>3568</v>
      </c>
      <c r="L1379" s="2520"/>
      <c r="M1379" s="2509"/>
      <c r="N1379" s="2504"/>
      <c r="Q1379" s="2504"/>
      <c r="W1379" s="2504"/>
      <c r="AC1379" s="2504"/>
      <c r="AH1379" s="2504"/>
      <c r="AK1379" s="2504"/>
      <c r="AN1379" s="2504"/>
      <c r="AQ1379" s="2504"/>
      <c r="AT1379" s="2504"/>
      <c r="AW1379" s="2504"/>
      <c r="AZ1379" s="2504"/>
      <c r="BC1379" s="2504"/>
      <c r="BF1379" s="2504"/>
      <c r="BI1379" s="2504"/>
      <c r="BL1379" s="2504"/>
      <c r="BO1379" s="2504"/>
    </row>
    <row r="1380" spans="4:67" ht="18.75">
      <c r="D1380" s="2512" t="s">
        <v>156</v>
      </c>
      <c r="L1380" s="2513"/>
      <c r="M1380" s="2512"/>
      <c r="N1380" s="2514"/>
      <c r="Q1380" s="2514"/>
      <c r="W1380" s="2514"/>
      <c r="AC1380" s="2514"/>
      <c r="AH1380" s="2514"/>
      <c r="AK1380" s="2514"/>
      <c r="AN1380" s="2514"/>
      <c r="AQ1380" s="2514"/>
      <c r="AT1380" s="2514"/>
      <c r="AW1380" s="2514"/>
      <c r="AZ1380" s="2514"/>
      <c r="BC1380" s="2514"/>
      <c r="BF1380" s="2514"/>
      <c r="BI1380" s="2514"/>
      <c r="BL1380" s="2514"/>
      <c r="BO1380" s="2514"/>
    </row>
    <row r="1381" spans="4:67" ht="18.75">
      <c r="D1381" s="2509" t="s">
        <v>3569</v>
      </c>
      <c r="L1381" s="2520"/>
      <c r="M1381" s="2509"/>
      <c r="N1381" s="2504"/>
      <c r="Q1381" s="2504"/>
      <c r="W1381" s="2504"/>
      <c r="AC1381" s="2504"/>
      <c r="AH1381" s="2504"/>
      <c r="AK1381" s="2504"/>
      <c r="AN1381" s="2504"/>
      <c r="AQ1381" s="2504"/>
      <c r="AT1381" s="2504"/>
      <c r="AW1381" s="2504"/>
      <c r="AZ1381" s="2504"/>
      <c r="BC1381" s="2504"/>
      <c r="BF1381" s="2504"/>
      <c r="BI1381" s="2504"/>
      <c r="BL1381" s="2504"/>
      <c r="BO1381" s="2504"/>
    </row>
    <row r="1382" spans="4:67" ht="18.75">
      <c r="D1382" s="2509" t="s">
        <v>3570</v>
      </c>
      <c r="L1382" s="2520"/>
      <c r="M1382" s="2509"/>
      <c r="N1382" s="2504"/>
      <c r="Q1382" s="2504"/>
      <c r="W1382" s="2504"/>
      <c r="AC1382" s="2504"/>
      <c r="AH1382" s="2504"/>
      <c r="AK1382" s="2504"/>
      <c r="AN1382" s="2504"/>
      <c r="AQ1382" s="2504"/>
      <c r="AT1382" s="2504"/>
      <c r="AW1382" s="2504"/>
      <c r="AZ1382" s="2504"/>
      <c r="BC1382" s="2504"/>
      <c r="BF1382" s="2504"/>
      <c r="BI1382" s="2504"/>
      <c r="BL1382" s="2504"/>
      <c r="BO1382" s="2504"/>
    </row>
    <row r="1383" spans="4:67" ht="22.5">
      <c r="D1383" s="2526" t="s">
        <v>3571</v>
      </c>
      <c r="L1383" s="2527"/>
      <c r="M1383" s="2526"/>
      <c r="N1383" s="2507"/>
      <c r="Q1383" s="2507"/>
      <c r="W1383" s="2507"/>
      <c r="AC1383" s="2507"/>
      <c r="AH1383" s="2507"/>
      <c r="AK1383" s="2507"/>
      <c r="AN1383" s="2507"/>
      <c r="AQ1383" s="2507"/>
      <c r="AT1383" s="2507"/>
      <c r="AW1383" s="2507"/>
      <c r="AZ1383" s="2507"/>
      <c r="BC1383" s="2507"/>
      <c r="BF1383" s="2507"/>
      <c r="BI1383" s="2507"/>
      <c r="BL1383" s="2507"/>
      <c r="BO1383" s="2507"/>
    </row>
    <row r="1384" spans="4:67" ht="15.75">
      <c r="D1384" s="2528" t="s">
        <v>3572</v>
      </c>
      <c r="L1384" s="2529"/>
      <c r="M1384" s="2528"/>
      <c r="N1384" s="2504"/>
      <c r="Q1384" s="2504"/>
      <c r="W1384" s="2504"/>
      <c r="AC1384" s="2504"/>
      <c r="AH1384" s="2504"/>
      <c r="AK1384" s="2504"/>
      <c r="AN1384" s="2504"/>
      <c r="AQ1384" s="2504"/>
      <c r="AT1384" s="2504"/>
      <c r="AW1384" s="2504"/>
      <c r="AZ1384" s="2504"/>
      <c r="BC1384" s="2504"/>
      <c r="BF1384" s="2504"/>
      <c r="BI1384" s="2504"/>
      <c r="BL1384" s="2504"/>
      <c r="BO1384" s="2504"/>
    </row>
    <row r="1385" spans="4:67" ht="23.25">
      <c r="D1385" s="2530" t="s">
        <v>3573</v>
      </c>
      <c r="L1385" s="2531"/>
      <c r="M1385" s="2530"/>
      <c r="N1385" s="2504"/>
      <c r="Q1385" s="2504"/>
      <c r="W1385" s="2504"/>
      <c r="AC1385" s="2504"/>
      <c r="AH1385" s="2504"/>
      <c r="AK1385" s="2504"/>
      <c r="AN1385" s="2504"/>
      <c r="AQ1385" s="2504"/>
      <c r="AT1385" s="2504"/>
      <c r="AW1385" s="2504"/>
      <c r="AZ1385" s="2504"/>
      <c r="BC1385" s="2504"/>
      <c r="BF1385" s="2504"/>
      <c r="BI1385" s="2504"/>
      <c r="BL1385" s="2504"/>
      <c r="BO1385" s="2504"/>
    </row>
    <row r="1386" spans="4:67" ht="15.75">
      <c r="D1386" s="2532" t="s">
        <v>229</v>
      </c>
      <c r="L1386" s="2524"/>
      <c r="M1386" s="2532"/>
      <c r="N1386" s="2504"/>
      <c r="Q1386" s="2504"/>
      <c r="W1386" s="2504"/>
      <c r="AC1386" s="2504"/>
      <c r="AH1386" s="2504"/>
      <c r="AK1386" s="2504"/>
      <c r="AN1386" s="2504"/>
      <c r="AQ1386" s="2504"/>
      <c r="AT1386" s="2504"/>
      <c r="AW1386" s="2504"/>
      <c r="AZ1386" s="2504"/>
      <c r="BC1386" s="2504"/>
      <c r="BF1386" s="2504"/>
      <c r="BI1386" s="2504"/>
      <c r="BL1386" s="2504"/>
      <c r="BO1386" s="2504"/>
    </row>
    <row r="1387" spans="4:67" ht="15.75">
      <c r="D1387" s="2521" t="s">
        <v>3566</v>
      </c>
      <c r="L1387" s="2533"/>
      <c r="M1387" s="2521"/>
      <c r="N1387" s="2504"/>
      <c r="Q1387" s="2504"/>
      <c r="W1387" s="2504"/>
      <c r="AC1387" s="2504"/>
      <c r="AH1387" s="2504"/>
      <c r="AK1387" s="2504"/>
      <c r="AN1387" s="2504"/>
      <c r="AQ1387" s="2504"/>
      <c r="AT1387" s="2504"/>
      <c r="AW1387" s="2504"/>
      <c r="AZ1387" s="2504"/>
      <c r="BC1387" s="2504"/>
      <c r="BF1387" s="2504"/>
      <c r="BI1387" s="2504"/>
      <c r="BL1387" s="2504"/>
      <c r="BO1387" s="2504"/>
    </row>
    <row r="1388" spans="4:67" ht="15.75">
      <c r="D1388" s="2523" t="s">
        <v>230</v>
      </c>
      <c r="L1388" s="2533"/>
      <c r="M1388" s="2523"/>
      <c r="N1388" s="2504"/>
      <c r="Q1388" s="2504"/>
      <c r="W1388" s="2504"/>
      <c r="AC1388" s="2504"/>
      <c r="AH1388" s="2504"/>
      <c r="AK1388" s="2504"/>
      <c r="AN1388" s="2504"/>
      <c r="AQ1388" s="2504"/>
      <c r="AT1388" s="2504"/>
      <c r="AW1388" s="2504"/>
      <c r="AZ1388" s="2504"/>
      <c r="BC1388" s="2504"/>
      <c r="BF1388" s="2504"/>
      <c r="BI1388" s="2504"/>
      <c r="BL1388" s="2504"/>
      <c r="BO1388" s="2504"/>
    </row>
    <row r="1389" spans="4:67" ht="15.75">
      <c r="D1389" s="2523" t="s">
        <v>231</v>
      </c>
      <c r="L1389" s="2525"/>
      <c r="M1389" s="2523"/>
      <c r="N1389" s="2504"/>
      <c r="Q1389" s="2504"/>
      <c r="W1389" s="2504"/>
      <c r="AC1389" s="2504"/>
      <c r="AH1389" s="2504"/>
      <c r="AK1389" s="2504"/>
      <c r="AN1389" s="2504"/>
      <c r="AQ1389" s="2504"/>
      <c r="AT1389" s="2504"/>
      <c r="AW1389" s="2504"/>
      <c r="AZ1389" s="2504"/>
      <c r="BC1389" s="2504"/>
      <c r="BF1389" s="2504"/>
      <c r="BI1389" s="2504"/>
      <c r="BL1389" s="2504"/>
      <c r="BO1389" s="2504"/>
    </row>
    <row r="1390" spans="4:67" ht="45.75">
      <c r="D1390" s="2530" t="s">
        <v>3574</v>
      </c>
      <c r="L1390" s="2534"/>
      <c r="M1390" s="2530"/>
      <c r="N1390" s="2504"/>
      <c r="Q1390" s="2504"/>
      <c r="W1390" s="2504"/>
      <c r="AC1390" s="2504"/>
      <c r="AH1390" s="2504"/>
      <c r="AK1390" s="2504"/>
      <c r="AN1390" s="2504"/>
      <c r="AQ1390" s="2504"/>
      <c r="AT1390" s="2504"/>
      <c r="AW1390" s="2504"/>
      <c r="AZ1390" s="2504"/>
      <c r="BC1390" s="2504"/>
      <c r="BF1390" s="2504"/>
      <c r="BI1390" s="2504"/>
      <c r="BL1390" s="2504"/>
      <c r="BO1390" s="2504"/>
    </row>
    <row r="1391" spans="4:67" ht="15.75">
      <c r="D1391" s="2532" t="s">
        <v>229</v>
      </c>
      <c r="L1391" s="2524"/>
      <c r="M1391" s="2532"/>
      <c r="N1391" s="2504"/>
      <c r="Q1391" s="2504"/>
      <c r="W1391" s="2504"/>
      <c r="AC1391" s="2504"/>
      <c r="AH1391" s="2504"/>
      <c r="AK1391" s="2504"/>
      <c r="AN1391" s="2504"/>
      <c r="AQ1391" s="2504"/>
      <c r="AT1391" s="2504"/>
      <c r="AW1391" s="2504"/>
      <c r="AZ1391" s="2504"/>
      <c r="BC1391" s="2504"/>
      <c r="BF1391" s="2504"/>
      <c r="BI1391" s="2504"/>
      <c r="BL1391" s="2504"/>
      <c r="BO1391" s="2504"/>
    </row>
    <row r="1392" spans="4:67" ht="15.75">
      <c r="D1392" s="2521" t="s">
        <v>233</v>
      </c>
      <c r="L1392" s="2533"/>
      <c r="M1392" s="2521"/>
      <c r="N1392" s="2504"/>
      <c r="Q1392" s="2504"/>
      <c r="W1392" s="2504"/>
      <c r="AC1392" s="2504"/>
      <c r="AH1392" s="2504"/>
      <c r="AK1392" s="2504"/>
      <c r="AN1392" s="2504"/>
      <c r="AQ1392" s="2504"/>
      <c r="AT1392" s="2504"/>
      <c r="AW1392" s="2504"/>
      <c r="AZ1392" s="2504"/>
      <c r="BC1392" s="2504"/>
      <c r="BF1392" s="2504"/>
      <c r="BI1392" s="2504"/>
      <c r="BL1392" s="2504"/>
      <c r="BO1392" s="2504"/>
    </row>
    <row r="1393" spans="4:67" ht="15.75">
      <c r="D1393" s="2523" t="s">
        <v>230</v>
      </c>
      <c r="L1393" s="2533"/>
      <c r="M1393" s="2523"/>
      <c r="N1393" s="2504"/>
      <c r="Q1393" s="2504"/>
      <c r="W1393" s="2504"/>
      <c r="AC1393" s="2504"/>
      <c r="AH1393" s="2504"/>
      <c r="AK1393" s="2504"/>
      <c r="AN1393" s="2504"/>
      <c r="AQ1393" s="2504"/>
      <c r="AT1393" s="2504"/>
      <c r="AW1393" s="2504"/>
      <c r="AZ1393" s="2504"/>
      <c r="BC1393" s="2504"/>
      <c r="BF1393" s="2504"/>
      <c r="BI1393" s="2504"/>
      <c r="BL1393" s="2504"/>
      <c r="BO1393" s="2504"/>
    </row>
    <row r="1394" spans="4:67" ht="15.75">
      <c r="D1394" s="2523" t="s">
        <v>231</v>
      </c>
      <c r="L1394" s="2525"/>
      <c r="M1394" s="2523"/>
      <c r="N1394" s="2504"/>
      <c r="Q1394" s="2504"/>
      <c r="W1394" s="2504"/>
      <c r="AC1394" s="2504"/>
      <c r="AH1394" s="2504"/>
      <c r="AK1394" s="2504"/>
      <c r="AN1394" s="2504"/>
      <c r="AQ1394" s="2504"/>
      <c r="AT1394" s="2504"/>
      <c r="AW1394" s="2504"/>
      <c r="AZ1394" s="2504"/>
      <c r="BC1394" s="2504"/>
      <c r="BF1394" s="2504"/>
      <c r="BI1394" s="2504"/>
      <c r="BL1394" s="2504"/>
      <c r="BO1394" s="2504"/>
    </row>
    <row r="1395" spans="4:67" ht="15.75">
      <c r="D1395" s="2528" t="s">
        <v>40</v>
      </c>
      <c r="L1395" s="2529"/>
      <c r="M1395" s="2528"/>
      <c r="N1395" s="2504"/>
      <c r="Q1395" s="2504"/>
      <c r="W1395" s="2504"/>
      <c r="AC1395" s="2504"/>
      <c r="AH1395" s="2504"/>
      <c r="AK1395" s="2504"/>
      <c r="AN1395" s="2504"/>
      <c r="AQ1395" s="2504"/>
      <c r="AT1395" s="2504"/>
      <c r="AW1395" s="2504"/>
      <c r="AZ1395" s="2504"/>
      <c r="BC1395" s="2504"/>
      <c r="BF1395" s="2504"/>
      <c r="BI1395" s="2504"/>
      <c r="BL1395" s="2504"/>
      <c r="BO1395" s="2504"/>
    </row>
    <row r="1396" spans="4:67" ht="15.75">
      <c r="D1396" s="2532" t="s">
        <v>229</v>
      </c>
      <c r="L1396" s="2535"/>
      <c r="M1396" s="2532"/>
      <c r="N1396" s="2504"/>
      <c r="Q1396" s="2504"/>
      <c r="W1396" s="2504"/>
      <c r="AC1396" s="2504"/>
      <c r="AH1396" s="2504"/>
      <c r="AK1396" s="2504"/>
      <c r="AN1396" s="2504"/>
      <c r="AQ1396" s="2504"/>
      <c r="AT1396" s="2504"/>
      <c r="AW1396" s="2504"/>
      <c r="AZ1396" s="2504"/>
      <c r="BC1396" s="2504"/>
      <c r="BF1396" s="2504"/>
      <c r="BI1396" s="2504"/>
      <c r="BL1396" s="2504"/>
      <c r="BO1396" s="2504"/>
    </row>
    <row r="1397" spans="4:67" ht="15.75">
      <c r="D1397" s="2521" t="s">
        <v>3566</v>
      </c>
      <c r="L1397" s="2522"/>
      <c r="M1397" s="2521"/>
      <c r="N1397" s="2504"/>
      <c r="Q1397" s="2504"/>
      <c r="W1397" s="2504"/>
      <c r="AC1397" s="2504"/>
      <c r="AH1397" s="2504"/>
      <c r="AK1397" s="2504"/>
      <c r="AN1397" s="2504"/>
      <c r="AQ1397" s="2504"/>
      <c r="AT1397" s="2504"/>
      <c r="AW1397" s="2504"/>
      <c r="AZ1397" s="2504"/>
      <c r="BC1397" s="2504"/>
      <c r="BF1397" s="2504"/>
      <c r="BI1397" s="2504"/>
      <c r="BL1397" s="2504"/>
      <c r="BO1397" s="2504"/>
    </row>
    <row r="1398" spans="4:67" ht="15.75">
      <c r="D1398" s="2523" t="s">
        <v>230</v>
      </c>
      <c r="L1398" s="2524"/>
      <c r="M1398" s="2523"/>
      <c r="N1398" s="2504"/>
      <c r="Q1398" s="2504"/>
      <c r="W1398" s="2504"/>
      <c r="AC1398" s="2504"/>
      <c r="AH1398" s="2504"/>
      <c r="AK1398" s="2504"/>
      <c r="AN1398" s="2504"/>
      <c r="AQ1398" s="2504"/>
      <c r="AT1398" s="2504"/>
      <c r="AW1398" s="2504"/>
      <c r="AZ1398" s="2504"/>
      <c r="BC1398" s="2504"/>
      <c r="BF1398" s="2504"/>
      <c r="BI1398" s="2504"/>
      <c r="BL1398" s="2504"/>
      <c r="BO1398" s="2504"/>
    </row>
    <row r="1399" spans="4:67" ht="15.75">
      <c r="D1399" s="2523" t="s">
        <v>231</v>
      </c>
      <c r="L1399" s="2525"/>
      <c r="M1399" s="2523"/>
      <c r="N1399" s="2504"/>
      <c r="Q1399" s="2504"/>
      <c r="W1399" s="2504"/>
      <c r="AC1399" s="2504"/>
      <c r="AH1399" s="2504"/>
      <c r="AK1399" s="2504"/>
      <c r="AN1399" s="2504"/>
      <c r="AQ1399" s="2504"/>
      <c r="AT1399" s="2504"/>
      <c r="AW1399" s="2504"/>
      <c r="AZ1399" s="2504"/>
      <c r="BC1399" s="2504"/>
      <c r="BF1399" s="2504"/>
      <c r="BI1399" s="2504"/>
      <c r="BL1399" s="2504"/>
      <c r="BO1399" s="2504"/>
    </row>
    <row r="1400" spans="4:67" ht="15.75">
      <c r="D1400" s="2521" t="s">
        <v>3566</v>
      </c>
      <c r="L1400" s="2522"/>
      <c r="M1400" s="2521"/>
      <c r="N1400" s="2504"/>
      <c r="Q1400" s="2504"/>
      <c r="W1400" s="2504"/>
      <c r="AC1400" s="2504"/>
      <c r="AH1400" s="2504"/>
      <c r="AK1400" s="2504"/>
      <c r="AN1400" s="2504"/>
      <c r="AQ1400" s="2504"/>
      <c r="AT1400" s="2504"/>
      <c r="AW1400" s="2504"/>
      <c r="AZ1400" s="2504"/>
      <c r="BC1400" s="2504"/>
      <c r="BF1400" s="2504"/>
      <c r="BI1400" s="2504"/>
      <c r="BL1400" s="2504"/>
      <c r="BO1400" s="2504"/>
    </row>
    <row r="1401" spans="4:67" ht="15.75">
      <c r="D1401" s="2523" t="s">
        <v>230</v>
      </c>
      <c r="L1401" s="2524"/>
      <c r="M1401" s="2523"/>
      <c r="N1401" s="2504"/>
      <c r="Q1401" s="2504"/>
      <c r="W1401" s="2504"/>
      <c r="AC1401" s="2504"/>
      <c r="AH1401" s="2504"/>
      <c r="AK1401" s="2504"/>
      <c r="AN1401" s="2504"/>
      <c r="AQ1401" s="2504"/>
      <c r="AT1401" s="2504"/>
      <c r="AW1401" s="2504"/>
      <c r="AZ1401" s="2504"/>
      <c r="BC1401" s="2504"/>
      <c r="BF1401" s="2504"/>
      <c r="BI1401" s="2504"/>
      <c r="BL1401" s="2504"/>
      <c r="BO1401" s="2504"/>
    </row>
    <row r="1402" spans="4:67" ht="15.75">
      <c r="D1402" s="2523" t="s">
        <v>231</v>
      </c>
      <c r="L1402" s="2525"/>
      <c r="M1402" s="2523"/>
      <c r="N1402" s="2504"/>
      <c r="Q1402" s="2504"/>
      <c r="W1402" s="2504"/>
      <c r="AC1402" s="2504"/>
      <c r="AH1402" s="2504"/>
      <c r="AK1402" s="2504"/>
      <c r="AN1402" s="2504"/>
      <c r="AQ1402" s="2504"/>
      <c r="AT1402" s="2504"/>
      <c r="AW1402" s="2504"/>
      <c r="AZ1402" s="2504"/>
      <c r="BC1402" s="2504"/>
      <c r="BF1402" s="2504"/>
      <c r="BI1402" s="2504"/>
      <c r="BL1402" s="2504"/>
      <c r="BO1402" s="2504"/>
    </row>
    <row r="1403" spans="4:67" ht="15.75">
      <c r="D1403" s="2536" t="s">
        <v>3575</v>
      </c>
      <c r="L1403" s="2529"/>
      <c r="M1403" s="2536"/>
      <c r="N1403" s="2504"/>
      <c r="Q1403" s="2504"/>
      <c r="W1403" s="2504"/>
      <c r="AC1403" s="2504"/>
      <c r="AH1403" s="2504"/>
      <c r="AK1403" s="2504"/>
      <c r="AN1403" s="2504"/>
      <c r="AQ1403" s="2504"/>
      <c r="AT1403" s="2504"/>
      <c r="AW1403" s="2504"/>
      <c r="AZ1403" s="2504"/>
      <c r="BC1403" s="2504"/>
      <c r="BF1403" s="2504"/>
      <c r="BI1403" s="2504"/>
      <c r="BL1403" s="2504"/>
      <c r="BO1403" s="2504"/>
    </row>
    <row r="1404" spans="4:67" ht="15.75">
      <c r="D1404" s="2537" t="s">
        <v>425</v>
      </c>
      <c r="L1404" s="2538"/>
      <c r="M1404" s="2537"/>
      <c r="N1404" s="2539"/>
      <c r="Q1404" s="2539"/>
      <c r="W1404" s="2539"/>
      <c r="AC1404" s="2539"/>
      <c r="AH1404" s="2539"/>
      <c r="AK1404" s="2539"/>
      <c r="AN1404" s="2539"/>
      <c r="AQ1404" s="2539"/>
      <c r="AT1404" s="2539"/>
      <c r="AW1404" s="2539"/>
      <c r="AZ1404" s="2539"/>
      <c r="BC1404" s="2539"/>
      <c r="BF1404" s="2539"/>
      <c r="BI1404" s="2539"/>
      <c r="BL1404" s="2539"/>
      <c r="BO1404" s="2539"/>
    </row>
    <row r="1405" spans="4:67" ht="23.25">
      <c r="D1405" s="2540" t="s">
        <v>3576</v>
      </c>
      <c r="L1405" s="2541"/>
      <c r="M1405" s="2540"/>
      <c r="N1405" s="2504"/>
      <c r="Q1405" s="2504"/>
      <c r="W1405" s="2504"/>
      <c r="AC1405" s="2504"/>
      <c r="AH1405" s="2504"/>
      <c r="AK1405" s="2504"/>
      <c r="AN1405" s="2504"/>
      <c r="AQ1405" s="2504"/>
      <c r="AT1405" s="2504"/>
      <c r="AW1405" s="2504"/>
      <c r="AZ1405" s="2504"/>
      <c r="BC1405" s="2504"/>
      <c r="BF1405" s="2504"/>
      <c r="BI1405" s="2504"/>
      <c r="BL1405" s="2504"/>
      <c r="BO1405" s="2504"/>
    </row>
    <row r="1406" spans="4:67" ht="15.75">
      <c r="D1406" s="2542" t="s">
        <v>3577</v>
      </c>
      <c r="L1406" s="2541"/>
      <c r="M1406" s="2542"/>
      <c r="N1406" s="2504"/>
      <c r="Q1406" s="2504"/>
      <c r="W1406" s="2504"/>
      <c r="AC1406" s="2504"/>
      <c r="AH1406" s="2504"/>
      <c r="AK1406" s="2504"/>
      <c r="AN1406" s="2504"/>
      <c r="AQ1406" s="2504"/>
      <c r="AT1406" s="2504"/>
      <c r="AW1406" s="2504"/>
      <c r="AZ1406" s="2504"/>
      <c r="BC1406" s="2504"/>
      <c r="BF1406" s="2504"/>
      <c r="BI1406" s="2504"/>
      <c r="BL1406" s="2504"/>
      <c r="BO1406" s="2504"/>
    </row>
    <row r="1407" spans="4:67" ht="15.75">
      <c r="D1407" s="2542" t="s">
        <v>3578</v>
      </c>
      <c r="L1407" s="2541"/>
      <c r="M1407" s="2542"/>
      <c r="N1407" s="2504"/>
      <c r="Q1407" s="2504"/>
      <c r="W1407" s="2504"/>
      <c r="AC1407" s="2504"/>
      <c r="AH1407" s="2504"/>
      <c r="AK1407" s="2504"/>
      <c r="AN1407" s="2504"/>
      <c r="AQ1407" s="2504"/>
      <c r="AT1407" s="2504"/>
      <c r="AW1407" s="2504"/>
      <c r="AZ1407" s="2504"/>
      <c r="BC1407" s="2504"/>
      <c r="BF1407" s="2504"/>
      <c r="BI1407" s="2504"/>
      <c r="BL1407" s="2504"/>
      <c r="BO1407" s="2504"/>
    </row>
    <row r="1408" spans="4:67" ht="15.75">
      <c r="D1408" s="2542" t="s">
        <v>3579</v>
      </c>
      <c r="L1408" s="2541"/>
      <c r="M1408" s="2542"/>
      <c r="N1408" s="2504"/>
      <c r="Q1408" s="2504"/>
      <c r="W1408" s="2504"/>
      <c r="AC1408" s="2504"/>
      <c r="AH1408" s="2504"/>
      <c r="AK1408" s="2504"/>
      <c r="AN1408" s="2504"/>
      <c r="AQ1408" s="2504"/>
      <c r="AT1408" s="2504"/>
      <c r="AW1408" s="2504"/>
      <c r="AZ1408" s="2504"/>
      <c r="BC1408" s="2504"/>
      <c r="BF1408" s="2504"/>
      <c r="BI1408" s="2504"/>
      <c r="BL1408" s="2504"/>
      <c r="BO1408" s="2504"/>
    </row>
    <row r="1409" spans="4:67" ht="15.75">
      <c r="D1409" s="2542" t="s">
        <v>3580</v>
      </c>
      <c r="L1409" s="2541"/>
      <c r="M1409" s="2542"/>
      <c r="N1409" s="2504"/>
      <c r="Q1409" s="2504"/>
      <c r="W1409" s="2504"/>
      <c r="AC1409" s="2504"/>
      <c r="AH1409" s="2504"/>
      <c r="AK1409" s="2504"/>
      <c r="AN1409" s="2504"/>
      <c r="AQ1409" s="2504"/>
      <c r="AT1409" s="2504"/>
      <c r="AW1409" s="2504"/>
      <c r="AZ1409" s="2504"/>
      <c r="BC1409" s="2504"/>
      <c r="BF1409" s="2504"/>
      <c r="BI1409" s="2504"/>
      <c r="BL1409" s="2504"/>
      <c r="BO1409" s="2504"/>
    </row>
    <row r="1410" spans="4:67" ht="15.75">
      <c r="D1410" s="2540" t="s">
        <v>3581</v>
      </c>
      <c r="L1410" s="2541"/>
      <c r="M1410" s="2540"/>
      <c r="N1410" s="2504"/>
      <c r="Q1410" s="2504"/>
      <c r="W1410" s="2504"/>
      <c r="AC1410" s="2504"/>
      <c r="AH1410" s="2504"/>
      <c r="AK1410" s="2504"/>
      <c r="AN1410" s="2504"/>
      <c r="AQ1410" s="2504"/>
      <c r="AT1410" s="2504"/>
      <c r="AW1410" s="2504"/>
      <c r="AZ1410" s="2504"/>
      <c r="BC1410" s="2504"/>
      <c r="BF1410" s="2504"/>
      <c r="BI1410" s="2504"/>
      <c r="BL1410" s="2504"/>
      <c r="BO1410" s="2504"/>
    </row>
    <row r="1411" spans="4:67" ht="15.75">
      <c r="D1411" s="2542" t="s">
        <v>3577</v>
      </c>
      <c r="L1411" s="2541"/>
      <c r="M1411" s="2542"/>
      <c r="N1411" s="2543"/>
      <c r="Q1411" s="2543"/>
      <c r="W1411" s="2543"/>
      <c r="AC1411" s="2543"/>
      <c r="AH1411" s="2543"/>
      <c r="AK1411" s="2543"/>
      <c r="AN1411" s="2543"/>
      <c r="AQ1411" s="2543"/>
      <c r="AT1411" s="2543"/>
      <c r="AW1411" s="2543"/>
      <c r="AZ1411" s="2543"/>
      <c r="BC1411" s="2543"/>
      <c r="BF1411" s="2543"/>
      <c r="BI1411" s="2543"/>
      <c r="BL1411" s="2543"/>
      <c r="BO1411" s="2543"/>
    </row>
    <row r="1412" spans="4:67" ht="16.5" thickBot="1">
      <c r="D1412" s="2544" t="s">
        <v>3582</v>
      </c>
      <c r="L1412" s="2545"/>
      <c r="M1412" s="2544"/>
      <c r="N1412" s="2546"/>
      <c r="Q1412" s="2546"/>
      <c r="W1412" s="2546"/>
      <c r="AC1412" s="2546"/>
      <c r="AH1412" s="2546"/>
      <c r="AK1412" s="2546"/>
      <c r="AN1412" s="2546"/>
      <c r="AQ1412" s="2546"/>
      <c r="AT1412" s="2546"/>
      <c r="AW1412" s="2546"/>
      <c r="AZ1412" s="2546"/>
      <c r="BC1412" s="2546"/>
      <c r="BF1412" s="2546"/>
      <c r="BI1412" s="2546"/>
      <c r="BL1412" s="2546"/>
      <c r="BO1412" s="2546"/>
    </row>
    <row r="1413" spans="4:67">
      <c r="J1413" s="2547">
        <f>J769-J813-J816-J822</f>
        <v>230085.40200370783</v>
      </c>
      <c r="N1413" s="2548"/>
      <c r="Q1413" s="2548"/>
      <c r="W1413" s="2548"/>
      <c r="AC1413" s="2548"/>
      <c r="AH1413" s="2548"/>
      <c r="AK1413" s="2548"/>
      <c r="AN1413" s="2548"/>
      <c r="AQ1413" s="2548"/>
      <c r="AT1413" s="2548"/>
      <c r="AW1413" s="2548"/>
      <c r="AZ1413" s="2548"/>
      <c r="BC1413" s="2548"/>
      <c r="BF1413" s="2548"/>
      <c r="BI1413" s="2548"/>
      <c r="BL1413" s="2548"/>
      <c r="BO1413" s="2548"/>
    </row>
    <row r="1414" spans="4:67">
      <c r="J1414" s="2547">
        <v>230085.40200370853</v>
      </c>
    </row>
    <row r="1415" spans="4:67">
      <c r="J1415" s="2547"/>
    </row>
    <row r="1416" spans="4:67">
      <c r="N1416" s="2549"/>
      <c r="Q1416" s="2549"/>
      <c r="W1416" s="2549"/>
      <c r="AC1416" s="2549"/>
    </row>
  </sheetData>
  <mergeCells count="12">
    <mergeCell ref="AF4:AF6"/>
    <mergeCell ref="C4:C6"/>
    <mergeCell ref="D4:D6"/>
    <mergeCell ref="E4:E6"/>
    <mergeCell ref="G4:I4"/>
    <mergeCell ref="K4:M4"/>
    <mergeCell ref="N4:P4"/>
    <mergeCell ref="Q4:S4"/>
    <mergeCell ref="T4:V4"/>
    <mergeCell ref="W4:Y4"/>
    <mergeCell ref="Z4:AB4"/>
    <mergeCell ref="AC4:AE4"/>
  </mergeCells>
  <conditionalFormatting sqref="R6">
    <cfRule type="cellIs" dxfId="833" priority="373" operator="equal">
      <formula>"Ожид. факт"</formula>
    </cfRule>
  </conditionalFormatting>
  <conditionalFormatting sqref="U6">
    <cfRule type="cellIs" dxfId="832" priority="372" operator="equal">
      <formula>"Ожид. факт"</formula>
    </cfRule>
  </conditionalFormatting>
  <conditionalFormatting sqref="AA6">
    <cfRule type="cellIs" dxfId="831" priority="371" operator="equal">
      <formula>"Ожид. факт"</formula>
    </cfRule>
  </conditionalFormatting>
  <conditionalFormatting sqref="AD6">
    <cfRule type="cellIs" dxfId="830" priority="370" operator="equal">
      <formula>"Ожид. факт"</formula>
    </cfRule>
  </conditionalFormatting>
  <conditionalFormatting sqref="L6">
    <cfRule type="cellIs" dxfId="829" priority="369" operator="equal">
      <formula>"Ожид. факт"</formula>
    </cfRule>
  </conditionalFormatting>
  <conditionalFormatting sqref="H6">
    <cfRule type="cellIs" dxfId="828" priority="368" operator="equal">
      <formula>"Ожид. факт"</formula>
    </cfRule>
  </conditionalFormatting>
  <conditionalFormatting sqref="X6">
    <cfRule type="cellIs" dxfId="827" priority="367" operator="equal">
      <formula>"Ожид. факт"</formula>
    </cfRule>
  </conditionalFormatting>
  <conditionalFormatting sqref="D840">
    <cfRule type="expression" dxfId="826" priority="366">
      <formula>IF(OR(C809="",C809&lt;&gt;""),1,0)</formula>
    </cfRule>
  </conditionalFormatting>
  <conditionalFormatting sqref="D868">
    <cfRule type="expression" dxfId="825" priority="365">
      <formula>IF(OR(C844="",C844&lt;&gt;""),1,0)</formula>
    </cfRule>
  </conditionalFormatting>
  <conditionalFormatting sqref="C7:AF8 C98:AF98 C706:AF706 C827:AF827 C916:AF916 C1185:AF1185 C1260:AF1260 C1294:AF1294">
    <cfRule type="expression" dxfId="824" priority="364">
      <formula>IF(OR($C$2="",$C$2&lt;&gt;""),1,0)</formula>
    </cfRule>
  </conditionalFormatting>
  <conditionalFormatting sqref="C69:AF69 C99:AF99 C366:AF366 C438:AF438 C707:AF707 C753:AF753 C768:AF768 C828:AF828 C858:AF858 C884:AF884 F917:AF917 F1025 F1075 F1186:AF1186 F1212 F1232 C1261:AF1261 F1272 F1281 C1295:AF1295 C1315:AF1315 C1333:AF1333 C9:AF9 C37:AF37 AF1075 AF1025 AF1232 AF1212 AF1281 AF1272">
    <cfRule type="expression" dxfId="823" priority="363">
      <formula>IF(OR($C$2="",$C$2&lt;&gt;""),1,0)</formula>
    </cfRule>
  </conditionalFormatting>
  <conditionalFormatting sqref="D137 D170 D203 D236 D269 D318 D326 D334 D342 D392 D399 D406 D413 D420 D428 D477 D510 D543 D576 D609 D650 D658 D666 D674 D682 D713 D717 D721 D725 D729 D733 D738 D740 D742 D744 D746 D748 D761:D766 D778 D782 D786 D790 D794 D799 D801 D803 D805 D807 D809 D840 D868 D896 D691 D703 D774 D430 D432 D434 D436 D842 D870 D898 F1273:F1280 F10:F31 G15:H28 N15:O28 Q15:R28 W15:X28 AC15:AD28 J10:J36">
    <cfRule type="expression" dxfId="822" priority="362">
      <formula>IF(OR($C$2="",$C$2&lt;&gt;""),1,0)</formula>
    </cfRule>
  </conditionalFormatting>
  <conditionalFormatting sqref="G11:H13 N11:O13 Q11:R13 W11:X13 AC11:AD13 G30:H30 N30:O30 Q30:R30 W30:X30 AC30:AD30 F32:H36 N32:O36 Q32:R36 W32:X36 AC32:AD36 F38:F64 F65:H68 J65:L68 N65:O68 Q65:R68 T65:U68 W65:X68 Z65:AA68 AC65:AD68 G72:H74 N72:O74 Q72:R74 W72:X74 AC72:AD74 G76:H89 N76:O89 Q76:R89 W76:X89 AC76:AD89 G91:H91 N91:O91 Q91:R91 W91:X91 AC91:AD91 F70:F92 F93:H97 N93:O97 Q93:R97 W93:X97 AC93:AD97 J70:J97 G138:H138 N138:O138 Q138:R138 W138:X138 AC138:AD138 G171:H171 N171:O171 Q171:R171 W171:X171 AC171:AD171 G198:H202 N198:O202 Q198:R202 W198:X202 AC198:AD202 G204:H204 N204:O204 Q204:R204 W204:X204 AC204:AD204 G237:H237 N237:O237 Q237:R237 W237:X237 AC237:AD237 G270:H270 N270:O270 Q270:R270 W270:X270 AC270:AD270 F100:F102 J100:J102 N370:O373 Q370:R373 W370:X373 AC370:AD373 N376:O379 Q376:R379 W376:X379 AC376:AD379 N382:O385 Q382:R385 W382:X385 AC382:AD385 N393:O393 Q393:R393 W393:X393 AC393:AD393 N400:O400 Q400:R400 W400:X400 AC400:AD400 N407:O407 Q407:R407 W407:X407 AC407:AD407 N414:O414 Q414:R414 W414:X414 AC414:AD414 N428:O435 Q428:R435 W428:X435 AC428:AD435 F370:F374 J370:J373 G478:H478 N478:O478 Q478:R478 W478:X478 AC478:AD478 G481:H485 G487:H490 G493:H496 G499:H502 G505:H508 G511:H511 N511:O511 Q511:R511 W511:X511 AC511:AD511 G514:H517 G520:H523 G526:H529 G532:H535 G538:H541 G544:H544 N544:O544 Q544:R544 W544:X544 AC544:AD544 G547:H550 G553:H556 G559:H562 G565:H568 G571:H574 G577:H577 N577:O577 Q577:R577 W577:X577 AC577:AD577 G580:H583 G586:H589 G592:H595 G598:H601 G604:H607 G610:H610 N610:O610 Q610:R610 W610:X610 AC610:AD610 G613:H616 G619:H622 G625:H628 G631:H634 G637:H640 G651:H654 N651:O651 Q651:R651 W651:X651 AC651:AD651 G659:H660 N659:O659 Q659:R659 W659:X659 AC659:AD659 G667:H668 N667:O667 Q667:R667 W667:X667 AC667:AD667 G675:H676 N675:O675 Q675:R675 W675:X675 AC675:AD675 G683:H684 N683:O684 Q683:R684 W683:X684 AC683:AD684 F439:F490 F691:H693 N692:O693 Q692:R693 W692:X693 AC692:AD693 N695:O696 Q695:R696 W695:X696 AC695:AD696 N698:O699 Q698:R699 W698:X699 AC698:AD699 N701:O705 Q701:R705 W701:X705 AC701:AD705 J439:J442 G718:H720 G722:H724 G726:H728 N726:O728 Q726:R728 W726:X728 AC726:AD728 G730:H732 N730:O732 Q730:R732 W730:X732 AC730:AD732 G734:H736 N734:O736 Q734:R736 W734:X736 AC734:AD736 F708:F737 F738:H749 N761:O765 Q761:R765 F754:F767 J754:J767 G783:H785 G787:H789 N787:O789 Q787:R789 W787:X789 AC787:AD789 G791:H793 N791:O793 Q791:R793 W791:X793 AC791:AD793 G795:H797 N795:O797 Q795:R797 W795:X797 AC795:AD797 F799:H810 N800:O800 Q800:AE800 N802:O802 Q802:AE802 N804:O804 Q804:AE804 N806:O806 Q806:AE806 N808:O810 Q808:AE808 Q809:R809 W809:X809 AC809:AD809 Q810:AE810 G837:H838 N837:O838 Q837:R838 W837:X838 AC837:AD838 G840:H843 N840:O843 Q840:R843 W840:X843 AC840:AD843 G845:H852 N845:O852 Q845:R852 W845:X852 AC845:AD852 F829:F852 F854:H857 N854:O857 Q854:R857 W854:X857 AC854:AD857 J829:J852 F859:F877 J859:J877 G893:H894 G896:H899 G901:H908 F885:F908 F910:H913 J885:J908 F918:F932 F1026 F1076:F1182 F1187:F1211 F1213:F1231 F1233:F1257 F1262:F1271 F1282:F1291 G1297:H1301 N1297:O1301 Q1297:R1301 W1297:X1301 AC1297:AD1301 G1303:H1305 N1303:O1305 Q1303:R1305 W1303:X1305 AC1303:AD1305 G1307:H1307 N1307:O1307 Q1307:R1307 W1307:X1307 AC1307:AD1307 G1309:H1311 N1309:O1311 Q1309:R1311 W1309:X1311 AC1309:AD1311 G1313:H1314 N1313:O1314 Q1313:R1314 W1313:X1314 AC1313:AD1314 F1296:F1314 J1296:J1314 J1317:J1332 F1316:F1332 G1335:H1339 N1335:O1339 Q1335:R1339 W1335:X1339 AC1335:AD1339 G1341:H1343 N1341:O1343 Q1341:R1343 W1341:X1343 AC1341:AD1343 G1345:H1345 N1345:O1345 Q1345:R1345 W1345:X1345 AC1345:AD1345 G1347:H1349 N1347:O1349 Q1347:R1349 W1347:X1349 AC1347:AD1349 G1351:H1352 N1351:O1352 Q1351:R1352 W1351:X1352 AC1351:AD1352 F1334:F1352 J1334:J1352 J421 J414 J407 J400 J393 J382:J385 J376:J379 F934:F947 F949:F958 F960:F981 F998:F1007 F1009:F1024 F173:F204 J198:J204 F140:F171 J236:J237 F206:F237 F239:F270 J269:J270 J302:J312 F272:F312 F376:F380 F382:F390 F393:F437 F983:F996 F1028:F1032 F1035:F1038 F1040:F1049 F1051:F1055 F1058:F1061 F1063:F1074 F105:F109 J105:J109 J117:J121 F117:F121 F123 J123 J131:J135 F131:F135 F137:F138 J137:J138 J170:J171 F314:F343 J314:J317 J387 AC387:AD387 W387:X387 Q387:R387 N387:O387 N389:O389 Q389:R389 W389:X389 AC389:AD389 J389 J395 AC395:AD395 W395:X395 Q395:R395 N395:O395 N397:O397 Q397:R397 W397:X397 AC397:AD397 J397 J402 AC402:AD402 W402:X402 Q402:R402 N402:O402 N404:O404 Q404:R404 W404:X404 AC404:AD404 J404 J409 AC409:AD409 W409:X409 Q409:R409 N409:O409 N411:O411 Q411:R411 W411:X411 AC411:AD411 J411 J416 AC416:AD416 W416:X416 Q416:R416 N416:O416 N418:O418 Q418:R418 W418:X418 AC418:AD418 J418 J423 J425 J427:J437 J444:J449 J451:J455 J457:J461 J463 J465:J469 J471:J475 J477:J485 J493:J496 F492:F496 F498:F502 J499:J502 J505:J508 F504:F508 F510:F517 J510:J512 J520:J523 F519:F523 F525:F529 J526:J529 J532:J535 F531:F535 F537:F541 J538:J541 J543:J545 F543:F550 F552:F556 J553:J556 J559:J562 F558:F562 F564:F568 J565:J568 J571:J574 F570:F574 F576:F583 J576:J578 J586:J589 F585:F589 F591:F595 J592:J595 J598:J601 F597:F601 F603:F607 J604:J607 J609:J611 F609:F616 F618:F622 J619:J622 J625:J628 F624:F628 F630:F634 J631:J634 J637:J640 F636:F640 F642:F654 J642:J654 J487:J490 J514:J517 J547:J550 J580:J583 J613:J616 J659:J660 J667:J668 J675:J676 J683:J684 J656 F656:H656 F658:F660 J662 F662:H662 J664 F664:H664 F666:F668 J670 F670:H670 J672 F672:H672 F674:F676 J678 F678:H678 J680 F680:H680 F682:F684 J686 AC686:AD686 W686:X686 Q686:R686 N686:O686 F686:H686 N688:O688 Q688:R688 W688:X688 AC688:AD688 J688 F688:H688 F690 J690:J693 J695:J696 F695:H696 F698:H699 J698:J699 J701:J705 F701:H705 J38:J64 J111:J115 F111:F115 J125:J129 F125:F129 G311:H317 J854:J857 J880:J883 F880:F883 J910:J913 G775:H777 F779:H781 F783:F797 G714:H716 J708:J749 AC775:AD777 W761:X765 AC761:AD765 J769:J810 N714:O716 N718:O720 N722:O724 Q714:R716 Q718:R720 Q722:R724 W714:X716 W718:X720 W722:X724 AC714:AD716 AC718:AD720 AC722:AD724 N775:O777 N779:O781 N783:O785 N738:O749 Q738:R749 W738:X749 AC738:AD749 Q775:R777 Q779:R781 Q783:R785 W775:X777 W779:X781 W783:X785 AC779:AD781 AC783:AD785">
    <cfRule type="expression" dxfId="821" priority="361">
      <formula>IF(OR($C$2="",$C$2&lt;&gt;""),1,0)</formula>
    </cfRule>
  </conditionalFormatting>
  <conditionalFormatting sqref="G174:H178 N174:O178 Q174:R178 W174:X178 AC174:AD178 G180:H184 N180:O184 Q180:R184 W180:X184 AC180:AD184 G186:H190 N186:O190 Q186:R190 W186:X190 AC186:AD190 G192:H196 N192:O196 Q192:R196 W192:X196 AC192:AD196 J173:J178 J180:J184 J186:J190 J192:J196">
    <cfRule type="expression" dxfId="820" priority="360">
      <formula>IF(OR($C$2="",$C$2&lt;&gt;""),1,0)</formula>
    </cfRule>
  </conditionalFormatting>
  <conditionalFormatting sqref="J179">
    <cfRule type="expression" dxfId="819" priority="359">
      <formula>IF(OR($C$2="",$C$2&lt;&gt;""),1,0)</formula>
    </cfRule>
  </conditionalFormatting>
  <conditionalFormatting sqref="J185">
    <cfRule type="expression" dxfId="818" priority="358">
      <formula>IF(OR($C$2="",$C$2&lt;&gt;""),1,0)</formula>
    </cfRule>
  </conditionalFormatting>
  <conditionalFormatting sqref="J191">
    <cfRule type="expression" dxfId="817" priority="357">
      <formula>IF(OR($C$2="",$C$2&lt;&gt;""),1,0)</formula>
    </cfRule>
  </conditionalFormatting>
  <conditionalFormatting sqref="J197">
    <cfRule type="expression" dxfId="816" priority="356">
      <formula>IF(OR($C$2="",$C$2&lt;&gt;""),1,0)</formula>
    </cfRule>
  </conditionalFormatting>
  <conditionalFormatting sqref="G165:H169 N165:O169 Q165:R169 W165:X169 AC165:AD169 J165:J169">
    <cfRule type="expression" dxfId="815" priority="355">
      <formula>IF(OR($C$2="",$C$2&lt;&gt;""),1,0)</formula>
    </cfRule>
  </conditionalFormatting>
  <conditionalFormatting sqref="G141:H145 N141:O145 Q141:R145 W141:X145 AC141:AD145 G147:H151 N147:O151 Q147:R151 W147:X151 AC147:AD151 G153:H157 N153:O157 Q153:R157 W153:X157 AC153:AD157 G159:H163 N159:O163 Q159:R163 W159:X163 AC159:AD163 J140:J145 J147:J151 J153:J157 J159:J163">
    <cfRule type="expression" dxfId="814" priority="354">
      <formula>IF(OR($C$2="",$C$2&lt;&gt;""),1,0)</formula>
    </cfRule>
  </conditionalFormatting>
  <conditionalFormatting sqref="J146">
    <cfRule type="expression" dxfId="813" priority="353">
      <formula>IF(OR($C$2="",$C$2&lt;&gt;""),1,0)</formula>
    </cfRule>
  </conditionalFormatting>
  <conditionalFormatting sqref="J152">
    <cfRule type="expression" dxfId="812" priority="352">
      <formula>IF(OR($C$2="",$C$2&lt;&gt;""),1,0)</formula>
    </cfRule>
  </conditionalFormatting>
  <conditionalFormatting sqref="J158">
    <cfRule type="expression" dxfId="811" priority="351">
      <formula>IF(OR($C$2="",$C$2&lt;&gt;""),1,0)</formula>
    </cfRule>
  </conditionalFormatting>
  <conditionalFormatting sqref="J164">
    <cfRule type="expression" dxfId="810" priority="350">
      <formula>IF(OR($C$2="",$C$2&lt;&gt;""),1,0)</formula>
    </cfRule>
  </conditionalFormatting>
  <conditionalFormatting sqref="G231:H235 N231:O235 Q231:R235 W231:X235 AC231:AD235 J231:J235">
    <cfRule type="expression" dxfId="809" priority="349">
      <formula>IF(OR($C$2="",$C$2&lt;&gt;""),1,0)</formula>
    </cfRule>
  </conditionalFormatting>
  <conditionalFormatting sqref="G207:H211 N207:O211 Q207:R211 W207:X211 AC207:AD211 G213:H217 N213:O217 Q213:R217 W213:X217 AC213:AD217 G219:H223 N219:O223 Q219:R223 W219:X223 AC219:AD223 G225:H229 N225:O229 Q225:R229 W225:X229 AC225:AD229 J206:J211 J213:J217 J219:J223 J225:J229">
    <cfRule type="expression" dxfId="808" priority="348">
      <formula>IF(OR($C$2="",$C$2&lt;&gt;""),1,0)</formula>
    </cfRule>
  </conditionalFormatting>
  <conditionalFormatting sqref="J212">
    <cfRule type="expression" dxfId="807" priority="347">
      <formula>IF(OR($C$2="",$C$2&lt;&gt;""),1,0)</formula>
    </cfRule>
  </conditionalFormatting>
  <conditionalFormatting sqref="J218">
    <cfRule type="expression" dxfId="806" priority="346">
      <formula>IF(OR($C$2="",$C$2&lt;&gt;""),1,0)</formula>
    </cfRule>
  </conditionalFormatting>
  <conditionalFormatting sqref="J224">
    <cfRule type="expression" dxfId="805" priority="345">
      <formula>IF(OR($C$2="",$C$2&lt;&gt;""),1,0)</formula>
    </cfRule>
  </conditionalFormatting>
  <conditionalFormatting sqref="J230">
    <cfRule type="expression" dxfId="804" priority="344">
      <formula>IF(OR($C$2="",$C$2&lt;&gt;""),1,0)</formula>
    </cfRule>
  </conditionalFormatting>
  <conditionalFormatting sqref="G264:H268 N264:O268 Q264:R268 W264:X268 AC264:AD268 J264:J268">
    <cfRule type="expression" dxfId="803" priority="343">
      <formula>IF(OR($C$2="",$C$2&lt;&gt;""),1,0)</formula>
    </cfRule>
  </conditionalFormatting>
  <conditionalFormatting sqref="G240:H244 N240:O244 Q240:R244 W240:X244 AC240:AD244 G246:H250 N246:O250 Q246:R250 W246:X250 AC246:AD250 G252:H256 N252:O256 Q252:R256 W252:X256 AC252:AD256 G258:H262 N258:O262 Q258:R262 W258:X262 AC258:AD262 J239:J244 J246:J250 J252:J256 J258:J262">
    <cfRule type="expression" dxfId="802" priority="342">
      <formula>IF(OR($C$2="",$C$2&lt;&gt;""),1,0)</formula>
    </cfRule>
  </conditionalFormatting>
  <conditionalFormatting sqref="J245">
    <cfRule type="expression" dxfId="801" priority="341">
      <formula>IF(OR($C$2="",$C$2&lt;&gt;""),1,0)</formula>
    </cfRule>
  </conditionalFormatting>
  <conditionalFormatting sqref="J251">
    <cfRule type="expression" dxfId="800" priority="340">
      <formula>IF(OR($C$2="",$C$2&lt;&gt;""),1,0)</formula>
    </cfRule>
  </conditionalFormatting>
  <conditionalFormatting sqref="J257">
    <cfRule type="expression" dxfId="799" priority="339">
      <formula>IF(OR($C$2="",$C$2&lt;&gt;""),1,0)</formula>
    </cfRule>
  </conditionalFormatting>
  <conditionalFormatting sqref="J263">
    <cfRule type="expression" dxfId="798" priority="338">
      <formula>IF(OR($C$2="",$C$2&lt;&gt;""),1,0)</formula>
    </cfRule>
  </conditionalFormatting>
  <conditionalFormatting sqref="G297:H301 N297:O301 Q297:R301 W297:X301 AC297:AD301 J297:J301">
    <cfRule type="expression" dxfId="797" priority="337">
      <formula>IF(OR($C$2="",$C$2&lt;&gt;""),1,0)</formula>
    </cfRule>
  </conditionalFormatting>
  <conditionalFormatting sqref="G273:H277 N273:O277 Q273:R277 W273:X277 AC273:AD277 G279:H283 N279:O283 Q279:R283 W279:X283 AC279:AD283 G285:H289 N285:O289 Q285:R289 W285:X289 AC285:AD289 G291:H295 N291:O295 Q291:R295 W291:X295 AC291:AD295 J272:J277 J279:J283 J285:J289 J291:J295">
    <cfRule type="expression" dxfId="796" priority="336">
      <formula>IF(OR($C$2="",$C$2&lt;&gt;""),1,0)</formula>
    </cfRule>
  </conditionalFormatting>
  <conditionalFormatting sqref="J278">
    <cfRule type="expression" dxfId="795" priority="335">
      <formula>IF(OR($C$2="",$C$2&lt;&gt;""),1,0)</formula>
    </cfRule>
  </conditionalFormatting>
  <conditionalFormatting sqref="J284">
    <cfRule type="expression" dxfId="794" priority="334">
      <formula>IF(OR($C$2="",$C$2&lt;&gt;""),1,0)</formula>
    </cfRule>
  </conditionalFormatting>
  <conditionalFormatting sqref="J290">
    <cfRule type="expression" dxfId="793" priority="333">
      <formula>IF(OR($C$2="",$C$2&lt;&gt;""),1,0)</formula>
    </cfRule>
  </conditionalFormatting>
  <conditionalFormatting sqref="J296">
    <cfRule type="expression" dxfId="792" priority="332">
      <formula>IF(OR($C$2="",$C$2&lt;&gt;""),1,0)</formula>
    </cfRule>
  </conditionalFormatting>
  <conditionalFormatting sqref="N311:O317">
    <cfRule type="expression" dxfId="791" priority="331">
      <formula>IF(OR($C$2="",$C$2&lt;&gt;""),1,0)</formula>
    </cfRule>
  </conditionalFormatting>
  <conditionalFormatting sqref="Q311:R317">
    <cfRule type="expression" dxfId="790" priority="330">
      <formula>IF(OR($C$2="",$C$2&lt;&gt;""),1,0)</formula>
    </cfRule>
  </conditionalFormatting>
  <conditionalFormatting sqref="W311:X317">
    <cfRule type="expression" dxfId="789" priority="329">
      <formula>IF(OR($C$2="",$C$2&lt;&gt;""),1,0)</formula>
    </cfRule>
  </conditionalFormatting>
  <conditionalFormatting sqref="AC311:AD317">
    <cfRule type="expression" dxfId="788" priority="328">
      <formula>IF(OR($C$2="",$C$2&lt;&gt;""),1,0)</formula>
    </cfRule>
  </conditionalFormatting>
  <conditionalFormatting sqref="J313 F313">
    <cfRule type="expression" dxfId="787" priority="327">
      <formula>IF(OR($C$2="",$C$2&lt;&gt;""),1,0)</formula>
    </cfRule>
  </conditionalFormatting>
  <conditionalFormatting sqref="J318:J320 J322:J325 G319:H325">
    <cfRule type="expression" dxfId="786" priority="326">
      <formula>IF(OR($C$2="",$C$2&lt;&gt;""),1,0)</formula>
    </cfRule>
  </conditionalFormatting>
  <conditionalFormatting sqref="N319:O325">
    <cfRule type="expression" dxfId="785" priority="325">
      <formula>IF(OR($C$2="",$C$2&lt;&gt;""),1,0)</formula>
    </cfRule>
  </conditionalFormatting>
  <conditionalFormatting sqref="Q319:R325">
    <cfRule type="expression" dxfId="784" priority="324">
      <formula>IF(OR($C$2="",$C$2&lt;&gt;""),1,0)</formula>
    </cfRule>
  </conditionalFormatting>
  <conditionalFormatting sqref="W319:X325">
    <cfRule type="expression" dxfId="783" priority="323">
      <formula>IF(OR($C$2="",$C$2&lt;&gt;""),1,0)</formula>
    </cfRule>
  </conditionalFormatting>
  <conditionalFormatting sqref="AC319:AD325">
    <cfRule type="expression" dxfId="782" priority="322">
      <formula>IF(OR($C$2="",$C$2&lt;&gt;""),1,0)</formula>
    </cfRule>
  </conditionalFormatting>
  <conditionalFormatting sqref="J321">
    <cfRule type="expression" dxfId="781" priority="321">
      <formula>IF(OR($C$2="",$C$2&lt;&gt;""),1,0)</formula>
    </cfRule>
  </conditionalFormatting>
  <conditionalFormatting sqref="J326:J328 J330:J333 G327:H333">
    <cfRule type="expression" dxfId="780" priority="320">
      <formula>IF(OR($C$2="",$C$2&lt;&gt;""),1,0)</formula>
    </cfRule>
  </conditionalFormatting>
  <conditionalFormatting sqref="N327:O333">
    <cfRule type="expression" dxfId="779" priority="319">
      <formula>IF(OR($C$2="",$C$2&lt;&gt;""),1,0)</formula>
    </cfRule>
  </conditionalFormatting>
  <conditionalFormatting sqref="Q327:R333">
    <cfRule type="expression" dxfId="778" priority="318">
      <formula>IF(OR($C$2="",$C$2&lt;&gt;""),1,0)</formula>
    </cfRule>
  </conditionalFormatting>
  <conditionalFormatting sqref="W327:X333">
    <cfRule type="expression" dxfId="777" priority="317">
      <formula>IF(OR($C$2="",$C$2&lt;&gt;""),1,0)</formula>
    </cfRule>
  </conditionalFormatting>
  <conditionalFormatting sqref="AC327:AD333">
    <cfRule type="expression" dxfId="776" priority="316">
      <formula>IF(OR($C$2="",$C$2&lt;&gt;""),1,0)</formula>
    </cfRule>
  </conditionalFormatting>
  <conditionalFormatting sqref="J329">
    <cfRule type="expression" dxfId="775" priority="315">
      <formula>IF(OR($C$2="",$C$2&lt;&gt;""),1,0)</formula>
    </cfRule>
  </conditionalFormatting>
  <conditionalFormatting sqref="J334:J336 J338:J341 G335:H341">
    <cfRule type="expression" dxfId="774" priority="314">
      <formula>IF(OR($C$2="",$C$2&lt;&gt;""),1,0)</formula>
    </cfRule>
  </conditionalFormatting>
  <conditionalFormatting sqref="N335:O341">
    <cfRule type="expression" dxfId="773" priority="313">
      <formula>IF(OR($C$2="",$C$2&lt;&gt;""),1,0)</formula>
    </cfRule>
  </conditionalFormatting>
  <conditionalFormatting sqref="Q335:R341">
    <cfRule type="expression" dxfId="772" priority="312">
      <formula>IF(OR($C$2="",$C$2&lt;&gt;""),1,0)</formula>
    </cfRule>
  </conditionalFormatting>
  <conditionalFormatting sqref="W335:X341">
    <cfRule type="expression" dxfId="771" priority="311">
      <formula>IF(OR($C$2="",$C$2&lt;&gt;""),1,0)</formula>
    </cfRule>
  </conditionalFormatting>
  <conditionalFormatting sqref="AC335:AD341">
    <cfRule type="expression" dxfId="770" priority="310">
      <formula>IF(OR($C$2="",$C$2&lt;&gt;""),1,0)</formula>
    </cfRule>
  </conditionalFormatting>
  <conditionalFormatting sqref="J337">
    <cfRule type="expression" dxfId="769" priority="309">
      <formula>IF(OR($C$2="",$C$2&lt;&gt;""),1,0)</formula>
    </cfRule>
  </conditionalFormatting>
  <conditionalFormatting sqref="J342:J344 J346:J349 G343:H349">
    <cfRule type="expression" dxfId="768" priority="308">
      <formula>IF(OR($C$2="",$C$2&lt;&gt;""),1,0)</formula>
    </cfRule>
  </conditionalFormatting>
  <conditionalFormatting sqref="N343:O349">
    <cfRule type="expression" dxfId="767" priority="307">
      <formula>IF(OR($C$2="",$C$2&lt;&gt;""),1,0)</formula>
    </cfRule>
  </conditionalFormatting>
  <conditionalFormatting sqref="Q343:R349">
    <cfRule type="expression" dxfId="766" priority="306">
      <formula>IF(OR($C$2="",$C$2&lt;&gt;""),1,0)</formula>
    </cfRule>
  </conditionalFormatting>
  <conditionalFormatting sqref="W343:X349">
    <cfRule type="expression" dxfId="765" priority="305">
      <formula>IF(OR($C$2="",$C$2&lt;&gt;""),1,0)</formula>
    </cfRule>
  </conditionalFormatting>
  <conditionalFormatting sqref="AC343:AD349">
    <cfRule type="expression" dxfId="764" priority="304">
      <formula>IF(OR($C$2="",$C$2&lt;&gt;""),1,0)</formula>
    </cfRule>
  </conditionalFormatting>
  <conditionalFormatting sqref="J345">
    <cfRule type="expression" dxfId="763" priority="303">
      <formula>IF(OR($C$2="",$C$2&lt;&gt;""),1,0)</formula>
    </cfRule>
  </conditionalFormatting>
  <conditionalFormatting sqref="J374">
    <cfRule type="expression" dxfId="762" priority="302">
      <formula>IF(OR($C$2="",$C$2&lt;&gt;""),1,0)</formula>
    </cfRule>
  </conditionalFormatting>
  <conditionalFormatting sqref="J380">
    <cfRule type="expression" dxfId="761" priority="301">
      <formula>IF(OR($C$2="",$C$2&lt;&gt;""),1,0)</formula>
    </cfRule>
  </conditionalFormatting>
  <conditionalFormatting sqref="J386">
    <cfRule type="expression" dxfId="760" priority="300">
      <formula>IF(OR($C$2="",$C$2&lt;&gt;""),1,0)</formula>
    </cfRule>
  </conditionalFormatting>
  <conditionalFormatting sqref="J388">
    <cfRule type="expression" dxfId="759" priority="299">
      <formula>IF(OR($C$2="",$C$2&lt;&gt;""),1,0)</formula>
    </cfRule>
  </conditionalFormatting>
  <conditionalFormatting sqref="J390">
    <cfRule type="expression" dxfId="758" priority="298">
      <formula>IF(OR($C$2="",$C$2&lt;&gt;""),1,0)</formula>
    </cfRule>
  </conditionalFormatting>
  <conditionalFormatting sqref="J394">
    <cfRule type="expression" dxfId="757" priority="297">
      <formula>IF(OR($C$2="",$C$2&lt;&gt;""),1,0)</formula>
    </cfRule>
  </conditionalFormatting>
  <conditionalFormatting sqref="J396">
    <cfRule type="expression" dxfId="756" priority="296">
      <formula>IF(OR($C$2="",$C$2&lt;&gt;""),1,0)</formula>
    </cfRule>
  </conditionalFormatting>
  <conditionalFormatting sqref="J398">
    <cfRule type="expression" dxfId="755" priority="295">
      <formula>IF(OR($C$2="",$C$2&lt;&gt;""),1,0)</formula>
    </cfRule>
  </conditionalFormatting>
  <conditionalFormatting sqref="J401">
    <cfRule type="expression" dxfId="754" priority="294">
      <formula>IF(OR($C$2="",$C$2&lt;&gt;""),1,0)</formula>
    </cfRule>
  </conditionalFormatting>
  <conditionalFormatting sqref="J403">
    <cfRule type="expression" dxfId="753" priority="293">
      <formula>IF(OR($C$2="",$C$2&lt;&gt;""),1,0)</formula>
    </cfRule>
  </conditionalFormatting>
  <conditionalFormatting sqref="J405">
    <cfRule type="expression" dxfId="752" priority="292">
      <formula>IF(OR($C$2="",$C$2&lt;&gt;""),1,0)</formula>
    </cfRule>
  </conditionalFormatting>
  <conditionalFormatting sqref="J408">
    <cfRule type="expression" dxfId="751" priority="291">
      <formula>IF(OR($C$2="",$C$2&lt;&gt;""),1,0)</formula>
    </cfRule>
  </conditionalFormatting>
  <conditionalFormatting sqref="J410">
    <cfRule type="expression" dxfId="750" priority="290">
      <formula>IF(OR($C$2="",$C$2&lt;&gt;""),1,0)</formula>
    </cfRule>
  </conditionalFormatting>
  <conditionalFormatting sqref="J412">
    <cfRule type="expression" dxfId="749" priority="289">
      <formula>IF(OR($C$2="",$C$2&lt;&gt;""),1,0)</formula>
    </cfRule>
  </conditionalFormatting>
  <conditionalFormatting sqref="J415">
    <cfRule type="expression" dxfId="748" priority="288">
      <formula>IF(OR($C$2="",$C$2&lt;&gt;""),1,0)</formula>
    </cfRule>
  </conditionalFormatting>
  <conditionalFormatting sqref="J417">
    <cfRule type="expression" dxfId="747" priority="287">
      <formula>IF(OR($C$2="",$C$2&lt;&gt;""),1,0)</formula>
    </cfRule>
  </conditionalFormatting>
  <conditionalFormatting sqref="J419">
    <cfRule type="expression" dxfId="746" priority="286">
      <formula>IF(OR($C$2="",$C$2&lt;&gt;""),1,0)</formula>
    </cfRule>
  </conditionalFormatting>
  <conditionalFormatting sqref="J422">
    <cfRule type="expression" dxfId="745" priority="285">
      <formula>IF(OR($C$2="",$C$2&lt;&gt;""),1,0)</formula>
    </cfRule>
  </conditionalFormatting>
  <conditionalFormatting sqref="J424">
    <cfRule type="expression" dxfId="744" priority="284">
      <formula>IF(OR($C$2="",$C$2&lt;&gt;""),1,0)</formula>
    </cfRule>
  </conditionalFormatting>
  <conditionalFormatting sqref="J426">
    <cfRule type="expression" dxfId="743" priority="283">
      <formula>IF(OR($C$2="",$C$2&lt;&gt;""),1,0)</formula>
    </cfRule>
  </conditionalFormatting>
  <conditionalFormatting sqref="J443">
    <cfRule type="expression" dxfId="742" priority="282">
      <formula>IF(OR($C$2="",$C$2&lt;&gt;""),1,0)</formula>
    </cfRule>
  </conditionalFormatting>
  <conditionalFormatting sqref="J450">
    <cfRule type="expression" dxfId="741" priority="281">
      <formula>IF(OR($C$2="",$C$2&lt;&gt;""),1,0)</formula>
    </cfRule>
  </conditionalFormatting>
  <conditionalFormatting sqref="J456">
    <cfRule type="expression" dxfId="740" priority="280">
      <formula>IF(OR($C$2="",$C$2&lt;&gt;""),1,0)</formula>
    </cfRule>
  </conditionalFormatting>
  <conditionalFormatting sqref="J462">
    <cfRule type="expression" dxfId="739" priority="279">
      <formula>IF(OR($C$2="",$C$2&lt;&gt;""),1,0)</formula>
    </cfRule>
  </conditionalFormatting>
  <conditionalFormatting sqref="J464">
    <cfRule type="expression" dxfId="738" priority="278">
      <formula>IF(OR($C$2="",$C$2&lt;&gt;""),1,0)</formula>
    </cfRule>
  </conditionalFormatting>
  <conditionalFormatting sqref="J470">
    <cfRule type="expression" dxfId="737" priority="277">
      <formula>IF(OR($C$2="",$C$2&lt;&gt;""),1,0)</formula>
    </cfRule>
  </conditionalFormatting>
  <conditionalFormatting sqref="J476">
    <cfRule type="expression" dxfId="736" priority="276">
      <formula>IF(OR($C$2="",$C$2&lt;&gt;""),1,0)</formula>
    </cfRule>
  </conditionalFormatting>
  <conditionalFormatting sqref="N485:O485">
    <cfRule type="expression" dxfId="735" priority="275">
      <formula>IF(OR($C$2="",$C$2&lt;&gt;""),1,0)</formula>
    </cfRule>
  </conditionalFormatting>
  <conditionalFormatting sqref="Q485:R485">
    <cfRule type="expression" dxfId="734" priority="274">
      <formula>IF(OR($C$2="",$C$2&lt;&gt;""),1,0)</formula>
    </cfRule>
  </conditionalFormatting>
  <conditionalFormatting sqref="W485:X485">
    <cfRule type="expression" dxfId="733" priority="273">
      <formula>IF(OR($C$2="",$C$2&lt;&gt;""),1,0)</formula>
    </cfRule>
  </conditionalFormatting>
  <conditionalFormatting sqref="AC485:AD485">
    <cfRule type="expression" dxfId="732" priority="272">
      <formula>IF(OR($C$2="",$C$2&lt;&gt;""),1,0)</formula>
    </cfRule>
  </conditionalFormatting>
  <conditionalFormatting sqref="F491:H491 J491">
    <cfRule type="expression" dxfId="731" priority="271">
      <formula>IF(OR($C$2="",$C$2&lt;&gt;""),1,0)</formula>
    </cfRule>
  </conditionalFormatting>
  <conditionalFormatting sqref="N491:O491">
    <cfRule type="expression" dxfId="730" priority="270">
      <formula>IF(OR($C$2="",$C$2&lt;&gt;""),1,0)</formula>
    </cfRule>
  </conditionalFormatting>
  <conditionalFormatting sqref="Q491:R491">
    <cfRule type="expression" dxfId="729" priority="269">
      <formula>IF(OR($C$2="",$C$2&lt;&gt;""),1,0)</formula>
    </cfRule>
  </conditionalFormatting>
  <conditionalFormatting sqref="W491:X491">
    <cfRule type="expression" dxfId="728" priority="268">
      <formula>IF(OR($C$2="",$C$2&lt;&gt;""),1,0)</formula>
    </cfRule>
  </conditionalFormatting>
  <conditionalFormatting sqref="AC491:AD491">
    <cfRule type="expression" dxfId="727" priority="267">
      <formula>IF(OR($C$2="",$C$2&lt;&gt;""),1,0)</formula>
    </cfRule>
  </conditionalFormatting>
  <conditionalFormatting sqref="F497:H497 J497">
    <cfRule type="expression" dxfId="726" priority="266">
      <formula>IF(OR($C$2="",$C$2&lt;&gt;""),1,0)</formula>
    </cfRule>
  </conditionalFormatting>
  <conditionalFormatting sqref="N497:O497">
    <cfRule type="expression" dxfId="725" priority="265">
      <formula>IF(OR($C$2="",$C$2&lt;&gt;""),1,0)</formula>
    </cfRule>
  </conditionalFormatting>
  <conditionalFormatting sqref="Q497:R497">
    <cfRule type="expression" dxfId="724" priority="264">
      <formula>IF(OR($C$2="",$C$2&lt;&gt;""),1,0)</formula>
    </cfRule>
  </conditionalFormatting>
  <conditionalFormatting sqref="W497:X497">
    <cfRule type="expression" dxfId="723" priority="263">
      <formula>IF(OR($C$2="",$C$2&lt;&gt;""),1,0)</formula>
    </cfRule>
  </conditionalFormatting>
  <conditionalFormatting sqref="AC497:AD497">
    <cfRule type="expression" dxfId="722" priority="262">
      <formula>IF(OR($C$2="",$C$2&lt;&gt;""),1,0)</formula>
    </cfRule>
  </conditionalFormatting>
  <conditionalFormatting sqref="F503:H503 J503">
    <cfRule type="expression" dxfId="721" priority="261">
      <formula>IF(OR($C$2="",$C$2&lt;&gt;""),1,0)</formula>
    </cfRule>
  </conditionalFormatting>
  <conditionalFormatting sqref="N503:O503">
    <cfRule type="expression" dxfId="720" priority="260">
      <formula>IF(OR($C$2="",$C$2&lt;&gt;""),1,0)</formula>
    </cfRule>
  </conditionalFormatting>
  <conditionalFormatting sqref="Q503:R503">
    <cfRule type="expression" dxfId="719" priority="259">
      <formula>IF(OR($C$2="",$C$2&lt;&gt;""),1,0)</formula>
    </cfRule>
  </conditionalFormatting>
  <conditionalFormatting sqref="W503:X503">
    <cfRule type="expression" dxfId="718" priority="258">
      <formula>IF(OR($C$2="",$C$2&lt;&gt;""),1,0)</formula>
    </cfRule>
  </conditionalFormatting>
  <conditionalFormatting sqref="AC503:AD503">
    <cfRule type="expression" dxfId="717" priority="257">
      <formula>IF(OR($C$2="",$C$2&lt;&gt;""),1,0)</formula>
    </cfRule>
  </conditionalFormatting>
  <conditionalFormatting sqref="F509:H509 J509">
    <cfRule type="expression" dxfId="716" priority="256">
      <formula>IF(OR($C$2="",$C$2&lt;&gt;""),1,0)</formula>
    </cfRule>
  </conditionalFormatting>
  <conditionalFormatting sqref="N509:O509">
    <cfRule type="expression" dxfId="715" priority="255">
      <formula>IF(OR($C$2="",$C$2&lt;&gt;""),1,0)</formula>
    </cfRule>
  </conditionalFormatting>
  <conditionalFormatting sqref="Q509:R509">
    <cfRule type="expression" dxfId="714" priority="254">
      <formula>IF(OR($C$2="",$C$2&lt;&gt;""),1,0)</formula>
    </cfRule>
  </conditionalFormatting>
  <conditionalFormatting sqref="W509:X509">
    <cfRule type="expression" dxfId="713" priority="253">
      <formula>IF(OR($C$2="",$C$2&lt;&gt;""),1,0)</formula>
    </cfRule>
  </conditionalFormatting>
  <conditionalFormatting sqref="AC509:AD509">
    <cfRule type="expression" dxfId="712" priority="252">
      <formula>IF(OR($C$2="",$C$2&lt;&gt;""),1,0)</formula>
    </cfRule>
  </conditionalFormatting>
  <conditionalFormatting sqref="F518:H518 J518">
    <cfRule type="expression" dxfId="711" priority="251">
      <formula>IF(OR($C$2="",$C$2&lt;&gt;""),1,0)</formula>
    </cfRule>
  </conditionalFormatting>
  <conditionalFormatting sqref="N518:O518">
    <cfRule type="expression" dxfId="710" priority="250">
      <formula>IF(OR($C$2="",$C$2&lt;&gt;""),1,0)</formula>
    </cfRule>
  </conditionalFormatting>
  <conditionalFormatting sqref="Q518:R518">
    <cfRule type="expression" dxfId="709" priority="249">
      <formula>IF(OR($C$2="",$C$2&lt;&gt;""),1,0)</formula>
    </cfRule>
  </conditionalFormatting>
  <conditionalFormatting sqref="W518:X518">
    <cfRule type="expression" dxfId="708" priority="248">
      <formula>IF(OR($C$2="",$C$2&lt;&gt;""),1,0)</formula>
    </cfRule>
  </conditionalFormatting>
  <conditionalFormatting sqref="AC518:AD518">
    <cfRule type="expression" dxfId="707" priority="247">
      <formula>IF(OR($C$2="",$C$2&lt;&gt;""),1,0)</formula>
    </cfRule>
  </conditionalFormatting>
  <conditionalFormatting sqref="F524:H524 J524">
    <cfRule type="expression" dxfId="706" priority="246">
      <formula>IF(OR($C$2="",$C$2&lt;&gt;""),1,0)</formula>
    </cfRule>
  </conditionalFormatting>
  <conditionalFormatting sqref="N524:O524">
    <cfRule type="expression" dxfId="705" priority="245">
      <formula>IF(OR($C$2="",$C$2&lt;&gt;""),1,0)</formula>
    </cfRule>
  </conditionalFormatting>
  <conditionalFormatting sqref="Q524:R524">
    <cfRule type="expression" dxfId="704" priority="244">
      <formula>IF(OR($C$2="",$C$2&lt;&gt;""),1,0)</formula>
    </cfRule>
  </conditionalFormatting>
  <conditionalFormatting sqref="W524:X524">
    <cfRule type="expression" dxfId="703" priority="243">
      <formula>IF(OR($C$2="",$C$2&lt;&gt;""),1,0)</formula>
    </cfRule>
  </conditionalFormatting>
  <conditionalFormatting sqref="AC524:AD524">
    <cfRule type="expression" dxfId="702" priority="242">
      <formula>IF(OR($C$2="",$C$2&lt;&gt;""),1,0)</formula>
    </cfRule>
  </conditionalFormatting>
  <conditionalFormatting sqref="F530:H530 J530">
    <cfRule type="expression" dxfId="701" priority="241">
      <formula>IF(OR($C$2="",$C$2&lt;&gt;""),1,0)</formula>
    </cfRule>
  </conditionalFormatting>
  <conditionalFormatting sqref="N530:O530">
    <cfRule type="expression" dxfId="700" priority="240">
      <formula>IF(OR($C$2="",$C$2&lt;&gt;""),1,0)</formula>
    </cfRule>
  </conditionalFormatting>
  <conditionalFormatting sqref="Q530:R530">
    <cfRule type="expression" dxfId="699" priority="239">
      <formula>IF(OR($C$2="",$C$2&lt;&gt;""),1,0)</formula>
    </cfRule>
  </conditionalFormatting>
  <conditionalFormatting sqref="W530:X530">
    <cfRule type="expression" dxfId="698" priority="238">
      <formula>IF(OR($C$2="",$C$2&lt;&gt;""),1,0)</formula>
    </cfRule>
  </conditionalFormatting>
  <conditionalFormatting sqref="AC530:AD530">
    <cfRule type="expression" dxfId="697" priority="237">
      <formula>IF(OR($C$2="",$C$2&lt;&gt;""),1,0)</formula>
    </cfRule>
  </conditionalFormatting>
  <conditionalFormatting sqref="F536:H536 J536">
    <cfRule type="expression" dxfId="696" priority="236">
      <formula>IF(OR($C$2="",$C$2&lt;&gt;""),1,0)</formula>
    </cfRule>
  </conditionalFormatting>
  <conditionalFormatting sqref="N536:O536">
    <cfRule type="expression" dxfId="695" priority="235">
      <formula>IF(OR($C$2="",$C$2&lt;&gt;""),1,0)</formula>
    </cfRule>
  </conditionalFormatting>
  <conditionalFormatting sqref="Q536:R536">
    <cfRule type="expression" dxfId="694" priority="234">
      <formula>IF(OR($C$2="",$C$2&lt;&gt;""),1,0)</formula>
    </cfRule>
  </conditionalFormatting>
  <conditionalFormatting sqref="W536:X536">
    <cfRule type="expression" dxfId="693" priority="233">
      <formula>IF(OR($C$2="",$C$2&lt;&gt;""),1,0)</formula>
    </cfRule>
  </conditionalFormatting>
  <conditionalFormatting sqref="AC536:AD536">
    <cfRule type="expression" dxfId="692" priority="232">
      <formula>IF(OR($C$2="",$C$2&lt;&gt;""),1,0)</formula>
    </cfRule>
  </conditionalFormatting>
  <conditionalFormatting sqref="F542:H542 J542">
    <cfRule type="expression" dxfId="691" priority="231">
      <formula>IF(OR($C$2="",$C$2&lt;&gt;""),1,0)</formula>
    </cfRule>
  </conditionalFormatting>
  <conditionalFormatting sqref="N542:O542">
    <cfRule type="expression" dxfId="690" priority="230">
      <formula>IF(OR($C$2="",$C$2&lt;&gt;""),1,0)</formula>
    </cfRule>
  </conditionalFormatting>
  <conditionalFormatting sqref="Q542:R542">
    <cfRule type="expression" dxfId="689" priority="229">
      <formula>IF(OR($C$2="",$C$2&lt;&gt;""),1,0)</formula>
    </cfRule>
  </conditionalFormatting>
  <conditionalFormatting sqref="W542:X542">
    <cfRule type="expression" dxfId="688" priority="228">
      <formula>IF(OR($C$2="",$C$2&lt;&gt;""),1,0)</formula>
    </cfRule>
  </conditionalFormatting>
  <conditionalFormatting sqref="AC542:AD542">
    <cfRule type="expression" dxfId="687" priority="227">
      <formula>IF(OR($C$2="",$C$2&lt;&gt;""),1,0)</formula>
    </cfRule>
  </conditionalFormatting>
  <conditionalFormatting sqref="F551:H551 J551">
    <cfRule type="expression" dxfId="686" priority="226">
      <formula>IF(OR($C$2="",$C$2&lt;&gt;""),1,0)</formula>
    </cfRule>
  </conditionalFormatting>
  <conditionalFormatting sqref="N551:O551">
    <cfRule type="expression" dxfId="685" priority="225">
      <formula>IF(OR($C$2="",$C$2&lt;&gt;""),1,0)</formula>
    </cfRule>
  </conditionalFormatting>
  <conditionalFormatting sqref="Q551:R551">
    <cfRule type="expression" dxfId="684" priority="224">
      <formula>IF(OR($C$2="",$C$2&lt;&gt;""),1,0)</formula>
    </cfRule>
  </conditionalFormatting>
  <conditionalFormatting sqref="W551:X551">
    <cfRule type="expression" dxfId="683" priority="223">
      <formula>IF(OR($C$2="",$C$2&lt;&gt;""),1,0)</formula>
    </cfRule>
  </conditionalFormatting>
  <conditionalFormatting sqref="AC551:AD551">
    <cfRule type="expression" dxfId="682" priority="222">
      <formula>IF(OR($C$2="",$C$2&lt;&gt;""),1,0)</formula>
    </cfRule>
  </conditionalFormatting>
  <conditionalFormatting sqref="F557:H557 J557">
    <cfRule type="expression" dxfId="681" priority="221">
      <formula>IF(OR($C$2="",$C$2&lt;&gt;""),1,0)</formula>
    </cfRule>
  </conditionalFormatting>
  <conditionalFormatting sqref="N557:O557">
    <cfRule type="expression" dxfId="680" priority="220">
      <formula>IF(OR($C$2="",$C$2&lt;&gt;""),1,0)</formula>
    </cfRule>
  </conditionalFormatting>
  <conditionalFormatting sqref="Q557:R557">
    <cfRule type="expression" dxfId="679" priority="219">
      <formula>IF(OR($C$2="",$C$2&lt;&gt;""),1,0)</formula>
    </cfRule>
  </conditionalFormatting>
  <conditionalFormatting sqref="W557:X557">
    <cfRule type="expression" dxfId="678" priority="218">
      <formula>IF(OR($C$2="",$C$2&lt;&gt;""),1,0)</formula>
    </cfRule>
  </conditionalFormatting>
  <conditionalFormatting sqref="AC557:AD557">
    <cfRule type="expression" dxfId="677" priority="217">
      <formula>IF(OR($C$2="",$C$2&lt;&gt;""),1,0)</formula>
    </cfRule>
  </conditionalFormatting>
  <conditionalFormatting sqref="F563:H563 J563">
    <cfRule type="expression" dxfId="676" priority="216">
      <formula>IF(OR($C$2="",$C$2&lt;&gt;""),1,0)</formula>
    </cfRule>
  </conditionalFormatting>
  <conditionalFormatting sqref="N563:O563">
    <cfRule type="expression" dxfId="675" priority="215">
      <formula>IF(OR($C$2="",$C$2&lt;&gt;""),1,0)</formula>
    </cfRule>
  </conditionalFormatting>
  <conditionalFormatting sqref="Q563:R563">
    <cfRule type="expression" dxfId="674" priority="214">
      <formula>IF(OR($C$2="",$C$2&lt;&gt;""),1,0)</formula>
    </cfRule>
  </conditionalFormatting>
  <conditionalFormatting sqref="W563:X563">
    <cfRule type="expression" dxfId="673" priority="213">
      <formula>IF(OR($C$2="",$C$2&lt;&gt;""),1,0)</formula>
    </cfRule>
  </conditionalFormatting>
  <conditionalFormatting sqref="AC563:AD563">
    <cfRule type="expression" dxfId="672" priority="212">
      <formula>IF(OR($C$2="",$C$2&lt;&gt;""),1,0)</formula>
    </cfRule>
  </conditionalFormatting>
  <conditionalFormatting sqref="F569:H569 J569">
    <cfRule type="expression" dxfId="671" priority="211">
      <formula>IF(OR($C$2="",$C$2&lt;&gt;""),1,0)</formula>
    </cfRule>
  </conditionalFormatting>
  <conditionalFormatting sqref="N569:O569">
    <cfRule type="expression" dxfId="670" priority="210">
      <formula>IF(OR($C$2="",$C$2&lt;&gt;""),1,0)</formula>
    </cfRule>
  </conditionalFormatting>
  <conditionalFormatting sqref="Q569:R569">
    <cfRule type="expression" dxfId="669" priority="209">
      <formula>IF(OR($C$2="",$C$2&lt;&gt;""),1,0)</formula>
    </cfRule>
  </conditionalFormatting>
  <conditionalFormatting sqref="W569:X569">
    <cfRule type="expression" dxfId="668" priority="208">
      <formula>IF(OR($C$2="",$C$2&lt;&gt;""),1,0)</formula>
    </cfRule>
  </conditionalFormatting>
  <conditionalFormatting sqref="AC569:AD569">
    <cfRule type="expression" dxfId="667" priority="207">
      <formula>IF(OR($C$2="",$C$2&lt;&gt;""),1,0)</formula>
    </cfRule>
  </conditionalFormatting>
  <conditionalFormatting sqref="F575:H575 J575">
    <cfRule type="expression" dxfId="666" priority="206">
      <formula>IF(OR($C$2="",$C$2&lt;&gt;""),1,0)</formula>
    </cfRule>
  </conditionalFormatting>
  <conditionalFormatting sqref="N575:O575">
    <cfRule type="expression" dxfId="665" priority="205">
      <formula>IF(OR($C$2="",$C$2&lt;&gt;""),1,0)</formula>
    </cfRule>
  </conditionalFormatting>
  <conditionalFormatting sqref="Q575:R575">
    <cfRule type="expression" dxfId="664" priority="204">
      <formula>IF(OR($C$2="",$C$2&lt;&gt;""),1,0)</formula>
    </cfRule>
  </conditionalFormatting>
  <conditionalFormatting sqref="W575:X575">
    <cfRule type="expression" dxfId="663" priority="203">
      <formula>IF(OR($C$2="",$C$2&lt;&gt;""),1,0)</formula>
    </cfRule>
  </conditionalFormatting>
  <conditionalFormatting sqref="AC575:AD575">
    <cfRule type="expression" dxfId="662" priority="202">
      <formula>IF(OR($C$2="",$C$2&lt;&gt;""),1,0)</formula>
    </cfRule>
  </conditionalFormatting>
  <conditionalFormatting sqref="F584:H584 J584">
    <cfRule type="expression" dxfId="661" priority="201">
      <formula>IF(OR($C$2="",$C$2&lt;&gt;""),1,0)</formula>
    </cfRule>
  </conditionalFormatting>
  <conditionalFormatting sqref="N584:O584">
    <cfRule type="expression" dxfId="660" priority="200">
      <formula>IF(OR($C$2="",$C$2&lt;&gt;""),1,0)</formula>
    </cfRule>
  </conditionalFormatting>
  <conditionalFormatting sqref="Q584:R584">
    <cfRule type="expression" dxfId="659" priority="199">
      <formula>IF(OR($C$2="",$C$2&lt;&gt;""),1,0)</formula>
    </cfRule>
  </conditionalFormatting>
  <conditionalFormatting sqref="W584:X584">
    <cfRule type="expression" dxfId="658" priority="198">
      <formula>IF(OR($C$2="",$C$2&lt;&gt;""),1,0)</formula>
    </cfRule>
  </conditionalFormatting>
  <conditionalFormatting sqref="AC584:AD584">
    <cfRule type="expression" dxfId="657" priority="197">
      <formula>IF(OR($C$2="",$C$2&lt;&gt;""),1,0)</formula>
    </cfRule>
  </conditionalFormatting>
  <conditionalFormatting sqref="F590:H590 J590">
    <cfRule type="expression" dxfId="656" priority="196">
      <formula>IF(OR($C$2="",$C$2&lt;&gt;""),1,0)</formula>
    </cfRule>
  </conditionalFormatting>
  <conditionalFormatting sqref="N590:O590">
    <cfRule type="expression" dxfId="655" priority="195">
      <formula>IF(OR($C$2="",$C$2&lt;&gt;""),1,0)</formula>
    </cfRule>
  </conditionalFormatting>
  <conditionalFormatting sqref="Q590:R590">
    <cfRule type="expression" dxfId="654" priority="194">
      <formula>IF(OR($C$2="",$C$2&lt;&gt;""),1,0)</formula>
    </cfRule>
  </conditionalFormatting>
  <conditionalFormatting sqref="W590:X590">
    <cfRule type="expression" dxfId="653" priority="193">
      <formula>IF(OR($C$2="",$C$2&lt;&gt;""),1,0)</formula>
    </cfRule>
  </conditionalFormatting>
  <conditionalFormatting sqref="AC590:AD590">
    <cfRule type="expression" dxfId="652" priority="192">
      <formula>IF(OR($C$2="",$C$2&lt;&gt;""),1,0)</formula>
    </cfRule>
  </conditionalFormatting>
  <conditionalFormatting sqref="F596:H596 J596">
    <cfRule type="expression" dxfId="651" priority="191">
      <formula>IF(OR($C$2="",$C$2&lt;&gt;""),1,0)</formula>
    </cfRule>
  </conditionalFormatting>
  <conditionalFormatting sqref="N596:O596">
    <cfRule type="expression" dxfId="650" priority="190">
      <formula>IF(OR($C$2="",$C$2&lt;&gt;""),1,0)</formula>
    </cfRule>
  </conditionalFormatting>
  <conditionalFormatting sqref="Q596:R596">
    <cfRule type="expression" dxfId="649" priority="189">
      <formula>IF(OR($C$2="",$C$2&lt;&gt;""),1,0)</formula>
    </cfRule>
  </conditionalFormatting>
  <conditionalFormatting sqref="W596:X596">
    <cfRule type="expression" dxfId="648" priority="188">
      <formula>IF(OR($C$2="",$C$2&lt;&gt;""),1,0)</formula>
    </cfRule>
  </conditionalFormatting>
  <conditionalFormatting sqref="AC596:AD596">
    <cfRule type="expression" dxfId="647" priority="187">
      <formula>IF(OR($C$2="",$C$2&lt;&gt;""),1,0)</formula>
    </cfRule>
  </conditionalFormatting>
  <conditionalFormatting sqref="F602:H602 J602">
    <cfRule type="expression" dxfId="646" priority="186">
      <formula>IF(OR($C$2="",$C$2&lt;&gt;""),1,0)</formula>
    </cfRule>
  </conditionalFormatting>
  <conditionalFormatting sqref="N602:O602">
    <cfRule type="expression" dxfId="645" priority="185">
      <formula>IF(OR($C$2="",$C$2&lt;&gt;""),1,0)</formula>
    </cfRule>
  </conditionalFormatting>
  <conditionalFormatting sqref="Q602:R602">
    <cfRule type="expression" dxfId="644" priority="184">
      <formula>IF(OR($C$2="",$C$2&lt;&gt;""),1,0)</formula>
    </cfRule>
  </conditionalFormatting>
  <conditionalFormatting sqref="W602:X602">
    <cfRule type="expression" dxfId="643" priority="183">
      <formula>IF(OR($C$2="",$C$2&lt;&gt;""),1,0)</formula>
    </cfRule>
  </conditionalFormatting>
  <conditionalFormatting sqref="AC602:AD602">
    <cfRule type="expression" dxfId="642" priority="182">
      <formula>IF(OR($C$2="",$C$2&lt;&gt;""),1,0)</formula>
    </cfRule>
  </conditionalFormatting>
  <conditionalFormatting sqref="F608:H608 J608">
    <cfRule type="expression" dxfId="641" priority="181">
      <formula>IF(OR($C$2="",$C$2&lt;&gt;""),1,0)</formula>
    </cfRule>
  </conditionalFormatting>
  <conditionalFormatting sqref="N608:O608">
    <cfRule type="expression" dxfId="640" priority="180">
      <formula>IF(OR($C$2="",$C$2&lt;&gt;""),1,0)</formula>
    </cfRule>
  </conditionalFormatting>
  <conditionalFormatting sqref="Q608:R608">
    <cfRule type="expression" dxfId="639" priority="179">
      <formula>IF(OR($C$2="",$C$2&lt;&gt;""),1,0)</formula>
    </cfRule>
  </conditionalFormatting>
  <conditionalFormatting sqref="W608:X608">
    <cfRule type="expression" dxfId="638" priority="178">
      <formula>IF(OR($C$2="",$C$2&lt;&gt;""),1,0)</formula>
    </cfRule>
  </conditionalFormatting>
  <conditionalFormatting sqref="AC608:AD608">
    <cfRule type="expression" dxfId="637" priority="177">
      <formula>IF(OR($C$2="",$C$2&lt;&gt;""),1,0)</formula>
    </cfRule>
  </conditionalFormatting>
  <conditionalFormatting sqref="F617:H617 J617">
    <cfRule type="expression" dxfId="636" priority="176">
      <formula>IF(OR($C$2="",$C$2&lt;&gt;""),1,0)</formula>
    </cfRule>
  </conditionalFormatting>
  <conditionalFormatting sqref="N617:O617">
    <cfRule type="expression" dxfId="635" priority="175">
      <formula>IF(OR($C$2="",$C$2&lt;&gt;""),1,0)</formula>
    </cfRule>
  </conditionalFormatting>
  <conditionalFormatting sqref="Q617:R617">
    <cfRule type="expression" dxfId="634" priority="174">
      <formula>IF(OR($C$2="",$C$2&lt;&gt;""),1,0)</formula>
    </cfRule>
  </conditionalFormatting>
  <conditionalFormatting sqref="W617:X617">
    <cfRule type="expression" dxfId="633" priority="173">
      <formula>IF(OR($C$2="",$C$2&lt;&gt;""),1,0)</formula>
    </cfRule>
  </conditionalFormatting>
  <conditionalFormatting sqref="AC617:AD617">
    <cfRule type="expression" dxfId="632" priority="172">
      <formula>IF(OR($C$2="",$C$2&lt;&gt;""),1,0)</formula>
    </cfRule>
  </conditionalFormatting>
  <conditionalFormatting sqref="F623:H623 J623">
    <cfRule type="expression" dxfId="631" priority="171">
      <formula>IF(OR($C$2="",$C$2&lt;&gt;""),1,0)</formula>
    </cfRule>
  </conditionalFormatting>
  <conditionalFormatting sqref="N623:O623">
    <cfRule type="expression" dxfId="630" priority="170">
      <formula>IF(OR($C$2="",$C$2&lt;&gt;""),1,0)</formula>
    </cfRule>
  </conditionalFormatting>
  <conditionalFormatting sqref="Q623:R623">
    <cfRule type="expression" dxfId="629" priority="169">
      <formula>IF(OR($C$2="",$C$2&lt;&gt;""),1,0)</formula>
    </cfRule>
  </conditionalFormatting>
  <conditionalFormatting sqref="W623:X623">
    <cfRule type="expression" dxfId="628" priority="168">
      <formula>IF(OR($C$2="",$C$2&lt;&gt;""),1,0)</formula>
    </cfRule>
  </conditionalFormatting>
  <conditionalFormatting sqref="AC623:AD623">
    <cfRule type="expression" dxfId="627" priority="167">
      <formula>IF(OR($C$2="",$C$2&lt;&gt;""),1,0)</formula>
    </cfRule>
  </conditionalFormatting>
  <conditionalFormatting sqref="F629:H629 J629">
    <cfRule type="expression" dxfId="626" priority="166">
      <formula>IF(OR($C$2="",$C$2&lt;&gt;""),1,0)</formula>
    </cfRule>
  </conditionalFormatting>
  <conditionalFormatting sqref="N629:O629">
    <cfRule type="expression" dxfId="625" priority="165">
      <formula>IF(OR($C$2="",$C$2&lt;&gt;""),1,0)</formula>
    </cfRule>
  </conditionalFormatting>
  <conditionalFormatting sqref="Q629:R629">
    <cfRule type="expression" dxfId="624" priority="164">
      <formula>IF(OR($C$2="",$C$2&lt;&gt;""),1,0)</formula>
    </cfRule>
  </conditionalFormatting>
  <conditionalFormatting sqref="W629:X629">
    <cfRule type="expression" dxfId="623" priority="163">
      <formula>IF(OR($C$2="",$C$2&lt;&gt;""),1,0)</formula>
    </cfRule>
  </conditionalFormatting>
  <conditionalFormatting sqref="AC629:AD629">
    <cfRule type="expression" dxfId="622" priority="162">
      <formula>IF(OR($C$2="",$C$2&lt;&gt;""),1,0)</formula>
    </cfRule>
  </conditionalFormatting>
  <conditionalFormatting sqref="F635:H635 J635">
    <cfRule type="expression" dxfId="621" priority="161">
      <formula>IF(OR($C$2="",$C$2&lt;&gt;""),1,0)</formula>
    </cfRule>
  </conditionalFormatting>
  <conditionalFormatting sqref="N635:O635">
    <cfRule type="expression" dxfId="620" priority="160">
      <formula>IF(OR($C$2="",$C$2&lt;&gt;""),1,0)</formula>
    </cfRule>
  </conditionalFormatting>
  <conditionalFormatting sqref="Q635:R635">
    <cfRule type="expression" dxfId="619" priority="159">
      <formula>IF(OR($C$2="",$C$2&lt;&gt;""),1,0)</formula>
    </cfRule>
  </conditionalFormatting>
  <conditionalFormatting sqref="W635:X635">
    <cfRule type="expression" dxfId="618" priority="158">
      <formula>IF(OR($C$2="",$C$2&lt;&gt;""),1,0)</formula>
    </cfRule>
  </conditionalFormatting>
  <conditionalFormatting sqref="AC635:AD635">
    <cfRule type="expression" dxfId="617" priority="157">
      <formula>IF(OR($C$2="",$C$2&lt;&gt;""),1,0)</formula>
    </cfRule>
  </conditionalFormatting>
  <conditionalFormatting sqref="F641:H641 J641">
    <cfRule type="expression" dxfId="616" priority="156">
      <formula>IF(OR($C$2="",$C$2&lt;&gt;""),1,0)</formula>
    </cfRule>
  </conditionalFormatting>
  <conditionalFormatting sqref="N641:O641">
    <cfRule type="expression" dxfId="615" priority="155">
      <formula>IF(OR($C$2="",$C$2&lt;&gt;""),1,0)</formula>
    </cfRule>
  </conditionalFormatting>
  <conditionalFormatting sqref="Q641:R641">
    <cfRule type="expression" dxfId="614" priority="154">
      <formula>IF(OR($C$2="",$C$2&lt;&gt;""),1,0)</formula>
    </cfRule>
  </conditionalFormatting>
  <conditionalFormatting sqref="W641:X641">
    <cfRule type="expression" dxfId="613" priority="153">
      <formula>IF(OR($C$2="",$C$2&lt;&gt;""),1,0)</formula>
    </cfRule>
  </conditionalFormatting>
  <conditionalFormatting sqref="AC641:AD641">
    <cfRule type="expression" dxfId="612" priority="152">
      <formula>IF(OR($C$2="",$C$2&lt;&gt;""),1,0)</formula>
    </cfRule>
  </conditionalFormatting>
  <conditionalFormatting sqref="J486">
    <cfRule type="expression" dxfId="611" priority="151">
      <formula>IF(OR($C$2="",$C$2&lt;&gt;""),1,0)</formula>
    </cfRule>
  </conditionalFormatting>
  <conditionalFormatting sqref="J492">
    <cfRule type="expression" dxfId="610" priority="150">
      <formula>IF(OR($C$2="",$C$2&lt;&gt;""),1,0)</formula>
    </cfRule>
  </conditionalFormatting>
  <conditionalFormatting sqref="J498">
    <cfRule type="expression" dxfId="609" priority="149">
      <formula>IF(OR($C$2="",$C$2&lt;&gt;""),1,0)</formula>
    </cfRule>
  </conditionalFormatting>
  <conditionalFormatting sqref="J504">
    <cfRule type="expression" dxfId="608" priority="148">
      <formula>IF(OR($C$2="",$C$2&lt;&gt;""),1,0)</formula>
    </cfRule>
  </conditionalFormatting>
  <conditionalFormatting sqref="J513">
    <cfRule type="expression" dxfId="607" priority="147">
      <formula>IF(OR($C$2="",$C$2&lt;&gt;""),1,0)</formula>
    </cfRule>
  </conditionalFormatting>
  <conditionalFormatting sqref="J519">
    <cfRule type="expression" dxfId="606" priority="146">
      <formula>IF(OR($C$2="",$C$2&lt;&gt;""),1,0)</formula>
    </cfRule>
  </conditionalFormatting>
  <conditionalFormatting sqref="J525">
    <cfRule type="expression" dxfId="605" priority="145">
      <formula>IF(OR($C$2="",$C$2&lt;&gt;""),1,0)</formula>
    </cfRule>
  </conditionalFormatting>
  <conditionalFormatting sqref="J531">
    <cfRule type="expression" dxfId="604" priority="144">
      <formula>IF(OR($C$2="",$C$2&lt;&gt;""),1,0)</formula>
    </cfRule>
  </conditionalFormatting>
  <conditionalFormatting sqref="J537">
    <cfRule type="expression" dxfId="603" priority="143">
      <formula>IF(OR($C$2="",$C$2&lt;&gt;""),1,0)</formula>
    </cfRule>
  </conditionalFormatting>
  <conditionalFormatting sqref="J546">
    <cfRule type="expression" dxfId="602" priority="142">
      <formula>IF(OR($C$2="",$C$2&lt;&gt;""),1,0)</formula>
    </cfRule>
  </conditionalFormatting>
  <conditionalFormatting sqref="J552">
    <cfRule type="expression" dxfId="601" priority="141">
      <formula>IF(OR($C$2="",$C$2&lt;&gt;""),1,0)</formula>
    </cfRule>
  </conditionalFormatting>
  <conditionalFormatting sqref="J558">
    <cfRule type="expression" dxfId="600" priority="140">
      <formula>IF(OR($C$2="",$C$2&lt;&gt;""),1,0)</formula>
    </cfRule>
  </conditionalFormatting>
  <conditionalFormatting sqref="J564">
    <cfRule type="expression" dxfId="599" priority="139">
      <formula>IF(OR($C$2="",$C$2&lt;&gt;""),1,0)</formula>
    </cfRule>
  </conditionalFormatting>
  <conditionalFormatting sqref="J570">
    <cfRule type="expression" dxfId="598" priority="138">
      <formula>IF(OR($C$2="",$C$2&lt;&gt;""),1,0)</formula>
    </cfRule>
  </conditionalFormatting>
  <conditionalFormatting sqref="J579">
    <cfRule type="expression" dxfId="597" priority="137">
      <formula>IF(OR($C$2="",$C$2&lt;&gt;""),1,0)</formula>
    </cfRule>
  </conditionalFormatting>
  <conditionalFormatting sqref="J585">
    <cfRule type="expression" dxfId="596" priority="136">
      <formula>IF(OR($C$2="",$C$2&lt;&gt;""),1,0)</formula>
    </cfRule>
  </conditionalFormatting>
  <conditionalFormatting sqref="J591">
    <cfRule type="expression" dxfId="595" priority="135">
      <formula>IF(OR($C$2="",$C$2&lt;&gt;""),1,0)</formula>
    </cfRule>
  </conditionalFormatting>
  <conditionalFormatting sqref="J597">
    <cfRule type="expression" dxfId="594" priority="134">
      <formula>IF(OR($C$2="",$C$2&lt;&gt;""),1,0)</formula>
    </cfRule>
  </conditionalFormatting>
  <conditionalFormatting sqref="J603">
    <cfRule type="expression" dxfId="593" priority="133">
      <formula>IF(OR($C$2="",$C$2&lt;&gt;""),1,0)</formula>
    </cfRule>
  </conditionalFormatting>
  <conditionalFormatting sqref="J612">
    <cfRule type="expression" dxfId="592" priority="132">
      <formula>IF(OR($C$2="",$C$2&lt;&gt;""),1,0)</formula>
    </cfRule>
  </conditionalFormatting>
  <conditionalFormatting sqref="J618">
    <cfRule type="expression" dxfId="591" priority="131">
      <formula>IF(OR($C$2="",$C$2&lt;&gt;""),1,0)</formula>
    </cfRule>
  </conditionalFormatting>
  <conditionalFormatting sqref="J624">
    <cfRule type="expression" dxfId="590" priority="130">
      <formula>IF(OR($C$2="",$C$2&lt;&gt;""),1,0)</formula>
    </cfRule>
  </conditionalFormatting>
  <conditionalFormatting sqref="J630">
    <cfRule type="expression" dxfId="589" priority="129">
      <formula>IF(OR($C$2="",$C$2&lt;&gt;""),1,0)</formula>
    </cfRule>
  </conditionalFormatting>
  <conditionalFormatting sqref="J636">
    <cfRule type="expression" dxfId="588" priority="128">
      <formula>IF(OR($C$2="",$C$2&lt;&gt;""),1,0)</formula>
    </cfRule>
  </conditionalFormatting>
  <conditionalFormatting sqref="J658">
    <cfRule type="expression" dxfId="587" priority="127">
      <formula>IF(OR($C$2="",$C$2&lt;&gt;""),1,0)</formula>
    </cfRule>
  </conditionalFormatting>
  <conditionalFormatting sqref="J666">
    <cfRule type="expression" dxfId="586" priority="126">
      <formula>IF(OR($C$2="",$C$2&lt;&gt;""),1,0)</formula>
    </cfRule>
  </conditionalFormatting>
  <conditionalFormatting sqref="J674">
    <cfRule type="expression" dxfId="585" priority="125">
      <formula>IF(OR($C$2="",$C$2&lt;&gt;""),1,0)</formula>
    </cfRule>
  </conditionalFormatting>
  <conditionalFormatting sqref="J682">
    <cfRule type="expression" dxfId="584" priority="124">
      <formula>IF(OR($C$2="",$C$2&lt;&gt;""),1,0)</formula>
    </cfRule>
  </conditionalFormatting>
  <conditionalFormatting sqref="N653:O653">
    <cfRule type="expression" dxfId="583" priority="123">
      <formula>IF(OR($C$2="",$C$2&lt;&gt;""),1,0)</formula>
    </cfRule>
  </conditionalFormatting>
  <conditionalFormatting sqref="Q653:R653">
    <cfRule type="expression" dxfId="582" priority="122">
      <formula>IF(OR($C$2="",$C$2&lt;&gt;""),1,0)</formula>
    </cfRule>
  </conditionalFormatting>
  <conditionalFormatting sqref="F689:H689 J689">
    <cfRule type="expression" dxfId="581" priority="54">
      <formula>IF(OR($C$2="",$C$2&lt;&gt;""),1,0)</formula>
    </cfRule>
  </conditionalFormatting>
  <conditionalFormatting sqref="N687:O687">
    <cfRule type="expression" dxfId="580" priority="58">
      <formula>IF(OR($C$2="",$C$2&lt;&gt;""),1,0)</formula>
    </cfRule>
  </conditionalFormatting>
  <conditionalFormatting sqref="Q689:R689">
    <cfRule type="expression" dxfId="579" priority="52">
      <formula>IF(OR($C$2="",$C$2&lt;&gt;""),1,0)</formula>
    </cfRule>
  </conditionalFormatting>
  <conditionalFormatting sqref="W687:X687">
    <cfRule type="expression" dxfId="578" priority="56">
      <formula>IF(OR($C$2="",$C$2&lt;&gt;""),1,0)</formula>
    </cfRule>
  </conditionalFormatting>
  <conditionalFormatting sqref="W653:X653">
    <cfRule type="expression" dxfId="577" priority="121">
      <formula>IF(OR($C$2="",$C$2&lt;&gt;""),1,0)</formula>
    </cfRule>
  </conditionalFormatting>
  <conditionalFormatting sqref="AC653:AD653">
    <cfRule type="expression" dxfId="576" priority="120">
      <formula>IF(OR($C$2="",$C$2&lt;&gt;""),1,0)</formula>
    </cfRule>
  </conditionalFormatting>
  <conditionalFormatting sqref="F655:H655 J655">
    <cfRule type="expression" dxfId="575" priority="119">
      <formula>IF(OR($C$2="",$C$2&lt;&gt;""),1,0)</formula>
    </cfRule>
  </conditionalFormatting>
  <conditionalFormatting sqref="N655:O655">
    <cfRule type="expression" dxfId="574" priority="118">
      <formula>IF(OR($C$2="",$C$2&lt;&gt;""),1,0)</formula>
    </cfRule>
  </conditionalFormatting>
  <conditionalFormatting sqref="Q655:R655">
    <cfRule type="expression" dxfId="573" priority="117">
      <formula>IF(OR($C$2="",$C$2&lt;&gt;""),1,0)</formula>
    </cfRule>
  </conditionalFormatting>
  <conditionalFormatting sqref="W655:X655">
    <cfRule type="expression" dxfId="572" priority="116">
      <formula>IF(OR($C$2="",$C$2&lt;&gt;""),1,0)</formula>
    </cfRule>
  </conditionalFormatting>
  <conditionalFormatting sqref="AC655:AD655">
    <cfRule type="expression" dxfId="571" priority="115">
      <formula>IF(OR($C$2="",$C$2&lt;&gt;""),1,0)</formula>
    </cfRule>
  </conditionalFormatting>
  <conditionalFormatting sqref="F657:H657 J657">
    <cfRule type="expression" dxfId="570" priority="114">
      <formula>IF(OR($C$2="",$C$2&lt;&gt;""),1,0)</formula>
    </cfRule>
  </conditionalFormatting>
  <conditionalFormatting sqref="N657:O657">
    <cfRule type="expression" dxfId="569" priority="113">
      <formula>IF(OR($C$2="",$C$2&lt;&gt;""),1,0)</formula>
    </cfRule>
  </conditionalFormatting>
  <conditionalFormatting sqref="Q657:R657">
    <cfRule type="expression" dxfId="568" priority="112">
      <formula>IF(OR($C$2="",$C$2&lt;&gt;""),1,0)</formula>
    </cfRule>
  </conditionalFormatting>
  <conditionalFormatting sqref="W657:X657">
    <cfRule type="expression" dxfId="567" priority="111">
      <formula>IF(OR($C$2="",$C$2&lt;&gt;""),1,0)</formula>
    </cfRule>
  </conditionalFormatting>
  <conditionalFormatting sqref="AC657:AD657">
    <cfRule type="expression" dxfId="566" priority="110">
      <formula>IF(OR($C$2="",$C$2&lt;&gt;""),1,0)</formula>
    </cfRule>
  </conditionalFormatting>
  <conditionalFormatting sqref="F661:H661 J661">
    <cfRule type="expression" dxfId="565" priority="109">
      <formula>IF(OR($C$2="",$C$2&lt;&gt;""),1,0)</formula>
    </cfRule>
  </conditionalFormatting>
  <conditionalFormatting sqref="N661:O661">
    <cfRule type="expression" dxfId="564" priority="108">
      <formula>IF(OR($C$2="",$C$2&lt;&gt;""),1,0)</formula>
    </cfRule>
  </conditionalFormatting>
  <conditionalFormatting sqref="Q661:R661">
    <cfRule type="expression" dxfId="563" priority="107">
      <formula>IF(OR($C$2="",$C$2&lt;&gt;""),1,0)</formula>
    </cfRule>
  </conditionalFormatting>
  <conditionalFormatting sqref="W661:X661">
    <cfRule type="expression" dxfId="562" priority="106">
      <formula>IF(OR($C$2="",$C$2&lt;&gt;""),1,0)</formula>
    </cfRule>
  </conditionalFormatting>
  <conditionalFormatting sqref="AC661:AD661">
    <cfRule type="expression" dxfId="561" priority="105">
      <formula>IF(OR($C$2="",$C$2&lt;&gt;""),1,0)</formula>
    </cfRule>
  </conditionalFormatting>
  <conditionalFormatting sqref="F663:H663 J663">
    <cfRule type="expression" dxfId="560" priority="104">
      <formula>IF(OR($C$2="",$C$2&lt;&gt;""),1,0)</formula>
    </cfRule>
  </conditionalFormatting>
  <conditionalFormatting sqref="N663:O663">
    <cfRule type="expression" dxfId="559" priority="103">
      <formula>IF(OR($C$2="",$C$2&lt;&gt;""),1,0)</formula>
    </cfRule>
  </conditionalFormatting>
  <conditionalFormatting sqref="Q663:R663">
    <cfRule type="expression" dxfId="558" priority="102">
      <formula>IF(OR($C$2="",$C$2&lt;&gt;""),1,0)</formula>
    </cfRule>
  </conditionalFormatting>
  <conditionalFormatting sqref="W663:X663">
    <cfRule type="expression" dxfId="557" priority="101">
      <formula>IF(OR($C$2="",$C$2&lt;&gt;""),1,0)</formula>
    </cfRule>
  </conditionalFormatting>
  <conditionalFormatting sqref="AC663:AD663">
    <cfRule type="expression" dxfId="556" priority="100">
      <formula>IF(OR($C$2="",$C$2&lt;&gt;""),1,0)</formula>
    </cfRule>
  </conditionalFormatting>
  <conditionalFormatting sqref="F665:H665 J665">
    <cfRule type="expression" dxfId="555" priority="99">
      <formula>IF(OR($C$2="",$C$2&lt;&gt;""),1,0)</formula>
    </cfRule>
  </conditionalFormatting>
  <conditionalFormatting sqref="N665:O665">
    <cfRule type="expression" dxfId="554" priority="98">
      <formula>IF(OR($C$2="",$C$2&lt;&gt;""),1,0)</formula>
    </cfRule>
  </conditionalFormatting>
  <conditionalFormatting sqref="Q665:R665">
    <cfRule type="expression" dxfId="553" priority="97">
      <formula>IF(OR($C$2="",$C$2&lt;&gt;""),1,0)</formula>
    </cfRule>
  </conditionalFormatting>
  <conditionalFormatting sqref="W665:X665">
    <cfRule type="expression" dxfId="552" priority="96">
      <formula>IF(OR($C$2="",$C$2&lt;&gt;""),1,0)</formula>
    </cfRule>
  </conditionalFormatting>
  <conditionalFormatting sqref="AC665:AD665">
    <cfRule type="expression" dxfId="551" priority="95">
      <formula>IF(OR($C$2="",$C$2&lt;&gt;""),1,0)</formula>
    </cfRule>
  </conditionalFormatting>
  <conditionalFormatting sqref="F669:H669 J669">
    <cfRule type="expression" dxfId="550" priority="94">
      <formula>IF(OR($C$2="",$C$2&lt;&gt;""),1,0)</formula>
    </cfRule>
  </conditionalFormatting>
  <conditionalFormatting sqref="N669:O669">
    <cfRule type="expression" dxfId="549" priority="93">
      <formula>IF(OR($C$2="",$C$2&lt;&gt;""),1,0)</formula>
    </cfRule>
  </conditionalFormatting>
  <conditionalFormatting sqref="Q669:R669">
    <cfRule type="expression" dxfId="548" priority="92">
      <formula>IF(OR($C$2="",$C$2&lt;&gt;""),1,0)</formula>
    </cfRule>
  </conditionalFormatting>
  <conditionalFormatting sqref="W669:X669">
    <cfRule type="expression" dxfId="547" priority="91">
      <formula>IF(OR($C$2="",$C$2&lt;&gt;""),1,0)</formula>
    </cfRule>
  </conditionalFormatting>
  <conditionalFormatting sqref="AC669:AD669">
    <cfRule type="expression" dxfId="546" priority="90">
      <formula>IF(OR($C$2="",$C$2&lt;&gt;""),1,0)</formula>
    </cfRule>
  </conditionalFormatting>
  <conditionalFormatting sqref="F671:H671 J671">
    <cfRule type="expression" dxfId="545" priority="89">
      <formula>IF(OR($C$2="",$C$2&lt;&gt;""),1,0)</formula>
    </cfRule>
  </conditionalFormatting>
  <conditionalFormatting sqref="N671:O671">
    <cfRule type="expression" dxfId="544" priority="88">
      <formula>IF(OR($C$2="",$C$2&lt;&gt;""),1,0)</formula>
    </cfRule>
  </conditionalFormatting>
  <conditionalFormatting sqref="Q671:R671">
    <cfRule type="expression" dxfId="543" priority="87">
      <formula>IF(OR($C$2="",$C$2&lt;&gt;""),1,0)</formula>
    </cfRule>
  </conditionalFormatting>
  <conditionalFormatting sqref="W671:X671">
    <cfRule type="expression" dxfId="542" priority="86">
      <formula>IF(OR($C$2="",$C$2&lt;&gt;""),1,0)</formula>
    </cfRule>
  </conditionalFormatting>
  <conditionalFormatting sqref="AC671:AD671">
    <cfRule type="expression" dxfId="541" priority="85">
      <formula>IF(OR($C$2="",$C$2&lt;&gt;""),1,0)</formula>
    </cfRule>
  </conditionalFormatting>
  <conditionalFormatting sqref="F673:H673 J673">
    <cfRule type="expression" dxfId="540" priority="84">
      <formula>IF(OR($C$2="",$C$2&lt;&gt;""),1,0)</formula>
    </cfRule>
  </conditionalFormatting>
  <conditionalFormatting sqref="N673:O673">
    <cfRule type="expression" dxfId="539" priority="83">
      <formula>IF(OR($C$2="",$C$2&lt;&gt;""),1,0)</formula>
    </cfRule>
  </conditionalFormatting>
  <conditionalFormatting sqref="Q673:R673">
    <cfRule type="expression" dxfId="538" priority="82">
      <formula>IF(OR($C$2="",$C$2&lt;&gt;""),1,0)</formula>
    </cfRule>
  </conditionalFormatting>
  <conditionalFormatting sqref="W673:X673">
    <cfRule type="expression" dxfId="537" priority="81">
      <formula>IF(OR($C$2="",$C$2&lt;&gt;""),1,0)</formula>
    </cfRule>
  </conditionalFormatting>
  <conditionalFormatting sqref="AC673:AD673">
    <cfRule type="expression" dxfId="536" priority="80">
      <formula>IF(OR($C$2="",$C$2&lt;&gt;""),1,0)</formula>
    </cfRule>
  </conditionalFormatting>
  <conditionalFormatting sqref="F677:H677 J677">
    <cfRule type="expression" dxfId="535" priority="79">
      <formula>IF(OR($C$2="",$C$2&lt;&gt;""),1,0)</formula>
    </cfRule>
  </conditionalFormatting>
  <conditionalFormatting sqref="N677:O677">
    <cfRule type="expression" dxfId="534" priority="78">
      <formula>IF(OR($C$2="",$C$2&lt;&gt;""),1,0)</formula>
    </cfRule>
  </conditionalFormatting>
  <conditionalFormatting sqref="Q677:R677">
    <cfRule type="expression" dxfId="533" priority="77">
      <formula>IF(OR($C$2="",$C$2&lt;&gt;""),1,0)</formula>
    </cfRule>
  </conditionalFormatting>
  <conditionalFormatting sqref="W677:X677">
    <cfRule type="expression" dxfId="532" priority="76">
      <formula>IF(OR($C$2="",$C$2&lt;&gt;""),1,0)</formula>
    </cfRule>
  </conditionalFormatting>
  <conditionalFormatting sqref="AC677:AD677">
    <cfRule type="expression" dxfId="531" priority="75">
      <formula>IF(OR($C$2="",$C$2&lt;&gt;""),1,0)</formula>
    </cfRule>
  </conditionalFormatting>
  <conditionalFormatting sqref="F679:H679 J679">
    <cfRule type="expression" dxfId="530" priority="74">
      <formula>IF(OR($C$2="",$C$2&lt;&gt;""),1,0)</formula>
    </cfRule>
  </conditionalFormatting>
  <conditionalFormatting sqref="N679:O679">
    <cfRule type="expression" dxfId="529" priority="73">
      <formula>IF(OR($C$2="",$C$2&lt;&gt;""),1,0)</formula>
    </cfRule>
  </conditionalFormatting>
  <conditionalFormatting sqref="Q679:R679">
    <cfRule type="expression" dxfId="528" priority="72">
      <formula>IF(OR($C$2="",$C$2&lt;&gt;""),1,0)</formula>
    </cfRule>
  </conditionalFormatting>
  <conditionalFormatting sqref="W679:X679">
    <cfRule type="expression" dxfId="527" priority="71">
      <formula>IF(OR($C$2="",$C$2&lt;&gt;""),1,0)</formula>
    </cfRule>
  </conditionalFormatting>
  <conditionalFormatting sqref="AC679:AD679">
    <cfRule type="expression" dxfId="526" priority="70">
      <formula>IF(OR($C$2="",$C$2&lt;&gt;""),1,0)</formula>
    </cfRule>
  </conditionalFormatting>
  <conditionalFormatting sqref="F681:H681 J681">
    <cfRule type="expression" dxfId="525" priority="69">
      <formula>IF(OR($C$2="",$C$2&lt;&gt;""),1,0)</formula>
    </cfRule>
  </conditionalFormatting>
  <conditionalFormatting sqref="N681:O681">
    <cfRule type="expression" dxfId="524" priority="68">
      <formula>IF(OR($C$2="",$C$2&lt;&gt;""),1,0)</formula>
    </cfRule>
  </conditionalFormatting>
  <conditionalFormatting sqref="Q681:R681">
    <cfRule type="expression" dxfId="523" priority="67">
      <formula>IF(OR($C$2="",$C$2&lt;&gt;""),1,0)</formula>
    </cfRule>
  </conditionalFormatting>
  <conditionalFormatting sqref="W681:X681">
    <cfRule type="expression" dxfId="522" priority="66">
      <formula>IF(OR($C$2="",$C$2&lt;&gt;""),1,0)</formula>
    </cfRule>
  </conditionalFormatting>
  <conditionalFormatting sqref="AC681:AD681">
    <cfRule type="expression" dxfId="521" priority="65">
      <formula>IF(OR($C$2="",$C$2&lt;&gt;""),1,0)</formula>
    </cfRule>
  </conditionalFormatting>
  <conditionalFormatting sqref="F685:H685 J685">
    <cfRule type="expression" dxfId="520" priority="64">
      <formula>IF(OR($C$2="",$C$2&lt;&gt;""),1,0)</formula>
    </cfRule>
  </conditionalFormatting>
  <conditionalFormatting sqref="N685:O685">
    <cfRule type="expression" dxfId="519" priority="63">
      <formula>IF(OR($C$2="",$C$2&lt;&gt;""),1,0)</formula>
    </cfRule>
  </conditionalFormatting>
  <conditionalFormatting sqref="Q685:R685">
    <cfRule type="expression" dxfId="518" priority="62">
      <formula>IF(OR($C$2="",$C$2&lt;&gt;""),1,0)</formula>
    </cfRule>
  </conditionalFormatting>
  <conditionalFormatting sqref="W685:X685">
    <cfRule type="expression" dxfId="517" priority="61">
      <formula>IF(OR($C$2="",$C$2&lt;&gt;""),1,0)</formula>
    </cfRule>
  </conditionalFormatting>
  <conditionalFormatting sqref="AC685:AD685">
    <cfRule type="expression" dxfId="516" priority="60">
      <formula>IF(OR($C$2="",$C$2&lt;&gt;""),1,0)</formula>
    </cfRule>
  </conditionalFormatting>
  <conditionalFormatting sqref="F687:H687 J687">
    <cfRule type="expression" dxfId="515" priority="59">
      <formula>IF(OR($C$2="",$C$2&lt;&gt;""),1,0)</formula>
    </cfRule>
  </conditionalFormatting>
  <conditionalFormatting sqref="Q687:R687">
    <cfRule type="expression" dxfId="514" priority="57">
      <formula>IF(OR($C$2="",$C$2&lt;&gt;""),1,0)</formula>
    </cfRule>
  </conditionalFormatting>
  <conditionalFormatting sqref="AC687:AD687">
    <cfRule type="expression" dxfId="513" priority="55">
      <formula>IF(OR($C$2="",$C$2&lt;&gt;""),1,0)</formula>
    </cfRule>
  </conditionalFormatting>
  <conditionalFormatting sqref="N689:O689">
    <cfRule type="expression" dxfId="512" priority="53">
      <formula>IF(OR($C$2="",$C$2&lt;&gt;""),1,0)</formula>
    </cfRule>
  </conditionalFormatting>
  <conditionalFormatting sqref="W689:X689">
    <cfRule type="expression" dxfId="511" priority="51">
      <formula>IF(OR($C$2="",$C$2&lt;&gt;""),1,0)</formula>
    </cfRule>
  </conditionalFormatting>
  <conditionalFormatting sqref="AC689:AD689">
    <cfRule type="expression" dxfId="510" priority="50">
      <formula>IF(OR($C$2="",$C$2&lt;&gt;""),1,0)</formula>
    </cfRule>
  </conditionalFormatting>
  <conditionalFormatting sqref="D842">
    <cfRule type="expression" dxfId="509" priority="374">
      <formula>IF(OR(C810="",C810&lt;&gt;""),1,0)</formula>
    </cfRule>
  </conditionalFormatting>
  <conditionalFormatting sqref="D870">
    <cfRule type="expression" dxfId="508" priority="375">
      <formula>IF(OR(C845="",C845&lt;&gt;""),1,0)</formula>
    </cfRule>
  </conditionalFormatting>
  <conditionalFormatting sqref="D896">
    <cfRule type="expression" dxfId="507" priority="376">
      <formula>IF(OR(C875="",C875&lt;&gt;""),1,0)</formula>
    </cfRule>
  </conditionalFormatting>
  <conditionalFormatting sqref="D898">
    <cfRule type="expression" dxfId="506" priority="377">
      <formula>IF(OR(C876="",C876&lt;&gt;""),1,0)</formula>
    </cfRule>
  </conditionalFormatting>
  <conditionalFormatting sqref="N893:O894 N896:O899 N901:O908 N910:O913">
    <cfRule type="expression" dxfId="505" priority="49">
      <formula>IF(OR($C$2="",$C$2&lt;&gt;""),1,0)</formula>
    </cfRule>
  </conditionalFormatting>
  <conditionalFormatting sqref="Q893:R894 Q896:R899 Q901:R908 Q910:R913">
    <cfRule type="expression" dxfId="504" priority="48">
      <formula>IF(OR($C$2="",$C$2&lt;&gt;""),1,0)</formula>
    </cfRule>
  </conditionalFormatting>
  <conditionalFormatting sqref="W893:X894 W896:X899 W901:X908 W910:X913">
    <cfRule type="expression" dxfId="503" priority="47">
      <formula>IF(OR($C$2="",$C$2&lt;&gt;""),1,0)</formula>
    </cfRule>
  </conditionalFormatting>
  <conditionalFormatting sqref="AC893:AD894 AC896:AD899 AC901:AD908 AC910:AD913">
    <cfRule type="expression" dxfId="502" priority="46">
      <formula>IF(OR($C$2="",$C$2&lt;&gt;""),1,0)</formula>
    </cfRule>
  </conditionalFormatting>
  <conditionalFormatting sqref="C1075:E1075 C1025:E1025 C917:E917">
    <cfRule type="expression" dxfId="501" priority="45">
      <formula>IF(OR($C$2="",$C$2&lt;&gt;""),1,0)</formula>
    </cfRule>
  </conditionalFormatting>
  <conditionalFormatting sqref="G1075:AE1075 G1025:AE1025">
    <cfRule type="expression" dxfId="500" priority="44">
      <formula>IF(OR($C$2="",$C$2&lt;&gt;""),1,0)</formula>
    </cfRule>
  </conditionalFormatting>
  <conditionalFormatting sqref="J1035:J1038">
    <cfRule type="expression" dxfId="499" priority="43">
      <formula>IF(OR($C$2="",$C$2&lt;&gt;""),1,0)</formula>
    </cfRule>
  </conditionalFormatting>
  <conditionalFormatting sqref="G927:H932 N927:O932 Q927:R932 W927:X932 AC927:AD932 G950:H953 N950:O953 Q950:R953 W950:X953 AC950:AD953 G955:H958 N955:O958 Q955:R958 W955:X958 AC955:AD958 G961:H966 N961:O966 Q961:R966 W961:X966 AC961:AD966 G968:H973 N968:O973 Q968:R973 W968:X973 AC968:AD973 G976:H981 N976:O981 Q976:R981 W976:X981 AC976:AD981 G999:H1002 N999:O1002 Q999:R1002 W999:X1002 AC999:AD1002 G1004:H1007 N1004:O1007 Q1004:R1007 W1004:X1007 AC1004:AD1007 G1010:H1015 N1010:O1015 Q1010:R1015 W1010:X1015 AC1010:AD1015 G1017:H1024 N1017:O1024 Q1017:R1024 W1017:X1024 AC1017:AD1024 J918:J932 J1026 G1085:H1090 N1085:O1090 Q1085:R1090 W1085:X1090 AC1085:AD1090 G1106:H1106 N1106:O1106 Q1106:R1106 W1106:X1106 AC1106:AD1106 G1108:H1111 N1108:O1111 Q1108:R1111 W1108:X1111 AC1108:AD1111 G1113:H1117 N1113:O1117 Q1113:R1117 W1113:X1117 AC1113:AD1117 G1119:H1124 N1119:O1124 Q1119:R1124 W1119:X1124 AC1119:AD1124 G1126:H1131 N1126:O1131 Q1126:R1131 W1126:X1131 AC1126:AD1131 G1134:H1139 N1134:O1139 Q1134:R1139 W1134:X1139 AC1134:AD1139 G1157:H1160 N1157:O1160 Q1157:R1160 W1157:X1160 AC1157:AD1160 G1162:H1165 N1162:O1165 Q1162:R1165 W1162:X1165 AC1162:AD1165 G1168:H1173 N1168:O1173 Q1168:R1173 W1168:X1173 AC1168:AD1173 G1175:H1182 N1175:O1182 Q1175:R1182 W1175:X1182 AC1175:AD1182 J1076:J1182 J934:J947 J949:J958 J960:J981 J998:J1007 J1009:J1024 J983:J996 J1028:J1032 J1040:J1049 J1051:J1055 J1058:J1061 J1063:J1074">
    <cfRule type="expression" dxfId="498" priority="42">
      <formula>IF(OR($C$2="",$C$2&lt;&gt;""),1,0)</formula>
    </cfRule>
  </conditionalFormatting>
  <conditionalFormatting sqref="C1232:E1232 C1212:E1212 C1186:E1186">
    <cfRule type="expression" dxfId="497" priority="41">
      <formula>IF(OR($C$2="",$C$2&lt;&gt;""),1,0)</formula>
    </cfRule>
  </conditionalFormatting>
  <conditionalFormatting sqref="G1232:AE1232 G1212:AE1212">
    <cfRule type="expression" dxfId="496" priority="40">
      <formula>IF(OR($C$2="",$C$2&lt;&gt;""),1,0)</formula>
    </cfRule>
  </conditionalFormatting>
  <conditionalFormatting sqref="G1195:H1200 N1195:O1200 Q1195:R1200 W1195:X1200 AC1195:AD1200 G1202:H1211 N1202:O1211 Q1202:R1211 W1202:X1211 AC1202:AD1211 J1187:J1211 J1213:J1231 G1241:H1246 N1241:O1246 Q1241:R1246 W1241:X1246 AC1241:AD1246 G1248:H1257 N1248:O1257 Q1248:R1257 W1248:X1257 AC1248:AD1257 J1233:J1257">
    <cfRule type="expression" dxfId="495" priority="39">
      <formula>IF(OR($C$2="",$C$2&lt;&gt;""),1,0)</formula>
    </cfRule>
  </conditionalFormatting>
  <conditionalFormatting sqref="C1281:E1281 C1272:E1272">
    <cfRule type="expression" dxfId="494" priority="38">
      <formula>IF(OR($C$2="",$C$2&lt;&gt;""),1,0)</formula>
    </cfRule>
  </conditionalFormatting>
  <conditionalFormatting sqref="G1281:AE1281 G1272:AE1272">
    <cfRule type="expression" dxfId="493" priority="37">
      <formula>IF(OR($C$2="",$C$2&lt;&gt;""),1,0)</formula>
    </cfRule>
  </conditionalFormatting>
  <conditionalFormatting sqref="G1264:H1271 N1264:O1271 Q1264:R1271 W1264:X1271 AC1264:AD1271 J1262:J1271 J1273:J1280 G1284:H1291 N1284:O1291 Q1284:R1291 W1284:X1291 AC1284:AD1291 J1282:J1291">
    <cfRule type="expression" dxfId="492" priority="36">
      <formula>IF(OR($C$2="",$C$2&lt;&gt;""),1,0)</formula>
    </cfRule>
  </conditionalFormatting>
  <conditionalFormatting sqref="D36 D32:D33 D15:D28">
    <cfRule type="expression" dxfId="491" priority="35">
      <formula>IF(OR($C$2="",$C$2&lt;&gt;""),1,0)</formula>
    </cfRule>
  </conditionalFormatting>
  <conditionalFormatting sqref="D65 D61:D62 D44:D57">
    <cfRule type="expression" dxfId="490" priority="34">
      <formula>IF(OR($C$2="",$C$2&lt;&gt;""),1,0)</formula>
    </cfRule>
  </conditionalFormatting>
  <conditionalFormatting sqref="D93:D94 D76:D89">
    <cfRule type="expression" dxfId="489" priority="33">
      <formula>IF(OR($C$2="",$C$2&lt;&gt;""),1,0)</formula>
    </cfRule>
  </conditionalFormatting>
  <conditionalFormatting sqref="D694">
    <cfRule type="expression" dxfId="488" priority="32">
      <formula>IF(OR($C$2="",$C$2&lt;&gt;""),1,0)</formula>
    </cfRule>
  </conditionalFormatting>
  <conditionalFormatting sqref="F694:H694 J694">
    <cfRule type="expression" dxfId="487" priority="31">
      <formula>IF(OR($C$2="",$C$2&lt;&gt;""),1,0)</formula>
    </cfRule>
  </conditionalFormatting>
  <conditionalFormatting sqref="D697">
    <cfRule type="expression" dxfId="486" priority="30">
      <formula>IF(OR($C$2="",$C$2&lt;&gt;""),1,0)</formula>
    </cfRule>
  </conditionalFormatting>
  <conditionalFormatting sqref="F697:H697 J697">
    <cfRule type="expression" dxfId="485" priority="29">
      <formula>IF(OR($C$2="",$C$2&lt;&gt;""),1,0)</formula>
    </cfRule>
  </conditionalFormatting>
  <conditionalFormatting sqref="D700">
    <cfRule type="expression" dxfId="484" priority="28">
      <formula>IF(OR($C$2="",$C$2&lt;&gt;""),1,0)</formula>
    </cfRule>
  </conditionalFormatting>
  <conditionalFormatting sqref="F700:H700 J700">
    <cfRule type="expression" dxfId="483" priority="27">
      <formula>IF(OR($C$2="",$C$2&lt;&gt;""),1,0)</formula>
    </cfRule>
  </conditionalFormatting>
  <conditionalFormatting sqref="F103 J103">
    <cfRule type="expression" dxfId="482" priority="26">
      <formula>IF(OR($C$2="",$C$2&lt;&gt;""),1,0)</formula>
    </cfRule>
  </conditionalFormatting>
  <conditionalFormatting sqref="F110 J110">
    <cfRule type="expression" dxfId="481" priority="25">
      <formula>IF(OR($C$2="",$C$2&lt;&gt;""),1,0)</formula>
    </cfRule>
  </conditionalFormatting>
  <conditionalFormatting sqref="F116 J116">
    <cfRule type="expression" dxfId="480" priority="24">
      <formula>IF(OR($C$2="",$C$2&lt;&gt;""),1,0)</formula>
    </cfRule>
  </conditionalFormatting>
  <conditionalFormatting sqref="F122 J122">
    <cfRule type="expression" dxfId="479" priority="23">
      <formula>IF(OR($C$2="",$C$2&lt;&gt;""),1,0)</formula>
    </cfRule>
  </conditionalFormatting>
  <conditionalFormatting sqref="F130 J130">
    <cfRule type="expression" dxfId="478" priority="22">
      <formula>IF(OR($C$2="",$C$2&lt;&gt;""),1,0)</formula>
    </cfRule>
  </conditionalFormatting>
  <conditionalFormatting sqref="F124 J124">
    <cfRule type="expression" dxfId="477" priority="21">
      <formula>IF(OR($C$2="",$C$2&lt;&gt;""),1,0)</formula>
    </cfRule>
  </conditionalFormatting>
  <conditionalFormatting sqref="J136 F136">
    <cfRule type="expression" dxfId="476" priority="20">
      <formula>IF(OR($C$2="",$C$2&lt;&gt;""),1,0)</formula>
    </cfRule>
  </conditionalFormatting>
  <conditionalFormatting sqref="D310">
    <cfRule type="expression" dxfId="475" priority="19">
      <formula>IF(OR($C$2="",$C$2&lt;&gt;""),1,0)</formula>
    </cfRule>
  </conditionalFormatting>
  <conditionalFormatting sqref="F352:F353 F355:F356 F358:F359 F361:F362 F364:F365">
    <cfRule type="expression" dxfId="474" priority="18">
      <formula>IF(OR($C$2="",$C$2&lt;&gt;""),1,0)</formula>
    </cfRule>
  </conditionalFormatting>
  <conditionalFormatting sqref="F350">
    <cfRule type="expression" dxfId="473" priority="17">
      <formula>IF(OR($C$2="",$C$2&lt;&gt;""),1,0)</formula>
    </cfRule>
  </conditionalFormatting>
  <conditionalFormatting sqref="J350 G352:H353 N352:O353 J352:J353 Q352:R353 W352:X353 AC352:AD353 N355:O356 W355:X356 AC355:AD356 G355:H356 Q355:R356 J355:J356 Q358:R359 J358:J359 G358:H359 AC358:AD359 W358:X359 N358:O359 Q361:R362 J361:J362 G361:H362 AC361:AD362 W361:X362 N361:O362 Q364:R365 J364:J365 G364:H365 AC364:AD365 W364:X365 N364:O365">
    <cfRule type="expression" dxfId="472" priority="16">
      <formula>IF(OR($C$2="",$C$2&lt;&gt;""),1,0)</formula>
    </cfRule>
  </conditionalFormatting>
  <conditionalFormatting sqref="F750:F752 J750:J752">
    <cfRule type="expression" dxfId="471" priority="15">
      <formula>IF(OR($C$2="",$C$2&lt;&gt;""),1,0)</formula>
    </cfRule>
  </conditionalFormatting>
  <conditionalFormatting sqref="G751:H752">
    <cfRule type="expression" dxfId="470" priority="14">
      <formula>IF(OR($C$2="",$C$2&lt;&gt;""),1,0)</formula>
    </cfRule>
  </conditionalFormatting>
  <conditionalFormatting sqref="K751:L752">
    <cfRule type="expression" dxfId="469" priority="13">
      <formula>IF(OR($C$2="",$C$2&lt;&gt;""),1,0)</formula>
    </cfRule>
  </conditionalFormatting>
  <conditionalFormatting sqref="N751:O752">
    <cfRule type="expression" dxfId="468" priority="12">
      <formula>IF(OR($C$2="",$C$2&lt;&gt;""),1,0)</formula>
    </cfRule>
  </conditionalFormatting>
  <conditionalFormatting sqref="Q751:R752">
    <cfRule type="expression" dxfId="467" priority="11">
      <formula>IF(OR($C$2="",$C$2&lt;&gt;""),1,0)</formula>
    </cfRule>
  </conditionalFormatting>
  <conditionalFormatting sqref="W751:X752">
    <cfRule type="expression" dxfId="466" priority="10">
      <formula>IF(OR($C$2="",$C$2&lt;&gt;""),1,0)</formula>
    </cfRule>
  </conditionalFormatting>
  <conditionalFormatting sqref="AC751:AD752">
    <cfRule type="expression" dxfId="465" priority="9">
      <formula>IF(OR($C$2="",$C$2&lt;&gt;""),1,0)</formula>
    </cfRule>
  </conditionalFormatting>
  <conditionalFormatting sqref="F853 J853">
    <cfRule type="expression" dxfId="464" priority="8">
      <formula>IF(OR($C$2="",$C$2&lt;&gt;""),1,0)</formula>
    </cfRule>
  </conditionalFormatting>
  <conditionalFormatting sqref="F878 J878">
    <cfRule type="expression" dxfId="463" priority="7">
      <formula>IF(OR($C$2="",$C$2&lt;&gt;""),1,0)</formula>
    </cfRule>
  </conditionalFormatting>
  <conditionalFormatting sqref="F879 J879">
    <cfRule type="expression" dxfId="462" priority="6">
      <formula>IF(OR($C$2="",$C$2&lt;&gt;""),1,0)</formula>
    </cfRule>
  </conditionalFormatting>
  <conditionalFormatting sqref="F909 J909">
    <cfRule type="expression" dxfId="461" priority="5">
      <formula>IF(OR($C$2="",$C$2&lt;&gt;""),1,0)</formula>
    </cfRule>
  </conditionalFormatting>
  <conditionalFormatting sqref="R814:R815">
    <cfRule type="expression" dxfId="460" priority="4">
      <formula>IF(OR($C$2="",$C$2&lt;&gt;""),1,0)</formula>
    </cfRule>
  </conditionalFormatting>
  <conditionalFormatting sqref="O814:O815">
    <cfRule type="expression" dxfId="459" priority="3">
      <formula>IF(OR($C$2="",$C$2&lt;&gt;""),1,0)</formula>
    </cfRule>
  </conditionalFormatting>
  <conditionalFormatting sqref="X814:X815">
    <cfRule type="expression" dxfId="458" priority="2">
      <formula>IF(OR($C$2="",$C$2&lt;&gt;""),1,0)</formula>
    </cfRule>
  </conditionalFormatting>
  <conditionalFormatting sqref="AD814:AD815">
    <cfRule type="expression" dxfId="457" priority="1">
      <formula>IF(OR($C$2="",$C$2&lt;&gt;""),1,0)</formula>
    </cfRule>
  </conditionalFormatting>
  <dataValidations count="1">
    <dataValidation allowBlank="1" showErrorMessage="1" sqref="D1146 D1153 D1159 D1258:D1259 D1164 D1172 D1254 D1179 D882 D1181 D1033:D1035 D1037 D1056:D1058 D872 D1060 D877 D864 D879:D880 D1062:D1064 D1016:D1017 D1183:D1184 D918 D1075:D1076 D954 D1023 D1174:D1175 D925:D927 D933:D935 D974:D976 D982:D984 D990:D991 D997:D998 D1003 D1008:D1010 D1083:D1085 D1091:D1093 D1099:D1100 D1132:D1134 D1140:D1142 D1148:D1149 D1155:D1156 D1161 D1166:D1168 D941:D942 D948:D949 D931 D939 D946 D952 D957 D959:D961 D963 D965 D967:D968 D970 D972 D980 D988 D995 D1001 D1006 D1014 D1021 D1026:D1029 D1031 D1043 D1045:D1046 D1048 D1050:D1052 D1054 D1039:D1041 D1066 D1068:D1069 D1071 D1073 D1089 D1097 D1104 D1106:D1108 D1110 D1112:D1113 D1115 D1117:D1119 D1121 D1123 D1125:D1126 D1128 D1130 D1138 D1210 D1223 D1230 D1256 D1187 D1194 D1201 D1233 D1240 D1247 D1213 D1218 D1208 D1228 D1282:D1283 D1292:D1293 D1290"/>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'D:\РУСЛАН\Регулирование ООО НЭСКО\2019\Бизнес План на 2019\[НЭСКО_БП_2019.xlsx]Титул'!#REF!</xm:f>
          </x14:formula1>
          <xm:sqref>H6</xm:sqref>
        </x14:dataValidation>
      </x14:dataValidation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N83"/>
  <sheetViews>
    <sheetView topLeftCell="C1" workbookViewId="0">
      <selection activeCell="H96" sqref="H96"/>
    </sheetView>
  </sheetViews>
  <sheetFormatPr defaultRowHeight="12.75"/>
  <cols>
    <col min="1" max="1" width="7.28515625" style="3469" hidden="1" customWidth="1"/>
    <col min="2" max="2" width="7.42578125" style="3469" hidden="1" customWidth="1"/>
    <col min="3" max="3" width="45.7109375" style="3469" customWidth="1"/>
    <col min="4" max="4" width="7.140625" style="3469" customWidth="1"/>
    <col min="5" max="16" width="15.7109375" style="3469" customWidth="1"/>
    <col min="17" max="25" width="9.140625" style="3469"/>
    <col min="26" max="26" width="10" style="3469" bestFit="1" customWidth="1"/>
    <col min="27" max="186" width="9.140625" style="3469"/>
    <col min="187" max="187" width="43.85546875" style="3469" customWidth="1"/>
    <col min="188" max="188" width="7.140625" style="3469" customWidth="1"/>
    <col min="189" max="189" width="15.5703125" style="3469" customWidth="1"/>
    <col min="190" max="190" width="23.140625" style="3469" customWidth="1"/>
    <col min="191" max="191" width="15.140625" style="3469" customWidth="1"/>
    <col min="192" max="192" width="14.85546875" style="3469" customWidth="1"/>
    <col min="193" max="193" width="16.28515625" style="3469" customWidth="1"/>
    <col min="194" max="194" width="20.85546875" style="3469" customWidth="1"/>
    <col min="195" max="195" width="14.140625" style="3469" customWidth="1"/>
    <col min="196" max="196" width="15.7109375" style="3469" bestFit="1" customWidth="1"/>
    <col min="197" max="197" width="13.42578125" style="3469" bestFit="1" customWidth="1"/>
    <col min="198" max="198" width="17.7109375" style="3469" customWidth="1"/>
    <col min="199" max="200" width="13.28515625" style="3469" customWidth="1"/>
    <col min="201" max="201" width="11.5703125" style="3469" customWidth="1"/>
    <col min="202" max="202" width="16.85546875" style="3469" customWidth="1"/>
    <col min="203" max="203" width="13.85546875" style="3469" customWidth="1"/>
    <col min="204" max="204" width="15.140625" style="3469" customWidth="1"/>
    <col min="205" max="205" width="16.7109375" style="3469" customWidth="1"/>
    <col min="206" max="206" width="21.7109375" style="3469" customWidth="1"/>
    <col min="207" max="208" width="16.7109375" style="3469" customWidth="1"/>
    <col min="209" max="209" width="15" style="3469" customWidth="1"/>
    <col min="210" max="210" width="21.7109375" style="3469" customWidth="1"/>
    <col min="211" max="211" width="14.140625" style="3469" customWidth="1"/>
    <col min="212" max="212" width="13.85546875" style="3469" customWidth="1"/>
    <col min="213" max="213" width="12.140625" style="3469" customWidth="1"/>
    <col min="214" max="214" width="20.140625" style="3469" customWidth="1"/>
    <col min="215" max="215" width="15" style="3469" customWidth="1"/>
    <col min="216" max="216" width="12.140625" style="3469" customWidth="1"/>
    <col min="217" max="217" width="12" style="3469" customWidth="1"/>
    <col min="218" max="218" width="17.5703125" style="3469" customWidth="1"/>
    <col min="219" max="219" width="16.5703125" style="3469" customWidth="1"/>
    <col min="220" max="220" width="12.5703125" style="3469" customWidth="1"/>
    <col min="221" max="221" width="24.85546875" style="3469" customWidth="1"/>
    <col min="222" max="222" width="25.42578125" style="3469" customWidth="1"/>
    <col min="223" max="224" width="13.5703125" style="3469" customWidth="1"/>
    <col min="225" max="225" width="18.7109375" style="3469" customWidth="1"/>
    <col min="226" max="226" width="24.5703125" style="3469" customWidth="1"/>
    <col min="227" max="227" width="18.5703125" style="3469" customWidth="1"/>
    <col min="228" max="228" width="13.28515625" style="3469" customWidth="1"/>
    <col min="229" max="229" width="13.140625" style="3469" customWidth="1"/>
    <col min="230" max="230" width="18.7109375" style="3469" customWidth="1"/>
    <col min="231" max="231" width="12.42578125" style="3469" customWidth="1"/>
    <col min="232" max="232" width="13.85546875" style="3469" customWidth="1"/>
    <col min="233" max="233" width="6.85546875" style="3469" customWidth="1"/>
    <col min="234" max="234" width="23" style="3469" customWidth="1"/>
    <col min="235" max="236" width="9.140625" style="3469"/>
    <col min="237" max="237" width="12.28515625" style="3469" customWidth="1"/>
    <col min="238" max="238" width="22" style="3469" customWidth="1"/>
    <col min="239" max="241" width="13.28515625" style="3469" bestFit="1" customWidth="1"/>
    <col min="242" max="242" width="21.7109375" style="3469" customWidth="1"/>
    <col min="243" max="243" width="18.7109375" style="3469" bestFit="1" customWidth="1"/>
    <col min="244" max="245" width="19" style="3469" bestFit="1" customWidth="1"/>
    <col min="246" max="252" width="13.28515625" style="3469" bestFit="1" customWidth="1"/>
    <col min="253" max="253" width="14.140625" style="3469" bestFit="1" customWidth="1"/>
    <col min="254" max="255" width="15.7109375" style="3469" bestFit="1" customWidth="1"/>
    <col min="256" max="258" width="14.140625" style="3469" bestFit="1" customWidth="1"/>
    <col min="259" max="260" width="15.7109375" style="3469" bestFit="1" customWidth="1"/>
    <col min="261" max="262" width="14.140625" style="3469" bestFit="1" customWidth="1"/>
    <col min="263" max="281" width="9.140625" style="3469"/>
    <col min="282" max="282" width="10" style="3469" bestFit="1" customWidth="1"/>
    <col min="283" max="442" width="9.140625" style="3469"/>
    <col min="443" max="443" width="43.85546875" style="3469" customWidth="1"/>
    <col min="444" max="444" width="7.140625" style="3469" customWidth="1"/>
    <col min="445" max="445" width="15.5703125" style="3469" customWidth="1"/>
    <col min="446" max="446" width="23.140625" style="3469" customWidth="1"/>
    <col min="447" max="447" width="15.140625" style="3469" customWidth="1"/>
    <col min="448" max="448" width="14.85546875" style="3469" customWidth="1"/>
    <col min="449" max="449" width="16.28515625" style="3469" customWidth="1"/>
    <col min="450" max="450" width="20.85546875" style="3469" customWidth="1"/>
    <col min="451" max="451" width="14.140625" style="3469" customWidth="1"/>
    <col min="452" max="452" width="15.7109375" style="3469" bestFit="1" customWidth="1"/>
    <col min="453" max="453" width="13.42578125" style="3469" bestFit="1" customWidth="1"/>
    <col min="454" max="454" width="17.7109375" style="3469" customWidth="1"/>
    <col min="455" max="456" width="13.28515625" style="3469" customWidth="1"/>
    <col min="457" max="457" width="11.5703125" style="3469" customWidth="1"/>
    <col min="458" max="458" width="16.85546875" style="3469" customWidth="1"/>
    <col min="459" max="459" width="13.85546875" style="3469" customWidth="1"/>
    <col min="460" max="460" width="15.140625" style="3469" customWidth="1"/>
    <col min="461" max="461" width="16.7109375" style="3469" customWidth="1"/>
    <col min="462" max="462" width="21.7109375" style="3469" customWidth="1"/>
    <col min="463" max="464" width="16.7109375" style="3469" customWidth="1"/>
    <col min="465" max="465" width="15" style="3469" customWidth="1"/>
    <col min="466" max="466" width="21.7109375" style="3469" customWidth="1"/>
    <col min="467" max="467" width="14.140625" style="3469" customWidth="1"/>
    <col min="468" max="468" width="13.85546875" style="3469" customWidth="1"/>
    <col min="469" max="469" width="12.140625" style="3469" customWidth="1"/>
    <col min="470" max="470" width="20.140625" style="3469" customWidth="1"/>
    <col min="471" max="471" width="15" style="3469" customWidth="1"/>
    <col min="472" max="472" width="12.140625" style="3469" customWidth="1"/>
    <col min="473" max="473" width="12" style="3469" customWidth="1"/>
    <col min="474" max="474" width="17.5703125" style="3469" customWidth="1"/>
    <col min="475" max="475" width="16.5703125" style="3469" customWidth="1"/>
    <col min="476" max="476" width="12.5703125" style="3469" customWidth="1"/>
    <col min="477" max="477" width="24.85546875" style="3469" customWidth="1"/>
    <col min="478" max="478" width="25.42578125" style="3469" customWidth="1"/>
    <col min="479" max="480" width="13.5703125" style="3469" customWidth="1"/>
    <col min="481" max="481" width="18.7109375" style="3469" customWidth="1"/>
    <col min="482" max="482" width="24.5703125" style="3469" customWidth="1"/>
    <col min="483" max="483" width="18.5703125" style="3469" customWidth="1"/>
    <col min="484" max="484" width="13.28515625" style="3469" customWidth="1"/>
    <col min="485" max="485" width="13.140625" style="3469" customWidth="1"/>
    <col min="486" max="486" width="18.7109375" style="3469" customWidth="1"/>
    <col min="487" max="487" width="12.42578125" style="3469" customWidth="1"/>
    <col min="488" max="488" width="13.85546875" style="3469" customWidth="1"/>
    <col min="489" max="489" width="6.85546875" style="3469" customWidth="1"/>
    <col min="490" max="490" width="23" style="3469" customWidth="1"/>
    <col min="491" max="492" width="9.140625" style="3469"/>
    <col min="493" max="493" width="12.28515625" style="3469" customWidth="1"/>
    <col min="494" max="494" width="22" style="3469" customWidth="1"/>
    <col min="495" max="497" width="13.28515625" style="3469" bestFit="1" customWidth="1"/>
    <col min="498" max="498" width="21.7109375" style="3469" customWidth="1"/>
    <col min="499" max="499" width="18.7109375" style="3469" bestFit="1" customWidth="1"/>
    <col min="500" max="501" width="19" style="3469" bestFit="1" customWidth="1"/>
    <col min="502" max="508" width="13.28515625" style="3469" bestFit="1" customWidth="1"/>
    <col min="509" max="509" width="14.140625" style="3469" bestFit="1" customWidth="1"/>
    <col min="510" max="511" width="15.7109375" style="3469" bestFit="1" customWidth="1"/>
    <col min="512" max="514" width="14.140625" style="3469" bestFit="1" customWidth="1"/>
    <col min="515" max="516" width="15.7109375" style="3469" bestFit="1" customWidth="1"/>
    <col min="517" max="518" width="14.140625" style="3469" bestFit="1" customWidth="1"/>
    <col min="519" max="537" width="9.140625" style="3469"/>
    <col min="538" max="538" width="10" style="3469" bestFit="1" customWidth="1"/>
    <col min="539" max="698" width="9.140625" style="3469"/>
    <col min="699" max="699" width="43.85546875" style="3469" customWidth="1"/>
    <col min="700" max="700" width="7.140625" style="3469" customWidth="1"/>
    <col min="701" max="701" width="15.5703125" style="3469" customWidth="1"/>
    <col min="702" max="702" width="23.140625" style="3469" customWidth="1"/>
    <col min="703" max="703" width="15.140625" style="3469" customWidth="1"/>
    <col min="704" max="704" width="14.85546875" style="3469" customWidth="1"/>
    <col min="705" max="705" width="16.28515625" style="3469" customWidth="1"/>
    <col min="706" max="706" width="20.85546875" style="3469" customWidth="1"/>
    <col min="707" max="707" width="14.140625" style="3469" customWidth="1"/>
    <col min="708" max="708" width="15.7109375" style="3469" bestFit="1" customWidth="1"/>
    <col min="709" max="709" width="13.42578125" style="3469" bestFit="1" customWidth="1"/>
    <col min="710" max="710" width="17.7109375" style="3469" customWidth="1"/>
    <col min="711" max="712" width="13.28515625" style="3469" customWidth="1"/>
    <col min="713" max="713" width="11.5703125" style="3469" customWidth="1"/>
    <col min="714" max="714" width="16.85546875" style="3469" customWidth="1"/>
    <col min="715" max="715" width="13.85546875" style="3469" customWidth="1"/>
    <col min="716" max="716" width="15.140625" style="3469" customWidth="1"/>
    <col min="717" max="717" width="16.7109375" style="3469" customWidth="1"/>
    <col min="718" max="718" width="21.7109375" style="3469" customWidth="1"/>
    <col min="719" max="720" width="16.7109375" style="3469" customWidth="1"/>
    <col min="721" max="721" width="15" style="3469" customWidth="1"/>
    <col min="722" max="722" width="21.7109375" style="3469" customWidth="1"/>
    <col min="723" max="723" width="14.140625" style="3469" customWidth="1"/>
    <col min="724" max="724" width="13.85546875" style="3469" customWidth="1"/>
    <col min="725" max="725" width="12.140625" style="3469" customWidth="1"/>
    <col min="726" max="726" width="20.140625" style="3469" customWidth="1"/>
    <col min="727" max="727" width="15" style="3469" customWidth="1"/>
    <col min="728" max="728" width="12.140625" style="3469" customWidth="1"/>
    <col min="729" max="729" width="12" style="3469" customWidth="1"/>
    <col min="730" max="730" width="17.5703125" style="3469" customWidth="1"/>
    <col min="731" max="731" width="16.5703125" style="3469" customWidth="1"/>
    <col min="732" max="732" width="12.5703125" style="3469" customWidth="1"/>
    <col min="733" max="733" width="24.85546875" style="3469" customWidth="1"/>
    <col min="734" max="734" width="25.42578125" style="3469" customWidth="1"/>
    <col min="735" max="736" width="13.5703125" style="3469" customWidth="1"/>
    <col min="737" max="737" width="18.7109375" style="3469" customWidth="1"/>
    <col min="738" max="738" width="24.5703125" style="3469" customWidth="1"/>
    <col min="739" max="739" width="18.5703125" style="3469" customWidth="1"/>
    <col min="740" max="740" width="13.28515625" style="3469" customWidth="1"/>
    <col min="741" max="741" width="13.140625" style="3469" customWidth="1"/>
    <col min="742" max="742" width="18.7109375" style="3469" customWidth="1"/>
    <col min="743" max="743" width="12.42578125" style="3469" customWidth="1"/>
    <col min="744" max="744" width="13.85546875" style="3469" customWidth="1"/>
    <col min="745" max="745" width="6.85546875" style="3469" customWidth="1"/>
    <col min="746" max="746" width="23" style="3469" customWidth="1"/>
    <col min="747" max="748" width="9.140625" style="3469"/>
    <col min="749" max="749" width="12.28515625" style="3469" customWidth="1"/>
    <col min="750" max="750" width="22" style="3469" customWidth="1"/>
    <col min="751" max="753" width="13.28515625" style="3469" bestFit="1" customWidth="1"/>
    <col min="754" max="754" width="21.7109375" style="3469" customWidth="1"/>
    <col min="755" max="755" width="18.7109375" style="3469" bestFit="1" customWidth="1"/>
    <col min="756" max="757" width="19" style="3469" bestFit="1" customWidth="1"/>
    <col min="758" max="764" width="13.28515625" style="3469" bestFit="1" customWidth="1"/>
    <col min="765" max="765" width="14.140625" style="3469" bestFit="1" customWidth="1"/>
    <col min="766" max="767" width="15.7109375" style="3469" bestFit="1" customWidth="1"/>
    <col min="768" max="770" width="14.140625" style="3469" bestFit="1" customWidth="1"/>
    <col min="771" max="772" width="15.7109375" style="3469" bestFit="1" customWidth="1"/>
    <col min="773" max="774" width="14.140625" style="3469" bestFit="1" customWidth="1"/>
    <col min="775" max="793" width="9.140625" style="3469"/>
    <col min="794" max="794" width="10" style="3469" bestFit="1" customWidth="1"/>
    <col min="795" max="954" width="9.140625" style="3469"/>
    <col min="955" max="955" width="43.85546875" style="3469" customWidth="1"/>
    <col min="956" max="956" width="7.140625" style="3469" customWidth="1"/>
    <col min="957" max="957" width="15.5703125" style="3469" customWidth="1"/>
    <col min="958" max="958" width="23.140625" style="3469" customWidth="1"/>
    <col min="959" max="959" width="15.140625" style="3469" customWidth="1"/>
    <col min="960" max="960" width="14.85546875" style="3469" customWidth="1"/>
    <col min="961" max="961" width="16.28515625" style="3469" customWidth="1"/>
    <col min="962" max="962" width="20.85546875" style="3469" customWidth="1"/>
    <col min="963" max="963" width="14.140625" style="3469" customWidth="1"/>
    <col min="964" max="964" width="15.7109375" style="3469" bestFit="1" customWidth="1"/>
    <col min="965" max="965" width="13.42578125" style="3469" bestFit="1" customWidth="1"/>
    <col min="966" max="966" width="17.7109375" style="3469" customWidth="1"/>
    <col min="967" max="968" width="13.28515625" style="3469" customWidth="1"/>
    <col min="969" max="969" width="11.5703125" style="3469" customWidth="1"/>
    <col min="970" max="970" width="16.85546875" style="3469" customWidth="1"/>
    <col min="971" max="971" width="13.85546875" style="3469" customWidth="1"/>
    <col min="972" max="972" width="15.140625" style="3469" customWidth="1"/>
    <col min="973" max="973" width="16.7109375" style="3469" customWidth="1"/>
    <col min="974" max="974" width="21.7109375" style="3469" customWidth="1"/>
    <col min="975" max="976" width="16.7109375" style="3469" customWidth="1"/>
    <col min="977" max="977" width="15" style="3469" customWidth="1"/>
    <col min="978" max="978" width="21.7109375" style="3469" customWidth="1"/>
    <col min="979" max="979" width="14.140625" style="3469" customWidth="1"/>
    <col min="980" max="980" width="13.85546875" style="3469" customWidth="1"/>
    <col min="981" max="981" width="12.140625" style="3469" customWidth="1"/>
    <col min="982" max="982" width="20.140625" style="3469" customWidth="1"/>
    <col min="983" max="983" width="15" style="3469" customWidth="1"/>
    <col min="984" max="984" width="12.140625" style="3469" customWidth="1"/>
    <col min="985" max="985" width="12" style="3469" customWidth="1"/>
    <col min="986" max="986" width="17.5703125" style="3469" customWidth="1"/>
    <col min="987" max="987" width="16.5703125" style="3469" customWidth="1"/>
    <col min="988" max="988" width="12.5703125" style="3469" customWidth="1"/>
    <col min="989" max="989" width="24.85546875" style="3469" customWidth="1"/>
    <col min="990" max="990" width="25.42578125" style="3469" customWidth="1"/>
    <col min="991" max="992" width="13.5703125" style="3469" customWidth="1"/>
    <col min="993" max="993" width="18.7109375" style="3469" customWidth="1"/>
    <col min="994" max="994" width="24.5703125" style="3469" customWidth="1"/>
    <col min="995" max="995" width="18.5703125" style="3469" customWidth="1"/>
    <col min="996" max="996" width="13.28515625" style="3469" customWidth="1"/>
    <col min="997" max="997" width="13.140625" style="3469" customWidth="1"/>
    <col min="998" max="998" width="18.7109375" style="3469" customWidth="1"/>
    <col min="999" max="999" width="12.42578125" style="3469" customWidth="1"/>
    <col min="1000" max="1000" width="13.85546875" style="3469" customWidth="1"/>
    <col min="1001" max="1001" width="6.85546875" style="3469" customWidth="1"/>
    <col min="1002" max="1002" width="23" style="3469" customWidth="1"/>
    <col min="1003" max="1004" width="9.140625" style="3469"/>
    <col min="1005" max="1005" width="12.28515625" style="3469" customWidth="1"/>
    <col min="1006" max="1006" width="22" style="3469" customWidth="1"/>
    <col min="1007" max="1009" width="13.28515625" style="3469" bestFit="1" customWidth="1"/>
    <col min="1010" max="1010" width="21.7109375" style="3469" customWidth="1"/>
    <col min="1011" max="1011" width="18.7109375" style="3469" bestFit="1" customWidth="1"/>
    <col min="1012" max="1013" width="19" style="3469" bestFit="1" customWidth="1"/>
    <col min="1014" max="1020" width="13.28515625" style="3469" bestFit="1" customWidth="1"/>
    <col min="1021" max="1021" width="14.140625" style="3469" bestFit="1" customWidth="1"/>
    <col min="1022" max="1023" width="15.7109375" style="3469" bestFit="1" customWidth="1"/>
    <col min="1024" max="1026" width="14.140625" style="3469" bestFit="1" customWidth="1"/>
    <col min="1027" max="1028" width="15.7109375" style="3469" bestFit="1" customWidth="1"/>
    <col min="1029" max="1030" width="14.140625" style="3469" bestFit="1" customWidth="1"/>
    <col min="1031" max="1049" width="9.140625" style="3469"/>
    <col min="1050" max="1050" width="10" style="3469" bestFit="1" customWidth="1"/>
    <col min="1051" max="1210" width="9.140625" style="3469"/>
    <col min="1211" max="1211" width="43.85546875" style="3469" customWidth="1"/>
    <col min="1212" max="1212" width="7.140625" style="3469" customWidth="1"/>
    <col min="1213" max="1213" width="15.5703125" style="3469" customWidth="1"/>
    <col min="1214" max="1214" width="23.140625" style="3469" customWidth="1"/>
    <col min="1215" max="1215" width="15.140625" style="3469" customWidth="1"/>
    <col min="1216" max="1216" width="14.85546875" style="3469" customWidth="1"/>
    <col min="1217" max="1217" width="16.28515625" style="3469" customWidth="1"/>
    <col min="1218" max="1218" width="20.85546875" style="3469" customWidth="1"/>
    <col min="1219" max="1219" width="14.140625" style="3469" customWidth="1"/>
    <col min="1220" max="1220" width="15.7109375" style="3469" bestFit="1" customWidth="1"/>
    <col min="1221" max="1221" width="13.42578125" style="3469" bestFit="1" customWidth="1"/>
    <col min="1222" max="1222" width="17.7109375" style="3469" customWidth="1"/>
    <col min="1223" max="1224" width="13.28515625" style="3469" customWidth="1"/>
    <col min="1225" max="1225" width="11.5703125" style="3469" customWidth="1"/>
    <col min="1226" max="1226" width="16.85546875" style="3469" customWidth="1"/>
    <col min="1227" max="1227" width="13.85546875" style="3469" customWidth="1"/>
    <col min="1228" max="1228" width="15.140625" style="3469" customWidth="1"/>
    <col min="1229" max="1229" width="16.7109375" style="3469" customWidth="1"/>
    <col min="1230" max="1230" width="21.7109375" style="3469" customWidth="1"/>
    <col min="1231" max="1232" width="16.7109375" style="3469" customWidth="1"/>
    <col min="1233" max="1233" width="15" style="3469" customWidth="1"/>
    <col min="1234" max="1234" width="21.7109375" style="3469" customWidth="1"/>
    <col min="1235" max="1235" width="14.140625" style="3469" customWidth="1"/>
    <col min="1236" max="1236" width="13.85546875" style="3469" customWidth="1"/>
    <col min="1237" max="1237" width="12.140625" style="3469" customWidth="1"/>
    <col min="1238" max="1238" width="20.140625" style="3469" customWidth="1"/>
    <col min="1239" max="1239" width="15" style="3469" customWidth="1"/>
    <col min="1240" max="1240" width="12.140625" style="3469" customWidth="1"/>
    <col min="1241" max="1241" width="12" style="3469" customWidth="1"/>
    <col min="1242" max="1242" width="17.5703125" style="3469" customWidth="1"/>
    <col min="1243" max="1243" width="16.5703125" style="3469" customWidth="1"/>
    <col min="1244" max="1244" width="12.5703125" style="3469" customWidth="1"/>
    <col min="1245" max="1245" width="24.85546875" style="3469" customWidth="1"/>
    <col min="1246" max="1246" width="25.42578125" style="3469" customWidth="1"/>
    <col min="1247" max="1248" width="13.5703125" style="3469" customWidth="1"/>
    <col min="1249" max="1249" width="18.7109375" style="3469" customWidth="1"/>
    <col min="1250" max="1250" width="24.5703125" style="3469" customWidth="1"/>
    <col min="1251" max="1251" width="18.5703125" style="3469" customWidth="1"/>
    <col min="1252" max="1252" width="13.28515625" style="3469" customWidth="1"/>
    <col min="1253" max="1253" width="13.140625" style="3469" customWidth="1"/>
    <col min="1254" max="1254" width="18.7109375" style="3469" customWidth="1"/>
    <col min="1255" max="1255" width="12.42578125" style="3469" customWidth="1"/>
    <col min="1256" max="1256" width="13.85546875" style="3469" customWidth="1"/>
    <col min="1257" max="1257" width="6.85546875" style="3469" customWidth="1"/>
    <col min="1258" max="1258" width="23" style="3469" customWidth="1"/>
    <col min="1259" max="1260" width="9.140625" style="3469"/>
    <col min="1261" max="1261" width="12.28515625" style="3469" customWidth="1"/>
    <col min="1262" max="1262" width="22" style="3469" customWidth="1"/>
    <col min="1263" max="1265" width="13.28515625" style="3469" bestFit="1" customWidth="1"/>
    <col min="1266" max="1266" width="21.7109375" style="3469" customWidth="1"/>
    <col min="1267" max="1267" width="18.7109375" style="3469" bestFit="1" customWidth="1"/>
    <col min="1268" max="1269" width="19" style="3469" bestFit="1" customWidth="1"/>
    <col min="1270" max="1276" width="13.28515625" style="3469" bestFit="1" customWidth="1"/>
    <col min="1277" max="1277" width="14.140625" style="3469" bestFit="1" customWidth="1"/>
    <col min="1278" max="1279" width="15.7109375" style="3469" bestFit="1" customWidth="1"/>
    <col min="1280" max="1282" width="14.140625" style="3469" bestFit="1" customWidth="1"/>
    <col min="1283" max="1284" width="15.7109375" style="3469" bestFit="1" customWidth="1"/>
    <col min="1285" max="1286" width="14.140625" style="3469" bestFit="1" customWidth="1"/>
    <col min="1287" max="1305" width="9.140625" style="3469"/>
    <col min="1306" max="1306" width="10" style="3469" bestFit="1" customWidth="1"/>
    <col min="1307" max="1466" width="9.140625" style="3469"/>
    <col min="1467" max="1467" width="43.85546875" style="3469" customWidth="1"/>
    <col min="1468" max="1468" width="7.140625" style="3469" customWidth="1"/>
    <col min="1469" max="1469" width="15.5703125" style="3469" customWidth="1"/>
    <col min="1470" max="1470" width="23.140625" style="3469" customWidth="1"/>
    <col min="1471" max="1471" width="15.140625" style="3469" customWidth="1"/>
    <col min="1472" max="1472" width="14.85546875" style="3469" customWidth="1"/>
    <col min="1473" max="1473" width="16.28515625" style="3469" customWidth="1"/>
    <col min="1474" max="1474" width="20.85546875" style="3469" customWidth="1"/>
    <col min="1475" max="1475" width="14.140625" style="3469" customWidth="1"/>
    <col min="1476" max="1476" width="15.7109375" style="3469" bestFit="1" customWidth="1"/>
    <col min="1477" max="1477" width="13.42578125" style="3469" bestFit="1" customWidth="1"/>
    <col min="1478" max="1478" width="17.7109375" style="3469" customWidth="1"/>
    <col min="1479" max="1480" width="13.28515625" style="3469" customWidth="1"/>
    <col min="1481" max="1481" width="11.5703125" style="3469" customWidth="1"/>
    <col min="1482" max="1482" width="16.85546875" style="3469" customWidth="1"/>
    <col min="1483" max="1483" width="13.85546875" style="3469" customWidth="1"/>
    <col min="1484" max="1484" width="15.140625" style="3469" customWidth="1"/>
    <col min="1485" max="1485" width="16.7109375" style="3469" customWidth="1"/>
    <col min="1486" max="1486" width="21.7109375" style="3469" customWidth="1"/>
    <col min="1487" max="1488" width="16.7109375" style="3469" customWidth="1"/>
    <col min="1489" max="1489" width="15" style="3469" customWidth="1"/>
    <col min="1490" max="1490" width="21.7109375" style="3469" customWidth="1"/>
    <col min="1491" max="1491" width="14.140625" style="3469" customWidth="1"/>
    <col min="1492" max="1492" width="13.85546875" style="3469" customWidth="1"/>
    <col min="1493" max="1493" width="12.140625" style="3469" customWidth="1"/>
    <col min="1494" max="1494" width="20.140625" style="3469" customWidth="1"/>
    <col min="1495" max="1495" width="15" style="3469" customWidth="1"/>
    <col min="1496" max="1496" width="12.140625" style="3469" customWidth="1"/>
    <col min="1497" max="1497" width="12" style="3469" customWidth="1"/>
    <col min="1498" max="1498" width="17.5703125" style="3469" customWidth="1"/>
    <col min="1499" max="1499" width="16.5703125" style="3469" customWidth="1"/>
    <col min="1500" max="1500" width="12.5703125" style="3469" customWidth="1"/>
    <col min="1501" max="1501" width="24.85546875" style="3469" customWidth="1"/>
    <col min="1502" max="1502" width="25.42578125" style="3469" customWidth="1"/>
    <col min="1503" max="1504" width="13.5703125" style="3469" customWidth="1"/>
    <col min="1505" max="1505" width="18.7109375" style="3469" customWidth="1"/>
    <col min="1506" max="1506" width="24.5703125" style="3469" customWidth="1"/>
    <col min="1507" max="1507" width="18.5703125" style="3469" customWidth="1"/>
    <col min="1508" max="1508" width="13.28515625" style="3469" customWidth="1"/>
    <col min="1509" max="1509" width="13.140625" style="3469" customWidth="1"/>
    <col min="1510" max="1510" width="18.7109375" style="3469" customWidth="1"/>
    <col min="1511" max="1511" width="12.42578125" style="3469" customWidth="1"/>
    <col min="1512" max="1512" width="13.85546875" style="3469" customWidth="1"/>
    <col min="1513" max="1513" width="6.85546875" style="3469" customWidth="1"/>
    <col min="1514" max="1514" width="23" style="3469" customWidth="1"/>
    <col min="1515" max="1516" width="9.140625" style="3469"/>
    <col min="1517" max="1517" width="12.28515625" style="3469" customWidth="1"/>
    <col min="1518" max="1518" width="22" style="3469" customWidth="1"/>
    <col min="1519" max="1521" width="13.28515625" style="3469" bestFit="1" customWidth="1"/>
    <col min="1522" max="1522" width="21.7109375" style="3469" customWidth="1"/>
    <col min="1523" max="1523" width="18.7109375" style="3469" bestFit="1" customWidth="1"/>
    <col min="1524" max="1525" width="19" style="3469" bestFit="1" customWidth="1"/>
    <col min="1526" max="1532" width="13.28515625" style="3469" bestFit="1" customWidth="1"/>
    <col min="1533" max="1533" width="14.140625" style="3469" bestFit="1" customWidth="1"/>
    <col min="1534" max="1535" width="15.7109375" style="3469" bestFit="1" customWidth="1"/>
    <col min="1536" max="1538" width="14.140625" style="3469" bestFit="1" customWidth="1"/>
    <col min="1539" max="1540" width="15.7109375" style="3469" bestFit="1" customWidth="1"/>
    <col min="1541" max="1542" width="14.140625" style="3469" bestFit="1" customWidth="1"/>
    <col min="1543" max="1561" width="9.140625" style="3469"/>
    <col min="1562" max="1562" width="10" style="3469" bestFit="1" customWidth="1"/>
    <col min="1563" max="1722" width="9.140625" style="3469"/>
    <col min="1723" max="1723" width="43.85546875" style="3469" customWidth="1"/>
    <col min="1724" max="1724" width="7.140625" style="3469" customWidth="1"/>
    <col min="1725" max="1725" width="15.5703125" style="3469" customWidth="1"/>
    <col min="1726" max="1726" width="23.140625" style="3469" customWidth="1"/>
    <col min="1727" max="1727" width="15.140625" style="3469" customWidth="1"/>
    <col min="1728" max="1728" width="14.85546875" style="3469" customWidth="1"/>
    <col min="1729" max="1729" width="16.28515625" style="3469" customWidth="1"/>
    <col min="1730" max="1730" width="20.85546875" style="3469" customWidth="1"/>
    <col min="1731" max="1731" width="14.140625" style="3469" customWidth="1"/>
    <col min="1732" max="1732" width="15.7109375" style="3469" bestFit="1" customWidth="1"/>
    <col min="1733" max="1733" width="13.42578125" style="3469" bestFit="1" customWidth="1"/>
    <col min="1734" max="1734" width="17.7109375" style="3469" customWidth="1"/>
    <col min="1735" max="1736" width="13.28515625" style="3469" customWidth="1"/>
    <col min="1737" max="1737" width="11.5703125" style="3469" customWidth="1"/>
    <col min="1738" max="1738" width="16.85546875" style="3469" customWidth="1"/>
    <col min="1739" max="1739" width="13.85546875" style="3469" customWidth="1"/>
    <col min="1740" max="1740" width="15.140625" style="3469" customWidth="1"/>
    <col min="1741" max="1741" width="16.7109375" style="3469" customWidth="1"/>
    <col min="1742" max="1742" width="21.7109375" style="3469" customWidth="1"/>
    <col min="1743" max="1744" width="16.7109375" style="3469" customWidth="1"/>
    <col min="1745" max="1745" width="15" style="3469" customWidth="1"/>
    <col min="1746" max="1746" width="21.7109375" style="3469" customWidth="1"/>
    <col min="1747" max="1747" width="14.140625" style="3469" customWidth="1"/>
    <col min="1748" max="1748" width="13.85546875" style="3469" customWidth="1"/>
    <col min="1749" max="1749" width="12.140625" style="3469" customWidth="1"/>
    <col min="1750" max="1750" width="20.140625" style="3469" customWidth="1"/>
    <col min="1751" max="1751" width="15" style="3469" customWidth="1"/>
    <col min="1752" max="1752" width="12.140625" style="3469" customWidth="1"/>
    <col min="1753" max="1753" width="12" style="3469" customWidth="1"/>
    <col min="1754" max="1754" width="17.5703125" style="3469" customWidth="1"/>
    <col min="1755" max="1755" width="16.5703125" style="3469" customWidth="1"/>
    <col min="1756" max="1756" width="12.5703125" style="3469" customWidth="1"/>
    <col min="1757" max="1757" width="24.85546875" style="3469" customWidth="1"/>
    <col min="1758" max="1758" width="25.42578125" style="3469" customWidth="1"/>
    <col min="1759" max="1760" width="13.5703125" style="3469" customWidth="1"/>
    <col min="1761" max="1761" width="18.7109375" style="3469" customWidth="1"/>
    <col min="1762" max="1762" width="24.5703125" style="3469" customWidth="1"/>
    <col min="1763" max="1763" width="18.5703125" style="3469" customWidth="1"/>
    <col min="1764" max="1764" width="13.28515625" style="3469" customWidth="1"/>
    <col min="1765" max="1765" width="13.140625" style="3469" customWidth="1"/>
    <col min="1766" max="1766" width="18.7109375" style="3469" customWidth="1"/>
    <col min="1767" max="1767" width="12.42578125" style="3469" customWidth="1"/>
    <col min="1768" max="1768" width="13.85546875" style="3469" customWidth="1"/>
    <col min="1769" max="1769" width="6.85546875" style="3469" customWidth="1"/>
    <col min="1770" max="1770" width="23" style="3469" customWidth="1"/>
    <col min="1771" max="1772" width="9.140625" style="3469"/>
    <col min="1773" max="1773" width="12.28515625" style="3469" customWidth="1"/>
    <col min="1774" max="1774" width="22" style="3469" customWidth="1"/>
    <col min="1775" max="1777" width="13.28515625" style="3469" bestFit="1" customWidth="1"/>
    <col min="1778" max="1778" width="21.7109375" style="3469" customWidth="1"/>
    <col min="1779" max="1779" width="18.7109375" style="3469" bestFit="1" customWidth="1"/>
    <col min="1780" max="1781" width="19" style="3469" bestFit="1" customWidth="1"/>
    <col min="1782" max="1788" width="13.28515625" style="3469" bestFit="1" customWidth="1"/>
    <col min="1789" max="1789" width="14.140625" style="3469" bestFit="1" customWidth="1"/>
    <col min="1790" max="1791" width="15.7109375" style="3469" bestFit="1" customWidth="1"/>
    <col min="1792" max="1794" width="14.140625" style="3469" bestFit="1" customWidth="1"/>
    <col min="1795" max="1796" width="15.7109375" style="3469" bestFit="1" customWidth="1"/>
    <col min="1797" max="1798" width="14.140625" style="3469" bestFit="1" customWidth="1"/>
    <col min="1799" max="1817" width="9.140625" style="3469"/>
    <col min="1818" max="1818" width="10" style="3469" bestFit="1" customWidth="1"/>
    <col min="1819" max="1978" width="9.140625" style="3469"/>
    <col min="1979" max="1979" width="43.85546875" style="3469" customWidth="1"/>
    <col min="1980" max="1980" width="7.140625" style="3469" customWidth="1"/>
    <col min="1981" max="1981" width="15.5703125" style="3469" customWidth="1"/>
    <col min="1982" max="1982" width="23.140625" style="3469" customWidth="1"/>
    <col min="1983" max="1983" width="15.140625" style="3469" customWidth="1"/>
    <col min="1984" max="1984" width="14.85546875" style="3469" customWidth="1"/>
    <col min="1985" max="1985" width="16.28515625" style="3469" customWidth="1"/>
    <col min="1986" max="1986" width="20.85546875" style="3469" customWidth="1"/>
    <col min="1987" max="1987" width="14.140625" style="3469" customWidth="1"/>
    <col min="1988" max="1988" width="15.7109375" style="3469" bestFit="1" customWidth="1"/>
    <col min="1989" max="1989" width="13.42578125" style="3469" bestFit="1" customWidth="1"/>
    <col min="1990" max="1990" width="17.7109375" style="3469" customWidth="1"/>
    <col min="1991" max="1992" width="13.28515625" style="3469" customWidth="1"/>
    <col min="1993" max="1993" width="11.5703125" style="3469" customWidth="1"/>
    <col min="1994" max="1994" width="16.85546875" style="3469" customWidth="1"/>
    <col min="1995" max="1995" width="13.85546875" style="3469" customWidth="1"/>
    <col min="1996" max="1996" width="15.140625" style="3469" customWidth="1"/>
    <col min="1997" max="1997" width="16.7109375" style="3469" customWidth="1"/>
    <col min="1998" max="1998" width="21.7109375" style="3469" customWidth="1"/>
    <col min="1999" max="2000" width="16.7109375" style="3469" customWidth="1"/>
    <col min="2001" max="2001" width="15" style="3469" customWidth="1"/>
    <col min="2002" max="2002" width="21.7109375" style="3469" customWidth="1"/>
    <col min="2003" max="2003" width="14.140625" style="3469" customWidth="1"/>
    <col min="2004" max="2004" width="13.85546875" style="3469" customWidth="1"/>
    <col min="2005" max="2005" width="12.140625" style="3469" customWidth="1"/>
    <col min="2006" max="2006" width="20.140625" style="3469" customWidth="1"/>
    <col min="2007" max="2007" width="15" style="3469" customWidth="1"/>
    <col min="2008" max="2008" width="12.140625" style="3469" customWidth="1"/>
    <col min="2009" max="2009" width="12" style="3469" customWidth="1"/>
    <col min="2010" max="2010" width="17.5703125" style="3469" customWidth="1"/>
    <col min="2011" max="2011" width="16.5703125" style="3469" customWidth="1"/>
    <col min="2012" max="2012" width="12.5703125" style="3469" customWidth="1"/>
    <col min="2013" max="2013" width="24.85546875" style="3469" customWidth="1"/>
    <col min="2014" max="2014" width="25.42578125" style="3469" customWidth="1"/>
    <col min="2015" max="2016" width="13.5703125" style="3469" customWidth="1"/>
    <col min="2017" max="2017" width="18.7109375" style="3469" customWidth="1"/>
    <col min="2018" max="2018" width="24.5703125" style="3469" customWidth="1"/>
    <col min="2019" max="2019" width="18.5703125" style="3469" customWidth="1"/>
    <col min="2020" max="2020" width="13.28515625" style="3469" customWidth="1"/>
    <col min="2021" max="2021" width="13.140625" style="3469" customWidth="1"/>
    <col min="2022" max="2022" width="18.7109375" style="3469" customWidth="1"/>
    <col min="2023" max="2023" width="12.42578125" style="3469" customWidth="1"/>
    <col min="2024" max="2024" width="13.85546875" style="3469" customWidth="1"/>
    <col min="2025" max="2025" width="6.85546875" style="3469" customWidth="1"/>
    <col min="2026" max="2026" width="23" style="3469" customWidth="1"/>
    <col min="2027" max="2028" width="9.140625" style="3469"/>
    <col min="2029" max="2029" width="12.28515625" style="3469" customWidth="1"/>
    <col min="2030" max="2030" width="22" style="3469" customWidth="1"/>
    <col min="2031" max="2033" width="13.28515625" style="3469" bestFit="1" customWidth="1"/>
    <col min="2034" max="2034" width="21.7109375" style="3469" customWidth="1"/>
    <col min="2035" max="2035" width="18.7109375" style="3469" bestFit="1" customWidth="1"/>
    <col min="2036" max="2037" width="19" style="3469" bestFit="1" customWidth="1"/>
    <col min="2038" max="2044" width="13.28515625" style="3469" bestFit="1" customWidth="1"/>
    <col min="2045" max="2045" width="14.140625" style="3469" bestFit="1" customWidth="1"/>
    <col min="2046" max="2047" width="15.7109375" style="3469" bestFit="1" customWidth="1"/>
    <col min="2048" max="2050" width="14.140625" style="3469" bestFit="1" customWidth="1"/>
    <col min="2051" max="2052" width="15.7109375" style="3469" bestFit="1" customWidth="1"/>
    <col min="2053" max="2054" width="14.140625" style="3469" bestFit="1" customWidth="1"/>
    <col min="2055" max="2073" width="9.140625" style="3469"/>
    <col min="2074" max="2074" width="10" style="3469" bestFit="1" customWidth="1"/>
    <col min="2075" max="2234" width="9.140625" style="3469"/>
    <col min="2235" max="2235" width="43.85546875" style="3469" customWidth="1"/>
    <col min="2236" max="2236" width="7.140625" style="3469" customWidth="1"/>
    <col min="2237" max="2237" width="15.5703125" style="3469" customWidth="1"/>
    <col min="2238" max="2238" width="23.140625" style="3469" customWidth="1"/>
    <col min="2239" max="2239" width="15.140625" style="3469" customWidth="1"/>
    <col min="2240" max="2240" width="14.85546875" style="3469" customWidth="1"/>
    <col min="2241" max="2241" width="16.28515625" style="3469" customWidth="1"/>
    <col min="2242" max="2242" width="20.85546875" style="3469" customWidth="1"/>
    <col min="2243" max="2243" width="14.140625" style="3469" customWidth="1"/>
    <col min="2244" max="2244" width="15.7109375" style="3469" bestFit="1" customWidth="1"/>
    <col min="2245" max="2245" width="13.42578125" style="3469" bestFit="1" customWidth="1"/>
    <col min="2246" max="2246" width="17.7109375" style="3469" customWidth="1"/>
    <col min="2247" max="2248" width="13.28515625" style="3469" customWidth="1"/>
    <col min="2249" max="2249" width="11.5703125" style="3469" customWidth="1"/>
    <col min="2250" max="2250" width="16.85546875" style="3469" customWidth="1"/>
    <col min="2251" max="2251" width="13.85546875" style="3469" customWidth="1"/>
    <col min="2252" max="2252" width="15.140625" style="3469" customWidth="1"/>
    <col min="2253" max="2253" width="16.7109375" style="3469" customWidth="1"/>
    <col min="2254" max="2254" width="21.7109375" style="3469" customWidth="1"/>
    <col min="2255" max="2256" width="16.7109375" style="3469" customWidth="1"/>
    <col min="2257" max="2257" width="15" style="3469" customWidth="1"/>
    <col min="2258" max="2258" width="21.7109375" style="3469" customWidth="1"/>
    <col min="2259" max="2259" width="14.140625" style="3469" customWidth="1"/>
    <col min="2260" max="2260" width="13.85546875" style="3469" customWidth="1"/>
    <col min="2261" max="2261" width="12.140625" style="3469" customWidth="1"/>
    <col min="2262" max="2262" width="20.140625" style="3469" customWidth="1"/>
    <col min="2263" max="2263" width="15" style="3469" customWidth="1"/>
    <col min="2264" max="2264" width="12.140625" style="3469" customWidth="1"/>
    <col min="2265" max="2265" width="12" style="3469" customWidth="1"/>
    <col min="2266" max="2266" width="17.5703125" style="3469" customWidth="1"/>
    <col min="2267" max="2267" width="16.5703125" style="3469" customWidth="1"/>
    <col min="2268" max="2268" width="12.5703125" style="3469" customWidth="1"/>
    <col min="2269" max="2269" width="24.85546875" style="3469" customWidth="1"/>
    <col min="2270" max="2270" width="25.42578125" style="3469" customWidth="1"/>
    <col min="2271" max="2272" width="13.5703125" style="3469" customWidth="1"/>
    <col min="2273" max="2273" width="18.7109375" style="3469" customWidth="1"/>
    <col min="2274" max="2274" width="24.5703125" style="3469" customWidth="1"/>
    <col min="2275" max="2275" width="18.5703125" style="3469" customWidth="1"/>
    <col min="2276" max="2276" width="13.28515625" style="3469" customWidth="1"/>
    <col min="2277" max="2277" width="13.140625" style="3469" customWidth="1"/>
    <col min="2278" max="2278" width="18.7109375" style="3469" customWidth="1"/>
    <col min="2279" max="2279" width="12.42578125" style="3469" customWidth="1"/>
    <col min="2280" max="2280" width="13.85546875" style="3469" customWidth="1"/>
    <col min="2281" max="2281" width="6.85546875" style="3469" customWidth="1"/>
    <col min="2282" max="2282" width="23" style="3469" customWidth="1"/>
    <col min="2283" max="2284" width="9.140625" style="3469"/>
    <col min="2285" max="2285" width="12.28515625" style="3469" customWidth="1"/>
    <col min="2286" max="2286" width="22" style="3469" customWidth="1"/>
    <col min="2287" max="2289" width="13.28515625" style="3469" bestFit="1" customWidth="1"/>
    <col min="2290" max="2290" width="21.7109375" style="3469" customWidth="1"/>
    <col min="2291" max="2291" width="18.7109375" style="3469" bestFit="1" customWidth="1"/>
    <col min="2292" max="2293" width="19" style="3469" bestFit="1" customWidth="1"/>
    <col min="2294" max="2300" width="13.28515625" style="3469" bestFit="1" customWidth="1"/>
    <col min="2301" max="2301" width="14.140625" style="3469" bestFit="1" customWidth="1"/>
    <col min="2302" max="2303" width="15.7109375" style="3469" bestFit="1" customWidth="1"/>
    <col min="2304" max="2306" width="14.140625" style="3469" bestFit="1" customWidth="1"/>
    <col min="2307" max="2308" width="15.7109375" style="3469" bestFit="1" customWidth="1"/>
    <col min="2309" max="2310" width="14.140625" style="3469" bestFit="1" customWidth="1"/>
    <col min="2311" max="2329" width="9.140625" style="3469"/>
    <col min="2330" max="2330" width="10" style="3469" bestFit="1" customWidth="1"/>
    <col min="2331" max="2490" width="9.140625" style="3469"/>
    <col min="2491" max="2491" width="43.85546875" style="3469" customWidth="1"/>
    <col min="2492" max="2492" width="7.140625" style="3469" customWidth="1"/>
    <col min="2493" max="2493" width="15.5703125" style="3469" customWidth="1"/>
    <col min="2494" max="2494" width="23.140625" style="3469" customWidth="1"/>
    <col min="2495" max="2495" width="15.140625" style="3469" customWidth="1"/>
    <col min="2496" max="2496" width="14.85546875" style="3469" customWidth="1"/>
    <col min="2497" max="2497" width="16.28515625" style="3469" customWidth="1"/>
    <col min="2498" max="2498" width="20.85546875" style="3469" customWidth="1"/>
    <col min="2499" max="2499" width="14.140625" style="3469" customWidth="1"/>
    <col min="2500" max="2500" width="15.7109375" style="3469" bestFit="1" customWidth="1"/>
    <col min="2501" max="2501" width="13.42578125" style="3469" bestFit="1" customWidth="1"/>
    <col min="2502" max="2502" width="17.7109375" style="3469" customWidth="1"/>
    <col min="2503" max="2504" width="13.28515625" style="3469" customWidth="1"/>
    <col min="2505" max="2505" width="11.5703125" style="3469" customWidth="1"/>
    <col min="2506" max="2506" width="16.85546875" style="3469" customWidth="1"/>
    <col min="2507" max="2507" width="13.85546875" style="3469" customWidth="1"/>
    <col min="2508" max="2508" width="15.140625" style="3469" customWidth="1"/>
    <col min="2509" max="2509" width="16.7109375" style="3469" customWidth="1"/>
    <col min="2510" max="2510" width="21.7109375" style="3469" customWidth="1"/>
    <col min="2511" max="2512" width="16.7109375" style="3469" customWidth="1"/>
    <col min="2513" max="2513" width="15" style="3469" customWidth="1"/>
    <col min="2514" max="2514" width="21.7109375" style="3469" customWidth="1"/>
    <col min="2515" max="2515" width="14.140625" style="3469" customWidth="1"/>
    <col min="2516" max="2516" width="13.85546875" style="3469" customWidth="1"/>
    <col min="2517" max="2517" width="12.140625" style="3469" customWidth="1"/>
    <col min="2518" max="2518" width="20.140625" style="3469" customWidth="1"/>
    <col min="2519" max="2519" width="15" style="3469" customWidth="1"/>
    <col min="2520" max="2520" width="12.140625" style="3469" customWidth="1"/>
    <col min="2521" max="2521" width="12" style="3469" customWidth="1"/>
    <col min="2522" max="2522" width="17.5703125" style="3469" customWidth="1"/>
    <col min="2523" max="2523" width="16.5703125" style="3469" customWidth="1"/>
    <col min="2524" max="2524" width="12.5703125" style="3469" customWidth="1"/>
    <col min="2525" max="2525" width="24.85546875" style="3469" customWidth="1"/>
    <col min="2526" max="2526" width="25.42578125" style="3469" customWidth="1"/>
    <col min="2527" max="2528" width="13.5703125" style="3469" customWidth="1"/>
    <col min="2529" max="2529" width="18.7109375" style="3469" customWidth="1"/>
    <col min="2530" max="2530" width="24.5703125" style="3469" customWidth="1"/>
    <col min="2531" max="2531" width="18.5703125" style="3469" customWidth="1"/>
    <col min="2532" max="2532" width="13.28515625" style="3469" customWidth="1"/>
    <col min="2533" max="2533" width="13.140625" style="3469" customWidth="1"/>
    <col min="2534" max="2534" width="18.7109375" style="3469" customWidth="1"/>
    <col min="2535" max="2535" width="12.42578125" style="3469" customWidth="1"/>
    <col min="2536" max="2536" width="13.85546875" style="3469" customWidth="1"/>
    <col min="2537" max="2537" width="6.85546875" style="3469" customWidth="1"/>
    <col min="2538" max="2538" width="23" style="3469" customWidth="1"/>
    <col min="2539" max="2540" width="9.140625" style="3469"/>
    <col min="2541" max="2541" width="12.28515625" style="3469" customWidth="1"/>
    <col min="2542" max="2542" width="22" style="3469" customWidth="1"/>
    <col min="2543" max="2545" width="13.28515625" style="3469" bestFit="1" customWidth="1"/>
    <col min="2546" max="2546" width="21.7109375" style="3469" customWidth="1"/>
    <col min="2547" max="2547" width="18.7109375" style="3469" bestFit="1" customWidth="1"/>
    <col min="2548" max="2549" width="19" style="3469" bestFit="1" customWidth="1"/>
    <col min="2550" max="2556" width="13.28515625" style="3469" bestFit="1" customWidth="1"/>
    <col min="2557" max="2557" width="14.140625" style="3469" bestFit="1" customWidth="1"/>
    <col min="2558" max="2559" width="15.7109375" style="3469" bestFit="1" customWidth="1"/>
    <col min="2560" max="2562" width="14.140625" style="3469" bestFit="1" customWidth="1"/>
    <col min="2563" max="2564" width="15.7109375" style="3469" bestFit="1" customWidth="1"/>
    <col min="2565" max="2566" width="14.140625" style="3469" bestFit="1" customWidth="1"/>
    <col min="2567" max="2585" width="9.140625" style="3469"/>
    <col min="2586" max="2586" width="10" style="3469" bestFit="1" customWidth="1"/>
    <col min="2587" max="2746" width="9.140625" style="3469"/>
    <col min="2747" max="2747" width="43.85546875" style="3469" customWidth="1"/>
    <col min="2748" max="2748" width="7.140625" style="3469" customWidth="1"/>
    <col min="2749" max="2749" width="15.5703125" style="3469" customWidth="1"/>
    <col min="2750" max="2750" width="23.140625" style="3469" customWidth="1"/>
    <col min="2751" max="2751" width="15.140625" style="3469" customWidth="1"/>
    <col min="2752" max="2752" width="14.85546875" style="3469" customWidth="1"/>
    <col min="2753" max="2753" width="16.28515625" style="3469" customWidth="1"/>
    <col min="2754" max="2754" width="20.85546875" style="3469" customWidth="1"/>
    <col min="2755" max="2755" width="14.140625" style="3469" customWidth="1"/>
    <col min="2756" max="2756" width="15.7109375" style="3469" bestFit="1" customWidth="1"/>
    <col min="2757" max="2757" width="13.42578125" style="3469" bestFit="1" customWidth="1"/>
    <col min="2758" max="2758" width="17.7109375" style="3469" customWidth="1"/>
    <col min="2759" max="2760" width="13.28515625" style="3469" customWidth="1"/>
    <col min="2761" max="2761" width="11.5703125" style="3469" customWidth="1"/>
    <col min="2762" max="2762" width="16.85546875" style="3469" customWidth="1"/>
    <col min="2763" max="2763" width="13.85546875" style="3469" customWidth="1"/>
    <col min="2764" max="2764" width="15.140625" style="3469" customWidth="1"/>
    <col min="2765" max="2765" width="16.7109375" style="3469" customWidth="1"/>
    <col min="2766" max="2766" width="21.7109375" style="3469" customWidth="1"/>
    <col min="2767" max="2768" width="16.7109375" style="3469" customWidth="1"/>
    <col min="2769" max="2769" width="15" style="3469" customWidth="1"/>
    <col min="2770" max="2770" width="21.7109375" style="3469" customWidth="1"/>
    <col min="2771" max="2771" width="14.140625" style="3469" customWidth="1"/>
    <col min="2772" max="2772" width="13.85546875" style="3469" customWidth="1"/>
    <col min="2773" max="2773" width="12.140625" style="3469" customWidth="1"/>
    <col min="2774" max="2774" width="20.140625" style="3469" customWidth="1"/>
    <col min="2775" max="2775" width="15" style="3469" customWidth="1"/>
    <col min="2776" max="2776" width="12.140625" style="3469" customWidth="1"/>
    <col min="2777" max="2777" width="12" style="3469" customWidth="1"/>
    <col min="2778" max="2778" width="17.5703125" style="3469" customWidth="1"/>
    <col min="2779" max="2779" width="16.5703125" style="3469" customWidth="1"/>
    <col min="2780" max="2780" width="12.5703125" style="3469" customWidth="1"/>
    <col min="2781" max="2781" width="24.85546875" style="3469" customWidth="1"/>
    <col min="2782" max="2782" width="25.42578125" style="3469" customWidth="1"/>
    <col min="2783" max="2784" width="13.5703125" style="3469" customWidth="1"/>
    <col min="2785" max="2785" width="18.7109375" style="3469" customWidth="1"/>
    <col min="2786" max="2786" width="24.5703125" style="3469" customWidth="1"/>
    <col min="2787" max="2787" width="18.5703125" style="3469" customWidth="1"/>
    <col min="2788" max="2788" width="13.28515625" style="3469" customWidth="1"/>
    <col min="2789" max="2789" width="13.140625" style="3469" customWidth="1"/>
    <col min="2790" max="2790" width="18.7109375" style="3469" customWidth="1"/>
    <col min="2791" max="2791" width="12.42578125" style="3469" customWidth="1"/>
    <col min="2792" max="2792" width="13.85546875" style="3469" customWidth="1"/>
    <col min="2793" max="2793" width="6.85546875" style="3469" customWidth="1"/>
    <col min="2794" max="2794" width="23" style="3469" customWidth="1"/>
    <col min="2795" max="2796" width="9.140625" style="3469"/>
    <col min="2797" max="2797" width="12.28515625" style="3469" customWidth="1"/>
    <col min="2798" max="2798" width="22" style="3469" customWidth="1"/>
    <col min="2799" max="2801" width="13.28515625" style="3469" bestFit="1" customWidth="1"/>
    <col min="2802" max="2802" width="21.7109375" style="3469" customWidth="1"/>
    <col min="2803" max="2803" width="18.7109375" style="3469" bestFit="1" customWidth="1"/>
    <col min="2804" max="2805" width="19" style="3469" bestFit="1" customWidth="1"/>
    <col min="2806" max="2812" width="13.28515625" style="3469" bestFit="1" customWidth="1"/>
    <col min="2813" max="2813" width="14.140625" style="3469" bestFit="1" customWidth="1"/>
    <col min="2814" max="2815" width="15.7109375" style="3469" bestFit="1" customWidth="1"/>
    <col min="2816" max="2818" width="14.140625" style="3469" bestFit="1" customWidth="1"/>
    <col min="2819" max="2820" width="15.7109375" style="3469" bestFit="1" customWidth="1"/>
    <col min="2821" max="2822" width="14.140625" style="3469" bestFit="1" customWidth="1"/>
    <col min="2823" max="2841" width="9.140625" style="3469"/>
    <col min="2842" max="2842" width="10" style="3469" bestFit="1" customWidth="1"/>
    <col min="2843" max="3002" width="9.140625" style="3469"/>
    <col min="3003" max="3003" width="43.85546875" style="3469" customWidth="1"/>
    <col min="3004" max="3004" width="7.140625" style="3469" customWidth="1"/>
    <col min="3005" max="3005" width="15.5703125" style="3469" customWidth="1"/>
    <col min="3006" max="3006" width="23.140625" style="3469" customWidth="1"/>
    <col min="3007" max="3007" width="15.140625" style="3469" customWidth="1"/>
    <col min="3008" max="3008" width="14.85546875" style="3469" customWidth="1"/>
    <col min="3009" max="3009" width="16.28515625" style="3469" customWidth="1"/>
    <col min="3010" max="3010" width="20.85546875" style="3469" customWidth="1"/>
    <col min="3011" max="3011" width="14.140625" style="3469" customWidth="1"/>
    <col min="3012" max="3012" width="15.7109375" style="3469" bestFit="1" customWidth="1"/>
    <col min="3013" max="3013" width="13.42578125" style="3469" bestFit="1" customWidth="1"/>
    <col min="3014" max="3014" width="17.7109375" style="3469" customWidth="1"/>
    <col min="3015" max="3016" width="13.28515625" style="3469" customWidth="1"/>
    <col min="3017" max="3017" width="11.5703125" style="3469" customWidth="1"/>
    <col min="3018" max="3018" width="16.85546875" style="3469" customWidth="1"/>
    <col min="3019" max="3019" width="13.85546875" style="3469" customWidth="1"/>
    <col min="3020" max="3020" width="15.140625" style="3469" customWidth="1"/>
    <col min="3021" max="3021" width="16.7109375" style="3469" customWidth="1"/>
    <col min="3022" max="3022" width="21.7109375" style="3469" customWidth="1"/>
    <col min="3023" max="3024" width="16.7109375" style="3469" customWidth="1"/>
    <col min="3025" max="3025" width="15" style="3469" customWidth="1"/>
    <col min="3026" max="3026" width="21.7109375" style="3469" customWidth="1"/>
    <col min="3027" max="3027" width="14.140625" style="3469" customWidth="1"/>
    <col min="3028" max="3028" width="13.85546875" style="3469" customWidth="1"/>
    <col min="3029" max="3029" width="12.140625" style="3469" customWidth="1"/>
    <col min="3030" max="3030" width="20.140625" style="3469" customWidth="1"/>
    <col min="3031" max="3031" width="15" style="3469" customWidth="1"/>
    <col min="3032" max="3032" width="12.140625" style="3469" customWidth="1"/>
    <col min="3033" max="3033" width="12" style="3469" customWidth="1"/>
    <col min="3034" max="3034" width="17.5703125" style="3469" customWidth="1"/>
    <col min="3035" max="3035" width="16.5703125" style="3469" customWidth="1"/>
    <col min="3036" max="3036" width="12.5703125" style="3469" customWidth="1"/>
    <col min="3037" max="3037" width="24.85546875" style="3469" customWidth="1"/>
    <col min="3038" max="3038" width="25.42578125" style="3469" customWidth="1"/>
    <col min="3039" max="3040" width="13.5703125" style="3469" customWidth="1"/>
    <col min="3041" max="3041" width="18.7109375" style="3469" customWidth="1"/>
    <col min="3042" max="3042" width="24.5703125" style="3469" customWidth="1"/>
    <col min="3043" max="3043" width="18.5703125" style="3469" customWidth="1"/>
    <col min="3044" max="3044" width="13.28515625" style="3469" customWidth="1"/>
    <col min="3045" max="3045" width="13.140625" style="3469" customWidth="1"/>
    <col min="3046" max="3046" width="18.7109375" style="3469" customWidth="1"/>
    <col min="3047" max="3047" width="12.42578125" style="3469" customWidth="1"/>
    <col min="3048" max="3048" width="13.85546875" style="3469" customWidth="1"/>
    <col min="3049" max="3049" width="6.85546875" style="3469" customWidth="1"/>
    <col min="3050" max="3050" width="23" style="3469" customWidth="1"/>
    <col min="3051" max="3052" width="9.140625" style="3469"/>
    <col min="3053" max="3053" width="12.28515625" style="3469" customWidth="1"/>
    <col min="3054" max="3054" width="22" style="3469" customWidth="1"/>
    <col min="3055" max="3057" width="13.28515625" style="3469" bestFit="1" customWidth="1"/>
    <col min="3058" max="3058" width="21.7109375" style="3469" customWidth="1"/>
    <col min="3059" max="3059" width="18.7109375" style="3469" bestFit="1" customWidth="1"/>
    <col min="3060" max="3061" width="19" style="3469" bestFit="1" customWidth="1"/>
    <col min="3062" max="3068" width="13.28515625" style="3469" bestFit="1" customWidth="1"/>
    <col min="3069" max="3069" width="14.140625" style="3469" bestFit="1" customWidth="1"/>
    <col min="3070" max="3071" width="15.7109375" style="3469" bestFit="1" customWidth="1"/>
    <col min="3072" max="3074" width="14.140625" style="3469" bestFit="1" customWidth="1"/>
    <col min="3075" max="3076" width="15.7109375" style="3469" bestFit="1" customWidth="1"/>
    <col min="3077" max="3078" width="14.140625" style="3469" bestFit="1" customWidth="1"/>
    <col min="3079" max="3097" width="9.140625" style="3469"/>
    <col min="3098" max="3098" width="10" style="3469" bestFit="1" customWidth="1"/>
    <col min="3099" max="3258" width="9.140625" style="3469"/>
    <col min="3259" max="3259" width="43.85546875" style="3469" customWidth="1"/>
    <col min="3260" max="3260" width="7.140625" style="3469" customWidth="1"/>
    <col min="3261" max="3261" width="15.5703125" style="3469" customWidth="1"/>
    <col min="3262" max="3262" width="23.140625" style="3469" customWidth="1"/>
    <col min="3263" max="3263" width="15.140625" style="3469" customWidth="1"/>
    <col min="3264" max="3264" width="14.85546875" style="3469" customWidth="1"/>
    <col min="3265" max="3265" width="16.28515625" style="3469" customWidth="1"/>
    <col min="3266" max="3266" width="20.85546875" style="3469" customWidth="1"/>
    <col min="3267" max="3267" width="14.140625" style="3469" customWidth="1"/>
    <col min="3268" max="3268" width="15.7109375" style="3469" bestFit="1" customWidth="1"/>
    <col min="3269" max="3269" width="13.42578125" style="3469" bestFit="1" customWidth="1"/>
    <col min="3270" max="3270" width="17.7109375" style="3469" customWidth="1"/>
    <col min="3271" max="3272" width="13.28515625" style="3469" customWidth="1"/>
    <col min="3273" max="3273" width="11.5703125" style="3469" customWidth="1"/>
    <col min="3274" max="3274" width="16.85546875" style="3469" customWidth="1"/>
    <col min="3275" max="3275" width="13.85546875" style="3469" customWidth="1"/>
    <col min="3276" max="3276" width="15.140625" style="3469" customWidth="1"/>
    <col min="3277" max="3277" width="16.7109375" style="3469" customWidth="1"/>
    <col min="3278" max="3278" width="21.7109375" style="3469" customWidth="1"/>
    <col min="3279" max="3280" width="16.7109375" style="3469" customWidth="1"/>
    <col min="3281" max="3281" width="15" style="3469" customWidth="1"/>
    <col min="3282" max="3282" width="21.7109375" style="3469" customWidth="1"/>
    <col min="3283" max="3283" width="14.140625" style="3469" customWidth="1"/>
    <col min="3284" max="3284" width="13.85546875" style="3469" customWidth="1"/>
    <col min="3285" max="3285" width="12.140625" style="3469" customWidth="1"/>
    <col min="3286" max="3286" width="20.140625" style="3469" customWidth="1"/>
    <col min="3287" max="3287" width="15" style="3469" customWidth="1"/>
    <col min="3288" max="3288" width="12.140625" style="3469" customWidth="1"/>
    <col min="3289" max="3289" width="12" style="3469" customWidth="1"/>
    <col min="3290" max="3290" width="17.5703125" style="3469" customWidth="1"/>
    <col min="3291" max="3291" width="16.5703125" style="3469" customWidth="1"/>
    <col min="3292" max="3292" width="12.5703125" style="3469" customWidth="1"/>
    <col min="3293" max="3293" width="24.85546875" style="3469" customWidth="1"/>
    <col min="3294" max="3294" width="25.42578125" style="3469" customWidth="1"/>
    <col min="3295" max="3296" width="13.5703125" style="3469" customWidth="1"/>
    <col min="3297" max="3297" width="18.7109375" style="3469" customWidth="1"/>
    <col min="3298" max="3298" width="24.5703125" style="3469" customWidth="1"/>
    <col min="3299" max="3299" width="18.5703125" style="3469" customWidth="1"/>
    <col min="3300" max="3300" width="13.28515625" style="3469" customWidth="1"/>
    <col min="3301" max="3301" width="13.140625" style="3469" customWidth="1"/>
    <col min="3302" max="3302" width="18.7109375" style="3469" customWidth="1"/>
    <col min="3303" max="3303" width="12.42578125" style="3469" customWidth="1"/>
    <col min="3304" max="3304" width="13.85546875" style="3469" customWidth="1"/>
    <col min="3305" max="3305" width="6.85546875" style="3469" customWidth="1"/>
    <col min="3306" max="3306" width="23" style="3469" customWidth="1"/>
    <col min="3307" max="3308" width="9.140625" style="3469"/>
    <col min="3309" max="3309" width="12.28515625" style="3469" customWidth="1"/>
    <col min="3310" max="3310" width="22" style="3469" customWidth="1"/>
    <col min="3311" max="3313" width="13.28515625" style="3469" bestFit="1" customWidth="1"/>
    <col min="3314" max="3314" width="21.7109375" style="3469" customWidth="1"/>
    <col min="3315" max="3315" width="18.7109375" style="3469" bestFit="1" customWidth="1"/>
    <col min="3316" max="3317" width="19" style="3469" bestFit="1" customWidth="1"/>
    <col min="3318" max="3324" width="13.28515625" style="3469" bestFit="1" customWidth="1"/>
    <col min="3325" max="3325" width="14.140625" style="3469" bestFit="1" customWidth="1"/>
    <col min="3326" max="3327" width="15.7109375" style="3469" bestFit="1" customWidth="1"/>
    <col min="3328" max="3330" width="14.140625" style="3469" bestFit="1" customWidth="1"/>
    <col min="3331" max="3332" width="15.7109375" style="3469" bestFit="1" customWidth="1"/>
    <col min="3333" max="3334" width="14.140625" style="3469" bestFit="1" customWidth="1"/>
    <col min="3335" max="3353" width="9.140625" style="3469"/>
    <col min="3354" max="3354" width="10" style="3469" bestFit="1" customWidth="1"/>
    <col min="3355" max="3514" width="9.140625" style="3469"/>
    <col min="3515" max="3515" width="43.85546875" style="3469" customWidth="1"/>
    <col min="3516" max="3516" width="7.140625" style="3469" customWidth="1"/>
    <col min="3517" max="3517" width="15.5703125" style="3469" customWidth="1"/>
    <col min="3518" max="3518" width="23.140625" style="3469" customWidth="1"/>
    <col min="3519" max="3519" width="15.140625" style="3469" customWidth="1"/>
    <col min="3520" max="3520" width="14.85546875" style="3469" customWidth="1"/>
    <col min="3521" max="3521" width="16.28515625" style="3469" customWidth="1"/>
    <col min="3522" max="3522" width="20.85546875" style="3469" customWidth="1"/>
    <col min="3523" max="3523" width="14.140625" style="3469" customWidth="1"/>
    <col min="3524" max="3524" width="15.7109375" style="3469" bestFit="1" customWidth="1"/>
    <col min="3525" max="3525" width="13.42578125" style="3469" bestFit="1" customWidth="1"/>
    <col min="3526" max="3526" width="17.7109375" style="3469" customWidth="1"/>
    <col min="3527" max="3528" width="13.28515625" style="3469" customWidth="1"/>
    <col min="3529" max="3529" width="11.5703125" style="3469" customWidth="1"/>
    <col min="3530" max="3530" width="16.85546875" style="3469" customWidth="1"/>
    <col min="3531" max="3531" width="13.85546875" style="3469" customWidth="1"/>
    <col min="3532" max="3532" width="15.140625" style="3469" customWidth="1"/>
    <col min="3533" max="3533" width="16.7109375" style="3469" customWidth="1"/>
    <col min="3534" max="3534" width="21.7109375" style="3469" customWidth="1"/>
    <col min="3535" max="3536" width="16.7109375" style="3469" customWidth="1"/>
    <col min="3537" max="3537" width="15" style="3469" customWidth="1"/>
    <col min="3538" max="3538" width="21.7109375" style="3469" customWidth="1"/>
    <col min="3539" max="3539" width="14.140625" style="3469" customWidth="1"/>
    <col min="3540" max="3540" width="13.85546875" style="3469" customWidth="1"/>
    <col min="3541" max="3541" width="12.140625" style="3469" customWidth="1"/>
    <col min="3542" max="3542" width="20.140625" style="3469" customWidth="1"/>
    <col min="3543" max="3543" width="15" style="3469" customWidth="1"/>
    <col min="3544" max="3544" width="12.140625" style="3469" customWidth="1"/>
    <col min="3545" max="3545" width="12" style="3469" customWidth="1"/>
    <col min="3546" max="3546" width="17.5703125" style="3469" customWidth="1"/>
    <col min="3547" max="3547" width="16.5703125" style="3469" customWidth="1"/>
    <col min="3548" max="3548" width="12.5703125" style="3469" customWidth="1"/>
    <col min="3549" max="3549" width="24.85546875" style="3469" customWidth="1"/>
    <col min="3550" max="3550" width="25.42578125" style="3469" customWidth="1"/>
    <col min="3551" max="3552" width="13.5703125" style="3469" customWidth="1"/>
    <col min="3553" max="3553" width="18.7109375" style="3469" customWidth="1"/>
    <col min="3554" max="3554" width="24.5703125" style="3469" customWidth="1"/>
    <col min="3555" max="3555" width="18.5703125" style="3469" customWidth="1"/>
    <col min="3556" max="3556" width="13.28515625" style="3469" customWidth="1"/>
    <col min="3557" max="3557" width="13.140625" style="3469" customWidth="1"/>
    <col min="3558" max="3558" width="18.7109375" style="3469" customWidth="1"/>
    <col min="3559" max="3559" width="12.42578125" style="3469" customWidth="1"/>
    <col min="3560" max="3560" width="13.85546875" style="3469" customWidth="1"/>
    <col min="3561" max="3561" width="6.85546875" style="3469" customWidth="1"/>
    <col min="3562" max="3562" width="23" style="3469" customWidth="1"/>
    <col min="3563" max="3564" width="9.140625" style="3469"/>
    <col min="3565" max="3565" width="12.28515625" style="3469" customWidth="1"/>
    <col min="3566" max="3566" width="22" style="3469" customWidth="1"/>
    <col min="3567" max="3569" width="13.28515625" style="3469" bestFit="1" customWidth="1"/>
    <col min="3570" max="3570" width="21.7109375" style="3469" customWidth="1"/>
    <col min="3571" max="3571" width="18.7109375" style="3469" bestFit="1" customWidth="1"/>
    <col min="3572" max="3573" width="19" style="3469" bestFit="1" customWidth="1"/>
    <col min="3574" max="3580" width="13.28515625" style="3469" bestFit="1" customWidth="1"/>
    <col min="3581" max="3581" width="14.140625" style="3469" bestFit="1" customWidth="1"/>
    <col min="3582" max="3583" width="15.7109375" style="3469" bestFit="1" customWidth="1"/>
    <col min="3584" max="3586" width="14.140625" style="3469" bestFit="1" customWidth="1"/>
    <col min="3587" max="3588" width="15.7109375" style="3469" bestFit="1" customWidth="1"/>
    <col min="3589" max="3590" width="14.140625" style="3469" bestFit="1" customWidth="1"/>
    <col min="3591" max="3609" width="9.140625" style="3469"/>
    <col min="3610" max="3610" width="10" style="3469" bestFit="1" customWidth="1"/>
    <col min="3611" max="3770" width="9.140625" style="3469"/>
    <col min="3771" max="3771" width="43.85546875" style="3469" customWidth="1"/>
    <col min="3772" max="3772" width="7.140625" style="3469" customWidth="1"/>
    <col min="3773" max="3773" width="15.5703125" style="3469" customWidth="1"/>
    <col min="3774" max="3774" width="23.140625" style="3469" customWidth="1"/>
    <col min="3775" max="3775" width="15.140625" style="3469" customWidth="1"/>
    <col min="3776" max="3776" width="14.85546875" style="3469" customWidth="1"/>
    <col min="3777" max="3777" width="16.28515625" style="3469" customWidth="1"/>
    <col min="3778" max="3778" width="20.85546875" style="3469" customWidth="1"/>
    <col min="3779" max="3779" width="14.140625" style="3469" customWidth="1"/>
    <col min="3780" max="3780" width="15.7109375" style="3469" bestFit="1" customWidth="1"/>
    <col min="3781" max="3781" width="13.42578125" style="3469" bestFit="1" customWidth="1"/>
    <col min="3782" max="3782" width="17.7109375" style="3469" customWidth="1"/>
    <col min="3783" max="3784" width="13.28515625" style="3469" customWidth="1"/>
    <col min="3785" max="3785" width="11.5703125" style="3469" customWidth="1"/>
    <col min="3786" max="3786" width="16.85546875" style="3469" customWidth="1"/>
    <col min="3787" max="3787" width="13.85546875" style="3469" customWidth="1"/>
    <col min="3788" max="3788" width="15.140625" style="3469" customWidth="1"/>
    <col min="3789" max="3789" width="16.7109375" style="3469" customWidth="1"/>
    <col min="3790" max="3790" width="21.7109375" style="3469" customWidth="1"/>
    <col min="3791" max="3792" width="16.7109375" style="3469" customWidth="1"/>
    <col min="3793" max="3793" width="15" style="3469" customWidth="1"/>
    <col min="3794" max="3794" width="21.7109375" style="3469" customWidth="1"/>
    <col min="3795" max="3795" width="14.140625" style="3469" customWidth="1"/>
    <col min="3796" max="3796" width="13.85546875" style="3469" customWidth="1"/>
    <col min="3797" max="3797" width="12.140625" style="3469" customWidth="1"/>
    <col min="3798" max="3798" width="20.140625" style="3469" customWidth="1"/>
    <col min="3799" max="3799" width="15" style="3469" customWidth="1"/>
    <col min="3800" max="3800" width="12.140625" style="3469" customWidth="1"/>
    <col min="3801" max="3801" width="12" style="3469" customWidth="1"/>
    <col min="3802" max="3802" width="17.5703125" style="3469" customWidth="1"/>
    <col min="3803" max="3803" width="16.5703125" style="3469" customWidth="1"/>
    <col min="3804" max="3804" width="12.5703125" style="3469" customWidth="1"/>
    <col min="3805" max="3805" width="24.85546875" style="3469" customWidth="1"/>
    <col min="3806" max="3806" width="25.42578125" style="3469" customWidth="1"/>
    <col min="3807" max="3808" width="13.5703125" style="3469" customWidth="1"/>
    <col min="3809" max="3809" width="18.7109375" style="3469" customWidth="1"/>
    <col min="3810" max="3810" width="24.5703125" style="3469" customWidth="1"/>
    <col min="3811" max="3811" width="18.5703125" style="3469" customWidth="1"/>
    <col min="3812" max="3812" width="13.28515625" style="3469" customWidth="1"/>
    <col min="3813" max="3813" width="13.140625" style="3469" customWidth="1"/>
    <col min="3814" max="3814" width="18.7109375" style="3469" customWidth="1"/>
    <col min="3815" max="3815" width="12.42578125" style="3469" customWidth="1"/>
    <col min="3816" max="3816" width="13.85546875" style="3469" customWidth="1"/>
    <col min="3817" max="3817" width="6.85546875" style="3469" customWidth="1"/>
    <col min="3818" max="3818" width="23" style="3469" customWidth="1"/>
    <col min="3819" max="3820" width="9.140625" style="3469"/>
    <col min="3821" max="3821" width="12.28515625" style="3469" customWidth="1"/>
    <col min="3822" max="3822" width="22" style="3469" customWidth="1"/>
    <col min="3823" max="3825" width="13.28515625" style="3469" bestFit="1" customWidth="1"/>
    <col min="3826" max="3826" width="21.7109375" style="3469" customWidth="1"/>
    <col min="3827" max="3827" width="18.7109375" style="3469" bestFit="1" customWidth="1"/>
    <col min="3828" max="3829" width="19" style="3469" bestFit="1" customWidth="1"/>
    <col min="3830" max="3836" width="13.28515625" style="3469" bestFit="1" customWidth="1"/>
    <col min="3837" max="3837" width="14.140625" style="3469" bestFit="1" customWidth="1"/>
    <col min="3838" max="3839" width="15.7109375" style="3469" bestFit="1" customWidth="1"/>
    <col min="3840" max="3842" width="14.140625" style="3469" bestFit="1" customWidth="1"/>
    <col min="3843" max="3844" width="15.7109375" style="3469" bestFit="1" customWidth="1"/>
    <col min="3845" max="3846" width="14.140625" style="3469" bestFit="1" customWidth="1"/>
    <col min="3847" max="3865" width="9.140625" style="3469"/>
    <col min="3866" max="3866" width="10" style="3469" bestFit="1" customWidth="1"/>
    <col min="3867" max="4026" width="9.140625" style="3469"/>
    <col min="4027" max="4027" width="43.85546875" style="3469" customWidth="1"/>
    <col min="4028" max="4028" width="7.140625" style="3469" customWidth="1"/>
    <col min="4029" max="4029" width="15.5703125" style="3469" customWidth="1"/>
    <col min="4030" max="4030" width="23.140625" style="3469" customWidth="1"/>
    <col min="4031" max="4031" width="15.140625" style="3469" customWidth="1"/>
    <col min="4032" max="4032" width="14.85546875" style="3469" customWidth="1"/>
    <col min="4033" max="4033" width="16.28515625" style="3469" customWidth="1"/>
    <col min="4034" max="4034" width="20.85546875" style="3469" customWidth="1"/>
    <col min="4035" max="4035" width="14.140625" style="3469" customWidth="1"/>
    <col min="4036" max="4036" width="15.7109375" style="3469" bestFit="1" customWidth="1"/>
    <col min="4037" max="4037" width="13.42578125" style="3469" bestFit="1" customWidth="1"/>
    <col min="4038" max="4038" width="17.7109375" style="3469" customWidth="1"/>
    <col min="4039" max="4040" width="13.28515625" style="3469" customWidth="1"/>
    <col min="4041" max="4041" width="11.5703125" style="3469" customWidth="1"/>
    <col min="4042" max="4042" width="16.85546875" style="3469" customWidth="1"/>
    <col min="4043" max="4043" width="13.85546875" style="3469" customWidth="1"/>
    <col min="4044" max="4044" width="15.140625" style="3469" customWidth="1"/>
    <col min="4045" max="4045" width="16.7109375" style="3469" customWidth="1"/>
    <col min="4046" max="4046" width="21.7109375" style="3469" customWidth="1"/>
    <col min="4047" max="4048" width="16.7109375" style="3469" customWidth="1"/>
    <col min="4049" max="4049" width="15" style="3469" customWidth="1"/>
    <col min="4050" max="4050" width="21.7109375" style="3469" customWidth="1"/>
    <col min="4051" max="4051" width="14.140625" style="3469" customWidth="1"/>
    <col min="4052" max="4052" width="13.85546875" style="3469" customWidth="1"/>
    <col min="4053" max="4053" width="12.140625" style="3469" customWidth="1"/>
    <col min="4054" max="4054" width="20.140625" style="3469" customWidth="1"/>
    <col min="4055" max="4055" width="15" style="3469" customWidth="1"/>
    <col min="4056" max="4056" width="12.140625" style="3469" customWidth="1"/>
    <col min="4057" max="4057" width="12" style="3469" customWidth="1"/>
    <col min="4058" max="4058" width="17.5703125" style="3469" customWidth="1"/>
    <col min="4059" max="4059" width="16.5703125" style="3469" customWidth="1"/>
    <col min="4060" max="4060" width="12.5703125" style="3469" customWidth="1"/>
    <col min="4061" max="4061" width="24.85546875" style="3469" customWidth="1"/>
    <col min="4062" max="4062" width="25.42578125" style="3469" customWidth="1"/>
    <col min="4063" max="4064" width="13.5703125" style="3469" customWidth="1"/>
    <col min="4065" max="4065" width="18.7109375" style="3469" customWidth="1"/>
    <col min="4066" max="4066" width="24.5703125" style="3469" customWidth="1"/>
    <col min="4067" max="4067" width="18.5703125" style="3469" customWidth="1"/>
    <col min="4068" max="4068" width="13.28515625" style="3469" customWidth="1"/>
    <col min="4069" max="4069" width="13.140625" style="3469" customWidth="1"/>
    <col min="4070" max="4070" width="18.7109375" style="3469" customWidth="1"/>
    <col min="4071" max="4071" width="12.42578125" style="3469" customWidth="1"/>
    <col min="4072" max="4072" width="13.85546875" style="3469" customWidth="1"/>
    <col min="4073" max="4073" width="6.85546875" style="3469" customWidth="1"/>
    <col min="4074" max="4074" width="23" style="3469" customWidth="1"/>
    <col min="4075" max="4076" width="9.140625" style="3469"/>
    <col min="4077" max="4077" width="12.28515625" style="3469" customWidth="1"/>
    <col min="4078" max="4078" width="22" style="3469" customWidth="1"/>
    <col min="4079" max="4081" width="13.28515625" style="3469" bestFit="1" customWidth="1"/>
    <col min="4082" max="4082" width="21.7109375" style="3469" customWidth="1"/>
    <col min="4083" max="4083" width="18.7109375" style="3469" bestFit="1" customWidth="1"/>
    <col min="4084" max="4085" width="19" style="3469" bestFit="1" customWidth="1"/>
    <col min="4086" max="4092" width="13.28515625" style="3469" bestFit="1" customWidth="1"/>
    <col min="4093" max="4093" width="14.140625" style="3469" bestFit="1" customWidth="1"/>
    <col min="4094" max="4095" width="15.7109375" style="3469" bestFit="1" customWidth="1"/>
    <col min="4096" max="4098" width="14.140625" style="3469" bestFit="1" customWidth="1"/>
    <col min="4099" max="4100" width="15.7109375" style="3469" bestFit="1" customWidth="1"/>
    <col min="4101" max="4102" width="14.140625" style="3469" bestFit="1" customWidth="1"/>
    <col min="4103" max="4121" width="9.140625" style="3469"/>
    <col min="4122" max="4122" width="10" style="3469" bestFit="1" customWidth="1"/>
    <col min="4123" max="4282" width="9.140625" style="3469"/>
    <col min="4283" max="4283" width="43.85546875" style="3469" customWidth="1"/>
    <col min="4284" max="4284" width="7.140625" style="3469" customWidth="1"/>
    <col min="4285" max="4285" width="15.5703125" style="3469" customWidth="1"/>
    <col min="4286" max="4286" width="23.140625" style="3469" customWidth="1"/>
    <col min="4287" max="4287" width="15.140625" style="3469" customWidth="1"/>
    <col min="4288" max="4288" width="14.85546875" style="3469" customWidth="1"/>
    <col min="4289" max="4289" width="16.28515625" style="3469" customWidth="1"/>
    <col min="4290" max="4290" width="20.85546875" style="3469" customWidth="1"/>
    <col min="4291" max="4291" width="14.140625" style="3469" customWidth="1"/>
    <col min="4292" max="4292" width="15.7109375" style="3469" bestFit="1" customWidth="1"/>
    <col min="4293" max="4293" width="13.42578125" style="3469" bestFit="1" customWidth="1"/>
    <col min="4294" max="4294" width="17.7109375" style="3469" customWidth="1"/>
    <col min="4295" max="4296" width="13.28515625" style="3469" customWidth="1"/>
    <col min="4297" max="4297" width="11.5703125" style="3469" customWidth="1"/>
    <col min="4298" max="4298" width="16.85546875" style="3469" customWidth="1"/>
    <col min="4299" max="4299" width="13.85546875" style="3469" customWidth="1"/>
    <col min="4300" max="4300" width="15.140625" style="3469" customWidth="1"/>
    <col min="4301" max="4301" width="16.7109375" style="3469" customWidth="1"/>
    <col min="4302" max="4302" width="21.7109375" style="3469" customWidth="1"/>
    <col min="4303" max="4304" width="16.7109375" style="3469" customWidth="1"/>
    <col min="4305" max="4305" width="15" style="3469" customWidth="1"/>
    <col min="4306" max="4306" width="21.7109375" style="3469" customWidth="1"/>
    <col min="4307" max="4307" width="14.140625" style="3469" customWidth="1"/>
    <col min="4308" max="4308" width="13.85546875" style="3469" customWidth="1"/>
    <col min="4309" max="4309" width="12.140625" style="3469" customWidth="1"/>
    <col min="4310" max="4310" width="20.140625" style="3469" customWidth="1"/>
    <col min="4311" max="4311" width="15" style="3469" customWidth="1"/>
    <col min="4312" max="4312" width="12.140625" style="3469" customWidth="1"/>
    <col min="4313" max="4313" width="12" style="3469" customWidth="1"/>
    <col min="4314" max="4314" width="17.5703125" style="3469" customWidth="1"/>
    <col min="4315" max="4315" width="16.5703125" style="3469" customWidth="1"/>
    <col min="4316" max="4316" width="12.5703125" style="3469" customWidth="1"/>
    <col min="4317" max="4317" width="24.85546875" style="3469" customWidth="1"/>
    <col min="4318" max="4318" width="25.42578125" style="3469" customWidth="1"/>
    <col min="4319" max="4320" width="13.5703125" style="3469" customWidth="1"/>
    <col min="4321" max="4321" width="18.7109375" style="3469" customWidth="1"/>
    <col min="4322" max="4322" width="24.5703125" style="3469" customWidth="1"/>
    <col min="4323" max="4323" width="18.5703125" style="3469" customWidth="1"/>
    <col min="4324" max="4324" width="13.28515625" style="3469" customWidth="1"/>
    <col min="4325" max="4325" width="13.140625" style="3469" customWidth="1"/>
    <col min="4326" max="4326" width="18.7109375" style="3469" customWidth="1"/>
    <col min="4327" max="4327" width="12.42578125" style="3469" customWidth="1"/>
    <col min="4328" max="4328" width="13.85546875" style="3469" customWidth="1"/>
    <col min="4329" max="4329" width="6.85546875" style="3469" customWidth="1"/>
    <col min="4330" max="4330" width="23" style="3469" customWidth="1"/>
    <col min="4331" max="4332" width="9.140625" style="3469"/>
    <col min="4333" max="4333" width="12.28515625" style="3469" customWidth="1"/>
    <col min="4334" max="4334" width="22" style="3469" customWidth="1"/>
    <col min="4335" max="4337" width="13.28515625" style="3469" bestFit="1" customWidth="1"/>
    <col min="4338" max="4338" width="21.7109375" style="3469" customWidth="1"/>
    <col min="4339" max="4339" width="18.7109375" style="3469" bestFit="1" customWidth="1"/>
    <col min="4340" max="4341" width="19" style="3469" bestFit="1" customWidth="1"/>
    <col min="4342" max="4348" width="13.28515625" style="3469" bestFit="1" customWidth="1"/>
    <col min="4349" max="4349" width="14.140625" style="3469" bestFit="1" customWidth="1"/>
    <col min="4350" max="4351" width="15.7109375" style="3469" bestFit="1" customWidth="1"/>
    <col min="4352" max="4354" width="14.140625" style="3469" bestFit="1" customWidth="1"/>
    <col min="4355" max="4356" width="15.7109375" style="3469" bestFit="1" customWidth="1"/>
    <col min="4357" max="4358" width="14.140625" style="3469" bestFit="1" customWidth="1"/>
    <col min="4359" max="4377" width="9.140625" style="3469"/>
    <col min="4378" max="4378" width="10" style="3469" bestFit="1" customWidth="1"/>
    <col min="4379" max="4538" width="9.140625" style="3469"/>
    <col min="4539" max="4539" width="43.85546875" style="3469" customWidth="1"/>
    <col min="4540" max="4540" width="7.140625" style="3469" customWidth="1"/>
    <col min="4541" max="4541" width="15.5703125" style="3469" customWidth="1"/>
    <col min="4542" max="4542" width="23.140625" style="3469" customWidth="1"/>
    <col min="4543" max="4543" width="15.140625" style="3469" customWidth="1"/>
    <col min="4544" max="4544" width="14.85546875" style="3469" customWidth="1"/>
    <col min="4545" max="4545" width="16.28515625" style="3469" customWidth="1"/>
    <col min="4546" max="4546" width="20.85546875" style="3469" customWidth="1"/>
    <col min="4547" max="4547" width="14.140625" style="3469" customWidth="1"/>
    <col min="4548" max="4548" width="15.7109375" style="3469" bestFit="1" customWidth="1"/>
    <col min="4549" max="4549" width="13.42578125" style="3469" bestFit="1" customWidth="1"/>
    <col min="4550" max="4550" width="17.7109375" style="3469" customWidth="1"/>
    <col min="4551" max="4552" width="13.28515625" style="3469" customWidth="1"/>
    <col min="4553" max="4553" width="11.5703125" style="3469" customWidth="1"/>
    <col min="4554" max="4554" width="16.85546875" style="3469" customWidth="1"/>
    <col min="4555" max="4555" width="13.85546875" style="3469" customWidth="1"/>
    <col min="4556" max="4556" width="15.140625" style="3469" customWidth="1"/>
    <col min="4557" max="4557" width="16.7109375" style="3469" customWidth="1"/>
    <col min="4558" max="4558" width="21.7109375" style="3469" customWidth="1"/>
    <col min="4559" max="4560" width="16.7109375" style="3469" customWidth="1"/>
    <col min="4561" max="4561" width="15" style="3469" customWidth="1"/>
    <col min="4562" max="4562" width="21.7109375" style="3469" customWidth="1"/>
    <col min="4563" max="4563" width="14.140625" style="3469" customWidth="1"/>
    <col min="4564" max="4564" width="13.85546875" style="3469" customWidth="1"/>
    <col min="4565" max="4565" width="12.140625" style="3469" customWidth="1"/>
    <col min="4566" max="4566" width="20.140625" style="3469" customWidth="1"/>
    <col min="4567" max="4567" width="15" style="3469" customWidth="1"/>
    <col min="4568" max="4568" width="12.140625" style="3469" customWidth="1"/>
    <col min="4569" max="4569" width="12" style="3469" customWidth="1"/>
    <col min="4570" max="4570" width="17.5703125" style="3469" customWidth="1"/>
    <col min="4571" max="4571" width="16.5703125" style="3469" customWidth="1"/>
    <col min="4572" max="4572" width="12.5703125" style="3469" customWidth="1"/>
    <col min="4573" max="4573" width="24.85546875" style="3469" customWidth="1"/>
    <col min="4574" max="4574" width="25.42578125" style="3469" customWidth="1"/>
    <col min="4575" max="4576" width="13.5703125" style="3469" customWidth="1"/>
    <col min="4577" max="4577" width="18.7109375" style="3469" customWidth="1"/>
    <col min="4578" max="4578" width="24.5703125" style="3469" customWidth="1"/>
    <col min="4579" max="4579" width="18.5703125" style="3469" customWidth="1"/>
    <col min="4580" max="4580" width="13.28515625" style="3469" customWidth="1"/>
    <col min="4581" max="4581" width="13.140625" style="3469" customWidth="1"/>
    <col min="4582" max="4582" width="18.7109375" style="3469" customWidth="1"/>
    <col min="4583" max="4583" width="12.42578125" style="3469" customWidth="1"/>
    <col min="4584" max="4584" width="13.85546875" style="3469" customWidth="1"/>
    <col min="4585" max="4585" width="6.85546875" style="3469" customWidth="1"/>
    <col min="4586" max="4586" width="23" style="3469" customWidth="1"/>
    <col min="4587" max="4588" width="9.140625" style="3469"/>
    <col min="4589" max="4589" width="12.28515625" style="3469" customWidth="1"/>
    <col min="4590" max="4590" width="22" style="3469" customWidth="1"/>
    <col min="4591" max="4593" width="13.28515625" style="3469" bestFit="1" customWidth="1"/>
    <col min="4594" max="4594" width="21.7109375" style="3469" customWidth="1"/>
    <col min="4595" max="4595" width="18.7109375" style="3469" bestFit="1" customWidth="1"/>
    <col min="4596" max="4597" width="19" style="3469" bestFit="1" customWidth="1"/>
    <col min="4598" max="4604" width="13.28515625" style="3469" bestFit="1" customWidth="1"/>
    <col min="4605" max="4605" width="14.140625" style="3469" bestFit="1" customWidth="1"/>
    <col min="4606" max="4607" width="15.7109375" style="3469" bestFit="1" customWidth="1"/>
    <col min="4608" max="4610" width="14.140625" style="3469" bestFit="1" customWidth="1"/>
    <col min="4611" max="4612" width="15.7109375" style="3469" bestFit="1" customWidth="1"/>
    <col min="4613" max="4614" width="14.140625" style="3469" bestFit="1" customWidth="1"/>
    <col min="4615" max="4633" width="9.140625" style="3469"/>
    <col min="4634" max="4634" width="10" style="3469" bestFit="1" customWidth="1"/>
    <col min="4635" max="4794" width="9.140625" style="3469"/>
    <col min="4795" max="4795" width="43.85546875" style="3469" customWidth="1"/>
    <col min="4796" max="4796" width="7.140625" style="3469" customWidth="1"/>
    <col min="4797" max="4797" width="15.5703125" style="3469" customWidth="1"/>
    <col min="4798" max="4798" width="23.140625" style="3469" customWidth="1"/>
    <col min="4799" max="4799" width="15.140625" style="3469" customWidth="1"/>
    <col min="4800" max="4800" width="14.85546875" style="3469" customWidth="1"/>
    <col min="4801" max="4801" width="16.28515625" style="3469" customWidth="1"/>
    <col min="4802" max="4802" width="20.85546875" style="3469" customWidth="1"/>
    <col min="4803" max="4803" width="14.140625" style="3469" customWidth="1"/>
    <col min="4804" max="4804" width="15.7109375" style="3469" bestFit="1" customWidth="1"/>
    <col min="4805" max="4805" width="13.42578125" style="3469" bestFit="1" customWidth="1"/>
    <col min="4806" max="4806" width="17.7109375" style="3469" customWidth="1"/>
    <col min="4807" max="4808" width="13.28515625" style="3469" customWidth="1"/>
    <col min="4809" max="4809" width="11.5703125" style="3469" customWidth="1"/>
    <col min="4810" max="4810" width="16.85546875" style="3469" customWidth="1"/>
    <col min="4811" max="4811" width="13.85546875" style="3469" customWidth="1"/>
    <col min="4812" max="4812" width="15.140625" style="3469" customWidth="1"/>
    <col min="4813" max="4813" width="16.7109375" style="3469" customWidth="1"/>
    <col min="4814" max="4814" width="21.7109375" style="3469" customWidth="1"/>
    <col min="4815" max="4816" width="16.7109375" style="3469" customWidth="1"/>
    <col min="4817" max="4817" width="15" style="3469" customWidth="1"/>
    <col min="4818" max="4818" width="21.7109375" style="3469" customWidth="1"/>
    <col min="4819" max="4819" width="14.140625" style="3469" customWidth="1"/>
    <col min="4820" max="4820" width="13.85546875" style="3469" customWidth="1"/>
    <col min="4821" max="4821" width="12.140625" style="3469" customWidth="1"/>
    <col min="4822" max="4822" width="20.140625" style="3469" customWidth="1"/>
    <col min="4823" max="4823" width="15" style="3469" customWidth="1"/>
    <col min="4824" max="4824" width="12.140625" style="3469" customWidth="1"/>
    <col min="4825" max="4825" width="12" style="3469" customWidth="1"/>
    <col min="4826" max="4826" width="17.5703125" style="3469" customWidth="1"/>
    <col min="4827" max="4827" width="16.5703125" style="3469" customWidth="1"/>
    <col min="4828" max="4828" width="12.5703125" style="3469" customWidth="1"/>
    <col min="4829" max="4829" width="24.85546875" style="3469" customWidth="1"/>
    <col min="4830" max="4830" width="25.42578125" style="3469" customWidth="1"/>
    <col min="4831" max="4832" width="13.5703125" style="3469" customWidth="1"/>
    <col min="4833" max="4833" width="18.7109375" style="3469" customWidth="1"/>
    <col min="4834" max="4834" width="24.5703125" style="3469" customWidth="1"/>
    <col min="4835" max="4835" width="18.5703125" style="3469" customWidth="1"/>
    <col min="4836" max="4836" width="13.28515625" style="3469" customWidth="1"/>
    <col min="4837" max="4837" width="13.140625" style="3469" customWidth="1"/>
    <col min="4838" max="4838" width="18.7109375" style="3469" customWidth="1"/>
    <col min="4839" max="4839" width="12.42578125" style="3469" customWidth="1"/>
    <col min="4840" max="4840" width="13.85546875" style="3469" customWidth="1"/>
    <col min="4841" max="4841" width="6.85546875" style="3469" customWidth="1"/>
    <col min="4842" max="4842" width="23" style="3469" customWidth="1"/>
    <col min="4843" max="4844" width="9.140625" style="3469"/>
    <col min="4845" max="4845" width="12.28515625" style="3469" customWidth="1"/>
    <col min="4846" max="4846" width="22" style="3469" customWidth="1"/>
    <col min="4847" max="4849" width="13.28515625" style="3469" bestFit="1" customWidth="1"/>
    <col min="4850" max="4850" width="21.7109375" style="3469" customWidth="1"/>
    <col min="4851" max="4851" width="18.7109375" style="3469" bestFit="1" customWidth="1"/>
    <col min="4852" max="4853" width="19" style="3469" bestFit="1" customWidth="1"/>
    <col min="4854" max="4860" width="13.28515625" style="3469" bestFit="1" customWidth="1"/>
    <col min="4861" max="4861" width="14.140625" style="3469" bestFit="1" customWidth="1"/>
    <col min="4862" max="4863" width="15.7109375" style="3469" bestFit="1" customWidth="1"/>
    <col min="4864" max="4866" width="14.140625" style="3469" bestFit="1" customWidth="1"/>
    <col min="4867" max="4868" width="15.7109375" style="3469" bestFit="1" customWidth="1"/>
    <col min="4869" max="4870" width="14.140625" style="3469" bestFit="1" customWidth="1"/>
    <col min="4871" max="4889" width="9.140625" style="3469"/>
    <col min="4890" max="4890" width="10" style="3469" bestFit="1" customWidth="1"/>
    <col min="4891" max="5050" width="9.140625" style="3469"/>
    <col min="5051" max="5051" width="43.85546875" style="3469" customWidth="1"/>
    <col min="5052" max="5052" width="7.140625" style="3469" customWidth="1"/>
    <col min="5053" max="5053" width="15.5703125" style="3469" customWidth="1"/>
    <col min="5054" max="5054" width="23.140625" style="3469" customWidth="1"/>
    <col min="5055" max="5055" width="15.140625" style="3469" customWidth="1"/>
    <col min="5056" max="5056" width="14.85546875" style="3469" customWidth="1"/>
    <col min="5057" max="5057" width="16.28515625" style="3469" customWidth="1"/>
    <col min="5058" max="5058" width="20.85546875" style="3469" customWidth="1"/>
    <col min="5059" max="5059" width="14.140625" style="3469" customWidth="1"/>
    <col min="5060" max="5060" width="15.7109375" style="3469" bestFit="1" customWidth="1"/>
    <col min="5061" max="5061" width="13.42578125" style="3469" bestFit="1" customWidth="1"/>
    <col min="5062" max="5062" width="17.7109375" style="3469" customWidth="1"/>
    <col min="5063" max="5064" width="13.28515625" style="3469" customWidth="1"/>
    <col min="5065" max="5065" width="11.5703125" style="3469" customWidth="1"/>
    <col min="5066" max="5066" width="16.85546875" style="3469" customWidth="1"/>
    <col min="5067" max="5067" width="13.85546875" style="3469" customWidth="1"/>
    <col min="5068" max="5068" width="15.140625" style="3469" customWidth="1"/>
    <col min="5069" max="5069" width="16.7109375" style="3469" customWidth="1"/>
    <col min="5070" max="5070" width="21.7109375" style="3469" customWidth="1"/>
    <col min="5071" max="5072" width="16.7109375" style="3469" customWidth="1"/>
    <col min="5073" max="5073" width="15" style="3469" customWidth="1"/>
    <col min="5074" max="5074" width="21.7109375" style="3469" customWidth="1"/>
    <col min="5075" max="5075" width="14.140625" style="3469" customWidth="1"/>
    <col min="5076" max="5076" width="13.85546875" style="3469" customWidth="1"/>
    <col min="5077" max="5077" width="12.140625" style="3469" customWidth="1"/>
    <col min="5078" max="5078" width="20.140625" style="3469" customWidth="1"/>
    <col min="5079" max="5079" width="15" style="3469" customWidth="1"/>
    <col min="5080" max="5080" width="12.140625" style="3469" customWidth="1"/>
    <col min="5081" max="5081" width="12" style="3469" customWidth="1"/>
    <col min="5082" max="5082" width="17.5703125" style="3469" customWidth="1"/>
    <col min="5083" max="5083" width="16.5703125" style="3469" customWidth="1"/>
    <col min="5084" max="5084" width="12.5703125" style="3469" customWidth="1"/>
    <col min="5085" max="5085" width="24.85546875" style="3469" customWidth="1"/>
    <col min="5086" max="5086" width="25.42578125" style="3469" customWidth="1"/>
    <col min="5087" max="5088" width="13.5703125" style="3469" customWidth="1"/>
    <col min="5089" max="5089" width="18.7109375" style="3469" customWidth="1"/>
    <col min="5090" max="5090" width="24.5703125" style="3469" customWidth="1"/>
    <col min="5091" max="5091" width="18.5703125" style="3469" customWidth="1"/>
    <col min="5092" max="5092" width="13.28515625" style="3469" customWidth="1"/>
    <col min="5093" max="5093" width="13.140625" style="3469" customWidth="1"/>
    <col min="5094" max="5094" width="18.7109375" style="3469" customWidth="1"/>
    <col min="5095" max="5095" width="12.42578125" style="3469" customWidth="1"/>
    <col min="5096" max="5096" width="13.85546875" style="3469" customWidth="1"/>
    <col min="5097" max="5097" width="6.85546875" style="3469" customWidth="1"/>
    <col min="5098" max="5098" width="23" style="3469" customWidth="1"/>
    <col min="5099" max="5100" width="9.140625" style="3469"/>
    <col min="5101" max="5101" width="12.28515625" style="3469" customWidth="1"/>
    <col min="5102" max="5102" width="22" style="3469" customWidth="1"/>
    <col min="5103" max="5105" width="13.28515625" style="3469" bestFit="1" customWidth="1"/>
    <col min="5106" max="5106" width="21.7109375" style="3469" customWidth="1"/>
    <col min="5107" max="5107" width="18.7109375" style="3469" bestFit="1" customWidth="1"/>
    <col min="5108" max="5109" width="19" style="3469" bestFit="1" customWidth="1"/>
    <col min="5110" max="5116" width="13.28515625" style="3469" bestFit="1" customWidth="1"/>
    <col min="5117" max="5117" width="14.140625" style="3469" bestFit="1" customWidth="1"/>
    <col min="5118" max="5119" width="15.7109375" style="3469" bestFit="1" customWidth="1"/>
    <col min="5120" max="5122" width="14.140625" style="3469" bestFit="1" customWidth="1"/>
    <col min="5123" max="5124" width="15.7109375" style="3469" bestFit="1" customWidth="1"/>
    <col min="5125" max="5126" width="14.140625" style="3469" bestFit="1" customWidth="1"/>
    <col min="5127" max="5145" width="9.140625" style="3469"/>
    <col min="5146" max="5146" width="10" style="3469" bestFit="1" customWidth="1"/>
    <col min="5147" max="5306" width="9.140625" style="3469"/>
    <col min="5307" max="5307" width="43.85546875" style="3469" customWidth="1"/>
    <col min="5308" max="5308" width="7.140625" style="3469" customWidth="1"/>
    <col min="5309" max="5309" width="15.5703125" style="3469" customWidth="1"/>
    <col min="5310" max="5310" width="23.140625" style="3469" customWidth="1"/>
    <col min="5311" max="5311" width="15.140625" style="3469" customWidth="1"/>
    <col min="5312" max="5312" width="14.85546875" style="3469" customWidth="1"/>
    <col min="5313" max="5313" width="16.28515625" style="3469" customWidth="1"/>
    <col min="5314" max="5314" width="20.85546875" style="3469" customWidth="1"/>
    <col min="5315" max="5315" width="14.140625" style="3469" customWidth="1"/>
    <col min="5316" max="5316" width="15.7109375" style="3469" bestFit="1" customWidth="1"/>
    <col min="5317" max="5317" width="13.42578125" style="3469" bestFit="1" customWidth="1"/>
    <col min="5318" max="5318" width="17.7109375" style="3469" customWidth="1"/>
    <col min="5319" max="5320" width="13.28515625" style="3469" customWidth="1"/>
    <col min="5321" max="5321" width="11.5703125" style="3469" customWidth="1"/>
    <col min="5322" max="5322" width="16.85546875" style="3469" customWidth="1"/>
    <col min="5323" max="5323" width="13.85546875" style="3469" customWidth="1"/>
    <col min="5324" max="5324" width="15.140625" style="3469" customWidth="1"/>
    <col min="5325" max="5325" width="16.7109375" style="3469" customWidth="1"/>
    <col min="5326" max="5326" width="21.7109375" style="3469" customWidth="1"/>
    <col min="5327" max="5328" width="16.7109375" style="3469" customWidth="1"/>
    <col min="5329" max="5329" width="15" style="3469" customWidth="1"/>
    <col min="5330" max="5330" width="21.7109375" style="3469" customWidth="1"/>
    <col min="5331" max="5331" width="14.140625" style="3469" customWidth="1"/>
    <col min="5332" max="5332" width="13.85546875" style="3469" customWidth="1"/>
    <col min="5333" max="5333" width="12.140625" style="3469" customWidth="1"/>
    <col min="5334" max="5334" width="20.140625" style="3469" customWidth="1"/>
    <col min="5335" max="5335" width="15" style="3469" customWidth="1"/>
    <col min="5336" max="5336" width="12.140625" style="3469" customWidth="1"/>
    <col min="5337" max="5337" width="12" style="3469" customWidth="1"/>
    <col min="5338" max="5338" width="17.5703125" style="3469" customWidth="1"/>
    <col min="5339" max="5339" width="16.5703125" style="3469" customWidth="1"/>
    <col min="5340" max="5340" width="12.5703125" style="3469" customWidth="1"/>
    <col min="5341" max="5341" width="24.85546875" style="3469" customWidth="1"/>
    <col min="5342" max="5342" width="25.42578125" style="3469" customWidth="1"/>
    <col min="5343" max="5344" width="13.5703125" style="3469" customWidth="1"/>
    <col min="5345" max="5345" width="18.7109375" style="3469" customWidth="1"/>
    <col min="5346" max="5346" width="24.5703125" style="3469" customWidth="1"/>
    <col min="5347" max="5347" width="18.5703125" style="3469" customWidth="1"/>
    <col min="5348" max="5348" width="13.28515625" style="3469" customWidth="1"/>
    <col min="5349" max="5349" width="13.140625" style="3469" customWidth="1"/>
    <col min="5350" max="5350" width="18.7109375" style="3469" customWidth="1"/>
    <col min="5351" max="5351" width="12.42578125" style="3469" customWidth="1"/>
    <col min="5352" max="5352" width="13.85546875" style="3469" customWidth="1"/>
    <col min="5353" max="5353" width="6.85546875" style="3469" customWidth="1"/>
    <col min="5354" max="5354" width="23" style="3469" customWidth="1"/>
    <col min="5355" max="5356" width="9.140625" style="3469"/>
    <col min="5357" max="5357" width="12.28515625" style="3469" customWidth="1"/>
    <col min="5358" max="5358" width="22" style="3469" customWidth="1"/>
    <col min="5359" max="5361" width="13.28515625" style="3469" bestFit="1" customWidth="1"/>
    <col min="5362" max="5362" width="21.7109375" style="3469" customWidth="1"/>
    <col min="5363" max="5363" width="18.7109375" style="3469" bestFit="1" customWidth="1"/>
    <col min="5364" max="5365" width="19" style="3469" bestFit="1" customWidth="1"/>
    <col min="5366" max="5372" width="13.28515625" style="3469" bestFit="1" customWidth="1"/>
    <col min="5373" max="5373" width="14.140625" style="3469" bestFit="1" customWidth="1"/>
    <col min="5374" max="5375" width="15.7109375" style="3469" bestFit="1" customWidth="1"/>
    <col min="5376" max="5378" width="14.140625" style="3469" bestFit="1" customWidth="1"/>
    <col min="5379" max="5380" width="15.7109375" style="3469" bestFit="1" customWidth="1"/>
    <col min="5381" max="5382" width="14.140625" style="3469" bestFit="1" customWidth="1"/>
    <col min="5383" max="5401" width="9.140625" style="3469"/>
    <col min="5402" max="5402" width="10" style="3469" bestFit="1" customWidth="1"/>
    <col min="5403" max="5562" width="9.140625" style="3469"/>
    <col min="5563" max="5563" width="43.85546875" style="3469" customWidth="1"/>
    <col min="5564" max="5564" width="7.140625" style="3469" customWidth="1"/>
    <col min="5565" max="5565" width="15.5703125" style="3469" customWidth="1"/>
    <col min="5566" max="5566" width="23.140625" style="3469" customWidth="1"/>
    <col min="5567" max="5567" width="15.140625" style="3469" customWidth="1"/>
    <col min="5568" max="5568" width="14.85546875" style="3469" customWidth="1"/>
    <col min="5569" max="5569" width="16.28515625" style="3469" customWidth="1"/>
    <col min="5570" max="5570" width="20.85546875" style="3469" customWidth="1"/>
    <col min="5571" max="5571" width="14.140625" style="3469" customWidth="1"/>
    <col min="5572" max="5572" width="15.7109375" style="3469" bestFit="1" customWidth="1"/>
    <col min="5573" max="5573" width="13.42578125" style="3469" bestFit="1" customWidth="1"/>
    <col min="5574" max="5574" width="17.7109375" style="3469" customWidth="1"/>
    <col min="5575" max="5576" width="13.28515625" style="3469" customWidth="1"/>
    <col min="5577" max="5577" width="11.5703125" style="3469" customWidth="1"/>
    <col min="5578" max="5578" width="16.85546875" style="3469" customWidth="1"/>
    <col min="5579" max="5579" width="13.85546875" style="3469" customWidth="1"/>
    <col min="5580" max="5580" width="15.140625" style="3469" customWidth="1"/>
    <col min="5581" max="5581" width="16.7109375" style="3469" customWidth="1"/>
    <col min="5582" max="5582" width="21.7109375" style="3469" customWidth="1"/>
    <col min="5583" max="5584" width="16.7109375" style="3469" customWidth="1"/>
    <col min="5585" max="5585" width="15" style="3469" customWidth="1"/>
    <col min="5586" max="5586" width="21.7109375" style="3469" customWidth="1"/>
    <col min="5587" max="5587" width="14.140625" style="3469" customWidth="1"/>
    <col min="5588" max="5588" width="13.85546875" style="3469" customWidth="1"/>
    <col min="5589" max="5589" width="12.140625" style="3469" customWidth="1"/>
    <col min="5590" max="5590" width="20.140625" style="3469" customWidth="1"/>
    <col min="5591" max="5591" width="15" style="3469" customWidth="1"/>
    <col min="5592" max="5592" width="12.140625" style="3469" customWidth="1"/>
    <col min="5593" max="5593" width="12" style="3469" customWidth="1"/>
    <col min="5594" max="5594" width="17.5703125" style="3469" customWidth="1"/>
    <col min="5595" max="5595" width="16.5703125" style="3469" customWidth="1"/>
    <col min="5596" max="5596" width="12.5703125" style="3469" customWidth="1"/>
    <col min="5597" max="5597" width="24.85546875" style="3469" customWidth="1"/>
    <col min="5598" max="5598" width="25.42578125" style="3469" customWidth="1"/>
    <col min="5599" max="5600" width="13.5703125" style="3469" customWidth="1"/>
    <col min="5601" max="5601" width="18.7109375" style="3469" customWidth="1"/>
    <col min="5602" max="5602" width="24.5703125" style="3469" customWidth="1"/>
    <col min="5603" max="5603" width="18.5703125" style="3469" customWidth="1"/>
    <col min="5604" max="5604" width="13.28515625" style="3469" customWidth="1"/>
    <col min="5605" max="5605" width="13.140625" style="3469" customWidth="1"/>
    <col min="5606" max="5606" width="18.7109375" style="3469" customWidth="1"/>
    <col min="5607" max="5607" width="12.42578125" style="3469" customWidth="1"/>
    <col min="5608" max="5608" width="13.85546875" style="3469" customWidth="1"/>
    <col min="5609" max="5609" width="6.85546875" style="3469" customWidth="1"/>
    <col min="5610" max="5610" width="23" style="3469" customWidth="1"/>
    <col min="5611" max="5612" width="9.140625" style="3469"/>
    <col min="5613" max="5613" width="12.28515625" style="3469" customWidth="1"/>
    <col min="5614" max="5614" width="22" style="3469" customWidth="1"/>
    <col min="5615" max="5617" width="13.28515625" style="3469" bestFit="1" customWidth="1"/>
    <col min="5618" max="5618" width="21.7109375" style="3469" customWidth="1"/>
    <col min="5619" max="5619" width="18.7109375" style="3469" bestFit="1" customWidth="1"/>
    <col min="5620" max="5621" width="19" style="3469" bestFit="1" customWidth="1"/>
    <col min="5622" max="5628" width="13.28515625" style="3469" bestFit="1" customWidth="1"/>
    <col min="5629" max="5629" width="14.140625" style="3469" bestFit="1" customWidth="1"/>
    <col min="5630" max="5631" width="15.7109375" style="3469" bestFit="1" customWidth="1"/>
    <col min="5632" max="5634" width="14.140625" style="3469" bestFit="1" customWidth="1"/>
    <col min="5635" max="5636" width="15.7109375" style="3469" bestFit="1" customWidth="1"/>
    <col min="5637" max="5638" width="14.140625" style="3469" bestFit="1" customWidth="1"/>
    <col min="5639" max="5657" width="9.140625" style="3469"/>
    <col min="5658" max="5658" width="10" style="3469" bestFit="1" customWidth="1"/>
    <col min="5659" max="5818" width="9.140625" style="3469"/>
    <col min="5819" max="5819" width="43.85546875" style="3469" customWidth="1"/>
    <col min="5820" max="5820" width="7.140625" style="3469" customWidth="1"/>
    <col min="5821" max="5821" width="15.5703125" style="3469" customWidth="1"/>
    <col min="5822" max="5822" width="23.140625" style="3469" customWidth="1"/>
    <col min="5823" max="5823" width="15.140625" style="3469" customWidth="1"/>
    <col min="5824" max="5824" width="14.85546875" style="3469" customWidth="1"/>
    <col min="5825" max="5825" width="16.28515625" style="3469" customWidth="1"/>
    <col min="5826" max="5826" width="20.85546875" style="3469" customWidth="1"/>
    <col min="5827" max="5827" width="14.140625" style="3469" customWidth="1"/>
    <col min="5828" max="5828" width="15.7109375" style="3469" bestFit="1" customWidth="1"/>
    <col min="5829" max="5829" width="13.42578125" style="3469" bestFit="1" customWidth="1"/>
    <col min="5830" max="5830" width="17.7109375" style="3469" customWidth="1"/>
    <col min="5831" max="5832" width="13.28515625" style="3469" customWidth="1"/>
    <col min="5833" max="5833" width="11.5703125" style="3469" customWidth="1"/>
    <col min="5834" max="5834" width="16.85546875" style="3469" customWidth="1"/>
    <col min="5835" max="5835" width="13.85546875" style="3469" customWidth="1"/>
    <col min="5836" max="5836" width="15.140625" style="3469" customWidth="1"/>
    <col min="5837" max="5837" width="16.7109375" style="3469" customWidth="1"/>
    <col min="5838" max="5838" width="21.7109375" style="3469" customWidth="1"/>
    <col min="5839" max="5840" width="16.7109375" style="3469" customWidth="1"/>
    <col min="5841" max="5841" width="15" style="3469" customWidth="1"/>
    <col min="5842" max="5842" width="21.7109375" style="3469" customWidth="1"/>
    <col min="5843" max="5843" width="14.140625" style="3469" customWidth="1"/>
    <col min="5844" max="5844" width="13.85546875" style="3469" customWidth="1"/>
    <col min="5845" max="5845" width="12.140625" style="3469" customWidth="1"/>
    <col min="5846" max="5846" width="20.140625" style="3469" customWidth="1"/>
    <col min="5847" max="5847" width="15" style="3469" customWidth="1"/>
    <col min="5848" max="5848" width="12.140625" style="3469" customWidth="1"/>
    <col min="5849" max="5849" width="12" style="3469" customWidth="1"/>
    <col min="5850" max="5850" width="17.5703125" style="3469" customWidth="1"/>
    <col min="5851" max="5851" width="16.5703125" style="3469" customWidth="1"/>
    <col min="5852" max="5852" width="12.5703125" style="3469" customWidth="1"/>
    <col min="5853" max="5853" width="24.85546875" style="3469" customWidth="1"/>
    <col min="5854" max="5854" width="25.42578125" style="3469" customWidth="1"/>
    <col min="5855" max="5856" width="13.5703125" style="3469" customWidth="1"/>
    <col min="5857" max="5857" width="18.7109375" style="3469" customWidth="1"/>
    <col min="5858" max="5858" width="24.5703125" style="3469" customWidth="1"/>
    <col min="5859" max="5859" width="18.5703125" style="3469" customWidth="1"/>
    <col min="5860" max="5860" width="13.28515625" style="3469" customWidth="1"/>
    <col min="5861" max="5861" width="13.140625" style="3469" customWidth="1"/>
    <col min="5862" max="5862" width="18.7109375" style="3469" customWidth="1"/>
    <col min="5863" max="5863" width="12.42578125" style="3469" customWidth="1"/>
    <col min="5864" max="5864" width="13.85546875" style="3469" customWidth="1"/>
    <col min="5865" max="5865" width="6.85546875" style="3469" customWidth="1"/>
    <col min="5866" max="5866" width="23" style="3469" customWidth="1"/>
    <col min="5867" max="5868" width="9.140625" style="3469"/>
    <col min="5869" max="5869" width="12.28515625" style="3469" customWidth="1"/>
    <col min="5870" max="5870" width="22" style="3469" customWidth="1"/>
    <col min="5871" max="5873" width="13.28515625" style="3469" bestFit="1" customWidth="1"/>
    <col min="5874" max="5874" width="21.7109375" style="3469" customWidth="1"/>
    <col min="5875" max="5875" width="18.7109375" style="3469" bestFit="1" customWidth="1"/>
    <col min="5876" max="5877" width="19" style="3469" bestFit="1" customWidth="1"/>
    <col min="5878" max="5884" width="13.28515625" style="3469" bestFit="1" customWidth="1"/>
    <col min="5885" max="5885" width="14.140625" style="3469" bestFit="1" customWidth="1"/>
    <col min="5886" max="5887" width="15.7109375" style="3469" bestFit="1" customWidth="1"/>
    <col min="5888" max="5890" width="14.140625" style="3469" bestFit="1" customWidth="1"/>
    <col min="5891" max="5892" width="15.7109375" style="3469" bestFit="1" customWidth="1"/>
    <col min="5893" max="5894" width="14.140625" style="3469" bestFit="1" customWidth="1"/>
    <col min="5895" max="5913" width="9.140625" style="3469"/>
    <col min="5914" max="5914" width="10" style="3469" bestFit="1" customWidth="1"/>
    <col min="5915" max="6074" width="9.140625" style="3469"/>
    <col min="6075" max="6075" width="43.85546875" style="3469" customWidth="1"/>
    <col min="6076" max="6076" width="7.140625" style="3469" customWidth="1"/>
    <col min="6077" max="6077" width="15.5703125" style="3469" customWidth="1"/>
    <col min="6078" max="6078" width="23.140625" style="3469" customWidth="1"/>
    <col min="6079" max="6079" width="15.140625" style="3469" customWidth="1"/>
    <col min="6080" max="6080" width="14.85546875" style="3469" customWidth="1"/>
    <col min="6081" max="6081" width="16.28515625" style="3469" customWidth="1"/>
    <col min="6082" max="6082" width="20.85546875" style="3469" customWidth="1"/>
    <col min="6083" max="6083" width="14.140625" style="3469" customWidth="1"/>
    <col min="6084" max="6084" width="15.7109375" style="3469" bestFit="1" customWidth="1"/>
    <col min="6085" max="6085" width="13.42578125" style="3469" bestFit="1" customWidth="1"/>
    <col min="6086" max="6086" width="17.7109375" style="3469" customWidth="1"/>
    <col min="6087" max="6088" width="13.28515625" style="3469" customWidth="1"/>
    <col min="6089" max="6089" width="11.5703125" style="3469" customWidth="1"/>
    <col min="6090" max="6090" width="16.85546875" style="3469" customWidth="1"/>
    <col min="6091" max="6091" width="13.85546875" style="3469" customWidth="1"/>
    <col min="6092" max="6092" width="15.140625" style="3469" customWidth="1"/>
    <col min="6093" max="6093" width="16.7109375" style="3469" customWidth="1"/>
    <col min="6094" max="6094" width="21.7109375" style="3469" customWidth="1"/>
    <col min="6095" max="6096" width="16.7109375" style="3469" customWidth="1"/>
    <col min="6097" max="6097" width="15" style="3469" customWidth="1"/>
    <col min="6098" max="6098" width="21.7109375" style="3469" customWidth="1"/>
    <col min="6099" max="6099" width="14.140625" style="3469" customWidth="1"/>
    <col min="6100" max="6100" width="13.85546875" style="3469" customWidth="1"/>
    <col min="6101" max="6101" width="12.140625" style="3469" customWidth="1"/>
    <col min="6102" max="6102" width="20.140625" style="3469" customWidth="1"/>
    <col min="6103" max="6103" width="15" style="3469" customWidth="1"/>
    <col min="6104" max="6104" width="12.140625" style="3469" customWidth="1"/>
    <col min="6105" max="6105" width="12" style="3469" customWidth="1"/>
    <col min="6106" max="6106" width="17.5703125" style="3469" customWidth="1"/>
    <col min="6107" max="6107" width="16.5703125" style="3469" customWidth="1"/>
    <col min="6108" max="6108" width="12.5703125" style="3469" customWidth="1"/>
    <col min="6109" max="6109" width="24.85546875" style="3469" customWidth="1"/>
    <col min="6110" max="6110" width="25.42578125" style="3469" customWidth="1"/>
    <col min="6111" max="6112" width="13.5703125" style="3469" customWidth="1"/>
    <col min="6113" max="6113" width="18.7109375" style="3469" customWidth="1"/>
    <col min="6114" max="6114" width="24.5703125" style="3469" customWidth="1"/>
    <col min="6115" max="6115" width="18.5703125" style="3469" customWidth="1"/>
    <col min="6116" max="6116" width="13.28515625" style="3469" customWidth="1"/>
    <col min="6117" max="6117" width="13.140625" style="3469" customWidth="1"/>
    <col min="6118" max="6118" width="18.7109375" style="3469" customWidth="1"/>
    <col min="6119" max="6119" width="12.42578125" style="3469" customWidth="1"/>
    <col min="6120" max="6120" width="13.85546875" style="3469" customWidth="1"/>
    <col min="6121" max="6121" width="6.85546875" style="3469" customWidth="1"/>
    <col min="6122" max="6122" width="23" style="3469" customWidth="1"/>
    <col min="6123" max="6124" width="9.140625" style="3469"/>
    <col min="6125" max="6125" width="12.28515625" style="3469" customWidth="1"/>
    <col min="6126" max="6126" width="22" style="3469" customWidth="1"/>
    <col min="6127" max="6129" width="13.28515625" style="3469" bestFit="1" customWidth="1"/>
    <col min="6130" max="6130" width="21.7109375" style="3469" customWidth="1"/>
    <col min="6131" max="6131" width="18.7109375" style="3469" bestFit="1" customWidth="1"/>
    <col min="6132" max="6133" width="19" style="3469" bestFit="1" customWidth="1"/>
    <col min="6134" max="6140" width="13.28515625" style="3469" bestFit="1" customWidth="1"/>
    <col min="6141" max="6141" width="14.140625" style="3469" bestFit="1" customWidth="1"/>
    <col min="6142" max="6143" width="15.7109375" style="3469" bestFit="1" customWidth="1"/>
    <col min="6144" max="6146" width="14.140625" style="3469" bestFit="1" customWidth="1"/>
    <col min="6147" max="6148" width="15.7109375" style="3469" bestFit="1" customWidth="1"/>
    <col min="6149" max="6150" width="14.140625" style="3469" bestFit="1" customWidth="1"/>
    <col min="6151" max="6169" width="9.140625" style="3469"/>
    <col min="6170" max="6170" width="10" style="3469" bestFit="1" customWidth="1"/>
    <col min="6171" max="6330" width="9.140625" style="3469"/>
    <col min="6331" max="6331" width="43.85546875" style="3469" customWidth="1"/>
    <col min="6332" max="6332" width="7.140625" style="3469" customWidth="1"/>
    <col min="6333" max="6333" width="15.5703125" style="3469" customWidth="1"/>
    <col min="6334" max="6334" width="23.140625" style="3469" customWidth="1"/>
    <col min="6335" max="6335" width="15.140625" style="3469" customWidth="1"/>
    <col min="6336" max="6336" width="14.85546875" style="3469" customWidth="1"/>
    <col min="6337" max="6337" width="16.28515625" style="3469" customWidth="1"/>
    <col min="6338" max="6338" width="20.85546875" style="3469" customWidth="1"/>
    <col min="6339" max="6339" width="14.140625" style="3469" customWidth="1"/>
    <col min="6340" max="6340" width="15.7109375" style="3469" bestFit="1" customWidth="1"/>
    <col min="6341" max="6341" width="13.42578125" style="3469" bestFit="1" customWidth="1"/>
    <col min="6342" max="6342" width="17.7109375" style="3469" customWidth="1"/>
    <col min="6343" max="6344" width="13.28515625" style="3469" customWidth="1"/>
    <col min="6345" max="6345" width="11.5703125" style="3469" customWidth="1"/>
    <col min="6346" max="6346" width="16.85546875" style="3469" customWidth="1"/>
    <col min="6347" max="6347" width="13.85546875" style="3469" customWidth="1"/>
    <col min="6348" max="6348" width="15.140625" style="3469" customWidth="1"/>
    <col min="6349" max="6349" width="16.7109375" style="3469" customWidth="1"/>
    <col min="6350" max="6350" width="21.7109375" style="3469" customWidth="1"/>
    <col min="6351" max="6352" width="16.7109375" style="3469" customWidth="1"/>
    <col min="6353" max="6353" width="15" style="3469" customWidth="1"/>
    <col min="6354" max="6354" width="21.7109375" style="3469" customWidth="1"/>
    <col min="6355" max="6355" width="14.140625" style="3469" customWidth="1"/>
    <col min="6356" max="6356" width="13.85546875" style="3469" customWidth="1"/>
    <col min="6357" max="6357" width="12.140625" style="3469" customWidth="1"/>
    <col min="6358" max="6358" width="20.140625" style="3469" customWidth="1"/>
    <col min="6359" max="6359" width="15" style="3469" customWidth="1"/>
    <col min="6360" max="6360" width="12.140625" style="3469" customWidth="1"/>
    <col min="6361" max="6361" width="12" style="3469" customWidth="1"/>
    <col min="6362" max="6362" width="17.5703125" style="3469" customWidth="1"/>
    <col min="6363" max="6363" width="16.5703125" style="3469" customWidth="1"/>
    <col min="6364" max="6364" width="12.5703125" style="3469" customWidth="1"/>
    <col min="6365" max="6365" width="24.85546875" style="3469" customWidth="1"/>
    <col min="6366" max="6366" width="25.42578125" style="3469" customWidth="1"/>
    <col min="6367" max="6368" width="13.5703125" style="3469" customWidth="1"/>
    <col min="6369" max="6369" width="18.7109375" style="3469" customWidth="1"/>
    <col min="6370" max="6370" width="24.5703125" style="3469" customWidth="1"/>
    <col min="6371" max="6371" width="18.5703125" style="3469" customWidth="1"/>
    <col min="6372" max="6372" width="13.28515625" style="3469" customWidth="1"/>
    <col min="6373" max="6373" width="13.140625" style="3469" customWidth="1"/>
    <col min="6374" max="6374" width="18.7109375" style="3469" customWidth="1"/>
    <col min="6375" max="6375" width="12.42578125" style="3469" customWidth="1"/>
    <col min="6376" max="6376" width="13.85546875" style="3469" customWidth="1"/>
    <col min="6377" max="6377" width="6.85546875" style="3469" customWidth="1"/>
    <col min="6378" max="6378" width="23" style="3469" customWidth="1"/>
    <col min="6379" max="6380" width="9.140625" style="3469"/>
    <col min="6381" max="6381" width="12.28515625" style="3469" customWidth="1"/>
    <col min="6382" max="6382" width="22" style="3469" customWidth="1"/>
    <col min="6383" max="6385" width="13.28515625" style="3469" bestFit="1" customWidth="1"/>
    <col min="6386" max="6386" width="21.7109375" style="3469" customWidth="1"/>
    <col min="6387" max="6387" width="18.7109375" style="3469" bestFit="1" customWidth="1"/>
    <col min="6388" max="6389" width="19" style="3469" bestFit="1" customWidth="1"/>
    <col min="6390" max="6396" width="13.28515625" style="3469" bestFit="1" customWidth="1"/>
    <col min="6397" max="6397" width="14.140625" style="3469" bestFit="1" customWidth="1"/>
    <col min="6398" max="6399" width="15.7109375" style="3469" bestFit="1" customWidth="1"/>
    <col min="6400" max="6402" width="14.140625" style="3469" bestFit="1" customWidth="1"/>
    <col min="6403" max="6404" width="15.7109375" style="3469" bestFit="1" customWidth="1"/>
    <col min="6405" max="6406" width="14.140625" style="3469" bestFit="1" customWidth="1"/>
    <col min="6407" max="6425" width="9.140625" style="3469"/>
    <col min="6426" max="6426" width="10" style="3469" bestFit="1" customWidth="1"/>
    <col min="6427" max="6586" width="9.140625" style="3469"/>
    <col min="6587" max="6587" width="43.85546875" style="3469" customWidth="1"/>
    <col min="6588" max="6588" width="7.140625" style="3469" customWidth="1"/>
    <col min="6589" max="6589" width="15.5703125" style="3469" customWidth="1"/>
    <col min="6590" max="6590" width="23.140625" style="3469" customWidth="1"/>
    <col min="6591" max="6591" width="15.140625" style="3469" customWidth="1"/>
    <col min="6592" max="6592" width="14.85546875" style="3469" customWidth="1"/>
    <col min="6593" max="6593" width="16.28515625" style="3469" customWidth="1"/>
    <col min="6594" max="6594" width="20.85546875" style="3469" customWidth="1"/>
    <col min="6595" max="6595" width="14.140625" style="3469" customWidth="1"/>
    <col min="6596" max="6596" width="15.7109375" style="3469" bestFit="1" customWidth="1"/>
    <col min="6597" max="6597" width="13.42578125" style="3469" bestFit="1" customWidth="1"/>
    <col min="6598" max="6598" width="17.7109375" style="3469" customWidth="1"/>
    <col min="6599" max="6600" width="13.28515625" style="3469" customWidth="1"/>
    <col min="6601" max="6601" width="11.5703125" style="3469" customWidth="1"/>
    <col min="6602" max="6602" width="16.85546875" style="3469" customWidth="1"/>
    <col min="6603" max="6603" width="13.85546875" style="3469" customWidth="1"/>
    <col min="6604" max="6604" width="15.140625" style="3469" customWidth="1"/>
    <col min="6605" max="6605" width="16.7109375" style="3469" customWidth="1"/>
    <col min="6606" max="6606" width="21.7109375" style="3469" customWidth="1"/>
    <col min="6607" max="6608" width="16.7109375" style="3469" customWidth="1"/>
    <col min="6609" max="6609" width="15" style="3469" customWidth="1"/>
    <col min="6610" max="6610" width="21.7109375" style="3469" customWidth="1"/>
    <col min="6611" max="6611" width="14.140625" style="3469" customWidth="1"/>
    <col min="6612" max="6612" width="13.85546875" style="3469" customWidth="1"/>
    <col min="6613" max="6613" width="12.140625" style="3469" customWidth="1"/>
    <col min="6614" max="6614" width="20.140625" style="3469" customWidth="1"/>
    <col min="6615" max="6615" width="15" style="3469" customWidth="1"/>
    <col min="6616" max="6616" width="12.140625" style="3469" customWidth="1"/>
    <col min="6617" max="6617" width="12" style="3469" customWidth="1"/>
    <col min="6618" max="6618" width="17.5703125" style="3469" customWidth="1"/>
    <col min="6619" max="6619" width="16.5703125" style="3469" customWidth="1"/>
    <col min="6620" max="6620" width="12.5703125" style="3469" customWidth="1"/>
    <col min="6621" max="6621" width="24.85546875" style="3469" customWidth="1"/>
    <col min="6622" max="6622" width="25.42578125" style="3469" customWidth="1"/>
    <col min="6623" max="6624" width="13.5703125" style="3469" customWidth="1"/>
    <col min="6625" max="6625" width="18.7109375" style="3469" customWidth="1"/>
    <col min="6626" max="6626" width="24.5703125" style="3469" customWidth="1"/>
    <col min="6627" max="6627" width="18.5703125" style="3469" customWidth="1"/>
    <col min="6628" max="6628" width="13.28515625" style="3469" customWidth="1"/>
    <col min="6629" max="6629" width="13.140625" style="3469" customWidth="1"/>
    <col min="6630" max="6630" width="18.7109375" style="3469" customWidth="1"/>
    <col min="6631" max="6631" width="12.42578125" style="3469" customWidth="1"/>
    <col min="6632" max="6632" width="13.85546875" style="3469" customWidth="1"/>
    <col min="6633" max="6633" width="6.85546875" style="3469" customWidth="1"/>
    <col min="6634" max="6634" width="23" style="3469" customWidth="1"/>
    <col min="6635" max="6636" width="9.140625" style="3469"/>
    <col min="6637" max="6637" width="12.28515625" style="3469" customWidth="1"/>
    <col min="6638" max="6638" width="22" style="3469" customWidth="1"/>
    <col min="6639" max="6641" width="13.28515625" style="3469" bestFit="1" customWidth="1"/>
    <col min="6642" max="6642" width="21.7109375" style="3469" customWidth="1"/>
    <col min="6643" max="6643" width="18.7109375" style="3469" bestFit="1" customWidth="1"/>
    <col min="6644" max="6645" width="19" style="3469" bestFit="1" customWidth="1"/>
    <col min="6646" max="6652" width="13.28515625" style="3469" bestFit="1" customWidth="1"/>
    <col min="6653" max="6653" width="14.140625" style="3469" bestFit="1" customWidth="1"/>
    <col min="6654" max="6655" width="15.7109375" style="3469" bestFit="1" customWidth="1"/>
    <col min="6656" max="6658" width="14.140625" style="3469" bestFit="1" customWidth="1"/>
    <col min="6659" max="6660" width="15.7109375" style="3469" bestFit="1" customWidth="1"/>
    <col min="6661" max="6662" width="14.140625" style="3469" bestFit="1" customWidth="1"/>
    <col min="6663" max="6681" width="9.140625" style="3469"/>
    <col min="6682" max="6682" width="10" style="3469" bestFit="1" customWidth="1"/>
    <col min="6683" max="6842" width="9.140625" style="3469"/>
    <col min="6843" max="6843" width="43.85546875" style="3469" customWidth="1"/>
    <col min="6844" max="6844" width="7.140625" style="3469" customWidth="1"/>
    <col min="6845" max="6845" width="15.5703125" style="3469" customWidth="1"/>
    <col min="6846" max="6846" width="23.140625" style="3469" customWidth="1"/>
    <col min="6847" max="6847" width="15.140625" style="3469" customWidth="1"/>
    <col min="6848" max="6848" width="14.85546875" style="3469" customWidth="1"/>
    <col min="6849" max="6849" width="16.28515625" style="3469" customWidth="1"/>
    <col min="6850" max="6850" width="20.85546875" style="3469" customWidth="1"/>
    <col min="6851" max="6851" width="14.140625" style="3469" customWidth="1"/>
    <col min="6852" max="6852" width="15.7109375" style="3469" bestFit="1" customWidth="1"/>
    <col min="6853" max="6853" width="13.42578125" style="3469" bestFit="1" customWidth="1"/>
    <col min="6854" max="6854" width="17.7109375" style="3469" customWidth="1"/>
    <col min="6855" max="6856" width="13.28515625" style="3469" customWidth="1"/>
    <col min="6857" max="6857" width="11.5703125" style="3469" customWidth="1"/>
    <col min="6858" max="6858" width="16.85546875" style="3469" customWidth="1"/>
    <col min="6859" max="6859" width="13.85546875" style="3469" customWidth="1"/>
    <col min="6860" max="6860" width="15.140625" style="3469" customWidth="1"/>
    <col min="6861" max="6861" width="16.7109375" style="3469" customWidth="1"/>
    <col min="6862" max="6862" width="21.7109375" style="3469" customWidth="1"/>
    <col min="6863" max="6864" width="16.7109375" style="3469" customWidth="1"/>
    <col min="6865" max="6865" width="15" style="3469" customWidth="1"/>
    <col min="6866" max="6866" width="21.7109375" style="3469" customWidth="1"/>
    <col min="6867" max="6867" width="14.140625" style="3469" customWidth="1"/>
    <col min="6868" max="6868" width="13.85546875" style="3469" customWidth="1"/>
    <col min="6869" max="6869" width="12.140625" style="3469" customWidth="1"/>
    <col min="6870" max="6870" width="20.140625" style="3469" customWidth="1"/>
    <col min="6871" max="6871" width="15" style="3469" customWidth="1"/>
    <col min="6872" max="6872" width="12.140625" style="3469" customWidth="1"/>
    <col min="6873" max="6873" width="12" style="3469" customWidth="1"/>
    <col min="6874" max="6874" width="17.5703125" style="3469" customWidth="1"/>
    <col min="6875" max="6875" width="16.5703125" style="3469" customWidth="1"/>
    <col min="6876" max="6876" width="12.5703125" style="3469" customWidth="1"/>
    <col min="6877" max="6877" width="24.85546875" style="3469" customWidth="1"/>
    <col min="6878" max="6878" width="25.42578125" style="3469" customWidth="1"/>
    <col min="6879" max="6880" width="13.5703125" style="3469" customWidth="1"/>
    <col min="6881" max="6881" width="18.7109375" style="3469" customWidth="1"/>
    <col min="6882" max="6882" width="24.5703125" style="3469" customWidth="1"/>
    <col min="6883" max="6883" width="18.5703125" style="3469" customWidth="1"/>
    <col min="6884" max="6884" width="13.28515625" style="3469" customWidth="1"/>
    <col min="6885" max="6885" width="13.140625" style="3469" customWidth="1"/>
    <col min="6886" max="6886" width="18.7109375" style="3469" customWidth="1"/>
    <col min="6887" max="6887" width="12.42578125" style="3469" customWidth="1"/>
    <col min="6888" max="6888" width="13.85546875" style="3469" customWidth="1"/>
    <col min="6889" max="6889" width="6.85546875" style="3469" customWidth="1"/>
    <col min="6890" max="6890" width="23" style="3469" customWidth="1"/>
    <col min="6891" max="6892" width="9.140625" style="3469"/>
    <col min="6893" max="6893" width="12.28515625" style="3469" customWidth="1"/>
    <col min="6894" max="6894" width="22" style="3469" customWidth="1"/>
    <col min="6895" max="6897" width="13.28515625" style="3469" bestFit="1" customWidth="1"/>
    <col min="6898" max="6898" width="21.7109375" style="3469" customWidth="1"/>
    <col min="6899" max="6899" width="18.7109375" style="3469" bestFit="1" customWidth="1"/>
    <col min="6900" max="6901" width="19" style="3469" bestFit="1" customWidth="1"/>
    <col min="6902" max="6908" width="13.28515625" style="3469" bestFit="1" customWidth="1"/>
    <col min="6909" max="6909" width="14.140625" style="3469" bestFit="1" customWidth="1"/>
    <col min="6910" max="6911" width="15.7109375" style="3469" bestFit="1" customWidth="1"/>
    <col min="6912" max="6914" width="14.140625" style="3469" bestFit="1" customWidth="1"/>
    <col min="6915" max="6916" width="15.7109375" style="3469" bestFit="1" customWidth="1"/>
    <col min="6917" max="6918" width="14.140625" style="3469" bestFit="1" customWidth="1"/>
    <col min="6919" max="6937" width="9.140625" style="3469"/>
    <col min="6938" max="6938" width="10" style="3469" bestFit="1" customWidth="1"/>
    <col min="6939" max="7098" width="9.140625" style="3469"/>
    <col min="7099" max="7099" width="43.85546875" style="3469" customWidth="1"/>
    <col min="7100" max="7100" width="7.140625" style="3469" customWidth="1"/>
    <col min="7101" max="7101" width="15.5703125" style="3469" customWidth="1"/>
    <col min="7102" max="7102" width="23.140625" style="3469" customWidth="1"/>
    <col min="7103" max="7103" width="15.140625" style="3469" customWidth="1"/>
    <col min="7104" max="7104" width="14.85546875" style="3469" customWidth="1"/>
    <col min="7105" max="7105" width="16.28515625" style="3469" customWidth="1"/>
    <col min="7106" max="7106" width="20.85546875" style="3469" customWidth="1"/>
    <col min="7107" max="7107" width="14.140625" style="3469" customWidth="1"/>
    <col min="7108" max="7108" width="15.7109375" style="3469" bestFit="1" customWidth="1"/>
    <col min="7109" max="7109" width="13.42578125" style="3469" bestFit="1" customWidth="1"/>
    <col min="7110" max="7110" width="17.7109375" style="3469" customWidth="1"/>
    <col min="7111" max="7112" width="13.28515625" style="3469" customWidth="1"/>
    <col min="7113" max="7113" width="11.5703125" style="3469" customWidth="1"/>
    <col min="7114" max="7114" width="16.85546875" style="3469" customWidth="1"/>
    <col min="7115" max="7115" width="13.85546875" style="3469" customWidth="1"/>
    <col min="7116" max="7116" width="15.140625" style="3469" customWidth="1"/>
    <col min="7117" max="7117" width="16.7109375" style="3469" customWidth="1"/>
    <col min="7118" max="7118" width="21.7109375" style="3469" customWidth="1"/>
    <col min="7119" max="7120" width="16.7109375" style="3469" customWidth="1"/>
    <col min="7121" max="7121" width="15" style="3469" customWidth="1"/>
    <col min="7122" max="7122" width="21.7109375" style="3469" customWidth="1"/>
    <col min="7123" max="7123" width="14.140625" style="3469" customWidth="1"/>
    <col min="7124" max="7124" width="13.85546875" style="3469" customWidth="1"/>
    <col min="7125" max="7125" width="12.140625" style="3469" customWidth="1"/>
    <col min="7126" max="7126" width="20.140625" style="3469" customWidth="1"/>
    <col min="7127" max="7127" width="15" style="3469" customWidth="1"/>
    <col min="7128" max="7128" width="12.140625" style="3469" customWidth="1"/>
    <col min="7129" max="7129" width="12" style="3469" customWidth="1"/>
    <col min="7130" max="7130" width="17.5703125" style="3469" customWidth="1"/>
    <col min="7131" max="7131" width="16.5703125" style="3469" customWidth="1"/>
    <col min="7132" max="7132" width="12.5703125" style="3469" customWidth="1"/>
    <col min="7133" max="7133" width="24.85546875" style="3469" customWidth="1"/>
    <col min="7134" max="7134" width="25.42578125" style="3469" customWidth="1"/>
    <col min="7135" max="7136" width="13.5703125" style="3469" customWidth="1"/>
    <col min="7137" max="7137" width="18.7109375" style="3469" customWidth="1"/>
    <col min="7138" max="7138" width="24.5703125" style="3469" customWidth="1"/>
    <col min="7139" max="7139" width="18.5703125" style="3469" customWidth="1"/>
    <col min="7140" max="7140" width="13.28515625" style="3469" customWidth="1"/>
    <col min="7141" max="7141" width="13.140625" style="3469" customWidth="1"/>
    <col min="7142" max="7142" width="18.7109375" style="3469" customWidth="1"/>
    <col min="7143" max="7143" width="12.42578125" style="3469" customWidth="1"/>
    <col min="7144" max="7144" width="13.85546875" style="3469" customWidth="1"/>
    <col min="7145" max="7145" width="6.85546875" style="3469" customWidth="1"/>
    <col min="7146" max="7146" width="23" style="3469" customWidth="1"/>
    <col min="7147" max="7148" width="9.140625" style="3469"/>
    <col min="7149" max="7149" width="12.28515625" style="3469" customWidth="1"/>
    <col min="7150" max="7150" width="22" style="3469" customWidth="1"/>
    <col min="7151" max="7153" width="13.28515625" style="3469" bestFit="1" customWidth="1"/>
    <col min="7154" max="7154" width="21.7109375" style="3469" customWidth="1"/>
    <col min="7155" max="7155" width="18.7109375" style="3469" bestFit="1" customWidth="1"/>
    <col min="7156" max="7157" width="19" style="3469" bestFit="1" customWidth="1"/>
    <col min="7158" max="7164" width="13.28515625" style="3469" bestFit="1" customWidth="1"/>
    <col min="7165" max="7165" width="14.140625" style="3469" bestFit="1" customWidth="1"/>
    <col min="7166" max="7167" width="15.7109375" style="3469" bestFit="1" customWidth="1"/>
    <col min="7168" max="7170" width="14.140625" style="3469" bestFit="1" customWidth="1"/>
    <col min="7171" max="7172" width="15.7109375" style="3469" bestFit="1" customWidth="1"/>
    <col min="7173" max="7174" width="14.140625" style="3469" bestFit="1" customWidth="1"/>
    <col min="7175" max="7193" width="9.140625" style="3469"/>
    <col min="7194" max="7194" width="10" style="3469" bestFit="1" customWidth="1"/>
    <col min="7195" max="7354" width="9.140625" style="3469"/>
    <col min="7355" max="7355" width="43.85546875" style="3469" customWidth="1"/>
    <col min="7356" max="7356" width="7.140625" style="3469" customWidth="1"/>
    <col min="7357" max="7357" width="15.5703125" style="3469" customWidth="1"/>
    <col min="7358" max="7358" width="23.140625" style="3469" customWidth="1"/>
    <col min="7359" max="7359" width="15.140625" style="3469" customWidth="1"/>
    <col min="7360" max="7360" width="14.85546875" style="3469" customWidth="1"/>
    <col min="7361" max="7361" width="16.28515625" style="3469" customWidth="1"/>
    <col min="7362" max="7362" width="20.85546875" style="3469" customWidth="1"/>
    <col min="7363" max="7363" width="14.140625" style="3469" customWidth="1"/>
    <col min="7364" max="7364" width="15.7109375" style="3469" bestFit="1" customWidth="1"/>
    <col min="7365" max="7365" width="13.42578125" style="3469" bestFit="1" customWidth="1"/>
    <col min="7366" max="7366" width="17.7109375" style="3469" customWidth="1"/>
    <col min="7367" max="7368" width="13.28515625" style="3469" customWidth="1"/>
    <col min="7369" max="7369" width="11.5703125" style="3469" customWidth="1"/>
    <col min="7370" max="7370" width="16.85546875" style="3469" customWidth="1"/>
    <col min="7371" max="7371" width="13.85546875" style="3469" customWidth="1"/>
    <col min="7372" max="7372" width="15.140625" style="3469" customWidth="1"/>
    <col min="7373" max="7373" width="16.7109375" style="3469" customWidth="1"/>
    <col min="7374" max="7374" width="21.7109375" style="3469" customWidth="1"/>
    <col min="7375" max="7376" width="16.7109375" style="3469" customWidth="1"/>
    <col min="7377" max="7377" width="15" style="3469" customWidth="1"/>
    <col min="7378" max="7378" width="21.7109375" style="3469" customWidth="1"/>
    <col min="7379" max="7379" width="14.140625" style="3469" customWidth="1"/>
    <col min="7380" max="7380" width="13.85546875" style="3469" customWidth="1"/>
    <col min="7381" max="7381" width="12.140625" style="3469" customWidth="1"/>
    <col min="7382" max="7382" width="20.140625" style="3469" customWidth="1"/>
    <col min="7383" max="7383" width="15" style="3469" customWidth="1"/>
    <col min="7384" max="7384" width="12.140625" style="3469" customWidth="1"/>
    <col min="7385" max="7385" width="12" style="3469" customWidth="1"/>
    <col min="7386" max="7386" width="17.5703125" style="3469" customWidth="1"/>
    <col min="7387" max="7387" width="16.5703125" style="3469" customWidth="1"/>
    <col min="7388" max="7388" width="12.5703125" style="3469" customWidth="1"/>
    <col min="7389" max="7389" width="24.85546875" style="3469" customWidth="1"/>
    <col min="7390" max="7390" width="25.42578125" style="3469" customWidth="1"/>
    <col min="7391" max="7392" width="13.5703125" style="3469" customWidth="1"/>
    <col min="7393" max="7393" width="18.7109375" style="3469" customWidth="1"/>
    <col min="7394" max="7394" width="24.5703125" style="3469" customWidth="1"/>
    <col min="7395" max="7395" width="18.5703125" style="3469" customWidth="1"/>
    <col min="7396" max="7396" width="13.28515625" style="3469" customWidth="1"/>
    <col min="7397" max="7397" width="13.140625" style="3469" customWidth="1"/>
    <col min="7398" max="7398" width="18.7109375" style="3469" customWidth="1"/>
    <col min="7399" max="7399" width="12.42578125" style="3469" customWidth="1"/>
    <col min="7400" max="7400" width="13.85546875" style="3469" customWidth="1"/>
    <col min="7401" max="7401" width="6.85546875" style="3469" customWidth="1"/>
    <col min="7402" max="7402" width="23" style="3469" customWidth="1"/>
    <col min="7403" max="7404" width="9.140625" style="3469"/>
    <col min="7405" max="7405" width="12.28515625" style="3469" customWidth="1"/>
    <col min="7406" max="7406" width="22" style="3469" customWidth="1"/>
    <col min="7407" max="7409" width="13.28515625" style="3469" bestFit="1" customWidth="1"/>
    <col min="7410" max="7410" width="21.7109375" style="3469" customWidth="1"/>
    <col min="7411" max="7411" width="18.7109375" style="3469" bestFit="1" customWidth="1"/>
    <col min="7412" max="7413" width="19" style="3469" bestFit="1" customWidth="1"/>
    <col min="7414" max="7420" width="13.28515625" style="3469" bestFit="1" customWidth="1"/>
    <col min="7421" max="7421" width="14.140625" style="3469" bestFit="1" customWidth="1"/>
    <col min="7422" max="7423" width="15.7109375" style="3469" bestFit="1" customWidth="1"/>
    <col min="7424" max="7426" width="14.140625" style="3469" bestFit="1" customWidth="1"/>
    <col min="7427" max="7428" width="15.7109375" style="3469" bestFit="1" customWidth="1"/>
    <col min="7429" max="7430" width="14.140625" style="3469" bestFit="1" customWidth="1"/>
    <col min="7431" max="7449" width="9.140625" style="3469"/>
    <col min="7450" max="7450" width="10" style="3469" bestFit="1" customWidth="1"/>
    <col min="7451" max="7610" width="9.140625" style="3469"/>
    <col min="7611" max="7611" width="43.85546875" style="3469" customWidth="1"/>
    <col min="7612" max="7612" width="7.140625" style="3469" customWidth="1"/>
    <col min="7613" max="7613" width="15.5703125" style="3469" customWidth="1"/>
    <col min="7614" max="7614" width="23.140625" style="3469" customWidth="1"/>
    <col min="7615" max="7615" width="15.140625" style="3469" customWidth="1"/>
    <col min="7616" max="7616" width="14.85546875" style="3469" customWidth="1"/>
    <col min="7617" max="7617" width="16.28515625" style="3469" customWidth="1"/>
    <col min="7618" max="7618" width="20.85546875" style="3469" customWidth="1"/>
    <col min="7619" max="7619" width="14.140625" style="3469" customWidth="1"/>
    <col min="7620" max="7620" width="15.7109375" style="3469" bestFit="1" customWidth="1"/>
    <col min="7621" max="7621" width="13.42578125" style="3469" bestFit="1" customWidth="1"/>
    <col min="7622" max="7622" width="17.7109375" style="3469" customWidth="1"/>
    <col min="7623" max="7624" width="13.28515625" style="3469" customWidth="1"/>
    <col min="7625" max="7625" width="11.5703125" style="3469" customWidth="1"/>
    <col min="7626" max="7626" width="16.85546875" style="3469" customWidth="1"/>
    <col min="7627" max="7627" width="13.85546875" style="3469" customWidth="1"/>
    <col min="7628" max="7628" width="15.140625" style="3469" customWidth="1"/>
    <col min="7629" max="7629" width="16.7109375" style="3469" customWidth="1"/>
    <col min="7630" max="7630" width="21.7109375" style="3469" customWidth="1"/>
    <col min="7631" max="7632" width="16.7109375" style="3469" customWidth="1"/>
    <col min="7633" max="7633" width="15" style="3469" customWidth="1"/>
    <col min="7634" max="7634" width="21.7109375" style="3469" customWidth="1"/>
    <col min="7635" max="7635" width="14.140625" style="3469" customWidth="1"/>
    <col min="7636" max="7636" width="13.85546875" style="3469" customWidth="1"/>
    <col min="7637" max="7637" width="12.140625" style="3469" customWidth="1"/>
    <col min="7638" max="7638" width="20.140625" style="3469" customWidth="1"/>
    <col min="7639" max="7639" width="15" style="3469" customWidth="1"/>
    <col min="7640" max="7640" width="12.140625" style="3469" customWidth="1"/>
    <col min="7641" max="7641" width="12" style="3469" customWidth="1"/>
    <col min="7642" max="7642" width="17.5703125" style="3469" customWidth="1"/>
    <col min="7643" max="7643" width="16.5703125" style="3469" customWidth="1"/>
    <col min="7644" max="7644" width="12.5703125" style="3469" customWidth="1"/>
    <col min="7645" max="7645" width="24.85546875" style="3469" customWidth="1"/>
    <col min="7646" max="7646" width="25.42578125" style="3469" customWidth="1"/>
    <col min="7647" max="7648" width="13.5703125" style="3469" customWidth="1"/>
    <col min="7649" max="7649" width="18.7109375" style="3469" customWidth="1"/>
    <col min="7650" max="7650" width="24.5703125" style="3469" customWidth="1"/>
    <col min="7651" max="7651" width="18.5703125" style="3469" customWidth="1"/>
    <col min="7652" max="7652" width="13.28515625" style="3469" customWidth="1"/>
    <col min="7653" max="7653" width="13.140625" style="3469" customWidth="1"/>
    <col min="7654" max="7654" width="18.7109375" style="3469" customWidth="1"/>
    <col min="7655" max="7655" width="12.42578125" style="3469" customWidth="1"/>
    <col min="7656" max="7656" width="13.85546875" style="3469" customWidth="1"/>
    <col min="7657" max="7657" width="6.85546875" style="3469" customWidth="1"/>
    <col min="7658" max="7658" width="23" style="3469" customWidth="1"/>
    <col min="7659" max="7660" width="9.140625" style="3469"/>
    <col min="7661" max="7661" width="12.28515625" style="3469" customWidth="1"/>
    <col min="7662" max="7662" width="22" style="3469" customWidth="1"/>
    <col min="7663" max="7665" width="13.28515625" style="3469" bestFit="1" customWidth="1"/>
    <col min="7666" max="7666" width="21.7109375" style="3469" customWidth="1"/>
    <col min="7667" max="7667" width="18.7109375" style="3469" bestFit="1" customWidth="1"/>
    <col min="7668" max="7669" width="19" style="3469" bestFit="1" customWidth="1"/>
    <col min="7670" max="7676" width="13.28515625" style="3469" bestFit="1" customWidth="1"/>
    <col min="7677" max="7677" width="14.140625" style="3469" bestFit="1" customWidth="1"/>
    <col min="7678" max="7679" width="15.7109375" style="3469" bestFit="1" customWidth="1"/>
    <col min="7680" max="7682" width="14.140625" style="3469" bestFit="1" customWidth="1"/>
    <col min="7683" max="7684" width="15.7109375" style="3469" bestFit="1" customWidth="1"/>
    <col min="7685" max="7686" width="14.140625" style="3469" bestFit="1" customWidth="1"/>
    <col min="7687" max="7705" width="9.140625" style="3469"/>
    <col min="7706" max="7706" width="10" style="3469" bestFit="1" customWidth="1"/>
    <col min="7707" max="7866" width="9.140625" style="3469"/>
    <col min="7867" max="7867" width="43.85546875" style="3469" customWidth="1"/>
    <col min="7868" max="7868" width="7.140625" style="3469" customWidth="1"/>
    <col min="7869" max="7869" width="15.5703125" style="3469" customWidth="1"/>
    <col min="7870" max="7870" width="23.140625" style="3469" customWidth="1"/>
    <col min="7871" max="7871" width="15.140625" style="3469" customWidth="1"/>
    <col min="7872" max="7872" width="14.85546875" style="3469" customWidth="1"/>
    <col min="7873" max="7873" width="16.28515625" style="3469" customWidth="1"/>
    <col min="7874" max="7874" width="20.85546875" style="3469" customWidth="1"/>
    <col min="7875" max="7875" width="14.140625" style="3469" customWidth="1"/>
    <col min="7876" max="7876" width="15.7109375" style="3469" bestFit="1" customWidth="1"/>
    <col min="7877" max="7877" width="13.42578125" style="3469" bestFit="1" customWidth="1"/>
    <col min="7878" max="7878" width="17.7109375" style="3469" customWidth="1"/>
    <col min="7879" max="7880" width="13.28515625" style="3469" customWidth="1"/>
    <col min="7881" max="7881" width="11.5703125" style="3469" customWidth="1"/>
    <col min="7882" max="7882" width="16.85546875" style="3469" customWidth="1"/>
    <col min="7883" max="7883" width="13.85546875" style="3469" customWidth="1"/>
    <col min="7884" max="7884" width="15.140625" style="3469" customWidth="1"/>
    <col min="7885" max="7885" width="16.7109375" style="3469" customWidth="1"/>
    <col min="7886" max="7886" width="21.7109375" style="3469" customWidth="1"/>
    <col min="7887" max="7888" width="16.7109375" style="3469" customWidth="1"/>
    <col min="7889" max="7889" width="15" style="3469" customWidth="1"/>
    <col min="7890" max="7890" width="21.7109375" style="3469" customWidth="1"/>
    <col min="7891" max="7891" width="14.140625" style="3469" customWidth="1"/>
    <col min="7892" max="7892" width="13.85546875" style="3469" customWidth="1"/>
    <col min="7893" max="7893" width="12.140625" style="3469" customWidth="1"/>
    <col min="7894" max="7894" width="20.140625" style="3469" customWidth="1"/>
    <col min="7895" max="7895" width="15" style="3469" customWidth="1"/>
    <col min="7896" max="7896" width="12.140625" style="3469" customWidth="1"/>
    <col min="7897" max="7897" width="12" style="3469" customWidth="1"/>
    <col min="7898" max="7898" width="17.5703125" style="3469" customWidth="1"/>
    <col min="7899" max="7899" width="16.5703125" style="3469" customWidth="1"/>
    <col min="7900" max="7900" width="12.5703125" style="3469" customWidth="1"/>
    <col min="7901" max="7901" width="24.85546875" style="3469" customWidth="1"/>
    <col min="7902" max="7902" width="25.42578125" style="3469" customWidth="1"/>
    <col min="7903" max="7904" width="13.5703125" style="3469" customWidth="1"/>
    <col min="7905" max="7905" width="18.7109375" style="3469" customWidth="1"/>
    <col min="7906" max="7906" width="24.5703125" style="3469" customWidth="1"/>
    <col min="7907" max="7907" width="18.5703125" style="3469" customWidth="1"/>
    <col min="7908" max="7908" width="13.28515625" style="3469" customWidth="1"/>
    <col min="7909" max="7909" width="13.140625" style="3469" customWidth="1"/>
    <col min="7910" max="7910" width="18.7109375" style="3469" customWidth="1"/>
    <col min="7911" max="7911" width="12.42578125" style="3469" customWidth="1"/>
    <col min="7912" max="7912" width="13.85546875" style="3469" customWidth="1"/>
    <col min="7913" max="7913" width="6.85546875" style="3469" customWidth="1"/>
    <col min="7914" max="7914" width="23" style="3469" customWidth="1"/>
    <col min="7915" max="7916" width="9.140625" style="3469"/>
    <col min="7917" max="7917" width="12.28515625" style="3469" customWidth="1"/>
    <col min="7918" max="7918" width="22" style="3469" customWidth="1"/>
    <col min="7919" max="7921" width="13.28515625" style="3469" bestFit="1" customWidth="1"/>
    <col min="7922" max="7922" width="21.7109375" style="3469" customWidth="1"/>
    <col min="7923" max="7923" width="18.7109375" style="3469" bestFit="1" customWidth="1"/>
    <col min="7924" max="7925" width="19" style="3469" bestFit="1" customWidth="1"/>
    <col min="7926" max="7932" width="13.28515625" style="3469" bestFit="1" customWidth="1"/>
    <col min="7933" max="7933" width="14.140625" style="3469" bestFit="1" customWidth="1"/>
    <col min="7934" max="7935" width="15.7109375" style="3469" bestFit="1" customWidth="1"/>
    <col min="7936" max="7938" width="14.140625" style="3469" bestFit="1" customWidth="1"/>
    <col min="7939" max="7940" width="15.7109375" style="3469" bestFit="1" customWidth="1"/>
    <col min="7941" max="7942" width="14.140625" style="3469" bestFit="1" customWidth="1"/>
    <col min="7943" max="7961" width="9.140625" style="3469"/>
    <col min="7962" max="7962" width="10" style="3469" bestFit="1" customWidth="1"/>
    <col min="7963" max="8122" width="9.140625" style="3469"/>
    <col min="8123" max="8123" width="43.85546875" style="3469" customWidth="1"/>
    <col min="8124" max="8124" width="7.140625" style="3469" customWidth="1"/>
    <col min="8125" max="8125" width="15.5703125" style="3469" customWidth="1"/>
    <col min="8126" max="8126" width="23.140625" style="3469" customWidth="1"/>
    <col min="8127" max="8127" width="15.140625" style="3469" customWidth="1"/>
    <col min="8128" max="8128" width="14.85546875" style="3469" customWidth="1"/>
    <col min="8129" max="8129" width="16.28515625" style="3469" customWidth="1"/>
    <col min="8130" max="8130" width="20.85546875" style="3469" customWidth="1"/>
    <col min="8131" max="8131" width="14.140625" style="3469" customWidth="1"/>
    <col min="8132" max="8132" width="15.7109375" style="3469" bestFit="1" customWidth="1"/>
    <col min="8133" max="8133" width="13.42578125" style="3469" bestFit="1" customWidth="1"/>
    <col min="8134" max="8134" width="17.7109375" style="3469" customWidth="1"/>
    <col min="8135" max="8136" width="13.28515625" style="3469" customWidth="1"/>
    <col min="8137" max="8137" width="11.5703125" style="3469" customWidth="1"/>
    <col min="8138" max="8138" width="16.85546875" style="3469" customWidth="1"/>
    <col min="8139" max="8139" width="13.85546875" style="3469" customWidth="1"/>
    <col min="8140" max="8140" width="15.140625" style="3469" customWidth="1"/>
    <col min="8141" max="8141" width="16.7109375" style="3469" customWidth="1"/>
    <col min="8142" max="8142" width="21.7109375" style="3469" customWidth="1"/>
    <col min="8143" max="8144" width="16.7109375" style="3469" customWidth="1"/>
    <col min="8145" max="8145" width="15" style="3469" customWidth="1"/>
    <col min="8146" max="8146" width="21.7109375" style="3469" customWidth="1"/>
    <col min="8147" max="8147" width="14.140625" style="3469" customWidth="1"/>
    <col min="8148" max="8148" width="13.85546875" style="3469" customWidth="1"/>
    <col min="8149" max="8149" width="12.140625" style="3469" customWidth="1"/>
    <col min="8150" max="8150" width="20.140625" style="3469" customWidth="1"/>
    <col min="8151" max="8151" width="15" style="3469" customWidth="1"/>
    <col min="8152" max="8152" width="12.140625" style="3469" customWidth="1"/>
    <col min="8153" max="8153" width="12" style="3469" customWidth="1"/>
    <col min="8154" max="8154" width="17.5703125" style="3469" customWidth="1"/>
    <col min="8155" max="8155" width="16.5703125" style="3469" customWidth="1"/>
    <col min="8156" max="8156" width="12.5703125" style="3469" customWidth="1"/>
    <col min="8157" max="8157" width="24.85546875" style="3469" customWidth="1"/>
    <col min="8158" max="8158" width="25.42578125" style="3469" customWidth="1"/>
    <col min="8159" max="8160" width="13.5703125" style="3469" customWidth="1"/>
    <col min="8161" max="8161" width="18.7109375" style="3469" customWidth="1"/>
    <col min="8162" max="8162" width="24.5703125" style="3469" customWidth="1"/>
    <col min="8163" max="8163" width="18.5703125" style="3469" customWidth="1"/>
    <col min="8164" max="8164" width="13.28515625" style="3469" customWidth="1"/>
    <col min="8165" max="8165" width="13.140625" style="3469" customWidth="1"/>
    <col min="8166" max="8166" width="18.7109375" style="3469" customWidth="1"/>
    <col min="8167" max="8167" width="12.42578125" style="3469" customWidth="1"/>
    <col min="8168" max="8168" width="13.85546875" style="3469" customWidth="1"/>
    <col min="8169" max="8169" width="6.85546875" style="3469" customWidth="1"/>
    <col min="8170" max="8170" width="23" style="3469" customWidth="1"/>
    <col min="8171" max="8172" width="9.140625" style="3469"/>
    <col min="8173" max="8173" width="12.28515625" style="3469" customWidth="1"/>
    <col min="8174" max="8174" width="22" style="3469" customWidth="1"/>
    <col min="8175" max="8177" width="13.28515625" style="3469" bestFit="1" customWidth="1"/>
    <col min="8178" max="8178" width="21.7109375" style="3469" customWidth="1"/>
    <col min="8179" max="8179" width="18.7109375" style="3469" bestFit="1" customWidth="1"/>
    <col min="8180" max="8181" width="19" style="3469" bestFit="1" customWidth="1"/>
    <col min="8182" max="8188" width="13.28515625" style="3469" bestFit="1" customWidth="1"/>
    <col min="8189" max="8189" width="14.140625" style="3469" bestFit="1" customWidth="1"/>
    <col min="8190" max="8191" width="15.7109375" style="3469" bestFit="1" customWidth="1"/>
    <col min="8192" max="8194" width="14.140625" style="3469" bestFit="1" customWidth="1"/>
    <col min="8195" max="8196" width="15.7109375" style="3469" bestFit="1" customWidth="1"/>
    <col min="8197" max="8198" width="14.140625" style="3469" bestFit="1" customWidth="1"/>
    <col min="8199" max="8217" width="9.140625" style="3469"/>
    <col min="8218" max="8218" width="10" style="3469" bestFit="1" customWidth="1"/>
    <col min="8219" max="8378" width="9.140625" style="3469"/>
    <col min="8379" max="8379" width="43.85546875" style="3469" customWidth="1"/>
    <col min="8380" max="8380" width="7.140625" style="3469" customWidth="1"/>
    <col min="8381" max="8381" width="15.5703125" style="3469" customWidth="1"/>
    <col min="8382" max="8382" width="23.140625" style="3469" customWidth="1"/>
    <col min="8383" max="8383" width="15.140625" style="3469" customWidth="1"/>
    <col min="8384" max="8384" width="14.85546875" style="3469" customWidth="1"/>
    <col min="8385" max="8385" width="16.28515625" style="3469" customWidth="1"/>
    <col min="8386" max="8386" width="20.85546875" style="3469" customWidth="1"/>
    <col min="8387" max="8387" width="14.140625" style="3469" customWidth="1"/>
    <col min="8388" max="8388" width="15.7109375" style="3469" bestFit="1" customWidth="1"/>
    <col min="8389" max="8389" width="13.42578125" style="3469" bestFit="1" customWidth="1"/>
    <col min="8390" max="8390" width="17.7109375" style="3469" customWidth="1"/>
    <col min="8391" max="8392" width="13.28515625" style="3469" customWidth="1"/>
    <col min="8393" max="8393" width="11.5703125" style="3469" customWidth="1"/>
    <col min="8394" max="8394" width="16.85546875" style="3469" customWidth="1"/>
    <col min="8395" max="8395" width="13.85546875" style="3469" customWidth="1"/>
    <col min="8396" max="8396" width="15.140625" style="3469" customWidth="1"/>
    <col min="8397" max="8397" width="16.7109375" style="3469" customWidth="1"/>
    <col min="8398" max="8398" width="21.7109375" style="3469" customWidth="1"/>
    <col min="8399" max="8400" width="16.7109375" style="3469" customWidth="1"/>
    <col min="8401" max="8401" width="15" style="3469" customWidth="1"/>
    <col min="8402" max="8402" width="21.7109375" style="3469" customWidth="1"/>
    <col min="8403" max="8403" width="14.140625" style="3469" customWidth="1"/>
    <col min="8404" max="8404" width="13.85546875" style="3469" customWidth="1"/>
    <col min="8405" max="8405" width="12.140625" style="3469" customWidth="1"/>
    <col min="8406" max="8406" width="20.140625" style="3469" customWidth="1"/>
    <col min="8407" max="8407" width="15" style="3469" customWidth="1"/>
    <col min="8408" max="8408" width="12.140625" style="3469" customWidth="1"/>
    <col min="8409" max="8409" width="12" style="3469" customWidth="1"/>
    <col min="8410" max="8410" width="17.5703125" style="3469" customWidth="1"/>
    <col min="8411" max="8411" width="16.5703125" style="3469" customWidth="1"/>
    <col min="8412" max="8412" width="12.5703125" style="3469" customWidth="1"/>
    <col min="8413" max="8413" width="24.85546875" style="3469" customWidth="1"/>
    <col min="8414" max="8414" width="25.42578125" style="3469" customWidth="1"/>
    <col min="8415" max="8416" width="13.5703125" style="3469" customWidth="1"/>
    <col min="8417" max="8417" width="18.7109375" style="3469" customWidth="1"/>
    <col min="8418" max="8418" width="24.5703125" style="3469" customWidth="1"/>
    <col min="8419" max="8419" width="18.5703125" style="3469" customWidth="1"/>
    <col min="8420" max="8420" width="13.28515625" style="3469" customWidth="1"/>
    <col min="8421" max="8421" width="13.140625" style="3469" customWidth="1"/>
    <col min="8422" max="8422" width="18.7109375" style="3469" customWidth="1"/>
    <col min="8423" max="8423" width="12.42578125" style="3469" customWidth="1"/>
    <col min="8424" max="8424" width="13.85546875" style="3469" customWidth="1"/>
    <col min="8425" max="8425" width="6.85546875" style="3469" customWidth="1"/>
    <col min="8426" max="8426" width="23" style="3469" customWidth="1"/>
    <col min="8427" max="8428" width="9.140625" style="3469"/>
    <col min="8429" max="8429" width="12.28515625" style="3469" customWidth="1"/>
    <col min="8430" max="8430" width="22" style="3469" customWidth="1"/>
    <col min="8431" max="8433" width="13.28515625" style="3469" bestFit="1" customWidth="1"/>
    <col min="8434" max="8434" width="21.7109375" style="3469" customWidth="1"/>
    <col min="8435" max="8435" width="18.7109375" style="3469" bestFit="1" customWidth="1"/>
    <col min="8436" max="8437" width="19" style="3469" bestFit="1" customWidth="1"/>
    <col min="8438" max="8444" width="13.28515625" style="3469" bestFit="1" customWidth="1"/>
    <col min="8445" max="8445" width="14.140625" style="3469" bestFit="1" customWidth="1"/>
    <col min="8446" max="8447" width="15.7109375" style="3469" bestFit="1" customWidth="1"/>
    <col min="8448" max="8450" width="14.140625" style="3469" bestFit="1" customWidth="1"/>
    <col min="8451" max="8452" width="15.7109375" style="3469" bestFit="1" customWidth="1"/>
    <col min="8453" max="8454" width="14.140625" style="3469" bestFit="1" customWidth="1"/>
    <col min="8455" max="8473" width="9.140625" style="3469"/>
    <col min="8474" max="8474" width="10" style="3469" bestFit="1" customWidth="1"/>
    <col min="8475" max="8634" width="9.140625" style="3469"/>
    <col min="8635" max="8635" width="43.85546875" style="3469" customWidth="1"/>
    <col min="8636" max="8636" width="7.140625" style="3469" customWidth="1"/>
    <col min="8637" max="8637" width="15.5703125" style="3469" customWidth="1"/>
    <col min="8638" max="8638" width="23.140625" style="3469" customWidth="1"/>
    <col min="8639" max="8639" width="15.140625" style="3469" customWidth="1"/>
    <col min="8640" max="8640" width="14.85546875" style="3469" customWidth="1"/>
    <col min="8641" max="8641" width="16.28515625" style="3469" customWidth="1"/>
    <col min="8642" max="8642" width="20.85546875" style="3469" customWidth="1"/>
    <col min="8643" max="8643" width="14.140625" style="3469" customWidth="1"/>
    <col min="8644" max="8644" width="15.7109375" style="3469" bestFit="1" customWidth="1"/>
    <col min="8645" max="8645" width="13.42578125" style="3469" bestFit="1" customWidth="1"/>
    <col min="8646" max="8646" width="17.7109375" style="3469" customWidth="1"/>
    <col min="8647" max="8648" width="13.28515625" style="3469" customWidth="1"/>
    <col min="8649" max="8649" width="11.5703125" style="3469" customWidth="1"/>
    <col min="8650" max="8650" width="16.85546875" style="3469" customWidth="1"/>
    <col min="8651" max="8651" width="13.85546875" style="3469" customWidth="1"/>
    <col min="8652" max="8652" width="15.140625" style="3469" customWidth="1"/>
    <col min="8653" max="8653" width="16.7109375" style="3469" customWidth="1"/>
    <col min="8654" max="8654" width="21.7109375" style="3469" customWidth="1"/>
    <col min="8655" max="8656" width="16.7109375" style="3469" customWidth="1"/>
    <col min="8657" max="8657" width="15" style="3469" customWidth="1"/>
    <col min="8658" max="8658" width="21.7109375" style="3469" customWidth="1"/>
    <col min="8659" max="8659" width="14.140625" style="3469" customWidth="1"/>
    <col min="8660" max="8660" width="13.85546875" style="3469" customWidth="1"/>
    <col min="8661" max="8661" width="12.140625" style="3469" customWidth="1"/>
    <col min="8662" max="8662" width="20.140625" style="3469" customWidth="1"/>
    <col min="8663" max="8663" width="15" style="3469" customWidth="1"/>
    <col min="8664" max="8664" width="12.140625" style="3469" customWidth="1"/>
    <col min="8665" max="8665" width="12" style="3469" customWidth="1"/>
    <col min="8666" max="8666" width="17.5703125" style="3469" customWidth="1"/>
    <col min="8667" max="8667" width="16.5703125" style="3469" customWidth="1"/>
    <col min="8668" max="8668" width="12.5703125" style="3469" customWidth="1"/>
    <col min="8669" max="8669" width="24.85546875" style="3469" customWidth="1"/>
    <col min="8670" max="8670" width="25.42578125" style="3469" customWidth="1"/>
    <col min="8671" max="8672" width="13.5703125" style="3469" customWidth="1"/>
    <col min="8673" max="8673" width="18.7109375" style="3469" customWidth="1"/>
    <col min="8674" max="8674" width="24.5703125" style="3469" customWidth="1"/>
    <col min="8675" max="8675" width="18.5703125" style="3469" customWidth="1"/>
    <col min="8676" max="8676" width="13.28515625" style="3469" customWidth="1"/>
    <col min="8677" max="8677" width="13.140625" style="3469" customWidth="1"/>
    <col min="8678" max="8678" width="18.7109375" style="3469" customWidth="1"/>
    <col min="8679" max="8679" width="12.42578125" style="3469" customWidth="1"/>
    <col min="8680" max="8680" width="13.85546875" style="3469" customWidth="1"/>
    <col min="8681" max="8681" width="6.85546875" style="3469" customWidth="1"/>
    <col min="8682" max="8682" width="23" style="3469" customWidth="1"/>
    <col min="8683" max="8684" width="9.140625" style="3469"/>
    <col min="8685" max="8685" width="12.28515625" style="3469" customWidth="1"/>
    <col min="8686" max="8686" width="22" style="3469" customWidth="1"/>
    <col min="8687" max="8689" width="13.28515625" style="3469" bestFit="1" customWidth="1"/>
    <col min="8690" max="8690" width="21.7109375" style="3469" customWidth="1"/>
    <col min="8691" max="8691" width="18.7109375" style="3469" bestFit="1" customWidth="1"/>
    <col min="8692" max="8693" width="19" style="3469" bestFit="1" customWidth="1"/>
    <col min="8694" max="8700" width="13.28515625" style="3469" bestFit="1" customWidth="1"/>
    <col min="8701" max="8701" width="14.140625" style="3469" bestFit="1" customWidth="1"/>
    <col min="8702" max="8703" width="15.7109375" style="3469" bestFit="1" customWidth="1"/>
    <col min="8704" max="8706" width="14.140625" style="3469" bestFit="1" customWidth="1"/>
    <col min="8707" max="8708" width="15.7109375" style="3469" bestFit="1" customWidth="1"/>
    <col min="8709" max="8710" width="14.140625" style="3469" bestFit="1" customWidth="1"/>
    <col min="8711" max="8729" width="9.140625" style="3469"/>
    <col min="8730" max="8730" width="10" style="3469" bestFit="1" customWidth="1"/>
    <col min="8731" max="8890" width="9.140625" style="3469"/>
    <col min="8891" max="8891" width="43.85546875" style="3469" customWidth="1"/>
    <col min="8892" max="8892" width="7.140625" style="3469" customWidth="1"/>
    <col min="8893" max="8893" width="15.5703125" style="3469" customWidth="1"/>
    <col min="8894" max="8894" width="23.140625" style="3469" customWidth="1"/>
    <col min="8895" max="8895" width="15.140625" style="3469" customWidth="1"/>
    <col min="8896" max="8896" width="14.85546875" style="3469" customWidth="1"/>
    <col min="8897" max="8897" width="16.28515625" style="3469" customWidth="1"/>
    <col min="8898" max="8898" width="20.85546875" style="3469" customWidth="1"/>
    <col min="8899" max="8899" width="14.140625" style="3469" customWidth="1"/>
    <col min="8900" max="8900" width="15.7109375" style="3469" bestFit="1" customWidth="1"/>
    <col min="8901" max="8901" width="13.42578125" style="3469" bestFit="1" customWidth="1"/>
    <col min="8902" max="8902" width="17.7109375" style="3469" customWidth="1"/>
    <col min="8903" max="8904" width="13.28515625" style="3469" customWidth="1"/>
    <col min="8905" max="8905" width="11.5703125" style="3469" customWidth="1"/>
    <col min="8906" max="8906" width="16.85546875" style="3469" customWidth="1"/>
    <col min="8907" max="8907" width="13.85546875" style="3469" customWidth="1"/>
    <col min="8908" max="8908" width="15.140625" style="3469" customWidth="1"/>
    <col min="8909" max="8909" width="16.7109375" style="3469" customWidth="1"/>
    <col min="8910" max="8910" width="21.7109375" style="3469" customWidth="1"/>
    <col min="8911" max="8912" width="16.7109375" style="3469" customWidth="1"/>
    <col min="8913" max="8913" width="15" style="3469" customWidth="1"/>
    <col min="8914" max="8914" width="21.7109375" style="3469" customWidth="1"/>
    <col min="8915" max="8915" width="14.140625" style="3469" customWidth="1"/>
    <col min="8916" max="8916" width="13.85546875" style="3469" customWidth="1"/>
    <col min="8917" max="8917" width="12.140625" style="3469" customWidth="1"/>
    <col min="8918" max="8918" width="20.140625" style="3469" customWidth="1"/>
    <col min="8919" max="8919" width="15" style="3469" customWidth="1"/>
    <col min="8920" max="8920" width="12.140625" style="3469" customWidth="1"/>
    <col min="8921" max="8921" width="12" style="3469" customWidth="1"/>
    <col min="8922" max="8922" width="17.5703125" style="3469" customWidth="1"/>
    <col min="8923" max="8923" width="16.5703125" style="3469" customWidth="1"/>
    <col min="8924" max="8924" width="12.5703125" style="3469" customWidth="1"/>
    <col min="8925" max="8925" width="24.85546875" style="3469" customWidth="1"/>
    <col min="8926" max="8926" width="25.42578125" style="3469" customWidth="1"/>
    <col min="8927" max="8928" width="13.5703125" style="3469" customWidth="1"/>
    <col min="8929" max="8929" width="18.7109375" style="3469" customWidth="1"/>
    <col min="8930" max="8930" width="24.5703125" style="3469" customWidth="1"/>
    <col min="8931" max="8931" width="18.5703125" style="3469" customWidth="1"/>
    <col min="8932" max="8932" width="13.28515625" style="3469" customWidth="1"/>
    <col min="8933" max="8933" width="13.140625" style="3469" customWidth="1"/>
    <col min="8934" max="8934" width="18.7109375" style="3469" customWidth="1"/>
    <col min="8935" max="8935" width="12.42578125" style="3469" customWidth="1"/>
    <col min="8936" max="8936" width="13.85546875" style="3469" customWidth="1"/>
    <col min="8937" max="8937" width="6.85546875" style="3469" customWidth="1"/>
    <col min="8938" max="8938" width="23" style="3469" customWidth="1"/>
    <col min="8939" max="8940" width="9.140625" style="3469"/>
    <col min="8941" max="8941" width="12.28515625" style="3469" customWidth="1"/>
    <col min="8942" max="8942" width="22" style="3469" customWidth="1"/>
    <col min="8943" max="8945" width="13.28515625" style="3469" bestFit="1" customWidth="1"/>
    <col min="8946" max="8946" width="21.7109375" style="3469" customWidth="1"/>
    <col min="8947" max="8947" width="18.7109375" style="3469" bestFit="1" customWidth="1"/>
    <col min="8948" max="8949" width="19" style="3469" bestFit="1" customWidth="1"/>
    <col min="8950" max="8956" width="13.28515625" style="3469" bestFit="1" customWidth="1"/>
    <col min="8957" max="8957" width="14.140625" style="3469" bestFit="1" customWidth="1"/>
    <col min="8958" max="8959" width="15.7109375" style="3469" bestFit="1" customWidth="1"/>
    <col min="8960" max="8962" width="14.140625" style="3469" bestFit="1" customWidth="1"/>
    <col min="8963" max="8964" width="15.7109375" style="3469" bestFit="1" customWidth="1"/>
    <col min="8965" max="8966" width="14.140625" style="3469" bestFit="1" customWidth="1"/>
    <col min="8967" max="8985" width="9.140625" style="3469"/>
    <col min="8986" max="8986" width="10" style="3469" bestFit="1" customWidth="1"/>
    <col min="8987" max="9146" width="9.140625" style="3469"/>
    <col min="9147" max="9147" width="43.85546875" style="3469" customWidth="1"/>
    <col min="9148" max="9148" width="7.140625" style="3469" customWidth="1"/>
    <col min="9149" max="9149" width="15.5703125" style="3469" customWidth="1"/>
    <col min="9150" max="9150" width="23.140625" style="3469" customWidth="1"/>
    <col min="9151" max="9151" width="15.140625" style="3469" customWidth="1"/>
    <col min="9152" max="9152" width="14.85546875" style="3469" customWidth="1"/>
    <col min="9153" max="9153" width="16.28515625" style="3469" customWidth="1"/>
    <col min="9154" max="9154" width="20.85546875" style="3469" customWidth="1"/>
    <col min="9155" max="9155" width="14.140625" style="3469" customWidth="1"/>
    <col min="9156" max="9156" width="15.7109375" style="3469" bestFit="1" customWidth="1"/>
    <col min="9157" max="9157" width="13.42578125" style="3469" bestFit="1" customWidth="1"/>
    <col min="9158" max="9158" width="17.7109375" style="3469" customWidth="1"/>
    <col min="9159" max="9160" width="13.28515625" style="3469" customWidth="1"/>
    <col min="9161" max="9161" width="11.5703125" style="3469" customWidth="1"/>
    <col min="9162" max="9162" width="16.85546875" style="3469" customWidth="1"/>
    <col min="9163" max="9163" width="13.85546875" style="3469" customWidth="1"/>
    <col min="9164" max="9164" width="15.140625" style="3469" customWidth="1"/>
    <col min="9165" max="9165" width="16.7109375" style="3469" customWidth="1"/>
    <col min="9166" max="9166" width="21.7109375" style="3469" customWidth="1"/>
    <col min="9167" max="9168" width="16.7109375" style="3469" customWidth="1"/>
    <col min="9169" max="9169" width="15" style="3469" customWidth="1"/>
    <col min="9170" max="9170" width="21.7109375" style="3469" customWidth="1"/>
    <col min="9171" max="9171" width="14.140625" style="3469" customWidth="1"/>
    <col min="9172" max="9172" width="13.85546875" style="3469" customWidth="1"/>
    <col min="9173" max="9173" width="12.140625" style="3469" customWidth="1"/>
    <col min="9174" max="9174" width="20.140625" style="3469" customWidth="1"/>
    <col min="9175" max="9175" width="15" style="3469" customWidth="1"/>
    <col min="9176" max="9176" width="12.140625" style="3469" customWidth="1"/>
    <col min="9177" max="9177" width="12" style="3469" customWidth="1"/>
    <col min="9178" max="9178" width="17.5703125" style="3469" customWidth="1"/>
    <col min="9179" max="9179" width="16.5703125" style="3469" customWidth="1"/>
    <col min="9180" max="9180" width="12.5703125" style="3469" customWidth="1"/>
    <col min="9181" max="9181" width="24.85546875" style="3469" customWidth="1"/>
    <col min="9182" max="9182" width="25.42578125" style="3469" customWidth="1"/>
    <col min="9183" max="9184" width="13.5703125" style="3469" customWidth="1"/>
    <col min="9185" max="9185" width="18.7109375" style="3469" customWidth="1"/>
    <col min="9186" max="9186" width="24.5703125" style="3469" customWidth="1"/>
    <col min="9187" max="9187" width="18.5703125" style="3469" customWidth="1"/>
    <col min="9188" max="9188" width="13.28515625" style="3469" customWidth="1"/>
    <col min="9189" max="9189" width="13.140625" style="3469" customWidth="1"/>
    <col min="9190" max="9190" width="18.7109375" style="3469" customWidth="1"/>
    <col min="9191" max="9191" width="12.42578125" style="3469" customWidth="1"/>
    <col min="9192" max="9192" width="13.85546875" style="3469" customWidth="1"/>
    <col min="9193" max="9193" width="6.85546875" style="3469" customWidth="1"/>
    <col min="9194" max="9194" width="23" style="3469" customWidth="1"/>
    <col min="9195" max="9196" width="9.140625" style="3469"/>
    <col min="9197" max="9197" width="12.28515625" style="3469" customWidth="1"/>
    <col min="9198" max="9198" width="22" style="3469" customWidth="1"/>
    <col min="9199" max="9201" width="13.28515625" style="3469" bestFit="1" customWidth="1"/>
    <col min="9202" max="9202" width="21.7109375" style="3469" customWidth="1"/>
    <col min="9203" max="9203" width="18.7109375" style="3469" bestFit="1" customWidth="1"/>
    <col min="9204" max="9205" width="19" style="3469" bestFit="1" customWidth="1"/>
    <col min="9206" max="9212" width="13.28515625" style="3469" bestFit="1" customWidth="1"/>
    <col min="9213" max="9213" width="14.140625" style="3469" bestFit="1" customWidth="1"/>
    <col min="9214" max="9215" width="15.7109375" style="3469" bestFit="1" customWidth="1"/>
    <col min="9216" max="9218" width="14.140625" style="3469" bestFit="1" customWidth="1"/>
    <col min="9219" max="9220" width="15.7109375" style="3469" bestFit="1" customWidth="1"/>
    <col min="9221" max="9222" width="14.140625" style="3469" bestFit="1" customWidth="1"/>
    <col min="9223" max="9241" width="9.140625" style="3469"/>
    <col min="9242" max="9242" width="10" style="3469" bestFit="1" customWidth="1"/>
    <col min="9243" max="9402" width="9.140625" style="3469"/>
    <col min="9403" max="9403" width="43.85546875" style="3469" customWidth="1"/>
    <col min="9404" max="9404" width="7.140625" style="3469" customWidth="1"/>
    <col min="9405" max="9405" width="15.5703125" style="3469" customWidth="1"/>
    <col min="9406" max="9406" width="23.140625" style="3469" customWidth="1"/>
    <col min="9407" max="9407" width="15.140625" style="3469" customWidth="1"/>
    <col min="9408" max="9408" width="14.85546875" style="3469" customWidth="1"/>
    <col min="9409" max="9409" width="16.28515625" style="3469" customWidth="1"/>
    <col min="9410" max="9410" width="20.85546875" style="3469" customWidth="1"/>
    <col min="9411" max="9411" width="14.140625" style="3469" customWidth="1"/>
    <col min="9412" max="9412" width="15.7109375" style="3469" bestFit="1" customWidth="1"/>
    <col min="9413" max="9413" width="13.42578125" style="3469" bestFit="1" customWidth="1"/>
    <col min="9414" max="9414" width="17.7109375" style="3469" customWidth="1"/>
    <col min="9415" max="9416" width="13.28515625" style="3469" customWidth="1"/>
    <col min="9417" max="9417" width="11.5703125" style="3469" customWidth="1"/>
    <col min="9418" max="9418" width="16.85546875" style="3469" customWidth="1"/>
    <col min="9419" max="9419" width="13.85546875" style="3469" customWidth="1"/>
    <col min="9420" max="9420" width="15.140625" style="3469" customWidth="1"/>
    <col min="9421" max="9421" width="16.7109375" style="3469" customWidth="1"/>
    <col min="9422" max="9422" width="21.7109375" style="3469" customWidth="1"/>
    <col min="9423" max="9424" width="16.7109375" style="3469" customWidth="1"/>
    <col min="9425" max="9425" width="15" style="3469" customWidth="1"/>
    <col min="9426" max="9426" width="21.7109375" style="3469" customWidth="1"/>
    <col min="9427" max="9427" width="14.140625" style="3469" customWidth="1"/>
    <col min="9428" max="9428" width="13.85546875" style="3469" customWidth="1"/>
    <col min="9429" max="9429" width="12.140625" style="3469" customWidth="1"/>
    <col min="9430" max="9430" width="20.140625" style="3469" customWidth="1"/>
    <col min="9431" max="9431" width="15" style="3469" customWidth="1"/>
    <col min="9432" max="9432" width="12.140625" style="3469" customWidth="1"/>
    <col min="9433" max="9433" width="12" style="3469" customWidth="1"/>
    <col min="9434" max="9434" width="17.5703125" style="3469" customWidth="1"/>
    <col min="9435" max="9435" width="16.5703125" style="3469" customWidth="1"/>
    <col min="9436" max="9436" width="12.5703125" style="3469" customWidth="1"/>
    <col min="9437" max="9437" width="24.85546875" style="3469" customWidth="1"/>
    <col min="9438" max="9438" width="25.42578125" style="3469" customWidth="1"/>
    <col min="9439" max="9440" width="13.5703125" style="3469" customWidth="1"/>
    <col min="9441" max="9441" width="18.7109375" style="3469" customWidth="1"/>
    <col min="9442" max="9442" width="24.5703125" style="3469" customWidth="1"/>
    <col min="9443" max="9443" width="18.5703125" style="3469" customWidth="1"/>
    <col min="9444" max="9444" width="13.28515625" style="3469" customWidth="1"/>
    <col min="9445" max="9445" width="13.140625" style="3469" customWidth="1"/>
    <col min="9446" max="9446" width="18.7109375" style="3469" customWidth="1"/>
    <col min="9447" max="9447" width="12.42578125" style="3469" customWidth="1"/>
    <col min="9448" max="9448" width="13.85546875" style="3469" customWidth="1"/>
    <col min="9449" max="9449" width="6.85546875" style="3469" customWidth="1"/>
    <col min="9450" max="9450" width="23" style="3469" customWidth="1"/>
    <col min="9451" max="9452" width="9.140625" style="3469"/>
    <col min="9453" max="9453" width="12.28515625" style="3469" customWidth="1"/>
    <col min="9454" max="9454" width="22" style="3469" customWidth="1"/>
    <col min="9455" max="9457" width="13.28515625" style="3469" bestFit="1" customWidth="1"/>
    <col min="9458" max="9458" width="21.7109375" style="3469" customWidth="1"/>
    <col min="9459" max="9459" width="18.7109375" style="3469" bestFit="1" customWidth="1"/>
    <col min="9460" max="9461" width="19" style="3469" bestFit="1" customWidth="1"/>
    <col min="9462" max="9468" width="13.28515625" style="3469" bestFit="1" customWidth="1"/>
    <col min="9469" max="9469" width="14.140625" style="3469" bestFit="1" customWidth="1"/>
    <col min="9470" max="9471" width="15.7109375" style="3469" bestFit="1" customWidth="1"/>
    <col min="9472" max="9474" width="14.140625" style="3469" bestFit="1" customWidth="1"/>
    <col min="9475" max="9476" width="15.7109375" style="3469" bestFit="1" customWidth="1"/>
    <col min="9477" max="9478" width="14.140625" style="3469" bestFit="1" customWidth="1"/>
    <col min="9479" max="9497" width="9.140625" style="3469"/>
    <col min="9498" max="9498" width="10" style="3469" bestFit="1" customWidth="1"/>
    <col min="9499" max="9658" width="9.140625" style="3469"/>
    <col min="9659" max="9659" width="43.85546875" style="3469" customWidth="1"/>
    <col min="9660" max="9660" width="7.140625" style="3469" customWidth="1"/>
    <col min="9661" max="9661" width="15.5703125" style="3469" customWidth="1"/>
    <col min="9662" max="9662" width="23.140625" style="3469" customWidth="1"/>
    <col min="9663" max="9663" width="15.140625" style="3469" customWidth="1"/>
    <col min="9664" max="9664" width="14.85546875" style="3469" customWidth="1"/>
    <col min="9665" max="9665" width="16.28515625" style="3469" customWidth="1"/>
    <col min="9666" max="9666" width="20.85546875" style="3469" customWidth="1"/>
    <col min="9667" max="9667" width="14.140625" style="3469" customWidth="1"/>
    <col min="9668" max="9668" width="15.7109375" style="3469" bestFit="1" customWidth="1"/>
    <col min="9669" max="9669" width="13.42578125" style="3469" bestFit="1" customWidth="1"/>
    <col min="9670" max="9670" width="17.7109375" style="3469" customWidth="1"/>
    <col min="9671" max="9672" width="13.28515625" style="3469" customWidth="1"/>
    <col min="9673" max="9673" width="11.5703125" style="3469" customWidth="1"/>
    <col min="9674" max="9674" width="16.85546875" style="3469" customWidth="1"/>
    <col min="9675" max="9675" width="13.85546875" style="3469" customWidth="1"/>
    <col min="9676" max="9676" width="15.140625" style="3469" customWidth="1"/>
    <col min="9677" max="9677" width="16.7109375" style="3469" customWidth="1"/>
    <col min="9678" max="9678" width="21.7109375" style="3469" customWidth="1"/>
    <col min="9679" max="9680" width="16.7109375" style="3469" customWidth="1"/>
    <col min="9681" max="9681" width="15" style="3469" customWidth="1"/>
    <col min="9682" max="9682" width="21.7109375" style="3469" customWidth="1"/>
    <col min="9683" max="9683" width="14.140625" style="3469" customWidth="1"/>
    <col min="9684" max="9684" width="13.85546875" style="3469" customWidth="1"/>
    <col min="9685" max="9685" width="12.140625" style="3469" customWidth="1"/>
    <col min="9686" max="9686" width="20.140625" style="3469" customWidth="1"/>
    <col min="9687" max="9687" width="15" style="3469" customWidth="1"/>
    <col min="9688" max="9688" width="12.140625" style="3469" customWidth="1"/>
    <col min="9689" max="9689" width="12" style="3469" customWidth="1"/>
    <col min="9690" max="9690" width="17.5703125" style="3469" customWidth="1"/>
    <col min="9691" max="9691" width="16.5703125" style="3469" customWidth="1"/>
    <col min="9692" max="9692" width="12.5703125" style="3469" customWidth="1"/>
    <col min="9693" max="9693" width="24.85546875" style="3469" customWidth="1"/>
    <col min="9694" max="9694" width="25.42578125" style="3469" customWidth="1"/>
    <col min="9695" max="9696" width="13.5703125" style="3469" customWidth="1"/>
    <col min="9697" max="9697" width="18.7109375" style="3469" customWidth="1"/>
    <col min="9698" max="9698" width="24.5703125" style="3469" customWidth="1"/>
    <col min="9699" max="9699" width="18.5703125" style="3469" customWidth="1"/>
    <col min="9700" max="9700" width="13.28515625" style="3469" customWidth="1"/>
    <col min="9701" max="9701" width="13.140625" style="3469" customWidth="1"/>
    <col min="9702" max="9702" width="18.7109375" style="3469" customWidth="1"/>
    <col min="9703" max="9703" width="12.42578125" style="3469" customWidth="1"/>
    <col min="9704" max="9704" width="13.85546875" style="3469" customWidth="1"/>
    <col min="9705" max="9705" width="6.85546875" style="3469" customWidth="1"/>
    <col min="9706" max="9706" width="23" style="3469" customWidth="1"/>
    <col min="9707" max="9708" width="9.140625" style="3469"/>
    <col min="9709" max="9709" width="12.28515625" style="3469" customWidth="1"/>
    <col min="9710" max="9710" width="22" style="3469" customWidth="1"/>
    <col min="9711" max="9713" width="13.28515625" style="3469" bestFit="1" customWidth="1"/>
    <col min="9714" max="9714" width="21.7109375" style="3469" customWidth="1"/>
    <col min="9715" max="9715" width="18.7109375" style="3469" bestFit="1" customWidth="1"/>
    <col min="9716" max="9717" width="19" style="3469" bestFit="1" customWidth="1"/>
    <col min="9718" max="9724" width="13.28515625" style="3469" bestFit="1" customWidth="1"/>
    <col min="9725" max="9725" width="14.140625" style="3469" bestFit="1" customWidth="1"/>
    <col min="9726" max="9727" width="15.7109375" style="3469" bestFit="1" customWidth="1"/>
    <col min="9728" max="9730" width="14.140625" style="3469" bestFit="1" customWidth="1"/>
    <col min="9731" max="9732" width="15.7109375" style="3469" bestFit="1" customWidth="1"/>
    <col min="9733" max="9734" width="14.140625" style="3469" bestFit="1" customWidth="1"/>
    <col min="9735" max="9753" width="9.140625" style="3469"/>
    <col min="9754" max="9754" width="10" style="3469" bestFit="1" customWidth="1"/>
    <col min="9755" max="9914" width="9.140625" style="3469"/>
    <col min="9915" max="9915" width="43.85546875" style="3469" customWidth="1"/>
    <col min="9916" max="9916" width="7.140625" style="3469" customWidth="1"/>
    <col min="9917" max="9917" width="15.5703125" style="3469" customWidth="1"/>
    <col min="9918" max="9918" width="23.140625" style="3469" customWidth="1"/>
    <col min="9919" max="9919" width="15.140625" style="3469" customWidth="1"/>
    <col min="9920" max="9920" width="14.85546875" style="3469" customWidth="1"/>
    <col min="9921" max="9921" width="16.28515625" style="3469" customWidth="1"/>
    <col min="9922" max="9922" width="20.85546875" style="3469" customWidth="1"/>
    <col min="9923" max="9923" width="14.140625" style="3469" customWidth="1"/>
    <col min="9924" max="9924" width="15.7109375" style="3469" bestFit="1" customWidth="1"/>
    <col min="9925" max="9925" width="13.42578125" style="3469" bestFit="1" customWidth="1"/>
    <col min="9926" max="9926" width="17.7109375" style="3469" customWidth="1"/>
    <col min="9927" max="9928" width="13.28515625" style="3469" customWidth="1"/>
    <col min="9929" max="9929" width="11.5703125" style="3469" customWidth="1"/>
    <col min="9930" max="9930" width="16.85546875" style="3469" customWidth="1"/>
    <col min="9931" max="9931" width="13.85546875" style="3469" customWidth="1"/>
    <col min="9932" max="9932" width="15.140625" style="3469" customWidth="1"/>
    <col min="9933" max="9933" width="16.7109375" style="3469" customWidth="1"/>
    <col min="9934" max="9934" width="21.7109375" style="3469" customWidth="1"/>
    <col min="9935" max="9936" width="16.7109375" style="3469" customWidth="1"/>
    <col min="9937" max="9937" width="15" style="3469" customWidth="1"/>
    <col min="9938" max="9938" width="21.7109375" style="3469" customWidth="1"/>
    <col min="9939" max="9939" width="14.140625" style="3469" customWidth="1"/>
    <col min="9940" max="9940" width="13.85546875" style="3469" customWidth="1"/>
    <col min="9941" max="9941" width="12.140625" style="3469" customWidth="1"/>
    <col min="9942" max="9942" width="20.140625" style="3469" customWidth="1"/>
    <col min="9943" max="9943" width="15" style="3469" customWidth="1"/>
    <col min="9944" max="9944" width="12.140625" style="3469" customWidth="1"/>
    <col min="9945" max="9945" width="12" style="3469" customWidth="1"/>
    <col min="9946" max="9946" width="17.5703125" style="3469" customWidth="1"/>
    <col min="9947" max="9947" width="16.5703125" style="3469" customWidth="1"/>
    <col min="9948" max="9948" width="12.5703125" style="3469" customWidth="1"/>
    <col min="9949" max="9949" width="24.85546875" style="3469" customWidth="1"/>
    <col min="9950" max="9950" width="25.42578125" style="3469" customWidth="1"/>
    <col min="9951" max="9952" width="13.5703125" style="3469" customWidth="1"/>
    <col min="9953" max="9953" width="18.7109375" style="3469" customWidth="1"/>
    <col min="9954" max="9954" width="24.5703125" style="3469" customWidth="1"/>
    <col min="9955" max="9955" width="18.5703125" style="3469" customWidth="1"/>
    <col min="9956" max="9956" width="13.28515625" style="3469" customWidth="1"/>
    <col min="9957" max="9957" width="13.140625" style="3469" customWidth="1"/>
    <col min="9958" max="9958" width="18.7109375" style="3469" customWidth="1"/>
    <col min="9959" max="9959" width="12.42578125" style="3469" customWidth="1"/>
    <col min="9960" max="9960" width="13.85546875" style="3469" customWidth="1"/>
    <col min="9961" max="9961" width="6.85546875" style="3469" customWidth="1"/>
    <col min="9962" max="9962" width="23" style="3469" customWidth="1"/>
    <col min="9963" max="9964" width="9.140625" style="3469"/>
    <col min="9965" max="9965" width="12.28515625" style="3469" customWidth="1"/>
    <col min="9966" max="9966" width="22" style="3469" customWidth="1"/>
    <col min="9967" max="9969" width="13.28515625" style="3469" bestFit="1" customWidth="1"/>
    <col min="9970" max="9970" width="21.7109375" style="3469" customWidth="1"/>
    <col min="9971" max="9971" width="18.7109375" style="3469" bestFit="1" customWidth="1"/>
    <col min="9972" max="9973" width="19" style="3469" bestFit="1" customWidth="1"/>
    <col min="9974" max="9980" width="13.28515625" style="3469" bestFit="1" customWidth="1"/>
    <col min="9981" max="9981" width="14.140625" style="3469" bestFit="1" customWidth="1"/>
    <col min="9982" max="9983" width="15.7109375" style="3469" bestFit="1" customWidth="1"/>
    <col min="9984" max="9986" width="14.140625" style="3469" bestFit="1" customWidth="1"/>
    <col min="9987" max="9988" width="15.7109375" style="3469" bestFit="1" customWidth="1"/>
    <col min="9989" max="9990" width="14.140625" style="3469" bestFit="1" customWidth="1"/>
    <col min="9991" max="10009" width="9.140625" style="3469"/>
    <col min="10010" max="10010" width="10" style="3469" bestFit="1" customWidth="1"/>
    <col min="10011" max="10170" width="9.140625" style="3469"/>
    <col min="10171" max="10171" width="43.85546875" style="3469" customWidth="1"/>
    <col min="10172" max="10172" width="7.140625" style="3469" customWidth="1"/>
    <col min="10173" max="10173" width="15.5703125" style="3469" customWidth="1"/>
    <col min="10174" max="10174" width="23.140625" style="3469" customWidth="1"/>
    <col min="10175" max="10175" width="15.140625" style="3469" customWidth="1"/>
    <col min="10176" max="10176" width="14.85546875" style="3469" customWidth="1"/>
    <col min="10177" max="10177" width="16.28515625" style="3469" customWidth="1"/>
    <col min="10178" max="10178" width="20.85546875" style="3469" customWidth="1"/>
    <col min="10179" max="10179" width="14.140625" style="3469" customWidth="1"/>
    <col min="10180" max="10180" width="15.7109375" style="3469" bestFit="1" customWidth="1"/>
    <col min="10181" max="10181" width="13.42578125" style="3469" bestFit="1" customWidth="1"/>
    <col min="10182" max="10182" width="17.7109375" style="3469" customWidth="1"/>
    <col min="10183" max="10184" width="13.28515625" style="3469" customWidth="1"/>
    <col min="10185" max="10185" width="11.5703125" style="3469" customWidth="1"/>
    <col min="10186" max="10186" width="16.85546875" style="3469" customWidth="1"/>
    <col min="10187" max="10187" width="13.85546875" style="3469" customWidth="1"/>
    <col min="10188" max="10188" width="15.140625" style="3469" customWidth="1"/>
    <col min="10189" max="10189" width="16.7109375" style="3469" customWidth="1"/>
    <col min="10190" max="10190" width="21.7109375" style="3469" customWidth="1"/>
    <col min="10191" max="10192" width="16.7109375" style="3469" customWidth="1"/>
    <col min="10193" max="10193" width="15" style="3469" customWidth="1"/>
    <col min="10194" max="10194" width="21.7109375" style="3469" customWidth="1"/>
    <col min="10195" max="10195" width="14.140625" style="3469" customWidth="1"/>
    <col min="10196" max="10196" width="13.85546875" style="3469" customWidth="1"/>
    <col min="10197" max="10197" width="12.140625" style="3469" customWidth="1"/>
    <col min="10198" max="10198" width="20.140625" style="3469" customWidth="1"/>
    <col min="10199" max="10199" width="15" style="3469" customWidth="1"/>
    <col min="10200" max="10200" width="12.140625" style="3469" customWidth="1"/>
    <col min="10201" max="10201" width="12" style="3469" customWidth="1"/>
    <col min="10202" max="10202" width="17.5703125" style="3469" customWidth="1"/>
    <col min="10203" max="10203" width="16.5703125" style="3469" customWidth="1"/>
    <col min="10204" max="10204" width="12.5703125" style="3469" customWidth="1"/>
    <col min="10205" max="10205" width="24.85546875" style="3469" customWidth="1"/>
    <col min="10206" max="10206" width="25.42578125" style="3469" customWidth="1"/>
    <col min="10207" max="10208" width="13.5703125" style="3469" customWidth="1"/>
    <col min="10209" max="10209" width="18.7109375" style="3469" customWidth="1"/>
    <col min="10210" max="10210" width="24.5703125" style="3469" customWidth="1"/>
    <col min="10211" max="10211" width="18.5703125" style="3469" customWidth="1"/>
    <col min="10212" max="10212" width="13.28515625" style="3469" customWidth="1"/>
    <col min="10213" max="10213" width="13.140625" style="3469" customWidth="1"/>
    <col min="10214" max="10214" width="18.7109375" style="3469" customWidth="1"/>
    <col min="10215" max="10215" width="12.42578125" style="3469" customWidth="1"/>
    <col min="10216" max="10216" width="13.85546875" style="3469" customWidth="1"/>
    <col min="10217" max="10217" width="6.85546875" style="3469" customWidth="1"/>
    <col min="10218" max="10218" width="23" style="3469" customWidth="1"/>
    <col min="10219" max="10220" width="9.140625" style="3469"/>
    <col min="10221" max="10221" width="12.28515625" style="3469" customWidth="1"/>
    <col min="10222" max="10222" width="22" style="3469" customWidth="1"/>
    <col min="10223" max="10225" width="13.28515625" style="3469" bestFit="1" customWidth="1"/>
    <col min="10226" max="10226" width="21.7109375" style="3469" customWidth="1"/>
    <col min="10227" max="10227" width="18.7109375" style="3469" bestFit="1" customWidth="1"/>
    <col min="10228" max="10229" width="19" style="3469" bestFit="1" customWidth="1"/>
    <col min="10230" max="10236" width="13.28515625" style="3469" bestFit="1" customWidth="1"/>
    <col min="10237" max="10237" width="14.140625" style="3469" bestFit="1" customWidth="1"/>
    <col min="10238" max="10239" width="15.7109375" style="3469" bestFit="1" customWidth="1"/>
    <col min="10240" max="10242" width="14.140625" style="3469" bestFit="1" customWidth="1"/>
    <col min="10243" max="10244" width="15.7109375" style="3469" bestFit="1" customWidth="1"/>
    <col min="10245" max="10246" width="14.140625" style="3469" bestFit="1" customWidth="1"/>
    <col min="10247" max="10265" width="9.140625" style="3469"/>
    <col min="10266" max="10266" width="10" style="3469" bestFit="1" customWidth="1"/>
    <col min="10267" max="10426" width="9.140625" style="3469"/>
    <col min="10427" max="10427" width="43.85546875" style="3469" customWidth="1"/>
    <col min="10428" max="10428" width="7.140625" style="3469" customWidth="1"/>
    <col min="10429" max="10429" width="15.5703125" style="3469" customWidth="1"/>
    <col min="10430" max="10430" width="23.140625" style="3469" customWidth="1"/>
    <col min="10431" max="10431" width="15.140625" style="3469" customWidth="1"/>
    <col min="10432" max="10432" width="14.85546875" style="3469" customWidth="1"/>
    <col min="10433" max="10433" width="16.28515625" style="3469" customWidth="1"/>
    <col min="10434" max="10434" width="20.85546875" style="3469" customWidth="1"/>
    <col min="10435" max="10435" width="14.140625" style="3469" customWidth="1"/>
    <col min="10436" max="10436" width="15.7109375" style="3469" bestFit="1" customWidth="1"/>
    <col min="10437" max="10437" width="13.42578125" style="3469" bestFit="1" customWidth="1"/>
    <col min="10438" max="10438" width="17.7109375" style="3469" customWidth="1"/>
    <col min="10439" max="10440" width="13.28515625" style="3469" customWidth="1"/>
    <col min="10441" max="10441" width="11.5703125" style="3469" customWidth="1"/>
    <col min="10442" max="10442" width="16.85546875" style="3469" customWidth="1"/>
    <col min="10443" max="10443" width="13.85546875" style="3469" customWidth="1"/>
    <col min="10444" max="10444" width="15.140625" style="3469" customWidth="1"/>
    <col min="10445" max="10445" width="16.7109375" style="3469" customWidth="1"/>
    <col min="10446" max="10446" width="21.7109375" style="3469" customWidth="1"/>
    <col min="10447" max="10448" width="16.7109375" style="3469" customWidth="1"/>
    <col min="10449" max="10449" width="15" style="3469" customWidth="1"/>
    <col min="10450" max="10450" width="21.7109375" style="3469" customWidth="1"/>
    <col min="10451" max="10451" width="14.140625" style="3469" customWidth="1"/>
    <col min="10452" max="10452" width="13.85546875" style="3469" customWidth="1"/>
    <col min="10453" max="10453" width="12.140625" style="3469" customWidth="1"/>
    <col min="10454" max="10454" width="20.140625" style="3469" customWidth="1"/>
    <col min="10455" max="10455" width="15" style="3469" customWidth="1"/>
    <col min="10456" max="10456" width="12.140625" style="3469" customWidth="1"/>
    <col min="10457" max="10457" width="12" style="3469" customWidth="1"/>
    <col min="10458" max="10458" width="17.5703125" style="3469" customWidth="1"/>
    <col min="10459" max="10459" width="16.5703125" style="3469" customWidth="1"/>
    <col min="10460" max="10460" width="12.5703125" style="3469" customWidth="1"/>
    <col min="10461" max="10461" width="24.85546875" style="3469" customWidth="1"/>
    <col min="10462" max="10462" width="25.42578125" style="3469" customWidth="1"/>
    <col min="10463" max="10464" width="13.5703125" style="3469" customWidth="1"/>
    <col min="10465" max="10465" width="18.7109375" style="3469" customWidth="1"/>
    <col min="10466" max="10466" width="24.5703125" style="3469" customWidth="1"/>
    <col min="10467" max="10467" width="18.5703125" style="3469" customWidth="1"/>
    <col min="10468" max="10468" width="13.28515625" style="3469" customWidth="1"/>
    <col min="10469" max="10469" width="13.140625" style="3469" customWidth="1"/>
    <col min="10470" max="10470" width="18.7109375" style="3469" customWidth="1"/>
    <col min="10471" max="10471" width="12.42578125" style="3469" customWidth="1"/>
    <col min="10472" max="10472" width="13.85546875" style="3469" customWidth="1"/>
    <col min="10473" max="10473" width="6.85546875" style="3469" customWidth="1"/>
    <col min="10474" max="10474" width="23" style="3469" customWidth="1"/>
    <col min="10475" max="10476" width="9.140625" style="3469"/>
    <col min="10477" max="10477" width="12.28515625" style="3469" customWidth="1"/>
    <col min="10478" max="10478" width="22" style="3469" customWidth="1"/>
    <col min="10479" max="10481" width="13.28515625" style="3469" bestFit="1" customWidth="1"/>
    <col min="10482" max="10482" width="21.7109375" style="3469" customWidth="1"/>
    <col min="10483" max="10483" width="18.7109375" style="3469" bestFit="1" customWidth="1"/>
    <col min="10484" max="10485" width="19" style="3469" bestFit="1" customWidth="1"/>
    <col min="10486" max="10492" width="13.28515625" style="3469" bestFit="1" customWidth="1"/>
    <col min="10493" max="10493" width="14.140625" style="3469" bestFit="1" customWidth="1"/>
    <col min="10494" max="10495" width="15.7109375" style="3469" bestFit="1" customWidth="1"/>
    <col min="10496" max="10498" width="14.140625" style="3469" bestFit="1" customWidth="1"/>
    <col min="10499" max="10500" width="15.7109375" style="3469" bestFit="1" customWidth="1"/>
    <col min="10501" max="10502" width="14.140625" style="3469" bestFit="1" customWidth="1"/>
    <col min="10503" max="10521" width="9.140625" style="3469"/>
    <col min="10522" max="10522" width="10" style="3469" bestFit="1" customWidth="1"/>
    <col min="10523" max="10682" width="9.140625" style="3469"/>
    <col min="10683" max="10683" width="43.85546875" style="3469" customWidth="1"/>
    <col min="10684" max="10684" width="7.140625" style="3469" customWidth="1"/>
    <col min="10685" max="10685" width="15.5703125" style="3469" customWidth="1"/>
    <col min="10686" max="10686" width="23.140625" style="3469" customWidth="1"/>
    <col min="10687" max="10687" width="15.140625" style="3469" customWidth="1"/>
    <col min="10688" max="10688" width="14.85546875" style="3469" customWidth="1"/>
    <col min="10689" max="10689" width="16.28515625" style="3469" customWidth="1"/>
    <col min="10690" max="10690" width="20.85546875" style="3469" customWidth="1"/>
    <col min="10691" max="10691" width="14.140625" style="3469" customWidth="1"/>
    <col min="10692" max="10692" width="15.7109375" style="3469" bestFit="1" customWidth="1"/>
    <col min="10693" max="10693" width="13.42578125" style="3469" bestFit="1" customWidth="1"/>
    <col min="10694" max="10694" width="17.7109375" style="3469" customWidth="1"/>
    <col min="10695" max="10696" width="13.28515625" style="3469" customWidth="1"/>
    <col min="10697" max="10697" width="11.5703125" style="3469" customWidth="1"/>
    <col min="10698" max="10698" width="16.85546875" style="3469" customWidth="1"/>
    <col min="10699" max="10699" width="13.85546875" style="3469" customWidth="1"/>
    <col min="10700" max="10700" width="15.140625" style="3469" customWidth="1"/>
    <col min="10701" max="10701" width="16.7109375" style="3469" customWidth="1"/>
    <col min="10702" max="10702" width="21.7109375" style="3469" customWidth="1"/>
    <col min="10703" max="10704" width="16.7109375" style="3469" customWidth="1"/>
    <col min="10705" max="10705" width="15" style="3469" customWidth="1"/>
    <col min="10706" max="10706" width="21.7109375" style="3469" customWidth="1"/>
    <col min="10707" max="10707" width="14.140625" style="3469" customWidth="1"/>
    <col min="10708" max="10708" width="13.85546875" style="3469" customWidth="1"/>
    <col min="10709" max="10709" width="12.140625" style="3469" customWidth="1"/>
    <col min="10710" max="10710" width="20.140625" style="3469" customWidth="1"/>
    <col min="10711" max="10711" width="15" style="3469" customWidth="1"/>
    <col min="10712" max="10712" width="12.140625" style="3469" customWidth="1"/>
    <col min="10713" max="10713" width="12" style="3469" customWidth="1"/>
    <col min="10714" max="10714" width="17.5703125" style="3469" customWidth="1"/>
    <col min="10715" max="10715" width="16.5703125" style="3469" customWidth="1"/>
    <col min="10716" max="10716" width="12.5703125" style="3469" customWidth="1"/>
    <col min="10717" max="10717" width="24.85546875" style="3469" customWidth="1"/>
    <col min="10718" max="10718" width="25.42578125" style="3469" customWidth="1"/>
    <col min="10719" max="10720" width="13.5703125" style="3469" customWidth="1"/>
    <col min="10721" max="10721" width="18.7109375" style="3469" customWidth="1"/>
    <col min="10722" max="10722" width="24.5703125" style="3469" customWidth="1"/>
    <col min="10723" max="10723" width="18.5703125" style="3469" customWidth="1"/>
    <col min="10724" max="10724" width="13.28515625" style="3469" customWidth="1"/>
    <col min="10725" max="10725" width="13.140625" style="3469" customWidth="1"/>
    <col min="10726" max="10726" width="18.7109375" style="3469" customWidth="1"/>
    <col min="10727" max="10727" width="12.42578125" style="3469" customWidth="1"/>
    <col min="10728" max="10728" width="13.85546875" style="3469" customWidth="1"/>
    <col min="10729" max="10729" width="6.85546875" style="3469" customWidth="1"/>
    <col min="10730" max="10730" width="23" style="3469" customWidth="1"/>
    <col min="10731" max="10732" width="9.140625" style="3469"/>
    <col min="10733" max="10733" width="12.28515625" style="3469" customWidth="1"/>
    <col min="10734" max="10734" width="22" style="3469" customWidth="1"/>
    <col min="10735" max="10737" width="13.28515625" style="3469" bestFit="1" customWidth="1"/>
    <col min="10738" max="10738" width="21.7109375" style="3469" customWidth="1"/>
    <col min="10739" max="10739" width="18.7109375" style="3469" bestFit="1" customWidth="1"/>
    <col min="10740" max="10741" width="19" style="3469" bestFit="1" customWidth="1"/>
    <col min="10742" max="10748" width="13.28515625" style="3469" bestFit="1" customWidth="1"/>
    <col min="10749" max="10749" width="14.140625" style="3469" bestFit="1" customWidth="1"/>
    <col min="10750" max="10751" width="15.7109375" style="3469" bestFit="1" customWidth="1"/>
    <col min="10752" max="10754" width="14.140625" style="3469" bestFit="1" customWidth="1"/>
    <col min="10755" max="10756" width="15.7109375" style="3469" bestFit="1" customWidth="1"/>
    <col min="10757" max="10758" width="14.140625" style="3469" bestFit="1" customWidth="1"/>
    <col min="10759" max="10777" width="9.140625" style="3469"/>
    <col min="10778" max="10778" width="10" style="3469" bestFit="1" customWidth="1"/>
    <col min="10779" max="10938" width="9.140625" style="3469"/>
    <col min="10939" max="10939" width="43.85546875" style="3469" customWidth="1"/>
    <col min="10940" max="10940" width="7.140625" style="3469" customWidth="1"/>
    <col min="10941" max="10941" width="15.5703125" style="3469" customWidth="1"/>
    <col min="10942" max="10942" width="23.140625" style="3469" customWidth="1"/>
    <col min="10943" max="10943" width="15.140625" style="3469" customWidth="1"/>
    <col min="10944" max="10944" width="14.85546875" style="3469" customWidth="1"/>
    <col min="10945" max="10945" width="16.28515625" style="3469" customWidth="1"/>
    <col min="10946" max="10946" width="20.85546875" style="3469" customWidth="1"/>
    <col min="10947" max="10947" width="14.140625" style="3469" customWidth="1"/>
    <col min="10948" max="10948" width="15.7109375" style="3469" bestFit="1" customWidth="1"/>
    <col min="10949" max="10949" width="13.42578125" style="3469" bestFit="1" customWidth="1"/>
    <col min="10950" max="10950" width="17.7109375" style="3469" customWidth="1"/>
    <col min="10951" max="10952" width="13.28515625" style="3469" customWidth="1"/>
    <col min="10953" max="10953" width="11.5703125" style="3469" customWidth="1"/>
    <col min="10954" max="10954" width="16.85546875" style="3469" customWidth="1"/>
    <col min="10955" max="10955" width="13.85546875" style="3469" customWidth="1"/>
    <col min="10956" max="10956" width="15.140625" style="3469" customWidth="1"/>
    <col min="10957" max="10957" width="16.7109375" style="3469" customWidth="1"/>
    <col min="10958" max="10958" width="21.7109375" style="3469" customWidth="1"/>
    <col min="10959" max="10960" width="16.7109375" style="3469" customWidth="1"/>
    <col min="10961" max="10961" width="15" style="3469" customWidth="1"/>
    <col min="10962" max="10962" width="21.7109375" style="3469" customWidth="1"/>
    <col min="10963" max="10963" width="14.140625" style="3469" customWidth="1"/>
    <col min="10964" max="10964" width="13.85546875" style="3469" customWidth="1"/>
    <col min="10965" max="10965" width="12.140625" style="3469" customWidth="1"/>
    <col min="10966" max="10966" width="20.140625" style="3469" customWidth="1"/>
    <col min="10967" max="10967" width="15" style="3469" customWidth="1"/>
    <col min="10968" max="10968" width="12.140625" style="3469" customWidth="1"/>
    <col min="10969" max="10969" width="12" style="3469" customWidth="1"/>
    <col min="10970" max="10970" width="17.5703125" style="3469" customWidth="1"/>
    <col min="10971" max="10971" width="16.5703125" style="3469" customWidth="1"/>
    <col min="10972" max="10972" width="12.5703125" style="3469" customWidth="1"/>
    <col min="10973" max="10973" width="24.85546875" style="3469" customWidth="1"/>
    <col min="10974" max="10974" width="25.42578125" style="3469" customWidth="1"/>
    <col min="10975" max="10976" width="13.5703125" style="3469" customWidth="1"/>
    <col min="10977" max="10977" width="18.7109375" style="3469" customWidth="1"/>
    <col min="10978" max="10978" width="24.5703125" style="3469" customWidth="1"/>
    <col min="10979" max="10979" width="18.5703125" style="3469" customWidth="1"/>
    <col min="10980" max="10980" width="13.28515625" style="3469" customWidth="1"/>
    <col min="10981" max="10981" width="13.140625" style="3469" customWidth="1"/>
    <col min="10982" max="10982" width="18.7109375" style="3469" customWidth="1"/>
    <col min="10983" max="10983" width="12.42578125" style="3469" customWidth="1"/>
    <col min="10984" max="10984" width="13.85546875" style="3469" customWidth="1"/>
    <col min="10985" max="10985" width="6.85546875" style="3469" customWidth="1"/>
    <col min="10986" max="10986" width="23" style="3469" customWidth="1"/>
    <col min="10987" max="10988" width="9.140625" style="3469"/>
    <col min="10989" max="10989" width="12.28515625" style="3469" customWidth="1"/>
    <col min="10990" max="10990" width="22" style="3469" customWidth="1"/>
    <col min="10991" max="10993" width="13.28515625" style="3469" bestFit="1" customWidth="1"/>
    <col min="10994" max="10994" width="21.7109375" style="3469" customWidth="1"/>
    <col min="10995" max="10995" width="18.7109375" style="3469" bestFit="1" customWidth="1"/>
    <col min="10996" max="10997" width="19" style="3469" bestFit="1" customWidth="1"/>
    <col min="10998" max="11004" width="13.28515625" style="3469" bestFit="1" customWidth="1"/>
    <col min="11005" max="11005" width="14.140625" style="3469" bestFit="1" customWidth="1"/>
    <col min="11006" max="11007" width="15.7109375" style="3469" bestFit="1" customWidth="1"/>
    <col min="11008" max="11010" width="14.140625" style="3469" bestFit="1" customWidth="1"/>
    <col min="11011" max="11012" width="15.7109375" style="3469" bestFit="1" customWidth="1"/>
    <col min="11013" max="11014" width="14.140625" style="3469" bestFit="1" customWidth="1"/>
    <col min="11015" max="11033" width="9.140625" style="3469"/>
    <col min="11034" max="11034" width="10" style="3469" bestFit="1" customWidth="1"/>
    <col min="11035" max="11194" width="9.140625" style="3469"/>
    <col min="11195" max="11195" width="43.85546875" style="3469" customWidth="1"/>
    <col min="11196" max="11196" width="7.140625" style="3469" customWidth="1"/>
    <col min="11197" max="11197" width="15.5703125" style="3469" customWidth="1"/>
    <col min="11198" max="11198" width="23.140625" style="3469" customWidth="1"/>
    <col min="11199" max="11199" width="15.140625" style="3469" customWidth="1"/>
    <col min="11200" max="11200" width="14.85546875" style="3469" customWidth="1"/>
    <col min="11201" max="11201" width="16.28515625" style="3469" customWidth="1"/>
    <col min="11202" max="11202" width="20.85546875" style="3469" customWidth="1"/>
    <col min="11203" max="11203" width="14.140625" style="3469" customWidth="1"/>
    <col min="11204" max="11204" width="15.7109375" style="3469" bestFit="1" customWidth="1"/>
    <col min="11205" max="11205" width="13.42578125" style="3469" bestFit="1" customWidth="1"/>
    <col min="11206" max="11206" width="17.7109375" style="3469" customWidth="1"/>
    <col min="11207" max="11208" width="13.28515625" style="3469" customWidth="1"/>
    <col min="11209" max="11209" width="11.5703125" style="3469" customWidth="1"/>
    <col min="11210" max="11210" width="16.85546875" style="3469" customWidth="1"/>
    <col min="11211" max="11211" width="13.85546875" style="3469" customWidth="1"/>
    <col min="11212" max="11212" width="15.140625" style="3469" customWidth="1"/>
    <col min="11213" max="11213" width="16.7109375" style="3469" customWidth="1"/>
    <col min="11214" max="11214" width="21.7109375" style="3469" customWidth="1"/>
    <col min="11215" max="11216" width="16.7109375" style="3469" customWidth="1"/>
    <col min="11217" max="11217" width="15" style="3469" customWidth="1"/>
    <col min="11218" max="11218" width="21.7109375" style="3469" customWidth="1"/>
    <col min="11219" max="11219" width="14.140625" style="3469" customWidth="1"/>
    <col min="11220" max="11220" width="13.85546875" style="3469" customWidth="1"/>
    <col min="11221" max="11221" width="12.140625" style="3469" customWidth="1"/>
    <col min="11222" max="11222" width="20.140625" style="3469" customWidth="1"/>
    <col min="11223" max="11223" width="15" style="3469" customWidth="1"/>
    <col min="11224" max="11224" width="12.140625" style="3469" customWidth="1"/>
    <col min="11225" max="11225" width="12" style="3469" customWidth="1"/>
    <col min="11226" max="11226" width="17.5703125" style="3469" customWidth="1"/>
    <col min="11227" max="11227" width="16.5703125" style="3469" customWidth="1"/>
    <col min="11228" max="11228" width="12.5703125" style="3469" customWidth="1"/>
    <col min="11229" max="11229" width="24.85546875" style="3469" customWidth="1"/>
    <col min="11230" max="11230" width="25.42578125" style="3469" customWidth="1"/>
    <col min="11231" max="11232" width="13.5703125" style="3469" customWidth="1"/>
    <col min="11233" max="11233" width="18.7109375" style="3469" customWidth="1"/>
    <col min="11234" max="11234" width="24.5703125" style="3469" customWidth="1"/>
    <col min="11235" max="11235" width="18.5703125" style="3469" customWidth="1"/>
    <col min="11236" max="11236" width="13.28515625" style="3469" customWidth="1"/>
    <col min="11237" max="11237" width="13.140625" style="3469" customWidth="1"/>
    <col min="11238" max="11238" width="18.7109375" style="3469" customWidth="1"/>
    <col min="11239" max="11239" width="12.42578125" style="3469" customWidth="1"/>
    <col min="11240" max="11240" width="13.85546875" style="3469" customWidth="1"/>
    <col min="11241" max="11241" width="6.85546875" style="3469" customWidth="1"/>
    <col min="11242" max="11242" width="23" style="3469" customWidth="1"/>
    <col min="11243" max="11244" width="9.140625" style="3469"/>
    <col min="11245" max="11245" width="12.28515625" style="3469" customWidth="1"/>
    <col min="11246" max="11246" width="22" style="3469" customWidth="1"/>
    <col min="11247" max="11249" width="13.28515625" style="3469" bestFit="1" customWidth="1"/>
    <col min="11250" max="11250" width="21.7109375" style="3469" customWidth="1"/>
    <col min="11251" max="11251" width="18.7109375" style="3469" bestFit="1" customWidth="1"/>
    <col min="11252" max="11253" width="19" style="3469" bestFit="1" customWidth="1"/>
    <col min="11254" max="11260" width="13.28515625" style="3469" bestFit="1" customWidth="1"/>
    <col min="11261" max="11261" width="14.140625" style="3469" bestFit="1" customWidth="1"/>
    <col min="11262" max="11263" width="15.7109375" style="3469" bestFit="1" customWidth="1"/>
    <col min="11264" max="11266" width="14.140625" style="3469" bestFit="1" customWidth="1"/>
    <col min="11267" max="11268" width="15.7109375" style="3469" bestFit="1" customWidth="1"/>
    <col min="11269" max="11270" width="14.140625" style="3469" bestFit="1" customWidth="1"/>
    <col min="11271" max="11289" width="9.140625" style="3469"/>
    <col min="11290" max="11290" width="10" style="3469" bestFit="1" customWidth="1"/>
    <col min="11291" max="11450" width="9.140625" style="3469"/>
    <col min="11451" max="11451" width="43.85546875" style="3469" customWidth="1"/>
    <col min="11452" max="11452" width="7.140625" style="3469" customWidth="1"/>
    <col min="11453" max="11453" width="15.5703125" style="3469" customWidth="1"/>
    <col min="11454" max="11454" width="23.140625" style="3469" customWidth="1"/>
    <col min="11455" max="11455" width="15.140625" style="3469" customWidth="1"/>
    <col min="11456" max="11456" width="14.85546875" style="3469" customWidth="1"/>
    <col min="11457" max="11457" width="16.28515625" style="3469" customWidth="1"/>
    <col min="11458" max="11458" width="20.85546875" style="3469" customWidth="1"/>
    <col min="11459" max="11459" width="14.140625" style="3469" customWidth="1"/>
    <col min="11460" max="11460" width="15.7109375" style="3469" bestFit="1" customWidth="1"/>
    <col min="11461" max="11461" width="13.42578125" style="3469" bestFit="1" customWidth="1"/>
    <col min="11462" max="11462" width="17.7109375" style="3469" customWidth="1"/>
    <col min="11463" max="11464" width="13.28515625" style="3469" customWidth="1"/>
    <col min="11465" max="11465" width="11.5703125" style="3469" customWidth="1"/>
    <col min="11466" max="11466" width="16.85546875" style="3469" customWidth="1"/>
    <col min="11467" max="11467" width="13.85546875" style="3469" customWidth="1"/>
    <col min="11468" max="11468" width="15.140625" style="3469" customWidth="1"/>
    <col min="11469" max="11469" width="16.7109375" style="3469" customWidth="1"/>
    <col min="11470" max="11470" width="21.7109375" style="3469" customWidth="1"/>
    <col min="11471" max="11472" width="16.7109375" style="3469" customWidth="1"/>
    <col min="11473" max="11473" width="15" style="3469" customWidth="1"/>
    <col min="11474" max="11474" width="21.7109375" style="3469" customWidth="1"/>
    <col min="11475" max="11475" width="14.140625" style="3469" customWidth="1"/>
    <col min="11476" max="11476" width="13.85546875" style="3469" customWidth="1"/>
    <col min="11477" max="11477" width="12.140625" style="3469" customWidth="1"/>
    <col min="11478" max="11478" width="20.140625" style="3469" customWidth="1"/>
    <col min="11479" max="11479" width="15" style="3469" customWidth="1"/>
    <col min="11480" max="11480" width="12.140625" style="3469" customWidth="1"/>
    <col min="11481" max="11481" width="12" style="3469" customWidth="1"/>
    <col min="11482" max="11482" width="17.5703125" style="3469" customWidth="1"/>
    <col min="11483" max="11483" width="16.5703125" style="3469" customWidth="1"/>
    <col min="11484" max="11484" width="12.5703125" style="3469" customWidth="1"/>
    <col min="11485" max="11485" width="24.85546875" style="3469" customWidth="1"/>
    <col min="11486" max="11486" width="25.42578125" style="3469" customWidth="1"/>
    <col min="11487" max="11488" width="13.5703125" style="3469" customWidth="1"/>
    <col min="11489" max="11489" width="18.7109375" style="3469" customWidth="1"/>
    <col min="11490" max="11490" width="24.5703125" style="3469" customWidth="1"/>
    <col min="11491" max="11491" width="18.5703125" style="3469" customWidth="1"/>
    <col min="11492" max="11492" width="13.28515625" style="3469" customWidth="1"/>
    <col min="11493" max="11493" width="13.140625" style="3469" customWidth="1"/>
    <col min="11494" max="11494" width="18.7109375" style="3469" customWidth="1"/>
    <col min="11495" max="11495" width="12.42578125" style="3469" customWidth="1"/>
    <col min="11496" max="11496" width="13.85546875" style="3469" customWidth="1"/>
    <col min="11497" max="11497" width="6.85546875" style="3469" customWidth="1"/>
    <col min="11498" max="11498" width="23" style="3469" customWidth="1"/>
    <col min="11499" max="11500" width="9.140625" style="3469"/>
    <col min="11501" max="11501" width="12.28515625" style="3469" customWidth="1"/>
    <col min="11502" max="11502" width="22" style="3469" customWidth="1"/>
    <col min="11503" max="11505" width="13.28515625" style="3469" bestFit="1" customWidth="1"/>
    <col min="11506" max="11506" width="21.7109375" style="3469" customWidth="1"/>
    <col min="11507" max="11507" width="18.7109375" style="3469" bestFit="1" customWidth="1"/>
    <col min="11508" max="11509" width="19" style="3469" bestFit="1" customWidth="1"/>
    <col min="11510" max="11516" width="13.28515625" style="3469" bestFit="1" customWidth="1"/>
    <col min="11517" max="11517" width="14.140625" style="3469" bestFit="1" customWidth="1"/>
    <col min="11518" max="11519" width="15.7109375" style="3469" bestFit="1" customWidth="1"/>
    <col min="11520" max="11522" width="14.140625" style="3469" bestFit="1" customWidth="1"/>
    <col min="11523" max="11524" width="15.7109375" style="3469" bestFit="1" customWidth="1"/>
    <col min="11525" max="11526" width="14.140625" style="3469" bestFit="1" customWidth="1"/>
    <col min="11527" max="11545" width="9.140625" style="3469"/>
    <col min="11546" max="11546" width="10" style="3469" bestFit="1" customWidth="1"/>
    <col min="11547" max="11706" width="9.140625" style="3469"/>
    <col min="11707" max="11707" width="43.85546875" style="3469" customWidth="1"/>
    <col min="11708" max="11708" width="7.140625" style="3469" customWidth="1"/>
    <col min="11709" max="11709" width="15.5703125" style="3469" customWidth="1"/>
    <col min="11710" max="11710" width="23.140625" style="3469" customWidth="1"/>
    <col min="11711" max="11711" width="15.140625" style="3469" customWidth="1"/>
    <col min="11712" max="11712" width="14.85546875" style="3469" customWidth="1"/>
    <col min="11713" max="11713" width="16.28515625" style="3469" customWidth="1"/>
    <col min="11714" max="11714" width="20.85546875" style="3469" customWidth="1"/>
    <col min="11715" max="11715" width="14.140625" style="3469" customWidth="1"/>
    <col min="11716" max="11716" width="15.7109375" style="3469" bestFit="1" customWidth="1"/>
    <col min="11717" max="11717" width="13.42578125" style="3469" bestFit="1" customWidth="1"/>
    <col min="11718" max="11718" width="17.7109375" style="3469" customWidth="1"/>
    <col min="11719" max="11720" width="13.28515625" style="3469" customWidth="1"/>
    <col min="11721" max="11721" width="11.5703125" style="3469" customWidth="1"/>
    <col min="11722" max="11722" width="16.85546875" style="3469" customWidth="1"/>
    <col min="11723" max="11723" width="13.85546875" style="3469" customWidth="1"/>
    <col min="11724" max="11724" width="15.140625" style="3469" customWidth="1"/>
    <col min="11725" max="11725" width="16.7109375" style="3469" customWidth="1"/>
    <col min="11726" max="11726" width="21.7109375" style="3469" customWidth="1"/>
    <col min="11727" max="11728" width="16.7109375" style="3469" customWidth="1"/>
    <col min="11729" max="11729" width="15" style="3469" customWidth="1"/>
    <col min="11730" max="11730" width="21.7109375" style="3469" customWidth="1"/>
    <col min="11731" max="11731" width="14.140625" style="3469" customWidth="1"/>
    <col min="11732" max="11732" width="13.85546875" style="3469" customWidth="1"/>
    <col min="11733" max="11733" width="12.140625" style="3469" customWidth="1"/>
    <col min="11734" max="11734" width="20.140625" style="3469" customWidth="1"/>
    <col min="11735" max="11735" width="15" style="3469" customWidth="1"/>
    <col min="11736" max="11736" width="12.140625" style="3469" customWidth="1"/>
    <col min="11737" max="11737" width="12" style="3469" customWidth="1"/>
    <col min="11738" max="11738" width="17.5703125" style="3469" customWidth="1"/>
    <col min="11739" max="11739" width="16.5703125" style="3469" customWidth="1"/>
    <col min="11740" max="11740" width="12.5703125" style="3469" customWidth="1"/>
    <col min="11741" max="11741" width="24.85546875" style="3469" customWidth="1"/>
    <col min="11742" max="11742" width="25.42578125" style="3469" customWidth="1"/>
    <col min="11743" max="11744" width="13.5703125" style="3469" customWidth="1"/>
    <col min="11745" max="11745" width="18.7109375" style="3469" customWidth="1"/>
    <col min="11746" max="11746" width="24.5703125" style="3469" customWidth="1"/>
    <col min="11747" max="11747" width="18.5703125" style="3469" customWidth="1"/>
    <col min="11748" max="11748" width="13.28515625" style="3469" customWidth="1"/>
    <col min="11749" max="11749" width="13.140625" style="3469" customWidth="1"/>
    <col min="11750" max="11750" width="18.7109375" style="3469" customWidth="1"/>
    <col min="11751" max="11751" width="12.42578125" style="3469" customWidth="1"/>
    <col min="11752" max="11752" width="13.85546875" style="3469" customWidth="1"/>
    <col min="11753" max="11753" width="6.85546875" style="3469" customWidth="1"/>
    <col min="11754" max="11754" width="23" style="3469" customWidth="1"/>
    <col min="11755" max="11756" width="9.140625" style="3469"/>
    <col min="11757" max="11757" width="12.28515625" style="3469" customWidth="1"/>
    <col min="11758" max="11758" width="22" style="3469" customWidth="1"/>
    <col min="11759" max="11761" width="13.28515625" style="3469" bestFit="1" customWidth="1"/>
    <col min="11762" max="11762" width="21.7109375" style="3469" customWidth="1"/>
    <col min="11763" max="11763" width="18.7109375" style="3469" bestFit="1" customWidth="1"/>
    <col min="11764" max="11765" width="19" style="3469" bestFit="1" customWidth="1"/>
    <col min="11766" max="11772" width="13.28515625" style="3469" bestFit="1" customWidth="1"/>
    <col min="11773" max="11773" width="14.140625" style="3469" bestFit="1" customWidth="1"/>
    <col min="11774" max="11775" width="15.7109375" style="3469" bestFit="1" customWidth="1"/>
    <col min="11776" max="11778" width="14.140625" style="3469" bestFit="1" customWidth="1"/>
    <col min="11779" max="11780" width="15.7109375" style="3469" bestFit="1" customWidth="1"/>
    <col min="11781" max="11782" width="14.140625" style="3469" bestFit="1" customWidth="1"/>
    <col min="11783" max="11801" width="9.140625" style="3469"/>
    <col min="11802" max="11802" width="10" style="3469" bestFit="1" customWidth="1"/>
    <col min="11803" max="11962" width="9.140625" style="3469"/>
    <col min="11963" max="11963" width="43.85546875" style="3469" customWidth="1"/>
    <col min="11964" max="11964" width="7.140625" style="3469" customWidth="1"/>
    <col min="11965" max="11965" width="15.5703125" style="3469" customWidth="1"/>
    <col min="11966" max="11966" width="23.140625" style="3469" customWidth="1"/>
    <col min="11967" max="11967" width="15.140625" style="3469" customWidth="1"/>
    <col min="11968" max="11968" width="14.85546875" style="3469" customWidth="1"/>
    <col min="11969" max="11969" width="16.28515625" style="3469" customWidth="1"/>
    <col min="11970" max="11970" width="20.85546875" style="3469" customWidth="1"/>
    <col min="11971" max="11971" width="14.140625" style="3469" customWidth="1"/>
    <col min="11972" max="11972" width="15.7109375" style="3469" bestFit="1" customWidth="1"/>
    <col min="11973" max="11973" width="13.42578125" style="3469" bestFit="1" customWidth="1"/>
    <col min="11974" max="11974" width="17.7109375" style="3469" customWidth="1"/>
    <col min="11975" max="11976" width="13.28515625" style="3469" customWidth="1"/>
    <col min="11977" max="11977" width="11.5703125" style="3469" customWidth="1"/>
    <col min="11978" max="11978" width="16.85546875" style="3469" customWidth="1"/>
    <col min="11979" max="11979" width="13.85546875" style="3469" customWidth="1"/>
    <col min="11980" max="11980" width="15.140625" style="3469" customWidth="1"/>
    <col min="11981" max="11981" width="16.7109375" style="3469" customWidth="1"/>
    <col min="11982" max="11982" width="21.7109375" style="3469" customWidth="1"/>
    <col min="11983" max="11984" width="16.7109375" style="3469" customWidth="1"/>
    <col min="11985" max="11985" width="15" style="3469" customWidth="1"/>
    <col min="11986" max="11986" width="21.7109375" style="3469" customWidth="1"/>
    <col min="11987" max="11987" width="14.140625" style="3469" customWidth="1"/>
    <col min="11988" max="11988" width="13.85546875" style="3469" customWidth="1"/>
    <col min="11989" max="11989" width="12.140625" style="3469" customWidth="1"/>
    <col min="11990" max="11990" width="20.140625" style="3469" customWidth="1"/>
    <col min="11991" max="11991" width="15" style="3469" customWidth="1"/>
    <col min="11992" max="11992" width="12.140625" style="3469" customWidth="1"/>
    <col min="11993" max="11993" width="12" style="3469" customWidth="1"/>
    <col min="11994" max="11994" width="17.5703125" style="3469" customWidth="1"/>
    <col min="11995" max="11995" width="16.5703125" style="3469" customWidth="1"/>
    <col min="11996" max="11996" width="12.5703125" style="3469" customWidth="1"/>
    <col min="11997" max="11997" width="24.85546875" style="3469" customWidth="1"/>
    <col min="11998" max="11998" width="25.42578125" style="3469" customWidth="1"/>
    <col min="11999" max="12000" width="13.5703125" style="3469" customWidth="1"/>
    <col min="12001" max="12001" width="18.7109375" style="3469" customWidth="1"/>
    <col min="12002" max="12002" width="24.5703125" style="3469" customWidth="1"/>
    <col min="12003" max="12003" width="18.5703125" style="3469" customWidth="1"/>
    <col min="12004" max="12004" width="13.28515625" style="3469" customWidth="1"/>
    <col min="12005" max="12005" width="13.140625" style="3469" customWidth="1"/>
    <col min="12006" max="12006" width="18.7109375" style="3469" customWidth="1"/>
    <col min="12007" max="12007" width="12.42578125" style="3469" customWidth="1"/>
    <col min="12008" max="12008" width="13.85546875" style="3469" customWidth="1"/>
    <col min="12009" max="12009" width="6.85546875" style="3469" customWidth="1"/>
    <col min="12010" max="12010" width="23" style="3469" customWidth="1"/>
    <col min="12011" max="12012" width="9.140625" style="3469"/>
    <col min="12013" max="12013" width="12.28515625" style="3469" customWidth="1"/>
    <col min="12014" max="12014" width="22" style="3469" customWidth="1"/>
    <col min="12015" max="12017" width="13.28515625" style="3469" bestFit="1" customWidth="1"/>
    <col min="12018" max="12018" width="21.7109375" style="3469" customWidth="1"/>
    <col min="12019" max="12019" width="18.7109375" style="3469" bestFit="1" customWidth="1"/>
    <col min="12020" max="12021" width="19" style="3469" bestFit="1" customWidth="1"/>
    <col min="12022" max="12028" width="13.28515625" style="3469" bestFit="1" customWidth="1"/>
    <col min="12029" max="12029" width="14.140625" style="3469" bestFit="1" customWidth="1"/>
    <col min="12030" max="12031" width="15.7109375" style="3469" bestFit="1" customWidth="1"/>
    <col min="12032" max="12034" width="14.140625" style="3469" bestFit="1" customWidth="1"/>
    <col min="12035" max="12036" width="15.7109375" style="3469" bestFit="1" customWidth="1"/>
    <col min="12037" max="12038" width="14.140625" style="3469" bestFit="1" customWidth="1"/>
    <col min="12039" max="12057" width="9.140625" style="3469"/>
    <col min="12058" max="12058" width="10" style="3469" bestFit="1" customWidth="1"/>
    <col min="12059" max="12218" width="9.140625" style="3469"/>
    <col min="12219" max="12219" width="43.85546875" style="3469" customWidth="1"/>
    <col min="12220" max="12220" width="7.140625" style="3469" customWidth="1"/>
    <col min="12221" max="12221" width="15.5703125" style="3469" customWidth="1"/>
    <col min="12222" max="12222" width="23.140625" style="3469" customWidth="1"/>
    <col min="12223" max="12223" width="15.140625" style="3469" customWidth="1"/>
    <col min="12224" max="12224" width="14.85546875" style="3469" customWidth="1"/>
    <col min="12225" max="12225" width="16.28515625" style="3469" customWidth="1"/>
    <col min="12226" max="12226" width="20.85546875" style="3469" customWidth="1"/>
    <col min="12227" max="12227" width="14.140625" style="3469" customWidth="1"/>
    <col min="12228" max="12228" width="15.7109375" style="3469" bestFit="1" customWidth="1"/>
    <col min="12229" max="12229" width="13.42578125" style="3469" bestFit="1" customWidth="1"/>
    <col min="12230" max="12230" width="17.7109375" style="3469" customWidth="1"/>
    <col min="12231" max="12232" width="13.28515625" style="3469" customWidth="1"/>
    <col min="12233" max="12233" width="11.5703125" style="3469" customWidth="1"/>
    <col min="12234" max="12234" width="16.85546875" style="3469" customWidth="1"/>
    <col min="12235" max="12235" width="13.85546875" style="3469" customWidth="1"/>
    <col min="12236" max="12236" width="15.140625" style="3469" customWidth="1"/>
    <col min="12237" max="12237" width="16.7109375" style="3469" customWidth="1"/>
    <col min="12238" max="12238" width="21.7109375" style="3469" customWidth="1"/>
    <col min="12239" max="12240" width="16.7109375" style="3469" customWidth="1"/>
    <col min="12241" max="12241" width="15" style="3469" customWidth="1"/>
    <col min="12242" max="12242" width="21.7109375" style="3469" customWidth="1"/>
    <col min="12243" max="12243" width="14.140625" style="3469" customWidth="1"/>
    <col min="12244" max="12244" width="13.85546875" style="3469" customWidth="1"/>
    <col min="12245" max="12245" width="12.140625" style="3469" customWidth="1"/>
    <col min="12246" max="12246" width="20.140625" style="3469" customWidth="1"/>
    <col min="12247" max="12247" width="15" style="3469" customWidth="1"/>
    <col min="12248" max="12248" width="12.140625" style="3469" customWidth="1"/>
    <col min="12249" max="12249" width="12" style="3469" customWidth="1"/>
    <col min="12250" max="12250" width="17.5703125" style="3469" customWidth="1"/>
    <col min="12251" max="12251" width="16.5703125" style="3469" customWidth="1"/>
    <col min="12252" max="12252" width="12.5703125" style="3469" customWidth="1"/>
    <col min="12253" max="12253" width="24.85546875" style="3469" customWidth="1"/>
    <col min="12254" max="12254" width="25.42578125" style="3469" customWidth="1"/>
    <col min="12255" max="12256" width="13.5703125" style="3469" customWidth="1"/>
    <col min="12257" max="12257" width="18.7109375" style="3469" customWidth="1"/>
    <col min="12258" max="12258" width="24.5703125" style="3469" customWidth="1"/>
    <col min="12259" max="12259" width="18.5703125" style="3469" customWidth="1"/>
    <col min="12260" max="12260" width="13.28515625" style="3469" customWidth="1"/>
    <col min="12261" max="12261" width="13.140625" style="3469" customWidth="1"/>
    <col min="12262" max="12262" width="18.7109375" style="3469" customWidth="1"/>
    <col min="12263" max="12263" width="12.42578125" style="3469" customWidth="1"/>
    <col min="12264" max="12264" width="13.85546875" style="3469" customWidth="1"/>
    <col min="12265" max="12265" width="6.85546875" style="3469" customWidth="1"/>
    <col min="12266" max="12266" width="23" style="3469" customWidth="1"/>
    <col min="12267" max="12268" width="9.140625" style="3469"/>
    <col min="12269" max="12269" width="12.28515625" style="3469" customWidth="1"/>
    <col min="12270" max="12270" width="22" style="3469" customWidth="1"/>
    <col min="12271" max="12273" width="13.28515625" style="3469" bestFit="1" customWidth="1"/>
    <col min="12274" max="12274" width="21.7109375" style="3469" customWidth="1"/>
    <col min="12275" max="12275" width="18.7109375" style="3469" bestFit="1" customWidth="1"/>
    <col min="12276" max="12277" width="19" style="3469" bestFit="1" customWidth="1"/>
    <col min="12278" max="12284" width="13.28515625" style="3469" bestFit="1" customWidth="1"/>
    <col min="12285" max="12285" width="14.140625" style="3469" bestFit="1" customWidth="1"/>
    <col min="12286" max="12287" width="15.7109375" style="3469" bestFit="1" customWidth="1"/>
    <col min="12288" max="12290" width="14.140625" style="3469" bestFit="1" customWidth="1"/>
    <col min="12291" max="12292" width="15.7109375" style="3469" bestFit="1" customWidth="1"/>
    <col min="12293" max="12294" width="14.140625" style="3469" bestFit="1" customWidth="1"/>
    <col min="12295" max="12313" width="9.140625" style="3469"/>
    <col min="12314" max="12314" width="10" style="3469" bestFit="1" customWidth="1"/>
    <col min="12315" max="12474" width="9.140625" style="3469"/>
    <col min="12475" max="12475" width="43.85546875" style="3469" customWidth="1"/>
    <col min="12476" max="12476" width="7.140625" style="3469" customWidth="1"/>
    <col min="12477" max="12477" width="15.5703125" style="3469" customWidth="1"/>
    <col min="12478" max="12478" width="23.140625" style="3469" customWidth="1"/>
    <col min="12479" max="12479" width="15.140625" style="3469" customWidth="1"/>
    <col min="12480" max="12480" width="14.85546875" style="3469" customWidth="1"/>
    <col min="12481" max="12481" width="16.28515625" style="3469" customWidth="1"/>
    <col min="12482" max="12482" width="20.85546875" style="3469" customWidth="1"/>
    <col min="12483" max="12483" width="14.140625" style="3469" customWidth="1"/>
    <col min="12484" max="12484" width="15.7109375" style="3469" bestFit="1" customWidth="1"/>
    <col min="12485" max="12485" width="13.42578125" style="3469" bestFit="1" customWidth="1"/>
    <col min="12486" max="12486" width="17.7109375" style="3469" customWidth="1"/>
    <col min="12487" max="12488" width="13.28515625" style="3469" customWidth="1"/>
    <col min="12489" max="12489" width="11.5703125" style="3469" customWidth="1"/>
    <col min="12490" max="12490" width="16.85546875" style="3469" customWidth="1"/>
    <col min="12491" max="12491" width="13.85546875" style="3469" customWidth="1"/>
    <col min="12492" max="12492" width="15.140625" style="3469" customWidth="1"/>
    <col min="12493" max="12493" width="16.7109375" style="3469" customWidth="1"/>
    <col min="12494" max="12494" width="21.7109375" style="3469" customWidth="1"/>
    <col min="12495" max="12496" width="16.7109375" style="3469" customWidth="1"/>
    <col min="12497" max="12497" width="15" style="3469" customWidth="1"/>
    <col min="12498" max="12498" width="21.7109375" style="3469" customWidth="1"/>
    <col min="12499" max="12499" width="14.140625" style="3469" customWidth="1"/>
    <col min="12500" max="12500" width="13.85546875" style="3469" customWidth="1"/>
    <col min="12501" max="12501" width="12.140625" style="3469" customWidth="1"/>
    <col min="12502" max="12502" width="20.140625" style="3469" customWidth="1"/>
    <col min="12503" max="12503" width="15" style="3469" customWidth="1"/>
    <col min="12504" max="12504" width="12.140625" style="3469" customWidth="1"/>
    <col min="12505" max="12505" width="12" style="3469" customWidth="1"/>
    <col min="12506" max="12506" width="17.5703125" style="3469" customWidth="1"/>
    <col min="12507" max="12507" width="16.5703125" style="3469" customWidth="1"/>
    <col min="12508" max="12508" width="12.5703125" style="3469" customWidth="1"/>
    <col min="12509" max="12509" width="24.85546875" style="3469" customWidth="1"/>
    <col min="12510" max="12510" width="25.42578125" style="3469" customWidth="1"/>
    <col min="12511" max="12512" width="13.5703125" style="3469" customWidth="1"/>
    <col min="12513" max="12513" width="18.7109375" style="3469" customWidth="1"/>
    <col min="12514" max="12514" width="24.5703125" style="3469" customWidth="1"/>
    <col min="12515" max="12515" width="18.5703125" style="3469" customWidth="1"/>
    <col min="12516" max="12516" width="13.28515625" style="3469" customWidth="1"/>
    <col min="12517" max="12517" width="13.140625" style="3469" customWidth="1"/>
    <col min="12518" max="12518" width="18.7109375" style="3469" customWidth="1"/>
    <col min="12519" max="12519" width="12.42578125" style="3469" customWidth="1"/>
    <col min="12520" max="12520" width="13.85546875" style="3469" customWidth="1"/>
    <col min="12521" max="12521" width="6.85546875" style="3469" customWidth="1"/>
    <col min="12522" max="12522" width="23" style="3469" customWidth="1"/>
    <col min="12523" max="12524" width="9.140625" style="3469"/>
    <col min="12525" max="12525" width="12.28515625" style="3469" customWidth="1"/>
    <col min="12526" max="12526" width="22" style="3469" customWidth="1"/>
    <col min="12527" max="12529" width="13.28515625" style="3469" bestFit="1" customWidth="1"/>
    <col min="12530" max="12530" width="21.7109375" style="3469" customWidth="1"/>
    <col min="12531" max="12531" width="18.7109375" style="3469" bestFit="1" customWidth="1"/>
    <col min="12532" max="12533" width="19" style="3469" bestFit="1" customWidth="1"/>
    <col min="12534" max="12540" width="13.28515625" style="3469" bestFit="1" customWidth="1"/>
    <col min="12541" max="12541" width="14.140625" style="3469" bestFit="1" customWidth="1"/>
    <col min="12542" max="12543" width="15.7109375" style="3469" bestFit="1" customWidth="1"/>
    <col min="12544" max="12546" width="14.140625" style="3469" bestFit="1" customWidth="1"/>
    <col min="12547" max="12548" width="15.7109375" style="3469" bestFit="1" customWidth="1"/>
    <col min="12549" max="12550" width="14.140625" style="3469" bestFit="1" customWidth="1"/>
    <col min="12551" max="12569" width="9.140625" style="3469"/>
    <col min="12570" max="12570" width="10" style="3469" bestFit="1" customWidth="1"/>
    <col min="12571" max="12730" width="9.140625" style="3469"/>
    <col min="12731" max="12731" width="43.85546875" style="3469" customWidth="1"/>
    <col min="12732" max="12732" width="7.140625" style="3469" customWidth="1"/>
    <col min="12733" max="12733" width="15.5703125" style="3469" customWidth="1"/>
    <col min="12734" max="12734" width="23.140625" style="3469" customWidth="1"/>
    <col min="12735" max="12735" width="15.140625" style="3469" customWidth="1"/>
    <col min="12736" max="12736" width="14.85546875" style="3469" customWidth="1"/>
    <col min="12737" max="12737" width="16.28515625" style="3469" customWidth="1"/>
    <col min="12738" max="12738" width="20.85546875" style="3469" customWidth="1"/>
    <col min="12739" max="12739" width="14.140625" style="3469" customWidth="1"/>
    <col min="12740" max="12740" width="15.7109375" style="3469" bestFit="1" customWidth="1"/>
    <col min="12741" max="12741" width="13.42578125" style="3469" bestFit="1" customWidth="1"/>
    <col min="12742" max="12742" width="17.7109375" style="3469" customWidth="1"/>
    <col min="12743" max="12744" width="13.28515625" style="3469" customWidth="1"/>
    <col min="12745" max="12745" width="11.5703125" style="3469" customWidth="1"/>
    <col min="12746" max="12746" width="16.85546875" style="3469" customWidth="1"/>
    <col min="12747" max="12747" width="13.85546875" style="3469" customWidth="1"/>
    <col min="12748" max="12748" width="15.140625" style="3469" customWidth="1"/>
    <col min="12749" max="12749" width="16.7109375" style="3469" customWidth="1"/>
    <col min="12750" max="12750" width="21.7109375" style="3469" customWidth="1"/>
    <col min="12751" max="12752" width="16.7109375" style="3469" customWidth="1"/>
    <col min="12753" max="12753" width="15" style="3469" customWidth="1"/>
    <col min="12754" max="12754" width="21.7109375" style="3469" customWidth="1"/>
    <col min="12755" max="12755" width="14.140625" style="3469" customWidth="1"/>
    <col min="12756" max="12756" width="13.85546875" style="3469" customWidth="1"/>
    <col min="12757" max="12757" width="12.140625" style="3469" customWidth="1"/>
    <col min="12758" max="12758" width="20.140625" style="3469" customWidth="1"/>
    <col min="12759" max="12759" width="15" style="3469" customWidth="1"/>
    <col min="12760" max="12760" width="12.140625" style="3469" customWidth="1"/>
    <col min="12761" max="12761" width="12" style="3469" customWidth="1"/>
    <col min="12762" max="12762" width="17.5703125" style="3469" customWidth="1"/>
    <col min="12763" max="12763" width="16.5703125" style="3469" customWidth="1"/>
    <col min="12764" max="12764" width="12.5703125" style="3469" customWidth="1"/>
    <col min="12765" max="12765" width="24.85546875" style="3469" customWidth="1"/>
    <col min="12766" max="12766" width="25.42578125" style="3469" customWidth="1"/>
    <col min="12767" max="12768" width="13.5703125" style="3469" customWidth="1"/>
    <col min="12769" max="12769" width="18.7109375" style="3469" customWidth="1"/>
    <col min="12770" max="12770" width="24.5703125" style="3469" customWidth="1"/>
    <col min="12771" max="12771" width="18.5703125" style="3469" customWidth="1"/>
    <col min="12772" max="12772" width="13.28515625" style="3469" customWidth="1"/>
    <col min="12773" max="12773" width="13.140625" style="3469" customWidth="1"/>
    <col min="12774" max="12774" width="18.7109375" style="3469" customWidth="1"/>
    <col min="12775" max="12775" width="12.42578125" style="3469" customWidth="1"/>
    <col min="12776" max="12776" width="13.85546875" style="3469" customWidth="1"/>
    <col min="12777" max="12777" width="6.85546875" style="3469" customWidth="1"/>
    <col min="12778" max="12778" width="23" style="3469" customWidth="1"/>
    <col min="12779" max="12780" width="9.140625" style="3469"/>
    <col min="12781" max="12781" width="12.28515625" style="3469" customWidth="1"/>
    <col min="12782" max="12782" width="22" style="3469" customWidth="1"/>
    <col min="12783" max="12785" width="13.28515625" style="3469" bestFit="1" customWidth="1"/>
    <col min="12786" max="12786" width="21.7109375" style="3469" customWidth="1"/>
    <col min="12787" max="12787" width="18.7109375" style="3469" bestFit="1" customWidth="1"/>
    <col min="12788" max="12789" width="19" style="3469" bestFit="1" customWidth="1"/>
    <col min="12790" max="12796" width="13.28515625" style="3469" bestFit="1" customWidth="1"/>
    <col min="12797" max="12797" width="14.140625" style="3469" bestFit="1" customWidth="1"/>
    <col min="12798" max="12799" width="15.7109375" style="3469" bestFit="1" customWidth="1"/>
    <col min="12800" max="12802" width="14.140625" style="3469" bestFit="1" customWidth="1"/>
    <col min="12803" max="12804" width="15.7109375" style="3469" bestFit="1" customWidth="1"/>
    <col min="12805" max="12806" width="14.140625" style="3469" bestFit="1" customWidth="1"/>
    <col min="12807" max="12825" width="9.140625" style="3469"/>
    <col min="12826" max="12826" width="10" style="3469" bestFit="1" customWidth="1"/>
    <col min="12827" max="12986" width="9.140625" style="3469"/>
    <col min="12987" max="12987" width="43.85546875" style="3469" customWidth="1"/>
    <col min="12988" max="12988" width="7.140625" style="3469" customWidth="1"/>
    <col min="12989" max="12989" width="15.5703125" style="3469" customWidth="1"/>
    <col min="12990" max="12990" width="23.140625" style="3469" customWidth="1"/>
    <col min="12991" max="12991" width="15.140625" style="3469" customWidth="1"/>
    <col min="12992" max="12992" width="14.85546875" style="3469" customWidth="1"/>
    <col min="12993" max="12993" width="16.28515625" style="3469" customWidth="1"/>
    <col min="12994" max="12994" width="20.85546875" style="3469" customWidth="1"/>
    <col min="12995" max="12995" width="14.140625" style="3469" customWidth="1"/>
    <col min="12996" max="12996" width="15.7109375" style="3469" bestFit="1" customWidth="1"/>
    <col min="12997" max="12997" width="13.42578125" style="3469" bestFit="1" customWidth="1"/>
    <col min="12998" max="12998" width="17.7109375" style="3469" customWidth="1"/>
    <col min="12999" max="13000" width="13.28515625" style="3469" customWidth="1"/>
    <col min="13001" max="13001" width="11.5703125" style="3469" customWidth="1"/>
    <col min="13002" max="13002" width="16.85546875" style="3469" customWidth="1"/>
    <col min="13003" max="13003" width="13.85546875" style="3469" customWidth="1"/>
    <col min="13004" max="13004" width="15.140625" style="3469" customWidth="1"/>
    <col min="13005" max="13005" width="16.7109375" style="3469" customWidth="1"/>
    <col min="13006" max="13006" width="21.7109375" style="3469" customWidth="1"/>
    <col min="13007" max="13008" width="16.7109375" style="3469" customWidth="1"/>
    <col min="13009" max="13009" width="15" style="3469" customWidth="1"/>
    <col min="13010" max="13010" width="21.7109375" style="3469" customWidth="1"/>
    <col min="13011" max="13011" width="14.140625" style="3469" customWidth="1"/>
    <col min="13012" max="13012" width="13.85546875" style="3469" customWidth="1"/>
    <col min="13013" max="13013" width="12.140625" style="3469" customWidth="1"/>
    <col min="13014" max="13014" width="20.140625" style="3469" customWidth="1"/>
    <col min="13015" max="13015" width="15" style="3469" customWidth="1"/>
    <col min="13016" max="13016" width="12.140625" style="3469" customWidth="1"/>
    <col min="13017" max="13017" width="12" style="3469" customWidth="1"/>
    <col min="13018" max="13018" width="17.5703125" style="3469" customWidth="1"/>
    <col min="13019" max="13019" width="16.5703125" style="3469" customWidth="1"/>
    <col min="13020" max="13020" width="12.5703125" style="3469" customWidth="1"/>
    <col min="13021" max="13021" width="24.85546875" style="3469" customWidth="1"/>
    <col min="13022" max="13022" width="25.42578125" style="3469" customWidth="1"/>
    <col min="13023" max="13024" width="13.5703125" style="3469" customWidth="1"/>
    <col min="13025" max="13025" width="18.7109375" style="3469" customWidth="1"/>
    <col min="13026" max="13026" width="24.5703125" style="3469" customWidth="1"/>
    <col min="13027" max="13027" width="18.5703125" style="3469" customWidth="1"/>
    <col min="13028" max="13028" width="13.28515625" style="3469" customWidth="1"/>
    <col min="13029" max="13029" width="13.140625" style="3469" customWidth="1"/>
    <col min="13030" max="13030" width="18.7109375" style="3469" customWidth="1"/>
    <col min="13031" max="13031" width="12.42578125" style="3469" customWidth="1"/>
    <col min="13032" max="13032" width="13.85546875" style="3469" customWidth="1"/>
    <col min="13033" max="13033" width="6.85546875" style="3469" customWidth="1"/>
    <col min="13034" max="13034" width="23" style="3469" customWidth="1"/>
    <col min="13035" max="13036" width="9.140625" style="3469"/>
    <col min="13037" max="13037" width="12.28515625" style="3469" customWidth="1"/>
    <col min="13038" max="13038" width="22" style="3469" customWidth="1"/>
    <col min="13039" max="13041" width="13.28515625" style="3469" bestFit="1" customWidth="1"/>
    <col min="13042" max="13042" width="21.7109375" style="3469" customWidth="1"/>
    <col min="13043" max="13043" width="18.7109375" style="3469" bestFit="1" customWidth="1"/>
    <col min="13044" max="13045" width="19" style="3469" bestFit="1" customWidth="1"/>
    <col min="13046" max="13052" width="13.28515625" style="3469" bestFit="1" customWidth="1"/>
    <col min="13053" max="13053" width="14.140625" style="3469" bestFit="1" customWidth="1"/>
    <col min="13054" max="13055" width="15.7109375" style="3469" bestFit="1" customWidth="1"/>
    <col min="13056" max="13058" width="14.140625" style="3469" bestFit="1" customWidth="1"/>
    <col min="13059" max="13060" width="15.7109375" style="3469" bestFit="1" customWidth="1"/>
    <col min="13061" max="13062" width="14.140625" style="3469" bestFit="1" customWidth="1"/>
    <col min="13063" max="13081" width="9.140625" style="3469"/>
    <col min="13082" max="13082" width="10" style="3469" bestFit="1" customWidth="1"/>
    <col min="13083" max="13242" width="9.140625" style="3469"/>
    <col min="13243" max="13243" width="43.85546875" style="3469" customWidth="1"/>
    <col min="13244" max="13244" width="7.140625" style="3469" customWidth="1"/>
    <col min="13245" max="13245" width="15.5703125" style="3469" customWidth="1"/>
    <col min="13246" max="13246" width="23.140625" style="3469" customWidth="1"/>
    <col min="13247" max="13247" width="15.140625" style="3469" customWidth="1"/>
    <col min="13248" max="13248" width="14.85546875" style="3469" customWidth="1"/>
    <col min="13249" max="13249" width="16.28515625" style="3469" customWidth="1"/>
    <col min="13250" max="13250" width="20.85546875" style="3469" customWidth="1"/>
    <col min="13251" max="13251" width="14.140625" style="3469" customWidth="1"/>
    <col min="13252" max="13252" width="15.7109375" style="3469" bestFit="1" customWidth="1"/>
    <col min="13253" max="13253" width="13.42578125" style="3469" bestFit="1" customWidth="1"/>
    <col min="13254" max="13254" width="17.7109375" style="3469" customWidth="1"/>
    <col min="13255" max="13256" width="13.28515625" style="3469" customWidth="1"/>
    <col min="13257" max="13257" width="11.5703125" style="3469" customWidth="1"/>
    <col min="13258" max="13258" width="16.85546875" style="3469" customWidth="1"/>
    <col min="13259" max="13259" width="13.85546875" style="3469" customWidth="1"/>
    <col min="13260" max="13260" width="15.140625" style="3469" customWidth="1"/>
    <col min="13261" max="13261" width="16.7109375" style="3469" customWidth="1"/>
    <col min="13262" max="13262" width="21.7109375" style="3469" customWidth="1"/>
    <col min="13263" max="13264" width="16.7109375" style="3469" customWidth="1"/>
    <col min="13265" max="13265" width="15" style="3469" customWidth="1"/>
    <col min="13266" max="13266" width="21.7109375" style="3469" customWidth="1"/>
    <col min="13267" max="13267" width="14.140625" style="3469" customWidth="1"/>
    <col min="13268" max="13268" width="13.85546875" style="3469" customWidth="1"/>
    <col min="13269" max="13269" width="12.140625" style="3469" customWidth="1"/>
    <col min="13270" max="13270" width="20.140625" style="3469" customWidth="1"/>
    <col min="13271" max="13271" width="15" style="3469" customWidth="1"/>
    <col min="13272" max="13272" width="12.140625" style="3469" customWidth="1"/>
    <col min="13273" max="13273" width="12" style="3469" customWidth="1"/>
    <col min="13274" max="13274" width="17.5703125" style="3469" customWidth="1"/>
    <col min="13275" max="13275" width="16.5703125" style="3469" customWidth="1"/>
    <col min="13276" max="13276" width="12.5703125" style="3469" customWidth="1"/>
    <col min="13277" max="13277" width="24.85546875" style="3469" customWidth="1"/>
    <col min="13278" max="13278" width="25.42578125" style="3469" customWidth="1"/>
    <col min="13279" max="13280" width="13.5703125" style="3469" customWidth="1"/>
    <col min="13281" max="13281" width="18.7109375" style="3469" customWidth="1"/>
    <col min="13282" max="13282" width="24.5703125" style="3469" customWidth="1"/>
    <col min="13283" max="13283" width="18.5703125" style="3469" customWidth="1"/>
    <col min="13284" max="13284" width="13.28515625" style="3469" customWidth="1"/>
    <col min="13285" max="13285" width="13.140625" style="3469" customWidth="1"/>
    <col min="13286" max="13286" width="18.7109375" style="3469" customWidth="1"/>
    <col min="13287" max="13287" width="12.42578125" style="3469" customWidth="1"/>
    <col min="13288" max="13288" width="13.85546875" style="3469" customWidth="1"/>
    <col min="13289" max="13289" width="6.85546875" style="3469" customWidth="1"/>
    <col min="13290" max="13290" width="23" style="3469" customWidth="1"/>
    <col min="13291" max="13292" width="9.140625" style="3469"/>
    <col min="13293" max="13293" width="12.28515625" style="3469" customWidth="1"/>
    <col min="13294" max="13294" width="22" style="3469" customWidth="1"/>
    <col min="13295" max="13297" width="13.28515625" style="3469" bestFit="1" customWidth="1"/>
    <col min="13298" max="13298" width="21.7109375" style="3469" customWidth="1"/>
    <col min="13299" max="13299" width="18.7109375" style="3469" bestFit="1" customWidth="1"/>
    <col min="13300" max="13301" width="19" style="3469" bestFit="1" customWidth="1"/>
    <col min="13302" max="13308" width="13.28515625" style="3469" bestFit="1" customWidth="1"/>
    <col min="13309" max="13309" width="14.140625" style="3469" bestFit="1" customWidth="1"/>
    <col min="13310" max="13311" width="15.7109375" style="3469" bestFit="1" customWidth="1"/>
    <col min="13312" max="13314" width="14.140625" style="3469" bestFit="1" customWidth="1"/>
    <col min="13315" max="13316" width="15.7109375" style="3469" bestFit="1" customWidth="1"/>
    <col min="13317" max="13318" width="14.140625" style="3469" bestFit="1" customWidth="1"/>
    <col min="13319" max="13337" width="9.140625" style="3469"/>
    <col min="13338" max="13338" width="10" style="3469" bestFit="1" customWidth="1"/>
    <col min="13339" max="13498" width="9.140625" style="3469"/>
    <col min="13499" max="13499" width="43.85546875" style="3469" customWidth="1"/>
    <col min="13500" max="13500" width="7.140625" style="3469" customWidth="1"/>
    <col min="13501" max="13501" width="15.5703125" style="3469" customWidth="1"/>
    <col min="13502" max="13502" width="23.140625" style="3469" customWidth="1"/>
    <col min="13503" max="13503" width="15.140625" style="3469" customWidth="1"/>
    <col min="13504" max="13504" width="14.85546875" style="3469" customWidth="1"/>
    <col min="13505" max="13505" width="16.28515625" style="3469" customWidth="1"/>
    <col min="13506" max="13506" width="20.85546875" style="3469" customWidth="1"/>
    <col min="13507" max="13507" width="14.140625" style="3469" customWidth="1"/>
    <col min="13508" max="13508" width="15.7109375" style="3469" bestFit="1" customWidth="1"/>
    <col min="13509" max="13509" width="13.42578125" style="3469" bestFit="1" customWidth="1"/>
    <col min="13510" max="13510" width="17.7109375" style="3469" customWidth="1"/>
    <col min="13511" max="13512" width="13.28515625" style="3469" customWidth="1"/>
    <col min="13513" max="13513" width="11.5703125" style="3469" customWidth="1"/>
    <col min="13514" max="13514" width="16.85546875" style="3469" customWidth="1"/>
    <col min="13515" max="13515" width="13.85546875" style="3469" customWidth="1"/>
    <col min="13516" max="13516" width="15.140625" style="3469" customWidth="1"/>
    <col min="13517" max="13517" width="16.7109375" style="3469" customWidth="1"/>
    <col min="13518" max="13518" width="21.7109375" style="3469" customWidth="1"/>
    <col min="13519" max="13520" width="16.7109375" style="3469" customWidth="1"/>
    <col min="13521" max="13521" width="15" style="3469" customWidth="1"/>
    <col min="13522" max="13522" width="21.7109375" style="3469" customWidth="1"/>
    <col min="13523" max="13523" width="14.140625" style="3469" customWidth="1"/>
    <col min="13524" max="13524" width="13.85546875" style="3469" customWidth="1"/>
    <col min="13525" max="13525" width="12.140625" style="3469" customWidth="1"/>
    <col min="13526" max="13526" width="20.140625" style="3469" customWidth="1"/>
    <col min="13527" max="13527" width="15" style="3469" customWidth="1"/>
    <col min="13528" max="13528" width="12.140625" style="3469" customWidth="1"/>
    <col min="13529" max="13529" width="12" style="3469" customWidth="1"/>
    <col min="13530" max="13530" width="17.5703125" style="3469" customWidth="1"/>
    <col min="13531" max="13531" width="16.5703125" style="3469" customWidth="1"/>
    <col min="13532" max="13532" width="12.5703125" style="3469" customWidth="1"/>
    <col min="13533" max="13533" width="24.85546875" style="3469" customWidth="1"/>
    <col min="13534" max="13534" width="25.42578125" style="3469" customWidth="1"/>
    <col min="13535" max="13536" width="13.5703125" style="3469" customWidth="1"/>
    <col min="13537" max="13537" width="18.7109375" style="3469" customWidth="1"/>
    <col min="13538" max="13538" width="24.5703125" style="3469" customWidth="1"/>
    <col min="13539" max="13539" width="18.5703125" style="3469" customWidth="1"/>
    <col min="13540" max="13540" width="13.28515625" style="3469" customWidth="1"/>
    <col min="13541" max="13541" width="13.140625" style="3469" customWidth="1"/>
    <col min="13542" max="13542" width="18.7109375" style="3469" customWidth="1"/>
    <col min="13543" max="13543" width="12.42578125" style="3469" customWidth="1"/>
    <col min="13544" max="13544" width="13.85546875" style="3469" customWidth="1"/>
    <col min="13545" max="13545" width="6.85546875" style="3469" customWidth="1"/>
    <col min="13546" max="13546" width="23" style="3469" customWidth="1"/>
    <col min="13547" max="13548" width="9.140625" style="3469"/>
    <col min="13549" max="13549" width="12.28515625" style="3469" customWidth="1"/>
    <col min="13550" max="13550" width="22" style="3469" customWidth="1"/>
    <col min="13551" max="13553" width="13.28515625" style="3469" bestFit="1" customWidth="1"/>
    <col min="13554" max="13554" width="21.7109375" style="3469" customWidth="1"/>
    <col min="13555" max="13555" width="18.7109375" style="3469" bestFit="1" customWidth="1"/>
    <col min="13556" max="13557" width="19" style="3469" bestFit="1" customWidth="1"/>
    <col min="13558" max="13564" width="13.28515625" style="3469" bestFit="1" customWidth="1"/>
    <col min="13565" max="13565" width="14.140625" style="3469" bestFit="1" customWidth="1"/>
    <col min="13566" max="13567" width="15.7109375" style="3469" bestFit="1" customWidth="1"/>
    <col min="13568" max="13570" width="14.140625" style="3469" bestFit="1" customWidth="1"/>
    <col min="13571" max="13572" width="15.7109375" style="3469" bestFit="1" customWidth="1"/>
    <col min="13573" max="13574" width="14.140625" style="3469" bestFit="1" customWidth="1"/>
    <col min="13575" max="13593" width="9.140625" style="3469"/>
    <col min="13594" max="13594" width="10" style="3469" bestFit="1" customWidth="1"/>
    <col min="13595" max="13754" width="9.140625" style="3469"/>
    <col min="13755" max="13755" width="43.85546875" style="3469" customWidth="1"/>
    <col min="13756" max="13756" width="7.140625" style="3469" customWidth="1"/>
    <col min="13757" max="13757" width="15.5703125" style="3469" customWidth="1"/>
    <col min="13758" max="13758" width="23.140625" style="3469" customWidth="1"/>
    <col min="13759" max="13759" width="15.140625" style="3469" customWidth="1"/>
    <col min="13760" max="13760" width="14.85546875" style="3469" customWidth="1"/>
    <col min="13761" max="13761" width="16.28515625" style="3469" customWidth="1"/>
    <col min="13762" max="13762" width="20.85546875" style="3469" customWidth="1"/>
    <col min="13763" max="13763" width="14.140625" style="3469" customWidth="1"/>
    <col min="13764" max="13764" width="15.7109375" style="3469" bestFit="1" customWidth="1"/>
    <col min="13765" max="13765" width="13.42578125" style="3469" bestFit="1" customWidth="1"/>
    <col min="13766" max="13766" width="17.7109375" style="3469" customWidth="1"/>
    <col min="13767" max="13768" width="13.28515625" style="3469" customWidth="1"/>
    <col min="13769" max="13769" width="11.5703125" style="3469" customWidth="1"/>
    <col min="13770" max="13770" width="16.85546875" style="3469" customWidth="1"/>
    <col min="13771" max="13771" width="13.85546875" style="3469" customWidth="1"/>
    <col min="13772" max="13772" width="15.140625" style="3469" customWidth="1"/>
    <col min="13773" max="13773" width="16.7109375" style="3469" customWidth="1"/>
    <col min="13774" max="13774" width="21.7109375" style="3469" customWidth="1"/>
    <col min="13775" max="13776" width="16.7109375" style="3469" customWidth="1"/>
    <col min="13777" max="13777" width="15" style="3469" customWidth="1"/>
    <col min="13778" max="13778" width="21.7109375" style="3469" customWidth="1"/>
    <col min="13779" max="13779" width="14.140625" style="3469" customWidth="1"/>
    <col min="13780" max="13780" width="13.85546875" style="3469" customWidth="1"/>
    <col min="13781" max="13781" width="12.140625" style="3469" customWidth="1"/>
    <col min="13782" max="13782" width="20.140625" style="3469" customWidth="1"/>
    <col min="13783" max="13783" width="15" style="3469" customWidth="1"/>
    <col min="13784" max="13784" width="12.140625" style="3469" customWidth="1"/>
    <col min="13785" max="13785" width="12" style="3469" customWidth="1"/>
    <col min="13786" max="13786" width="17.5703125" style="3469" customWidth="1"/>
    <col min="13787" max="13787" width="16.5703125" style="3469" customWidth="1"/>
    <col min="13788" max="13788" width="12.5703125" style="3469" customWidth="1"/>
    <col min="13789" max="13789" width="24.85546875" style="3469" customWidth="1"/>
    <col min="13790" max="13790" width="25.42578125" style="3469" customWidth="1"/>
    <col min="13791" max="13792" width="13.5703125" style="3469" customWidth="1"/>
    <col min="13793" max="13793" width="18.7109375" style="3469" customWidth="1"/>
    <col min="13794" max="13794" width="24.5703125" style="3469" customWidth="1"/>
    <col min="13795" max="13795" width="18.5703125" style="3469" customWidth="1"/>
    <col min="13796" max="13796" width="13.28515625" style="3469" customWidth="1"/>
    <col min="13797" max="13797" width="13.140625" style="3469" customWidth="1"/>
    <col min="13798" max="13798" width="18.7109375" style="3469" customWidth="1"/>
    <col min="13799" max="13799" width="12.42578125" style="3469" customWidth="1"/>
    <col min="13800" max="13800" width="13.85546875" style="3469" customWidth="1"/>
    <col min="13801" max="13801" width="6.85546875" style="3469" customWidth="1"/>
    <col min="13802" max="13802" width="23" style="3469" customWidth="1"/>
    <col min="13803" max="13804" width="9.140625" style="3469"/>
    <col min="13805" max="13805" width="12.28515625" style="3469" customWidth="1"/>
    <col min="13806" max="13806" width="22" style="3469" customWidth="1"/>
    <col min="13807" max="13809" width="13.28515625" style="3469" bestFit="1" customWidth="1"/>
    <col min="13810" max="13810" width="21.7109375" style="3469" customWidth="1"/>
    <col min="13811" max="13811" width="18.7109375" style="3469" bestFit="1" customWidth="1"/>
    <col min="13812" max="13813" width="19" style="3469" bestFit="1" customWidth="1"/>
    <col min="13814" max="13820" width="13.28515625" style="3469" bestFit="1" customWidth="1"/>
    <col min="13821" max="13821" width="14.140625" style="3469" bestFit="1" customWidth="1"/>
    <col min="13822" max="13823" width="15.7109375" style="3469" bestFit="1" customWidth="1"/>
    <col min="13824" max="13826" width="14.140625" style="3469" bestFit="1" customWidth="1"/>
    <col min="13827" max="13828" width="15.7109375" style="3469" bestFit="1" customWidth="1"/>
    <col min="13829" max="13830" width="14.140625" style="3469" bestFit="1" customWidth="1"/>
    <col min="13831" max="13849" width="9.140625" style="3469"/>
    <col min="13850" max="13850" width="10" style="3469" bestFit="1" customWidth="1"/>
    <col min="13851" max="14010" width="9.140625" style="3469"/>
    <col min="14011" max="14011" width="43.85546875" style="3469" customWidth="1"/>
    <col min="14012" max="14012" width="7.140625" style="3469" customWidth="1"/>
    <col min="14013" max="14013" width="15.5703125" style="3469" customWidth="1"/>
    <col min="14014" max="14014" width="23.140625" style="3469" customWidth="1"/>
    <col min="14015" max="14015" width="15.140625" style="3469" customWidth="1"/>
    <col min="14016" max="14016" width="14.85546875" style="3469" customWidth="1"/>
    <col min="14017" max="14017" width="16.28515625" style="3469" customWidth="1"/>
    <col min="14018" max="14018" width="20.85546875" style="3469" customWidth="1"/>
    <col min="14019" max="14019" width="14.140625" style="3469" customWidth="1"/>
    <col min="14020" max="14020" width="15.7109375" style="3469" bestFit="1" customWidth="1"/>
    <col min="14021" max="14021" width="13.42578125" style="3469" bestFit="1" customWidth="1"/>
    <col min="14022" max="14022" width="17.7109375" style="3469" customWidth="1"/>
    <col min="14023" max="14024" width="13.28515625" style="3469" customWidth="1"/>
    <col min="14025" max="14025" width="11.5703125" style="3469" customWidth="1"/>
    <col min="14026" max="14026" width="16.85546875" style="3469" customWidth="1"/>
    <col min="14027" max="14027" width="13.85546875" style="3469" customWidth="1"/>
    <col min="14028" max="14028" width="15.140625" style="3469" customWidth="1"/>
    <col min="14029" max="14029" width="16.7109375" style="3469" customWidth="1"/>
    <col min="14030" max="14030" width="21.7109375" style="3469" customWidth="1"/>
    <col min="14031" max="14032" width="16.7109375" style="3469" customWidth="1"/>
    <col min="14033" max="14033" width="15" style="3469" customWidth="1"/>
    <col min="14034" max="14034" width="21.7109375" style="3469" customWidth="1"/>
    <col min="14035" max="14035" width="14.140625" style="3469" customWidth="1"/>
    <col min="14036" max="14036" width="13.85546875" style="3469" customWidth="1"/>
    <col min="14037" max="14037" width="12.140625" style="3469" customWidth="1"/>
    <col min="14038" max="14038" width="20.140625" style="3469" customWidth="1"/>
    <col min="14039" max="14039" width="15" style="3469" customWidth="1"/>
    <col min="14040" max="14040" width="12.140625" style="3469" customWidth="1"/>
    <col min="14041" max="14041" width="12" style="3469" customWidth="1"/>
    <col min="14042" max="14042" width="17.5703125" style="3469" customWidth="1"/>
    <col min="14043" max="14043" width="16.5703125" style="3469" customWidth="1"/>
    <col min="14044" max="14044" width="12.5703125" style="3469" customWidth="1"/>
    <col min="14045" max="14045" width="24.85546875" style="3469" customWidth="1"/>
    <col min="14046" max="14046" width="25.42578125" style="3469" customWidth="1"/>
    <col min="14047" max="14048" width="13.5703125" style="3469" customWidth="1"/>
    <col min="14049" max="14049" width="18.7109375" style="3469" customWidth="1"/>
    <col min="14050" max="14050" width="24.5703125" style="3469" customWidth="1"/>
    <col min="14051" max="14051" width="18.5703125" style="3469" customWidth="1"/>
    <col min="14052" max="14052" width="13.28515625" style="3469" customWidth="1"/>
    <col min="14053" max="14053" width="13.140625" style="3469" customWidth="1"/>
    <col min="14054" max="14054" width="18.7109375" style="3469" customWidth="1"/>
    <col min="14055" max="14055" width="12.42578125" style="3469" customWidth="1"/>
    <col min="14056" max="14056" width="13.85546875" style="3469" customWidth="1"/>
    <col min="14057" max="14057" width="6.85546875" style="3469" customWidth="1"/>
    <col min="14058" max="14058" width="23" style="3469" customWidth="1"/>
    <col min="14059" max="14060" width="9.140625" style="3469"/>
    <col min="14061" max="14061" width="12.28515625" style="3469" customWidth="1"/>
    <col min="14062" max="14062" width="22" style="3469" customWidth="1"/>
    <col min="14063" max="14065" width="13.28515625" style="3469" bestFit="1" customWidth="1"/>
    <col min="14066" max="14066" width="21.7109375" style="3469" customWidth="1"/>
    <col min="14067" max="14067" width="18.7109375" style="3469" bestFit="1" customWidth="1"/>
    <col min="14068" max="14069" width="19" style="3469" bestFit="1" customWidth="1"/>
    <col min="14070" max="14076" width="13.28515625" style="3469" bestFit="1" customWidth="1"/>
    <col min="14077" max="14077" width="14.140625" style="3469" bestFit="1" customWidth="1"/>
    <col min="14078" max="14079" width="15.7109375" style="3469" bestFit="1" customWidth="1"/>
    <col min="14080" max="14082" width="14.140625" style="3469" bestFit="1" customWidth="1"/>
    <col min="14083" max="14084" width="15.7109375" style="3469" bestFit="1" customWidth="1"/>
    <col min="14085" max="14086" width="14.140625" style="3469" bestFit="1" customWidth="1"/>
    <col min="14087" max="14105" width="9.140625" style="3469"/>
    <col min="14106" max="14106" width="10" style="3469" bestFit="1" customWidth="1"/>
    <col min="14107" max="14266" width="9.140625" style="3469"/>
    <col min="14267" max="14267" width="43.85546875" style="3469" customWidth="1"/>
    <col min="14268" max="14268" width="7.140625" style="3469" customWidth="1"/>
    <col min="14269" max="14269" width="15.5703125" style="3469" customWidth="1"/>
    <col min="14270" max="14270" width="23.140625" style="3469" customWidth="1"/>
    <col min="14271" max="14271" width="15.140625" style="3469" customWidth="1"/>
    <col min="14272" max="14272" width="14.85546875" style="3469" customWidth="1"/>
    <col min="14273" max="14273" width="16.28515625" style="3469" customWidth="1"/>
    <col min="14274" max="14274" width="20.85546875" style="3469" customWidth="1"/>
    <col min="14275" max="14275" width="14.140625" style="3469" customWidth="1"/>
    <col min="14276" max="14276" width="15.7109375" style="3469" bestFit="1" customWidth="1"/>
    <col min="14277" max="14277" width="13.42578125" style="3469" bestFit="1" customWidth="1"/>
    <col min="14278" max="14278" width="17.7109375" style="3469" customWidth="1"/>
    <col min="14279" max="14280" width="13.28515625" style="3469" customWidth="1"/>
    <col min="14281" max="14281" width="11.5703125" style="3469" customWidth="1"/>
    <col min="14282" max="14282" width="16.85546875" style="3469" customWidth="1"/>
    <col min="14283" max="14283" width="13.85546875" style="3469" customWidth="1"/>
    <col min="14284" max="14284" width="15.140625" style="3469" customWidth="1"/>
    <col min="14285" max="14285" width="16.7109375" style="3469" customWidth="1"/>
    <col min="14286" max="14286" width="21.7109375" style="3469" customWidth="1"/>
    <col min="14287" max="14288" width="16.7109375" style="3469" customWidth="1"/>
    <col min="14289" max="14289" width="15" style="3469" customWidth="1"/>
    <col min="14290" max="14290" width="21.7109375" style="3469" customWidth="1"/>
    <col min="14291" max="14291" width="14.140625" style="3469" customWidth="1"/>
    <col min="14292" max="14292" width="13.85546875" style="3469" customWidth="1"/>
    <col min="14293" max="14293" width="12.140625" style="3469" customWidth="1"/>
    <col min="14294" max="14294" width="20.140625" style="3469" customWidth="1"/>
    <col min="14295" max="14295" width="15" style="3469" customWidth="1"/>
    <col min="14296" max="14296" width="12.140625" style="3469" customWidth="1"/>
    <col min="14297" max="14297" width="12" style="3469" customWidth="1"/>
    <col min="14298" max="14298" width="17.5703125" style="3469" customWidth="1"/>
    <col min="14299" max="14299" width="16.5703125" style="3469" customWidth="1"/>
    <col min="14300" max="14300" width="12.5703125" style="3469" customWidth="1"/>
    <col min="14301" max="14301" width="24.85546875" style="3469" customWidth="1"/>
    <col min="14302" max="14302" width="25.42578125" style="3469" customWidth="1"/>
    <col min="14303" max="14304" width="13.5703125" style="3469" customWidth="1"/>
    <col min="14305" max="14305" width="18.7109375" style="3469" customWidth="1"/>
    <col min="14306" max="14306" width="24.5703125" style="3469" customWidth="1"/>
    <col min="14307" max="14307" width="18.5703125" style="3469" customWidth="1"/>
    <col min="14308" max="14308" width="13.28515625" style="3469" customWidth="1"/>
    <col min="14309" max="14309" width="13.140625" style="3469" customWidth="1"/>
    <col min="14310" max="14310" width="18.7109375" style="3469" customWidth="1"/>
    <col min="14311" max="14311" width="12.42578125" style="3469" customWidth="1"/>
    <col min="14312" max="14312" width="13.85546875" style="3469" customWidth="1"/>
    <col min="14313" max="14313" width="6.85546875" style="3469" customWidth="1"/>
    <col min="14314" max="14314" width="23" style="3469" customWidth="1"/>
    <col min="14315" max="14316" width="9.140625" style="3469"/>
    <col min="14317" max="14317" width="12.28515625" style="3469" customWidth="1"/>
    <col min="14318" max="14318" width="22" style="3469" customWidth="1"/>
    <col min="14319" max="14321" width="13.28515625" style="3469" bestFit="1" customWidth="1"/>
    <col min="14322" max="14322" width="21.7109375" style="3469" customWidth="1"/>
    <col min="14323" max="14323" width="18.7109375" style="3469" bestFit="1" customWidth="1"/>
    <col min="14324" max="14325" width="19" style="3469" bestFit="1" customWidth="1"/>
    <col min="14326" max="14332" width="13.28515625" style="3469" bestFit="1" customWidth="1"/>
    <col min="14333" max="14333" width="14.140625" style="3469" bestFit="1" customWidth="1"/>
    <col min="14334" max="14335" width="15.7109375" style="3469" bestFit="1" customWidth="1"/>
    <col min="14336" max="14338" width="14.140625" style="3469" bestFit="1" customWidth="1"/>
    <col min="14339" max="14340" width="15.7109375" style="3469" bestFit="1" customWidth="1"/>
    <col min="14341" max="14342" width="14.140625" style="3469" bestFit="1" customWidth="1"/>
    <col min="14343" max="14361" width="9.140625" style="3469"/>
    <col min="14362" max="14362" width="10" style="3469" bestFit="1" customWidth="1"/>
    <col min="14363" max="14522" width="9.140625" style="3469"/>
    <col min="14523" max="14523" width="43.85546875" style="3469" customWidth="1"/>
    <col min="14524" max="14524" width="7.140625" style="3469" customWidth="1"/>
    <col min="14525" max="14525" width="15.5703125" style="3469" customWidth="1"/>
    <col min="14526" max="14526" width="23.140625" style="3469" customWidth="1"/>
    <col min="14527" max="14527" width="15.140625" style="3469" customWidth="1"/>
    <col min="14528" max="14528" width="14.85546875" style="3469" customWidth="1"/>
    <col min="14529" max="14529" width="16.28515625" style="3469" customWidth="1"/>
    <col min="14530" max="14530" width="20.85546875" style="3469" customWidth="1"/>
    <col min="14531" max="14531" width="14.140625" style="3469" customWidth="1"/>
    <col min="14532" max="14532" width="15.7109375" style="3469" bestFit="1" customWidth="1"/>
    <col min="14533" max="14533" width="13.42578125" style="3469" bestFit="1" customWidth="1"/>
    <col min="14534" max="14534" width="17.7109375" style="3469" customWidth="1"/>
    <col min="14535" max="14536" width="13.28515625" style="3469" customWidth="1"/>
    <col min="14537" max="14537" width="11.5703125" style="3469" customWidth="1"/>
    <col min="14538" max="14538" width="16.85546875" style="3469" customWidth="1"/>
    <col min="14539" max="14539" width="13.85546875" style="3469" customWidth="1"/>
    <col min="14540" max="14540" width="15.140625" style="3469" customWidth="1"/>
    <col min="14541" max="14541" width="16.7109375" style="3469" customWidth="1"/>
    <col min="14542" max="14542" width="21.7109375" style="3469" customWidth="1"/>
    <col min="14543" max="14544" width="16.7109375" style="3469" customWidth="1"/>
    <col min="14545" max="14545" width="15" style="3469" customWidth="1"/>
    <col min="14546" max="14546" width="21.7109375" style="3469" customWidth="1"/>
    <col min="14547" max="14547" width="14.140625" style="3469" customWidth="1"/>
    <col min="14548" max="14548" width="13.85546875" style="3469" customWidth="1"/>
    <col min="14549" max="14549" width="12.140625" style="3469" customWidth="1"/>
    <col min="14550" max="14550" width="20.140625" style="3469" customWidth="1"/>
    <col min="14551" max="14551" width="15" style="3469" customWidth="1"/>
    <col min="14552" max="14552" width="12.140625" style="3469" customWidth="1"/>
    <col min="14553" max="14553" width="12" style="3469" customWidth="1"/>
    <col min="14554" max="14554" width="17.5703125" style="3469" customWidth="1"/>
    <col min="14555" max="14555" width="16.5703125" style="3469" customWidth="1"/>
    <col min="14556" max="14556" width="12.5703125" style="3469" customWidth="1"/>
    <col min="14557" max="14557" width="24.85546875" style="3469" customWidth="1"/>
    <col min="14558" max="14558" width="25.42578125" style="3469" customWidth="1"/>
    <col min="14559" max="14560" width="13.5703125" style="3469" customWidth="1"/>
    <col min="14561" max="14561" width="18.7109375" style="3469" customWidth="1"/>
    <col min="14562" max="14562" width="24.5703125" style="3469" customWidth="1"/>
    <col min="14563" max="14563" width="18.5703125" style="3469" customWidth="1"/>
    <col min="14564" max="14564" width="13.28515625" style="3469" customWidth="1"/>
    <col min="14565" max="14565" width="13.140625" style="3469" customWidth="1"/>
    <col min="14566" max="14566" width="18.7109375" style="3469" customWidth="1"/>
    <col min="14567" max="14567" width="12.42578125" style="3469" customWidth="1"/>
    <col min="14568" max="14568" width="13.85546875" style="3469" customWidth="1"/>
    <col min="14569" max="14569" width="6.85546875" style="3469" customWidth="1"/>
    <col min="14570" max="14570" width="23" style="3469" customWidth="1"/>
    <col min="14571" max="14572" width="9.140625" style="3469"/>
    <col min="14573" max="14573" width="12.28515625" style="3469" customWidth="1"/>
    <col min="14574" max="14574" width="22" style="3469" customWidth="1"/>
    <col min="14575" max="14577" width="13.28515625" style="3469" bestFit="1" customWidth="1"/>
    <col min="14578" max="14578" width="21.7109375" style="3469" customWidth="1"/>
    <col min="14579" max="14579" width="18.7109375" style="3469" bestFit="1" customWidth="1"/>
    <col min="14580" max="14581" width="19" style="3469" bestFit="1" customWidth="1"/>
    <col min="14582" max="14588" width="13.28515625" style="3469" bestFit="1" customWidth="1"/>
    <col min="14589" max="14589" width="14.140625" style="3469" bestFit="1" customWidth="1"/>
    <col min="14590" max="14591" width="15.7109375" style="3469" bestFit="1" customWidth="1"/>
    <col min="14592" max="14594" width="14.140625" style="3469" bestFit="1" customWidth="1"/>
    <col min="14595" max="14596" width="15.7109375" style="3469" bestFit="1" customWidth="1"/>
    <col min="14597" max="14598" width="14.140625" style="3469" bestFit="1" customWidth="1"/>
    <col min="14599" max="14617" width="9.140625" style="3469"/>
    <col min="14618" max="14618" width="10" style="3469" bestFit="1" customWidth="1"/>
    <col min="14619" max="14778" width="9.140625" style="3469"/>
    <col min="14779" max="14779" width="43.85546875" style="3469" customWidth="1"/>
    <col min="14780" max="14780" width="7.140625" style="3469" customWidth="1"/>
    <col min="14781" max="14781" width="15.5703125" style="3469" customWidth="1"/>
    <col min="14782" max="14782" width="23.140625" style="3469" customWidth="1"/>
    <col min="14783" max="14783" width="15.140625" style="3469" customWidth="1"/>
    <col min="14784" max="14784" width="14.85546875" style="3469" customWidth="1"/>
    <col min="14785" max="14785" width="16.28515625" style="3469" customWidth="1"/>
    <col min="14786" max="14786" width="20.85546875" style="3469" customWidth="1"/>
    <col min="14787" max="14787" width="14.140625" style="3469" customWidth="1"/>
    <col min="14788" max="14788" width="15.7109375" style="3469" bestFit="1" customWidth="1"/>
    <col min="14789" max="14789" width="13.42578125" style="3469" bestFit="1" customWidth="1"/>
    <col min="14790" max="14790" width="17.7109375" style="3469" customWidth="1"/>
    <col min="14791" max="14792" width="13.28515625" style="3469" customWidth="1"/>
    <col min="14793" max="14793" width="11.5703125" style="3469" customWidth="1"/>
    <col min="14794" max="14794" width="16.85546875" style="3469" customWidth="1"/>
    <col min="14795" max="14795" width="13.85546875" style="3469" customWidth="1"/>
    <col min="14796" max="14796" width="15.140625" style="3469" customWidth="1"/>
    <col min="14797" max="14797" width="16.7109375" style="3469" customWidth="1"/>
    <col min="14798" max="14798" width="21.7109375" style="3469" customWidth="1"/>
    <col min="14799" max="14800" width="16.7109375" style="3469" customWidth="1"/>
    <col min="14801" max="14801" width="15" style="3469" customWidth="1"/>
    <col min="14802" max="14802" width="21.7109375" style="3469" customWidth="1"/>
    <col min="14803" max="14803" width="14.140625" style="3469" customWidth="1"/>
    <col min="14804" max="14804" width="13.85546875" style="3469" customWidth="1"/>
    <col min="14805" max="14805" width="12.140625" style="3469" customWidth="1"/>
    <col min="14806" max="14806" width="20.140625" style="3469" customWidth="1"/>
    <col min="14807" max="14807" width="15" style="3469" customWidth="1"/>
    <col min="14808" max="14808" width="12.140625" style="3469" customWidth="1"/>
    <col min="14809" max="14809" width="12" style="3469" customWidth="1"/>
    <col min="14810" max="14810" width="17.5703125" style="3469" customWidth="1"/>
    <col min="14811" max="14811" width="16.5703125" style="3469" customWidth="1"/>
    <col min="14812" max="14812" width="12.5703125" style="3469" customWidth="1"/>
    <col min="14813" max="14813" width="24.85546875" style="3469" customWidth="1"/>
    <col min="14814" max="14814" width="25.42578125" style="3469" customWidth="1"/>
    <col min="14815" max="14816" width="13.5703125" style="3469" customWidth="1"/>
    <col min="14817" max="14817" width="18.7109375" style="3469" customWidth="1"/>
    <col min="14818" max="14818" width="24.5703125" style="3469" customWidth="1"/>
    <col min="14819" max="14819" width="18.5703125" style="3469" customWidth="1"/>
    <col min="14820" max="14820" width="13.28515625" style="3469" customWidth="1"/>
    <col min="14821" max="14821" width="13.140625" style="3469" customWidth="1"/>
    <col min="14822" max="14822" width="18.7109375" style="3469" customWidth="1"/>
    <col min="14823" max="14823" width="12.42578125" style="3469" customWidth="1"/>
    <col min="14824" max="14824" width="13.85546875" style="3469" customWidth="1"/>
    <col min="14825" max="14825" width="6.85546875" style="3469" customWidth="1"/>
    <col min="14826" max="14826" width="23" style="3469" customWidth="1"/>
    <col min="14827" max="14828" width="9.140625" style="3469"/>
    <col min="14829" max="14829" width="12.28515625" style="3469" customWidth="1"/>
    <col min="14830" max="14830" width="22" style="3469" customWidth="1"/>
    <col min="14831" max="14833" width="13.28515625" style="3469" bestFit="1" customWidth="1"/>
    <col min="14834" max="14834" width="21.7109375" style="3469" customWidth="1"/>
    <col min="14835" max="14835" width="18.7109375" style="3469" bestFit="1" customWidth="1"/>
    <col min="14836" max="14837" width="19" style="3469" bestFit="1" customWidth="1"/>
    <col min="14838" max="14844" width="13.28515625" style="3469" bestFit="1" customWidth="1"/>
    <col min="14845" max="14845" width="14.140625" style="3469" bestFit="1" customWidth="1"/>
    <col min="14846" max="14847" width="15.7109375" style="3469" bestFit="1" customWidth="1"/>
    <col min="14848" max="14850" width="14.140625" style="3469" bestFit="1" customWidth="1"/>
    <col min="14851" max="14852" width="15.7109375" style="3469" bestFit="1" customWidth="1"/>
    <col min="14853" max="14854" width="14.140625" style="3469" bestFit="1" customWidth="1"/>
    <col min="14855" max="14873" width="9.140625" style="3469"/>
    <col min="14874" max="14874" width="10" style="3469" bestFit="1" customWidth="1"/>
    <col min="14875" max="15034" width="9.140625" style="3469"/>
    <col min="15035" max="15035" width="43.85546875" style="3469" customWidth="1"/>
    <col min="15036" max="15036" width="7.140625" style="3469" customWidth="1"/>
    <col min="15037" max="15037" width="15.5703125" style="3469" customWidth="1"/>
    <col min="15038" max="15038" width="23.140625" style="3469" customWidth="1"/>
    <col min="15039" max="15039" width="15.140625" style="3469" customWidth="1"/>
    <col min="15040" max="15040" width="14.85546875" style="3469" customWidth="1"/>
    <col min="15041" max="15041" width="16.28515625" style="3469" customWidth="1"/>
    <col min="15042" max="15042" width="20.85546875" style="3469" customWidth="1"/>
    <col min="15043" max="15043" width="14.140625" style="3469" customWidth="1"/>
    <col min="15044" max="15044" width="15.7109375" style="3469" bestFit="1" customWidth="1"/>
    <col min="15045" max="15045" width="13.42578125" style="3469" bestFit="1" customWidth="1"/>
    <col min="15046" max="15046" width="17.7109375" style="3469" customWidth="1"/>
    <col min="15047" max="15048" width="13.28515625" style="3469" customWidth="1"/>
    <col min="15049" max="15049" width="11.5703125" style="3469" customWidth="1"/>
    <col min="15050" max="15050" width="16.85546875" style="3469" customWidth="1"/>
    <col min="15051" max="15051" width="13.85546875" style="3469" customWidth="1"/>
    <col min="15052" max="15052" width="15.140625" style="3469" customWidth="1"/>
    <col min="15053" max="15053" width="16.7109375" style="3469" customWidth="1"/>
    <col min="15054" max="15054" width="21.7109375" style="3469" customWidth="1"/>
    <col min="15055" max="15056" width="16.7109375" style="3469" customWidth="1"/>
    <col min="15057" max="15057" width="15" style="3469" customWidth="1"/>
    <col min="15058" max="15058" width="21.7109375" style="3469" customWidth="1"/>
    <col min="15059" max="15059" width="14.140625" style="3469" customWidth="1"/>
    <col min="15060" max="15060" width="13.85546875" style="3469" customWidth="1"/>
    <col min="15061" max="15061" width="12.140625" style="3469" customWidth="1"/>
    <col min="15062" max="15062" width="20.140625" style="3469" customWidth="1"/>
    <col min="15063" max="15063" width="15" style="3469" customWidth="1"/>
    <col min="15064" max="15064" width="12.140625" style="3469" customWidth="1"/>
    <col min="15065" max="15065" width="12" style="3469" customWidth="1"/>
    <col min="15066" max="15066" width="17.5703125" style="3469" customWidth="1"/>
    <col min="15067" max="15067" width="16.5703125" style="3469" customWidth="1"/>
    <col min="15068" max="15068" width="12.5703125" style="3469" customWidth="1"/>
    <col min="15069" max="15069" width="24.85546875" style="3469" customWidth="1"/>
    <col min="15070" max="15070" width="25.42578125" style="3469" customWidth="1"/>
    <col min="15071" max="15072" width="13.5703125" style="3469" customWidth="1"/>
    <col min="15073" max="15073" width="18.7109375" style="3469" customWidth="1"/>
    <col min="15074" max="15074" width="24.5703125" style="3469" customWidth="1"/>
    <col min="15075" max="15075" width="18.5703125" style="3469" customWidth="1"/>
    <col min="15076" max="15076" width="13.28515625" style="3469" customWidth="1"/>
    <col min="15077" max="15077" width="13.140625" style="3469" customWidth="1"/>
    <col min="15078" max="15078" width="18.7109375" style="3469" customWidth="1"/>
    <col min="15079" max="15079" width="12.42578125" style="3469" customWidth="1"/>
    <col min="15080" max="15080" width="13.85546875" style="3469" customWidth="1"/>
    <col min="15081" max="15081" width="6.85546875" style="3469" customWidth="1"/>
    <col min="15082" max="15082" width="23" style="3469" customWidth="1"/>
    <col min="15083" max="15084" width="9.140625" style="3469"/>
    <col min="15085" max="15085" width="12.28515625" style="3469" customWidth="1"/>
    <col min="15086" max="15086" width="22" style="3469" customWidth="1"/>
    <col min="15087" max="15089" width="13.28515625" style="3469" bestFit="1" customWidth="1"/>
    <col min="15090" max="15090" width="21.7109375" style="3469" customWidth="1"/>
    <col min="15091" max="15091" width="18.7109375" style="3469" bestFit="1" customWidth="1"/>
    <col min="15092" max="15093" width="19" style="3469" bestFit="1" customWidth="1"/>
    <col min="15094" max="15100" width="13.28515625" style="3469" bestFit="1" customWidth="1"/>
    <col min="15101" max="15101" width="14.140625" style="3469" bestFit="1" customWidth="1"/>
    <col min="15102" max="15103" width="15.7109375" style="3469" bestFit="1" customWidth="1"/>
    <col min="15104" max="15106" width="14.140625" style="3469" bestFit="1" customWidth="1"/>
    <col min="15107" max="15108" width="15.7109375" style="3469" bestFit="1" customWidth="1"/>
    <col min="15109" max="15110" width="14.140625" style="3469" bestFit="1" customWidth="1"/>
    <col min="15111" max="15129" width="9.140625" style="3469"/>
    <col min="15130" max="15130" width="10" style="3469" bestFit="1" customWidth="1"/>
    <col min="15131" max="15290" width="9.140625" style="3469"/>
    <col min="15291" max="15291" width="43.85546875" style="3469" customWidth="1"/>
    <col min="15292" max="15292" width="7.140625" style="3469" customWidth="1"/>
    <col min="15293" max="15293" width="15.5703125" style="3469" customWidth="1"/>
    <col min="15294" max="15294" width="23.140625" style="3469" customWidth="1"/>
    <col min="15295" max="15295" width="15.140625" style="3469" customWidth="1"/>
    <col min="15296" max="15296" width="14.85546875" style="3469" customWidth="1"/>
    <col min="15297" max="15297" width="16.28515625" style="3469" customWidth="1"/>
    <col min="15298" max="15298" width="20.85546875" style="3469" customWidth="1"/>
    <col min="15299" max="15299" width="14.140625" style="3469" customWidth="1"/>
    <col min="15300" max="15300" width="15.7109375" style="3469" bestFit="1" customWidth="1"/>
    <col min="15301" max="15301" width="13.42578125" style="3469" bestFit="1" customWidth="1"/>
    <col min="15302" max="15302" width="17.7109375" style="3469" customWidth="1"/>
    <col min="15303" max="15304" width="13.28515625" style="3469" customWidth="1"/>
    <col min="15305" max="15305" width="11.5703125" style="3469" customWidth="1"/>
    <col min="15306" max="15306" width="16.85546875" style="3469" customWidth="1"/>
    <col min="15307" max="15307" width="13.85546875" style="3469" customWidth="1"/>
    <col min="15308" max="15308" width="15.140625" style="3469" customWidth="1"/>
    <col min="15309" max="15309" width="16.7109375" style="3469" customWidth="1"/>
    <col min="15310" max="15310" width="21.7109375" style="3469" customWidth="1"/>
    <col min="15311" max="15312" width="16.7109375" style="3469" customWidth="1"/>
    <col min="15313" max="15313" width="15" style="3469" customWidth="1"/>
    <col min="15314" max="15314" width="21.7109375" style="3469" customWidth="1"/>
    <col min="15315" max="15315" width="14.140625" style="3469" customWidth="1"/>
    <col min="15316" max="15316" width="13.85546875" style="3469" customWidth="1"/>
    <col min="15317" max="15317" width="12.140625" style="3469" customWidth="1"/>
    <col min="15318" max="15318" width="20.140625" style="3469" customWidth="1"/>
    <col min="15319" max="15319" width="15" style="3469" customWidth="1"/>
    <col min="15320" max="15320" width="12.140625" style="3469" customWidth="1"/>
    <col min="15321" max="15321" width="12" style="3469" customWidth="1"/>
    <col min="15322" max="15322" width="17.5703125" style="3469" customWidth="1"/>
    <col min="15323" max="15323" width="16.5703125" style="3469" customWidth="1"/>
    <col min="15324" max="15324" width="12.5703125" style="3469" customWidth="1"/>
    <col min="15325" max="15325" width="24.85546875" style="3469" customWidth="1"/>
    <col min="15326" max="15326" width="25.42578125" style="3469" customWidth="1"/>
    <col min="15327" max="15328" width="13.5703125" style="3469" customWidth="1"/>
    <col min="15329" max="15329" width="18.7109375" style="3469" customWidth="1"/>
    <col min="15330" max="15330" width="24.5703125" style="3469" customWidth="1"/>
    <col min="15331" max="15331" width="18.5703125" style="3469" customWidth="1"/>
    <col min="15332" max="15332" width="13.28515625" style="3469" customWidth="1"/>
    <col min="15333" max="15333" width="13.140625" style="3469" customWidth="1"/>
    <col min="15334" max="15334" width="18.7109375" style="3469" customWidth="1"/>
    <col min="15335" max="15335" width="12.42578125" style="3469" customWidth="1"/>
    <col min="15336" max="15336" width="13.85546875" style="3469" customWidth="1"/>
    <col min="15337" max="15337" width="6.85546875" style="3469" customWidth="1"/>
    <col min="15338" max="15338" width="23" style="3469" customWidth="1"/>
    <col min="15339" max="15340" width="9.140625" style="3469"/>
    <col min="15341" max="15341" width="12.28515625" style="3469" customWidth="1"/>
    <col min="15342" max="15342" width="22" style="3469" customWidth="1"/>
    <col min="15343" max="15345" width="13.28515625" style="3469" bestFit="1" customWidth="1"/>
    <col min="15346" max="15346" width="21.7109375" style="3469" customWidth="1"/>
    <col min="15347" max="15347" width="18.7109375" style="3469" bestFit="1" customWidth="1"/>
    <col min="15348" max="15349" width="19" style="3469" bestFit="1" customWidth="1"/>
    <col min="15350" max="15356" width="13.28515625" style="3469" bestFit="1" customWidth="1"/>
    <col min="15357" max="15357" width="14.140625" style="3469" bestFit="1" customWidth="1"/>
    <col min="15358" max="15359" width="15.7109375" style="3469" bestFit="1" customWidth="1"/>
    <col min="15360" max="15362" width="14.140625" style="3469" bestFit="1" customWidth="1"/>
    <col min="15363" max="15364" width="15.7109375" style="3469" bestFit="1" customWidth="1"/>
    <col min="15365" max="15366" width="14.140625" style="3469" bestFit="1" customWidth="1"/>
    <col min="15367" max="15385" width="9.140625" style="3469"/>
    <col min="15386" max="15386" width="10" style="3469" bestFit="1" customWidth="1"/>
    <col min="15387" max="15546" width="9.140625" style="3469"/>
    <col min="15547" max="15547" width="43.85546875" style="3469" customWidth="1"/>
    <col min="15548" max="15548" width="7.140625" style="3469" customWidth="1"/>
    <col min="15549" max="15549" width="15.5703125" style="3469" customWidth="1"/>
    <col min="15550" max="15550" width="23.140625" style="3469" customWidth="1"/>
    <col min="15551" max="15551" width="15.140625" style="3469" customWidth="1"/>
    <col min="15552" max="15552" width="14.85546875" style="3469" customWidth="1"/>
    <col min="15553" max="15553" width="16.28515625" style="3469" customWidth="1"/>
    <col min="15554" max="15554" width="20.85546875" style="3469" customWidth="1"/>
    <col min="15555" max="15555" width="14.140625" style="3469" customWidth="1"/>
    <col min="15556" max="15556" width="15.7109375" style="3469" bestFit="1" customWidth="1"/>
    <col min="15557" max="15557" width="13.42578125" style="3469" bestFit="1" customWidth="1"/>
    <col min="15558" max="15558" width="17.7109375" style="3469" customWidth="1"/>
    <col min="15559" max="15560" width="13.28515625" style="3469" customWidth="1"/>
    <col min="15561" max="15561" width="11.5703125" style="3469" customWidth="1"/>
    <col min="15562" max="15562" width="16.85546875" style="3469" customWidth="1"/>
    <col min="15563" max="15563" width="13.85546875" style="3469" customWidth="1"/>
    <col min="15564" max="15564" width="15.140625" style="3469" customWidth="1"/>
    <col min="15565" max="15565" width="16.7109375" style="3469" customWidth="1"/>
    <col min="15566" max="15566" width="21.7109375" style="3469" customWidth="1"/>
    <col min="15567" max="15568" width="16.7109375" style="3469" customWidth="1"/>
    <col min="15569" max="15569" width="15" style="3469" customWidth="1"/>
    <col min="15570" max="15570" width="21.7109375" style="3469" customWidth="1"/>
    <col min="15571" max="15571" width="14.140625" style="3469" customWidth="1"/>
    <col min="15572" max="15572" width="13.85546875" style="3469" customWidth="1"/>
    <col min="15573" max="15573" width="12.140625" style="3469" customWidth="1"/>
    <col min="15574" max="15574" width="20.140625" style="3469" customWidth="1"/>
    <col min="15575" max="15575" width="15" style="3469" customWidth="1"/>
    <col min="15576" max="15576" width="12.140625" style="3469" customWidth="1"/>
    <col min="15577" max="15577" width="12" style="3469" customWidth="1"/>
    <col min="15578" max="15578" width="17.5703125" style="3469" customWidth="1"/>
    <col min="15579" max="15579" width="16.5703125" style="3469" customWidth="1"/>
    <col min="15580" max="15580" width="12.5703125" style="3469" customWidth="1"/>
    <col min="15581" max="15581" width="24.85546875" style="3469" customWidth="1"/>
    <col min="15582" max="15582" width="25.42578125" style="3469" customWidth="1"/>
    <col min="15583" max="15584" width="13.5703125" style="3469" customWidth="1"/>
    <col min="15585" max="15585" width="18.7109375" style="3469" customWidth="1"/>
    <col min="15586" max="15586" width="24.5703125" style="3469" customWidth="1"/>
    <col min="15587" max="15587" width="18.5703125" style="3469" customWidth="1"/>
    <col min="15588" max="15588" width="13.28515625" style="3469" customWidth="1"/>
    <col min="15589" max="15589" width="13.140625" style="3469" customWidth="1"/>
    <col min="15590" max="15590" width="18.7109375" style="3469" customWidth="1"/>
    <col min="15591" max="15591" width="12.42578125" style="3469" customWidth="1"/>
    <col min="15592" max="15592" width="13.85546875" style="3469" customWidth="1"/>
    <col min="15593" max="15593" width="6.85546875" style="3469" customWidth="1"/>
    <col min="15594" max="15594" width="23" style="3469" customWidth="1"/>
    <col min="15595" max="15596" width="9.140625" style="3469"/>
    <col min="15597" max="15597" width="12.28515625" style="3469" customWidth="1"/>
    <col min="15598" max="15598" width="22" style="3469" customWidth="1"/>
    <col min="15599" max="15601" width="13.28515625" style="3469" bestFit="1" customWidth="1"/>
    <col min="15602" max="15602" width="21.7109375" style="3469" customWidth="1"/>
    <col min="15603" max="15603" width="18.7109375" style="3469" bestFit="1" customWidth="1"/>
    <col min="15604" max="15605" width="19" style="3469" bestFit="1" customWidth="1"/>
    <col min="15606" max="15612" width="13.28515625" style="3469" bestFit="1" customWidth="1"/>
    <col min="15613" max="15613" width="14.140625" style="3469" bestFit="1" customWidth="1"/>
    <col min="15614" max="15615" width="15.7109375" style="3469" bestFit="1" customWidth="1"/>
    <col min="15616" max="15618" width="14.140625" style="3469" bestFit="1" customWidth="1"/>
    <col min="15619" max="15620" width="15.7109375" style="3469" bestFit="1" customWidth="1"/>
    <col min="15621" max="15622" width="14.140625" style="3469" bestFit="1" customWidth="1"/>
    <col min="15623" max="15641" width="9.140625" style="3469"/>
    <col min="15642" max="15642" width="10" style="3469" bestFit="1" customWidth="1"/>
    <col min="15643" max="15802" width="9.140625" style="3469"/>
    <col min="15803" max="15803" width="43.85546875" style="3469" customWidth="1"/>
    <col min="15804" max="15804" width="7.140625" style="3469" customWidth="1"/>
    <col min="15805" max="15805" width="15.5703125" style="3469" customWidth="1"/>
    <col min="15806" max="15806" width="23.140625" style="3469" customWidth="1"/>
    <col min="15807" max="15807" width="15.140625" style="3469" customWidth="1"/>
    <col min="15808" max="15808" width="14.85546875" style="3469" customWidth="1"/>
    <col min="15809" max="15809" width="16.28515625" style="3469" customWidth="1"/>
    <col min="15810" max="15810" width="20.85546875" style="3469" customWidth="1"/>
    <col min="15811" max="15811" width="14.140625" style="3469" customWidth="1"/>
    <col min="15812" max="15812" width="15.7109375" style="3469" bestFit="1" customWidth="1"/>
    <col min="15813" max="15813" width="13.42578125" style="3469" bestFit="1" customWidth="1"/>
    <col min="15814" max="15814" width="17.7109375" style="3469" customWidth="1"/>
    <col min="15815" max="15816" width="13.28515625" style="3469" customWidth="1"/>
    <col min="15817" max="15817" width="11.5703125" style="3469" customWidth="1"/>
    <col min="15818" max="15818" width="16.85546875" style="3469" customWidth="1"/>
    <col min="15819" max="15819" width="13.85546875" style="3469" customWidth="1"/>
    <col min="15820" max="15820" width="15.140625" style="3469" customWidth="1"/>
    <col min="15821" max="15821" width="16.7109375" style="3469" customWidth="1"/>
    <col min="15822" max="15822" width="21.7109375" style="3469" customWidth="1"/>
    <col min="15823" max="15824" width="16.7109375" style="3469" customWidth="1"/>
    <col min="15825" max="15825" width="15" style="3469" customWidth="1"/>
    <col min="15826" max="15826" width="21.7109375" style="3469" customWidth="1"/>
    <col min="15827" max="15827" width="14.140625" style="3469" customWidth="1"/>
    <col min="15828" max="15828" width="13.85546875" style="3469" customWidth="1"/>
    <col min="15829" max="15829" width="12.140625" style="3469" customWidth="1"/>
    <col min="15830" max="15830" width="20.140625" style="3469" customWidth="1"/>
    <col min="15831" max="15831" width="15" style="3469" customWidth="1"/>
    <col min="15832" max="15832" width="12.140625" style="3469" customWidth="1"/>
    <col min="15833" max="15833" width="12" style="3469" customWidth="1"/>
    <col min="15834" max="15834" width="17.5703125" style="3469" customWidth="1"/>
    <col min="15835" max="15835" width="16.5703125" style="3469" customWidth="1"/>
    <col min="15836" max="15836" width="12.5703125" style="3469" customWidth="1"/>
    <col min="15837" max="15837" width="24.85546875" style="3469" customWidth="1"/>
    <col min="15838" max="15838" width="25.42578125" style="3469" customWidth="1"/>
    <col min="15839" max="15840" width="13.5703125" style="3469" customWidth="1"/>
    <col min="15841" max="15841" width="18.7109375" style="3469" customWidth="1"/>
    <col min="15842" max="15842" width="24.5703125" style="3469" customWidth="1"/>
    <col min="15843" max="15843" width="18.5703125" style="3469" customWidth="1"/>
    <col min="15844" max="15844" width="13.28515625" style="3469" customWidth="1"/>
    <col min="15845" max="15845" width="13.140625" style="3469" customWidth="1"/>
    <col min="15846" max="15846" width="18.7109375" style="3469" customWidth="1"/>
    <col min="15847" max="15847" width="12.42578125" style="3469" customWidth="1"/>
    <col min="15848" max="15848" width="13.85546875" style="3469" customWidth="1"/>
    <col min="15849" max="15849" width="6.85546875" style="3469" customWidth="1"/>
    <col min="15850" max="15850" width="23" style="3469" customWidth="1"/>
    <col min="15851" max="15852" width="9.140625" style="3469"/>
    <col min="15853" max="15853" width="12.28515625" style="3469" customWidth="1"/>
    <col min="15854" max="15854" width="22" style="3469" customWidth="1"/>
    <col min="15855" max="15857" width="13.28515625" style="3469" bestFit="1" customWidth="1"/>
    <col min="15858" max="15858" width="21.7109375" style="3469" customWidth="1"/>
    <col min="15859" max="15859" width="18.7109375" style="3469" bestFit="1" customWidth="1"/>
    <col min="15860" max="15861" width="19" style="3469" bestFit="1" customWidth="1"/>
    <col min="15862" max="15868" width="13.28515625" style="3469" bestFit="1" customWidth="1"/>
    <col min="15869" max="15869" width="14.140625" style="3469" bestFit="1" customWidth="1"/>
    <col min="15870" max="15871" width="15.7109375" style="3469" bestFit="1" customWidth="1"/>
    <col min="15872" max="15874" width="14.140625" style="3469" bestFit="1" customWidth="1"/>
    <col min="15875" max="15876" width="15.7109375" style="3469" bestFit="1" customWidth="1"/>
    <col min="15877" max="15878" width="14.140625" style="3469" bestFit="1" customWidth="1"/>
    <col min="15879" max="15897" width="9.140625" style="3469"/>
    <col min="15898" max="15898" width="10" style="3469" bestFit="1" customWidth="1"/>
    <col min="15899" max="16058" width="9.140625" style="3469"/>
    <col min="16059" max="16059" width="43.85546875" style="3469" customWidth="1"/>
    <col min="16060" max="16060" width="7.140625" style="3469" customWidth="1"/>
    <col min="16061" max="16061" width="15.5703125" style="3469" customWidth="1"/>
    <col min="16062" max="16062" width="23.140625" style="3469" customWidth="1"/>
    <col min="16063" max="16063" width="15.140625" style="3469" customWidth="1"/>
    <col min="16064" max="16064" width="14.85546875" style="3469" customWidth="1"/>
    <col min="16065" max="16065" width="16.28515625" style="3469" customWidth="1"/>
    <col min="16066" max="16066" width="20.85546875" style="3469" customWidth="1"/>
    <col min="16067" max="16067" width="14.140625" style="3469" customWidth="1"/>
    <col min="16068" max="16068" width="15.7109375" style="3469" bestFit="1" customWidth="1"/>
    <col min="16069" max="16069" width="13.42578125" style="3469" bestFit="1" customWidth="1"/>
    <col min="16070" max="16070" width="17.7109375" style="3469" customWidth="1"/>
    <col min="16071" max="16072" width="13.28515625" style="3469" customWidth="1"/>
    <col min="16073" max="16073" width="11.5703125" style="3469" customWidth="1"/>
    <col min="16074" max="16074" width="16.85546875" style="3469" customWidth="1"/>
    <col min="16075" max="16075" width="13.85546875" style="3469" customWidth="1"/>
    <col min="16076" max="16076" width="15.140625" style="3469" customWidth="1"/>
    <col min="16077" max="16077" width="16.7109375" style="3469" customWidth="1"/>
    <col min="16078" max="16078" width="21.7109375" style="3469" customWidth="1"/>
    <col min="16079" max="16080" width="16.7109375" style="3469" customWidth="1"/>
    <col min="16081" max="16081" width="15" style="3469" customWidth="1"/>
    <col min="16082" max="16082" width="21.7109375" style="3469" customWidth="1"/>
    <col min="16083" max="16083" width="14.140625" style="3469" customWidth="1"/>
    <col min="16084" max="16084" width="13.85546875" style="3469" customWidth="1"/>
    <col min="16085" max="16085" width="12.140625" style="3469" customWidth="1"/>
    <col min="16086" max="16086" width="20.140625" style="3469" customWidth="1"/>
    <col min="16087" max="16087" width="15" style="3469" customWidth="1"/>
    <col min="16088" max="16088" width="12.140625" style="3469" customWidth="1"/>
    <col min="16089" max="16089" width="12" style="3469" customWidth="1"/>
    <col min="16090" max="16090" width="17.5703125" style="3469" customWidth="1"/>
    <col min="16091" max="16091" width="16.5703125" style="3469" customWidth="1"/>
    <col min="16092" max="16092" width="12.5703125" style="3469" customWidth="1"/>
    <col min="16093" max="16093" width="24.85546875" style="3469" customWidth="1"/>
    <col min="16094" max="16094" width="25.42578125" style="3469" customWidth="1"/>
    <col min="16095" max="16096" width="13.5703125" style="3469" customWidth="1"/>
    <col min="16097" max="16097" width="18.7109375" style="3469" customWidth="1"/>
    <col min="16098" max="16098" width="24.5703125" style="3469" customWidth="1"/>
    <col min="16099" max="16099" width="18.5703125" style="3469" customWidth="1"/>
    <col min="16100" max="16100" width="13.28515625" style="3469" customWidth="1"/>
    <col min="16101" max="16101" width="13.140625" style="3469" customWidth="1"/>
    <col min="16102" max="16102" width="18.7109375" style="3469" customWidth="1"/>
    <col min="16103" max="16103" width="12.42578125" style="3469" customWidth="1"/>
    <col min="16104" max="16104" width="13.85546875" style="3469" customWidth="1"/>
    <col min="16105" max="16105" width="6.85546875" style="3469" customWidth="1"/>
    <col min="16106" max="16106" width="23" style="3469" customWidth="1"/>
    <col min="16107" max="16108" width="9.140625" style="3469"/>
    <col min="16109" max="16109" width="12.28515625" style="3469" customWidth="1"/>
    <col min="16110" max="16110" width="22" style="3469" customWidth="1"/>
    <col min="16111" max="16113" width="13.28515625" style="3469" bestFit="1" customWidth="1"/>
    <col min="16114" max="16114" width="21.7109375" style="3469" customWidth="1"/>
    <col min="16115" max="16115" width="18.7109375" style="3469" bestFit="1" customWidth="1"/>
    <col min="16116" max="16117" width="19" style="3469" bestFit="1" customWidth="1"/>
    <col min="16118" max="16124" width="13.28515625" style="3469" bestFit="1" customWidth="1"/>
    <col min="16125" max="16125" width="14.140625" style="3469" bestFit="1" customWidth="1"/>
    <col min="16126" max="16127" width="15.7109375" style="3469" bestFit="1" customWidth="1"/>
    <col min="16128" max="16130" width="14.140625" style="3469" bestFit="1" customWidth="1"/>
    <col min="16131" max="16132" width="15.7109375" style="3469" bestFit="1" customWidth="1"/>
    <col min="16133" max="16134" width="14.140625" style="3469" bestFit="1" customWidth="1"/>
    <col min="16135" max="16153" width="9.140625" style="3469"/>
    <col min="16154" max="16154" width="10" style="3469" bestFit="1" customWidth="1"/>
    <col min="16155" max="16384" width="9.140625" style="3469"/>
  </cols>
  <sheetData>
    <row r="1" spans="1:40" s="3486" customFormat="1" ht="15.75">
      <c r="A1" s="3467"/>
      <c r="B1" s="3467"/>
      <c r="C1" s="3467" t="s">
        <v>4063</v>
      </c>
      <c r="D1" s="3467"/>
      <c r="F1" s="3467"/>
      <c r="G1" s="3467"/>
      <c r="H1" s="3467"/>
      <c r="I1" s="3467"/>
      <c r="J1" s="3467"/>
      <c r="K1" s="3467"/>
      <c r="L1" s="3467"/>
      <c r="M1" s="3500"/>
      <c r="N1" s="3483"/>
      <c r="O1" s="3483"/>
      <c r="P1" s="3483"/>
    </row>
    <row r="2" spans="1:40">
      <c r="A2" s="3474"/>
      <c r="B2" s="3474"/>
      <c r="C2" s="2025"/>
      <c r="D2" s="3474"/>
      <c r="E2" s="3488"/>
      <c r="F2" s="3488"/>
      <c r="G2" s="3488"/>
      <c r="H2" s="3488"/>
      <c r="I2" s="3488"/>
      <c r="J2" s="3488"/>
      <c r="K2" s="3488"/>
      <c r="L2" s="3488"/>
      <c r="M2" s="3488"/>
      <c r="N2" s="3483"/>
      <c r="O2" s="3483"/>
      <c r="P2" s="3483"/>
      <c r="Q2" s="3488"/>
      <c r="R2" s="3488"/>
      <c r="S2" s="3488"/>
      <c r="T2" s="3488"/>
      <c r="U2" s="3488"/>
      <c r="V2" s="3488"/>
      <c r="W2" s="3488"/>
      <c r="X2" s="3488"/>
      <c r="Y2" s="3488"/>
      <c r="Z2" s="3488"/>
      <c r="AA2" s="3488"/>
      <c r="AB2" s="3488"/>
      <c r="AC2" s="3488"/>
      <c r="AD2" s="3488"/>
      <c r="AE2" s="3488"/>
      <c r="AF2" s="3488"/>
      <c r="AG2" s="3488"/>
      <c r="AH2" s="3488"/>
      <c r="AI2" s="3488"/>
      <c r="AJ2" s="3488"/>
      <c r="AK2" s="3488"/>
      <c r="AL2" s="3488"/>
      <c r="AM2" s="3488"/>
      <c r="AN2" s="3488"/>
    </row>
    <row r="3" spans="1:40" ht="18.75" customHeight="1">
      <c r="A3" s="3472"/>
      <c r="B3" s="3472"/>
      <c r="C3" s="4527" t="s">
        <v>497</v>
      </c>
      <c r="D3" s="4521" t="s">
        <v>498</v>
      </c>
      <c r="E3" s="4525" t="s">
        <v>205</v>
      </c>
      <c r="F3" s="4526"/>
      <c r="G3" s="4525" t="s">
        <v>608</v>
      </c>
      <c r="H3" s="4526"/>
      <c r="I3" s="4525" t="s">
        <v>622</v>
      </c>
      <c r="J3" s="4526"/>
      <c r="K3" s="4525" t="s">
        <v>622</v>
      </c>
      <c r="L3" s="4526"/>
      <c r="M3" s="4525" t="s">
        <v>623</v>
      </c>
      <c r="N3" s="4526"/>
      <c r="O3" s="4525" t="s">
        <v>623</v>
      </c>
      <c r="P3" s="4526"/>
    </row>
    <row r="4" spans="1:40" ht="84" customHeight="1">
      <c r="A4" s="3472"/>
      <c r="B4" s="3472"/>
      <c r="C4" s="4528"/>
      <c r="D4" s="4522"/>
      <c r="E4" s="3501" t="s">
        <v>4064</v>
      </c>
      <c r="F4" s="3501" t="s">
        <v>4065</v>
      </c>
      <c r="G4" s="3473" t="s">
        <v>4064</v>
      </c>
      <c r="H4" s="3473" t="s">
        <v>4066</v>
      </c>
      <c r="I4" s="3473" t="s">
        <v>4048</v>
      </c>
      <c r="J4" s="3473" t="s">
        <v>4067</v>
      </c>
      <c r="K4" s="3501" t="s">
        <v>1549</v>
      </c>
      <c r="L4" s="3473" t="s">
        <v>1550</v>
      </c>
      <c r="M4" s="3473" t="s">
        <v>4068</v>
      </c>
      <c r="N4" s="3473" t="s">
        <v>4069</v>
      </c>
      <c r="O4" s="3501" t="s">
        <v>1549</v>
      </c>
      <c r="P4" s="3473" t="s">
        <v>1550</v>
      </c>
    </row>
    <row r="5" spans="1:40">
      <c r="A5" s="3472"/>
      <c r="B5" s="3472"/>
      <c r="C5" s="3490">
        <v>1</v>
      </c>
      <c r="D5" s="3473">
        <v>2</v>
      </c>
      <c r="E5" s="3473">
        <v>3</v>
      </c>
      <c r="F5" s="3473">
        <v>4</v>
      </c>
      <c r="G5" s="3473">
        <v>5</v>
      </c>
      <c r="H5" s="3473">
        <v>6</v>
      </c>
      <c r="I5" s="3473">
        <v>7</v>
      </c>
      <c r="J5" s="3473">
        <v>8</v>
      </c>
      <c r="K5" s="3473">
        <v>9</v>
      </c>
      <c r="L5" s="3473">
        <v>10</v>
      </c>
      <c r="M5" s="3473">
        <v>11</v>
      </c>
      <c r="N5" s="3473">
        <v>12</v>
      </c>
      <c r="O5" s="3473">
        <v>13</v>
      </c>
      <c r="P5" s="3473">
        <v>14</v>
      </c>
    </row>
    <row r="6" spans="1:40" ht="15.75" hidden="1" thickBot="1">
      <c r="A6" s="3491" t="s">
        <v>1554</v>
      </c>
      <c r="B6" s="3491" t="s">
        <v>1555</v>
      </c>
      <c r="C6" s="3472" t="s">
        <v>497</v>
      </c>
      <c r="D6" s="3472" t="s">
        <v>1540</v>
      </c>
      <c r="E6" s="2027" t="s">
        <v>1299</v>
      </c>
      <c r="F6" s="2027" t="s">
        <v>1300</v>
      </c>
      <c r="G6" s="2027" t="s">
        <v>1301</v>
      </c>
      <c r="H6" s="2027" t="s">
        <v>1302</v>
      </c>
      <c r="I6" s="2027" t="s">
        <v>1303</v>
      </c>
      <c r="J6" s="2027" t="s">
        <v>1304</v>
      </c>
      <c r="K6" s="2027" t="s">
        <v>1305</v>
      </c>
      <c r="L6" s="2027" t="s">
        <v>1306</v>
      </c>
      <c r="M6" s="2027" t="s">
        <v>1307</v>
      </c>
      <c r="N6" s="2027" t="s">
        <v>1308</v>
      </c>
      <c r="O6" s="2027" t="s">
        <v>1309</v>
      </c>
      <c r="P6" s="2027" t="s">
        <v>1310</v>
      </c>
    </row>
    <row r="7" spans="1:40" ht="51">
      <c r="A7" s="3469">
        <v>9</v>
      </c>
      <c r="B7" s="3469">
        <v>13</v>
      </c>
      <c r="C7" s="3492" t="s">
        <v>4049</v>
      </c>
      <c r="D7" s="3493">
        <v>100</v>
      </c>
      <c r="E7" s="3713">
        <f>E8+E26+E44</f>
        <v>19850.285</v>
      </c>
      <c r="F7" s="3713">
        <f t="shared" ref="F7:P7" si="0">F8+F26+F44</f>
        <v>175036.05778000003</v>
      </c>
      <c r="G7" s="3713">
        <f t="shared" si="0"/>
        <v>295.92699999999996</v>
      </c>
      <c r="H7" s="3713">
        <f t="shared" si="0"/>
        <v>2783.4780800000003</v>
      </c>
      <c r="I7" s="3713">
        <f t="shared" si="0"/>
        <v>1211.152</v>
      </c>
      <c r="J7" s="3713">
        <f t="shared" si="0"/>
        <v>4775.9370100000006</v>
      </c>
      <c r="K7" s="3713">
        <f t="shared" si="0"/>
        <v>1.843</v>
      </c>
      <c r="L7" s="3713">
        <f t="shared" si="0"/>
        <v>4553.3088000000007</v>
      </c>
      <c r="M7" s="3713">
        <f t="shared" si="0"/>
        <v>0</v>
      </c>
      <c r="N7" s="3713">
        <f t="shared" si="0"/>
        <v>0</v>
      </c>
      <c r="O7" s="3713">
        <f t="shared" si="0"/>
        <v>0</v>
      </c>
      <c r="P7" s="3713">
        <f t="shared" si="0"/>
        <v>0</v>
      </c>
    </row>
    <row r="8" spans="1:40" ht="38.25">
      <c r="A8" s="3469">
        <v>9</v>
      </c>
      <c r="B8" s="3469">
        <v>4</v>
      </c>
      <c r="C8" s="3502" t="s">
        <v>515</v>
      </c>
      <c r="D8" s="3503">
        <v>200</v>
      </c>
      <c r="E8" s="3713">
        <v>0</v>
      </c>
      <c r="F8" s="3713">
        <v>0</v>
      </c>
      <c r="G8" s="3713">
        <v>0</v>
      </c>
      <c r="H8" s="3713">
        <v>0</v>
      </c>
      <c r="I8" s="3713">
        <v>0</v>
      </c>
      <c r="J8" s="3713">
        <v>0</v>
      </c>
      <c r="K8" s="3713">
        <v>0</v>
      </c>
      <c r="L8" s="3713">
        <v>0</v>
      </c>
      <c r="M8" s="3713">
        <v>0</v>
      </c>
      <c r="N8" s="3713">
        <v>0</v>
      </c>
      <c r="O8" s="3713">
        <v>0</v>
      </c>
      <c r="P8" s="3713">
        <v>0</v>
      </c>
    </row>
    <row r="9" spans="1:40" ht="76.5">
      <c r="A9" s="3469">
        <v>10</v>
      </c>
      <c r="B9" s="3469">
        <v>4</v>
      </c>
      <c r="C9" s="3504" t="s">
        <v>4050</v>
      </c>
      <c r="D9" s="3505">
        <v>210</v>
      </c>
      <c r="E9" s="3506"/>
      <c r="F9" s="3506"/>
      <c r="G9" s="3506"/>
      <c r="H9" s="3506"/>
      <c r="I9" s="3506"/>
      <c r="J9" s="3506"/>
      <c r="K9" s="3506"/>
      <c r="L9" s="3506"/>
      <c r="M9" s="3506"/>
      <c r="N9" s="3506"/>
      <c r="O9" s="3506"/>
      <c r="P9" s="3506"/>
    </row>
    <row r="10" spans="1:40" ht="51">
      <c r="A10" s="3469">
        <v>11</v>
      </c>
      <c r="B10" s="3469">
        <v>4</v>
      </c>
      <c r="C10" s="3496" t="s">
        <v>4051</v>
      </c>
      <c r="D10" s="3473">
        <v>211</v>
      </c>
      <c r="E10" s="3506"/>
      <c r="F10" s="3506"/>
      <c r="G10" s="3506"/>
      <c r="H10" s="3506"/>
      <c r="I10" s="3506"/>
      <c r="J10" s="3506"/>
      <c r="K10" s="3506"/>
      <c r="L10" s="3506"/>
      <c r="M10" s="3506"/>
      <c r="N10" s="3506"/>
      <c r="O10" s="3506"/>
      <c r="P10" s="3506"/>
    </row>
    <row r="11" spans="1:40" ht="25.5">
      <c r="A11" s="3469">
        <v>12</v>
      </c>
      <c r="B11" s="3469">
        <v>4</v>
      </c>
      <c r="C11" s="3496" t="s">
        <v>4052</v>
      </c>
      <c r="D11" s="3473">
        <v>212</v>
      </c>
      <c r="E11" s="3506"/>
      <c r="F11" s="3506"/>
      <c r="G11" s="3506"/>
      <c r="H11" s="3506"/>
      <c r="I11" s="3506"/>
      <c r="J11" s="3506"/>
      <c r="K11" s="3506"/>
      <c r="L11" s="3506"/>
      <c r="M11" s="3506"/>
      <c r="N11" s="3506"/>
      <c r="O11" s="3506"/>
      <c r="P11" s="3506"/>
    </row>
    <row r="12" spans="1:40" ht="25.5">
      <c r="A12" s="3469">
        <v>13</v>
      </c>
      <c r="B12" s="3469">
        <v>4</v>
      </c>
      <c r="C12" s="3496" t="s">
        <v>4053</v>
      </c>
      <c r="D12" s="3473">
        <v>213</v>
      </c>
      <c r="E12" s="3506"/>
      <c r="F12" s="3506"/>
      <c r="G12" s="3506"/>
      <c r="H12" s="3506"/>
      <c r="I12" s="3506"/>
      <c r="J12" s="3506"/>
      <c r="K12" s="3506"/>
      <c r="L12" s="3506"/>
      <c r="M12" s="3506"/>
      <c r="N12" s="3506"/>
      <c r="O12" s="3506"/>
      <c r="P12" s="3506"/>
    </row>
    <row r="13" spans="1:40" ht="25.5">
      <c r="A13" s="3469">
        <v>14</v>
      </c>
      <c r="B13" s="3469">
        <v>4</v>
      </c>
      <c r="C13" s="3496" t="s">
        <v>4054</v>
      </c>
      <c r="D13" s="3473">
        <v>214</v>
      </c>
      <c r="E13" s="3506"/>
      <c r="F13" s="3506"/>
      <c r="G13" s="3506"/>
      <c r="H13" s="3506"/>
      <c r="I13" s="3506"/>
      <c r="J13" s="3506"/>
      <c r="K13" s="3506"/>
      <c r="L13" s="3506"/>
      <c r="M13" s="3506"/>
      <c r="N13" s="3506"/>
      <c r="O13" s="3506"/>
      <c r="P13" s="3506"/>
    </row>
    <row r="14" spans="1:40" ht="25.5">
      <c r="A14" s="3469">
        <v>15</v>
      </c>
      <c r="B14" s="3469">
        <v>4</v>
      </c>
      <c r="C14" s="3496" t="s">
        <v>4055</v>
      </c>
      <c r="D14" s="3473">
        <v>215</v>
      </c>
      <c r="E14" s="3506"/>
      <c r="F14" s="3506"/>
      <c r="G14" s="3506"/>
      <c r="H14" s="3506"/>
      <c r="I14" s="3506"/>
      <c r="J14" s="3506"/>
      <c r="K14" s="3506"/>
      <c r="L14" s="3506"/>
      <c r="M14" s="3506"/>
      <c r="N14" s="3506"/>
      <c r="O14" s="3506"/>
      <c r="P14" s="3506"/>
    </row>
    <row r="15" spans="1:40" ht="25.5">
      <c r="A15" s="3469">
        <v>16</v>
      </c>
      <c r="B15" s="3469">
        <v>4</v>
      </c>
      <c r="C15" s="3496" t="s">
        <v>4056</v>
      </c>
      <c r="D15" s="3473">
        <v>216</v>
      </c>
      <c r="E15" s="3506"/>
      <c r="F15" s="3506"/>
      <c r="G15" s="3506"/>
      <c r="H15" s="3506"/>
      <c r="I15" s="3506"/>
      <c r="J15" s="3506"/>
      <c r="K15" s="3506"/>
      <c r="L15" s="3506"/>
      <c r="M15" s="3506"/>
      <c r="N15" s="3506"/>
      <c r="O15" s="3506"/>
      <c r="P15" s="3506"/>
    </row>
    <row r="16" spans="1:40" ht="25.5">
      <c r="A16" s="3469">
        <v>17</v>
      </c>
      <c r="B16" s="3469">
        <v>4</v>
      </c>
      <c r="C16" s="3496" t="s">
        <v>4057</v>
      </c>
      <c r="D16" s="3473">
        <v>217</v>
      </c>
      <c r="E16" s="3506"/>
      <c r="F16" s="3506"/>
      <c r="G16" s="3506"/>
      <c r="H16" s="3506"/>
      <c r="I16" s="3506"/>
      <c r="J16" s="3506"/>
      <c r="K16" s="3506"/>
      <c r="L16" s="3506"/>
      <c r="M16" s="3506"/>
      <c r="N16" s="3506"/>
      <c r="O16" s="3506"/>
      <c r="P16" s="3506"/>
    </row>
    <row r="17" spans="1:16" ht="25.5">
      <c r="A17" s="3469">
        <v>18</v>
      </c>
      <c r="B17" s="3469">
        <v>4</v>
      </c>
      <c r="C17" s="3496" t="s">
        <v>4058</v>
      </c>
      <c r="D17" s="3473">
        <v>218</v>
      </c>
      <c r="E17" s="3506"/>
      <c r="F17" s="3506"/>
      <c r="G17" s="3506"/>
      <c r="H17" s="3506"/>
      <c r="I17" s="3506"/>
      <c r="J17" s="3506"/>
      <c r="K17" s="3506"/>
      <c r="L17" s="3506"/>
      <c r="M17" s="3506"/>
      <c r="N17" s="3506"/>
      <c r="O17" s="3506"/>
      <c r="P17" s="3506"/>
    </row>
    <row r="18" spans="1:16" ht="25.5">
      <c r="A18" s="3469">
        <v>19</v>
      </c>
      <c r="B18" s="3469">
        <v>4</v>
      </c>
      <c r="C18" s="3496" t="s">
        <v>4059</v>
      </c>
      <c r="D18" s="3473">
        <v>219</v>
      </c>
      <c r="E18" s="3506"/>
      <c r="F18" s="3506"/>
      <c r="G18" s="3506"/>
      <c r="H18" s="3506"/>
      <c r="I18" s="3506"/>
      <c r="J18" s="3506"/>
      <c r="K18" s="3506"/>
      <c r="L18" s="3506"/>
      <c r="M18" s="3506"/>
      <c r="N18" s="3506"/>
      <c r="O18" s="3506"/>
      <c r="P18" s="3506"/>
    </row>
    <row r="19" spans="1:16">
      <c r="A19" s="3469">
        <v>1</v>
      </c>
      <c r="B19" s="3469">
        <v>4</v>
      </c>
      <c r="C19" s="3496" t="s">
        <v>516</v>
      </c>
      <c r="D19" s="3473">
        <v>220</v>
      </c>
      <c r="E19" s="3506"/>
      <c r="F19" s="3506"/>
      <c r="G19" s="3506"/>
      <c r="H19" s="3506"/>
      <c r="I19" s="3506"/>
      <c r="J19" s="3506"/>
      <c r="K19" s="3506"/>
      <c r="L19" s="3506"/>
      <c r="M19" s="3506"/>
      <c r="N19" s="3506"/>
      <c r="O19" s="3506"/>
      <c r="P19" s="3506"/>
    </row>
    <row r="20" spans="1:16">
      <c r="A20" s="3469">
        <v>2</v>
      </c>
      <c r="B20" s="3469">
        <v>4</v>
      </c>
      <c r="C20" s="3496" t="s">
        <v>517</v>
      </c>
      <c r="D20" s="3473">
        <v>230</v>
      </c>
      <c r="E20" s="3506"/>
      <c r="F20" s="3506"/>
      <c r="G20" s="3506"/>
      <c r="H20" s="3506"/>
      <c r="I20" s="3506"/>
      <c r="J20" s="3506"/>
      <c r="K20" s="3506"/>
      <c r="L20" s="3506"/>
      <c r="M20" s="3506"/>
      <c r="N20" s="3506"/>
      <c r="O20" s="3506"/>
      <c r="P20" s="3506"/>
    </row>
    <row r="21" spans="1:16">
      <c r="A21" s="3469">
        <v>3</v>
      </c>
      <c r="B21" s="3469">
        <v>4</v>
      </c>
      <c r="C21" s="3496" t="s">
        <v>518</v>
      </c>
      <c r="D21" s="3473">
        <v>240</v>
      </c>
      <c r="E21" s="3506"/>
      <c r="F21" s="3506"/>
      <c r="G21" s="3506"/>
      <c r="H21" s="3506"/>
      <c r="I21" s="3506"/>
      <c r="J21" s="3506"/>
      <c r="K21" s="3506"/>
      <c r="L21" s="3506"/>
      <c r="M21" s="3506"/>
      <c r="N21" s="3506"/>
      <c r="O21" s="3506"/>
      <c r="P21" s="3506"/>
    </row>
    <row r="22" spans="1:16">
      <c r="A22" s="3469">
        <v>4</v>
      </c>
      <c r="B22" s="3469">
        <v>4</v>
      </c>
      <c r="C22" s="3496" t="s">
        <v>519</v>
      </c>
      <c r="D22" s="3473">
        <v>250</v>
      </c>
      <c r="E22" s="3506"/>
      <c r="F22" s="3506"/>
      <c r="G22" s="3506"/>
      <c r="H22" s="3506"/>
      <c r="I22" s="3506"/>
      <c r="J22" s="3506"/>
      <c r="K22" s="3506"/>
      <c r="L22" s="3506"/>
      <c r="M22" s="3506"/>
      <c r="N22" s="3506"/>
      <c r="O22" s="3506"/>
      <c r="P22" s="3506"/>
    </row>
    <row r="23" spans="1:16">
      <c r="A23" s="3469">
        <v>5</v>
      </c>
      <c r="B23" s="3469">
        <v>4</v>
      </c>
      <c r="C23" s="3496" t="s">
        <v>520</v>
      </c>
      <c r="D23" s="3473">
        <v>260</v>
      </c>
      <c r="E23" s="3506"/>
      <c r="F23" s="3506"/>
      <c r="G23" s="3506"/>
      <c r="H23" s="3506"/>
      <c r="I23" s="3506"/>
      <c r="J23" s="3506"/>
      <c r="K23" s="3506"/>
      <c r="L23" s="3506"/>
      <c r="M23" s="3506"/>
      <c r="N23" s="3506"/>
      <c r="O23" s="3506"/>
      <c r="P23" s="3506"/>
    </row>
    <row r="24" spans="1:16">
      <c r="A24" s="3469">
        <v>6</v>
      </c>
      <c r="B24" s="3469">
        <v>4</v>
      </c>
      <c r="C24" s="3496" t="s">
        <v>521</v>
      </c>
      <c r="D24" s="3473">
        <v>270</v>
      </c>
      <c r="E24" s="3506"/>
      <c r="F24" s="3506"/>
      <c r="G24" s="3506"/>
      <c r="H24" s="3506"/>
      <c r="I24" s="3506"/>
      <c r="J24" s="3506"/>
      <c r="K24" s="3506"/>
      <c r="L24" s="3506"/>
      <c r="M24" s="3506"/>
      <c r="N24" s="3506"/>
      <c r="O24" s="3506"/>
      <c r="P24" s="3506"/>
    </row>
    <row r="25" spans="1:16">
      <c r="A25" s="3469">
        <v>7</v>
      </c>
      <c r="B25" s="3469">
        <v>4</v>
      </c>
      <c r="C25" s="3496" t="s">
        <v>4060</v>
      </c>
      <c r="D25" s="3473">
        <v>280</v>
      </c>
      <c r="E25" s="3506"/>
      <c r="F25" s="3506"/>
      <c r="G25" s="3506"/>
      <c r="H25" s="3506"/>
      <c r="I25" s="3506"/>
      <c r="J25" s="3506"/>
      <c r="K25" s="3506"/>
      <c r="L25" s="3506"/>
      <c r="M25" s="3506"/>
      <c r="N25" s="3506"/>
      <c r="O25" s="3506"/>
      <c r="P25" s="3506"/>
    </row>
    <row r="26" spans="1:16" ht="38.25">
      <c r="A26" s="3469">
        <v>9</v>
      </c>
      <c r="B26" s="3469">
        <v>3</v>
      </c>
      <c r="C26" s="3492" t="s">
        <v>523</v>
      </c>
      <c r="D26" s="3493">
        <v>300</v>
      </c>
      <c r="E26" s="3713">
        <f>SUM(E27:E43)</f>
        <v>0</v>
      </c>
      <c r="F26" s="3713">
        <f t="shared" ref="F26:P26" si="1">SUM(F27:F43)</f>
        <v>0</v>
      </c>
      <c r="G26" s="3713">
        <f t="shared" si="1"/>
        <v>0</v>
      </c>
      <c r="H26" s="3713">
        <f t="shared" si="1"/>
        <v>0</v>
      </c>
      <c r="I26" s="3713">
        <f t="shared" si="1"/>
        <v>0</v>
      </c>
      <c r="J26" s="3713">
        <f t="shared" si="1"/>
        <v>0</v>
      </c>
      <c r="K26" s="3713">
        <f t="shared" si="1"/>
        <v>0</v>
      </c>
      <c r="L26" s="3713">
        <f t="shared" si="1"/>
        <v>0</v>
      </c>
      <c r="M26" s="3713">
        <f t="shared" si="1"/>
        <v>0</v>
      </c>
      <c r="N26" s="3713">
        <f t="shared" si="1"/>
        <v>0</v>
      </c>
      <c r="O26" s="3713">
        <f t="shared" si="1"/>
        <v>0</v>
      </c>
      <c r="P26" s="3713">
        <f t="shared" si="1"/>
        <v>0</v>
      </c>
    </row>
    <row r="27" spans="1:16" ht="76.5">
      <c r="A27" s="3469">
        <v>10</v>
      </c>
      <c r="B27" s="3469">
        <v>3</v>
      </c>
      <c r="C27" s="3504" t="s">
        <v>4050</v>
      </c>
      <c r="D27" s="3505">
        <v>310</v>
      </c>
      <c r="E27" s="3507"/>
      <c r="F27" s="3507"/>
      <c r="G27" s="3507"/>
      <c r="H27" s="3507"/>
      <c r="I27" s="3507"/>
      <c r="J27" s="3507"/>
      <c r="K27" s="3507"/>
      <c r="L27" s="3507"/>
      <c r="M27" s="3507"/>
      <c r="N27" s="3507"/>
      <c r="O27" s="3507"/>
      <c r="P27" s="3507"/>
    </row>
    <row r="28" spans="1:16" ht="51">
      <c r="A28" s="3469">
        <v>11</v>
      </c>
      <c r="B28" s="3469">
        <v>3</v>
      </c>
      <c r="C28" s="3504" t="s">
        <v>4051</v>
      </c>
      <c r="D28" s="3505">
        <v>311</v>
      </c>
      <c r="E28" s="3507"/>
      <c r="F28" s="3507"/>
      <c r="G28" s="3507"/>
      <c r="H28" s="3507"/>
      <c r="I28" s="3507"/>
      <c r="J28" s="3507"/>
      <c r="K28" s="3507"/>
      <c r="L28" s="3507"/>
      <c r="M28" s="3507"/>
      <c r="N28" s="3507"/>
      <c r="O28" s="3507"/>
      <c r="P28" s="3507"/>
    </row>
    <row r="29" spans="1:16" ht="25.5">
      <c r="A29" s="3469">
        <v>12</v>
      </c>
      <c r="B29" s="3469">
        <v>3</v>
      </c>
      <c r="C29" s="3504" t="s">
        <v>4052</v>
      </c>
      <c r="D29" s="3505">
        <v>312</v>
      </c>
      <c r="E29" s="3507"/>
      <c r="F29" s="3507"/>
      <c r="G29" s="3507"/>
      <c r="H29" s="3507"/>
      <c r="I29" s="3507"/>
      <c r="J29" s="3507"/>
      <c r="K29" s="3507"/>
      <c r="L29" s="3507"/>
      <c r="M29" s="3507"/>
      <c r="N29" s="3507"/>
      <c r="O29" s="3507"/>
      <c r="P29" s="3507"/>
    </row>
    <row r="30" spans="1:16" ht="25.5">
      <c r="A30" s="3469">
        <v>13</v>
      </c>
      <c r="B30" s="3469">
        <v>3</v>
      </c>
      <c r="C30" s="3504" t="s">
        <v>4053</v>
      </c>
      <c r="D30" s="3505">
        <v>313</v>
      </c>
      <c r="E30" s="3507"/>
      <c r="F30" s="3507"/>
      <c r="G30" s="3507"/>
      <c r="H30" s="3507"/>
      <c r="I30" s="3507"/>
      <c r="J30" s="3507"/>
      <c r="K30" s="3507"/>
      <c r="L30" s="3507"/>
      <c r="M30" s="3507"/>
      <c r="N30" s="3507"/>
      <c r="O30" s="3507"/>
      <c r="P30" s="3507"/>
    </row>
    <row r="31" spans="1:16" ht="25.5">
      <c r="A31" s="3469">
        <v>14</v>
      </c>
      <c r="B31" s="3469">
        <v>3</v>
      </c>
      <c r="C31" s="3504" t="s">
        <v>4054</v>
      </c>
      <c r="D31" s="3505">
        <v>314</v>
      </c>
      <c r="E31" s="3507"/>
      <c r="F31" s="3507"/>
      <c r="G31" s="3507"/>
      <c r="H31" s="3507"/>
      <c r="I31" s="3507"/>
      <c r="J31" s="3507"/>
      <c r="K31" s="3507"/>
      <c r="L31" s="3507"/>
      <c r="M31" s="3507"/>
      <c r="N31" s="3507"/>
      <c r="O31" s="3507"/>
      <c r="P31" s="3507"/>
    </row>
    <row r="32" spans="1:16" ht="25.5">
      <c r="A32" s="3469">
        <v>15</v>
      </c>
      <c r="B32" s="3469">
        <v>3</v>
      </c>
      <c r="C32" s="3504" t="s">
        <v>4055</v>
      </c>
      <c r="D32" s="3505">
        <v>315</v>
      </c>
      <c r="E32" s="3507"/>
      <c r="F32" s="3507"/>
      <c r="G32" s="3507"/>
      <c r="H32" s="3507"/>
      <c r="I32" s="3507"/>
      <c r="J32" s="3507"/>
      <c r="K32" s="3507"/>
      <c r="L32" s="3507"/>
      <c r="M32" s="3507"/>
      <c r="N32" s="3507"/>
      <c r="O32" s="3507"/>
      <c r="P32" s="3507"/>
    </row>
    <row r="33" spans="1:16" ht="25.5">
      <c r="A33" s="3469">
        <v>16</v>
      </c>
      <c r="B33" s="3469">
        <v>3</v>
      </c>
      <c r="C33" s="3504" t="s">
        <v>4056</v>
      </c>
      <c r="D33" s="3505">
        <v>316</v>
      </c>
      <c r="E33" s="3507"/>
      <c r="F33" s="3507"/>
      <c r="G33" s="3507"/>
      <c r="H33" s="3507"/>
      <c r="I33" s="3507"/>
      <c r="J33" s="3507"/>
      <c r="K33" s="3507"/>
      <c r="L33" s="3507"/>
      <c r="M33" s="3507"/>
      <c r="N33" s="3507"/>
      <c r="O33" s="3507"/>
      <c r="P33" s="3507"/>
    </row>
    <row r="34" spans="1:16" ht="25.5">
      <c r="A34" s="3469">
        <v>17</v>
      </c>
      <c r="B34" s="3469">
        <v>3</v>
      </c>
      <c r="C34" s="3504" t="s">
        <v>4057</v>
      </c>
      <c r="D34" s="3505">
        <v>317</v>
      </c>
      <c r="E34" s="3507"/>
      <c r="F34" s="3507"/>
      <c r="G34" s="3507"/>
      <c r="H34" s="3507"/>
      <c r="I34" s="3507"/>
      <c r="J34" s="3507"/>
      <c r="K34" s="3507"/>
      <c r="L34" s="3507"/>
      <c r="M34" s="3507"/>
      <c r="N34" s="3507"/>
      <c r="O34" s="3507"/>
      <c r="P34" s="3507"/>
    </row>
    <row r="35" spans="1:16" ht="25.5">
      <c r="A35" s="3469">
        <v>18</v>
      </c>
      <c r="B35" s="3469">
        <v>3</v>
      </c>
      <c r="C35" s="3504" t="s">
        <v>4058</v>
      </c>
      <c r="D35" s="3505">
        <v>318</v>
      </c>
      <c r="E35" s="3507"/>
      <c r="F35" s="3507"/>
      <c r="G35" s="3507"/>
      <c r="H35" s="3507"/>
      <c r="I35" s="3507"/>
      <c r="J35" s="3507"/>
      <c r="K35" s="3507"/>
      <c r="L35" s="3507"/>
      <c r="M35" s="3507"/>
      <c r="N35" s="3507"/>
      <c r="O35" s="3507"/>
      <c r="P35" s="3507"/>
    </row>
    <row r="36" spans="1:16" ht="25.5">
      <c r="A36" s="3469">
        <v>19</v>
      </c>
      <c r="B36" s="3469">
        <v>3</v>
      </c>
      <c r="C36" s="3504" t="s">
        <v>4059</v>
      </c>
      <c r="D36" s="3505">
        <v>319</v>
      </c>
      <c r="E36" s="3507"/>
      <c r="F36" s="3507"/>
      <c r="G36" s="3507"/>
      <c r="H36" s="3507"/>
      <c r="I36" s="3507"/>
      <c r="J36" s="3507"/>
      <c r="K36" s="3507"/>
      <c r="L36" s="3507"/>
      <c r="M36" s="3507"/>
      <c r="N36" s="3507"/>
      <c r="O36" s="3507"/>
      <c r="P36" s="3507"/>
    </row>
    <row r="37" spans="1:16">
      <c r="A37" s="3469">
        <v>1</v>
      </c>
      <c r="B37" s="3469">
        <v>3</v>
      </c>
      <c r="C37" s="3504" t="s">
        <v>516</v>
      </c>
      <c r="D37" s="3505">
        <v>320</v>
      </c>
      <c r="E37" s="3507"/>
      <c r="F37" s="3507"/>
      <c r="G37" s="3507"/>
      <c r="H37" s="3507"/>
      <c r="I37" s="3507"/>
      <c r="J37" s="3507"/>
      <c r="K37" s="3507"/>
      <c r="L37" s="3507"/>
      <c r="M37" s="3507"/>
      <c r="N37" s="3507"/>
      <c r="O37" s="3507"/>
      <c r="P37" s="3507"/>
    </row>
    <row r="38" spans="1:16">
      <c r="A38" s="3469">
        <v>2</v>
      </c>
      <c r="B38" s="3469">
        <v>3</v>
      </c>
      <c r="C38" s="3504" t="s">
        <v>517</v>
      </c>
      <c r="D38" s="3505">
        <v>330</v>
      </c>
      <c r="E38" s="3507"/>
      <c r="F38" s="3507"/>
      <c r="G38" s="3507"/>
      <c r="H38" s="3507"/>
      <c r="I38" s="3507"/>
      <c r="J38" s="3507"/>
      <c r="K38" s="3507"/>
      <c r="L38" s="3507"/>
      <c r="M38" s="3507"/>
      <c r="N38" s="3507"/>
      <c r="O38" s="3507"/>
      <c r="P38" s="3507"/>
    </row>
    <row r="39" spans="1:16">
      <c r="A39" s="3469">
        <v>3</v>
      </c>
      <c r="B39" s="3469">
        <v>3</v>
      </c>
      <c r="C39" s="3504" t="s">
        <v>518</v>
      </c>
      <c r="D39" s="3505">
        <v>340</v>
      </c>
      <c r="E39" s="3507"/>
      <c r="F39" s="3507"/>
      <c r="G39" s="3507"/>
      <c r="H39" s="3507"/>
      <c r="I39" s="3507"/>
      <c r="J39" s="3507"/>
      <c r="K39" s="3507"/>
      <c r="L39" s="3507"/>
      <c r="M39" s="3507"/>
      <c r="N39" s="3507"/>
      <c r="O39" s="3507"/>
      <c r="P39" s="3507"/>
    </row>
    <row r="40" spans="1:16">
      <c r="A40" s="3469">
        <v>4</v>
      </c>
      <c r="B40" s="3469">
        <v>3</v>
      </c>
      <c r="C40" s="3504" t="s">
        <v>519</v>
      </c>
      <c r="D40" s="3505">
        <v>350</v>
      </c>
      <c r="E40" s="3507"/>
      <c r="F40" s="3507"/>
      <c r="G40" s="3507"/>
      <c r="H40" s="3507"/>
      <c r="I40" s="3507"/>
      <c r="J40" s="3507"/>
      <c r="K40" s="3507"/>
      <c r="L40" s="3507"/>
      <c r="M40" s="3507"/>
      <c r="N40" s="3507"/>
      <c r="O40" s="3507"/>
      <c r="P40" s="3507"/>
    </row>
    <row r="41" spans="1:16">
      <c r="A41" s="3469">
        <v>5</v>
      </c>
      <c r="B41" s="3469">
        <v>3</v>
      </c>
      <c r="C41" s="3504" t="s">
        <v>520</v>
      </c>
      <c r="D41" s="3505">
        <v>360</v>
      </c>
      <c r="E41" s="3507"/>
      <c r="F41" s="3507"/>
      <c r="G41" s="3507"/>
      <c r="H41" s="3507"/>
      <c r="I41" s="3507"/>
      <c r="J41" s="3507"/>
      <c r="K41" s="3507"/>
      <c r="L41" s="3507"/>
      <c r="M41" s="3507"/>
      <c r="N41" s="3507"/>
      <c r="O41" s="3507"/>
      <c r="P41" s="3507"/>
    </row>
    <row r="42" spans="1:16">
      <c r="A42" s="3469">
        <v>6</v>
      </c>
      <c r="B42" s="3469">
        <v>3</v>
      </c>
      <c r="C42" s="3504" t="s">
        <v>521</v>
      </c>
      <c r="D42" s="3505">
        <v>370</v>
      </c>
      <c r="E42" s="3507"/>
      <c r="F42" s="3507"/>
      <c r="G42" s="3507"/>
      <c r="H42" s="3507"/>
      <c r="I42" s="3507"/>
      <c r="J42" s="3507"/>
      <c r="K42" s="3507"/>
      <c r="L42" s="3507"/>
      <c r="M42" s="3507"/>
      <c r="N42" s="3507"/>
      <c r="O42" s="3507"/>
      <c r="P42" s="3507"/>
    </row>
    <row r="43" spans="1:16">
      <c r="A43" s="3469">
        <v>7</v>
      </c>
      <c r="B43" s="3469">
        <v>3</v>
      </c>
      <c r="C43" s="3504" t="s">
        <v>4060</v>
      </c>
      <c r="D43" s="3505">
        <v>380</v>
      </c>
      <c r="E43" s="3507"/>
      <c r="F43" s="3507"/>
      <c r="G43" s="3507"/>
      <c r="H43" s="3507"/>
      <c r="I43" s="3507"/>
      <c r="J43" s="3507"/>
      <c r="K43" s="3507"/>
      <c r="L43" s="3507"/>
      <c r="M43" s="3507"/>
      <c r="N43" s="3507"/>
      <c r="O43" s="3507"/>
      <c r="P43" s="3507"/>
    </row>
    <row r="44" spans="1:16" ht="38.25">
      <c r="A44" s="3469">
        <v>9</v>
      </c>
      <c r="B44" s="3469">
        <v>5</v>
      </c>
      <c r="C44" s="3502" t="s">
        <v>1981</v>
      </c>
      <c r="D44" s="3503">
        <v>400</v>
      </c>
      <c r="E44" s="3713">
        <f>SUM(E45:E61)</f>
        <v>19850.285</v>
      </c>
      <c r="F44" s="3713">
        <f t="shared" ref="F44:P44" si="2">SUM(F45:F61)</f>
        <v>175036.05778000003</v>
      </c>
      <c r="G44" s="3713">
        <f t="shared" si="2"/>
        <v>295.92699999999996</v>
      </c>
      <c r="H44" s="3713">
        <f t="shared" si="2"/>
        <v>2783.4780800000003</v>
      </c>
      <c r="I44" s="3713">
        <f t="shared" si="2"/>
        <v>1211.152</v>
      </c>
      <c r="J44" s="3713">
        <f t="shared" si="2"/>
        <v>4775.9370100000006</v>
      </c>
      <c r="K44" s="3713">
        <f t="shared" si="2"/>
        <v>1.843</v>
      </c>
      <c r="L44" s="3713">
        <f t="shared" si="2"/>
        <v>4553.3088000000007</v>
      </c>
      <c r="M44" s="3713">
        <f t="shared" si="2"/>
        <v>0</v>
      </c>
      <c r="N44" s="3713">
        <f t="shared" si="2"/>
        <v>0</v>
      </c>
      <c r="O44" s="3713">
        <f t="shared" si="2"/>
        <v>0</v>
      </c>
      <c r="P44" s="3713">
        <f t="shared" si="2"/>
        <v>0</v>
      </c>
    </row>
    <row r="45" spans="1:16" ht="76.5">
      <c r="A45" s="3469">
        <v>10</v>
      </c>
      <c r="B45" s="3469">
        <v>5</v>
      </c>
      <c r="C45" s="3504" t="s">
        <v>4050</v>
      </c>
      <c r="D45" s="3505">
        <v>410</v>
      </c>
      <c r="E45" s="3507"/>
      <c r="F45" s="3507"/>
      <c r="G45" s="3507"/>
      <c r="H45" s="3507"/>
      <c r="I45" s="3507"/>
      <c r="J45" s="3507"/>
      <c r="K45" s="3507"/>
      <c r="L45" s="3507"/>
      <c r="M45" s="3507"/>
      <c r="N45" s="3507"/>
      <c r="O45" s="3507"/>
      <c r="P45" s="3507"/>
    </row>
    <row r="46" spans="1:16" ht="51">
      <c r="A46" s="3469">
        <v>11</v>
      </c>
      <c r="B46" s="3469">
        <v>5</v>
      </c>
      <c r="C46" s="3504" t="s">
        <v>4051</v>
      </c>
      <c r="D46" s="3505">
        <v>411</v>
      </c>
      <c r="E46" s="3507"/>
      <c r="F46" s="3507"/>
      <c r="G46" s="3507"/>
      <c r="H46" s="3507"/>
      <c r="I46" s="3507"/>
      <c r="J46" s="3507"/>
      <c r="K46" s="3507"/>
      <c r="L46" s="3507"/>
      <c r="M46" s="3507"/>
      <c r="N46" s="3507"/>
      <c r="O46" s="3507"/>
      <c r="P46" s="3507"/>
    </row>
    <row r="47" spans="1:16" ht="25.5">
      <c r="A47" s="3469">
        <v>12</v>
      </c>
      <c r="B47" s="3469">
        <v>5</v>
      </c>
      <c r="C47" s="3504" t="s">
        <v>4052</v>
      </c>
      <c r="D47" s="3505">
        <v>412</v>
      </c>
      <c r="E47" s="3507"/>
      <c r="F47" s="3507"/>
      <c r="G47" s="3507"/>
      <c r="H47" s="3507"/>
      <c r="I47" s="3507"/>
      <c r="J47" s="3507"/>
      <c r="K47" s="3507"/>
      <c r="L47" s="3507"/>
      <c r="M47" s="3507"/>
      <c r="N47" s="3507"/>
      <c r="O47" s="3507"/>
      <c r="P47" s="3507"/>
    </row>
    <row r="48" spans="1:16" ht="25.5">
      <c r="A48" s="3469">
        <v>13</v>
      </c>
      <c r="B48" s="3469">
        <v>5</v>
      </c>
      <c r="C48" s="3504" t="s">
        <v>4053</v>
      </c>
      <c r="D48" s="3505">
        <v>413</v>
      </c>
      <c r="E48" s="3507"/>
      <c r="F48" s="3507"/>
      <c r="G48" s="3507"/>
      <c r="H48" s="3507"/>
      <c r="I48" s="3507"/>
      <c r="J48" s="3507"/>
      <c r="K48" s="3507"/>
      <c r="L48" s="3507"/>
      <c r="M48" s="3507"/>
      <c r="N48" s="3507"/>
      <c r="O48" s="3507"/>
      <c r="P48" s="3507"/>
    </row>
    <row r="49" spans="1:16" ht="25.5">
      <c r="A49" s="3469">
        <v>14</v>
      </c>
      <c r="B49" s="3469">
        <v>5</v>
      </c>
      <c r="C49" s="3504" t="s">
        <v>4054</v>
      </c>
      <c r="D49" s="3505">
        <v>414</v>
      </c>
      <c r="E49" s="3507"/>
      <c r="F49" s="3507"/>
      <c r="G49" s="3507"/>
      <c r="H49" s="3507"/>
      <c r="I49" s="3507"/>
      <c r="J49" s="3507"/>
      <c r="K49" s="3507"/>
      <c r="L49" s="3507"/>
      <c r="M49" s="3507"/>
      <c r="N49" s="3507"/>
      <c r="O49" s="3507"/>
      <c r="P49" s="3507"/>
    </row>
    <row r="50" spans="1:16" ht="25.5">
      <c r="A50" s="3469">
        <v>15</v>
      </c>
      <c r="B50" s="3469">
        <v>5</v>
      </c>
      <c r="C50" s="3504" t="s">
        <v>4055</v>
      </c>
      <c r="D50" s="3505">
        <v>415</v>
      </c>
      <c r="E50" s="3507"/>
      <c r="F50" s="3507"/>
      <c r="G50" s="3507"/>
      <c r="H50" s="3507"/>
      <c r="I50" s="3507"/>
      <c r="J50" s="3507"/>
      <c r="K50" s="3507"/>
      <c r="L50" s="3507"/>
      <c r="M50" s="3507"/>
      <c r="N50" s="3507"/>
      <c r="O50" s="3507"/>
      <c r="P50" s="3507"/>
    </row>
    <row r="51" spans="1:16" ht="25.5">
      <c r="A51" s="3469">
        <v>16</v>
      </c>
      <c r="B51" s="3469">
        <v>5</v>
      </c>
      <c r="C51" s="3504" t="s">
        <v>4056</v>
      </c>
      <c r="D51" s="3505">
        <v>416</v>
      </c>
      <c r="E51" s="3507"/>
      <c r="F51" s="3507"/>
      <c r="G51" s="3507"/>
      <c r="H51" s="3507"/>
      <c r="I51" s="3507"/>
      <c r="J51" s="3507"/>
      <c r="K51" s="3507"/>
      <c r="L51" s="3507"/>
      <c r="M51" s="3507"/>
      <c r="N51" s="3507"/>
      <c r="O51" s="3507"/>
      <c r="P51" s="3507"/>
    </row>
    <row r="52" spans="1:16" ht="25.5">
      <c r="A52" s="3469">
        <v>17</v>
      </c>
      <c r="B52" s="3469">
        <v>5</v>
      </c>
      <c r="C52" s="3504" t="s">
        <v>4057</v>
      </c>
      <c r="D52" s="3505">
        <v>417</v>
      </c>
      <c r="E52" s="3507"/>
      <c r="F52" s="3507"/>
      <c r="G52" s="3507"/>
      <c r="H52" s="3507"/>
      <c r="I52" s="3507"/>
      <c r="J52" s="3507"/>
      <c r="K52" s="3507"/>
      <c r="L52" s="3507"/>
      <c r="M52" s="3507"/>
      <c r="N52" s="3507"/>
      <c r="O52" s="3507"/>
      <c r="P52" s="3507"/>
    </row>
    <row r="53" spans="1:16" ht="25.5">
      <c r="A53" s="3469">
        <v>18</v>
      </c>
      <c r="B53" s="3469">
        <v>5</v>
      </c>
      <c r="C53" s="3504" t="s">
        <v>4058</v>
      </c>
      <c r="D53" s="3505">
        <v>418</v>
      </c>
      <c r="E53" s="3507"/>
      <c r="F53" s="3507"/>
      <c r="G53" s="3507"/>
      <c r="H53" s="3507"/>
      <c r="I53" s="3507"/>
      <c r="J53" s="3507"/>
      <c r="K53" s="3507"/>
      <c r="L53" s="3507"/>
      <c r="M53" s="3507"/>
      <c r="N53" s="3507"/>
      <c r="O53" s="3507"/>
      <c r="P53" s="3507"/>
    </row>
    <row r="54" spans="1:16" ht="25.5">
      <c r="A54" s="3469">
        <v>19</v>
      </c>
      <c r="B54" s="3469">
        <v>5</v>
      </c>
      <c r="C54" s="3504" t="s">
        <v>4059</v>
      </c>
      <c r="D54" s="3505">
        <v>419</v>
      </c>
      <c r="E54" s="3507"/>
      <c r="F54" s="3507"/>
      <c r="G54" s="3507"/>
      <c r="H54" s="3507"/>
      <c r="I54" s="3507"/>
      <c r="J54" s="3507"/>
      <c r="K54" s="3507"/>
      <c r="L54" s="3507"/>
      <c r="M54" s="3507"/>
      <c r="N54" s="3507"/>
      <c r="O54" s="3507"/>
      <c r="P54" s="3507"/>
    </row>
    <row r="55" spans="1:16">
      <c r="A55" s="3469">
        <v>1</v>
      </c>
      <c r="B55" s="3469">
        <v>5</v>
      </c>
      <c r="C55" s="3504" t="s">
        <v>516</v>
      </c>
      <c r="D55" s="3505">
        <v>420</v>
      </c>
      <c r="E55" s="3507"/>
      <c r="F55" s="3507"/>
      <c r="G55" s="3507"/>
      <c r="H55" s="3507"/>
      <c r="I55" s="3507">
        <f>'135'!BI57</f>
        <v>1211.152</v>
      </c>
      <c r="J55" s="3507">
        <f>'135'!BP57</f>
        <v>4775.9370100000006</v>
      </c>
      <c r="K55" s="3507">
        <f>'135'!BW57</f>
        <v>1.843</v>
      </c>
      <c r="L55" s="3507">
        <f>'135'!CD57+'135'!CR57</f>
        <v>4553.3088000000007</v>
      </c>
      <c r="M55" s="3507"/>
      <c r="N55" s="3507"/>
      <c r="O55" s="3507"/>
      <c r="P55" s="3507"/>
    </row>
    <row r="56" spans="1:16">
      <c r="A56" s="3469">
        <v>2</v>
      </c>
      <c r="B56" s="3469">
        <v>5</v>
      </c>
      <c r="C56" s="3504" t="s">
        <v>517</v>
      </c>
      <c r="D56" s="3505">
        <v>430</v>
      </c>
      <c r="E56" s="3507"/>
      <c r="F56" s="3507"/>
      <c r="G56" s="3507"/>
      <c r="H56" s="3507"/>
      <c r="I56" s="3507"/>
      <c r="J56" s="3507"/>
      <c r="K56" s="3507"/>
      <c r="L56" s="3507"/>
      <c r="M56" s="3507"/>
      <c r="N56" s="3507"/>
      <c r="O56" s="3507"/>
      <c r="P56" s="3507"/>
    </row>
    <row r="57" spans="1:16">
      <c r="A57" s="3469">
        <v>3</v>
      </c>
      <c r="B57" s="3469">
        <v>5</v>
      </c>
      <c r="C57" s="3504" t="s">
        <v>518</v>
      </c>
      <c r="D57" s="3505">
        <v>440</v>
      </c>
      <c r="E57" s="3507"/>
      <c r="F57" s="3507"/>
      <c r="G57" s="3507"/>
      <c r="H57" s="3507"/>
      <c r="I57" s="3507"/>
      <c r="J57" s="3507"/>
      <c r="K57" s="3507"/>
      <c r="L57" s="3507"/>
      <c r="M57" s="3507"/>
      <c r="N57" s="3507"/>
      <c r="O57" s="3507"/>
      <c r="P57" s="3507"/>
    </row>
    <row r="58" spans="1:16">
      <c r="A58" s="3469">
        <v>4</v>
      </c>
      <c r="B58" s="3469">
        <v>5</v>
      </c>
      <c r="C58" s="3504" t="s">
        <v>519</v>
      </c>
      <c r="D58" s="3505">
        <v>450</v>
      </c>
      <c r="E58" s="3507">
        <f>'135'!E60</f>
        <v>14113.965</v>
      </c>
      <c r="F58" s="3507">
        <f>'135'!L60</f>
        <v>120236.33578000001</v>
      </c>
      <c r="G58" s="3507"/>
      <c r="H58" s="3507"/>
      <c r="I58" s="3507"/>
      <c r="J58" s="3507"/>
      <c r="K58" s="3507"/>
      <c r="L58" s="3507"/>
      <c r="M58" s="3507"/>
      <c r="N58" s="3507"/>
      <c r="O58" s="3507"/>
      <c r="P58" s="3507"/>
    </row>
    <row r="59" spans="1:16">
      <c r="A59" s="3469">
        <v>5</v>
      </c>
      <c r="B59" s="3469">
        <v>5</v>
      </c>
      <c r="C59" s="3504" t="s">
        <v>520</v>
      </c>
      <c r="D59" s="3505">
        <v>460</v>
      </c>
      <c r="E59" s="3507">
        <f>'135'!E61</f>
        <v>122.85300000000001</v>
      </c>
      <c r="F59" s="3507">
        <f>'135'!L61</f>
        <v>1268.729</v>
      </c>
      <c r="G59" s="3507"/>
      <c r="H59" s="3507"/>
      <c r="I59" s="3507"/>
      <c r="J59" s="3507"/>
      <c r="K59" s="3507"/>
      <c r="L59" s="3507"/>
      <c r="M59" s="3507"/>
      <c r="N59" s="3507"/>
      <c r="O59" s="3507"/>
      <c r="P59" s="3507"/>
    </row>
    <row r="60" spans="1:16">
      <c r="A60" s="3469">
        <v>6</v>
      </c>
      <c r="B60" s="3469">
        <v>5</v>
      </c>
      <c r="C60" s="3504" t="s">
        <v>521</v>
      </c>
      <c r="D60" s="3505">
        <v>470</v>
      </c>
      <c r="E60" s="3507">
        <f>'135'!E62</f>
        <v>4162.308</v>
      </c>
      <c r="F60" s="3507">
        <f>'135'!L62</f>
        <v>39815.281000000003</v>
      </c>
      <c r="G60" s="3507">
        <f>'135'!S62</f>
        <v>295.92699999999996</v>
      </c>
      <c r="H60" s="3507">
        <f>'135'!Z62</f>
        <v>2783.4780800000003</v>
      </c>
      <c r="I60" s="3507"/>
      <c r="J60" s="3507"/>
      <c r="K60" s="3507"/>
      <c r="L60" s="3507"/>
      <c r="M60" s="3507"/>
      <c r="N60" s="3507"/>
      <c r="O60" s="3507"/>
      <c r="P60" s="3507"/>
    </row>
    <row r="61" spans="1:16">
      <c r="A61" s="3469">
        <v>7</v>
      </c>
      <c r="B61" s="3469">
        <v>5</v>
      </c>
      <c r="C61" s="3504" t="s">
        <v>4060</v>
      </c>
      <c r="D61" s="3505">
        <v>480</v>
      </c>
      <c r="E61" s="3507">
        <f>'135'!E63</f>
        <v>1451.1590000000001</v>
      </c>
      <c r="F61" s="3507">
        <f>'135'!L63</f>
        <v>13715.712</v>
      </c>
      <c r="G61" s="3507"/>
      <c r="H61" s="3507"/>
      <c r="I61" s="3507"/>
      <c r="J61" s="3507"/>
      <c r="K61" s="3507"/>
      <c r="L61" s="3507"/>
      <c r="M61" s="3507"/>
      <c r="N61" s="3507"/>
      <c r="O61" s="3507"/>
      <c r="P61" s="3507"/>
    </row>
    <row r="62" spans="1:16" ht="76.5">
      <c r="A62" s="3469">
        <v>9</v>
      </c>
      <c r="B62" s="3469">
        <v>14</v>
      </c>
      <c r="C62" s="3502" t="s">
        <v>4061</v>
      </c>
      <c r="D62" s="3503">
        <v>500</v>
      </c>
      <c r="E62" s="3713">
        <f>SUM(E63:E79)</f>
        <v>0</v>
      </c>
      <c r="F62" s="3713">
        <f t="shared" ref="F62:P62" si="3">SUM(F63:F79)</f>
        <v>0</v>
      </c>
      <c r="G62" s="3713">
        <f t="shared" si="3"/>
        <v>0</v>
      </c>
      <c r="H62" s="3713">
        <f t="shared" si="3"/>
        <v>0</v>
      </c>
      <c r="I62" s="3713">
        <f t="shared" si="3"/>
        <v>0</v>
      </c>
      <c r="J62" s="3713">
        <f t="shared" si="3"/>
        <v>0</v>
      </c>
      <c r="K62" s="3713">
        <f t="shared" si="3"/>
        <v>0</v>
      </c>
      <c r="L62" s="3713">
        <f t="shared" si="3"/>
        <v>0</v>
      </c>
      <c r="M62" s="3713">
        <f t="shared" si="3"/>
        <v>0</v>
      </c>
      <c r="N62" s="3713">
        <f t="shared" si="3"/>
        <v>0</v>
      </c>
      <c r="O62" s="3713">
        <f t="shared" si="3"/>
        <v>0</v>
      </c>
      <c r="P62" s="3713">
        <f t="shared" si="3"/>
        <v>0</v>
      </c>
    </row>
    <row r="63" spans="1:16" ht="76.5">
      <c r="A63" s="3469">
        <v>10</v>
      </c>
      <c r="B63" s="3469">
        <v>14</v>
      </c>
      <c r="C63" s="3504" t="s">
        <v>4050</v>
      </c>
      <c r="D63" s="3505">
        <v>510</v>
      </c>
      <c r="E63" s="3507"/>
      <c r="F63" s="3507"/>
      <c r="G63" s="3507"/>
      <c r="H63" s="3507"/>
      <c r="I63" s="3507"/>
      <c r="J63" s="3507"/>
      <c r="K63" s="3507"/>
      <c r="L63" s="3507"/>
      <c r="M63" s="3507"/>
      <c r="N63" s="3507"/>
      <c r="O63" s="3507"/>
      <c r="P63" s="3507"/>
    </row>
    <row r="64" spans="1:16" ht="51">
      <c r="A64" s="3469">
        <v>11</v>
      </c>
      <c r="B64" s="3469">
        <v>14</v>
      </c>
      <c r="C64" s="3504" t="s">
        <v>4051</v>
      </c>
      <c r="D64" s="3505">
        <v>511</v>
      </c>
      <c r="E64" s="3507"/>
      <c r="F64" s="3507"/>
      <c r="G64" s="3507"/>
      <c r="H64" s="3507"/>
      <c r="I64" s="3507"/>
      <c r="J64" s="3507"/>
      <c r="K64" s="3507"/>
      <c r="L64" s="3507"/>
      <c r="M64" s="3507"/>
      <c r="N64" s="3507"/>
      <c r="O64" s="3507"/>
      <c r="P64" s="3507"/>
    </row>
    <row r="65" spans="1:16" ht="25.5">
      <c r="A65" s="3469">
        <v>12</v>
      </c>
      <c r="B65" s="3469">
        <v>14</v>
      </c>
      <c r="C65" s="3504" t="s">
        <v>4052</v>
      </c>
      <c r="D65" s="3505">
        <v>512</v>
      </c>
      <c r="E65" s="3507"/>
      <c r="F65" s="3507"/>
      <c r="G65" s="3507"/>
      <c r="H65" s="3507"/>
      <c r="I65" s="3507"/>
      <c r="J65" s="3507"/>
      <c r="K65" s="3507"/>
      <c r="L65" s="3507"/>
      <c r="M65" s="3507"/>
      <c r="N65" s="3507"/>
      <c r="O65" s="3507"/>
      <c r="P65" s="3507"/>
    </row>
    <row r="66" spans="1:16" ht="25.5">
      <c r="A66" s="3469">
        <v>13</v>
      </c>
      <c r="B66" s="3469">
        <v>14</v>
      </c>
      <c r="C66" s="3504" t="s">
        <v>4053</v>
      </c>
      <c r="D66" s="3505">
        <v>513</v>
      </c>
      <c r="E66" s="3507"/>
      <c r="F66" s="3507"/>
      <c r="G66" s="3507"/>
      <c r="H66" s="3507"/>
      <c r="I66" s="3507"/>
      <c r="J66" s="3507"/>
      <c r="K66" s="3507"/>
      <c r="L66" s="3507"/>
      <c r="M66" s="3507"/>
      <c r="N66" s="3507"/>
      <c r="O66" s="3507"/>
      <c r="P66" s="3507"/>
    </row>
    <row r="67" spans="1:16" ht="25.5">
      <c r="A67" s="3469">
        <v>14</v>
      </c>
      <c r="B67" s="3469">
        <v>14</v>
      </c>
      <c r="C67" s="3504" t="s">
        <v>4054</v>
      </c>
      <c r="D67" s="3505">
        <v>514</v>
      </c>
      <c r="E67" s="3507"/>
      <c r="F67" s="3507"/>
      <c r="G67" s="3507"/>
      <c r="H67" s="3507"/>
      <c r="I67" s="3507"/>
      <c r="J67" s="3507"/>
      <c r="K67" s="3507"/>
      <c r="L67" s="3507"/>
      <c r="M67" s="3507"/>
      <c r="N67" s="3507"/>
      <c r="O67" s="3507"/>
      <c r="P67" s="3507"/>
    </row>
    <row r="68" spans="1:16" ht="25.5">
      <c r="A68" s="3469">
        <v>15</v>
      </c>
      <c r="B68" s="3469">
        <v>14</v>
      </c>
      <c r="C68" s="3504" t="s">
        <v>4055</v>
      </c>
      <c r="D68" s="3505">
        <v>515</v>
      </c>
      <c r="E68" s="3507"/>
      <c r="F68" s="3507"/>
      <c r="G68" s="3507"/>
      <c r="H68" s="3507"/>
      <c r="I68" s="3507"/>
      <c r="J68" s="3507"/>
      <c r="K68" s="3507"/>
      <c r="L68" s="3507"/>
      <c r="M68" s="3507"/>
      <c r="N68" s="3507"/>
      <c r="O68" s="3507"/>
      <c r="P68" s="3507"/>
    </row>
    <row r="69" spans="1:16" ht="25.5">
      <c r="A69" s="3469">
        <v>16</v>
      </c>
      <c r="B69" s="3469">
        <v>14</v>
      </c>
      <c r="C69" s="3504" t="s">
        <v>4056</v>
      </c>
      <c r="D69" s="3505">
        <v>516</v>
      </c>
      <c r="E69" s="3507"/>
      <c r="F69" s="3507"/>
      <c r="G69" s="3507"/>
      <c r="H69" s="3507"/>
      <c r="I69" s="3507"/>
      <c r="J69" s="3507"/>
      <c r="K69" s="3507"/>
      <c r="L69" s="3507"/>
      <c r="M69" s="3507"/>
      <c r="N69" s="3507"/>
      <c r="O69" s="3507"/>
      <c r="P69" s="3507"/>
    </row>
    <row r="70" spans="1:16" ht="25.5">
      <c r="A70" s="3469">
        <v>17</v>
      </c>
      <c r="B70" s="3469">
        <v>14</v>
      </c>
      <c r="C70" s="3504" t="s">
        <v>4057</v>
      </c>
      <c r="D70" s="3505">
        <v>517</v>
      </c>
      <c r="E70" s="3507"/>
      <c r="F70" s="3507"/>
      <c r="G70" s="3507"/>
      <c r="H70" s="3507"/>
      <c r="I70" s="3507"/>
      <c r="J70" s="3507"/>
      <c r="K70" s="3507"/>
      <c r="L70" s="3507"/>
      <c r="M70" s="3507"/>
      <c r="N70" s="3507"/>
      <c r="O70" s="3507"/>
      <c r="P70" s="3507"/>
    </row>
    <row r="71" spans="1:16" ht="25.5">
      <c r="A71" s="3469">
        <v>18</v>
      </c>
      <c r="B71" s="3469">
        <v>14</v>
      </c>
      <c r="C71" s="3504" t="s">
        <v>4058</v>
      </c>
      <c r="D71" s="3505">
        <v>518</v>
      </c>
      <c r="E71" s="3507"/>
      <c r="F71" s="3507"/>
      <c r="G71" s="3507"/>
      <c r="H71" s="3507"/>
      <c r="I71" s="3507"/>
      <c r="J71" s="3507"/>
      <c r="K71" s="3507"/>
      <c r="L71" s="3507"/>
      <c r="M71" s="3507"/>
      <c r="N71" s="3507"/>
      <c r="O71" s="3507"/>
      <c r="P71" s="3507"/>
    </row>
    <row r="72" spans="1:16" ht="25.5">
      <c r="A72" s="3469">
        <v>19</v>
      </c>
      <c r="B72" s="3469">
        <v>14</v>
      </c>
      <c r="C72" s="3504" t="s">
        <v>4059</v>
      </c>
      <c r="D72" s="3505">
        <v>519</v>
      </c>
      <c r="E72" s="3507"/>
      <c r="F72" s="3507"/>
      <c r="G72" s="3507"/>
      <c r="H72" s="3507"/>
      <c r="I72" s="3507"/>
      <c r="J72" s="3507"/>
      <c r="K72" s="3507"/>
      <c r="L72" s="3507"/>
      <c r="M72" s="3507"/>
      <c r="N72" s="3507"/>
      <c r="O72" s="3507"/>
      <c r="P72" s="3507"/>
    </row>
    <row r="73" spans="1:16">
      <c r="A73" s="3469">
        <v>1</v>
      </c>
      <c r="B73" s="3469">
        <v>14</v>
      </c>
      <c r="C73" s="3504" t="s">
        <v>516</v>
      </c>
      <c r="D73" s="3505">
        <v>520</v>
      </c>
      <c r="E73" s="3508"/>
      <c r="F73" s="3508"/>
      <c r="G73" s="3508"/>
      <c r="H73" s="3508"/>
      <c r="I73" s="3508"/>
      <c r="J73" s="3508"/>
      <c r="K73" s="3508"/>
      <c r="L73" s="3508"/>
      <c r="M73" s="3508"/>
      <c r="N73" s="3508"/>
      <c r="O73" s="3508"/>
      <c r="P73" s="3508"/>
    </row>
    <row r="74" spans="1:16">
      <c r="A74" s="3469">
        <v>2</v>
      </c>
      <c r="B74" s="3469">
        <v>14</v>
      </c>
      <c r="C74" s="3504" t="s">
        <v>517</v>
      </c>
      <c r="D74" s="3505">
        <v>530</v>
      </c>
      <c r="E74" s="3508"/>
      <c r="F74" s="3508"/>
      <c r="G74" s="3508"/>
      <c r="H74" s="3508"/>
      <c r="I74" s="3508"/>
      <c r="J74" s="3508"/>
      <c r="K74" s="3508"/>
      <c r="L74" s="3508"/>
      <c r="M74" s="3508"/>
      <c r="N74" s="3508"/>
      <c r="O74" s="3508"/>
      <c r="P74" s="3508"/>
    </row>
    <row r="75" spans="1:16">
      <c r="A75" s="3469">
        <v>3</v>
      </c>
      <c r="B75" s="3469">
        <v>14</v>
      </c>
      <c r="C75" s="3504" t="s">
        <v>518</v>
      </c>
      <c r="D75" s="3505">
        <v>540</v>
      </c>
      <c r="E75" s="3508"/>
      <c r="F75" s="3508"/>
      <c r="G75" s="3508"/>
      <c r="H75" s="3508"/>
      <c r="I75" s="3508"/>
      <c r="J75" s="3508"/>
      <c r="K75" s="3508"/>
      <c r="L75" s="3508"/>
      <c r="M75" s="3508"/>
      <c r="N75" s="3508"/>
      <c r="O75" s="3508"/>
      <c r="P75" s="3508"/>
    </row>
    <row r="76" spans="1:16">
      <c r="A76" s="3469">
        <v>4</v>
      </c>
      <c r="B76" s="3469">
        <v>14</v>
      </c>
      <c r="C76" s="3504" t="s">
        <v>519</v>
      </c>
      <c r="D76" s="3505">
        <v>550</v>
      </c>
      <c r="E76" s="3508"/>
      <c r="F76" s="3508"/>
      <c r="G76" s="3508"/>
      <c r="H76" s="3508"/>
      <c r="I76" s="3508"/>
      <c r="J76" s="3508"/>
      <c r="K76" s="3508"/>
      <c r="L76" s="3508"/>
      <c r="M76" s="3508"/>
      <c r="N76" s="3508"/>
      <c r="O76" s="3508"/>
      <c r="P76" s="3508"/>
    </row>
    <row r="77" spans="1:16">
      <c r="A77" s="3469">
        <v>5</v>
      </c>
      <c r="B77" s="3469">
        <v>14</v>
      </c>
      <c r="C77" s="3504" t="s">
        <v>520</v>
      </c>
      <c r="D77" s="3505">
        <v>560</v>
      </c>
      <c r="E77" s="3508"/>
      <c r="F77" s="3508"/>
      <c r="G77" s="3508"/>
      <c r="H77" s="3508"/>
      <c r="I77" s="3508"/>
      <c r="J77" s="3508"/>
      <c r="K77" s="3508"/>
      <c r="L77" s="3508"/>
      <c r="M77" s="3508"/>
      <c r="N77" s="3508"/>
      <c r="O77" s="3508"/>
      <c r="P77" s="3508"/>
    </row>
    <row r="78" spans="1:16">
      <c r="A78" s="3469">
        <v>6</v>
      </c>
      <c r="B78" s="3469">
        <v>14</v>
      </c>
      <c r="C78" s="3504" t="s">
        <v>521</v>
      </c>
      <c r="D78" s="3505">
        <v>570</v>
      </c>
      <c r="E78" s="3508"/>
      <c r="F78" s="3508"/>
      <c r="G78" s="3508"/>
      <c r="H78" s="3508"/>
      <c r="I78" s="3508"/>
      <c r="J78" s="3508"/>
      <c r="K78" s="3508"/>
      <c r="L78" s="3508"/>
      <c r="M78" s="3508"/>
      <c r="N78" s="3508"/>
      <c r="O78" s="3508"/>
      <c r="P78" s="3508"/>
    </row>
    <row r="79" spans="1:16">
      <c r="A79" s="3469">
        <v>7</v>
      </c>
      <c r="B79" s="3469">
        <v>14</v>
      </c>
      <c r="C79" s="3504" t="s">
        <v>4060</v>
      </c>
      <c r="D79" s="3505">
        <v>580</v>
      </c>
      <c r="E79" s="3508"/>
      <c r="F79" s="3508"/>
      <c r="G79" s="3508"/>
      <c r="H79" s="3508"/>
      <c r="I79" s="3508"/>
      <c r="J79" s="3508"/>
      <c r="K79" s="3508"/>
      <c r="L79" s="3508"/>
      <c r="M79" s="3508"/>
      <c r="N79" s="3508"/>
      <c r="O79" s="3508"/>
      <c r="P79" s="3508"/>
    </row>
    <row r="80" spans="1:16" ht="38.25">
      <c r="A80" s="3469">
        <v>9</v>
      </c>
      <c r="B80" s="3469">
        <v>15</v>
      </c>
      <c r="C80" s="3502" t="s">
        <v>4070</v>
      </c>
      <c r="D80" s="3503">
        <v>700</v>
      </c>
      <c r="E80" s="3713">
        <f>SUM(E81:E82)</f>
        <v>1788.328</v>
      </c>
      <c r="F80" s="3713">
        <f t="shared" ref="F80:P80" si="4">SUM(F81:F82)</f>
        <v>7063.84195</v>
      </c>
      <c r="G80" s="3713">
        <f t="shared" si="4"/>
        <v>0</v>
      </c>
      <c r="H80" s="3713">
        <f t="shared" si="4"/>
        <v>0</v>
      </c>
      <c r="I80" s="3713">
        <f t="shared" si="4"/>
        <v>0</v>
      </c>
      <c r="J80" s="3713">
        <f t="shared" si="4"/>
        <v>0</v>
      </c>
      <c r="K80" s="3713">
        <f t="shared" si="4"/>
        <v>0</v>
      </c>
      <c r="L80" s="3713">
        <f t="shared" si="4"/>
        <v>0</v>
      </c>
      <c r="M80" s="3713">
        <f t="shared" si="4"/>
        <v>0</v>
      </c>
      <c r="N80" s="3713">
        <f t="shared" si="4"/>
        <v>0</v>
      </c>
      <c r="O80" s="3713">
        <f t="shared" si="4"/>
        <v>0</v>
      </c>
      <c r="P80" s="3713">
        <f t="shared" si="4"/>
        <v>0</v>
      </c>
    </row>
    <row r="81" spans="1:16" ht="51">
      <c r="A81" s="3469">
        <v>9</v>
      </c>
      <c r="B81" s="3469">
        <v>16</v>
      </c>
      <c r="C81" s="3504" t="s">
        <v>4071</v>
      </c>
      <c r="D81" s="3505">
        <v>710</v>
      </c>
      <c r="E81" s="3508">
        <f>'Шаблон 46 ГП'!C268/1000</f>
        <v>1788.328</v>
      </c>
      <c r="F81" s="3508">
        <f>'Шаблон 46 ГП'!L268/1000</f>
        <v>7063.84195</v>
      </c>
      <c r="G81" s="3508"/>
      <c r="H81" s="3508"/>
      <c r="I81" s="3508"/>
      <c r="J81" s="3508"/>
      <c r="K81" s="3508"/>
      <c r="L81" s="3508"/>
      <c r="M81" s="3508"/>
      <c r="N81" s="3508"/>
      <c r="O81" s="3508"/>
      <c r="P81" s="3508"/>
    </row>
    <row r="82" spans="1:16" ht="51">
      <c r="A82" s="3469">
        <v>9</v>
      </c>
      <c r="B82" s="3469">
        <v>17</v>
      </c>
      <c r="C82" s="3504" t="s">
        <v>4072</v>
      </c>
      <c r="D82" s="3505">
        <v>720</v>
      </c>
      <c r="E82" s="3508"/>
      <c r="F82" s="3508"/>
      <c r="G82" s="3508"/>
      <c r="H82" s="3508"/>
      <c r="I82" s="3508"/>
      <c r="J82" s="3508"/>
      <c r="K82" s="3508"/>
      <c r="L82" s="3508"/>
      <c r="M82" s="3508"/>
      <c r="N82" s="3508"/>
      <c r="O82" s="3508"/>
      <c r="P82" s="3508"/>
    </row>
    <row r="83" spans="1:16">
      <c r="A83" s="3469">
        <v>9</v>
      </c>
      <c r="B83" s="3469">
        <v>0</v>
      </c>
      <c r="C83" s="3502" t="s">
        <v>4062</v>
      </c>
      <c r="D83" s="3503">
        <v>800</v>
      </c>
      <c r="E83" s="3713">
        <f>E7+E62+E80</f>
        <v>21638.613000000001</v>
      </c>
      <c r="F83" s="3713">
        <f t="shared" ref="F83:P83" si="5">F7+F62+F80</f>
        <v>182099.89973000003</v>
      </c>
      <c r="G83" s="3713">
        <f t="shared" si="5"/>
        <v>295.92699999999996</v>
      </c>
      <c r="H83" s="3713">
        <f t="shared" si="5"/>
        <v>2783.4780800000003</v>
      </c>
      <c r="I83" s="3713">
        <f t="shared" si="5"/>
        <v>1211.152</v>
      </c>
      <c r="J83" s="3713">
        <f t="shared" si="5"/>
        <v>4775.9370100000006</v>
      </c>
      <c r="K83" s="3713">
        <f t="shared" si="5"/>
        <v>1.843</v>
      </c>
      <c r="L83" s="3713">
        <f t="shared" si="5"/>
        <v>4553.3088000000007</v>
      </c>
      <c r="M83" s="3713">
        <f t="shared" si="5"/>
        <v>0</v>
      </c>
      <c r="N83" s="3713">
        <f t="shared" si="5"/>
        <v>0</v>
      </c>
      <c r="O83" s="3713">
        <f t="shared" si="5"/>
        <v>0</v>
      </c>
      <c r="P83" s="3713">
        <f t="shared" si="5"/>
        <v>0</v>
      </c>
    </row>
  </sheetData>
  <mergeCells count="8">
    <mergeCell ref="M3:N3"/>
    <mergeCell ref="O3:P3"/>
    <mergeCell ref="C3:C4"/>
    <mergeCell ref="D3:D4"/>
    <mergeCell ref="E3:F3"/>
    <mergeCell ref="G3:H3"/>
    <mergeCell ref="I3:J3"/>
    <mergeCell ref="K3:L3"/>
  </mergeCells>
  <dataValidations count="1">
    <dataValidation type="decimal" operator="greaterThanOrEqual" allowBlank="1" showErrorMessage="1" errorTitle="НЕВЕРНОЕ ЗНАЧЕНИЕ" error="Введенное значение не является числовым" sqref="E7:P83">
      <formula1>-9.99999999999999E+42</formula1>
    </dataValidation>
  </dataValidations>
  <pageMargins left="0.7" right="0.7" top="0.75" bottom="0.75" header="0.3" footer="0.3"/>
  <tableParts count="1">
    <tablePart r:id="rId1"/>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41"/>
  <sheetViews>
    <sheetView zoomScale="70" zoomScaleNormal="70" workbookViewId="0">
      <selection activeCell="H20" sqref="H20"/>
    </sheetView>
  </sheetViews>
  <sheetFormatPr defaultRowHeight="12.75" outlineLevelRow="1"/>
  <cols>
    <col min="1" max="1" width="4.7109375" customWidth="1"/>
    <col min="2" max="2" width="40.28515625" customWidth="1"/>
    <col min="3" max="3" width="19.28515625" customWidth="1"/>
    <col min="4" max="4" width="12.7109375" customWidth="1"/>
    <col min="150" max="150" width="4.7109375" customWidth="1"/>
    <col min="151" max="151" width="40.28515625" customWidth="1"/>
    <col min="152" max="152" width="19.28515625" customWidth="1"/>
    <col min="153" max="187" width="0" hidden="1" customWidth="1"/>
    <col min="188" max="188" width="13.28515625" customWidth="1"/>
    <col min="189" max="189" width="13.7109375" customWidth="1"/>
    <col min="190" max="190" width="10.42578125" customWidth="1"/>
    <col min="191" max="191" width="0" hidden="1" customWidth="1"/>
    <col min="192" max="192" width="12.7109375" customWidth="1"/>
    <col min="193" max="193" width="13.7109375" customWidth="1"/>
    <col min="194" max="194" width="10.42578125" customWidth="1"/>
    <col min="195" max="249" width="0" hidden="1" customWidth="1"/>
    <col min="250" max="250" width="13.28515625" customWidth="1"/>
    <col min="251" max="251" width="13.7109375" customWidth="1"/>
    <col min="252" max="252" width="10.42578125" customWidth="1"/>
    <col min="253" max="253" width="8.7109375" customWidth="1"/>
  </cols>
  <sheetData>
    <row r="1" spans="1:4" ht="27.75" customHeight="1">
      <c r="A1" s="227"/>
      <c r="B1" s="1770" t="s">
        <v>1753</v>
      </c>
      <c r="C1" s="227"/>
    </row>
    <row r="2" spans="1:4" ht="15" customHeight="1">
      <c r="A2" s="227"/>
      <c r="B2" s="227"/>
      <c r="C2" s="227"/>
    </row>
    <row r="3" spans="1:4" ht="15" customHeight="1">
      <c r="A3" s="1771" t="s">
        <v>25</v>
      </c>
      <c r="B3" s="1771" t="s">
        <v>1754</v>
      </c>
      <c r="C3" s="227"/>
    </row>
    <row r="4" spans="1:4" ht="15" customHeight="1" thickBot="1">
      <c r="A4" s="1771"/>
      <c r="B4" s="1771"/>
      <c r="C4" s="227"/>
    </row>
    <row r="5" spans="1:4" ht="15" customHeight="1">
      <c r="A5" s="4529" t="s">
        <v>3</v>
      </c>
      <c r="B5" s="4531" t="s">
        <v>209</v>
      </c>
      <c r="C5" s="4533" t="s">
        <v>210</v>
      </c>
      <c r="D5" s="4535" t="s">
        <v>1763</v>
      </c>
    </row>
    <row r="6" spans="1:4" s="422" customFormat="1" ht="62.25" customHeight="1" thickBot="1">
      <c r="A6" s="4530"/>
      <c r="B6" s="4532"/>
      <c r="C6" s="4534"/>
      <c r="D6" s="4536"/>
    </row>
    <row r="7" spans="1:4" s="422" customFormat="1" ht="15" customHeight="1" collapsed="1">
      <c r="A7" s="1786" t="s">
        <v>25</v>
      </c>
      <c r="B7" s="1776" t="s">
        <v>1755</v>
      </c>
      <c r="C7" s="1789" t="s">
        <v>240</v>
      </c>
      <c r="D7" s="1772">
        <f>ККП!D426</f>
        <v>57.180120000000002</v>
      </c>
    </row>
    <row r="8" spans="1:4" s="422" customFormat="1" ht="15" customHeight="1" outlineLevel="1">
      <c r="A8" s="404"/>
      <c r="B8" s="1777" t="s">
        <v>244</v>
      </c>
      <c r="C8" s="1790" t="s">
        <v>240</v>
      </c>
      <c r="D8" s="1773">
        <f>ККП!D272</f>
        <v>1.7883280000000001</v>
      </c>
    </row>
    <row r="9" spans="1:4" s="422" customFormat="1" ht="15" customHeight="1" outlineLevel="1">
      <c r="A9" s="404"/>
      <c r="B9" s="1778" t="s">
        <v>1756</v>
      </c>
      <c r="C9" s="1790" t="s">
        <v>248</v>
      </c>
      <c r="D9" s="1774">
        <f>D8/D7</f>
        <v>3.1275345347299026E-2</v>
      </c>
    </row>
    <row r="10" spans="1:4" s="422" customFormat="1" ht="15" customHeight="1" outlineLevel="1">
      <c r="A10" s="404"/>
      <c r="B10" s="1777" t="s">
        <v>1757</v>
      </c>
      <c r="C10" s="1790" t="s">
        <v>240</v>
      </c>
      <c r="D10" s="1779">
        <f>D7-D8</f>
        <v>55.391792000000002</v>
      </c>
    </row>
    <row r="11" spans="1:4" s="422" customFormat="1" ht="15" customHeight="1" outlineLevel="1">
      <c r="A11" s="404"/>
      <c r="B11" s="1780" t="s">
        <v>280</v>
      </c>
      <c r="C11" s="1791" t="s">
        <v>240</v>
      </c>
      <c r="D11" s="1773">
        <f>D10-D12-D13</f>
        <v>26.483728000000003</v>
      </c>
    </row>
    <row r="12" spans="1:4" s="422" customFormat="1" ht="15" customHeight="1">
      <c r="A12" s="376"/>
      <c r="B12" s="1780" t="s">
        <v>705</v>
      </c>
      <c r="C12" s="1791" t="s">
        <v>240</v>
      </c>
      <c r="D12" s="1773">
        <f>ККП!D188</f>
        <v>24.745756</v>
      </c>
    </row>
    <row r="13" spans="1:4" s="422" customFormat="1" ht="15" customHeight="1">
      <c r="A13" s="376"/>
      <c r="B13" s="1780" t="s">
        <v>1758</v>
      </c>
      <c r="C13" s="1791" t="s">
        <v>240</v>
      </c>
      <c r="D13" s="1773">
        <f>'Форма 1'!AS19/1000</f>
        <v>4.1623080000000003</v>
      </c>
    </row>
    <row r="14" spans="1:4" s="422" customFormat="1" ht="15" customHeight="1" outlineLevel="1">
      <c r="A14" s="376" t="s">
        <v>27</v>
      </c>
      <c r="B14" s="296" t="s">
        <v>1749</v>
      </c>
      <c r="C14" s="1792" t="s">
        <v>240</v>
      </c>
      <c r="D14" s="1781">
        <f>ККП!D564</f>
        <v>55.312284999999996</v>
      </c>
    </row>
    <row r="15" spans="1:4" ht="15" customHeight="1">
      <c r="A15" s="1787"/>
      <c r="B15" s="1782"/>
      <c r="C15" s="1782"/>
      <c r="D15" s="1783"/>
    </row>
    <row r="16" spans="1:4" s="422" customFormat="1" ht="15" customHeight="1">
      <c r="A16" s="376" t="s">
        <v>41</v>
      </c>
      <c r="B16" s="296" t="s">
        <v>1759</v>
      </c>
      <c r="C16" s="1793" t="s">
        <v>1760</v>
      </c>
      <c r="D16" s="1781">
        <f>ККП!D441</f>
        <v>53.818308530000003</v>
      </c>
    </row>
    <row r="17" spans="1:4" s="422" customFormat="1" ht="15" customHeight="1" outlineLevel="1">
      <c r="A17" s="376" t="s">
        <v>44</v>
      </c>
      <c r="B17" s="296" t="s">
        <v>1750</v>
      </c>
      <c r="C17" s="1793" t="s">
        <v>1760</v>
      </c>
      <c r="D17" s="1781">
        <f>ККП!D565</f>
        <v>127.51447548999998</v>
      </c>
    </row>
    <row r="18" spans="1:4" s="422" customFormat="1" ht="15" customHeight="1" thickBot="1">
      <c r="A18" s="1788" t="s">
        <v>45</v>
      </c>
      <c r="B18" s="1784" t="s">
        <v>1761</v>
      </c>
      <c r="C18" s="1794" t="s">
        <v>1760</v>
      </c>
      <c r="D18" s="1775">
        <f>ККП!D12</f>
        <v>329.16601448635743</v>
      </c>
    </row>
    <row r="19" spans="1:4" s="422" customFormat="1" ht="24" customHeight="1" thickBot="1">
      <c r="A19" s="1788" t="s">
        <v>52</v>
      </c>
      <c r="B19" s="1785" t="s">
        <v>1751</v>
      </c>
      <c r="C19" s="1795" t="s">
        <v>1760</v>
      </c>
      <c r="D19" s="1775">
        <f>D18</f>
        <v>329.16601448635743</v>
      </c>
    </row>
    <row r="20" spans="1:4" s="422" customFormat="1" ht="21.75" customHeight="1" thickBot="1">
      <c r="A20" s="1788" t="s">
        <v>372</v>
      </c>
      <c r="B20" s="1785" t="s">
        <v>1762</v>
      </c>
      <c r="C20" s="1795" t="s">
        <v>1752</v>
      </c>
      <c r="D20" s="1775">
        <v>224.01499999999999</v>
      </c>
    </row>
    <row r="21" spans="1:4" ht="15" customHeight="1"/>
    <row r="22" spans="1:4" ht="15" customHeight="1"/>
    <row r="23" spans="1:4" ht="15" customHeight="1"/>
    <row r="24" spans="1:4" ht="15" customHeight="1"/>
    <row r="25" spans="1:4" ht="15" customHeight="1"/>
    <row r="26" spans="1:4" ht="15" customHeight="1"/>
    <row r="27" spans="1:4" ht="15" customHeight="1"/>
    <row r="28" spans="1:4" ht="15" customHeight="1"/>
    <row r="29" spans="1:4" ht="15" customHeight="1"/>
    <row r="30" spans="1:4" ht="15" customHeight="1"/>
    <row r="31" spans="1:4" ht="15" customHeight="1"/>
    <row r="32" spans="1:4"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sheetData>
  <mergeCells count="4">
    <mergeCell ref="A5:A6"/>
    <mergeCell ref="B5:B6"/>
    <mergeCell ref="C5:C6"/>
    <mergeCell ref="D5:D6"/>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4"/>
    <pageSetUpPr fitToPage="1"/>
  </sheetPr>
  <dimension ref="A1:J85"/>
  <sheetViews>
    <sheetView zoomScale="70" zoomScaleNormal="70" workbookViewId="0">
      <selection activeCell="B41" sqref="B41:H41"/>
    </sheetView>
  </sheetViews>
  <sheetFormatPr defaultColWidth="9.28515625" defaultRowHeight="12.75"/>
  <cols>
    <col min="1" max="1" width="5.7109375" style="1804" customWidth="1"/>
    <col min="2" max="2" width="21" style="1802" customWidth="1"/>
    <col min="3" max="3" width="10.42578125" style="1802" customWidth="1"/>
    <col min="4" max="4" width="12.28515625" style="1802" customWidth="1"/>
    <col min="5" max="5" width="16.7109375" style="1802" customWidth="1"/>
    <col min="6" max="6" width="20.28515625" style="1802" customWidth="1"/>
    <col min="7" max="7" width="15.7109375" style="1802" customWidth="1"/>
    <col min="8" max="8" width="21" style="1802" customWidth="1"/>
    <col min="9" max="9" width="9.28515625" style="1802"/>
    <col min="10" max="10" width="12.7109375" style="1802" bestFit="1" customWidth="1"/>
    <col min="11" max="11" width="13.7109375" style="1802" bestFit="1" customWidth="1"/>
    <col min="12" max="16384" width="9.28515625" style="1802"/>
  </cols>
  <sheetData>
    <row r="1" spans="1:8" ht="14.25">
      <c r="A1" s="4547" t="s">
        <v>1771</v>
      </c>
      <c r="B1" s="4547"/>
      <c r="C1" s="4547"/>
      <c r="D1" s="4547"/>
      <c r="E1" s="4547"/>
      <c r="F1" s="4547"/>
      <c r="G1" s="4547"/>
      <c r="H1" s="4547"/>
    </row>
    <row r="2" spans="1:8" ht="15" customHeight="1">
      <c r="A2" s="4548" t="s">
        <v>1772</v>
      </c>
      <c r="B2" s="4548"/>
      <c r="C2" s="4548"/>
      <c r="D2" s="4548"/>
      <c r="E2" s="4548"/>
      <c r="F2" s="4548"/>
      <c r="G2" s="4548"/>
      <c r="H2" s="4548"/>
    </row>
    <row r="3" spans="1:8" ht="15" customHeight="1">
      <c r="A3" s="4549" t="str">
        <f>'Шаблон 46 ГП'!A8</f>
        <v>Май 2026 год</v>
      </c>
      <c r="B3" s="4550"/>
      <c r="C3" s="4550"/>
      <c r="D3" s="4550"/>
      <c r="E3" s="4550"/>
      <c r="F3" s="4550"/>
      <c r="G3" s="4550"/>
      <c r="H3" s="4550"/>
    </row>
    <row r="4" spans="1:8" ht="15" customHeight="1">
      <c r="A4" s="4551" t="s">
        <v>1773</v>
      </c>
      <c r="B4" s="4551"/>
      <c r="C4" s="1803"/>
      <c r="D4" s="1803"/>
      <c r="E4" s="1803"/>
      <c r="F4" s="1803"/>
      <c r="G4" s="4552"/>
      <c r="H4" s="4552"/>
    </row>
    <row r="5" spans="1:8" ht="27" customHeight="1">
      <c r="A5" s="4539" t="s">
        <v>1774</v>
      </c>
      <c r="B5" s="4539"/>
      <c r="C5" s="4539"/>
      <c r="D5" s="4539"/>
      <c r="E5" s="4539"/>
      <c r="F5" s="4539"/>
      <c r="G5" s="4539"/>
      <c r="H5" s="4539"/>
    </row>
    <row r="6" spans="1:8" ht="3" customHeight="1"/>
    <row r="7" spans="1:8" ht="51" customHeight="1">
      <c r="A7" s="4539" t="s">
        <v>1775</v>
      </c>
      <c r="B7" s="4539"/>
      <c r="C7" s="4539"/>
      <c r="D7" s="4539"/>
      <c r="E7" s="4539"/>
      <c r="F7" s="4539"/>
      <c r="G7" s="4539"/>
      <c r="H7" s="4539"/>
    </row>
    <row r="8" spans="1:8" ht="3" customHeight="1"/>
    <row r="9" spans="1:8" ht="43.9" customHeight="1" thickBot="1">
      <c r="A9" s="4540" t="str">
        <f>CONCATENATE("1. Сетевая организация оказала Сбытовой организации в соответствии с договором на оказание услуг по передаче электрической энергии № 01001.11 от 01 января 2011 г. в январе 2017 г. в полном объеме услуги по передаче электрической энергии в количестве ",D24," МВт*ч, на общую сумму ",H24," руб., в том числе НДС в сумме ",G24," руб.")</f>
        <v>1. Сетевая организация оказала Сбытовой организации в соответствии с договором на оказание услуг по передаче электрической энергии № 01001.11 от 01 января 2011 г. в январе 2017 г. в полном объеме услуги по передаче электрической энергии в количестве 3580,825 МВт*ч, на общую сумму 3032256,94 руб., в том числе НДС в сумме 505376,16 руб.</v>
      </c>
      <c r="B9" s="4540"/>
      <c r="C9" s="4540"/>
      <c r="D9" s="4540"/>
      <c r="E9" s="4540"/>
      <c r="F9" s="4540"/>
      <c r="G9" s="4540"/>
      <c r="H9" s="4540"/>
    </row>
    <row r="10" spans="1:8" s="1805" customFormat="1" ht="25.5">
      <c r="A10" s="518" t="s">
        <v>400</v>
      </c>
      <c r="B10" s="519" t="s">
        <v>401</v>
      </c>
      <c r="C10" s="519" t="s">
        <v>402</v>
      </c>
      <c r="D10" s="519" t="s">
        <v>403</v>
      </c>
      <c r="E10" s="519" t="s">
        <v>404</v>
      </c>
      <c r="F10" s="519" t="s">
        <v>405</v>
      </c>
      <c r="G10" s="519" t="s">
        <v>406</v>
      </c>
      <c r="H10" s="520" t="s">
        <v>407</v>
      </c>
    </row>
    <row r="11" spans="1:8" s="1805" customFormat="1" ht="19.5" customHeight="1">
      <c r="A11" s="521" t="s">
        <v>25</v>
      </c>
      <c r="B11" s="4117" t="s">
        <v>408</v>
      </c>
      <c r="C11" s="4118"/>
      <c r="D11" s="4119"/>
      <c r="E11" s="4119"/>
      <c r="F11" s="4119"/>
      <c r="G11" s="4119"/>
      <c r="H11" s="4120"/>
    </row>
    <row r="12" spans="1:8">
      <c r="A12" s="522" t="s">
        <v>339</v>
      </c>
      <c r="B12" s="523" t="s">
        <v>409</v>
      </c>
      <c r="C12" s="524" t="s">
        <v>410</v>
      </c>
      <c r="D12" s="525">
        <f>'Шаблон 46 ГП'!F317</f>
        <v>2685.3119999999999</v>
      </c>
      <c r="E12" s="524">
        <f>'Шаблон 46 ГП'!G317</f>
        <v>4069.7</v>
      </c>
      <c r="F12" s="594">
        <f t="shared" ref="F12:F18" si="0">+ROUND(D12*E12,2)</f>
        <v>10928414.25</v>
      </c>
      <c r="G12" s="594">
        <f t="shared" ref="G12:G18" si="1">+ROUND(F12*0.2,2)</f>
        <v>2185682.85</v>
      </c>
      <c r="H12" s="595">
        <f t="shared" ref="H12:H18" si="2">+F12+G12</f>
        <v>13114097.1</v>
      </c>
    </row>
    <row r="13" spans="1:8">
      <c r="A13" s="522" t="s">
        <v>390</v>
      </c>
      <c r="B13" s="523" t="s">
        <v>411</v>
      </c>
      <c r="C13" s="524" t="s">
        <v>410</v>
      </c>
      <c r="D13" s="525">
        <f>'Шаблон 46 ГП'!F318+'Шаблон 46 ЭСК'!F67</f>
        <v>16975.991000000002</v>
      </c>
      <c r="E13" s="524">
        <f>'Шаблон 46 ГП'!G318</f>
        <v>4360.62</v>
      </c>
      <c r="F13" s="594">
        <f>+ROUND(D13*E13,2)</f>
        <v>74025845.870000005</v>
      </c>
      <c r="G13" s="594">
        <f t="shared" si="1"/>
        <v>14805169.17</v>
      </c>
      <c r="H13" s="595">
        <f t="shared" si="2"/>
        <v>88831015.040000007</v>
      </c>
    </row>
    <row r="14" spans="1:8">
      <c r="A14" s="526" t="s">
        <v>391</v>
      </c>
      <c r="B14" s="527" t="s">
        <v>12</v>
      </c>
      <c r="C14" s="524" t="s">
        <v>410</v>
      </c>
      <c r="D14" s="525">
        <f>'Шаблон 46 ГП'!F319</f>
        <v>7137.4949999999999</v>
      </c>
      <c r="E14" s="524">
        <f>'Шаблон 46 ГП'!G319</f>
        <v>4600.3</v>
      </c>
      <c r="F14" s="594">
        <f t="shared" si="0"/>
        <v>32834618.25</v>
      </c>
      <c r="G14" s="594">
        <f t="shared" si="1"/>
        <v>6566923.6500000004</v>
      </c>
      <c r="H14" s="595">
        <f t="shared" si="2"/>
        <v>39401541.899999999</v>
      </c>
    </row>
    <row r="15" spans="1:8">
      <c r="A15" s="526" t="s">
        <v>412</v>
      </c>
      <c r="B15" s="523" t="s">
        <v>413</v>
      </c>
      <c r="C15" s="524" t="s">
        <v>410</v>
      </c>
      <c r="D15" s="525">
        <f>'Шаблон 46 ГП'!F320+'Шаблон 46 ЭСК'!F69</f>
        <v>1956.12</v>
      </c>
      <c r="E15" s="524">
        <f>'Шаблон 46 ГП'!G320</f>
        <v>0</v>
      </c>
      <c r="F15" s="594">
        <f t="shared" si="0"/>
        <v>0</v>
      </c>
      <c r="G15" s="594">
        <f t="shared" si="1"/>
        <v>0</v>
      </c>
      <c r="H15" s="595">
        <f t="shared" si="2"/>
        <v>0</v>
      </c>
    </row>
    <row r="16" spans="1:8">
      <c r="A16" s="526" t="s">
        <v>414</v>
      </c>
      <c r="B16" s="527" t="s">
        <v>415</v>
      </c>
      <c r="C16" s="524" t="s">
        <v>410</v>
      </c>
      <c r="D16" s="525">
        <f>'Шаблон 46 ГП'!F324</f>
        <v>1660.0129999999999</v>
      </c>
      <c r="E16" s="524">
        <f>'Шаблон 46 ГП'!G324</f>
        <v>0</v>
      </c>
      <c r="F16" s="585">
        <f t="shared" si="0"/>
        <v>0</v>
      </c>
      <c r="G16" s="585">
        <f t="shared" si="1"/>
        <v>0</v>
      </c>
      <c r="H16" s="586">
        <f t="shared" si="2"/>
        <v>0</v>
      </c>
    </row>
    <row r="17" spans="1:10">
      <c r="A17" s="526" t="s">
        <v>416</v>
      </c>
      <c r="B17" s="523" t="s">
        <v>1786</v>
      </c>
      <c r="C17" s="524" t="s">
        <v>410</v>
      </c>
      <c r="D17" s="525">
        <f>'Шаблон 46 ГП'!F328</f>
        <v>1662.123</v>
      </c>
      <c r="E17" s="524">
        <f>'Шаблон 46 ГП'!G328</f>
        <v>0</v>
      </c>
      <c r="F17" s="585">
        <f t="shared" si="0"/>
        <v>0</v>
      </c>
      <c r="G17" s="585">
        <f t="shared" si="1"/>
        <v>0</v>
      </c>
      <c r="H17" s="586">
        <f t="shared" si="2"/>
        <v>0</v>
      </c>
    </row>
    <row r="18" spans="1:10" ht="12.6" customHeight="1">
      <c r="A18" s="526" t="s">
        <v>419</v>
      </c>
      <c r="B18" s="527" t="s">
        <v>417</v>
      </c>
      <c r="C18" s="530" t="s">
        <v>410</v>
      </c>
      <c r="D18" s="525">
        <f>'Шаблон 46 ГП'!F332</f>
        <v>19551.983</v>
      </c>
      <c r="E18" s="524">
        <f>'Шаблон 46 ГП'!G332</f>
        <v>0</v>
      </c>
      <c r="F18" s="587">
        <f t="shared" si="0"/>
        <v>0</v>
      </c>
      <c r="G18" s="587">
        <f t="shared" si="1"/>
        <v>0</v>
      </c>
      <c r="H18" s="588">
        <f t="shared" si="2"/>
        <v>0</v>
      </c>
    </row>
    <row r="19" spans="1:10">
      <c r="A19" s="532"/>
      <c r="B19" s="4117" t="s">
        <v>418</v>
      </c>
      <c r="C19" s="4118"/>
      <c r="D19" s="4118"/>
      <c r="E19" s="4118"/>
      <c r="F19" s="4118"/>
      <c r="G19" s="4118"/>
      <c r="H19" s="4121"/>
      <c r="J19" s="1806"/>
    </row>
    <row r="20" spans="1:10">
      <c r="A20" s="532" t="s">
        <v>421</v>
      </c>
      <c r="B20" s="523" t="s">
        <v>411</v>
      </c>
      <c r="C20" s="524" t="s">
        <v>420</v>
      </c>
      <c r="D20" s="525">
        <f>'Шаблон 46 ГП'!F337</f>
        <v>0.157</v>
      </c>
      <c r="E20" s="524">
        <f>'Шаблон 46 ГП'!G337</f>
        <v>2799142.66</v>
      </c>
      <c r="F20" s="530">
        <f>+ROUND(D20*E20,2)</f>
        <v>439465.4</v>
      </c>
      <c r="G20" s="530">
        <f>+ROUND(F20*0.2,2)</f>
        <v>87893.08</v>
      </c>
      <c r="H20" s="531">
        <f>+F20+G20</f>
        <v>527358.48</v>
      </c>
    </row>
    <row r="21" spans="1:10" ht="12.6" customHeight="1">
      <c r="A21" s="532" t="s">
        <v>423</v>
      </c>
      <c r="B21" s="523" t="s">
        <v>12</v>
      </c>
      <c r="C21" s="524" t="s">
        <v>420</v>
      </c>
      <c r="D21" s="525">
        <f>'Шаблон 46 ГП'!F338</f>
        <v>6.556</v>
      </c>
      <c r="E21" s="524">
        <f>'Шаблон 46 ГП'!G338</f>
        <v>1025799.1099999999</v>
      </c>
      <c r="F21" s="530">
        <f>+ROUND(D21*E21,2)</f>
        <v>6725138.9699999997</v>
      </c>
      <c r="G21" s="530">
        <f>+ROUND(F21*0.2,2)</f>
        <v>1345027.79</v>
      </c>
      <c r="H21" s="531">
        <f>+F21+G21</f>
        <v>8070166.7599999998</v>
      </c>
      <c r="J21" s="1806"/>
    </row>
    <row r="22" spans="1:10">
      <c r="A22" s="532"/>
      <c r="B22" s="4117" t="s">
        <v>422</v>
      </c>
      <c r="C22" s="4118"/>
      <c r="D22" s="4118"/>
      <c r="E22" s="4118"/>
      <c r="F22" s="4118"/>
      <c r="G22" s="4118"/>
      <c r="H22" s="4121"/>
    </row>
    <row r="23" spans="1:10" ht="15" customHeight="1">
      <c r="A23" s="532" t="s">
        <v>424</v>
      </c>
      <c r="B23" s="523" t="s">
        <v>411</v>
      </c>
      <c r="C23" s="530" t="s">
        <v>410</v>
      </c>
      <c r="D23" s="525">
        <f>'Шаблон 46 ГП'!F340</f>
        <v>102.423</v>
      </c>
      <c r="E23" s="524">
        <f>'Шаблон 46 ГП'!G340</f>
        <v>333.05</v>
      </c>
      <c r="F23" s="530">
        <f>+ROUND(D23*E23,2)</f>
        <v>34111.980000000003</v>
      </c>
      <c r="G23" s="530">
        <f>+ROUND(F23*0.2,2)</f>
        <v>6822.4</v>
      </c>
      <c r="H23" s="531">
        <f>+F23+G23</f>
        <v>40934.380000000005</v>
      </c>
    </row>
    <row r="24" spans="1:10" ht="25.5" customHeight="1">
      <c r="A24" s="533" t="s">
        <v>1785</v>
      </c>
      <c r="B24" s="534" t="s">
        <v>12</v>
      </c>
      <c r="C24" s="530" t="s">
        <v>410</v>
      </c>
      <c r="D24" s="525">
        <f>'Шаблон 46 ГП'!F341</f>
        <v>3580.8250000000003</v>
      </c>
      <c r="E24" s="524">
        <f>'Шаблон 46 ГП'!G341</f>
        <v>705.67000000000007</v>
      </c>
      <c r="F24" s="530">
        <f>+ROUND(D24*E24,2)</f>
        <v>2526880.7799999998</v>
      </c>
      <c r="G24" s="530">
        <f>+ROUND(F24*0.2,2)</f>
        <v>505376.16</v>
      </c>
      <c r="H24" s="531">
        <f>+F24+G24</f>
        <v>3032256.94</v>
      </c>
    </row>
    <row r="25" spans="1:10" s="1807" customFormat="1" ht="12.75" hidden="1" customHeight="1">
      <c r="A25" s="537" t="s">
        <v>412</v>
      </c>
      <c r="B25" s="538" t="s">
        <v>425</v>
      </c>
      <c r="C25" s="539" t="s">
        <v>410</v>
      </c>
      <c r="D25" s="540">
        <f>ROUND(SUM(D12:D18)+D23+D24,3)</f>
        <v>55312.285000000003</v>
      </c>
      <c r="E25" s="539"/>
      <c r="F25" s="592">
        <f>ROUND(SUM(F12:F18)+F20+F21+F23+F24,2)</f>
        <v>127514475.5</v>
      </c>
      <c r="G25" s="592">
        <f>ROUND(SUM(G12:G18)+G20+G21+G23+G24,2)</f>
        <v>25502895.100000001</v>
      </c>
      <c r="H25" s="592">
        <f>ROUND(SUM(H12:H18)+H20+H21+H23+H24,2)</f>
        <v>153017370.59999999</v>
      </c>
    </row>
    <row r="26" spans="1:10" s="1808" customFormat="1" ht="12.75" hidden="1" customHeight="1">
      <c r="A26" s="541" t="s">
        <v>27</v>
      </c>
      <c r="B26" s="4122" t="s">
        <v>426</v>
      </c>
      <c r="C26" s="4123"/>
      <c r="D26" s="4123"/>
      <c r="E26" s="4123"/>
      <c r="F26" s="4123"/>
      <c r="G26" s="4123"/>
      <c r="H26" s="4124"/>
    </row>
    <row r="27" spans="1:10" s="1808" customFormat="1" ht="12.75" hidden="1" customHeight="1">
      <c r="A27" s="542" t="s">
        <v>427</v>
      </c>
      <c r="B27" s="543" t="s">
        <v>409</v>
      </c>
      <c r="C27" s="544" t="s">
        <v>410</v>
      </c>
      <c r="D27" s="545">
        <v>3196.4490000000001</v>
      </c>
      <c r="E27" s="546"/>
      <c r="F27" s="547">
        <f>+ROUND(D27*E27,2)</f>
        <v>0</v>
      </c>
      <c r="G27" s="547">
        <f>+ROUND(F27*0.18,2)</f>
        <v>0</v>
      </c>
      <c r="H27" s="548">
        <f>+F27+G27</f>
        <v>0</v>
      </c>
    </row>
    <row r="28" spans="1:10" s="1808" customFormat="1" ht="13.5" hidden="1" customHeight="1" thickBot="1">
      <c r="A28" s="542" t="s">
        <v>428</v>
      </c>
      <c r="B28" s="543" t="s">
        <v>411</v>
      </c>
      <c r="C28" s="544" t="s">
        <v>410</v>
      </c>
      <c r="D28" s="545">
        <v>18459.786</v>
      </c>
      <c r="E28" s="547"/>
      <c r="F28" s="547">
        <f>+ROUND(D28*E28,2)</f>
        <v>0</v>
      </c>
      <c r="G28" s="547">
        <f>+ROUND(F28*0.18,2)</f>
        <v>0</v>
      </c>
      <c r="H28" s="548">
        <f>+F28+G28</f>
        <v>0</v>
      </c>
    </row>
    <row r="29" spans="1:10" s="1808" customFormat="1" ht="24" hidden="1" customHeight="1" thickBot="1">
      <c r="A29" s="549" t="s">
        <v>429</v>
      </c>
      <c r="B29" s="550" t="s">
        <v>12</v>
      </c>
      <c r="C29" s="551" t="s">
        <v>410</v>
      </c>
      <c r="D29" s="552">
        <v>23339.738000000001</v>
      </c>
      <c r="E29" s="553"/>
      <c r="F29" s="553">
        <f>+ROUND(D29*E29,2)</f>
        <v>0</v>
      </c>
      <c r="G29" s="553">
        <f>+ROUND(F29*0.18,2)</f>
        <v>0</v>
      </c>
      <c r="H29" s="554">
        <f>+F29+G29</f>
        <v>0</v>
      </c>
    </row>
    <row r="30" spans="1:10" ht="24" hidden="1" customHeight="1" thickBot="1">
      <c r="A30" s="555" t="s">
        <v>430</v>
      </c>
      <c r="B30" s="556" t="s">
        <v>425</v>
      </c>
      <c r="C30" s="557" t="s">
        <v>410</v>
      </c>
      <c r="D30" s="558">
        <f>+SUM(D27:D29)</f>
        <v>44995.972999999998</v>
      </c>
      <c r="E30" s="559"/>
      <c r="F30" s="559">
        <f>+SUM(F27:F29)</f>
        <v>0</v>
      </c>
      <c r="G30" s="559">
        <f>+SUM(G27:G29)</f>
        <v>0</v>
      </c>
      <c r="H30" s="560">
        <f>+SUM(H27:H29)</f>
        <v>0</v>
      </c>
    </row>
    <row r="31" spans="1:10" s="1806" customFormat="1" ht="87.6" hidden="1" customHeight="1" thickBot="1">
      <c r="A31" s="561"/>
      <c r="B31" s="562" t="s">
        <v>431</v>
      </c>
      <c r="C31" s="563"/>
      <c r="D31" s="564"/>
      <c r="E31" s="565"/>
      <c r="F31" s="565">
        <f>+F25+F30</f>
        <v>127514475.5</v>
      </c>
      <c r="G31" s="565">
        <f>+G25+G30</f>
        <v>25502895.100000001</v>
      </c>
      <c r="H31" s="566">
        <f>+H25+H30</f>
        <v>153017370.59999999</v>
      </c>
    </row>
    <row r="32" spans="1:10" s="1806" customFormat="1" ht="88.15" hidden="1" customHeight="1">
      <c r="A32" s="518">
        <v>1</v>
      </c>
      <c r="B32" s="567" t="s">
        <v>439</v>
      </c>
      <c r="C32" s="568" t="s">
        <v>410</v>
      </c>
      <c r="D32" s="569">
        <v>0</v>
      </c>
      <c r="E32" s="570">
        <v>0</v>
      </c>
      <c r="F32" s="568">
        <f t="shared" ref="F32:F37" si="3">+ROUND(D32*E32,2)</f>
        <v>0</v>
      </c>
      <c r="G32" s="568">
        <f t="shared" ref="G32:G36" si="4">+ROUND(F32*0.18,2)</f>
        <v>0</v>
      </c>
      <c r="H32" s="571">
        <f t="shared" ref="H32:H37" si="5">+F32+G32</f>
        <v>0</v>
      </c>
    </row>
    <row r="33" spans="1:8" s="1806" customFormat="1" ht="13.5" thickBot="1">
      <c r="A33" s="572">
        <v>2</v>
      </c>
      <c r="B33" s="573" t="s">
        <v>441</v>
      </c>
      <c r="C33" s="574" t="s">
        <v>410</v>
      </c>
      <c r="D33" s="575">
        <v>0</v>
      </c>
      <c r="E33" s="576">
        <f>+E32</f>
        <v>0</v>
      </c>
      <c r="F33" s="574">
        <f t="shared" si="3"/>
        <v>0</v>
      </c>
      <c r="G33" s="574">
        <f>+ROUND(F33*0.2,2)</f>
        <v>0</v>
      </c>
      <c r="H33" s="577">
        <f t="shared" si="5"/>
        <v>0</v>
      </c>
    </row>
    <row r="34" spans="1:8" s="1806" customFormat="1" ht="100.5" hidden="1" customHeight="1" thickBot="1">
      <c r="A34" s="572">
        <v>2</v>
      </c>
      <c r="B34" s="573" t="s">
        <v>440</v>
      </c>
      <c r="C34" s="574" t="s">
        <v>410</v>
      </c>
      <c r="D34" s="575">
        <v>0</v>
      </c>
      <c r="E34" s="576">
        <f>+E32</f>
        <v>0</v>
      </c>
      <c r="F34" s="574">
        <f t="shared" si="3"/>
        <v>0</v>
      </c>
      <c r="G34" s="574">
        <f t="shared" si="4"/>
        <v>0</v>
      </c>
      <c r="H34" s="577">
        <f t="shared" si="5"/>
        <v>0</v>
      </c>
    </row>
    <row r="35" spans="1:8" s="1806" customFormat="1" ht="100.5" hidden="1" customHeight="1" thickBot="1">
      <c r="A35" s="518">
        <v>1</v>
      </c>
      <c r="B35" s="567" t="s">
        <v>432</v>
      </c>
      <c r="C35" s="568" t="s">
        <v>410</v>
      </c>
      <c r="D35" s="569">
        <v>0</v>
      </c>
      <c r="E35" s="570">
        <f>+E32</f>
        <v>0</v>
      </c>
      <c r="F35" s="568">
        <f t="shared" si="3"/>
        <v>0</v>
      </c>
      <c r="G35" s="568">
        <f t="shared" si="4"/>
        <v>0</v>
      </c>
      <c r="H35" s="571">
        <f t="shared" si="5"/>
        <v>0</v>
      </c>
    </row>
    <row r="36" spans="1:8" s="1806" customFormat="1" ht="100.5" hidden="1" customHeight="1" thickBot="1">
      <c r="A36" s="572">
        <v>2</v>
      </c>
      <c r="B36" s="573" t="s">
        <v>433</v>
      </c>
      <c r="C36" s="574" t="s">
        <v>410</v>
      </c>
      <c r="D36" s="575">
        <v>0</v>
      </c>
      <c r="E36" s="576">
        <f>+E35</f>
        <v>0</v>
      </c>
      <c r="F36" s="574">
        <f t="shared" si="3"/>
        <v>0</v>
      </c>
      <c r="G36" s="574">
        <f t="shared" si="4"/>
        <v>0</v>
      </c>
      <c r="H36" s="577">
        <f t="shared" si="5"/>
        <v>0</v>
      </c>
    </row>
    <row r="37" spans="1:8" s="1806" customFormat="1" ht="102.75" thickBot="1">
      <c r="A37" s="572">
        <v>2</v>
      </c>
      <c r="B37" s="573" t="s">
        <v>433</v>
      </c>
      <c r="C37" s="574" t="s">
        <v>410</v>
      </c>
      <c r="D37" s="575">
        <v>0</v>
      </c>
      <c r="E37" s="578">
        <f>+E35</f>
        <v>0</v>
      </c>
      <c r="F37" s="574">
        <f t="shared" si="3"/>
        <v>0</v>
      </c>
      <c r="G37" s="574">
        <f>+ROUND(F37*0.2,2)</f>
        <v>0</v>
      </c>
      <c r="H37" s="577">
        <f t="shared" si="5"/>
        <v>0</v>
      </c>
    </row>
    <row r="38" spans="1:8" s="1806" customFormat="1" ht="18" customHeight="1" thickBot="1">
      <c r="A38" s="537">
        <v>3</v>
      </c>
      <c r="B38" s="579" t="s">
        <v>431</v>
      </c>
      <c r="C38" s="579" t="s">
        <v>410</v>
      </c>
      <c r="D38" s="580">
        <f>+D32+D33+D34+D35+D36</f>
        <v>0</v>
      </c>
      <c r="E38" s="579"/>
      <c r="F38" s="589">
        <f>'Шаблон 46 ГП'!H355</f>
        <v>0</v>
      </c>
      <c r="G38" s="589">
        <f>+G32+G33+G34+G35+G36</f>
        <v>0</v>
      </c>
      <c r="H38" s="589">
        <f>+H32+H33+H34+H35+H36</f>
        <v>0</v>
      </c>
    </row>
    <row r="39" spans="1:8" s="1806" customFormat="1" ht="49.5" customHeight="1" thickBot="1">
      <c r="A39" s="581"/>
      <c r="B39" s="582"/>
      <c r="C39" s="582"/>
      <c r="D39" s="583"/>
      <c r="E39" s="582"/>
      <c r="F39" s="590"/>
      <c r="G39" s="590"/>
      <c r="H39" s="591"/>
    </row>
    <row r="40" spans="1:8" s="1806" customFormat="1" ht="12.6" customHeight="1" thickBot="1">
      <c r="A40" s="537">
        <v>1</v>
      </c>
      <c r="B40" s="538" t="s">
        <v>434</v>
      </c>
      <c r="C40" s="539"/>
      <c r="D40" s="540"/>
      <c r="E40" s="584" t="s">
        <v>435</v>
      </c>
      <c r="F40" s="592">
        <f>ROUND(F31-F38,2)</f>
        <v>127514475.5</v>
      </c>
      <c r="G40" s="592">
        <f>ROUND(G31-G38,2)</f>
        <v>25502895.100000001</v>
      </c>
      <c r="H40" s="593">
        <f>ROUND(H31-H38,2)</f>
        <v>153017370.59999999</v>
      </c>
    </row>
    <row r="41" spans="1:8" s="1806" customFormat="1" ht="19.5" customHeight="1">
      <c r="A41" s="1804"/>
      <c r="B41" s="4541" t="s">
        <v>1776</v>
      </c>
      <c r="C41" s="4541"/>
      <c r="D41" s="4541"/>
      <c r="E41" s="4541"/>
      <c r="F41" s="4541"/>
      <c r="G41" s="4541"/>
      <c r="H41" s="4541"/>
    </row>
    <row r="42" spans="1:8" s="1806" customFormat="1" ht="20.25" customHeight="1">
      <c r="A42" s="1804"/>
      <c r="B42" s="1809"/>
      <c r="C42" s="1809"/>
      <c r="D42" s="1809"/>
      <c r="E42" s="1809"/>
      <c r="F42" s="1809"/>
      <c r="G42" s="1809"/>
      <c r="H42" s="1809"/>
    </row>
    <row r="43" spans="1:8" s="1806" customFormat="1" ht="7.9" customHeight="1">
      <c r="A43" s="1804"/>
    </row>
    <row r="44" spans="1:8" s="1806" customFormat="1" ht="25.5" customHeight="1">
      <c r="A44" s="1804"/>
      <c r="B44" s="4542" t="s">
        <v>1777</v>
      </c>
      <c r="C44" s="4542"/>
      <c r="D44" s="1810"/>
      <c r="E44" s="1810"/>
      <c r="F44" s="1810"/>
      <c r="G44" s="4543" t="s">
        <v>1778</v>
      </c>
      <c r="H44" s="4543"/>
    </row>
    <row r="45" spans="1:8" s="1806" customFormat="1" ht="17.25" customHeight="1">
      <c r="A45" s="1804"/>
      <c r="B45" s="4544" t="s">
        <v>1440</v>
      </c>
      <c r="C45" s="4544"/>
      <c r="D45" s="1810"/>
      <c r="E45" s="1810"/>
      <c r="F45" s="1810"/>
      <c r="G45" s="1810"/>
      <c r="H45" s="1811" t="s">
        <v>1779</v>
      </c>
    </row>
    <row r="46" spans="1:8" s="1806" customFormat="1" ht="14.25">
      <c r="A46" s="1804"/>
      <c r="B46" s="1810"/>
      <c r="C46" s="1810"/>
      <c r="D46" s="1810"/>
      <c r="E46" s="1810"/>
      <c r="F46" s="1810"/>
      <c r="G46" s="1810"/>
      <c r="H46" s="1810"/>
    </row>
    <row r="47" spans="1:8" s="1806" customFormat="1" ht="14.25" customHeight="1">
      <c r="A47" s="1804"/>
      <c r="B47" s="4544" t="s">
        <v>1780</v>
      </c>
      <c r="C47" s="4544"/>
      <c r="D47" s="4544"/>
      <c r="E47" s="1810"/>
      <c r="F47" s="1810"/>
      <c r="G47" s="1810"/>
      <c r="H47" s="1811" t="s">
        <v>1781</v>
      </c>
    </row>
    <row r="48" spans="1:8" s="1806" customFormat="1" ht="27.75" customHeight="1">
      <c r="A48" s="1804"/>
      <c r="B48" s="1810"/>
      <c r="C48" s="1810"/>
      <c r="D48" s="1810"/>
      <c r="E48" s="1810"/>
      <c r="F48" s="1810"/>
      <c r="G48" s="1810"/>
      <c r="H48" s="1810"/>
    </row>
    <row r="49" spans="1:8" s="1806" customFormat="1" ht="28.5" customHeight="1">
      <c r="A49" s="1804"/>
      <c r="B49" s="4544" t="s">
        <v>1782</v>
      </c>
      <c r="C49" s="4544"/>
      <c r="D49" s="4544"/>
      <c r="E49" s="1810"/>
      <c r="F49" s="1810"/>
      <c r="G49" s="4545" t="s">
        <v>1783</v>
      </c>
      <c r="H49" s="4545"/>
    </row>
    <row r="50" spans="1:8" s="1806" customFormat="1" ht="12" customHeight="1">
      <c r="A50" s="1804"/>
      <c r="B50" s="4546"/>
      <c r="C50" s="4546"/>
      <c r="D50" s="4546"/>
      <c r="E50" s="1810"/>
      <c r="F50" s="1810"/>
      <c r="G50" s="1811"/>
      <c r="H50" s="1811"/>
    </row>
    <row r="51" spans="1:8" s="1806" customFormat="1" ht="14.25" customHeight="1">
      <c r="A51" s="1804"/>
      <c r="B51" s="1806" t="s">
        <v>1784</v>
      </c>
      <c r="C51" s="1810"/>
      <c r="D51" s="1810"/>
      <c r="E51" s="1810"/>
      <c r="F51" s="1810"/>
      <c r="G51" s="1810"/>
      <c r="H51" s="1812" t="s">
        <v>1784</v>
      </c>
    </row>
    <row r="52" spans="1:8" s="1806" customFormat="1">
      <c r="A52" s="1804"/>
      <c r="H52" s="1812"/>
    </row>
    <row r="53" spans="1:8" s="1806" customFormat="1" ht="13.15" customHeight="1">
      <c r="A53" s="1804"/>
      <c r="B53" s="4537">
        <f>G4</f>
        <v>0</v>
      </c>
      <c r="C53" s="4537"/>
      <c r="D53" s="4537"/>
      <c r="G53" s="4538">
        <f>G4</f>
        <v>0</v>
      </c>
      <c r="H53" s="4538"/>
    </row>
    <row r="54" spans="1:8" s="1806" customFormat="1">
      <c r="A54" s="1804"/>
    </row>
    <row r="55" spans="1:8" s="1806" customFormat="1">
      <c r="A55" s="1804"/>
    </row>
    <row r="56" spans="1:8" s="1806" customFormat="1">
      <c r="A56" s="1804"/>
    </row>
    <row r="57" spans="1:8" s="1806" customFormat="1">
      <c r="A57" s="1804"/>
    </row>
    <row r="58" spans="1:8" s="1806" customFormat="1">
      <c r="A58" s="1804"/>
    </row>
    <row r="59" spans="1:8" s="1806" customFormat="1">
      <c r="A59" s="1804"/>
    </row>
    <row r="60" spans="1:8" s="1806" customFormat="1">
      <c r="A60" s="1804"/>
    </row>
    <row r="61" spans="1:8" s="1806" customFormat="1">
      <c r="A61" s="1804"/>
    </row>
    <row r="62" spans="1:8" s="1806" customFormat="1">
      <c r="A62" s="1804"/>
    </row>
    <row r="63" spans="1:8" s="1806" customFormat="1">
      <c r="A63" s="1804"/>
    </row>
    <row r="64" spans="1:8" s="1806" customFormat="1">
      <c r="A64" s="1804"/>
    </row>
    <row r="65" spans="1:1" s="1806" customFormat="1">
      <c r="A65" s="1804"/>
    </row>
    <row r="66" spans="1:1" s="1806" customFormat="1">
      <c r="A66" s="1804"/>
    </row>
    <row r="67" spans="1:1" s="1806" customFormat="1">
      <c r="A67" s="1804"/>
    </row>
    <row r="68" spans="1:1" s="1806" customFormat="1">
      <c r="A68" s="1804"/>
    </row>
    <row r="69" spans="1:1" s="1806" customFormat="1">
      <c r="A69" s="1804"/>
    </row>
    <row r="70" spans="1:1" s="1806" customFormat="1">
      <c r="A70" s="1804"/>
    </row>
    <row r="71" spans="1:1" s="1806" customFormat="1">
      <c r="A71" s="1804"/>
    </row>
    <row r="72" spans="1:1" s="1806" customFormat="1">
      <c r="A72" s="1804"/>
    </row>
    <row r="73" spans="1:1" s="1806" customFormat="1">
      <c r="A73" s="1804"/>
    </row>
    <row r="74" spans="1:1" s="1806" customFormat="1">
      <c r="A74" s="1804"/>
    </row>
    <row r="75" spans="1:1" s="1806" customFormat="1">
      <c r="A75" s="1804"/>
    </row>
    <row r="76" spans="1:1" s="1806" customFormat="1">
      <c r="A76" s="1804"/>
    </row>
    <row r="77" spans="1:1" s="1806" customFormat="1">
      <c r="A77" s="1804"/>
    </row>
    <row r="78" spans="1:1" s="1806" customFormat="1">
      <c r="A78" s="1804"/>
    </row>
    <row r="79" spans="1:1" s="1806" customFormat="1">
      <c r="A79" s="1804"/>
    </row>
    <row r="80" spans="1:1" s="1806" customFormat="1">
      <c r="A80" s="1804"/>
    </row>
    <row r="81" spans="1:1" s="1806" customFormat="1">
      <c r="A81" s="1804"/>
    </row>
    <row r="82" spans="1:1" s="1806" customFormat="1">
      <c r="A82" s="1804"/>
    </row>
    <row r="83" spans="1:1" s="1806" customFormat="1">
      <c r="A83" s="1804"/>
    </row>
    <row r="84" spans="1:1" s="1806" customFormat="1">
      <c r="A84" s="1804"/>
    </row>
    <row r="85" spans="1:1" s="1806" customFormat="1">
      <c r="A85" s="1804"/>
    </row>
  </sheetData>
  <mergeCells count="22">
    <mergeCell ref="A5:H5"/>
    <mergeCell ref="A1:H1"/>
    <mergeCell ref="A2:H2"/>
    <mergeCell ref="A3:H3"/>
    <mergeCell ref="A4:B4"/>
    <mergeCell ref="G4:H4"/>
    <mergeCell ref="B53:D53"/>
    <mergeCell ref="G53:H53"/>
    <mergeCell ref="A7:H7"/>
    <mergeCell ref="A9:H9"/>
    <mergeCell ref="B11:H11"/>
    <mergeCell ref="B41:H41"/>
    <mergeCell ref="B44:C44"/>
    <mergeCell ref="G44:H44"/>
    <mergeCell ref="B19:H19"/>
    <mergeCell ref="B22:H22"/>
    <mergeCell ref="B26:H26"/>
    <mergeCell ref="B47:D47"/>
    <mergeCell ref="B45:C45"/>
    <mergeCell ref="B49:D49"/>
    <mergeCell ref="G49:H49"/>
    <mergeCell ref="B50:D50"/>
  </mergeCells>
  <pageMargins left="0.78740157480314965" right="0.39370078740157483" top="0.78740157480314965" bottom="0.59055118110236227" header="0.51181102362204722" footer="0.51181102362204722"/>
  <pageSetup paperSize="9" scale="74"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13"/>
  <sheetViews>
    <sheetView zoomScale="80" zoomScaleNormal="80" workbookViewId="0">
      <selection activeCell="C722" sqref="C722"/>
    </sheetView>
  </sheetViews>
  <sheetFormatPr defaultColWidth="9.28515625" defaultRowHeight="12.75" outlineLevelCol="1"/>
  <cols>
    <col min="1" max="1" width="6.28515625" style="1870" customWidth="1"/>
    <col min="2" max="2" width="42.5703125" style="1870" customWidth="1"/>
    <col min="3" max="3" width="11" style="1870" customWidth="1"/>
    <col min="4" max="4" width="12.5703125" style="1870" customWidth="1" outlineLevel="1"/>
    <col min="5" max="163" width="9.28515625" style="1870"/>
    <col min="164" max="164" width="6.28515625" style="1870" customWidth="1"/>
    <col min="165" max="165" width="42.5703125" style="1870" customWidth="1"/>
    <col min="166" max="166" width="11" style="1870" customWidth="1"/>
    <col min="167" max="167" width="13.7109375" style="1870" customWidth="1"/>
    <col min="168" max="168" width="15.28515625" style="1870" customWidth="1"/>
    <col min="169" max="169" width="11.7109375" style="1870" customWidth="1"/>
    <col min="170" max="170" width="12" style="1870" customWidth="1"/>
    <col min="171" max="171" width="12.5703125" style="1870" customWidth="1"/>
    <col min="172" max="172" width="13.28515625" style="1870" customWidth="1"/>
    <col min="173" max="173" width="9.7109375" style="1870" customWidth="1"/>
    <col min="174" max="174" width="12.42578125" style="1870" customWidth="1"/>
    <col min="175" max="175" width="13" style="1870" customWidth="1"/>
    <col min="176" max="176" width="13.5703125" style="1870" customWidth="1"/>
    <col min="177" max="177" width="9.7109375" style="1870" customWidth="1"/>
    <col min="178" max="178" width="10.42578125" style="1870" customWidth="1"/>
    <col min="179" max="179" width="12" style="1870" customWidth="1"/>
    <col min="180" max="180" width="11.7109375" style="1870" customWidth="1"/>
    <col min="181" max="181" width="12.28515625" style="1870" customWidth="1"/>
    <col min="182" max="182" width="11.28515625" style="1870" customWidth="1"/>
    <col min="183" max="183" width="10.28515625" style="1870" customWidth="1"/>
    <col min="184" max="184" width="14.28515625" style="1870" customWidth="1"/>
    <col min="185" max="185" width="14" style="1870" customWidth="1"/>
    <col min="186" max="186" width="14.7109375" style="1870" customWidth="1"/>
    <col min="187" max="187" width="12.42578125" style="1870" customWidth="1"/>
    <col min="188" max="188" width="11.5703125" style="1870" customWidth="1"/>
    <col min="189" max="189" width="12" style="1870" customWidth="1"/>
    <col min="190" max="191" width="11.7109375" style="1870" customWidth="1"/>
    <col min="192" max="192" width="9.5703125" style="1870" customWidth="1"/>
    <col min="193" max="193" width="9.42578125" style="1870" customWidth="1"/>
    <col min="194" max="194" width="12.7109375" style="1870" customWidth="1"/>
    <col min="195" max="195" width="12" style="1870" customWidth="1"/>
    <col min="196" max="196" width="12.7109375" style="1870" customWidth="1"/>
    <col min="197" max="197" width="12.42578125" style="1870" customWidth="1"/>
    <col min="198" max="198" width="11.42578125" style="1870" customWidth="1"/>
    <col min="199" max="199" width="12" style="1870" customWidth="1"/>
    <col min="200" max="201" width="12.7109375" style="1870" customWidth="1"/>
    <col min="202" max="202" width="10.7109375" style="1870" customWidth="1"/>
    <col min="203" max="203" width="11.5703125" style="1870" customWidth="1"/>
    <col min="204" max="204" width="12" style="1870" customWidth="1"/>
    <col min="205" max="205" width="12.7109375" style="1870" customWidth="1"/>
    <col min="206" max="206" width="14" style="1870" customWidth="1"/>
    <col min="207" max="207" width="10.7109375" style="1870" customWidth="1"/>
    <col min="208" max="208" width="11.5703125" style="1870" customWidth="1"/>
    <col min="209" max="209" width="14.7109375" style="1870" customWidth="1"/>
    <col min="210" max="211" width="14.5703125" style="1870" customWidth="1"/>
    <col min="212" max="212" width="11.7109375" style="1870" customWidth="1"/>
    <col min="213" max="213" width="12" style="1870" customWidth="1"/>
    <col min="214" max="214" width="14.28515625" style="1870" customWidth="1"/>
    <col min="215" max="215" width="13.7109375" style="1870" customWidth="1"/>
    <col min="216" max="216" width="13.28515625" style="1870" customWidth="1"/>
    <col min="217" max="217" width="13.7109375" style="1870" customWidth="1"/>
    <col min="218" max="218" width="13.5703125" style="1870" customWidth="1"/>
    <col min="219" max="219" width="13.28515625" style="1870" customWidth="1"/>
    <col min="220" max="220" width="13" style="1870" customWidth="1"/>
    <col min="221" max="221" width="12.7109375" style="1870" customWidth="1"/>
    <col min="222" max="224" width="12" style="1870" customWidth="1"/>
    <col min="225" max="225" width="13.28515625" style="1870" customWidth="1"/>
    <col min="226" max="226" width="13.42578125" style="1870" customWidth="1"/>
    <col min="227" max="227" width="13.28515625" style="1870" customWidth="1"/>
    <col min="228" max="228" width="11.7109375" style="1870" customWidth="1"/>
    <col min="229" max="230" width="13.5703125" style="1870" customWidth="1"/>
    <col min="231" max="231" width="11.7109375" style="1870" customWidth="1"/>
    <col min="232" max="232" width="12.7109375" style="1870" customWidth="1"/>
    <col min="233" max="233" width="16" style="1870" customWidth="1"/>
    <col min="234" max="234" width="14.42578125" style="1870" customWidth="1"/>
    <col min="235" max="235" width="13.28515625" style="1870" customWidth="1"/>
    <col min="236" max="236" width="12.7109375" style="1870" customWidth="1"/>
    <col min="237" max="237" width="13" style="1870" customWidth="1"/>
    <col min="238" max="238" width="13.28515625" style="1870" customWidth="1"/>
    <col min="239" max="239" width="13.5703125" style="1870" customWidth="1"/>
    <col min="240" max="240" width="12.7109375" style="1870" customWidth="1"/>
    <col min="241" max="241" width="11.7109375" style="1870" customWidth="1"/>
    <col min="242" max="242" width="11.5703125" style="1870" customWidth="1"/>
    <col min="243" max="243" width="13.7109375" style="1870" customWidth="1"/>
    <col min="244" max="244" width="14.7109375" style="1870" customWidth="1"/>
    <col min="245" max="245" width="12.5703125" style="1870" customWidth="1"/>
    <col min="246" max="246" width="11.7109375" style="1870" customWidth="1"/>
    <col min="247" max="247" width="12.28515625" style="1870" customWidth="1"/>
    <col min="248" max="248" width="12.7109375" style="1870" customWidth="1"/>
    <col min="249" max="249" width="13.28515625" style="1870" customWidth="1"/>
    <col min="250" max="250" width="13.7109375" style="1870" customWidth="1"/>
    <col min="251" max="251" width="13" style="1870" customWidth="1"/>
    <col min="252" max="252" width="12.28515625" style="1870" customWidth="1"/>
    <col min="253" max="254" width="13.28515625" style="1870" customWidth="1"/>
    <col min="255" max="255" width="13.7109375" style="1870" customWidth="1"/>
    <col min="256" max="256" width="12.42578125" style="1870" customWidth="1"/>
    <col min="257" max="257" width="12" style="1870" customWidth="1"/>
    <col min="258" max="258" width="16.5703125" style="1870" customWidth="1"/>
    <col min="259" max="259" width="29.28515625" style="1870" customWidth="1"/>
    <col min="260" max="260" width="18.7109375" style="1870" customWidth="1"/>
    <col min="261" max="419" width="9.28515625" style="1870"/>
    <col min="420" max="420" width="6.28515625" style="1870" customWidth="1"/>
    <col min="421" max="421" width="42.5703125" style="1870" customWidth="1"/>
    <col min="422" max="422" width="11" style="1870" customWidth="1"/>
    <col min="423" max="423" width="13.7109375" style="1870" customWidth="1"/>
    <col min="424" max="424" width="15.28515625" style="1870" customWidth="1"/>
    <col min="425" max="425" width="11.7109375" style="1870" customWidth="1"/>
    <col min="426" max="426" width="12" style="1870" customWidth="1"/>
    <col min="427" max="427" width="12.5703125" style="1870" customWidth="1"/>
    <col min="428" max="428" width="13.28515625" style="1870" customWidth="1"/>
    <col min="429" max="429" width="9.7109375" style="1870" customWidth="1"/>
    <col min="430" max="430" width="12.42578125" style="1870" customWidth="1"/>
    <col min="431" max="431" width="13" style="1870" customWidth="1"/>
    <col min="432" max="432" width="13.5703125" style="1870" customWidth="1"/>
    <col min="433" max="433" width="9.7109375" style="1870" customWidth="1"/>
    <col min="434" max="434" width="10.42578125" style="1870" customWidth="1"/>
    <col min="435" max="435" width="12" style="1870" customWidth="1"/>
    <col min="436" max="436" width="11.7109375" style="1870" customWidth="1"/>
    <col min="437" max="437" width="12.28515625" style="1870" customWidth="1"/>
    <col min="438" max="438" width="11.28515625" style="1870" customWidth="1"/>
    <col min="439" max="439" width="10.28515625" style="1870" customWidth="1"/>
    <col min="440" max="440" width="14.28515625" style="1870" customWidth="1"/>
    <col min="441" max="441" width="14" style="1870" customWidth="1"/>
    <col min="442" max="442" width="14.7109375" style="1870" customWidth="1"/>
    <col min="443" max="443" width="12.42578125" style="1870" customWidth="1"/>
    <col min="444" max="444" width="11.5703125" style="1870" customWidth="1"/>
    <col min="445" max="445" width="12" style="1870" customWidth="1"/>
    <col min="446" max="447" width="11.7109375" style="1870" customWidth="1"/>
    <col min="448" max="448" width="9.5703125" style="1870" customWidth="1"/>
    <col min="449" max="449" width="9.42578125" style="1870" customWidth="1"/>
    <col min="450" max="450" width="12.7109375" style="1870" customWidth="1"/>
    <col min="451" max="451" width="12" style="1870" customWidth="1"/>
    <col min="452" max="452" width="12.7109375" style="1870" customWidth="1"/>
    <col min="453" max="453" width="12.42578125" style="1870" customWidth="1"/>
    <col min="454" max="454" width="11.42578125" style="1870" customWidth="1"/>
    <col min="455" max="455" width="12" style="1870" customWidth="1"/>
    <col min="456" max="457" width="12.7109375" style="1870" customWidth="1"/>
    <col min="458" max="458" width="10.7109375" style="1870" customWidth="1"/>
    <col min="459" max="459" width="11.5703125" style="1870" customWidth="1"/>
    <col min="460" max="460" width="12" style="1870" customWidth="1"/>
    <col min="461" max="461" width="12.7109375" style="1870" customWidth="1"/>
    <col min="462" max="462" width="14" style="1870" customWidth="1"/>
    <col min="463" max="463" width="10.7109375" style="1870" customWidth="1"/>
    <col min="464" max="464" width="11.5703125" style="1870" customWidth="1"/>
    <col min="465" max="465" width="14.7109375" style="1870" customWidth="1"/>
    <col min="466" max="467" width="14.5703125" style="1870" customWidth="1"/>
    <col min="468" max="468" width="11.7109375" style="1870" customWidth="1"/>
    <col min="469" max="469" width="12" style="1870" customWidth="1"/>
    <col min="470" max="470" width="14.28515625" style="1870" customWidth="1"/>
    <col min="471" max="471" width="13.7109375" style="1870" customWidth="1"/>
    <col min="472" max="472" width="13.28515625" style="1870" customWidth="1"/>
    <col min="473" max="473" width="13.7109375" style="1870" customWidth="1"/>
    <col min="474" max="474" width="13.5703125" style="1870" customWidth="1"/>
    <col min="475" max="475" width="13.28515625" style="1870" customWidth="1"/>
    <col min="476" max="476" width="13" style="1870" customWidth="1"/>
    <col min="477" max="477" width="12.7109375" style="1870" customWidth="1"/>
    <col min="478" max="480" width="12" style="1870" customWidth="1"/>
    <col min="481" max="481" width="13.28515625" style="1870" customWidth="1"/>
    <col min="482" max="482" width="13.42578125" style="1870" customWidth="1"/>
    <col min="483" max="483" width="13.28515625" style="1870" customWidth="1"/>
    <col min="484" max="484" width="11.7109375" style="1870" customWidth="1"/>
    <col min="485" max="486" width="13.5703125" style="1870" customWidth="1"/>
    <col min="487" max="487" width="11.7109375" style="1870" customWidth="1"/>
    <col min="488" max="488" width="12.7109375" style="1870" customWidth="1"/>
    <col min="489" max="489" width="16" style="1870" customWidth="1"/>
    <col min="490" max="490" width="14.42578125" style="1870" customWidth="1"/>
    <col min="491" max="491" width="13.28515625" style="1870" customWidth="1"/>
    <col min="492" max="492" width="12.7109375" style="1870" customWidth="1"/>
    <col min="493" max="493" width="13" style="1870" customWidth="1"/>
    <col min="494" max="494" width="13.28515625" style="1870" customWidth="1"/>
    <col min="495" max="495" width="13.5703125" style="1870" customWidth="1"/>
    <col min="496" max="496" width="12.7109375" style="1870" customWidth="1"/>
    <col min="497" max="497" width="11.7109375" style="1870" customWidth="1"/>
    <col min="498" max="498" width="11.5703125" style="1870" customWidth="1"/>
    <col min="499" max="499" width="13.7109375" style="1870" customWidth="1"/>
    <col min="500" max="500" width="14.7109375" style="1870" customWidth="1"/>
    <col min="501" max="501" width="12.5703125" style="1870" customWidth="1"/>
    <col min="502" max="502" width="11.7109375" style="1870" customWidth="1"/>
    <col min="503" max="503" width="12.28515625" style="1870" customWidth="1"/>
    <col min="504" max="504" width="12.7109375" style="1870" customWidth="1"/>
    <col min="505" max="505" width="13.28515625" style="1870" customWidth="1"/>
    <col min="506" max="506" width="13.7109375" style="1870" customWidth="1"/>
    <col min="507" max="507" width="13" style="1870" customWidth="1"/>
    <col min="508" max="508" width="12.28515625" style="1870" customWidth="1"/>
    <col min="509" max="510" width="13.28515625" style="1870" customWidth="1"/>
    <col min="511" max="511" width="13.7109375" style="1870" customWidth="1"/>
    <col min="512" max="512" width="12.42578125" style="1870" customWidth="1"/>
    <col min="513" max="513" width="12" style="1870" customWidth="1"/>
    <col min="514" max="514" width="16.5703125" style="1870" customWidth="1"/>
    <col min="515" max="515" width="29.28515625" style="1870" customWidth="1"/>
    <col min="516" max="516" width="18.7109375" style="1870" customWidth="1"/>
    <col min="517" max="675" width="9.28515625" style="1870"/>
    <col min="676" max="676" width="6.28515625" style="1870" customWidth="1"/>
    <col min="677" max="677" width="42.5703125" style="1870" customWidth="1"/>
    <col min="678" max="678" width="11" style="1870" customWidth="1"/>
    <col min="679" max="679" width="13.7109375" style="1870" customWidth="1"/>
    <col min="680" max="680" width="15.28515625" style="1870" customWidth="1"/>
    <col min="681" max="681" width="11.7109375" style="1870" customWidth="1"/>
    <col min="682" max="682" width="12" style="1870" customWidth="1"/>
    <col min="683" max="683" width="12.5703125" style="1870" customWidth="1"/>
    <col min="684" max="684" width="13.28515625" style="1870" customWidth="1"/>
    <col min="685" max="685" width="9.7109375" style="1870" customWidth="1"/>
    <col min="686" max="686" width="12.42578125" style="1870" customWidth="1"/>
    <col min="687" max="687" width="13" style="1870" customWidth="1"/>
    <col min="688" max="688" width="13.5703125" style="1870" customWidth="1"/>
    <col min="689" max="689" width="9.7109375" style="1870" customWidth="1"/>
    <col min="690" max="690" width="10.42578125" style="1870" customWidth="1"/>
    <col min="691" max="691" width="12" style="1870" customWidth="1"/>
    <col min="692" max="692" width="11.7109375" style="1870" customWidth="1"/>
    <col min="693" max="693" width="12.28515625" style="1870" customWidth="1"/>
    <col min="694" max="694" width="11.28515625" style="1870" customWidth="1"/>
    <col min="695" max="695" width="10.28515625" style="1870" customWidth="1"/>
    <col min="696" max="696" width="14.28515625" style="1870" customWidth="1"/>
    <col min="697" max="697" width="14" style="1870" customWidth="1"/>
    <col min="698" max="698" width="14.7109375" style="1870" customWidth="1"/>
    <col min="699" max="699" width="12.42578125" style="1870" customWidth="1"/>
    <col min="700" max="700" width="11.5703125" style="1870" customWidth="1"/>
    <col min="701" max="701" width="12" style="1870" customWidth="1"/>
    <col min="702" max="703" width="11.7109375" style="1870" customWidth="1"/>
    <col min="704" max="704" width="9.5703125" style="1870" customWidth="1"/>
    <col min="705" max="705" width="9.42578125" style="1870" customWidth="1"/>
    <col min="706" max="706" width="12.7109375" style="1870" customWidth="1"/>
    <col min="707" max="707" width="12" style="1870" customWidth="1"/>
    <col min="708" max="708" width="12.7109375" style="1870" customWidth="1"/>
    <col min="709" max="709" width="12.42578125" style="1870" customWidth="1"/>
    <col min="710" max="710" width="11.42578125" style="1870" customWidth="1"/>
    <col min="711" max="711" width="12" style="1870" customWidth="1"/>
    <col min="712" max="713" width="12.7109375" style="1870" customWidth="1"/>
    <col min="714" max="714" width="10.7109375" style="1870" customWidth="1"/>
    <col min="715" max="715" width="11.5703125" style="1870" customWidth="1"/>
    <col min="716" max="716" width="12" style="1870" customWidth="1"/>
    <col min="717" max="717" width="12.7109375" style="1870" customWidth="1"/>
    <col min="718" max="718" width="14" style="1870" customWidth="1"/>
    <col min="719" max="719" width="10.7109375" style="1870" customWidth="1"/>
    <col min="720" max="720" width="11.5703125" style="1870" customWidth="1"/>
    <col min="721" max="721" width="14.7109375" style="1870" customWidth="1"/>
    <col min="722" max="723" width="14.5703125" style="1870" customWidth="1"/>
    <col min="724" max="724" width="11.7109375" style="1870" customWidth="1"/>
    <col min="725" max="725" width="12" style="1870" customWidth="1"/>
    <col min="726" max="726" width="14.28515625" style="1870" customWidth="1"/>
    <col min="727" max="727" width="13.7109375" style="1870" customWidth="1"/>
    <col min="728" max="728" width="13.28515625" style="1870" customWidth="1"/>
    <col min="729" max="729" width="13.7109375" style="1870" customWidth="1"/>
    <col min="730" max="730" width="13.5703125" style="1870" customWidth="1"/>
    <col min="731" max="731" width="13.28515625" style="1870" customWidth="1"/>
    <col min="732" max="732" width="13" style="1870" customWidth="1"/>
    <col min="733" max="733" width="12.7109375" style="1870" customWidth="1"/>
    <col min="734" max="736" width="12" style="1870" customWidth="1"/>
    <col min="737" max="737" width="13.28515625" style="1870" customWidth="1"/>
    <col min="738" max="738" width="13.42578125" style="1870" customWidth="1"/>
    <col min="739" max="739" width="13.28515625" style="1870" customWidth="1"/>
    <col min="740" max="740" width="11.7109375" style="1870" customWidth="1"/>
    <col min="741" max="742" width="13.5703125" style="1870" customWidth="1"/>
    <col min="743" max="743" width="11.7109375" style="1870" customWidth="1"/>
    <col min="744" max="744" width="12.7109375" style="1870" customWidth="1"/>
    <col min="745" max="745" width="16" style="1870" customWidth="1"/>
    <col min="746" max="746" width="14.42578125" style="1870" customWidth="1"/>
    <col min="747" max="747" width="13.28515625" style="1870" customWidth="1"/>
    <col min="748" max="748" width="12.7109375" style="1870" customWidth="1"/>
    <col min="749" max="749" width="13" style="1870" customWidth="1"/>
    <col min="750" max="750" width="13.28515625" style="1870" customWidth="1"/>
    <col min="751" max="751" width="13.5703125" style="1870" customWidth="1"/>
    <col min="752" max="752" width="12.7109375" style="1870" customWidth="1"/>
    <col min="753" max="753" width="11.7109375" style="1870" customWidth="1"/>
    <col min="754" max="754" width="11.5703125" style="1870" customWidth="1"/>
    <col min="755" max="755" width="13.7109375" style="1870" customWidth="1"/>
    <col min="756" max="756" width="14.7109375" style="1870" customWidth="1"/>
    <col min="757" max="757" width="12.5703125" style="1870" customWidth="1"/>
    <col min="758" max="758" width="11.7109375" style="1870" customWidth="1"/>
    <col min="759" max="759" width="12.28515625" style="1870" customWidth="1"/>
    <col min="760" max="760" width="12.7109375" style="1870" customWidth="1"/>
    <col min="761" max="761" width="13.28515625" style="1870" customWidth="1"/>
    <col min="762" max="762" width="13.7109375" style="1870" customWidth="1"/>
    <col min="763" max="763" width="13" style="1870" customWidth="1"/>
    <col min="764" max="764" width="12.28515625" style="1870" customWidth="1"/>
    <col min="765" max="766" width="13.28515625" style="1870" customWidth="1"/>
    <col min="767" max="767" width="13.7109375" style="1870" customWidth="1"/>
    <col min="768" max="768" width="12.42578125" style="1870" customWidth="1"/>
    <col min="769" max="769" width="12" style="1870" customWidth="1"/>
    <col min="770" max="770" width="16.5703125" style="1870" customWidth="1"/>
    <col min="771" max="771" width="29.28515625" style="1870" customWidth="1"/>
    <col min="772" max="772" width="18.7109375" style="1870" customWidth="1"/>
    <col min="773" max="931" width="9.28515625" style="1870"/>
    <col min="932" max="932" width="6.28515625" style="1870" customWidth="1"/>
    <col min="933" max="933" width="42.5703125" style="1870" customWidth="1"/>
    <col min="934" max="934" width="11" style="1870" customWidth="1"/>
    <col min="935" max="935" width="13.7109375" style="1870" customWidth="1"/>
    <col min="936" max="936" width="15.28515625" style="1870" customWidth="1"/>
    <col min="937" max="937" width="11.7109375" style="1870" customWidth="1"/>
    <col min="938" max="938" width="12" style="1870" customWidth="1"/>
    <col min="939" max="939" width="12.5703125" style="1870" customWidth="1"/>
    <col min="940" max="940" width="13.28515625" style="1870" customWidth="1"/>
    <col min="941" max="941" width="9.7109375" style="1870" customWidth="1"/>
    <col min="942" max="942" width="12.42578125" style="1870" customWidth="1"/>
    <col min="943" max="943" width="13" style="1870" customWidth="1"/>
    <col min="944" max="944" width="13.5703125" style="1870" customWidth="1"/>
    <col min="945" max="945" width="9.7109375" style="1870" customWidth="1"/>
    <col min="946" max="946" width="10.42578125" style="1870" customWidth="1"/>
    <col min="947" max="947" width="12" style="1870" customWidth="1"/>
    <col min="948" max="948" width="11.7109375" style="1870" customWidth="1"/>
    <col min="949" max="949" width="12.28515625" style="1870" customWidth="1"/>
    <col min="950" max="950" width="11.28515625" style="1870" customWidth="1"/>
    <col min="951" max="951" width="10.28515625" style="1870" customWidth="1"/>
    <col min="952" max="952" width="14.28515625" style="1870" customWidth="1"/>
    <col min="953" max="953" width="14" style="1870" customWidth="1"/>
    <col min="954" max="954" width="14.7109375" style="1870" customWidth="1"/>
    <col min="955" max="955" width="12.42578125" style="1870" customWidth="1"/>
    <col min="956" max="956" width="11.5703125" style="1870" customWidth="1"/>
    <col min="957" max="957" width="12" style="1870" customWidth="1"/>
    <col min="958" max="959" width="11.7109375" style="1870" customWidth="1"/>
    <col min="960" max="960" width="9.5703125" style="1870" customWidth="1"/>
    <col min="961" max="961" width="9.42578125" style="1870" customWidth="1"/>
    <col min="962" max="962" width="12.7109375" style="1870" customWidth="1"/>
    <col min="963" max="963" width="12" style="1870" customWidth="1"/>
    <col min="964" max="964" width="12.7109375" style="1870" customWidth="1"/>
    <col min="965" max="965" width="12.42578125" style="1870" customWidth="1"/>
    <col min="966" max="966" width="11.42578125" style="1870" customWidth="1"/>
    <col min="967" max="967" width="12" style="1870" customWidth="1"/>
    <col min="968" max="969" width="12.7109375" style="1870" customWidth="1"/>
    <col min="970" max="970" width="10.7109375" style="1870" customWidth="1"/>
    <col min="971" max="971" width="11.5703125" style="1870" customWidth="1"/>
    <col min="972" max="972" width="12" style="1870" customWidth="1"/>
    <col min="973" max="973" width="12.7109375" style="1870" customWidth="1"/>
    <col min="974" max="974" width="14" style="1870" customWidth="1"/>
    <col min="975" max="975" width="10.7109375" style="1870" customWidth="1"/>
    <col min="976" max="976" width="11.5703125" style="1870" customWidth="1"/>
    <col min="977" max="977" width="14.7109375" style="1870" customWidth="1"/>
    <col min="978" max="979" width="14.5703125" style="1870" customWidth="1"/>
    <col min="980" max="980" width="11.7109375" style="1870" customWidth="1"/>
    <col min="981" max="981" width="12" style="1870" customWidth="1"/>
    <col min="982" max="982" width="14.28515625" style="1870" customWidth="1"/>
    <col min="983" max="983" width="13.7109375" style="1870" customWidth="1"/>
    <col min="984" max="984" width="13.28515625" style="1870" customWidth="1"/>
    <col min="985" max="985" width="13.7109375" style="1870" customWidth="1"/>
    <col min="986" max="986" width="13.5703125" style="1870" customWidth="1"/>
    <col min="987" max="987" width="13.28515625" style="1870" customWidth="1"/>
    <col min="988" max="988" width="13" style="1870" customWidth="1"/>
    <col min="989" max="989" width="12.7109375" style="1870" customWidth="1"/>
    <col min="990" max="992" width="12" style="1870" customWidth="1"/>
    <col min="993" max="993" width="13.28515625" style="1870" customWidth="1"/>
    <col min="994" max="994" width="13.42578125" style="1870" customWidth="1"/>
    <col min="995" max="995" width="13.28515625" style="1870" customWidth="1"/>
    <col min="996" max="996" width="11.7109375" style="1870" customWidth="1"/>
    <col min="997" max="998" width="13.5703125" style="1870" customWidth="1"/>
    <col min="999" max="999" width="11.7109375" style="1870" customWidth="1"/>
    <col min="1000" max="1000" width="12.7109375" style="1870" customWidth="1"/>
    <col min="1001" max="1001" width="16" style="1870" customWidth="1"/>
    <col min="1002" max="1002" width="14.42578125" style="1870" customWidth="1"/>
    <col min="1003" max="1003" width="13.28515625" style="1870" customWidth="1"/>
    <col min="1004" max="1004" width="12.7109375" style="1870" customWidth="1"/>
    <col min="1005" max="1005" width="13" style="1870" customWidth="1"/>
    <col min="1006" max="1006" width="13.28515625" style="1870" customWidth="1"/>
    <col min="1007" max="1007" width="13.5703125" style="1870" customWidth="1"/>
    <col min="1008" max="1008" width="12.7109375" style="1870" customWidth="1"/>
    <col min="1009" max="1009" width="11.7109375" style="1870" customWidth="1"/>
    <col min="1010" max="1010" width="11.5703125" style="1870" customWidth="1"/>
    <col min="1011" max="1011" width="13.7109375" style="1870" customWidth="1"/>
    <col min="1012" max="1012" width="14.7109375" style="1870" customWidth="1"/>
    <col min="1013" max="1013" width="12.5703125" style="1870" customWidth="1"/>
    <col min="1014" max="1014" width="11.7109375" style="1870" customWidth="1"/>
    <col min="1015" max="1015" width="12.28515625" style="1870" customWidth="1"/>
    <col min="1016" max="1016" width="12.7109375" style="1870" customWidth="1"/>
    <col min="1017" max="1017" width="13.28515625" style="1870" customWidth="1"/>
    <col min="1018" max="1018" width="13.7109375" style="1870" customWidth="1"/>
    <col min="1019" max="1019" width="13" style="1870" customWidth="1"/>
    <col min="1020" max="1020" width="12.28515625" style="1870" customWidth="1"/>
    <col min="1021" max="1022" width="13.28515625" style="1870" customWidth="1"/>
    <col min="1023" max="1023" width="13.7109375" style="1870" customWidth="1"/>
    <col min="1024" max="1024" width="12.42578125" style="1870" customWidth="1"/>
    <col min="1025" max="1025" width="12" style="1870" customWidth="1"/>
    <col min="1026" max="1026" width="16.5703125" style="1870" customWidth="1"/>
    <col min="1027" max="1027" width="29.28515625" style="1870" customWidth="1"/>
    <col min="1028" max="1028" width="18.7109375" style="1870" customWidth="1"/>
    <col min="1029" max="1187" width="9.28515625" style="1870"/>
    <col min="1188" max="1188" width="6.28515625" style="1870" customWidth="1"/>
    <col min="1189" max="1189" width="42.5703125" style="1870" customWidth="1"/>
    <col min="1190" max="1190" width="11" style="1870" customWidth="1"/>
    <col min="1191" max="1191" width="13.7109375" style="1870" customWidth="1"/>
    <col min="1192" max="1192" width="15.28515625" style="1870" customWidth="1"/>
    <col min="1193" max="1193" width="11.7109375" style="1870" customWidth="1"/>
    <col min="1194" max="1194" width="12" style="1870" customWidth="1"/>
    <col min="1195" max="1195" width="12.5703125" style="1870" customWidth="1"/>
    <col min="1196" max="1196" width="13.28515625" style="1870" customWidth="1"/>
    <col min="1197" max="1197" width="9.7109375" style="1870" customWidth="1"/>
    <col min="1198" max="1198" width="12.42578125" style="1870" customWidth="1"/>
    <col min="1199" max="1199" width="13" style="1870" customWidth="1"/>
    <col min="1200" max="1200" width="13.5703125" style="1870" customWidth="1"/>
    <col min="1201" max="1201" width="9.7109375" style="1870" customWidth="1"/>
    <col min="1202" max="1202" width="10.42578125" style="1870" customWidth="1"/>
    <col min="1203" max="1203" width="12" style="1870" customWidth="1"/>
    <col min="1204" max="1204" width="11.7109375" style="1870" customWidth="1"/>
    <col min="1205" max="1205" width="12.28515625" style="1870" customWidth="1"/>
    <col min="1206" max="1206" width="11.28515625" style="1870" customWidth="1"/>
    <col min="1207" max="1207" width="10.28515625" style="1870" customWidth="1"/>
    <col min="1208" max="1208" width="14.28515625" style="1870" customWidth="1"/>
    <col min="1209" max="1209" width="14" style="1870" customWidth="1"/>
    <col min="1210" max="1210" width="14.7109375" style="1870" customWidth="1"/>
    <col min="1211" max="1211" width="12.42578125" style="1870" customWidth="1"/>
    <col min="1212" max="1212" width="11.5703125" style="1870" customWidth="1"/>
    <col min="1213" max="1213" width="12" style="1870" customWidth="1"/>
    <col min="1214" max="1215" width="11.7109375" style="1870" customWidth="1"/>
    <col min="1216" max="1216" width="9.5703125" style="1870" customWidth="1"/>
    <col min="1217" max="1217" width="9.42578125" style="1870" customWidth="1"/>
    <col min="1218" max="1218" width="12.7109375" style="1870" customWidth="1"/>
    <col min="1219" max="1219" width="12" style="1870" customWidth="1"/>
    <col min="1220" max="1220" width="12.7109375" style="1870" customWidth="1"/>
    <col min="1221" max="1221" width="12.42578125" style="1870" customWidth="1"/>
    <col min="1222" max="1222" width="11.42578125" style="1870" customWidth="1"/>
    <col min="1223" max="1223" width="12" style="1870" customWidth="1"/>
    <col min="1224" max="1225" width="12.7109375" style="1870" customWidth="1"/>
    <col min="1226" max="1226" width="10.7109375" style="1870" customWidth="1"/>
    <col min="1227" max="1227" width="11.5703125" style="1870" customWidth="1"/>
    <col min="1228" max="1228" width="12" style="1870" customWidth="1"/>
    <col min="1229" max="1229" width="12.7109375" style="1870" customWidth="1"/>
    <col min="1230" max="1230" width="14" style="1870" customWidth="1"/>
    <col min="1231" max="1231" width="10.7109375" style="1870" customWidth="1"/>
    <col min="1232" max="1232" width="11.5703125" style="1870" customWidth="1"/>
    <col min="1233" max="1233" width="14.7109375" style="1870" customWidth="1"/>
    <col min="1234" max="1235" width="14.5703125" style="1870" customWidth="1"/>
    <col min="1236" max="1236" width="11.7109375" style="1870" customWidth="1"/>
    <col min="1237" max="1237" width="12" style="1870" customWidth="1"/>
    <col min="1238" max="1238" width="14.28515625" style="1870" customWidth="1"/>
    <col min="1239" max="1239" width="13.7109375" style="1870" customWidth="1"/>
    <col min="1240" max="1240" width="13.28515625" style="1870" customWidth="1"/>
    <col min="1241" max="1241" width="13.7109375" style="1870" customWidth="1"/>
    <col min="1242" max="1242" width="13.5703125" style="1870" customWidth="1"/>
    <col min="1243" max="1243" width="13.28515625" style="1870" customWidth="1"/>
    <col min="1244" max="1244" width="13" style="1870" customWidth="1"/>
    <col min="1245" max="1245" width="12.7109375" style="1870" customWidth="1"/>
    <col min="1246" max="1248" width="12" style="1870" customWidth="1"/>
    <col min="1249" max="1249" width="13.28515625" style="1870" customWidth="1"/>
    <col min="1250" max="1250" width="13.42578125" style="1870" customWidth="1"/>
    <col min="1251" max="1251" width="13.28515625" style="1870" customWidth="1"/>
    <col min="1252" max="1252" width="11.7109375" style="1870" customWidth="1"/>
    <col min="1253" max="1254" width="13.5703125" style="1870" customWidth="1"/>
    <col min="1255" max="1255" width="11.7109375" style="1870" customWidth="1"/>
    <col min="1256" max="1256" width="12.7109375" style="1870" customWidth="1"/>
    <col min="1257" max="1257" width="16" style="1870" customWidth="1"/>
    <col min="1258" max="1258" width="14.42578125" style="1870" customWidth="1"/>
    <col min="1259" max="1259" width="13.28515625" style="1870" customWidth="1"/>
    <col min="1260" max="1260" width="12.7109375" style="1870" customWidth="1"/>
    <col min="1261" max="1261" width="13" style="1870" customWidth="1"/>
    <col min="1262" max="1262" width="13.28515625" style="1870" customWidth="1"/>
    <col min="1263" max="1263" width="13.5703125" style="1870" customWidth="1"/>
    <col min="1264" max="1264" width="12.7109375" style="1870" customWidth="1"/>
    <col min="1265" max="1265" width="11.7109375" style="1870" customWidth="1"/>
    <col min="1266" max="1266" width="11.5703125" style="1870" customWidth="1"/>
    <col min="1267" max="1267" width="13.7109375" style="1870" customWidth="1"/>
    <col min="1268" max="1268" width="14.7109375" style="1870" customWidth="1"/>
    <col min="1269" max="1269" width="12.5703125" style="1870" customWidth="1"/>
    <col min="1270" max="1270" width="11.7109375" style="1870" customWidth="1"/>
    <col min="1271" max="1271" width="12.28515625" style="1870" customWidth="1"/>
    <col min="1272" max="1272" width="12.7109375" style="1870" customWidth="1"/>
    <col min="1273" max="1273" width="13.28515625" style="1870" customWidth="1"/>
    <col min="1274" max="1274" width="13.7109375" style="1870" customWidth="1"/>
    <col min="1275" max="1275" width="13" style="1870" customWidth="1"/>
    <col min="1276" max="1276" width="12.28515625" style="1870" customWidth="1"/>
    <col min="1277" max="1278" width="13.28515625" style="1870" customWidth="1"/>
    <col min="1279" max="1279" width="13.7109375" style="1870" customWidth="1"/>
    <col min="1280" max="1280" width="12.42578125" style="1870" customWidth="1"/>
    <col min="1281" max="1281" width="12" style="1870" customWidth="1"/>
    <col min="1282" max="1282" width="16.5703125" style="1870" customWidth="1"/>
    <col min="1283" max="1283" width="29.28515625" style="1870" customWidth="1"/>
    <col min="1284" max="1284" width="18.7109375" style="1870" customWidth="1"/>
    <col min="1285" max="1443" width="9.28515625" style="1870"/>
    <col min="1444" max="1444" width="6.28515625" style="1870" customWidth="1"/>
    <col min="1445" max="1445" width="42.5703125" style="1870" customWidth="1"/>
    <col min="1446" max="1446" width="11" style="1870" customWidth="1"/>
    <col min="1447" max="1447" width="13.7109375" style="1870" customWidth="1"/>
    <col min="1448" max="1448" width="15.28515625" style="1870" customWidth="1"/>
    <col min="1449" max="1449" width="11.7109375" style="1870" customWidth="1"/>
    <col min="1450" max="1450" width="12" style="1870" customWidth="1"/>
    <col min="1451" max="1451" width="12.5703125" style="1870" customWidth="1"/>
    <col min="1452" max="1452" width="13.28515625" style="1870" customWidth="1"/>
    <col min="1453" max="1453" width="9.7109375" style="1870" customWidth="1"/>
    <col min="1454" max="1454" width="12.42578125" style="1870" customWidth="1"/>
    <col min="1455" max="1455" width="13" style="1870" customWidth="1"/>
    <col min="1456" max="1456" width="13.5703125" style="1870" customWidth="1"/>
    <col min="1457" max="1457" width="9.7109375" style="1870" customWidth="1"/>
    <col min="1458" max="1458" width="10.42578125" style="1870" customWidth="1"/>
    <col min="1459" max="1459" width="12" style="1870" customWidth="1"/>
    <col min="1460" max="1460" width="11.7109375" style="1870" customWidth="1"/>
    <col min="1461" max="1461" width="12.28515625" style="1870" customWidth="1"/>
    <col min="1462" max="1462" width="11.28515625" style="1870" customWidth="1"/>
    <col min="1463" max="1463" width="10.28515625" style="1870" customWidth="1"/>
    <col min="1464" max="1464" width="14.28515625" style="1870" customWidth="1"/>
    <col min="1465" max="1465" width="14" style="1870" customWidth="1"/>
    <col min="1466" max="1466" width="14.7109375" style="1870" customWidth="1"/>
    <col min="1467" max="1467" width="12.42578125" style="1870" customWidth="1"/>
    <col min="1468" max="1468" width="11.5703125" style="1870" customWidth="1"/>
    <col min="1469" max="1469" width="12" style="1870" customWidth="1"/>
    <col min="1470" max="1471" width="11.7109375" style="1870" customWidth="1"/>
    <col min="1472" max="1472" width="9.5703125" style="1870" customWidth="1"/>
    <col min="1473" max="1473" width="9.42578125" style="1870" customWidth="1"/>
    <col min="1474" max="1474" width="12.7109375" style="1870" customWidth="1"/>
    <col min="1475" max="1475" width="12" style="1870" customWidth="1"/>
    <col min="1476" max="1476" width="12.7109375" style="1870" customWidth="1"/>
    <col min="1477" max="1477" width="12.42578125" style="1870" customWidth="1"/>
    <col min="1478" max="1478" width="11.42578125" style="1870" customWidth="1"/>
    <col min="1479" max="1479" width="12" style="1870" customWidth="1"/>
    <col min="1480" max="1481" width="12.7109375" style="1870" customWidth="1"/>
    <col min="1482" max="1482" width="10.7109375" style="1870" customWidth="1"/>
    <col min="1483" max="1483" width="11.5703125" style="1870" customWidth="1"/>
    <col min="1484" max="1484" width="12" style="1870" customWidth="1"/>
    <col min="1485" max="1485" width="12.7109375" style="1870" customWidth="1"/>
    <col min="1486" max="1486" width="14" style="1870" customWidth="1"/>
    <col min="1487" max="1487" width="10.7109375" style="1870" customWidth="1"/>
    <col min="1488" max="1488" width="11.5703125" style="1870" customWidth="1"/>
    <col min="1489" max="1489" width="14.7109375" style="1870" customWidth="1"/>
    <col min="1490" max="1491" width="14.5703125" style="1870" customWidth="1"/>
    <col min="1492" max="1492" width="11.7109375" style="1870" customWidth="1"/>
    <col min="1493" max="1493" width="12" style="1870" customWidth="1"/>
    <col min="1494" max="1494" width="14.28515625" style="1870" customWidth="1"/>
    <col min="1495" max="1495" width="13.7109375" style="1870" customWidth="1"/>
    <col min="1496" max="1496" width="13.28515625" style="1870" customWidth="1"/>
    <col min="1497" max="1497" width="13.7109375" style="1870" customWidth="1"/>
    <col min="1498" max="1498" width="13.5703125" style="1870" customWidth="1"/>
    <col min="1499" max="1499" width="13.28515625" style="1870" customWidth="1"/>
    <col min="1500" max="1500" width="13" style="1870" customWidth="1"/>
    <col min="1501" max="1501" width="12.7109375" style="1870" customWidth="1"/>
    <col min="1502" max="1504" width="12" style="1870" customWidth="1"/>
    <col min="1505" max="1505" width="13.28515625" style="1870" customWidth="1"/>
    <col min="1506" max="1506" width="13.42578125" style="1870" customWidth="1"/>
    <col min="1507" max="1507" width="13.28515625" style="1870" customWidth="1"/>
    <col min="1508" max="1508" width="11.7109375" style="1870" customWidth="1"/>
    <col min="1509" max="1510" width="13.5703125" style="1870" customWidth="1"/>
    <col min="1511" max="1511" width="11.7109375" style="1870" customWidth="1"/>
    <col min="1512" max="1512" width="12.7109375" style="1870" customWidth="1"/>
    <col min="1513" max="1513" width="16" style="1870" customWidth="1"/>
    <col min="1514" max="1514" width="14.42578125" style="1870" customWidth="1"/>
    <col min="1515" max="1515" width="13.28515625" style="1870" customWidth="1"/>
    <col min="1516" max="1516" width="12.7109375" style="1870" customWidth="1"/>
    <col min="1517" max="1517" width="13" style="1870" customWidth="1"/>
    <col min="1518" max="1518" width="13.28515625" style="1870" customWidth="1"/>
    <col min="1519" max="1519" width="13.5703125" style="1870" customWidth="1"/>
    <col min="1520" max="1520" width="12.7109375" style="1870" customWidth="1"/>
    <col min="1521" max="1521" width="11.7109375" style="1870" customWidth="1"/>
    <col min="1522" max="1522" width="11.5703125" style="1870" customWidth="1"/>
    <col min="1523" max="1523" width="13.7109375" style="1870" customWidth="1"/>
    <col min="1524" max="1524" width="14.7109375" style="1870" customWidth="1"/>
    <col min="1525" max="1525" width="12.5703125" style="1870" customWidth="1"/>
    <col min="1526" max="1526" width="11.7109375" style="1870" customWidth="1"/>
    <col min="1527" max="1527" width="12.28515625" style="1870" customWidth="1"/>
    <col min="1528" max="1528" width="12.7109375" style="1870" customWidth="1"/>
    <col min="1529" max="1529" width="13.28515625" style="1870" customWidth="1"/>
    <col min="1530" max="1530" width="13.7109375" style="1870" customWidth="1"/>
    <col min="1531" max="1531" width="13" style="1870" customWidth="1"/>
    <col min="1532" max="1532" width="12.28515625" style="1870" customWidth="1"/>
    <col min="1533" max="1534" width="13.28515625" style="1870" customWidth="1"/>
    <col min="1535" max="1535" width="13.7109375" style="1870" customWidth="1"/>
    <col min="1536" max="1536" width="12.42578125" style="1870" customWidth="1"/>
    <col min="1537" max="1537" width="12" style="1870" customWidth="1"/>
    <col min="1538" max="1538" width="16.5703125" style="1870" customWidth="1"/>
    <col min="1539" max="1539" width="29.28515625" style="1870" customWidth="1"/>
    <col min="1540" max="1540" width="18.7109375" style="1870" customWidth="1"/>
    <col min="1541" max="1699" width="9.28515625" style="1870"/>
    <col min="1700" max="1700" width="6.28515625" style="1870" customWidth="1"/>
    <col min="1701" max="1701" width="42.5703125" style="1870" customWidth="1"/>
    <col min="1702" max="1702" width="11" style="1870" customWidth="1"/>
    <col min="1703" max="1703" width="13.7109375" style="1870" customWidth="1"/>
    <col min="1704" max="1704" width="15.28515625" style="1870" customWidth="1"/>
    <col min="1705" max="1705" width="11.7109375" style="1870" customWidth="1"/>
    <col min="1706" max="1706" width="12" style="1870" customWidth="1"/>
    <col min="1707" max="1707" width="12.5703125" style="1870" customWidth="1"/>
    <col min="1708" max="1708" width="13.28515625" style="1870" customWidth="1"/>
    <col min="1709" max="1709" width="9.7109375" style="1870" customWidth="1"/>
    <col min="1710" max="1710" width="12.42578125" style="1870" customWidth="1"/>
    <col min="1711" max="1711" width="13" style="1870" customWidth="1"/>
    <col min="1712" max="1712" width="13.5703125" style="1870" customWidth="1"/>
    <col min="1713" max="1713" width="9.7109375" style="1870" customWidth="1"/>
    <col min="1714" max="1714" width="10.42578125" style="1870" customWidth="1"/>
    <col min="1715" max="1715" width="12" style="1870" customWidth="1"/>
    <col min="1716" max="1716" width="11.7109375" style="1870" customWidth="1"/>
    <col min="1717" max="1717" width="12.28515625" style="1870" customWidth="1"/>
    <col min="1718" max="1718" width="11.28515625" style="1870" customWidth="1"/>
    <col min="1719" max="1719" width="10.28515625" style="1870" customWidth="1"/>
    <col min="1720" max="1720" width="14.28515625" style="1870" customWidth="1"/>
    <col min="1721" max="1721" width="14" style="1870" customWidth="1"/>
    <col min="1722" max="1722" width="14.7109375" style="1870" customWidth="1"/>
    <col min="1723" max="1723" width="12.42578125" style="1870" customWidth="1"/>
    <col min="1724" max="1724" width="11.5703125" style="1870" customWidth="1"/>
    <col min="1725" max="1725" width="12" style="1870" customWidth="1"/>
    <col min="1726" max="1727" width="11.7109375" style="1870" customWidth="1"/>
    <col min="1728" max="1728" width="9.5703125" style="1870" customWidth="1"/>
    <col min="1729" max="1729" width="9.42578125" style="1870" customWidth="1"/>
    <col min="1730" max="1730" width="12.7109375" style="1870" customWidth="1"/>
    <col min="1731" max="1731" width="12" style="1870" customWidth="1"/>
    <col min="1732" max="1732" width="12.7109375" style="1870" customWidth="1"/>
    <col min="1733" max="1733" width="12.42578125" style="1870" customWidth="1"/>
    <col min="1734" max="1734" width="11.42578125" style="1870" customWidth="1"/>
    <col min="1735" max="1735" width="12" style="1870" customWidth="1"/>
    <col min="1736" max="1737" width="12.7109375" style="1870" customWidth="1"/>
    <col min="1738" max="1738" width="10.7109375" style="1870" customWidth="1"/>
    <col min="1739" max="1739" width="11.5703125" style="1870" customWidth="1"/>
    <col min="1740" max="1740" width="12" style="1870" customWidth="1"/>
    <col min="1741" max="1741" width="12.7109375" style="1870" customWidth="1"/>
    <col min="1742" max="1742" width="14" style="1870" customWidth="1"/>
    <col min="1743" max="1743" width="10.7109375" style="1870" customWidth="1"/>
    <col min="1744" max="1744" width="11.5703125" style="1870" customWidth="1"/>
    <col min="1745" max="1745" width="14.7109375" style="1870" customWidth="1"/>
    <col min="1746" max="1747" width="14.5703125" style="1870" customWidth="1"/>
    <col min="1748" max="1748" width="11.7109375" style="1870" customWidth="1"/>
    <col min="1749" max="1749" width="12" style="1870" customWidth="1"/>
    <col min="1750" max="1750" width="14.28515625" style="1870" customWidth="1"/>
    <col min="1751" max="1751" width="13.7109375" style="1870" customWidth="1"/>
    <col min="1752" max="1752" width="13.28515625" style="1870" customWidth="1"/>
    <col min="1753" max="1753" width="13.7109375" style="1870" customWidth="1"/>
    <col min="1754" max="1754" width="13.5703125" style="1870" customWidth="1"/>
    <col min="1755" max="1755" width="13.28515625" style="1870" customWidth="1"/>
    <col min="1756" max="1756" width="13" style="1870" customWidth="1"/>
    <col min="1757" max="1757" width="12.7109375" style="1870" customWidth="1"/>
    <col min="1758" max="1760" width="12" style="1870" customWidth="1"/>
    <col min="1761" max="1761" width="13.28515625" style="1870" customWidth="1"/>
    <col min="1762" max="1762" width="13.42578125" style="1870" customWidth="1"/>
    <col min="1763" max="1763" width="13.28515625" style="1870" customWidth="1"/>
    <col min="1764" max="1764" width="11.7109375" style="1870" customWidth="1"/>
    <col min="1765" max="1766" width="13.5703125" style="1870" customWidth="1"/>
    <col min="1767" max="1767" width="11.7109375" style="1870" customWidth="1"/>
    <col min="1768" max="1768" width="12.7109375" style="1870" customWidth="1"/>
    <col min="1769" max="1769" width="16" style="1870" customWidth="1"/>
    <col min="1770" max="1770" width="14.42578125" style="1870" customWidth="1"/>
    <col min="1771" max="1771" width="13.28515625" style="1870" customWidth="1"/>
    <col min="1772" max="1772" width="12.7109375" style="1870" customWidth="1"/>
    <col min="1773" max="1773" width="13" style="1870" customWidth="1"/>
    <col min="1774" max="1774" width="13.28515625" style="1870" customWidth="1"/>
    <col min="1775" max="1775" width="13.5703125" style="1870" customWidth="1"/>
    <col min="1776" max="1776" width="12.7109375" style="1870" customWidth="1"/>
    <col min="1777" max="1777" width="11.7109375" style="1870" customWidth="1"/>
    <col min="1778" max="1778" width="11.5703125" style="1870" customWidth="1"/>
    <col min="1779" max="1779" width="13.7109375" style="1870" customWidth="1"/>
    <col min="1780" max="1780" width="14.7109375" style="1870" customWidth="1"/>
    <col min="1781" max="1781" width="12.5703125" style="1870" customWidth="1"/>
    <col min="1782" max="1782" width="11.7109375" style="1870" customWidth="1"/>
    <col min="1783" max="1783" width="12.28515625" style="1870" customWidth="1"/>
    <col min="1784" max="1784" width="12.7109375" style="1870" customWidth="1"/>
    <col min="1785" max="1785" width="13.28515625" style="1870" customWidth="1"/>
    <col min="1786" max="1786" width="13.7109375" style="1870" customWidth="1"/>
    <col min="1787" max="1787" width="13" style="1870" customWidth="1"/>
    <col min="1788" max="1788" width="12.28515625" style="1870" customWidth="1"/>
    <col min="1789" max="1790" width="13.28515625" style="1870" customWidth="1"/>
    <col min="1791" max="1791" width="13.7109375" style="1870" customWidth="1"/>
    <col min="1792" max="1792" width="12.42578125" style="1870" customWidth="1"/>
    <col min="1793" max="1793" width="12" style="1870" customWidth="1"/>
    <col min="1794" max="1794" width="16.5703125" style="1870" customWidth="1"/>
    <col min="1795" max="1795" width="29.28515625" style="1870" customWidth="1"/>
    <col min="1796" max="1796" width="18.7109375" style="1870" customWidth="1"/>
    <col min="1797" max="1955" width="9.28515625" style="1870"/>
    <col min="1956" max="1956" width="6.28515625" style="1870" customWidth="1"/>
    <col min="1957" max="1957" width="42.5703125" style="1870" customWidth="1"/>
    <col min="1958" max="1958" width="11" style="1870" customWidth="1"/>
    <col min="1959" max="1959" width="13.7109375" style="1870" customWidth="1"/>
    <col min="1960" max="1960" width="15.28515625" style="1870" customWidth="1"/>
    <col min="1961" max="1961" width="11.7109375" style="1870" customWidth="1"/>
    <col min="1962" max="1962" width="12" style="1870" customWidth="1"/>
    <col min="1963" max="1963" width="12.5703125" style="1870" customWidth="1"/>
    <col min="1964" max="1964" width="13.28515625" style="1870" customWidth="1"/>
    <col min="1965" max="1965" width="9.7109375" style="1870" customWidth="1"/>
    <col min="1966" max="1966" width="12.42578125" style="1870" customWidth="1"/>
    <col min="1967" max="1967" width="13" style="1870" customWidth="1"/>
    <col min="1968" max="1968" width="13.5703125" style="1870" customWidth="1"/>
    <col min="1969" max="1969" width="9.7109375" style="1870" customWidth="1"/>
    <col min="1970" max="1970" width="10.42578125" style="1870" customWidth="1"/>
    <col min="1971" max="1971" width="12" style="1870" customWidth="1"/>
    <col min="1972" max="1972" width="11.7109375" style="1870" customWidth="1"/>
    <col min="1973" max="1973" width="12.28515625" style="1870" customWidth="1"/>
    <col min="1974" max="1974" width="11.28515625" style="1870" customWidth="1"/>
    <col min="1975" max="1975" width="10.28515625" style="1870" customWidth="1"/>
    <col min="1976" max="1976" width="14.28515625" style="1870" customWidth="1"/>
    <col min="1977" max="1977" width="14" style="1870" customWidth="1"/>
    <col min="1978" max="1978" width="14.7109375" style="1870" customWidth="1"/>
    <col min="1979" max="1979" width="12.42578125" style="1870" customWidth="1"/>
    <col min="1980" max="1980" width="11.5703125" style="1870" customWidth="1"/>
    <col min="1981" max="1981" width="12" style="1870" customWidth="1"/>
    <col min="1982" max="1983" width="11.7109375" style="1870" customWidth="1"/>
    <col min="1984" max="1984" width="9.5703125" style="1870" customWidth="1"/>
    <col min="1985" max="1985" width="9.42578125" style="1870" customWidth="1"/>
    <col min="1986" max="1986" width="12.7109375" style="1870" customWidth="1"/>
    <col min="1987" max="1987" width="12" style="1870" customWidth="1"/>
    <col min="1988" max="1988" width="12.7109375" style="1870" customWidth="1"/>
    <col min="1989" max="1989" width="12.42578125" style="1870" customWidth="1"/>
    <col min="1990" max="1990" width="11.42578125" style="1870" customWidth="1"/>
    <col min="1991" max="1991" width="12" style="1870" customWidth="1"/>
    <col min="1992" max="1993" width="12.7109375" style="1870" customWidth="1"/>
    <col min="1994" max="1994" width="10.7109375" style="1870" customWidth="1"/>
    <col min="1995" max="1995" width="11.5703125" style="1870" customWidth="1"/>
    <col min="1996" max="1996" width="12" style="1870" customWidth="1"/>
    <col min="1997" max="1997" width="12.7109375" style="1870" customWidth="1"/>
    <col min="1998" max="1998" width="14" style="1870" customWidth="1"/>
    <col min="1999" max="1999" width="10.7109375" style="1870" customWidth="1"/>
    <col min="2000" max="2000" width="11.5703125" style="1870" customWidth="1"/>
    <col min="2001" max="2001" width="14.7109375" style="1870" customWidth="1"/>
    <col min="2002" max="2003" width="14.5703125" style="1870" customWidth="1"/>
    <col min="2004" max="2004" width="11.7109375" style="1870" customWidth="1"/>
    <col min="2005" max="2005" width="12" style="1870" customWidth="1"/>
    <col min="2006" max="2006" width="14.28515625" style="1870" customWidth="1"/>
    <col min="2007" max="2007" width="13.7109375" style="1870" customWidth="1"/>
    <col min="2008" max="2008" width="13.28515625" style="1870" customWidth="1"/>
    <col min="2009" max="2009" width="13.7109375" style="1870" customWidth="1"/>
    <col min="2010" max="2010" width="13.5703125" style="1870" customWidth="1"/>
    <col min="2011" max="2011" width="13.28515625" style="1870" customWidth="1"/>
    <col min="2012" max="2012" width="13" style="1870" customWidth="1"/>
    <col min="2013" max="2013" width="12.7109375" style="1870" customWidth="1"/>
    <col min="2014" max="2016" width="12" style="1870" customWidth="1"/>
    <col min="2017" max="2017" width="13.28515625" style="1870" customWidth="1"/>
    <col min="2018" max="2018" width="13.42578125" style="1870" customWidth="1"/>
    <col min="2019" max="2019" width="13.28515625" style="1870" customWidth="1"/>
    <col min="2020" max="2020" width="11.7109375" style="1870" customWidth="1"/>
    <col min="2021" max="2022" width="13.5703125" style="1870" customWidth="1"/>
    <col min="2023" max="2023" width="11.7109375" style="1870" customWidth="1"/>
    <col min="2024" max="2024" width="12.7109375" style="1870" customWidth="1"/>
    <col min="2025" max="2025" width="16" style="1870" customWidth="1"/>
    <col min="2026" max="2026" width="14.42578125" style="1870" customWidth="1"/>
    <col min="2027" max="2027" width="13.28515625" style="1870" customWidth="1"/>
    <col min="2028" max="2028" width="12.7109375" style="1870" customWidth="1"/>
    <col min="2029" max="2029" width="13" style="1870" customWidth="1"/>
    <col min="2030" max="2030" width="13.28515625" style="1870" customWidth="1"/>
    <col min="2031" max="2031" width="13.5703125" style="1870" customWidth="1"/>
    <col min="2032" max="2032" width="12.7109375" style="1870" customWidth="1"/>
    <col min="2033" max="2033" width="11.7109375" style="1870" customWidth="1"/>
    <col min="2034" max="2034" width="11.5703125" style="1870" customWidth="1"/>
    <col min="2035" max="2035" width="13.7109375" style="1870" customWidth="1"/>
    <col min="2036" max="2036" width="14.7109375" style="1870" customWidth="1"/>
    <col min="2037" max="2037" width="12.5703125" style="1870" customWidth="1"/>
    <col min="2038" max="2038" width="11.7109375" style="1870" customWidth="1"/>
    <col min="2039" max="2039" width="12.28515625" style="1870" customWidth="1"/>
    <col min="2040" max="2040" width="12.7109375" style="1870" customWidth="1"/>
    <col min="2041" max="2041" width="13.28515625" style="1870" customWidth="1"/>
    <col min="2042" max="2042" width="13.7109375" style="1870" customWidth="1"/>
    <col min="2043" max="2043" width="13" style="1870" customWidth="1"/>
    <col min="2044" max="2044" width="12.28515625" style="1870" customWidth="1"/>
    <col min="2045" max="2046" width="13.28515625" style="1870" customWidth="1"/>
    <col min="2047" max="2047" width="13.7109375" style="1870" customWidth="1"/>
    <col min="2048" max="2048" width="12.42578125" style="1870" customWidth="1"/>
    <col min="2049" max="2049" width="12" style="1870" customWidth="1"/>
    <col min="2050" max="2050" width="16.5703125" style="1870" customWidth="1"/>
    <col min="2051" max="2051" width="29.28515625" style="1870" customWidth="1"/>
    <col min="2052" max="2052" width="18.7109375" style="1870" customWidth="1"/>
    <col min="2053" max="2211" width="9.28515625" style="1870"/>
    <col min="2212" max="2212" width="6.28515625" style="1870" customWidth="1"/>
    <col min="2213" max="2213" width="42.5703125" style="1870" customWidth="1"/>
    <col min="2214" max="2214" width="11" style="1870" customWidth="1"/>
    <col min="2215" max="2215" width="13.7109375" style="1870" customWidth="1"/>
    <col min="2216" max="2216" width="15.28515625" style="1870" customWidth="1"/>
    <col min="2217" max="2217" width="11.7109375" style="1870" customWidth="1"/>
    <col min="2218" max="2218" width="12" style="1870" customWidth="1"/>
    <col min="2219" max="2219" width="12.5703125" style="1870" customWidth="1"/>
    <col min="2220" max="2220" width="13.28515625" style="1870" customWidth="1"/>
    <col min="2221" max="2221" width="9.7109375" style="1870" customWidth="1"/>
    <col min="2222" max="2222" width="12.42578125" style="1870" customWidth="1"/>
    <col min="2223" max="2223" width="13" style="1870" customWidth="1"/>
    <col min="2224" max="2224" width="13.5703125" style="1870" customWidth="1"/>
    <col min="2225" max="2225" width="9.7109375" style="1870" customWidth="1"/>
    <col min="2226" max="2226" width="10.42578125" style="1870" customWidth="1"/>
    <col min="2227" max="2227" width="12" style="1870" customWidth="1"/>
    <col min="2228" max="2228" width="11.7109375" style="1870" customWidth="1"/>
    <col min="2229" max="2229" width="12.28515625" style="1870" customWidth="1"/>
    <col min="2230" max="2230" width="11.28515625" style="1870" customWidth="1"/>
    <col min="2231" max="2231" width="10.28515625" style="1870" customWidth="1"/>
    <col min="2232" max="2232" width="14.28515625" style="1870" customWidth="1"/>
    <col min="2233" max="2233" width="14" style="1870" customWidth="1"/>
    <col min="2234" max="2234" width="14.7109375" style="1870" customWidth="1"/>
    <col min="2235" max="2235" width="12.42578125" style="1870" customWidth="1"/>
    <col min="2236" max="2236" width="11.5703125" style="1870" customWidth="1"/>
    <col min="2237" max="2237" width="12" style="1870" customWidth="1"/>
    <col min="2238" max="2239" width="11.7109375" style="1870" customWidth="1"/>
    <col min="2240" max="2240" width="9.5703125" style="1870" customWidth="1"/>
    <col min="2241" max="2241" width="9.42578125" style="1870" customWidth="1"/>
    <col min="2242" max="2242" width="12.7109375" style="1870" customWidth="1"/>
    <col min="2243" max="2243" width="12" style="1870" customWidth="1"/>
    <col min="2244" max="2244" width="12.7109375" style="1870" customWidth="1"/>
    <col min="2245" max="2245" width="12.42578125" style="1870" customWidth="1"/>
    <col min="2246" max="2246" width="11.42578125" style="1870" customWidth="1"/>
    <col min="2247" max="2247" width="12" style="1870" customWidth="1"/>
    <col min="2248" max="2249" width="12.7109375" style="1870" customWidth="1"/>
    <col min="2250" max="2250" width="10.7109375" style="1870" customWidth="1"/>
    <col min="2251" max="2251" width="11.5703125" style="1870" customWidth="1"/>
    <col min="2252" max="2252" width="12" style="1870" customWidth="1"/>
    <col min="2253" max="2253" width="12.7109375" style="1870" customWidth="1"/>
    <col min="2254" max="2254" width="14" style="1870" customWidth="1"/>
    <col min="2255" max="2255" width="10.7109375" style="1870" customWidth="1"/>
    <col min="2256" max="2256" width="11.5703125" style="1870" customWidth="1"/>
    <col min="2257" max="2257" width="14.7109375" style="1870" customWidth="1"/>
    <col min="2258" max="2259" width="14.5703125" style="1870" customWidth="1"/>
    <col min="2260" max="2260" width="11.7109375" style="1870" customWidth="1"/>
    <col min="2261" max="2261" width="12" style="1870" customWidth="1"/>
    <col min="2262" max="2262" width="14.28515625" style="1870" customWidth="1"/>
    <col min="2263" max="2263" width="13.7109375" style="1870" customWidth="1"/>
    <col min="2264" max="2264" width="13.28515625" style="1870" customWidth="1"/>
    <col min="2265" max="2265" width="13.7109375" style="1870" customWidth="1"/>
    <col min="2266" max="2266" width="13.5703125" style="1870" customWidth="1"/>
    <col min="2267" max="2267" width="13.28515625" style="1870" customWidth="1"/>
    <col min="2268" max="2268" width="13" style="1870" customWidth="1"/>
    <col min="2269" max="2269" width="12.7109375" style="1870" customWidth="1"/>
    <col min="2270" max="2272" width="12" style="1870" customWidth="1"/>
    <col min="2273" max="2273" width="13.28515625" style="1870" customWidth="1"/>
    <col min="2274" max="2274" width="13.42578125" style="1870" customWidth="1"/>
    <col min="2275" max="2275" width="13.28515625" style="1870" customWidth="1"/>
    <col min="2276" max="2276" width="11.7109375" style="1870" customWidth="1"/>
    <col min="2277" max="2278" width="13.5703125" style="1870" customWidth="1"/>
    <col min="2279" max="2279" width="11.7109375" style="1870" customWidth="1"/>
    <col min="2280" max="2280" width="12.7109375" style="1870" customWidth="1"/>
    <col min="2281" max="2281" width="16" style="1870" customWidth="1"/>
    <col min="2282" max="2282" width="14.42578125" style="1870" customWidth="1"/>
    <col min="2283" max="2283" width="13.28515625" style="1870" customWidth="1"/>
    <col min="2284" max="2284" width="12.7109375" style="1870" customWidth="1"/>
    <col min="2285" max="2285" width="13" style="1870" customWidth="1"/>
    <col min="2286" max="2286" width="13.28515625" style="1870" customWidth="1"/>
    <col min="2287" max="2287" width="13.5703125" style="1870" customWidth="1"/>
    <col min="2288" max="2288" width="12.7109375" style="1870" customWidth="1"/>
    <col min="2289" max="2289" width="11.7109375" style="1870" customWidth="1"/>
    <col min="2290" max="2290" width="11.5703125" style="1870" customWidth="1"/>
    <col min="2291" max="2291" width="13.7109375" style="1870" customWidth="1"/>
    <col min="2292" max="2292" width="14.7109375" style="1870" customWidth="1"/>
    <col min="2293" max="2293" width="12.5703125" style="1870" customWidth="1"/>
    <col min="2294" max="2294" width="11.7109375" style="1870" customWidth="1"/>
    <col min="2295" max="2295" width="12.28515625" style="1870" customWidth="1"/>
    <col min="2296" max="2296" width="12.7109375" style="1870" customWidth="1"/>
    <col min="2297" max="2297" width="13.28515625" style="1870" customWidth="1"/>
    <col min="2298" max="2298" width="13.7109375" style="1870" customWidth="1"/>
    <col min="2299" max="2299" width="13" style="1870" customWidth="1"/>
    <col min="2300" max="2300" width="12.28515625" style="1870" customWidth="1"/>
    <col min="2301" max="2302" width="13.28515625" style="1870" customWidth="1"/>
    <col min="2303" max="2303" width="13.7109375" style="1870" customWidth="1"/>
    <col min="2304" max="2304" width="12.42578125" style="1870" customWidth="1"/>
    <col min="2305" max="2305" width="12" style="1870" customWidth="1"/>
    <col min="2306" max="2306" width="16.5703125" style="1870" customWidth="1"/>
    <col min="2307" max="2307" width="29.28515625" style="1870" customWidth="1"/>
    <col min="2308" max="2308" width="18.7109375" style="1870" customWidth="1"/>
    <col min="2309" max="2467" width="9.28515625" style="1870"/>
    <col min="2468" max="2468" width="6.28515625" style="1870" customWidth="1"/>
    <col min="2469" max="2469" width="42.5703125" style="1870" customWidth="1"/>
    <col min="2470" max="2470" width="11" style="1870" customWidth="1"/>
    <col min="2471" max="2471" width="13.7109375" style="1870" customWidth="1"/>
    <col min="2472" max="2472" width="15.28515625" style="1870" customWidth="1"/>
    <col min="2473" max="2473" width="11.7109375" style="1870" customWidth="1"/>
    <col min="2474" max="2474" width="12" style="1870" customWidth="1"/>
    <col min="2475" max="2475" width="12.5703125" style="1870" customWidth="1"/>
    <col min="2476" max="2476" width="13.28515625" style="1870" customWidth="1"/>
    <col min="2477" max="2477" width="9.7109375" style="1870" customWidth="1"/>
    <col min="2478" max="2478" width="12.42578125" style="1870" customWidth="1"/>
    <col min="2479" max="2479" width="13" style="1870" customWidth="1"/>
    <col min="2480" max="2480" width="13.5703125" style="1870" customWidth="1"/>
    <col min="2481" max="2481" width="9.7109375" style="1870" customWidth="1"/>
    <col min="2482" max="2482" width="10.42578125" style="1870" customWidth="1"/>
    <col min="2483" max="2483" width="12" style="1870" customWidth="1"/>
    <col min="2484" max="2484" width="11.7109375" style="1870" customWidth="1"/>
    <col min="2485" max="2485" width="12.28515625" style="1870" customWidth="1"/>
    <col min="2486" max="2486" width="11.28515625" style="1870" customWidth="1"/>
    <col min="2487" max="2487" width="10.28515625" style="1870" customWidth="1"/>
    <col min="2488" max="2488" width="14.28515625" style="1870" customWidth="1"/>
    <col min="2489" max="2489" width="14" style="1870" customWidth="1"/>
    <col min="2490" max="2490" width="14.7109375" style="1870" customWidth="1"/>
    <col min="2491" max="2491" width="12.42578125" style="1870" customWidth="1"/>
    <col min="2492" max="2492" width="11.5703125" style="1870" customWidth="1"/>
    <col min="2493" max="2493" width="12" style="1870" customWidth="1"/>
    <col min="2494" max="2495" width="11.7109375" style="1870" customWidth="1"/>
    <col min="2496" max="2496" width="9.5703125" style="1870" customWidth="1"/>
    <col min="2497" max="2497" width="9.42578125" style="1870" customWidth="1"/>
    <col min="2498" max="2498" width="12.7109375" style="1870" customWidth="1"/>
    <col min="2499" max="2499" width="12" style="1870" customWidth="1"/>
    <col min="2500" max="2500" width="12.7109375" style="1870" customWidth="1"/>
    <col min="2501" max="2501" width="12.42578125" style="1870" customWidth="1"/>
    <col min="2502" max="2502" width="11.42578125" style="1870" customWidth="1"/>
    <col min="2503" max="2503" width="12" style="1870" customWidth="1"/>
    <col min="2504" max="2505" width="12.7109375" style="1870" customWidth="1"/>
    <col min="2506" max="2506" width="10.7109375" style="1870" customWidth="1"/>
    <col min="2507" max="2507" width="11.5703125" style="1870" customWidth="1"/>
    <col min="2508" max="2508" width="12" style="1870" customWidth="1"/>
    <col min="2509" max="2509" width="12.7109375" style="1870" customWidth="1"/>
    <col min="2510" max="2510" width="14" style="1870" customWidth="1"/>
    <col min="2511" max="2511" width="10.7109375" style="1870" customWidth="1"/>
    <col min="2512" max="2512" width="11.5703125" style="1870" customWidth="1"/>
    <col min="2513" max="2513" width="14.7109375" style="1870" customWidth="1"/>
    <col min="2514" max="2515" width="14.5703125" style="1870" customWidth="1"/>
    <col min="2516" max="2516" width="11.7109375" style="1870" customWidth="1"/>
    <col min="2517" max="2517" width="12" style="1870" customWidth="1"/>
    <col min="2518" max="2518" width="14.28515625" style="1870" customWidth="1"/>
    <col min="2519" max="2519" width="13.7109375" style="1870" customWidth="1"/>
    <col min="2520" max="2520" width="13.28515625" style="1870" customWidth="1"/>
    <col min="2521" max="2521" width="13.7109375" style="1870" customWidth="1"/>
    <col min="2522" max="2522" width="13.5703125" style="1870" customWidth="1"/>
    <col min="2523" max="2523" width="13.28515625" style="1870" customWidth="1"/>
    <col min="2524" max="2524" width="13" style="1870" customWidth="1"/>
    <col min="2525" max="2525" width="12.7109375" style="1870" customWidth="1"/>
    <col min="2526" max="2528" width="12" style="1870" customWidth="1"/>
    <col min="2529" max="2529" width="13.28515625" style="1870" customWidth="1"/>
    <col min="2530" max="2530" width="13.42578125" style="1870" customWidth="1"/>
    <col min="2531" max="2531" width="13.28515625" style="1870" customWidth="1"/>
    <col min="2532" max="2532" width="11.7109375" style="1870" customWidth="1"/>
    <col min="2533" max="2534" width="13.5703125" style="1870" customWidth="1"/>
    <col min="2535" max="2535" width="11.7109375" style="1870" customWidth="1"/>
    <col min="2536" max="2536" width="12.7109375" style="1870" customWidth="1"/>
    <col min="2537" max="2537" width="16" style="1870" customWidth="1"/>
    <col min="2538" max="2538" width="14.42578125" style="1870" customWidth="1"/>
    <col min="2539" max="2539" width="13.28515625" style="1870" customWidth="1"/>
    <col min="2540" max="2540" width="12.7109375" style="1870" customWidth="1"/>
    <col min="2541" max="2541" width="13" style="1870" customWidth="1"/>
    <col min="2542" max="2542" width="13.28515625" style="1870" customWidth="1"/>
    <col min="2543" max="2543" width="13.5703125" style="1870" customWidth="1"/>
    <col min="2544" max="2544" width="12.7109375" style="1870" customWidth="1"/>
    <col min="2545" max="2545" width="11.7109375" style="1870" customWidth="1"/>
    <col min="2546" max="2546" width="11.5703125" style="1870" customWidth="1"/>
    <col min="2547" max="2547" width="13.7109375" style="1870" customWidth="1"/>
    <col min="2548" max="2548" width="14.7109375" style="1870" customWidth="1"/>
    <col min="2549" max="2549" width="12.5703125" style="1870" customWidth="1"/>
    <col min="2550" max="2550" width="11.7109375" style="1870" customWidth="1"/>
    <col min="2551" max="2551" width="12.28515625" style="1870" customWidth="1"/>
    <col min="2552" max="2552" width="12.7109375" style="1870" customWidth="1"/>
    <col min="2553" max="2553" width="13.28515625" style="1870" customWidth="1"/>
    <col min="2554" max="2554" width="13.7109375" style="1870" customWidth="1"/>
    <col min="2555" max="2555" width="13" style="1870" customWidth="1"/>
    <col min="2556" max="2556" width="12.28515625" style="1870" customWidth="1"/>
    <col min="2557" max="2558" width="13.28515625" style="1870" customWidth="1"/>
    <col min="2559" max="2559" width="13.7109375" style="1870" customWidth="1"/>
    <col min="2560" max="2560" width="12.42578125" style="1870" customWidth="1"/>
    <col min="2561" max="2561" width="12" style="1870" customWidth="1"/>
    <col min="2562" max="2562" width="16.5703125" style="1870" customWidth="1"/>
    <col min="2563" max="2563" width="29.28515625" style="1870" customWidth="1"/>
    <col min="2564" max="2564" width="18.7109375" style="1870" customWidth="1"/>
    <col min="2565" max="2723" width="9.28515625" style="1870"/>
    <col min="2724" max="2724" width="6.28515625" style="1870" customWidth="1"/>
    <col min="2725" max="2725" width="42.5703125" style="1870" customWidth="1"/>
    <col min="2726" max="2726" width="11" style="1870" customWidth="1"/>
    <col min="2727" max="2727" width="13.7109375" style="1870" customWidth="1"/>
    <col min="2728" max="2728" width="15.28515625" style="1870" customWidth="1"/>
    <col min="2729" max="2729" width="11.7109375" style="1870" customWidth="1"/>
    <col min="2730" max="2730" width="12" style="1870" customWidth="1"/>
    <col min="2731" max="2731" width="12.5703125" style="1870" customWidth="1"/>
    <col min="2732" max="2732" width="13.28515625" style="1870" customWidth="1"/>
    <col min="2733" max="2733" width="9.7109375" style="1870" customWidth="1"/>
    <col min="2734" max="2734" width="12.42578125" style="1870" customWidth="1"/>
    <col min="2735" max="2735" width="13" style="1870" customWidth="1"/>
    <col min="2736" max="2736" width="13.5703125" style="1870" customWidth="1"/>
    <col min="2737" max="2737" width="9.7109375" style="1870" customWidth="1"/>
    <col min="2738" max="2738" width="10.42578125" style="1870" customWidth="1"/>
    <col min="2739" max="2739" width="12" style="1870" customWidth="1"/>
    <col min="2740" max="2740" width="11.7109375" style="1870" customWidth="1"/>
    <col min="2741" max="2741" width="12.28515625" style="1870" customWidth="1"/>
    <col min="2742" max="2742" width="11.28515625" style="1870" customWidth="1"/>
    <col min="2743" max="2743" width="10.28515625" style="1870" customWidth="1"/>
    <col min="2744" max="2744" width="14.28515625" style="1870" customWidth="1"/>
    <col min="2745" max="2745" width="14" style="1870" customWidth="1"/>
    <col min="2746" max="2746" width="14.7109375" style="1870" customWidth="1"/>
    <col min="2747" max="2747" width="12.42578125" style="1870" customWidth="1"/>
    <col min="2748" max="2748" width="11.5703125" style="1870" customWidth="1"/>
    <col min="2749" max="2749" width="12" style="1870" customWidth="1"/>
    <col min="2750" max="2751" width="11.7109375" style="1870" customWidth="1"/>
    <col min="2752" max="2752" width="9.5703125" style="1870" customWidth="1"/>
    <col min="2753" max="2753" width="9.42578125" style="1870" customWidth="1"/>
    <col min="2754" max="2754" width="12.7109375" style="1870" customWidth="1"/>
    <col min="2755" max="2755" width="12" style="1870" customWidth="1"/>
    <col min="2756" max="2756" width="12.7109375" style="1870" customWidth="1"/>
    <col min="2757" max="2757" width="12.42578125" style="1870" customWidth="1"/>
    <col min="2758" max="2758" width="11.42578125" style="1870" customWidth="1"/>
    <col min="2759" max="2759" width="12" style="1870" customWidth="1"/>
    <col min="2760" max="2761" width="12.7109375" style="1870" customWidth="1"/>
    <col min="2762" max="2762" width="10.7109375" style="1870" customWidth="1"/>
    <col min="2763" max="2763" width="11.5703125" style="1870" customWidth="1"/>
    <col min="2764" max="2764" width="12" style="1870" customWidth="1"/>
    <col min="2765" max="2765" width="12.7109375" style="1870" customWidth="1"/>
    <col min="2766" max="2766" width="14" style="1870" customWidth="1"/>
    <col min="2767" max="2767" width="10.7109375" style="1870" customWidth="1"/>
    <col min="2768" max="2768" width="11.5703125" style="1870" customWidth="1"/>
    <col min="2769" max="2769" width="14.7109375" style="1870" customWidth="1"/>
    <col min="2770" max="2771" width="14.5703125" style="1870" customWidth="1"/>
    <col min="2772" max="2772" width="11.7109375" style="1870" customWidth="1"/>
    <col min="2773" max="2773" width="12" style="1870" customWidth="1"/>
    <col min="2774" max="2774" width="14.28515625" style="1870" customWidth="1"/>
    <col min="2775" max="2775" width="13.7109375" style="1870" customWidth="1"/>
    <col min="2776" max="2776" width="13.28515625" style="1870" customWidth="1"/>
    <col min="2777" max="2777" width="13.7109375" style="1870" customWidth="1"/>
    <col min="2778" max="2778" width="13.5703125" style="1870" customWidth="1"/>
    <col min="2779" max="2779" width="13.28515625" style="1870" customWidth="1"/>
    <col min="2780" max="2780" width="13" style="1870" customWidth="1"/>
    <col min="2781" max="2781" width="12.7109375" style="1870" customWidth="1"/>
    <col min="2782" max="2784" width="12" style="1870" customWidth="1"/>
    <col min="2785" max="2785" width="13.28515625" style="1870" customWidth="1"/>
    <col min="2786" max="2786" width="13.42578125" style="1870" customWidth="1"/>
    <col min="2787" max="2787" width="13.28515625" style="1870" customWidth="1"/>
    <col min="2788" max="2788" width="11.7109375" style="1870" customWidth="1"/>
    <col min="2789" max="2790" width="13.5703125" style="1870" customWidth="1"/>
    <col min="2791" max="2791" width="11.7109375" style="1870" customWidth="1"/>
    <col min="2792" max="2792" width="12.7109375" style="1870" customWidth="1"/>
    <col min="2793" max="2793" width="16" style="1870" customWidth="1"/>
    <col min="2794" max="2794" width="14.42578125" style="1870" customWidth="1"/>
    <col min="2795" max="2795" width="13.28515625" style="1870" customWidth="1"/>
    <col min="2796" max="2796" width="12.7109375" style="1870" customWidth="1"/>
    <col min="2797" max="2797" width="13" style="1870" customWidth="1"/>
    <col min="2798" max="2798" width="13.28515625" style="1870" customWidth="1"/>
    <col min="2799" max="2799" width="13.5703125" style="1870" customWidth="1"/>
    <col min="2800" max="2800" width="12.7109375" style="1870" customWidth="1"/>
    <col min="2801" max="2801" width="11.7109375" style="1870" customWidth="1"/>
    <col min="2802" max="2802" width="11.5703125" style="1870" customWidth="1"/>
    <col min="2803" max="2803" width="13.7109375" style="1870" customWidth="1"/>
    <col min="2804" max="2804" width="14.7109375" style="1870" customWidth="1"/>
    <col min="2805" max="2805" width="12.5703125" style="1870" customWidth="1"/>
    <col min="2806" max="2806" width="11.7109375" style="1870" customWidth="1"/>
    <col min="2807" max="2807" width="12.28515625" style="1870" customWidth="1"/>
    <col min="2808" max="2808" width="12.7109375" style="1870" customWidth="1"/>
    <col min="2809" max="2809" width="13.28515625" style="1870" customWidth="1"/>
    <col min="2810" max="2810" width="13.7109375" style="1870" customWidth="1"/>
    <col min="2811" max="2811" width="13" style="1870" customWidth="1"/>
    <col min="2812" max="2812" width="12.28515625" style="1870" customWidth="1"/>
    <col min="2813" max="2814" width="13.28515625" style="1870" customWidth="1"/>
    <col min="2815" max="2815" width="13.7109375" style="1870" customWidth="1"/>
    <col min="2816" max="2816" width="12.42578125" style="1870" customWidth="1"/>
    <col min="2817" max="2817" width="12" style="1870" customWidth="1"/>
    <col min="2818" max="2818" width="16.5703125" style="1870" customWidth="1"/>
    <col min="2819" max="2819" width="29.28515625" style="1870" customWidth="1"/>
    <col min="2820" max="2820" width="18.7109375" style="1870" customWidth="1"/>
    <col min="2821" max="2979" width="9.28515625" style="1870"/>
    <col min="2980" max="2980" width="6.28515625" style="1870" customWidth="1"/>
    <col min="2981" max="2981" width="42.5703125" style="1870" customWidth="1"/>
    <col min="2982" max="2982" width="11" style="1870" customWidth="1"/>
    <col min="2983" max="2983" width="13.7109375" style="1870" customWidth="1"/>
    <col min="2984" max="2984" width="15.28515625" style="1870" customWidth="1"/>
    <col min="2985" max="2985" width="11.7109375" style="1870" customWidth="1"/>
    <col min="2986" max="2986" width="12" style="1870" customWidth="1"/>
    <col min="2987" max="2987" width="12.5703125" style="1870" customWidth="1"/>
    <col min="2988" max="2988" width="13.28515625" style="1870" customWidth="1"/>
    <col min="2989" max="2989" width="9.7109375" style="1870" customWidth="1"/>
    <col min="2990" max="2990" width="12.42578125" style="1870" customWidth="1"/>
    <col min="2991" max="2991" width="13" style="1870" customWidth="1"/>
    <col min="2992" max="2992" width="13.5703125" style="1870" customWidth="1"/>
    <col min="2993" max="2993" width="9.7109375" style="1870" customWidth="1"/>
    <col min="2994" max="2994" width="10.42578125" style="1870" customWidth="1"/>
    <col min="2995" max="2995" width="12" style="1870" customWidth="1"/>
    <col min="2996" max="2996" width="11.7109375" style="1870" customWidth="1"/>
    <col min="2997" max="2997" width="12.28515625" style="1870" customWidth="1"/>
    <col min="2998" max="2998" width="11.28515625" style="1870" customWidth="1"/>
    <col min="2999" max="2999" width="10.28515625" style="1870" customWidth="1"/>
    <col min="3000" max="3000" width="14.28515625" style="1870" customWidth="1"/>
    <col min="3001" max="3001" width="14" style="1870" customWidth="1"/>
    <col min="3002" max="3002" width="14.7109375" style="1870" customWidth="1"/>
    <col min="3003" max="3003" width="12.42578125" style="1870" customWidth="1"/>
    <col min="3004" max="3004" width="11.5703125" style="1870" customWidth="1"/>
    <col min="3005" max="3005" width="12" style="1870" customWidth="1"/>
    <col min="3006" max="3007" width="11.7109375" style="1870" customWidth="1"/>
    <col min="3008" max="3008" width="9.5703125" style="1870" customWidth="1"/>
    <col min="3009" max="3009" width="9.42578125" style="1870" customWidth="1"/>
    <col min="3010" max="3010" width="12.7109375" style="1870" customWidth="1"/>
    <col min="3011" max="3011" width="12" style="1870" customWidth="1"/>
    <col min="3012" max="3012" width="12.7109375" style="1870" customWidth="1"/>
    <col min="3013" max="3013" width="12.42578125" style="1870" customWidth="1"/>
    <col min="3014" max="3014" width="11.42578125" style="1870" customWidth="1"/>
    <col min="3015" max="3015" width="12" style="1870" customWidth="1"/>
    <col min="3016" max="3017" width="12.7109375" style="1870" customWidth="1"/>
    <col min="3018" max="3018" width="10.7109375" style="1870" customWidth="1"/>
    <col min="3019" max="3019" width="11.5703125" style="1870" customWidth="1"/>
    <col min="3020" max="3020" width="12" style="1870" customWidth="1"/>
    <col min="3021" max="3021" width="12.7109375" style="1870" customWidth="1"/>
    <col min="3022" max="3022" width="14" style="1870" customWidth="1"/>
    <col min="3023" max="3023" width="10.7109375" style="1870" customWidth="1"/>
    <col min="3024" max="3024" width="11.5703125" style="1870" customWidth="1"/>
    <col min="3025" max="3025" width="14.7109375" style="1870" customWidth="1"/>
    <col min="3026" max="3027" width="14.5703125" style="1870" customWidth="1"/>
    <col min="3028" max="3028" width="11.7109375" style="1870" customWidth="1"/>
    <col min="3029" max="3029" width="12" style="1870" customWidth="1"/>
    <col min="3030" max="3030" width="14.28515625" style="1870" customWidth="1"/>
    <col min="3031" max="3031" width="13.7109375" style="1870" customWidth="1"/>
    <col min="3032" max="3032" width="13.28515625" style="1870" customWidth="1"/>
    <col min="3033" max="3033" width="13.7109375" style="1870" customWidth="1"/>
    <col min="3034" max="3034" width="13.5703125" style="1870" customWidth="1"/>
    <col min="3035" max="3035" width="13.28515625" style="1870" customWidth="1"/>
    <col min="3036" max="3036" width="13" style="1870" customWidth="1"/>
    <col min="3037" max="3037" width="12.7109375" style="1870" customWidth="1"/>
    <col min="3038" max="3040" width="12" style="1870" customWidth="1"/>
    <col min="3041" max="3041" width="13.28515625" style="1870" customWidth="1"/>
    <col min="3042" max="3042" width="13.42578125" style="1870" customWidth="1"/>
    <col min="3043" max="3043" width="13.28515625" style="1870" customWidth="1"/>
    <col min="3044" max="3044" width="11.7109375" style="1870" customWidth="1"/>
    <col min="3045" max="3046" width="13.5703125" style="1870" customWidth="1"/>
    <col min="3047" max="3047" width="11.7109375" style="1870" customWidth="1"/>
    <col min="3048" max="3048" width="12.7109375" style="1870" customWidth="1"/>
    <col min="3049" max="3049" width="16" style="1870" customWidth="1"/>
    <col min="3050" max="3050" width="14.42578125" style="1870" customWidth="1"/>
    <col min="3051" max="3051" width="13.28515625" style="1870" customWidth="1"/>
    <col min="3052" max="3052" width="12.7109375" style="1870" customWidth="1"/>
    <col min="3053" max="3053" width="13" style="1870" customWidth="1"/>
    <col min="3054" max="3054" width="13.28515625" style="1870" customWidth="1"/>
    <col min="3055" max="3055" width="13.5703125" style="1870" customWidth="1"/>
    <col min="3056" max="3056" width="12.7109375" style="1870" customWidth="1"/>
    <col min="3057" max="3057" width="11.7109375" style="1870" customWidth="1"/>
    <col min="3058" max="3058" width="11.5703125" style="1870" customWidth="1"/>
    <col min="3059" max="3059" width="13.7109375" style="1870" customWidth="1"/>
    <col min="3060" max="3060" width="14.7109375" style="1870" customWidth="1"/>
    <col min="3061" max="3061" width="12.5703125" style="1870" customWidth="1"/>
    <col min="3062" max="3062" width="11.7109375" style="1870" customWidth="1"/>
    <col min="3063" max="3063" width="12.28515625" style="1870" customWidth="1"/>
    <col min="3064" max="3064" width="12.7109375" style="1870" customWidth="1"/>
    <col min="3065" max="3065" width="13.28515625" style="1870" customWidth="1"/>
    <col min="3066" max="3066" width="13.7109375" style="1870" customWidth="1"/>
    <col min="3067" max="3067" width="13" style="1870" customWidth="1"/>
    <col min="3068" max="3068" width="12.28515625" style="1870" customWidth="1"/>
    <col min="3069" max="3070" width="13.28515625" style="1870" customWidth="1"/>
    <col min="3071" max="3071" width="13.7109375" style="1870" customWidth="1"/>
    <col min="3072" max="3072" width="12.42578125" style="1870" customWidth="1"/>
    <col min="3073" max="3073" width="12" style="1870" customWidth="1"/>
    <col min="3074" max="3074" width="16.5703125" style="1870" customWidth="1"/>
    <col min="3075" max="3075" width="29.28515625" style="1870" customWidth="1"/>
    <col min="3076" max="3076" width="18.7109375" style="1870" customWidth="1"/>
    <col min="3077" max="3235" width="9.28515625" style="1870"/>
    <col min="3236" max="3236" width="6.28515625" style="1870" customWidth="1"/>
    <col min="3237" max="3237" width="42.5703125" style="1870" customWidth="1"/>
    <col min="3238" max="3238" width="11" style="1870" customWidth="1"/>
    <col min="3239" max="3239" width="13.7109375" style="1870" customWidth="1"/>
    <col min="3240" max="3240" width="15.28515625" style="1870" customWidth="1"/>
    <col min="3241" max="3241" width="11.7109375" style="1870" customWidth="1"/>
    <col min="3242" max="3242" width="12" style="1870" customWidth="1"/>
    <col min="3243" max="3243" width="12.5703125" style="1870" customWidth="1"/>
    <col min="3244" max="3244" width="13.28515625" style="1870" customWidth="1"/>
    <col min="3245" max="3245" width="9.7109375" style="1870" customWidth="1"/>
    <col min="3246" max="3246" width="12.42578125" style="1870" customWidth="1"/>
    <col min="3247" max="3247" width="13" style="1870" customWidth="1"/>
    <col min="3248" max="3248" width="13.5703125" style="1870" customWidth="1"/>
    <col min="3249" max="3249" width="9.7109375" style="1870" customWidth="1"/>
    <col min="3250" max="3250" width="10.42578125" style="1870" customWidth="1"/>
    <col min="3251" max="3251" width="12" style="1870" customWidth="1"/>
    <col min="3252" max="3252" width="11.7109375" style="1870" customWidth="1"/>
    <col min="3253" max="3253" width="12.28515625" style="1870" customWidth="1"/>
    <col min="3254" max="3254" width="11.28515625" style="1870" customWidth="1"/>
    <col min="3255" max="3255" width="10.28515625" style="1870" customWidth="1"/>
    <col min="3256" max="3256" width="14.28515625" style="1870" customWidth="1"/>
    <col min="3257" max="3257" width="14" style="1870" customWidth="1"/>
    <col min="3258" max="3258" width="14.7109375" style="1870" customWidth="1"/>
    <col min="3259" max="3259" width="12.42578125" style="1870" customWidth="1"/>
    <col min="3260" max="3260" width="11.5703125" style="1870" customWidth="1"/>
    <col min="3261" max="3261" width="12" style="1870" customWidth="1"/>
    <col min="3262" max="3263" width="11.7109375" style="1870" customWidth="1"/>
    <col min="3264" max="3264" width="9.5703125" style="1870" customWidth="1"/>
    <col min="3265" max="3265" width="9.42578125" style="1870" customWidth="1"/>
    <col min="3266" max="3266" width="12.7109375" style="1870" customWidth="1"/>
    <col min="3267" max="3267" width="12" style="1870" customWidth="1"/>
    <col min="3268" max="3268" width="12.7109375" style="1870" customWidth="1"/>
    <col min="3269" max="3269" width="12.42578125" style="1870" customWidth="1"/>
    <col min="3270" max="3270" width="11.42578125" style="1870" customWidth="1"/>
    <col min="3271" max="3271" width="12" style="1870" customWidth="1"/>
    <col min="3272" max="3273" width="12.7109375" style="1870" customWidth="1"/>
    <col min="3274" max="3274" width="10.7109375" style="1870" customWidth="1"/>
    <col min="3275" max="3275" width="11.5703125" style="1870" customWidth="1"/>
    <col min="3276" max="3276" width="12" style="1870" customWidth="1"/>
    <col min="3277" max="3277" width="12.7109375" style="1870" customWidth="1"/>
    <col min="3278" max="3278" width="14" style="1870" customWidth="1"/>
    <col min="3279" max="3279" width="10.7109375" style="1870" customWidth="1"/>
    <col min="3280" max="3280" width="11.5703125" style="1870" customWidth="1"/>
    <col min="3281" max="3281" width="14.7109375" style="1870" customWidth="1"/>
    <col min="3282" max="3283" width="14.5703125" style="1870" customWidth="1"/>
    <col min="3284" max="3284" width="11.7109375" style="1870" customWidth="1"/>
    <col min="3285" max="3285" width="12" style="1870" customWidth="1"/>
    <col min="3286" max="3286" width="14.28515625" style="1870" customWidth="1"/>
    <col min="3287" max="3287" width="13.7109375" style="1870" customWidth="1"/>
    <col min="3288" max="3288" width="13.28515625" style="1870" customWidth="1"/>
    <col min="3289" max="3289" width="13.7109375" style="1870" customWidth="1"/>
    <col min="3290" max="3290" width="13.5703125" style="1870" customWidth="1"/>
    <col min="3291" max="3291" width="13.28515625" style="1870" customWidth="1"/>
    <col min="3292" max="3292" width="13" style="1870" customWidth="1"/>
    <col min="3293" max="3293" width="12.7109375" style="1870" customWidth="1"/>
    <col min="3294" max="3296" width="12" style="1870" customWidth="1"/>
    <col min="3297" max="3297" width="13.28515625" style="1870" customWidth="1"/>
    <col min="3298" max="3298" width="13.42578125" style="1870" customWidth="1"/>
    <col min="3299" max="3299" width="13.28515625" style="1870" customWidth="1"/>
    <col min="3300" max="3300" width="11.7109375" style="1870" customWidth="1"/>
    <col min="3301" max="3302" width="13.5703125" style="1870" customWidth="1"/>
    <col min="3303" max="3303" width="11.7109375" style="1870" customWidth="1"/>
    <col min="3304" max="3304" width="12.7109375" style="1870" customWidth="1"/>
    <col min="3305" max="3305" width="16" style="1870" customWidth="1"/>
    <col min="3306" max="3306" width="14.42578125" style="1870" customWidth="1"/>
    <col min="3307" max="3307" width="13.28515625" style="1870" customWidth="1"/>
    <col min="3308" max="3308" width="12.7109375" style="1870" customWidth="1"/>
    <col min="3309" max="3309" width="13" style="1870" customWidth="1"/>
    <col min="3310" max="3310" width="13.28515625" style="1870" customWidth="1"/>
    <col min="3311" max="3311" width="13.5703125" style="1870" customWidth="1"/>
    <col min="3312" max="3312" width="12.7109375" style="1870" customWidth="1"/>
    <col min="3313" max="3313" width="11.7109375" style="1870" customWidth="1"/>
    <col min="3314" max="3314" width="11.5703125" style="1870" customWidth="1"/>
    <col min="3315" max="3315" width="13.7109375" style="1870" customWidth="1"/>
    <col min="3316" max="3316" width="14.7109375" style="1870" customWidth="1"/>
    <col min="3317" max="3317" width="12.5703125" style="1870" customWidth="1"/>
    <col min="3318" max="3318" width="11.7109375" style="1870" customWidth="1"/>
    <col min="3319" max="3319" width="12.28515625" style="1870" customWidth="1"/>
    <col min="3320" max="3320" width="12.7109375" style="1870" customWidth="1"/>
    <col min="3321" max="3321" width="13.28515625" style="1870" customWidth="1"/>
    <col min="3322" max="3322" width="13.7109375" style="1870" customWidth="1"/>
    <col min="3323" max="3323" width="13" style="1870" customWidth="1"/>
    <col min="3324" max="3324" width="12.28515625" style="1870" customWidth="1"/>
    <col min="3325" max="3326" width="13.28515625" style="1870" customWidth="1"/>
    <col min="3327" max="3327" width="13.7109375" style="1870" customWidth="1"/>
    <col min="3328" max="3328" width="12.42578125" style="1870" customWidth="1"/>
    <col min="3329" max="3329" width="12" style="1870" customWidth="1"/>
    <col min="3330" max="3330" width="16.5703125" style="1870" customWidth="1"/>
    <col min="3331" max="3331" width="29.28515625" style="1870" customWidth="1"/>
    <col min="3332" max="3332" width="18.7109375" style="1870" customWidth="1"/>
    <col min="3333" max="3491" width="9.28515625" style="1870"/>
    <col min="3492" max="3492" width="6.28515625" style="1870" customWidth="1"/>
    <col min="3493" max="3493" width="42.5703125" style="1870" customWidth="1"/>
    <col min="3494" max="3494" width="11" style="1870" customWidth="1"/>
    <col min="3495" max="3495" width="13.7109375" style="1870" customWidth="1"/>
    <col min="3496" max="3496" width="15.28515625" style="1870" customWidth="1"/>
    <col min="3497" max="3497" width="11.7109375" style="1870" customWidth="1"/>
    <col min="3498" max="3498" width="12" style="1870" customWidth="1"/>
    <col min="3499" max="3499" width="12.5703125" style="1870" customWidth="1"/>
    <col min="3500" max="3500" width="13.28515625" style="1870" customWidth="1"/>
    <col min="3501" max="3501" width="9.7109375" style="1870" customWidth="1"/>
    <col min="3502" max="3502" width="12.42578125" style="1870" customWidth="1"/>
    <col min="3503" max="3503" width="13" style="1870" customWidth="1"/>
    <col min="3504" max="3504" width="13.5703125" style="1870" customWidth="1"/>
    <col min="3505" max="3505" width="9.7109375" style="1870" customWidth="1"/>
    <col min="3506" max="3506" width="10.42578125" style="1870" customWidth="1"/>
    <col min="3507" max="3507" width="12" style="1870" customWidth="1"/>
    <col min="3508" max="3508" width="11.7109375" style="1870" customWidth="1"/>
    <col min="3509" max="3509" width="12.28515625" style="1870" customWidth="1"/>
    <col min="3510" max="3510" width="11.28515625" style="1870" customWidth="1"/>
    <col min="3511" max="3511" width="10.28515625" style="1870" customWidth="1"/>
    <col min="3512" max="3512" width="14.28515625" style="1870" customWidth="1"/>
    <col min="3513" max="3513" width="14" style="1870" customWidth="1"/>
    <col min="3514" max="3514" width="14.7109375" style="1870" customWidth="1"/>
    <col min="3515" max="3515" width="12.42578125" style="1870" customWidth="1"/>
    <col min="3516" max="3516" width="11.5703125" style="1870" customWidth="1"/>
    <col min="3517" max="3517" width="12" style="1870" customWidth="1"/>
    <col min="3518" max="3519" width="11.7109375" style="1870" customWidth="1"/>
    <col min="3520" max="3520" width="9.5703125" style="1870" customWidth="1"/>
    <col min="3521" max="3521" width="9.42578125" style="1870" customWidth="1"/>
    <col min="3522" max="3522" width="12.7109375" style="1870" customWidth="1"/>
    <col min="3523" max="3523" width="12" style="1870" customWidth="1"/>
    <col min="3524" max="3524" width="12.7109375" style="1870" customWidth="1"/>
    <col min="3525" max="3525" width="12.42578125" style="1870" customWidth="1"/>
    <col min="3526" max="3526" width="11.42578125" style="1870" customWidth="1"/>
    <col min="3527" max="3527" width="12" style="1870" customWidth="1"/>
    <col min="3528" max="3529" width="12.7109375" style="1870" customWidth="1"/>
    <col min="3530" max="3530" width="10.7109375" style="1870" customWidth="1"/>
    <col min="3531" max="3531" width="11.5703125" style="1870" customWidth="1"/>
    <col min="3532" max="3532" width="12" style="1870" customWidth="1"/>
    <col min="3533" max="3533" width="12.7109375" style="1870" customWidth="1"/>
    <col min="3534" max="3534" width="14" style="1870" customWidth="1"/>
    <col min="3535" max="3535" width="10.7109375" style="1870" customWidth="1"/>
    <col min="3536" max="3536" width="11.5703125" style="1870" customWidth="1"/>
    <col min="3537" max="3537" width="14.7109375" style="1870" customWidth="1"/>
    <col min="3538" max="3539" width="14.5703125" style="1870" customWidth="1"/>
    <col min="3540" max="3540" width="11.7109375" style="1870" customWidth="1"/>
    <col min="3541" max="3541" width="12" style="1870" customWidth="1"/>
    <col min="3542" max="3542" width="14.28515625" style="1870" customWidth="1"/>
    <col min="3543" max="3543" width="13.7109375" style="1870" customWidth="1"/>
    <col min="3544" max="3544" width="13.28515625" style="1870" customWidth="1"/>
    <col min="3545" max="3545" width="13.7109375" style="1870" customWidth="1"/>
    <col min="3546" max="3546" width="13.5703125" style="1870" customWidth="1"/>
    <col min="3547" max="3547" width="13.28515625" style="1870" customWidth="1"/>
    <col min="3548" max="3548" width="13" style="1870" customWidth="1"/>
    <col min="3549" max="3549" width="12.7109375" style="1870" customWidth="1"/>
    <col min="3550" max="3552" width="12" style="1870" customWidth="1"/>
    <col min="3553" max="3553" width="13.28515625" style="1870" customWidth="1"/>
    <col min="3554" max="3554" width="13.42578125" style="1870" customWidth="1"/>
    <col min="3555" max="3555" width="13.28515625" style="1870" customWidth="1"/>
    <col min="3556" max="3556" width="11.7109375" style="1870" customWidth="1"/>
    <col min="3557" max="3558" width="13.5703125" style="1870" customWidth="1"/>
    <col min="3559" max="3559" width="11.7109375" style="1870" customWidth="1"/>
    <col min="3560" max="3560" width="12.7109375" style="1870" customWidth="1"/>
    <col min="3561" max="3561" width="16" style="1870" customWidth="1"/>
    <col min="3562" max="3562" width="14.42578125" style="1870" customWidth="1"/>
    <col min="3563" max="3563" width="13.28515625" style="1870" customWidth="1"/>
    <col min="3564" max="3564" width="12.7109375" style="1870" customWidth="1"/>
    <col min="3565" max="3565" width="13" style="1870" customWidth="1"/>
    <col min="3566" max="3566" width="13.28515625" style="1870" customWidth="1"/>
    <col min="3567" max="3567" width="13.5703125" style="1870" customWidth="1"/>
    <col min="3568" max="3568" width="12.7109375" style="1870" customWidth="1"/>
    <col min="3569" max="3569" width="11.7109375" style="1870" customWidth="1"/>
    <col min="3570" max="3570" width="11.5703125" style="1870" customWidth="1"/>
    <col min="3571" max="3571" width="13.7109375" style="1870" customWidth="1"/>
    <col min="3572" max="3572" width="14.7109375" style="1870" customWidth="1"/>
    <col min="3573" max="3573" width="12.5703125" style="1870" customWidth="1"/>
    <col min="3574" max="3574" width="11.7109375" style="1870" customWidth="1"/>
    <col min="3575" max="3575" width="12.28515625" style="1870" customWidth="1"/>
    <col min="3576" max="3576" width="12.7109375" style="1870" customWidth="1"/>
    <col min="3577" max="3577" width="13.28515625" style="1870" customWidth="1"/>
    <col min="3578" max="3578" width="13.7109375" style="1870" customWidth="1"/>
    <col min="3579" max="3579" width="13" style="1870" customWidth="1"/>
    <col min="3580" max="3580" width="12.28515625" style="1870" customWidth="1"/>
    <col min="3581" max="3582" width="13.28515625" style="1870" customWidth="1"/>
    <col min="3583" max="3583" width="13.7109375" style="1870" customWidth="1"/>
    <col min="3584" max="3584" width="12.42578125" style="1870" customWidth="1"/>
    <col min="3585" max="3585" width="12" style="1870" customWidth="1"/>
    <col min="3586" max="3586" width="16.5703125" style="1870" customWidth="1"/>
    <col min="3587" max="3587" width="29.28515625" style="1870" customWidth="1"/>
    <col min="3588" max="3588" width="18.7109375" style="1870" customWidth="1"/>
    <col min="3589" max="3747" width="9.28515625" style="1870"/>
    <col min="3748" max="3748" width="6.28515625" style="1870" customWidth="1"/>
    <col min="3749" max="3749" width="42.5703125" style="1870" customWidth="1"/>
    <col min="3750" max="3750" width="11" style="1870" customWidth="1"/>
    <col min="3751" max="3751" width="13.7109375" style="1870" customWidth="1"/>
    <col min="3752" max="3752" width="15.28515625" style="1870" customWidth="1"/>
    <col min="3753" max="3753" width="11.7109375" style="1870" customWidth="1"/>
    <col min="3754" max="3754" width="12" style="1870" customWidth="1"/>
    <col min="3755" max="3755" width="12.5703125" style="1870" customWidth="1"/>
    <col min="3756" max="3756" width="13.28515625" style="1870" customWidth="1"/>
    <col min="3757" max="3757" width="9.7109375" style="1870" customWidth="1"/>
    <col min="3758" max="3758" width="12.42578125" style="1870" customWidth="1"/>
    <col min="3759" max="3759" width="13" style="1870" customWidth="1"/>
    <col min="3760" max="3760" width="13.5703125" style="1870" customWidth="1"/>
    <col min="3761" max="3761" width="9.7109375" style="1870" customWidth="1"/>
    <col min="3762" max="3762" width="10.42578125" style="1870" customWidth="1"/>
    <col min="3763" max="3763" width="12" style="1870" customWidth="1"/>
    <col min="3764" max="3764" width="11.7109375" style="1870" customWidth="1"/>
    <col min="3765" max="3765" width="12.28515625" style="1870" customWidth="1"/>
    <col min="3766" max="3766" width="11.28515625" style="1870" customWidth="1"/>
    <col min="3767" max="3767" width="10.28515625" style="1870" customWidth="1"/>
    <col min="3768" max="3768" width="14.28515625" style="1870" customWidth="1"/>
    <col min="3769" max="3769" width="14" style="1870" customWidth="1"/>
    <col min="3770" max="3770" width="14.7109375" style="1870" customWidth="1"/>
    <col min="3771" max="3771" width="12.42578125" style="1870" customWidth="1"/>
    <col min="3772" max="3772" width="11.5703125" style="1870" customWidth="1"/>
    <col min="3773" max="3773" width="12" style="1870" customWidth="1"/>
    <col min="3774" max="3775" width="11.7109375" style="1870" customWidth="1"/>
    <col min="3776" max="3776" width="9.5703125" style="1870" customWidth="1"/>
    <col min="3777" max="3777" width="9.42578125" style="1870" customWidth="1"/>
    <col min="3778" max="3778" width="12.7109375" style="1870" customWidth="1"/>
    <col min="3779" max="3779" width="12" style="1870" customWidth="1"/>
    <col min="3780" max="3780" width="12.7109375" style="1870" customWidth="1"/>
    <col min="3781" max="3781" width="12.42578125" style="1870" customWidth="1"/>
    <col min="3782" max="3782" width="11.42578125" style="1870" customWidth="1"/>
    <col min="3783" max="3783" width="12" style="1870" customWidth="1"/>
    <col min="3784" max="3785" width="12.7109375" style="1870" customWidth="1"/>
    <col min="3786" max="3786" width="10.7109375" style="1870" customWidth="1"/>
    <col min="3787" max="3787" width="11.5703125" style="1870" customWidth="1"/>
    <col min="3788" max="3788" width="12" style="1870" customWidth="1"/>
    <col min="3789" max="3789" width="12.7109375" style="1870" customWidth="1"/>
    <col min="3790" max="3790" width="14" style="1870" customWidth="1"/>
    <col min="3791" max="3791" width="10.7109375" style="1870" customWidth="1"/>
    <col min="3792" max="3792" width="11.5703125" style="1870" customWidth="1"/>
    <col min="3793" max="3793" width="14.7109375" style="1870" customWidth="1"/>
    <col min="3794" max="3795" width="14.5703125" style="1870" customWidth="1"/>
    <col min="3796" max="3796" width="11.7109375" style="1870" customWidth="1"/>
    <col min="3797" max="3797" width="12" style="1870" customWidth="1"/>
    <col min="3798" max="3798" width="14.28515625" style="1870" customWidth="1"/>
    <col min="3799" max="3799" width="13.7109375" style="1870" customWidth="1"/>
    <col min="3800" max="3800" width="13.28515625" style="1870" customWidth="1"/>
    <col min="3801" max="3801" width="13.7109375" style="1870" customWidth="1"/>
    <col min="3802" max="3802" width="13.5703125" style="1870" customWidth="1"/>
    <col min="3803" max="3803" width="13.28515625" style="1870" customWidth="1"/>
    <col min="3804" max="3804" width="13" style="1870" customWidth="1"/>
    <col min="3805" max="3805" width="12.7109375" style="1870" customWidth="1"/>
    <col min="3806" max="3808" width="12" style="1870" customWidth="1"/>
    <col min="3809" max="3809" width="13.28515625" style="1870" customWidth="1"/>
    <col min="3810" max="3810" width="13.42578125" style="1870" customWidth="1"/>
    <col min="3811" max="3811" width="13.28515625" style="1870" customWidth="1"/>
    <col min="3812" max="3812" width="11.7109375" style="1870" customWidth="1"/>
    <col min="3813" max="3814" width="13.5703125" style="1870" customWidth="1"/>
    <col min="3815" max="3815" width="11.7109375" style="1870" customWidth="1"/>
    <col min="3816" max="3816" width="12.7109375" style="1870" customWidth="1"/>
    <col min="3817" max="3817" width="16" style="1870" customWidth="1"/>
    <col min="3818" max="3818" width="14.42578125" style="1870" customWidth="1"/>
    <col min="3819" max="3819" width="13.28515625" style="1870" customWidth="1"/>
    <col min="3820" max="3820" width="12.7109375" style="1870" customWidth="1"/>
    <col min="3821" max="3821" width="13" style="1870" customWidth="1"/>
    <col min="3822" max="3822" width="13.28515625" style="1870" customWidth="1"/>
    <col min="3823" max="3823" width="13.5703125" style="1870" customWidth="1"/>
    <col min="3824" max="3824" width="12.7109375" style="1870" customWidth="1"/>
    <col min="3825" max="3825" width="11.7109375" style="1870" customWidth="1"/>
    <col min="3826" max="3826" width="11.5703125" style="1870" customWidth="1"/>
    <col min="3827" max="3827" width="13.7109375" style="1870" customWidth="1"/>
    <col min="3828" max="3828" width="14.7109375" style="1870" customWidth="1"/>
    <col min="3829" max="3829" width="12.5703125" style="1870" customWidth="1"/>
    <col min="3830" max="3830" width="11.7109375" style="1870" customWidth="1"/>
    <col min="3831" max="3831" width="12.28515625" style="1870" customWidth="1"/>
    <col min="3832" max="3832" width="12.7109375" style="1870" customWidth="1"/>
    <col min="3833" max="3833" width="13.28515625" style="1870" customWidth="1"/>
    <col min="3834" max="3834" width="13.7109375" style="1870" customWidth="1"/>
    <col min="3835" max="3835" width="13" style="1870" customWidth="1"/>
    <col min="3836" max="3836" width="12.28515625" style="1870" customWidth="1"/>
    <col min="3837" max="3838" width="13.28515625" style="1870" customWidth="1"/>
    <col min="3839" max="3839" width="13.7109375" style="1870" customWidth="1"/>
    <col min="3840" max="3840" width="12.42578125" style="1870" customWidth="1"/>
    <col min="3841" max="3841" width="12" style="1870" customWidth="1"/>
    <col min="3842" max="3842" width="16.5703125" style="1870" customWidth="1"/>
    <col min="3843" max="3843" width="29.28515625" style="1870" customWidth="1"/>
    <col min="3844" max="3844" width="18.7109375" style="1870" customWidth="1"/>
    <col min="3845" max="4003" width="9.28515625" style="1870"/>
    <col min="4004" max="4004" width="6.28515625" style="1870" customWidth="1"/>
    <col min="4005" max="4005" width="42.5703125" style="1870" customWidth="1"/>
    <col min="4006" max="4006" width="11" style="1870" customWidth="1"/>
    <col min="4007" max="4007" width="13.7109375" style="1870" customWidth="1"/>
    <col min="4008" max="4008" width="15.28515625" style="1870" customWidth="1"/>
    <col min="4009" max="4009" width="11.7109375" style="1870" customWidth="1"/>
    <col min="4010" max="4010" width="12" style="1870" customWidth="1"/>
    <col min="4011" max="4011" width="12.5703125" style="1870" customWidth="1"/>
    <col min="4012" max="4012" width="13.28515625" style="1870" customWidth="1"/>
    <col min="4013" max="4013" width="9.7109375" style="1870" customWidth="1"/>
    <col min="4014" max="4014" width="12.42578125" style="1870" customWidth="1"/>
    <col min="4015" max="4015" width="13" style="1870" customWidth="1"/>
    <col min="4016" max="4016" width="13.5703125" style="1870" customWidth="1"/>
    <col min="4017" max="4017" width="9.7109375" style="1870" customWidth="1"/>
    <col min="4018" max="4018" width="10.42578125" style="1870" customWidth="1"/>
    <col min="4019" max="4019" width="12" style="1870" customWidth="1"/>
    <col min="4020" max="4020" width="11.7109375" style="1870" customWidth="1"/>
    <col min="4021" max="4021" width="12.28515625" style="1870" customWidth="1"/>
    <col min="4022" max="4022" width="11.28515625" style="1870" customWidth="1"/>
    <col min="4023" max="4023" width="10.28515625" style="1870" customWidth="1"/>
    <col min="4024" max="4024" width="14.28515625" style="1870" customWidth="1"/>
    <col min="4025" max="4025" width="14" style="1870" customWidth="1"/>
    <col min="4026" max="4026" width="14.7109375" style="1870" customWidth="1"/>
    <col min="4027" max="4027" width="12.42578125" style="1870" customWidth="1"/>
    <col min="4028" max="4028" width="11.5703125" style="1870" customWidth="1"/>
    <col min="4029" max="4029" width="12" style="1870" customWidth="1"/>
    <col min="4030" max="4031" width="11.7109375" style="1870" customWidth="1"/>
    <col min="4032" max="4032" width="9.5703125" style="1870" customWidth="1"/>
    <col min="4033" max="4033" width="9.42578125" style="1870" customWidth="1"/>
    <col min="4034" max="4034" width="12.7109375" style="1870" customWidth="1"/>
    <col min="4035" max="4035" width="12" style="1870" customWidth="1"/>
    <col min="4036" max="4036" width="12.7109375" style="1870" customWidth="1"/>
    <col min="4037" max="4037" width="12.42578125" style="1870" customWidth="1"/>
    <col min="4038" max="4038" width="11.42578125" style="1870" customWidth="1"/>
    <col min="4039" max="4039" width="12" style="1870" customWidth="1"/>
    <col min="4040" max="4041" width="12.7109375" style="1870" customWidth="1"/>
    <col min="4042" max="4042" width="10.7109375" style="1870" customWidth="1"/>
    <col min="4043" max="4043" width="11.5703125" style="1870" customWidth="1"/>
    <col min="4044" max="4044" width="12" style="1870" customWidth="1"/>
    <col min="4045" max="4045" width="12.7109375" style="1870" customWidth="1"/>
    <col min="4046" max="4046" width="14" style="1870" customWidth="1"/>
    <col min="4047" max="4047" width="10.7109375" style="1870" customWidth="1"/>
    <col min="4048" max="4048" width="11.5703125" style="1870" customWidth="1"/>
    <col min="4049" max="4049" width="14.7109375" style="1870" customWidth="1"/>
    <col min="4050" max="4051" width="14.5703125" style="1870" customWidth="1"/>
    <col min="4052" max="4052" width="11.7109375" style="1870" customWidth="1"/>
    <col min="4053" max="4053" width="12" style="1870" customWidth="1"/>
    <col min="4054" max="4054" width="14.28515625" style="1870" customWidth="1"/>
    <col min="4055" max="4055" width="13.7109375" style="1870" customWidth="1"/>
    <col min="4056" max="4056" width="13.28515625" style="1870" customWidth="1"/>
    <col min="4057" max="4057" width="13.7109375" style="1870" customWidth="1"/>
    <col min="4058" max="4058" width="13.5703125" style="1870" customWidth="1"/>
    <col min="4059" max="4059" width="13.28515625" style="1870" customWidth="1"/>
    <col min="4060" max="4060" width="13" style="1870" customWidth="1"/>
    <col min="4061" max="4061" width="12.7109375" style="1870" customWidth="1"/>
    <col min="4062" max="4064" width="12" style="1870" customWidth="1"/>
    <col min="4065" max="4065" width="13.28515625" style="1870" customWidth="1"/>
    <col min="4066" max="4066" width="13.42578125" style="1870" customWidth="1"/>
    <col min="4067" max="4067" width="13.28515625" style="1870" customWidth="1"/>
    <col min="4068" max="4068" width="11.7109375" style="1870" customWidth="1"/>
    <col min="4069" max="4070" width="13.5703125" style="1870" customWidth="1"/>
    <col min="4071" max="4071" width="11.7109375" style="1870" customWidth="1"/>
    <col min="4072" max="4072" width="12.7109375" style="1870" customWidth="1"/>
    <col min="4073" max="4073" width="16" style="1870" customWidth="1"/>
    <col min="4074" max="4074" width="14.42578125" style="1870" customWidth="1"/>
    <col min="4075" max="4075" width="13.28515625" style="1870" customWidth="1"/>
    <col min="4076" max="4076" width="12.7109375" style="1870" customWidth="1"/>
    <col min="4077" max="4077" width="13" style="1870" customWidth="1"/>
    <col min="4078" max="4078" width="13.28515625" style="1870" customWidth="1"/>
    <col min="4079" max="4079" width="13.5703125" style="1870" customWidth="1"/>
    <col min="4080" max="4080" width="12.7109375" style="1870" customWidth="1"/>
    <col min="4081" max="4081" width="11.7109375" style="1870" customWidth="1"/>
    <col min="4082" max="4082" width="11.5703125" style="1870" customWidth="1"/>
    <col min="4083" max="4083" width="13.7109375" style="1870" customWidth="1"/>
    <col min="4084" max="4084" width="14.7109375" style="1870" customWidth="1"/>
    <col min="4085" max="4085" width="12.5703125" style="1870" customWidth="1"/>
    <col min="4086" max="4086" width="11.7109375" style="1870" customWidth="1"/>
    <col min="4087" max="4087" width="12.28515625" style="1870" customWidth="1"/>
    <col min="4088" max="4088" width="12.7109375" style="1870" customWidth="1"/>
    <col min="4089" max="4089" width="13.28515625" style="1870" customWidth="1"/>
    <col min="4090" max="4090" width="13.7109375" style="1870" customWidth="1"/>
    <col min="4091" max="4091" width="13" style="1870" customWidth="1"/>
    <col min="4092" max="4092" width="12.28515625" style="1870" customWidth="1"/>
    <col min="4093" max="4094" width="13.28515625" style="1870" customWidth="1"/>
    <col min="4095" max="4095" width="13.7109375" style="1870" customWidth="1"/>
    <col min="4096" max="4096" width="12.42578125" style="1870" customWidth="1"/>
    <col min="4097" max="4097" width="12" style="1870" customWidth="1"/>
    <col min="4098" max="4098" width="16.5703125" style="1870" customWidth="1"/>
    <col min="4099" max="4099" width="29.28515625" style="1870" customWidth="1"/>
    <col min="4100" max="4100" width="18.7109375" style="1870" customWidth="1"/>
    <col min="4101" max="4259" width="9.28515625" style="1870"/>
    <col min="4260" max="4260" width="6.28515625" style="1870" customWidth="1"/>
    <col min="4261" max="4261" width="42.5703125" style="1870" customWidth="1"/>
    <col min="4262" max="4262" width="11" style="1870" customWidth="1"/>
    <col min="4263" max="4263" width="13.7109375" style="1870" customWidth="1"/>
    <col min="4264" max="4264" width="15.28515625" style="1870" customWidth="1"/>
    <col min="4265" max="4265" width="11.7109375" style="1870" customWidth="1"/>
    <col min="4266" max="4266" width="12" style="1870" customWidth="1"/>
    <col min="4267" max="4267" width="12.5703125" style="1870" customWidth="1"/>
    <col min="4268" max="4268" width="13.28515625" style="1870" customWidth="1"/>
    <col min="4269" max="4269" width="9.7109375" style="1870" customWidth="1"/>
    <col min="4270" max="4270" width="12.42578125" style="1870" customWidth="1"/>
    <col min="4271" max="4271" width="13" style="1870" customWidth="1"/>
    <col min="4272" max="4272" width="13.5703125" style="1870" customWidth="1"/>
    <col min="4273" max="4273" width="9.7109375" style="1870" customWidth="1"/>
    <col min="4274" max="4274" width="10.42578125" style="1870" customWidth="1"/>
    <col min="4275" max="4275" width="12" style="1870" customWidth="1"/>
    <col min="4276" max="4276" width="11.7109375" style="1870" customWidth="1"/>
    <col min="4277" max="4277" width="12.28515625" style="1870" customWidth="1"/>
    <col min="4278" max="4278" width="11.28515625" style="1870" customWidth="1"/>
    <col min="4279" max="4279" width="10.28515625" style="1870" customWidth="1"/>
    <col min="4280" max="4280" width="14.28515625" style="1870" customWidth="1"/>
    <col min="4281" max="4281" width="14" style="1870" customWidth="1"/>
    <col min="4282" max="4282" width="14.7109375" style="1870" customWidth="1"/>
    <col min="4283" max="4283" width="12.42578125" style="1870" customWidth="1"/>
    <col min="4284" max="4284" width="11.5703125" style="1870" customWidth="1"/>
    <col min="4285" max="4285" width="12" style="1870" customWidth="1"/>
    <col min="4286" max="4287" width="11.7109375" style="1870" customWidth="1"/>
    <col min="4288" max="4288" width="9.5703125" style="1870" customWidth="1"/>
    <col min="4289" max="4289" width="9.42578125" style="1870" customWidth="1"/>
    <col min="4290" max="4290" width="12.7109375" style="1870" customWidth="1"/>
    <col min="4291" max="4291" width="12" style="1870" customWidth="1"/>
    <col min="4292" max="4292" width="12.7109375" style="1870" customWidth="1"/>
    <col min="4293" max="4293" width="12.42578125" style="1870" customWidth="1"/>
    <col min="4294" max="4294" width="11.42578125" style="1870" customWidth="1"/>
    <col min="4295" max="4295" width="12" style="1870" customWidth="1"/>
    <col min="4296" max="4297" width="12.7109375" style="1870" customWidth="1"/>
    <col min="4298" max="4298" width="10.7109375" style="1870" customWidth="1"/>
    <col min="4299" max="4299" width="11.5703125" style="1870" customWidth="1"/>
    <col min="4300" max="4300" width="12" style="1870" customWidth="1"/>
    <col min="4301" max="4301" width="12.7109375" style="1870" customWidth="1"/>
    <col min="4302" max="4302" width="14" style="1870" customWidth="1"/>
    <col min="4303" max="4303" width="10.7109375" style="1870" customWidth="1"/>
    <col min="4304" max="4304" width="11.5703125" style="1870" customWidth="1"/>
    <col min="4305" max="4305" width="14.7109375" style="1870" customWidth="1"/>
    <col min="4306" max="4307" width="14.5703125" style="1870" customWidth="1"/>
    <col min="4308" max="4308" width="11.7109375" style="1870" customWidth="1"/>
    <col min="4309" max="4309" width="12" style="1870" customWidth="1"/>
    <col min="4310" max="4310" width="14.28515625" style="1870" customWidth="1"/>
    <col min="4311" max="4311" width="13.7109375" style="1870" customWidth="1"/>
    <col min="4312" max="4312" width="13.28515625" style="1870" customWidth="1"/>
    <col min="4313" max="4313" width="13.7109375" style="1870" customWidth="1"/>
    <col min="4314" max="4314" width="13.5703125" style="1870" customWidth="1"/>
    <col min="4315" max="4315" width="13.28515625" style="1870" customWidth="1"/>
    <col min="4316" max="4316" width="13" style="1870" customWidth="1"/>
    <col min="4317" max="4317" width="12.7109375" style="1870" customWidth="1"/>
    <col min="4318" max="4320" width="12" style="1870" customWidth="1"/>
    <col min="4321" max="4321" width="13.28515625" style="1870" customWidth="1"/>
    <col min="4322" max="4322" width="13.42578125" style="1870" customWidth="1"/>
    <col min="4323" max="4323" width="13.28515625" style="1870" customWidth="1"/>
    <col min="4324" max="4324" width="11.7109375" style="1870" customWidth="1"/>
    <col min="4325" max="4326" width="13.5703125" style="1870" customWidth="1"/>
    <col min="4327" max="4327" width="11.7109375" style="1870" customWidth="1"/>
    <col min="4328" max="4328" width="12.7109375" style="1870" customWidth="1"/>
    <col min="4329" max="4329" width="16" style="1870" customWidth="1"/>
    <col min="4330" max="4330" width="14.42578125" style="1870" customWidth="1"/>
    <col min="4331" max="4331" width="13.28515625" style="1870" customWidth="1"/>
    <col min="4332" max="4332" width="12.7109375" style="1870" customWidth="1"/>
    <col min="4333" max="4333" width="13" style="1870" customWidth="1"/>
    <col min="4334" max="4334" width="13.28515625" style="1870" customWidth="1"/>
    <col min="4335" max="4335" width="13.5703125" style="1870" customWidth="1"/>
    <col min="4336" max="4336" width="12.7109375" style="1870" customWidth="1"/>
    <col min="4337" max="4337" width="11.7109375" style="1870" customWidth="1"/>
    <col min="4338" max="4338" width="11.5703125" style="1870" customWidth="1"/>
    <col min="4339" max="4339" width="13.7109375" style="1870" customWidth="1"/>
    <col min="4340" max="4340" width="14.7109375" style="1870" customWidth="1"/>
    <col min="4341" max="4341" width="12.5703125" style="1870" customWidth="1"/>
    <col min="4342" max="4342" width="11.7109375" style="1870" customWidth="1"/>
    <col min="4343" max="4343" width="12.28515625" style="1870" customWidth="1"/>
    <col min="4344" max="4344" width="12.7109375" style="1870" customWidth="1"/>
    <col min="4345" max="4345" width="13.28515625" style="1870" customWidth="1"/>
    <col min="4346" max="4346" width="13.7109375" style="1870" customWidth="1"/>
    <col min="4347" max="4347" width="13" style="1870" customWidth="1"/>
    <col min="4348" max="4348" width="12.28515625" style="1870" customWidth="1"/>
    <col min="4349" max="4350" width="13.28515625" style="1870" customWidth="1"/>
    <col min="4351" max="4351" width="13.7109375" style="1870" customWidth="1"/>
    <col min="4352" max="4352" width="12.42578125" style="1870" customWidth="1"/>
    <col min="4353" max="4353" width="12" style="1870" customWidth="1"/>
    <col min="4354" max="4354" width="16.5703125" style="1870" customWidth="1"/>
    <col min="4355" max="4355" width="29.28515625" style="1870" customWidth="1"/>
    <col min="4356" max="4356" width="18.7109375" style="1870" customWidth="1"/>
    <col min="4357" max="4515" width="9.28515625" style="1870"/>
    <col min="4516" max="4516" width="6.28515625" style="1870" customWidth="1"/>
    <col min="4517" max="4517" width="42.5703125" style="1870" customWidth="1"/>
    <col min="4518" max="4518" width="11" style="1870" customWidth="1"/>
    <col min="4519" max="4519" width="13.7109375" style="1870" customWidth="1"/>
    <col min="4520" max="4520" width="15.28515625" style="1870" customWidth="1"/>
    <col min="4521" max="4521" width="11.7109375" style="1870" customWidth="1"/>
    <col min="4522" max="4522" width="12" style="1870" customWidth="1"/>
    <col min="4523" max="4523" width="12.5703125" style="1870" customWidth="1"/>
    <col min="4524" max="4524" width="13.28515625" style="1870" customWidth="1"/>
    <col min="4525" max="4525" width="9.7109375" style="1870" customWidth="1"/>
    <col min="4526" max="4526" width="12.42578125" style="1870" customWidth="1"/>
    <col min="4527" max="4527" width="13" style="1870" customWidth="1"/>
    <col min="4528" max="4528" width="13.5703125" style="1870" customWidth="1"/>
    <col min="4529" max="4529" width="9.7109375" style="1870" customWidth="1"/>
    <col min="4530" max="4530" width="10.42578125" style="1870" customWidth="1"/>
    <col min="4531" max="4531" width="12" style="1870" customWidth="1"/>
    <col min="4532" max="4532" width="11.7109375" style="1870" customWidth="1"/>
    <col min="4533" max="4533" width="12.28515625" style="1870" customWidth="1"/>
    <col min="4534" max="4534" width="11.28515625" style="1870" customWidth="1"/>
    <col min="4535" max="4535" width="10.28515625" style="1870" customWidth="1"/>
    <col min="4536" max="4536" width="14.28515625" style="1870" customWidth="1"/>
    <col min="4537" max="4537" width="14" style="1870" customWidth="1"/>
    <col min="4538" max="4538" width="14.7109375" style="1870" customWidth="1"/>
    <col min="4539" max="4539" width="12.42578125" style="1870" customWidth="1"/>
    <col min="4540" max="4540" width="11.5703125" style="1870" customWidth="1"/>
    <col min="4541" max="4541" width="12" style="1870" customWidth="1"/>
    <col min="4542" max="4543" width="11.7109375" style="1870" customWidth="1"/>
    <col min="4544" max="4544" width="9.5703125" style="1870" customWidth="1"/>
    <col min="4545" max="4545" width="9.42578125" style="1870" customWidth="1"/>
    <col min="4546" max="4546" width="12.7109375" style="1870" customWidth="1"/>
    <col min="4547" max="4547" width="12" style="1870" customWidth="1"/>
    <col min="4548" max="4548" width="12.7109375" style="1870" customWidth="1"/>
    <col min="4549" max="4549" width="12.42578125" style="1870" customWidth="1"/>
    <col min="4550" max="4550" width="11.42578125" style="1870" customWidth="1"/>
    <col min="4551" max="4551" width="12" style="1870" customWidth="1"/>
    <col min="4552" max="4553" width="12.7109375" style="1870" customWidth="1"/>
    <col min="4554" max="4554" width="10.7109375" style="1870" customWidth="1"/>
    <col min="4555" max="4555" width="11.5703125" style="1870" customWidth="1"/>
    <col min="4556" max="4556" width="12" style="1870" customWidth="1"/>
    <col min="4557" max="4557" width="12.7109375" style="1870" customWidth="1"/>
    <col min="4558" max="4558" width="14" style="1870" customWidth="1"/>
    <col min="4559" max="4559" width="10.7109375" style="1870" customWidth="1"/>
    <col min="4560" max="4560" width="11.5703125" style="1870" customWidth="1"/>
    <col min="4561" max="4561" width="14.7109375" style="1870" customWidth="1"/>
    <col min="4562" max="4563" width="14.5703125" style="1870" customWidth="1"/>
    <col min="4564" max="4564" width="11.7109375" style="1870" customWidth="1"/>
    <col min="4565" max="4565" width="12" style="1870" customWidth="1"/>
    <col min="4566" max="4566" width="14.28515625" style="1870" customWidth="1"/>
    <col min="4567" max="4567" width="13.7109375" style="1870" customWidth="1"/>
    <col min="4568" max="4568" width="13.28515625" style="1870" customWidth="1"/>
    <col min="4569" max="4569" width="13.7109375" style="1870" customWidth="1"/>
    <col min="4570" max="4570" width="13.5703125" style="1870" customWidth="1"/>
    <col min="4571" max="4571" width="13.28515625" style="1870" customWidth="1"/>
    <col min="4572" max="4572" width="13" style="1870" customWidth="1"/>
    <col min="4573" max="4573" width="12.7109375" style="1870" customWidth="1"/>
    <col min="4574" max="4576" width="12" style="1870" customWidth="1"/>
    <col min="4577" max="4577" width="13.28515625" style="1870" customWidth="1"/>
    <col min="4578" max="4578" width="13.42578125" style="1870" customWidth="1"/>
    <col min="4579" max="4579" width="13.28515625" style="1870" customWidth="1"/>
    <col min="4580" max="4580" width="11.7109375" style="1870" customWidth="1"/>
    <col min="4581" max="4582" width="13.5703125" style="1870" customWidth="1"/>
    <col min="4583" max="4583" width="11.7109375" style="1870" customWidth="1"/>
    <col min="4584" max="4584" width="12.7109375" style="1870" customWidth="1"/>
    <col min="4585" max="4585" width="16" style="1870" customWidth="1"/>
    <col min="4586" max="4586" width="14.42578125" style="1870" customWidth="1"/>
    <col min="4587" max="4587" width="13.28515625" style="1870" customWidth="1"/>
    <col min="4588" max="4588" width="12.7109375" style="1870" customWidth="1"/>
    <col min="4589" max="4589" width="13" style="1870" customWidth="1"/>
    <col min="4590" max="4590" width="13.28515625" style="1870" customWidth="1"/>
    <col min="4591" max="4591" width="13.5703125" style="1870" customWidth="1"/>
    <col min="4592" max="4592" width="12.7109375" style="1870" customWidth="1"/>
    <col min="4593" max="4593" width="11.7109375" style="1870" customWidth="1"/>
    <col min="4594" max="4594" width="11.5703125" style="1870" customWidth="1"/>
    <col min="4595" max="4595" width="13.7109375" style="1870" customWidth="1"/>
    <col min="4596" max="4596" width="14.7109375" style="1870" customWidth="1"/>
    <col min="4597" max="4597" width="12.5703125" style="1870" customWidth="1"/>
    <col min="4598" max="4598" width="11.7109375" style="1870" customWidth="1"/>
    <col min="4599" max="4599" width="12.28515625" style="1870" customWidth="1"/>
    <col min="4600" max="4600" width="12.7109375" style="1870" customWidth="1"/>
    <col min="4601" max="4601" width="13.28515625" style="1870" customWidth="1"/>
    <col min="4602" max="4602" width="13.7109375" style="1870" customWidth="1"/>
    <col min="4603" max="4603" width="13" style="1870" customWidth="1"/>
    <col min="4604" max="4604" width="12.28515625" style="1870" customWidth="1"/>
    <col min="4605" max="4606" width="13.28515625" style="1870" customWidth="1"/>
    <col min="4607" max="4607" width="13.7109375" style="1870" customWidth="1"/>
    <col min="4608" max="4608" width="12.42578125" style="1870" customWidth="1"/>
    <col min="4609" max="4609" width="12" style="1870" customWidth="1"/>
    <col min="4610" max="4610" width="16.5703125" style="1870" customWidth="1"/>
    <col min="4611" max="4611" width="29.28515625" style="1870" customWidth="1"/>
    <col min="4612" max="4612" width="18.7109375" style="1870" customWidth="1"/>
    <col min="4613" max="4771" width="9.28515625" style="1870"/>
    <col min="4772" max="4772" width="6.28515625" style="1870" customWidth="1"/>
    <col min="4773" max="4773" width="42.5703125" style="1870" customWidth="1"/>
    <col min="4774" max="4774" width="11" style="1870" customWidth="1"/>
    <col min="4775" max="4775" width="13.7109375" style="1870" customWidth="1"/>
    <col min="4776" max="4776" width="15.28515625" style="1870" customWidth="1"/>
    <col min="4777" max="4777" width="11.7109375" style="1870" customWidth="1"/>
    <col min="4778" max="4778" width="12" style="1870" customWidth="1"/>
    <col min="4779" max="4779" width="12.5703125" style="1870" customWidth="1"/>
    <col min="4780" max="4780" width="13.28515625" style="1870" customWidth="1"/>
    <col min="4781" max="4781" width="9.7109375" style="1870" customWidth="1"/>
    <col min="4782" max="4782" width="12.42578125" style="1870" customWidth="1"/>
    <col min="4783" max="4783" width="13" style="1870" customWidth="1"/>
    <col min="4784" max="4784" width="13.5703125" style="1870" customWidth="1"/>
    <col min="4785" max="4785" width="9.7109375" style="1870" customWidth="1"/>
    <col min="4786" max="4786" width="10.42578125" style="1870" customWidth="1"/>
    <col min="4787" max="4787" width="12" style="1870" customWidth="1"/>
    <col min="4788" max="4788" width="11.7109375" style="1870" customWidth="1"/>
    <col min="4789" max="4789" width="12.28515625" style="1870" customWidth="1"/>
    <col min="4790" max="4790" width="11.28515625" style="1870" customWidth="1"/>
    <col min="4791" max="4791" width="10.28515625" style="1870" customWidth="1"/>
    <col min="4792" max="4792" width="14.28515625" style="1870" customWidth="1"/>
    <col min="4793" max="4793" width="14" style="1870" customWidth="1"/>
    <col min="4794" max="4794" width="14.7109375" style="1870" customWidth="1"/>
    <col min="4795" max="4795" width="12.42578125" style="1870" customWidth="1"/>
    <col min="4796" max="4796" width="11.5703125" style="1870" customWidth="1"/>
    <col min="4797" max="4797" width="12" style="1870" customWidth="1"/>
    <col min="4798" max="4799" width="11.7109375" style="1870" customWidth="1"/>
    <col min="4800" max="4800" width="9.5703125" style="1870" customWidth="1"/>
    <col min="4801" max="4801" width="9.42578125" style="1870" customWidth="1"/>
    <col min="4802" max="4802" width="12.7109375" style="1870" customWidth="1"/>
    <col min="4803" max="4803" width="12" style="1870" customWidth="1"/>
    <col min="4804" max="4804" width="12.7109375" style="1870" customWidth="1"/>
    <col min="4805" max="4805" width="12.42578125" style="1870" customWidth="1"/>
    <col min="4806" max="4806" width="11.42578125" style="1870" customWidth="1"/>
    <col min="4807" max="4807" width="12" style="1870" customWidth="1"/>
    <col min="4808" max="4809" width="12.7109375" style="1870" customWidth="1"/>
    <col min="4810" max="4810" width="10.7109375" style="1870" customWidth="1"/>
    <col min="4811" max="4811" width="11.5703125" style="1870" customWidth="1"/>
    <col min="4812" max="4812" width="12" style="1870" customWidth="1"/>
    <col min="4813" max="4813" width="12.7109375" style="1870" customWidth="1"/>
    <col min="4814" max="4814" width="14" style="1870" customWidth="1"/>
    <col min="4815" max="4815" width="10.7109375" style="1870" customWidth="1"/>
    <col min="4816" max="4816" width="11.5703125" style="1870" customWidth="1"/>
    <col min="4817" max="4817" width="14.7109375" style="1870" customWidth="1"/>
    <col min="4818" max="4819" width="14.5703125" style="1870" customWidth="1"/>
    <col min="4820" max="4820" width="11.7109375" style="1870" customWidth="1"/>
    <col min="4821" max="4821" width="12" style="1870" customWidth="1"/>
    <col min="4822" max="4822" width="14.28515625" style="1870" customWidth="1"/>
    <col min="4823" max="4823" width="13.7109375" style="1870" customWidth="1"/>
    <col min="4824" max="4824" width="13.28515625" style="1870" customWidth="1"/>
    <col min="4825" max="4825" width="13.7109375" style="1870" customWidth="1"/>
    <col min="4826" max="4826" width="13.5703125" style="1870" customWidth="1"/>
    <col min="4827" max="4827" width="13.28515625" style="1870" customWidth="1"/>
    <col min="4828" max="4828" width="13" style="1870" customWidth="1"/>
    <col min="4829" max="4829" width="12.7109375" style="1870" customWidth="1"/>
    <col min="4830" max="4832" width="12" style="1870" customWidth="1"/>
    <col min="4833" max="4833" width="13.28515625" style="1870" customWidth="1"/>
    <col min="4834" max="4834" width="13.42578125" style="1870" customWidth="1"/>
    <col min="4835" max="4835" width="13.28515625" style="1870" customWidth="1"/>
    <col min="4836" max="4836" width="11.7109375" style="1870" customWidth="1"/>
    <col min="4837" max="4838" width="13.5703125" style="1870" customWidth="1"/>
    <col min="4839" max="4839" width="11.7109375" style="1870" customWidth="1"/>
    <col min="4840" max="4840" width="12.7109375" style="1870" customWidth="1"/>
    <col min="4841" max="4841" width="16" style="1870" customWidth="1"/>
    <col min="4842" max="4842" width="14.42578125" style="1870" customWidth="1"/>
    <col min="4843" max="4843" width="13.28515625" style="1870" customWidth="1"/>
    <col min="4844" max="4844" width="12.7109375" style="1870" customWidth="1"/>
    <col min="4845" max="4845" width="13" style="1870" customWidth="1"/>
    <col min="4846" max="4846" width="13.28515625" style="1870" customWidth="1"/>
    <col min="4847" max="4847" width="13.5703125" style="1870" customWidth="1"/>
    <col min="4848" max="4848" width="12.7109375" style="1870" customWidth="1"/>
    <col min="4849" max="4849" width="11.7109375" style="1870" customWidth="1"/>
    <col min="4850" max="4850" width="11.5703125" style="1870" customWidth="1"/>
    <col min="4851" max="4851" width="13.7109375" style="1870" customWidth="1"/>
    <col min="4852" max="4852" width="14.7109375" style="1870" customWidth="1"/>
    <col min="4853" max="4853" width="12.5703125" style="1870" customWidth="1"/>
    <col min="4854" max="4854" width="11.7109375" style="1870" customWidth="1"/>
    <col min="4855" max="4855" width="12.28515625" style="1870" customWidth="1"/>
    <col min="4856" max="4856" width="12.7109375" style="1870" customWidth="1"/>
    <col min="4857" max="4857" width="13.28515625" style="1870" customWidth="1"/>
    <col min="4858" max="4858" width="13.7109375" style="1870" customWidth="1"/>
    <col min="4859" max="4859" width="13" style="1870" customWidth="1"/>
    <col min="4860" max="4860" width="12.28515625" style="1870" customWidth="1"/>
    <col min="4861" max="4862" width="13.28515625" style="1870" customWidth="1"/>
    <col min="4863" max="4863" width="13.7109375" style="1870" customWidth="1"/>
    <col min="4864" max="4864" width="12.42578125" style="1870" customWidth="1"/>
    <col min="4865" max="4865" width="12" style="1870" customWidth="1"/>
    <col min="4866" max="4866" width="16.5703125" style="1870" customWidth="1"/>
    <col min="4867" max="4867" width="29.28515625" style="1870" customWidth="1"/>
    <col min="4868" max="4868" width="18.7109375" style="1870" customWidth="1"/>
    <col min="4869" max="5027" width="9.28515625" style="1870"/>
    <col min="5028" max="5028" width="6.28515625" style="1870" customWidth="1"/>
    <col min="5029" max="5029" width="42.5703125" style="1870" customWidth="1"/>
    <col min="5030" max="5030" width="11" style="1870" customWidth="1"/>
    <col min="5031" max="5031" width="13.7109375" style="1870" customWidth="1"/>
    <col min="5032" max="5032" width="15.28515625" style="1870" customWidth="1"/>
    <col min="5033" max="5033" width="11.7109375" style="1870" customWidth="1"/>
    <col min="5034" max="5034" width="12" style="1870" customWidth="1"/>
    <col min="5035" max="5035" width="12.5703125" style="1870" customWidth="1"/>
    <col min="5036" max="5036" width="13.28515625" style="1870" customWidth="1"/>
    <col min="5037" max="5037" width="9.7109375" style="1870" customWidth="1"/>
    <col min="5038" max="5038" width="12.42578125" style="1870" customWidth="1"/>
    <col min="5039" max="5039" width="13" style="1870" customWidth="1"/>
    <col min="5040" max="5040" width="13.5703125" style="1870" customWidth="1"/>
    <col min="5041" max="5041" width="9.7109375" style="1870" customWidth="1"/>
    <col min="5042" max="5042" width="10.42578125" style="1870" customWidth="1"/>
    <col min="5043" max="5043" width="12" style="1870" customWidth="1"/>
    <col min="5044" max="5044" width="11.7109375" style="1870" customWidth="1"/>
    <col min="5045" max="5045" width="12.28515625" style="1870" customWidth="1"/>
    <col min="5046" max="5046" width="11.28515625" style="1870" customWidth="1"/>
    <col min="5047" max="5047" width="10.28515625" style="1870" customWidth="1"/>
    <col min="5048" max="5048" width="14.28515625" style="1870" customWidth="1"/>
    <col min="5049" max="5049" width="14" style="1870" customWidth="1"/>
    <col min="5050" max="5050" width="14.7109375" style="1870" customWidth="1"/>
    <col min="5051" max="5051" width="12.42578125" style="1870" customWidth="1"/>
    <col min="5052" max="5052" width="11.5703125" style="1870" customWidth="1"/>
    <col min="5053" max="5053" width="12" style="1870" customWidth="1"/>
    <col min="5054" max="5055" width="11.7109375" style="1870" customWidth="1"/>
    <col min="5056" max="5056" width="9.5703125" style="1870" customWidth="1"/>
    <col min="5057" max="5057" width="9.42578125" style="1870" customWidth="1"/>
    <col min="5058" max="5058" width="12.7109375" style="1870" customWidth="1"/>
    <col min="5059" max="5059" width="12" style="1870" customWidth="1"/>
    <col min="5060" max="5060" width="12.7109375" style="1870" customWidth="1"/>
    <col min="5061" max="5061" width="12.42578125" style="1870" customWidth="1"/>
    <col min="5062" max="5062" width="11.42578125" style="1870" customWidth="1"/>
    <col min="5063" max="5063" width="12" style="1870" customWidth="1"/>
    <col min="5064" max="5065" width="12.7109375" style="1870" customWidth="1"/>
    <col min="5066" max="5066" width="10.7109375" style="1870" customWidth="1"/>
    <col min="5067" max="5067" width="11.5703125" style="1870" customWidth="1"/>
    <col min="5068" max="5068" width="12" style="1870" customWidth="1"/>
    <col min="5069" max="5069" width="12.7109375" style="1870" customWidth="1"/>
    <col min="5070" max="5070" width="14" style="1870" customWidth="1"/>
    <col min="5071" max="5071" width="10.7109375" style="1870" customWidth="1"/>
    <col min="5072" max="5072" width="11.5703125" style="1870" customWidth="1"/>
    <col min="5073" max="5073" width="14.7109375" style="1870" customWidth="1"/>
    <col min="5074" max="5075" width="14.5703125" style="1870" customWidth="1"/>
    <col min="5076" max="5076" width="11.7109375" style="1870" customWidth="1"/>
    <col min="5077" max="5077" width="12" style="1870" customWidth="1"/>
    <col min="5078" max="5078" width="14.28515625" style="1870" customWidth="1"/>
    <col min="5079" max="5079" width="13.7109375" style="1870" customWidth="1"/>
    <col min="5080" max="5080" width="13.28515625" style="1870" customWidth="1"/>
    <col min="5081" max="5081" width="13.7109375" style="1870" customWidth="1"/>
    <col min="5082" max="5082" width="13.5703125" style="1870" customWidth="1"/>
    <col min="5083" max="5083" width="13.28515625" style="1870" customWidth="1"/>
    <col min="5084" max="5084" width="13" style="1870" customWidth="1"/>
    <col min="5085" max="5085" width="12.7109375" style="1870" customWidth="1"/>
    <col min="5086" max="5088" width="12" style="1870" customWidth="1"/>
    <col min="5089" max="5089" width="13.28515625" style="1870" customWidth="1"/>
    <col min="5090" max="5090" width="13.42578125" style="1870" customWidth="1"/>
    <col min="5091" max="5091" width="13.28515625" style="1870" customWidth="1"/>
    <col min="5092" max="5092" width="11.7109375" style="1870" customWidth="1"/>
    <col min="5093" max="5094" width="13.5703125" style="1870" customWidth="1"/>
    <col min="5095" max="5095" width="11.7109375" style="1870" customWidth="1"/>
    <col min="5096" max="5096" width="12.7109375" style="1870" customWidth="1"/>
    <col min="5097" max="5097" width="16" style="1870" customWidth="1"/>
    <col min="5098" max="5098" width="14.42578125" style="1870" customWidth="1"/>
    <col min="5099" max="5099" width="13.28515625" style="1870" customWidth="1"/>
    <col min="5100" max="5100" width="12.7109375" style="1870" customWidth="1"/>
    <col min="5101" max="5101" width="13" style="1870" customWidth="1"/>
    <col min="5102" max="5102" width="13.28515625" style="1870" customWidth="1"/>
    <col min="5103" max="5103" width="13.5703125" style="1870" customWidth="1"/>
    <col min="5104" max="5104" width="12.7109375" style="1870" customWidth="1"/>
    <col min="5105" max="5105" width="11.7109375" style="1870" customWidth="1"/>
    <col min="5106" max="5106" width="11.5703125" style="1870" customWidth="1"/>
    <col min="5107" max="5107" width="13.7109375" style="1870" customWidth="1"/>
    <col min="5108" max="5108" width="14.7109375" style="1870" customWidth="1"/>
    <col min="5109" max="5109" width="12.5703125" style="1870" customWidth="1"/>
    <col min="5110" max="5110" width="11.7109375" style="1870" customWidth="1"/>
    <col min="5111" max="5111" width="12.28515625" style="1870" customWidth="1"/>
    <col min="5112" max="5112" width="12.7109375" style="1870" customWidth="1"/>
    <col min="5113" max="5113" width="13.28515625" style="1870" customWidth="1"/>
    <col min="5114" max="5114" width="13.7109375" style="1870" customWidth="1"/>
    <col min="5115" max="5115" width="13" style="1870" customWidth="1"/>
    <col min="5116" max="5116" width="12.28515625" style="1870" customWidth="1"/>
    <col min="5117" max="5118" width="13.28515625" style="1870" customWidth="1"/>
    <col min="5119" max="5119" width="13.7109375" style="1870" customWidth="1"/>
    <col min="5120" max="5120" width="12.42578125" style="1870" customWidth="1"/>
    <col min="5121" max="5121" width="12" style="1870" customWidth="1"/>
    <col min="5122" max="5122" width="16.5703125" style="1870" customWidth="1"/>
    <col min="5123" max="5123" width="29.28515625" style="1870" customWidth="1"/>
    <col min="5124" max="5124" width="18.7109375" style="1870" customWidth="1"/>
    <col min="5125" max="5283" width="9.28515625" style="1870"/>
    <col min="5284" max="5284" width="6.28515625" style="1870" customWidth="1"/>
    <col min="5285" max="5285" width="42.5703125" style="1870" customWidth="1"/>
    <col min="5286" max="5286" width="11" style="1870" customWidth="1"/>
    <col min="5287" max="5287" width="13.7109375" style="1870" customWidth="1"/>
    <col min="5288" max="5288" width="15.28515625" style="1870" customWidth="1"/>
    <col min="5289" max="5289" width="11.7109375" style="1870" customWidth="1"/>
    <col min="5290" max="5290" width="12" style="1870" customWidth="1"/>
    <col min="5291" max="5291" width="12.5703125" style="1870" customWidth="1"/>
    <col min="5292" max="5292" width="13.28515625" style="1870" customWidth="1"/>
    <col min="5293" max="5293" width="9.7109375" style="1870" customWidth="1"/>
    <col min="5294" max="5294" width="12.42578125" style="1870" customWidth="1"/>
    <col min="5295" max="5295" width="13" style="1870" customWidth="1"/>
    <col min="5296" max="5296" width="13.5703125" style="1870" customWidth="1"/>
    <col min="5297" max="5297" width="9.7109375" style="1870" customWidth="1"/>
    <col min="5298" max="5298" width="10.42578125" style="1870" customWidth="1"/>
    <col min="5299" max="5299" width="12" style="1870" customWidth="1"/>
    <col min="5300" max="5300" width="11.7109375" style="1870" customWidth="1"/>
    <col min="5301" max="5301" width="12.28515625" style="1870" customWidth="1"/>
    <col min="5302" max="5302" width="11.28515625" style="1870" customWidth="1"/>
    <col min="5303" max="5303" width="10.28515625" style="1870" customWidth="1"/>
    <col min="5304" max="5304" width="14.28515625" style="1870" customWidth="1"/>
    <col min="5305" max="5305" width="14" style="1870" customWidth="1"/>
    <col min="5306" max="5306" width="14.7109375" style="1870" customWidth="1"/>
    <col min="5307" max="5307" width="12.42578125" style="1870" customWidth="1"/>
    <col min="5308" max="5308" width="11.5703125" style="1870" customWidth="1"/>
    <col min="5309" max="5309" width="12" style="1870" customWidth="1"/>
    <col min="5310" max="5311" width="11.7109375" style="1870" customWidth="1"/>
    <col min="5312" max="5312" width="9.5703125" style="1870" customWidth="1"/>
    <col min="5313" max="5313" width="9.42578125" style="1870" customWidth="1"/>
    <col min="5314" max="5314" width="12.7109375" style="1870" customWidth="1"/>
    <col min="5315" max="5315" width="12" style="1870" customWidth="1"/>
    <col min="5316" max="5316" width="12.7109375" style="1870" customWidth="1"/>
    <col min="5317" max="5317" width="12.42578125" style="1870" customWidth="1"/>
    <col min="5318" max="5318" width="11.42578125" style="1870" customWidth="1"/>
    <col min="5319" max="5319" width="12" style="1870" customWidth="1"/>
    <col min="5320" max="5321" width="12.7109375" style="1870" customWidth="1"/>
    <col min="5322" max="5322" width="10.7109375" style="1870" customWidth="1"/>
    <col min="5323" max="5323" width="11.5703125" style="1870" customWidth="1"/>
    <col min="5324" max="5324" width="12" style="1870" customWidth="1"/>
    <col min="5325" max="5325" width="12.7109375" style="1870" customWidth="1"/>
    <col min="5326" max="5326" width="14" style="1870" customWidth="1"/>
    <col min="5327" max="5327" width="10.7109375" style="1870" customWidth="1"/>
    <col min="5328" max="5328" width="11.5703125" style="1870" customWidth="1"/>
    <col min="5329" max="5329" width="14.7109375" style="1870" customWidth="1"/>
    <col min="5330" max="5331" width="14.5703125" style="1870" customWidth="1"/>
    <col min="5332" max="5332" width="11.7109375" style="1870" customWidth="1"/>
    <col min="5333" max="5333" width="12" style="1870" customWidth="1"/>
    <col min="5334" max="5334" width="14.28515625" style="1870" customWidth="1"/>
    <col min="5335" max="5335" width="13.7109375" style="1870" customWidth="1"/>
    <col min="5336" max="5336" width="13.28515625" style="1870" customWidth="1"/>
    <col min="5337" max="5337" width="13.7109375" style="1870" customWidth="1"/>
    <col min="5338" max="5338" width="13.5703125" style="1870" customWidth="1"/>
    <col min="5339" max="5339" width="13.28515625" style="1870" customWidth="1"/>
    <col min="5340" max="5340" width="13" style="1870" customWidth="1"/>
    <col min="5341" max="5341" width="12.7109375" style="1870" customWidth="1"/>
    <col min="5342" max="5344" width="12" style="1870" customWidth="1"/>
    <col min="5345" max="5345" width="13.28515625" style="1870" customWidth="1"/>
    <col min="5346" max="5346" width="13.42578125" style="1870" customWidth="1"/>
    <col min="5347" max="5347" width="13.28515625" style="1870" customWidth="1"/>
    <col min="5348" max="5348" width="11.7109375" style="1870" customWidth="1"/>
    <col min="5349" max="5350" width="13.5703125" style="1870" customWidth="1"/>
    <col min="5351" max="5351" width="11.7109375" style="1870" customWidth="1"/>
    <col min="5352" max="5352" width="12.7109375" style="1870" customWidth="1"/>
    <col min="5353" max="5353" width="16" style="1870" customWidth="1"/>
    <col min="5354" max="5354" width="14.42578125" style="1870" customWidth="1"/>
    <col min="5355" max="5355" width="13.28515625" style="1870" customWidth="1"/>
    <col min="5356" max="5356" width="12.7109375" style="1870" customWidth="1"/>
    <col min="5357" max="5357" width="13" style="1870" customWidth="1"/>
    <col min="5358" max="5358" width="13.28515625" style="1870" customWidth="1"/>
    <col min="5359" max="5359" width="13.5703125" style="1870" customWidth="1"/>
    <col min="5360" max="5360" width="12.7109375" style="1870" customWidth="1"/>
    <col min="5361" max="5361" width="11.7109375" style="1870" customWidth="1"/>
    <col min="5362" max="5362" width="11.5703125" style="1870" customWidth="1"/>
    <col min="5363" max="5363" width="13.7109375" style="1870" customWidth="1"/>
    <col min="5364" max="5364" width="14.7109375" style="1870" customWidth="1"/>
    <col min="5365" max="5365" width="12.5703125" style="1870" customWidth="1"/>
    <col min="5366" max="5366" width="11.7109375" style="1870" customWidth="1"/>
    <col min="5367" max="5367" width="12.28515625" style="1870" customWidth="1"/>
    <col min="5368" max="5368" width="12.7109375" style="1870" customWidth="1"/>
    <col min="5369" max="5369" width="13.28515625" style="1870" customWidth="1"/>
    <col min="5370" max="5370" width="13.7109375" style="1870" customWidth="1"/>
    <col min="5371" max="5371" width="13" style="1870" customWidth="1"/>
    <col min="5372" max="5372" width="12.28515625" style="1870" customWidth="1"/>
    <col min="5373" max="5374" width="13.28515625" style="1870" customWidth="1"/>
    <col min="5375" max="5375" width="13.7109375" style="1870" customWidth="1"/>
    <col min="5376" max="5376" width="12.42578125" style="1870" customWidth="1"/>
    <col min="5377" max="5377" width="12" style="1870" customWidth="1"/>
    <col min="5378" max="5378" width="16.5703125" style="1870" customWidth="1"/>
    <col min="5379" max="5379" width="29.28515625" style="1870" customWidth="1"/>
    <col min="5380" max="5380" width="18.7109375" style="1870" customWidth="1"/>
    <col min="5381" max="5539" width="9.28515625" style="1870"/>
    <col min="5540" max="5540" width="6.28515625" style="1870" customWidth="1"/>
    <col min="5541" max="5541" width="42.5703125" style="1870" customWidth="1"/>
    <col min="5542" max="5542" width="11" style="1870" customWidth="1"/>
    <col min="5543" max="5543" width="13.7109375" style="1870" customWidth="1"/>
    <col min="5544" max="5544" width="15.28515625" style="1870" customWidth="1"/>
    <col min="5545" max="5545" width="11.7109375" style="1870" customWidth="1"/>
    <col min="5546" max="5546" width="12" style="1870" customWidth="1"/>
    <col min="5547" max="5547" width="12.5703125" style="1870" customWidth="1"/>
    <col min="5548" max="5548" width="13.28515625" style="1870" customWidth="1"/>
    <col min="5549" max="5549" width="9.7109375" style="1870" customWidth="1"/>
    <col min="5550" max="5550" width="12.42578125" style="1870" customWidth="1"/>
    <col min="5551" max="5551" width="13" style="1870" customWidth="1"/>
    <col min="5552" max="5552" width="13.5703125" style="1870" customWidth="1"/>
    <col min="5553" max="5553" width="9.7109375" style="1870" customWidth="1"/>
    <col min="5554" max="5554" width="10.42578125" style="1870" customWidth="1"/>
    <col min="5555" max="5555" width="12" style="1870" customWidth="1"/>
    <col min="5556" max="5556" width="11.7109375" style="1870" customWidth="1"/>
    <col min="5557" max="5557" width="12.28515625" style="1870" customWidth="1"/>
    <col min="5558" max="5558" width="11.28515625" style="1870" customWidth="1"/>
    <col min="5559" max="5559" width="10.28515625" style="1870" customWidth="1"/>
    <col min="5560" max="5560" width="14.28515625" style="1870" customWidth="1"/>
    <col min="5561" max="5561" width="14" style="1870" customWidth="1"/>
    <col min="5562" max="5562" width="14.7109375" style="1870" customWidth="1"/>
    <col min="5563" max="5563" width="12.42578125" style="1870" customWidth="1"/>
    <col min="5564" max="5564" width="11.5703125" style="1870" customWidth="1"/>
    <col min="5565" max="5565" width="12" style="1870" customWidth="1"/>
    <col min="5566" max="5567" width="11.7109375" style="1870" customWidth="1"/>
    <col min="5568" max="5568" width="9.5703125" style="1870" customWidth="1"/>
    <col min="5569" max="5569" width="9.42578125" style="1870" customWidth="1"/>
    <col min="5570" max="5570" width="12.7109375" style="1870" customWidth="1"/>
    <col min="5571" max="5571" width="12" style="1870" customWidth="1"/>
    <col min="5572" max="5572" width="12.7109375" style="1870" customWidth="1"/>
    <col min="5573" max="5573" width="12.42578125" style="1870" customWidth="1"/>
    <col min="5574" max="5574" width="11.42578125" style="1870" customWidth="1"/>
    <col min="5575" max="5575" width="12" style="1870" customWidth="1"/>
    <col min="5576" max="5577" width="12.7109375" style="1870" customWidth="1"/>
    <col min="5578" max="5578" width="10.7109375" style="1870" customWidth="1"/>
    <col min="5579" max="5579" width="11.5703125" style="1870" customWidth="1"/>
    <col min="5580" max="5580" width="12" style="1870" customWidth="1"/>
    <col min="5581" max="5581" width="12.7109375" style="1870" customWidth="1"/>
    <col min="5582" max="5582" width="14" style="1870" customWidth="1"/>
    <col min="5583" max="5583" width="10.7109375" style="1870" customWidth="1"/>
    <col min="5584" max="5584" width="11.5703125" style="1870" customWidth="1"/>
    <col min="5585" max="5585" width="14.7109375" style="1870" customWidth="1"/>
    <col min="5586" max="5587" width="14.5703125" style="1870" customWidth="1"/>
    <col min="5588" max="5588" width="11.7109375" style="1870" customWidth="1"/>
    <col min="5589" max="5589" width="12" style="1870" customWidth="1"/>
    <col min="5590" max="5590" width="14.28515625" style="1870" customWidth="1"/>
    <col min="5591" max="5591" width="13.7109375" style="1870" customWidth="1"/>
    <col min="5592" max="5592" width="13.28515625" style="1870" customWidth="1"/>
    <col min="5593" max="5593" width="13.7109375" style="1870" customWidth="1"/>
    <col min="5594" max="5594" width="13.5703125" style="1870" customWidth="1"/>
    <col min="5595" max="5595" width="13.28515625" style="1870" customWidth="1"/>
    <col min="5596" max="5596" width="13" style="1870" customWidth="1"/>
    <col min="5597" max="5597" width="12.7109375" style="1870" customWidth="1"/>
    <col min="5598" max="5600" width="12" style="1870" customWidth="1"/>
    <col min="5601" max="5601" width="13.28515625" style="1870" customWidth="1"/>
    <col min="5602" max="5602" width="13.42578125" style="1870" customWidth="1"/>
    <col min="5603" max="5603" width="13.28515625" style="1870" customWidth="1"/>
    <col min="5604" max="5604" width="11.7109375" style="1870" customWidth="1"/>
    <col min="5605" max="5606" width="13.5703125" style="1870" customWidth="1"/>
    <col min="5607" max="5607" width="11.7109375" style="1870" customWidth="1"/>
    <col min="5608" max="5608" width="12.7109375" style="1870" customWidth="1"/>
    <col min="5609" max="5609" width="16" style="1870" customWidth="1"/>
    <col min="5610" max="5610" width="14.42578125" style="1870" customWidth="1"/>
    <col min="5611" max="5611" width="13.28515625" style="1870" customWidth="1"/>
    <col min="5612" max="5612" width="12.7109375" style="1870" customWidth="1"/>
    <col min="5613" max="5613" width="13" style="1870" customWidth="1"/>
    <col min="5614" max="5614" width="13.28515625" style="1870" customWidth="1"/>
    <col min="5615" max="5615" width="13.5703125" style="1870" customWidth="1"/>
    <col min="5616" max="5616" width="12.7109375" style="1870" customWidth="1"/>
    <col min="5617" max="5617" width="11.7109375" style="1870" customWidth="1"/>
    <col min="5618" max="5618" width="11.5703125" style="1870" customWidth="1"/>
    <col min="5619" max="5619" width="13.7109375" style="1870" customWidth="1"/>
    <col min="5620" max="5620" width="14.7109375" style="1870" customWidth="1"/>
    <col min="5621" max="5621" width="12.5703125" style="1870" customWidth="1"/>
    <col min="5622" max="5622" width="11.7109375" style="1870" customWidth="1"/>
    <col min="5623" max="5623" width="12.28515625" style="1870" customWidth="1"/>
    <col min="5624" max="5624" width="12.7109375" style="1870" customWidth="1"/>
    <col min="5625" max="5625" width="13.28515625" style="1870" customWidth="1"/>
    <col min="5626" max="5626" width="13.7109375" style="1870" customWidth="1"/>
    <col min="5627" max="5627" width="13" style="1870" customWidth="1"/>
    <col min="5628" max="5628" width="12.28515625" style="1870" customWidth="1"/>
    <col min="5629" max="5630" width="13.28515625" style="1870" customWidth="1"/>
    <col min="5631" max="5631" width="13.7109375" style="1870" customWidth="1"/>
    <col min="5632" max="5632" width="12.42578125" style="1870" customWidth="1"/>
    <col min="5633" max="5633" width="12" style="1870" customWidth="1"/>
    <col min="5634" max="5634" width="16.5703125" style="1870" customWidth="1"/>
    <col min="5635" max="5635" width="29.28515625" style="1870" customWidth="1"/>
    <col min="5636" max="5636" width="18.7109375" style="1870" customWidth="1"/>
    <col min="5637" max="5795" width="9.28515625" style="1870"/>
    <col min="5796" max="5796" width="6.28515625" style="1870" customWidth="1"/>
    <col min="5797" max="5797" width="42.5703125" style="1870" customWidth="1"/>
    <col min="5798" max="5798" width="11" style="1870" customWidth="1"/>
    <col min="5799" max="5799" width="13.7109375" style="1870" customWidth="1"/>
    <col min="5800" max="5800" width="15.28515625" style="1870" customWidth="1"/>
    <col min="5801" max="5801" width="11.7109375" style="1870" customWidth="1"/>
    <col min="5802" max="5802" width="12" style="1870" customWidth="1"/>
    <col min="5803" max="5803" width="12.5703125" style="1870" customWidth="1"/>
    <col min="5804" max="5804" width="13.28515625" style="1870" customWidth="1"/>
    <col min="5805" max="5805" width="9.7109375" style="1870" customWidth="1"/>
    <col min="5806" max="5806" width="12.42578125" style="1870" customWidth="1"/>
    <col min="5807" max="5807" width="13" style="1870" customWidth="1"/>
    <col min="5808" max="5808" width="13.5703125" style="1870" customWidth="1"/>
    <col min="5809" max="5809" width="9.7109375" style="1870" customWidth="1"/>
    <col min="5810" max="5810" width="10.42578125" style="1870" customWidth="1"/>
    <col min="5811" max="5811" width="12" style="1870" customWidth="1"/>
    <col min="5812" max="5812" width="11.7109375" style="1870" customWidth="1"/>
    <col min="5813" max="5813" width="12.28515625" style="1870" customWidth="1"/>
    <col min="5814" max="5814" width="11.28515625" style="1870" customWidth="1"/>
    <col min="5815" max="5815" width="10.28515625" style="1870" customWidth="1"/>
    <col min="5816" max="5816" width="14.28515625" style="1870" customWidth="1"/>
    <col min="5817" max="5817" width="14" style="1870" customWidth="1"/>
    <col min="5818" max="5818" width="14.7109375" style="1870" customWidth="1"/>
    <col min="5819" max="5819" width="12.42578125" style="1870" customWidth="1"/>
    <col min="5820" max="5820" width="11.5703125" style="1870" customWidth="1"/>
    <col min="5821" max="5821" width="12" style="1870" customWidth="1"/>
    <col min="5822" max="5823" width="11.7109375" style="1870" customWidth="1"/>
    <col min="5824" max="5824" width="9.5703125" style="1870" customWidth="1"/>
    <col min="5825" max="5825" width="9.42578125" style="1870" customWidth="1"/>
    <col min="5826" max="5826" width="12.7109375" style="1870" customWidth="1"/>
    <col min="5827" max="5827" width="12" style="1870" customWidth="1"/>
    <col min="5828" max="5828" width="12.7109375" style="1870" customWidth="1"/>
    <col min="5829" max="5829" width="12.42578125" style="1870" customWidth="1"/>
    <col min="5830" max="5830" width="11.42578125" style="1870" customWidth="1"/>
    <col min="5831" max="5831" width="12" style="1870" customWidth="1"/>
    <col min="5832" max="5833" width="12.7109375" style="1870" customWidth="1"/>
    <col min="5834" max="5834" width="10.7109375" style="1870" customWidth="1"/>
    <col min="5835" max="5835" width="11.5703125" style="1870" customWidth="1"/>
    <col min="5836" max="5836" width="12" style="1870" customWidth="1"/>
    <col min="5837" max="5837" width="12.7109375" style="1870" customWidth="1"/>
    <col min="5838" max="5838" width="14" style="1870" customWidth="1"/>
    <col min="5839" max="5839" width="10.7109375" style="1870" customWidth="1"/>
    <col min="5840" max="5840" width="11.5703125" style="1870" customWidth="1"/>
    <col min="5841" max="5841" width="14.7109375" style="1870" customWidth="1"/>
    <col min="5842" max="5843" width="14.5703125" style="1870" customWidth="1"/>
    <col min="5844" max="5844" width="11.7109375" style="1870" customWidth="1"/>
    <col min="5845" max="5845" width="12" style="1870" customWidth="1"/>
    <col min="5846" max="5846" width="14.28515625" style="1870" customWidth="1"/>
    <col min="5847" max="5847" width="13.7109375" style="1870" customWidth="1"/>
    <col min="5848" max="5848" width="13.28515625" style="1870" customWidth="1"/>
    <col min="5849" max="5849" width="13.7109375" style="1870" customWidth="1"/>
    <col min="5850" max="5850" width="13.5703125" style="1870" customWidth="1"/>
    <col min="5851" max="5851" width="13.28515625" style="1870" customWidth="1"/>
    <col min="5852" max="5852" width="13" style="1870" customWidth="1"/>
    <col min="5853" max="5853" width="12.7109375" style="1870" customWidth="1"/>
    <col min="5854" max="5856" width="12" style="1870" customWidth="1"/>
    <col min="5857" max="5857" width="13.28515625" style="1870" customWidth="1"/>
    <col min="5858" max="5858" width="13.42578125" style="1870" customWidth="1"/>
    <col min="5859" max="5859" width="13.28515625" style="1870" customWidth="1"/>
    <col min="5860" max="5860" width="11.7109375" style="1870" customWidth="1"/>
    <col min="5861" max="5862" width="13.5703125" style="1870" customWidth="1"/>
    <col min="5863" max="5863" width="11.7109375" style="1870" customWidth="1"/>
    <col min="5864" max="5864" width="12.7109375" style="1870" customWidth="1"/>
    <col min="5865" max="5865" width="16" style="1870" customWidth="1"/>
    <col min="5866" max="5866" width="14.42578125" style="1870" customWidth="1"/>
    <col min="5867" max="5867" width="13.28515625" style="1870" customWidth="1"/>
    <col min="5868" max="5868" width="12.7109375" style="1870" customWidth="1"/>
    <col min="5869" max="5869" width="13" style="1870" customWidth="1"/>
    <col min="5870" max="5870" width="13.28515625" style="1870" customWidth="1"/>
    <col min="5871" max="5871" width="13.5703125" style="1870" customWidth="1"/>
    <col min="5872" max="5872" width="12.7109375" style="1870" customWidth="1"/>
    <col min="5873" max="5873" width="11.7109375" style="1870" customWidth="1"/>
    <col min="5874" max="5874" width="11.5703125" style="1870" customWidth="1"/>
    <col min="5875" max="5875" width="13.7109375" style="1870" customWidth="1"/>
    <col min="5876" max="5876" width="14.7109375" style="1870" customWidth="1"/>
    <col min="5877" max="5877" width="12.5703125" style="1870" customWidth="1"/>
    <col min="5878" max="5878" width="11.7109375" style="1870" customWidth="1"/>
    <col min="5879" max="5879" width="12.28515625" style="1870" customWidth="1"/>
    <col min="5880" max="5880" width="12.7109375" style="1870" customWidth="1"/>
    <col min="5881" max="5881" width="13.28515625" style="1870" customWidth="1"/>
    <col min="5882" max="5882" width="13.7109375" style="1870" customWidth="1"/>
    <col min="5883" max="5883" width="13" style="1870" customWidth="1"/>
    <col min="5884" max="5884" width="12.28515625" style="1870" customWidth="1"/>
    <col min="5885" max="5886" width="13.28515625" style="1870" customWidth="1"/>
    <col min="5887" max="5887" width="13.7109375" style="1870" customWidth="1"/>
    <col min="5888" max="5888" width="12.42578125" style="1870" customWidth="1"/>
    <col min="5889" max="5889" width="12" style="1870" customWidth="1"/>
    <col min="5890" max="5890" width="16.5703125" style="1870" customWidth="1"/>
    <col min="5891" max="5891" width="29.28515625" style="1870" customWidth="1"/>
    <col min="5892" max="5892" width="18.7109375" style="1870" customWidth="1"/>
    <col min="5893" max="6051" width="9.28515625" style="1870"/>
    <col min="6052" max="6052" width="6.28515625" style="1870" customWidth="1"/>
    <col min="6053" max="6053" width="42.5703125" style="1870" customWidth="1"/>
    <col min="6054" max="6054" width="11" style="1870" customWidth="1"/>
    <col min="6055" max="6055" width="13.7109375" style="1870" customWidth="1"/>
    <col min="6056" max="6056" width="15.28515625" style="1870" customWidth="1"/>
    <col min="6057" max="6057" width="11.7109375" style="1870" customWidth="1"/>
    <col min="6058" max="6058" width="12" style="1870" customWidth="1"/>
    <col min="6059" max="6059" width="12.5703125" style="1870" customWidth="1"/>
    <col min="6060" max="6060" width="13.28515625" style="1870" customWidth="1"/>
    <col min="6061" max="6061" width="9.7109375" style="1870" customWidth="1"/>
    <col min="6062" max="6062" width="12.42578125" style="1870" customWidth="1"/>
    <col min="6063" max="6063" width="13" style="1870" customWidth="1"/>
    <col min="6064" max="6064" width="13.5703125" style="1870" customWidth="1"/>
    <col min="6065" max="6065" width="9.7109375" style="1870" customWidth="1"/>
    <col min="6066" max="6066" width="10.42578125" style="1870" customWidth="1"/>
    <col min="6067" max="6067" width="12" style="1870" customWidth="1"/>
    <col min="6068" max="6068" width="11.7109375" style="1870" customWidth="1"/>
    <col min="6069" max="6069" width="12.28515625" style="1870" customWidth="1"/>
    <col min="6070" max="6070" width="11.28515625" style="1870" customWidth="1"/>
    <col min="6071" max="6071" width="10.28515625" style="1870" customWidth="1"/>
    <col min="6072" max="6072" width="14.28515625" style="1870" customWidth="1"/>
    <col min="6073" max="6073" width="14" style="1870" customWidth="1"/>
    <col min="6074" max="6074" width="14.7109375" style="1870" customWidth="1"/>
    <col min="6075" max="6075" width="12.42578125" style="1870" customWidth="1"/>
    <col min="6076" max="6076" width="11.5703125" style="1870" customWidth="1"/>
    <col min="6077" max="6077" width="12" style="1870" customWidth="1"/>
    <col min="6078" max="6079" width="11.7109375" style="1870" customWidth="1"/>
    <col min="6080" max="6080" width="9.5703125" style="1870" customWidth="1"/>
    <col min="6081" max="6081" width="9.42578125" style="1870" customWidth="1"/>
    <col min="6082" max="6082" width="12.7109375" style="1870" customWidth="1"/>
    <col min="6083" max="6083" width="12" style="1870" customWidth="1"/>
    <col min="6084" max="6084" width="12.7109375" style="1870" customWidth="1"/>
    <col min="6085" max="6085" width="12.42578125" style="1870" customWidth="1"/>
    <col min="6086" max="6086" width="11.42578125" style="1870" customWidth="1"/>
    <col min="6087" max="6087" width="12" style="1870" customWidth="1"/>
    <col min="6088" max="6089" width="12.7109375" style="1870" customWidth="1"/>
    <col min="6090" max="6090" width="10.7109375" style="1870" customWidth="1"/>
    <col min="6091" max="6091" width="11.5703125" style="1870" customWidth="1"/>
    <col min="6092" max="6092" width="12" style="1870" customWidth="1"/>
    <col min="6093" max="6093" width="12.7109375" style="1870" customWidth="1"/>
    <col min="6094" max="6094" width="14" style="1870" customWidth="1"/>
    <col min="6095" max="6095" width="10.7109375" style="1870" customWidth="1"/>
    <col min="6096" max="6096" width="11.5703125" style="1870" customWidth="1"/>
    <col min="6097" max="6097" width="14.7109375" style="1870" customWidth="1"/>
    <col min="6098" max="6099" width="14.5703125" style="1870" customWidth="1"/>
    <col min="6100" max="6100" width="11.7109375" style="1870" customWidth="1"/>
    <col min="6101" max="6101" width="12" style="1870" customWidth="1"/>
    <col min="6102" max="6102" width="14.28515625" style="1870" customWidth="1"/>
    <col min="6103" max="6103" width="13.7109375" style="1870" customWidth="1"/>
    <col min="6104" max="6104" width="13.28515625" style="1870" customWidth="1"/>
    <col min="6105" max="6105" width="13.7109375" style="1870" customWidth="1"/>
    <col min="6106" max="6106" width="13.5703125" style="1870" customWidth="1"/>
    <col min="6107" max="6107" width="13.28515625" style="1870" customWidth="1"/>
    <col min="6108" max="6108" width="13" style="1870" customWidth="1"/>
    <col min="6109" max="6109" width="12.7109375" style="1870" customWidth="1"/>
    <col min="6110" max="6112" width="12" style="1870" customWidth="1"/>
    <col min="6113" max="6113" width="13.28515625" style="1870" customWidth="1"/>
    <col min="6114" max="6114" width="13.42578125" style="1870" customWidth="1"/>
    <col min="6115" max="6115" width="13.28515625" style="1870" customWidth="1"/>
    <col min="6116" max="6116" width="11.7109375" style="1870" customWidth="1"/>
    <col min="6117" max="6118" width="13.5703125" style="1870" customWidth="1"/>
    <col min="6119" max="6119" width="11.7109375" style="1870" customWidth="1"/>
    <col min="6120" max="6120" width="12.7109375" style="1870" customWidth="1"/>
    <col min="6121" max="6121" width="16" style="1870" customWidth="1"/>
    <col min="6122" max="6122" width="14.42578125" style="1870" customWidth="1"/>
    <col min="6123" max="6123" width="13.28515625" style="1870" customWidth="1"/>
    <col min="6124" max="6124" width="12.7109375" style="1870" customWidth="1"/>
    <col min="6125" max="6125" width="13" style="1870" customWidth="1"/>
    <col min="6126" max="6126" width="13.28515625" style="1870" customWidth="1"/>
    <col min="6127" max="6127" width="13.5703125" style="1870" customWidth="1"/>
    <col min="6128" max="6128" width="12.7109375" style="1870" customWidth="1"/>
    <col min="6129" max="6129" width="11.7109375" style="1870" customWidth="1"/>
    <col min="6130" max="6130" width="11.5703125" style="1870" customWidth="1"/>
    <col min="6131" max="6131" width="13.7109375" style="1870" customWidth="1"/>
    <col min="6132" max="6132" width="14.7109375" style="1870" customWidth="1"/>
    <col min="6133" max="6133" width="12.5703125" style="1870" customWidth="1"/>
    <col min="6134" max="6134" width="11.7109375" style="1870" customWidth="1"/>
    <col min="6135" max="6135" width="12.28515625" style="1870" customWidth="1"/>
    <col min="6136" max="6136" width="12.7109375" style="1870" customWidth="1"/>
    <col min="6137" max="6137" width="13.28515625" style="1870" customWidth="1"/>
    <col min="6138" max="6138" width="13.7109375" style="1870" customWidth="1"/>
    <col min="6139" max="6139" width="13" style="1870" customWidth="1"/>
    <col min="6140" max="6140" width="12.28515625" style="1870" customWidth="1"/>
    <col min="6141" max="6142" width="13.28515625" style="1870" customWidth="1"/>
    <col min="6143" max="6143" width="13.7109375" style="1870" customWidth="1"/>
    <col min="6144" max="6144" width="12.42578125" style="1870" customWidth="1"/>
    <col min="6145" max="6145" width="12" style="1870" customWidth="1"/>
    <col min="6146" max="6146" width="16.5703125" style="1870" customWidth="1"/>
    <col min="6147" max="6147" width="29.28515625" style="1870" customWidth="1"/>
    <col min="6148" max="6148" width="18.7109375" style="1870" customWidth="1"/>
    <col min="6149" max="6307" width="9.28515625" style="1870"/>
    <col min="6308" max="6308" width="6.28515625" style="1870" customWidth="1"/>
    <col min="6309" max="6309" width="42.5703125" style="1870" customWidth="1"/>
    <col min="6310" max="6310" width="11" style="1870" customWidth="1"/>
    <col min="6311" max="6311" width="13.7109375" style="1870" customWidth="1"/>
    <col min="6312" max="6312" width="15.28515625" style="1870" customWidth="1"/>
    <col min="6313" max="6313" width="11.7109375" style="1870" customWidth="1"/>
    <col min="6314" max="6314" width="12" style="1870" customWidth="1"/>
    <col min="6315" max="6315" width="12.5703125" style="1870" customWidth="1"/>
    <col min="6316" max="6316" width="13.28515625" style="1870" customWidth="1"/>
    <col min="6317" max="6317" width="9.7109375" style="1870" customWidth="1"/>
    <col min="6318" max="6318" width="12.42578125" style="1870" customWidth="1"/>
    <col min="6319" max="6319" width="13" style="1870" customWidth="1"/>
    <col min="6320" max="6320" width="13.5703125" style="1870" customWidth="1"/>
    <col min="6321" max="6321" width="9.7109375" style="1870" customWidth="1"/>
    <col min="6322" max="6322" width="10.42578125" style="1870" customWidth="1"/>
    <col min="6323" max="6323" width="12" style="1870" customWidth="1"/>
    <col min="6324" max="6324" width="11.7109375" style="1870" customWidth="1"/>
    <col min="6325" max="6325" width="12.28515625" style="1870" customWidth="1"/>
    <col min="6326" max="6326" width="11.28515625" style="1870" customWidth="1"/>
    <col min="6327" max="6327" width="10.28515625" style="1870" customWidth="1"/>
    <col min="6328" max="6328" width="14.28515625" style="1870" customWidth="1"/>
    <col min="6329" max="6329" width="14" style="1870" customWidth="1"/>
    <col min="6330" max="6330" width="14.7109375" style="1870" customWidth="1"/>
    <col min="6331" max="6331" width="12.42578125" style="1870" customWidth="1"/>
    <col min="6332" max="6332" width="11.5703125" style="1870" customWidth="1"/>
    <col min="6333" max="6333" width="12" style="1870" customWidth="1"/>
    <col min="6334" max="6335" width="11.7109375" style="1870" customWidth="1"/>
    <col min="6336" max="6336" width="9.5703125" style="1870" customWidth="1"/>
    <col min="6337" max="6337" width="9.42578125" style="1870" customWidth="1"/>
    <col min="6338" max="6338" width="12.7109375" style="1870" customWidth="1"/>
    <col min="6339" max="6339" width="12" style="1870" customWidth="1"/>
    <col min="6340" max="6340" width="12.7109375" style="1870" customWidth="1"/>
    <col min="6341" max="6341" width="12.42578125" style="1870" customWidth="1"/>
    <col min="6342" max="6342" width="11.42578125" style="1870" customWidth="1"/>
    <col min="6343" max="6343" width="12" style="1870" customWidth="1"/>
    <col min="6344" max="6345" width="12.7109375" style="1870" customWidth="1"/>
    <col min="6346" max="6346" width="10.7109375" style="1870" customWidth="1"/>
    <col min="6347" max="6347" width="11.5703125" style="1870" customWidth="1"/>
    <col min="6348" max="6348" width="12" style="1870" customWidth="1"/>
    <col min="6349" max="6349" width="12.7109375" style="1870" customWidth="1"/>
    <col min="6350" max="6350" width="14" style="1870" customWidth="1"/>
    <col min="6351" max="6351" width="10.7109375" style="1870" customWidth="1"/>
    <col min="6352" max="6352" width="11.5703125" style="1870" customWidth="1"/>
    <col min="6353" max="6353" width="14.7109375" style="1870" customWidth="1"/>
    <col min="6354" max="6355" width="14.5703125" style="1870" customWidth="1"/>
    <col min="6356" max="6356" width="11.7109375" style="1870" customWidth="1"/>
    <col min="6357" max="6357" width="12" style="1870" customWidth="1"/>
    <col min="6358" max="6358" width="14.28515625" style="1870" customWidth="1"/>
    <col min="6359" max="6359" width="13.7109375" style="1870" customWidth="1"/>
    <col min="6360" max="6360" width="13.28515625" style="1870" customWidth="1"/>
    <col min="6361" max="6361" width="13.7109375" style="1870" customWidth="1"/>
    <col min="6362" max="6362" width="13.5703125" style="1870" customWidth="1"/>
    <col min="6363" max="6363" width="13.28515625" style="1870" customWidth="1"/>
    <col min="6364" max="6364" width="13" style="1870" customWidth="1"/>
    <col min="6365" max="6365" width="12.7109375" style="1870" customWidth="1"/>
    <col min="6366" max="6368" width="12" style="1870" customWidth="1"/>
    <col min="6369" max="6369" width="13.28515625" style="1870" customWidth="1"/>
    <col min="6370" max="6370" width="13.42578125" style="1870" customWidth="1"/>
    <col min="6371" max="6371" width="13.28515625" style="1870" customWidth="1"/>
    <col min="6372" max="6372" width="11.7109375" style="1870" customWidth="1"/>
    <col min="6373" max="6374" width="13.5703125" style="1870" customWidth="1"/>
    <col min="6375" max="6375" width="11.7109375" style="1870" customWidth="1"/>
    <col min="6376" max="6376" width="12.7109375" style="1870" customWidth="1"/>
    <col min="6377" max="6377" width="16" style="1870" customWidth="1"/>
    <col min="6378" max="6378" width="14.42578125" style="1870" customWidth="1"/>
    <col min="6379" max="6379" width="13.28515625" style="1870" customWidth="1"/>
    <col min="6380" max="6380" width="12.7109375" style="1870" customWidth="1"/>
    <col min="6381" max="6381" width="13" style="1870" customWidth="1"/>
    <col min="6382" max="6382" width="13.28515625" style="1870" customWidth="1"/>
    <col min="6383" max="6383" width="13.5703125" style="1870" customWidth="1"/>
    <col min="6384" max="6384" width="12.7109375" style="1870" customWidth="1"/>
    <col min="6385" max="6385" width="11.7109375" style="1870" customWidth="1"/>
    <col min="6386" max="6386" width="11.5703125" style="1870" customWidth="1"/>
    <col min="6387" max="6387" width="13.7109375" style="1870" customWidth="1"/>
    <col min="6388" max="6388" width="14.7109375" style="1870" customWidth="1"/>
    <col min="6389" max="6389" width="12.5703125" style="1870" customWidth="1"/>
    <col min="6390" max="6390" width="11.7109375" style="1870" customWidth="1"/>
    <col min="6391" max="6391" width="12.28515625" style="1870" customWidth="1"/>
    <col min="6392" max="6392" width="12.7109375" style="1870" customWidth="1"/>
    <col min="6393" max="6393" width="13.28515625" style="1870" customWidth="1"/>
    <col min="6394" max="6394" width="13.7109375" style="1870" customWidth="1"/>
    <col min="6395" max="6395" width="13" style="1870" customWidth="1"/>
    <col min="6396" max="6396" width="12.28515625" style="1870" customWidth="1"/>
    <col min="6397" max="6398" width="13.28515625" style="1870" customWidth="1"/>
    <col min="6399" max="6399" width="13.7109375" style="1870" customWidth="1"/>
    <col min="6400" max="6400" width="12.42578125" style="1870" customWidth="1"/>
    <col min="6401" max="6401" width="12" style="1870" customWidth="1"/>
    <col min="6402" max="6402" width="16.5703125" style="1870" customWidth="1"/>
    <col min="6403" max="6403" width="29.28515625" style="1870" customWidth="1"/>
    <col min="6404" max="6404" width="18.7109375" style="1870" customWidth="1"/>
    <col min="6405" max="6563" width="9.28515625" style="1870"/>
    <col min="6564" max="6564" width="6.28515625" style="1870" customWidth="1"/>
    <col min="6565" max="6565" width="42.5703125" style="1870" customWidth="1"/>
    <col min="6566" max="6566" width="11" style="1870" customWidth="1"/>
    <col min="6567" max="6567" width="13.7109375" style="1870" customWidth="1"/>
    <col min="6568" max="6568" width="15.28515625" style="1870" customWidth="1"/>
    <col min="6569" max="6569" width="11.7109375" style="1870" customWidth="1"/>
    <col min="6570" max="6570" width="12" style="1870" customWidth="1"/>
    <col min="6571" max="6571" width="12.5703125" style="1870" customWidth="1"/>
    <col min="6572" max="6572" width="13.28515625" style="1870" customWidth="1"/>
    <col min="6573" max="6573" width="9.7109375" style="1870" customWidth="1"/>
    <col min="6574" max="6574" width="12.42578125" style="1870" customWidth="1"/>
    <col min="6575" max="6575" width="13" style="1870" customWidth="1"/>
    <col min="6576" max="6576" width="13.5703125" style="1870" customWidth="1"/>
    <col min="6577" max="6577" width="9.7109375" style="1870" customWidth="1"/>
    <col min="6578" max="6578" width="10.42578125" style="1870" customWidth="1"/>
    <col min="6579" max="6579" width="12" style="1870" customWidth="1"/>
    <col min="6580" max="6580" width="11.7109375" style="1870" customWidth="1"/>
    <col min="6581" max="6581" width="12.28515625" style="1870" customWidth="1"/>
    <col min="6582" max="6582" width="11.28515625" style="1870" customWidth="1"/>
    <col min="6583" max="6583" width="10.28515625" style="1870" customWidth="1"/>
    <col min="6584" max="6584" width="14.28515625" style="1870" customWidth="1"/>
    <col min="6585" max="6585" width="14" style="1870" customWidth="1"/>
    <col min="6586" max="6586" width="14.7109375" style="1870" customWidth="1"/>
    <col min="6587" max="6587" width="12.42578125" style="1870" customWidth="1"/>
    <col min="6588" max="6588" width="11.5703125" style="1870" customWidth="1"/>
    <col min="6589" max="6589" width="12" style="1870" customWidth="1"/>
    <col min="6590" max="6591" width="11.7109375" style="1870" customWidth="1"/>
    <col min="6592" max="6592" width="9.5703125" style="1870" customWidth="1"/>
    <col min="6593" max="6593" width="9.42578125" style="1870" customWidth="1"/>
    <col min="6594" max="6594" width="12.7109375" style="1870" customWidth="1"/>
    <col min="6595" max="6595" width="12" style="1870" customWidth="1"/>
    <col min="6596" max="6596" width="12.7109375" style="1870" customWidth="1"/>
    <col min="6597" max="6597" width="12.42578125" style="1870" customWidth="1"/>
    <col min="6598" max="6598" width="11.42578125" style="1870" customWidth="1"/>
    <col min="6599" max="6599" width="12" style="1870" customWidth="1"/>
    <col min="6600" max="6601" width="12.7109375" style="1870" customWidth="1"/>
    <col min="6602" max="6602" width="10.7109375" style="1870" customWidth="1"/>
    <col min="6603" max="6603" width="11.5703125" style="1870" customWidth="1"/>
    <col min="6604" max="6604" width="12" style="1870" customWidth="1"/>
    <col min="6605" max="6605" width="12.7109375" style="1870" customWidth="1"/>
    <col min="6606" max="6606" width="14" style="1870" customWidth="1"/>
    <col min="6607" max="6607" width="10.7109375" style="1870" customWidth="1"/>
    <col min="6608" max="6608" width="11.5703125" style="1870" customWidth="1"/>
    <col min="6609" max="6609" width="14.7109375" style="1870" customWidth="1"/>
    <col min="6610" max="6611" width="14.5703125" style="1870" customWidth="1"/>
    <col min="6612" max="6612" width="11.7109375" style="1870" customWidth="1"/>
    <col min="6613" max="6613" width="12" style="1870" customWidth="1"/>
    <col min="6614" max="6614" width="14.28515625" style="1870" customWidth="1"/>
    <col min="6615" max="6615" width="13.7109375" style="1870" customWidth="1"/>
    <col min="6616" max="6616" width="13.28515625" style="1870" customWidth="1"/>
    <col min="6617" max="6617" width="13.7109375" style="1870" customWidth="1"/>
    <col min="6618" max="6618" width="13.5703125" style="1870" customWidth="1"/>
    <col min="6619" max="6619" width="13.28515625" style="1870" customWidth="1"/>
    <col min="6620" max="6620" width="13" style="1870" customWidth="1"/>
    <col min="6621" max="6621" width="12.7109375" style="1870" customWidth="1"/>
    <col min="6622" max="6624" width="12" style="1870" customWidth="1"/>
    <col min="6625" max="6625" width="13.28515625" style="1870" customWidth="1"/>
    <col min="6626" max="6626" width="13.42578125" style="1870" customWidth="1"/>
    <col min="6627" max="6627" width="13.28515625" style="1870" customWidth="1"/>
    <col min="6628" max="6628" width="11.7109375" style="1870" customWidth="1"/>
    <col min="6629" max="6630" width="13.5703125" style="1870" customWidth="1"/>
    <col min="6631" max="6631" width="11.7109375" style="1870" customWidth="1"/>
    <col min="6632" max="6632" width="12.7109375" style="1870" customWidth="1"/>
    <col min="6633" max="6633" width="16" style="1870" customWidth="1"/>
    <col min="6634" max="6634" width="14.42578125" style="1870" customWidth="1"/>
    <col min="6635" max="6635" width="13.28515625" style="1870" customWidth="1"/>
    <col min="6636" max="6636" width="12.7109375" style="1870" customWidth="1"/>
    <col min="6637" max="6637" width="13" style="1870" customWidth="1"/>
    <col min="6638" max="6638" width="13.28515625" style="1870" customWidth="1"/>
    <col min="6639" max="6639" width="13.5703125" style="1870" customWidth="1"/>
    <col min="6640" max="6640" width="12.7109375" style="1870" customWidth="1"/>
    <col min="6641" max="6641" width="11.7109375" style="1870" customWidth="1"/>
    <col min="6642" max="6642" width="11.5703125" style="1870" customWidth="1"/>
    <col min="6643" max="6643" width="13.7109375" style="1870" customWidth="1"/>
    <col min="6644" max="6644" width="14.7109375" style="1870" customWidth="1"/>
    <col min="6645" max="6645" width="12.5703125" style="1870" customWidth="1"/>
    <col min="6646" max="6646" width="11.7109375" style="1870" customWidth="1"/>
    <col min="6647" max="6647" width="12.28515625" style="1870" customWidth="1"/>
    <col min="6648" max="6648" width="12.7109375" style="1870" customWidth="1"/>
    <col min="6649" max="6649" width="13.28515625" style="1870" customWidth="1"/>
    <col min="6650" max="6650" width="13.7109375" style="1870" customWidth="1"/>
    <col min="6651" max="6651" width="13" style="1870" customWidth="1"/>
    <col min="6652" max="6652" width="12.28515625" style="1870" customWidth="1"/>
    <col min="6653" max="6654" width="13.28515625" style="1870" customWidth="1"/>
    <col min="6655" max="6655" width="13.7109375" style="1870" customWidth="1"/>
    <col min="6656" max="6656" width="12.42578125" style="1870" customWidth="1"/>
    <col min="6657" max="6657" width="12" style="1870" customWidth="1"/>
    <col min="6658" max="6658" width="16.5703125" style="1870" customWidth="1"/>
    <col min="6659" max="6659" width="29.28515625" style="1870" customWidth="1"/>
    <col min="6660" max="6660" width="18.7109375" style="1870" customWidth="1"/>
    <col min="6661" max="6819" width="9.28515625" style="1870"/>
    <col min="6820" max="6820" width="6.28515625" style="1870" customWidth="1"/>
    <col min="6821" max="6821" width="42.5703125" style="1870" customWidth="1"/>
    <col min="6822" max="6822" width="11" style="1870" customWidth="1"/>
    <col min="6823" max="6823" width="13.7109375" style="1870" customWidth="1"/>
    <col min="6824" max="6824" width="15.28515625" style="1870" customWidth="1"/>
    <col min="6825" max="6825" width="11.7109375" style="1870" customWidth="1"/>
    <col min="6826" max="6826" width="12" style="1870" customWidth="1"/>
    <col min="6827" max="6827" width="12.5703125" style="1870" customWidth="1"/>
    <col min="6828" max="6828" width="13.28515625" style="1870" customWidth="1"/>
    <col min="6829" max="6829" width="9.7109375" style="1870" customWidth="1"/>
    <col min="6830" max="6830" width="12.42578125" style="1870" customWidth="1"/>
    <col min="6831" max="6831" width="13" style="1870" customWidth="1"/>
    <col min="6832" max="6832" width="13.5703125" style="1870" customWidth="1"/>
    <col min="6833" max="6833" width="9.7109375" style="1870" customWidth="1"/>
    <col min="6834" max="6834" width="10.42578125" style="1870" customWidth="1"/>
    <col min="6835" max="6835" width="12" style="1870" customWidth="1"/>
    <col min="6836" max="6836" width="11.7109375" style="1870" customWidth="1"/>
    <col min="6837" max="6837" width="12.28515625" style="1870" customWidth="1"/>
    <col min="6838" max="6838" width="11.28515625" style="1870" customWidth="1"/>
    <col min="6839" max="6839" width="10.28515625" style="1870" customWidth="1"/>
    <col min="6840" max="6840" width="14.28515625" style="1870" customWidth="1"/>
    <col min="6841" max="6841" width="14" style="1870" customWidth="1"/>
    <col min="6842" max="6842" width="14.7109375" style="1870" customWidth="1"/>
    <col min="6843" max="6843" width="12.42578125" style="1870" customWidth="1"/>
    <col min="6844" max="6844" width="11.5703125" style="1870" customWidth="1"/>
    <col min="6845" max="6845" width="12" style="1870" customWidth="1"/>
    <col min="6846" max="6847" width="11.7109375" style="1870" customWidth="1"/>
    <col min="6848" max="6848" width="9.5703125" style="1870" customWidth="1"/>
    <col min="6849" max="6849" width="9.42578125" style="1870" customWidth="1"/>
    <col min="6850" max="6850" width="12.7109375" style="1870" customWidth="1"/>
    <col min="6851" max="6851" width="12" style="1870" customWidth="1"/>
    <col min="6852" max="6852" width="12.7109375" style="1870" customWidth="1"/>
    <col min="6853" max="6853" width="12.42578125" style="1870" customWidth="1"/>
    <col min="6854" max="6854" width="11.42578125" style="1870" customWidth="1"/>
    <col min="6855" max="6855" width="12" style="1870" customWidth="1"/>
    <col min="6856" max="6857" width="12.7109375" style="1870" customWidth="1"/>
    <col min="6858" max="6858" width="10.7109375" style="1870" customWidth="1"/>
    <col min="6859" max="6859" width="11.5703125" style="1870" customWidth="1"/>
    <col min="6860" max="6860" width="12" style="1870" customWidth="1"/>
    <col min="6861" max="6861" width="12.7109375" style="1870" customWidth="1"/>
    <col min="6862" max="6862" width="14" style="1870" customWidth="1"/>
    <col min="6863" max="6863" width="10.7109375" style="1870" customWidth="1"/>
    <col min="6864" max="6864" width="11.5703125" style="1870" customWidth="1"/>
    <col min="6865" max="6865" width="14.7109375" style="1870" customWidth="1"/>
    <col min="6866" max="6867" width="14.5703125" style="1870" customWidth="1"/>
    <col min="6868" max="6868" width="11.7109375" style="1870" customWidth="1"/>
    <col min="6869" max="6869" width="12" style="1870" customWidth="1"/>
    <col min="6870" max="6870" width="14.28515625" style="1870" customWidth="1"/>
    <col min="6871" max="6871" width="13.7109375" style="1870" customWidth="1"/>
    <col min="6872" max="6872" width="13.28515625" style="1870" customWidth="1"/>
    <col min="6873" max="6873" width="13.7109375" style="1870" customWidth="1"/>
    <col min="6874" max="6874" width="13.5703125" style="1870" customWidth="1"/>
    <col min="6875" max="6875" width="13.28515625" style="1870" customWidth="1"/>
    <col min="6876" max="6876" width="13" style="1870" customWidth="1"/>
    <col min="6877" max="6877" width="12.7109375" style="1870" customWidth="1"/>
    <col min="6878" max="6880" width="12" style="1870" customWidth="1"/>
    <col min="6881" max="6881" width="13.28515625" style="1870" customWidth="1"/>
    <col min="6882" max="6882" width="13.42578125" style="1870" customWidth="1"/>
    <col min="6883" max="6883" width="13.28515625" style="1870" customWidth="1"/>
    <col min="6884" max="6884" width="11.7109375" style="1870" customWidth="1"/>
    <col min="6885" max="6886" width="13.5703125" style="1870" customWidth="1"/>
    <col min="6887" max="6887" width="11.7109375" style="1870" customWidth="1"/>
    <col min="6888" max="6888" width="12.7109375" style="1870" customWidth="1"/>
    <col min="6889" max="6889" width="16" style="1870" customWidth="1"/>
    <col min="6890" max="6890" width="14.42578125" style="1870" customWidth="1"/>
    <col min="6891" max="6891" width="13.28515625" style="1870" customWidth="1"/>
    <col min="6892" max="6892" width="12.7109375" style="1870" customWidth="1"/>
    <col min="6893" max="6893" width="13" style="1870" customWidth="1"/>
    <col min="6894" max="6894" width="13.28515625" style="1870" customWidth="1"/>
    <col min="6895" max="6895" width="13.5703125" style="1870" customWidth="1"/>
    <col min="6896" max="6896" width="12.7109375" style="1870" customWidth="1"/>
    <col min="6897" max="6897" width="11.7109375" style="1870" customWidth="1"/>
    <col min="6898" max="6898" width="11.5703125" style="1870" customWidth="1"/>
    <col min="6899" max="6899" width="13.7109375" style="1870" customWidth="1"/>
    <col min="6900" max="6900" width="14.7109375" style="1870" customWidth="1"/>
    <col min="6901" max="6901" width="12.5703125" style="1870" customWidth="1"/>
    <col min="6902" max="6902" width="11.7109375" style="1870" customWidth="1"/>
    <col min="6903" max="6903" width="12.28515625" style="1870" customWidth="1"/>
    <col min="6904" max="6904" width="12.7109375" style="1870" customWidth="1"/>
    <col min="6905" max="6905" width="13.28515625" style="1870" customWidth="1"/>
    <col min="6906" max="6906" width="13.7109375" style="1870" customWidth="1"/>
    <col min="6907" max="6907" width="13" style="1870" customWidth="1"/>
    <col min="6908" max="6908" width="12.28515625" style="1870" customWidth="1"/>
    <col min="6909" max="6910" width="13.28515625" style="1870" customWidth="1"/>
    <col min="6911" max="6911" width="13.7109375" style="1870" customWidth="1"/>
    <col min="6912" max="6912" width="12.42578125" style="1870" customWidth="1"/>
    <col min="6913" max="6913" width="12" style="1870" customWidth="1"/>
    <col min="6914" max="6914" width="16.5703125" style="1870" customWidth="1"/>
    <col min="6915" max="6915" width="29.28515625" style="1870" customWidth="1"/>
    <col min="6916" max="6916" width="18.7109375" style="1870" customWidth="1"/>
    <col min="6917" max="7075" width="9.28515625" style="1870"/>
    <col min="7076" max="7076" width="6.28515625" style="1870" customWidth="1"/>
    <col min="7077" max="7077" width="42.5703125" style="1870" customWidth="1"/>
    <col min="7078" max="7078" width="11" style="1870" customWidth="1"/>
    <col min="7079" max="7079" width="13.7109375" style="1870" customWidth="1"/>
    <col min="7080" max="7080" width="15.28515625" style="1870" customWidth="1"/>
    <col min="7081" max="7081" width="11.7109375" style="1870" customWidth="1"/>
    <col min="7082" max="7082" width="12" style="1870" customWidth="1"/>
    <col min="7083" max="7083" width="12.5703125" style="1870" customWidth="1"/>
    <col min="7084" max="7084" width="13.28515625" style="1870" customWidth="1"/>
    <col min="7085" max="7085" width="9.7109375" style="1870" customWidth="1"/>
    <col min="7086" max="7086" width="12.42578125" style="1870" customWidth="1"/>
    <col min="7087" max="7087" width="13" style="1870" customWidth="1"/>
    <col min="7088" max="7088" width="13.5703125" style="1870" customWidth="1"/>
    <col min="7089" max="7089" width="9.7109375" style="1870" customWidth="1"/>
    <col min="7090" max="7090" width="10.42578125" style="1870" customWidth="1"/>
    <col min="7091" max="7091" width="12" style="1870" customWidth="1"/>
    <col min="7092" max="7092" width="11.7109375" style="1870" customWidth="1"/>
    <col min="7093" max="7093" width="12.28515625" style="1870" customWidth="1"/>
    <col min="7094" max="7094" width="11.28515625" style="1870" customWidth="1"/>
    <col min="7095" max="7095" width="10.28515625" style="1870" customWidth="1"/>
    <col min="7096" max="7096" width="14.28515625" style="1870" customWidth="1"/>
    <col min="7097" max="7097" width="14" style="1870" customWidth="1"/>
    <col min="7098" max="7098" width="14.7109375" style="1870" customWidth="1"/>
    <col min="7099" max="7099" width="12.42578125" style="1870" customWidth="1"/>
    <col min="7100" max="7100" width="11.5703125" style="1870" customWidth="1"/>
    <col min="7101" max="7101" width="12" style="1870" customWidth="1"/>
    <col min="7102" max="7103" width="11.7109375" style="1870" customWidth="1"/>
    <col min="7104" max="7104" width="9.5703125" style="1870" customWidth="1"/>
    <col min="7105" max="7105" width="9.42578125" style="1870" customWidth="1"/>
    <col min="7106" max="7106" width="12.7109375" style="1870" customWidth="1"/>
    <col min="7107" max="7107" width="12" style="1870" customWidth="1"/>
    <col min="7108" max="7108" width="12.7109375" style="1870" customWidth="1"/>
    <col min="7109" max="7109" width="12.42578125" style="1870" customWidth="1"/>
    <col min="7110" max="7110" width="11.42578125" style="1870" customWidth="1"/>
    <col min="7111" max="7111" width="12" style="1870" customWidth="1"/>
    <col min="7112" max="7113" width="12.7109375" style="1870" customWidth="1"/>
    <col min="7114" max="7114" width="10.7109375" style="1870" customWidth="1"/>
    <col min="7115" max="7115" width="11.5703125" style="1870" customWidth="1"/>
    <col min="7116" max="7116" width="12" style="1870" customWidth="1"/>
    <col min="7117" max="7117" width="12.7109375" style="1870" customWidth="1"/>
    <col min="7118" max="7118" width="14" style="1870" customWidth="1"/>
    <col min="7119" max="7119" width="10.7109375" style="1870" customWidth="1"/>
    <col min="7120" max="7120" width="11.5703125" style="1870" customWidth="1"/>
    <col min="7121" max="7121" width="14.7109375" style="1870" customWidth="1"/>
    <col min="7122" max="7123" width="14.5703125" style="1870" customWidth="1"/>
    <col min="7124" max="7124" width="11.7109375" style="1870" customWidth="1"/>
    <col min="7125" max="7125" width="12" style="1870" customWidth="1"/>
    <col min="7126" max="7126" width="14.28515625" style="1870" customWidth="1"/>
    <col min="7127" max="7127" width="13.7109375" style="1870" customWidth="1"/>
    <col min="7128" max="7128" width="13.28515625" style="1870" customWidth="1"/>
    <col min="7129" max="7129" width="13.7109375" style="1870" customWidth="1"/>
    <col min="7130" max="7130" width="13.5703125" style="1870" customWidth="1"/>
    <col min="7131" max="7131" width="13.28515625" style="1870" customWidth="1"/>
    <col min="7132" max="7132" width="13" style="1870" customWidth="1"/>
    <col min="7133" max="7133" width="12.7109375" style="1870" customWidth="1"/>
    <col min="7134" max="7136" width="12" style="1870" customWidth="1"/>
    <col min="7137" max="7137" width="13.28515625" style="1870" customWidth="1"/>
    <col min="7138" max="7138" width="13.42578125" style="1870" customWidth="1"/>
    <col min="7139" max="7139" width="13.28515625" style="1870" customWidth="1"/>
    <col min="7140" max="7140" width="11.7109375" style="1870" customWidth="1"/>
    <col min="7141" max="7142" width="13.5703125" style="1870" customWidth="1"/>
    <col min="7143" max="7143" width="11.7109375" style="1870" customWidth="1"/>
    <col min="7144" max="7144" width="12.7109375" style="1870" customWidth="1"/>
    <col min="7145" max="7145" width="16" style="1870" customWidth="1"/>
    <col min="7146" max="7146" width="14.42578125" style="1870" customWidth="1"/>
    <col min="7147" max="7147" width="13.28515625" style="1870" customWidth="1"/>
    <col min="7148" max="7148" width="12.7109375" style="1870" customWidth="1"/>
    <col min="7149" max="7149" width="13" style="1870" customWidth="1"/>
    <col min="7150" max="7150" width="13.28515625" style="1870" customWidth="1"/>
    <col min="7151" max="7151" width="13.5703125" style="1870" customWidth="1"/>
    <col min="7152" max="7152" width="12.7109375" style="1870" customWidth="1"/>
    <col min="7153" max="7153" width="11.7109375" style="1870" customWidth="1"/>
    <col min="7154" max="7154" width="11.5703125" style="1870" customWidth="1"/>
    <col min="7155" max="7155" width="13.7109375" style="1870" customWidth="1"/>
    <col min="7156" max="7156" width="14.7109375" style="1870" customWidth="1"/>
    <col min="7157" max="7157" width="12.5703125" style="1870" customWidth="1"/>
    <col min="7158" max="7158" width="11.7109375" style="1870" customWidth="1"/>
    <col min="7159" max="7159" width="12.28515625" style="1870" customWidth="1"/>
    <col min="7160" max="7160" width="12.7109375" style="1870" customWidth="1"/>
    <col min="7161" max="7161" width="13.28515625" style="1870" customWidth="1"/>
    <col min="7162" max="7162" width="13.7109375" style="1870" customWidth="1"/>
    <col min="7163" max="7163" width="13" style="1870" customWidth="1"/>
    <col min="7164" max="7164" width="12.28515625" style="1870" customWidth="1"/>
    <col min="7165" max="7166" width="13.28515625" style="1870" customWidth="1"/>
    <col min="7167" max="7167" width="13.7109375" style="1870" customWidth="1"/>
    <col min="7168" max="7168" width="12.42578125" style="1870" customWidth="1"/>
    <col min="7169" max="7169" width="12" style="1870" customWidth="1"/>
    <col min="7170" max="7170" width="16.5703125" style="1870" customWidth="1"/>
    <col min="7171" max="7171" width="29.28515625" style="1870" customWidth="1"/>
    <col min="7172" max="7172" width="18.7109375" style="1870" customWidth="1"/>
    <col min="7173" max="7331" width="9.28515625" style="1870"/>
    <col min="7332" max="7332" width="6.28515625" style="1870" customWidth="1"/>
    <col min="7333" max="7333" width="42.5703125" style="1870" customWidth="1"/>
    <col min="7334" max="7334" width="11" style="1870" customWidth="1"/>
    <col min="7335" max="7335" width="13.7109375" style="1870" customWidth="1"/>
    <col min="7336" max="7336" width="15.28515625" style="1870" customWidth="1"/>
    <col min="7337" max="7337" width="11.7109375" style="1870" customWidth="1"/>
    <col min="7338" max="7338" width="12" style="1870" customWidth="1"/>
    <col min="7339" max="7339" width="12.5703125" style="1870" customWidth="1"/>
    <col min="7340" max="7340" width="13.28515625" style="1870" customWidth="1"/>
    <col min="7341" max="7341" width="9.7109375" style="1870" customWidth="1"/>
    <col min="7342" max="7342" width="12.42578125" style="1870" customWidth="1"/>
    <col min="7343" max="7343" width="13" style="1870" customWidth="1"/>
    <col min="7344" max="7344" width="13.5703125" style="1870" customWidth="1"/>
    <col min="7345" max="7345" width="9.7109375" style="1870" customWidth="1"/>
    <col min="7346" max="7346" width="10.42578125" style="1870" customWidth="1"/>
    <col min="7347" max="7347" width="12" style="1870" customWidth="1"/>
    <col min="7348" max="7348" width="11.7109375" style="1870" customWidth="1"/>
    <col min="7349" max="7349" width="12.28515625" style="1870" customWidth="1"/>
    <col min="7350" max="7350" width="11.28515625" style="1870" customWidth="1"/>
    <col min="7351" max="7351" width="10.28515625" style="1870" customWidth="1"/>
    <col min="7352" max="7352" width="14.28515625" style="1870" customWidth="1"/>
    <col min="7353" max="7353" width="14" style="1870" customWidth="1"/>
    <col min="7354" max="7354" width="14.7109375" style="1870" customWidth="1"/>
    <col min="7355" max="7355" width="12.42578125" style="1870" customWidth="1"/>
    <col min="7356" max="7356" width="11.5703125" style="1870" customWidth="1"/>
    <col min="7357" max="7357" width="12" style="1870" customWidth="1"/>
    <col min="7358" max="7359" width="11.7109375" style="1870" customWidth="1"/>
    <col min="7360" max="7360" width="9.5703125" style="1870" customWidth="1"/>
    <col min="7361" max="7361" width="9.42578125" style="1870" customWidth="1"/>
    <col min="7362" max="7362" width="12.7109375" style="1870" customWidth="1"/>
    <col min="7363" max="7363" width="12" style="1870" customWidth="1"/>
    <col min="7364" max="7364" width="12.7109375" style="1870" customWidth="1"/>
    <col min="7365" max="7365" width="12.42578125" style="1870" customWidth="1"/>
    <col min="7366" max="7366" width="11.42578125" style="1870" customWidth="1"/>
    <col min="7367" max="7367" width="12" style="1870" customWidth="1"/>
    <col min="7368" max="7369" width="12.7109375" style="1870" customWidth="1"/>
    <col min="7370" max="7370" width="10.7109375" style="1870" customWidth="1"/>
    <col min="7371" max="7371" width="11.5703125" style="1870" customWidth="1"/>
    <col min="7372" max="7372" width="12" style="1870" customWidth="1"/>
    <col min="7373" max="7373" width="12.7109375" style="1870" customWidth="1"/>
    <col min="7374" max="7374" width="14" style="1870" customWidth="1"/>
    <col min="7375" max="7375" width="10.7109375" style="1870" customWidth="1"/>
    <col min="7376" max="7376" width="11.5703125" style="1870" customWidth="1"/>
    <col min="7377" max="7377" width="14.7109375" style="1870" customWidth="1"/>
    <col min="7378" max="7379" width="14.5703125" style="1870" customWidth="1"/>
    <col min="7380" max="7380" width="11.7109375" style="1870" customWidth="1"/>
    <col min="7381" max="7381" width="12" style="1870" customWidth="1"/>
    <col min="7382" max="7382" width="14.28515625" style="1870" customWidth="1"/>
    <col min="7383" max="7383" width="13.7109375" style="1870" customWidth="1"/>
    <col min="7384" max="7384" width="13.28515625" style="1870" customWidth="1"/>
    <col min="7385" max="7385" width="13.7109375" style="1870" customWidth="1"/>
    <col min="7386" max="7386" width="13.5703125" style="1870" customWidth="1"/>
    <col min="7387" max="7387" width="13.28515625" style="1870" customWidth="1"/>
    <col min="7388" max="7388" width="13" style="1870" customWidth="1"/>
    <col min="7389" max="7389" width="12.7109375" style="1870" customWidth="1"/>
    <col min="7390" max="7392" width="12" style="1870" customWidth="1"/>
    <col min="7393" max="7393" width="13.28515625" style="1870" customWidth="1"/>
    <col min="7394" max="7394" width="13.42578125" style="1870" customWidth="1"/>
    <col min="7395" max="7395" width="13.28515625" style="1870" customWidth="1"/>
    <col min="7396" max="7396" width="11.7109375" style="1870" customWidth="1"/>
    <col min="7397" max="7398" width="13.5703125" style="1870" customWidth="1"/>
    <col min="7399" max="7399" width="11.7109375" style="1870" customWidth="1"/>
    <col min="7400" max="7400" width="12.7109375" style="1870" customWidth="1"/>
    <col min="7401" max="7401" width="16" style="1870" customWidth="1"/>
    <col min="7402" max="7402" width="14.42578125" style="1870" customWidth="1"/>
    <col min="7403" max="7403" width="13.28515625" style="1870" customWidth="1"/>
    <col min="7404" max="7404" width="12.7109375" style="1870" customWidth="1"/>
    <col min="7405" max="7405" width="13" style="1870" customWidth="1"/>
    <col min="7406" max="7406" width="13.28515625" style="1870" customWidth="1"/>
    <col min="7407" max="7407" width="13.5703125" style="1870" customWidth="1"/>
    <col min="7408" max="7408" width="12.7109375" style="1870" customWidth="1"/>
    <col min="7409" max="7409" width="11.7109375" style="1870" customWidth="1"/>
    <col min="7410" max="7410" width="11.5703125" style="1870" customWidth="1"/>
    <col min="7411" max="7411" width="13.7109375" style="1870" customWidth="1"/>
    <col min="7412" max="7412" width="14.7109375" style="1870" customWidth="1"/>
    <col min="7413" max="7413" width="12.5703125" style="1870" customWidth="1"/>
    <col min="7414" max="7414" width="11.7109375" style="1870" customWidth="1"/>
    <col min="7415" max="7415" width="12.28515625" style="1870" customWidth="1"/>
    <col min="7416" max="7416" width="12.7109375" style="1870" customWidth="1"/>
    <col min="7417" max="7417" width="13.28515625" style="1870" customWidth="1"/>
    <col min="7418" max="7418" width="13.7109375" style="1870" customWidth="1"/>
    <col min="7419" max="7419" width="13" style="1870" customWidth="1"/>
    <col min="7420" max="7420" width="12.28515625" style="1870" customWidth="1"/>
    <col min="7421" max="7422" width="13.28515625" style="1870" customWidth="1"/>
    <col min="7423" max="7423" width="13.7109375" style="1870" customWidth="1"/>
    <col min="7424" max="7424" width="12.42578125" style="1870" customWidth="1"/>
    <col min="7425" max="7425" width="12" style="1870" customWidth="1"/>
    <col min="7426" max="7426" width="16.5703125" style="1870" customWidth="1"/>
    <col min="7427" max="7427" width="29.28515625" style="1870" customWidth="1"/>
    <col min="7428" max="7428" width="18.7109375" style="1870" customWidth="1"/>
    <col min="7429" max="7587" width="9.28515625" style="1870"/>
    <col min="7588" max="7588" width="6.28515625" style="1870" customWidth="1"/>
    <col min="7589" max="7589" width="42.5703125" style="1870" customWidth="1"/>
    <col min="7590" max="7590" width="11" style="1870" customWidth="1"/>
    <col min="7591" max="7591" width="13.7109375" style="1870" customWidth="1"/>
    <col min="7592" max="7592" width="15.28515625" style="1870" customWidth="1"/>
    <col min="7593" max="7593" width="11.7109375" style="1870" customWidth="1"/>
    <col min="7594" max="7594" width="12" style="1870" customWidth="1"/>
    <col min="7595" max="7595" width="12.5703125" style="1870" customWidth="1"/>
    <col min="7596" max="7596" width="13.28515625" style="1870" customWidth="1"/>
    <col min="7597" max="7597" width="9.7109375" style="1870" customWidth="1"/>
    <col min="7598" max="7598" width="12.42578125" style="1870" customWidth="1"/>
    <col min="7599" max="7599" width="13" style="1870" customWidth="1"/>
    <col min="7600" max="7600" width="13.5703125" style="1870" customWidth="1"/>
    <col min="7601" max="7601" width="9.7109375" style="1870" customWidth="1"/>
    <col min="7602" max="7602" width="10.42578125" style="1870" customWidth="1"/>
    <col min="7603" max="7603" width="12" style="1870" customWidth="1"/>
    <col min="7604" max="7604" width="11.7109375" style="1870" customWidth="1"/>
    <col min="7605" max="7605" width="12.28515625" style="1870" customWidth="1"/>
    <col min="7606" max="7606" width="11.28515625" style="1870" customWidth="1"/>
    <col min="7607" max="7607" width="10.28515625" style="1870" customWidth="1"/>
    <col min="7608" max="7608" width="14.28515625" style="1870" customWidth="1"/>
    <col min="7609" max="7609" width="14" style="1870" customWidth="1"/>
    <col min="7610" max="7610" width="14.7109375" style="1870" customWidth="1"/>
    <col min="7611" max="7611" width="12.42578125" style="1870" customWidth="1"/>
    <col min="7612" max="7612" width="11.5703125" style="1870" customWidth="1"/>
    <col min="7613" max="7613" width="12" style="1870" customWidth="1"/>
    <col min="7614" max="7615" width="11.7109375" style="1870" customWidth="1"/>
    <col min="7616" max="7616" width="9.5703125" style="1870" customWidth="1"/>
    <col min="7617" max="7617" width="9.42578125" style="1870" customWidth="1"/>
    <col min="7618" max="7618" width="12.7109375" style="1870" customWidth="1"/>
    <col min="7619" max="7619" width="12" style="1870" customWidth="1"/>
    <col min="7620" max="7620" width="12.7109375" style="1870" customWidth="1"/>
    <col min="7621" max="7621" width="12.42578125" style="1870" customWidth="1"/>
    <col min="7622" max="7622" width="11.42578125" style="1870" customWidth="1"/>
    <col min="7623" max="7623" width="12" style="1870" customWidth="1"/>
    <col min="7624" max="7625" width="12.7109375" style="1870" customWidth="1"/>
    <col min="7626" max="7626" width="10.7109375" style="1870" customWidth="1"/>
    <col min="7627" max="7627" width="11.5703125" style="1870" customWidth="1"/>
    <col min="7628" max="7628" width="12" style="1870" customWidth="1"/>
    <col min="7629" max="7629" width="12.7109375" style="1870" customWidth="1"/>
    <col min="7630" max="7630" width="14" style="1870" customWidth="1"/>
    <col min="7631" max="7631" width="10.7109375" style="1870" customWidth="1"/>
    <col min="7632" max="7632" width="11.5703125" style="1870" customWidth="1"/>
    <col min="7633" max="7633" width="14.7109375" style="1870" customWidth="1"/>
    <col min="7634" max="7635" width="14.5703125" style="1870" customWidth="1"/>
    <col min="7636" max="7636" width="11.7109375" style="1870" customWidth="1"/>
    <col min="7637" max="7637" width="12" style="1870" customWidth="1"/>
    <col min="7638" max="7638" width="14.28515625" style="1870" customWidth="1"/>
    <col min="7639" max="7639" width="13.7109375" style="1870" customWidth="1"/>
    <col min="7640" max="7640" width="13.28515625" style="1870" customWidth="1"/>
    <col min="7641" max="7641" width="13.7109375" style="1870" customWidth="1"/>
    <col min="7642" max="7642" width="13.5703125" style="1870" customWidth="1"/>
    <col min="7643" max="7643" width="13.28515625" style="1870" customWidth="1"/>
    <col min="7644" max="7644" width="13" style="1870" customWidth="1"/>
    <col min="7645" max="7645" width="12.7109375" style="1870" customWidth="1"/>
    <col min="7646" max="7648" width="12" style="1870" customWidth="1"/>
    <col min="7649" max="7649" width="13.28515625" style="1870" customWidth="1"/>
    <col min="7650" max="7650" width="13.42578125" style="1870" customWidth="1"/>
    <col min="7651" max="7651" width="13.28515625" style="1870" customWidth="1"/>
    <col min="7652" max="7652" width="11.7109375" style="1870" customWidth="1"/>
    <col min="7653" max="7654" width="13.5703125" style="1870" customWidth="1"/>
    <col min="7655" max="7655" width="11.7109375" style="1870" customWidth="1"/>
    <col min="7656" max="7656" width="12.7109375" style="1870" customWidth="1"/>
    <col min="7657" max="7657" width="16" style="1870" customWidth="1"/>
    <col min="7658" max="7658" width="14.42578125" style="1870" customWidth="1"/>
    <col min="7659" max="7659" width="13.28515625" style="1870" customWidth="1"/>
    <col min="7660" max="7660" width="12.7109375" style="1870" customWidth="1"/>
    <col min="7661" max="7661" width="13" style="1870" customWidth="1"/>
    <col min="7662" max="7662" width="13.28515625" style="1870" customWidth="1"/>
    <col min="7663" max="7663" width="13.5703125" style="1870" customWidth="1"/>
    <col min="7664" max="7664" width="12.7109375" style="1870" customWidth="1"/>
    <col min="7665" max="7665" width="11.7109375" style="1870" customWidth="1"/>
    <col min="7666" max="7666" width="11.5703125" style="1870" customWidth="1"/>
    <col min="7667" max="7667" width="13.7109375" style="1870" customWidth="1"/>
    <col min="7668" max="7668" width="14.7109375" style="1870" customWidth="1"/>
    <col min="7669" max="7669" width="12.5703125" style="1870" customWidth="1"/>
    <col min="7670" max="7670" width="11.7109375" style="1870" customWidth="1"/>
    <col min="7671" max="7671" width="12.28515625" style="1870" customWidth="1"/>
    <col min="7672" max="7672" width="12.7109375" style="1870" customWidth="1"/>
    <col min="7673" max="7673" width="13.28515625" style="1870" customWidth="1"/>
    <col min="7674" max="7674" width="13.7109375" style="1870" customWidth="1"/>
    <col min="7675" max="7675" width="13" style="1870" customWidth="1"/>
    <col min="7676" max="7676" width="12.28515625" style="1870" customWidth="1"/>
    <col min="7677" max="7678" width="13.28515625" style="1870" customWidth="1"/>
    <col min="7679" max="7679" width="13.7109375" style="1870" customWidth="1"/>
    <col min="7680" max="7680" width="12.42578125" style="1870" customWidth="1"/>
    <col min="7681" max="7681" width="12" style="1870" customWidth="1"/>
    <col min="7682" max="7682" width="16.5703125" style="1870" customWidth="1"/>
    <col min="7683" max="7683" width="29.28515625" style="1870" customWidth="1"/>
    <col min="7684" max="7684" width="18.7109375" style="1870" customWidth="1"/>
    <col min="7685" max="7843" width="9.28515625" style="1870"/>
    <col min="7844" max="7844" width="6.28515625" style="1870" customWidth="1"/>
    <col min="7845" max="7845" width="42.5703125" style="1870" customWidth="1"/>
    <col min="7846" max="7846" width="11" style="1870" customWidth="1"/>
    <col min="7847" max="7847" width="13.7109375" style="1870" customWidth="1"/>
    <col min="7848" max="7848" width="15.28515625" style="1870" customWidth="1"/>
    <col min="7849" max="7849" width="11.7109375" style="1870" customWidth="1"/>
    <col min="7850" max="7850" width="12" style="1870" customWidth="1"/>
    <col min="7851" max="7851" width="12.5703125" style="1870" customWidth="1"/>
    <col min="7852" max="7852" width="13.28515625" style="1870" customWidth="1"/>
    <col min="7853" max="7853" width="9.7109375" style="1870" customWidth="1"/>
    <col min="7854" max="7854" width="12.42578125" style="1870" customWidth="1"/>
    <col min="7855" max="7855" width="13" style="1870" customWidth="1"/>
    <col min="7856" max="7856" width="13.5703125" style="1870" customWidth="1"/>
    <col min="7857" max="7857" width="9.7109375" style="1870" customWidth="1"/>
    <col min="7858" max="7858" width="10.42578125" style="1870" customWidth="1"/>
    <col min="7859" max="7859" width="12" style="1870" customWidth="1"/>
    <col min="7860" max="7860" width="11.7109375" style="1870" customWidth="1"/>
    <col min="7861" max="7861" width="12.28515625" style="1870" customWidth="1"/>
    <col min="7862" max="7862" width="11.28515625" style="1870" customWidth="1"/>
    <col min="7863" max="7863" width="10.28515625" style="1870" customWidth="1"/>
    <col min="7864" max="7864" width="14.28515625" style="1870" customWidth="1"/>
    <col min="7865" max="7865" width="14" style="1870" customWidth="1"/>
    <col min="7866" max="7866" width="14.7109375" style="1870" customWidth="1"/>
    <col min="7867" max="7867" width="12.42578125" style="1870" customWidth="1"/>
    <col min="7868" max="7868" width="11.5703125" style="1870" customWidth="1"/>
    <col min="7869" max="7869" width="12" style="1870" customWidth="1"/>
    <col min="7870" max="7871" width="11.7109375" style="1870" customWidth="1"/>
    <col min="7872" max="7872" width="9.5703125" style="1870" customWidth="1"/>
    <col min="7873" max="7873" width="9.42578125" style="1870" customWidth="1"/>
    <col min="7874" max="7874" width="12.7109375" style="1870" customWidth="1"/>
    <col min="7875" max="7875" width="12" style="1870" customWidth="1"/>
    <col min="7876" max="7876" width="12.7109375" style="1870" customWidth="1"/>
    <col min="7877" max="7877" width="12.42578125" style="1870" customWidth="1"/>
    <col min="7878" max="7878" width="11.42578125" style="1870" customWidth="1"/>
    <col min="7879" max="7879" width="12" style="1870" customWidth="1"/>
    <col min="7880" max="7881" width="12.7109375" style="1870" customWidth="1"/>
    <col min="7882" max="7882" width="10.7109375" style="1870" customWidth="1"/>
    <col min="7883" max="7883" width="11.5703125" style="1870" customWidth="1"/>
    <col min="7884" max="7884" width="12" style="1870" customWidth="1"/>
    <col min="7885" max="7885" width="12.7109375" style="1870" customWidth="1"/>
    <col min="7886" max="7886" width="14" style="1870" customWidth="1"/>
    <col min="7887" max="7887" width="10.7109375" style="1870" customWidth="1"/>
    <col min="7888" max="7888" width="11.5703125" style="1870" customWidth="1"/>
    <col min="7889" max="7889" width="14.7109375" style="1870" customWidth="1"/>
    <col min="7890" max="7891" width="14.5703125" style="1870" customWidth="1"/>
    <col min="7892" max="7892" width="11.7109375" style="1870" customWidth="1"/>
    <col min="7893" max="7893" width="12" style="1870" customWidth="1"/>
    <col min="7894" max="7894" width="14.28515625" style="1870" customWidth="1"/>
    <col min="7895" max="7895" width="13.7109375" style="1870" customWidth="1"/>
    <col min="7896" max="7896" width="13.28515625" style="1870" customWidth="1"/>
    <col min="7897" max="7897" width="13.7109375" style="1870" customWidth="1"/>
    <col min="7898" max="7898" width="13.5703125" style="1870" customWidth="1"/>
    <col min="7899" max="7899" width="13.28515625" style="1870" customWidth="1"/>
    <col min="7900" max="7900" width="13" style="1870" customWidth="1"/>
    <col min="7901" max="7901" width="12.7109375" style="1870" customWidth="1"/>
    <col min="7902" max="7904" width="12" style="1870" customWidth="1"/>
    <col min="7905" max="7905" width="13.28515625" style="1870" customWidth="1"/>
    <col min="7906" max="7906" width="13.42578125" style="1870" customWidth="1"/>
    <col min="7907" max="7907" width="13.28515625" style="1870" customWidth="1"/>
    <col min="7908" max="7908" width="11.7109375" style="1870" customWidth="1"/>
    <col min="7909" max="7910" width="13.5703125" style="1870" customWidth="1"/>
    <col min="7911" max="7911" width="11.7109375" style="1870" customWidth="1"/>
    <col min="7912" max="7912" width="12.7109375" style="1870" customWidth="1"/>
    <col min="7913" max="7913" width="16" style="1870" customWidth="1"/>
    <col min="7914" max="7914" width="14.42578125" style="1870" customWidth="1"/>
    <col min="7915" max="7915" width="13.28515625" style="1870" customWidth="1"/>
    <col min="7916" max="7916" width="12.7109375" style="1870" customWidth="1"/>
    <col min="7917" max="7917" width="13" style="1870" customWidth="1"/>
    <col min="7918" max="7918" width="13.28515625" style="1870" customWidth="1"/>
    <col min="7919" max="7919" width="13.5703125" style="1870" customWidth="1"/>
    <col min="7920" max="7920" width="12.7109375" style="1870" customWidth="1"/>
    <col min="7921" max="7921" width="11.7109375" style="1870" customWidth="1"/>
    <col min="7922" max="7922" width="11.5703125" style="1870" customWidth="1"/>
    <col min="7923" max="7923" width="13.7109375" style="1870" customWidth="1"/>
    <col min="7924" max="7924" width="14.7109375" style="1870" customWidth="1"/>
    <col min="7925" max="7925" width="12.5703125" style="1870" customWidth="1"/>
    <col min="7926" max="7926" width="11.7109375" style="1870" customWidth="1"/>
    <col min="7927" max="7927" width="12.28515625" style="1870" customWidth="1"/>
    <col min="7928" max="7928" width="12.7109375" style="1870" customWidth="1"/>
    <col min="7929" max="7929" width="13.28515625" style="1870" customWidth="1"/>
    <col min="7930" max="7930" width="13.7109375" style="1870" customWidth="1"/>
    <col min="7931" max="7931" width="13" style="1870" customWidth="1"/>
    <col min="7932" max="7932" width="12.28515625" style="1870" customWidth="1"/>
    <col min="7933" max="7934" width="13.28515625" style="1870" customWidth="1"/>
    <col min="7935" max="7935" width="13.7109375" style="1870" customWidth="1"/>
    <col min="7936" max="7936" width="12.42578125" style="1870" customWidth="1"/>
    <col min="7937" max="7937" width="12" style="1870" customWidth="1"/>
    <col min="7938" max="7938" width="16.5703125" style="1870" customWidth="1"/>
    <col min="7939" max="7939" width="29.28515625" style="1870" customWidth="1"/>
    <col min="7940" max="7940" width="18.7109375" style="1870" customWidth="1"/>
    <col min="7941" max="8099" width="9.28515625" style="1870"/>
    <col min="8100" max="8100" width="6.28515625" style="1870" customWidth="1"/>
    <col min="8101" max="8101" width="42.5703125" style="1870" customWidth="1"/>
    <col min="8102" max="8102" width="11" style="1870" customWidth="1"/>
    <col min="8103" max="8103" width="13.7109375" style="1870" customWidth="1"/>
    <col min="8104" max="8104" width="15.28515625" style="1870" customWidth="1"/>
    <col min="8105" max="8105" width="11.7109375" style="1870" customWidth="1"/>
    <col min="8106" max="8106" width="12" style="1870" customWidth="1"/>
    <col min="8107" max="8107" width="12.5703125" style="1870" customWidth="1"/>
    <col min="8108" max="8108" width="13.28515625" style="1870" customWidth="1"/>
    <col min="8109" max="8109" width="9.7109375" style="1870" customWidth="1"/>
    <col min="8110" max="8110" width="12.42578125" style="1870" customWidth="1"/>
    <col min="8111" max="8111" width="13" style="1870" customWidth="1"/>
    <col min="8112" max="8112" width="13.5703125" style="1870" customWidth="1"/>
    <col min="8113" max="8113" width="9.7109375" style="1870" customWidth="1"/>
    <col min="8114" max="8114" width="10.42578125" style="1870" customWidth="1"/>
    <col min="8115" max="8115" width="12" style="1870" customWidth="1"/>
    <col min="8116" max="8116" width="11.7109375" style="1870" customWidth="1"/>
    <col min="8117" max="8117" width="12.28515625" style="1870" customWidth="1"/>
    <col min="8118" max="8118" width="11.28515625" style="1870" customWidth="1"/>
    <col min="8119" max="8119" width="10.28515625" style="1870" customWidth="1"/>
    <col min="8120" max="8120" width="14.28515625" style="1870" customWidth="1"/>
    <col min="8121" max="8121" width="14" style="1870" customWidth="1"/>
    <col min="8122" max="8122" width="14.7109375" style="1870" customWidth="1"/>
    <col min="8123" max="8123" width="12.42578125" style="1870" customWidth="1"/>
    <col min="8124" max="8124" width="11.5703125" style="1870" customWidth="1"/>
    <col min="8125" max="8125" width="12" style="1870" customWidth="1"/>
    <col min="8126" max="8127" width="11.7109375" style="1870" customWidth="1"/>
    <col min="8128" max="8128" width="9.5703125" style="1870" customWidth="1"/>
    <col min="8129" max="8129" width="9.42578125" style="1870" customWidth="1"/>
    <col min="8130" max="8130" width="12.7109375" style="1870" customWidth="1"/>
    <col min="8131" max="8131" width="12" style="1870" customWidth="1"/>
    <col min="8132" max="8132" width="12.7109375" style="1870" customWidth="1"/>
    <col min="8133" max="8133" width="12.42578125" style="1870" customWidth="1"/>
    <col min="8134" max="8134" width="11.42578125" style="1870" customWidth="1"/>
    <col min="8135" max="8135" width="12" style="1870" customWidth="1"/>
    <col min="8136" max="8137" width="12.7109375" style="1870" customWidth="1"/>
    <col min="8138" max="8138" width="10.7109375" style="1870" customWidth="1"/>
    <col min="8139" max="8139" width="11.5703125" style="1870" customWidth="1"/>
    <col min="8140" max="8140" width="12" style="1870" customWidth="1"/>
    <col min="8141" max="8141" width="12.7109375" style="1870" customWidth="1"/>
    <col min="8142" max="8142" width="14" style="1870" customWidth="1"/>
    <col min="8143" max="8143" width="10.7109375" style="1870" customWidth="1"/>
    <col min="8144" max="8144" width="11.5703125" style="1870" customWidth="1"/>
    <col min="8145" max="8145" width="14.7109375" style="1870" customWidth="1"/>
    <col min="8146" max="8147" width="14.5703125" style="1870" customWidth="1"/>
    <col min="8148" max="8148" width="11.7109375" style="1870" customWidth="1"/>
    <col min="8149" max="8149" width="12" style="1870" customWidth="1"/>
    <col min="8150" max="8150" width="14.28515625" style="1870" customWidth="1"/>
    <col min="8151" max="8151" width="13.7109375" style="1870" customWidth="1"/>
    <col min="8152" max="8152" width="13.28515625" style="1870" customWidth="1"/>
    <col min="8153" max="8153" width="13.7109375" style="1870" customWidth="1"/>
    <col min="8154" max="8154" width="13.5703125" style="1870" customWidth="1"/>
    <col min="8155" max="8155" width="13.28515625" style="1870" customWidth="1"/>
    <col min="8156" max="8156" width="13" style="1870" customWidth="1"/>
    <col min="8157" max="8157" width="12.7109375" style="1870" customWidth="1"/>
    <col min="8158" max="8160" width="12" style="1870" customWidth="1"/>
    <col min="8161" max="8161" width="13.28515625" style="1870" customWidth="1"/>
    <col min="8162" max="8162" width="13.42578125" style="1870" customWidth="1"/>
    <col min="8163" max="8163" width="13.28515625" style="1870" customWidth="1"/>
    <col min="8164" max="8164" width="11.7109375" style="1870" customWidth="1"/>
    <col min="8165" max="8166" width="13.5703125" style="1870" customWidth="1"/>
    <col min="8167" max="8167" width="11.7109375" style="1870" customWidth="1"/>
    <col min="8168" max="8168" width="12.7109375" style="1870" customWidth="1"/>
    <col min="8169" max="8169" width="16" style="1870" customWidth="1"/>
    <col min="8170" max="8170" width="14.42578125" style="1870" customWidth="1"/>
    <col min="8171" max="8171" width="13.28515625" style="1870" customWidth="1"/>
    <col min="8172" max="8172" width="12.7109375" style="1870" customWidth="1"/>
    <col min="8173" max="8173" width="13" style="1870" customWidth="1"/>
    <col min="8174" max="8174" width="13.28515625" style="1870" customWidth="1"/>
    <col min="8175" max="8175" width="13.5703125" style="1870" customWidth="1"/>
    <col min="8176" max="8176" width="12.7109375" style="1870" customWidth="1"/>
    <col min="8177" max="8177" width="11.7109375" style="1870" customWidth="1"/>
    <col min="8178" max="8178" width="11.5703125" style="1870" customWidth="1"/>
    <col min="8179" max="8179" width="13.7109375" style="1870" customWidth="1"/>
    <col min="8180" max="8180" width="14.7109375" style="1870" customWidth="1"/>
    <col min="8181" max="8181" width="12.5703125" style="1870" customWidth="1"/>
    <col min="8182" max="8182" width="11.7109375" style="1870" customWidth="1"/>
    <col min="8183" max="8183" width="12.28515625" style="1870" customWidth="1"/>
    <col min="8184" max="8184" width="12.7109375" style="1870" customWidth="1"/>
    <col min="8185" max="8185" width="13.28515625" style="1870" customWidth="1"/>
    <col min="8186" max="8186" width="13.7109375" style="1870" customWidth="1"/>
    <col min="8187" max="8187" width="13" style="1870" customWidth="1"/>
    <col min="8188" max="8188" width="12.28515625" style="1870" customWidth="1"/>
    <col min="8189" max="8190" width="13.28515625" style="1870" customWidth="1"/>
    <col min="8191" max="8191" width="13.7109375" style="1870" customWidth="1"/>
    <col min="8192" max="8192" width="12.42578125" style="1870" customWidth="1"/>
    <col min="8193" max="8193" width="12" style="1870" customWidth="1"/>
    <col min="8194" max="8194" width="16.5703125" style="1870" customWidth="1"/>
    <col min="8195" max="8195" width="29.28515625" style="1870" customWidth="1"/>
    <col min="8196" max="8196" width="18.7109375" style="1870" customWidth="1"/>
    <col min="8197" max="8355" width="9.28515625" style="1870"/>
    <col min="8356" max="8356" width="6.28515625" style="1870" customWidth="1"/>
    <col min="8357" max="8357" width="42.5703125" style="1870" customWidth="1"/>
    <col min="8358" max="8358" width="11" style="1870" customWidth="1"/>
    <col min="8359" max="8359" width="13.7109375" style="1870" customWidth="1"/>
    <col min="8360" max="8360" width="15.28515625" style="1870" customWidth="1"/>
    <col min="8361" max="8361" width="11.7109375" style="1870" customWidth="1"/>
    <col min="8362" max="8362" width="12" style="1870" customWidth="1"/>
    <col min="8363" max="8363" width="12.5703125" style="1870" customWidth="1"/>
    <col min="8364" max="8364" width="13.28515625" style="1870" customWidth="1"/>
    <col min="8365" max="8365" width="9.7109375" style="1870" customWidth="1"/>
    <col min="8366" max="8366" width="12.42578125" style="1870" customWidth="1"/>
    <col min="8367" max="8367" width="13" style="1870" customWidth="1"/>
    <col min="8368" max="8368" width="13.5703125" style="1870" customWidth="1"/>
    <col min="8369" max="8369" width="9.7109375" style="1870" customWidth="1"/>
    <col min="8370" max="8370" width="10.42578125" style="1870" customWidth="1"/>
    <col min="8371" max="8371" width="12" style="1870" customWidth="1"/>
    <col min="8372" max="8372" width="11.7109375" style="1870" customWidth="1"/>
    <col min="8373" max="8373" width="12.28515625" style="1870" customWidth="1"/>
    <col min="8374" max="8374" width="11.28515625" style="1870" customWidth="1"/>
    <col min="8375" max="8375" width="10.28515625" style="1870" customWidth="1"/>
    <col min="8376" max="8376" width="14.28515625" style="1870" customWidth="1"/>
    <col min="8377" max="8377" width="14" style="1870" customWidth="1"/>
    <col min="8378" max="8378" width="14.7109375" style="1870" customWidth="1"/>
    <col min="8379" max="8379" width="12.42578125" style="1870" customWidth="1"/>
    <col min="8380" max="8380" width="11.5703125" style="1870" customWidth="1"/>
    <col min="8381" max="8381" width="12" style="1870" customWidth="1"/>
    <col min="8382" max="8383" width="11.7109375" style="1870" customWidth="1"/>
    <col min="8384" max="8384" width="9.5703125" style="1870" customWidth="1"/>
    <col min="8385" max="8385" width="9.42578125" style="1870" customWidth="1"/>
    <col min="8386" max="8386" width="12.7109375" style="1870" customWidth="1"/>
    <col min="8387" max="8387" width="12" style="1870" customWidth="1"/>
    <col min="8388" max="8388" width="12.7109375" style="1870" customWidth="1"/>
    <col min="8389" max="8389" width="12.42578125" style="1870" customWidth="1"/>
    <col min="8390" max="8390" width="11.42578125" style="1870" customWidth="1"/>
    <col min="8391" max="8391" width="12" style="1870" customWidth="1"/>
    <col min="8392" max="8393" width="12.7109375" style="1870" customWidth="1"/>
    <col min="8394" max="8394" width="10.7109375" style="1870" customWidth="1"/>
    <col min="8395" max="8395" width="11.5703125" style="1870" customWidth="1"/>
    <col min="8396" max="8396" width="12" style="1870" customWidth="1"/>
    <col min="8397" max="8397" width="12.7109375" style="1870" customWidth="1"/>
    <col min="8398" max="8398" width="14" style="1870" customWidth="1"/>
    <col min="8399" max="8399" width="10.7109375" style="1870" customWidth="1"/>
    <col min="8400" max="8400" width="11.5703125" style="1870" customWidth="1"/>
    <col min="8401" max="8401" width="14.7109375" style="1870" customWidth="1"/>
    <col min="8402" max="8403" width="14.5703125" style="1870" customWidth="1"/>
    <col min="8404" max="8404" width="11.7109375" style="1870" customWidth="1"/>
    <col min="8405" max="8405" width="12" style="1870" customWidth="1"/>
    <col min="8406" max="8406" width="14.28515625" style="1870" customWidth="1"/>
    <col min="8407" max="8407" width="13.7109375" style="1870" customWidth="1"/>
    <col min="8408" max="8408" width="13.28515625" style="1870" customWidth="1"/>
    <col min="8409" max="8409" width="13.7109375" style="1870" customWidth="1"/>
    <col min="8410" max="8410" width="13.5703125" style="1870" customWidth="1"/>
    <col min="8411" max="8411" width="13.28515625" style="1870" customWidth="1"/>
    <col min="8412" max="8412" width="13" style="1870" customWidth="1"/>
    <col min="8413" max="8413" width="12.7109375" style="1870" customWidth="1"/>
    <col min="8414" max="8416" width="12" style="1870" customWidth="1"/>
    <col min="8417" max="8417" width="13.28515625" style="1870" customWidth="1"/>
    <col min="8418" max="8418" width="13.42578125" style="1870" customWidth="1"/>
    <col min="8419" max="8419" width="13.28515625" style="1870" customWidth="1"/>
    <col min="8420" max="8420" width="11.7109375" style="1870" customWidth="1"/>
    <col min="8421" max="8422" width="13.5703125" style="1870" customWidth="1"/>
    <col min="8423" max="8423" width="11.7109375" style="1870" customWidth="1"/>
    <col min="8424" max="8424" width="12.7109375" style="1870" customWidth="1"/>
    <col min="8425" max="8425" width="16" style="1870" customWidth="1"/>
    <col min="8426" max="8426" width="14.42578125" style="1870" customWidth="1"/>
    <col min="8427" max="8427" width="13.28515625" style="1870" customWidth="1"/>
    <col min="8428" max="8428" width="12.7109375" style="1870" customWidth="1"/>
    <col min="8429" max="8429" width="13" style="1870" customWidth="1"/>
    <col min="8430" max="8430" width="13.28515625" style="1870" customWidth="1"/>
    <col min="8431" max="8431" width="13.5703125" style="1870" customWidth="1"/>
    <col min="8432" max="8432" width="12.7109375" style="1870" customWidth="1"/>
    <col min="8433" max="8433" width="11.7109375" style="1870" customWidth="1"/>
    <col min="8434" max="8434" width="11.5703125" style="1870" customWidth="1"/>
    <col min="8435" max="8435" width="13.7109375" style="1870" customWidth="1"/>
    <col min="8436" max="8436" width="14.7109375" style="1870" customWidth="1"/>
    <col min="8437" max="8437" width="12.5703125" style="1870" customWidth="1"/>
    <col min="8438" max="8438" width="11.7109375" style="1870" customWidth="1"/>
    <col min="8439" max="8439" width="12.28515625" style="1870" customWidth="1"/>
    <col min="8440" max="8440" width="12.7109375" style="1870" customWidth="1"/>
    <col min="8441" max="8441" width="13.28515625" style="1870" customWidth="1"/>
    <col min="8442" max="8442" width="13.7109375" style="1870" customWidth="1"/>
    <col min="8443" max="8443" width="13" style="1870" customWidth="1"/>
    <col min="8444" max="8444" width="12.28515625" style="1870" customWidth="1"/>
    <col min="8445" max="8446" width="13.28515625" style="1870" customWidth="1"/>
    <col min="8447" max="8447" width="13.7109375" style="1870" customWidth="1"/>
    <col min="8448" max="8448" width="12.42578125" style="1870" customWidth="1"/>
    <col min="8449" max="8449" width="12" style="1870" customWidth="1"/>
    <col min="8450" max="8450" width="16.5703125" style="1870" customWidth="1"/>
    <col min="8451" max="8451" width="29.28515625" style="1870" customWidth="1"/>
    <col min="8452" max="8452" width="18.7109375" style="1870" customWidth="1"/>
    <col min="8453" max="8611" width="9.28515625" style="1870"/>
    <col min="8612" max="8612" width="6.28515625" style="1870" customWidth="1"/>
    <col min="8613" max="8613" width="42.5703125" style="1870" customWidth="1"/>
    <col min="8614" max="8614" width="11" style="1870" customWidth="1"/>
    <col min="8615" max="8615" width="13.7109375" style="1870" customWidth="1"/>
    <col min="8616" max="8616" width="15.28515625" style="1870" customWidth="1"/>
    <col min="8617" max="8617" width="11.7109375" style="1870" customWidth="1"/>
    <col min="8618" max="8618" width="12" style="1870" customWidth="1"/>
    <col min="8619" max="8619" width="12.5703125" style="1870" customWidth="1"/>
    <col min="8620" max="8620" width="13.28515625" style="1870" customWidth="1"/>
    <col min="8621" max="8621" width="9.7109375" style="1870" customWidth="1"/>
    <col min="8622" max="8622" width="12.42578125" style="1870" customWidth="1"/>
    <col min="8623" max="8623" width="13" style="1870" customWidth="1"/>
    <col min="8624" max="8624" width="13.5703125" style="1870" customWidth="1"/>
    <col min="8625" max="8625" width="9.7109375" style="1870" customWidth="1"/>
    <col min="8626" max="8626" width="10.42578125" style="1870" customWidth="1"/>
    <col min="8627" max="8627" width="12" style="1870" customWidth="1"/>
    <col min="8628" max="8628" width="11.7109375" style="1870" customWidth="1"/>
    <col min="8629" max="8629" width="12.28515625" style="1870" customWidth="1"/>
    <col min="8630" max="8630" width="11.28515625" style="1870" customWidth="1"/>
    <col min="8631" max="8631" width="10.28515625" style="1870" customWidth="1"/>
    <col min="8632" max="8632" width="14.28515625" style="1870" customWidth="1"/>
    <col min="8633" max="8633" width="14" style="1870" customWidth="1"/>
    <col min="8634" max="8634" width="14.7109375" style="1870" customWidth="1"/>
    <col min="8635" max="8635" width="12.42578125" style="1870" customWidth="1"/>
    <col min="8636" max="8636" width="11.5703125" style="1870" customWidth="1"/>
    <col min="8637" max="8637" width="12" style="1870" customWidth="1"/>
    <col min="8638" max="8639" width="11.7109375" style="1870" customWidth="1"/>
    <col min="8640" max="8640" width="9.5703125" style="1870" customWidth="1"/>
    <col min="8641" max="8641" width="9.42578125" style="1870" customWidth="1"/>
    <col min="8642" max="8642" width="12.7109375" style="1870" customWidth="1"/>
    <col min="8643" max="8643" width="12" style="1870" customWidth="1"/>
    <col min="8644" max="8644" width="12.7109375" style="1870" customWidth="1"/>
    <col min="8645" max="8645" width="12.42578125" style="1870" customWidth="1"/>
    <col min="8646" max="8646" width="11.42578125" style="1870" customWidth="1"/>
    <col min="8647" max="8647" width="12" style="1870" customWidth="1"/>
    <col min="8648" max="8649" width="12.7109375" style="1870" customWidth="1"/>
    <col min="8650" max="8650" width="10.7109375" style="1870" customWidth="1"/>
    <col min="8651" max="8651" width="11.5703125" style="1870" customWidth="1"/>
    <col min="8652" max="8652" width="12" style="1870" customWidth="1"/>
    <col min="8653" max="8653" width="12.7109375" style="1870" customWidth="1"/>
    <col min="8654" max="8654" width="14" style="1870" customWidth="1"/>
    <col min="8655" max="8655" width="10.7109375" style="1870" customWidth="1"/>
    <col min="8656" max="8656" width="11.5703125" style="1870" customWidth="1"/>
    <col min="8657" max="8657" width="14.7109375" style="1870" customWidth="1"/>
    <col min="8658" max="8659" width="14.5703125" style="1870" customWidth="1"/>
    <col min="8660" max="8660" width="11.7109375" style="1870" customWidth="1"/>
    <col min="8661" max="8661" width="12" style="1870" customWidth="1"/>
    <col min="8662" max="8662" width="14.28515625" style="1870" customWidth="1"/>
    <col min="8663" max="8663" width="13.7109375" style="1870" customWidth="1"/>
    <col min="8664" max="8664" width="13.28515625" style="1870" customWidth="1"/>
    <col min="8665" max="8665" width="13.7109375" style="1870" customWidth="1"/>
    <col min="8666" max="8666" width="13.5703125" style="1870" customWidth="1"/>
    <col min="8667" max="8667" width="13.28515625" style="1870" customWidth="1"/>
    <col min="8668" max="8668" width="13" style="1870" customWidth="1"/>
    <col min="8669" max="8669" width="12.7109375" style="1870" customWidth="1"/>
    <col min="8670" max="8672" width="12" style="1870" customWidth="1"/>
    <col min="8673" max="8673" width="13.28515625" style="1870" customWidth="1"/>
    <col min="8674" max="8674" width="13.42578125" style="1870" customWidth="1"/>
    <col min="8675" max="8675" width="13.28515625" style="1870" customWidth="1"/>
    <col min="8676" max="8676" width="11.7109375" style="1870" customWidth="1"/>
    <col min="8677" max="8678" width="13.5703125" style="1870" customWidth="1"/>
    <col min="8679" max="8679" width="11.7109375" style="1870" customWidth="1"/>
    <col min="8680" max="8680" width="12.7109375" style="1870" customWidth="1"/>
    <col min="8681" max="8681" width="16" style="1870" customWidth="1"/>
    <col min="8682" max="8682" width="14.42578125" style="1870" customWidth="1"/>
    <col min="8683" max="8683" width="13.28515625" style="1870" customWidth="1"/>
    <col min="8684" max="8684" width="12.7109375" style="1870" customWidth="1"/>
    <col min="8685" max="8685" width="13" style="1870" customWidth="1"/>
    <col min="8686" max="8686" width="13.28515625" style="1870" customWidth="1"/>
    <col min="8687" max="8687" width="13.5703125" style="1870" customWidth="1"/>
    <col min="8688" max="8688" width="12.7109375" style="1870" customWidth="1"/>
    <col min="8689" max="8689" width="11.7109375" style="1870" customWidth="1"/>
    <col min="8690" max="8690" width="11.5703125" style="1870" customWidth="1"/>
    <col min="8691" max="8691" width="13.7109375" style="1870" customWidth="1"/>
    <col min="8692" max="8692" width="14.7109375" style="1870" customWidth="1"/>
    <col min="8693" max="8693" width="12.5703125" style="1870" customWidth="1"/>
    <col min="8694" max="8694" width="11.7109375" style="1870" customWidth="1"/>
    <col min="8695" max="8695" width="12.28515625" style="1870" customWidth="1"/>
    <col min="8696" max="8696" width="12.7109375" style="1870" customWidth="1"/>
    <col min="8697" max="8697" width="13.28515625" style="1870" customWidth="1"/>
    <col min="8698" max="8698" width="13.7109375" style="1870" customWidth="1"/>
    <col min="8699" max="8699" width="13" style="1870" customWidth="1"/>
    <col min="8700" max="8700" width="12.28515625" style="1870" customWidth="1"/>
    <col min="8701" max="8702" width="13.28515625" style="1870" customWidth="1"/>
    <col min="8703" max="8703" width="13.7109375" style="1870" customWidth="1"/>
    <col min="8704" max="8704" width="12.42578125" style="1870" customWidth="1"/>
    <col min="8705" max="8705" width="12" style="1870" customWidth="1"/>
    <col min="8706" max="8706" width="16.5703125" style="1870" customWidth="1"/>
    <col min="8707" max="8707" width="29.28515625" style="1870" customWidth="1"/>
    <col min="8708" max="8708" width="18.7109375" style="1870" customWidth="1"/>
    <col min="8709" max="8867" width="9.28515625" style="1870"/>
    <col min="8868" max="8868" width="6.28515625" style="1870" customWidth="1"/>
    <col min="8869" max="8869" width="42.5703125" style="1870" customWidth="1"/>
    <col min="8870" max="8870" width="11" style="1870" customWidth="1"/>
    <col min="8871" max="8871" width="13.7109375" style="1870" customWidth="1"/>
    <col min="8872" max="8872" width="15.28515625" style="1870" customWidth="1"/>
    <col min="8873" max="8873" width="11.7109375" style="1870" customWidth="1"/>
    <col min="8874" max="8874" width="12" style="1870" customWidth="1"/>
    <col min="8875" max="8875" width="12.5703125" style="1870" customWidth="1"/>
    <col min="8876" max="8876" width="13.28515625" style="1870" customWidth="1"/>
    <col min="8877" max="8877" width="9.7109375" style="1870" customWidth="1"/>
    <col min="8878" max="8878" width="12.42578125" style="1870" customWidth="1"/>
    <col min="8879" max="8879" width="13" style="1870" customWidth="1"/>
    <col min="8880" max="8880" width="13.5703125" style="1870" customWidth="1"/>
    <col min="8881" max="8881" width="9.7109375" style="1870" customWidth="1"/>
    <col min="8882" max="8882" width="10.42578125" style="1870" customWidth="1"/>
    <col min="8883" max="8883" width="12" style="1870" customWidth="1"/>
    <col min="8884" max="8884" width="11.7109375" style="1870" customWidth="1"/>
    <col min="8885" max="8885" width="12.28515625" style="1870" customWidth="1"/>
    <col min="8886" max="8886" width="11.28515625" style="1870" customWidth="1"/>
    <col min="8887" max="8887" width="10.28515625" style="1870" customWidth="1"/>
    <col min="8888" max="8888" width="14.28515625" style="1870" customWidth="1"/>
    <col min="8889" max="8889" width="14" style="1870" customWidth="1"/>
    <col min="8890" max="8890" width="14.7109375" style="1870" customWidth="1"/>
    <col min="8891" max="8891" width="12.42578125" style="1870" customWidth="1"/>
    <col min="8892" max="8892" width="11.5703125" style="1870" customWidth="1"/>
    <col min="8893" max="8893" width="12" style="1870" customWidth="1"/>
    <col min="8894" max="8895" width="11.7109375" style="1870" customWidth="1"/>
    <col min="8896" max="8896" width="9.5703125" style="1870" customWidth="1"/>
    <col min="8897" max="8897" width="9.42578125" style="1870" customWidth="1"/>
    <col min="8898" max="8898" width="12.7109375" style="1870" customWidth="1"/>
    <col min="8899" max="8899" width="12" style="1870" customWidth="1"/>
    <col min="8900" max="8900" width="12.7109375" style="1870" customWidth="1"/>
    <col min="8901" max="8901" width="12.42578125" style="1870" customWidth="1"/>
    <col min="8902" max="8902" width="11.42578125" style="1870" customWidth="1"/>
    <col min="8903" max="8903" width="12" style="1870" customWidth="1"/>
    <col min="8904" max="8905" width="12.7109375" style="1870" customWidth="1"/>
    <col min="8906" max="8906" width="10.7109375" style="1870" customWidth="1"/>
    <col min="8907" max="8907" width="11.5703125" style="1870" customWidth="1"/>
    <col min="8908" max="8908" width="12" style="1870" customWidth="1"/>
    <col min="8909" max="8909" width="12.7109375" style="1870" customWidth="1"/>
    <col min="8910" max="8910" width="14" style="1870" customWidth="1"/>
    <col min="8911" max="8911" width="10.7109375" style="1870" customWidth="1"/>
    <col min="8912" max="8912" width="11.5703125" style="1870" customWidth="1"/>
    <col min="8913" max="8913" width="14.7109375" style="1870" customWidth="1"/>
    <col min="8914" max="8915" width="14.5703125" style="1870" customWidth="1"/>
    <col min="8916" max="8916" width="11.7109375" style="1870" customWidth="1"/>
    <col min="8917" max="8917" width="12" style="1870" customWidth="1"/>
    <col min="8918" max="8918" width="14.28515625" style="1870" customWidth="1"/>
    <col min="8919" max="8919" width="13.7109375" style="1870" customWidth="1"/>
    <col min="8920" max="8920" width="13.28515625" style="1870" customWidth="1"/>
    <col min="8921" max="8921" width="13.7109375" style="1870" customWidth="1"/>
    <col min="8922" max="8922" width="13.5703125" style="1870" customWidth="1"/>
    <col min="8923" max="8923" width="13.28515625" style="1870" customWidth="1"/>
    <col min="8924" max="8924" width="13" style="1870" customWidth="1"/>
    <col min="8925" max="8925" width="12.7109375" style="1870" customWidth="1"/>
    <col min="8926" max="8928" width="12" style="1870" customWidth="1"/>
    <col min="8929" max="8929" width="13.28515625" style="1870" customWidth="1"/>
    <col min="8930" max="8930" width="13.42578125" style="1870" customWidth="1"/>
    <col min="8931" max="8931" width="13.28515625" style="1870" customWidth="1"/>
    <col min="8932" max="8932" width="11.7109375" style="1870" customWidth="1"/>
    <col min="8933" max="8934" width="13.5703125" style="1870" customWidth="1"/>
    <col min="8935" max="8935" width="11.7109375" style="1870" customWidth="1"/>
    <col min="8936" max="8936" width="12.7109375" style="1870" customWidth="1"/>
    <col min="8937" max="8937" width="16" style="1870" customWidth="1"/>
    <col min="8938" max="8938" width="14.42578125" style="1870" customWidth="1"/>
    <col min="8939" max="8939" width="13.28515625" style="1870" customWidth="1"/>
    <col min="8940" max="8940" width="12.7109375" style="1870" customWidth="1"/>
    <col min="8941" max="8941" width="13" style="1870" customWidth="1"/>
    <col min="8942" max="8942" width="13.28515625" style="1870" customWidth="1"/>
    <col min="8943" max="8943" width="13.5703125" style="1870" customWidth="1"/>
    <col min="8944" max="8944" width="12.7109375" style="1870" customWidth="1"/>
    <col min="8945" max="8945" width="11.7109375" style="1870" customWidth="1"/>
    <col min="8946" max="8946" width="11.5703125" style="1870" customWidth="1"/>
    <col min="8947" max="8947" width="13.7109375" style="1870" customWidth="1"/>
    <col min="8948" max="8948" width="14.7109375" style="1870" customWidth="1"/>
    <col min="8949" max="8949" width="12.5703125" style="1870" customWidth="1"/>
    <col min="8950" max="8950" width="11.7109375" style="1870" customWidth="1"/>
    <col min="8951" max="8951" width="12.28515625" style="1870" customWidth="1"/>
    <col min="8952" max="8952" width="12.7109375" style="1870" customWidth="1"/>
    <col min="8953" max="8953" width="13.28515625" style="1870" customWidth="1"/>
    <col min="8954" max="8954" width="13.7109375" style="1870" customWidth="1"/>
    <col min="8955" max="8955" width="13" style="1870" customWidth="1"/>
    <col min="8956" max="8956" width="12.28515625" style="1870" customWidth="1"/>
    <col min="8957" max="8958" width="13.28515625" style="1870" customWidth="1"/>
    <col min="8959" max="8959" width="13.7109375" style="1870" customWidth="1"/>
    <col min="8960" max="8960" width="12.42578125" style="1870" customWidth="1"/>
    <col min="8961" max="8961" width="12" style="1870" customWidth="1"/>
    <col min="8962" max="8962" width="16.5703125" style="1870" customWidth="1"/>
    <col min="8963" max="8963" width="29.28515625" style="1870" customWidth="1"/>
    <col min="8964" max="8964" width="18.7109375" style="1870" customWidth="1"/>
    <col min="8965" max="9123" width="9.28515625" style="1870"/>
    <col min="9124" max="9124" width="6.28515625" style="1870" customWidth="1"/>
    <col min="9125" max="9125" width="42.5703125" style="1870" customWidth="1"/>
    <col min="9126" max="9126" width="11" style="1870" customWidth="1"/>
    <col min="9127" max="9127" width="13.7109375" style="1870" customWidth="1"/>
    <col min="9128" max="9128" width="15.28515625" style="1870" customWidth="1"/>
    <col min="9129" max="9129" width="11.7109375" style="1870" customWidth="1"/>
    <col min="9130" max="9130" width="12" style="1870" customWidth="1"/>
    <col min="9131" max="9131" width="12.5703125" style="1870" customWidth="1"/>
    <col min="9132" max="9132" width="13.28515625" style="1870" customWidth="1"/>
    <col min="9133" max="9133" width="9.7109375" style="1870" customWidth="1"/>
    <col min="9134" max="9134" width="12.42578125" style="1870" customWidth="1"/>
    <col min="9135" max="9135" width="13" style="1870" customWidth="1"/>
    <col min="9136" max="9136" width="13.5703125" style="1870" customWidth="1"/>
    <col min="9137" max="9137" width="9.7109375" style="1870" customWidth="1"/>
    <col min="9138" max="9138" width="10.42578125" style="1870" customWidth="1"/>
    <col min="9139" max="9139" width="12" style="1870" customWidth="1"/>
    <col min="9140" max="9140" width="11.7109375" style="1870" customWidth="1"/>
    <col min="9141" max="9141" width="12.28515625" style="1870" customWidth="1"/>
    <col min="9142" max="9142" width="11.28515625" style="1870" customWidth="1"/>
    <col min="9143" max="9143" width="10.28515625" style="1870" customWidth="1"/>
    <col min="9144" max="9144" width="14.28515625" style="1870" customWidth="1"/>
    <col min="9145" max="9145" width="14" style="1870" customWidth="1"/>
    <col min="9146" max="9146" width="14.7109375" style="1870" customWidth="1"/>
    <col min="9147" max="9147" width="12.42578125" style="1870" customWidth="1"/>
    <col min="9148" max="9148" width="11.5703125" style="1870" customWidth="1"/>
    <col min="9149" max="9149" width="12" style="1870" customWidth="1"/>
    <col min="9150" max="9151" width="11.7109375" style="1870" customWidth="1"/>
    <col min="9152" max="9152" width="9.5703125" style="1870" customWidth="1"/>
    <col min="9153" max="9153" width="9.42578125" style="1870" customWidth="1"/>
    <col min="9154" max="9154" width="12.7109375" style="1870" customWidth="1"/>
    <col min="9155" max="9155" width="12" style="1870" customWidth="1"/>
    <col min="9156" max="9156" width="12.7109375" style="1870" customWidth="1"/>
    <col min="9157" max="9157" width="12.42578125" style="1870" customWidth="1"/>
    <col min="9158" max="9158" width="11.42578125" style="1870" customWidth="1"/>
    <col min="9159" max="9159" width="12" style="1870" customWidth="1"/>
    <col min="9160" max="9161" width="12.7109375" style="1870" customWidth="1"/>
    <col min="9162" max="9162" width="10.7109375" style="1870" customWidth="1"/>
    <col min="9163" max="9163" width="11.5703125" style="1870" customWidth="1"/>
    <col min="9164" max="9164" width="12" style="1870" customWidth="1"/>
    <col min="9165" max="9165" width="12.7109375" style="1870" customWidth="1"/>
    <col min="9166" max="9166" width="14" style="1870" customWidth="1"/>
    <col min="9167" max="9167" width="10.7109375" style="1870" customWidth="1"/>
    <col min="9168" max="9168" width="11.5703125" style="1870" customWidth="1"/>
    <col min="9169" max="9169" width="14.7109375" style="1870" customWidth="1"/>
    <col min="9170" max="9171" width="14.5703125" style="1870" customWidth="1"/>
    <col min="9172" max="9172" width="11.7109375" style="1870" customWidth="1"/>
    <col min="9173" max="9173" width="12" style="1870" customWidth="1"/>
    <col min="9174" max="9174" width="14.28515625" style="1870" customWidth="1"/>
    <col min="9175" max="9175" width="13.7109375" style="1870" customWidth="1"/>
    <col min="9176" max="9176" width="13.28515625" style="1870" customWidth="1"/>
    <col min="9177" max="9177" width="13.7109375" style="1870" customWidth="1"/>
    <col min="9178" max="9178" width="13.5703125" style="1870" customWidth="1"/>
    <col min="9179" max="9179" width="13.28515625" style="1870" customWidth="1"/>
    <col min="9180" max="9180" width="13" style="1870" customWidth="1"/>
    <col min="9181" max="9181" width="12.7109375" style="1870" customWidth="1"/>
    <col min="9182" max="9184" width="12" style="1870" customWidth="1"/>
    <col min="9185" max="9185" width="13.28515625" style="1870" customWidth="1"/>
    <col min="9186" max="9186" width="13.42578125" style="1870" customWidth="1"/>
    <col min="9187" max="9187" width="13.28515625" style="1870" customWidth="1"/>
    <col min="9188" max="9188" width="11.7109375" style="1870" customWidth="1"/>
    <col min="9189" max="9190" width="13.5703125" style="1870" customWidth="1"/>
    <col min="9191" max="9191" width="11.7109375" style="1870" customWidth="1"/>
    <col min="9192" max="9192" width="12.7109375" style="1870" customWidth="1"/>
    <col min="9193" max="9193" width="16" style="1870" customWidth="1"/>
    <col min="9194" max="9194" width="14.42578125" style="1870" customWidth="1"/>
    <col min="9195" max="9195" width="13.28515625" style="1870" customWidth="1"/>
    <col min="9196" max="9196" width="12.7109375" style="1870" customWidth="1"/>
    <col min="9197" max="9197" width="13" style="1870" customWidth="1"/>
    <col min="9198" max="9198" width="13.28515625" style="1870" customWidth="1"/>
    <col min="9199" max="9199" width="13.5703125" style="1870" customWidth="1"/>
    <col min="9200" max="9200" width="12.7109375" style="1870" customWidth="1"/>
    <col min="9201" max="9201" width="11.7109375" style="1870" customWidth="1"/>
    <col min="9202" max="9202" width="11.5703125" style="1870" customWidth="1"/>
    <col min="9203" max="9203" width="13.7109375" style="1870" customWidth="1"/>
    <col min="9204" max="9204" width="14.7109375" style="1870" customWidth="1"/>
    <col min="9205" max="9205" width="12.5703125" style="1870" customWidth="1"/>
    <col min="9206" max="9206" width="11.7109375" style="1870" customWidth="1"/>
    <col min="9207" max="9207" width="12.28515625" style="1870" customWidth="1"/>
    <col min="9208" max="9208" width="12.7109375" style="1870" customWidth="1"/>
    <col min="9209" max="9209" width="13.28515625" style="1870" customWidth="1"/>
    <col min="9210" max="9210" width="13.7109375" style="1870" customWidth="1"/>
    <col min="9211" max="9211" width="13" style="1870" customWidth="1"/>
    <col min="9212" max="9212" width="12.28515625" style="1870" customWidth="1"/>
    <col min="9213" max="9214" width="13.28515625" style="1870" customWidth="1"/>
    <col min="9215" max="9215" width="13.7109375" style="1870" customWidth="1"/>
    <col min="9216" max="9216" width="12.42578125" style="1870" customWidth="1"/>
    <col min="9217" max="9217" width="12" style="1870" customWidth="1"/>
    <col min="9218" max="9218" width="16.5703125" style="1870" customWidth="1"/>
    <col min="9219" max="9219" width="29.28515625" style="1870" customWidth="1"/>
    <col min="9220" max="9220" width="18.7109375" style="1870" customWidth="1"/>
    <col min="9221" max="9379" width="9.28515625" style="1870"/>
    <col min="9380" max="9380" width="6.28515625" style="1870" customWidth="1"/>
    <col min="9381" max="9381" width="42.5703125" style="1870" customWidth="1"/>
    <col min="9382" max="9382" width="11" style="1870" customWidth="1"/>
    <col min="9383" max="9383" width="13.7109375" style="1870" customWidth="1"/>
    <col min="9384" max="9384" width="15.28515625" style="1870" customWidth="1"/>
    <col min="9385" max="9385" width="11.7109375" style="1870" customWidth="1"/>
    <col min="9386" max="9386" width="12" style="1870" customWidth="1"/>
    <col min="9387" max="9387" width="12.5703125" style="1870" customWidth="1"/>
    <col min="9388" max="9388" width="13.28515625" style="1870" customWidth="1"/>
    <col min="9389" max="9389" width="9.7109375" style="1870" customWidth="1"/>
    <col min="9390" max="9390" width="12.42578125" style="1870" customWidth="1"/>
    <col min="9391" max="9391" width="13" style="1870" customWidth="1"/>
    <col min="9392" max="9392" width="13.5703125" style="1870" customWidth="1"/>
    <col min="9393" max="9393" width="9.7109375" style="1870" customWidth="1"/>
    <col min="9394" max="9394" width="10.42578125" style="1870" customWidth="1"/>
    <col min="9395" max="9395" width="12" style="1870" customWidth="1"/>
    <col min="9396" max="9396" width="11.7109375" style="1870" customWidth="1"/>
    <col min="9397" max="9397" width="12.28515625" style="1870" customWidth="1"/>
    <col min="9398" max="9398" width="11.28515625" style="1870" customWidth="1"/>
    <col min="9399" max="9399" width="10.28515625" style="1870" customWidth="1"/>
    <col min="9400" max="9400" width="14.28515625" style="1870" customWidth="1"/>
    <col min="9401" max="9401" width="14" style="1870" customWidth="1"/>
    <col min="9402" max="9402" width="14.7109375" style="1870" customWidth="1"/>
    <col min="9403" max="9403" width="12.42578125" style="1870" customWidth="1"/>
    <col min="9404" max="9404" width="11.5703125" style="1870" customWidth="1"/>
    <col min="9405" max="9405" width="12" style="1870" customWidth="1"/>
    <col min="9406" max="9407" width="11.7109375" style="1870" customWidth="1"/>
    <col min="9408" max="9408" width="9.5703125" style="1870" customWidth="1"/>
    <col min="9409" max="9409" width="9.42578125" style="1870" customWidth="1"/>
    <col min="9410" max="9410" width="12.7109375" style="1870" customWidth="1"/>
    <col min="9411" max="9411" width="12" style="1870" customWidth="1"/>
    <col min="9412" max="9412" width="12.7109375" style="1870" customWidth="1"/>
    <col min="9413" max="9413" width="12.42578125" style="1870" customWidth="1"/>
    <col min="9414" max="9414" width="11.42578125" style="1870" customWidth="1"/>
    <col min="9415" max="9415" width="12" style="1870" customWidth="1"/>
    <col min="9416" max="9417" width="12.7109375" style="1870" customWidth="1"/>
    <col min="9418" max="9418" width="10.7109375" style="1870" customWidth="1"/>
    <col min="9419" max="9419" width="11.5703125" style="1870" customWidth="1"/>
    <col min="9420" max="9420" width="12" style="1870" customWidth="1"/>
    <col min="9421" max="9421" width="12.7109375" style="1870" customWidth="1"/>
    <col min="9422" max="9422" width="14" style="1870" customWidth="1"/>
    <col min="9423" max="9423" width="10.7109375" style="1870" customWidth="1"/>
    <col min="9424" max="9424" width="11.5703125" style="1870" customWidth="1"/>
    <col min="9425" max="9425" width="14.7109375" style="1870" customWidth="1"/>
    <col min="9426" max="9427" width="14.5703125" style="1870" customWidth="1"/>
    <col min="9428" max="9428" width="11.7109375" style="1870" customWidth="1"/>
    <col min="9429" max="9429" width="12" style="1870" customWidth="1"/>
    <col min="9430" max="9430" width="14.28515625" style="1870" customWidth="1"/>
    <col min="9431" max="9431" width="13.7109375" style="1870" customWidth="1"/>
    <col min="9432" max="9432" width="13.28515625" style="1870" customWidth="1"/>
    <col min="9433" max="9433" width="13.7109375" style="1870" customWidth="1"/>
    <col min="9434" max="9434" width="13.5703125" style="1870" customWidth="1"/>
    <col min="9435" max="9435" width="13.28515625" style="1870" customWidth="1"/>
    <col min="9436" max="9436" width="13" style="1870" customWidth="1"/>
    <col min="9437" max="9437" width="12.7109375" style="1870" customWidth="1"/>
    <col min="9438" max="9440" width="12" style="1870" customWidth="1"/>
    <col min="9441" max="9441" width="13.28515625" style="1870" customWidth="1"/>
    <col min="9442" max="9442" width="13.42578125" style="1870" customWidth="1"/>
    <col min="9443" max="9443" width="13.28515625" style="1870" customWidth="1"/>
    <col min="9444" max="9444" width="11.7109375" style="1870" customWidth="1"/>
    <col min="9445" max="9446" width="13.5703125" style="1870" customWidth="1"/>
    <col min="9447" max="9447" width="11.7109375" style="1870" customWidth="1"/>
    <col min="9448" max="9448" width="12.7109375" style="1870" customWidth="1"/>
    <col min="9449" max="9449" width="16" style="1870" customWidth="1"/>
    <col min="9450" max="9450" width="14.42578125" style="1870" customWidth="1"/>
    <col min="9451" max="9451" width="13.28515625" style="1870" customWidth="1"/>
    <col min="9452" max="9452" width="12.7109375" style="1870" customWidth="1"/>
    <col min="9453" max="9453" width="13" style="1870" customWidth="1"/>
    <col min="9454" max="9454" width="13.28515625" style="1870" customWidth="1"/>
    <col min="9455" max="9455" width="13.5703125" style="1870" customWidth="1"/>
    <col min="9456" max="9456" width="12.7109375" style="1870" customWidth="1"/>
    <col min="9457" max="9457" width="11.7109375" style="1870" customWidth="1"/>
    <col min="9458" max="9458" width="11.5703125" style="1870" customWidth="1"/>
    <col min="9459" max="9459" width="13.7109375" style="1870" customWidth="1"/>
    <col min="9460" max="9460" width="14.7109375" style="1870" customWidth="1"/>
    <col min="9461" max="9461" width="12.5703125" style="1870" customWidth="1"/>
    <col min="9462" max="9462" width="11.7109375" style="1870" customWidth="1"/>
    <col min="9463" max="9463" width="12.28515625" style="1870" customWidth="1"/>
    <col min="9464" max="9464" width="12.7109375" style="1870" customWidth="1"/>
    <col min="9465" max="9465" width="13.28515625" style="1870" customWidth="1"/>
    <col min="9466" max="9466" width="13.7109375" style="1870" customWidth="1"/>
    <col min="9467" max="9467" width="13" style="1870" customWidth="1"/>
    <col min="9468" max="9468" width="12.28515625" style="1870" customWidth="1"/>
    <col min="9469" max="9470" width="13.28515625" style="1870" customWidth="1"/>
    <col min="9471" max="9471" width="13.7109375" style="1870" customWidth="1"/>
    <col min="9472" max="9472" width="12.42578125" style="1870" customWidth="1"/>
    <col min="9473" max="9473" width="12" style="1870" customWidth="1"/>
    <col min="9474" max="9474" width="16.5703125" style="1870" customWidth="1"/>
    <col min="9475" max="9475" width="29.28515625" style="1870" customWidth="1"/>
    <col min="9476" max="9476" width="18.7109375" style="1870" customWidth="1"/>
    <col min="9477" max="9635" width="9.28515625" style="1870"/>
    <col min="9636" max="9636" width="6.28515625" style="1870" customWidth="1"/>
    <col min="9637" max="9637" width="42.5703125" style="1870" customWidth="1"/>
    <col min="9638" max="9638" width="11" style="1870" customWidth="1"/>
    <col min="9639" max="9639" width="13.7109375" style="1870" customWidth="1"/>
    <col min="9640" max="9640" width="15.28515625" style="1870" customWidth="1"/>
    <col min="9641" max="9641" width="11.7109375" style="1870" customWidth="1"/>
    <col min="9642" max="9642" width="12" style="1870" customWidth="1"/>
    <col min="9643" max="9643" width="12.5703125" style="1870" customWidth="1"/>
    <col min="9644" max="9644" width="13.28515625" style="1870" customWidth="1"/>
    <col min="9645" max="9645" width="9.7109375" style="1870" customWidth="1"/>
    <col min="9646" max="9646" width="12.42578125" style="1870" customWidth="1"/>
    <col min="9647" max="9647" width="13" style="1870" customWidth="1"/>
    <col min="9648" max="9648" width="13.5703125" style="1870" customWidth="1"/>
    <col min="9649" max="9649" width="9.7109375" style="1870" customWidth="1"/>
    <col min="9650" max="9650" width="10.42578125" style="1870" customWidth="1"/>
    <col min="9651" max="9651" width="12" style="1870" customWidth="1"/>
    <col min="9652" max="9652" width="11.7109375" style="1870" customWidth="1"/>
    <col min="9653" max="9653" width="12.28515625" style="1870" customWidth="1"/>
    <col min="9654" max="9654" width="11.28515625" style="1870" customWidth="1"/>
    <col min="9655" max="9655" width="10.28515625" style="1870" customWidth="1"/>
    <col min="9656" max="9656" width="14.28515625" style="1870" customWidth="1"/>
    <col min="9657" max="9657" width="14" style="1870" customWidth="1"/>
    <col min="9658" max="9658" width="14.7109375" style="1870" customWidth="1"/>
    <col min="9659" max="9659" width="12.42578125" style="1870" customWidth="1"/>
    <col min="9660" max="9660" width="11.5703125" style="1870" customWidth="1"/>
    <col min="9661" max="9661" width="12" style="1870" customWidth="1"/>
    <col min="9662" max="9663" width="11.7109375" style="1870" customWidth="1"/>
    <col min="9664" max="9664" width="9.5703125" style="1870" customWidth="1"/>
    <col min="9665" max="9665" width="9.42578125" style="1870" customWidth="1"/>
    <col min="9666" max="9666" width="12.7109375" style="1870" customWidth="1"/>
    <col min="9667" max="9667" width="12" style="1870" customWidth="1"/>
    <col min="9668" max="9668" width="12.7109375" style="1870" customWidth="1"/>
    <col min="9669" max="9669" width="12.42578125" style="1870" customWidth="1"/>
    <col min="9670" max="9670" width="11.42578125" style="1870" customWidth="1"/>
    <col min="9671" max="9671" width="12" style="1870" customWidth="1"/>
    <col min="9672" max="9673" width="12.7109375" style="1870" customWidth="1"/>
    <col min="9674" max="9674" width="10.7109375" style="1870" customWidth="1"/>
    <col min="9675" max="9675" width="11.5703125" style="1870" customWidth="1"/>
    <col min="9676" max="9676" width="12" style="1870" customWidth="1"/>
    <col min="9677" max="9677" width="12.7109375" style="1870" customWidth="1"/>
    <col min="9678" max="9678" width="14" style="1870" customWidth="1"/>
    <col min="9679" max="9679" width="10.7109375" style="1870" customWidth="1"/>
    <col min="9680" max="9680" width="11.5703125" style="1870" customWidth="1"/>
    <col min="9681" max="9681" width="14.7109375" style="1870" customWidth="1"/>
    <col min="9682" max="9683" width="14.5703125" style="1870" customWidth="1"/>
    <col min="9684" max="9684" width="11.7109375" style="1870" customWidth="1"/>
    <col min="9685" max="9685" width="12" style="1870" customWidth="1"/>
    <col min="9686" max="9686" width="14.28515625" style="1870" customWidth="1"/>
    <col min="9687" max="9687" width="13.7109375" style="1870" customWidth="1"/>
    <col min="9688" max="9688" width="13.28515625" style="1870" customWidth="1"/>
    <col min="9689" max="9689" width="13.7109375" style="1870" customWidth="1"/>
    <col min="9690" max="9690" width="13.5703125" style="1870" customWidth="1"/>
    <col min="9691" max="9691" width="13.28515625" style="1870" customWidth="1"/>
    <col min="9692" max="9692" width="13" style="1870" customWidth="1"/>
    <col min="9693" max="9693" width="12.7109375" style="1870" customWidth="1"/>
    <col min="9694" max="9696" width="12" style="1870" customWidth="1"/>
    <col min="9697" max="9697" width="13.28515625" style="1870" customWidth="1"/>
    <col min="9698" max="9698" width="13.42578125" style="1870" customWidth="1"/>
    <col min="9699" max="9699" width="13.28515625" style="1870" customWidth="1"/>
    <col min="9700" max="9700" width="11.7109375" style="1870" customWidth="1"/>
    <col min="9701" max="9702" width="13.5703125" style="1870" customWidth="1"/>
    <col min="9703" max="9703" width="11.7109375" style="1870" customWidth="1"/>
    <col min="9704" max="9704" width="12.7109375" style="1870" customWidth="1"/>
    <col min="9705" max="9705" width="16" style="1870" customWidth="1"/>
    <col min="9706" max="9706" width="14.42578125" style="1870" customWidth="1"/>
    <col min="9707" max="9707" width="13.28515625" style="1870" customWidth="1"/>
    <col min="9708" max="9708" width="12.7109375" style="1870" customWidth="1"/>
    <col min="9709" max="9709" width="13" style="1870" customWidth="1"/>
    <col min="9710" max="9710" width="13.28515625" style="1870" customWidth="1"/>
    <col min="9711" max="9711" width="13.5703125" style="1870" customWidth="1"/>
    <col min="9712" max="9712" width="12.7109375" style="1870" customWidth="1"/>
    <col min="9713" max="9713" width="11.7109375" style="1870" customWidth="1"/>
    <col min="9714" max="9714" width="11.5703125" style="1870" customWidth="1"/>
    <col min="9715" max="9715" width="13.7109375" style="1870" customWidth="1"/>
    <col min="9716" max="9716" width="14.7109375" style="1870" customWidth="1"/>
    <col min="9717" max="9717" width="12.5703125" style="1870" customWidth="1"/>
    <col min="9718" max="9718" width="11.7109375" style="1870" customWidth="1"/>
    <col min="9719" max="9719" width="12.28515625" style="1870" customWidth="1"/>
    <col min="9720" max="9720" width="12.7109375" style="1870" customWidth="1"/>
    <col min="9721" max="9721" width="13.28515625" style="1870" customWidth="1"/>
    <col min="9722" max="9722" width="13.7109375" style="1870" customWidth="1"/>
    <col min="9723" max="9723" width="13" style="1870" customWidth="1"/>
    <col min="9724" max="9724" width="12.28515625" style="1870" customWidth="1"/>
    <col min="9725" max="9726" width="13.28515625" style="1870" customWidth="1"/>
    <col min="9727" max="9727" width="13.7109375" style="1870" customWidth="1"/>
    <col min="9728" max="9728" width="12.42578125" style="1870" customWidth="1"/>
    <col min="9729" max="9729" width="12" style="1870" customWidth="1"/>
    <col min="9730" max="9730" width="16.5703125" style="1870" customWidth="1"/>
    <col min="9731" max="9731" width="29.28515625" style="1870" customWidth="1"/>
    <col min="9732" max="9732" width="18.7109375" style="1870" customWidth="1"/>
    <col min="9733" max="9891" width="9.28515625" style="1870"/>
    <col min="9892" max="9892" width="6.28515625" style="1870" customWidth="1"/>
    <col min="9893" max="9893" width="42.5703125" style="1870" customWidth="1"/>
    <col min="9894" max="9894" width="11" style="1870" customWidth="1"/>
    <col min="9895" max="9895" width="13.7109375" style="1870" customWidth="1"/>
    <col min="9896" max="9896" width="15.28515625" style="1870" customWidth="1"/>
    <col min="9897" max="9897" width="11.7109375" style="1870" customWidth="1"/>
    <col min="9898" max="9898" width="12" style="1870" customWidth="1"/>
    <col min="9899" max="9899" width="12.5703125" style="1870" customWidth="1"/>
    <col min="9900" max="9900" width="13.28515625" style="1870" customWidth="1"/>
    <col min="9901" max="9901" width="9.7109375" style="1870" customWidth="1"/>
    <col min="9902" max="9902" width="12.42578125" style="1870" customWidth="1"/>
    <col min="9903" max="9903" width="13" style="1870" customWidth="1"/>
    <col min="9904" max="9904" width="13.5703125" style="1870" customWidth="1"/>
    <col min="9905" max="9905" width="9.7109375" style="1870" customWidth="1"/>
    <col min="9906" max="9906" width="10.42578125" style="1870" customWidth="1"/>
    <col min="9907" max="9907" width="12" style="1870" customWidth="1"/>
    <col min="9908" max="9908" width="11.7109375" style="1870" customWidth="1"/>
    <col min="9909" max="9909" width="12.28515625" style="1870" customWidth="1"/>
    <col min="9910" max="9910" width="11.28515625" style="1870" customWidth="1"/>
    <col min="9911" max="9911" width="10.28515625" style="1870" customWidth="1"/>
    <col min="9912" max="9912" width="14.28515625" style="1870" customWidth="1"/>
    <col min="9913" max="9913" width="14" style="1870" customWidth="1"/>
    <col min="9914" max="9914" width="14.7109375" style="1870" customWidth="1"/>
    <col min="9915" max="9915" width="12.42578125" style="1870" customWidth="1"/>
    <col min="9916" max="9916" width="11.5703125" style="1870" customWidth="1"/>
    <col min="9917" max="9917" width="12" style="1870" customWidth="1"/>
    <col min="9918" max="9919" width="11.7109375" style="1870" customWidth="1"/>
    <col min="9920" max="9920" width="9.5703125" style="1870" customWidth="1"/>
    <col min="9921" max="9921" width="9.42578125" style="1870" customWidth="1"/>
    <col min="9922" max="9922" width="12.7109375" style="1870" customWidth="1"/>
    <col min="9923" max="9923" width="12" style="1870" customWidth="1"/>
    <col min="9924" max="9924" width="12.7109375" style="1870" customWidth="1"/>
    <col min="9925" max="9925" width="12.42578125" style="1870" customWidth="1"/>
    <col min="9926" max="9926" width="11.42578125" style="1870" customWidth="1"/>
    <col min="9927" max="9927" width="12" style="1870" customWidth="1"/>
    <col min="9928" max="9929" width="12.7109375" style="1870" customWidth="1"/>
    <col min="9930" max="9930" width="10.7109375" style="1870" customWidth="1"/>
    <col min="9931" max="9931" width="11.5703125" style="1870" customWidth="1"/>
    <col min="9932" max="9932" width="12" style="1870" customWidth="1"/>
    <col min="9933" max="9933" width="12.7109375" style="1870" customWidth="1"/>
    <col min="9934" max="9934" width="14" style="1870" customWidth="1"/>
    <col min="9935" max="9935" width="10.7109375" style="1870" customWidth="1"/>
    <col min="9936" max="9936" width="11.5703125" style="1870" customWidth="1"/>
    <col min="9937" max="9937" width="14.7109375" style="1870" customWidth="1"/>
    <col min="9938" max="9939" width="14.5703125" style="1870" customWidth="1"/>
    <col min="9940" max="9940" width="11.7109375" style="1870" customWidth="1"/>
    <col min="9941" max="9941" width="12" style="1870" customWidth="1"/>
    <col min="9942" max="9942" width="14.28515625" style="1870" customWidth="1"/>
    <col min="9943" max="9943" width="13.7109375" style="1870" customWidth="1"/>
    <col min="9944" max="9944" width="13.28515625" style="1870" customWidth="1"/>
    <col min="9945" max="9945" width="13.7109375" style="1870" customWidth="1"/>
    <col min="9946" max="9946" width="13.5703125" style="1870" customWidth="1"/>
    <col min="9947" max="9947" width="13.28515625" style="1870" customWidth="1"/>
    <col min="9948" max="9948" width="13" style="1870" customWidth="1"/>
    <col min="9949" max="9949" width="12.7109375" style="1870" customWidth="1"/>
    <col min="9950" max="9952" width="12" style="1870" customWidth="1"/>
    <col min="9953" max="9953" width="13.28515625" style="1870" customWidth="1"/>
    <col min="9954" max="9954" width="13.42578125" style="1870" customWidth="1"/>
    <col min="9955" max="9955" width="13.28515625" style="1870" customWidth="1"/>
    <col min="9956" max="9956" width="11.7109375" style="1870" customWidth="1"/>
    <col min="9957" max="9958" width="13.5703125" style="1870" customWidth="1"/>
    <col min="9959" max="9959" width="11.7109375" style="1870" customWidth="1"/>
    <col min="9960" max="9960" width="12.7109375" style="1870" customWidth="1"/>
    <col min="9961" max="9961" width="16" style="1870" customWidth="1"/>
    <col min="9962" max="9962" width="14.42578125" style="1870" customWidth="1"/>
    <col min="9963" max="9963" width="13.28515625" style="1870" customWidth="1"/>
    <col min="9964" max="9964" width="12.7109375" style="1870" customWidth="1"/>
    <col min="9965" max="9965" width="13" style="1870" customWidth="1"/>
    <col min="9966" max="9966" width="13.28515625" style="1870" customWidth="1"/>
    <col min="9967" max="9967" width="13.5703125" style="1870" customWidth="1"/>
    <col min="9968" max="9968" width="12.7109375" style="1870" customWidth="1"/>
    <col min="9969" max="9969" width="11.7109375" style="1870" customWidth="1"/>
    <col min="9970" max="9970" width="11.5703125" style="1870" customWidth="1"/>
    <col min="9971" max="9971" width="13.7109375" style="1870" customWidth="1"/>
    <col min="9972" max="9972" width="14.7109375" style="1870" customWidth="1"/>
    <col min="9973" max="9973" width="12.5703125" style="1870" customWidth="1"/>
    <col min="9974" max="9974" width="11.7109375" style="1870" customWidth="1"/>
    <col min="9975" max="9975" width="12.28515625" style="1870" customWidth="1"/>
    <col min="9976" max="9976" width="12.7109375" style="1870" customWidth="1"/>
    <col min="9977" max="9977" width="13.28515625" style="1870" customWidth="1"/>
    <col min="9978" max="9978" width="13.7109375" style="1870" customWidth="1"/>
    <col min="9979" max="9979" width="13" style="1870" customWidth="1"/>
    <col min="9980" max="9980" width="12.28515625" style="1870" customWidth="1"/>
    <col min="9981" max="9982" width="13.28515625" style="1870" customWidth="1"/>
    <col min="9983" max="9983" width="13.7109375" style="1870" customWidth="1"/>
    <col min="9984" max="9984" width="12.42578125" style="1870" customWidth="1"/>
    <col min="9985" max="9985" width="12" style="1870" customWidth="1"/>
    <col min="9986" max="9986" width="16.5703125" style="1870" customWidth="1"/>
    <col min="9987" max="9987" width="29.28515625" style="1870" customWidth="1"/>
    <col min="9988" max="9988" width="18.7109375" style="1870" customWidth="1"/>
    <col min="9989" max="10147" width="9.28515625" style="1870"/>
    <col min="10148" max="10148" width="6.28515625" style="1870" customWidth="1"/>
    <col min="10149" max="10149" width="42.5703125" style="1870" customWidth="1"/>
    <col min="10150" max="10150" width="11" style="1870" customWidth="1"/>
    <col min="10151" max="10151" width="13.7109375" style="1870" customWidth="1"/>
    <col min="10152" max="10152" width="15.28515625" style="1870" customWidth="1"/>
    <col min="10153" max="10153" width="11.7109375" style="1870" customWidth="1"/>
    <col min="10154" max="10154" width="12" style="1870" customWidth="1"/>
    <col min="10155" max="10155" width="12.5703125" style="1870" customWidth="1"/>
    <col min="10156" max="10156" width="13.28515625" style="1870" customWidth="1"/>
    <col min="10157" max="10157" width="9.7109375" style="1870" customWidth="1"/>
    <col min="10158" max="10158" width="12.42578125" style="1870" customWidth="1"/>
    <col min="10159" max="10159" width="13" style="1870" customWidth="1"/>
    <col min="10160" max="10160" width="13.5703125" style="1870" customWidth="1"/>
    <col min="10161" max="10161" width="9.7109375" style="1870" customWidth="1"/>
    <col min="10162" max="10162" width="10.42578125" style="1870" customWidth="1"/>
    <col min="10163" max="10163" width="12" style="1870" customWidth="1"/>
    <col min="10164" max="10164" width="11.7109375" style="1870" customWidth="1"/>
    <col min="10165" max="10165" width="12.28515625" style="1870" customWidth="1"/>
    <col min="10166" max="10166" width="11.28515625" style="1870" customWidth="1"/>
    <col min="10167" max="10167" width="10.28515625" style="1870" customWidth="1"/>
    <col min="10168" max="10168" width="14.28515625" style="1870" customWidth="1"/>
    <col min="10169" max="10169" width="14" style="1870" customWidth="1"/>
    <col min="10170" max="10170" width="14.7109375" style="1870" customWidth="1"/>
    <col min="10171" max="10171" width="12.42578125" style="1870" customWidth="1"/>
    <col min="10172" max="10172" width="11.5703125" style="1870" customWidth="1"/>
    <col min="10173" max="10173" width="12" style="1870" customWidth="1"/>
    <col min="10174" max="10175" width="11.7109375" style="1870" customWidth="1"/>
    <col min="10176" max="10176" width="9.5703125" style="1870" customWidth="1"/>
    <col min="10177" max="10177" width="9.42578125" style="1870" customWidth="1"/>
    <col min="10178" max="10178" width="12.7109375" style="1870" customWidth="1"/>
    <col min="10179" max="10179" width="12" style="1870" customWidth="1"/>
    <col min="10180" max="10180" width="12.7109375" style="1870" customWidth="1"/>
    <col min="10181" max="10181" width="12.42578125" style="1870" customWidth="1"/>
    <col min="10182" max="10182" width="11.42578125" style="1870" customWidth="1"/>
    <col min="10183" max="10183" width="12" style="1870" customWidth="1"/>
    <col min="10184" max="10185" width="12.7109375" style="1870" customWidth="1"/>
    <col min="10186" max="10186" width="10.7109375" style="1870" customWidth="1"/>
    <col min="10187" max="10187" width="11.5703125" style="1870" customWidth="1"/>
    <col min="10188" max="10188" width="12" style="1870" customWidth="1"/>
    <col min="10189" max="10189" width="12.7109375" style="1870" customWidth="1"/>
    <col min="10190" max="10190" width="14" style="1870" customWidth="1"/>
    <col min="10191" max="10191" width="10.7109375" style="1870" customWidth="1"/>
    <col min="10192" max="10192" width="11.5703125" style="1870" customWidth="1"/>
    <col min="10193" max="10193" width="14.7109375" style="1870" customWidth="1"/>
    <col min="10194" max="10195" width="14.5703125" style="1870" customWidth="1"/>
    <col min="10196" max="10196" width="11.7109375" style="1870" customWidth="1"/>
    <col min="10197" max="10197" width="12" style="1870" customWidth="1"/>
    <col min="10198" max="10198" width="14.28515625" style="1870" customWidth="1"/>
    <col min="10199" max="10199" width="13.7109375" style="1870" customWidth="1"/>
    <col min="10200" max="10200" width="13.28515625" style="1870" customWidth="1"/>
    <col min="10201" max="10201" width="13.7109375" style="1870" customWidth="1"/>
    <col min="10202" max="10202" width="13.5703125" style="1870" customWidth="1"/>
    <col min="10203" max="10203" width="13.28515625" style="1870" customWidth="1"/>
    <col min="10204" max="10204" width="13" style="1870" customWidth="1"/>
    <col min="10205" max="10205" width="12.7109375" style="1870" customWidth="1"/>
    <col min="10206" max="10208" width="12" style="1870" customWidth="1"/>
    <col min="10209" max="10209" width="13.28515625" style="1870" customWidth="1"/>
    <col min="10210" max="10210" width="13.42578125" style="1870" customWidth="1"/>
    <col min="10211" max="10211" width="13.28515625" style="1870" customWidth="1"/>
    <col min="10212" max="10212" width="11.7109375" style="1870" customWidth="1"/>
    <col min="10213" max="10214" width="13.5703125" style="1870" customWidth="1"/>
    <col min="10215" max="10215" width="11.7109375" style="1870" customWidth="1"/>
    <col min="10216" max="10216" width="12.7109375" style="1870" customWidth="1"/>
    <col min="10217" max="10217" width="16" style="1870" customWidth="1"/>
    <col min="10218" max="10218" width="14.42578125" style="1870" customWidth="1"/>
    <col min="10219" max="10219" width="13.28515625" style="1870" customWidth="1"/>
    <col min="10220" max="10220" width="12.7109375" style="1870" customWidth="1"/>
    <col min="10221" max="10221" width="13" style="1870" customWidth="1"/>
    <col min="10222" max="10222" width="13.28515625" style="1870" customWidth="1"/>
    <col min="10223" max="10223" width="13.5703125" style="1870" customWidth="1"/>
    <col min="10224" max="10224" width="12.7109375" style="1870" customWidth="1"/>
    <col min="10225" max="10225" width="11.7109375" style="1870" customWidth="1"/>
    <col min="10226" max="10226" width="11.5703125" style="1870" customWidth="1"/>
    <col min="10227" max="10227" width="13.7109375" style="1870" customWidth="1"/>
    <col min="10228" max="10228" width="14.7109375" style="1870" customWidth="1"/>
    <col min="10229" max="10229" width="12.5703125" style="1870" customWidth="1"/>
    <col min="10230" max="10230" width="11.7109375" style="1870" customWidth="1"/>
    <col min="10231" max="10231" width="12.28515625" style="1870" customWidth="1"/>
    <col min="10232" max="10232" width="12.7109375" style="1870" customWidth="1"/>
    <col min="10233" max="10233" width="13.28515625" style="1870" customWidth="1"/>
    <col min="10234" max="10234" width="13.7109375" style="1870" customWidth="1"/>
    <col min="10235" max="10235" width="13" style="1870" customWidth="1"/>
    <col min="10236" max="10236" width="12.28515625" style="1870" customWidth="1"/>
    <col min="10237" max="10238" width="13.28515625" style="1870" customWidth="1"/>
    <col min="10239" max="10239" width="13.7109375" style="1870" customWidth="1"/>
    <col min="10240" max="10240" width="12.42578125" style="1870" customWidth="1"/>
    <col min="10241" max="10241" width="12" style="1870" customWidth="1"/>
    <col min="10242" max="10242" width="16.5703125" style="1870" customWidth="1"/>
    <col min="10243" max="10243" width="29.28515625" style="1870" customWidth="1"/>
    <col min="10244" max="10244" width="18.7109375" style="1870" customWidth="1"/>
    <col min="10245" max="10403" width="9.28515625" style="1870"/>
    <col min="10404" max="10404" width="6.28515625" style="1870" customWidth="1"/>
    <col min="10405" max="10405" width="42.5703125" style="1870" customWidth="1"/>
    <col min="10406" max="10406" width="11" style="1870" customWidth="1"/>
    <col min="10407" max="10407" width="13.7109375" style="1870" customWidth="1"/>
    <col min="10408" max="10408" width="15.28515625" style="1870" customWidth="1"/>
    <col min="10409" max="10409" width="11.7109375" style="1870" customWidth="1"/>
    <col min="10410" max="10410" width="12" style="1870" customWidth="1"/>
    <col min="10411" max="10411" width="12.5703125" style="1870" customWidth="1"/>
    <col min="10412" max="10412" width="13.28515625" style="1870" customWidth="1"/>
    <col min="10413" max="10413" width="9.7109375" style="1870" customWidth="1"/>
    <col min="10414" max="10414" width="12.42578125" style="1870" customWidth="1"/>
    <col min="10415" max="10415" width="13" style="1870" customWidth="1"/>
    <col min="10416" max="10416" width="13.5703125" style="1870" customWidth="1"/>
    <col min="10417" max="10417" width="9.7109375" style="1870" customWidth="1"/>
    <col min="10418" max="10418" width="10.42578125" style="1870" customWidth="1"/>
    <col min="10419" max="10419" width="12" style="1870" customWidth="1"/>
    <col min="10420" max="10420" width="11.7109375" style="1870" customWidth="1"/>
    <col min="10421" max="10421" width="12.28515625" style="1870" customWidth="1"/>
    <col min="10422" max="10422" width="11.28515625" style="1870" customWidth="1"/>
    <col min="10423" max="10423" width="10.28515625" style="1870" customWidth="1"/>
    <col min="10424" max="10424" width="14.28515625" style="1870" customWidth="1"/>
    <col min="10425" max="10425" width="14" style="1870" customWidth="1"/>
    <col min="10426" max="10426" width="14.7109375" style="1870" customWidth="1"/>
    <col min="10427" max="10427" width="12.42578125" style="1870" customWidth="1"/>
    <col min="10428" max="10428" width="11.5703125" style="1870" customWidth="1"/>
    <col min="10429" max="10429" width="12" style="1870" customWidth="1"/>
    <col min="10430" max="10431" width="11.7109375" style="1870" customWidth="1"/>
    <col min="10432" max="10432" width="9.5703125" style="1870" customWidth="1"/>
    <col min="10433" max="10433" width="9.42578125" style="1870" customWidth="1"/>
    <col min="10434" max="10434" width="12.7109375" style="1870" customWidth="1"/>
    <col min="10435" max="10435" width="12" style="1870" customWidth="1"/>
    <col min="10436" max="10436" width="12.7109375" style="1870" customWidth="1"/>
    <col min="10437" max="10437" width="12.42578125" style="1870" customWidth="1"/>
    <col min="10438" max="10438" width="11.42578125" style="1870" customWidth="1"/>
    <col min="10439" max="10439" width="12" style="1870" customWidth="1"/>
    <col min="10440" max="10441" width="12.7109375" style="1870" customWidth="1"/>
    <col min="10442" max="10442" width="10.7109375" style="1870" customWidth="1"/>
    <col min="10443" max="10443" width="11.5703125" style="1870" customWidth="1"/>
    <col min="10444" max="10444" width="12" style="1870" customWidth="1"/>
    <col min="10445" max="10445" width="12.7109375" style="1870" customWidth="1"/>
    <col min="10446" max="10446" width="14" style="1870" customWidth="1"/>
    <col min="10447" max="10447" width="10.7109375" style="1870" customWidth="1"/>
    <col min="10448" max="10448" width="11.5703125" style="1870" customWidth="1"/>
    <col min="10449" max="10449" width="14.7109375" style="1870" customWidth="1"/>
    <col min="10450" max="10451" width="14.5703125" style="1870" customWidth="1"/>
    <col min="10452" max="10452" width="11.7109375" style="1870" customWidth="1"/>
    <col min="10453" max="10453" width="12" style="1870" customWidth="1"/>
    <col min="10454" max="10454" width="14.28515625" style="1870" customWidth="1"/>
    <col min="10455" max="10455" width="13.7109375" style="1870" customWidth="1"/>
    <col min="10456" max="10456" width="13.28515625" style="1870" customWidth="1"/>
    <col min="10457" max="10457" width="13.7109375" style="1870" customWidth="1"/>
    <col min="10458" max="10458" width="13.5703125" style="1870" customWidth="1"/>
    <col min="10459" max="10459" width="13.28515625" style="1870" customWidth="1"/>
    <col min="10460" max="10460" width="13" style="1870" customWidth="1"/>
    <col min="10461" max="10461" width="12.7109375" style="1870" customWidth="1"/>
    <col min="10462" max="10464" width="12" style="1870" customWidth="1"/>
    <col min="10465" max="10465" width="13.28515625" style="1870" customWidth="1"/>
    <col min="10466" max="10466" width="13.42578125" style="1870" customWidth="1"/>
    <col min="10467" max="10467" width="13.28515625" style="1870" customWidth="1"/>
    <col min="10468" max="10468" width="11.7109375" style="1870" customWidth="1"/>
    <col min="10469" max="10470" width="13.5703125" style="1870" customWidth="1"/>
    <col min="10471" max="10471" width="11.7109375" style="1870" customWidth="1"/>
    <col min="10472" max="10472" width="12.7109375" style="1870" customWidth="1"/>
    <col min="10473" max="10473" width="16" style="1870" customWidth="1"/>
    <col min="10474" max="10474" width="14.42578125" style="1870" customWidth="1"/>
    <col min="10475" max="10475" width="13.28515625" style="1870" customWidth="1"/>
    <col min="10476" max="10476" width="12.7109375" style="1870" customWidth="1"/>
    <col min="10477" max="10477" width="13" style="1870" customWidth="1"/>
    <col min="10478" max="10478" width="13.28515625" style="1870" customWidth="1"/>
    <col min="10479" max="10479" width="13.5703125" style="1870" customWidth="1"/>
    <col min="10480" max="10480" width="12.7109375" style="1870" customWidth="1"/>
    <col min="10481" max="10481" width="11.7109375" style="1870" customWidth="1"/>
    <col min="10482" max="10482" width="11.5703125" style="1870" customWidth="1"/>
    <col min="10483" max="10483" width="13.7109375" style="1870" customWidth="1"/>
    <col min="10484" max="10484" width="14.7109375" style="1870" customWidth="1"/>
    <col min="10485" max="10485" width="12.5703125" style="1870" customWidth="1"/>
    <col min="10486" max="10486" width="11.7109375" style="1870" customWidth="1"/>
    <col min="10487" max="10487" width="12.28515625" style="1870" customWidth="1"/>
    <col min="10488" max="10488" width="12.7109375" style="1870" customWidth="1"/>
    <col min="10489" max="10489" width="13.28515625" style="1870" customWidth="1"/>
    <col min="10490" max="10490" width="13.7109375" style="1870" customWidth="1"/>
    <col min="10491" max="10491" width="13" style="1870" customWidth="1"/>
    <col min="10492" max="10492" width="12.28515625" style="1870" customWidth="1"/>
    <col min="10493" max="10494" width="13.28515625" style="1870" customWidth="1"/>
    <col min="10495" max="10495" width="13.7109375" style="1870" customWidth="1"/>
    <col min="10496" max="10496" width="12.42578125" style="1870" customWidth="1"/>
    <col min="10497" max="10497" width="12" style="1870" customWidth="1"/>
    <col min="10498" max="10498" width="16.5703125" style="1870" customWidth="1"/>
    <col min="10499" max="10499" width="29.28515625" style="1870" customWidth="1"/>
    <col min="10500" max="10500" width="18.7109375" style="1870" customWidth="1"/>
    <col min="10501" max="10659" width="9.28515625" style="1870"/>
    <col min="10660" max="10660" width="6.28515625" style="1870" customWidth="1"/>
    <col min="10661" max="10661" width="42.5703125" style="1870" customWidth="1"/>
    <col min="10662" max="10662" width="11" style="1870" customWidth="1"/>
    <col min="10663" max="10663" width="13.7109375" style="1870" customWidth="1"/>
    <col min="10664" max="10664" width="15.28515625" style="1870" customWidth="1"/>
    <col min="10665" max="10665" width="11.7109375" style="1870" customWidth="1"/>
    <col min="10666" max="10666" width="12" style="1870" customWidth="1"/>
    <col min="10667" max="10667" width="12.5703125" style="1870" customWidth="1"/>
    <col min="10668" max="10668" width="13.28515625" style="1870" customWidth="1"/>
    <col min="10669" max="10669" width="9.7109375" style="1870" customWidth="1"/>
    <col min="10670" max="10670" width="12.42578125" style="1870" customWidth="1"/>
    <col min="10671" max="10671" width="13" style="1870" customWidth="1"/>
    <col min="10672" max="10672" width="13.5703125" style="1870" customWidth="1"/>
    <col min="10673" max="10673" width="9.7109375" style="1870" customWidth="1"/>
    <col min="10674" max="10674" width="10.42578125" style="1870" customWidth="1"/>
    <col min="10675" max="10675" width="12" style="1870" customWidth="1"/>
    <col min="10676" max="10676" width="11.7109375" style="1870" customWidth="1"/>
    <col min="10677" max="10677" width="12.28515625" style="1870" customWidth="1"/>
    <col min="10678" max="10678" width="11.28515625" style="1870" customWidth="1"/>
    <col min="10679" max="10679" width="10.28515625" style="1870" customWidth="1"/>
    <col min="10680" max="10680" width="14.28515625" style="1870" customWidth="1"/>
    <col min="10681" max="10681" width="14" style="1870" customWidth="1"/>
    <col min="10682" max="10682" width="14.7109375" style="1870" customWidth="1"/>
    <col min="10683" max="10683" width="12.42578125" style="1870" customWidth="1"/>
    <col min="10684" max="10684" width="11.5703125" style="1870" customWidth="1"/>
    <col min="10685" max="10685" width="12" style="1870" customWidth="1"/>
    <col min="10686" max="10687" width="11.7109375" style="1870" customWidth="1"/>
    <col min="10688" max="10688" width="9.5703125" style="1870" customWidth="1"/>
    <col min="10689" max="10689" width="9.42578125" style="1870" customWidth="1"/>
    <col min="10690" max="10690" width="12.7109375" style="1870" customWidth="1"/>
    <col min="10691" max="10691" width="12" style="1870" customWidth="1"/>
    <col min="10692" max="10692" width="12.7109375" style="1870" customWidth="1"/>
    <col min="10693" max="10693" width="12.42578125" style="1870" customWidth="1"/>
    <col min="10694" max="10694" width="11.42578125" style="1870" customWidth="1"/>
    <col min="10695" max="10695" width="12" style="1870" customWidth="1"/>
    <col min="10696" max="10697" width="12.7109375" style="1870" customWidth="1"/>
    <col min="10698" max="10698" width="10.7109375" style="1870" customWidth="1"/>
    <col min="10699" max="10699" width="11.5703125" style="1870" customWidth="1"/>
    <col min="10700" max="10700" width="12" style="1870" customWidth="1"/>
    <col min="10701" max="10701" width="12.7109375" style="1870" customWidth="1"/>
    <col min="10702" max="10702" width="14" style="1870" customWidth="1"/>
    <col min="10703" max="10703" width="10.7109375" style="1870" customWidth="1"/>
    <col min="10704" max="10704" width="11.5703125" style="1870" customWidth="1"/>
    <col min="10705" max="10705" width="14.7109375" style="1870" customWidth="1"/>
    <col min="10706" max="10707" width="14.5703125" style="1870" customWidth="1"/>
    <col min="10708" max="10708" width="11.7109375" style="1870" customWidth="1"/>
    <col min="10709" max="10709" width="12" style="1870" customWidth="1"/>
    <col min="10710" max="10710" width="14.28515625" style="1870" customWidth="1"/>
    <col min="10711" max="10711" width="13.7109375" style="1870" customWidth="1"/>
    <col min="10712" max="10712" width="13.28515625" style="1870" customWidth="1"/>
    <col min="10713" max="10713" width="13.7109375" style="1870" customWidth="1"/>
    <col min="10714" max="10714" width="13.5703125" style="1870" customWidth="1"/>
    <col min="10715" max="10715" width="13.28515625" style="1870" customWidth="1"/>
    <col min="10716" max="10716" width="13" style="1870" customWidth="1"/>
    <col min="10717" max="10717" width="12.7109375" style="1870" customWidth="1"/>
    <col min="10718" max="10720" width="12" style="1870" customWidth="1"/>
    <col min="10721" max="10721" width="13.28515625" style="1870" customWidth="1"/>
    <col min="10722" max="10722" width="13.42578125" style="1870" customWidth="1"/>
    <col min="10723" max="10723" width="13.28515625" style="1870" customWidth="1"/>
    <col min="10724" max="10724" width="11.7109375" style="1870" customWidth="1"/>
    <col min="10725" max="10726" width="13.5703125" style="1870" customWidth="1"/>
    <col min="10727" max="10727" width="11.7109375" style="1870" customWidth="1"/>
    <col min="10728" max="10728" width="12.7109375" style="1870" customWidth="1"/>
    <col min="10729" max="10729" width="16" style="1870" customWidth="1"/>
    <col min="10730" max="10730" width="14.42578125" style="1870" customWidth="1"/>
    <col min="10731" max="10731" width="13.28515625" style="1870" customWidth="1"/>
    <col min="10732" max="10732" width="12.7109375" style="1870" customWidth="1"/>
    <col min="10733" max="10733" width="13" style="1870" customWidth="1"/>
    <col min="10734" max="10734" width="13.28515625" style="1870" customWidth="1"/>
    <col min="10735" max="10735" width="13.5703125" style="1870" customWidth="1"/>
    <col min="10736" max="10736" width="12.7109375" style="1870" customWidth="1"/>
    <col min="10737" max="10737" width="11.7109375" style="1870" customWidth="1"/>
    <col min="10738" max="10738" width="11.5703125" style="1870" customWidth="1"/>
    <col min="10739" max="10739" width="13.7109375" style="1870" customWidth="1"/>
    <col min="10740" max="10740" width="14.7109375" style="1870" customWidth="1"/>
    <col min="10741" max="10741" width="12.5703125" style="1870" customWidth="1"/>
    <col min="10742" max="10742" width="11.7109375" style="1870" customWidth="1"/>
    <col min="10743" max="10743" width="12.28515625" style="1870" customWidth="1"/>
    <col min="10744" max="10744" width="12.7109375" style="1870" customWidth="1"/>
    <col min="10745" max="10745" width="13.28515625" style="1870" customWidth="1"/>
    <col min="10746" max="10746" width="13.7109375" style="1870" customWidth="1"/>
    <col min="10747" max="10747" width="13" style="1870" customWidth="1"/>
    <col min="10748" max="10748" width="12.28515625" style="1870" customWidth="1"/>
    <col min="10749" max="10750" width="13.28515625" style="1870" customWidth="1"/>
    <col min="10751" max="10751" width="13.7109375" style="1870" customWidth="1"/>
    <col min="10752" max="10752" width="12.42578125" style="1870" customWidth="1"/>
    <col min="10753" max="10753" width="12" style="1870" customWidth="1"/>
    <col min="10754" max="10754" width="16.5703125" style="1870" customWidth="1"/>
    <col min="10755" max="10755" width="29.28515625" style="1870" customWidth="1"/>
    <col min="10756" max="10756" width="18.7109375" style="1870" customWidth="1"/>
    <col min="10757" max="10915" width="9.28515625" style="1870"/>
    <col min="10916" max="10916" width="6.28515625" style="1870" customWidth="1"/>
    <col min="10917" max="10917" width="42.5703125" style="1870" customWidth="1"/>
    <col min="10918" max="10918" width="11" style="1870" customWidth="1"/>
    <col min="10919" max="10919" width="13.7109375" style="1870" customWidth="1"/>
    <col min="10920" max="10920" width="15.28515625" style="1870" customWidth="1"/>
    <col min="10921" max="10921" width="11.7109375" style="1870" customWidth="1"/>
    <col min="10922" max="10922" width="12" style="1870" customWidth="1"/>
    <col min="10923" max="10923" width="12.5703125" style="1870" customWidth="1"/>
    <col min="10924" max="10924" width="13.28515625" style="1870" customWidth="1"/>
    <col min="10925" max="10925" width="9.7109375" style="1870" customWidth="1"/>
    <col min="10926" max="10926" width="12.42578125" style="1870" customWidth="1"/>
    <col min="10927" max="10927" width="13" style="1870" customWidth="1"/>
    <col min="10928" max="10928" width="13.5703125" style="1870" customWidth="1"/>
    <col min="10929" max="10929" width="9.7109375" style="1870" customWidth="1"/>
    <col min="10930" max="10930" width="10.42578125" style="1870" customWidth="1"/>
    <col min="10931" max="10931" width="12" style="1870" customWidth="1"/>
    <col min="10932" max="10932" width="11.7109375" style="1870" customWidth="1"/>
    <col min="10933" max="10933" width="12.28515625" style="1870" customWidth="1"/>
    <col min="10934" max="10934" width="11.28515625" style="1870" customWidth="1"/>
    <col min="10935" max="10935" width="10.28515625" style="1870" customWidth="1"/>
    <col min="10936" max="10936" width="14.28515625" style="1870" customWidth="1"/>
    <col min="10937" max="10937" width="14" style="1870" customWidth="1"/>
    <col min="10938" max="10938" width="14.7109375" style="1870" customWidth="1"/>
    <col min="10939" max="10939" width="12.42578125" style="1870" customWidth="1"/>
    <col min="10940" max="10940" width="11.5703125" style="1870" customWidth="1"/>
    <col min="10941" max="10941" width="12" style="1870" customWidth="1"/>
    <col min="10942" max="10943" width="11.7109375" style="1870" customWidth="1"/>
    <col min="10944" max="10944" width="9.5703125" style="1870" customWidth="1"/>
    <col min="10945" max="10945" width="9.42578125" style="1870" customWidth="1"/>
    <col min="10946" max="10946" width="12.7109375" style="1870" customWidth="1"/>
    <col min="10947" max="10947" width="12" style="1870" customWidth="1"/>
    <col min="10948" max="10948" width="12.7109375" style="1870" customWidth="1"/>
    <col min="10949" max="10949" width="12.42578125" style="1870" customWidth="1"/>
    <col min="10950" max="10950" width="11.42578125" style="1870" customWidth="1"/>
    <col min="10951" max="10951" width="12" style="1870" customWidth="1"/>
    <col min="10952" max="10953" width="12.7109375" style="1870" customWidth="1"/>
    <col min="10954" max="10954" width="10.7109375" style="1870" customWidth="1"/>
    <col min="10955" max="10955" width="11.5703125" style="1870" customWidth="1"/>
    <col min="10956" max="10956" width="12" style="1870" customWidth="1"/>
    <col min="10957" max="10957" width="12.7109375" style="1870" customWidth="1"/>
    <col min="10958" max="10958" width="14" style="1870" customWidth="1"/>
    <col min="10959" max="10959" width="10.7109375" style="1870" customWidth="1"/>
    <col min="10960" max="10960" width="11.5703125" style="1870" customWidth="1"/>
    <col min="10961" max="10961" width="14.7109375" style="1870" customWidth="1"/>
    <col min="10962" max="10963" width="14.5703125" style="1870" customWidth="1"/>
    <col min="10964" max="10964" width="11.7109375" style="1870" customWidth="1"/>
    <col min="10965" max="10965" width="12" style="1870" customWidth="1"/>
    <col min="10966" max="10966" width="14.28515625" style="1870" customWidth="1"/>
    <col min="10967" max="10967" width="13.7109375" style="1870" customWidth="1"/>
    <col min="10968" max="10968" width="13.28515625" style="1870" customWidth="1"/>
    <col min="10969" max="10969" width="13.7109375" style="1870" customWidth="1"/>
    <col min="10970" max="10970" width="13.5703125" style="1870" customWidth="1"/>
    <col min="10971" max="10971" width="13.28515625" style="1870" customWidth="1"/>
    <col min="10972" max="10972" width="13" style="1870" customWidth="1"/>
    <col min="10973" max="10973" width="12.7109375" style="1870" customWidth="1"/>
    <col min="10974" max="10976" width="12" style="1870" customWidth="1"/>
    <col min="10977" max="10977" width="13.28515625" style="1870" customWidth="1"/>
    <col min="10978" max="10978" width="13.42578125" style="1870" customWidth="1"/>
    <col min="10979" max="10979" width="13.28515625" style="1870" customWidth="1"/>
    <col min="10980" max="10980" width="11.7109375" style="1870" customWidth="1"/>
    <col min="10981" max="10982" width="13.5703125" style="1870" customWidth="1"/>
    <col min="10983" max="10983" width="11.7109375" style="1870" customWidth="1"/>
    <col min="10984" max="10984" width="12.7109375" style="1870" customWidth="1"/>
    <col min="10985" max="10985" width="16" style="1870" customWidth="1"/>
    <col min="10986" max="10986" width="14.42578125" style="1870" customWidth="1"/>
    <col min="10987" max="10987" width="13.28515625" style="1870" customWidth="1"/>
    <col min="10988" max="10988" width="12.7109375" style="1870" customWidth="1"/>
    <col min="10989" max="10989" width="13" style="1870" customWidth="1"/>
    <col min="10990" max="10990" width="13.28515625" style="1870" customWidth="1"/>
    <col min="10991" max="10991" width="13.5703125" style="1870" customWidth="1"/>
    <col min="10992" max="10992" width="12.7109375" style="1870" customWidth="1"/>
    <col min="10993" max="10993" width="11.7109375" style="1870" customWidth="1"/>
    <col min="10994" max="10994" width="11.5703125" style="1870" customWidth="1"/>
    <col min="10995" max="10995" width="13.7109375" style="1870" customWidth="1"/>
    <col min="10996" max="10996" width="14.7109375" style="1870" customWidth="1"/>
    <col min="10997" max="10997" width="12.5703125" style="1870" customWidth="1"/>
    <col min="10998" max="10998" width="11.7109375" style="1870" customWidth="1"/>
    <col min="10999" max="10999" width="12.28515625" style="1870" customWidth="1"/>
    <col min="11000" max="11000" width="12.7109375" style="1870" customWidth="1"/>
    <col min="11001" max="11001" width="13.28515625" style="1870" customWidth="1"/>
    <col min="11002" max="11002" width="13.7109375" style="1870" customWidth="1"/>
    <col min="11003" max="11003" width="13" style="1870" customWidth="1"/>
    <col min="11004" max="11004" width="12.28515625" style="1870" customWidth="1"/>
    <col min="11005" max="11006" width="13.28515625" style="1870" customWidth="1"/>
    <col min="11007" max="11007" width="13.7109375" style="1870" customWidth="1"/>
    <col min="11008" max="11008" width="12.42578125" style="1870" customWidth="1"/>
    <col min="11009" max="11009" width="12" style="1870" customWidth="1"/>
    <col min="11010" max="11010" width="16.5703125" style="1870" customWidth="1"/>
    <col min="11011" max="11011" width="29.28515625" style="1870" customWidth="1"/>
    <col min="11012" max="11012" width="18.7109375" style="1870" customWidth="1"/>
    <col min="11013" max="11171" width="9.28515625" style="1870"/>
    <col min="11172" max="11172" width="6.28515625" style="1870" customWidth="1"/>
    <col min="11173" max="11173" width="42.5703125" style="1870" customWidth="1"/>
    <col min="11174" max="11174" width="11" style="1870" customWidth="1"/>
    <col min="11175" max="11175" width="13.7109375" style="1870" customWidth="1"/>
    <col min="11176" max="11176" width="15.28515625" style="1870" customWidth="1"/>
    <col min="11177" max="11177" width="11.7109375" style="1870" customWidth="1"/>
    <col min="11178" max="11178" width="12" style="1870" customWidth="1"/>
    <col min="11179" max="11179" width="12.5703125" style="1870" customWidth="1"/>
    <col min="11180" max="11180" width="13.28515625" style="1870" customWidth="1"/>
    <col min="11181" max="11181" width="9.7109375" style="1870" customWidth="1"/>
    <col min="11182" max="11182" width="12.42578125" style="1870" customWidth="1"/>
    <col min="11183" max="11183" width="13" style="1870" customWidth="1"/>
    <col min="11184" max="11184" width="13.5703125" style="1870" customWidth="1"/>
    <col min="11185" max="11185" width="9.7109375" style="1870" customWidth="1"/>
    <col min="11186" max="11186" width="10.42578125" style="1870" customWidth="1"/>
    <col min="11187" max="11187" width="12" style="1870" customWidth="1"/>
    <col min="11188" max="11188" width="11.7109375" style="1870" customWidth="1"/>
    <col min="11189" max="11189" width="12.28515625" style="1870" customWidth="1"/>
    <col min="11190" max="11190" width="11.28515625" style="1870" customWidth="1"/>
    <col min="11191" max="11191" width="10.28515625" style="1870" customWidth="1"/>
    <col min="11192" max="11192" width="14.28515625" style="1870" customWidth="1"/>
    <col min="11193" max="11193" width="14" style="1870" customWidth="1"/>
    <col min="11194" max="11194" width="14.7109375" style="1870" customWidth="1"/>
    <col min="11195" max="11195" width="12.42578125" style="1870" customWidth="1"/>
    <col min="11196" max="11196" width="11.5703125" style="1870" customWidth="1"/>
    <col min="11197" max="11197" width="12" style="1870" customWidth="1"/>
    <col min="11198" max="11199" width="11.7109375" style="1870" customWidth="1"/>
    <col min="11200" max="11200" width="9.5703125" style="1870" customWidth="1"/>
    <col min="11201" max="11201" width="9.42578125" style="1870" customWidth="1"/>
    <col min="11202" max="11202" width="12.7109375" style="1870" customWidth="1"/>
    <col min="11203" max="11203" width="12" style="1870" customWidth="1"/>
    <col min="11204" max="11204" width="12.7109375" style="1870" customWidth="1"/>
    <col min="11205" max="11205" width="12.42578125" style="1870" customWidth="1"/>
    <col min="11206" max="11206" width="11.42578125" style="1870" customWidth="1"/>
    <col min="11207" max="11207" width="12" style="1870" customWidth="1"/>
    <col min="11208" max="11209" width="12.7109375" style="1870" customWidth="1"/>
    <col min="11210" max="11210" width="10.7109375" style="1870" customWidth="1"/>
    <col min="11211" max="11211" width="11.5703125" style="1870" customWidth="1"/>
    <col min="11212" max="11212" width="12" style="1870" customWidth="1"/>
    <col min="11213" max="11213" width="12.7109375" style="1870" customWidth="1"/>
    <col min="11214" max="11214" width="14" style="1870" customWidth="1"/>
    <col min="11215" max="11215" width="10.7109375" style="1870" customWidth="1"/>
    <col min="11216" max="11216" width="11.5703125" style="1870" customWidth="1"/>
    <col min="11217" max="11217" width="14.7109375" style="1870" customWidth="1"/>
    <col min="11218" max="11219" width="14.5703125" style="1870" customWidth="1"/>
    <col min="11220" max="11220" width="11.7109375" style="1870" customWidth="1"/>
    <col min="11221" max="11221" width="12" style="1870" customWidth="1"/>
    <col min="11222" max="11222" width="14.28515625" style="1870" customWidth="1"/>
    <col min="11223" max="11223" width="13.7109375" style="1870" customWidth="1"/>
    <col min="11224" max="11224" width="13.28515625" style="1870" customWidth="1"/>
    <col min="11225" max="11225" width="13.7109375" style="1870" customWidth="1"/>
    <col min="11226" max="11226" width="13.5703125" style="1870" customWidth="1"/>
    <col min="11227" max="11227" width="13.28515625" style="1870" customWidth="1"/>
    <col min="11228" max="11228" width="13" style="1870" customWidth="1"/>
    <col min="11229" max="11229" width="12.7109375" style="1870" customWidth="1"/>
    <col min="11230" max="11232" width="12" style="1870" customWidth="1"/>
    <col min="11233" max="11233" width="13.28515625" style="1870" customWidth="1"/>
    <col min="11234" max="11234" width="13.42578125" style="1870" customWidth="1"/>
    <col min="11235" max="11235" width="13.28515625" style="1870" customWidth="1"/>
    <col min="11236" max="11236" width="11.7109375" style="1870" customWidth="1"/>
    <col min="11237" max="11238" width="13.5703125" style="1870" customWidth="1"/>
    <col min="11239" max="11239" width="11.7109375" style="1870" customWidth="1"/>
    <col min="11240" max="11240" width="12.7109375" style="1870" customWidth="1"/>
    <col min="11241" max="11241" width="16" style="1870" customWidth="1"/>
    <col min="11242" max="11242" width="14.42578125" style="1870" customWidth="1"/>
    <col min="11243" max="11243" width="13.28515625" style="1870" customWidth="1"/>
    <col min="11244" max="11244" width="12.7109375" style="1870" customWidth="1"/>
    <col min="11245" max="11245" width="13" style="1870" customWidth="1"/>
    <col min="11246" max="11246" width="13.28515625" style="1870" customWidth="1"/>
    <col min="11247" max="11247" width="13.5703125" style="1870" customWidth="1"/>
    <col min="11248" max="11248" width="12.7109375" style="1870" customWidth="1"/>
    <col min="11249" max="11249" width="11.7109375" style="1870" customWidth="1"/>
    <col min="11250" max="11250" width="11.5703125" style="1870" customWidth="1"/>
    <col min="11251" max="11251" width="13.7109375" style="1870" customWidth="1"/>
    <col min="11252" max="11252" width="14.7109375" style="1870" customWidth="1"/>
    <col min="11253" max="11253" width="12.5703125" style="1870" customWidth="1"/>
    <col min="11254" max="11254" width="11.7109375" style="1870" customWidth="1"/>
    <col min="11255" max="11255" width="12.28515625" style="1870" customWidth="1"/>
    <col min="11256" max="11256" width="12.7109375" style="1870" customWidth="1"/>
    <col min="11257" max="11257" width="13.28515625" style="1870" customWidth="1"/>
    <col min="11258" max="11258" width="13.7109375" style="1870" customWidth="1"/>
    <col min="11259" max="11259" width="13" style="1870" customWidth="1"/>
    <col min="11260" max="11260" width="12.28515625" style="1870" customWidth="1"/>
    <col min="11261" max="11262" width="13.28515625" style="1870" customWidth="1"/>
    <col min="11263" max="11263" width="13.7109375" style="1870" customWidth="1"/>
    <col min="11264" max="11264" width="12.42578125" style="1870" customWidth="1"/>
    <col min="11265" max="11265" width="12" style="1870" customWidth="1"/>
    <col min="11266" max="11266" width="16.5703125" style="1870" customWidth="1"/>
    <col min="11267" max="11267" width="29.28515625" style="1870" customWidth="1"/>
    <col min="11268" max="11268" width="18.7109375" style="1870" customWidth="1"/>
    <col min="11269" max="11427" width="9.28515625" style="1870"/>
    <col min="11428" max="11428" width="6.28515625" style="1870" customWidth="1"/>
    <col min="11429" max="11429" width="42.5703125" style="1870" customWidth="1"/>
    <col min="11430" max="11430" width="11" style="1870" customWidth="1"/>
    <col min="11431" max="11431" width="13.7109375" style="1870" customWidth="1"/>
    <col min="11432" max="11432" width="15.28515625" style="1870" customWidth="1"/>
    <col min="11433" max="11433" width="11.7109375" style="1870" customWidth="1"/>
    <col min="11434" max="11434" width="12" style="1870" customWidth="1"/>
    <col min="11435" max="11435" width="12.5703125" style="1870" customWidth="1"/>
    <col min="11436" max="11436" width="13.28515625" style="1870" customWidth="1"/>
    <col min="11437" max="11437" width="9.7109375" style="1870" customWidth="1"/>
    <col min="11438" max="11438" width="12.42578125" style="1870" customWidth="1"/>
    <col min="11439" max="11439" width="13" style="1870" customWidth="1"/>
    <col min="11440" max="11440" width="13.5703125" style="1870" customWidth="1"/>
    <col min="11441" max="11441" width="9.7109375" style="1870" customWidth="1"/>
    <col min="11442" max="11442" width="10.42578125" style="1870" customWidth="1"/>
    <col min="11443" max="11443" width="12" style="1870" customWidth="1"/>
    <col min="11444" max="11444" width="11.7109375" style="1870" customWidth="1"/>
    <col min="11445" max="11445" width="12.28515625" style="1870" customWidth="1"/>
    <col min="11446" max="11446" width="11.28515625" style="1870" customWidth="1"/>
    <col min="11447" max="11447" width="10.28515625" style="1870" customWidth="1"/>
    <col min="11448" max="11448" width="14.28515625" style="1870" customWidth="1"/>
    <col min="11449" max="11449" width="14" style="1870" customWidth="1"/>
    <col min="11450" max="11450" width="14.7109375" style="1870" customWidth="1"/>
    <col min="11451" max="11451" width="12.42578125" style="1870" customWidth="1"/>
    <col min="11452" max="11452" width="11.5703125" style="1870" customWidth="1"/>
    <col min="11453" max="11453" width="12" style="1870" customWidth="1"/>
    <col min="11454" max="11455" width="11.7109375" style="1870" customWidth="1"/>
    <col min="11456" max="11456" width="9.5703125" style="1870" customWidth="1"/>
    <col min="11457" max="11457" width="9.42578125" style="1870" customWidth="1"/>
    <col min="11458" max="11458" width="12.7109375" style="1870" customWidth="1"/>
    <col min="11459" max="11459" width="12" style="1870" customWidth="1"/>
    <col min="11460" max="11460" width="12.7109375" style="1870" customWidth="1"/>
    <col min="11461" max="11461" width="12.42578125" style="1870" customWidth="1"/>
    <col min="11462" max="11462" width="11.42578125" style="1870" customWidth="1"/>
    <col min="11463" max="11463" width="12" style="1870" customWidth="1"/>
    <col min="11464" max="11465" width="12.7109375" style="1870" customWidth="1"/>
    <col min="11466" max="11466" width="10.7109375" style="1870" customWidth="1"/>
    <col min="11467" max="11467" width="11.5703125" style="1870" customWidth="1"/>
    <col min="11468" max="11468" width="12" style="1870" customWidth="1"/>
    <col min="11469" max="11469" width="12.7109375" style="1870" customWidth="1"/>
    <col min="11470" max="11470" width="14" style="1870" customWidth="1"/>
    <col min="11471" max="11471" width="10.7109375" style="1870" customWidth="1"/>
    <col min="11472" max="11472" width="11.5703125" style="1870" customWidth="1"/>
    <col min="11473" max="11473" width="14.7109375" style="1870" customWidth="1"/>
    <col min="11474" max="11475" width="14.5703125" style="1870" customWidth="1"/>
    <col min="11476" max="11476" width="11.7109375" style="1870" customWidth="1"/>
    <col min="11477" max="11477" width="12" style="1870" customWidth="1"/>
    <col min="11478" max="11478" width="14.28515625" style="1870" customWidth="1"/>
    <col min="11479" max="11479" width="13.7109375" style="1870" customWidth="1"/>
    <col min="11480" max="11480" width="13.28515625" style="1870" customWidth="1"/>
    <col min="11481" max="11481" width="13.7109375" style="1870" customWidth="1"/>
    <col min="11482" max="11482" width="13.5703125" style="1870" customWidth="1"/>
    <col min="11483" max="11483" width="13.28515625" style="1870" customWidth="1"/>
    <col min="11484" max="11484" width="13" style="1870" customWidth="1"/>
    <col min="11485" max="11485" width="12.7109375" style="1870" customWidth="1"/>
    <col min="11486" max="11488" width="12" style="1870" customWidth="1"/>
    <col min="11489" max="11489" width="13.28515625" style="1870" customWidth="1"/>
    <col min="11490" max="11490" width="13.42578125" style="1870" customWidth="1"/>
    <col min="11491" max="11491" width="13.28515625" style="1870" customWidth="1"/>
    <col min="11492" max="11492" width="11.7109375" style="1870" customWidth="1"/>
    <col min="11493" max="11494" width="13.5703125" style="1870" customWidth="1"/>
    <col min="11495" max="11495" width="11.7109375" style="1870" customWidth="1"/>
    <col min="11496" max="11496" width="12.7109375" style="1870" customWidth="1"/>
    <col min="11497" max="11497" width="16" style="1870" customWidth="1"/>
    <col min="11498" max="11498" width="14.42578125" style="1870" customWidth="1"/>
    <col min="11499" max="11499" width="13.28515625" style="1870" customWidth="1"/>
    <col min="11500" max="11500" width="12.7109375" style="1870" customWidth="1"/>
    <col min="11501" max="11501" width="13" style="1870" customWidth="1"/>
    <col min="11502" max="11502" width="13.28515625" style="1870" customWidth="1"/>
    <col min="11503" max="11503" width="13.5703125" style="1870" customWidth="1"/>
    <col min="11504" max="11504" width="12.7109375" style="1870" customWidth="1"/>
    <col min="11505" max="11505" width="11.7109375" style="1870" customWidth="1"/>
    <col min="11506" max="11506" width="11.5703125" style="1870" customWidth="1"/>
    <col min="11507" max="11507" width="13.7109375" style="1870" customWidth="1"/>
    <col min="11508" max="11508" width="14.7109375" style="1870" customWidth="1"/>
    <col min="11509" max="11509" width="12.5703125" style="1870" customWidth="1"/>
    <col min="11510" max="11510" width="11.7109375" style="1870" customWidth="1"/>
    <col min="11511" max="11511" width="12.28515625" style="1870" customWidth="1"/>
    <col min="11512" max="11512" width="12.7109375" style="1870" customWidth="1"/>
    <col min="11513" max="11513" width="13.28515625" style="1870" customWidth="1"/>
    <col min="11514" max="11514" width="13.7109375" style="1870" customWidth="1"/>
    <col min="11515" max="11515" width="13" style="1870" customWidth="1"/>
    <col min="11516" max="11516" width="12.28515625" style="1870" customWidth="1"/>
    <col min="11517" max="11518" width="13.28515625" style="1870" customWidth="1"/>
    <col min="11519" max="11519" width="13.7109375" style="1870" customWidth="1"/>
    <col min="11520" max="11520" width="12.42578125" style="1870" customWidth="1"/>
    <col min="11521" max="11521" width="12" style="1870" customWidth="1"/>
    <col min="11522" max="11522" width="16.5703125" style="1870" customWidth="1"/>
    <col min="11523" max="11523" width="29.28515625" style="1870" customWidth="1"/>
    <col min="11524" max="11524" width="18.7109375" style="1870" customWidth="1"/>
    <col min="11525" max="11683" width="9.28515625" style="1870"/>
    <col min="11684" max="11684" width="6.28515625" style="1870" customWidth="1"/>
    <col min="11685" max="11685" width="42.5703125" style="1870" customWidth="1"/>
    <col min="11686" max="11686" width="11" style="1870" customWidth="1"/>
    <col min="11687" max="11687" width="13.7109375" style="1870" customWidth="1"/>
    <col min="11688" max="11688" width="15.28515625" style="1870" customWidth="1"/>
    <col min="11689" max="11689" width="11.7109375" style="1870" customWidth="1"/>
    <col min="11690" max="11690" width="12" style="1870" customWidth="1"/>
    <col min="11691" max="11691" width="12.5703125" style="1870" customWidth="1"/>
    <col min="11692" max="11692" width="13.28515625" style="1870" customWidth="1"/>
    <col min="11693" max="11693" width="9.7109375" style="1870" customWidth="1"/>
    <col min="11694" max="11694" width="12.42578125" style="1870" customWidth="1"/>
    <col min="11695" max="11695" width="13" style="1870" customWidth="1"/>
    <col min="11696" max="11696" width="13.5703125" style="1870" customWidth="1"/>
    <col min="11697" max="11697" width="9.7109375" style="1870" customWidth="1"/>
    <col min="11698" max="11698" width="10.42578125" style="1870" customWidth="1"/>
    <col min="11699" max="11699" width="12" style="1870" customWidth="1"/>
    <col min="11700" max="11700" width="11.7109375" style="1870" customWidth="1"/>
    <col min="11701" max="11701" width="12.28515625" style="1870" customWidth="1"/>
    <col min="11702" max="11702" width="11.28515625" style="1870" customWidth="1"/>
    <col min="11703" max="11703" width="10.28515625" style="1870" customWidth="1"/>
    <col min="11704" max="11704" width="14.28515625" style="1870" customWidth="1"/>
    <col min="11705" max="11705" width="14" style="1870" customWidth="1"/>
    <col min="11706" max="11706" width="14.7109375" style="1870" customWidth="1"/>
    <col min="11707" max="11707" width="12.42578125" style="1870" customWidth="1"/>
    <col min="11708" max="11708" width="11.5703125" style="1870" customWidth="1"/>
    <col min="11709" max="11709" width="12" style="1870" customWidth="1"/>
    <col min="11710" max="11711" width="11.7109375" style="1870" customWidth="1"/>
    <col min="11712" max="11712" width="9.5703125" style="1870" customWidth="1"/>
    <col min="11713" max="11713" width="9.42578125" style="1870" customWidth="1"/>
    <col min="11714" max="11714" width="12.7109375" style="1870" customWidth="1"/>
    <col min="11715" max="11715" width="12" style="1870" customWidth="1"/>
    <col min="11716" max="11716" width="12.7109375" style="1870" customWidth="1"/>
    <col min="11717" max="11717" width="12.42578125" style="1870" customWidth="1"/>
    <col min="11718" max="11718" width="11.42578125" style="1870" customWidth="1"/>
    <col min="11719" max="11719" width="12" style="1870" customWidth="1"/>
    <col min="11720" max="11721" width="12.7109375" style="1870" customWidth="1"/>
    <col min="11722" max="11722" width="10.7109375" style="1870" customWidth="1"/>
    <col min="11723" max="11723" width="11.5703125" style="1870" customWidth="1"/>
    <col min="11724" max="11724" width="12" style="1870" customWidth="1"/>
    <col min="11725" max="11725" width="12.7109375" style="1870" customWidth="1"/>
    <col min="11726" max="11726" width="14" style="1870" customWidth="1"/>
    <col min="11727" max="11727" width="10.7109375" style="1870" customWidth="1"/>
    <col min="11728" max="11728" width="11.5703125" style="1870" customWidth="1"/>
    <col min="11729" max="11729" width="14.7109375" style="1870" customWidth="1"/>
    <col min="11730" max="11731" width="14.5703125" style="1870" customWidth="1"/>
    <col min="11732" max="11732" width="11.7109375" style="1870" customWidth="1"/>
    <col min="11733" max="11733" width="12" style="1870" customWidth="1"/>
    <col min="11734" max="11734" width="14.28515625" style="1870" customWidth="1"/>
    <col min="11735" max="11735" width="13.7109375" style="1870" customWidth="1"/>
    <col min="11736" max="11736" width="13.28515625" style="1870" customWidth="1"/>
    <col min="11737" max="11737" width="13.7109375" style="1870" customWidth="1"/>
    <col min="11738" max="11738" width="13.5703125" style="1870" customWidth="1"/>
    <col min="11739" max="11739" width="13.28515625" style="1870" customWidth="1"/>
    <col min="11740" max="11740" width="13" style="1870" customWidth="1"/>
    <col min="11741" max="11741" width="12.7109375" style="1870" customWidth="1"/>
    <col min="11742" max="11744" width="12" style="1870" customWidth="1"/>
    <col min="11745" max="11745" width="13.28515625" style="1870" customWidth="1"/>
    <col min="11746" max="11746" width="13.42578125" style="1870" customWidth="1"/>
    <col min="11747" max="11747" width="13.28515625" style="1870" customWidth="1"/>
    <col min="11748" max="11748" width="11.7109375" style="1870" customWidth="1"/>
    <col min="11749" max="11750" width="13.5703125" style="1870" customWidth="1"/>
    <col min="11751" max="11751" width="11.7109375" style="1870" customWidth="1"/>
    <col min="11752" max="11752" width="12.7109375" style="1870" customWidth="1"/>
    <col min="11753" max="11753" width="16" style="1870" customWidth="1"/>
    <col min="11754" max="11754" width="14.42578125" style="1870" customWidth="1"/>
    <col min="11755" max="11755" width="13.28515625" style="1870" customWidth="1"/>
    <col min="11756" max="11756" width="12.7109375" style="1870" customWidth="1"/>
    <col min="11757" max="11757" width="13" style="1870" customWidth="1"/>
    <col min="11758" max="11758" width="13.28515625" style="1870" customWidth="1"/>
    <col min="11759" max="11759" width="13.5703125" style="1870" customWidth="1"/>
    <col min="11760" max="11760" width="12.7109375" style="1870" customWidth="1"/>
    <col min="11761" max="11761" width="11.7109375" style="1870" customWidth="1"/>
    <col min="11762" max="11762" width="11.5703125" style="1870" customWidth="1"/>
    <col min="11763" max="11763" width="13.7109375" style="1870" customWidth="1"/>
    <col min="11764" max="11764" width="14.7109375" style="1870" customWidth="1"/>
    <col min="11765" max="11765" width="12.5703125" style="1870" customWidth="1"/>
    <col min="11766" max="11766" width="11.7109375" style="1870" customWidth="1"/>
    <col min="11767" max="11767" width="12.28515625" style="1870" customWidth="1"/>
    <col min="11768" max="11768" width="12.7109375" style="1870" customWidth="1"/>
    <col min="11769" max="11769" width="13.28515625" style="1870" customWidth="1"/>
    <col min="11770" max="11770" width="13.7109375" style="1870" customWidth="1"/>
    <col min="11771" max="11771" width="13" style="1870" customWidth="1"/>
    <col min="11772" max="11772" width="12.28515625" style="1870" customWidth="1"/>
    <col min="11773" max="11774" width="13.28515625" style="1870" customWidth="1"/>
    <col min="11775" max="11775" width="13.7109375" style="1870" customWidth="1"/>
    <col min="11776" max="11776" width="12.42578125" style="1870" customWidth="1"/>
    <col min="11777" max="11777" width="12" style="1870" customWidth="1"/>
    <col min="11778" max="11778" width="16.5703125" style="1870" customWidth="1"/>
    <col min="11779" max="11779" width="29.28515625" style="1870" customWidth="1"/>
    <col min="11780" max="11780" width="18.7109375" style="1870" customWidth="1"/>
    <col min="11781" max="11939" width="9.28515625" style="1870"/>
    <col min="11940" max="11940" width="6.28515625" style="1870" customWidth="1"/>
    <col min="11941" max="11941" width="42.5703125" style="1870" customWidth="1"/>
    <col min="11942" max="11942" width="11" style="1870" customWidth="1"/>
    <col min="11943" max="11943" width="13.7109375" style="1870" customWidth="1"/>
    <col min="11944" max="11944" width="15.28515625" style="1870" customWidth="1"/>
    <col min="11945" max="11945" width="11.7109375" style="1870" customWidth="1"/>
    <col min="11946" max="11946" width="12" style="1870" customWidth="1"/>
    <col min="11947" max="11947" width="12.5703125" style="1870" customWidth="1"/>
    <col min="11948" max="11948" width="13.28515625" style="1870" customWidth="1"/>
    <col min="11949" max="11949" width="9.7109375" style="1870" customWidth="1"/>
    <col min="11950" max="11950" width="12.42578125" style="1870" customWidth="1"/>
    <col min="11951" max="11951" width="13" style="1870" customWidth="1"/>
    <col min="11952" max="11952" width="13.5703125" style="1870" customWidth="1"/>
    <col min="11953" max="11953" width="9.7109375" style="1870" customWidth="1"/>
    <col min="11954" max="11954" width="10.42578125" style="1870" customWidth="1"/>
    <col min="11955" max="11955" width="12" style="1870" customWidth="1"/>
    <col min="11956" max="11956" width="11.7109375" style="1870" customWidth="1"/>
    <col min="11957" max="11957" width="12.28515625" style="1870" customWidth="1"/>
    <col min="11958" max="11958" width="11.28515625" style="1870" customWidth="1"/>
    <col min="11959" max="11959" width="10.28515625" style="1870" customWidth="1"/>
    <col min="11960" max="11960" width="14.28515625" style="1870" customWidth="1"/>
    <col min="11961" max="11961" width="14" style="1870" customWidth="1"/>
    <col min="11962" max="11962" width="14.7109375" style="1870" customWidth="1"/>
    <col min="11963" max="11963" width="12.42578125" style="1870" customWidth="1"/>
    <col min="11964" max="11964" width="11.5703125" style="1870" customWidth="1"/>
    <col min="11965" max="11965" width="12" style="1870" customWidth="1"/>
    <col min="11966" max="11967" width="11.7109375" style="1870" customWidth="1"/>
    <col min="11968" max="11968" width="9.5703125" style="1870" customWidth="1"/>
    <col min="11969" max="11969" width="9.42578125" style="1870" customWidth="1"/>
    <col min="11970" max="11970" width="12.7109375" style="1870" customWidth="1"/>
    <col min="11971" max="11971" width="12" style="1870" customWidth="1"/>
    <col min="11972" max="11972" width="12.7109375" style="1870" customWidth="1"/>
    <col min="11973" max="11973" width="12.42578125" style="1870" customWidth="1"/>
    <col min="11974" max="11974" width="11.42578125" style="1870" customWidth="1"/>
    <col min="11975" max="11975" width="12" style="1870" customWidth="1"/>
    <col min="11976" max="11977" width="12.7109375" style="1870" customWidth="1"/>
    <col min="11978" max="11978" width="10.7109375" style="1870" customWidth="1"/>
    <col min="11979" max="11979" width="11.5703125" style="1870" customWidth="1"/>
    <col min="11980" max="11980" width="12" style="1870" customWidth="1"/>
    <col min="11981" max="11981" width="12.7109375" style="1870" customWidth="1"/>
    <col min="11982" max="11982" width="14" style="1870" customWidth="1"/>
    <col min="11983" max="11983" width="10.7109375" style="1870" customWidth="1"/>
    <col min="11984" max="11984" width="11.5703125" style="1870" customWidth="1"/>
    <col min="11985" max="11985" width="14.7109375" style="1870" customWidth="1"/>
    <col min="11986" max="11987" width="14.5703125" style="1870" customWidth="1"/>
    <col min="11988" max="11988" width="11.7109375" style="1870" customWidth="1"/>
    <col min="11989" max="11989" width="12" style="1870" customWidth="1"/>
    <col min="11990" max="11990" width="14.28515625" style="1870" customWidth="1"/>
    <col min="11991" max="11991" width="13.7109375" style="1870" customWidth="1"/>
    <col min="11992" max="11992" width="13.28515625" style="1870" customWidth="1"/>
    <col min="11993" max="11993" width="13.7109375" style="1870" customWidth="1"/>
    <col min="11994" max="11994" width="13.5703125" style="1870" customWidth="1"/>
    <col min="11995" max="11995" width="13.28515625" style="1870" customWidth="1"/>
    <col min="11996" max="11996" width="13" style="1870" customWidth="1"/>
    <col min="11997" max="11997" width="12.7109375" style="1870" customWidth="1"/>
    <col min="11998" max="12000" width="12" style="1870" customWidth="1"/>
    <col min="12001" max="12001" width="13.28515625" style="1870" customWidth="1"/>
    <col min="12002" max="12002" width="13.42578125" style="1870" customWidth="1"/>
    <col min="12003" max="12003" width="13.28515625" style="1870" customWidth="1"/>
    <col min="12004" max="12004" width="11.7109375" style="1870" customWidth="1"/>
    <col min="12005" max="12006" width="13.5703125" style="1870" customWidth="1"/>
    <col min="12007" max="12007" width="11.7109375" style="1870" customWidth="1"/>
    <col min="12008" max="12008" width="12.7109375" style="1870" customWidth="1"/>
    <col min="12009" max="12009" width="16" style="1870" customWidth="1"/>
    <col min="12010" max="12010" width="14.42578125" style="1870" customWidth="1"/>
    <col min="12011" max="12011" width="13.28515625" style="1870" customWidth="1"/>
    <col min="12012" max="12012" width="12.7109375" style="1870" customWidth="1"/>
    <col min="12013" max="12013" width="13" style="1870" customWidth="1"/>
    <col min="12014" max="12014" width="13.28515625" style="1870" customWidth="1"/>
    <col min="12015" max="12015" width="13.5703125" style="1870" customWidth="1"/>
    <col min="12016" max="12016" width="12.7109375" style="1870" customWidth="1"/>
    <col min="12017" max="12017" width="11.7109375" style="1870" customWidth="1"/>
    <col min="12018" max="12018" width="11.5703125" style="1870" customWidth="1"/>
    <col min="12019" max="12019" width="13.7109375" style="1870" customWidth="1"/>
    <col min="12020" max="12020" width="14.7109375" style="1870" customWidth="1"/>
    <col min="12021" max="12021" width="12.5703125" style="1870" customWidth="1"/>
    <col min="12022" max="12022" width="11.7109375" style="1870" customWidth="1"/>
    <col min="12023" max="12023" width="12.28515625" style="1870" customWidth="1"/>
    <col min="12024" max="12024" width="12.7109375" style="1870" customWidth="1"/>
    <col min="12025" max="12025" width="13.28515625" style="1870" customWidth="1"/>
    <col min="12026" max="12026" width="13.7109375" style="1870" customWidth="1"/>
    <col min="12027" max="12027" width="13" style="1870" customWidth="1"/>
    <col min="12028" max="12028" width="12.28515625" style="1870" customWidth="1"/>
    <col min="12029" max="12030" width="13.28515625" style="1870" customWidth="1"/>
    <col min="12031" max="12031" width="13.7109375" style="1870" customWidth="1"/>
    <col min="12032" max="12032" width="12.42578125" style="1870" customWidth="1"/>
    <col min="12033" max="12033" width="12" style="1870" customWidth="1"/>
    <col min="12034" max="12034" width="16.5703125" style="1870" customWidth="1"/>
    <col min="12035" max="12035" width="29.28515625" style="1870" customWidth="1"/>
    <col min="12036" max="12036" width="18.7109375" style="1870" customWidth="1"/>
    <col min="12037" max="12195" width="9.28515625" style="1870"/>
    <col min="12196" max="12196" width="6.28515625" style="1870" customWidth="1"/>
    <col min="12197" max="12197" width="42.5703125" style="1870" customWidth="1"/>
    <col min="12198" max="12198" width="11" style="1870" customWidth="1"/>
    <col min="12199" max="12199" width="13.7109375" style="1870" customWidth="1"/>
    <col min="12200" max="12200" width="15.28515625" style="1870" customWidth="1"/>
    <col min="12201" max="12201" width="11.7109375" style="1870" customWidth="1"/>
    <col min="12202" max="12202" width="12" style="1870" customWidth="1"/>
    <col min="12203" max="12203" width="12.5703125" style="1870" customWidth="1"/>
    <col min="12204" max="12204" width="13.28515625" style="1870" customWidth="1"/>
    <col min="12205" max="12205" width="9.7109375" style="1870" customWidth="1"/>
    <col min="12206" max="12206" width="12.42578125" style="1870" customWidth="1"/>
    <col min="12207" max="12207" width="13" style="1870" customWidth="1"/>
    <col min="12208" max="12208" width="13.5703125" style="1870" customWidth="1"/>
    <col min="12209" max="12209" width="9.7109375" style="1870" customWidth="1"/>
    <col min="12210" max="12210" width="10.42578125" style="1870" customWidth="1"/>
    <col min="12211" max="12211" width="12" style="1870" customWidth="1"/>
    <col min="12212" max="12212" width="11.7109375" style="1870" customWidth="1"/>
    <col min="12213" max="12213" width="12.28515625" style="1870" customWidth="1"/>
    <col min="12214" max="12214" width="11.28515625" style="1870" customWidth="1"/>
    <col min="12215" max="12215" width="10.28515625" style="1870" customWidth="1"/>
    <col min="12216" max="12216" width="14.28515625" style="1870" customWidth="1"/>
    <col min="12217" max="12217" width="14" style="1870" customWidth="1"/>
    <col min="12218" max="12218" width="14.7109375" style="1870" customWidth="1"/>
    <col min="12219" max="12219" width="12.42578125" style="1870" customWidth="1"/>
    <col min="12220" max="12220" width="11.5703125" style="1870" customWidth="1"/>
    <col min="12221" max="12221" width="12" style="1870" customWidth="1"/>
    <col min="12222" max="12223" width="11.7109375" style="1870" customWidth="1"/>
    <col min="12224" max="12224" width="9.5703125" style="1870" customWidth="1"/>
    <col min="12225" max="12225" width="9.42578125" style="1870" customWidth="1"/>
    <col min="12226" max="12226" width="12.7109375" style="1870" customWidth="1"/>
    <col min="12227" max="12227" width="12" style="1870" customWidth="1"/>
    <col min="12228" max="12228" width="12.7109375" style="1870" customWidth="1"/>
    <col min="12229" max="12229" width="12.42578125" style="1870" customWidth="1"/>
    <col min="12230" max="12230" width="11.42578125" style="1870" customWidth="1"/>
    <col min="12231" max="12231" width="12" style="1870" customWidth="1"/>
    <col min="12232" max="12233" width="12.7109375" style="1870" customWidth="1"/>
    <col min="12234" max="12234" width="10.7109375" style="1870" customWidth="1"/>
    <col min="12235" max="12235" width="11.5703125" style="1870" customWidth="1"/>
    <col min="12236" max="12236" width="12" style="1870" customWidth="1"/>
    <col min="12237" max="12237" width="12.7109375" style="1870" customWidth="1"/>
    <col min="12238" max="12238" width="14" style="1870" customWidth="1"/>
    <col min="12239" max="12239" width="10.7109375" style="1870" customWidth="1"/>
    <col min="12240" max="12240" width="11.5703125" style="1870" customWidth="1"/>
    <col min="12241" max="12241" width="14.7109375" style="1870" customWidth="1"/>
    <col min="12242" max="12243" width="14.5703125" style="1870" customWidth="1"/>
    <col min="12244" max="12244" width="11.7109375" style="1870" customWidth="1"/>
    <col min="12245" max="12245" width="12" style="1870" customWidth="1"/>
    <col min="12246" max="12246" width="14.28515625" style="1870" customWidth="1"/>
    <col min="12247" max="12247" width="13.7109375" style="1870" customWidth="1"/>
    <col min="12248" max="12248" width="13.28515625" style="1870" customWidth="1"/>
    <col min="12249" max="12249" width="13.7109375" style="1870" customWidth="1"/>
    <col min="12250" max="12250" width="13.5703125" style="1870" customWidth="1"/>
    <col min="12251" max="12251" width="13.28515625" style="1870" customWidth="1"/>
    <col min="12252" max="12252" width="13" style="1870" customWidth="1"/>
    <col min="12253" max="12253" width="12.7109375" style="1870" customWidth="1"/>
    <col min="12254" max="12256" width="12" style="1870" customWidth="1"/>
    <col min="12257" max="12257" width="13.28515625" style="1870" customWidth="1"/>
    <col min="12258" max="12258" width="13.42578125" style="1870" customWidth="1"/>
    <col min="12259" max="12259" width="13.28515625" style="1870" customWidth="1"/>
    <col min="12260" max="12260" width="11.7109375" style="1870" customWidth="1"/>
    <col min="12261" max="12262" width="13.5703125" style="1870" customWidth="1"/>
    <col min="12263" max="12263" width="11.7109375" style="1870" customWidth="1"/>
    <col min="12264" max="12264" width="12.7109375" style="1870" customWidth="1"/>
    <col min="12265" max="12265" width="16" style="1870" customWidth="1"/>
    <col min="12266" max="12266" width="14.42578125" style="1870" customWidth="1"/>
    <col min="12267" max="12267" width="13.28515625" style="1870" customWidth="1"/>
    <col min="12268" max="12268" width="12.7109375" style="1870" customWidth="1"/>
    <col min="12269" max="12269" width="13" style="1870" customWidth="1"/>
    <col min="12270" max="12270" width="13.28515625" style="1870" customWidth="1"/>
    <col min="12271" max="12271" width="13.5703125" style="1870" customWidth="1"/>
    <col min="12272" max="12272" width="12.7109375" style="1870" customWidth="1"/>
    <col min="12273" max="12273" width="11.7109375" style="1870" customWidth="1"/>
    <col min="12274" max="12274" width="11.5703125" style="1870" customWidth="1"/>
    <col min="12275" max="12275" width="13.7109375" style="1870" customWidth="1"/>
    <col min="12276" max="12276" width="14.7109375" style="1870" customWidth="1"/>
    <col min="12277" max="12277" width="12.5703125" style="1870" customWidth="1"/>
    <col min="12278" max="12278" width="11.7109375" style="1870" customWidth="1"/>
    <col min="12279" max="12279" width="12.28515625" style="1870" customWidth="1"/>
    <col min="12280" max="12280" width="12.7109375" style="1870" customWidth="1"/>
    <col min="12281" max="12281" width="13.28515625" style="1870" customWidth="1"/>
    <col min="12282" max="12282" width="13.7109375" style="1870" customWidth="1"/>
    <col min="12283" max="12283" width="13" style="1870" customWidth="1"/>
    <col min="12284" max="12284" width="12.28515625" style="1870" customWidth="1"/>
    <col min="12285" max="12286" width="13.28515625" style="1870" customWidth="1"/>
    <col min="12287" max="12287" width="13.7109375" style="1870" customWidth="1"/>
    <col min="12288" max="12288" width="12.42578125" style="1870" customWidth="1"/>
    <col min="12289" max="12289" width="12" style="1870" customWidth="1"/>
    <col min="12290" max="12290" width="16.5703125" style="1870" customWidth="1"/>
    <col min="12291" max="12291" width="29.28515625" style="1870" customWidth="1"/>
    <col min="12292" max="12292" width="18.7109375" style="1870" customWidth="1"/>
    <col min="12293" max="12451" width="9.28515625" style="1870"/>
    <col min="12452" max="12452" width="6.28515625" style="1870" customWidth="1"/>
    <col min="12453" max="12453" width="42.5703125" style="1870" customWidth="1"/>
    <col min="12454" max="12454" width="11" style="1870" customWidth="1"/>
    <col min="12455" max="12455" width="13.7109375" style="1870" customWidth="1"/>
    <col min="12456" max="12456" width="15.28515625" style="1870" customWidth="1"/>
    <col min="12457" max="12457" width="11.7109375" style="1870" customWidth="1"/>
    <col min="12458" max="12458" width="12" style="1870" customWidth="1"/>
    <col min="12459" max="12459" width="12.5703125" style="1870" customWidth="1"/>
    <col min="12460" max="12460" width="13.28515625" style="1870" customWidth="1"/>
    <col min="12461" max="12461" width="9.7109375" style="1870" customWidth="1"/>
    <col min="12462" max="12462" width="12.42578125" style="1870" customWidth="1"/>
    <col min="12463" max="12463" width="13" style="1870" customWidth="1"/>
    <col min="12464" max="12464" width="13.5703125" style="1870" customWidth="1"/>
    <col min="12465" max="12465" width="9.7109375" style="1870" customWidth="1"/>
    <col min="12466" max="12466" width="10.42578125" style="1870" customWidth="1"/>
    <col min="12467" max="12467" width="12" style="1870" customWidth="1"/>
    <col min="12468" max="12468" width="11.7109375" style="1870" customWidth="1"/>
    <col min="12469" max="12469" width="12.28515625" style="1870" customWidth="1"/>
    <col min="12470" max="12470" width="11.28515625" style="1870" customWidth="1"/>
    <col min="12471" max="12471" width="10.28515625" style="1870" customWidth="1"/>
    <col min="12472" max="12472" width="14.28515625" style="1870" customWidth="1"/>
    <col min="12473" max="12473" width="14" style="1870" customWidth="1"/>
    <col min="12474" max="12474" width="14.7109375" style="1870" customWidth="1"/>
    <col min="12475" max="12475" width="12.42578125" style="1870" customWidth="1"/>
    <col min="12476" max="12476" width="11.5703125" style="1870" customWidth="1"/>
    <col min="12477" max="12477" width="12" style="1870" customWidth="1"/>
    <col min="12478" max="12479" width="11.7109375" style="1870" customWidth="1"/>
    <col min="12480" max="12480" width="9.5703125" style="1870" customWidth="1"/>
    <col min="12481" max="12481" width="9.42578125" style="1870" customWidth="1"/>
    <col min="12482" max="12482" width="12.7109375" style="1870" customWidth="1"/>
    <col min="12483" max="12483" width="12" style="1870" customWidth="1"/>
    <col min="12484" max="12484" width="12.7109375" style="1870" customWidth="1"/>
    <col min="12485" max="12485" width="12.42578125" style="1870" customWidth="1"/>
    <col min="12486" max="12486" width="11.42578125" style="1870" customWidth="1"/>
    <col min="12487" max="12487" width="12" style="1870" customWidth="1"/>
    <col min="12488" max="12489" width="12.7109375" style="1870" customWidth="1"/>
    <col min="12490" max="12490" width="10.7109375" style="1870" customWidth="1"/>
    <col min="12491" max="12491" width="11.5703125" style="1870" customWidth="1"/>
    <col min="12492" max="12492" width="12" style="1870" customWidth="1"/>
    <col min="12493" max="12493" width="12.7109375" style="1870" customWidth="1"/>
    <col min="12494" max="12494" width="14" style="1870" customWidth="1"/>
    <col min="12495" max="12495" width="10.7109375" style="1870" customWidth="1"/>
    <col min="12496" max="12496" width="11.5703125" style="1870" customWidth="1"/>
    <col min="12497" max="12497" width="14.7109375" style="1870" customWidth="1"/>
    <col min="12498" max="12499" width="14.5703125" style="1870" customWidth="1"/>
    <col min="12500" max="12500" width="11.7109375" style="1870" customWidth="1"/>
    <col min="12501" max="12501" width="12" style="1870" customWidth="1"/>
    <col min="12502" max="12502" width="14.28515625" style="1870" customWidth="1"/>
    <col min="12503" max="12503" width="13.7109375" style="1870" customWidth="1"/>
    <col min="12504" max="12504" width="13.28515625" style="1870" customWidth="1"/>
    <col min="12505" max="12505" width="13.7109375" style="1870" customWidth="1"/>
    <col min="12506" max="12506" width="13.5703125" style="1870" customWidth="1"/>
    <col min="12507" max="12507" width="13.28515625" style="1870" customWidth="1"/>
    <col min="12508" max="12508" width="13" style="1870" customWidth="1"/>
    <col min="12509" max="12509" width="12.7109375" style="1870" customWidth="1"/>
    <col min="12510" max="12512" width="12" style="1870" customWidth="1"/>
    <col min="12513" max="12513" width="13.28515625" style="1870" customWidth="1"/>
    <col min="12514" max="12514" width="13.42578125" style="1870" customWidth="1"/>
    <col min="12515" max="12515" width="13.28515625" style="1870" customWidth="1"/>
    <col min="12516" max="12516" width="11.7109375" style="1870" customWidth="1"/>
    <col min="12517" max="12518" width="13.5703125" style="1870" customWidth="1"/>
    <col min="12519" max="12519" width="11.7109375" style="1870" customWidth="1"/>
    <col min="12520" max="12520" width="12.7109375" style="1870" customWidth="1"/>
    <col min="12521" max="12521" width="16" style="1870" customWidth="1"/>
    <col min="12522" max="12522" width="14.42578125" style="1870" customWidth="1"/>
    <col min="12523" max="12523" width="13.28515625" style="1870" customWidth="1"/>
    <col min="12524" max="12524" width="12.7109375" style="1870" customWidth="1"/>
    <col min="12525" max="12525" width="13" style="1870" customWidth="1"/>
    <col min="12526" max="12526" width="13.28515625" style="1870" customWidth="1"/>
    <col min="12527" max="12527" width="13.5703125" style="1870" customWidth="1"/>
    <col min="12528" max="12528" width="12.7109375" style="1870" customWidth="1"/>
    <col min="12529" max="12529" width="11.7109375" style="1870" customWidth="1"/>
    <col min="12530" max="12530" width="11.5703125" style="1870" customWidth="1"/>
    <col min="12531" max="12531" width="13.7109375" style="1870" customWidth="1"/>
    <col min="12532" max="12532" width="14.7109375" style="1870" customWidth="1"/>
    <col min="12533" max="12533" width="12.5703125" style="1870" customWidth="1"/>
    <col min="12534" max="12534" width="11.7109375" style="1870" customWidth="1"/>
    <col min="12535" max="12535" width="12.28515625" style="1870" customWidth="1"/>
    <col min="12536" max="12536" width="12.7109375" style="1870" customWidth="1"/>
    <col min="12537" max="12537" width="13.28515625" style="1870" customWidth="1"/>
    <col min="12538" max="12538" width="13.7109375" style="1870" customWidth="1"/>
    <col min="12539" max="12539" width="13" style="1870" customWidth="1"/>
    <col min="12540" max="12540" width="12.28515625" style="1870" customWidth="1"/>
    <col min="12541" max="12542" width="13.28515625" style="1870" customWidth="1"/>
    <col min="12543" max="12543" width="13.7109375" style="1870" customWidth="1"/>
    <col min="12544" max="12544" width="12.42578125" style="1870" customWidth="1"/>
    <col min="12545" max="12545" width="12" style="1870" customWidth="1"/>
    <col min="12546" max="12546" width="16.5703125" style="1870" customWidth="1"/>
    <col min="12547" max="12547" width="29.28515625" style="1870" customWidth="1"/>
    <col min="12548" max="12548" width="18.7109375" style="1870" customWidth="1"/>
    <col min="12549" max="12707" width="9.28515625" style="1870"/>
    <col min="12708" max="12708" width="6.28515625" style="1870" customWidth="1"/>
    <col min="12709" max="12709" width="42.5703125" style="1870" customWidth="1"/>
    <col min="12710" max="12710" width="11" style="1870" customWidth="1"/>
    <col min="12711" max="12711" width="13.7109375" style="1870" customWidth="1"/>
    <col min="12712" max="12712" width="15.28515625" style="1870" customWidth="1"/>
    <col min="12713" max="12713" width="11.7109375" style="1870" customWidth="1"/>
    <col min="12714" max="12714" width="12" style="1870" customWidth="1"/>
    <col min="12715" max="12715" width="12.5703125" style="1870" customWidth="1"/>
    <col min="12716" max="12716" width="13.28515625" style="1870" customWidth="1"/>
    <col min="12717" max="12717" width="9.7109375" style="1870" customWidth="1"/>
    <col min="12718" max="12718" width="12.42578125" style="1870" customWidth="1"/>
    <col min="12719" max="12719" width="13" style="1870" customWidth="1"/>
    <col min="12720" max="12720" width="13.5703125" style="1870" customWidth="1"/>
    <col min="12721" max="12721" width="9.7109375" style="1870" customWidth="1"/>
    <col min="12722" max="12722" width="10.42578125" style="1870" customWidth="1"/>
    <col min="12723" max="12723" width="12" style="1870" customWidth="1"/>
    <col min="12724" max="12724" width="11.7109375" style="1870" customWidth="1"/>
    <col min="12725" max="12725" width="12.28515625" style="1870" customWidth="1"/>
    <col min="12726" max="12726" width="11.28515625" style="1870" customWidth="1"/>
    <col min="12727" max="12727" width="10.28515625" style="1870" customWidth="1"/>
    <col min="12728" max="12728" width="14.28515625" style="1870" customWidth="1"/>
    <col min="12729" max="12729" width="14" style="1870" customWidth="1"/>
    <col min="12730" max="12730" width="14.7109375" style="1870" customWidth="1"/>
    <col min="12731" max="12731" width="12.42578125" style="1870" customWidth="1"/>
    <col min="12732" max="12732" width="11.5703125" style="1870" customWidth="1"/>
    <col min="12733" max="12733" width="12" style="1870" customWidth="1"/>
    <col min="12734" max="12735" width="11.7109375" style="1870" customWidth="1"/>
    <col min="12736" max="12736" width="9.5703125" style="1870" customWidth="1"/>
    <col min="12737" max="12737" width="9.42578125" style="1870" customWidth="1"/>
    <col min="12738" max="12738" width="12.7109375" style="1870" customWidth="1"/>
    <col min="12739" max="12739" width="12" style="1870" customWidth="1"/>
    <col min="12740" max="12740" width="12.7109375" style="1870" customWidth="1"/>
    <col min="12741" max="12741" width="12.42578125" style="1870" customWidth="1"/>
    <col min="12742" max="12742" width="11.42578125" style="1870" customWidth="1"/>
    <col min="12743" max="12743" width="12" style="1870" customWidth="1"/>
    <col min="12744" max="12745" width="12.7109375" style="1870" customWidth="1"/>
    <col min="12746" max="12746" width="10.7109375" style="1870" customWidth="1"/>
    <col min="12747" max="12747" width="11.5703125" style="1870" customWidth="1"/>
    <col min="12748" max="12748" width="12" style="1870" customWidth="1"/>
    <col min="12749" max="12749" width="12.7109375" style="1870" customWidth="1"/>
    <col min="12750" max="12750" width="14" style="1870" customWidth="1"/>
    <col min="12751" max="12751" width="10.7109375" style="1870" customWidth="1"/>
    <col min="12752" max="12752" width="11.5703125" style="1870" customWidth="1"/>
    <col min="12753" max="12753" width="14.7109375" style="1870" customWidth="1"/>
    <col min="12754" max="12755" width="14.5703125" style="1870" customWidth="1"/>
    <col min="12756" max="12756" width="11.7109375" style="1870" customWidth="1"/>
    <col min="12757" max="12757" width="12" style="1870" customWidth="1"/>
    <col min="12758" max="12758" width="14.28515625" style="1870" customWidth="1"/>
    <col min="12759" max="12759" width="13.7109375" style="1870" customWidth="1"/>
    <col min="12760" max="12760" width="13.28515625" style="1870" customWidth="1"/>
    <col min="12761" max="12761" width="13.7109375" style="1870" customWidth="1"/>
    <col min="12762" max="12762" width="13.5703125" style="1870" customWidth="1"/>
    <col min="12763" max="12763" width="13.28515625" style="1870" customWidth="1"/>
    <col min="12764" max="12764" width="13" style="1870" customWidth="1"/>
    <col min="12765" max="12765" width="12.7109375" style="1870" customWidth="1"/>
    <col min="12766" max="12768" width="12" style="1870" customWidth="1"/>
    <col min="12769" max="12769" width="13.28515625" style="1870" customWidth="1"/>
    <col min="12770" max="12770" width="13.42578125" style="1870" customWidth="1"/>
    <col min="12771" max="12771" width="13.28515625" style="1870" customWidth="1"/>
    <col min="12772" max="12772" width="11.7109375" style="1870" customWidth="1"/>
    <col min="12773" max="12774" width="13.5703125" style="1870" customWidth="1"/>
    <col min="12775" max="12775" width="11.7109375" style="1870" customWidth="1"/>
    <col min="12776" max="12776" width="12.7109375" style="1870" customWidth="1"/>
    <col min="12777" max="12777" width="16" style="1870" customWidth="1"/>
    <col min="12778" max="12778" width="14.42578125" style="1870" customWidth="1"/>
    <col min="12779" max="12779" width="13.28515625" style="1870" customWidth="1"/>
    <col min="12780" max="12780" width="12.7109375" style="1870" customWidth="1"/>
    <col min="12781" max="12781" width="13" style="1870" customWidth="1"/>
    <col min="12782" max="12782" width="13.28515625" style="1870" customWidth="1"/>
    <col min="12783" max="12783" width="13.5703125" style="1870" customWidth="1"/>
    <col min="12784" max="12784" width="12.7109375" style="1870" customWidth="1"/>
    <col min="12785" max="12785" width="11.7109375" style="1870" customWidth="1"/>
    <col min="12786" max="12786" width="11.5703125" style="1870" customWidth="1"/>
    <col min="12787" max="12787" width="13.7109375" style="1870" customWidth="1"/>
    <col min="12788" max="12788" width="14.7109375" style="1870" customWidth="1"/>
    <col min="12789" max="12789" width="12.5703125" style="1870" customWidth="1"/>
    <col min="12790" max="12790" width="11.7109375" style="1870" customWidth="1"/>
    <col min="12791" max="12791" width="12.28515625" style="1870" customWidth="1"/>
    <col min="12792" max="12792" width="12.7109375" style="1870" customWidth="1"/>
    <col min="12793" max="12793" width="13.28515625" style="1870" customWidth="1"/>
    <col min="12794" max="12794" width="13.7109375" style="1870" customWidth="1"/>
    <col min="12795" max="12795" width="13" style="1870" customWidth="1"/>
    <col min="12796" max="12796" width="12.28515625" style="1870" customWidth="1"/>
    <col min="12797" max="12798" width="13.28515625" style="1870" customWidth="1"/>
    <col min="12799" max="12799" width="13.7109375" style="1870" customWidth="1"/>
    <col min="12800" max="12800" width="12.42578125" style="1870" customWidth="1"/>
    <col min="12801" max="12801" width="12" style="1870" customWidth="1"/>
    <col min="12802" max="12802" width="16.5703125" style="1870" customWidth="1"/>
    <col min="12803" max="12803" width="29.28515625" style="1870" customWidth="1"/>
    <col min="12804" max="12804" width="18.7109375" style="1870" customWidth="1"/>
    <col min="12805" max="12963" width="9.28515625" style="1870"/>
    <col min="12964" max="12964" width="6.28515625" style="1870" customWidth="1"/>
    <col min="12965" max="12965" width="42.5703125" style="1870" customWidth="1"/>
    <col min="12966" max="12966" width="11" style="1870" customWidth="1"/>
    <col min="12967" max="12967" width="13.7109375" style="1870" customWidth="1"/>
    <col min="12968" max="12968" width="15.28515625" style="1870" customWidth="1"/>
    <col min="12969" max="12969" width="11.7109375" style="1870" customWidth="1"/>
    <col min="12970" max="12970" width="12" style="1870" customWidth="1"/>
    <col min="12971" max="12971" width="12.5703125" style="1870" customWidth="1"/>
    <col min="12972" max="12972" width="13.28515625" style="1870" customWidth="1"/>
    <col min="12973" max="12973" width="9.7109375" style="1870" customWidth="1"/>
    <col min="12974" max="12974" width="12.42578125" style="1870" customWidth="1"/>
    <col min="12975" max="12975" width="13" style="1870" customWidth="1"/>
    <col min="12976" max="12976" width="13.5703125" style="1870" customWidth="1"/>
    <col min="12977" max="12977" width="9.7109375" style="1870" customWidth="1"/>
    <col min="12978" max="12978" width="10.42578125" style="1870" customWidth="1"/>
    <col min="12979" max="12979" width="12" style="1870" customWidth="1"/>
    <col min="12980" max="12980" width="11.7109375" style="1870" customWidth="1"/>
    <col min="12981" max="12981" width="12.28515625" style="1870" customWidth="1"/>
    <col min="12982" max="12982" width="11.28515625" style="1870" customWidth="1"/>
    <col min="12983" max="12983" width="10.28515625" style="1870" customWidth="1"/>
    <col min="12984" max="12984" width="14.28515625" style="1870" customWidth="1"/>
    <col min="12985" max="12985" width="14" style="1870" customWidth="1"/>
    <col min="12986" max="12986" width="14.7109375" style="1870" customWidth="1"/>
    <col min="12987" max="12987" width="12.42578125" style="1870" customWidth="1"/>
    <col min="12988" max="12988" width="11.5703125" style="1870" customWidth="1"/>
    <col min="12989" max="12989" width="12" style="1870" customWidth="1"/>
    <col min="12990" max="12991" width="11.7109375" style="1870" customWidth="1"/>
    <col min="12992" max="12992" width="9.5703125" style="1870" customWidth="1"/>
    <col min="12993" max="12993" width="9.42578125" style="1870" customWidth="1"/>
    <col min="12994" max="12994" width="12.7109375" style="1870" customWidth="1"/>
    <col min="12995" max="12995" width="12" style="1870" customWidth="1"/>
    <col min="12996" max="12996" width="12.7109375" style="1870" customWidth="1"/>
    <col min="12997" max="12997" width="12.42578125" style="1870" customWidth="1"/>
    <col min="12998" max="12998" width="11.42578125" style="1870" customWidth="1"/>
    <col min="12999" max="12999" width="12" style="1870" customWidth="1"/>
    <col min="13000" max="13001" width="12.7109375" style="1870" customWidth="1"/>
    <col min="13002" max="13002" width="10.7109375" style="1870" customWidth="1"/>
    <col min="13003" max="13003" width="11.5703125" style="1870" customWidth="1"/>
    <col min="13004" max="13004" width="12" style="1870" customWidth="1"/>
    <col min="13005" max="13005" width="12.7109375" style="1870" customWidth="1"/>
    <col min="13006" max="13006" width="14" style="1870" customWidth="1"/>
    <col min="13007" max="13007" width="10.7109375" style="1870" customWidth="1"/>
    <col min="13008" max="13008" width="11.5703125" style="1870" customWidth="1"/>
    <col min="13009" max="13009" width="14.7109375" style="1870" customWidth="1"/>
    <col min="13010" max="13011" width="14.5703125" style="1870" customWidth="1"/>
    <col min="13012" max="13012" width="11.7109375" style="1870" customWidth="1"/>
    <col min="13013" max="13013" width="12" style="1870" customWidth="1"/>
    <col min="13014" max="13014" width="14.28515625" style="1870" customWidth="1"/>
    <col min="13015" max="13015" width="13.7109375" style="1870" customWidth="1"/>
    <col min="13016" max="13016" width="13.28515625" style="1870" customWidth="1"/>
    <col min="13017" max="13017" width="13.7109375" style="1870" customWidth="1"/>
    <col min="13018" max="13018" width="13.5703125" style="1870" customWidth="1"/>
    <col min="13019" max="13019" width="13.28515625" style="1870" customWidth="1"/>
    <col min="13020" max="13020" width="13" style="1870" customWidth="1"/>
    <col min="13021" max="13021" width="12.7109375" style="1870" customWidth="1"/>
    <col min="13022" max="13024" width="12" style="1870" customWidth="1"/>
    <col min="13025" max="13025" width="13.28515625" style="1870" customWidth="1"/>
    <col min="13026" max="13026" width="13.42578125" style="1870" customWidth="1"/>
    <col min="13027" max="13027" width="13.28515625" style="1870" customWidth="1"/>
    <col min="13028" max="13028" width="11.7109375" style="1870" customWidth="1"/>
    <col min="13029" max="13030" width="13.5703125" style="1870" customWidth="1"/>
    <col min="13031" max="13031" width="11.7109375" style="1870" customWidth="1"/>
    <col min="13032" max="13032" width="12.7109375" style="1870" customWidth="1"/>
    <col min="13033" max="13033" width="16" style="1870" customWidth="1"/>
    <col min="13034" max="13034" width="14.42578125" style="1870" customWidth="1"/>
    <col min="13035" max="13035" width="13.28515625" style="1870" customWidth="1"/>
    <col min="13036" max="13036" width="12.7109375" style="1870" customWidth="1"/>
    <col min="13037" max="13037" width="13" style="1870" customWidth="1"/>
    <col min="13038" max="13038" width="13.28515625" style="1870" customWidth="1"/>
    <col min="13039" max="13039" width="13.5703125" style="1870" customWidth="1"/>
    <col min="13040" max="13040" width="12.7109375" style="1870" customWidth="1"/>
    <col min="13041" max="13041" width="11.7109375" style="1870" customWidth="1"/>
    <col min="13042" max="13042" width="11.5703125" style="1870" customWidth="1"/>
    <col min="13043" max="13043" width="13.7109375" style="1870" customWidth="1"/>
    <col min="13044" max="13044" width="14.7109375" style="1870" customWidth="1"/>
    <col min="13045" max="13045" width="12.5703125" style="1870" customWidth="1"/>
    <col min="13046" max="13046" width="11.7109375" style="1870" customWidth="1"/>
    <col min="13047" max="13047" width="12.28515625" style="1870" customWidth="1"/>
    <col min="13048" max="13048" width="12.7109375" style="1870" customWidth="1"/>
    <col min="13049" max="13049" width="13.28515625" style="1870" customWidth="1"/>
    <col min="13050" max="13050" width="13.7109375" style="1870" customWidth="1"/>
    <col min="13051" max="13051" width="13" style="1870" customWidth="1"/>
    <col min="13052" max="13052" width="12.28515625" style="1870" customWidth="1"/>
    <col min="13053" max="13054" width="13.28515625" style="1870" customWidth="1"/>
    <col min="13055" max="13055" width="13.7109375" style="1870" customWidth="1"/>
    <col min="13056" max="13056" width="12.42578125" style="1870" customWidth="1"/>
    <col min="13057" max="13057" width="12" style="1870" customWidth="1"/>
    <col min="13058" max="13058" width="16.5703125" style="1870" customWidth="1"/>
    <col min="13059" max="13059" width="29.28515625" style="1870" customWidth="1"/>
    <col min="13060" max="13060" width="18.7109375" style="1870" customWidth="1"/>
    <col min="13061" max="13219" width="9.28515625" style="1870"/>
    <col min="13220" max="13220" width="6.28515625" style="1870" customWidth="1"/>
    <col min="13221" max="13221" width="42.5703125" style="1870" customWidth="1"/>
    <col min="13222" max="13222" width="11" style="1870" customWidth="1"/>
    <col min="13223" max="13223" width="13.7109375" style="1870" customWidth="1"/>
    <col min="13224" max="13224" width="15.28515625" style="1870" customWidth="1"/>
    <col min="13225" max="13225" width="11.7109375" style="1870" customWidth="1"/>
    <col min="13226" max="13226" width="12" style="1870" customWidth="1"/>
    <col min="13227" max="13227" width="12.5703125" style="1870" customWidth="1"/>
    <col min="13228" max="13228" width="13.28515625" style="1870" customWidth="1"/>
    <col min="13229" max="13229" width="9.7109375" style="1870" customWidth="1"/>
    <col min="13230" max="13230" width="12.42578125" style="1870" customWidth="1"/>
    <col min="13231" max="13231" width="13" style="1870" customWidth="1"/>
    <col min="13232" max="13232" width="13.5703125" style="1870" customWidth="1"/>
    <col min="13233" max="13233" width="9.7109375" style="1870" customWidth="1"/>
    <col min="13234" max="13234" width="10.42578125" style="1870" customWidth="1"/>
    <col min="13235" max="13235" width="12" style="1870" customWidth="1"/>
    <col min="13236" max="13236" width="11.7109375" style="1870" customWidth="1"/>
    <col min="13237" max="13237" width="12.28515625" style="1870" customWidth="1"/>
    <col min="13238" max="13238" width="11.28515625" style="1870" customWidth="1"/>
    <col min="13239" max="13239" width="10.28515625" style="1870" customWidth="1"/>
    <col min="13240" max="13240" width="14.28515625" style="1870" customWidth="1"/>
    <col min="13241" max="13241" width="14" style="1870" customWidth="1"/>
    <col min="13242" max="13242" width="14.7109375" style="1870" customWidth="1"/>
    <col min="13243" max="13243" width="12.42578125" style="1870" customWidth="1"/>
    <col min="13244" max="13244" width="11.5703125" style="1870" customWidth="1"/>
    <col min="13245" max="13245" width="12" style="1870" customWidth="1"/>
    <col min="13246" max="13247" width="11.7109375" style="1870" customWidth="1"/>
    <col min="13248" max="13248" width="9.5703125" style="1870" customWidth="1"/>
    <col min="13249" max="13249" width="9.42578125" style="1870" customWidth="1"/>
    <col min="13250" max="13250" width="12.7109375" style="1870" customWidth="1"/>
    <col min="13251" max="13251" width="12" style="1870" customWidth="1"/>
    <col min="13252" max="13252" width="12.7109375" style="1870" customWidth="1"/>
    <col min="13253" max="13253" width="12.42578125" style="1870" customWidth="1"/>
    <col min="13254" max="13254" width="11.42578125" style="1870" customWidth="1"/>
    <col min="13255" max="13255" width="12" style="1870" customWidth="1"/>
    <col min="13256" max="13257" width="12.7109375" style="1870" customWidth="1"/>
    <col min="13258" max="13258" width="10.7109375" style="1870" customWidth="1"/>
    <col min="13259" max="13259" width="11.5703125" style="1870" customWidth="1"/>
    <col min="13260" max="13260" width="12" style="1870" customWidth="1"/>
    <col min="13261" max="13261" width="12.7109375" style="1870" customWidth="1"/>
    <col min="13262" max="13262" width="14" style="1870" customWidth="1"/>
    <col min="13263" max="13263" width="10.7109375" style="1870" customWidth="1"/>
    <col min="13264" max="13264" width="11.5703125" style="1870" customWidth="1"/>
    <col min="13265" max="13265" width="14.7109375" style="1870" customWidth="1"/>
    <col min="13266" max="13267" width="14.5703125" style="1870" customWidth="1"/>
    <col min="13268" max="13268" width="11.7109375" style="1870" customWidth="1"/>
    <col min="13269" max="13269" width="12" style="1870" customWidth="1"/>
    <col min="13270" max="13270" width="14.28515625" style="1870" customWidth="1"/>
    <col min="13271" max="13271" width="13.7109375" style="1870" customWidth="1"/>
    <col min="13272" max="13272" width="13.28515625" style="1870" customWidth="1"/>
    <col min="13273" max="13273" width="13.7109375" style="1870" customWidth="1"/>
    <col min="13274" max="13274" width="13.5703125" style="1870" customWidth="1"/>
    <col min="13275" max="13275" width="13.28515625" style="1870" customWidth="1"/>
    <col min="13276" max="13276" width="13" style="1870" customWidth="1"/>
    <col min="13277" max="13277" width="12.7109375" style="1870" customWidth="1"/>
    <col min="13278" max="13280" width="12" style="1870" customWidth="1"/>
    <col min="13281" max="13281" width="13.28515625" style="1870" customWidth="1"/>
    <col min="13282" max="13282" width="13.42578125" style="1870" customWidth="1"/>
    <col min="13283" max="13283" width="13.28515625" style="1870" customWidth="1"/>
    <col min="13284" max="13284" width="11.7109375" style="1870" customWidth="1"/>
    <col min="13285" max="13286" width="13.5703125" style="1870" customWidth="1"/>
    <col min="13287" max="13287" width="11.7109375" style="1870" customWidth="1"/>
    <col min="13288" max="13288" width="12.7109375" style="1870" customWidth="1"/>
    <col min="13289" max="13289" width="16" style="1870" customWidth="1"/>
    <col min="13290" max="13290" width="14.42578125" style="1870" customWidth="1"/>
    <col min="13291" max="13291" width="13.28515625" style="1870" customWidth="1"/>
    <col min="13292" max="13292" width="12.7109375" style="1870" customWidth="1"/>
    <col min="13293" max="13293" width="13" style="1870" customWidth="1"/>
    <col min="13294" max="13294" width="13.28515625" style="1870" customWidth="1"/>
    <col min="13295" max="13295" width="13.5703125" style="1870" customWidth="1"/>
    <col min="13296" max="13296" width="12.7109375" style="1870" customWidth="1"/>
    <col min="13297" max="13297" width="11.7109375" style="1870" customWidth="1"/>
    <col min="13298" max="13298" width="11.5703125" style="1870" customWidth="1"/>
    <col min="13299" max="13299" width="13.7109375" style="1870" customWidth="1"/>
    <col min="13300" max="13300" width="14.7109375" style="1870" customWidth="1"/>
    <col min="13301" max="13301" width="12.5703125" style="1870" customWidth="1"/>
    <col min="13302" max="13302" width="11.7109375" style="1870" customWidth="1"/>
    <col min="13303" max="13303" width="12.28515625" style="1870" customWidth="1"/>
    <col min="13304" max="13304" width="12.7109375" style="1870" customWidth="1"/>
    <col min="13305" max="13305" width="13.28515625" style="1870" customWidth="1"/>
    <col min="13306" max="13306" width="13.7109375" style="1870" customWidth="1"/>
    <col min="13307" max="13307" width="13" style="1870" customWidth="1"/>
    <col min="13308" max="13308" width="12.28515625" style="1870" customWidth="1"/>
    <col min="13309" max="13310" width="13.28515625" style="1870" customWidth="1"/>
    <col min="13311" max="13311" width="13.7109375" style="1870" customWidth="1"/>
    <col min="13312" max="13312" width="12.42578125" style="1870" customWidth="1"/>
    <col min="13313" max="13313" width="12" style="1870" customWidth="1"/>
    <col min="13314" max="13314" width="16.5703125" style="1870" customWidth="1"/>
    <col min="13315" max="13315" width="29.28515625" style="1870" customWidth="1"/>
    <col min="13316" max="13316" width="18.7109375" style="1870" customWidth="1"/>
    <col min="13317" max="13475" width="9.28515625" style="1870"/>
    <col min="13476" max="13476" width="6.28515625" style="1870" customWidth="1"/>
    <col min="13477" max="13477" width="42.5703125" style="1870" customWidth="1"/>
    <col min="13478" max="13478" width="11" style="1870" customWidth="1"/>
    <col min="13479" max="13479" width="13.7109375" style="1870" customWidth="1"/>
    <col min="13480" max="13480" width="15.28515625" style="1870" customWidth="1"/>
    <col min="13481" max="13481" width="11.7109375" style="1870" customWidth="1"/>
    <col min="13482" max="13482" width="12" style="1870" customWidth="1"/>
    <col min="13483" max="13483" width="12.5703125" style="1870" customWidth="1"/>
    <col min="13484" max="13484" width="13.28515625" style="1870" customWidth="1"/>
    <col min="13485" max="13485" width="9.7109375" style="1870" customWidth="1"/>
    <col min="13486" max="13486" width="12.42578125" style="1870" customWidth="1"/>
    <col min="13487" max="13487" width="13" style="1870" customWidth="1"/>
    <col min="13488" max="13488" width="13.5703125" style="1870" customWidth="1"/>
    <col min="13489" max="13489" width="9.7109375" style="1870" customWidth="1"/>
    <col min="13490" max="13490" width="10.42578125" style="1870" customWidth="1"/>
    <col min="13491" max="13491" width="12" style="1870" customWidth="1"/>
    <col min="13492" max="13492" width="11.7109375" style="1870" customWidth="1"/>
    <col min="13493" max="13493" width="12.28515625" style="1870" customWidth="1"/>
    <col min="13494" max="13494" width="11.28515625" style="1870" customWidth="1"/>
    <col min="13495" max="13495" width="10.28515625" style="1870" customWidth="1"/>
    <col min="13496" max="13496" width="14.28515625" style="1870" customWidth="1"/>
    <col min="13497" max="13497" width="14" style="1870" customWidth="1"/>
    <col min="13498" max="13498" width="14.7109375" style="1870" customWidth="1"/>
    <col min="13499" max="13499" width="12.42578125" style="1870" customWidth="1"/>
    <col min="13500" max="13500" width="11.5703125" style="1870" customWidth="1"/>
    <col min="13501" max="13501" width="12" style="1870" customWidth="1"/>
    <col min="13502" max="13503" width="11.7109375" style="1870" customWidth="1"/>
    <col min="13504" max="13504" width="9.5703125" style="1870" customWidth="1"/>
    <col min="13505" max="13505" width="9.42578125" style="1870" customWidth="1"/>
    <col min="13506" max="13506" width="12.7109375" style="1870" customWidth="1"/>
    <col min="13507" max="13507" width="12" style="1870" customWidth="1"/>
    <col min="13508" max="13508" width="12.7109375" style="1870" customWidth="1"/>
    <col min="13509" max="13509" width="12.42578125" style="1870" customWidth="1"/>
    <col min="13510" max="13510" width="11.42578125" style="1870" customWidth="1"/>
    <col min="13511" max="13511" width="12" style="1870" customWidth="1"/>
    <col min="13512" max="13513" width="12.7109375" style="1870" customWidth="1"/>
    <col min="13514" max="13514" width="10.7109375" style="1870" customWidth="1"/>
    <col min="13515" max="13515" width="11.5703125" style="1870" customWidth="1"/>
    <col min="13516" max="13516" width="12" style="1870" customWidth="1"/>
    <col min="13517" max="13517" width="12.7109375" style="1870" customWidth="1"/>
    <col min="13518" max="13518" width="14" style="1870" customWidth="1"/>
    <col min="13519" max="13519" width="10.7109375" style="1870" customWidth="1"/>
    <col min="13520" max="13520" width="11.5703125" style="1870" customWidth="1"/>
    <col min="13521" max="13521" width="14.7109375" style="1870" customWidth="1"/>
    <col min="13522" max="13523" width="14.5703125" style="1870" customWidth="1"/>
    <col min="13524" max="13524" width="11.7109375" style="1870" customWidth="1"/>
    <col min="13525" max="13525" width="12" style="1870" customWidth="1"/>
    <col min="13526" max="13526" width="14.28515625" style="1870" customWidth="1"/>
    <col min="13527" max="13527" width="13.7109375" style="1870" customWidth="1"/>
    <col min="13528" max="13528" width="13.28515625" style="1870" customWidth="1"/>
    <col min="13529" max="13529" width="13.7109375" style="1870" customWidth="1"/>
    <col min="13530" max="13530" width="13.5703125" style="1870" customWidth="1"/>
    <col min="13531" max="13531" width="13.28515625" style="1870" customWidth="1"/>
    <col min="13532" max="13532" width="13" style="1870" customWidth="1"/>
    <col min="13533" max="13533" width="12.7109375" style="1870" customWidth="1"/>
    <col min="13534" max="13536" width="12" style="1870" customWidth="1"/>
    <col min="13537" max="13537" width="13.28515625" style="1870" customWidth="1"/>
    <col min="13538" max="13538" width="13.42578125" style="1870" customWidth="1"/>
    <col min="13539" max="13539" width="13.28515625" style="1870" customWidth="1"/>
    <col min="13540" max="13540" width="11.7109375" style="1870" customWidth="1"/>
    <col min="13541" max="13542" width="13.5703125" style="1870" customWidth="1"/>
    <col min="13543" max="13543" width="11.7109375" style="1870" customWidth="1"/>
    <col min="13544" max="13544" width="12.7109375" style="1870" customWidth="1"/>
    <col min="13545" max="13545" width="16" style="1870" customWidth="1"/>
    <col min="13546" max="13546" width="14.42578125" style="1870" customWidth="1"/>
    <col min="13547" max="13547" width="13.28515625" style="1870" customWidth="1"/>
    <col min="13548" max="13548" width="12.7109375" style="1870" customWidth="1"/>
    <col min="13549" max="13549" width="13" style="1870" customWidth="1"/>
    <col min="13550" max="13550" width="13.28515625" style="1870" customWidth="1"/>
    <col min="13551" max="13551" width="13.5703125" style="1870" customWidth="1"/>
    <col min="13552" max="13552" width="12.7109375" style="1870" customWidth="1"/>
    <col min="13553" max="13553" width="11.7109375" style="1870" customWidth="1"/>
    <col min="13554" max="13554" width="11.5703125" style="1870" customWidth="1"/>
    <col min="13555" max="13555" width="13.7109375" style="1870" customWidth="1"/>
    <col min="13556" max="13556" width="14.7109375" style="1870" customWidth="1"/>
    <col min="13557" max="13557" width="12.5703125" style="1870" customWidth="1"/>
    <col min="13558" max="13558" width="11.7109375" style="1870" customWidth="1"/>
    <col min="13559" max="13559" width="12.28515625" style="1870" customWidth="1"/>
    <col min="13560" max="13560" width="12.7109375" style="1870" customWidth="1"/>
    <col min="13561" max="13561" width="13.28515625" style="1870" customWidth="1"/>
    <col min="13562" max="13562" width="13.7109375" style="1870" customWidth="1"/>
    <col min="13563" max="13563" width="13" style="1870" customWidth="1"/>
    <col min="13564" max="13564" width="12.28515625" style="1870" customWidth="1"/>
    <col min="13565" max="13566" width="13.28515625" style="1870" customWidth="1"/>
    <col min="13567" max="13567" width="13.7109375" style="1870" customWidth="1"/>
    <col min="13568" max="13568" width="12.42578125" style="1870" customWidth="1"/>
    <col min="13569" max="13569" width="12" style="1870" customWidth="1"/>
    <col min="13570" max="13570" width="16.5703125" style="1870" customWidth="1"/>
    <col min="13571" max="13571" width="29.28515625" style="1870" customWidth="1"/>
    <col min="13572" max="13572" width="18.7109375" style="1870" customWidth="1"/>
    <col min="13573" max="13731" width="9.28515625" style="1870"/>
    <col min="13732" max="13732" width="6.28515625" style="1870" customWidth="1"/>
    <col min="13733" max="13733" width="42.5703125" style="1870" customWidth="1"/>
    <col min="13734" max="13734" width="11" style="1870" customWidth="1"/>
    <col min="13735" max="13735" width="13.7109375" style="1870" customWidth="1"/>
    <col min="13736" max="13736" width="15.28515625" style="1870" customWidth="1"/>
    <col min="13737" max="13737" width="11.7109375" style="1870" customWidth="1"/>
    <col min="13738" max="13738" width="12" style="1870" customWidth="1"/>
    <col min="13739" max="13739" width="12.5703125" style="1870" customWidth="1"/>
    <col min="13740" max="13740" width="13.28515625" style="1870" customWidth="1"/>
    <col min="13741" max="13741" width="9.7109375" style="1870" customWidth="1"/>
    <col min="13742" max="13742" width="12.42578125" style="1870" customWidth="1"/>
    <col min="13743" max="13743" width="13" style="1870" customWidth="1"/>
    <col min="13744" max="13744" width="13.5703125" style="1870" customWidth="1"/>
    <col min="13745" max="13745" width="9.7109375" style="1870" customWidth="1"/>
    <col min="13746" max="13746" width="10.42578125" style="1870" customWidth="1"/>
    <col min="13747" max="13747" width="12" style="1870" customWidth="1"/>
    <col min="13748" max="13748" width="11.7109375" style="1870" customWidth="1"/>
    <col min="13749" max="13749" width="12.28515625" style="1870" customWidth="1"/>
    <col min="13750" max="13750" width="11.28515625" style="1870" customWidth="1"/>
    <col min="13751" max="13751" width="10.28515625" style="1870" customWidth="1"/>
    <col min="13752" max="13752" width="14.28515625" style="1870" customWidth="1"/>
    <col min="13753" max="13753" width="14" style="1870" customWidth="1"/>
    <col min="13754" max="13754" width="14.7109375" style="1870" customWidth="1"/>
    <col min="13755" max="13755" width="12.42578125" style="1870" customWidth="1"/>
    <col min="13756" max="13756" width="11.5703125" style="1870" customWidth="1"/>
    <col min="13757" max="13757" width="12" style="1870" customWidth="1"/>
    <col min="13758" max="13759" width="11.7109375" style="1870" customWidth="1"/>
    <col min="13760" max="13760" width="9.5703125" style="1870" customWidth="1"/>
    <col min="13761" max="13761" width="9.42578125" style="1870" customWidth="1"/>
    <col min="13762" max="13762" width="12.7109375" style="1870" customWidth="1"/>
    <col min="13763" max="13763" width="12" style="1870" customWidth="1"/>
    <col min="13764" max="13764" width="12.7109375" style="1870" customWidth="1"/>
    <col min="13765" max="13765" width="12.42578125" style="1870" customWidth="1"/>
    <col min="13766" max="13766" width="11.42578125" style="1870" customWidth="1"/>
    <col min="13767" max="13767" width="12" style="1870" customWidth="1"/>
    <col min="13768" max="13769" width="12.7109375" style="1870" customWidth="1"/>
    <col min="13770" max="13770" width="10.7109375" style="1870" customWidth="1"/>
    <col min="13771" max="13771" width="11.5703125" style="1870" customWidth="1"/>
    <col min="13772" max="13772" width="12" style="1870" customWidth="1"/>
    <col min="13773" max="13773" width="12.7109375" style="1870" customWidth="1"/>
    <col min="13774" max="13774" width="14" style="1870" customWidth="1"/>
    <col min="13775" max="13775" width="10.7109375" style="1870" customWidth="1"/>
    <col min="13776" max="13776" width="11.5703125" style="1870" customWidth="1"/>
    <col min="13777" max="13777" width="14.7109375" style="1870" customWidth="1"/>
    <col min="13778" max="13779" width="14.5703125" style="1870" customWidth="1"/>
    <col min="13780" max="13780" width="11.7109375" style="1870" customWidth="1"/>
    <col min="13781" max="13781" width="12" style="1870" customWidth="1"/>
    <col min="13782" max="13782" width="14.28515625" style="1870" customWidth="1"/>
    <col min="13783" max="13783" width="13.7109375" style="1870" customWidth="1"/>
    <col min="13784" max="13784" width="13.28515625" style="1870" customWidth="1"/>
    <col min="13785" max="13785" width="13.7109375" style="1870" customWidth="1"/>
    <col min="13786" max="13786" width="13.5703125" style="1870" customWidth="1"/>
    <col min="13787" max="13787" width="13.28515625" style="1870" customWidth="1"/>
    <col min="13788" max="13788" width="13" style="1870" customWidth="1"/>
    <col min="13789" max="13789" width="12.7109375" style="1870" customWidth="1"/>
    <col min="13790" max="13792" width="12" style="1870" customWidth="1"/>
    <col min="13793" max="13793" width="13.28515625" style="1870" customWidth="1"/>
    <col min="13794" max="13794" width="13.42578125" style="1870" customWidth="1"/>
    <col min="13795" max="13795" width="13.28515625" style="1870" customWidth="1"/>
    <col min="13796" max="13796" width="11.7109375" style="1870" customWidth="1"/>
    <col min="13797" max="13798" width="13.5703125" style="1870" customWidth="1"/>
    <col min="13799" max="13799" width="11.7109375" style="1870" customWidth="1"/>
    <col min="13800" max="13800" width="12.7109375" style="1870" customWidth="1"/>
    <col min="13801" max="13801" width="16" style="1870" customWidth="1"/>
    <col min="13802" max="13802" width="14.42578125" style="1870" customWidth="1"/>
    <col min="13803" max="13803" width="13.28515625" style="1870" customWidth="1"/>
    <col min="13804" max="13804" width="12.7109375" style="1870" customWidth="1"/>
    <col min="13805" max="13805" width="13" style="1870" customWidth="1"/>
    <col min="13806" max="13806" width="13.28515625" style="1870" customWidth="1"/>
    <col min="13807" max="13807" width="13.5703125" style="1870" customWidth="1"/>
    <col min="13808" max="13808" width="12.7109375" style="1870" customWidth="1"/>
    <col min="13809" max="13809" width="11.7109375" style="1870" customWidth="1"/>
    <col min="13810" max="13810" width="11.5703125" style="1870" customWidth="1"/>
    <col min="13811" max="13811" width="13.7109375" style="1870" customWidth="1"/>
    <col min="13812" max="13812" width="14.7109375" style="1870" customWidth="1"/>
    <col min="13813" max="13813" width="12.5703125" style="1870" customWidth="1"/>
    <col min="13814" max="13814" width="11.7109375" style="1870" customWidth="1"/>
    <col min="13815" max="13815" width="12.28515625" style="1870" customWidth="1"/>
    <col min="13816" max="13816" width="12.7109375" style="1870" customWidth="1"/>
    <col min="13817" max="13817" width="13.28515625" style="1870" customWidth="1"/>
    <col min="13818" max="13818" width="13.7109375" style="1870" customWidth="1"/>
    <col min="13819" max="13819" width="13" style="1870" customWidth="1"/>
    <col min="13820" max="13820" width="12.28515625" style="1870" customWidth="1"/>
    <col min="13821" max="13822" width="13.28515625" style="1870" customWidth="1"/>
    <col min="13823" max="13823" width="13.7109375" style="1870" customWidth="1"/>
    <col min="13824" max="13824" width="12.42578125" style="1870" customWidth="1"/>
    <col min="13825" max="13825" width="12" style="1870" customWidth="1"/>
    <col min="13826" max="13826" width="16.5703125" style="1870" customWidth="1"/>
    <col min="13827" max="13827" width="29.28515625" style="1870" customWidth="1"/>
    <col min="13828" max="13828" width="18.7109375" style="1870" customWidth="1"/>
    <col min="13829" max="13987" width="9.28515625" style="1870"/>
    <col min="13988" max="13988" width="6.28515625" style="1870" customWidth="1"/>
    <col min="13989" max="13989" width="42.5703125" style="1870" customWidth="1"/>
    <col min="13990" max="13990" width="11" style="1870" customWidth="1"/>
    <col min="13991" max="13991" width="13.7109375" style="1870" customWidth="1"/>
    <col min="13992" max="13992" width="15.28515625" style="1870" customWidth="1"/>
    <col min="13993" max="13993" width="11.7109375" style="1870" customWidth="1"/>
    <col min="13994" max="13994" width="12" style="1870" customWidth="1"/>
    <col min="13995" max="13995" width="12.5703125" style="1870" customWidth="1"/>
    <col min="13996" max="13996" width="13.28515625" style="1870" customWidth="1"/>
    <col min="13997" max="13997" width="9.7109375" style="1870" customWidth="1"/>
    <col min="13998" max="13998" width="12.42578125" style="1870" customWidth="1"/>
    <col min="13999" max="13999" width="13" style="1870" customWidth="1"/>
    <col min="14000" max="14000" width="13.5703125" style="1870" customWidth="1"/>
    <col min="14001" max="14001" width="9.7109375" style="1870" customWidth="1"/>
    <col min="14002" max="14002" width="10.42578125" style="1870" customWidth="1"/>
    <col min="14003" max="14003" width="12" style="1870" customWidth="1"/>
    <col min="14004" max="14004" width="11.7109375" style="1870" customWidth="1"/>
    <col min="14005" max="14005" width="12.28515625" style="1870" customWidth="1"/>
    <col min="14006" max="14006" width="11.28515625" style="1870" customWidth="1"/>
    <col min="14007" max="14007" width="10.28515625" style="1870" customWidth="1"/>
    <col min="14008" max="14008" width="14.28515625" style="1870" customWidth="1"/>
    <col min="14009" max="14009" width="14" style="1870" customWidth="1"/>
    <col min="14010" max="14010" width="14.7109375" style="1870" customWidth="1"/>
    <col min="14011" max="14011" width="12.42578125" style="1870" customWidth="1"/>
    <col min="14012" max="14012" width="11.5703125" style="1870" customWidth="1"/>
    <col min="14013" max="14013" width="12" style="1870" customWidth="1"/>
    <col min="14014" max="14015" width="11.7109375" style="1870" customWidth="1"/>
    <col min="14016" max="14016" width="9.5703125" style="1870" customWidth="1"/>
    <col min="14017" max="14017" width="9.42578125" style="1870" customWidth="1"/>
    <col min="14018" max="14018" width="12.7109375" style="1870" customWidth="1"/>
    <col min="14019" max="14019" width="12" style="1870" customWidth="1"/>
    <col min="14020" max="14020" width="12.7109375" style="1870" customWidth="1"/>
    <col min="14021" max="14021" width="12.42578125" style="1870" customWidth="1"/>
    <col min="14022" max="14022" width="11.42578125" style="1870" customWidth="1"/>
    <col min="14023" max="14023" width="12" style="1870" customWidth="1"/>
    <col min="14024" max="14025" width="12.7109375" style="1870" customWidth="1"/>
    <col min="14026" max="14026" width="10.7109375" style="1870" customWidth="1"/>
    <col min="14027" max="14027" width="11.5703125" style="1870" customWidth="1"/>
    <col min="14028" max="14028" width="12" style="1870" customWidth="1"/>
    <col min="14029" max="14029" width="12.7109375" style="1870" customWidth="1"/>
    <col min="14030" max="14030" width="14" style="1870" customWidth="1"/>
    <col min="14031" max="14031" width="10.7109375" style="1870" customWidth="1"/>
    <col min="14032" max="14032" width="11.5703125" style="1870" customWidth="1"/>
    <col min="14033" max="14033" width="14.7109375" style="1870" customWidth="1"/>
    <col min="14034" max="14035" width="14.5703125" style="1870" customWidth="1"/>
    <col min="14036" max="14036" width="11.7109375" style="1870" customWidth="1"/>
    <col min="14037" max="14037" width="12" style="1870" customWidth="1"/>
    <col min="14038" max="14038" width="14.28515625" style="1870" customWidth="1"/>
    <col min="14039" max="14039" width="13.7109375" style="1870" customWidth="1"/>
    <col min="14040" max="14040" width="13.28515625" style="1870" customWidth="1"/>
    <col min="14041" max="14041" width="13.7109375" style="1870" customWidth="1"/>
    <col min="14042" max="14042" width="13.5703125" style="1870" customWidth="1"/>
    <col min="14043" max="14043" width="13.28515625" style="1870" customWidth="1"/>
    <col min="14044" max="14044" width="13" style="1870" customWidth="1"/>
    <col min="14045" max="14045" width="12.7109375" style="1870" customWidth="1"/>
    <col min="14046" max="14048" width="12" style="1870" customWidth="1"/>
    <col min="14049" max="14049" width="13.28515625" style="1870" customWidth="1"/>
    <col min="14050" max="14050" width="13.42578125" style="1870" customWidth="1"/>
    <col min="14051" max="14051" width="13.28515625" style="1870" customWidth="1"/>
    <col min="14052" max="14052" width="11.7109375" style="1870" customWidth="1"/>
    <col min="14053" max="14054" width="13.5703125" style="1870" customWidth="1"/>
    <col min="14055" max="14055" width="11.7109375" style="1870" customWidth="1"/>
    <col min="14056" max="14056" width="12.7109375" style="1870" customWidth="1"/>
    <col min="14057" max="14057" width="16" style="1870" customWidth="1"/>
    <col min="14058" max="14058" width="14.42578125" style="1870" customWidth="1"/>
    <col min="14059" max="14059" width="13.28515625" style="1870" customWidth="1"/>
    <col min="14060" max="14060" width="12.7109375" style="1870" customWidth="1"/>
    <col min="14061" max="14061" width="13" style="1870" customWidth="1"/>
    <col min="14062" max="14062" width="13.28515625" style="1870" customWidth="1"/>
    <col min="14063" max="14063" width="13.5703125" style="1870" customWidth="1"/>
    <col min="14064" max="14064" width="12.7109375" style="1870" customWidth="1"/>
    <col min="14065" max="14065" width="11.7109375" style="1870" customWidth="1"/>
    <col min="14066" max="14066" width="11.5703125" style="1870" customWidth="1"/>
    <col min="14067" max="14067" width="13.7109375" style="1870" customWidth="1"/>
    <col min="14068" max="14068" width="14.7109375" style="1870" customWidth="1"/>
    <col min="14069" max="14069" width="12.5703125" style="1870" customWidth="1"/>
    <col min="14070" max="14070" width="11.7109375" style="1870" customWidth="1"/>
    <col min="14071" max="14071" width="12.28515625" style="1870" customWidth="1"/>
    <col min="14072" max="14072" width="12.7109375" style="1870" customWidth="1"/>
    <col min="14073" max="14073" width="13.28515625" style="1870" customWidth="1"/>
    <col min="14074" max="14074" width="13.7109375" style="1870" customWidth="1"/>
    <col min="14075" max="14075" width="13" style="1870" customWidth="1"/>
    <col min="14076" max="14076" width="12.28515625" style="1870" customWidth="1"/>
    <col min="14077" max="14078" width="13.28515625" style="1870" customWidth="1"/>
    <col min="14079" max="14079" width="13.7109375" style="1870" customWidth="1"/>
    <col min="14080" max="14080" width="12.42578125" style="1870" customWidth="1"/>
    <col min="14081" max="14081" width="12" style="1870" customWidth="1"/>
    <col min="14082" max="14082" width="16.5703125" style="1870" customWidth="1"/>
    <col min="14083" max="14083" width="29.28515625" style="1870" customWidth="1"/>
    <col min="14084" max="14084" width="18.7109375" style="1870" customWidth="1"/>
    <col min="14085" max="14243" width="9.28515625" style="1870"/>
    <col min="14244" max="14244" width="6.28515625" style="1870" customWidth="1"/>
    <col min="14245" max="14245" width="42.5703125" style="1870" customWidth="1"/>
    <col min="14246" max="14246" width="11" style="1870" customWidth="1"/>
    <col min="14247" max="14247" width="13.7109375" style="1870" customWidth="1"/>
    <col min="14248" max="14248" width="15.28515625" style="1870" customWidth="1"/>
    <col min="14249" max="14249" width="11.7109375" style="1870" customWidth="1"/>
    <col min="14250" max="14250" width="12" style="1870" customWidth="1"/>
    <col min="14251" max="14251" width="12.5703125" style="1870" customWidth="1"/>
    <col min="14252" max="14252" width="13.28515625" style="1870" customWidth="1"/>
    <col min="14253" max="14253" width="9.7109375" style="1870" customWidth="1"/>
    <col min="14254" max="14254" width="12.42578125" style="1870" customWidth="1"/>
    <col min="14255" max="14255" width="13" style="1870" customWidth="1"/>
    <col min="14256" max="14256" width="13.5703125" style="1870" customWidth="1"/>
    <col min="14257" max="14257" width="9.7109375" style="1870" customWidth="1"/>
    <col min="14258" max="14258" width="10.42578125" style="1870" customWidth="1"/>
    <col min="14259" max="14259" width="12" style="1870" customWidth="1"/>
    <col min="14260" max="14260" width="11.7109375" style="1870" customWidth="1"/>
    <col min="14261" max="14261" width="12.28515625" style="1870" customWidth="1"/>
    <col min="14262" max="14262" width="11.28515625" style="1870" customWidth="1"/>
    <col min="14263" max="14263" width="10.28515625" style="1870" customWidth="1"/>
    <col min="14264" max="14264" width="14.28515625" style="1870" customWidth="1"/>
    <col min="14265" max="14265" width="14" style="1870" customWidth="1"/>
    <col min="14266" max="14266" width="14.7109375" style="1870" customWidth="1"/>
    <col min="14267" max="14267" width="12.42578125" style="1870" customWidth="1"/>
    <col min="14268" max="14268" width="11.5703125" style="1870" customWidth="1"/>
    <col min="14269" max="14269" width="12" style="1870" customWidth="1"/>
    <col min="14270" max="14271" width="11.7109375" style="1870" customWidth="1"/>
    <col min="14272" max="14272" width="9.5703125" style="1870" customWidth="1"/>
    <col min="14273" max="14273" width="9.42578125" style="1870" customWidth="1"/>
    <col min="14274" max="14274" width="12.7109375" style="1870" customWidth="1"/>
    <col min="14275" max="14275" width="12" style="1870" customWidth="1"/>
    <col min="14276" max="14276" width="12.7109375" style="1870" customWidth="1"/>
    <col min="14277" max="14277" width="12.42578125" style="1870" customWidth="1"/>
    <col min="14278" max="14278" width="11.42578125" style="1870" customWidth="1"/>
    <col min="14279" max="14279" width="12" style="1870" customWidth="1"/>
    <col min="14280" max="14281" width="12.7109375" style="1870" customWidth="1"/>
    <col min="14282" max="14282" width="10.7109375" style="1870" customWidth="1"/>
    <col min="14283" max="14283" width="11.5703125" style="1870" customWidth="1"/>
    <col min="14284" max="14284" width="12" style="1870" customWidth="1"/>
    <col min="14285" max="14285" width="12.7109375" style="1870" customWidth="1"/>
    <col min="14286" max="14286" width="14" style="1870" customWidth="1"/>
    <col min="14287" max="14287" width="10.7109375" style="1870" customWidth="1"/>
    <col min="14288" max="14288" width="11.5703125" style="1870" customWidth="1"/>
    <col min="14289" max="14289" width="14.7109375" style="1870" customWidth="1"/>
    <col min="14290" max="14291" width="14.5703125" style="1870" customWidth="1"/>
    <col min="14292" max="14292" width="11.7109375" style="1870" customWidth="1"/>
    <col min="14293" max="14293" width="12" style="1870" customWidth="1"/>
    <col min="14294" max="14294" width="14.28515625" style="1870" customWidth="1"/>
    <col min="14295" max="14295" width="13.7109375" style="1870" customWidth="1"/>
    <col min="14296" max="14296" width="13.28515625" style="1870" customWidth="1"/>
    <col min="14297" max="14297" width="13.7109375" style="1870" customWidth="1"/>
    <col min="14298" max="14298" width="13.5703125" style="1870" customWidth="1"/>
    <col min="14299" max="14299" width="13.28515625" style="1870" customWidth="1"/>
    <col min="14300" max="14300" width="13" style="1870" customWidth="1"/>
    <col min="14301" max="14301" width="12.7109375" style="1870" customWidth="1"/>
    <col min="14302" max="14304" width="12" style="1870" customWidth="1"/>
    <col min="14305" max="14305" width="13.28515625" style="1870" customWidth="1"/>
    <col min="14306" max="14306" width="13.42578125" style="1870" customWidth="1"/>
    <col min="14307" max="14307" width="13.28515625" style="1870" customWidth="1"/>
    <col min="14308" max="14308" width="11.7109375" style="1870" customWidth="1"/>
    <col min="14309" max="14310" width="13.5703125" style="1870" customWidth="1"/>
    <col min="14311" max="14311" width="11.7109375" style="1870" customWidth="1"/>
    <col min="14312" max="14312" width="12.7109375" style="1870" customWidth="1"/>
    <col min="14313" max="14313" width="16" style="1870" customWidth="1"/>
    <col min="14314" max="14314" width="14.42578125" style="1870" customWidth="1"/>
    <col min="14315" max="14315" width="13.28515625" style="1870" customWidth="1"/>
    <col min="14316" max="14316" width="12.7109375" style="1870" customWidth="1"/>
    <col min="14317" max="14317" width="13" style="1870" customWidth="1"/>
    <col min="14318" max="14318" width="13.28515625" style="1870" customWidth="1"/>
    <col min="14319" max="14319" width="13.5703125" style="1870" customWidth="1"/>
    <col min="14320" max="14320" width="12.7109375" style="1870" customWidth="1"/>
    <col min="14321" max="14321" width="11.7109375" style="1870" customWidth="1"/>
    <col min="14322" max="14322" width="11.5703125" style="1870" customWidth="1"/>
    <col min="14323" max="14323" width="13.7109375" style="1870" customWidth="1"/>
    <col min="14324" max="14324" width="14.7109375" style="1870" customWidth="1"/>
    <col min="14325" max="14325" width="12.5703125" style="1870" customWidth="1"/>
    <col min="14326" max="14326" width="11.7109375" style="1870" customWidth="1"/>
    <col min="14327" max="14327" width="12.28515625" style="1870" customWidth="1"/>
    <col min="14328" max="14328" width="12.7109375" style="1870" customWidth="1"/>
    <col min="14329" max="14329" width="13.28515625" style="1870" customWidth="1"/>
    <col min="14330" max="14330" width="13.7109375" style="1870" customWidth="1"/>
    <col min="14331" max="14331" width="13" style="1870" customWidth="1"/>
    <col min="14332" max="14332" width="12.28515625" style="1870" customWidth="1"/>
    <col min="14333" max="14334" width="13.28515625" style="1870" customWidth="1"/>
    <col min="14335" max="14335" width="13.7109375" style="1870" customWidth="1"/>
    <col min="14336" max="14336" width="12.42578125" style="1870" customWidth="1"/>
    <col min="14337" max="14337" width="12" style="1870" customWidth="1"/>
    <col min="14338" max="14338" width="16.5703125" style="1870" customWidth="1"/>
    <col min="14339" max="14339" width="29.28515625" style="1870" customWidth="1"/>
    <col min="14340" max="14340" width="18.7109375" style="1870" customWidth="1"/>
    <col min="14341" max="14499" width="9.28515625" style="1870"/>
    <col min="14500" max="14500" width="6.28515625" style="1870" customWidth="1"/>
    <col min="14501" max="14501" width="42.5703125" style="1870" customWidth="1"/>
    <col min="14502" max="14502" width="11" style="1870" customWidth="1"/>
    <col min="14503" max="14503" width="13.7109375" style="1870" customWidth="1"/>
    <col min="14504" max="14504" width="15.28515625" style="1870" customWidth="1"/>
    <col min="14505" max="14505" width="11.7109375" style="1870" customWidth="1"/>
    <col min="14506" max="14506" width="12" style="1870" customWidth="1"/>
    <col min="14507" max="14507" width="12.5703125" style="1870" customWidth="1"/>
    <col min="14508" max="14508" width="13.28515625" style="1870" customWidth="1"/>
    <col min="14509" max="14509" width="9.7109375" style="1870" customWidth="1"/>
    <col min="14510" max="14510" width="12.42578125" style="1870" customWidth="1"/>
    <col min="14511" max="14511" width="13" style="1870" customWidth="1"/>
    <col min="14512" max="14512" width="13.5703125" style="1870" customWidth="1"/>
    <col min="14513" max="14513" width="9.7109375" style="1870" customWidth="1"/>
    <col min="14514" max="14514" width="10.42578125" style="1870" customWidth="1"/>
    <col min="14515" max="14515" width="12" style="1870" customWidth="1"/>
    <col min="14516" max="14516" width="11.7109375" style="1870" customWidth="1"/>
    <col min="14517" max="14517" width="12.28515625" style="1870" customWidth="1"/>
    <col min="14518" max="14518" width="11.28515625" style="1870" customWidth="1"/>
    <col min="14519" max="14519" width="10.28515625" style="1870" customWidth="1"/>
    <col min="14520" max="14520" width="14.28515625" style="1870" customWidth="1"/>
    <col min="14521" max="14521" width="14" style="1870" customWidth="1"/>
    <col min="14522" max="14522" width="14.7109375" style="1870" customWidth="1"/>
    <col min="14523" max="14523" width="12.42578125" style="1870" customWidth="1"/>
    <col min="14524" max="14524" width="11.5703125" style="1870" customWidth="1"/>
    <col min="14525" max="14525" width="12" style="1870" customWidth="1"/>
    <col min="14526" max="14527" width="11.7109375" style="1870" customWidth="1"/>
    <col min="14528" max="14528" width="9.5703125" style="1870" customWidth="1"/>
    <col min="14529" max="14529" width="9.42578125" style="1870" customWidth="1"/>
    <col min="14530" max="14530" width="12.7109375" style="1870" customWidth="1"/>
    <col min="14531" max="14531" width="12" style="1870" customWidth="1"/>
    <col min="14532" max="14532" width="12.7109375" style="1870" customWidth="1"/>
    <col min="14533" max="14533" width="12.42578125" style="1870" customWidth="1"/>
    <col min="14534" max="14534" width="11.42578125" style="1870" customWidth="1"/>
    <col min="14535" max="14535" width="12" style="1870" customWidth="1"/>
    <col min="14536" max="14537" width="12.7109375" style="1870" customWidth="1"/>
    <col min="14538" max="14538" width="10.7109375" style="1870" customWidth="1"/>
    <col min="14539" max="14539" width="11.5703125" style="1870" customWidth="1"/>
    <col min="14540" max="14540" width="12" style="1870" customWidth="1"/>
    <col min="14541" max="14541" width="12.7109375" style="1870" customWidth="1"/>
    <col min="14542" max="14542" width="14" style="1870" customWidth="1"/>
    <col min="14543" max="14543" width="10.7109375" style="1870" customWidth="1"/>
    <col min="14544" max="14544" width="11.5703125" style="1870" customWidth="1"/>
    <col min="14545" max="14545" width="14.7109375" style="1870" customWidth="1"/>
    <col min="14546" max="14547" width="14.5703125" style="1870" customWidth="1"/>
    <col min="14548" max="14548" width="11.7109375" style="1870" customWidth="1"/>
    <col min="14549" max="14549" width="12" style="1870" customWidth="1"/>
    <col min="14550" max="14550" width="14.28515625" style="1870" customWidth="1"/>
    <col min="14551" max="14551" width="13.7109375" style="1870" customWidth="1"/>
    <col min="14552" max="14552" width="13.28515625" style="1870" customWidth="1"/>
    <col min="14553" max="14553" width="13.7109375" style="1870" customWidth="1"/>
    <col min="14554" max="14554" width="13.5703125" style="1870" customWidth="1"/>
    <col min="14555" max="14555" width="13.28515625" style="1870" customWidth="1"/>
    <col min="14556" max="14556" width="13" style="1870" customWidth="1"/>
    <col min="14557" max="14557" width="12.7109375" style="1870" customWidth="1"/>
    <col min="14558" max="14560" width="12" style="1870" customWidth="1"/>
    <col min="14561" max="14561" width="13.28515625" style="1870" customWidth="1"/>
    <col min="14562" max="14562" width="13.42578125" style="1870" customWidth="1"/>
    <col min="14563" max="14563" width="13.28515625" style="1870" customWidth="1"/>
    <col min="14564" max="14564" width="11.7109375" style="1870" customWidth="1"/>
    <col min="14565" max="14566" width="13.5703125" style="1870" customWidth="1"/>
    <col min="14567" max="14567" width="11.7109375" style="1870" customWidth="1"/>
    <col min="14568" max="14568" width="12.7109375" style="1870" customWidth="1"/>
    <col min="14569" max="14569" width="16" style="1870" customWidth="1"/>
    <col min="14570" max="14570" width="14.42578125" style="1870" customWidth="1"/>
    <col min="14571" max="14571" width="13.28515625" style="1870" customWidth="1"/>
    <col min="14572" max="14572" width="12.7109375" style="1870" customWidth="1"/>
    <col min="14573" max="14573" width="13" style="1870" customWidth="1"/>
    <col min="14574" max="14574" width="13.28515625" style="1870" customWidth="1"/>
    <col min="14575" max="14575" width="13.5703125" style="1870" customWidth="1"/>
    <col min="14576" max="14576" width="12.7109375" style="1870" customWidth="1"/>
    <col min="14577" max="14577" width="11.7109375" style="1870" customWidth="1"/>
    <col min="14578" max="14578" width="11.5703125" style="1870" customWidth="1"/>
    <col min="14579" max="14579" width="13.7109375" style="1870" customWidth="1"/>
    <col min="14580" max="14580" width="14.7109375" style="1870" customWidth="1"/>
    <col min="14581" max="14581" width="12.5703125" style="1870" customWidth="1"/>
    <col min="14582" max="14582" width="11.7109375" style="1870" customWidth="1"/>
    <col min="14583" max="14583" width="12.28515625" style="1870" customWidth="1"/>
    <col min="14584" max="14584" width="12.7109375" style="1870" customWidth="1"/>
    <col min="14585" max="14585" width="13.28515625" style="1870" customWidth="1"/>
    <col min="14586" max="14586" width="13.7109375" style="1870" customWidth="1"/>
    <col min="14587" max="14587" width="13" style="1870" customWidth="1"/>
    <col min="14588" max="14588" width="12.28515625" style="1870" customWidth="1"/>
    <col min="14589" max="14590" width="13.28515625" style="1870" customWidth="1"/>
    <col min="14591" max="14591" width="13.7109375" style="1870" customWidth="1"/>
    <col min="14592" max="14592" width="12.42578125" style="1870" customWidth="1"/>
    <col min="14593" max="14593" width="12" style="1870" customWidth="1"/>
    <col min="14594" max="14594" width="16.5703125" style="1870" customWidth="1"/>
    <col min="14595" max="14595" width="29.28515625" style="1870" customWidth="1"/>
    <col min="14596" max="14596" width="18.7109375" style="1870" customWidth="1"/>
    <col min="14597" max="14755" width="9.28515625" style="1870"/>
    <col min="14756" max="14756" width="6.28515625" style="1870" customWidth="1"/>
    <col min="14757" max="14757" width="42.5703125" style="1870" customWidth="1"/>
    <col min="14758" max="14758" width="11" style="1870" customWidth="1"/>
    <col min="14759" max="14759" width="13.7109375" style="1870" customWidth="1"/>
    <col min="14760" max="14760" width="15.28515625" style="1870" customWidth="1"/>
    <col min="14761" max="14761" width="11.7109375" style="1870" customWidth="1"/>
    <col min="14762" max="14762" width="12" style="1870" customWidth="1"/>
    <col min="14763" max="14763" width="12.5703125" style="1870" customWidth="1"/>
    <col min="14764" max="14764" width="13.28515625" style="1870" customWidth="1"/>
    <col min="14765" max="14765" width="9.7109375" style="1870" customWidth="1"/>
    <col min="14766" max="14766" width="12.42578125" style="1870" customWidth="1"/>
    <col min="14767" max="14767" width="13" style="1870" customWidth="1"/>
    <col min="14768" max="14768" width="13.5703125" style="1870" customWidth="1"/>
    <col min="14769" max="14769" width="9.7109375" style="1870" customWidth="1"/>
    <col min="14770" max="14770" width="10.42578125" style="1870" customWidth="1"/>
    <col min="14771" max="14771" width="12" style="1870" customWidth="1"/>
    <col min="14772" max="14772" width="11.7109375" style="1870" customWidth="1"/>
    <col min="14773" max="14773" width="12.28515625" style="1870" customWidth="1"/>
    <col min="14774" max="14774" width="11.28515625" style="1870" customWidth="1"/>
    <col min="14775" max="14775" width="10.28515625" style="1870" customWidth="1"/>
    <col min="14776" max="14776" width="14.28515625" style="1870" customWidth="1"/>
    <col min="14777" max="14777" width="14" style="1870" customWidth="1"/>
    <col min="14778" max="14778" width="14.7109375" style="1870" customWidth="1"/>
    <col min="14779" max="14779" width="12.42578125" style="1870" customWidth="1"/>
    <col min="14780" max="14780" width="11.5703125" style="1870" customWidth="1"/>
    <col min="14781" max="14781" width="12" style="1870" customWidth="1"/>
    <col min="14782" max="14783" width="11.7109375" style="1870" customWidth="1"/>
    <col min="14784" max="14784" width="9.5703125" style="1870" customWidth="1"/>
    <col min="14785" max="14785" width="9.42578125" style="1870" customWidth="1"/>
    <col min="14786" max="14786" width="12.7109375" style="1870" customWidth="1"/>
    <col min="14787" max="14787" width="12" style="1870" customWidth="1"/>
    <col min="14788" max="14788" width="12.7109375" style="1870" customWidth="1"/>
    <col min="14789" max="14789" width="12.42578125" style="1870" customWidth="1"/>
    <col min="14790" max="14790" width="11.42578125" style="1870" customWidth="1"/>
    <col min="14791" max="14791" width="12" style="1870" customWidth="1"/>
    <col min="14792" max="14793" width="12.7109375" style="1870" customWidth="1"/>
    <col min="14794" max="14794" width="10.7109375" style="1870" customWidth="1"/>
    <col min="14795" max="14795" width="11.5703125" style="1870" customWidth="1"/>
    <col min="14796" max="14796" width="12" style="1870" customWidth="1"/>
    <col min="14797" max="14797" width="12.7109375" style="1870" customWidth="1"/>
    <col min="14798" max="14798" width="14" style="1870" customWidth="1"/>
    <col min="14799" max="14799" width="10.7109375" style="1870" customWidth="1"/>
    <col min="14800" max="14800" width="11.5703125" style="1870" customWidth="1"/>
    <col min="14801" max="14801" width="14.7109375" style="1870" customWidth="1"/>
    <col min="14802" max="14803" width="14.5703125" style="1870" customWidth="1"/>
    <col min="14804" max="14804" width="11.7109375" style="1870" customWidth="1"/>
    <col min="14805" max="14805" width="12" style="1870" customWidth="1"/>
    <col min="14806" max="14806" width="14.28515625" style="1870" customWidth="1"/>
    <col min="14807" max="14807" width="13.7109375" style="1870" customWidth="1"/>
    <col min="14808" max="14808" width="13.28515625" style="1870" customWidth="1"/>
    <col min="14809" max="14809" width="13.7109375" style="1870" customWidth="1"/>
    <col min="14810" max="14810" width="13.5703125" style="1870" customWidth="1"/>
    <col min="14811" max="14811" width="13.28515625" style="1870" customWidth="1"/>
    <col min="14812" max="14812" width="13" style="1870" customWidth="1"/>
    <col min="14813" max="14813" width="12.7109375" style="1870" customWidth="1"/>
    <col min="14814" max="14816" width="12" style="1870" customWidth="1"/>
    <col min="14817" max="14817" width="13.28515625" style="1870" customWidth="1"/>
    <col min="14818" max="14818" width="13.42578125" style="1870" customWidth="1"/>
    <col min="14819" max="14819" width="13.28515625" style="1870" customWidth="1"/>
    <col min="14820" max="14820" width="11.7109375" style="1870" customWidth="1"/>
    <col min="14821" max="14822" width="13.5703125" style="1870" customWidth="1"/>
    <col min="14823" max="14823" width="11.7109375" style="1870" customWidth="1"/>
    <col min="14824" max="14824" width="12.7109375" style="1870" customWidth="1"/>
    <col min="14825" max="14825" width="16" style="1870" customWidth="1"/>
    <col min="14826" max="14826" width="14.42578125" style="1870" customWidth="1"/>
    <col min="14827" max="14827" width="13.28515625" style="1870" customWidth="1"/>
    <col min="14828" max="14828" width="12.7109375" style="1870" customWidth="1"/>
    <col min="14829" max="14829" width="13" style="1870" customWidth="1"/>
    <col min="14830" max="14830" width="13.28515625" style="1870" customWidth="1"/>
    <col min="14831" max="14831" width="13.5703125" style="1870" customWidth="1"/>
    <col min="14832" max="14832" width="12.7109375" style="1870" customWidth="1"/>
    <col min="14833" max="14833" width="11.7109375" style="1870" customWidth="1"/>
    <col min="14834" max="14834" width="11.5703125" style="1870" customWidth="1"/>
    <col min="14835" max="14835" width="13.7109375" style="1870" customWidth="1"/>
    <col min="14836" max="14836" width="14.7109375" style="1870" customWidth="1"/>
    <col min="14837" max="14837" width="12.5703125" style="1870" customWidth="1"/>
    <col min="14838" max="14838" width="11.7109375" style="1870" customWidth="1"/>
    <col min="14839" max="14839" width="12.28515625" style="1870" customWidth="1"/>
    <col min="14840" max="14840" width="12.7109375" style="1870" customWidth="1"/>
    <col min="14841" max="14841" width="13.28515625" style="1870" customWidth="1"/>
    <col min="14842" max="14842" width="13.7109375" style="1870" customWidth="1"/>
    <col min="14843" max="14843" width="13" style="1870" customWidth="1"/>
    <col min="14844" max="14844" width="12.28515625" style="1870" customWidth="1"/>
    <col min="14845" max="14846" width="13.28515625" style="1870" customWidth="1"/>
    <col min="14847" max="14847" width="13.7109375" style="1870" customWidth="1"/>
    <col min="14848" max="14848" width="12.42578125" style="1870" customWidth="1"/>
    <col min="14849" max="14849" width="12" style="1870" customWidth="1"/>
    <col min="14850" max="14850" width="16.5703125" style="1870" customWidth="1"/>
    <col min="14851" max="14851" width="29.28515625" style="1870" customWidth="1"/>
    <col min="14852" max="14852" width="18.7109375" style="1870" customWidth="1"/>
    <col min="14853" max="15011" width="9.28515625" style="1870"/>
    <col min="15012" max="15012" width="6.28515625" style="1870" customWidth="1"/>
    <col min="15013" max="15013" width="42.5703125" style="1870" customWidth="1"/>
    <col min="15014" max="15014" width="11" style="1870" customWidth="1"/>
    <col min="15015" max="15015" width="13.7109375" style="1870" customWidth="1"/>
    <col min="15016" max="15016" width="15.28515625" style="1870" customWidth="1"/>
    <col min="15017" max="15017" width="11.7109375" style="1870" customWidth="1"/>
    <col min="15018" max="15018" width="12" style="1870" customWidth="1"/>
    <col min="15019" max="15019" width="12.5703125" style="1870" customWidth="1"/>
    <col min="15020" max="15020" width="13.28515625" style="1870" customWidth="1"/>
    <col min="15021" max="15021" width="9.7109375" style="1870" customWidth="1"/>
    <col min="15022" max="15022" width="12.42578125" style="1870" customWidth="1"/>
    <col min="15023" max="15023" width="13" style="1870" customWidth="1"/>
    <col min="15024" max="15024" width="13.5703125" style="1870" customWidth="1"/>
    <col min="15025" max="15025" width="9.7109375" style="1870" customWidth="1"/>
    <col min="15026" max="15026" width="10.42578125" style="1870" customWidth="1"/>
    <col min="15027" max="15027" width="12" style="1870" customWidth="1"/>
    <col min="15028" max="15028" width="11.7109375" style="1870" customWidth="1"/>
    <col min="15029" max="15029" width="12.28515625" style="1870" customWidth="1"/>
    <col min="15030" max="15030" width="11.28515625" style="1870" customWidth="1"/>
    <col min="15031" max="15031" width="10.28515625" style="1870" customWidth="1"/>
    <col min="15032" max="15032" width="14.28515625" style="1870" customWidth="1"/>
    <col min="15033" max="15033" width="14" style="1870" customWidth="1"/>
    <col min="15034" max="15034" width="14.7109375" style="1870" customWidth="1"/>
    <col min="15035" max="15035" width="12.42578125" style="1870" customWidth="1"/>
    <col min="15036" max="15036" width="11.5703125" style="1870" customWidth="1"/>
    <col min="15037" max="15037" width="12" style="1870" customWidth="1"/>
    <col min="15038" max="15039" width="11.7109375" style="1870" customWidth="1"/>
    <col min="15040" max="15040" width="9.5703125" style="1870" customWidth="1"/>
    <col min="15041" max="15041" width="9.42578125" style="1870" customWidth="1"/>
    <col min="15042" max="15042" width="12.7109375" style="1870" customWidth="1"/>
    <col min="15043" max="15043" width="12" style="1870" customWidth="1"/>
    <col min="15044" max="15044" width="12.7109375" style="1870" customWidth="1"/>
    <col min="15045" max="15045" width="12.42578125" style="1870" customWidth="1"/>
    <col min="15046" max="15046" width="11.42578125" style="1870" customWidth="1"/>
    <col min="15047" max="15047" width="12" style="1870" customWidth="1"/>
    <col min="15048" max="15049" width="12.7109375" style="1870" customWidth="1"/>
    <col min="15050" max="15050" width="10.7109375" style="1870" customWidth="1"/>
    <col min="15051" max="15051" width="11.5703125" style="1870" customWidth="1"/>
    <col min="15052" max="15052" width="12" style="1870" customWidth="1"/>
    <col min="15053" max="15053" width="12.7109375" style="1870" customWidth="1"/>
    <col min="15054" max="15054" width="14" style="1870" customWidth="1"/>
    <col min="15055" max="15055" width="10.7109375" style="1870" customWidth="1"/>
    <col min="15056" max="15056" width="11.5703125" style="1870" customWidth="1"/>
    <col min="15057" max="15057" width="14.7109375" style="1870" customWidth="1"/>
    <col min="15058" max="15059" width="14.5703125" style="1870" customWidth="1"/>
    <col min="15060" max="15060" width="11.7109375" style="1870" customWidth="1"/>
    <col min="15061" max="15061" width="12" style="1870" customWidth="1"/>
    <col min="15062" max="15062" width="14.28515625" style="1870" customWidth="1"/>
    <col min="15063" max="15063" width="13.7109375" style="1870" customWidth="1"/>
    <col min="15064" max="15064" width="13.28515625" style="1870" customWidth="1"/>
    <col min="15065" max="15065" width="13.7109375" style="1870" customWidth="1"/>
    <col min="15066" max="15066" width="13.5703125" style="1870" customWidth="1"/>
    <col min="15067" max="15067" width="13.28515625" style="1870" customWidth="1"/>
    <col min="15068" max="15068" width="13" style="1870" customWidth="1"/>
    <col min="15069" max="15069" width="12.7109375" style="1870" customWidth="1"/>
    <col min="15070" max="15072" width="12" style="1870" customWidth="1"/>
    <col min="15073" max="15073" width="13.28515625" style="1870" customWidth="1"/>
    <col min="15074" max="15074" width="13.42578125" style="1870" customWidth="1"/>
    <col min="15075" max="15075" width="13.28515625" style="1870" customWidth="1"/>
    <col min="15076" max="15076" width="11.7109375" style="1870" customWidth="1"/>
    <col min="15077" max="15078" width="13.5703125" style="1870" customWidth="1"/>
    <col min="15079" max="15079" width="11.7109375" style="1870" customWidth="1"/>
    <col min="15080" max="15080" width="12.7109375" style="1870" customWidth="1"/>
    <col min="15081" max="15081" width="16" style="1870" customWidth="1"/>
    <col min="15082" max="15082" width="14.42578125" style="1870" customWidth="1"/>
    <col min="15083" max="15083" width="13.28515625" style="1870" customWidth="1"/>
    <col min="15084" max="15084" width="12.7109375" style="1870" customWidth="1"/>
    <col min="15085" max="15085" width="13" style="1870" customWidth="1"/>
    <col min="15086" max="15086" width="13.28515625" style="1870" customWidth="1"/>
    <col min="15087" max="15087" width="13.5703125" style="1870" customWidth="1"/>
    <col min="15088" max="15088" width="12.7109375" style="1870" customWidth="1"/>
    <col min="15089" max="15089" width="11.7109375" style="1870" customWidth="1"/>
    <col min="15090" max="15090" width="11.5703125" style="1870" customWidth="1"/>
    <col min="15091" max="15091" width="13.7109375" style="1870" customWidth="1"/>
    <col min="15092" max="15092" width="14.7109375" style="1870" customWidth="1"/>
    <col min="15093" max="15093" width="12.5703125" style="1870" customWidth="1"/>
    <col min="15094" max="15094" width="11.7109375" style="1870" customWidth="1"/>
    <col min="15095" max="15095" width="12.28515625" style="1870" customWidth="1"/>
    <col min="15096" max="15096" width="12.7109375" style="1870" customWidth="1"/>
    <col min="15097" max="15097" width="13.28515625" style="1870" customWidth="1"/>
    <col min="15098" max="15098" width="13.7109375" style="1870" customWidth="1"/>
    <col min="15099" max="15099" width="13" style="1870" customWidth="1"/>
    <col min="15100" max="15100" width="12.28515625" style="1870" customWidth="1"/>
    <col min="15101" max="15102" width="13.28515625" style="1870" customWidth="1"/>
    <col min="15103" max="15103" width="13.7109375" style="1870" customWidth="1"/>
    <col min="15104" max="15104" width="12.42578125" style="1870" customWidth="1"/>
    <col min="15105" max="15105" width="12" style="1870" customWidth="1"/>
    <col min="15106" max="15106" width="16.5703125" style="1870" customWidth="1"/>
    <col min="15107" max="15107" width="29.28515625" style="1870" customWidth="1"/>
    <col min="15108" max="15108" width="18.7109375" style="1870" customWidth="1"/>
    <col min="15109" max="15267" width="9.28515625" style="1870"/>
    <col min="15268" max="15268" width="6.28515625" style="1870" customWidth="1"/>
    <col min="15269" max="15269" width="42.5703125" style="1870" customWidth="1"/>
    <col min="15270" max="15270" width="11" style="1870" customWidth="1"/>
    <col min="15271" max="15271" width="13.7109375" style="1870" customWidth="1"/>
    <col min="15272" max="15272" width="15.28515625" style="1870" customWidth="1"/>
    <col min="15273" max="15273" width="11.7109375" style="1870" customWidth="1"/>
    <col min="15274" max="15274" width="12" style="1870" customWidth="1"/>
    <col min="15275" max="15275" width="12.5703125" style="1870" customWidth="1"/>
    <col min="15276" max="15276" width="13.28515625" style="1870" customWidth="1"/>
    <col min="15277" max="15277" width="9.7109375" style="1870" customWidth="1"/>
    <col min="15278" max="15278" width="12.42578125" style="1870" customWidth="1"/>
    <col min="15279" max="15279" width="13" style="1870" customWidth="1"/>
    <col min="15280" max="15280" width="13.5703125" style="1870" customWidth="1"/>
    <col min="15281" max="15281" width="9.7109375" style="1870" customWidth="1"/>
    <col min="15282" max="15282" width="10.42578125" style="1870" customWidth="1"/>
    <col min="15283" max="15283" width="12" style="1870" customWidth="1"/>
    <col min="15284" max="15284" width="11.7109375" style="1870" customWidth="1"/>
    <col min="15285" max="15285" width="12.28515625" style="1870" customWidth="1"/>
    <col min="15286" max="15286" width="11.28515625" style="1870" customWidth="1"/>
    <col min="15287" max="15287" width="10.28515625" style="1870" customWidth="1"/>
    <col min="15288" max="15288" width="14.28515625" style="1870" customWidth="1"/>
    <col min="15289" max="15289" width="14" style="1870" customWidth="1"/>
    <col min="15290" max="15290" width="14.7109375" style="1870" customWidth="1"/>
    <col min="15291" max="15291" width="12.42578125" style="1870" customWidth="1"/>
    <col min="15292" max="15292" width="11.5703125" style="1870" customWidth="1"/>
    <col min="15293" max="15293" width="12" style="1870" customWidth="1"/>
    <col min="15294" max="15295" width="11.7109375" style="1870" customWidth="1"/>
    <col min="15296" max="15296" width="9.5703125" style="1870" customWidth="1"/>
    <col min="15297" max="15297" width="9.42578125" style="1870" customWidth="1"/>
    <col min="15298" max="15298" width="12.7109375" style="1870" customWidth="1"/>
    <col min="15299" max="15299" width="12" style="1870" customWidth="1"/>
    <col min="15300" max="15300" width="12.7109375" style="1870" customWidth="1"/>
    <col min="15301" max="15301" width="12.42578125" style="1870" customWidth="1"/>
    <col min="15302" max="15302" width="11.42578125" style="1870" customWidth="1"/>
    <col min="15303" max="15303" width="12" style="1870" customWidth="1"/>
    <col min="15304" max="15305" width="12.7109375" style="1870" customWidth="1"/>
    <col min="15306" max="15306" width="10.7109375" style="1870" customWidth="1"/>
    <col min="15307" max="15307" width="11.5703125" style="1870" customWidth="1"/>
    <col min="15308" max="15308" width="12" style="1870" customWidth="1"/>
    <col min="15309" max="15309" width="12.7109375" style="1870" customWidth="1"/>
    <col min="15310" max="15310" width="14" style="1870" customWidth="1"/>
    <col min="15311" max="15311" width="10.7109375" style="1870" customWidth="1"/>
    <col min="15312" max="15312" width="11.5703125" style="1870" customWidth="1"/>
    <col min="15313" max="15313" width="14.7109375" style="1870" customWidth="1"/>
    <col min="15314" max="15315" width="14.5703125" style="1870" customWidth="1"/>
    <col min="15316" max="15316" width="11.7109375" style="1870" customWidth="1"/>
    <col min="15317" max="15317" width="12" style="1870" customWidth="1"/>
    <col min="15318" max="15318" width="14.28515625" style="1870" customWidth="1"/>
    <col min="15319" max="15319" width="13.7109375" style="1870" customWidth="1"/>
    <col min="15320" max="15320" width="13.28515625" style="1870" customWidth="1"/>
    <col min="15321" max="15321" width="13.7109375" style="1870" customWidth="1"/>
    <col min="15322" max="15322" width="13.5703125" style="1870" customWidth="1"/>
    <col min="15323" max="15323" width="13.28515625" style="1870" customWidth="1"/>
    <col min="15324" max="15324" width="13" style="1870" customWidth="1"/>
    <col min="15325" max="15325" width="12.7109375" style="1870" customWidth="1"/>
    <col min="15326" max="15328" width="12" style="1870" customWidth="1"/>
    <col min="15329" max="15329" width="13.28515625" style="1870" customWidth="1"/>
    <col min="15330" max="15330" width="13.42578125" style="1870" customWidth="1"/>
    <col min="15331" max="15331" width="13.28515625" style="1870" customWidth="1"/>
    <col min="15332" max="15332" width="11.7109375" style="1870" customWidth="1"/>
    <col min="15333" max="15334" width="13.5703125" style="1870" customWidth="1"/>
    <col min="15335" max="15335" width="11.7109375" style="1870" customWidth="1"/>
    <col min="15336" max="15336" width="12.7109375" style="1870" customWidth="1"/>
    <col min="15337" max="15337" width="16" style="1870" customWidth="1"/>
    <col min="15338" max="15338" width="14.42578125" style="1870" customWidth="1"/>
    <col min="15339" max="15339" width="13.28515625" style="1870" customWidth="1"/>
    <col min="15340" max="15340" width="12.7109375" style="1870" customWidth="1"/>
    <col min="15341" max="15341" width="13" style="1870" customWidth="1"/>
    <col min="15342" max="15342" width="13.28515625" style="1870" customWidth="1"/>
    <col min="15343" max="15343" width="13.5703125" style="1870" customWidth="1"/>
    <col min="15344" max="15344" width="12.7109375" style="1870" customWidth="1"/>
    <col min="15345" max="15345" width="11.7109375" style="1870" customWidth="1"/>
    <col min="15346" max="15346" width="11.5703125" style="1870" customWidth="1"/>
    <col min="15347" max="15347" width="13.7109375" style="1870" customWidth="1"/>
    <col min="15348" max="15348" width="14.7109375" style="1870" customWidth="1"/>
    <col min="15349" max="15349" width="12.5703125" style="1870" customWidth="1"/>
    <col min="15350" max="15350" width="11.7109375" style="1870" customWidth="1"/>
    <col min="15351" max="15351" width="12.28515625" style="1870" customWidth="1"/>
    <col min="15352" max="15352" width="12.7109375" style="1870" customWidth="1"/>
    <col min="15353" max="15353" width="13.28515625" style="1870" customWidth="1"/>
    <col min="15354" max="15354" width="13.7109375" style="1870" customWidth="1"/>
    <col min="15355" max="15355" width="13" style="1870" customWidth="1"/>
    <col min="15356" max="15356" width="12.28515625" style="1870" customWidth="1"/>
    <col min="15357" max="15358" width="13.28515625" style="1870" customWidth="1"/>
    <col min="15359" max="15359" width="13.7109375" style="1870" customWidth="1"/>
    <col min="15360" max="15360" width="12.42578125" style="1870" customWidth="1"/>
    <col min="15361" max="15361" width="12" style="1870" customWidth="1"/>
    <col min="15362" max="15362" width="16.5703125" style="1870" customWidth="1"/>
    <col min="15363" max="15363" width="29.28515625" style="1870" customWidth="1"/>
    <col min="15364" max="15364" width="18.7109375" style="1870" customWidth="1"/>
    <col min="15365" max="15523" width="9.28515625" style="1870"/>
    <col min="15524" max="15524" width="6.28515625" style="1870" customWidth="1"/>
    <col min="15525" max="15525" width="42.5703125" style="1870" customWidth="1"/>
    <col min="15526" max="15526" width="11" style="1870" customWidth="1"/>
    <col min="15527" max="15527" width="13.7109375" style="1870" customWidth="1"/>
    <col min="15528" max="15528" width="15.28515625" style="1870" customWidth="1"/>
    <col min="15529" max="15529" width="11.7109375" style="1870" customWidth="1"/>
    <col min="15530" max="15530" width="12" style="1870" customWidth="1"/>
    <col min="15531" max="15531" width="12.5703125" style="1870" customWidth="1"/>
    <col min="15532" max="15532" width="13.28515625" style="1870" customWidth="1"/>
    <col min="15533" max="15533" width="9.7109375" style="1870" customWidth="1"/>
    <col min="15534" max="15534" width="12.42578125" style="1870" customWidth="1"/>
    <col min="15535" max="15535" width="13" style="1870" customWidth="1"/>
    <col min="15536" max="15536" width="13.5703125" style="1870" customWidth="1"/>
    <col min="15537" max="15537" width="9.7109375" style="1870" customWidth="1"/>
    <col min="15538" max="15538" width="10.42578125" style="1870" customWidth="1"/>
    <col min="15539" max="15539" width="12" style="1870" customWidth="1"/>
    <col min="15540" max="15540" width="11.7109375" style="1870" customWidth="1"/>
    <col min="15541" max="15541" width="12.28515625" style="1870" customWidth="1"/>
    <col min="15542" max="15542" width="11.28515625" style="1870" customWidth="1"/>
    <col min="15543" max="15543" width="10.28515625" style="1870" customWidth="1"/>
    <col min="15544" max="15544" width="14.28515625" style="1870" customWidth="1"/>
    <col min="15545" max="15545" width="14" style="1870" customWidth="1"/>
    <col min="15546" max="15546" width="14.7109375" style="1870" customWidth="1"/>
    <col min="15547" max="15547" width="12.42578125" style="1870" customWidth="1"/>
    <col min="15548" max="15548" width="11.5703125" style="1870" customWidth="1"/>
    <col min="15549" max="15549" width="12" style="1870" customWidth="1"/>
    <col min="15550" max="15551" width="11.7109375" style="1870" customWidth="1"/>
    <col min="15552" max="15552" width="9.5703125" style="1870" customWidth="1"/>
    <col min="15553" max="15553" width="9.42578125" style="1870" customWidth="1"/>
    <col min="15554" max="15554" width="12.7109375" style="1870" customWidth="1"/>
    <col min="15555" max="15555" width="12" style="1870" customWidth="1"/>
    <col min="15556" max="15556" width="12.7109375" style="1870" customWidth="1"/>
    <col min="15557" max="15557" width="12.42578125" style="1870" customWidth="1"/>
    <col min="15558" max="15558" width="11.42578125" style="1870" customWidth="1"/>
    <col min="15559" max="15559" width="12" style="1870" customWidth="1"/>
    <col min="15560" max="15561" width="12.7109375" style="1870" customWidth="1"/>
    <col min="15562" max="15562" width="10.7109375" style="1870" customWidth="1"/>
    <col min="15563" max="15563" width="11.5703125" style="1870" customWidth="1"/>
    <col min="15564" max="15564" width="12" style="1870" customWidth="1"/>
    <col min="15565" max="15565" width="12.7109375" style="1870" customWidth="1"/>
    <col min="15566" max="15566" width="14" style="1870" customWidth="1"/>
    <col min="15567" max="15567" width="10.7109375" style="1870" customWidth="1"/>
    <col min="15568" max="15568" width="11.5703125" style="1870" customWidth="1"/>
    <col min="15569" max="15569" width="14.7109375" style="1870" customWidth="1"/>
    <col min="15570" max="15571" width="14.5703125" style="1870" customWidth="1"/>
    <col min="15572" max="15572" width="11.7109375" style="1870" customWidth="1"/>
    <col min="15573" max="15573" width="12" style="1870" customWidth="1"/>
    <col min="15574" max="15574" width="14.28515625" style="1870" customWidth="1"/>
    <col min="15575" max="15575" width="13.7109375" style="1870" customWidth="1"/>
    <col min="15576" max="15576" width="13.28515625" style="1870" customWidth="1"/>
    <col min="15577" max="15577" width="13.7109375" style="1870" customWidth="1"/>
    <col min="15578" max="15578" width="13.5703125" style="1870" customWidth="1"/>
    <col min="15579" max="15579" width="13.28515625" style="1870" customWidth="1"/>
    <col min="15580" max="15580" width="13" style="1870" customWidth="1"/>
    <col min="15581" max="15581" width="12.7109375" style="1870" customWidth="1"/>
    <col min="15582" max="15584" width="12" style="1870" customWidth="1"/>
    <col min="15585" max="15585" width="13.28515625" style="1870" customWidth="1"/>
    <col min="15586" max="15586" width="13.42578125" style="1870" customWidth="1"/>
    <col min="15587" max="15587" width="13.28515625" style="1870" customWidth="1"/>
    <col min="15588" max="15588" width="11.7109375" style="1870" customWidth="1"/>
    <col min="15589" max="15590" width="13.5703125" style="1870" customWidth="1"/>
    <col min="15591" max="15591" width="11.7109375" style="1870" customWidth="1"/>
    <col min="15592" max="15592" width="12.7109375" style="1870" customWidth="1"/>
    <col min="15593" max="15593" width="16" style="1870" customWidth="1"/>
    <col min="15594" max="15594" width="14.42578125" style="1870" customWidth="1"/>
    <col min="15595" max="15595" width="13.28515625" style="1870" customWidth="1"/>
    <col min="15596" max="15596" width="12.7109375" style="1870" customWidth="1"/>
    <col min="15597" max="15597" width="13" style="1870" customWidth="1"/>
    <col min="15598" max="15598" width="13.28515625" style="1870" customWidth="1"/>
    <col min="15599" max="15599" width="13.5703125" style="1870" customWidth="1"/>
    <col min="15600" max="15600" width="12.7109375" style="1870" customWidth="1"/>
    <col min="15601" max="15601" width="11.7109375" style="1870" customWidth="1"/>
    <col min="15602" max="15602" width="11.5703125" style="1870" customWidth="1"/>
    <col min="15603" max="15603" width="13.7109375" style="1870" customWidth="1"/>
    <col min="15604" max="15604" width="14.7109375" style="1870" customWidth="1"/>
    <col min="15605" max="15605" width="12.5703125" style="1870" customWidth="1"/>
    <col min="15606" max="15606" width="11.7109375" style="1870" customWidth="1"/>
    <col min="15607" max="15607" width="12.28515625" style="1870" customWidth="1"/>
    <col min="15608" max="15608" width="12.7109375" style="1870" customWidth="1"/>
    <col min="15609" max="15609" width="13.28515625" style="1870" customWidth="1"/>
    <col min="15610" max="15610" width="13.7109375" style="1870" customWidth="1"/>
    <col min="15611" max="15611" width="13" style="1870" customWidth="1"/>
    <col min="15612" max="15612" width="12.28515625" style="1870" customWidth="1"/>
    <col min="15613" max="15614" width="13.28515625" style="1870" customWidth="1"/>
    <col min="15615" max="15615" width="13.7109375" style="1870" customWidth="1"/>
    <col min="15616" max="15616" width="12.42578125" style="1870" customWidth="1"/>
    <col min="15617" max="15617" width="12" style="1870" customWidth="1"/>
    <col min="15618" max="15618" width="16.5703125" style="1870" customWidth="1"/>
    <col min="15619" max="15619" width="29.28515625" style="1870" customWidth="1"/>
    <col min="15620" max="15620" width="18.7109375" style="1870" customWidth="1"/>
    <col min="15621" max="15779" width="9.28515625" style="1870"/>
    <col min="15780" max="15780" width="6.28515625" style="1870" customWidth="1"/>
    <col min="15781" max="15781" width="42.5703125" style="1870" customWidth="1"/>
    <col min="15782" max="15782" width="11" style="1870" customWidth="1"/>
    <col min="15783" max="15783" width="13.7109375" style="1870" customWidth="1"/>
    <col min="15784" max="15784" width="15.28515625" style="1870" customWidth="1"/>
    <col min="15785" max="15785" width="11.7109375" style="1870" customWidth="1"/>
    <col min="15786" max="15786" width="12" style="1870" customWidth="1"/>
    <col min="15787" max="15787" width="12.5703125" style="1870" customWidth="1"/>
    <col min="15788" max="15788" width="13.28515625" style="1870" customWidth="1"/>
    <col min="15789" max="15789" width="9.7109375" style="1870" customWidth="1"/>
    <col min="15790" max="15790" width="12.42578125" style="1870" customWidth="1"/>
    <col min="15791" max="15791" width="13" style="1870" customWidth="1"/>
    <col min="15792" max="15792" width="13.5703125" style="1870" customWidth="1"/>
    <col min="15793" max="15793" width="9.7109375" style="1870" customWidth="1"/>
    <col min="15794" max="15794" width="10.42578125" style="1870" customWidth="1"/>
    <col min="15795" max="15795" width="12" style="1870" customWidth="1"/>
    <col min="15796" max="15796" width="11.7109375" style="1870" customWidth="1"/>
    <col min="15797" max="15797" width="12.28515625" style="1870" customWidth="1"/>
    <col min="15798" max="15798" width="11.28515625" style="1870" customWidth="1"/>
    <col min="15799" max="15799" width="10.28515625" style="1870" customWidth="1"/>
    <col min="15800" max="15800" width="14.28515625" style="1870" customWidth="1"/>
    <col min="15801" max="15801" width="14" style="1870" customWidth="1"/>
    <col min="15802" max="15802" width="14.7109375" style="1870" customWidth="1"/>
    <col min="15803" max="15803" width="12.42578125" style="1870" customWidth="1"/>
    <col min="15804" max="15804" width="11.5703125" style="1870" customWidth="1"/>
    <col min="15805" max="15805" width="12" style="1870" customWidth="1"/>
    <col min="15806" max="15807" width="11.7109375" style="1870" customWidth="1"/>
    <col min="15808" max="15808" width="9.5703125" style="1870" customWidth="1"/>
    <col min="15809" max="15809" width="9.42578125" style="1870" customWidth="1"/>
    <col min="15810" max="15810" width="12.7109375" style="1870" customWidth="1"/>
    <col min="15811" max="15811" width="12" style="1870" customWidth="1"/>
    <col min="15812" max="15812" width="12.7109375" style="1870" customWidth="1"/>
    <col min="15813" max="15813" width="12.42578125" style="1870" customWidth="1"/>
    <col min="15814" max="15814" width="11.42578125" style="1870" customWidth="1"/>
    <col min="15815" max="15815" width="12" style="1870" customWidth="1"/>
    <col min="15816" max="15817" width="12.7109375" style="1870" customWidth="1"/>
    <col min="15818" max="15818" width="10.7109375" style="1870" customWidth="1"/>
    <col min="15819" max="15819" width="11.5703125" style="1870" customWidth="1"/>
    <col min="15820" max="15820" width="12" style="1870" customWidth="1"/>
    <col min="15821" max="15821" width="12.7109375" style="1870" customWidth="1"/>
    <col min="15822" max="15822" width="14" style="1870" customWidth="1"/>
    <col min="15823" max="15823" width="10.7109375" style="1870" customWidth="1"/>
    <col min="15824" max="15824" width="11.5703125" style="1870" customWidth="1"/>
    <col min="15825" max="15825" width="14.7109375" style="1870" customWidth="1"/>
    <col min="15826" max="15827" width="14.5703125" style="1870" customWidth="1"/>
    <col min="15828" max="15828" width="11.7109375" style="1870" customWidth="1"/>
    <col min="15829" max="15829" width="12" style="1870" customWidth="1"/>
    <col min="15830" max="15830" width="14.28515625" style="1870" customWidth="1"/>
    <col min="15831" max="15831" width="13.7109375" style="1870" customWidth="1"/>
    <col min="15832" max="15832" width="13.28515625" style="1870" customWidth="1"/>
    <col min="15833" max="15833" width="13.7109375" style="1870" customWidth="1"/>
    <col min="15834" max="15834" width="13.5703125" style="1870" customWidth="1"/>
    <col min="15835" max="15835" width="13.28515625" style="1870" customWidth="1"/>
    <col min="15836" max="15836" width="13" style="1870" customWidth="1"/>
    <col min="15837" max="15837" width="12.7109375" style="1870" customWidth="1"/>
    <col min="15838" max="15840" width="12" style="1870" customWidth="1"/>
    <col min="15841" max="15841" width="13.28515625" style="1870" customWidth="1"/>
    <col min="15842" max="15842" width="13.42578125" style="1870" customWidth="1"/>
    <col min="15843" max="15843" width="13.28515625" style="1870" customWidth="1"/>
    <col min="15844" max="15844" width="11.7109375" style="1870" customWidth="1"/>
    <col min="15845" max="15846" width="13.5703125" style="1870" customWidth="1"/>
    <col min="15847" max="15847" width="11.7109375" style="1870" customWidth="1"/>
    <col min="15848" max="15848" width="12.7109375" style="1870" customWidth="1"/>
    <col min="15849" max="15849" width="16" style="1870" customWidth="1"/>
    <col min="15850" max="15850" width="14.42578125" style="1870" customWidth="1"/>
    <col min="15851" max="15851" width="13.28515625" style="1870" customWidth="1"/>
    <col min="15852" max="15852" width="12.7109375" style="1870" customWidth="1"/>
    <col min="15853" max="15853" width="13" style="1870" customWidth="1"/>
    <col min="15854" max="15854" width="13.28515625" style="1870" customWidth="1"/>
    <col min="15855" max="15855" width="13.5703125" style="1870" customWidth="1"/>
    <col min="15856" max="15856" width="12.7109375" style="1870" customWidth="1"/>
    <col min="15857" max="15857" width="11.7109375" style="1870" customWidth="1"/>
    <col min="15858" max="15858" width="11.5703125" style="1870" customWidth="1"/>
    <col min="15859" max="15859" width="13.7109375" style="1870" customWidth="1"/>
    <col min="15860" max="15860" width="14.7109375" style="1870" customWidth="1"/>
    <col min="15861" max="15861" width="12.5703125" style="1870" customWidth="1"/>
    <col min="15862" max="15862" width="11.7109375" style="1870" customWidth="1"/>
    <col min="15863" max="15863" width="12.28515625" style="1870" customWidth="1"/>
    <col min="15864" max="15864" width="12.7109375" style="1870" customWidth="1"/>
    <col min="15865" max="15865" width="13.28515625" style="1870" customWidth="1"/>
    <col min="15866" max="15866" width="13.7109375" style="1870" customWidth="1"/>
    <col min="15867" max="15867" width="13" style="1870" customWidth="1"/>
    <col min="15868" max="15868" width="12.28515625" style="1870" customWidth="1"/>
    <col min="15869" max="15870" width="13.28515625" style="1870" customWidth="1"/>
    <col min="15871" max="15871" width="13.7109375" style="1870" customWidth="1"/>
    <col min="15872" max="15872" width="12.42578125" style="1870" customWidth="1"/>
    <col min="15873" max="15873" width="12" style="1870" customWidth="1"/>
    <col min="15874" max="15874" width="16.5703125" style="1870" customWidth="1"/>
    <col min="15875" max="15875" width="29.28515625" style="1870" customWidth="1"/>
    <col min="15876" max="15876" width="18.7109375" style="1870" customWidth="1"/>
    <col min="15877" max="16035" width="9.28515625" style="1870"/>
    <col min="16036" max="16036" width="6.28515625" style="1870" customWidth="1"/>
    <col min="16037" max="16037" width="42.5703125" style="1870" customWidth="1"/>
    <col min="16038" max="16038" width="11" style="1870" customWidth="1"/>
    <col min="16039" max="16039" width="13.7109375" style="1870" customWidth="1"/>
    <col min="16040" max="16040" width="15.28515625" style="1870" customWidth="1"/>
    <col min="16041" max="16041" width="11.7109375" style="1870" customWidth="1"/>
    <col min="16042" max="16042" width="12" style="1870" customWidth="1"/>
    <col min="16043" max="16043" width="12.5703125" style="1870" customWidth="1"/>
    <col min="16044" max="16044" width="13.28515625" style="1870" customWidth="1"/>
    <col min="16045" max="16045" width="9.7109375" style="1870" customWidth="1"/>
    <col min="16046" max="16046" width="12.42578125" style="1870" customWidth="1"/>
    <col min="16047" max="16047" width="13" style="1870" customWidth="1"/>
    <col min="16048" max="16048" width="13.5703125" style="1870" customWidth="1"/>
    <col min="16049" max="16049" width="9.7109375" style="1870" customWidth="1"/>
    <col min="16050" max="16050" width="10.42578125" style="1870" customWidth="1"/>
    <col min="16051" max="16051" width="12" style="1870" customWidth="1"/>
    <col min="16052" max="16052" width="11.7109375" style="1870" customWidth="1"/>
    <col min="16053" max="16053" width="12.28515625" style="1870" customWidth="1"/>
    <col min="16054" max="16054" width="11.28515625" style="1870" customWidth="1"/>
    <col min="16055" max="16055" width="10.28515625" style="1870" customWidth="1"/>
    <col min="16056" max="16056" width="14.28515625" style="1870" customWidth="1"/>
    <col min="16057" max="16057" width="14" style="1870" customWidth="1"/>
    <col min="16058" max="16058" width="14.7109375" style="1870" customWidth="1"/>
    <col min="16059" max="16059" width="12.42578125" style="1870" customWidth="1"/>
    <col min="16060" max="16060" width="11.5703125" style="1870" customWidth="1"/>
    <col min="16061" max="16061" width="12" style="1870" customWidth="1"/>
    <col min="16062" max="16063" width="11.7109375" style="1870" customWidth="1"/>
    <col min="16064" max="16064" width="9.5703125" style="1870" customWidth="1"/>
    <col min="16065" max="16065" width="9.42578125" style="1870" customWidth="1"/>
    <col min="16066" max="16066" width="12.7109375" style="1870" customWidth="1"/>
    <col min="16067" max="16067" width="12" style="1870" customWidth="1"/>
    <col min="16068" max="16068" width="12.7109375" style="1870" customWidth="1"/>
    <col min="16069" max="16069" width="12.42578125" style="1870" customWidth="1"/>
    <col min="16070" max="16070" width="11.42578125" style="1870" customWidth="1"/>
    <col min="16071" max="16071" width="12" style="1870" customWidth="1"/>
    <col min="16072" max="16073" width="12.7109375" style="1870" customWidth="1"/>
    <col min="16074" max="16074" width="10.7109375" style="1870" customWidth="1"/>
    <col min="16075" max="16075" width="11.5703125" style="1870" customWidth="1"/>
    <col min="16076" max="16076" width="12" style="1870" customWidth="1"/>
    <col min="16077" max="16077" width="12.7109375" style="1870" customWidth="1"/>
    <col min="16078" max="16078" width="14" style="1870" customWidth="1"/>
    <col min="16079" max="16079" width="10.7109375" style="1870" customWidth="1"/>
    <col min="16080" max="16080" width="11.5703125" style="1870" customWidth="1"/>
    <col min="16081" max="16081" width="14.7109375" style="1870" customWidth="1"/>
    <col min="16082" max="16083" width="14.5703125" style="1870" customWidth="1"/>
    <col min="16084" max="16084" width="11.7109375" style="1870" customWidth="1"/>
    <col min="16085" max="16085" width="12" style="1870" customWidth="1"/>
    <col min="16086" max="16086" width="14.28515625" style="1870" customWidth="1"/>
    <col min="16087" max="16087" width="13.7109375" style="1870" customWidth="1"/>
    <col min="16088" max="16088" width="13.28515625" style="1870" customWidth="1"/>
    <col min="16089" max="16089" width="13.7109375" style="1870" customWidth="1"/>
    <col min="16090" max="16090" width="13.5703125" style="1870" customWidth="1"/>
    <col min="16091" max="16091" width="13.28515625" style="1870" customWidth="1"/>
    <col min="16092" max="16092" width="13" style="1870" customWidth="1"/>
    <col min="16093" max="16093" width="12.7109375" style="1870" customWidth="1"/>
    <col min="16094" max="16096" width="12" style="1870" customWidth="1"/>
    <col min="16097" max="16097" width="13.28515625" style="1870" customWidth="1"/>
    <col min="16098" max="16098" width="13.42578125" style="1870" customWidth="1"/>
    <col min="16099" max="16099" width="13.28515625" style="1870" customWidth="1"/>
    <col min="16100" max="16100" width="11.7109375" style="1870" customWidth="1"/>
    <col min="16101" max="16102" width="13.5703125" style="1870" customWidth="1"/>
    <col min="16103" max="16103" width="11.7109375" style="1870" customWidth="1"/>
    <col min="16104" max="16104" width="12.7109375" style="1870" customWidth="1"/>
    <col min="16105" max="16105" width="16" style="1870" customWidth="1"/>
    <col min="16106" max="16106" width="14.42578125" style="1870" customWidth="1"/>
    <col min="16107" max="16107" width="13.28515625" style="1870" customWidth="1"/>
    <col min="16108" max="16108" width="12.7109375" style="1870" customWidth="1"/>
    <col min="16109" max="16109" width="13" style="1870" customWidth="1"/>
    <col min="16110" max="16110" width="13.28515625" style="1870" customWidth="1"/>
    <col min="16111" max="16111" width="13.5703125" style="1870" customWidth="1"/>
    <col min="16112" max="16112" width="12.7109375" style="1870" customWidth="1"/>
    <col min="16113" max="16113" width="11.7109375" style="1870" customWidth="1"/>
    <col min="16114" max="16114" width="11.5703125" style="1870" customWidth="1"/>
    <col min="16115" max="16115" width="13.7109375" style="1870" customWidth="1"/>
    <col min="16116" max="16116" width="14.7109375" style="1870" customWidth="1"/>
    <col min="16117" max="16117" width="12.5703125" style="1870" customWidth="1"/>
    <col min="16118" max="16118" width="11.7109375" style="1870" customWidth="1"/>
    <col min="16119" max="16119" width="12.28515625" style="1870" customWidth="1"/>
    <col min="16120" max="16120" width="12.7109375" style="1870" customWidth="1"/>
    <col min="16121" max="16121" width="13.28515625" style="1870" customWidth="1"/>
    <col min="16122" max="16122" width="13.7109375" style="1870" customWidth="1"/>
    <col min="16123" max="16123" width="13" style="1870" customWidth="1"/>
    <col min="16124" max="16124" width="12.28515625" style="1870" customWidth="1"/>
    <col min="16125" max="16126" width="13.28515625" style="1870" customWidth="1"/>
    <col min="16127" max="16127" width="13.7109375" style="1870" customWidth="1"/>
    <col min="16128" max="16128" width="12.42578125" style="1870" customWidth="1"/>
    <col min="16129" max="16129" width="12" style="1870" customWidth="1"/>
    <col min="16130" max="16130" width="16.5703125" style="1870" customWidth="1"/>
    <col min="16131" max="16131" width="29.28515625" style="1870" customWidth="1"/>
    <col min="16132" max="16132" width="18.7109375" style="1870" customWidth="1"/>
    <col min="16133" max="16384" width="9.28515625" style="1870"/>
  </cols>
  <sheetData>
    <row r="1" spans="1:4" s="1869" customFormat="1" ht="20.25" customHeight="1">
      <c r="B1" s="1870" t="s">
        <v>1828</v>
      </c>
      <c r="C1" s="1871" t="s">
        <v>3764</v>
      </c>
      <c r="D1" s="1872"/>
    </row>
    <row r="2" spans="1:4" s="1869" customFormat="1" ht="20.25" customHeight="1">
      <c r="B2" s="1872"/>
      <c r="C2" s="1872"/>
      <c r="D2" s="1872"/>
    </row>
    <row r="3" spans="1:4" ht="13.5" thickBot="1">
      <c r="B3" s="1873"/>
      <c r="C3" s="1873"/>
    </row>
    <row r="4" spans="1:4" ht="15.6" customHeight="1" thickBot="1">
      <c r="A4" s="4555" t="s">
        <v>400</v>
      </c>
      <c r="B4" s="4557" t="s">
        <v>1437</v>
      </c>
      <c r="C4" s="4555" t="s">
        <v>692</v>
      </c>
      <c r="D4" s="1961"/>
    </row>
    <row r="5" spans="1:4" s="1875" customFormat="1" ht="108" customHeight="1" thickBot="1">
      <c r="A5" s="4556"/>
      <c r="B5" s="4558"/>
      <c r="C5" s="4559"/>
      <c r="D5" s="1874" t="s">
        <v>1857</v>
      </c>
    </row>
    <row r="6" spans="1:4" s="1875" customFormat="1" ht="13.5" customHeight="1" thickBot="1">
      <c r="A6" s="1876">
        <v>1</v>
      </c>
      <c r="B6" s="1877">
        <v>2</v>
      </c>
      <c r="C6" s="1878">
        <v>3</v>
      </c>
      <c r="D6" s="1879" t="s">
        <v>738</v>
      </c>
    </row>
    <row r="7" spans="1:4" s="1343" customFormat="1" ht="20.25" customHeight="1">
      <c r="A7" s="1880">
        <v>1</v>
      </c>
      <c r="B7" s="1881" t="s">
        <v>1829</v>
      </c>
      <c r="C7" s="1882" t="s">
        <v>240</v>
      </c>
      <c r="D7" s="1883">
        <f>ККП!D426</f>
        <v>57.180120000000002</v>
      </c>
    </row>
    <row r="8" spans="1:4" s="1343" customFormat="1" ht="20.25" customHeight="1">
      <c r="A8" s="1884">
        <v>2</v>
      </c>
      <c r="B8" s="1885" t="s">
        <v>1830</v>
      </c>
      <c r="C8" s="1882" t="s">
        <v>240</v>
      </c>
      <c r="D8" s="1886">
        <f>ККП!D272</f>
        <v>1.7883280000000001</v>
      </c>
    </row>
    <row r="9" spans="1:4" s="1891" customFormat="1" ht="15">
      <c r="A9" s="1887" t="s">
        <v>427</v>
      </c>
      <c r="B9" s="1888" t="s">
        <v>1831</v>
      </c>
      <c r="C9" s="1889" t="s">
        <v>248</v>
      </c>
      <c r="D9" s="1890">
        <f>D8/D7*100</f>
        <v>3.1275345347299024</v>
      </c>
    </row>
    <row r="10" spans="1:4" s="1891" customFormat="1" ht="14.25">
      <c r="A10" s="1884">
        <v>3</v>
      </c>
      <c r="B10" s="1885" t="s">
        <v>1414</v>
      </c>
      <c r="C10" s="1882" t="s">
        <v>240</v>
      </c>
      <c r="D10" s="1892">
        <f>D7-D8</f>
        <v>55.391792000000002</v>
      </c>
    </row>
    <row r="11" spans="1:4" s="1891" customFormat="1" ht="14.25">
      <c r="A11" s="1884" t="s">
        <v>44</v>
      </c>
      <c r="B11" s="1885" t="s">
        <v>1832</v>
      </c>
      <c r="C11" s="1882" t="s">
        <v>1833</v>
      </c>
      <c r="D11" s="1892">
        <f>D13+D17</f>
        <v>329166.01448635745</v>
      </c>
    </row>
    <row r="12" spans="1:4" s="1891" customFormat="1" ht="15">
      <c r="A12" s="1893"/>
      <c r="B12" s="1894" t="s">
        <v>904</v>
      </c>
      <c r="C12" s="1895"/>
      <c r="D12" s="1890"/>
    </row>
    <row r="13" spans="1:4" s="1891" customFormat="1" ht="28.5">
      <c r="A13" s="1884" t="s">
        <v>285</v>
      </c>
      <c r="B13" s="1896" t="s">
        <v>1834</v>
      </c>
      <c r="C13" s="1882"/>
      <c r="D13" s="1892">
        <f>D14</f>
        <v>322102.17253619747</v>
      </c>
    </row>
    <row r="14" spans="1:4" s="1891" customFormat="1" ht="15">
      <c r="A14" s="1897" t="s">
        <v>1835</v>
      </c>
      <c r="B14" s="1898" t="s">
        <v>1836</v>
      </c>
      <c r="C14" s="1895" t="s">
        <v>1833</v>
      </c>
      <c r="D14" s="1890">
        <f>ККП!D12*1000-ККП!D17*1000</f>
        <v>322102.17253619747</v>
      </c>
    </row>
    <row r="15" spans="1:4" s="1891" customFormat="1" ht="15">
      <c r="A15" s="1897" t="s">
        <v>1837</v>
      </c>
      <c r="B15" s="1898" t="s">
        <v>1838</v>
      </c>
      <c r="C15" s="1895" t="s">
        <v>1833</v>
      </c>
      <c r="D15" s="1890"/>
    </row>
    <row r="16" spans="1:4" s="1891" customFormat="1" ht="15">
      <c r="A16" s="1897" t="s">
        <v>1839</v>
      </c>
      <c r="B16" s="1894" t="s">
        <v>1840</v>
      </c>
      <c r="C16" s="1895" t="s">
        <v>248</v>
      </c>
      <c r="D16" s="1890">
        <f>D15/D14*100</f>
        <v>0</v>
      </c>
    </row>
    <row r="17" spans="1:4" s="1891" customFormat="1" ht="28.5">
      <c r="A17" s="1884" t="s">
        <v>286</v>
      </c>
      <c r="B17" s="1896" t="s">
        <v>1841</v>
      </c>
      <c r="C17" s="1882"/>
      <c r="D17" s="1892">
        <f>D18</f>
        <v>7063.8419501600001</v>
      </c>
    </row>
    <row r="18" spans="1:4" s="1891" customFormat="1" ht="15">
      <c r="A18" s="1897" t="s">
        <v>1842</v>
      </c>
      <c r="B18" s="1894" t="s">
        <v>1183</v>
      </c>
      <c r="C18" s="1895" t="s">
        <v>1833</v>
      </c>
      <c r="D18" s="1890">
        <f>ККП!D17*1000</f>
        <v>7063.8419501600001</v>
      </c>
    </row>
    <row r="19" spans="1:4" s="1891" customFormat="1" ht="15">
      <c r="A19" s="1897" t="s">
        <v>1843</v>
      </c>
      <c r="B19" s="1899" t="s">
        <v>1844</v>
      </c>
      <c r="C19" s="1895" t="s">
        <v>1833</v>
      </c>
      <c r="D19" s="1900"/>
    </row>
    <row r="20" spans="1:4" s="1903" customFormat="1" ht="15">
      <c r="A20" s="1897" t="s">
        <v>1845</v>
      </c>
      <c r="B20" s="1894" t="s">
        <v>1840</v>
      </c>
      <c r="C20" s="1901" t="s">
        <v>248</v>
      </c>
      <c r="D20" s="1902">
        <f>D19/D18*100</f>
        <v>0</v>
      </c>
    </row>
    <row r="21" spans="1:4" s="1343" customFormat="1" ht="14.25">
      <c r="A21" s="1884">
        <v>5</v>
      </c>
      <c r="B21" s="1885" t="s">
        <v>1846</v>
      </c>
      <c r="C21" s="1882" t="s">
        <v>1833</v>
      </c>
      <c r="D21" s="1883">
        <f>ККП!D441*1000</f>
        <v>53818.308530000002</v>
      </c>
    </row>
    <row r="22" spans="1:4" s="1343" customFormat="1" ht="14.25">
      <c r="A22" s="1884">
        <v>6</v>
      </c>
      <c r="B22" s="1896" t="s">
        <v>1847</v>
      </c>
      <c r="C22" s="1904" t="s">
        <v>1833</v>
      </c>
      <c r="D22" s="1905">
        <f>ККП!D565*1000</f>
        <v>127514.47548999998</v>
      </c>
    </row>
    <row r="23" spans="1:4" ht="14.25">
      <c r="A23" s="1884">
        <v>7</v>
      </c>
      <c r="B23" s="1896" t="s">
        <v>1848</v>
      </c>
      <c r="C23" s="1904" t="s">
        <v>1833</v>
      </c>
      <c r="D23" s="1905"/>
    </row>
    <row r="24" spans="1:4" ht="14.25">
      <c r="A24" s="1884">
        <v>8</v>
      </c>
      <c r="B24" s="1896" t="s">
        <v>1849</v>
      </c>
      <c r="C24" s="1904" t="s">
        <v>1850</v>
      </c>
      <c r="D24" s="1905"/>
    </row>
    <row r="25" spans="1:4" ht="15" thickBot="1">
      <c r="A25" s="1906">
        <v>9</v>
      </c>
      <c r="B25" s="1907" t="s">
        <v>274</v>
      </c>
      <c r="C25" s="1908" t="s">
        <v>276</v>
      </c>
      <c r="D25" s="1909"/>
    </row>
    <row r="27" spans="1:4" hidden="1"/>
    <row r="28" spans="1:4" hidden="1">
      <c r="D28" s="1910"/>
    </row>
    <row r="29" spans="1:4" hidden="1">
      <c r="D29" s="1910"/>
    </row>
    <row r="30" spans="1:4" hidden="1"/>
    <row r="31" spans="1:4" hidden="1"/>
    <row r="32" spans="1:4" hidden="1"/>
    <row r="33" spans="4:4" hidden="1"/>
    <row r="34" spans="4:4" hidden="1"/>
    <row r="35" spans="4:4" hidden="1">
      <c r="D35" s="1910"/>
    </row>
    <row r="36" spans="4:4" hidden="1">
      <c r="D36" s="1910"/>
    </row>
    <row r="37" spans="4:4" hidden="1"/>
    <row r="38" spans="4:4" hidden="1"/>
    <row r="39" spans="4:4" hidden="1">
      <c r="D39" s="1910"/>
    </row>
    <row r="40" spans="4:4" hidden="1">
      <c r="D40" s="1910"/>
    </row>
    <row r="41" spans="4:4" hidden="1"/>
    <row r="42" spans="4:4" hidden="1">
      <c r="D42" s="1910"/>
    </row>
    <row r="43" spans="4:4" hidden="1">
      <c r="D43" s="1910"/>
    </row>
    <row r="44" spans="4:4" hidden="1">
      <c r="D44" s="1910"/>
    </row>
    <row r="45" spans="4:4" hidden="1"/>
    <row r="46" spans="4:4" hidden="1">
      <c r="D46" s="1910"/>
    </row>
    <row r="47" spans="4:4" hidden="1">
      <c r="D47" s="1910"/>
    </row>
    <row r="48" spans="4:4" hidden="1"/>
    <row r="49" spans="2:4" hidden="1">
      <c r="D49" s="1910"/>
    </row>
    <row r="50" spans="2:4" hidden="1">
      <c r="D50" s="1910"/>
    </row>
    <row r="51" spans="2:4" hidden="1"/>
    <row r="52" spans="2:4" hidden="1">
      <c r="D52" s="1910"/>
    </row>
    <row r="53" spans="2:4" hidden="1">
      <c r="D53" s="1910"/>
    </row>
    <row r="54" spans="2:4" hidden="1"/>
    <row r="55" spans="2:4" hidden="1">
      <c r="D55" s="1910"/>
    </row>
    <row r="56" spans="2:4" hidden="1">
      <c r="D56" s="1910"/>
    </row>
    <row r="57" spans="2:4" hidden="1"/>
    <row r="58" spans="2:4" hidden="1"/>
    <row r="59" spans="2:4" hidden="1"/>
    <row r="60" spans="2:4" hidden="1"/>
    <row r="61" spans="2:4" hidden="1">
      <c r="B61" s="1870" t="s">
        <v>1851</v>
      </c>
    </row>
    <row r="62" spans="2:4" hidden="1">
      <c r="B62" s="1870" t="s">
        <v>1852</v>
      </c>
    </row>
    <row r="63" spans="2:4" hidden="1">
      <c r="B63" s="1870" t="s">
        <v>1853</v>
      </c>
      <c r="D63" s="1911"/>
    </row>
    <row r="64" spans="2:4" ht="13.15" hidden="1" customHeight="1">
      <c r="B64" s="4553" t="s">
        <v>209</v>
      </c>
      <c r="D64" s="1912"/>
    </row>
    <row r="65" spans="2:4" ht="13.5" hidden="1" customHeight="1">
      <c r="B65" s="4554"/>
      <c r="D65" s="1913"/>
    </row>
    <row r="66" spans="2:4" ht="15" hidden="1">
      <c r="B66" s="232" t="s">
        <v>211</v>
      </c>
      <c r="D66" s="420"/>
    </row>
    <row r="67" spans="2:4" ht="14.25" hidden="1">
      <c r="B67" s="234" t="s">
        <v>213</v>
      </c>
      <c r="D67" s="1914"/>
    </row>
    <row r="68" spans="2:4" ht="14.25" hidden="1">
      <c r="B68" s="237" t="s">
        <v>214</v>
      </c>
      <c r="D68" s="239"/>
    </row>
    <row r="69" spans="2:4" ht="14.25" hidden="1">
      <c r="B69" s="237" t="s">
        <v>215</v>
      </c>
      <c r="D69" s="240"/>
    </row>
    <row r="70" spans="2:4" ht="14.25" hidden="1">
      <c r="B70" s="237" t="s">
        <v>216</v>
      </c>
      <c r="D70" s="240"/>
    </row>
    <row r="71" spans="2:4" ht="14.25" hidden="1">
      <c r="B71" s="234" t="s">
        <v>217</v>
      </c>
      <c r="D71" s="236"/>
    </row>
    <row r="72" spans="2:4" ht="14.25" hidden="1">
      <c r="B72" s="234" t="s">
        <v>218</v>
      </c>
      <c r="D72" s="236"/>
    </row>
    <row r="73" spans="2:4" ht="28.5" hidden="1">
      <c r="B73" s="241" t="s">
        <v>338</v>
      </c>
      <c r="D73" s="236"/>
    </row>
    <row r="74" spans="2:4" ht="14.25" hidden="1">
      <c r="B74" s="234" t="s">
        <v>219</v>
      </c>
      <c r="D74" s="236"/>
    </row>
    <row r="75" spans="2:4" ht="15" hidden="1">
      <c r="B75" s="1915" t="s">
        <v>220</v>
      </c>
      <c r="D75" s="1916"/>
    </row>
    <row r="76" spans="2:4" ht="15" hidden="1">
      <c r="B76" s="1917" t="s">
        <v>221</v>
      </c>
      <c r="D76" s="1916"/>
    </row>
    <row r="77" spans="2:4" ht="15" hidden="1">
      <c r="B77" s="1918" t="s">
        <v>156</v>
      </c>
      <c r="D77" s="1919"/>
    </row>
    <row r="78" spans="2:4" ht="14.25" hidden="1">
      <c r="B78" s="1920" t="s">
        <v>222</v>
      </c>
      <c r="D78" s="1921"/>
    </row>
    <row r="79" spans="2:4" ht="14.25" hidden="1">
      <c r="B79" s="1920" t="s">
        <v>223</v>
      </c>
      <c r="D79" s="1921"/>
    </row>
    <row r="80" spans="2:4" ht="14.25" hidden="1">
      <c r="B80" s="1920" t="s">
        <v>224</v>
      </c>
      <c r="D80" s="1921"/>
    </row>
    <row r="81" spans="2:4" ht="15" hidden="1">
      <c r="B81" s="1918" t="s">
        <v>225</v>
      </c>
      <c r="D81" s="1919"/>
    </row>
    <row r="82" spans="2:4" ht="14.25" hidden="1">
      <c r="B82" s="1920" t="s">
        <v>222</v>
      </c>
      <c r="D82" s="1921"/>
    </row>
    <row r="83" spans="2:4" ht="14.25" hidden="1">
      <c r="B83" s="1920" t="s">
        <v>223</v>
      </c>
      <c r="D83" s="1921"/>
    </row>
    <row r="84" spans="2:4" ht="14.25" hidden="1">
      <c r="B84" s="1920" t="s">
        <v>224</v>
      </c>
      <c r="D84" s="1921"/>
    </row>
    <row r="85" spans="2:4" ht="15" hidden="1">
      <c r="B85" s="1917" t="s">
        <v>227</v>
      </c>
      <c r="D85" s="1916"/>
    </row>
    <row r="86" spans="2:4" ht="15" hidden="1">
      <c r="B86" s="1918" t="s">
        <v>156</v>
      </c>
      <c r="D86" s="1919"/>
    </row>
    <row r="87" spans="2:4" ht="14.25" hidden="1">
      <c r="B87" s="1920" t="s">
        <v>222</v>
      </c>
      <c r="D87" s="1921"/>
    </row>
    <row r="88" spans="2:4" ht="14.25" hidden="1">
      <c r="B88" s="1920" t="s">
        <v>223</v>
      </c>
      <c r="D88" s="1921"/>
    </row>
    <row r="89" spans="2:4" ht="14.25" hidden="1">
      <c r="B89" s="1920" t="s">
        <v>224</v>
      </c>
      <c r="D89" s="1921"/>
    </row>
    <row r="90" spans="2:4" ht="15" hidden="1">
      <c r="B90" s="1918" t="s">
        <v>225</v>
      </c>
      <c r="D90" s="1919"/>
    </row>
    <row r="91" spans="2:4" ht="14.25" hidden="1">
      <c r="B91" s="1920" t="s">
        <v>222</v>
      </c>
      <c r="D91" s="1921"/>
    </row>
    <row r="92" spans="2:4" ht="14.25" hidden="1">
      <c r="B92" s="1920" t="s">
        <v>223</v>
      </c>
      <c r="D92" s="1921"/>
    </row>
    <row r="93" spans="2:4" ht="14.25" hidden="1">
      <c r="B93" s="1920" t="s">
        <v>224</v>
      </c>
      <c r="D93" s="1921"/>
    </row>
    <row r="94" spans="2:4" ht="15" hidden="1">
      <c r="B94" s="1922" t="s">
        <v>226</v>
      </c>
      <c r="D94" s="1919"/>
    </row>
    <row r="95" spans="2:4" ht="14.25" hidden="1">
      <c r="B95" s="1920" t="s">
        <v>222</v>
      </c>
      <c r="D95" s="1921"/>
    </row>
    <row r="96" spans="2:4" ht="14.25" hidden="1">
      <c r="B96" s="1920" t="s">
        <v>223</v>
      </c>
      <c r="D96" s="1921"/>
    </row>
    <row r="97" spans="2:4" ht="14.25" hidden="1">
      <c r="B97" s="1920" t="s">
        <v>224</v>
      </c>
      <c r="D97" s="1921"/>
    </row>
    <row r="98" spans="2:4" ht="15" hidden="1">
      <c r="B98" s="1917" t="s">
        <v>340</v>
      </c>
      <c r="D98" s="1916"/>
    </row>
    <row r="99" spans="2:4" ht="15" hidden="1">
      <c r="B99" s="1918" t="s">
        <v>226</v>
      </c>
      <c r="D99" s="1919"/>
    </row>
    <row r="100" spans="2:4" ht="14.25" hidden="1">
      <c r="B100" s="1920" t="s">
        <v>222</v>
      </c>
      <c r="D100" s="1921"/>
    </row>
    <row r="101" spans="2:4" ht="14.25" hidden="1">
      <c r="B101" s="1920" t="s">
        <v>223</v>
      </c>
      <c r="D101" s="1921"/>
    </row>
    <row r="102" spans="2:4" ht="14.25" hidden="1">
      <c r="B102" s="1920" t="s">
        <v>224</v>
      </c>
      <c r="D102" s="1921"/>
    </row>
    <row r="103" spans="2:4" ht="15" hidden="1">
      <c r="B103" s="1917" t="s">
        <v>28</v>
      </c>
      <c r="D103" s="1916"/>
    </row>
    <row r="104" spans="2:4" ht="14.25" hidden="1">
      <c r="B104" s="1923" t="s">
        <v>341</v>
      </c>
      <c r="D104" s="1916"/>
    </row>
    <row r="105" spans="2:4" ht="14.25" hidden="1">
      <c r="B105" s="1923" t="s">
        <v>342</v>
      </c>
      <c r="D105" s="1916"/>
    </row>
    <row r="106" spans="2:4" ht="15.75" hidden="1">
      <c r="B106" s="254" t="s">
        <v>228</v>
      </c>
      <c r="D106" s="1919"/>
    </row>
    <row r="107" spans="2:4" ht="15.75" hidden="1">
      <c r="B107" s="1924" t="s">
        <v>341</v>
      </c>
      <c r="D107" s="1925"/>
    </row>
    <row r="108" spans="2:4" ht="15.75" hidden="1">
      <c r="B108" s="1926" t="s">
        <v>342</v>
      </c>
      <c r="D108" s="1927"/>
    </row>
    <row r="109" spans="2:4" ht="15.75" hidden="1">
      <c r="B109" s="256" t="s">
        <v>281</v>
      </c>
      <c r="D109" s="1921"/>
    </row>
    <row r="110" spans="2:4" ht="15.75" hidden="1">
      <c r="B110" s="1924" t="s">
        <v>341</v>
      </c>
      <c r="D110" s="1925"/>
    </row>
    <row r="111" spans="2:4" ht="15.75" hidden="1">
      <c r="B111" s="1926" t="s">
        <v>342</v>
      </c>
      <c r="D111" s="1927"/>
    </row>
    <row r="112" spans="2:4" ht="15.75" hidden="1">
      <c r="B112" s="257" t="s">
        <v>343</v>
      </c>
      <c r="D112" s="1928"/>
    </row>
    <row r="113" spans="2:4" ht="15.75" hidden="1">
      <c r="B113" s="1924" t="s">
        <v>341</v>
      </c>
      <c r="D113" s="1925"/>
    </row>
    <row r="114" spans="2:4" ht="15.75" hidden="1">
      <c r="B114" s="1926" t="s">
        <v>342</v>
      </c>
      <c r="D114" s="1927"/>
    </row>
    <row r="115" spans="2:4" ht="14.25" hidden="1">
      <c r="B115" s="1920" t="s">
        <v>230</v>
      </c>
      <c r="D115" s="1921"/>
    </row>
    <row r="116" spans="2:4" ht="15.75" hidden="1">
      <c r="B116" s="1924" t="s">
        <v>341</v>
      </c>
      <c r="D116" s="1925"/>
    </row>
    <row r="117" spans="2:4" ht="15.75" hidden="1">
      <c r="B117" s="1926" t="s">
        <v>342</v>
      </c>
      <c r="D117" s="1927"/>
    </row>
    <row r="118" spans="2:4" ht="14.25" hidden="1">
      <c r="B118" s="1920" t="s">
        <v>231</v>
      </c>
      <c r="D118" s="1921"/>
    </row>
    <row r="119" spans="2:4" ht="15.75" hidden="1">
      <c r="B119" s="1924" t="s">
        <v>341</v>
      </c>
      <c r="D119" s="1925"/>
    </row>
    <row r="120" spans="2:4" ht="15.75" hidden="1">
      <c r="B120" s="1926" t="s">
        <v>342</v>
      </c>
      <c r="D120" s="1927"/>
    </row>
    <row r="121" spans="2:4" ht="15.75" hidden="1">
      <c r="B121" s="256" t="s">
        <v>236</v>
      </c>
      <c r="D121" s="1921"/>
    </row>
    <row r="122" spans="2:4" ht="15.75" hidden="1">
      <c r="B122" s="1924" t="s">
        <v>341</v>
      </c>
      <c r="D122" s="1925"/>
    </row>
    <row r="123" spans="2:4" ht="15.75" hidden="1">
      <c r="B123" s="1926" t="s">
        <v>342</v>
      </c>
      <c r="D123" s="1927"/>
    </row>
    <row r="124" spans="2:4" ht="15.75" hidden="1">
      <c r="B124" s="257" t="s">
        <v>344</v>
      </c>
      <c r="D124" s="1928"/>
    </row>
    <row r="125" spans="2:4" ht="15.75" hidden="1">
      <c r="B125" s="1924" t="s">
        <v>341</v>
      </c>
      <c r="D125" s="1925"/>
    </row>
    <row r="126" spans="2:4" ht="15.75" hidden="1">
      <c r="B126" s="1926" t="s">
        <v>342</v>
      </c>
      <c r="D126" s="1927"/>
    </row>
    <row r="127" spans="2:4" ht="14.25" hidden="1">
      <c r="B127" s="1920" t="s">
        <v>230</v>
      </c>
      <c r="D127" s="1921"/>
    </row>
    <row r="128" spans="2:4" ht="15.75" hidden="1">
      <c r="B128" s="1924" t="s">
        <v>341</v>
      </c>
      <c r="D128" s="1925"/>
    </row>
    <row r="129" spans="2:4" ht="15.75" hidden="1">
      <c r="B129" s="1926" t="s">
        <v>342</v>
      </c>
      <c r="D129" s="1927"/>
    </row>
    <row r="130" spans="2:4" ht="14.25" hidden="1">
      <c r="B130" s="1920" t="s">
        <v>231</v>
      </c>
      <c r="D130" s="1921"/>
    </row>
    <row r="131" spans="2:4" ht="15.75" hidden="1">
      <c r="B131" s="1924" t="s">
        <v>341</v>
      </c>
      <c r="D131" s="1925"/>
    </row>
    <row r="132" spans="2:4" ht="15.75" hidden="1">
      <c r="B132" s="1926" t="s">
        <v>342</v>
      </c>
      <c r="D132" s="1927"/>
    </row>
    <row r="133" spans="2:4" ht="15.75" hidden="1">
      <c r="B133" s="254" t="s">
        <v>232</v>
      </c>
      <c r="D133" s="1919"/>
    </row>
    <row r="134" spans="2:4" ht="15.75" hidden="1">
      <c r="B134" s="1924" t="s">
        <v>341</v>
      </c>
      <c r="D134" s="1925"/>
    </row>
    <row r="135" spans="2:4" ht="15.75" hidden="1">
      <c r="B135" s="1926" t="s">
        <v>342</v>
      </c>
      <c r="D135" s="1927"/>
    </row>
    <row r="136" spans="2:4" ht="15.75" hidden="1">
      <c r="B136" s="256" t="s">
        <v>229</v>
      </c>
      <c r="D136" s="1921"/>
    </row>
    <row r="137" spans="2:4" ht="15.75" hidden="1">
      <c r="B137" s="1924" t="s">
        <v>341</v>
      </c>
      <c r="D137" s="1925"/>
    </row>
    <row r="138" spans="2:4" ht="15.75" hidden="1">
      <c r="B138" s="1926" t="s">
        <v>342</v>
      </c>
      <c r="D138" s="1927"/>
    </row>
    <row r="139" spans="2:4" ht="15.75" hidden="1">
      <c r="B139" s="257" t="s">
        <v>345</v>
      </c>
      <c r="D139" s="1928"/>
    </row>
    <row r="140" spans="2:4" ht="15.75" hidden="1">
      <c r="B140" s="1924" t="s">
        <v>341</v>
      </c>
      <c r="D140" s="1925"/>
    </row>
    <row r="141" spans="2:4" ht="15.75" hidden="1">
      <c r="B141" s="1926" t="s">
        <v>342</v>
      </c>
      <c r="D141" s="1927"/>
    </row>
    <row r="142" spans="2:4" ht="14.25" hidden="1">
      <c r="B142" s="1920" t="s">
        <v>230</v>
      </c>
      <c r="D142" s="1921"/>
    </row>
    <row r="143" spans="2:4" ht="15.75" hidden="1">
      <c r="B143" s="1924" t="s">
        <v>341</v>
      </c>
      <c r="D143" s="1925"/>
    </row>
    <row r="144" spans="2:4" ht="15.75" hidden="1">
      <c r="B144" s="1926" t="s">
        <v>342</v>
      </c>
      <c r="D144" s="1927"/>
    </row>
    <row r="145" spans="2:4" ht="14.25" hidden="1">
      <c r="B145" s="1920" t="s">
        <v>231</v>
      </c>
      <c r="D145" s="1921"/>
    </row>
    <row r="146" spans="2:4" ht="15.75" hidden="1">
      <c r="B146" s="1924" t="s">
        <v>341</v>
      </c>
      <c r="D146" s="1925"/>
    </row>
    <row r="147" spans="2:4" ht="15.75" hidden="1">
      <c r="B147" s="1926" t="s">
        <v>342</v>
      </c>
      <c r="D147" s="1927"/>
    </row>
    <row r="148" spans="2:4" ht="15.75" hidden="1">
      <c r="B148" s="259" t="s">
        <v>40</v>
      </c>
      <c r="D148" s="1919"/>
    </row>
    <row r="149" spans="2:4" ht="15.75" hidden="1">
      <c r="B149" s="1924" t="s">
        <v>341</v>
      </c>
      <c r="D149" s="1925"/>
    </row>
    <row r="150" spans="2:4" ht="15.75" hidden="1">
      <c r="B150" s="1926" t="s">
        <v>342</v>
      </c>
      <c r="D150" s="1927"/>
    </row>
    <row r="151" spans="2:4" ht="15.75" hidden="1">
      <c r="B151" s="256" t="s">
        <v>281</v>
      </c>
      <c r="D151" s="1921"/>
    </row>
    <row r="152" spans="2:4" ht="15.75" hidden="1">
      <c r="B152" s="1924" t="s">
        <v>341</v>
      </c>
      <c r="D152" s="1925"/>
    </row>
    <row r="153" spans="2:4" ht="15.75" hidden="1">
      <c r="B153" s="1926" t="s">
        <v>342</v>
      </c>
      <c r="D153" s="1927"/>
    </row>
    <row r="154" spans="2:4" ht="15.75" hidden="1">
      <c r="B154" s="257" t="s">
        <v>343</v>
      </c>
      <c r="D154" s="1928"/>
    </row>
    <row r="155" spans="2:4" ht="15.75" hidden="1">
      <c r="B155" s="1924" t="s">
        <v>341</v>
      </c>
      <c r="D155" s="1925"/>
    </row>
    <row r="156" spans="2:4" ht="15.75" hidden="1">
      <c r="B156" s="1926" t="s">
        <v>342</v>
      </c>
      <c r="D156" s="1927"/>
    </row>
    <row r="157" spans="2:4" ht="14.25" hidden="1">
      <c r="B157" s="1920" t="s">
        <v>230</v>
      </c>
      <c r="D157" s="1921"/>
    </row>
    <row r="158" spans="2:4" ht="15.75" hidden="1">
      <c r="B158" s="1924" t="s">
        <v>341</v>
      </c>
      <c r="D158" s="1925"/>
    </row>
    <row r="159" spans="2:4" ht="15.75" hidden="1">
      <c r="B159" s="1926" t="s">
        <v>342</v>
      </c>
      <c r="D159" s="1927"/>
    </row>
    <row r="160" spans="2:4" ht="14.25" hidden="1">
      <c r="B160" s="1920" t="s">
        <v>231</v>
      </c>
      <c r="D160" s="1921"/>
    </row>
    <row r="161" spans="2:4" ht="15.75" hidden="1">
      <c r="B161" s="1924" t="s">
        <v>341</v>
      </c>
      <c r="D161" s="1925"/>
    </row>
    <row r="162" spans="2:4" ht="15.75" hidden="1">
      <c r="B162" s="1926" t="s">
        <v>342</v>
      </c>
      <c r="D162" s="1927"/>
    </row>
    <row r="163" spans="2:4" ht="15.75" hidden="1">
      <c r="B163" s="256" t="s">
        <v>234</v>
      </c>
      <c r="D163" s="1921"/>
    </row>
    <row r="164" spans="2:4" ht="15.75" hidden="1">
      <c r="B164" s="1924" t="s">
        <v>341</v>
      </c>
      <c r="D164" s="1925"/>
    </row>
    <row r="165" spans="2:4" ht="15.75" hidden="1">
      <c r="B165" s="1926" t="s">
        <v>342</v>
      </c>
      <c r="D165" s="1927"/>
    </row>
    <row r="166" spans="2:4" ht="15.75" hidden="1">
      <c r="B166" s="257" t="s">
        <v>346</v>
      </c>
      <c r="D166" s="1928"/>
    </row>
    <row r="167" spans="2:4" ht="15.75" hidden="1">
      <c r="B167" s="1924" t="s">
        <v>341</v>
      </c>
      <c r="D167" s="1925"/>
    </row>
    <row r="168" spans="2:4" ht="15.75" hidden="1">
      <c r="B168" s="1926" t="s">
        <v>342</v>
      </c>
      <c r="D168" s="1927"/>
    </row>
    <row r="169" spans="2:4" ht="14.25" hidden="1">
      <c r="B169" s="1920" t="s">
        <v>230</v>
      </c>
      <c r="D169" s="1921"/>
    </row>
    <row r="170" spans="2:4" ht="15.75" hidden="1">
      <c r="B170" s="1924" t="s">
        <v>341</v>
      </c>
      <c r="D170" s="1925"/>
    </row>
    <row r="171" spans="2:4" ht="15.75" hidden="1">
      <c r="B171" s="1926" t="s">
        <v>342</v>
      </c>
      <c r="D171" s="1927"/>
    </row>
    <row r="172" spans="2:4" ht="14.25" hidden="1">
      <c r="B172" s="1920" t="s">
        <v>231</v>
      </c>
      <c r="D172" s="1921"/>
    </row>
    <row r="173" spans="2:4" ht="15.75" hidden="1">
      <c r="B173" s="1924" t="s">
        <v>341</v>
      </c>
      <c r="D173" s="1925"/>
    </row>
    <row r="174" spans="2:4" ht="15.75" hidden="1">
      <c r="B174" s="1926" t="s">
        <v>342</v>
      </c>
      <c r="D174" s="1927"/>
    </row>
    <row r="175" spans="2:4" ht="15.75" hidden="1">
      <c r="B175" s="256" t="s">
        <v>236</v>
      </c>
      <c r="D175" s="1921"/>
    </row>
    <row r="176" spans="2:4" ht="15.75" hidden="1">
      <c r="B176" s="1924" t="s">
        <v>341</v>
      </c>
      <c r="D176" s="1925"/>
    </row>
    <row r="177" spans="2:4" ht="15.75" hidden="1">
      <c r="B177" s="1926" t="s">
        <v>342</v>
      </c>
      <c r="D177" s="1927"/>
    </row>
    <row r="178" spans="2:4" ht="15.75" hidden="1">
      <c r="B178" s="257" t="s">
        <v>344</v>
      </c>
      <c r="D178" s="1928"/>
    </row>
    <row r="179" spans="2:4" ht="15.75" hidden="1">
      <c r="B179" s="1924" t="s">
        <v>341</v>
      </c>
      <c r="D179" s="1925"/>
    </row>
    <row r="180" spans="2:4" ht="15.75" hidden="1">
      <c r="B180" s="1926" t="s">
        <v>342</v>
      </c>
      <c r="D180" s="1927"/>
    </row>
    <row r="181" spans="2:4" ht="14.25" hidden="1">
      <c r="B181" s="1920" t="s">
        <v>230</v>
      </c>
      <c r="D181" s="1921"/>
    </row>
    <row r="182" spans="2:4" ht="15.75" hidden="1">
      <c r="B182" s="1924" t="s">
        <v>341</v>
      </c>
      <c r="D182" s="1925"/>
    </row>
    <row r="183" spans="2:4" ht="15.75" hidden="1">
      <c r="B183" s="1926" t="s">
        <v>342</v>
      </c>
      <c r="D183" s="1927"/>
    </row>
    <row r="184" spans="2:4" ht="14.25" hidden="1">
      <c r="B184" s="1920" t="s">
        <v>231</v>
      </c>
      <c r="D184" s="1921"/>
    </row>
    <row r="185" spans="2:4" ht="15.75" hidden="1">
      <c r="B185" s="1924" t="s">
        <v>341</v>
      </c>
      <c r="D185" s="1925"/>
    </row>
    <row r="186" spans="2:4" ht="15.75" hidden="1">
      <c r="B186" s="1926" t="s">
        <v>342</v>
      </c>
      <c r="D186" s="1927"/>
    </row>
    <row r="187" spans="2:4" ht="15" hidden="1">
      <c r="B187" s="1917" t="s">
        <v>347</v>
      </c>
      <c r="D187" s="1916"/>
    </row>
    <row r="188" spans="2:4" ht="14.25" hidden="1">
      <c r="B188" s="1920" t="s">
        <v>222</v>
      </c>
      <c r="D188" s="1921"/>
    </row>
    <row r="189" spans="2:4" ht="14.25" hidden="1">
      <c r="B189" s="1920" t="s">
        <v>223</v>
      </c>
      <c r="D189" s="1921"/>
    </row>
    <row r="190" spans="2:4" ht="14.25" hidden="1">
      <c r="B190" s="1920" t="s">
        <v>224</v>
      </c>
      <c r="D190" s="1921"/>
    </row>
    <row r="191" spans="2:4" ht="14.25" hidden="1">
      <c r="B191" s="1923" t="s">
        <v>348</v>
      </c>
      <c r="D191" s="1916"/>
    </row>
    <row r="192" spans="2:4" ht="14.25" hidden="1">
      <c r="B192" s="1920" t="s">
        <v>222</v>
      </c>
      <c r="D192" s="1921"/>
    </row>
    <row r="193" spans="2:4" ht="14.25" hidden="1">
      <c r="B193" s="1920" t="s">
        <v>223</v>
      </c>
      <c r="D193" s="1921"/>
    </row>
    <row r="194" spans="2:4" ht="14.25" hidden="1">
      <c r="B194" s="1920" t="s">
        <v>224</v>
      </c>
      <c r="D194" s="1921"/>
    </row>
    <row r="195" spans="2:4" ht="14.25" hidden="1">
      <c r="B195" s="1923" t="s">
        <v>349</v>
      </c>
      <c r="D195" s="1916"/>
    </row>
    <row r="196" spans="2:4" ht="14.25" hidden="1">
      <c r="B196" s="1920" t="s">
        <v>222</v>
      </c>
      <c r="D196" s="1921"/>
    </row>
    <row r="197" spans="2:4" ht="14.25" hidden="1">
      <c r="B197" s="1920" t="s">
        <v>223</v>
      </c>
      <c r="D197" s="1921"/>
    </row>
    <row r="198" spans="2:4" ht="14.25" hidden="1">
      <c r="B198" s="1920" t="s">
        <v>224</v>
      </c>
      <c r="D198" s="1921"/>
    </row>
    <row r="199" spans="2:4" ht="14.25" hidden="1">
      <c r="B199" s="1923" t="s">
        <v>1854</v>
      </c>
      <c r="D199" s="1916"/>
    </row>
    <row r="200" spans="2:4" ht="14.25" hidden="1">
      <c r="B200" s="1920" t="s">
        <v>222</v>
      </c>
      <c r="D200" s="1921"/>
    </row>
    <row r="201" spans="2:4" ht="14.25" hidden="1">
      <c r="B201" s="1920" t="s">
        <v>223</v>
      </c>
      <c r="D201" s="1921"/>
    </row>
    <row r="202" spans="2:4" ht="14.25" hidden="1">
      <c r="B202" s="1920" t="s">
        <v>224</v>
      </c>
      <c r="D202" s="1921"/>
    </row>
    <row r="203" spans="2:4" ht="15" hidden="1">
      <c r="B203" s="260" t="s">
        <v>239</v>
      </c>
      <c r="D203" s="261"/>
    </row>
    <row r="204" spans="2:4" ht="15" hidden="1">
      <c r="B204" s="1917" t="s">
        <v>220</v>
      </c>
      <c r="D204" s="1916"/>
    </row>
    <row r="205" spans="2:4" ht="15" hidden="1">
      <c r="B205" s="1917" t="s">
        <v>221</v>
      </c>
      <c r="D205" s="1916"/>
    </row>
    <row r="206" spans="2:4" ht="15" hidden="1">
      <c r="B206" s="1918" t="s">
        <v>156</v>
      </c>
      <c r="D206" s="1919"/>
    </row>
    <row r="207" spans="2:4" ht="14.25" hidden="1">
      <c r="B207" s="1920" t="s">
        <v>222</v>
      </c>
      <c r="D207" s="1921"/>
    </row>
    <row r="208" spans="2:4" ht="14.25" hidden="1">
      <c r="B208" s="1920" t="s">
        <v>223</v>
      </c>
      <c r="D208" s="1921"/>
    </row>
    <row r="209" spans="2:4" ht="14.25" hidden="1">
      <c r="B209" s="1920" t="s">
        <v>224</v>
      </c>
      <c r="D209" s="1921"/>
    </row>
    <row r="210" spans="2:4" ht="15" hidden="1">
      <c r="B210" s="1918" t="s">
        <v>225</v>
      </c>
      <c r="D210" s="1919"/>
    </row>
    <row r="211" spans="2:4" ht="14.25" hidden="1">
      <c r="B211" s="1920" t="s">
        <v>222</v>
      </c>
      <c r="D211" s="1921"/>
    </row>
    <row r="212" spans="2:4" ht="14.25" hidden="1">
      <c r="B212" s="1920" t="s">
        <v>223</v>
      </c>
      <c r="D212" s="1921"/>
    </row>
    <row r="213" spans="2:4" ht="14.25" hidden="1">
      <c r="B213" s="1920" t="s">
        <v>224</v>
      </c>
      <c r="D213" s="1921"/>
    </row>
    <row r="214" spans="2:4" ht="15" hidden="1">
      <c r="B214" s="1917" t="s">
        <v>227</v>
      </c>
      <c r="D214" s="1916"/>
    </row>
    <row r="215" spans="2:4" ht="15" hidden="1">
      <c r="B215" s="1918" t="s">
        <v>156</v>
      </c>
      <c r="D215" s="1919"/>
    </row>
    <row r="216" spans="2:4" ht="14.25" hidden="1">
      <c r="B216" s="1920" t="s">
        <v>222</v>
      </c>
      <c r="D216" s="1921"/>
    </row>
    <row r="217" spans="2:4" ht="14.25" hidden="1">
      <c r="B217" s="1920" t="s">
        <v>223</v>
      </c>
      <c r="D217" s="1921"/>
    </row>
    <row r="218" spans="2:4" ht="14.25" hidden="1">
      <c r="B218" s="1920" t="s">
        <v>224</v>
      </c>
      <c r="D218" s="1921"/>
    </row>
    <row r="219" spans="2:4" ht="15" hidden="1">
      <c r="B219" s="1918" t="s">
        <v>225</v>
      </c>
      <c r="D219" s="1919"/>
    </row>
    <row r="220" spans="2:4" ht="14.25" hidden="1">
      <c r="B220" s="1920" t="s">
        <v>222</v>
      </c>
      <c r="D220" s="1921"/>
    </row>
    <row r="221" spans="2:4" ht="14.25" hidden="1">
      <c r="B221" s="1920" t="s">
        <v>223</v>
      </c>
      <c r="D221" s="1921"/>
    </row>
    <row r="222" spans="2:4" ht="14.25" hidden="1">
      <c r="B222" s="1920" t="s">
        <v>224</v>
      </c>
      <c r="D222" s="1921"/>
    </row>
    <row r="223" spans="2:4" ht="15" hidden="1">
      <c r="B223" s="1922" t="s">
        <v>226</v>
      </c>
      <c r="D223" s="1919"/>
    </row>
    <row r="224" spans="2:4" ht="14.25" hidden="1">
      <c r="B224" s="1920" t="s">
        <v>222</v>
      </c>
      <c r="D224" s="1921"/>
    </row>
    <row r="225" spans="2:4" ht="14.25" hidden="1">
      <c r="B225" s="1920" t="s">
        <v>223</v>
      </c>
      <c r="D225" s="1921"/>
    </row>
    <row r="226" spans="2:4" ht="14.25" hidden="1">
      <c r="B226" s="1920" t="s">
        <v>224</v>
      </c>
      <c r="D226" s="1921"/>
    </row>
    <row r="227" spans="2:4" ht="15" hidden="1">
      <c r="B227" s="1917" t="s">
        <v>340</v>
      </c>
      <c r="D227" s="1916"/>
    </row>
    <row r="228" spans="2:4" ht="15" hidden="1">
      <c r="B228" s="1918" t="s">
        <v>226</v>
      </c>
      <c r="D228" s="1919"/>
    </row>
    <row r="229" spans="2:4" ht="14.25" hidden="1">
      <c r="B229" s="1920" t="s">
        <v>222</v>
      </c>
      <c r="D229" s="1921"/>
    </row>
    <row r="230" spans="2:4" ht="14.25" hidden="1">
      <c r="B230" s="1920" t="s">
        <v>223</v>
      </c>
      <c r="D230" s="1921"/>
    </row>
    <row r="231" spans="2:4" ht="14.25" hidden="1">
      <c r="B231" s="1920" t="s">
        <v>224</v>
      </c>
      <c r="D231" s="1921"/>
    </row>
    <row r="232" spans="2:4" ht="15" hidden="1">
      <c r="B232" s="1917" t="s">
        <v>28</v>
      </c>
      <c r="D232" s="1916"/>
    </row>
    <row r="233" spans="2:4" ht="15" hidden="1">
      <c r="B233" s="1929" t="s">
        <v>341</v>
      </c>
      <c r="D233" s="1916"/>
    </row>
    <row r="234" spans="2:4" ht="15" hidden="1">
      <c r="B234" s="1929" t="s">
        <v>350</v>
      </c>
      <c r="D234" s="1916"/>
    </row>
    <row r="235" spans="2:4" ht="15.75" hidden="1">
      <c r="B235" s="254" t="s">
        <v>228</v>
      </c>
      <c r="D235" s="1919"/>
    </row>
    <row r="236" spans="2:4" ht="15.75" hidden="1">
      <c r="B236" s="1924" t="s">
        <v>341</v>
      </c>
      <c r="D236" s="1925"/>
    </row>
    <row r="237" spans="2:4" ht="15.75" hidden="1">
      <c r="B237" s="1926" t="s">
        <v>342</v>
      </c>
      <c r="D237" s="1927"/>
    </row>
    <row r="238" spans="2:4" ht="15.75" hidden="1">
      <c r="B238" s="256" t="s">
        <v>281</v>
      </c>
      <c r="D238" s="1928"/>
    </row>
    <row r="239" spans="2:4" ht="15.75" hidden="1">
      <c r="B239" s="1924" t="s">
        <v>341</v>
      </c>
      <c r="D239" s="1925"/>
    </row>
    <row r="240" spans="2:4" ht="15.75" hidden="1">
      <c r="B240" s="1926" t="s">
        <v>342</v>
      </c>
      <c r="D240" s="1927"/>
    </row>
    <row r="241" spans="2:4" ht="15.75" hidden="1">
      <c r="B241" s="257" t="s">
        <v>1855</v>
      </c>
      <c r="D241" s="1928"/>
    </row>
    <row r="242" spans="2:4" ht="15.75" hidden="1">
      <c r="B242" s="1924" t="s">
        <v>341</v>
      </c>
      <c r="D242" s="1925"/>
    </row>
    <row r="243" spans="2:4" ht="15.75" hidden="1">
      <c r="B243" s="1926" t="s">
        <v>342</v>
      </c>
      <c r="D243" s="1927"/>
    </row>
    <row r="244" spans="2:4" ht="14.25" hidden="1">
      <c r="B244" s="1920" t="s">
        <v>230</v>
      </c>
      <c r="D244" s="1921"/>
    </row>
    <row r="245" spans="2:4" ht="15.75" hidden="1">
      <c r="B245" s="1924" t="s">
        <v>341</v>
      </c>
      <c r="D245" s="1925"/>
    </row>
    <row r="246" spans="2:4" ht="15.75" hidden="1">
      <c r="B246" s="1926" t="s">
        <v>342</v>
      </c>
      <c r="D246" s="1927"/>
    </row>
    <row r="247" spans="2:4" ht="14.25" hidden="1">
      <c r="B247" s="1920" t="s">
        <v>231</v>
      </c>
      <c r="D247" s="1921"/>
    </row>
    <row r="248" spans="2:4" ht="15.75" hidden="1">
      <c r="B248" s="1924" t="s">
        <v>341</v>
      </c>
      <c r="D248" s="1925"/>
    </row>
    <row r="249" spans="2:4" ht="15.75" hidden="1">
      <c r="B249" s="1926" t="s">
        <v>342</v>
      </c>
      <c r="D249" s="1927"/>
    </row>
    <row r="250" spans="2:4" ht="15.75" hidden="1">
      <c r="B250" s="256" t="s">
        <v>236</v>
      </c>
      <c r="D250" s="1928"/>
    </row>
    <row r="251" spans="2:4" ht="15.75" hidden="1">
      <c r="B251" s="1924" t="s">
        <v>341</v>
      </c>
      <c r="D251" s="1925"/>
    </row>
    <row r="252" spans="2:4" ht="15.75" hidden="1">
      <c r="B252" s="1926" t="s">
        <v>342</v>
      </c>
      <c r="D252" s="1927"/>
    </row>
    <row r="253" spans="2:4" ht="15.75" hidden="1">
      <c r="B253" s="257" t="s">
        <v>344</v>
      </c>
      <c r="D253" s="1928"/>
    </row>
    <row r="254" spans="2:4" ht="15.75" hidden="1">
      <c r="B254" s="1924" t="s">
        <v>341</v>
      </c>
      <c r="D254" s="1925"/>
    </row>
    <row r="255" spans="2:4" ht="15.75" hidden="1">
      <c r="B255" s="1926" t="s">
        <v>342</v>
      </c>
      <c r="D255" s="1927"/>
    </row>
    <row r="256" spans="2:4" ht="14.25" hidden="1">
      <c r="B256" s="1920" t="s">
        <v>230</v>
      </c>
      <c r="D256" s="1921"/>
    </row>
    <row r="257" spans="2:4" ht="15.75" hidden="1">
      <c r="B257" s="1924" t="s">
        <v>341</v>
      </c>
      <c r="D257" s="1925"/>
    </row>
    <row r="258" spans="2:4" ht="15.75" hidden="1">
      <c r="B258" s="1926" t="s">
        <v>342</v>
      </c>
      <c r="D258" s="1927"/>
    </row>
    <row r="259" spans="2:4" ht="14.25" hidden="1">
      <c r="B259" s="1920" t="s">
        <v>231</v>
      </c>
      <c r="D259" s="1921"/>
    </row>
    <row r="260" spans="2:4" ht="15.75" hidden="1">
      <c r="B260" s="1924" t="s">
        <v>341</v>
      </c>
      <c r="D260" s="1925"/>
    </row>
    <row r="261" spans="2:4" ht="15.75" hidden="1">
      <c r="B261" s="1926" t="s">
        <v>342</v>
      </c>
      <c r="D261" s="1927"/>
    </row>
    <row r="262" spans="2:4" ht="15.75" hidden="1">
      <c r="B262" s="254" t="s">
        <v>232</v>
      </c>
      <c r="D262" s="1919"/>
    </row>
    <row r="263" spans="2:4" ht="15.75" hidden="1">
      <c r="B263" s="1924" t="s">
        <v>341</v>
      </c>
      <c r="D263" s="1925"/>
    </row>
    <row r="264" spans="2:4" ht="15.75" hidden="1">
      <c r="B264" s="1926" t="s">
        <v>342</v>
      </c>
      <c r="D264" s="1927"/>
    </row>
    <row r="265" spans="2:4" ht="15.75" hidden="1">
      <c r="B265" s="256" t="s">
        <v>229</v>
      </c>
      <c r="D265" s="1928"/>
    </row>
    <row r="266" spans="2:4" ht="15.75" hidden="1">
      <c r="B266" s="1924" t="s">
        <v>341</v>
      </c>
      <c r="D266" s="1925"/>
    </row>
    <row r="267" spans="2:4" ht="15.75" hidden="1">
      <c r="B267" s="1926" t="s">
        <v>342</v>
      </c>
      <c r="D267" s="1927"/>
    </row>
    <row r="268" spans="2:4" ht="15.75" hidden="1">
      <c r="B268" s="257" t="s">
        <v>345</v>
      </c>
      <c r="D268" s="1928"/>
    </row>
    <row r="269" spans="2:4" ht="15.75" hidden="1">
      <c r="B269" s="1924" t="s">
        <v>341</v>
      </c>
      <c r="D269" s="1925"/>
    </row>
    <row r="270" spans="2:4" ht="15.75" hidden="1">
      <c r="B270" s="1926" t="s">
        <v>342</v>
      </c>
      <c r="D270" s="1927"/>
    </row>
    <row r="271" spans="2:4" ht="14.25" hidden="1">
      <c r="B271" s="1920" t="s">
        <v>230</v>
      </c>
      <c r="D271" s="1921"/>
    </row>
    <row r="272" spans="2:4" ht="15.75" hidden="1">
      <c r="B272" s="1924" t="s">
        <v>341</v>
      </c>
      <c r="D272" s="1925"/>
    </row>
    <row r="273" spans="2:4" ht="15.75" hidden="1">
      <c r="B273" s="1926" t="s">
        <v>342</v>
      </c>
      <c r="D273" s="1927"/>
    </row>
    <row r="274" spans="2:4" ht="14.25" hidden="1">
      <c r="B274" s="1920" t="s">
        <v>231</v>
      </c>
      <c r="D274" s="1921"/>
    </row>
    <row r="275" spans="2:4" ht="15.75" hidden="1">
      <c r="B275" s="1924" t="s">
        <v>341</v>
      </c>
      <c r="D275" s="1925"/>
    </row>
    <row r="276" spans="2:4" ht="15.75" hidden="1">
      <c r="B276" s="1926" t="s">
        <v>342</v>
      </c>
      <c r="D276" s="1927"/>
    </row>
    <row r="277" spans="2:4" ht="15.75" hidden="1">
      <c r="B277" s="259" t="s">
        <v>40</v>
      </c>
      <c r="D277" s="1919"/>
    </row>
    <row r="278" spans="2:4" ht="15.75" hidden="1">
      <c r="B278" s="1924" t="s">
        <v>341</v>
      </c>
      <c r="D278" s="1925"/>
    </row>
    <row r="279" spans="2:4" ht="15.75" hidden="1">
      <c r="B279" s="1926" t="s">
        <v>342</v>
      </c>
      <c r="D279" s="1927"/>
    </row>
    <row r="280" spans="2:4" ht="15.75" hidden="1">
      <c r="B280" s="256" t="s">
        <v>281</v>
      </c>
      <c r="D280" s="1928"/>
    </row>
    <row r="281" spans="2:4" ht="15.75" hidden="1">
      <c r="B281" s="1924" t="s">
        <v>341</v>
      </c>
      <c r="D281" s="1925"/>
    </row>
    <row r="282" spans="2:4" ht="15.75" hidden="1">
      <c r="B282" s="1926" t="s">
        <v>342</v>
      </c>
      <c r="D282" s="1927"/>
    </row>
    <row r="283" spans="2:4" ht="15.75" hidden="1">
      <c r="B283" s="257" t="s">
        <v>343</v>
      </c>
      <c r="D283" s="1928"/>
    </row>
    <row r="284" spans="2:4" ht="15.75" hidden="1">
      <c r="B284" s="1924" t="s">
        <v>341</v>
      </c>
      <c r="D284" s="1925"/>
    </row>
    <row r="285" spans="2:4" ht="15.75" hidden="1">
      <c r="B285" s="1926" t="s">
        <v>342</v>
      </c>
      <c r="D285" s="1927"/>
    </row>
    <row r="286" spans="2:4" ht="14.25" hidden="1">
      <c r="B286" s="1920" t="s">
        <v>230</v>
      </c>
      <c r="D286" s="1921"/>
    </row>
    <row r="287" spans="2:4" ht="15.75" hidden="1">
      <c r="B287" s="1924" t="s">
        <v>341</v>
      </c>
      <c r="D287" s="1925"/>
    </row>
    <row r="288" spans="2:4" ht="15.75" hidden="1">
      <c r="B288" s="1926" t="s">
        <v>342</v>
      </c>
      <c r="D288" s="1927"/>
    </row>
    <row r="289" spans="2:4" ht="14.25" hidden="1">
      <c r="B289" s="1920" t="s">
        <v>231</v>
      </c>
      <c r="D289" s="1921"/>
    </row>
    <row r="290" spans="2:4" ht="15.75" hidden="1">
      <c r="B290" s="1924" t="s">
        <v>341</v>
      </c>
      <c r="D290" s="1925"/>
    </row>
    <row r="291" spans="2:4" ht="15.75" hidden="1">
      <c r="B291" s="1926" t="s">
        <v>342</v>
      </c>
      <c r="D291" s="1927"/>
    </row>
    <row r="292" spans="2:4" ht="15.75" hidden="1">
      <c r="B292" s="256" t="s">
        <v>234</v>
      </c>
      <c r="D292" s="1928"/>
    </row>
    <row r="293" spans="2:4" ht="15.75" hidden="1">
      <c r="B293" s="1924" t="s">
        <v>341</v>
      </c>
      <c r="D293" s="1925"/>
    </row>
    <row r="294" spans="2:4" ht="15.75" hidden="1">
      <c r="B294" s="1926" t="s">
        <v>342</v>
      </c>
      <c r="D294" s="1927"/>
    </row>
    <row r="295" spans="2:4" ht="15.75" hidden="1">
      <c r="B295" s="257" t="s">
        <v>346</v>
      </c>
      <c r="D295" s="1928"/>
    </row>
    <row r="296" spans="2:4" ht="15.75" hidden="1">
      <c r="B296" s="1924" t="s">
        <v>341</v>
      </c>
      <c r="D296" s="1925"/>
    </row>
    <row r="297" spans="2:4" ht="15.75" hidden="1">
      <c r="B297" s="1926" t="s">
        <v>342</v>
      </c>
      <c r="D297" s="1927"/>
    </row>
    <row r="298" spans="2:4" ht="14.25" hidden="1">
      <c r="B298" s="1920" t="s">
        <v>230</v>
      </c>
      <c r="D298" s="1921"/>
    </row>
    <row r="299" spans="2:4" ht="15.75" hidden="1">
      <c r="B299" s="1924" t="s">
        <v>341</v>
      </c>
      <c r="D299" s="1925"/>
    </row>
    <row r="300" spans="2:4" ht="15.75" hidden="1">
      <c r="B300" s="1926" t="s">
        <v>342</v>
      </c>
      <c r="D300" s="1927"/>
    </row>
    <row r="301" spans="2:4" ht="14.25" hidden="1">
      <c r="B301" s="1920" t="s">
        <v>231</v>
      </c>
      <c r="D301" s="1921"/>
    </row>
    <row r="302" spans="2:4" ht="15.75" hidden="1">
      <c r="B302" s="1924" t="s">
        <v>341</v>
      </c>
      <c r="D302" s="1925"/>
    </row>
    <row r="303" spans="2:4" ht="15.75" hidden="1">
      <c r="B303" s="1926" t="s">
        <v>342</v>
      </c>
      <c r="D303" s="1927"/>
    </row>
    <row r="304" spans="2:4" ht="15.75" hidden="1">
      <c r="B304" s="256" t="s">
        <v>236</v>
      </c>
      <c r="D304" s="1928"/>
    </row>
    <row r="305" spans="2:4" ht="15.75" hidden="1">
      <c r="B305" s="1924" t="s">
        <v>341</v>
      </c>
      <c r="D305" s="1925"/>
    </row>
    <row r="306" spans="2:4" ht="15.75" hidden="1">
      <c r="B306" s="1926" t="s">
        <v>342</v>
      </c>
      <c r="D306" s="1927"/>
    </row>
    <row r="307" spans="2:4" ht="15.75" hidden="1">
      <c r="B307" s="257" t="s">
        <v>344</v>
      </c>
      <c r="D307" s="1928"/>
    </row>
    <row r="308" spans="2:4" ht="15.75" hidden="1">
      <c r="B308" s="1924" t="s">
        <v>341</v>
      </c>
      <c r="D308" s="1925"/>
    </row>
    <row r="309" spans="2:4" ht="15.75" hidden="1">
      <c r="B309" s="1926" t="s">
        <v>342</v>
      </c>
      <c r="D309" s="1927"/>
    </row>
    <row r="310" spans="2:4" ht="14.25" hidden="1">
      <c r="B310" s="1920" t="s">
        <v>230</v>
      </c>
      <c r="D310" s="1921"/>
    </row>
    <row r="311" spans="2:4" ht="15.75" hidden="1">
      <c r="B311" s="1924" t="s">
        <v>341</v>
      </c>
      <c r="D311" s="1925"/>
    </row>
    <row r="312" spans="2:4" ht="15.75" hidden="1">
      <c r="B312" s="1926" t="s">
        <v>342</v>
      </c>
      <c r="D312" s="1927"/>
    </row>
    <row r="313" spans="2:4" ht="14.25" hidden="1">
      <c r="B313" s="1920" t="s">
        <v>231</v>
      </c>
      <c r="D313" s="1921"/>
    </row>
    <row r="314" spans="2:4" ht="15.75" hidden="1">
      <c r="B314" s="1924" t="s">
        <v>341</v>
      </c>
      <c r="D314" s="1925"/>
    </row>
    <row r="315" spans="2:4" ht="15.75" hidden="1">
      <c r="B315" s="1926" t="s">
        <v>342</v>
      </c>
      <c r="D315" s="1927"/>
    </row>
    <row r="316" spans="2:4" ht="15" hidden="1">
      <c r="B316" s="1917" t="s">
        <v>347</v>
      </c>
      <c r="D316" s="1916"/>
    </row>
    <row r="317" spans="2:4" ht="14.25" hidden="1">
      <c r="B317" s="1920" t="s">
        <v>222</v>
      </c>
      <c r="D317" s="1921"/>
    </row>
    <row r="318" spans="2:4" ht="14.25" hidden="1">
      <c r="B318" s="1920" t="s">
        <v>223</v>
      </c>
      <c r="D318" s="1921"/>
    </row>
    <row r="319" spans="2:4" ht="14.25" hidden="1">
      <c r="B319" s="1920" t="s">
        <v>224</v>
      </c>
      <c r="D319" s="1921"/>
    </row>
    <row r="320" spans="2:4" ht="14.25" hidden="1">
      <c r="B320" s="1923" t="s">
        <v>348</v>
      </c>
      <c r="D320" s="1916"/>
    </row>
    <row r="321" spans="2:4" ht="14.25" hidden="1">
      <c r="B321" s="1920" t="s">
        <v>222</v>
      </c>
      <c r="D321" s="1921"/>
    </row>
    <row r="322" spans="2:4" ht="14.25" hidden="1">
      <c r="B322" s="1920" t="s">
        <v>223</v>
      </c>
      <c r="D322" s="1921"/>
    </row>
    <row r="323" spans="2:4" ht="14.25" hidden="1">
      <c r="B323" s="1920" t="s">
        <v>224</v>
      </c>
      <c r="D323" s="1921"/>
    </row>
    <row r="324" spans="2:4" ht="14.25" hidden="1">
      <c r="B324" s="1923" t="s">
        <v>349</v>
      </c>
      <c r="D324" s="1916"/>
    </row>
    <row r="325" spans="2:4" ht="14.25" hidden="1">
      <c r="B325" s="1920" t="s">
        <v>222</v>
      </c>
      <c r="D325" s="1921"/>
    </row>
    <row r="326" spans="2:4" ht="14.25" hidden="1">
      <c r="B326" s="1920" t="s">
        <v>223</v>
      </c>
      <c r="D326" s="1921"/>
    </row>
    <row r="327" spans="2:4" ht="14.25" hidden="1">
      <c r="B327" s="1920" t="s">
        <v>224</v>
      </c>
      <c r="D327" s="1921"/>
    </row>
    <row r="328" spans="2:4" ht="14.25" hidden="1">
      <c r="B328" s="1923" t="s">
        <v>1854</v>
      </c>
      <c r="D328" s="1916"/>
    </row>
    <row r="329" spans="2:4" ht="14.25" hidden="1">
      <c r="B329" s="1920" t="s">
        <v>222</v>
      </c>
      <c r="D329" s="1921"/>
    </row>
    <row r="330" spans="2:4" ht="14.25" hidden="1">
      <c r="B330" s="1920" t="s">
        <v>223</v>
      </c>
      <c r="D330" s="1921"/>
    </row>
    <row r="331" spans="2:4" ht="14.25" hidden="1">
      <c r="B331" s="1920" t="s">
        <v>224</v>
      </c>
      <c r="D331" s="1921"/>
    </row>
    <row r="332" spans="2:4" ht="14.25" hidden="1">
      <c r="B332" s="1930" t="s">
        <v>241</v>
      </c>
      <c r="D332" s="1931"/>
    </row>
    <row r="333" spans="2:4" ht="14.25" hidden="1">
      <c r="B333" s="234" t="s">
        <v>242</v>
      </c>
      <c r="D333" s="265"/>
    </row>
    <row r="334" spans="2:4" ht="14.25" hidden="1">
      <c r="B334" s="234" t="s">
        <v>243</v>
      </c>
      <c r="D334" s="236"/>
    </row>
    <row r="335" spans="2:4" ht="14.25" hidden="1">
      <c r="B335" s="237" t="s">
        <v>214</v>
      </c>
      <c r="D335" s="240"/>
    </row>
    <row r="336" spans="2:4" ht="14.25" hidden="1">
      <c r="B336" s="237" t="s">
        <v>215</v>
      </c>
      <c r="D336" s="240"/>
    </row>
    <row r="337" spans="2:4" ht="14.25" hidden="1">
      <c r="B337" s="237" t="s">
        <v>216</v>
      </c>
      <c r="D337" s="240"/>
    </row>
    <row r="338" spans="2:4" ht="14.25" hidden="1">
      <c r="B338" s="234" t="s">
        <v>244</v>
      </c>
      <c r="D338" s="236"/>
    </row>
    <row r="339" spans="2:4" ht="14.25" hidden="1">
      <c r="B339" s="266" t="s">
        <v>245</v>
      </c>
      <c r="D339" s="268"/>
    </row>
    <row r="340" spans="2:4" ht="14.25" hidden="1">
      <c r="B340" s="1932" t="s">
        <v>243</v>
      </c>
      <c r="D340" s="1933"/>
    </row>
    <row r="341" spans="2:4" ht="14.25" hidden="1">
      <c r="B341" s="1932" t="s">
        <v>214</v>
      </c>
      <c r="D341" s="1933"/>
    </row>
    <row r="342" spans="2:4" ht="14.25" hidden="1">
      <c r="B342" s="1932" t="s">
        <v>215</v>
      </c>
      <c r="D342" s="1933"/>
    </row>
    <row r="343" spans="2:4" ht="14.25" hidden="1">
      <c r="B343" s="1932" t="s">
        <v>216</v>
      </c>
      <c r="D343" s="1933"/>
    </row>
    <row r="344" spans="2:4" ht="14.25" hidden="1">
      <c r="B344" s="1932" t="s">
        <v>244</v>
      </c>
      <c r="D344" s="1933"/>
    </row>
    <row r="345" spans="2:4" ht="15" hidden="1">
      <c r="B345" s="1915" t="s">
        <v>220</v>
      </c>
      <c r="D345" s="1934"/>
    </row>
    <row r="346" spans="2:4" ht="15" hidden="1">
      <c r="B346" s="1935" t="s">
        <v>221</v>
      </c>
      <c r="D346" s="1934"/>
    </row>
    <row r="347" spans="2:4" ht="15" hidden="1">
      <c r="B347" s="1936" t="s">
        <v>156</v>
      </c>
      <c r="D347" s="1937"/>
    </row>
    <row r="348" spans="2:4" ht="14.25" hidden="1">
      <c r="B348" s="1938" t="s">
        <v>222</v>
      </c>
      <c r="D348" s="1939"/>
    </row>
    <row r="349" spans="2:4" ht="14.25" hidden="1">
      <c r="B349" s="1938" t="s">
        <v>223</v>
      </c>
      <c r="D349" s="1939"/>
    </row>
    <row r="350" spans="2:4" ht="14.25" hidden="1">
      <c r="B350" s="1938" t="s">
        <v>224</v>
      </c>
      <c r="D350" s="1939"/>
    </row>
    <row r="351" spans="2:4" ht="15" hidden="1">
      <c r="B351" s="1936" t="s">
        <v>225</v>
      </c>
      <c r="D351" s="1937"/>
    </row>
    <row r="352" spans="2:4" ht="14.25" hidden="1">
      <c r="B352" s="1938" t="s">
        <v>222</v>
      </c>
      <c r="D352" s="1939"/>
    </row>
    <row r="353" spans="2:4" ht="14.25" hidden="1">
      <c r="B353" s="1938" t="s">
        <v>223</v>
      </c>
      <c r="D353" s="1939"/>
    </row>
    <row r="354" spans="2:4" ht="14.25" hidden="1">
      <c r="B354" s="1938" t="s">
        <v>224</v>
      </c>
      <c r="D354" s="1939"/>
    </row>
    <row r="355" spans="2:4" ht="15" hidden="1">
      <c r="B355" s="1935" t="s">
        <v>227</v>
      </c>
      <c r="D355" s="1934"/>
    </row>
    <row r="356" spans="2:4" ht="15" hidden="1">
      <c r="B356" s="1936" t="s">
        <v>156</v>
      </c>
      <c r="D356" s="1937"/>
    </row>
    <row r="357" spans="2:4" ht="14.25" hidden="1">
      <c r="B357" s="1938" t="s">
        <v>222</v>
      </c>
      <c r="D357" s="1939"/>
    </row>
    <row r="358" spans="2:4" ht="14.25" hidden="1">
      <c r="B358" s="1938" t="s">
        <v>223</v>
      </c>
      <c r="D358" s="1939"/>
    </row>
    <row r="359" spans="2:4" ht="14.25" hidden="1">
      <c r="B359" s="1938" t="s">
        <v>224</v>
      </c>
      <c r="D359" s="1939"/>
    </row>
    <row r="360" spans="2:4" ht="15" hidden="1">
      <c r="B360" s="1936" t="s">
        <v>225</v>
      </c>
      <c r="D360" s="1940"/>
    </row>
    <row r="361" spans="2:4" ht="14.25" hidden="1">
      <c r="B361" s="1938" t="s">
        <v>222</v>
      </c>
      <c r="D361" s="1939"/>
    </row>
    <row r="362" spans="2:4" ht="14.25" hidden="1">
      <c r="B362" s="1938" t="s">
        <v>223</v>
      </c>
      <c r="D362" s="1939"/>
    </row>
    <row r="363" spans="2:4" ht="14.25" hidden="1">
      <c r="B363" s="1938" t="s">
        <v>224</v>
      </c>
      <c r="D363" s="1939"/>
    </row>
    <row r="364" spans="2:4" ht="15" hidden="1">
      <c r="B364" s="1941" t="s">
        <v>226</v>
      </c>
      <c r="D364" s="1940"/>
    </row>
    <row r="365" spans="2:4" ht="14.25" hidden="1">
      <c r="B365" s="1938" t="s">
        <v>222</v>
      </c>
      <c r="D365" s="1939"/>
    </row>
    <row r="366" spans="2:4" ht="14.25" hidden="1">
      <c r="B366" s="1938" t="s">
        <v>223</v>
      </c>
      <c r="D366" s="1939"/>
    </row>
    <row r="367" spans="2:4" ht="14.25" hidden="1">
      <c r="B367" s="1938" t="s">
        <v>224</v>
      </c>
      <c r="D367" s="1939"/>
    </row>
    <row r="368" spans="2:4" ht="15" hidden="1">
      <c r="B368" s="1935" t="s">
        <v>340</v>
      </c>
      <c r="D368" s="1934"/>
    </row>
    <row r="369" spans="2:4" ht="15" hidden="1">
      <c r="B369" s="1936" t="s">
        <v>226</v>
      </c>
      <c r="D369" s="1937"/>
    </row>
    <row r="370" spans="2:4" ht="14.25" hidden="1">
      <c r="B370" s="1938" t="s">
        <v>222</v>
      </c>
      <c r="D370" s="1939"/>
    </row>
    <row r="371" spans="2:4" ht="14.25" hidden="1">
      <c r="B371" s="1938" t="s">
        <v>223</v>
      </c>
      <c r="D371" s="1939"/>
    </row>
    <row r="372" spans="2:4" ht="14.25" hidden="1">
      <c r="B372" s="1938" t="s">
        <v>224</v>
      </c>
      <c r="D372" s="1939"/>
    </row>
    <row r="373" spans="2:4" ht="15" hidden="1">
      <c r="B373" s="1935" t="s">
        <v>28</v>
      </c>
      <c r="D373" s="1934"/>
    </row>
    <row r="374" spans="2:4" ht="15" hidden="1">
      <c r="B374" s="1929" t="s">
        <v>341</v>
      </c>
      <c r="D374" s="1934"/>
    </row>
    <row r="375" spans="2:4" ht="15" hidden="1">
      <c r="B375" s="1929" t="s">
        <v>350</v>
      </c>
      <c r="D375" s="1934"/>
    </row>
    <row r="376" spans="2:4" ht="15.75" hidden="1">
      <c r="B376" s="1942" t="s">
        <v>228</v>
      </c>
      <c r="D376" s="1937"/>
    </row>
    <row r="377" spans="2:4" ht="15.75" hidden="1">
      <c r="B377" s="1924" t="s">
        <v>341</v>
      </c>
      <c r="D377" s="1925"/>
    </row>
    <row r="378" spans="2:4" ht="15.75" hidden="1">
      <c r="B378" s="1926" t="s">
        <v>342</v>
      </c>
      <c r="D378" s="1927"/>
    </row>
    <row r="379" spans="2:4" ht="15.75" hidden="1">
      <c r="B379" s="256" t="s">
        <v>281</v>
      </c>
      <c r="D379" s="471"/>
    </row>
    <row r="380" spans="2:4" ht="15.75" hidden="1">
      <c r="B380" s="1924" t="s">
        <v>341</v>
      </c>
      <c r="D380" s="1925"/>
    </row>
    <row r="381" spans="2:4" ht="15.75" hidden="1">
      <c r="B381" s="1926" t="s">
        <v>342</v>
      </c>
      <c r="D381" s="1927"/>
    </row>
    <row r="382" spans="2:4" ht="15.75" hidden="1">
      <c r="B382" s="257" t="s">
        <v>282</v>
      </c>
      <c r="D382" s="1943"/>
    </row>
    <row r="383" spans="2:4" ht="15.75" hidden="1">
      <c r="B383" s="1924" t="s">
        <v>341</v>
      </c>
      <c r="D383" s="1925"/>
    </row>
    <row r="384" spans="2:4" ht="15.75" hidden="1">
      <c r="B384" s="1926" t="s">
        <v>342</v>
      </c>
      <c r="D384" s="1927"/>
    </row>
    <row r="385" spans="2:4" ht="14.25" hidden="1">
      <c r="B385" s="1920" t="s">
        <v>230</v>
      </c>
      <c r="D385" s="471"/>
    </row>
    <row r="386" spans="2:4" ht="15.75" hidden="1">
      <c r="B386" s="1924" t="s">
        <v>341</v>
      </c>
      <c r="D386" s="1925"/>
    </row>
    <row r="387" spans="2:4" ht="15.75" hidden="1">
      <c r="B387" s="1926" t="s">
        <v>342</v>
      </c>
      <c r="D387" s="1927"/>
    </row>
    <row r="388" spans="2:4" ht="14.25" hidden="1">
      <c r="B388" s="1920" t="s">
        <v>231</v>
      </c>
      <c r="D388" s="471"/>
    </row>
    <row r="389" spans="2:4" ht="15.75" hidden="1">
      <c r="B389" s="1924" t="s">
        <v>341</v>
      </c>
      <c r="D389" s="1925"/>
    </row>
    <row r="390" spans="2:4" ht="15.75" hidden="1">
      <c r="B390" s="1926" t="s">
        <v>342</v>
      </c>
      <c r="D390" s="1927"/>
    </row>
    <row r="391" spans="2:4" ht="15.75" hidden="1">
      <c r="B391" s="256" t="s">
        <v>236</v>
      </c>
      <c r="D391" s="1939"/>
    </row>
    <row r="392" spans="2:4" ht="15.75" hidden="1">
      <c r="B392" s="1924" t="s">
        <v>341</v>
      </c>
      <c r="D392" s="1925"/>
    </row>
    <row r="393" spans="2:4" ht="15.75" hidden="1">
      <c r="B393" s="1926" t="s">
        <v>342</v>
      </c>
      <c r="D393" s="1927"/>
    </row>
    <row r="394" spans="2:4" ht="15.75" hidden="1">
      <c r="B394" s="257" t="s">
        <v>237</v>
      </c>
      <c r="D394" s="1944"/>
    </row>
    <row r="395" spans="2:4" ht="15.75" hidden="1">
      <c r="B395" s="1924" t="s">
        <v>341</v>
      </c>
      <c r="D395" s="1925"/>
    </row>
    <row r="396" spans="2:4" ht="15.75" hidden="1">
      <c r="B396" s="1926" t="s">
        <v>342</v>
      </c>
      <c r="D396" s="1927"/>
    </row>
    <row r="397" spans="2:4" ht="14.25" hidden="1">
      <c r="B397" s="1920" t="s">
        <v>230</v>
      </c>
      <c r="D397" s="1939"/>
    </row>
    <row r="398" spans="2:4" ht="15.75" hidden="1">
      <c r="B398" s="1924" t="s">
        <v>341</v>
      </c>
      <c r="D398" s="1925"/>
    </row>
    <row r="399" spans="2:4" ht="15.75" hidden="1">
      <c r="B399" s="1926" t="s">
        <v>342</v>
      </c>
      <c r="D399" s="1927"/>
    </row>
    <row r="400" spans="2:4" ht="14.25" hidden="1">
      <c r="B400" s="1920" t="s">
        <v>231</v>
      </c>
      <c r="D400" s="1939"/>
    </row>
    <row r="401" spans="2:4" ht="15.75" hidden="1">
      <c r="B401" s="1924" t="s">
        <v>341</v>
      </c>
      <c r="D401" s="1925"/>
    </row>
    <row r="402" spans="2:4" ht="15.75" hidden="1">
      <c r="B402" s="1926" t="s">
        <v>342</v>
      </c>
      <c r="D402" s="1927"/>
    </row>
    <row r="403" spans="2:4" ht="15.75" hidden="1">
      <c r="B403" s="1942" t="s">
        <v>232</v>
      </c>
      <c r="D403" s="1940"/>
    </row>
    <row r="404" spans="2:4" ht="15.75" hidden="1">
      <c r="B404" s="1924" t="s">
        <v>341</v>
      </c>
      <c r="D404" s="1925"/>
    </row>
    <row r="405" spans="2:4" ht="15.75" hidden="1">
      <c r="B405" s="1926" t="s">
        <v>342</v>
      </c>
      <c r="D405" s="1927"/>
    </row>
    <row r="406" spans="2:4" ht="15.75" hidden="1">
      <c r="B406" s="1945" t="s">
        <v>229</v>
      </c>
      <c r="D406" s="471"/>
    </row>
    <row r="407" spans="2:4" ht="15.75" hidden="1">
      <c r="B407" s="1924" t="s">
        <v>341</v>
      </c>
      <c r="D407" s="1925"/>
    </row>
    <row r="408" spans="2:4" ht="15.75" hidden="1">
      <c r="B408" s="1926" t="s">
        <v>342</v>
      </c>
      <c r="D408" s="1927"/>
    </row>
    <row r="409" spans="2:4" ht="15.75" hidden="1">
      <c r="B409" s="1946" t="s">
        <v>233</v>
      </c>
      <c r="D409" s="1943"/>
    </row>
    <row r="410" spans="2:4" ht="15.75" hidden="1">
      <c r="B410" s="1924" t="s">
        <v>341</v>
      </c>
      <c r="D410" s="1925"/>
    </row>
    <row r="411" spans="2:4" ht="15.75" hidden="1">
      <c r="B411" s="1926" t="s">
        <v>342</v>
      </c>
      <c r="D411" s="1927"/>
    </row>
    <row r="412" spans="2:4" ht="14.25" hidden="1">
      <c r="B412" s="1938" t="s">
        <v>230</v>
      </c>
      <c r="D412" s="471"/>
    </row>
    <row r="413" spans="2:4" ht="15.75" hidden="1">
      <c r="B413" s="1924" t="s">
        <v>341</v>
      </c>
      <c r="D413" s="1925"/>
    </row>
    <row r="414" spans="2:4" ht="15.75" hidden="1">
      <c r="B414" s="1926" t="s">
        <v>342</v>
      </c>
      <c r="D414" s="1927"/>
    </row>
    <row r="415" spans="2:4" ht="14.25" hidden="1">
      <c r="B415" s="1938" t="s">
        <v>231</v>
      </c>
      <c r="D415" s="471"/>
    </row>
    <row r="416" spans="2:4" ht="15.75" hidden="1">
      <c r="B416" s="1924" t="s">
        <v>341</v>
      </c>
      <c r="D416" s="1925"/>
    </row>
    <row r="417" spans="2:4" ht="15.75" hidden="1">
      <c r="B417" s="1926" t="s">
        <v>342</v>
      </c>
      <c r="D417" s="1927"/>
    </row>
    <row r="418" spans="2:4" ht="15.75" hidden="1">
      <c r="B418" s="1947" t="s">
        <v>40</v>
      </c>
      <c r="D418" s="1940"/>
    </row>
    <row r="419" spans="2:4" ht="15.75" hidden="1">
      <c r="B419" s="1924" t="s">
        <v>341</v>
      </c>
      <c r="D419" s="1925"/>
    </row>
    <row r="420" spans="2:4" ht="15.75" hidden="1">
      <c r="B420" s="1926" t="s">
        <v>342</v>
      </c>
      <c r="D420" s="1927"/>
    </row>
    <row r="421" spans="2:4" ht="15.75" hidden="1">
      <c r="B421" s="1945" t="s">
        <v>281</v>
      </c>
      <c r="D421" s="1939"/>
    </row>
    <row r="422" spans="2:4" ht="15.75" hidden="1">
      <c r="B422" s="1924" t="s">
        <v>341</v>
      </c>
      <c r="D422" s="1925"/>
    </row>
    <row r="423" spans="2:4" ht="15.75" hidden="1">
      <c r="B423" s="1926" t="s">
        <v>342</v>
      </c>
      <c r="D423" s="1927"/>
    </row>
    <row r="424" spans="2:4" ht="15.75" hidden="1">
      <c r="B424" s="1946" t="s">
        <v>282</v>
      </c>
      <c r="D424" s="474"/>
    </row>
    <row r="425" spans="2:4" ht="15.75" hidden="1">
      <c r="B425" s="1924" t="s">
        <v>341</v>
      </c>
      <c r="D425" s="1925"/>
    </row>
    <row r="426" spans="2:4" ht="15.75" hidden="1">
      <c r="B426" s="1926" t="s">
        <v>342</v>
      </c>
      <c r="D426" s="1927"/>
    </row>
    <row r="427" spans="2:4" ht="14.25" hidden="1">
      <c r="B427" s="1938" t="s">
        <v>230</v>
      </c>
      <c r="D427" s="1939"/>
    </row>
    <row r="428" spans="2:4" ht="15.75" hidden="1">
      <c r="B428" s="1924" t="s">
        <v>341</v>
      </c>
      <c r="D428" s="1925"/>
    </row>
    <row r="429" spans="2:4" ht="15.75" hidden="1">
      <c r="B429" s="1926" t="s">
        <v>342</v>
      </c>
      <c r="D429" s="1927"/>
    </row>
    <row r="430" spans="2:4" ht="14.25" hidden="1">
      <c r="B430" s="1938" t="s">
        <v>231</v>
      </c>
      <c r="D430" s="1939"/>
    </row>
    <row r="431" spans="2:4" ht="15.75" hidden="1">
      <c r="B431" s="1924" t="s">
        <v>341</v>
      </c>
      <c r="D431" s="1925"/>
    </row>
    <row r="432" spans="2:4" ht="15.75" hidden="1">
      <c r="B432" s="1926" t="s">
        <v>342</v>
      </c>
      <c r="D432" s="1927"/>
    </row>
    <row r="433" spans="2:4" ht="15.75" hidden="1">
      <c r="B433" s="1945" t="s">
        <v>234</v>
      </c>
      <c r="D433" s="1939"/>
    </row>
    <row r="434" spans="2:4" ht="15.75" hidden="1">
      <c r="B434" s="1924" t="s">
        <v>341</v>
      </c>
      <c r="D434" s="1925"/>
    </row>
    <row r="435" spans="2:4" ht="15.75" hidden="1">
      <c r="B435" s="1926" t="s">
        <v>342</v>
      </c>
      <c r="D435" s="1927"/>
    </row>
    <row r="436" spans="2:4" ht="15.75" hidden="1">
      <c r="B436" s="1946" t="s">
        <v>235</v>
      </c>
      <c r="D436" s="474"/>
    </row>
    <row r="437" spans="2:4" ht="15.75" hidden="1">
      <c r="B437" s="1924" t="s">
        <v>341</v>
      </c>
      <c r="D437" s="1925"/>
    </row>
    <row r="438" spans="2:4" ht="15.75" hidden="1">
      <c r="B438" s="1926" t="s">
        <v>342</v>
      </c>
      <c r="D438" s="1927"/>
    </row>
    <row r="439" spans="2:4" ht="14.25" hidden="1">
      <c r="B439" s="1938" t="s">
        <v>230</v>
      </c>
      <c r="D439" s="1939"/>
    </row>
    <row r="440" spans="2:4" ht="15.75" hidden="1">
      <c r="B440" s="1924" t="s">
        <v>341</v>
      </c>
      <c r="D440" s="1925"/>
    </row>
    <row r="441" spans="2:4" ht="15.75" hidden="1">
      <c r="B441" s="1926" t="s">
        <v>342</v>
      </c>
      <c r="D441" s="1927"/>
    </row>
    <row r="442" spans="2:4" ht="14.25" hidden="1">
      <c r="B442" s="1938" t="s">
        <v>231</v>
      </c>
      <c r="D442" s="1939"/>
    </row>
    <row r="443" spans="2:4" ht="15.75" hidden="1">
      <c r="B443" s="1924" t="s">
        <v>341</v>
      </c>
      <c r="D443" s="1925"/>
    </row>
    <row r="444" spans="2:4" ht="15.75" hidden="1">
      <c r="B444" s="1926" t="s">
        <v>342</v>
      </c>
      <c r="D444" s="1927"/>
    </row>
    <row r="445" spans="2:4" ht="15.75" hidden="1">
      <c r="B445" s="1945" t="s">
        <v>236</v>
      </c>
      <c r="D445" s="1939"/>
    </row>
    <row r="446" spans="2:4" ht="15.75" hidden="1">
      <c r="B446" s="1924" t="s">
        <v>341</v>
      </c>
      <c r="D446" s="1925"/>
    </row>
    <row r="447" spans="2:4" ht="15.75" hidden="1">
      <c r="B447" s="1926" t="s">
        <v>342</v>
      </c>
      <c r="D447" s="1927"/>
    </row>
    <row r="448" spans="2:4" ht="15.75" hidden="1">
      <c r="B448" s="1946" t="s">
        <v>237</v>
      </c>
      <c r="D448" s="474"/>
    </row>
    <row r="449" spans="2:4" ht="15.75" hidden="1">
      <c r="B449" s="1924" t="s">
        <v>341</v>
      </c>
      <c r="D449" s="1925"/>
    </row>
    <row r="450" spans="2:4" ht="15.75" hidden="1">
      <c r="B450" s="1926" t="s">
        <v>342</v>
      </c>
      <c r="D450" s="1927"/>
    </row>
    <row r="451" spans="2:4" ht="14.25" hidden="1">
      <c r="B451" s="1938" t="s">
        <v>230</v>
      </c>
      <c r="D451" s="1939"/>
    </row>
    <row r="452" spans="2:4" ht="15.75" hidden="1">
      <c r="B452" s="1924" t="s">
        <v>341</v>
      </c>
      <c r="D452" s="1925"/>
    </row>
    <row r="453" spans="2:4" ht="15.75" hidden="1">
      <c r="B453" s="1926" t="s">
        <v>342</v>
      </c>
      <c r="D453" s="1927"/>
    </row>
    <row r="454" spans="2:4" ht="14.25" hidden="1">
      <c r="B454" s="1938" t="s">
        <v>231</v>
      </c>
      <c r="D454" s="1939"/>
    </row>
    <row r="455" spans="2:4" ht="15.75" hidden="1">
      <c r="B455" s="1924" t="s">
        <v>341</v>
      </c>
      <c r="D455" s="1925"/>
    </row>
    <row r="456" spans="2:4" ht="15.75" hidden="1">
      <c r="B456" s="1926" t="s">
        <v>342</v>
      </c>
      <c r="D456" s="1927"/>
    </row>
    <row r="457" spans="2:4" ht="15" hidden="1">
      <c r="B457" s="1935" t="s">
        <v>238</v>
      </c>
      <c r="D457" s="1948"/>
    </row>
    <row r="458" spans="2:4" ht="14.25" hidden="1">
      <c r="B458" s="1938" t="s">
        <v>222</v>
      </c>
      <c r="D458" s="1939"/>
    </row>
    <row r="459" spans="2:4" ht="14.25" hidden="1">
      <c r="B459" s="1938" t="s">
        <v>223</v>
      </c>
      <c r="D459" s="1939"/>
    </row>
    <row r="460" spans="2:4" ht="14.25" hidden="1">
      <c r="B460" s="1938" t="s">
        <v>224</v>
      </c>
      <c r="D460" s="1939"/>
    </row>
    <row r="461" spans="2:4" ht="19.5" hidden="1">
      <c r="B461" s="1949" t="s">
        <v>351</v>
      </c>
      <c r="D461" s="1950"/>
    </row>
    <row r="462" spans="2:4" ht="14.25" hidden="1">
      <c r="B462" s="1938" t="s">
        <v>352</v>
      </c>
      <c r="D462" s="1939"/>
    </row>
    <row r="463" spans="2:4" ht="14.25" hidden="1">
      <c r="B463" s="1938"/>
      <c r="D463" s="1939"/>
    </row>
    <row r="464" spans="2:4" ht="14.25" hidden="1">
      <c r="B464" s="266" t="s">
        <v>247</v>
      </c>
      <c r="D464" s="289"/>
    </row>
    <row r="465" spans="2:4" ht="15" hidden="1">
      <c r="B465" s="260" t="s">
        <v>249</v>
      </c>
      <c r="D465" s="268"/>
    </row>
    <row r="466" spans="2:4" ht="15" hidden="1">
      <c r="B466" s="260" t="s">
        <v>250</v>
      </c>
      <c r="D466" s="268"/>
    </row>
    <row r="467" spans="2:4" ht="14.25" hidden="1">
      <c r="B467" s="234" t="s">
        <v>251</v>
      </c>
      <c r="D467" s="236"/>
    </row>
    <row r="468" spans="2:4" ht="14.25" hidden="1">
      <c r="B468" s="234" t="s">
        <v>252</v>
      </c>
      <c r="D468" s="236"/>
    </row>
    <row r="469" spans="2:4" ht="14.25" hidden="1">
      <c r="B469" s="234" t="s">
        <v>253</v>
      </c>
      <c r="D469" s="236"/>
    </row>
    <row r="470" spans="2:4" hidden="1">
      <c r="B470" s="1951" t="s">
        <v>222</v>
      </c>
      <c r="D470" s="1952"/>
    </row>
    <row r="471" spans="2:4" hidden="1">
      <c r="B471" s="1951" t="s">
        <v>223</v>
      </c>
      <c r="D471" s="1952"/>
    </row>
    <row r="472" spans="2:4" ht="14.25" hidden="1">
      <c r="B472" s="234" t="s">
        <v>254</v>
      </c>
      <c r="D472" s="236"/>
    </row>
    <row r="473" spans="2:4" ht="14.25" hidden="1">
      <c r="B473" s="266" t="s">
        <v>255</v>
      </c>
      <c r="D473" s="268"/>
    </row>
    <row r="474" spans="2:4" ht="14.25" hidden="1">
      <c r="B474" s="234" t="s">
        <v>256</v>
      </c>
      <c r="D474" s="236"/>
    </row>
    <row r="475" spans="2:4" ht="14.25" hidden="1">
      <c r="B475" s="234" t="s">
        <v>257</v>
      </c>
      <c r="D475" s="236"/>
    </row>
    <row r="476" spans="2:4" ht="14.25" hidden="1">
      <c r="B476" s="234" t="s">
        <v>258</v>
      </c>
      <c r="D476" s="236"/>
    </row>
    <row r="477" spans="2:4" ht="14.25" hidden="1">
      <c r="B477" s="234" t="s">
        <v>252</v>
      </c>
      <c r="D477" s="236"/>
    </row>
    <row r="478" spans="2:4" ht="14.25" hidden="1">
      <c r="B478" s="234" t="s">
        <v>253</v>
      </c>
      <c r="D478" s="236"/>
    </row>
    <row r="479" spans="2:4" ht="14.25" hidden="1">
      <c r="B479" s="234" t="s">
        <v>254</v>
      </c>
      <c r="D479" s="236"/>
    </row>
    <row r="480" spans="2:4" ht="14.25" hidden="1">
      <c r="B480" s="266" t="s">
        <v>259</v>
      </c>
      <c r="D480" s="268"/>
    </row>
    <row r="481" spans="2:4" ht="14.25" hidden="1">
      <c r="B481" s="266" t="s">
        <v>260</v>
      </c>
      <c r="D481" s="268"/>
    </row>
    <row r="482" spans="2:4" ht="14.25" hidden="1">
      <c r="B482" s="234" t="s">
        <v>251</v>
      </c>
      <c r="D482" s="236"/>
    </row>
    <row r="483" spans="2:4" ht="14.25" hidden="1">
      <c r="B483" s="234" t="s">
        <v>252</v>
      </c>
      <c r="D483" s="236"/>
    </row>
    <row r="484" spans="2:4" ht="14.25" hidden="1">
      <c r="B484" s="234" t="s">
        <v>253</v>
      </c>
      <c r="D484" s="236"/>
    </row>
    <row r="485" spans="2:4" ht="14.25" hidden="1">
      <c r="B485" s="234" t="s">
        <v>254</v>
      </c>
      <c r="D485" s="236"/>
    </row>
    <row r="486" spans="2:4" ht="14.25" hidden="1">
      <c r="B486" s="234"/>
      <c r="D486" s="236"/>
    </row>
    <row r="487" spans="2:4" ht="19.5" hidden="1">
      <c r="B487" s="1949" t="s">
        <v>353</v>
      </c>
      <c r="D487" s="1950"/>
    </row>
    <row r="488" spans="2:4" ht="18" hidden="1">
      <c r="B488" s="399" t="s">
        <v>354</v>
      </c>
      <c r="D488" s="479"/>
    </row>
    <row r="489" spans="2:4" ht="14.25" hidden="1">
      <c r="B489" s="266" t="s">
        <v>261</v>
      </c>
      <c r="D489" s="268"/>
    </row>
    <row r="490" spans="2:4" ht="14.25" hidden="1">
      <c r="B490" s="234" t="s">
        <v>222</v>
      </c>
      <c r="D490" s="236"/>
    </row>
    <row r="491" spans="2:4" ht="14.25" hidden="1">
      <c r="B491" s="234" t="s">
        <v>223</v>
      </c>
      <c r="D491" s="236"/>
    </row>
    <row r="492" spans="2:4" ht="14.25" hidden="1">
      <c r="B492" s="234" t="s">
        <v>224</v>
      </c>
      <c r="D492" s="236"/>
    </row>
    <row r="493" spans="2:4" ht="14.25" hidden="1">
      <c r="B493" s="266" t="s">
        <v>262</v>
      </c>
      <c r="D493" s="268"/>
    </row>
    <row r="494" spans="2:4" ht="14.25" hidden="1">
      <c r="B494" s="234" t="s">
        <v>222</v>
      </c>
      <c r="D494" s="236"/>
    </row>
    <row r="495" spans="2:4" ht="14.25" hidden="1">
      <c r="B495" s="234" t="s">
        <v>223</v>
      </c>
      <c r="D495" s="236"/>
    </row>
    <row r="496" spans="2:4" ht="14.25" hidden="1">
      <c r="B496" s="234" t="s">
        <v>224</v>
      </c>
      <c r="D496" s="236"/>
    </row>
    <row r="497" spans="2:4" ht="14.25" hidden="1">
      <c r="B497" s="266" t="s">
        <v>263</v>
      </c>
      <c r="D497" s="268"/>
    </row>
    <row r="498" spans="2:4" ht="14.25" hidden="1">
      <c r="B498" s="234" t="s">
        <v>222</v>
      </c>
      <c r="D498" s="236"/>
    </row>
    <row r="499" spans="2:4" ht="14.25" hidden="1">
      <c r="B499" s="234" t="s">
        <v>223</v>
      </c>
      <c r="D499" s="236"/>
    </row>
    <row r="500" spans="2:4" ht="14.25" hidden="1">
      <c r="B500" s="234" t="s">
        <v>224</v>
      </c>
      <c r="D500" s="236"/>
    </row>
    <row r="501" spans="2:4" ht="14.25" hidden="1">
      <c r="B501" s="1953" t="s">
        <v>24</v>
      </c>
      <c r="D501" s="1954"/>
    </row>
    <row r="502" spans="2:4" ht="15" hidden="1">
      <c r="B502" s="260" t="s">
        <v>355</v>
      </c>
      <c r="D502" s="261"/>
    </row>
    <row r="503" spans="2:4" ht="14.25" hidden="1">
      <c r="B503" s="266" t="s">
        <v>356</v>
      </c>
      <c r="D503" s="268"/>
    </row>
    <row r="504" spans="2:4" ht="42.75" hidden="1">
      <c r="B504" s="402" t="s">
        <v>357</v>
      </c>
      <c r="D504" s="488"/>
    </row>
    <row r="505" spans="2:4" ht="42.75" hidden="1">
      <c r="B505" s="402" t="s">
        <v>358</v>
      </c>
      <c r="D505" s="488"/>
    </row>
    <row r="506" spans="2:4" ht="14.25" hidden="1">
      <c r="B506" s="1955" t="s">
        <v>359</v>
      </c>
      <c r="D506" s="1956"/>
    </row>
    <row r="507" spans="2:4" ht="14.25" hidden="1">
      <c r="B507" s="1955" t="s">
        <v>360</v>
      </c>
      <c r="D507" s="1956"/>
    </row>
    <row r="508" spans="2:4" ht="15" hidden="1">
      <c r="B508" s="260" t="s">
        <v>361</v>
      </c>
      <c r="D508" s="261"/>
    </row>
    <row r="509" spans="2:4" ht="15" hidden="1">
      <c r="B509" s="260" t="s">
        <v>362</v>
      </c>
      <c r="D509" s="261"/>
    </row>
    <row r="510" spans="2:4" ht="42.75" hidden="1">
      <c r="B510" s="402" t="s">
        <v>363</v>
      </c>
      <c r="D510" s="488"/>
    </row>
    <row r="511" spans="2:4" ht="42.75" hidden="1">
      <c r="B511" s="402" t="s">
        <v>364</v>
      </c>
      <c r="D511" s="488"/>
    </row>
    <row r="512" spans="2:4" ht="14.25" hidden="1">
      <c r="B512" s="1955" t="s">
        <v>359</v>
      </c>
      <c r="D512" s="1956"/>
    </row>
    <row r="513" spans="2:4" ht="14.25" hidden="1">
      <c r="B513" s="1955" t="s">
        <v>360</v>
      </c>
      <c r="D513" s="1956"/>
    </row>
    <row r="514" spans="2:4" ht="14.25" hidden="1">
      <c r="B514" s="266" t="s">
        <v>365</v>
      </c>
      <c r="D514" s="268"/>
    </row>
    <row r="515" spans="2:4" ht="15" hidden="1">
      <c r="B515" s="260" t="s">
        <v>366</v>
      </c>
      <c r="D515" s="261"/>
    </row>
    <row r="516" spans="2:4" ht="18" hidden="1">
      <c r="B516" s="399" t="s">
        <v>264</v>
      </c>
      <c r="D516" s="479"/>
    </row>
    <row r="517" spans="2:4" ht="14.25" hidden="1">
      <c r="B517" s="1957"/>
      <c r="D517" s="1958"/>
    </row>
    <row r="518" spans="2:4" ht="18" hidden="1">
      <c r="B518" s="399" t="s">
        <v>367</v>
      </c>
      <c r="D518" s="479"/>
    </row>
    <row r="519" spans="2:4" ht="14.25" hidden="1">
      <c r="B519" s="266" t="s">
        <v>261</v>
      </c>
      <c r="D519" s="268"/>
    </row>
    <row r="520" spans="2:4" ht="14.25" hidden="1">
      <c r="B520" s="234" t="s">
        <v>222</v>
      </c>
      <c r="D520" s="236"/>
    </row>
    <row r="521" spans="2:4" ht="14.25" hidden="1">
      <c r="B521" s="234" t="s">
        <v>223</v>
      </c>
      <c r="D521" s="236"/>
    </row>
    <row r="522" spans="2:4" ht="14.25" hidden="1">
      <c r="B522" s="234" t="s">
        <v>224</v>
      </c>
      <c r="D522" s="236"/>
    </row>
    <row r="523" spans="2:4" ht="14.25" hidden="1">
      <c r="B523" s="266" t="s">
        <v>262</v>
      </c>
      <c r="D523" s="268"/>
    </row>
    <row r="524" spans="2:4" ht="14.25" hidden="1">
      <c r="B524" s="234" t="s">
        <v>222</v>
      </c>
      <c r="D524" s="236"/>
    </row>
    <row r="525" spans="2:4" ht="14.25" hidden="1">
      <c r="B525" s="234" t="s">
        <v>223</v>
      </c>
      <c r="D525" s="236"/>
    </row>
    <row r="526" spans="2:4" ht="14.25" hidden="1">
      <c r="B526" s="234" t="s">
        <v>224</v>
      </c>
      <c r="D526" s="236"/>
    </row>
    <row r="527" spans="2:4" ht="14.25" hidden="1">
      <c r="B527" s="266" t="s">
        <v>263</v>
      </c>
      <c r="D527" s="268"/>
    </row>
    <row r="528" spans="2:4" ht="14.25" hidden="1">
      <c r="B528" s="234" t="s">
        <v>222</v>
      </c>
      <c r="D528" s="236"/>
    </row>
    <row r="529" spans="2:4" ht="14.25" hidden="1">
      <c r="B529" s="234" t="s">
        <v>223</v>
      </c>
      <c r="D529" s="236"/>
    </row>
    <row r="530" spans="2:4" ht="14.25" hidden="1">
      <c r="B530" s="234" t="s">
        <v>224</v>
      </c>
      <c r="D530" s="236"/>
    </row>
    <row r="531" spans="2:4" ht="14.25" hidden="1">
      <c r="B531" s="266" t="s">
        <v>355</v>
      </c>
      <c r="D531" s="268"/>
    </row>
    <row r="532" spans="2:4" ht="14.25" hidden="1">
      <c r="B532" s="266" t="str">
        <f>B503</f>
        <v>Объём услуг по передаче э/э "НАСЕЛЕНИЕ" коэфф. "1"</v>
      </c>
      <c r="D532" s="268"/>
    </row>
    <row r="533" spans="2:4" ht="42.75" hidden="1">
      <c r="B533" s="402" t="str">
        <f>B504</f>
        <v>Объём услуг по передаче э/э "НАСЕЛЕНИЕ" коэфф. "1" в пределах соц нормы</v>
      </c>
      <c r="D533" s="488"/>
    </row>
    <row r="534" spans="2:4" ht="42.75" hidden="1">
      <c r="B534" s="402" t="str">
        <f>B505</f>
        <v>Объём услуг по передаче э/э "НАСЕЛЕНИЕ" коэфф. "1" сверх соц нормы</v>
      </c>
      <c r="D534" s="488"/>
    </row>
    <row r="535" spans="2:4" ht="14.25" hidden="1">
      <c r="B535" s="1955" t="s">
        <v>359</v>
      </c>
      <c r="D535" s="1956"/>
    </row>
    <row r="536" spans="2:4" ht="14.25" hidden="1">
      <c r="B536" s="1955" t="s">
        <v>360</v>
      </c>
      <c r="D536" s="1956"/>
    </row>
    <row r="537" spans="2:4" ht="15" hidden="1">
      <c r="B537" s="260" t="str">
        <f>B508</f>
        <v>Стоимость услуг по передаче коэфф. "1"</v>
      </c>
      <c r="D537" s="261"/>
    </row>
    <row r="538" spans="2:4" ht="14.25" hidden="1">
      <c r="B538" s="266" t="str">
        <f>B509</f>
        <v>Объём услуг по передаче э/э "НАСЕЛЕНИЕ" коэфф. "0,7"</v>
      </c>
      <c r="D538" s="268"/>
    </row>
    <row r="539" spans="2:4" ht="42.75" hidden="1">
      <c r="B539" s="402" t="s">
        <v>363</v>
      </c>
      <c r="D539" s="488"/>
    </row>
    <row r="540" spans="2:4" ht="42.75" hidden="1">
      <c r="B540" s="402" t="s">
        <v>364</v>
      </c>
      <c r="D540" s="488"/>
    </row>
    <row r="541" spans="2:4" ht="14.25" hidden="1">
      <c r="B541" s="1955" t="s">
        <v>359</v>
      </c>
      <c r="D541" s="1956"/>
    </row>
    <row r="542" spans="2:4" ht="14.25" hidden="1">
      <c r="B542" s="1955" t="s">
        <v>360</v>
      </c>
      <c r="D542" s="1956"/>
    </row>
    <row r="543" spans="2:4" ht="14.25" hidden="1">
      <c r="B543" s="266" t="s">
        <v>365</v>
      </c>
      <c r="D543" s="268"/>
    </row>
    <row r="544" spans="2:4" ht="15" hidden="1">
      <c r="B544" s="260" t="s">
        <v>366</v>
      </c>
      <c r="D544" s="268"/>
    </row>
    <row r="545" spans="2:4" ht="18" hidden="1">
      <c r="B545" s="399" t="s">
        <v>368</v>
      </c>
      <c r="D545" s="479"/>
    </row>
    <row r="546" spans="2:4" ht="15" hidden="1">
      <c r="B546" s="1959"/>
      <c r="D546" s="1958"/>
    </row>
    <row r="547" spans="2:4" ht="36" hidden="1">
      <c r="B547" s="410" t="s">
        <v>1856</v>
      </c>
      <c r="D547" s="479"/>
    </row>
    <row r="548" spans="2:4" ht="14.25" hidden="1">
      <c r="B548" s="266" t="s">
        <v>261</v>
      </c>
      <c r="D548" s="268"/>
    </row>
    <row r="549" spans="2:4" ht="14.25" hidden="1">
      <c r="B549" s="234" t="s">
        <v>222</v>
      </c>
      <c r="D549" s="236"/>
    </row>
    <row r="550" spans="2:4" ht="14.25" hidden="1">
      <c r="B550" s="234" t="s">
        <v>223</v>
      </c>
      <c r="D550" s="236"/>
    </row>
    <row r="551" spans="2:4" ht="14.25" hidden="1">
      <c r="B551" s="234" t="s">
        <v>224</v>
      </c>
      <c r="D551" s="236"/>
    </row>
    <row r="552" spans="2:4" ht="14.25" hidden="1">
      <c r="B552" s="266" t="s">
        <v>262</v>
      </c>
      <c r="D552" s="268"/>
    </row>
    <row r="553" spans="2:4" ht="14.25" hidden="1">
      <c r="B553" s="234" t="s">
        <v>222</v>
      </c>
      <c r="D553" s="236"/>
    </row>
    <row r="554" spans="2:4" ht="14.25" hidden="1">
      <c r="B554" s="234" t="s">
        <v>223</v>
      </c>
      <c r="D554" s="236"/>
    </row>
    <row r="555" spans="2:4" ht="14.25" hidden="1">
      <c r="B555" s="234" t="s">
        <v>224</v>
      </c>
      <c r="D555" s="236"/>
    </row>
    <row r="556" spans="2:4" ht="14.25" hidden="1">
      <c r="B556" s="266" t="s">
        <v>263</v>
      </c>
      <c r="D556" s="268"/>
    </row>
    <row r="557" spans="2:4" ht="14.25" hidden="1">
      <c r="B557" s="234" t="s">
        <v>222</v>
      </c>
      <c r="D557" s="236"/>
    </row>
    <row r="558" spans="2:4" ht="14.25" hidden="1">
      <c r="B558" s="234" t="s">
        <v>223</v>
      </c>
      <c r="D558" s="236"/>
    </row>
    <row r="559" spans="2:4" ht="14.25" hidden="1">
      <c r="B559" s="234" t="s">
        <v>224</v>
      </c>
      <c r="D559" s="236"/>
    </row>
    <row r="560" spans="2:4" ht="14.25" hidden="1">
      <c r="B560" s="266" t="s">
        <v>355</v>
      </c>
      <c r="D560" s="268"/>
    </row>
    <row r="561" spans="2:4" ht="14.25" hidden="1">
      <c r="B561" s="266" t="s">
        <v>356</v>
      </c>
      <c r="D561" s="268"/>
    </row>
    <row r="562" spans="2:4" ht="42.75" hidden="1">
      <c r="B562" s="402" t="str">
        <f>B533</f>
        <v>Объём услуг по передаче э/э "НАСЕЛЕНИЕ" коэфф. "1" в пределах соц нормы</v>
      </c>
      <c r="D562" s="488"/>
    </row>
    <row r="563" spans="2:4" ht="42.75" hidden="1">
      <c r="B563" s="402" t="str">
        <f>B534</f>
        <v>Объём услуг по передаче э/э "НАСЕЛЕНИЕ" коэфф. "1" сверх соц нормы</v>
      </c>
      <c r="D563" s="488"/>
    </row>
    <row r="564" spans="2:4" ht="14.25" hidden="1">
      <c r="B564" s="1955" t="s">
        <v>359</v>
      </c>
      <c r="D564" s="1956"/>
    </row>
    <row r="565" spans="2:4" ht="14.25" hidden="1">
      <c r="B565" s="1955" t="s">
        <v>360</v>
      </c>
      <c r="D565" s="1956"/>
    </row>
    <row r="566" spans="2:4" ht="15" hidden="1">
      <c r="B566" s="260" t="str">
        <f>B537</f>
        <v>Стоимость услуг по передаче коэфф. "1"</v>
      </c>
      <c r="D566" s="261"/>
    </row>
    <row r="567" spans="2:4" ht="14.25" hidden="1">
      <c r="B567" s="266" t="s">
        <v>362</v>
      </c>
      <c r="D567" s="268"/>
    </row>
    <row r="568" spans="2:4" ht="42.75" hidden="1">
      <c r="B568" s="402" t="s">
        <v>363</v>
      </c>
      <c r="D568" s="488"/>
    </row>
    <row r="569" spans="2:4" ht="42.75" hidden="1">
      <c r="B569" s="402" t="s">
        <v>364</v>
      </c>
      <c r="D569" s="488"/>
    </row>
    <row r="570" spans="2:4" ht="14.25" hidden="1">
      <c r="B570" s="1955" t="s">
        <v>359</v>
      </c>
      <c r="D570" s="1956"/>
    </row>
    <row r="571" spans="2:4" ht="14.25" hidden="1">
      <c r="B571" s="1955" t="s">
        <v>360</v>
      </c>
      <c r="D571" s="1956"/>
    </row>
    <row r="572" spans="2:4" ht="14.25" hidden="1">
      <c r="B572" s="266" t="s">
        <v>365</v>
      </c>
      <c r="D572" s="268"/>
    </row>
    <row r="573" spans="2:4" ht="15" hidden="1">
      <c r="B573" s="260" t="s">
        <v>366</v>
      </c>
      <c r="D573" s="261"/>
    </row>
    <row r="574" spans="2:4" ht="54" hidden="1">
      <c r="B574" s="410" t="s">
        <v>369</v>
      </c>
      <c r="D574" s="479"/>
    </row>
    <row r="575" spans="2:4" ht="15" hidden="1">
      <c r="B575" s="1959"/>
      <c r="D575" s="1958"/>
    </row>
    <row r="576" spans="2:4" ht="18" hidden="1">
      <c r="B576" s="399" t="s">
        <v>370</v>
      </c>
      <c r="D576" s="479"/>
    </row>
    <row r="577" spans="2:4" ht="18" hidden="1">
      <c r="B577" s="399" t="s">
        <v>371</v>
      </c>
      <c r="D577" s="479"/>
    </row>
    <row r="578" spans="2:4" ht="15" hidden="1">
      <c r="B578" s="1959"/>
      <c r="D578" s="1958"/>
    </row>
    <row r="579" spans="2:4" ht="15" hidden="1">
      <c r="B579" s="260" t="s">
        <v>265</v>
      </c>
      <c r="D579" s="268"/>
    </row>
    <row r="580" spans="2:4" ht="15" hidden="1">
      <c r="B580" s="298" t="s">
        <v>266</v>
      </c>
      <c r="D580" s="300"/>
    </row>
    <row r="581" spans="2:4" ht="15.75" hidden="1" thickBot="1">
      <c r="B581" s="301" t="s">
        <v>267</v>
      </c>
      <c r="D581" s="303"/>
    </row>
    <row r="582" spans="2:4" ht="14.25" hidden="1">
      <c r="B582" s="304" t="s">
        <v>268</v>
      </c>
      <c r="D582" s="306"/>
    </row>
    <row r="583" spans="2:4" ht="14.25" hidden="1">
      <c r="B583" s="307" t="s">
        <v>269</v>
      </c>
      <c r="D583" s="236"/>
    </row>
    <row r="584" spans="2:4" ht="14.25" hidden="1">
      <c r="B584" s="307" t="s">
        <v>270</v>
      </c>
      <c r="D584" s="236"/>
    </row>
    <row r="585" spans="2:4" ht="14.25" hidden="1">
      <c r="B585" s="307" t="s">
        <v>271</v>
      </c>
      <c r="D585" s="236"/>
    </row>
    <row r="586" spans="2:4" ht="14.25" hidden="1">
      <c r="B586" s="307" t="s">
        <v>272</v>
      </c>
      <c r="D586" s="236"/>
    </row>
    <row r="587" spans="2:4" ht="14.25" hidden="1">
      <c r="B587" s="307" t="s">
        <v>273</v>
      </c>
      <c r="D587" s="236"/>
    </row>
    <row r="588" spans="2:4" ht="14.25" hidden="1">
      <c r="B588" s="266" t="s">
        <v>274</v>
      </c>
      <c r="D588" s="268"/>
    </row>
    <row r="589" spans="2:4" ht="14.25" hidden="1">
      <c r="B589" s="307" t="s">
        <v>275</v>
      </c>
      <c r="D589" s="308"/>
    </row>
    <row r="590" spans="2:4" ht="15" hidden="1" thickBot="1">
      <c r="B590" s="309" t="s">
        <v>277</v>
      </c>
      <c r="D590" s="311"/>
    </row>
    <row r="591" spans="2:4" ht="15" hidden="1" thickBot="1">
      <c r="B591" s="1960" t="s">
        <v>278</v>
      </c>
      <c r="D591" s="303"/>
    </row>
    <row r="592" spans="2:4"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sheetData>
  <mergeCells count="4">
    <mergeCell ref="B64:B65"/>
    <mergeCell ref="A4:A5"/>
    <mergeCell ref="B4:B5"/>
    <mergeCell ref="C4:C5"/>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15"/>
  <sheetViews>
    <sheetView topLeftCell="A34" workbookViewId="0">
      <selection activeCell="J56" sqref="J56"/>
    </sheetView>
  </sheetViews>
  <sheetFormatPr defaultColWidth="8.7109375" defaultRowHeight="15"/>
  <cols>
    <col min="1" max="1" width="47.5703125" style="1962" customWidth="1"/>
    <col min="2" max="2" width="13.5703125" style="1962" customWidth="1"/>
    <col min="3" max="3" width="9.7109375" style="1962" customWidth="1"/>
    <col min="4" max="4" width="19.7109375" style="1999" customWidth="1"/>
    <col min="5" max="16384" width="8.7109375" style="1962"/>
  </cols>
  <sheetData>
    <row r="1" spans="1:4" ht="17.25" customHeight="1">
      <c r="A1" s="4607" t="s">
        <v>1858</v>
      </c>
      <c r="B1" s="4608"/>
      <c r="C1" s="4608"/>
      <c r="D1" s="4609"/>
    </row>
    <row r="2" spans="1:4" ht="17.25" customHeight="1">
      <c r="A2" s="4610" t="s">
        <v>1859</v>
      </c>
      <c r="B2" s="4611"/>
      <c r="C2" s="4611"/>
      <c r="D2" s="4612"/>
    </row>
    <row r="3" spans="1:4" ht="15.75" customHeight="1">
      <c r="A3" s="4613" t="str">
        <f>'Шаблон 46 ГП'!A8:P8</f>
        <v>Май 2026 год</v>
      </c>
      <c r="B3" s="4608"/>
      <c r="C3" s="4608"/>
      <c r="D3" s="4609"/>
    </row>
    <row r="4" spans="1:4" ht="15.75" thickBot="1">
      <c r="A4" s="4614"/>
      <c r="B4" s="4615"/>
      <c r="C4" s="4615"/>
      <c r="D4" s="4616"/>
    </row>
    <row r="5" spans="1:4" ht="12.75" customHeight="1">
      <c r="A5" s="1963" t="s">
        <v>1860</v>
      </c>
      <c r="B5" s="1964" t="s">
        <v>1196</v>
      </c>
      <c r="C5" s="1964" t="s">
        <v>1196</v>
      </c>
      <c r="D5" s="4563" t="s">
        <v>1861</v>
      </c>
    </row>
    <row r="6" spans="1:4" ht="34.5" customHeight="1" thickBot="1">
      <c r="A6" s="1965" t="s">
        <v>1862</v>
      </c>
      <c r="B6" s="1966" t="s">
        <v>1863</v>
      </c>
      <c r="C6" s="1966" t="s">
        <v>1864</v>
      </c>
      <c r="D6" s="4564"/>
    </row>
    <row r="7" spans="1:4" ht="15" customHeight="1" thickBot="1">
      <c r="A7" s="1967">
        <v>1</v>
      </c>
      <c r="B7" s="1968">
        <v>2</v>
      </c>
      <c r="C7" s="1969">
        <v>3</v>
      </c>
      <c r="D7" s="1968">
        <v>4</v>
      </c>
    </row>
    <row r="8" spans="1:4" ht="19.5" customHeight="1">
      <c r="A8" s="4602" t="s">
        <v>1865</v>
      </c>
      <c r="B8" s="1970" t="s">
        <v>1866</v>
      </c>
      <c r="C8" s="4565">
        <v>10100</v>
      </c>
      <c r="D8" s="4596">
        <f>'Отчёт СТС'!B34/1000</f>
        <v>122.85299999999999</v>
      </c>
    </row>
    <row r="9" spans="1:4" ht="15.75" thickBot="1">
      <c r="A9" s="4603"/>
      <c r="B9" s="1966" t="s">
        <v>1867</v>
      </c>
      <c r="C9" s="4566"/>
      <c r="D9" s="4597"/>
    </row>
    <row r="10" spans="1:4" ht="20.25" customHeight="1" thickBot="1">
      <c r="A10" s="1971" t="s">
        <v>512</v>
      </c>
      <c r="B10" s="1966"/>
      <c r="C10" s="1972"/>
      <c r="D10" s="1973"/>
    </row>
    <row r="11" spans="1:4" ht="18.75" customHeight="1" thickBot="1">
      <c r="A11" s="1971" t="s">
        <v>1868</v>
      </c>
      <c r="B11" s="1968">
        <v>3</v>
      </c>
      <c r="C11" s="1969">
        <v>10150</v>
      </c>
      <c r="D11" s="1973"/>
    </row>
    <row r="12" spans="1:4" ht="10.5" customHeight="1">
      <c r="A12" s="4602" t="s">
        <v>1869</v>
      </c>
      <c r="B12" s="1970" t="s">
        <v>1870</v>
      </c>
      <c r="C12" s="4565">
        <v>10200</v>
      </c>
      <c r="D12" s="4589"/>
    </row>
    <row r="13" spans="1:4" ht="15.75" thickBot="1">
      <c r="A13" s="4603"/>
      <c r="B13" s="1974">
        <v>42983</v>
      </c>
      <c r="C13" s="4566"/>
      <c r="D13" s="4590"/>
    </row>
    <row r="14" spans="1:4">
      <c r="A14" s="1975" t="s">
        <v>1871</v>
      </c>
      <c r="B14" s="4585"/>
      <c r="C14" s="4604"/>
      <c r="D14" s="4589"/>
    </row>
    <row r="15" spans="1:4" ht="15.75" thickBot="1">
      <c r="A15" s="1976" t="s">
        <v>1872</v>
      </c>
      <c r="B15" s="4586"/>
      <c r="C15" s="4605"/>
      <c r="D15" s="4590"/>
    </row>
    <row r="16" spans="1:4" ht="15.75" thickBot="1">
      <c r="A16" s="1976" t="s">
        <v>1873</v>
      </c>
      <c r="B16" s="1977" t="s">
        <v>1874</v>
      </c>
      <c r="C16" s="1978"/>
      <c r="D16" s="1973"/>
    </row>
    <row r="17" spans="1:4" ht="15.75" thickBot="1">
      <c r="A17" s="1976" t="s">
        <v>1875</v>
      </c>
      <c r="B17" s="1977" t="s">
        <v>1874</v>
      </c>
      <c r="C17" s="1978"/>
      <c r="D17" s="1973"/>
    </row>
    <row r="18" spans="1:4" ht="15.75" thickBot="1">
      <c r="A18" s="1976" t="s">
        <v>1876</v>
      </c>
      <c r="B18" s="1977" t="s">
        <v>1874</v>
      </c>
      <c r="C18" s="1978"/>
      <c r="D18" s="1973"/>
    </row>
    <row r="19" spans="1:4" ht="14.25" customHeight="1">
      <c r="A19" s="4602" t="s">
        <v>1877</v>
      </c>
      <c r="B19" s="1979" t="s">
        <v>1878</v>
      </c>
      <c r="C19" s="4565">
        <v>10300</v>
      </c>
      <c r="D19" s="4589"/>
    </row>
    <row r="20" spans="1:4" ht="15.75" thickBot="1">
      <c r="A20" s="4603"/>
      <c r="B20" s="1980">
        <v>12328</v>
      </c>
      <c r="C20" s="4566"/>
      <c r="D20" s="4590"/>
    </row>
    <row r="21" spans="1:4" ht="15.75" thickBot="1">
      <c r="A21" s="1971" t="s">
        <v>512</v>
      </c>
      <c r="B21" s="1977"/>
      <c r="C21" s="1981"/>
      <c r="D21" s="1973"/>
    </row>
    <row r="22" spans="1:4" ht="36">
      <c r="A22" s="1982" t="s">
        <v>1879</v>
      </c>
      <c r="B22" s="4585" t="s">
        <v>1880</v>
      </c>
      <c r="C22" s="1983" t="s">
        <v>435</v>
      </c>
      <c r="D22" s="4589"/>
    </row>
    <row r="23" spans="1:4">
      <c r="A23" s="1982" t="s">
        <v>1881</v>
      </c>
      <c r="B23" s="4606"/>
      <c r="C23" s="1983"/>
      <c r="D23" s="4595"/>
    </row>
    <row r="24" spans="1:4" ht="15.75" thickBot="1">
      <c r="A24" s="1984"/>
      <c r="B24" s="4586"/>
      <c r="C24" s="1981">
        <v>10301</v>
      </c>
      <c r="D24" s="4590"/>
    </row>
    <row r="25" spans="1:4">
      <c r="A25" s="1975" t="s">
        <v>1871</v>
      </c>
      <c r="B25" s="4585"/>
      <c r="C25" s="4587"/>
      <c r="D25" s="4589"/>
    </row>
    <row r="26" spans="1:4" ht="15.75" thickBot="1">
      <c r="A26" s="1976" t="s">
        <v>1872</v>
      </c>
      <c r="B26" s="4586"/>
      <c r="C26" s="4588"/>
      <c r="D26" s="4590"/>
    </row>
    <row r="27" spans="1:4" ht="15.75" thickBot="1">
      <c r="A27" s="1976" t="s">
        <v>1873</v>
      </c>
      <c r="B27" s="1977" t="s">
        <v>1874</v>
      </c>
      <c r="C27" s="1978"/>
      <c r="D27" s="1973"/>
    </row>
    <row r="28" spans="1:4" ht="15.75" thickBot="1">
      <c r="A28" s="1976" t="s">
        <v>1875</v>
      </c>
      <c r="B28" s="1977" t="s">
        <v>1874</v>
      </c>
      <c r="C28" s="1978"/>
      <c r="D28" s="1973"/>
    </row>
    <row r="29" spans="1:4" ht="15.75" thickBot="1">
      <c r="A29" s="1976" t="s">
        <v>1882</v>
      </c>
      <c r="B29" s="1977" t="s">
        <v>1874</v>
      </c>
      <c r="C29" s="1978"/>
      <c r="D29" s="1973"/>
    </row>
    <row r="30" spans="1:4" ht="15.75" thickBot="1">
      <c r="A30" s="1971" t="s">
        <v>1883</v>
      </c>
      <c r="B30" s="1977">
        <v>19</v>
      </c>
      <c r="C30" s="1981">
        <v>10302</v>
      </c>
      <c r="D30" s="1973"/>
    </row>
    <row r="31" spans="1:4">
      <c r="A31" s="1975" t="s">
        <v>1871</v>
      </c>
      <c r="B31" s="4585"/>
      <c r="C31" s="4587"/>
      <c r="D31" s="4589"/>
    </row>
    <row r="32" spans="1:4" ht="15.75" thickBot="1">
      <c r="A32" s="1976" t="s">
        <v>1872</v>
      </c>
      <c r="B32" s="4586"/>
      <c r="C32" s="4588"/>
      <c r="D32" s="4590"/>
    </row>
    <row r="33" spans="1:4" ht="15.75" thickBot="1">
      <c r="A33" s="1976" t="s">
        <v>1873</v>
      </c>
      <c r="B33" s="1977" t="s">
        <v>1874</v>
      </c>
      <c r="C33" s="1978"/>
      <c r="D33" s="1973"/>
    </row>
    <row r="34" spans="1:4" ht="15.75" thickBot="1">
      <c r="A34" s="1976" t="s">
        <v>1875</v>
      </c>
      <c r="B34" s="1977" t="s">
        <v>1874</v>
      </c>
      <c r="C34" s="1978"/>
      <c r="D34" s="1973"/>
    </row>
    <row r="35" spans="1:4" ht="15.75" thickBot="1">
      <c r="A35" s="1976" t="s">
        <v>1882</v>
      </c>
      <c r="B35" s="1977" t="s">
        <v>1874</v>
      </c>
      <c r="C35" s="1978"/>
      <c r="D35" s="1973"/>
    </row>
    <row r="36" spans="1:4" ht="15.75" thickBot="1">
      <c r="A36" s="1971" t="s">
        <v>1884</v>
      </c>
      <c r="B36" s="1977">
        <v>20</v>
      </c>
      <c r="C36" s="1981">
        <v>10303</v>
      </c>
      <c r="D36" s="1973"/>
    </row>
    <row r="37" spans="1:4">
      <c r="A37" s="1975" t="s">
        <v>1871</v>
      </c>
      <c r="B37" s="4585"/>
      <c r="C37" s="4587"/>
      <c r="D37" s="4589"/>
    </row>
    <row r="38" spans="1:4" ht="15.75" thickBot="1">
      <c r="A38" s="1976" t="s">
        <v>1872</v>
      </c>
      <c r="B38" s="4586"/>
      <c r="C38" s="4588"/>
      <c r="D38" s="4590"/>
    </row>
    <row r="39" spans="1:4" ht="15.75" thickBot="1">
      <c r="A39" s="1976" t="s">
        <v>1873</v>
      </c>
      <c r="B39" s="1977" t="s">
        <v>1874</v>
      </c>
      <c r="C39" s="1978"/>
      <c r="D39" s="1973"/>
    </row>
    <row r="40" spans="1:4" ht="15.75" thickBot="1">
      <c r="A40" s="1976" t="s">
        <v>1875</v>
      </c>
      <c r="B40" s="1977" t="s">
        <v>1874</v>
      </c>
      <c r="C40" s="1978"/>
      <c r="D40" s="1973"/>
    </row>
    <row r="41" spans="1:4" ht="15.75" thickBot="1">
      <c r="A41" s="1976" t="s">
        <v>1882</v>
      </c>
      <c r="B41" s="1977"/>
      <c r="C41" s="1978"/>
      <c r="D41" s="1973"/>
    </row>
    <row r="42" spans="1:4" ht="15.75" thickBot="1">
      <c r="A42" s="1971" t="s">
        <v>1885</v>
      </c>
      <c r="B42" s="1977">
        <v>24</v>
      </c>
      <c r="C42" s="1981">
        <v>10304</v>
      </c>
      <c r="D42" s="1973"/>
    </row>
    <row r="43" spans="1:4">
      <c r="A43" s="1975" t="s">
        <v>1871</v>
      </c>
      <c r="B43" s="4585"/>
      <c r="C43" s="4587"/>
      <c r="D43" s="4589"/>
    </row>
    <row r="44" spans="1:4" ht="15.75" thickBot="1">
      <c r="A44" s="1976" t="s">
        <v>1872</v>
      </c>
      <c r="B44" s="4586"/>
      <c r="C44" s="4588"/>
      <c r="D44" s="4590"/>
    </row>
    <row r="45" spans="1:4" ht="15.75" thickBot="1">
      <c r="A45" s="1976" t="s">
        <v>1873</v>
      </c>
      <c r="B45" s="1977" t="s">
        <v>1874</v>
      </c>
      <c r="C45" s="1978"/>
      <c r="D45" s="1973"/>
    </row>
    <row r="46" spans="1:4" ht="15.75" thickBot="1">
      <c r="A46" s="1976" t="s">
        <v>1875</v>
      </c>
      <c r="B46" s="1977" t="s">
        <v>1874</v>
      </c>
      <c r="C46" s="1978"/>
      <c r="D46" s="1973"/>
    </row>
    <row r="47" spans="1:4" ht="15.75" thickBot="1">
      <c r="A47" s="1976" t="s">
        <v>1886</v>
      </c>
      <c r="B47" s="1977" t="s">
        <v>1874</v>
      </c>
      <c r="C47" s="1978"/>
      <c r="D47" s="1973"/>
    </row>
    <row r="48" spans="1:4" ht="24">
      <c r="A48" s="1985" t="s">
        <v>1887</v>
      </c>
      <c r="B48" s="4585" t="s">
        <v>1888</v>
      </c>
      <c r="C48" s="4604" t="s">
        <v>435</v>
      </c>
      <c r="D48" s="4589"/>
    </row>
    <row r="49" spans="1:4" ht="15.75" thickBot="1">
      <c r="A49" s="1986" t="s">
        <v>1889</v>
      </c>
      <c r="B49" s="4586"/>
      <c r="C49" s="4605"/>
      <c r="D49" s="4590"/>
    </row>
    <row r="50" spans="1:4">
      <c r="A50" s="1975" t="s">
        <v>1871</v>
      </c>
      <c r="B50" s="4585"/>
      <c r="C50" s="4604"/>
      <c r="D50" s="4589"/>
    </row>
    <row r="51" spans="1:4" ht="15.75" thickBot="1">
      <c r="A51" s="1976" t="s">
        <v>1872</v>
      </c>
      <c r="B51" s="4586"/>
      <c r="C51" s="4605"/>
      <c r="D51" s="4590"/>
    </row>
    <row r="52" spans="1:4" ht="15.75" thickBot="1">
      <c r="A52" s="1976" t="s">
        <v>1873</v>
      </c>
      <c r="B52" s="1977" t="s">
        <v>1874</v>
      </c>
      <c r="C52" s="1981"/>
      <c r="D52" s="1973"/>
    </row>
    <row r="53" spans="1:4" ht="15.75" thickBot="1">
      <c r="A53" s="1976" t="s">
        <v>1875</v>
      </c>
      <c r="B53" s="1968" t="s">
        <v>1874</v>
      </c>
      <c r="C53" s="1969"/>
      <c r="D53" s="1973"/>
    </row>
    <row r="54" spans="1:4" ht="15.75" thickBot="1">
      <c r="A54" s="1976" t="s">
        <v>1882</v>
      </c>
      <c r="B54" s="1977" t="s">
        <v>1874</v>
      </c>
      <c r="C54" s="1981"/>
      <c r="D54" s="1973"/>
    </row>
    <row r="55" spans="1:4" ht="24">
      <c r="A55" s="1982" t="s">
        <v>1890</v>
      </c>
      <c r="B55" s="4585">
        <v>28</v>
      </c>
      <c r="C55" s="4604">
        <v>10307</v>
      </c>
      <c r="D55" s="4589"/>
    </row>
    <row r="56" spans="1:4" ht="15.75" thickBot="1">
      <c r="A56" s="1971" t="s">
        <v>1891</v>
      </c>
      <c r="B56" s="4586"/>
      <c r="C56" s="4605"/>
      <c r="D56" s="4590"/>
    </row>
    <row r="57" spans="1:4">
      <c r="A57" s="1975" t="s">
        <v>1871</v>
      </c>
      <c r="B57" s="4585"/>
      <c r="C57" s="4587"/>
      <c r="D57" s="4589"/>
    </row>
    <row r="58" spans="1:4" ht="15.75" thickBot="1">
      <c r="A58" s="1976" t="s">
        <v>1872</v>
      </c>
      <c r="B58" s="4586"/>
      <c r="C58" s="4588"/>
      <c r="D58" s="4590"/>
    </row>
    <row r="59" spans="1:4" ht="15.75" thickBot="1">
      <c r="A59" s="1976" t="s">
        <v>1873</v>
      </c>
      <c r="B59" s="1977" t="s">
        <v>1874</v>
      </c>
      <c r="C59" s="1978"/>
      <c r="D59" s="1973"/>
    </row>
    <row r="60" spans="1:4" ht="15.75" thickBot="1">
      <c r="A60" s="1976" t="s">
        <v>1875</v>
      </c>
      <c r="B60" s="1977" t="s">
        <v>1874</v>
      </c>
      <c r="C60" s="1978"/>
      <c r="D60" s="1973"/>
    </row>
    <row r="61" spans="1:4" ht="15.75" thickBot="1">
      <c r="A61" s="1976" t="s">
        <v>1882</v>
      </c>
      <c r="B61" s="1977" t="s">
        <v>1874</v>
      </c>
      <c r="C61" s="1978"/>
      <c r="D61" s="1973"/>
    </row>
    <row r="62" spans="1:4" ht="24">
      <c r="A62" s="1982" t="s">
        <v>1892</v>
      </c>
      <c r="B62" s="4585" t="s">
        <v>1893</v>
      </c>
      <c r="C62" s="1983">
        <v>10308</v>
      </c>
      <c r="D62" s="4589"/>
    </row>
    <row r="63" spans="1:4" ht="15.75" thickBot="1">
      <c r="A63" s="1971" t="s">
        <v>1894</v>
      </c>
      <c r="B63" s="4586"/>
      <c r="C63" s="1981" t="s">
        <v>435</v>
      </c>
      <c r="D63" s="4590"/>
    </row>
    <row r="64" spans="1:4">
      <c r="A64" s="1975" t="s">
        <v>1871</v>
      </c>
      <c r="B64" s="4585"/>
      <c r="C64" s="4587"/>
      <c r="D64" s="4589"/>
    </row>
    <row r="65" spans="1:4" ht="15.75" thickBot="1">
      <c r="A65" s="1976" t="s">
        <v>1872</v>
      </c>
      <c r="B65" s="4586"/>
      <c r="C65" s="4588"/>
      <c r="D65" s="4590"/>
    </row>
    <row r="66" spans="1:4" ht="15.75" thickBot="1">
      <c r="A66" s="1976" t="s">
        <v>1873</v>
      </c>
      <c r="B66" s="1977" t="s">
        <v>1874</v>
      </c>
      <c r="C66" s="1978"/>
      <c r="D66" s="1973"/>
    </row>
    <row r="67" spans="1:4" ht="15.75" thickBot="1">
      <c r="A67" s="1976" t="s">
        <v>1875</v>
      </c>
      <c r="B67" s="1977" t="s">
        <v>1874</v>
      </c>
      <c r="C67" s="1978"/>
      <c r="D67" s="1973"/>
    </row>
    <row r="68" spans="1:4" ht="15.75" thickBot="1">
      <c r="A68" s="1976" t="s">
        <v>1882</v>
      </c>
      <c r="B68" s="1977" t="s">
        <v>1874</v>
      </c>
      <c r="C68" s="1978"/>
      <c r="D68" s="1973"/>
    </row>
    <row r="69" spans="1:4" ht="24.75" customHeight="1">
      <c r="A69" s="4591" t="s">
        <v>1895</v>
      </c>
      <c r="B69" s="4598" t="s">
        <v>1896</v>
      </c>
      <c r="C69" s="4600">
        <v>10400</v>
      </c>
      <c r="D69" s="4596">
        <f>'Раздел 2А'!F48</f>
        <v>1451.1590000000001</v>
      </c>
    </row>
    <row r="70" spans="1:4" ht="15.75" thickBot="1">
      <c r="A70" s="4592"/>
      <c r="B70" s="4599"/>
      <c r="C70" s="4601"/>
      <c r="D70" s="4597"/>
    </row>
    <row r="71" spans="1:4" ht="36.75" thickBot="1">
      <c r="A71" s="1987" t="s">
        <v>1897</v>
      </c>
      <c r="B71" s="1979" t="s">
        <v>1898</v>
      </c>
      <c r="C71" s="1988">
        <v>10440</v>
      </c>
      <c r="D71" s="1982"/>
    </row>
    <row r="72" spans="1:4">
      <c r="A72" s="4602" t="s">
        <v>1899</v>
      </c>
      <c r="B72" s="1989" t="s">
        <v>1900</v>
      </c>
      <c r="C72" s="4600">
        <v>10500</v>
      </c>
      <c r="D72" s="4596"/>
    </row>
    <row r="73" spans="1:4" ht="15.75" thickBot="1">
      <c r="A73" s="4603"/>
      <c r="B73" s="1990" t="s">
        <v>1901</v>
      </c>
      <c r="C73" s="4601"/>
      <c r="D73" s="4597"/>
    </row>
    <row r="74" spans="1:4">
      <c r="A74" s="1975" t="s">
        <v>1871</v>
      </c>
      <c r="B74" s="4585"/>
      <c r="C74" s="4587"/>
      <c r="D74" s="4589"/>
    </row>
    <row r="75" spans="1:4" ht="15.75" thickBot="1">
      <c r="A75" s="1976" t="s">
        <v>1872</v>
      </c>
      <c r="B75" s="4586"/>
      <c r="C75" s="4588"/>
      <c r="D75" s="4590"/>
    </row>
    <row r="76" spans="1:4" ht="15.75" thickBot="1">
      <c r="A76" s="1976" t="s">
        <v>1873</v>
      </c>
      <c r="B76" s="1977" t="s">
        <v>1874</v>
      </c>
      <c r="C76" s="1978"/>
      <c r="D76" s="1973"/>
    </row>
    <row r="77" spans="1:4" ht="15.75" thickBot="1">
      <c r="A77" s="1976" t="s">
        <v>1875</v>
      </c>
      <c r="B77" s="1977" t="s">
        <v>1874</v>
      </c>
      <c r="C77" s="1978"/>
      <c r="D77" s="1973"/>
    </row>
    <row r="78" spans="1:4" ht="15.75" thickBot="1">
      <c r="A78" s="1976" t="s">
        <v>1882</v>
      </c>
      <c r="B78" s="1977" t="s">
        <v>1874</v>
      </c>
      <c r="C78" s="1978"/>
      <c r="D78" s="1973"/>
    </row>
    <row r="79" spans="1:4">
      <c r="A79" s="4591" t="s">
        <v>1902</v>
      </c>
      <c r="B79" s="1989" t="s">
        <v>1903</v>
      </c>
      <c r="C79" s="1991">
        <v>10610</v>
      </c>
      <c r="D79" s="4589"/>
    </row>
    <row r="80" spans="1:4" ht="15.75" thickBot="1">
      <c r="A80" s="4592"/>
      <c r="B80" s="1990" t="s">
        <v>1904</v>
      </c>
      <c r="C80" s="1992"/>
      <c r="D80" s="4590"/>
    </row>
    <row r="81" spans="1:4">
      <c r="A81" s="4591" t="s">
        <v>1905</v>
      </c>
      <c r="B81" s="1989" t="s">
        <v>1906</v>
      </c>
      <c r="C81" s="1991">
        <v>10620</v>
      </c>
      <c r="D81" s="4596"/>
    </row>
    <row r="82" spans="1:4" ht="15.75" thickBot="1">
      <c r="A82" s="4592"/>
      <c r="B82" s="1990" t="s">
        <v>1907</v>
      </c>
      <c r="C82" s="1993"/>
      <c r="D82" s="4597"/>
    </row>
    <row r="83" spans="1:4" ht="15.75" thickBot="1">
      <c r="A83" s="1971" t="s">
        <v>512</v>
      </c>
      <c r="B83" s="1977"/>
      <c r="C83" s="1981"/>
      <c r="D83" s="1973"/>
    </row>
    <row r="84" spans="1:4" ht="24.75" thickBot="1">
      <c r="A84" s="1971" t="s">
        <v>1908</v>
      </c>
      <c r="B84" s="1977" t="s">
        <v>1909</v>
      </c>
      <c r="C84" s="1981">
        <v>10601</v>
      </c>
      <c r="D84" s="1973"/>
    </row>
    <row r="85" spans="1:4">
      <c r="A85" s="1975" t="s">
        <v>1871</v>
      </c>
      <c r="B85" s="4585"/>
      <c r="C85" s="4587"/>
      <c r="D85" s="4589"/>
    </row>
    <row r="86" spans="1:4" ht="15.75" thickBot="1">
      <c r="A86" s="1976" t="s">
        <v>1872</v>
      </c>
      <c r="B86" s="4586"/>
      <c r="C86" s="4588"/>
      <c r="D86" s="4590"/>
    </row>
    <row r="87" spans="1:4" ht="15.75" thickBot="1">
      <c r="A87" s="1976" t="s">
        <v>1873</v>
      </c>
      <c r="B87" s="1977" t="s">
        <v>1874</v>
      </c>
      <c r="C87" s="1978"/>
      <c r="D87" s="1973"/>
    </row>
    <row r="88" spans="1:4" ht="15.75" thickBot="1">
      <c r="A88" s="1976" t="s">
        <v>1875</v>
      </c>
      <c r="B88" s="1977" t="s">
        <v>1874</v>
      </c>
      <c r="C88" s="1978"/>
      <c r="D88" s="1973"/>
    </row>
    <row r="89" spans="1:4" ht="15.75" thickBot="1">
      <c r="A89" s="1976" t="s">
        <v>1882</v>
      </c>
      <c r="B89" s="1977" t="s">
        <v>1874</v>
      </c>
      <c r="C89" s="1978"/>
      <c r="D89" s="1973"/>
    </row>
    <row r="90" spans="1:4" ht="36.75" customHeight="1" thickBot="1">
      <c r="A90" s="1971" t="s">
        <v>1910</v>
      </c>
      <c r="B90" s="1977" t="s">
        <v>1911</v>
      </c>
      <c r="C90" s="1981">
        <v>10602</v>
      </c>
      <c r="D90" s="1973"/>
    </row>
    <row r="91" spans="1:4">
      <c r="A91" s="1975" t="s">
        <v>1871</v>
      </c>
      <c r="B91" s="4585"/>
      <c r="C91" s="4587"/>
      <c r="D91" s="4589"/>
    </row>
    <row r="92" spans="1:4" ht="15.75" thickBot="1">
      <c r="A92" s="1976" t="s">
        <v>1872</v>
      </c>
      <c r="B92" s="4586"/>
      <c r="C92" s="4588"/>
      <c r="D92" s="4590"/>
    </row>
    <row r="93" spans="1:4" ht="15.75" thickBot="1">
      <c r="A93" s="1976" t="s">
        <v>1873</v>
      </c>
      <c r="B93" s="1977" t="s">
        <v>1874</v>
      </c>
      <c r="C93" s="1978"/>
      <c r="D93" s="1973"/>
    </row>
    <row r="94" spans="1:4" ht="15.75" thickBot="1">
      <c r="A94" s="1976" t="s">
        <v>1875</v>
      </c>
      <c r="B94" s="1977" t="s">
        <v>1874</v>
      </c>
      <c r="C94" s="1978"/>
      <c r="D94" s="1973"/>
    </row>
    <row r="95" spans="1:4" ht="15.75" thickBot="1">
      <c r="A95" s="1976" t="s">
        <v>1882</v>
      </c>
      <c r="B95" s="1977" t="s">
        <v>1874</v>
      </c>
      <c r="C95" s="1978"/>
      <c r="D95" s="1973"/>
    </row>
    <row r="96" spans="1:4" ht="15.75" thickBot="1">
      <c r="A96" s="1971" t="s">
        <v>1912</v>
      </c>
      <c r="B96" s="1977" t="s">
        <v>1913</v>
      </c>
      <c r="C96" s="1981">
        <v>10604</v>
      </c>
      <c r="D96" s="1973"/>
    </row>
    <row r="97" spans="1:8">
      <c r="A97" s="1975" t="s">
        <v>1871</v>
      </c>
      <c r="B97" s="4585"/>
      <c r="C97" s="4587"/>
      <c r="D97" s="4589"/>
    </row>
    <row r="98" spans="1:8" ht="15.75" thickBot="1">
      <c r="A98" s="1976" t="s">
        <v>1872</v>
      </c>
      <c r="B98" s="4586"/>
      <c r="C98" s="4588"/>
      <c r="D98" s="4590"/>
    </row>
    <row r="99" spans="1:8" ht="15.75" thickBot="1">
      <c r="A99" s="1976" t="s">
        <v>1873</v>
      </c>
      <c r="B99" s="1977" t="s">
        <v>1874</v>
      </c>
      <c r="C99" s="1978"/>
      <c r="D99" s="1973"/>
    </row>
    <row r="100" spans="1:8" ht="15.75" thickBot="1">
      <c r="A100" s="1976" t="s">
        <v>1875</v>
      </c>
      <c r="B100" s="1977" t="s">
        <v>1874</v>
      </c>
      <c r="C100" s="1978"/>
      <c r="D100" s="1973"/>
    </row>
    <row r="101" spans="1:8" ht="15.75" thickBot="1">
      <c r="A101" s="1976" t="s">
        <v>1882</v>
      </c>
      <c r="B101" s="1977" t="s">
        <v>1874</v>
      </c>
      <c r="C101" s="1978"/>
      <c r="D101" s="1973"/>
    </row>
    <row r="102" spans="1:8" ht="24" customHeight="1">
      <c r="A102" s="4591" t="s">
        <v>1914</v>
      </c>
      <c r="B102" s="4563" t="s">
        <v>1915</v>
      </c>
      <c r="C102" s="4565">
        <v>10510</v>
      </c>
      <c r="D102" s="4589"/>
    </row>
    <row r="103" spans="1:8" ht="3.75" customHeight="1" thickBot="1">
      <c r="A103" s="4592"/>
      <c r="B103" s="4593"/>
      <c r="C103" s="4594"/>
      <c r="D103" s="4595"/>
    </row>
    <row r="104" spans="1:8" ht="24.75" thickBot="1">
      <c r="A104" s="1994" t="s">
        <v>1916</v>
      </c>
      <c r="B104" s="1995" t="s">
        <v>435</v>
      </c>
      <c r="C104" s="1996">
        <v>10700</v>
      </c>
      <c r="D104" s="2000">
        <f>D106-D105-D81-D72-D69-D8</f>
        <v>28987.541000000001</v>
      </c>
    </row>
    <row r="105" spans="1:8" ht="15.75" thickBot="1">
      <c r="A105" s="1997" t="s">
        <v>1917</v>
      </c>
      <c r="B105" s="1966" t="s">
        <v>435</v>
      </c>
      <c r="C105" s="1972">
        <v>10800</v>
      </c>
      <c r="D105" s="2001">
        <f>'Шаблон 46 ГП'!C27/1000</f>
        <v>24830.239000000001</v>
      </c>
    </row>
    <row r="106" spans="1:8">
      <c r="A106" s="1987" t="s">
        <v>1918</v>
      </c>
      <c r="B106" s="4563" t="s">
        <v>435</v>
      </c>
      <c r="C106" s="4565">
        <v>10900</v>
      </c>
      <c r="D106" s="4567">
        <f>'Шаблон 46 ГП'!C277/1000</f>
        <v>55391.792000000001</v>
      </c>
    </row>
    <row r="107" spans="1:8" ht="24.75" thickBot="1">
      <c r="A107" s="1971" t="s">
        <v>1919</v>
      </c>
      <c r="B107" s="4564"/>
      <c r="C107" s="4566"/>
      <c r="D107" s="4568"/>
      <c r="F107" s="4569"/>
      <c r="G107" s="1998"/>
      <c r="H107" s="1998"/>
    </row>
    <row r="108" spans="1:8" ht="15.75">
      <c r="A108" s="4570"/>
      <c r="B108" s="4571"/>
      <c r="C108" s="4571"/>
      <c r="D108" s="4572"/>
      <c r="F108" s="4569"/>
      <c r="G108" s="1998"/>
      <c r="H108" s="1998"/>
    </row>
    <row r="109" spans="1:8" ht="36" customHeight="1">
      <c r="A109" s="4573" t="s">
        <v>1920</v>
      </c>
      <c r="B109" s="4574"/>
      <c r="C109" s="4574"/>
      <c r="D109" s="4575"/>
    </row>
    <row r="110" spans="1:8" ht="36" customHeight="1">
      <c r="A110" s="4573" t="s">
        <v>1921</v>
      </c>
      <c r="B110" s="4574"/>
      <c r="C110" s="4574"/>
      <c r="D110" s="4575"/>
    </row>
    <row r="111" spans="1:8" ht="15.75">
      <c r="A111" s="4576"/>
      <c r="B111" s="4577"/>
      <c r="C111" s="4577"/>
      <c r="D111" s="4578"/>
    </row>
    <row r="112" spans="1:8" ht="15.75">
      <c r="A112" s="4576"/>
      <c r="B112" s="4577"/>
      <c r="C112" s="4577"/>
      <c r="D112" s="4578"/>
    </row>
    <row r="113" spans="1:4" ht="47.25" customHeight="1">
      <c r="A113" s="4579" t="s">
        <v>1922</v>
      </c>
      <c r="B113" s="4580"/>
      <c r="C113" s="4580"/>
      <c r="D113" s="4581"/>
    </row>
    <row r="114" spans="1:4" ht="24" customHeight="1">
      <c r="A114" s="4582" t="s">
        <v>1923</v>
      </c>
      <c r="B114" s="4583"/>
      <c r="C114" s="4583"/>
      <c r="D114" s="4584"/>
    </row>
    <row r="115" spans="1:4" ht="15.75" thickBot="1">
      <c r="A115" s="4560"/>
      <c r="B115" s="4561"/>
      <c r="C115" s="4561"/>
      <c r="D115" s="4562"/>
    </row>
  </sheetData>
  <mergeCells count="87">
    <mergeCell ref="A8:A9"/>
    <mergeCell ref="C8:C9"/>
    <mergeCell ref="D8:D9"/>
    <mergeCell ref="A1:D1"/>
    <mergeCell ref="A2:D2"/>
    <mergeCell ref="A3:D3"/>
    <mergeCell ref="A4:D4"/>
    <mergeCell ref="D5:D6"/>
    <mergeCell ref="B25:B26"/>
    <mergeCell ref="C25:C26"/>
    <mergeCell ref="D25:D26"/>
    <mergeCell ref="A12:A13"/>
    <mergeCell ref="C12:C13"/>
    <mergeCell ref="D12:D13"/>
    <mergeCell ref="B14:B15"/>
    <mergeCell ref="C14:C15"/>
    <mergeCell ref="D14:D15"/>
    <mergeCell ref="A19:A20"/>
    <mergeCell ref="C19:C20"/>
    <mergeCell ref="D19:D20"/>
    <mergeCell ref="B22:B24"/>
    <mergeCell ref="D22:D24"/>
    <mergeCell ref="B31:B32"/>
    <mergeCell ref="C31:C32"/>
    <mergeCell ref="D31:D32"/>
    <mergeCell ref="B37:B38"/>
    <mergeCell ref="C37:C38"/>
    <mergeCell ref="D37:D38"/>
    <mergeCell ref="B43:B44"/>
    <mergeCell ref="C43:C44"/>
    <mergeCell ref="D43:D44"/>
    <mergeCell ref="B48:B49"/>
    <mergeCell ref="C48:C49"/>
    <mergeCell ref="D48:D49"/>
    <mergeCell ref="B64:B65"/>
    <mergeCell ref="C64:C65"/>
    <mergeCell ref="D64:D65"/>
    <mergeCell ref="B50:B51"/>
    <mergeCell ref="C50:C51"/>
    <mergeCell ref="D50:D51"/>
    <mergeCell ref="B55:B56"/>
    <mergeCell ref="C55:C56"/>
    <mergeCell ref="D55:D56"/>
    <mergeCell ref="B57:B58"/>
    <mergeCell ref="C57:C58"/>
    <mergeCell ref="D57:D58"/>
    <mergeCell ref="B62:B63"/>
    <mergeCell ref="D62:D63"/>
    <mergeCell ref="A81:A82"/>
    <mergeCell ref="D81:D82"/>
    <mergeCell ref="A69:A70"/>
    <mergeCell ref="B69:B70"/>
    <mergeCell ref="C69:C70"/>
    <mergeCell ref="D69:D70"/>
    <mergeCell ref="A72:A73"/>
    <mergeCell ref="C72:C73"/>
    <mergeCell ref="D72:D73"/>
    <mergeCell ref="B74:B75"/>
    <mergeCell ref="C74:C75"/>
    <mergeCell ref="D74:D75"/>
    <mergeCell ref="A79:A80"/>
    <mergeCell ref="D79:D80"/>
    <mergeCell ref="B85:B86"/>
    <mergeCell ref="C85:C86"/>
    <mergeCell ref="D85:D86"/>
    <mergeCell ref="B91:B92"/>
    <mergeCell ref="C91:C92"/>
    <mergeCell ref="D91:D92"/>
    <mergeCell ref="B97:B98"/>
    <mergeCell ref="C97:C98"/>
    <mergeCell ref="D97:D98"/>
    <mergeCell ref="A102:A103"/>
    <mergeCell ref="B102:B103"/>
    <mergeCell ref="C102:C103"/>
    <mergeCell ref="D102:D103"/>
    <mergeCell ref="A115:D115"/>
    <mergeCell ref="B106:B107"/>
    <mergeCell ref="C106:C107"/>
    <mergeCell ref="D106:D107"/>
    <mergeCell ref="F107:F108"/>
    <mergeCell ref="A108:D108"/>
    <mergeCell ref="A109:D109"/>
    <mergeCell ref="A110:D110"/>
    <mergeCell ref="A111:D111"/>
    <mergeCell ref="A112:D112"/>
    <mergeCell ref="A113:D113"/>
    <mergeCell ref="A114:D114"/>
  </mergeCells>
  <pageMargins left="0.7" right="0.7" top="0.75" bottom="0.75" header="0.3" footer="0.3"/>
  <pageSetup paperSize="9" scale="80" fitToHeight="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workbookViewId="0">
      <selection activeCell="G31" sqref="G31"/>
    </sheetView>
  </sheetViews>
  <sheetFormatPr defaultRowHeight="12.75"/>
  <cols>
    <col min="1" max="1" width="26" customWidth="1"/>
    <col min="2" max="2" width="8.85546875" customWidth="1"/>
  </cols>
  <sheetData>
    <row r="1" spans="1:5">
      <c r="B1" s="414" t="s">
        <v>1925</v>
      </c>
      <c r="C1" s="414" t="s">
        <v>1926</v>
      </c>
      <c r="D1" t="s">
        <v>1930</v>
      </c>
      <c r="E1" t="s">
        <v>1931</v>
      </c>
    </row>
    <row r="2" spans="1:5">
      <c r="A2" t="s">
        <v>1924</v>
      </c>
    </row>
    <row r="3" spans="1:5">
      <c r="A3" t="s">
        <v>1927</v>
      </c>
    </row>
    <row r="4" spans="1:5">
      <c r="A4" t="s">
        <v>1928</v>
      </c>
    </row>
    <row r="5" spans="1:5">
      <c r="A5" t="s">
        <v>1929</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7"/>
  </sheetPr>
  <dimension ref="A1:WVZ1395"/>
  <sheetViews>
    <sheetView zoomScaleNormal="100" zoomScaleSheetLayoutView="100" workbookViewId="0">
      <selection activeCell="K27" sqref="K27"/>
    </sheetView>
  </sheetViews>
  <sheetFormatPr defaultColWidth="0" defaultRowHeight="15.75"/>
  <cols>
    <col min="1" max="1" width="6" style="2675" customWidth="1"/>
    <col min="2" max="2" width="46.85546875" style="2551" customWidth="1"/>
    <col min="3" max="3" width="15.28515625" style="2560" customWidth="1"/>
    <col min="4" max="4" width="9.42578125" style="2560" customWidth="1"/>
    <col min="5" max="5" width="10.140625" style="2560" customWidth="1"/>
    <col min="6" max="6" width="9.5703125" style="2560" customWidth="1"/>
    <col min="7" max="7" width="9.28515625" style="2560" customWidth="1"/>
    <col min="8" max="8" width="10.140625" style="2560" customWidth="1"/>
    <col min="9" max="9" width="9.5703125" style="2560" customWidth="1"/>
    <col min="10" max="11" width="9.85546875" style="2560" customWidth="1"/>
    <col min="12" max="12" width="8.85546875" style="2560" customWidth="1"/>
    <col min="13" max="13" width="10" style="2551" customWidth="1"/>
    <col min="14" max="14" width="8.85546875" style="2551" customWidth="1"/>
    <col min="15" max="15" width="9.42578125" style="2551" customWidth="1"/>
    <col min="16" max="16" width="9" style="2551" customWidth="1"/>
    <col min="17" max="17" width="7.85546875" style="2551" customWidth="1"/>
    <col min="18" max="18" width="9.140625" style="2554" customWidth="1"/>
    <col min="19" max="256" width="9.140625" style="2554" hidden="1"/>
    <col min="257" max="257" width="6" style="2554" customWidth="1"/>
    <col min="258" max="258" width="14.7109375" style="2669" customWidth="1"/>
    <col min="259" max="259" width="11.85546875" style="2554" customWidth="1"/>
    <col min="260" max="261" width="10.140625" style="2554" customWidth="1"/>
    <col min="262" max="262" width="9.5703125" style="2554" customWidth="1"/>
    <col min="263" max="263" width="9.28515625" style="2554" customWidth="1"/>
    <col min="264" max="264" width="10.140625" style="2554" customWidth="1"/>
    <col min="265" max="265" width="9.5703125" style="2554" customWidth="1"/>
    <col min="266" max="267" width="9.85546875" style="2554" customWidth="1"/>
    <col min="268" max="268" width="8.85546875" style="2554" customWidth="1"/>
    <col min="269" max="269" width="10" style="2554" customWidth="1"/>
    <col min="270" max="270" width="8.85546875" style="2554" customWidth="1"/>
    <col min="271" max="271" width="9.42578125" style="2554" customWidth="1"/>
    <col min="272" max="272" width="9" style="2554" customWidth="1"/>
    <col min="273" max="273" width="7.85546875" style="2554" customWidth="1"/>
    <col min="274" max="274" width="9.140625" style="2554" customWidth="1"/>
    <col min="275" max="512" width="9.140625" style="2554" hidden="1"/>
    <col min="513" max="513" width="6" style="2554" customWidth="1"/>
    <col min="514" max="514" width="46.85546875" style="2554" customWidth="1"/>
    <col min="515" max="515" width="15.28515625" style="2554" customWidth="1"/>
    <col min="516" max="516" width="9.42578125" style="2554" customWidth="1"/>
    <col min="517" max="517" width="10.140625" style="2554" customWidth="1"/>
    <col min="518" max="518" width="9.5703125" style="2554" customWidth="1"/>
    <col min="519" max="519" width="9.28515625" style="2554" customWidth="1"/>
    <col min="520" max="520" width="10.140625" style="2554" customWidth="1"/>
    <col min="521" max="521" width="9.5703125" style="2554" customWidth="1"/>
    <col min="522" max="523" width="9.85546875" style="2554" customWidth="1"/>
    <col min="524" max="524" width="8.85546875" style="2554" customWidth="1"/>
    <col min="525" max="525" width="10" style="2554" customWidth="1"/>
    <col min="526" max="526" width="8.85546875" style="2554" customWidth="1"/>
    <col min="527" max="527" width="9.42578125" style="2554" customWidth="1"/>
    <col min="528" max="528" width="9" style="2554" customWidth="1"/>
    <col min="529" max="529" width="7.85546875" style="2554" customWidth="1"/>
    <col min="530" max="530" width="9.140625" style="2554" customWidth="1"/>
    <col min="531" max="768" width="9.140625" style="2554" hidden="1"/>
    <col min="769" max="769" width="6" style="2554" customWidth="1"/>
    <col min="770" max="770" width="46.85546875" style="2554" customWidth="1"/>
    <col min="771" max="771" width="15.28515625" style="2554" customWidth="1"/>
    <col min="772" max="772" width="9.42578125" style="2554" customWidth="1"/>
    <col min="773" max="773" width="10.140625" style="2554" customWidth="1"/>
    <col min="774" max="774" width="9.5703125" style="2554" customWidth="1"/>
    <col min="775" max="775" width="9.28515625" style="2554" customWidth="1"/>
    <col min="776" max="776" width="10.140625" style="2554" customWidth="1"/>
    <col min="777" max="777" width="9.5703125" style="2554" customWidth="1"/>
    <col min="778" max="779" width="9.85546875" style="2554" customWidth="1"/>
    <col min="780" max="780" width="8.85546875" style="2554" customWidth="1"/>
    <col min="781" max="781" width="10" style="2554" customWidth="1"/>
    <col min="782" max="782" width="8.85546875" style="2554" customWidth="1"/>
    <col min="783" max="783" width="9.42578125" style="2554" customWidth="1"/>
    <col min="784" max="784" width="9" style="2554" customWidth="1"/>
    <col min="785" max="785" width="7.85546875" style="2554" customWidth="1"/>
    <col min="786" max="786" width="9.140625" style="2554" customWidth="1"/>
    <col min="787" max="1024" width="9.140625" style="2554" hidden="1"/>
    <col min="1025" max="1025" width="6" style="2554" customWidth="1"/>
    <col min="1026" max="1026" width="46.85546875" style="2554" customWidth="1"/>
    <col min="1027" max="1027" width="15.28515625" style="2554" customWidth="1"/>
    <col min="1028" max="1028" width="9.42578125" style="2554" customWidth="1"/>
    <col min="1029" max="1029" width="10.140625" style="2554" customWidth="1"/>
    <col min="1030" max="1030" width="9.5703125" style="2554" customWidth="1"/>
    <col min="1031" max="1031" width="9.28515625" style="2554" customWidth="1"/>
    <col min="1032" max="1032" width="10.140625" style="2554" customWidth="1"/>
    <col min="1033" max="1033" width="9.5703125" style="2554" customWidth="1"/>
    <col min="1034" max="1035" width="9.85546875" style="2554" customWidth="1"/>
    <col min="1036" max="1036" width="8.85546875" style="2554" customWidth="1"/>
    <col min="1037" max="1037" width="10" style="2554" customWidth="1"/>
    <col min="1038" max="1038" width="8.85546875" style="2554" customWidth="1"/>
    <col min="1039" max="1039" width="9.42578125" style="2554" customWidth="1"/>
    <col min="1040" max="1040" width="9" style="2554" customWidth="1"/>
    <col min="1041" max="1041" width="7.85546875" style="2554" customWidth="1"/>
    <col min="1042" max="1042" width="9.140625" style="2554" customWidth="1"/>
    <col min="1043" max="1280" width="9.140625" style="2554" hidden="1"/>
    <col min="1281" max="1281" width="6" style="2554" customWidth="1"/>
    <col min="1282" max="1282" width="46.85546875" style="2554" customWidth="1"/>
    <col min="1283" max="1283" width="15.28515625" style="2554" customWidth="1"/>
    <col min="1284" max="1284" width="9.42578125" style="2554" customWidth="1"/>
    <col min="1285" max="1285" width="10.140625" style="2554" customWidth="1"/>
    <col min="1286" max="1286" width="9.5703125" style="2554" customWidth="1"/>
    <col min="1287" max="1287" width="9.28515625" style="2554" customWidth="1"/>
    <col min="1288" max="1288" width="10.140625" style="2554" customWidth="1"/>
    <col min="1289" max="1289" width="9.5703125" style="2554" customWidth="1"/>
    <col min="1290" max="1291" width="9.85546875" style="2554" customWidth="1"/>
    <col min="1292" max="1292" width="8.85546875" style="2554" customWidth="1"/>
    <col min="1293" max="1293" width="10" style="2554" customWidth="1"/>
    <col min="1294" max="1294" width="8.85546875" style="2554" customWidth="1"/>
    <col min="1295" max="1295" width="9.42578125" style="2554" customWidth="1"/>
    <col min="1296" max="1296" width="9" style="2554" customWidth="1"/>
    <col min="1297" max="1297" width="7.85546875" style="2554" customWidth="1"/>
    <col min="1298" max="1298" width="9.140625" style="2554" customWidth="1"/>
    <col min="1299" max="1536" width="9.140625" style="2554" hidden="1"/>
    <col min="1537" max="1537" width="6" style="2554" customWidth="1"/>
    <col min="1538" max="1538" width="46.85546875" style="2554" customWidth="1"/>
    <col min="1539" max="1539" width="15.28515625" style="2554" customWidth="1"/>
    <col min="1540" max="1540" width="9.42578125" style="2554" customWidth="1"/>
    <col min="1541" max="1541" width="10.140625" style="2554" customWidth="1"/>
    <col min="1542" max="1542" width="9.5703125" style="2554" customWidth="1"/>
    <col min="1543" max="1543" width="9.28515625" style="2554" customWidth="1"/>
    <col min="1544" max="1544" width="10.140625" style="2554" customWidth="1"/>
    <col min="1545" max="1545" width="9.5703125" style="2554" customWidth="1"/>
    <col min="1546" max="1547" width="9.85546875" style="2554" customWidth="1"/>
    <col min="1548" max="1548" width="8.85546875" style="2554" customWidth="1"/>
    <col min="1549" max="1549" width="10" style="2554" customWidth="1"/>
    <col min="1550" max="1550" width="8.85546875" style="2554" customWidth="1"/>
    <col min="1551" max="1551" width="9.42578125" style="2554" customWidth="1"/>
    <col min="1552" max="1552" width="9" style="2554" customWidth="1"/>
    <col min="1553" max="1553" width="7.85546875" style="2554" customWidth="1"/>
    <col min="1554" max="1554" width="9.140625" style="2554" customWidth="1"/>
    <col min="1555" max="1792" width="9.140625" style="2554" hidden="1"/>
    <col min="1793" max="1793" width="6" style="2554" customWidth="1"/>
    <col min="1794" max="1794" width="46.85546875" style="2554" customWidth="1"/>
    <col min="1795" max="1795" width="15.28515625" style="2554" customWidth="1"/>
    <col min="1796" max="1796" width="9.42578125" style="2554" customWidth="1"/>
    <col min="1797" max="1797" width="10.140625" style="2554" customWidth="1"/>
    <col min="1798" max="1798" width="9.5703125" style="2554" customWidth="1"/>
    <col min="1799" max="1799" width="9.28515625" style="2554" customWidth="1"/>
    <col min="1800" max="1800" width="10.140625" style="2554" customWidth="1"/>
    <col min="1801" max="1801" width="9.5703125" style="2554" customWidth="1"/>
    <col min="1802" max="1803" width="9.85546875" style="2554" customWidth="1"/>
    <col min="1804" max="1804" width="8.85546875" style="2554" customWidth="1"/>
    <col min="1805" max="1805" width="10" style="2554" customWidth="1"/>
    <col min="1806" max="1806" width="8.85546875" style="2554" customWidth="1"/>
    <col min="1807" max="1807" width="9.42578125" style="2554" customWidth="1"/>
    <col min="1808" max="1808" width="9" style="2554" customWidth="1"/>
    <col min="1809" max="1809" width="7.85546875" style="2554" customWidth="1"/>
    <col min="1810" max="1810" width="9.140625" style="2554" customWidth="1"/>
    <col min="1811" max="2048" width="9.140625" style="2554" hidden="1"/>
    <col min="2049" max="2049" width="6" style="2554" customWidth="1"/>
    <col min="2050" max="2050" width="46.85546875" style="2554" customWidth="1"/>
    <col min="2051" max="2051" width="15.28515625" style="2554" customWidth="1"/>
    <col min="2052" max="2052" width="9.42578125" style="2554" customWidth="1"/>
    <col min="2053" max="2053" width="10.140625" style="2554" customWidth="1"/>
    <col min="2054" max="2054" width="9.5703125" style="2554" customWidth="1"/>
    <col min="2055" max="2055" width="9.28515625" style="2554" customWidth="1"/>
    <col min="2056" max="2056" width="10.140625" style="2554" customWidth="1"/>
    <col min="2057" max="2057" width="9.5703125" style="2554" customWidth="1"/>
    <col min="2058" max="2059" width="9.85546875" style="2554" customWidth="1"/>
    <col min="2060" max="2060" width="8.85546875" style="2554" customWidth="1"/>
    <col min="2061" max="2061" width="10" style="2554" customWidth="1"/>
    <col min="2062" max="2062" width="8.85546875" style="2554" customWidth="1"/>
    <col min="2063" max="2063" width="9.42578125" style="2554" customWidth="1"/>
    <col min="2064" max="2064" width="9" style="2554" customWidth="1"/>
    <col min="2065" max="2065" width="7.85546875" style="2554" customWidth="1"/>
    <col min="2066" max="2066" width="9.140625" style="2554" customWidth="1"/>
    <col min="2067" max="2304" width="9.140625" style="2554" hidden="1"/>
    <col min="2305" max="2305" width="6" style="2554" customWidth="1"/>
    <col min="2306" max="2306" width="46.85546875" style="2554" customWidth="1"/>
    <col min="2307" max="2307" width="15.28515625" style="2554" customWidth="1"/>
    <col min="2308" max="2308" width="9.42578125" style="2554" customWidth="1"/>
    <col min="2309" max="2309" width="10.140625" style="2554" customWidth="1"/>
    <col min="2310" max="2310" width="9.5703125" style="2554" customWidth="1"/>
    <col min="2311" max="2311" width="9.28515625" style="2554" customWidth="1"/>
    <col min="2312" max="2312" width="10.140625" style="2554" customWidth="1"/>
    <col min="2313" max="2313" width="9.5703125" style="2554" customWidth="1"/>
    <col min="2314" max="2315" width="9.85546875" style="2554" customWidth="1"/>
    <col min="2316" max="2316" width="8.85546875" style="2554" customWidth="1"/>
    <col min="2317" max="2317" width="10" style="2554" customWidth="1"/>
    <col min="2318" max="2318" width="8.85546875" style="2554" customWidth="1"/>
    <col min="2319" max="2319" width="9.42578125" style="2554" customWidth="1"/>
    <col min="2320" max="2320" width="9" style="2554" customWidth="1"/>
    <col min="2321" max="2321" width="7.85546875" style="2554" customWidth="1"/>
    <col min="2322" max="2322" width="9.140625" style="2554" customWidth="1"/>
    <col min="2323" max="2560" width="9.140625" style="2554" hidden="1"/>
    <col min="2561" max="2561" width="6" style="2554" customWidth="1"/>
    <col min="2562" max="2562" width="46.85546875" style="2554" customWidth="1"/>
    <col min="2563" max="2563" width="15.28515625" style="2554" customWidth="1"/>
    <col min="2564" max="2564" width="9.42578125" style="2554" customWidth="1"/>
    <col min="2565" max="2565" width="10.140625" style="2554" customWidth="1"/>
    <col min="2566" max="2566" width="9.5703125" style="2554" customWidth="1"/>
    <col min="2567" max="2567" width="9.28515625" style="2554" customWidth="1"/>
    <col min="2568" max="2568" width="10.140625" style="2554" customWidth="1"/>
    <col min="2569" max="2569" width="9.5703125" style="2554" customWidth="1"/>
    <col min="2570" max="2571" width="9.85546875" style="2554" customWidth="1"/>
    <col min="2572" max="2572" width="8.85546875" style="2554" customWidth="1"/>
    <col min="2573" max="2573" width="10" style="2554" customWidth="1"/>
    <col min="2574" max="2574" width="8.85546875" style="2554" customWidth="1"/>
    <col min="2575" max="2575" width="9.42578125" style="2554" customWidth="1"/>
    <col min="2576" max="2576" width="9" style="2554" customWidth="1"/>
    <col min="2577" max="2577" width="7.85546875" style="2554" customWidth="1"/>
    <col min="2578" max="2578" width="9.140625" style="2554" customWidth="1"/>
    <col min="2579" max="2816" width="9.140625" style="2554" hidden="1"/>
    <col min="2817" max="2817" width="6" style="2554" customWidth="1"/>
    <col min="2818" max="2818" width="46.85546875" style="2554" customWidth="1"/>
    <col min="2819" max="2819" width="15.28515625" style="2554" customWidth="1"/>
    <col min="2820" max="2820" width="9.42578125" style="2554" customWidth="1"/>
    <col min="2821" max="2821" width="10.140625" style="2554" customWidth="1"/>
    <col min="2822" max="2822" width="9.5703125" style="2554" customWidth="1"/>
    <col min="2823" max="2823" width="9.28515625" style="2554" customWidth="1"/>
    <col min="2824" max="2824" width="10.140625" style="2554" customWidth="1"/>
    <col min="2825" max="2825" width="9.5703125" style="2554" customWidth="1"/>
    <col min="2826" max="2827" width="9.85546875" style="2554" customWidth="1"/>
    <col min="2828" max="2828" width="8.85546875" style="2554" customWidth="1"/>
    <col min="2829" max="2829" width="10" style="2554" customWidth="1"/>
    <col min="2830" max="2830" width="8.85546875" style="2554" customWidth="1"/>
    <col min="2831" max="2831" width="9.42578125" style="2554" customWidth="1"/>
    <col min="2832" max="2832" width="9" style="2554" customWidth="1"/>
    <col min="2833" max="2833" width="7.85546875" style="2554" customWidth="1"/>
    <col min="2834" max="2834" width="9.140625" style="2554" customWidth="1"/>
    <col min="2835" max="3072" width="9.140625" style="2554" hidden="1"/>
    <col min="3073" max="3073" width="6" style="2554" customWidth="1"/>
    <col min="3074" max="3074" width="46.85546875" style="2554" customWidth="1"/>
    <col min="3075" max="3075" width="15.28515625" style="2554" customWidth="1"/>
    <col min="3076" max="3076" width="9.42578125" style="2554" customWidth="1"/>
    <col min="3077" max="3077" width="10.140625" style="2554" customWidth="1"/>
    <col min="3078" max="3078" width="9.5703125" style="2554" customWidth="1"/>
    <col min="3079" max="3079" width="9.28515625" style="2554" customWidth="1"/>
    <col min="3080" max="3080" width="10.140625" style="2554" customWidth="1"/>
    <col min="3081" max="3081" width="9.5703125" style="2554" customWidth="1"/>
    <col min="3082" max="3083" width="9.85546875" style="2554" customWidth="1"/>
    <col min="3084" max="3084" width="8.85546875" style="2554" customWidth="1"/>
    <col min="3085" max="3085" width="10" style="2554" customWidth="1"/>
    <col min="3086" max="3086" width="8.85546875" style="2554" customWidth="1"/>
    <col min="3087" max="3087" width="9.42578125" style="2554" customWidth="1"/>
    <col min="3088" max="3088" width="9" style="2554" customWidth="1"/>
    <col min="3089" max="3089" width="7.85546875" style="2554" customWidth="1"/>
    <col min="3090" max="3090" width="9.140625" style="2554" customWidth="1"/>
    <col min="3091" max="3328" width="9.140625" style="2554" hidden="1"/>
    <col min="3329" max="3329" width="6" style="2554" customWidth="1"/>
    <col min="3330" max="3330" width="46.85546875" style="2554" customWidth="1"/>
    <col min="3331" max="3331" width="15.28515625" style="2554" customWidth="1"/>
    <col min="3332" max="3332" width="9.42578125" style="2554" customWidth="1"/>
    <col min="3333" max="3333" width="10.140625" style="2554" customWidth="1"/>
    <col min="3334" max="3334" width="9.5703125" style="2554" customWidth="1"/>
    <col min="3335" max="3335" width="9.28515625" style="2554" customWidth="1"/>
    <col min="3336" max="3336" width="10.140625" style="2554" customWidth="1"/>
    <col min="3337" max="3337" width="9.5703125" style="2554" customWidth="1"/>
    <col min="3338" max="3339" width="9.85546875" style="2554" customWidth="1"/>
    <col min="3340" max="3340" width="8.85546875" style="2554" customWidth="1"/>
    <col min="3341" max="3341" width="10" style="2554" customWidth="1"/>
    <col min="3342" max="3342" width="8.85546875" style="2554" customWidth="1"/>
    <col min="3343" max="3343" width="9.42578125" style="2554" customWidth="1"/>
    <col min="3344" max="3344" width="9" style="2554" customWidth="1"/>
    <col min="3345" max="3345" width="7.85546875" style="2554" customWidth="1"/>
    <col min="3346" max="3346" width="9.140625" style="2554" customWidth="1"/>
    <col min="3347" max="3584" width="9.140625" style="2554" hidden="1"/>
    <col min="3585" max="3585" width="6" style="2554" customWidth="1"/>
    <col min="3586" max="3586" width="46.85546875" style="2554" customWidth="1"/>
    <col min="3587" max="3587" width="15.28515625" style="2554" customWidth="1"/>
    <col min="3588" max="3588" width="9.42578125" style="2554" customWidth="1"/>
    <col min="3589" max="3589" width="10.140625" style="2554" customWidth="1"/>
    <col min="3590" max="3590" width="9.5703125" style="2554" customWidth="1"/>
    <col min="3591" max="3591" width="9.28515625" style="2554" customWidth="1"/>
    <col min="3592" max="3592" width="10.140625" style="2554" customWidth="1"/>
    <col min="3593" max="3593" width="9.5703125" style="2554" customWidth="1"/>
    <col min="3594" max="3595" width="9.85546875" style="2554" customWidth="1"/>
    <col min="3596" max="3596" width="8.85546875" style="2554" customWidth="1"/>
    <col min="3597" max="3597" width="10" style="2554" customWidth="1"/>
    <col min="3598" max="3598" width="8.85546875" style="2554" customWidth="1"/>
    <col min="3599" max="3599" width="9.42578125" style="2554" customWidth="1"/>
    <col min="3600" max="3600" width="9" style="2554" customWidth="1"/>
    <col min="3601" max="3601" width="7.85546875" style="2554" customWidth="1"/>
    <col min="3602" max="3602" width="9.140625" style="2554" customWidth="1"/>
    <col min="3603" max="3840" width="9.140625" style="2554" hidden="1"/>
    <col min="3841" max="3841" width="6" style="2554" customWidth="1"/>
    <col min="3842" max="3842" width="46.85546875" style="2554" customWidth="1"/>
    <col min="3843" max="3843" width="15.28515625" style="2554" customWidth="1"/>
    <col min="3844" max="3844" width="9.42578125" style="2554" customWidth="1"/>
    <col min="3845" max="3845" width="10.140625" style="2554" customWidth="1"/>
    <col min="3846" max="3846" width="9.5703125" style="2554" customWidth="1"/>
    <col min="3847" max="3847" width="9.28515625" style="2554" customWidth="1"/>
    <col min="3848" max="3848" width="10.140625" style="2554" customWidth="1"/>
    <col min="3849" max="3849" width="9.5703125" style="2554" customWidth="1"/>
    <col min="3850" max="3851" width="9.85546875" style="2554" customWidth="1"/>
    <col min="3852" max="3852" width="8.85546875" style="2554" customWidth="1"/>
    <col min="3853" max="3853" width="10" style="2554" customWidth="1"/>
    <col min="3854" max="3854" width="8.85546875" style="2554" customWidth="1"/>
    <col min="3855" max="3855" width="9.42578125" style="2554" customWidth="1"/>
    <col min="3856" max="3856" width="9" style="2554" customWidth="1"/>
    <col min="3857" max="3857" width="7.85546875" style="2554" customWidth="1"/>
    <col min="3858" max="3858" width="9.140625" style="2554" customWidth="1"/>
    <col min="3859" max="4096" width="9.140625" style="2554" hidden="1"/>
    <col min="4097" max="4097" width="6" style="2554" customWidth="1"/>
    <col min="4098" max="4098" width="46.85546875" style="2554" customWidth="1"/>
    <col min="4099" max="4099" width="15.28515625" style="2554" customWidth="1"/>
    <col min="4100" max="4100" width="9.42578125" style="2554" customWidth="1"/>
    <col min="4101" max="4101" width="10.140625" style="2554" customWidth="1"/>
    <col min="4102" max="4102" width="9.5703125" style="2554" customWidth="1"/>
    <col min="4103" max="4103" width="9.28515625" style="2554" customWidth="1"/>
    <col min="4104" max="4104" width="10.140625" style="2554" customWidth="1"/>
    <col min="4105" max="4105" width="9.5703125" style="2554" customWidth="1"/>
    <col min="4106" max="4107" width="9.85546875" style="2554" customWidth="1"/>
    <col min="4108" max="4108" width="8.85546875" style="2554" customWidth="1"/>
    <col min="4109" max="4109" width="10" style="2554" customWidth="1"/>
    <col min="4110" max="4110" width="8.85546875" style="2554" customWidth="1"/>
    <col min="4111" max="4111" width="9.42578125" style="2554" customWidth="1"/>
    <col min="4112" max="4112" width="9" style="2554" customWidth="1"/>
    <col min="4113" max="4113" width="7.85546875" style="2554" customWidth="1"/>
    <col min="4114" max="4114" width="9.140625" style="2554" customWidth="1"/>
    <col min="4115" max="4352" width="9.140625" style="2554" hidden="1"/>
    <col min="4353" max="4353" width="6" style="2554" customWidth="1"/>
    <col min="4354" max="4354" width="46.85546875" style="2554" customWidth="1"/>
    <col min="4355" max="4355" width="15.28515625" style="2554" customWidth="1"/>
    <col min="4356" max="4356" width="9.42578125" style="2554" customWidth="1"/>
    <col min="4357" max="4357" width="10.140625" style="2554" customWidth="1"/>
    <col min="4358" max="4358" width="9.5703125" style="2554" customWidth="1"/>
    <col min="4359" max="4359" width="9.28515625" style="2554" customWidth="1"/>
    <col min="4360" max="4360" width="10.140625" style="2554" customWidth="1"/>
    <col min="4361" max="4361" width="9.5703125" style="2554" customWidth="1"/>
    <col min="4362" max="4363" width="9.85546875" style="2554" customWidth="1"/>
    <col min="4364" max="4364" width="8.85546875" style="2554" customWidth="1"/>
    <col min="4365" max="4365" width="10" style="2554" customWidth="1"/>
    <col min="4366" max="4366" width="8.85546875" style="2554" customWidth="1"/>
    <col min="4367" max="4367" width="9.42578125" style="2554" customWidth="1"/>
    <col min="4368" max="4368" width="9" style="2554" customWidth="1"/>
    <col min="4369" max="4369" width="7.85546875" style="2554" customWidth="1"/>
    <col min="4370" max="4370" width="9.140625" style="2554" customWidth="1"/>
    <col min="4371" max="4608" width="9.140625" style="2554" hidden="1"/>
    <col min="4609" max="4609" width="6" style="2554" customWidth="1"/>
    <col min="4610" max="4610" width="46.85546875" style="2554" customWidth="1"/>
    <col min="4611" max="4611" width="15.28515625" style="2554" customWidth="1"/>
    <col min="4612" max="4612" width="9.42578125" style="2554" customWidth="1"/>
    <col min="4613" max="4613" width="10.140625" style="2554" customWidth="1"/>
    <col min="4614" max="4614" width="9.5703125" style="2554" customWidth="1"/>
    <col min="4615" max="4615" width="9.28515625" style="2554" customWidth="1"/>
    <col min="4616" max="4616" width="10.140625" style="2554" customWidth="1"/>
    <col min="4617" max="4617" width="9.5703125" style="2554" customWidth="1"/>
    <col min="4618" max="4619" width="9.85546875" style="2554" customWidth="1"/>
    <col min="4620" max="4620" width="8.85546875" style="2554" customWidth="1"/>
    <col min="4621" max="4621" width="10" style="2554" customWidth="1"/>
    <col min="4622" max="4622" width="8.85546875" style="2554" customWidth="1"/>
    <col min="4623" max="4623" width="9.42578125" style="2554" customWidth="1"/>
    <col min="4624" max="4624" width="9" style="2554" customWidth="1"/>
    <col min="4625" max="4625" width="7.85546875" style="2554" customWidth="1"/>
    <col min="4626" max="4626" width="9.140625" style="2554" customWidth="1"/>
    <col min="4627" max="4864" width="9.140625" style="2554" hidden="1"/>
    <col min="4865" max="4865" width="6" style="2554" customWidth="1"/>
    <col min="4866" max="4866" width="46.85546875" style="2554" customWidth="1"/>
    <col min="4867" max="4867" width="15.28515625" style="2554" customWidth="1"/>
    <col min="4868" max="4868" width="9.42578125" style="2554" customWidth="1"/>
    <col min="4869" max="4869" width="10.140625" style="2554" customWidth="1"/>
    <col min="4870" max="4870" width="9.5703125" style="2554" customWidth="1"/>
    <col min="4871" max="4871" width="9.28515625" style="2554" customWidth="1"/>
    <col min="4872" max="4872" width="10.140625" style="2554" customWidth="1"/>
    <col min="4873" max="4873" width="9.5703125" style="2554" customWidth="1"/>
    <col min="4874" max="4875" width="9.85546875" style="2554" customWidth="1"/>
    <col min="4876" max="4876" width="8.85546875" style="2554" customWidth="1"/>
    <col min="4877" max="4877" width="10" style="2554" customWidth="1"/>
    <col min="4878" max="4878" width="8.85546875" style="2554" customWidth="1"/>
    <col min="4879" max="4879" width="9.42578125" style="2554" customWidth="1"/>
    <col min="4880" max="4880" width="9" style="2554" customWidth="1"/>
    <col min="4881" max="4881" width="7.85546875" style="2554" customWidth="1"/>
    <col min="4882" max="4882" width="9.140625" style="2554" customWidth="1"/>
    <col min="4883" max="5120" width="9.140625" style="2554" hidden="1"/>
    <col min="5121" max="5121" width="6" style="2554" customWidth="1"/>
    <col min="5122" max="5122" width="46.85546875" style="2554" customWidth="1"/>
    <col min="5123" max="5123" width="15.28515625" style="2554" customWidth="1"/>
    <col min="5124" max="5124" width="9.42578125" style="2554" customWidth="1"/>
    <col min="5125" max="5125" width="10.140625" style="2554" customWidth="1"/>
    <col min="5126" max="5126" width="9.5703125" style="2554" customWidth="1"/>
    <col min="5127" max="5127" width="9.28515625" style="2554" customWidth="1"/>
    <col min="5128" max="5128" width="10.140625" style="2554" customWidth="1"/>
    <col min="5129" max="5129" width="9.5703125" style="2554" customWidth="1"/>
    <col min="5130" max="5131" width="9.85546875" style="2554" customWidth="1"/>
    <col min="5132" max="5132" width="8.85546875" style="2554" customWidth="1"/>
    <col min="5133" max="5133" width="10" style="2554" customWidth="1"/>
    <col min="5134" max="5134" width="8.85546875" style="2554" customWidth="1"/>
    <col min="5135" max="5135" width="9.42578125" style="2554" customWidth="1"/>
    <col min="5136" max="5136" width="9" style="2554" customWidth="1"/>
    <col min="5137" max="5137" width="7.85546875" style="2554" customWidth="1"/>
    <col min="5138" max="5138" width="9.140625" style="2554" customWidth="1"/>
    <col min="5139" max="5376" width="9.140625" style="2554" hidden="1"/>
    <col min="5377" max="5377" width="6" style="2554" customWidth="1"/>
    <col min="5378" max="5378" width="46.85546875" style="2554" customWidth="1"/>
    <col min="5379" max="5379" width="15.28515625" style="2554" customWidth="1"/>
    <col min="5380" max="5380" width="9.42578125" style="2554" customWidth="1"/>
    <col min="5381" max="5381" width="10.140625" style="2554" customWidth="1"/>
    <col min="5382" max="5382" width="9.5703125" style="2554" customWidth="1"/>
    <col min="5383" max="5383" width="9.28515625" style="2554" customWidth="1"/>
    <col min="5384" max="5384" width="10.140625" style="2554" customWidth="1"/>
    <col min="5385" max="5385" width="9.5703125" style="2554" customWidth="1"/>
    <col min="5386" max="5387" width="9.85546875" style="2554" customWidth="1"/>
    <col min="5388" max="5388" width="8.85546875" style="2554" customWidth="1"/>
    <col min="5389" max="5389" width="10" style="2554" customWidth="1"/>
    <col min="5390" max="5390" width="8.85546875" style="2554" customWidth="1"/>
    <col min="5391" max="5391" width="9.42578125" style="2554" customWidth="1"/>
    <col min="5392" max="5392" width="9" style="2554" customWidth="1"/>
    <col min="5393" max="5393" width="7.85546875" style="2554" customWidth="1"/>
    <col min="5394" max="5394" width="9.140625" style="2554" customWidth="1"/>
    <col min="5395" max="5632" width="9.140625" style="2554" hidden="1"/>
    <col min="5633" max="5633" width="6" style="2554" customWidth="1"/>
    <col min="5634" max="5634" width="46.85546875" style="2554" customWidth="1"/>
    <col min="5635" max="5635" width="15.28515625" style="2554" customWidth="1"/>
    <col min="5636" max="5636" width="9.42578125" style="2554" customWidth="1"/>
    <col min="5637" max="5637" width="10.140625" style="2554" customWidth="1"/>
    <col min="5638" max="5638" width="9.5703125" style="2554" customWidth="1"/>
    <col min="5639" max="5639" width="9.28515625" style="2554" customWidth="1"/>
    <col min="5640" max="5640" width="10.140625" style="2554" customWidth="1"/>
    <col min="5641" max="5641" width="9.5703125" style="2554" customWidth="1"/>
    <col min="5642" max="5643" width="9.85546875" style="2554" customWidth="1"/>
    <col min="5644" max="5644" width="8.85546875" style="2554" customWidth="1"/>
    <col min="5645" max="5645" width="10" style="2554" customWidth="1"/>
    <col min="5646" max="5646" width="8.85546875" style="2554" customWidth="1"/>
    <col min="5647" max="5647" width="9.42578125" style="2554" customWidth="1"/>
    <col min="5648" max="5648" width="9" style="2554" customWidth="1"/>
    <col min="5649" max="5649" width="7.85546875" style="2554" customWidth="1"/>
    <col min="5650" max="5650" width="9.140625" style="2554" customWidth="1"/>
    <col min="5651" max="5888" width="9.140625" style="2554" hidden="1"/>
    <col min="5889" max="5889" width="6" style="2554" customWidth="1"/>
    <col min="5890" max="5890" width="46.85546875" style="2554" customWidth="1"/>
    <col min="5891" max="5891" width="15.28515625" style="2554" customWidth="1"/>
    <col min="5892" max="5892" width="9.42578125" style="2554" customWidth="1"/>
    <col min="5893" max="5893" width="10.140625" style="2554" customWidth="1"/>
    <col min="5894" max="5894" width="9.5703125" style="2554" customWidth="1"/>
    <col min="5895" max="5895" width="9.28515625" style="2554" customWidth="1"/>
    <col min="5896" max="5896" width="10.140625" style="2554" customWidth="1"/>
    <col min="5897" max="5897" width="9.5703125" style="2554" customWidth="1"/>
    <col min="5898" max="5899" width="9.85546875" style="2554" customWidth="1"/>
    <col min="5900" max="5900" width="8.85546875" style="2554" customWidth="1"/>
    <col min="5901" max="5901" width="10" style="2554" customWidth="1"/>
    <col min="5902" max="5902" width="8.85546875" style="2554" customWidth="1"/>
    <col min="5903" max="5903" width="9.42578125" style="2554" customWidth="1"/>
    <col min="5904" max="5904" width="9" style="2554" customWidth="1"/>
    <col min="5905" max="5905" width="7.85546875" style="2554" customWidth="1"/>
    <col min="5906" max="5906" width="9.140625" style="2554" customWidth="1"/>
    <col min="5907" max="6144" width="9.140625" style="2554" hidden="1"/>
    <col min="6145" max="6145" width="6" style="2554" customWidth="1"/>
    <col min="6146" max="6146" width="46.85546875" style="2554" customWidth="1"/>
    <col min="6147" max="6147" width="15.28515625" style="2554" customWidth="1"/>
    <col min="6148" max="6148" width="9.42578125" style="2554" customWidth="1"/>
    <col min="6149" max="6149" width="10.140625" style="2554" customWidth="1"/>
    <col min="6150" max="6150" width="9.5703125" style="2554" customWidth="1"/>
    <col min="6151" max="6151" width="9.28515625" style="2554" customWidth="1"/>
    <col min="6152" max="6152" width="10.140625" style="2554" customWidth="1"/>
    <col min="6153" max="6153" width="9.5703125" style="2554" customWidth="1"/>
    <col min="6154" max="6155" width="9.85546875" style="2554" customWidth="1"/>
    <col min="6156" max="6156" width="8.85546875" style="2554" customWidth="1"/>
    <col min="6157" max="6157" width="10" style="2554" customWidth="1"/>
    <col min="6158" max="6158" width="8.85546875" style="2554" customWidth="1"/>
    <col min="6159" max="6159" width="9.42578125" style="2554" customWidth="1"/>
    <col min="6160" max="6160" width="9" style="2554" customWidth="1"/>
    <col min="6161" max="6161" width="7.85546875" style="2554" customWidth="1"/>
    <col min="6162" max="6162" width="9.140625" style="2554" customWidth="1"/>
    <col min="6163" max="6400" width="9.140625" style="2554" hidden="1"/>
    <col min="6401" max="6401" width="6" style="2554" customWidth="1"/>
    <col min="6402" max="6402" width="46.85546875" style="2554" customWidth="1"/>
    <col min="6403" max="6403" width="15.28515625" style="2554" customWidth="1"/>
    <col min="6404" max="6404" width="9.42578125" style="2554" customWidth="1"/>
    <col min="6405" max="6405" width="10.140625" style="2554" customWidth="1"/>
    <col min="6406" max="6406" width="9.5703125" style="2554" customWidth="1"/>
    <col min="6407" max="6407" width="9.28515625" style="2554" customWidth="1"/>
    <col min="6408" max="6408" width="10.140625" style="2554" customWidth="1"/>
    <col min="6409" max="6409" width="9.5703125" style="2554" customWidth="1"/>
    <col min="6410" max="6411" width="9.85546875" style="2554" customWidth="1"/>
    <col min="6412" max="6412" width="8.85546875" style="2554" customWidth="1"/>
    <col min="6413" max="6413" width="10" style="2554" customWidth="1"/>
    <col min="6414" max="6414" width="8.85546875" style="2554" customWidth="1"/>
    <col min="6415" max="6415" width="9.42578125" style="2554" customWidth="1"/>
    <col min="6416" max="6416" width="9" style="2554" customWidth="1"/>
    <col min="6417" max="6417" width="7.85546875" style="2554" customWidth="1"/>
    <col min="6418" max="6418" width="9.140625" style="2554" customWidth="1"/>
    <col min="6419" max="6656" width="9.140625" style="2554" hidden="1"/>
    <col min="6657" max="6657" width="6" style="2554" customWidth="1"/>
    <col min="6658" max="6658" width="46.85546875" style="2554" customWidth="1"/>
    <col min="6659" max="6659" width="15.28515625" style="2554" customWidth="1"/>
    <col min="6660" max="6660" width="9.42578125" style="2554" customWidth="1"/>
    <col min="6661" max="6661" width="10.140625" style="2554" customWidth="1"/>
    <col min="6662" max="6662" width="9.5703125" style="2554" customWidth="1"/>
    <col min="6663" max="6663" width="9.28515625" style="2554" customWidth="1"/>
    <col min="6664" max="6664" width="10.140625" style="2554" customWidth="1"/>
    <col min="6665" max="6665" width="9.5703125" style="2554" customWidth="1"/>
    <col min="6666" max="6667" width="9.85546875" style="2554" customWidth="1"/>
    <col min="6668" max="6668" width="8.85546875" style="2554" customWidth="1"/>
    <col min="6669" max="6669" width="10" style="2554" customWidth="1"/>
    <col min="6670" max="6670" width="8.85546875" style="2554" customWidth="1"/>
    <col min="6671" max="6671" width="9.42578125" style="2554" customWidth="1"/>
    <col min="6672" max="6672" width="9" style="2554" customWidth="1"/>
    <col min="6673" max="6673" width="7.85546875" style="2554" customWidth="1"/>
    <col min="6674" max="6674" width="9.140625" style="2554" customWidth="1"/>
    <col min="6675" max="6912" width="9.140625" style="2554" hidden="1"/>
    <col min="6913" max="6913" width="6" style="2554" customWidth="1"/>
    <col min="6914" max="6914" width="46.85546875" style="2554" customWidth="1"/>
    <col min="6915" max="6915" width="15.28515625" style="2554" customWidth="1"/>
    <col min="6916" max="6916" width="9.42578125" style="2554" customWidth="1"/>
    <col min="6917" max="6917" width="10.140625" style="2554" customWidth="1"/>
    <col min="6918" max="6918" width="9.5703125" style="2554" customWidth="1"/>
    <col min="6919" max="6919" width="9.28515625" style="2554" customWidth="1"/>
    <col min="6920" max="6920" width="10.140625" style="2554" customWidth="1"/>
    <col min="6921" max="6921" width="9.5703125" style="2554" customWidth="1"/>
    <col min="6922" max="6923" width="9.85546875" style="2554" customWidth="1"/>
    <col min="6924" max="6924" width="8.85546875" style="2554" customWidth="1"/>
    <col min="6925" max="6925" width="10" style="2554" customWidth="1"/>
    <col min="6926" max="6926" width="8.85546875" style="2554" customWidth="1"/>
    <col min="6927" max="6927" width="9.42578125" style="2554" customWidth="1"/>
    <col min="6928" max="6928" width="9" style="2554" customWidth="1"/>
    <col min="6929" max="6929" width="7.85546875" style="2554" customWidth="1"/>
    <col min="6930" max="6930" width="9.140625" style="2554" customWidth="1"/>
    <col min="6931" max="7168" width="9.140625" style="2554" hidden="1"/>
    <col min="7169" max="7169" width="6" style="2554" customWidth="1"/>
    <col min="7170" max="7170" width="46.85546875" style="2554" customWidth="1"/>
    <col min="7171" max="7171" width="15.28515625" style="2554" customWidth="1"/>
    <col min="7172" max="7172" width="9.42578125" style="2554" customWidth="1"/>
    <col min="7173" max="7173" width="10.140625" style="2554" customWidth="1"/>
    <col min="7174" max="7174" width="9.5703125" style="2554" customWidth="1"/>
    <col min="7175" max="7175" width="9.28515625" style="2554" customWidth="1"/>
    <col min="7176" max="7176" width="10.140625" style="2554" customWidth="1"/>
    <col min="7177" max="7177" width="9.5703125" style="2554" customWidth="1"/>
    <col min="7178" max="7179" width="9.85546875" style="2554" customWidth="1"/>
    <col min="7180" max="7180" width="8.85546875" style="2554" customWidth="1"/>
    <col min="7181" max="7181" width="10" style="2554" customWidth="1"/>
    <col min="7182" max="7182" width="8.85546875" style="2554" customWidth="1"/>
    <col min="7183" max="7183" width="9.42578125" style="2554" customWidth="1"/>
    <col min="7184" max="7184" width="9" style="2554" customWidth="1"/>
    <col min="7185" max="7185" width="7.85546875" style="2554" customWidth="1"/>
    <col min="7186" max="7186" width="9.140625" style="2554" customWidth="1"/>
    <col min="7187" max="7424" width="9.140625" style="2554" hidden="1"/>
    <col min="7425" max="7425" width="6" style="2554" customWidth="1"/>
    <col min="7426" max="7426" width="46.85546875" style="2554" customWidth="1"/>
    <col min="7427" max="7427" width="15.28515625" style="2554" customWidth="1"/>
    <col min="7428" max="7428" width="9.42578125" style="2554" customWidth="1"/>
    <col min="7429" max="7429" width="10.140625" style="2554" customWidth="1"/>
    <col min="7430" max="7430" width="9.5703125" style="2554" customWidth="1"/>
    <col min="7431" max="7431" width="9.28515625" style="2554" customWidth="1"/>
    <col min="7432" max="7432" width="10.140625" style="2554" customWidth="1"/>
    <col min="7433" max="7433" width="9.5703125" style="2554" customWidth="1"/>
    <col min="7434" max="7435" width="9.85546875" style="2554" customWidth="1"/>
    <col min="7436" max="7436" width="8.85546875" style="2554" customWidth="1"/>
    <col min="7437" max="7437" width="10" style="2554" customWidth="1"/>
    <col min="7438" max="7438" width="8.85546875" style="2554" customWidth="1"/>
    <col min="7439" max="7439" width="9.42578125" style="2554" customWidth="1"/>
    <col min="7440" max="7440" width="9" style="2554" customWidth="1"/>
    <col min="7441" max="7441" width="7.85546875" style="2554" customWidth="1"/>
    <col min="7442" max="7442" width="9.140625" style="2554" customWidth="1"/>
    <col min="7443" max="7680" width="9.140625" style="2554" hidden="1"/>
    <col min="7681" max="7681" width="6" style="2554" customWidth="1"/>
    <col min="7682" max="7682" width="46.85546875" style="2554" customWidth="1"/>
    <col min="7683" max="7683" width="15.28515625" style="2554" customWidth="1"/>
    <col min="7684" max="7684" width="9.42578125" style="2554" customWidth="1"/>
    <col min="7685" max="7685" width="10.140625" style="2554" customWidth="1"/>
    <col min="7686" max="7686" width="9.5703125" style="2554" customWidth="1"/>
    <col min="7687" max="7687" width="9.28515625" style="2554" customWidth="1"/>
    <col min="7688" max="7688" width="10.140625" style="2554" customWidth="1"/>
    <col min="7689" max="7689" width="9.5703125" style="2554" customWidth="1"/>
    <col min="7690" max="7691" width="9.85546875" style="2554" customWidth="1"/>
    <col min="7692" max="7692" width="8.85546875" style="2554" customWidth="1"/>
    <col min="7693" max="7693" width="10" style="2554" customWidth="1"/>
    <col min="7694" max="7694" width="8.85546875" style="2554" customWidth="1"/>
    <col min="7695" max="7695" width="9.42578125" style="2554" customWidth="1"/>
    <col min="7696" max="7696" width="9" style="2554" customWidth="1"/>
    <col min="7697" max="7697" width="7.85546875" style="2554" customWidth="1"/>
    <col min="7698" max="7698" width="9.140625" style="2554" customWidth="1"/>
    <col min="7699" max="7936" width="9.140625" style="2554" hidden="1"/>
    <col min="7937" max="7937" width="6" style="2554" customWidth="1"/>
    <col min="7938" max="7938" width="46.85546875" style="2554" customWidth="1"/>
    <col min="7939" max="7939" width="15.28515625" style="2554" customWidth="1"/>
    <col min="7940" max="7940" width="9.42578125" style="2554" customWidth="1"/>
    <col min="7941" max="7941" width="10.140625" style="2554" customWidth="1"/>
    <col min="7942" max="7942" width="9.5703125" style="2554" customWidth="1"/>
    <col min="7943" max="7943" width="9.28515625" style="2554" customWidth="1"/>
    <col min="7944" max="7944" width="10.140625" style="2554" customWidth="1"/>
    <col min="7945" max="7945" width="9.5703125" style="2554" customWidth="1"/>
    <col min="7946" max="7947" width="9.85546875" style="2554" customWidth="1"/>
    <col min="7948" max="7948" width="8.85546875" style="2554" customWidth="1"/>
    <col min="7949" max="7949" width="10" style="2554" customWidth="1"/>
    <col min="7950" max="7950" width="8.85546875" style="2554" customWidth="1"/>
    <col min="7951" max="7951" width="9.42578125" style="2554" customWidth="1"/>
    <col min="7952" max="7952" width="9" style="2554" customWidth="1"/>
    <col min="7953" max="7953" width="7.85546875" style="2554" customWidth="1"/>
    <col min="7954" max="7954" width="9.140625" style="2554" customWidth="1"/>
    <col min="7955" max="8192" width="9.140625" style="2554" hidden="1"/>
    <col min="8193" max="8193" width="6" style="2554" customWidth="1"/>
    <col min="8194" max="8194" width="46.85546875" style="2554" customWidth="1"/>
    <col min="8195" max="8195" width="15.28515625" style="2554" customWidth="1"/>
    <col min="8196" max="8196" width="9.42578125" style="2554" customWidth="1"/>
    <col min="8197" max="8197" width="10.140625" style="2554" customWidth="1"/>
    <col min="8198" max="8198" width="9.5703125" style="2554" customWidth="1"/>
    <col min="8199" max="8199" width="9.28515625" style="2554" customWidth="1"/>
    <col min="8200" max="8200" width="10.140625" style="2554" customWidth="1"/>
    <col min="8201" max="8201" width="9.5703125" style="2554" customWidth="1"/>
    <col min="8202" max="8203" width="9.85546875" style="2554" customWidth="1"/>
    <col min="8204" max="8204" width="8.85546875" style="2554" customWidth="1"/>
    <col min="8205" max="8205" width="10" style="2554" customWidth="1"/>
    <col min="8206" max="8206" width="8.85546875" style="2554" customWidth="1"/>
    <col min="8207" max="8207" width="9.42578125" style="2554" customWidth="1"/>
    <col min="8208" max="8208" width="9" style="2554" customWidth="1"/>
    <col min="8209" max="8209" width="7.85546875" style="2554" customWidth="1"/>
    <col min="8210" max="8210" width="9.140625" style="2554" customWidth="1"/>
    <col min="8211" max="8448" width="9.140625" style="2554" hidden="1"/>
    <col min="8449" max="8449" width="6" style="2554" customWidth="1"/>
    <col min="8450" max="8450" width="46.85546875" style="2554" customWidth="1"/>
    <col min="8451" max="8451" width="15.28515625" style="2554" customWidth="1"/>
    <col min="8452" max="8452" width="9.42578125" style="2554" customWidth="1"/>
    <col min="8453" max="8453" width="10.140625" style="2554" customWidth="1"/>
    <col min="8454" max="8454" width="9.5703125" style="2554" customWidth="1"/>
    <col min="8455" max="8455" width="9.28515625" style="2554" customWidth="1"/>
    <col min="8456" max="8456" width="10.140625" style="2554" customWidth="1"/>
    <col min="8457" max="8457" width="9.5703125" style="2554" customWidth="1"/>
    <col min="8458" max="8459" width="9.85546875" style="2554" customWidth="1"/>
    <col min="8460" max="8460" width="8.85546875" style="2554" customWidth="1"/>
    <col min="8461" max="8461" width="10" style="2554" customWidth="1"/>
    <col min="8462" max="8462" width="8.85546875" style="2554" customWidth="1"/>
    <col min="8463" max="8463" width="9.42578125" style="2554" customWidth="1"/>
    <col min="8464" max="8464" width="9" style="2554" customWidth="1"/>
    <col min="8465" max="8465" width="7.85546875" style="2554" customWidth="1"/>
    <col min="8466" max="8466" width="9.140625" style="2554" customWidth="1"/>
    <col min="8467" max="8704" width="9.140625" style="2554" hidden="1"/>
    <col min="8705" max="8705" width="6" style="2554" customWidth="1"/>
    <col min="8706" max="8706" width="46.85546875" style="2554" customWidth="1"/>
    <col min="8707" max="8707" width="15.28515625" style="2554" customWidth="1"/>
    <col min="8708" max="8708" width="9.42578125" style="2554" customWidth="1"/>
    <col min="8709" max="8709" width="10.140625" style="2554" customWidth="1"/>
    <col min="8710" max="8710" width="9.5703125" style="2554" customWidth="1"/>
    <col min="8711" max="8711" width="9.28515625" style="2554" customWidth="1"/>
    <col min="8712" max="8712" width="10.140625" style="2554" customWidth="1"/>
    <col min="8713" max="8713" width="9.5703125" style="2554" customWidth="1"/>
    <col min="8714" max="8715" width="9.85546875" style="2554" customWidth="1"/>
    <col min="8716" max="8716" width="8.85546875" style="2554" customWidth="1"/>
    <col min="8717" max="8717" width="10" style="2554" customWidth="1"/>
    <col min="8718" max="8718" width="8.85546875" style="2554" customWidth="1"/>
    <col min="8719" max="8719" width="9.42578125" style="2554" customWidth="1"/>
    <col min="8720" max="8720" width="9" style="2554" customWidth="1"/>
    <col min="8721" max="8721" width="7.85546875" style="2554" customWidth="1"/>
    <col min="8722" max="8722" width="9.140625" style="2554" customWidth="1"/>
    <col min="8723" max="8960" width="9.140625" style="2554" hidden="1"/>
    <col min="8961" max="8961" width="6" style="2554" customWidth="1"/>
    <col min="8962" max="8962" width="46.85546875" style="2554" customWidth="1"/>
    <col min="8963" max="8963" width="15.28515625" style="2554" customWidth="1"/>
    <col min="8964" max="8964" width="9.42578125" style="2554" customWidth="1"/>
    <col min="8965" max="8965" width="10.140625" style="2554" customWidth="1"/>
    <col min="8966" max="8966" width="9.5703125" style="2554" customWidth="1"/>
    <col min="8967" max="8967" width="9.28515625" style="2554" customWidth="1"/>
    <col min="8968" max="8968" width="10.140625" style="2554" customWidth="1"/>
    <col min="8969" max="8969" width="9.5703125" style="2554" customWidth="1"/>
    <col min="8970" max="8971" width="9.85546875" style="2554" customWidth="1"/>
    <col min="8972" max="8972" width="8.85546875" style="2554" customWidth="1"/>
    <col min="8973" max="8973" width="10" style="2554" customWidth="1"/>
    <col min="8974" max="8974" width="8.85546875" style="2554" customWidth="1"/>
    <col min="8975" max="8975" width="9.42578125" style="2554" customWidth="1"/>
    <col min="8976" max="8976" width="9" style="2554" customWidth="1"/>
    <col min="8977" max="8977" width="7.85546875" style="2554" customWidth="1"/>
    <col min="8978" max="8978" width="9.140625" style="2554" customWidth="1"/>
    <col min="8979" max="9216" width="9.140625" style="2554" hidden="1"/>
    <col min="9217" max="9217" width="6" style="2554" customWidth="1"/>
    <col min="9218" max="9218" width="46.85546875" style="2554" customWidth="1"/>
    <col min="9219" max="9219" width="15.28515625" style="2554" customWidth="1"/>
    <col min="9220" max="9220" width="9.42578125" style="2554" customWidth="1"/>
    <col min="9221" max="9221" width="10.140625" style="2554" customWidth="1"/>
    <col min="9222" max="9222" width="9.5703125" style="2554" customWidth="1"/>
    <col min="9223" max="9223" width="9.28515625" style="2554" customWidth="1"/>
    <col min="9224" max="9224" width="10.140625" style="2554" customWidth="1"/>
    <col min="9225" max="9225" width="9.5703125" style="2554" customWidth="1"/>
    <col min="9226" max="9227" width="9.85546875" style="2554" customWidth="1"/>
    <col min="9228" max="9228" width="8.85546875" style="2554" customWidth="1"/>
    <col min="9229" max="9229" width="10" style="2554" customWidth="1"/>
    <col min="9230" max="9230" width="8.85546875" style="2554" customWidth="1"/>
    <col min="9231" max="9231" width="9.42578125" style="2554" customWidth="1"/>
    <col min="9232" max="9232" width="9" style="2554" customWidth="1"/>
    <col min="9233" max="9233" width="7.85546875" style="2554" customWidth="1"/>
    <col min="9234" max="9234" width="9.140625" style="2554" customWidth="1"/>
    <col min="9235" max="9472" width="9.140625" style="2554" hidden="1"/>
    <col min="9473" max="9473" width="6" style="2554" customWidth="1"/>
    <col min="9474" max="9474" width="46.85546875" style="2554" customWidth="1"/>
    <col min="9475" max="9475" width="15.28515625" style="2554" customWidth="1"/>
    <col min="9476" max="9476" width="9.42578125" style="2554" customWidth="1"/>
    <col min="9477" max="9477" width="10.140625" style="2554" customWidth="1"/>
    <col min="9478" max="9478" width="9.5703125" style="2554" customWidth="1"/>
    <col min="9479" max="9479" width="9.28515625" style="2554" customWidth="1"/>
    <col min="9480" max="9480" width="10.140625" style="2554" customWidth="1"/>
    <col min="9481" max="9481" width="9.5703125" style="2554" customWidth="1"/>
    <col min="9482" max="9483" width="9.85546875" style="2554" customWidth="1"/>
    <col min="9484" max="9484" width="8.85546875" style="2554" customWidth="1"/>
    <col min="9485" max="9485" width="10" style="2554" customWidth="1"/>
    <col min="9486" max="9486" width="8.85546875" style="2554" customWidth="1"/>
    <col min="9487" max="9487" width="9.42578125" style="2554" customWidth="1"/>
    <col min="9488" max="9488" width="9" style="2554" customWidth="1"/>
    <col min="9489" max="9489" width="7.85546875" style="2554" customWidth="1"/>
    <col min="9490" max="9490" width="9.140625" style="2554" customWidth="1"/>
    <col min="9491" max="9728" width="9.140625" style="2554" hidden="1"/>
    <col min="9729" max="9729" width="6" style="2554" customWidth="1"/>
    <col min="9730" max="9730" width="46.85546875" style="2554" customWidth="1"/>
    <col min="9731" max="9731" width="15.28515625" style="2554" customWidth="1"/>
    <col min="9732" max="9732" width="9.42578125" style="2554" customWidth="1"/>
    <col min="9733" max="9733" width="10.140625" style="2554" customWidth="1"/>
    <col min="9734" max="9734" width="9.5703125" style="2554" customWidth="1"/>
    <col min="9735" max="9735" width="9.28515625" style="2554" customWidth="1"/>
    <col min="9736" max="9736" width="10.140625" style="2554" customWidth="1"/>
    <col min="9737" max="9737" width="9.5703125" style="2554" customWidth="1"/>
    <col min="9738" max="9739" width="9.85546875" style="2554" customWidth="1"/>
    <col min="9740" max="9740" width="8.85546875" style="2554" customWidth="1"/>
    <col min="9741" max="9741" width="10" style="2554" customWidth="1"/>
    <col min="9742" max="9742" width="8.85546875" style="2554" customWidth="1"/>
    <col min="9743" max="9743" width="9.42578125" style="2554" customWidth="1"/>
    <col min="9744" max="9744" width="9" style="2554" customWidth="1"/>
    <col min="9745" max="9745" width="7.85546875" style="2554" customWidth="1"/>
    <col min="9746" max="9746" width="9.140625" style="2554" customWidth="1"/>
    <col min="9747" max="9984" width="9.140625" style="2554" hidden="1"/>
    <col min="9985" max="9985" width="6" style="2554" customWidth="1"/>
    <col min="9986" max="9986" width="46.85546875" style="2554" customWidth="1"/>
    <col min="9987" max="9987" width="15.28515625" style="2554" customWidth="1"/>
    <col min="9988" max="9988" width="9.42578125" style="2554" customWidth="1"/>
    <col min="9989" max="9989" width="10.140625" style="2554" customWidth="1"/>
    <col min="9990" max="9990" width="9.5703125" style="2554" customWidth="1"/>
    <col min="9991" max="9991" width="9.28515625" style="2554" customWidth="1"/>
    <col min="9992" max="9992" width="10.140625" style="2554" customWidth="1"/>
    <col min="9993" max="9993" width="9.5703125" style="2554" customWidth="1"/>
    <col min="9994" max="9995" width="9.85546875" style="2554" customWidth="1"/>
    <col min="9996" max="9996" width="8.85546875" style="2554" customWidth="1"/>
    <col min="9997" max="9997" width="10" style="2554" customWidth="1"/>
    <col min="9998" max="9998" width="8.85546875" style="2554" customWidth="1"/>
    <col min="9999" max="9999" width="9.42578125" style="2554" customWidth="1"/>
    <col min="10000" max="10000" width="9" style="2554" customWidth="1"/>
    <col min="10001" max="10001" width="7.85546875" style="2554" customWidth="1"/>
    <col min="10002" max="10002" width="9.140625" style="2554" customWidth="1"/>
    <col min="10003" max="10240" width="9.140625" style="2554" hidden="1"/>
    <col min="10241" max="10241" width="6" style="2554" customWidth="1"/>
    <col min="10242" max="10242" width="46.85546875" style="2554" customWidth="1"/>
    <col min="10243" max="10243" width="15.28515625" style="2554" customWidth="1"/>
    <col min="10244" max="10244" width="9.42578125" style="2554" customWidth="1"/>
    <col min="10245" max="10245" width="10.140625" style="2554" customWidth="1"/>
    <col min="10246" max="10246" width="9.5703125" style="2554" customWidth="1"/>
    <col min="10247" max="10247" width="9.28515625" style="2554" customWidth="1"/>
    <col min="10248" max="10248" width="10.140625" style="2554" customWidth="1"/>
    <col min="10249" max="10249" width="9.5703125" style="2554" customWidth="1"/>
    <col min="10250" max="10251" width="9.85546875" style="2554" customWidth="1"/>
    <col min="10252" max="10252" width="8.85546875" style="2554" customWidth="1"/>
    <col min="10253" max="10253" width="10" style="2554" customWidth="1"/>
    <col min="10254" max="10254" width="8.85546875" style="2554" customWidth="1"/>
    <col min="10255" max="10255" width="9.42578125" style="2554" customWidth="1"/>
    <col min="10256" max="10256" width="9" style="2554" customWidth="1"/>
    <col min="10257" max="10257" width="7.85546875" style="2554" customWidth="1"/>
    <col min="10258" max="10258" width="9.140625" style="2554" customWidth="1"/>
    <col min="10259" max="10496" width="9.140625" style="2554" hidden="1"/>
    <col min="10497" max="10497" width="6" style="2554" customWidth="1"/>
    <col min="10498" max="10498" width="46.85546875" style="2554" customWidth="1"/>
    <col min="10499" max="10499" width="15.28515625" style="2554" customWidth="1"/>
    <col min="10500" max="10500" width="9.42578125" style="2554" customWidth="1"/>
    <col min="10501" max="10501" width="10.140625" style="2554" customWidth="1"/>
    <col min="10502" max="10502" width="9.5703125" style="2554" customWidth="1"/>
    <col min="10503" max="10503" width="9.28515625" style="2554" customWidth="1"/>
    <col min="10504" max="10504" width="10.140625" style="2554" customWidth="1"/>
    <col min="10505" max="10505" width="9.5703125" style="2554" customWidth="1"/>
    <col min="10506" max="10507" width="9.85546875" style="2554" customWidth="1"/>
    <col min="10508" max="10508" width="8.85546875" style="2554" customWidth="1"/>
    <col min="10509" max="10509" width="10" style="2554" customWidth="1"/>
    <col min="10510" max="10510" width="8.85546875" style="2554" customWidth="1"/>
    <col min="10511" max="10511" width="9.42578125" style="2554" customWidth="1"/>
    <col min="10512" max="10512" width="9" style="2554" customWidth="1"/>
    <col min="10513" max="10513" width="7.85546875" style="2554" customWidth="1"/>
    <col min="10514" max="10514" width="9.140625" style="2554" customWidth="1"/>
    <col min="10515" max="10752" width="9.140625" style="2554" hidden="1"/>
    <col min="10753" max="10753" width="6" style="2554" customWidth="1"/>
    <col min="10754" max="10754" width="46.85546875" style="2554" customWidth="1"/>
    <col min="10755" max="10755" width="15.28515625" style="2554" customWidth="1"/>
    <col min="10756" max="10756" width="9.42578125" style="2554" customWidth="1"/>
    <col min="10757" max="10757" width="10.140625" style="2554" customWidth="1"/>
    <col min="10758" max="10758" width="9.5703125" style="2554" customWidth="1"/>
    <col min="10759" max="10759" width="9.28515625" style="2554" customWidth="1"/>
    <col min="10760" max="10760" width="10.140625" style="2554" customWidth="1"/>
    <col min="10761" max="10761" width="9.5703125" style="2554" customWidth="1"/>
    <col min="10762" max="10763" width="9.85546875" style="2554" customWidth="1"/>
    <col min="10764" max="10764" width="8.85546875" style="2554" customWidth="1"/>
    <col min="10765" max="10765" width="10" style="2554" customWidth="1"/>
    <col min="10766" max="10766" width="8.85546875" style="2554" customWidth="1"/>
    <col min="10767" max="10767" width="9.42578125" style="2554" customWidth="1"/>
    <col min="10768" max="10768" width="9" style="2554" customWidth="1"/>
    <col min="10769" max="10769" width="7.85546875" style="2554" customWidth="1"/>
    <col min="10770" max="10770" width="9.140625" style="2554" customWidth="1"/>
    <col min="10771" max="11008" width="9.140625" style="2554" hidden="1"/>
    <col min="11009" max="11009" width="6" style="2554" customWidth="1"/>
    <col min="11010" max="11010" width="46.85546875" style="2554" customWidth="1"/>
    <col min="11011" max="11011" width="15.28515625" style="2554" customWidth="1"/>
    <col min="11012" max="11012" width="9.42578125" style="2554" customWidth="1"/>
    <col min="11013" max="11013" width="10.140625" style="2554" customWidth="1"/>
    <col min="11014" max="11014" width="9.5703125" style="2554" customWidth="1"/>
    <col min="11015" max="11015" width="9.28515625" style="2554" customWidth="1"/>
    <col min="11016" max="11016" width="10.140625" style="2554" customWidth="1"/>
    <col min="11017" max="11017" width="9.5703125" style="2554" customWidth="1"/>
    <col min="11018" max="11019" width="9.85546875" style="2554" customWidth="1"/>
    <col min="11020" max="11020" width="8.85546875" style="2554" customWidth="1"/>
    <col min="11021" max="11021" width="10" style="2554" customWidth="1"/>
    <col min="11022" max="11022" width="8.85546875" style="2554" customWidth="1"/>
    <col min="11023" max="11023" width="9.42578125" style="2554" customWidth="1"/>
    <col min="11024" max="11024" width="9" style="2554" customWidth="1"/>
    <col min="11025" max="11025" width="7.85546875" style="2554" customWidth="1"/>
    <col min="11026" max="11026" width="9.140625" style="2554" customWidth="1"/>
    <col min="11027" max="11264" width="9.140625" style="2554" hidden="1"/>
    <col min="11265" max="11265" width="6" style="2554" customWidth="1"/>
    <col min="11266" max="11266" width="46.85546875" style="2554" customWidth="1"/>
    <col min="11267" max="11267" width="15.28515625" style="2554" customWidth="1"/>
    <col min="11268" max="11268" width="9.42578125" style="2554" customWidth="1"/>
    <col min="11269" max="11269" width="10.140625" style="2554" customWidth="1"/>
    <col min="11270" max="11270" width="9.5703125" style="2554" customWidth="1"/>
    <col min="11271" max="11271" width="9.28515625" style="2554" customWidth="1"/>
    <col min="11272" max="11272" width="10.140625" style="2554" customWidth="1"/>
    <col min="11273" max="11273" width="9.5703125" style="2554" customWidth="1"/>
    <col min="11274" max="11275" width="9.85546875" style="2554" customWidth="1"/>
    <col min="11276" max="11276" width="8.85546875" style="2554" customWidth="1"/>
    <col min="11277" max="11277" width="10" style="2554" customWidth="1"/>
    <col min="11278" max="11278" width="8.85546875" style="2554" customWidth="1"/>
    <col min="11279" max="11279" width="9.42578125" style="2554" customWidth="1"/>
    <col min="11280" max="11280" width="9" style="2554" customWidth="1"/>
    <col min="11281" max="11281" width="7.85546875" style="2554" customWidth="1"/>
    <col min="11282" max="11282" width="9.140625" style="2554" customWidth="1"/>
    <col min="11283" max="11520" width="9.140625" style="2554" hidden="1"/>
    <col min="11521" max="11521" width="6" style="2554" customWidth="1"/>
    <col min="11522" max="11522" width="46.85546875" style="2554" customWidth="1"/>
    <col min="11523" max="11523" width="15.28515625" style="2554" customWidth="1"/>
    <col min="11524" max="11524" width="9.42578125" style="2554" customWidth="1"/>
    <col min="11525" max="11525" width="10.140625" style="2554" customWidth="1"/>
    <col min="11526" max="11526" width="9.5703125" style="2554" customWidth="1"/>
    <col min="11527" max="11527" width="9.28515625" style="2554" customWidth="1"/>
    <col min="11528" max="11528" width="10.140625" style="2554" customWidth="1"/>
    <col min="11529" max="11529" width="9.5703125" style="2554" customWidth="1"/>
    <col min="11530" max="11531" width="9.85546875" style="2554" customWidth="1"/>
    <col min="11532" max="11532" width="8.85546875" style="2554" customWidth="1"/>
    <col min="11533" max="11533" width="10" style="2554" customWidth="1"/>
    <col min="11534" max="11534" width="8.85546875" style="2554" customWidth="1"/>
    <col min="11535" max="11535" width="9.42578125" style="2554" customWidth="1"/>
    <col min="11536" max="11536" width="9" style="2554" customWidth="1"/>
    <col min="11537" max="11537" width="7.85546875" style="2554" customWidth="1"/>
    <col min="11538" max="11538" width="9.140625" style="2554" customWidth="1"/>
    <col min="11539" max="11776" width="9.140625" style="2554" hidden="1"/>
    <col min="11777" max="11777" width="6" style="2554" customWidth="1"/>
    <col min="11778" max="11778" width="46.85546875" style="2554" customWidth="1"/>
    <col min="11779" max="11779" width="15.28515625" style="2554" customWidth="1"/>
    <col min="11780" max="11780" width="9.42578125" style="2554" customWidth="1"/>
    <col min="11781" max="11781" width="10.140625" style="2554" customWidth="1"/>
    <col min="11782" max="11782" width="9.5703125" style="2554" customWidth="1"/>
    <col min="11783" max="11783" width="9.28515625" style="2554" customWidth="1"/>
    <col min="11784" max="11784" width="10.140625" style="2554" customWidth="1"/>
    <col min="11785" max="11785" width="9.5703125" style="2554" customWidth="1"/>
    <col min="11786" max="11787" width="9.85546875" style="2554" customWidth="1"/>
    <col min="11788" max="11788" width="8.85546875" style="2554" customWidth="1"/>
    <col min="11789" max="11789" width="10" style="2554" customWidth="1"/>
    <col min="11790" max="11790" width="8.85546875" style="2554" customWidth="1"/>
    <col min="11791" max="11791" width="9.42578125" style="2554" customWidth="1"/>
    <col min="11792" max="11792" width="9" style="2554" customWidth="1"/>
    <col min="11793" max="11793" width="7.85546875" style="2554" customWidth="1"/>
    <col min="11794" max="11794" width="9.140625" style="2554" customWidth="1"/>
    <col min="11795" max="12032" width="9.140625" style="2554" hidden="1"/>
    <col min="12033" max="12033" width="6" style="2554" customWidth="1"/>
    <col min="12034" max="12034" width="46.85546875" style="2554" customWidth="1"/>
    <col min="12035" max="12035" width="15.28515625" style="2554" customWidth="1"/>
    <col min="12036" max="12036" width="9.42578125" style="2554" customWidth="1"/>
    <col min="12037" max="12037" width="10.140625" style="2554" customWidth="1"/>
    <col min="12038" max="12038" width="9.5703125" style="2554" customWidth="1"/>
    <col min="12039" max="12039" width="9.28515625" style="2554" customWidth="1"/>
    <col min="12040" max="12040" width="10.140625" style="2554" customWidth="1"/>
    <col min="12041" max="12041" width="9.5703125" style="2554" customWidth="1"/>
    <col min="12042" max="12043" width="9.85546875" style="2554" customWidth="1"/>
    <col min="12044" max="12044" width="8.85546875" style="2554" customWidth="1"/>
    <col min="12045" max="12045" width="10" style="2554" customWidth="1"/>
    <col min="12046" max="12046" width="8.85546875" style="2554" customWidth="1"/>
    <col min="12047" max="12047" width="9.42578125" style="2554" customWidth="1"/>
    <col min="12048" max="12048" width="9" style="2554" customWidth="1"/>
    <col min="12049" max="12049" width="7.85546875" style="2554" customWidth="1"/>
    <col min="12050" max="12050" width="9.140625" style="2554" customWidth="1"/>
    <col min="12051" max="12288" width="9.140625" style="2554" hidden="1"/>
    <col min="12289" max="12289" width="6" style="2554" customWidth="1"/>
    <col min="12290" max="12290" width="46.85546875" style="2554" customWidth="1"/>
    <col min="12291" max="12291" width="15.28515625" style="2554" customWidth="1"/>
    <col min="12292" max="12292" width="9.42578125" style="2554" customWidth="1"/>
    <col min="12293" max="12293" width="10.140625" style="2554" customWidth="1"/>
    <col min="12294" max="12294" width="9.5703125" style="2554" customWidth="1"/>
    <col min="12295" max="12295" width="9.28515625" style="2554" customWidth="1"/>
    <col min="12296" max="12296" width="10.140625" style="2554" customWidth="1"/>
    <col min="12297" max="12297" width="9.5703125" style="2554" customWidth="1"/>
    <col min="12298" max="12299" width="9.85546875" style="2554" customWidth="1"/>
    <col min="12300" max="12300" width="8.85546875" style="2554" customWidth="1"/>
    <col min="12301" max="12301" width="10" style="2554" customWidth="1"/>
    <col min="12302" max="12302" width="8.85546875" style="2554" customWidth="1"/>
    <col min="12303" max="12303" width="9.42578125" style="2554" customWidth="1"/>
    <col min="12304" max="12304" width="9" style="2554" customWidth="1"/>
    <col min="12305" max="12305" width="7.85546875" style="2554" customWidth="1"/>
    <col min="12306" max="12306" width="9.140625" style="2554" customWidth="1"/>
    <col min="12307" max="12544" width="9.140625" style="2554" hidden="1"/>
    <col min="12545" max="12545" width="6" style="2554" customWidth="1"/>
    <col min="12546" max="12546" width="46.85546875" style="2554" customWidth="1"/>
    <col min="12547" max="12547" width="15.28515625" style="2554" customWidth="1"/>
    <col min="12548" max="12548" width="9.42578125" style="2554" customWidth="1"/>
    <col min="12549" max="12549" width="10.140625" style="2554" customWidth="1"/>
    <col min="12550" max="12550" width="9.5703125" style="2554" customWidth="1"/>
    <col min="12551" max="12551" width="9.28515625" style="2554" customWidth="1"/>
    <col min="12552" max="12552" width="10.140625" style="2554" customWidth="1"/>
    <col min="12553" max="12553" width="9.5703125" style="2554" customWidth="1"/>
    <col min="12554" max="12555" width="9.85546875" style="2554" customWidth="1"/>
    <col min="12556" max="12556" width="8.85546875" style="2554" customWidth="1"/>
    <col min="12557" max="12557" width="10" style="2554" customWidth="1"/>
    <col min="12558" max="12558" width="8.85546875" style="2554" customWidth="1"/>
    <col min="12559" max="12559" width="9.42578125" style="2554" customWidth="1"/>
    <col min="12560" max="12560" width="9" style="2554" customWidth="1"/>
    <col min="12561" max="12561" width="7.85546875" style="2554" customWidth="1"/>
    <col min="12562" max="12562" width="9.140625" style="2554" customWidth="1"/>
    <col min="12563" max="12800" width="9.140625" style="2554" hidden="1"/>
    <col min="12801" max="12801" width="6" style="2554" customWidth="1"/>
    <col min="12802" max="12802" width="46.85546875" style="2554" customWidth="1"/>
    <col min="12803" max="12803" width="15.28515625" style="2554" customWidth="1"/>
    <col min="12804" max="12804" width="9.42578125" style="2554" customWidth="1"/>
    <col min="12805" max="12805" width="10.140625" style="2554" customWidth="1"/>
    <col min="12806" max="12806" width="9.5703125" style="2554" customWidth="1"/>
    <col min="12807" max="12807" width="9.28515625" style="2554" customWidth="1"/>
    <col min="12808" max="12808" width="10.140625" style="2554" customWidth="1"/>
    <col min="12809" max="12809" width="9.5703125" style="2554" customWidth="1"/>
    <col min="12810" max="12811" width="9.85546875" style="2554" customWidth="1"/>
    <col min="12812" max="12812" width="8.85546875" style="2554" customWidth="1"/>
    <col min="12813" max="12813" width="10" style="2554" customWidth="1"/>
    <col min="12814" max="12814" width="8.85546875" style="2554" customWidth="1"/>
    <col min="12815" max="12815" width="9.42578125" style="2554" customWidth="1"/>
    <col min="12816" max="12816" width="9" style="2554" customWidth="1"/>
    <col min="12817" max="12817" width="7.85546875" style="2554" customWidth="1"/>
    <col min="12818" max="12818" width="9.140625" style="2554" customWidth="1"/>
    <col min="12819" max="13056" width="9.140625" style="2554" hidden="1"/>
    <col min="13057" max="13057" width="6" style="2554" customWidth="1"/>
    <col min="13058" max="13058" width="46.85546875" style="2554" customWidth="1"/>
    <col min="13059" max="13059" width="15.28515625" style="2554" customWidth="1"/>
    <col min="13060" max="13060" width="9.42578125" style="2554" customWidth="1"/>
    <col min="13061" max="13061" width="10.140625" style="2554" customWidth="1"/>
    <col min="13062" max="13062" width="9.5703125" style="2554" customWidth="1"/>
    <col min="13063" max="13063" width="9.28515625" style="2554" customWidth="1"/>
    <col min="13064" max="13064" width="10.140625" style="2554" customWidth="1"/>
    <col min="13065" max="13065" width="9.5703125" style="2554" customWidth="1"/>
    <col min="13066" max="13067" width="9.85546875" style="2554" customWidth="1"/>
    <col min="13068" max="13068" width="8.85546875" style="2554" customWidth="1"/>
    <col min="13069" max="13069" width="10" style="2554" customWidth="1"/>
    <col min="13070" max="13070" width="8.85546875" style="2554" customWidth="1"/>
    <col min="13071" max="13071" width="9.42578125" style="2554" customWidth="1"/>
    <col min="13072" max="13072" width="9" style="2554" customWidth="1"/>
    <col min="13073" max="13073" width="7.85546875" style="2554" customWidth="1"/>
    <col min="13074" max="13074" width="9.140625" style="2554" customWidth="1"/>
    <col min="13075" max="13312" width="9.140625" style="2554" hidden="1"/>
    <col min="13313" max="13313" width="6" style="2554" customWidth="1"/>
    <col min="13314" max="13314" width="46.85546875" style="2554" customWidth="1"/>
    <col min="13315" max="13315" width="15.28515625" style="2554" customWidth="1"/>
    <col min="13316" max="13316" width="9.42578125" style="2554" customWidth="1"/>
    <col min="13317" max="13317" width="10.140625" style="2554" customWidth="1"/>
    <col min="13318" max="13318" width="9.5703125" style="2554" customWidth="1"/>
    <col min="13319" max="13319" width="9.28515625" style="2554" customWidth="1"/>
    <col min="13320" max="13320" width="10.140625" style="2554" customWidth="1"/>
    <col min="13321" max="13321" width="9.5703125" style="2554" customWidth="1"/>
    <col min="13322" max="13323" width="9.85546875" style="2554" customWidth="1"/>
    <col min="13324" max="13324" width="8.85546875" style="2554" customWidth="1"/>
    <col min="13325" max="13325" width="10" style="2554" customWidth="1"/>
    <col min="13326" max="13326" width="8.85546875" style="2554" customWidth="1"/>
    <col min="13327" max="13327" width="9.42578125" style="2554" customWidth="1"/>
    <col min="13328" max="13328" width="9" style="2554" customWidth="1"/>
    <col min="13329" max="13329" width="7.85546875" style="2554" customWidth="1"/>
    <col min="13330" max="13330" width="9.140625" style="2554" customWidth="1"/>
    <col min="13331" max="13568" width="9.140625" style="2554" hidden="1"/>
    <col min="13569" max="13569" width="6" style="2554" customWidth="1"/>
    <col min="13570" max="13570" width="46.85546875" style="2554" customWidth="1"/>
    <col min="13571" max="13571" width="15.28515625" style="2554" customWidth="1"/>
    <col min="13572" max="13572" width="9.42578125" style="2554" customWidth="1"/>
    <col min="13573" max="13573" width="10.140625" style="2554" customWidth="1"/>
    <col min="13574" max="13574" width="9.5703125" style="2554" customWidth="1"/>
    <col min="13575" max="13575" width="9.28515625" style="2554" customWidth="1"/>
    <col min="13576" max="13576" width="10.140625" style="2554" customWidth="1"/>
    <col min="13577" max="13577" width="9.5703125" style="2554" customWidth="1"/>
    <col min="13578" max="13579" width="9.85546875" style="2554" customWidth="1"/>
    <col min="13580" max="13580" width="8.85546875" style="2554" customWidth="1"/>
    <col min="13581" max="13581" width="10" style="2554" customWidth="1"/>
    <col min="13582" max="13582" width="8.85546875" style="2554" customWidth="1"/>
    <col min="13583" max="13583" width="9.42578125" style="2554" customWidth="1"/>
    <col min="13584" max="13584" width="9" style="2554" customWidth="1"/>
    <col min="13585" max="13585" width="7.85546875" style="2554" customWidth="1"/>
    <col min="13586" max="13586" width="9.140625" style="2554" customWidth="1"/>
    <col min="13587" max="13824" width="9.140625" style="2554" hidden="1"/>
    <col min="13825" max="13825" width="6" style="2554" customWidth="1"/>
    <col min="13826" max="13826" width="46.85546875" style="2554" customWidth="1"/>
    <col min="13827" max="13827" width="15.28515625" style="2554" customWidth="1"/>
    <col min="13828" max="13828" width="9.42578125" style="2554" customWidth="1"/>
    <col min="13829" max="13829" width="10.140625" style="2554" customWidth="1"/>
    <col min="13830" max="13830" width="9.5703125" style="2554" customWidth="1"/>
    <col min="13831" max="13831" width="9.28515625" style="2554" customWidth="1"/>
    <col min="13832" max="13832" width="10.140625" style="2554" customWidth="1"/>
    <col min="13833" max="13833" width="9.5703125" style="2554" customWidth="1"/>
    <col min="13834" max="13835" width="9.85546875" style="2554" customWidth="1"/>
    <col min="13836" max="13836" width="8.85546875" style="2554" customWidth="1"/>
    <col min="13837" max="13837" width="10" style="2554" customWidth="1"/>
    <col min="13838" max="13838" width="8.85546875" style="2554" customWidth="1"/>
    <col min="13839" max="13839" width="9.42578125" style="2554" customWidth="1"/>
    <col min="13840" max="13840" width="9" style="2554" customWidth="1"/>
    <col min="13841" max="13841" width="7.85546875" style="2554" customWidth="1"/>
    <col min="13842" max="13842" width="9.140625" style="2554" customWidth="1"/>
    <col min="13843" max="14080" width="9.140625" style="2554" hidden="1"/>
    <col min="14081" max="14081" width="6" style="2554" customWidth="1"/>
    <col min="14082" max="14082" width="46.85546875" style="2554" customWidth="1"/>
    <col min="14083" max="14083" width="15.28515625" style="2554" customWidth="1"/>
    <col min="14084" max="14084" width="9.42578125" style="2554" customWidth="1"/>
    <col min="14085" max="14085" width="10.140625" style="2554" customWidth="1"/>
    <col min="14086" max="14086" width="9.5703125" style="2554" customWidth="1"/>
    <col min="14087" max="14087" width="9.28515625" style="2554" customWidth="1"/>
    <col min="14088" max="14088" width="10.140625" style="2554" customWidth="1"/>
    <col min="14089" max="14089" width="9.5703125" style="2554" customWidth="1"/>
    <col min="14090" max="14091" width="9.85546875" style="2554" customWidth="1"/>
    <col min="14092" max="14092" width="8.85546875" style="2554" customWidth="1"/>
    <col min="14093" max="14093" width="10" style="2554" customWidth="1"/>
    <col min="14094" max="14094" width="8.85546875" style="2554" customWidth="1"/>
    <col min="14095" max="14095" width="9.42578125" style="2554" customWidth="1"/>
    <col min="14096" max="14096" width="9" style="2554" customWidth="1"/>
    <col min="14097" max="14097" width="7.85546875" style="2554" customWidth="1"/>
    <col min="14098" max="14098" width="9.140625" style="2554" customWidth="1"/>
    <col min="14099" max="14336" width="9.140625" style="2554" hidden="1"/>
    <col min="14337" max="14337" width="6" style="2554" customWidth="1"/>
    <col min="14338" max="14338" width="46.85546875" style="2554" customWidth="1"/>
    <col min="14339" max="14339" width="15.28515625" style="2554" customWidth="1"/>
    <col min="14340" max="14340" width="9.42578125" style="2554" customWidth="1"/>
    <col min="14341" max="14341" width="10.140625" style="2554" customWidth="1"/>
    <col min="14342" max="14342" width="9.5703125" style="2554" customWidth="1"/>
    <col min="14343" max="14343" width="9.28515625" style="2554" customWidth="1"/>
    <col min="14344" max="14344" width="10.140625" style="2554" customWidth="1"/>
    <col min="14345" max="14345" width="9.5703125" style="2554" customWidth="1"/>
    <col min="14346" max="14347" width="9.85546875" style="2554" customWidth="1"/>
    <col min="14348" max="14348" width="8.85546875" style="2554" customWidth="1"/>
    <col min="14349" max="14349" width="10" style="2554" customWidth="1"/>
    <col min="14350" max="14350" width="8.85546875" style="2554" customWidth="1"/>
    <col min="14351" max="14351" width="9.42578125" style="2554" customWidth="1"/>
    <col min="14352" max="14352" width="9" style="2554" customWidth="1"/>
    <col min="14353" max="14353" width="7.85546875" style="2554" customWidth="1"/>
    <col min="14354" max="14354" width="9.140625" style="2554" customWidth="1"/>
    <col min="14355" max="14592" width="9.140625" style="2554" hidden="1"/>
    <col min="14593" max="14593" width="6" style="2554" customWidth="1"/>
    <col min="14594" max="14594" width="46.85546875" style="2554" customWidth="1"/>
    <col min="14595" max="14595" width="15.28515625" style="2554" customWidth="1"/>
    <col min="14596" max="14596" width="9.42578125" style="2554" customWidth="1"/>
    <col min="14597" max="14597" width="10.140625" style="2554" customWidth="1"/>
    <col min="14598" max="14598" width="9.5703125" style="2554" customWidth="1"/>
    <col min="14599" max="14599" width="9.28515625" style="2554" customWidth="1"/>
    <col min="14600" max="14600" width="10.140625" style="2554" customWidth="1"/>
    <col min="14601" max="14601" width="9.5703125" style="2554" customWidth="1"/>
    <col min="14602" max="14603" width="9.85546875" style="2554" customWidth="1"/>
    <col min="14604" max="14604" width="8.85546875" style="2554" customWidth="1"/>
    <col min="14605" max="14605" width="10" style="2554" customWidth="1"/>
    <col min="14606" max="14606" width="8.85546875" style="2554" customWidth="1"/>
    <col min="14607" max="14607" width="9.42578125" style="2554" customWidth="1"/>
    <col min="14608" max="14608" width="9" style="2554" customWidth="1"/>
    <col min="14609" max="14609" width="7.85546875" style="2554" customWidth="1"/>
    <col min="14610" max="14610" width="9.140625" style="2554" customWidth="1"/>
    <col min="14611" max="14848" width="9.140625" style="2554" hidden="1"/>
    <col min="14849" max="14849" width="6" style="2554" customWidth="1"/>
    <col min="14850" max="14850" width="46.85546875" style="2554" customWidth="1"/>
    <col min="14851" max="14851" width="15.28515625" style="2554" customWidth="1"/>
    <col min="14852" max="14852" width="9.42578125" style="2554" customWidth="1"/>
    <col min="14853" max="14853" width="10.140625" style="2554" customWidth="1"/>
    <col min="14854" max="14854" width="9.5703125" style="2554" customWidth="1"/>
    <col min="14855" max="14855" width="9.28515625" style="2554" customWidth="1"/>
    <col min="14856" max="14856" width="10.140625" style="2554" customWidth="1"/>
    <col min="14857" max="14857" width="9.5703125" style="2554" customWidth="1"/>
    <col min="14858" max="14859" width="9.85546875" style="2554" customWidth="1"/>
    <col min="14860" max="14860" width="8.85546875" style="2554" customWidth="1"/>
    <col min="14861" max="14861" width="10" style="2554" customWidth="1"/>
    <col min="14862" max="14862" width="8.85546875" style="2554" customWidth="1"/>
    <col min="14863" max="14863" width="9.42578125" style="2554" customWidth="1"/>
    <col min="14864" max="14864" width="9" style="2554" customWidth="1"/>
    <col min="14865" max="14865" width="7.85546875" style="2554" customWidth="1"/>
    <col min="14866" max="14866" width="9.140625" style="2554" customWidth="1"/>
    <col min="14867" max="15104" width="9.140625" style="2554" hidden="1"/>
    <col min="15105" max="15105" width="6" style="2554" customWidth="1"/>
    <col min="15106" max="15106" width="46.85546875" style="2554" customWidth="1"/>
    <col min="15107" max="15107" width="15.28515625" style="2554" customWidth="1"/>
    <col min="15108" max="15108" width="9.42578125" style="2554" customWidth="1"/>
    <col min="15109" max="15109" width="10.140625" style="2554" customWidth="1"/>
    <col min="15110" max="15110" width="9.5703125" style="2554" customWidth="1"/>
    <col min="15111" max="15111" width="9.28515625" style="2554" customWidth="1"/>
    <col min="15112" max="15112" width="10.140625" style="2554" customWidth="1"/>
    <col min="15113" max="15113" width="9.5703125" style="2554" customWidth="1"/>
    <col min="15114" max="15115" width="9.85546875" style="2554" customWidth="1"/>
    <col min="15116" max="15116" width="8.85546875" style="2554" customWidth="1"/>
    <col min="15117" max="15117" width="10" style="2554" customWidth="1"/>
    <col min="15118" max="15118" width="8.85546875" style="2554" customWidth="1"/>
    <col min="15119" max="15119" width="9.42578125" style="2554" customWidth="1"/>
    <col min="15120" max="15120" width="9" style="2554" customWidth="1"/>
    <col min="15121" max="15121" width="7.85546875" style="2554" customWidth="1"/>
    <col min="15122" max="15122" width="9.140625" style="2554" customWidth="1"/>
    <col min="15123" max="15360" width="9.140625" style="2554" hidden="1"/>
    <col min="15361" max="15361" width="6" style="2554" customWidth="1"/>
    <col min="15362" max="15362" width="46.85546875" style="2554" customWidth="1"/>
    <col min="15363" max="15363" width="15.28515625" style="2554" customWidth="1"/>
    <col min="15364" max="15364" width="9.42578125" style="2554" customWidth="1"/>
    <col min="15365" max="15365" width="10.140625" style="2554" customWidth="1"/>
    <col min="15366" max="15366" width="9.5703125" style="2554" customWidth="1"/>
    <col min="15367" max="15367" width="9.28515625" style="2554" customWidth="1"/>
    <col min="15368" max="15368" width="10.140625" style="2554" customWidth="1"/>
    <col min="15369" max="15369" width="9.5703125" style="2554" customWidth="1"/>
    <col min="15370" max="15371" width="9.85546875" style="2554" customWidth="1"/>
    <col min="15372" max="15372" width="8.85546875" style="2554" customWidth="1"/>
    <col min="15373" max="15373" width="10" style="2554" customWidth="1"/>
    <col min="15374" max="15374" width="8.85546875" style="2554" customWidth="1"/>
    <col min="15375" max="15375" width="9.42578125" style="2554" customWidth="1"/>
    <col min="15376" max="15376" width="9" style="2554" customWidth="1"/>
    <col min="15377" max="15377" width="7.85546875" style="2554" customWidth="1"/>
    <col min="15378" max="15378" width="9.140625" style="2554" customWidth="1"/>
    <col min="15379" max="15616" width="9.140625" style="2554" hidden="1"/>
    <col min="15617" max="15617" width="6" style="2554" customWidth="1"/>
    <col min="15618" max="15618" width="46.85546875" style="2554" customWidth="1"/>
    <col min="15619" max="15619" width="15.28515625" style="2554" customWidth="1"/>
    <col min="15620" max="15620" width="9.42578125" style="2554" customWidth="1"/>
    <col min="15621" max="15621" width="10.140625" style="2554" customWidth="1"/>
    <col min="15622" max="15622" width="9.5703125" style="2554" customWidth="1"/>
    <col min="15623" max="15623" width="9.28515625" style="2554" customWidth="1"/>
    <col min="15624" max="15624" width="10.140625" style="2554" customWidth="1"/>
    <col min="15625" max="15625" width="9.5703125" style="2554" customWidth="1"/>
    <col min="15626" max="15627" width="9.85546875" style="2554" customWidth="1"/>
    <col min="15628" max="15628" width="8.85546875" style="2554" customWidth="1"/>
    <col min="15629" max="15629" width="10" style="2554" customWidth="1"/>
    <col min="15630" max="15630" width="8.85546875" style="2554" customWidth="1"/>
    <col min="15631" max="15631" width="9.42578125" style="2554" customWidth="1"/>
    <col min="15632" max="15632" width="9" style="2554" customWidth="1"/>
    <col min="15633" max="15633" width="7.85546875" style="2554" customWidth="1"/>
    <col min="15634" max="15634" width="9.140625" style="2554" customWidth="1"/>
    <col min="15635" max="15872" width="9.140625" style="2554" hidden="1"/>
    <col min="15873" max="15873" width="6" style="2554" customWidth="1"/>
    <col min="15874" max="15874" width="46.85546875" style="2554" customWidth="1"/>
    <col min="15875" max="15875" width="15.28515625" style="2554" customWidth="1"/>
    <col min="15876" max="15876" width="9.42578125" style="2554" customWidth="1"/>
    <col min="15877" max="15877" width="10.140625" style="2554" customWidth="1"/>
    <col min="15878" max="15878" width="9.5703125" style="2554" customWidth="1"/>
    <col min="15879" max="15879" width="9.28515625" style="2554" customWidth="1"/>
    <col min="15880" max="15880" width="10.140625" style="2554" customWidth="1"/>
    <col min="15881" max="15881" width="9.5703125" style="2554" customWidth="1"/>
    <col min="15882" max="15883" width="9.85546875" style="2554" customWidth="1"/>
    <col min="15884" max="15884" width="8.85546875" style="2554" customWidth="1"/>
    <col min="15885" max="15885" width="10" style="2554" customWidth="1"/>
    <col min="15886" max="15886" width="8.85546875" style="2554" customWidth="1"/>
    <col min="15887" max="15887" width="9.42578125" style="2554" customWidth="1"/>
    <col min="15888" max="15888" width="9" style="2554" customWidth="1"/>
    <col min="15889" max="15889" width="7.85546875" style="2554" customWidth="1"/>
    <col min="15890" max="15890" width="9.140625" style="2554" customWidth="1"/>
    <col min="15891" max="16128" width="9.140625" style="2554" hidden="1"/>
    <col min="16129" max="16129" width="6" style="2554" customWidth="1"/>
    <col min="16130" max="16130" width="46.85546875" style="2554" customWidth="1"/>
    <col min="16131" max="16131" width="15.28515625" style="2554" customWidth="1"/>
    <col min="16132" max="16132" width="9.42578125" style="2554" customWidth="1"/>
    <col min="16133" max="16133" width="10.140625" style="2554" customWidth="1"/>
    <col min="16134" max="16134" width="9.5703125" style="2554" customWidth="1"/>
    <col min="16135" max="16135" width="9.28515625" style="2554" customWidth="1"/>
    <col min="16136" max="16136" width="10.140625" style="2554" customWidth="1"/>
    <col min="16137" max="16137" width="9.5703125" style="2554" customWidth="1"/>
    <col min="16138" max="16139" width="9.85546875" style="2554" customWidth="1"/>
    <col min="16140" max="16140" width="8.85546875" style="2554" customWidth="1"/>
    <col min="16141" max="16141" width="10" style="2554" customWidth="1"/>
    <col min="16142" max="16142" width="8.85546875" style="2554" customWidth="1"/>
    <col min="16143" max="16143" width="9.42578125" style="2554" customWidth="1"/>
    <col min="16144" max="16144" width="9" style="2554" customWidth="1"/>
    <col min="16145" max="16145" width="7.85546875" style="2554" customWidth="1"/>
    <col min="16146" max="16146" width="9.140625" style="2554" customWidth="1"/>
    <col min="16147" max="16384" width="9.140625" style="2554" hidden="1"/>
  </cols>
  <sheetData>
    <row r="1" spans="1:258" ht="20.25">
      <c r="A1" s="2550" t="s">
        <v>3597</v>
      </c>
      <c r="C1" s="2552"/>
      <c r="D1" s="2552"/>
      <c r="E1" s="2552"/>
      <c r="F1" s="2552"/>
      <c r="G1" s="2552"/>
      <c r="H1" s="2552"/>
      <c r="I1" s="2552"/>
      <c r="J1" s="2552"/>
      <c r="K1" s="2553" t="s">
        <v>2262</v>
      </c>
      <c r="L1" s="2551"/>
    </row>
    <row r="2" spans="1:258" ht="20.25">
      <c r="A2" s="2555" t="s">
        <v>54</v>
      </c>
      <c r="C2" s="2552"/>
      <c r="D2" s="2552"/>
      <c r="E2" s="2552"/>
      <c r="F2" s="2552"/>
      <c r="G2" s="2552"/>
      <c r="H2" s="2552"/>
      <c r="I2" s="2552"/>
      <c r="J2" s="2552"/>
      <c r="K2" s="2556" t="s">
        <v>3598</v>
      </c>
      <c r="L2" s="2551"/>
    </row>
    <row r="3" spans="1:258">
      <c r="A3" s="2557"/>
      <c r="C3" s="2552"/>
      <c r="D3" s="2552"/>
      <c r="E3" s="2552"/>
      <c r="F3" s="2552"/>
      <c r="G3" s="2552"/>
      <c r="H3" s="2552"/>
      <c r="I3" s="2552"/>
      <c r="J3" s="2552"/>
      <c r="K3" s="2558"/>
      <c r="L3" s="2551"/>
    </row>
    <row r="4" spans="1:258" ht="18">
      <c r="A4" s="2557"/>
      <c r="C4" s="2552"/>
      <c r="D4" s="2552"/>
      <c r="E4" s="2559"/>
      <c r="F4" s="2550"/>
      <c r="G4" s="2551"/>
      <c r="I4" s="2551"/>
      <c r="J4" s="2559"/>
      <c r="K4" s="2558"/>
      <c r="L4" s="2551"/>
    </row>
    <row r="5" spans="1:258" ht="18">
      <c r="A5" s="2555" t="s">
        <v>1781</v>
      </c>
      <c r="C5" s="2552"/>
      <c r="D5" s="2552"/>
      <c r="E5" s="2552"/>
      <c r="F5" s="2552"/>
      <c r="G5" s="2552"/>
      <c r="H5" s="2551"/>
      <c r="I5" s="2552"/>
      <c r="J5" s="2552"/>
      <c r="K5" s="2555" t="s">
        <v>1780</v>
      </c>
      <c r="L5" s="2551"/>
    </row>
    <row r="6" spans="1:258" ht="18">
      <c r="A6" s="2555"/>
      <c r="C6" s="2552"/>
      <c r="D6" s="2552"/>
      <c r="E6" s="2552"/>
      <c r="F6" s="2552"/>
      <c r="G6" s="2552"/>
      <c r="H6" s="2552"/>
      <c r="I6" s="2552"/>
      <c r="J6" s="2552"/>
      <c r="K6" s="2552"/>
      <c r="L6" s="2552"/>
    </row>
    <row r="7" spans="1:258" ht="18">
      <c r="A7" s="2550" t="s">
        <v>3599</v>
      </c>
      <c r="C7" s="2552"/>
      <c r="D7" s="2552"/>
      <c r="E7" s="2552"/>
      <c r="F7" s="2552"/>
      <c r="G7" s="2552"/>
      <c r="H7" s="2561"/>
      <c r="I7" s="2552"/>
      <c r="J7" s="2552"/>
      <c r="K7" s="2550" t="s">
        <v>3600</v>
      </c>
      <c r="L7" s="2551"/>
    </row>
    <row r="8" spans="1:258" ht="18">
      <c r="A8" s="2562" t="s">
        <v>3601</v>
      </c>
      <c r="B8" s="2563"/>
      <c r="C8" s="2552"/>
      <c r="D8" s="2552"/>
      <c r="E8" s="2552"/>
      <c r="F8" s="2552"/>
      <c r="G8" s="2552"/>
      <c r="H8" s="2564"/>
      <c r="I8" s="2552"/>
      <c r="J8" s="2552"/>
      <c r="K8" s="2562" t="s">
        <v>3601</v>
      </c>
      <c r="L8" s="2563"/>
    </row>
    <row r="10" spans="1:258" s="2566" customFormat="1" ht="25.5" customHeight="1">
      <c r="A10" s="4640" t="s">
        <v>3602</v>
      </c>
      <c r="B10" s="4640"/>
      <c r="C10" s="4640"/>
      <c r="D10" s="4640"/>
      <c r="E10" s="4640"/>
      <c r="F10" s="4640"/>
      <c r="G10" s="4640"/>
      <c r="H10" s="4640"/>
      <c r="I10" s="4640"/>
      <c r="J10" s="4640"/>
      <c r="K10" s="4640"/>
      <c r="L10" s="4640"/>
      <c r="M10" s="4640"/>
      <c r="N10" s="4640"/>
      <c r="O10" s="4640"/>
      <c r="P10" s="4640"/>
      <c r="Q10" s="4640"/>
      <c r="R10" s="2565"/>
      <c r="IT10" s="2565"/>
      <c r="IX10" s="2925"/>
    </row>
    <row r="11" spans="1:258" s="2566" customFormat="1" ht="19.5" customHeight="1">
      <c r="A11" s="4641" t="s">
        <v>3603</v>
      </c>
      <c r="B11" s="4641"/>
      <c r="C11" s="4642" t="s">
        <v>1779</v>
      </c>
      <c r="D11" s="4643"/>
      <c r="E11" s="4643"/>
      <c r="F11" s="4643"/>
      <c r="G11" s="4643"/>
      <c r="H11" s="4643"/>
      <c r="I11" s="4643"/>
      <c r="J11" s="4643"/>
      <c r="K11" s="4643"/>
      <c r="L11" s="4643"/>
      <c r="M11" s="4643"/>
      <c r="N11" s="4643"/>
      <c r="O11" s="4643"/>
      <c r="P11" s="4643"/>
      <c r="Q11" s="4644"/>
      <c r="R11" s="2565"/>
      <c r="IT11" s="2565"/>
      <c r="IX11" s="2925"/>
    </row>
    <row r="12" spans="1:258" s="2566" customFormat="1" ht="21.75" customHeight="1">
      <c r="A12" s="2563"/>
      <c r="B12" s="2567"/>
      <c r="C12" s="2568"/>
      <c r="D12" s="2568"/>
      <c r="E12" s="2568"/>
      <c r="F12" s="2568"/>
      <c r="G12" s="2568"/>
      <c r="H12" s="2568"/>
      <c r="I12" s="2568"/>
      <c r="J12" s="2568"/>
      <c r="K12" s="2568"/>
      <c r="L12" s="2568"/>
      <c r="M12" s="2569"/>
      <c r="N12" s="2569"/>
      <c r="O12" s="2570"/>
      <c r="P12" s="2570"/>
      <c r="Q12" s="2570"/>
      <c r="R12" s="2565"/>
      <c r="IT12" s="2565"/>
      <c r="IX12" s="2925"/>
    </row>
    <row r="13" spans="1:258" s="2572" customFormat="1" ht="31.5" customHeight="1">
      <c r="A13" s="4645" t="s">
        <v>3</v>
      </c>
      <c r="B13" s="4645" t="s">
        <v>4</v>
      </c>
      <c r="C13" s="4646" t="s">
        <v>3604</v>
      </c>
      <c r="D13" s="4646"/>
      <c r="E13" s="4646"/>
      <c r="F13" s="4646"/>
      <c r="G13" s="4646"/>
      <c r="H13" s="4646" t="s">
        <v>3605</v>
      </c>
      <c r="I13" s="4646"/>
      <c r="J13" s="4646"/>
      <c r="K13" s="4646"/>
      <c r="L13" s="4646"/>
      <c r="M13" s="4645" t="s">
        <v>3606</v>
      </c>
      <c r="N13" s="4645"/>
      <c r="O13" s="4645"/>
      <c r="P13" s="4645"/>
      <c r="Q13" s="4645"/>
      <c r="R13" s="2571"/>
      <c r="IT13" s="2571"/>
    </row>
    <row r="14" spans="1:258" s="2572" customFormat="1" ht="45.75" customHeight="1">
      <c r="A14" s="4645"/>
      <c r="B14" s="4645"/>
      <c r="C14" s="2573" t="s">
        <v>8</v>
      </c>
      <c r="D14" s="2573" t="s">
        <v>9</v>
      </c>
      <c r="E14" s="2574" t="s">
        <v>10</v>
      </c>
      <c r="F14" s="2574" t="s">
        <v>11</v>
      </c>
      <c r="G14" s="2573" t="s">
        <v>12</v>
      </c>
      <c r="H14" s="2573" t="s">
        <v>8</v>
      </c>
      <c r="I14" s="2573" t="s">
        <v>9</v>
      </c>
      <c r="J14" s="2574" t="s">
        <v>10</v>
      </c>
      <c r="K14" s="2574" t="s">
        <v>11</v>
      </c>
      <c r="L14" s="2573" t="s">
        <v>12</v>
      </c>
      <c r="M14" s="2575" t="s">
        <v>8</v>
      </c>
      <c r="N14" s="2575" t="s">
        <v>9</v>
      </c>
      <c r="O14" s="2576" t="s">
        <v>10</v>
      </c>
      <c r="P14" s="2576" t="s">
        <v>11</v>
      </c>
      <c r="Q14" s="2575" t="s">
        <v>12</v>
      </c>
      <c r="R14" s="2571"/>
      <c r="IT14" s="2571"/>
    </row>
    <row r="15" spans="1:258" s="2579" customFormat="1" ht="16.5" thickBot="1">
      <c r="A15" s="2577">
        <v>1</v>
      </c>
      <c r="B15" s="2577">
        <v>2</v>
      </c>
      <c r="C15" s="2577">
        <v>3</v>
      </c>
      <c r="D15" s="2577">
        <v>4</v>
      </c>
      <c r="E15" s="2577">
        <v>5</v>
      </c>
      <c r="F15" s="2577">
        <v>6</v>
      </c>
      <c r="G15" s="2577">
        <v>7</v>
      </c>
      <c r="H15" s="2577">
        <v>8</v>
      </c>
      <c r="I15" s="2577">
        <v>9</v>
      </c>
      <c r="J15" s="2577">
        <v>10</v>
      </c>
      <c r="K15" s="2577">
        <v>11</v>
      </c>
      <c r="L15" s="2577">
        <v>12</v>
      </c>
      <c r="M15" s="2577">
        <v>13</v>
      </c>
      <c r="N15" s="2577">
        <v>14</v>
      </c>
      <c r="O15" s="2577">
        <v>15</v>
      </c>
      <c r="P15" s="2577">
        <v>16</v>
      </c>
      <c r="Q15" s="2577">
        <v>17</v>
      </c>
      <c r="R15" s="2578"/>
      <c r="IT15" s="2578"/>
      <c r="IX15" s="2926" t="s">
        <v>3659</v>
      </c>
    </row>
    <row r="16" spans="1:258" s="2580" customFormat="1" ht="21" thickTop="1" thickBot="1">
      <c r="A16" s="4637" t="str">
        <f>'Шаблон 46 ГП'!A8:P8</f>
        <v>Май 2026 год</v>
      </c>
      <c r="B16" s="4638"/>
      <c r="C16" s="4638"/>
      <c r="D16" s="4638"/>
      <c r="E16" s="4638"/>
      <c r="F16" s="4638"/>
      <c r="G16" s="4638"/>
      <c r="H16" s="4638"/>
      <c r="I16" s="4638"/>
      <c r="J16" s="4638"/>
      <c r="K16" s="4638"/>
      <c r="L16" s="4638"/>
      <c r="M16" s="4638"/>
      <c r="N16" s="4638"/>
      <c r="O16" s="4638"/>
      <c r="P16" s="4638"/>
      <c r="Q16" s="4638"/>
      <c r="IX16" s="2927"/>
    </row>
    <row r="17" spans="1:260" s="2588" customFormat="1" ht="18.75">
      <c r="A17" s="2581" t="s">
        <v>25</v>
      </c>
      <c r="B17" s="2582" t="s">
        <v>3555</v>
      </c>
      <c r="C17" s="2583">
        <f t="shared" ref="C17:C23" si="0">SUM(D17:G17)</f>
        <v>57.180120000000002</v>
      </c>
      <c r="D17" s="2583">
        <f>D18</f>
        <v>57.180120000000002</v>
      </c>
      <c r="E17" s="2583"/>
      <c r="F17" s="2583"/>
      <c r="G17" s="2583"/>
      <c r="H17" s="2583">
        <f t="shared" ref="H17:H23" si="1">SUM(I17:L17)</f>
        <v>0</v>
      </c>
      <c r="I17" s="2583">
        <f>I18</f>
        <v>0</v>
      </c>
      <c r="J17" s="2583"/>
      <c r="K17" s="2583"/>
      <c r="L17" s="2583"/>
      <c r="M17" s="2584">
        <f t="shared" ref="M17:M24" si="2">N17+O17+P17+Q17</f>
        <v>100</v>
      </c>
      <c r="N17" s="2584">
        <f>D17/C17*100</f>
        <v>100</v>
      </c>
      <c r="O17" s="2585">
        <f t="shared" ref="O17:O24" si="3">E17/C17*100</f>
        <v>0</v>
      </c>
      <c r="P17" s="2585">
        <f t="shared" ref="P17:P24" si="4">F17/C17*100</f>
        <v>0</v>
      </c>
      <c r="Q17" s="2586">
        <f t="shared" ref="Q17:Q24" si="5">G17/C17*100</f>
        <v>0</v>
      </c>
      <c r="R17" s="2587"/>
      <c r="IT17" s="2589"/>
      <c r="IX17" s="2928"/>
    </row>
    <row r="18" spans="1:260" s="2588" customFormat="1" ht="18.75">
      <c r="A18" s="2590" t="s">
        <v>339</v>
      </c>
      <c r="B18" s="2591" t="s">
        <v>3556</v>
      </c>
      <c r="C18" s="2592">
        <f t="shared" si="0"/>
        <v>57.180120000000002</v>
      </c>
      <c r="D18" s="2593">
        <f>'Шаблон 46 ГП'!D9/1000000</f>
        <v>57.180120000000002</v>
      </c>
      <c r="E18" s="2593"/>
      <c r="F18" s="2593"/>
      <c r="G18" s="2594"/>
      <c r="H18" s="2592">
        <f t="shared" si="1"/>
        <v>0</v>
      </c>
      <c r="I18" s="2593">
        <f>ОРЭМ!C22</f>
        <v>0</v>
      </c>
      <c r="J18" s="2593"/>
      <c r="K18" s="2593"/>
      <c r="L18" s="2593"/>
      <c r="M18" s="2595">
        <f t="shared" si="2"/>
        <v>100</v>
      </c>
      <c r="N18" s="2595">
        <f>D18/C18*100</f>
        <v>100</v>
      </c>
      <c r="O18" s="2596">
        <f t="shared" si="3"/>
        <v>0</v>
      </c>
      <c r="P18" s="2596">
        <f t="shared" si="4"/>
        <v>0</v>
      </c>
      <c r="Q18" s="2597">
        <f t="shared" si="5"/>
        <v>0</v>
      </c>
      <c r="R18" s="2589"/>
      <c r="IT18" s="2589"/>
      <c r="IX18" s="2928">
        <v>8500</v>
      </c>
    </row>
    <row r="19" spans="1:260" s="2588" customFormat="1" ht="18.75" hidden="1">
      <c r="A19" s="2590"/>
      <c r="B19" s="2591" t="s">
        <v>3557</v>
      </c>
      <c r="C19" s="2592">
        <f>F19</f>
        <v>0</v>
      </c>
      <c r="D19" s="2593"/>
      <c r="E19" s="2593"/>
      <c r="F19" s="2593"/>
      <c r="G19" s="2594"/>
      <c r="H19" s="2592">
        <f>K19</f>
        <v>0</v>
      </c>
      <c r="I19" s="2593"/>
      <c r="J19" s="2593"/>
      <c r="K19" s="2593"/>
      <c r="L19" s="2598"/>
      <c r="M19" s="2595">
        <v>100</v>
      </c>
      <c r="N19" s="2595">
        <v>0</v>
      </c>
      <c r="O19" s="2596">
        <v>0</v>
      </c>
      <c r="P19" s="2596">
        <v>100</v>
      </c>
      <c r="Q19" s="2597">
        <v>0</v>
      </c>
      <c r="R19" s="2589"/>
      <c r="IT19" s="2589"/>
      <c r="IX19" s="2928"/>
    </row>
    <row r="20" spans="1:260" s="2588" customFormat="1" ht="17.25" customHeight="1">
      <c r="A20" s="2599" t="s">
        <v>27</v>
      </c>
      <c r="B20" s="2600" t="s">
        <v>3558</v>
      </c>
      <c r="C20" s="2601">
        <f>SUM(D20:G20)</f>
        <v>1.7883280000000001</v>
      </c>
      <c r="D20" s="2601"/>
      <c r="E20" s="2601">
        <f>SUM(E21:E23)</f>
        <v>0.16094952000000001</v>
      </c>
      <c r="F20" s="2601">
        <f>SUM(F21:F23)</f>
        <v>0.60803152000000005</v>
      </c>
      <c r="G20" s="2601">
        <f>SUM(G21:G23)</f>
        <v>1.01934696</v>
      </c>
      <c r="H20" s="2601">
        <f>SUM(J20:L20)</f>
        <v>2.5246983529411766</v>
      </c>
      <c r="I20" s="2601"/>
      <c r="J20" s="2601">
        <f>SUM(J21:J23)</f>
        <v>0.22722285176470591</v>
      </c>
      <c r="K20" s="2601">
        <f>SUM(K21:K23)</f>
        <v>0.85839744000000007</v>
      </c>
      <c r="L20" s="2601">
        <f>SUM(L21:L23)</f>
        <v>1.4390780611764706</v>
      </c>
      <c r="M20" s="2602">
        <f t="shared" si="2"/>
        <v>100</v>
      </c>
      <c r="N20" s="2602"/>
      <c r="O20" s="2603">
        <f t="shared" si="3"/>
        <v>9</v>
      </c>
      <c r="P20" s="2603">
        <f t="shared" si="4"/>
        <v>34</v>
      </c>
      <c r="Q20" s="2604">
        <f t="shared" si="5"/>
        <v>56.999999999999993</v>
      </c>
      <c r="R20" s="2589"/>
      <c r="IT20" s="2589"/>
      <c r="IX20" s="2928" t="s">
        <v>513</v>
      </c>
      <c r="IY20" s="2588" t="s">
        <v>279</v>
      </c>
      <c r="IZ20" s="2588" t="s">
        <v>12</v>
      </c>
    </row>
    <row r="21" spans="1:260" s="2588" customFormat="1" ht="17.25" customHeight="1">
      <c r="A21" s="2599"/>
      <c r="B21" s="2605" t="s">
        <v>3559</v>
      </c>
      <c r="C21" s="2601">
        <f t="shared" si="0"/>
        <v>1.7883280000000001</v>
      </c>
      <c r="D21" s="2601"/>
      <c r="E21" s="2601">
        <f>'Шаблон 46 ГП'!E269/1000000</f>
        <v>0.16094952000000001</v>
      </c>
      <c r="F21" s="2601">
        <f>'Шаблон 46 ГП'!F269/1000000</f>
        <v>0.60803152000000005</v>
      </c>
      <c r="G21" s="2601">
        <f>'Шаблон 46 ГП'!G269/1000000</f>
        <v>1.01934696</v>
      </c>
      <c r="H21" s="2601">
        <f>SUM(J21:L21)</f>
        <v>2.5246983529411766</v>
      </c>
      <c r="I21" s="2601"/>
      <c r="J21" s="2601">
        <f>E21/IX21*12*1000</f>
        <v>0.22722285176470591</v>
      </c>
      <c r="K21" s="2601">
        <f t="shared" ref="K21:L21" si="6">F21/IY21*12*1000</f>
        <v>0.85839744000000007</v>
      </c>
      <c r="L21" s="2601">
        <f t="shared" si="6"/>
        <v>1.4390780611764706</v>
      </c>
      <c r="M21" s="2602">
        <f t="shared" si="2"/>
        <v>100</v>
      </c>
      <c r="N21" s="2602"/>
      <c r="O21" s="2603">
        <f t="shared" si="3"/>
        <v>9</v>
      </c>
      <c r="P21" s="2603">
        <f t="shared" si="4"/>
        <v>34</v>
      </c>
      <c r="Q21" s="2604">
        <f t="shared" si="5"/>
        <v>56.999999999999993</v>
      </c>
      <c r="R21" s="2589"/>
      <c r="IT21" s="2589"/>
      <c r="IX21" s="2928">
        <v>8500</v>
      </c>
      <c r="IY21" s="2928">
        <f>IX21</f>
        <v>8500</v>
      </c>
      <c r="IZ21" s="2928">
        <f>IY21</f>
        <v>8500</v>
      </c>
    </row>
    <row r="22" spans="1:260" s="2588" customFormat="1" ht="17.25" hidden="1" customHeight="1">
      <c r="A22" s="2599"/>
      <c r="B22" s="2605" t="s">
        <v>3560</v>
      </c>
      <c r="C22" s="2606">
        <f t="shared" si="0"/>
        <v>0</v>
      </c>
      <c r="D22" s="2601"/>
      <c r="E22" s="2601"/>
      <c r="F22" s="2606"/>
      <c r="G22" s="2601"/>
      <c r="H22" s="2601">
        <f t="shared" si="1"/>
        <v>0</v>
      </c>
      <c r="I22" s="2601"/>
      <c r="J22" s="2601"/>
      <c r="K22" s="2601"/>
      <c r="L22" s="2601"/>
      <c r="M22" s="2602" t="e">
        <f>N22+O22+P22+Q22</f>
        <v>#DIV/0!</v>
      </c>
      <c r="N22" s="2602"/>
      <c r="O22" s="2603" t="e">
        <f>E22/C22*100</f>
        <v>#DIV/0!</v>
      </c>
      <c r="P22" s="2603" t="e">
        <f>F22/C22*100</f>
        <v>#DIV/0!</v>
      </c>
      <c r="Q22" s="2604" t="e">
        <f>G22/C22*100</f>
        <v>#DIV/0!</v>
      </c>
      <c r="R22" s="2589"/>
      <c r="IT22" s="2589"/>
      <c r="IX22" s="2928"/>
      <c r="IY22" s="2928"/>
      <c r="IZ22" s="2928"/>
    </row>
    <row r="23" spans="1:260" s="2588" customFormat="1" ht="17.25" hidden="1" customHeight="1">
      <c r="A23" s="2599"/>
      <c r="B23" s="2605" t="s">
        <v>3561</v>
      </c>
      <c r="C23" s="2606">
        <f t="shared" si="0"/>
        <v>0</v>
      </c>
      <c r="D23" s="2601"/>
      <c r="E23" s="2601"/>
      <c r="F23" s="2606">
        <v>0</v>
      </c>
      <c r="G23" s="2601"/>
      <c r="H23" s="2601">
        <f t="shared" si="1"/>
        <v>0</v>
      </c>
      <c r="I23" s="2601"/>
      <c r="J23" s="2601"/>
      <c r="K23" s="2601">
        <v>0</v>
      </c>
      <c r="L23" s="2601"/>
      <c r="M23" s="2602" t="e">
        <f>N23+O23+P23+Q23</f>
        <v>#DIV/0!</v>
      </c>
      <c r="N23" s="2602"/>
      <c r="O23" s="2603" t="e">
        <f>E23/C23*100</f>
        <v>#DIV/0!</v>
      </c>
      <c r="P23" s="2603" t="e">
        <f>F23/C23*100</f>
        <v>#DIV/0!</v>
      </c>
      <c r="Q23" s="2604" t="e">
        <f>G23/C23*100</f>
        <v>#DIV/0!</v>
      </c>
      <c r="R23" s="2589"/>
      <c r="IT23" s="2589"/>
      <c r="IX23" s="2928"/>
      <c r="IY23" s="2928"/>
      <c r="IZ23" s="2928"/>
    </row>
    <row r="24" spans="1:260" s="2588" customFormat="1" ht="21.75" customHeight="1">
      <c r="A24" s="2599" t="s">
        <v>41</v>
      </c>
      <c r="B24" s="2607" t="s">
        <v>42</v>
      </c>
      <c r="C24" s="2601">
        <f t="shared" ref="C24:C98" si="7">SUM(D24:G24)</f>
        <v>30.561553000000004</v>
      </c>
      <c r="D24" s="2601"/>
      <c r="E24" s="2601">
        <f>E25+E34+E39+E41+E43+E44</f>
        <v>2.6853119999999997</v>
      </c>
      <c r="F24" s="2601">
        <f>F25+F34+F39+F41+F43+F44</f>
        <v>17.141397000000001</v>
      </c>
      <c r="G24" s="2601">
        <f>G25+G34+G39+G41+G43+G44</f>
        <v>10.734844000000001</v>
      </c>
      <c r="H24" s="2601">
        <f>J24+K24+L24</f>
        <v>43.14572188235293</v>
      </c>
      <c r="I24" s="2601"/>
      <c r="J24" s="2601">
        <f>J25+J34+J39+J41+J43+J44</f>
        <v>3.7910287058823524</v>
      </c>
      <c r="K24" s="2601">
        <f>K25+K34+K39+K41+K43+K44</f>
        <v>24.199619294117639</v>
      </c>
      <c r="L24" s="2601">
        <f>L25+L34+L39+L41+L43+L44</f>
        <v>15.155073882352941</v>
      </c>
      <c r="M24" s="2602">
        <f t="shared" si="2"/>
        <v>100</v>
      </c>
      <c r="N24" s="2602"/>
      <c r="O24" s="2603">
        <f t="shared" si="3"/>
        <v>8.7865691903811278</v>
      </c>
      <c r="P24" s="2603">
        <f t="shared" si="4"/>
        <v>56.088108480612874</v>
      </c>
      <c r="Q24" s="2604">
        <f t="shared" si="5"/>
        <v>35.125322329005989</v>
      </c>
      <c r="R24" s="2589"/>
      <c r="IT24" s="2589"/>
      <c r="IX24" s="2928"/>
      <c r="IY24" s="2928"/>
      <c r="IZ24" s="2928"/>
    </row>
    <row r="25" spans="1:260" s="2588" customFormat="1" ht="17.25" customHeight="1">
      <c r="A25" s="2608" t="s">
        <v>2008</v>
      </c>
      <c r="B25" s="2609" t="s">
        <v>3562</v>
      </c>
      <c r="C25" s="2592">
        <f>SUM(D25:G25)</f>
        <v>19.850285</v>
      </c>
      <c r="D25" s="2592"/>
      <c r="E25" s="2592">
        <f>E26+E27+E28</f>
        <v>0.19053300000000001</v>
      </c>
      <c r="F25" s="2592">
        <f>F26+F27+F28</f>
        <v>12.530697999999999</v>
      </c>
      <c r="G25" s="2592">
        <f>G26+G27+G28</f>
        <v>7.129054</v>
      </c>
      <c r="H25" s="2592">
        <f>J25+K25+L25</f>
        <v>28.023931764705878</v>
      </c>
      <c r="I25" s="2592"/>
      <c r="J25" s="2592">
        <f>J26+J27+J28</f>
        <v>0.26898776470588232</v>
      </c>
      <c r="K25" s="2592">
        <f>K26+K27+K28</f>
        <v>17.690397176470583</v>
      </c>
      <c r="L25" s="2592">
        <f>L26+L27+L28</f>
        <v>10.064546823529412</v>
      </c>
      <c r="M25" s="2595"/>
      <c r="N25" s="2595"/>
      <c r="O25" s="2596"/>
      <c r="P25" s="2596"/>
      <c r="Q25" s="2597"/>
      <c r="R25" s="2589"/>
      <c r="IT25" s="2589"/>
      <c r="IX25" s="2928"/>
      <c r="IY25" s="2928"/>
      <c r="IZ25" s="2928"/>
    </row>
    <row r="26" spans="1:260" s="2588" customFormat="1" ht="17.25" hidden="1" customHeight="1">
      <c r="A26" s="2610"/>
      <c r="B26" s="2611" t="s">
        <v>156</v>
      </c>
      <c r="C26" s="2612">
        <f t="shared" si="7"/>
        <v>0</v>
      </c>
      <c r="D26" s="2612"/>
      <c r="E26" s="2612"/>
      <c r="F26" s="2612"/>
      <c r="G26" s="2612"/>
      <c r="H26" s="2612">
        <f>J26+K26+L26</f>
        <v>0</v>
      </c>
      <c r="I26" s="2612"/>
      <c r="J26" s="2612"/>
      <c r="K26" s="2612"/>
      <c r="L26" s="2612"/>
      <c r="M26" s="2602" t="e">
        <f>N26+O26+P26+Q26</f>
        <v>#DIV/0!</v>
      </c>
      <c r="N26" s="2602"/>
      <c r="O26" s="2603" t="e">
        <f>E26/C26*100</f>
        <v>#DIV/0!</v>
      </c>
      <c r="P26" s="2603" t="e">
        <f>F26/C26*100</f>
        <v>#DIV/0!</v>
      </c>
      <c r="Q26" s="2604" t="e">
        <f>G26/C26*100</f>
        <v>#DIV/0!</v>
      </c>
      <c r="R26" s="2589"/>
      <c r="IT26" s="2589"/>
      <c r="IX26" s="2928"/>
      <c r="IY26" s="2928"/>
      <c r="IZ26" s="2928"/>
    </row>
    <row r="27" spans="1:260" s="2588" customFormat="1" ht="17.25" customHeight="1">
      <c r="A27" s="2610"/>
      <c r="B27" s="2611" t="s">
        <v>1934</v>
      </c>
      <c r="C27" s="2612">
        <f t="shared" si="7"/>
        <v>19.850285</v>
      </c>
      <c r="D27" s="2612"/>
      <c r="E27" s="2612">
        <f>'Шаблон 46 ГП'!E68/1000000+'Шаблон 46 ГП'!E69/1000000</f>
        <v>0.19053300000000001</v>
      </c>
      <c r="F27" s="2612">
        <f>'Шаблон 46 ГП'!F68/1000000+'Шаблон 46 ГП'!F69/1000000</f>
        <v>12.530697999999999</v>
      </c>
      <c r="G27" s="2612">
        <f>'Шаблон 46 ГП'!G68/1000000+'Шаблон 46 ГП'!G69/1000000</f>
        <v>7.129054</v>
      </c>
      <c r="H27" s="2612">
        <f>J27+K27+L27</f>
        <v>28.023931764705878</v>
      </c>
      <c r="I27" s="2612"/>
      <c r="J27" s="2612">
        <f t="shared" ref="J27:L27" si="8">E27/IX27*12*1000</f>
        <v>0.26898776470588232</v>
      </c>
      <c r="K27" s="2612">
        <f t="shared" si="8"/>
        <v>17.690397176470583</v>
      </c>
      <c r="L27" s="2612">
        <f t="shared" si="8"/>
        <v>10.064546823529412</v>
      </c>
      <c r="M27" s="2602">
        <f>N27+O27+P27+Q27</f>
        <v>100</v>
      </c>
      <c r="N27" s="2602"/>
      <c r="O27" s="2603">
        <f>E27/C27*100</f>
        <v>0.95985019862435228</v>
      </c>
      <c r="P27" s="2603">
        <f>F27/C27*100</f>
        <v>63.126035721905247</v>
      </c>
      <c r="Q27" s="2604">
        <f>G27/C27*100</f>
        <v>35.914114079470394</v>
      </c>
      <c r="R27" s="2589"/>
      <c r="IT27" s="2589"/>
      <c r="IX27" s="2928">
        <f>IX21</f>
        <v>8500</v>
      </c>
      <c r="IY27" s="2928">
        <f>IX27</f>
        <v>8500</v>
      </c>
      <c r="IZ27" s="2928">
        <f>IY27</f>
        <v>8500</v>
      </c>
    </row>
    <row r="28" spans="1:260" s="2588" customFormat="1" ht="17.25" customHeight="1">
      <c r="A28" s="2610"/>
      <c r="B28" s="2611" t="s">
        <v>226</v>
      </c>
      <c r="C28" s="2612"/>
      <c r="D28" s="2613"/>
      <c r="E28" s="2612"/>
      <c r="F28" s="2612"/>
      <c r="G28" s="2612"/>
      <c r="H28" s="2612"/>
      <c r="I28" s="2612"/>
      <c r="J28" s="2612"/>
      <c r="K28" s="2612"/>
      <c r="L28" s="2612"/>
      <c r="M28" s="2602"/>
      <c r="N28" s="2602"/>
      <c r="O28" s="2603"/>
      <c r="P28" s="2603"/>
      <c r="Q28" s="2604"/>
      <c r="R28" s="2589"/>
      <c r="IT28" s="2589"/>
      <c r="IX28" s="2928"/>
      <c r="IY28" s="2928"/>
      <c r="IZ28" s="2928"/>
    </row>
    <row r="29" spans="1:260" s="2588" customFormat="1" ht="17.25" customHeight="1">
      <c r="A29" s="2610"/>
      <c r="B29" s="2611" t="s">
        <v>3563</v>
      </c>
      <c r="C29" s="2612"/>
      <c r="D29" s="2612"/>
      <c r="E29" s="2612"/>
      <c r="F29" s="2612"/>
      <c r="G29" s="2612"/>
      <c r="H29" s="2612"/>
      <c r="I29" s="2612"/>
      <c r="J29" s="2612"/>
      <c r="K29" s="2612"/>
      <c r="L29" s="2612"/>
      <c r="M29" s="2602"/>
      <c r="N29" s="2602"/>
      <c r="O29" s="2603"/>
      <c r="P29" s="2603"/>
      <c r="Q29" s="2604"/>
      <c r="R29" s="2589"/>
      <c r="IT29" s="2589"/>
      <c r="IX29" s="2928"/>
      <c r="IY29" s="2928"/>
      <c r="IZ29" s="2928"/>
    </row>
    <row r="30" spans="1:260" s="2588" customFormat="1" ht="17.25" hidden="1" customHeight="1">
      <c r="A30" s="2608" t="s">
        <v>2008</v>
      </c>
      <c r="B30" s="2609" t="s">
        <v>3562</v>
      </c>
      <c r="C30" s="2592">
        <f>D30+E30+F30+G30</f>
        <v>54.695082999999997</v>
      </c>
      <c r="D30" s="2592"/>
      <c r="E30" s="2592">
        <f>E31+E32+E33</f>
        <v>4.651694</v>
      </c>
      <c r="F30" s="2592">
        <f>F31+F32+F33</f>
        <v>42.034695999999997</v>
      </c>
      <c r="G30" s="2592">
        <f>G31+G32+G33</f>
        <v>8.0086930000000009</v>
      </c>
      <c r="H30" s="2592">
        <f>J30+K30+L30</f>
        <v>99.890896999999995</v>
      </c>
      <c r="I30" s="2592"/>
      <c r="J30" s="2592">
        <f>J31+J32+J33</f>
        <v>21.964803</v>
      </c>
      <c r="K30" s="2592">
        <f>K31+K32+K33</f>
        <v>55.025569999999995</v>
      </c>
      <c r="L30" s="2592">
        <f>L31+L32+L33</f>
        <v>22.900524000000001</v>
      </c>
      <c r="M30" s="2595"/>
      <c r="N30" s="2595"/>
      <c r="O30" s="2596"/>
      <c r="P30" s="2596"/>
      <c r="Q30" s="2597"/>
      <c r="R30" s="2589"/>
      <c r="IT30" s="2589"/>
      <c r="IX30" s="2928"/>
      <c r="IY30" s="2928"/>
      <c r="IZ30" s="2928"/>
    </row>
    <row r="31" spans="1:260" s="2588" customFormat="1" ht="17.25" hidden="1" customHeight="1">
      <c r="A31" s="2614" t="s">
        <v>2010</v>
      </c>
      <c r="B31" s="2615" t="s">
        <v>42</v>
      </c>
      <c r="C31" s="2612">
        <f t="shared" si="7"/>
        <v>49.081618999999996</v>
      </c>
      <c r="D31" s="2612"/>
      <c r="E31" s="2612">
        <v>4.651694</v>
      </c>
      <c r="F31" s="2612">
        <v>39.361747999999999</v>
      </c>
      <c r="G31" s="2612">
        <v>5.0681770000000004</v>
      </c>
      <c r="H31" s="2612">
        <f>SUM(I31:L31)</f>
        <v>89.527083000000005</v>
      </c>
      <c r="I31" s="2612"/>
      <c r="J31" s="2612">
        <v>21.964803</v>
      </c>
      <c r="K31" s="2612">
        <v>49.781959999999998</v>
      </c>
      <c r="L31" s="2612">
        <v>17.78032</v>
      </c>
      <c r="M31" s="2616">
        <f>N31+O31+P31+Q31</f>
        <v>100.00000000000001</v>
      </c>
      <c r="N31" s="2616"/>
      <c r="O31" s="2617">
        <f>E31/C31*100</f>
        <v>9.4774665032952559</v>
      </c>
      <c r="P31" s="2617">
        <f>F31/C31*100</f>
        <v>80.196515114955773</v>
      </c>
      <c r="Q31" s="2618">
        <f>G31/C31*100</f>
        <v>10.326018381748982</v>
      </c>
      <c r="R31" s="2589"/>
      <c r="IT31" s="2589"/>
      <c r="IX31" s="2928"/>
      <c r="IY31" s="2928"/>
      <c r="IZ31" s="2928"/>
    </row>
    <row r="32" spans="1:260" s="2621" customFormat="1" ht="18.75" hidden="1">
      <c r="A32" s="2619" t="s">
        <v>2011</v>
      </c>
      <c r="B32" s="2615" t="s">
        <v>521</v>
      </c>
      <c r="C32" s="2612">
        <f t="shared" si="7"/>
        <v>5.4291280000000004</v>
      </c>
      <c r="D32" s="2612"/>
      <c r="E32" s="2612"/>
      <c r="F32" s="2612">
        <v>2.5001500000000001</v>
      </c>
      <c r="G32" s="2612">
        <v>2.9289779999999999</v>
      </c>
      <c r="H32" s="2612">
        <f t="shared" ref="H32:H101" si="9">SUM(I32:L32)</f>
        <v>9.8686830000000008</v>
      </c>
      <c r="I32" s="2612"/>
      <c r="J32" s="2612"/>
      <c r="K32" s="2612">
        <v>4.7756169999999996</v>
      </c>
      <c r="L32" s="2612">
        <v>5.0930660000000003</v>
      </c>
      <c r="M32" s="2616">
        <f>N32+O32+P32+Q32</f>
        <v>100</v>
      </c>
      <c r="N32" s="2616"/>
      <c r="O32" s="2617">
        <f>E32/C32*100</f>
        <v>0</v>
      </c>
      <c r="P32" s="2617">
        <f>F32/C32*100</f>
        <v>46.050673330965857</v>
      </c>
      <c r="Q32" s="2618">
        <f>G32/C32*100</f>
        <v>53.949326669034136</v>
      </c>
      <c r="R32" s="2620"/>
      <c r="IT32" s="2620"/>
      <c r="IX32" s="2928"/>
      <c r="IY32" s="2928"/>
      <c r="IZ32" s="2928"/>
    </row>
    <row r="33" spans="1:260" s="2621" customFormat="1" ht="32.25" hidden="1">
      <c r="A33" s="2622" t="s">
        <v>2012</v>
      </c>
      <c r="B33" s="2623" t="s">
        <v>3564</v>
      </c>
      <c r="C33" s="2612">
        <f>SUM(D33:G33)</f>
        <v>0.184336</v>
      </c>
      <c r="D33" s="2612"/>
      <c r="E33" s="2612"/>
      <c r="F33" s="2612">
        <v>0.17279800000000001</v>
      </c>
      <c r="G33" s="2612">
        <v>1.1538E-2</v>
      </c>
      <c r="H33" s="2612">
        <f>SUM(I33:L33)</f>
        <v>0.49513099999999999</v>
      </c>
      <c r="I33" s="2612"/>
      <c r="J33" s="2612"/>
      <c r="K33" s="2612">
        <v>0.46799299999999999</v>
      </c>
      <c r="L33" s="2612">
        <v>2.7137999999999999E-2</v>
      </c>
      <c r="M33" s="2616">
        <f>N33+O33+P33+Q33</f>
        <v>100</v>
      </c>
      <c r="N33" s="2616"/>
      <c r="O33" s="2617">
        <f>E33/C33*100</f>
        <v>0</v>
      </c>
      <c r="P33" s="2617">
        <f>F33/C33*100</f>
        <v>93.740777710268205</v>
      </c>
      <c r="Q33" s="2618">
        <f>G33/C33*100</f>
        <v>6.2592222897317944</v>
      </c>
      <c r="R33" s="2620"/>
      <c r="IT33" s="2620"/>
      <c r="IX33" s="2928"/>
      <c r="IY33" s="2928"/>
      <c r="IZ33" s="2928"/>
    </row>
    <row r="34" spans="1:260" s="2588" customFormat="1" ht="22.5" customHeight="1">
      <c r="A34" s="2624" t="s">
        <v>2013</v>
      </c>
      <c r="B34" s="2609" t="s">
        <v>3565</v>
      </c>
      <c r="C34" s="2592">
        <f>SUM(D34:G34)</f>
        <v>0.29592699999999994</v>
      </c>
      <c r="D34" s="2592"/>
      <c r="E34" s="2592"/>
      <c r="F34" s="2592">
        <f>F36</f>
        <v>0.29286599999999996</v>
      </c>
      <c r="G34" s="2592">
        <f>G36</f>
        <v>3.0609999999999999E-3</v>
      </c>
      <c r="H34" s="2592">
        <f>SUM(I34:L34)</f>
        <v>0.41777929411764708</v>
      </c>
      <c r="I34" s="2592"/>
      <c r="J34" s="2592"/>
      <c r="K34" s="2592">
        <f>K36</f>
        <v>0.41345788235294118</v>
      </c>
      <c r="L34" s="2592">
        <f>L36</f>
        <v>4.3214117647058826E-3</v>
      </c>
      <c r="M34" s="2595">
        <v>100</v>
      </c>
      <c r="N34" s="2595"/>
      <c r="O34" s="2596">
        <v>0</v>
      </c>
      <c r="P34" s="2596">
        <v>99.88</v>
      </c>
      <c r="Q34" s="2597">
        <v>0.12</v>
      </c>
      <c r="R34" s="2589"/>
      <c r="IT34" s="2589"/>
      <c r="IX34" s="2928"/>
      <c r="IY34" s="2928"/>
      <c r="IZ34" s="2928"/>
    </row>
    <row r="35" spans="1:260" s="2588" customFormat="1" ht="17.25" customHeight="1">
      <c r="A35" s="2610"/>
      <c r="B35" s="2611" t="s">
        <v>1934</v>
      </c>
      <c r="C35" s="2612">
        <f>SUM(D35:G35)</f>
        <v>0.29592699999999994</v>
      </c>
      <c r="D35" s="2612"/>
      <c r="E35" s="2612"/>
      <c r="F35" s="2612">
        <f>F37+F38</f>
        <v>0.29286599999999996</v>
      </c>
      <c r="G35" s="2612">
        <f>G37+G38</f>
        <v>3.0609999999999999E-3</v>
      </c>
      <c r="H35" s="2612">
        <v>3.36</v>
      </c>
      <c r="I35" s="2612"/>
      <c r="J35" s="2612"/>
      <c r="K35" s="2612">
        <f>K36</f>
        <v>0.41345788235294118</v>
      </c>
      <c r="L35" s="2612">
        <f>L36</f>
        <v>4.3214117647058826E-3</v>
      </c>
      <c r="M35" s="2602">
        <f>N35+O35+P35+Q35</f>
        <v>100</v>
      </c>
      <c r="N35" s="2602"/>
      <c r="O35" s="2603">
        <f>E35/C35*100</f>
        <v>0</v>
      </c>
      <c r="P35" s="2603">
        <f>F35/C35*100</f>
        <v>98.965623278714006</v>
      </c>
      <c r="Q35" s="2604">
        <f>G35/C35*100</f>
        <v>1.0343767212859929</v>
      </c>
      <c r="R35" s="2589"/>
      <c r="IT35" s="2589"/>
      <c r="IX35" s="2928"/>
      <c r="IY35" s="2928"/>
      <c r="IZ35" s="2928"/>
    </row>
    <row r="36" spans="1:260" s="2621" customFormat="1" ht="18.75">
      <c r="A36" s="2625" t="s">
        <v>2015</v>
      </c>
      <c r="B36" s="2626" t="s">
        <v>3566</v>
      </c>
      <c r="C36" s="2592">
        <f t="shared" si="7"/>
        <v>0.29592699999999994</v>
      </c>
      <c r="D36" s="2627"/>
      <c r="E36" s="2627"/>
      <c r="F36" s="2592">
        <f>F37+F38</f>
        <v>0.29286599999999996</v>
      </c>
      <c r="G36" s="2592">
        <f>G37+G38</f>
        <v>3.0609999999999999E-3</v>
      </c>
      <c r="H36" s="2592">
        <f t="shared" si="9"/>
        <v>0.41777929411764708</v>
      </c>
      <c r="I36" s="2627"/>
      <c r="J36" s="2627"/>
      <c r="K36" s="2592">
        <f>K37+K38</f>
        <v>0.41345788235294118</v>
      </c>
      <c r="L36" s="2592">
        <f>L37+L38</f>
        <v>4.3214117647058826E-3</v>
      </c>
      <c r="M36" s="2595">
        <f t="shared" ref="M36:M45" si="10">N36+O36+P36+Q36</f>
        <v>100</v>
      </c>
      <c r="N36" s="2595"/>
      <c r="O36" s="2596">
        <f>E36/C36*100</f>
        <v>0</v>
      </c>
      <c r="P36" s="2596">
        <f>F36/C36*100</f>
        <v>98.965623278714006</v>
      </c>
      <c r="Q36" s="2597">
        <f>G36/C36*100</f>
        <v>1.0343767212859929</v>
      </c>
      <c r="R36" s="2620"/>
      <c r="IT36" s="2620"/>
      <c r="IX36" s="2928"/>
      <c r="IY36" s="2928"/>
      <c r="IZ36" s="2928"/>
    </row>
    <row r="37" spans="1:260" s="2621" customFormat="1" ht="18.75">
      <c r="A37" s="2628"/>
      <c r="B37" s="2629" t="s">
        <v>230</v>
      </c>
      <c r="C37" s="2592">
        <f>SUM(D37:G37)</f>
        <v>0.13052799999999998</v>
      </c>
      <c r="D37" s="2594"/>
      <c r="E37" s="2594"/>
      <c r="F37" s="2594">
        <f>'Шаблон 46 ГП'!F73/1000000</f>
        <v>0.12923599999999999</v>
      </c>
      <c r="G37" s="2594">
        <f>'Шаблон 46 ГП'!G73/1000000</f>
        <v>1.292E-3</v>
      </c>
      <c r="H37" s="2592">
        <f t="shared" si="9"/>
        <v>0.18427482352941174</v>
      </c>
      <c r="I37" s="2593"/>
      <c r="J37" s="2593"/>
      <c r="K37" s="2593">
        <f t="shared" ref="K37:K38" si="11">F37/IY37*12*1000</f>
        <v>0.18245082352941175</v>
      </c>
      <c r="L37" s="2593">
        <f t="shared" ref="L37:L38" si="12">G37/IZ37*12*1000</f>
        <v>1.8239999999999999E-3</v>
      </c>
      <c r="M37" s="2595">
        <f t="shared" si="10"/>
        <v>100</v>
      </c>
      <c r="N37" s="2595"/>
      <c r="O37" s="2596">
        <f>E37/C37*100</f>
        <v>0</v>
      </c>
      <c r="P37" s="2596">
        <f>F37/C37*100</f>
        <v>99.010174062270167</v>
      </c>
      <c r="Q37" s="2597">
        <f>G37/C37*100</f>
        <v>0.98982593772983585</v>
      </c>
      <c r="R37" s="2620"/>
      <c r="IT37" s="2620"/>
      <c r="IX37" s="2928">
        <f>IX27</f>
        <v>8500</v>
      </c>
      <c r="IY37" s="2928">
        <f>IX37</f>
        <v>8500</v>
      </c>
      <c r="IZ37" s="2928">
        <f>IY37</f>
        <v>8500</v>
      </c>
    </row>
    <row r="38" spans="1:260" s="2621" customFormat="1" ht="18.75">
      <c r="A38" s="2630"/>
      <c r="B38" s="2629" t="s">
        <v>231</v>
      </c>
      <c r="C38" s="2592">
        <f t="shared" si="7"/>
        <v>0.16539899999999999</v>
      </c>
      <c r="D38" s="2594"/>
      <c r="E38" s="2594"/>
      <c r="F38" s="2594">
        <f>'Шаблон 46 ГП'!F72/1000000</f>
        <v>0.16363</v>
      </c>
      <c r="G38" s="2594">
        <f>'Шаблон 46 ГП'!G72/1000000</f>
        <v>1.769E-3</v>
      </c>
      <c r="H38" s="2592">
        <f t="shared" si="9"/>
        <v>0.23350447058823531</v>
      </c>
      <c r="I38" s="2593"/>
      <c r="J38" s="2593"/>
      <c r="K38" s="2593">
        <f t="shared" si="11"/>
        <v>0.23100705882352943</v>
      </c>
      <c r="L38" s="2593">
        <f t="shared" si="12"/>
        <v>2.4974117647058825E-3</v>
      </c>
      <c r="M38" s="2595">
        <f t="shared" si="10"/>
        <v>100</v>
      </c>
      <c r="N38" s="2595"/>
      <c r="O38" s="2596">
        <f>E38/C38*100</f>
        <v>0</v>
      </c>
      <c r="P38" s="2596">
        <f>F38/C38*100</f>
        <v>98.930465117685117</v>
      </c>
      <c r="Q38" s="2597">
        <f>G38/C38*100</f>
        <v>1.0695348823148871</v>
      </c>
      <c r="R38" s="2620"/>
      <c r="IT38" s="2620"/>
      <c r="IX38" s="2928">
        <f>IX37</f>
        <v>8500</v>
      </c>
      <c r="IY38" s="2928">
        <f>IX38</f>
        <v>8500</v>
      </c>
      <c r="IZ38" s="2928">
        <f>IY38</f>
        <v>8500</v>
      </c>
    </row>
    <row r="39" spans="1:260" s="2588" customFormat="1" ht="22.5" customHeight="1">
      <c r="A39" s="2624" t="s">
        <v>44</v>
      </c>
      <c r="B39" s="2609" t="s">
        <v>3567</v>
      </c>
      <c r="C39" s="2592">
        <f>D39+E39+F39+G39</f>
        <v>6.7240690000000001</v>
      </c>
      <c r="D39" s="2592"/>
      <c r="E39" s="2592">
        <f>E40</f>
        <v>2.4947789999999999</v>
      </c>
      <c r="F39" s="2592">
        <f>F40</f>
        <v>4.2154100000000003</v>
      </c>
      <c r="G39" s="2592">
        <f>G40</f>
        <v>1.388E-2</v>
      </c>
      <c r="H39" s="2592">
        <f>J39+K39+L39</f>
        <v>9.4928032941176461</v>
      </c>
      <c r="I39" s="2592"/>
      <c r="J39" s="2592">
        <f>J40</f>
        <v>3.5220409411764702</v>
      </c>
      <c r="K39" s="2592">
        <f>K40</f>
        <v>5.9511670588235299</v>
      </c>
      <c r="L39" s="2592">
        <f>L40</f>
        <v>1.9595294117647058E-2</v>
      </c>
      <c r="M39" s="2595"/>
      <c r="N39" s="2595"/>
      <c r="O39" s="2596"/>
      <c r="P39" s="2596"/>
      <c r="Q39" s="2597"/>
      <c r="R39" s="2589"/>
      <c r="IT39" s="2589"/>
      <c r="IX39" s="2928"/>
    </row>
    <row r="40" spans="1:260" s="2588" customFormat="1" ht="22.5" customHeight="1">
      <c r="A40" s="2610"/>
      <c r="B40" s="2611" t="s">
        <v>226</v>
      </c>
      <c r="C40" s="2612">
        <f>SUM(E40:G40)</f>
        <v>6.7240690000000001</v>
      </c>
      <c r="D40" s="2613"/>
      <c r="E40" s="2612">
        <f>'Шаблон 46 ГП'!E75/1000000</f>
        <v>2.4947789999999999</v>
      </c>
      <c r="F40" s="2612">
        <f>'Шаблон 46 ГП'!F75/1000000</f>
        <v>4.2154100000000003</v>
      </c>
      <c r="G40" s="2612">
        <f>'Шаблон 46 ГП'!G75/1000000</f>
        <v>1.388E-2</v>
      </c>
      <c r="H40" s="2612">
        <f>J40+K40+L40</f>
        <v>9.4928032941176461</v>
      </c>
      <c r="I40" s="2612"/>
      <c r="J40" s="2612">
        <f t="shared" ref="J40" si="13">E40/IX40*12*1000</f>
        <v>3.5220409411764702</v>
      </c>
      <c r="K40" s="2612">
        <f t="shared" ref="K40" si="14">F40/IY40*12*1000</f>
        <v>5.9511670588235299</v>
      </c>
      <c r="L40" s="2612">
        <f t="shared" ref="L40" si="15">G40/IZ40*12*1000</f>
        <v>1.9595294117647058E-2</v>
      </c>
      <c r="M40" s="2602">
        <f>N40+O40+P40+Q40</f>
        <v>100</v>
      </c>
      <c r="N40" s="2602"/>
      <c r="O40" s="2603">
        <f>E40/C40*100</f>
        <v>37.102221883802791</v>
      </c>
      <c r="P40" s="2603">
        <f>F40/C40*100</f>
        <v>62.691355487280099</v>
      </c>
      <c r="Q40" s="2604">
        <f>G40/C40*100</f>
        <v>0.20642262891710361</v>
      </c>
      <c r="R40" s="2589"/>
      <c r="IT40" s="2589"/>
      <c r="IX40" s="2928">
        <f>IX38</f>
        <v>8500</v>
      </c>
      <c r="IY40" s="2928">
        <f>IX40</f>
        <v>8500</v>
      </c>
      <c r="IZ40" s="2928">
        <f>IY40</f>
        <v>8500</v>
      </c>
    </row>
    <row r="41" spans="1:260" s="2588" customFormat="1" ht="22.5" customHeight="1">
      <c r="A41" s="2624" t="s">
        <v>45</v>
      </c>
      <c r="B41" s="2609" t="s">
        <v>3568</v>
      </c>
      <c r="C41" s="2592">
        <f>D41+E41+F41+G41</f>
        <v>3.6912720000000001</v>
      </c>
      <c r="D41" s="2592"/>
      <c r="E41" s="2592"/>
      <c r="F41" s="2592">
        <f>F42</f>
        <v>0.102423</v>
      </c>
      <c r="G41" s="2592">
        <f>G42</f>
        <v>3.5888490000000002</v>
      </c>
      <c r="H41" s="2592">
        <f>J41+K41+L41</f>
        <v>5.211207529411765</v>
      </c>
      <c r="I41" s="2592"/>
      <c r="J41" s="2592"/>
      <c r="K41" s="2592">
        <f>K42</f>
        <v>0.14459717647058826</v>
      </c>
      <c r="L41" s="2592">
        <f>L42</f>
        <v>5.0666103529411766</v>
      </c>
      <c r="M41" s="2595"/>
      <c r="N41" s="2595"/>
      <c r="O41" s="2596"/>
      <c r="P41" s="2596"/>
      <c r="Q41" s="2597"/>
      <c r="R41" s="2589"/>
      <c r="IT41" s="2589"/>
      <c r="IX41" s="2928"/>
    </row>
    <row r="42" spans="1:260" s="2588" customFormat="1" ht="17.25" customHeight="1">
      <c r="A42" s="2610"/>
      <c r="B42" s="2611" t="s">
        <v>1934</v>
      </c>
      <c r="C42" s="2612">
        <f>SUM(D42:G42)</f>
        <v>3.6912720000000001</v>
      </c>
      <c r="D42" s="2612"/>
      <c r="E42" s="2612"/>
      <c r="F42" s="2612">
        <f>'Шаблон 46 ГП'!F101/1000000</f>
        <v>0.102423</v>
      </c>
      <c r="G42" s="2612">
        <f>'Шаблон 46 ГП'!G101/1000000</f>
        <v>3.5888490000000002</v>
      </c>
      <c r="H42" s="2612">
        <f>J42+K42+L42</f>
        <v>5.211207529411765</v>
      </c>
      <c r="I42" s="2612"/>
      <c r="J42" s="2612"/>
      <c r="K42" s="2612">
        <f t="shared" ref="K42:L42" si="16">F42/IY42*12*1000</f>
        <v>0.14459717647058826</v>
      </c>
      <c r="L42" s="2612">
        <f t="shared" si="16"/>
        <v>5.0666103529411766</v>
      </c>
      <c r="M42" s="2602">
        <f>N42+O42+P42+Q42</f>
        <v>100</v>
      </c>
      <c r="N42" s="2602"/>
      <c r="O42" s="2603">
        <f>E42/C42*100</f>
        <v>0</v>
      </c>
      <c r="P42" s="2603">
        <f>F42/C42*100</f>
        <v>2.7747345630449343</v>
      </c>
      <c r="Q42" s="2604">
        <f>G42/C42*100</f>
        <v>97.22526543695507</v>
      </c>
      <c r="R42" s="2589"/>
      <c r="IT42" s="2589"/>
      <c r="IX42" s="2928">
        <f>IX40</f>
        <v>8500</v>
      </c>
      <c r="IY42" s="2928">
        <f>IX42</f>
        <v>8500</v>
      </c>
      <c r="IZ42" s="2928">
        <f>IY42</f>
        <v>8500</v>
      </c>
    </row>
    <row r="43" spans="1:260" s="2588" customFormat="1" ht="22.5" customHeight="1">
      <c r="A43" s="2624" t="s">
        <v>52</v>
      </c>
      <c r="B43" s="2609" t="s">
        <v>3569</v>
      </c>
      <c r="C43" s="2592">
        <f>D43+E43+F43+G43</f>
        <v>0</v>
      </c>
      <c r="D43" s="2592"/>
      <c r="E43" s="2592"/>
      <c r="F43" s="2592"/>
      <c r="G43" s="2592"/>
      <c r="H43" s="2592"/>
      <c r="I43" s="2592"/>
      <c r="J43" s="2592"/>
      <c r="K43" s="2592"/>
      <c r="L43" s="2592"/>
      <c r="M43" s="2595"/>
      <c r="N43" s="2595"/>
      <c r="O43" s="2596"/>
      <c r="P43" s="2596"/>
      <c r="Q43" s="2597"/>
      <c r="R43" s="2589"/>
      <c r="IT43" s="2589"/>
      <c r="IX43" s="2928"/>
    </row>
    <row r="44" spans="1:260" s="2588" customFormat="1" ht="22.5" customHeight="1">
      <c r="A44" s="2624" t="s">
        <v>372</v>
      </c>
      <c r="B44" s="2609" t="s">
        <v>3570</v>
      </c>
      <c r="C44" s="2592">
        <f>D44+E44+F44+G44</f>
        <v>0</v>
      </c>
      <c r="D44" s="2592"/>
      <c r="E44" s="2592"/>
      <c r="F44" s="2592"/>
      <c r="G44" s="2592"/>
      <c r="H44" s="2592"/>
      <c r="I44" s="2592"/>
      <c r="J44" s="2592"/>
      <c r="K44" s="2592"/>
      <c r="L44" s="2592"/>
      <c r="M44" s="2595"/>
      <c r="N44" s="2595"/>
      <c r="O44" s="2596"/>
      <c r="P44" s="2596"/>
      <c r="Q44" s="2597"/>
      <c r="R44" s="2589"/>
      <c r="IT44" s="2589"/>
      <c r="IX44" s="2928"/>
    </row>
    <row r="45" spans="1:260" s="2621" customFormat="1" ht="31.5">
      <c r="A45" s="2631" t="s">
        <v>373</v>
      </c>
      <c r="B45" s="4043" t="s">
        <v>3571</v>
      </c>
      <c r="C45" s="4044">
        <f>SUM(D45:G45)</f>
        <v>24.830238999999999</v>
      </c>
      <c r="D45" s="4044"/>
      <c r="E45" s="4044"/>
      <c r="F45" s="4044">
        <f>F46+F75</f>
        <v>3.6182430000000001</v>
      </c>
      <c r="G45" s="4044">
        <f>G46+G75</f>
        <v>21.211995999999999</v>
      </c>
      <c r="H45" s="4044">
        <f>SUM(I45:L45)</f>
        <v>49.660477999999998</v>
      </c>
      <c r="I45" s="4044"/>
      <c r="J45" s="4044"/>
      <c r="K45" s="4044">
        <f>K46+K75</f>
        <v>7.2364860000000002</v>
      </c>
      <c r="L45" s="4044">
        <f>L46+L75</f>
        <v>42.423991999999998</v>
      </c>
      <c r="M45" s="2602">
        <f t="shared" si="10"/>
        <v>100</v>
      </c>
      <c r="N45" s="2602"/>
      <c r="O45" s="2603">
        <f t="shared" ref="O45" si="17">E45/C45*100</f>
        <v>0</v>
      </c>
      <c r="P45" s="2603">
        <f t="shared" ref="P45" si="18">F45/C45*100</f>
        <v>14.571921760398682</v>
      </c>
      <c r="Q45" s="2604">
        <f t="shared" ref="Q45" si="19">G45/C45*100</f>
        <v>85.428078239601319</v>
      </c>
      <c r="R45" s="2620"/>
      <c r="IT45" s="2620"/>
      <c r="IX45" s="2929"/>
      <c r="IY45" s="2621">
        <v>6000</v>
      </c>
      <c r="IZ45" s="2621">
        <v>6000</v>
      </c>
    </row>
    <row r="46" spans="1:260" s="2621" customFormat="1">
      <c r="A46" s="2633" t="s">
        <v>3470</v>
      </c>
      <c r="B46" s="4045" t="s">
        <v>3572</v>
      </c>
      <c r="C46" s="4035">
        <f t="shared" ref="C46:C92" si="20">SUM(D46:G46)</f>
        <v>22.702847999999999</v>
      </c>
      <c r="D46" s="4035"/>
      <c r="E46" s="4035"/>
      <c r="F46" s="4035">
        <f>F47+F61</f>
        <v>1.662123</v>
      </c>
      <c r="G46" s="4035">
        <f>G47+G61</f>
        <v>21.040724999999998</v>
      </c>
      <c r="H46" s="4035">
        <f t="shared" ref="H46:H92" si="21">SUM(I46:L46)</f>
        <v>45.405695999999999</v>
      </c>
      <c r="I46" s="4035"/>
      <c r="J46" s="4035"/>
      <c r="K46" s="4046">
        <f>K47+K61</f>
        <v>3.324246</v>
      </c>
      <c r="L46" s="4046">
        <f>L47+L61</f>
        <v>42.081449999999997</v>
      </c>
      <c r="M46" s="2595">
        <f t="shared" ref="M46:M88" si="22">N46+O46+P46+Q46</f>
        <v>100</v>
      </c>
      <c r="N46" s="2595"/>
      <c r="O46" s="2596">
        <f t="shared" ref="O46:O88" si="23">E46/C46*100</f>
        <v>0</v>
      </c>
      <c r="P46" s="2596">
        <f t="shared" ref="P46:P88" si="24">F46/C46*100</f>
        <v>7.321209215689592</v>
      </c>
      <c r="Q46" s="2597">
        <f t="shared" ref="Q46:Q88" si="25">G46/C46*100</f>
        <v>92.678790784310408</v>
      </c>
      <c r="R46" s="2620"/>
      <c r="IT46" s="2620"/>
      <c r="IX46" s="2929"/>
      <c r="IY46" s="2621">
        <v>6000</v>
      </c>
      <c r="IZ46" s="2621">
        <v>6000</v>
      </c>
    </row>
    <row r="47" spans="1:260" s="2621" customFormat="1" ht="31.5">
      <c r="A47" s="2636" t="s">
        <v>3471</v>
      </c>
      <c r="B47" s="4047" t="s">
        <v>3573</v>
      </c>
      <c r="C47" s="4035">
        <f t="shared" si="20"/>
        <v>1.488742</v>
      </c>
      <c r="D47" s="4035"/>
      <c r="E47" s="4035"/>
      <c r="F47" s="4035">
        <f>F48+F52</f>
        <v>0</v>
      </c>
      <c r="G47" s="4035">
        <f>G48+G52</f>
        <v>1.488742</v>
      </c>
      <c r="H47" s="4035">
        <f t="shared" si="21"/>
        <v>2.977484</v>
      </c>
      <c r="I47" s="4035"/>
      <c r="J47" s="4035"/>
      <c r="K47" s="4046">
        <f>K48+K52</f>
        <v>0</v>
      </c>
      <c r="L47" s="4046">
        <f>L48+L52</f>
        <v>2.977484</v>
      </c>
      <c r="M47" s="2595">
        <f t="shared" si="22"/>
        <v>100</v>
      </c>
      <c r="N47" s="2595"/>
      <c r="O47" s="2596">
        <f t="shared" si="23"/>
        <v>0</v>
      </c>
      <c r="P47" s="2596">
        <f t="shared" si="24"/>
        <v>0</v>
      </c>
      <c r="Q47" s="2597">
        <f t="shared" si="25"/>
        <v>100</v>
      </c>
      <c r="R47" s="2620"/>
      <c r="IT47" s="2620"/>
      <c r="IX47" s="2929"/>
      <c r="IY47" s="2621">
        <v>6000</v>
      </c>
      <c r="IZ47" s="2621">
        <v>6000</v>
      </c>
    </row>
    <row r="48" spans="1:260" s="2621" customFormat="1" ht="18.75">
      <c r="A48" s="2628"/>
      <c r="B48" s="4034" t="s">
        <v>229</v>
      </c>
      <c r="C48" s="4035">
        <f>SUM(D48:G48)</f>
        <v>9.9607000000000001E-2</v>
      </c>
      <c r="D48" s="4036"/>
      <c r="E48" s="4036"/>
      <c r="F48" s="4036">
        <f>F49+F50+F51</f>
        <v>0</v>
      </c>
      <c r="G48" s="4036">
        <f>G49+G50+G51</f>
        <v>9.9607000000000001E-2</v>
      </c>
      <c r="H48" s="4035">
        <f t="shared" si="21"/>
        <v>0.199214</v>
      </c>
      <c r="I48" s="4037"/>
      <c r="J48" s="4037"/>
      <c r="K48" s="4036">
        <f>F48/IY48*12*1000</f>
        <v>0</v>
      </c>
      <c r="L48" s="4036">
        <f>G48/IZ48*12*1000</f>
        <v>0.199214</v>
      </c>
      <c r="M48" s="2595">
        <f t="shared" si="22"/>
        <v>100</v>
      </c>
      <c r="N48" s="2595"/>
      <c r="O48" s="2596">
        <f t="shared" si="23"/>
        <v>0</v>
      </c>
      <c r="P48" s="2596">
        <f t="shared" si="24"/>
        <v>0</v>
      </c>
      <c r="Q48" s="2597">
        <f t="shared" si="25"/>
        <v>100</v>
      </c>
      <c r="R48" s="2620"/>
      <c r="IT48" s="2620"/>
      <c r="IX48" s="2929"/>
      <c r="IY48" s="2928">
        <v>6000</v>
      </c>
      <c r="IZ48" s="2928">
        <v>6000</v>
      </c>
    </row>
    <row r="49" spans="1:260" s="2621" customFormat="1" ht="18.75">
      <c r="A49" s="2641"/>
      <c r="B49" s="4048" t="s">
        <v>4965</v>
      </c>
      <c r="C49" s="4035">
        <f t="shared" ref="C49:C88" si="26">SUM(D49:G49)</f>
        <v>0.10198699999999999</v>
      </c>
      <c r="D49" s="4036"/>
      <c r="E49" s="4036"/>
      <c r="F49" s="4041">
        <f>'Шаблон 46 ГП'!F40/1000000</f>
        <v>0</v>
      </c>
      <c r="G49" s="4041">
        <f>'Шаблон 46 ГП'!G40/1000000</f>
        <v>0.10198699999999999</v>
      </c>
      <c r="H49" s="4035" t="e">
        <f t="shared" si="21"/>
        <v>#DIV/0!</v>
      </c>
      <c r="I49" s="4037"/>
      <c r="J49" s="4037"/>
      <c r="K49" s="4041" t="e">
        <f t="shared" ref="K49:L51" si="27">F49/IY49*12*1000</f>
        <v>#DIV/0!</v>
      </c>
      <c r="L49" s="4041" t="e">
        <f t="shared" si="27"/>
        <v>#DIV/0!</v>
      </c>
      <c r="M49" s="4038">
        <f t="shared" si="22"/>
        <v>100</v>
      </c>
      <c r="N49" s="4038"/>
      <c r="O49" s="4039">
        <f t="shared" si="23"/>
        <v>0</v>
      </c>
      <c r="P49" s="4039">
        <f t="shared" si="24"/>
        <v>0</v>
      </c>
      <c r="Q49" s="2597">
        <f t="shared" si="25"/>
        <v>100</v>
      </c>
      <c r="R49" s="2620"/>
      <c r="IT49" s="2620"/>
      <c r="IX49" s="2929"/>
      <c r="IY49" s="2928"/>
      <c r="IZ49" s="2928"/>
    </row>
    <row r="50" spans="1:260" s="2621" customFormat="1" ht="18.75">
      <c r="A50" s="2641"/>
      <c r="B50" s="4048" t="s">
        <v>4966</v>
      </c>
      <c r="C50" s="4035">
        <f t="shared" si="26"/>
        <v>-1.1869999999999999E-3</v>
      </c>
      <c r="D50" s="4036"/>
      <c r="E50" s="4036"/>
      <c r="F50" s="4041">
        <f>'Шаблон 46 ГП'!F41/1000000</f>
        <v>0</v>
      </c>
      <c r="G50" s="4041">
        <f>'Шаблон 46 ГП'!G41/1000000</f>
        <v>-1.1869999999999999E-3</v>
      </c>
      <c r="H50" s="4035" t="e">
        <f t="shared" si="21"/>
        <v>#DIV/0!</v>
      </c>
      <c r="I50" s="4037"/>
      <c r="J50" s="4037"/>
      <c r="K50" s="4041" t="e">
        <f t="shared" si="27"/>
        <v>#DIV/0!</v>
      </c>
      <c r="L50" s="4041" t="e">
        <f t="shared" si="27"/>
        <v>#DIV/0!</v>
      </c>
      <c r="M50" s="4038">
        <f t="shared" si="22"/>
        <v>100</v>
      </c>
      <c r="N50" s="4038"/>
      <c r="O50" s="4039">
        <f t="shared" si="23"/>
        <v>0</v>
      </c>
      <c r="P50" s="4039">
        <f t="shared" si="24"/>
        <v>0</v>
      </c>
      <c r="Q50" s="2597">
        <f t="shared" si="25"/>
        <v>100</v>
      </c>
      <c r="R50" s="2620"/>
      <c r="IT50" s="2620"/>
      <c r="IX50" s="2929"/>
      <c r="IY50" s="2928"/>
      <c r="IZ50" s="2928"/>
    </row>
    <row r="51" spans="1:260" s="2621" customFormat="1" ht="18.75">
      <c r="A51" s="2641"/>
      <c r="B51" s="4048" t="s">
        <v>4967</v>
      </c>
      <c r="C51" s="4035">
        <f t="shared" si="26"/>
        <v>-1.193E-3</v>
      </c>
      <c r="D51" s="4036"/>
      <c r="E51" s="4036"/>
      <c r="F51" s="4041">
        <f>'Шаблон 46 ГП'!F42/1000000</f>
        <v>0</v>
      </c>
      <c r="G51" s="4041">
        <f>'Шаблон 46 ГП'!G42/1000000</f>
        <v>-1.193E-3</v>
      </c>
      <c r="H51" s="4035" t="e">
        <f t="shared" si="21"/>
        <v>#DIV/0!</v>
      </c>
      <c r="I51" s="4037"/>
      <c r="J51" s="4037"/>
      <c r="K51" s="4041" t="e">
        <f t="shared" si="27"/>
        <v>#DIV/0!</v>
      </c>
      <c r="L51" s="4041" t="e">
        <f t="shared" si="27"/>
        <v>#DIV/0!</v>
      </c>
      <c r="M51" s="4038">
        <f t="shared" si="22"/>
        <v>100</v>
      </c>
      <c r="N51" s="4038"/>
      <c r="O51" s="4039">
        <f t="shared" si="23"/>
        <v>0</v>
      </c>
      <c r="P51" s="4039">
        <f t="shared" si="24"/>
        <v>0</v>
      </c>
      <c r="Q51" s="2597">
        <f t="shared" si="25"/>
        <v>100</v>
      </c>
      <c r="R51" s="2620"/>
      <c r="IT51" s="2620"/>
      <c r="IX51" s="2929"/>
      <c r="IY51" s="2928"/>
      <c r="IZ51" s="2928"/>
    </row>
    <row r="52" spans="1:260" s="2621" customFormat="1" ht="18.75">
      <c r="A52" s="2641"/>
      <c r="B52" s="4049" t="s">
        <v>3566</v>
      </c>
      <c r="C52" s="4035">
        <f t="shared" si="26"/>
        <v>1.389135</v>
      </c>
      <c r="D52" s="4050"/>
      <c r="E52" s="4050"/>
      <c r="F52" s="4035">
        <f>F53+F57</f>
        <v>0</v>
      </c>
      <c r="G52" s="4035">
        <f>G53+G57</f>
        <v>1.389135</v>
      </c>
      <c r="H52" s="4035">
        <f t="shared" si="21"/>
        <v>2.77827</v>
      </c>
      <c r="I52" s="4050"/>
      <c r="J52" s="4050"/>
      <c r="K52" s="4046">
        <f>K53+K57</f>
        <v>0</v>
      </c>
      <c r="L52" s="4046">
        <f>L53+L57</f>
        <v>2.77827</v>
      </c>
      <c r="M52" s="2595">
        <f t="shared" si="22"/>
        <v>100</v>
      </c>
      <c r="N52" s="2595"/>
      <c r="O52" s="2596">
        <f t="shared" si="23"/>
        <v>0</v>
      </c>
      <c r="P52" s="2596">
        <f t="shared" si="24"/>
        <v>0</v>
      </c>
      <c r="Q52" s="2597">
        <f t="shared" si="25"/>
        <v>100</v>
      </c>
      <c r="R52" s="2620"/>
      <c r="IT52" s="2620"/>
      <c r="IX52" s="2929"/>
      <c r="IY52" s="2928">
        <v>6000</v>
      </c>
      <c r="IZ52" s="2621">
        <v>6000</v>
      </c>
    </row>
    <row r="53" spans="1:260" s="2621" customFormat="1" ht="18.75">
      <c r="A53" s="2641"/>
      <c r="B53" s="4040" t="s">
        <v>230</v>
      </c>
      <c r="C53" s="4035">
        <f t="shared" si="26"/>
        <v>0.92773499999999998</v>
      </c>
      <c r="D53" s="4041"/>
      <c r="E53" s="4041"/>
      <c r="F53" s="4036">
        <f>F54+F55+F56</f>
        <v>0</v>
      </c>
      <c r="G53" s="4036">
        <f>G54+G55+G56</f>
        <v>0.92773499999999998</v>
      </c>
      <c r="H53" s="4035">
        <f t="shared" si="21"/>
        <v>1.85547</v>
      </c>
      <c r="I53" s="4042"/>
      <c r="J53" s="4042"/>
      <c r="K53" s="4036">
        <f t="shared" ref="K53:L60" si="28">F53/IY53*12*1000</f>
        <v>0</v>
      </c>
      <c r="L53" s="4036">
        <f t="shared" si="28"/>
        <v>1.85547</v>
      </c>
      <c r="M53" s="2595">
        <f t="shared" si="22"/>
        <v>100</v>
      </c>
      <c r="N53" s="2595"/>
      <c r="O53" s="2596">
        <f t="shared" si="23"/>
        <v>0</v>
      </c>
      <c r="P53" s="2596">
        <f t="shared" si="24"/>
        <v>0</v>
      </c>
      <c r="Q53" s="2597">
        <f t="shared" si="25"/>
        <v>100</v>
      </c>
      <c r="R53" s="2620"/>
      <c r="IT53" s="2620"/>
      <c r="IX53" s="2929"/>
      <c r="IY53" s="2928">
        <v>6000</v>
      </c>
      <c r="IZ53" s="2928">
        <v>6000</v>
      </c>
    </row>
    <row r="54" spans="1:260" s="2621" customFormat="1" ht="18.75">
      <c r="A54" s="2641"/>
      <c r="B54" s="4048" t="s">
        <v>4965</v>
      </c>
      <c r="C54" s="4035">
        <f t="shared" si="26"/>
        <v>0.93671199999999999</v>
      </c>
      <c r="D54" s="4041"/>
      <c r="E54" s="4041"/>
      <c r="F54" s="4041">
        <f>'Шаблон 46 ГП'!F43/1000000</f>
        <v>0</v>
      </c>
      <c r="G54" s="4041">
        <f>'Шаблон 46 ГП'!G43/1000000</f>
        <v>0.93671199999999999</v>
      </c>
      <c r="H54" s="4035" t="e">
        <f t="shared" si="21"/>
        <v>#DIV/0!</v>
      </c>
      <c r="I54" s="4042"/>
      <c r="J54" s="4042"/>
      <c r="K54" s="4041" t="e">
        <f t="shared" si="28"/>
        <v>#DIV/0!</v>
      </c>
      <c r="L54" s="4041" t="e">
        <f t="shared" si="28"/>
        <v>#DIV/0!</v>
      </c>
      <c r="M54" s="4038">
        <f t="shared" si="22"/>
        <v>100</v>
      </c>
      <c r="N54" s="4038"/>
      <c r="O54" s="4039">
        <f t="shared" si="23"/>
        <v>0</v>
      </c>
      <c r="P54" s="4039">
        <f t="shared" si="24"/>
        <v>0</v>
      </c>
      <c r="Q54" s="2597">
        <f t="shared" si="25"/>
        <v>100</v>
      </c>
      <c r="R54" s="2620"/>
      <c r="IT54" s="2620"/>
      <c r="IX54" s="2929"/>
      <c r="IY54" s="2928"/>
      <c r="IZ54" s="2928"/>
    </row>
    <row r="55" spans="1:260" s="2621" customFormat="1" ht="18.75">
      <c r="A55" s="2641"/>
      <c r="B55" s="4048" t="s">
        <v>4966</v>
      </c>
      <c r="C55" s="4035">
        <f t="shared" si="26"/>
        <v>-1.052E-3</v>
      </c>
      <c r="D55" s="4041"/>
      <c r="E55" s="4041"/>
      <c r="F55" s="4041">
        <f>'Шаблон 46 ГП'!F44/1000000</f>
        <v>0</v>
      </c>
      <c r="G55" s="4041">
        <f>'Шаблон 46 ГП'!G44/1000000</f>
        <v>-1.052E-3</v>
      </c>
      <c r="H55" s="4035" t="e">
        <f t="shared" si="21"/>
        <v>#DIV/0!</v>
      </c>
      <c r="I55" s="4042"/>
      <c r="J55" s="4042"/>
      <c r="K55" s="4041" t="e">
        <f t="shared" si="28"/>
        <v>#DIV/0!</v>
      </c>
      <c r="L55" s="4041" t="e">
        <f t="shared" si="28"/>
        <v>#DIV/0!</v>
      </c>
      <c r="M55" s="4038">
        <f t="shared" si="22"/>
        <v>100</v>
      </c>
      <c r="N55" s="4038"/>
      <c r="O55" s="4039">
        <f t="shared" si="23"/>
        <v>0</v>
      </c>
      <c r="P55" s="4039">
        <f t="shared" si="24"/>
        <v>0</v>
      </c>
      <c r="Q55" s="2597">
        <f t="shared" si="25"/>
        <v>100</v>
      </c>
      <c r="R55" s="2620"/>
      <c r="IT55" s="2620"/>
      <c r="IX55" s="2929"/>
      <c r="IY55" s="2928"/>
      <c r="IZ55" s="2928"/>
    </row>
    <row r="56" spans="1:260" s="2621" customFormat="1" ht="18.75">
      <c r="A56" s="2641"/>
      <c r="B56" s="4048" t="s">
        <v>4967</v>
      </c>
      <c r="C56" s="4035">
        <f t="shared" si="26"/>
        <v>-7.9249999999999998E-3</v>
      </c>
      <c r="D56" s="4041"/>
      <c r="E56" s="4041"/>
      <c r="F56" s="4041">
        <f>'Шаблон 46 ГП'!F45/1000000</f>
        <v>0</v>
      </c>
      <c r="G56" s="4041">
        <f>'Шаблон 46 ГП'!G45/1000000</f>
        <v>-7.9249999999999998E-3</v>
      </c>
      <c r="H56" s="4035" t="e">
        <f t="shared" si="21"/>
        <v>#DIV/0!</v>
      </c>
      <c r="I56" s="4042"/>
      <c r="J56" s="4042"/>
      <c r="K56" s="4041" t="e">
        <f t="shared" si="28"/>
        <v>#DIV/0!</v>
      </c>
      <c r="L56" s="4041" t="e">
        <f t="shared" si="28"/>
        <v>#DIV/0!</v>
      </c>
      <c r="M56" s="4038">
        <f t="shared" si="22"/>
        <v>100</v>
      </c>
      <c r="N56" s="4038"/>
      <c r="O56" s="4039">
        <f t="shared" si="23"/>
        <v>0</v>
      </c>
      <c r="P56" s="4039">
        <f t="shared" si="24"/>
        <v>0</v>
      </c>
      <c r="Q56" s="2597">
        <f t="shared" si="25"/>
        <v>100</v>
      </c>
      <c r="R56" s="2620"/>
      <c r="IT56" s="2620"/>
      <c r="IX56" s="2929"/>
      <c r="IY56" s="2928"/>
      <c r="IZ56" s="2928"/>
    </row>
    <row r="57" spans="1:260" s="2621" customFormat="1" ht="18.75">
      <c r="A57" s="2630"/>
      <c r="B57" s="4040" t="s">
        <v>231</v>
      </c>
      <c r="C57" s="4035">
        <f t="shared" si="26"/>
        <v>0.46139999999999998</v>
      </c>
      <c r="D57" s="4041"/>
      <c r="E57" s="4041"/>
      <c r="F57" s="4036">
        <f>F58+F59+F60</f>
        <v>0</v>
      </c>
      <c r="G57" s="4036">
        <f>G58+G59+G60</f>
        <v>0.46139999999999998</v>
      </c>
      <c r="H57" s="4035">
        <f t="shared" si="21"/>
        <v>0.92279999999999995</v>
      </c>
      <c r="I57" s="4042"/>
      <c r="J57" s="4042"/>
      <c r="K57" s="4036">
        <f t="shared" si="28"/>
        <v>0</v>
      </c>
      <c r="L57" s="4036">
        <f t="shared" si="28"/>
        <v>0.92279999999999995</v>
      </c>
      <c r="M57" s="2595">
        <f t="shared" si="22"/>
        <v>100</v>
      </c>
      <c r="N57" s="2595"/>
      <c r="O57" s="2596">
        <f t="shared" si="23"/>
        <v>0</v>
      </c>
      <c r="P57" s="2596">
        <f t="shared" si="24"/>
        <v>0</v>
      </c>
      <c r="Q57" s="2597">
        <f t="shared" si="25"/>
        <v>100</v>
      </c>
      <c r="R57" s="2620"/>
      <c r="IT57" s="2620"/>
      <c r="IX57" s="2929"/>
      <c r="IY57" s="2928">
        <v>6000</v>
      </c>
      <c r="IZ57" s="2928">
        <v>6000</v>
      </c>
    </row>
    <row r="58" spans="1:260" s="2621" customFormat="1" ht="18.75">
      <c r="A58" s="2630"/>
      <c r="B58" s="4048" t="s">
        <v>4965</v>
      </c>
      <c r="C58" s="4035">
        <f t="shared" si="26"/>
        <v>0.46615000000000001</v>
      </c>
      <c r="D58" s="4041"/>
      <c r="E58" s="4041"/>
      <c r="F58" s="4041">
        <f>'Шаблон 46 ГП'!F46/1000000</f>
        <v>0</v>
      </c>
      <c r="G58" s="4041">
        <f>'Шаблон 46 ГП'!G46/1000000</f>
        <v>0.46615000000000001</v>
      </c>
      <c r="H58" s="4035" t="e">
        <f t="shared" si="21"/>
        <v>#DIV/0!</v>
      </c>
      <c r="I58" s="4042"/>
      <c r="J58" s="4042"/>
      <c r="K58" s="4041" t="e">
        <f t="shared" si="28"/>
        <v>#DIV/0!</v>
      </c>
      <c r="L58" s="4041" t="e">
        <f t="shared" si="28"/>
        <v>#DIV/0!</v>
      </c>
      <c r="M58" s="4038">
        <f t="shared" si="22"/>
        <v>100</v>
      </c>
      <c r="N58" s="4038"/>
      <c r="O58" s="4039">
        <f t="shared" si="23"/>
        <v>0</v>
      </c>
      <c r="P58" s="4039">
        <f t="shared" si="24"/>
        <v>0</v>
      </c>
      <c r="Q58" s="2597">
        <f t="shared" si="25"/>
        <v>100</v>
      </c>
      <c r="R58" s="2620"/>
      <c r="IT58" s="2620"/>
      <c r="IX58" s="2929"/>
      <c r="IY58" s="2928"/>
      <c r="IZ58" s="2928"/>
    </row>
    <row r="59" spans="1:260" s="2621" customFormat="1" ht="18.75">
      <c r="A59" s="2630"/>
      <c r="B59" s="4048" t="s">
        <v>4966</v>
      </c>
      <c r="C59" s="4035">
        <f t="shared" si="26"/>
        <v>-6.3400000000000001E-4</v>
      </c>
      <c r="D59" s="4041"/>
      <c r="E59" s="4041"/>
      <c r="F59" s="4041">
        <f>'Шаблон 46 ГП'!F47/1000000</f>
        <v>0</v>
      </c>
      <c r="G59" s="4041">
        <f>'Шаблон 46 ГП'!G47/1000000</f>
        <v>-6.3400000000000001E-4</v>
      </c>
      <c r="H59" s="4035" t="e">
        <f t="shared" si="21"/>
        <v>#DIV/0!</v>
      </c>
      <c r="I59" s="4042"/>
      <c r="J59" s="4042"/>
      <c r="K59" s="4041" t="e">
        <f t="shared" si="28"/>
        <v>#DIV/0!</v>
      </c>
      <c r="L59" s="4041" t="e">
        <f t="shared" si="28"/>
        <v>#DIV/0!</v>
      </c>
      <c r="M59" s="4038">
        <f t="shared" si="22"/>
        <v>100</v>
      </c>
      <c r="N59" s="4038"/>
      <c r="O59" s="4039">
        <f t="shared" si="23"/>
        <v>0</v>
      </c>
      <c r="P59" s="4039">
        <f t="shared" si="24"/>
        <v>0</v>
      </c>
      <c r="Q59" s="2597">
        <f t="shared" si="25"/>
        <v>100</v>
      </c>
      <c r="R59" s="2620"/>
      <c r="IT59" s="2620"/>
      <c r="IX59" s="2929"/>
      <c r="IY59" s="2928"/>
      <c r="IZ59" s="2928"/>
    </row>
    <row r="60" spans="1:260" s="2621" customFormat="1" ht="18.75">
      <c r="A60" s="2630"/>
      <c r="B60" s="4048" t="s">
        <v>4967</v>
      </c>
      <c r="C60" s="4035">
        <f t="shared" si="26"/>
        <v>-4.1159999999999999E-3</v>
      </c>
      <c r="D60" s="4041"/>
      <c r="E60" s="4041"/>
      <c r="F60" s="4041">
        <f>'Шаблон 46 ГП'!F48/1000000</f>
        <v>0</v>
      </c>
      <c r="G60" s="4041">
        <f>'Шаблон 46 ГП'!G48/1000000</f>
        <v>-4.1159999999999999E-3</v>
      </c>
      <c r="H60" s="4035" t="e">
        <f t="shared" si="21"/>
        <v>#DIV/0!</v>
      </c>
      <c r="I60" s="4042"/>
      <c r="J60" s="4042"/>
      <c r="K60" s="4041" t="e">
        <f t="shared" si="28"/>
        <v>#DIV/0!</v>
      </c>
      <c r="L60" s="4041" t="e">
        <f t="shared" si="28"/>
        <v>#DIV/0!</v>
      </c>
      <c r="M60" s="4038">
        <f t="shared" si="22"/>
        <v>100</v>
      </c>
      <c r="N60" s="4038"/>
      <c r="O60" s="4039">
        <f t="shared" si="23"/>
        <v>0</v>
      </c>
      <c r="P60" s="4039">
        <f t="shared" si="24"/>
        <v>0</v>
      </c>
      <c r="Q60" s="2597">
        <f t="shared" si="25"/>
        <v>100</v>
      </c>
      <c r="R60" s="2620"/>
      <c r="IT60" s="2620"/>
      <c r="IX60" s="2929"/>
      <c r="IY60" s="2928"/>
      <c r="IZ60" s="2928"/>
    </row>
    <row r="61" spans="1:260" s="2621" customFormat="1" ht="39" customHeight="1">
      <c r="A61" s="2642" t="s">
        <v>3487</v>
      </c>
      <c r="B61" s="4051" t="s">
        <v>3574</v>
      </c>
      <c r="C61" s="4035">
        <f t="shared" si="26"/>
        <v>21.214106000000001</v>
      </c>
      <c r="D61" s="4035"/>
      <c r="E61" s="4035"/>
      <c r="F61" s="4035">
        <f>F62+F66</f>
        <v>1.662123</v>
      </c>
      <c r="G61" s="4035">
        <f>G62+G66</f>
        <v>19.551983</v>
      </c>
      <c r="H61" s="4035">
        <f t="shared" si="21"/>
        <v>42.428212000000002</v>
      </c>
      <c r="I61" s="4035"/>
      <c r="J61" s="4035"/>
      <c r="K61" s="4046">
        <f>K62+K66</f>
        <v>3.324246</v>
      </c>
      <c r="L61" s="4046">
        <f>L62+L66</f>
        <v>39.103966</v>
      </c>
      <c r="M61" s="2595">
        <f t="shared" si="22"/>
        <v>99.999999999999986</v>
      </c>
      <c r="N61" s="2595"/>
      <c r="O61" s="2596">
        <f t="shared" si="23"/>
        <v>0</v>
      </c>
      <c r="P61" s="2596">
        <f t="shared" si="24"/>
        <v>7.8349896055011694</v>
      </c>
      <c r="Q61" s="2597">
        <f t="shared" si="25"/>
        <v>92.165010394498822</v>
      </c>
      <c r="R61" s="2620"/>
      <c r="IT61" s="2620"/>
      <c r="IX61" s="2929"/>
      <c r="IY61" s="2928">
        <v>6000</v>
      </c>
      <c r="IZ61" s="2621">
        <v>6000</v>
      </c>
    </row>
    <row r="62" spans="1:260" s="2621" customFormat="1" ht="18.75">
      <c r="A62" s="2628"/>
      <c r="B62" s="4034" t="s">
        <v>229</v>
      </c>
      <c r="C62" s="4035">
        <f t="shared" si="26"/>
        <v>7.4057150000000007</v>
      </c>
      <c r="D62" s="4036"/>
      <c r="E62" s="4036"/>
      <c r="F62" s="4036">
        <f>F63+F64+F65</f>
        <v>4.4193999999999997E-2</v>
      </c>
      <c r="G62" s="4036">
        <f>G63+G64+G65</f>
        <v>7.3615210000000006</v>
      </c>
      <c r="H62" s="4035">
        <f t="shared" si="21"/>
        <v>14.811430000000001</v>
      </c>
      <c r="I62" s="4037"/>
      <c r="J62" s="4037"/>
      <c r="K62" s="4036">
        <f>F62/IY62*12*1000</f>
        <v>8.8387999999999994E-2</v>
      </c>
      <c r="L62" s="4036">
        <f>G62/IZ62*12*1000</f>
        <v>14.723042000000001</v>
      </c>
      <c r="M62" s="2595">
        <f t="shared" si="22"/>
        <v>100</v>
      </c>
      <c r="N62" s="2595"/>
      <c r="O62" s="2596">
        <f t="shared" si="23"/>
        <v>0</v>
      </c>
      <c r="P62" s="2596">
        <f t="shared" si="24"/>
        <v>0.59675534367714655</v>
      </c>
      <c r="Q62" s="2597">
        <f t="shared" si="25"/>
        <v>99.403244656322855</v>
      </c>
      <c r="R62" s="2620"/>
      <c r="IT62" s="2620"/>
      <c r="IX62" s="2929"/>
      <c r="IY62" s="2928">
        <v>6000</v>
      </c>
      <c r="IZ62" s="2928">
        <v>6000</v>
      </c>
    </row>
    <row r="63" spans="1:260" s="2621" customFormat="1" ht="18.75">
      <c r="A63" s="2641"/>
      <c r="B63" s="4048" t="s">
        <v>4965</v>
      </c>
      <c r="C63" s="4035">
        <f t="shared" si="26"/>
        <v>7.3932180000000001</v>
      </c>
      <c r="D63" s="4036"/>
      <c r="E63" s="4036"/>
      <c r="F63" s="4041">
        <f>'Шаблон 46 ГП'!F28/1000000</f>
        <v>4.4193999999999997E-2</v>
      </c>
      <c r="G63" s="4041">
        <f>'Шаблон 46 ГП'!G28/1000000</f>
        <v>7.349024</v>
      </c>
      <c r="H63" s="4035" t="e">
        <f t="shared" si="21"/>
        <v>#DIV/0!</v>
      </c>
      <c r="I63" s="4037"/>
      <c r="J63" s="4037"/>
      <c r="K63" s="4041" t="e">
        <f t="shared" ref="K63:L65" si="29">F63/IY63*12*1000</f>
        <v>#DIV/0!</v>
      </c>
      <c r="L63" s="4041" t="e">
        <f t="shared" si="29"/>
        <v>#DIV/0!</v>
      </c>
      <c r="M63" s="4038">
        <f t="shared" si="22"/>
        <v>100</v>
      </c>
      <c r="N63" s="4038"/>
      <c r="O63" s="4039">
        <f t="shared" si="23"/>
        <v>0</v>
      </c>
      <c r="P63" s="4039">
        <f t="shared" si="24"/>
        <v>0.59776405889830375</v>
      </c>
      <c r="Q63" s="2597">
        <f t="shared" si="25"/>
        <v>99.402235941101694</v>
      </c>
      <c r="R63" s="2620"/>
      <c r="IT63" s="2620"/>
      <c r="IX63" s="2929"/>
      <c r="IY63" s="2928"/>
      <c r="IZ63" s="2928"/>
    </row>
    <row r="64" spans="1:260" s="2621" customFormat="1" ht="18.75">
      <c r="A64" s="2641"/>
      <c r="B64" s="4048" t="s">
        <v>4966</v>
      </c>
      <c r="C64" s="4035">
        <f t="shared" si="26"/>
        <v>1.2456E-2</v>
      </c>
      <c r="D64" s="4036"/>
      <c r="E64" s="4036"/>
      <c r="F64" s="4041">
        <f>'Шаблон 46 ГП'!F29/1000000</f>
        <v>0</v>
      </c>
      <c r="G64" s="4041">
        <f>'Шаблон 46 ГП'!G29/1000000</f>
        <v>1.2456E-2</v>
      </c>
      <c r="H64" s="4035" t="e">
        <f t="shared" si="21"/>
        <v>#DIV/0!</v>
      </c>
      <c r="I64" s="4037"/>
      <c r="J64" s="4037"/>
      <c r="K64" s="4041" t="e">
        <f t="shared" si="29"/>
        <v>#DIV/0!</v>
      </c>
      <c r="L64" s="4041" t="e">
        <f t="shared" si="29"/>
        <v>#DIV/0!</v>
      </c>
      <c r="M64" s="4038">
        <f t="shared" si="22"/>
        <v>100</v>
      </c>
      <c r="N64" s="4038"/>
      <c r="O64" s="4039">
        <f t="shared" si="23"/>
        <v>0</v>
      </c>
      <c r="P64" s="4039">
        <f t="shared" si="24"/>
        <v>0</v>
      </c>
      <c r="Q64" s="2597">
        <f t="shared" si="25"/>
        <v>100</v>
      </c>
      <c r="R64" s="2620"/>
      <c r="IT64" s="2620"/>
      <c r="IX64" s="2929"/>
      <c r="IY64" s="2928"/>
      <c r="IZ64" s="2928"/>
    </row>
    <row r="65" spans="1:260" s="2621" customFormat="1" ht="18.75">
      <c r="A65" s="2641"/>
      <c r="B65" s="4048" t="s">
        <v>4967</v>
      </c>
      <c r="C65" s="4035">
        <f t="shared" si="26"/>
        <v>4.1E-5</v>
      </c>
      <c r="D65" s="4036"/>
      <c r="E65" s="4036"/>
      <c r="F65" s="4041">
        <f>'Шаблон 46 ГП'!F30/1000000</f>
        <v>0</v>
      </c>
      <c r="G65" s="4041">
        <f>'Шаблон 46 ГП'!G30/1000000</f>
        <v>4.1E-5</v>
      </c>
      <c r="H65" s="4035" t="e">
        <f t="shared" si="21"/>
        <v>#DIV/0!</v>
      </c>
      <c r="I65" s="4037"/>
      <c r="J65" s="4037"/>
      <c r="K65" s="4041" t="e">
        <f t="shared" si="29"/>
        <v>#DIV/0!</v>
      </c>
      <c r="L65" s="4041" t="e">
        <f t="shared" si="29"/>
        <v>#DIV/0!</v>
      </c>
      <c r="M65" s="4038">
        <f t="shared" si="22"/>
        <v>100</v>
      </c>
      <c r="N65" s="4038"/>
      <c r="O65" s="4039">
        <f t="shared" si="23"/>
        <v>0</v>
      </c>
      <c r="P65" s="4039">
        <f t="shared" si="24"/>
        <v>0</v>
      </c>
      <c r="Q65" s="2597">
        <f t="shared" si="25"/>
        <v>100</v>
      </c>
      <c r="R65" s="2620"/>
      <c r="IT65" s="2620"/>
      <c r="IX65" s="2929"/>
      <c r="IY65" s="2928"/>
      <c r="IZ65" s="2928"/>
    </row>
    <row r="66" spans="1:260" s="2621" customFormat="1" ht="18.75">
      <c r="A66" s="2641"/>
      <c r="B66" s="4049" t="s">
        <v>233</v>
      </c>
      <c r="C66" s="4035">
        <f t="shared" si="26"/>
        <v>13.808391</v>
      </c>
      <c r="D66" s="4050"/>
      <c r="E66" s="4050"/>
      <c r="F66" s="4035">
        <f>F67+F71</f>
        <v>1.617929</v>
      </c>
      <c r="G66" s="4035">
        <f>G67+G71</f>
        <v>12.190462</v>
      </c>
      <c r="H66" s="4035">
        <f t="shared" si="21"/>
        <v>27.616782000000001</v>
      </c>
      <c r="I66" s="4050"/>
      <c r="J66" s="4050"/>
      <c r="K66" s="4046">
        <f>K67+K71</f>
        <v>3.2358579999999999</v>
      </c>
      <c r="L66" s="4046">
        <f>L67+L71</f>
        <v>24.380924</v>
      </c>
      <c r="M66" s="2595">
        <f t="shared" si="22"/>
        <v>100</v>
      </c>
      <c r="N66" s="2595"/>
      <c r="O66" s="2596">
        <f t="shared" si="23"/>
        <v>0</v>
      </c>
      <c r="P66" s="2596">
        <f t="shared" si="24"/>
        <v>11.716998743734877</v>
      </c>
      <c r="Q66" s="2597">
        <f t="shared" si="25"/>
        <v>88.283001256265123</v>
      </c>
      <c r="R66" s="2620"/>
      <c r="IT66" s="2620"/>
      <c r="IX66" s="2929"/>
      <c r="IY66" s="2928">
        <v>6000</v>
      </c>
      <c r="IZ66" s="2621">
        <v>6000</v>
      </c>
    </row>
    <row r="67" spans="1:260" s="2621" customFormat="1" ht="18.75">
      <c r="A67" s="2641"/>
      <c r="B67" s="4040" t="s">
        <v>230</v>
      </c>
      <c r="C67" s="4035">
        <f t="shared" si="26"/>
        <v>10.289922000000001</v>
      </c>
      <c r="D67" s="4041"/>
      <c r="E67" s="4041"/>
      <c r="F67" s="4036">
        <f>F68+F69+F70</f>
        <v>1.212745</v>
      </c>
      <c r="G67" s="4036">
        <f>G68+G69+G70</f>
        <v>9.0771770000000007</v>
      </c>
      <c r="H67" s="4035">
        <f t="shared" si="21"/>
        <v>20.579844000000001</v>
      </c>
      <c r="I67" s="4042"/>
      <c r="J67" s="4042"/>
      <c r="K67" s="4036">
        <f>F67/IY67*12*1000</f>
        <v>2.4254899999999999</v>
      </c>
      <c r="L67" s="4036">
        <f t="shared" ref="K67:L74" si="30">G67/IZ67*12*1000</f>
        <v>18.154354000000001</v>
      </c>
      <c r="M67" s="2595">
        <f t="shared" si="22"/>
        <v>100</v>
      </c>
      <c r="N67" s="2595"/>
      <c r="O67" s="2596">
        <f t="shared" si="23"/>
        <v>0</v>
      </c>
      <c r="P67" s="2596">
        <f t="shared" si="24"/>
        <v>11.785755032934164</v>
      </c>
      <c r="Q67" s="2597">
        <f t="shared" si="25"/>
        <v>88.214244967065838</v>
      </c>
      <c r="R67" s="2620"/>
      <c r="IT67" s="2620"/>
      <c r="IX67" s="2929"/>
      <c r="IY67" s="2928">
        <v>6000</v>
      </c>
      <c r="IZ67" s="2928">
        <v>6000</v>
      </c>
    </row>
    <row r="68" spans="1:260" s="2621" customFormat="1" ht="18.75">
      <c r="A68" s="2641"/>
      <c r="B68" s="4048" t="s">
        <v>4965</v>
      </c>
      <c r="C68" s="4035">
        <f t="shared" si="26"/>
        <v>10.256021</v>
      </c>
      <c r="D68" s="4041"/>
      <c r="E68" s="4041"/>
      <c r="F68" s="4041">
        <f>'Шаблон 46 ГП'!F31/1000000</f>
        <v>1.212745</v>
      </c>
      <c r="G68" s="4041">
        <f>'Шаблон 46 ГП'!G31/1000000</f>
        <v>9.0432760000000005</v>
      </c>
      <c r="H68" s="4035" t="e">
        <f t="shared" si="21"/>
        <v>#DIV/0!</v>
      </c>
      <c r="I68" s="4042"/>
      <c r="J68" s="4042"/>
      <c r="K68" s="4041" t="e">
        <f t="shared" ref="K68:K69" si="31">F68/IY68*12*1000</f>
        <v>#DIV/0!</v>
      </c>
      <c r="L68" s="4041" t="e">
        <f t="shared" si="30"/>
        <v>#DIV/0!</v>
      </c>
      <c r="M68" s="4038">
        <f t="shared" si="22"/>
        <v>100</v>
      </c>
      <c r="N68" s="4038"/>
      <c r="O68" s="4039">
        <f t="shared" si="23"/>
        <v>0</v>
      </c>
      <c r="P68" s="4039">
        <f t="shared" si="24"/>
        <v>11.824712527402195</v>
      </c>
      <c r="Q68" s="2597">
        <f t="shared" si="25"/>
        <v>88.175287472597802</v>
      </c>
      <c r="R68" s="2620"/>
      <c r="IT68" s="2620"/>
      <c r="IX68" s="2929"/>
      <c r="IY68" s="2928"/>
      <c r="IZ68" s="2928"/>
    </row>
    <row r="69" spans="1:260" s="2621" customFormat="1" ht="18.75">
      <c r="A69" s="2641"/>
      <c r="B69" s="4048" t="s">
        <v>4966</v>
      </c>
      <c r="C69" s="4035">
        <f t="shared" si="26"/>
        <v>2.0319E-2</v>
      </c>
      <c r="D69" s="4041"/>
      <c r="E69" s="4041"/>
      <c r="F69" s="4041">
        <f>'Шаблон 46 ГП'!F32/1000000</f>
        <v>0</v>
      </c>
      <c r="G69" s="4041">
        <f>'Шаблон 46 ГП'!G32/1000000</f>
        <v>2.0319E-2</v>
      </c>
      <c r="H69" s="4035" t="e">
        <f t="shared" si="21"/>
        <v>#DIV/0!</v>
      </c>
      <c r="I69" s="4042"/>
      <c r="J69" s="4042"/>
      <c r="K69" s="4041" t="e">
        <f t="shared" si="31"/>
        <v>#DIV/0!</v>
      </c>
      <c r="L69" s="4041" t="e">
        <f t="shared" si="30"/>
        <v>#DIV/0!</v>
      </c>
      <c r="M69" s="4038">
        <f t="shared" si="22"/>
        <v>100</v>
      </c>
      <c r="N69" s="4038"/>
      <c r="O69" s="4039">
        <f t="shared" si="23"/>
        <v>0</v>
      </c>
      <c r="P69" s="4039">
        <f t="shared" si="24"/>
        <v>0</v>
      </c>
      <c r="Q69" s="2597">
        <f t="shared" si="25"/>
        <v>100</v>
      </c>
      <c r="R69" s="2620"/>
      <c r="IT69" s="2620"/>
      <c r="IX69" s="2929"/>
      <c r="IY69" s="2928"/>
      <c r="IZ69" s="2928"/>
    </row>
    <row r="70" spans="1:260" s="2621" customFormat="1" ht="18.75">
      <c r="A70" s="2641"/>
      <c r="B70" s="4048" t="s">
        <v>4967</v>
      </c>
      <c r="C70" s="4035">
        <f t="shared" si="26"/>
        <v>1.3582E-2</v>
      </c>
      <c r="D70" s="4041"/>
      <c r="E70" s="4041"/>
      <c r="F70" s="4041">
        <f>'Шаблон 46 ГП'!F33/1000000</f>
        <v>0</v>
      </c>
      <c r="G70" s="4041">
        <f>'Шаблон 46 ГП'!G33/1000000</f>
        <v>1.3582E-2</v>
      </c>
      <c r="H70" s="4035" t="e">
        <f t="shared" si="21"/>
        <v>#DIV/0!</v>
      </c>
      <c r="I70" s="4042"/>
      <c r="J70" s="4042"/>
      <c r="K70" s="4041" t="e">
        <f>F70/IY70*12*1000</f>
        <v>#DIV/0!</v>
      </c>
      <c r="L70" s="4041" t="e">
        <f t="shared" si="30"/>
        <v>#DIV/0!</v>
      </c>
      <c r="M70" s="4038">
        <f t="shared" si="22"/>
        <v>100</v>
      </c>
      <c r="N70" s="4038"/>
      <c r="O70" s="4039">
        <f t="shared" si="23"/>
        <v>0</v>
      </c>
      <c r="P70" s="4039">
        <f t="shared" si="24"/>
        <v>0</v>
      </c>
      <c r="Q70" s="2597">
        <f t="shared" si="25"/>
        <v>100</v>
      </c>
      <c r="R70" s="2620"/>
      <c r="IT70" s="2620"/>
      <c r="IX70" s="2929"/>
      <c r="IY70" s="2928"/>
      <c r="IZ70" s="2928"/>
    </row>
    <row r="71" spans="1:260" s="2621" customFormat="1" ht="18.75">
      <c r="A71" s="2630"/>
      <c r="B71" s="4040" t="s">
        <v>231</v>
      </c>
      <c r="C71" s="4035">
        <f t="shared" si="26"/>
        <v>3.5184690000000005</v>
      </c>
      <c r="D71" s="4041"/>
      <c r="E71" s="4041"/>
      <c r="F71" s="4036">
        <f>F72+F73+F74</f>
        <v>0.40518399999999999</v>
      </c>
      <c r="G71" s="4036">
        <f>G72+G73+G74</f>
        <v>3.1132850000000003</v>
      </c>
      <c r="H71" s="4035">
        <f t="shared" si="21"/>
        <v>7.036938000000001</v>
      </c>
      <c r="I71" s="4042"/>
      <c r="J71" s="4042"/>
      <c r="K71" s="4036">
        <f t="shared" si="30"/>
        <v>0.81036799999999998</v>
      </c>
      <c r="L71" s="4036">
        <f t="shared" si="30"/>
        <v>6.2265700000000006</v>
      </c>
      <c r="M71" s="2595">
        <f t="shared" si="22"/>
        <v>99.999999999999986</v>
      </c>
      <c r="N71" s="2595"/>
      <c r="O71" s="2596">
        <f t="shared" si="23"/>
        <v>0</v>
      </c>
      <c r="P71" s="2596">
        <f t="shared" si="24"/>
        <v>11.51591786086505</v>
      </c>
      <c r="Q71" s="2597">
        <f t="shared" si="25"/>
        <v>88.484082139134941</v>
      </c>
      <c r="R71" s="2620"/>
      <c r="IT71" s="2620"/>
      <c r="IX71" s="2929"/>
      <c r="IY71" s="2928">
        <v>6000</v>
      </c>
      <c r="IZ71" s="2928">
        <v>6000</v>
      </c>
    </row>
    <row r="72" spans="1:260" s="2621" customFormat="1" ht="18.75">
      <c r="A72" s="2630"/>
      <c r="B72" s="4048" t="s">
        <v>4965</v>
      </c>
      <c r="C72" s="4035">
        <f t="shared" si="26"/>
        <v>3.5302410000000002</v>
      </c>
      <c r="D72" s="4041"/>
      <c r="E72" s="4041"/>
      <c r="F72" s="4041">
        <f>'Шаблон 46 ГП'!F34/1000000</f>
        <v>0.40518399999999999</v>
      </c>
      <c r="G72" s="4041">
        <f>'Шаблон 46 ГП'!G34/1000000</f>
        <v>3.125057</v>
      </c>
      <c r="H72" s="4035" t="e">
        <f t="shared" si="21"/>
        <v>#DIV/0!</v>
      </c>
      <c r="I72" s="4042"/>
      <c r="J72" s="4042"/>
      <c r="K72" s="4041" t="e">
        <f t="shared" si="30"/>
        <v>#DIV/0!</v>
      </c>
      <c r="L72" s="4041" t="e">
        <f t="shared" si="30"/>
        <v>#DIV/0!</v>
      </c>
      <c r="M72" s="4038">
        <f t="shared" si="22"/>
        <v>99.999999999999986</v>
      </c>
      <c r="N72" s="4038"/>
      <c r="O72" s="4039">
        <f t="shared" si="23"/>
        <v>0</v>
      </c>
      <c r="P72" s="4039">
        <f t="shared" si="24"/>
        <v>11.477516690786832</v>
      </c>
      <c r="Q72" s="2597">
        <f t="shared" si="25"/>
        <v>88.522483309213158</v>
      </c>
      <c r="R72" s="2620"/>
      <c r="IT72" s="2620"/>
      <c r="IX72" s="2929"/>
      <c r="IY72" s="2928"/>
      <c r="IZ72" s="2928"/>
    </row>
    <row r="73" spans="1:260" s="2621" customFormat="1" ht="18.75">
      <c r="A73" s="2630"/>
      <c r="B73" s="4048" t="s">
        <v>4966</v>
      </c>
      <c r="C73" s="4035">
        <f t="shared" si="26"/>
        <v>8.1630000000000001E-3</v>
      </c>
      <c r="D73" s="4041"/>
      <c r="E73" s="4041"/>
      <c r="F73" s="4041">
        <f>'Шаблон 46 ГП'!F35/1000000</f>
        <v>0</v>
      </c>
      <c r="G73" s="4041">
        <f>'Шаблон 46 ГП'!G35/1000000</f>
        <v>8.1630000000000001E-3</v>
      </c>
      <c r="H73" s="4035" t="e">
        <f t="shared" si="21"/>
        <v>#DIV/0!</v>
      </c>
      <c r="I73" s="4042"/>
      <c r="J73" s="4042"/>
      <c r="K73" s="4041" t="e">
        <f t="shared" si="30"/>
        <v>#DIV/0!</v>
      </c>
      <c r="L73" s="4041" t="e">
        <f t="shared" si="30"/>
        <v>#DIV/0!</v>
      </c>
      <c r="M73" s="4038">
        <f t="shared" si="22"/>
        <v>100</v>
      </c>
      <c r="N73" s="4038"/>
      <c r="O73" s="4039">
        <f t="shared" si="23"/>
        <v>0</v>
      </c>
      <c r="P73" s="4039">
        <f t="shared" si="24"/>
        <v>0</v>
      </c>
      <c r="Q73" s="2597">
        <f t="shared" si="25"/>
        <v>100</v>
      </c>
      <c r="R73" s="2620"/>
      <c r="IT73" s="2620"/>
      <c r="IX73" s="2929"/>
      <c r="IY73" s="2928"/>
      <c r="IZ73" s="2928"/>
    </row>
    <row r="74" spans="1:260" s="2621" customFormat="1" ht="18.75">
      <c r="A74" s="2630"/>
      <c r="B74" s="4048" t="s">
        <v>4967</v>
      </c>
      <c r="C74" s="4035">
        <f t="shared" si="26"/>
        <v>-1.9935000000000001E-2</v>
      </c>
      <c r="D74" s="4041"/>
      <c r="E74" s="4041"/>
      <c r="F74" s="4041">
        <f>'Шаблон 46 ГП'!F36/1000000</f>
        <v>0</v>
      </c>
      <c r="G74" s="4041">
        <f>'Шаблон 46 ГП'!G36/1000000</f>
        <v>-1.9935000000000001E-2</v>
      </c>
      <c r="H74" s="4035" t="e">
        <f t="shared" si="21"/>
        <v>#DIV/0!</v>
      </c>
      <c r="I74" s="4042"/>
      <c r="J74" s="4042"/>
      <c r="K74" s="4041" t="e">
        <f t="shared" si="30"/>
        <v>#DIV/0!</v>
      </c>
      <c r="L74" s="4041" t="e">
        <f t="shared" si="30"/>
        <v>#DIV/0!</v>
      </c>
      <c r="M74" s="4038">
        <f t="shared" si="22"/>
        <v>100</v>
      </c>
      <c r="N74" s="4038"/>
      <c r="O74" s="4039">
        <f t="shared" si="23"/>
        <v>0</v>
      </c>
      <c r="P74" s="4039">
        <f t="shared" si="24"/>
        <v>0</v>
      </c>
      <c r="Q74" s="2597">
        <f t="shared" si="25"/>
        <v>100</v>
      </c>
      <c r="R74" s="2620"/>
      <c r="IT74" s="2620"/>
      <c r="IX74" s="2929"/>
      <c r="IY74" s="2928"/>
      <c r="IZ74" s="2928"/>
    </row>
    <row r="75" spans="1:260" s="2621" customFormat="1">
      <c r="A75" s="2633" t="s">
        <v>3504</v>
      </c>
      <c r="B75" s="4045" t="s">
        <v>40</v>
      </c>
      <c r="C75" s="4035">
        <f t="shared" si="26"/>
        <v>2.1273910000000003</v>
      </c>
      <c r="D75" s="4035"/>
      <c r="E75" s="4035"/>
      <c r="F75" s="4035">
        <f>F76+F80</f>
        <v>1.9561200000000001</v>
      </c>
      <c r="G75" s="4035">
        <f>G76+G80</f>
        <v>0.17127100000000001</v>
      </c>
      <c r="H75" s="4035">
        <f t="shared" si="21"/>
        <v>4.2547820000000005</v>
      </c>
      <c r="I75" s="4035"/>
      <c r="J75" s="4035"/>
      <c r="K75" s="4046">
        <f>K76+K80</f>
        <v>3.9122400000000002</v>
      </c>
      <c r="L75" s="4046">
        <f>L76+L80</f>
        <v>0.34254200000000001</v>
      </c>
      <c r="M75" s="2595">
        <f t="shared" si="22"/>
        <v>100</v>
      </c>
      <c r="N75" s="2595"/>
      <c r="O75" s="2596">
        <f t="shared" si="23"/>
        <v>0</v>
      </c>
      <c r="P75" s="2596">
        <f t="shared" si="24"/>
        <v>91.949246753417682</v>
      </c>
      <c r="Q75" s="2597">
        <f t="shared" si="25"/>
        <v>8.0507532465823157</v>
      </c>
      <c r="R75" s="2620"/>
      <c r="IT75" s="2620"/>
      <c r="IX75" s="2929"/>
      <c r="IY75" s="2621">
        <v>6000</v>
      </c>
      <c r="IZ75" s="2621">
        <v>6000</v>
      </c>
    </row>
    <row r="76" spans="1:260" s="2621" customFormat="1" ht="18.75">
      <c r="A76" s="2644" t="s">
        <v>3505</v>
      </c>
      <c r="B76" s="4034" t="s">
        <v>229</v>
      </c>
      <c r="C76" s="4035">
        <f t="shared" si="26"/>
        <v>8.3585999999999994E-2</v>
      </c>
      <c r="D76" s="4036"/>
      <c r="E76" s="4036"/>
      <c r="F76" s="4036">
        <f>F77+F78+F79</f>
        <v>5.1908000000000003E-2</v>
      </c>
      <c r="G76" s="4036">
        <f>G77+G78+G79</f>
        <v>3.1677999999999998E-2</v>
      </c>
      <c r="H76" s="4035">
        <f t="shared" si="21"/>
        <v>0.16717199999999999</v>
      </c>
      <c r="I76" s="4037"/>
      <c r="J76" s="4037"/>
      <c r="K76" s="4036">
        <f t="shared" ref="K76:L79" si="32">F76/IY76*12*1000</f>
        <v>0.10381599999999999</v>
      </c>
      <c r="L76" s="4036">
        <f t="shared" si="32"/>
        <v>6.3355999999999996E-2</v>
      </c>
      <c r="M76" s="2595">
        <f t="shared" si="22"/>
        <v>100</v>
      </c>
      <c r="N76" s="2595"/>
      <c r="O76" s="2596">
        <f t="shared" si="23"/>
        <v>0</v>
      </c>
      <c r="P76" s="2596">
        <f t="shared" si="24"/>
        <v>62.101308831622525</v>
      </c>
      <c r="Q76" s="2597">
        <f t="shared" si="25"/>
        <v>37.898691168377482</v>
      </c>
      <c r="R76" s="2620"/>
      <c r="IT76" s="2620"/>
      <c r="IX76" s="2929"/>
      <c r="IY76" s="2928">
        <v>6000</v>
      </c>
      <c r="IZ76" s="2928">
        <v>6000</v>
      </c>
    </row>
    <row r="77" spans="1:260" s="2621" customFormat="1" ht="18.75">
      <c r="A77" s="2644"/>
      <c r="B77" s="4048" t="s">
        <v>4965</v>
      </c>
      <c r="C77" s="4035">
        <f t="shared" si="26"/>
        <v>8.3585999999999994E-2</v>
      </c>
      <c r="D77" s="4036"/>
      <c r="E77" s="4036"/>
      <c r="F77" s="4041">
        <f>'Шаблон 46 ГП'!F55/1000000</f>
        <v>5.1908000000000003E-2</v>
      </c>
      <c r="G77" s="4041">
        <f>'Шаблон 46 ГП'!G55/1000000</f>
        <v>3.1677999999999998E-2</v>
      </c>
      <c r="H77" s="4035" t="e">
        <f t="shared" si="21"/>
        <v>#DIV/0!</v>
      </c>
      <c r="I77" s="4037"/>
      <c r="J77" s="4037"/>
      <c r="K77" s="4041" t="e">
        <f t="shared" si="32"/>
        <v>#DIV/0!</v>
      </c>
      <c r="L77" s="4041" t="e">
        <f t="shared" si="32"/>
        <v>#DIV/0!</v>
      </c>
      <c r="M77" s="4038">
        <f t="shared" si="22"/>
        <v>100</v>
      </c>
      <c r="N77" s="4038"/>
      <c r="O77" s="4039">
        <f t="shared" si="23"/>
        <v>0</v>
      </c>
      <c r="P77" s="4039">
        <f t="shared" si="24"/>
        <v>62.101308831622525</v>
      </c>
      <c r="Q77" s="2597">
        <f t="shared" si="25"/>
        <v>37.898691168377482</v>
      </c>
      <c r="R77" s="2620"/>
      <c r="IT77" s="2620"/>
      <c r="IX77" s="2929"/>
      <c r="IY77" s="2928"/>
      <c r="IZ77" s="2928"/>
    </row>
    <row r="78" spans="1:260" s="2621" customFormat="1" ht="18.75">
      <c r="A78" s="2644"/>
      <c r="B78" s="4048" t="s">
        <v>4966</v>
      </c>
      <c r="C78" s="4035">
        <f t="shared" si="26"/>
        <v>0</v>
      </c>
      <c r="D78" s="4036"/>
      <c r="E78" s="4036"/>
      <c r="F78" s="4041">
        <f>'Шаблон 46 ГП'!F56/1000000</f>
        <v>0</v>
      </c>
      <c r="G78" s="4041">
        <f>'Шаблон 46 ГП'!G56/1000000</f>
        <v>0</v>
      </c>
      <c r="H78" s="4035" t="e">
        <f t="shared" si="21"/>
        <v>#DIV/0!</v>
      </c>
      <c r="I78" s="4037"/>
      <c r="J78" s="4037"/>
      <c r="K78" s="4041" t="e">
        <f t="shared" si="32"/>
        <v>#DIV/0!</v>
      </c>
      <c r="L78" s="4041" t="e">
        <f t="shared" si="32"/>
        <v>#DIV/0!</v>
      </c>
      <c r="M78" s="4038" t="e">
        <f t="shared" si="22"/>
        <v>#DIV/0!</v>
      </c>
      <c r="N78" s="4038"/>
      <c r="O78" s="4039" t="e">
        <f t="shared" si="23"/>
        <v>#DIV/0!</v>
      </c>
      <c r="P78" s="4039" t="e">
        <f t="shared" si="24"/>
        <v>#DIV/0!</v>
      </c>
      <c r="Q78" s="2597" t="e">
        <f t="shared" si="25"/>
        <v>#DIV/0!</v>
      </c>
      <c r="R78" s="2620"/>
      <c r="IT78" s="2620"/>
      <c r="IX78" s="2929"/>
      <c r="IY78" s="2928"/>
      <c r="IZ78" s="2928"/>
    </row>
    <row r="79" spans="1:260" s="2621" customFormat="1" ht="18.75">
      <c r="A79" s="2644"/>
      <c r="B79" s="4048" t="s">
        <v>4967</v>
      </c>
      <c r="C79" s="4035">
        <f t="shared" si="26"/>
        <v>0</v>
      </c>
      <c r="D79" s="4036"/>
      <c r="E79" s="4036"/>
      <c r="F79" s="4041">
        <f>'Шаблон 46 ГП'!F57/1000000</f>
        <v>0</v>
      </c>
      <c r="G79" s="4041">
        <f>'Шаблон 46 ГП'!G57/1000000</f>
        <v>0</v>
      </c>
      <c r="H79" s="4035" t="e">
        <f t="shared" si="21"/>
        <v>#DIV/0!</v>
      </c>
      <c r="I79" s="4037"/>
      <c r="J79" s="4037"/>
      <c r="K79" s="4041" t="e">
        <f t="shared" si="32"/>
        <v>#DIV/0!</v>
      </c>
      <c r="L79" s="4041" t="e">
        <f t="shared" si="32"/>
        <v>#DIV/0!</v>
      </c>
      <c r="M79" s="4038" t="e">
        <f t="shared" si="22"/>
        <v>#DIV/0!</v>
      </c>
      <c r="N79" s="4038"/>
      <c r="O79" s="4039" t="e">
        <f t="shared" si="23"/>
        <v>#DIV/0!</v>
      </c>
      <c r="P79" s="4039" t="e">
        <f t="shared" si="24"/>
        <v>#DIV/0!</v>
      </c>
      <c r="Q79" s="2597" t="e">
        <f t="shared" si="25"/>
        <v>#DIV/0!</v>
      </c>
      <c r="R79" s="2620"/>
      <c r="IT79" s="2620"/>
      <c r="IX79" s="2929"/>
      <c r="IY79" s="2928"/>
      <c r="IZ79" s="2928"/>
    </row>
    <row r="80" spans="1:260" s="2621" customFormat="1">
      <c r="A80" s="2625" t="s">
        <v>3519</v>
      </c>
      <c r="B80" s="4049" t="s">
        <v>3566</v>
      </c>
      <c r="C80" s="4035">
        <f t="shared" si="26"/>
        <v>2.0438049999999999</v>
      </c>
      <c r="D80" s="4050"/>
      <c r="E80" s="4050"/>
      <c r="F80" s="4035">
        <f>F81+F85</f>
        <v>1.904212</v>
      </c>
      <c r="G80" s="4035">
        <f>G81+G85</f>
        <v>0.13959299999999999</v>
      </c>
      <c r="H80" s="4035">
        <f t="shared" si="21"/>
        <v>4.0876099999999997</v>
      </c>
      <c r="I80" s="4050"/>
      <c r="J80" s="4050"/>
      <c r="K80" s="4046">
        <f>K81+K85</f>
        <v>3.808424</v>
      </c>
      <c r="L80" s="4046">
        <f>L81+L85</f>
        <v>0.27918600000000005</v>
      </c>
      <c r="M80" s="2595">
        <f t="shared" si="22"/>
        <v>100</v>
      </c>
      <c r="N80" s="2595"/>
      <c r="O80" s="2596">
        <f t="shared" si="23"/>
        <v>0</v>
      </c>
      <c r="P80" s="2596">
        <f t="shared" si="24"/>
        <v>93.169945273644018</v>
      </c>
      <c r="Q80" s="2597">
        <f t="shared" si="25"/>
        <v>6.8300547263559883</v>
      </c>
      <c r="R80" s="2620"/>
      <c r="IT80" s="2620"/>
      <c r="IX80" s="2929"/>
      <c r="IY80" s="2621">
        <v>6000</v>
      </c>
      <c r="IZ80" s="2621">
        <v>6000</v>
      </c>
    </row>
    <row r="81" spans="1:260" s="2621" customFormat="1" ht="18.75">
      <c r="A81" s="2628"/>
      <c r="B81" s="4040" t="s">
        <v>230</v>
      </c>
      <c r="C81" s="4035">
        <f t="shared" si="26"/>
        <v>1.4143779999999999</v>
      </c>
      <c r="D81" s="4041"/>
      <c r="E81" s="4041"/>
      <c r="F81" s="4036">
        <f>F82+F83+F84</f>
        <v>1.320365</v>
      </c>
      <c r="G81" s="4036">
        <f>G82+G83+G84</f>
        <v>9.4012999999999999E-2</v>
      </c>
      <c r="H81" s="4035">
        <f t="shared" si="21"/>
        <v>2.8287560000000003</v>
      </c>
      <c r="I81" s="4042"/>
      <c r="J81" s="4042"/>
      <c r="K81" s="4036">
        <f>F81/IY81*12*1000</f>
        <v>2.64073</v>
      </c>
      <c r="L81" s="4036">
        <f>G81/IZ81*12*1000</f>
        <v>0.18802600000000003</v>
      </c>
      <c r="M81" s="2595">
        <f t="shared" si="22"/>
        <v>100</v>
      </c>
      <c r="N81" s="2595"/>
      <c r="O81" s="2596">
        <f t="shared" si="23"/>
        <v>0</v>
      </c>
      <c r="P81" s="2596">
        <f t="shared" si="24"/>
        <v>93.353049891895949</v>
      </c>
      <c r="Q81" s="2597">
        <f t="shared" si="25"/>
        <v>6.6469501081040576</v>
      </c>
      <c r="R81" s="2620"/>
      <c r="IT81" s="2620"/>
      <c r="IX81" s="2929"/>
      <c r="IY81" s="2928">
        <v>6000</v>
      </c>
      <c r="IZ81" s="2928">
        <v>6000</v>
      </c>
    </row>
    <row r="82" spans="1:260" s="2621" customFormat="1" ht="18.75">
      <c r="A82" s="2641"/>
      <c r="B82" s="4048" t="s">
        <v>4965</v>
      </c>
      <c r="C82" s="4035">
        <f t="shared" si="26"/>
        <v>1.3997599999999999</v>
      </c>
      <c r="D82" s="4041"/>
      <c r="E82" s="4041"/>
      <c r="F82" s="4041">
        <f>'Шаблон 46 ГП'!F49/1000000</f>
        <v>1.305828</v>
      </c>
      <c r="G82" s="4041">
        <f>'Шаблон 46 ГП'!G49/1000000</f>
        <v>9.3932000000000002E-2</v>
      </c>
      <c r="H82" s="4035" t="e">
        <f t="shared" si="21"/>
        <v>#DIV/0!</v>
      </c>
      <c r="I82" s="4042"/>
      <c r="J82" s="4042"/>
      <c r="K82" s="4041" t="e">
        <f>F82/IY82*12*1000</f>
        <v>#DIV/0!</v>
      </c>
      <c r="L82" s="4041" t="e">
        <f t="shared" ref="L82:L88" si="33">G82/IZ82*12*1000</f>
        <v>#DIV/0!</v>
      </c>
      <c r="M82" s="4038">
        <f t="shared" si="22"/>
        <v>100</v>
      </c>
      <c r="N82" s="4038"/>
      <c r="O82" s="4039">
        <f t="shared" si="23"/>
        <v>0</v>
      </c>
      <c r="P82" s="4039">
        <f t="shared" si="24"/>
        <v>93.289421043607476</v>
      </c>
      <c r="Q82" s="2597">
        <f t="shared" si="25"/>
        <v>6.7105789563925251</v>
      </c>
      <c r="R82" s="2620"/>
      <c r="IT82" s="2620"/>
      <c r="IX82" s="2929"/>
      <c r="IY82" s="2928"/>
      <c r="IZ82" s="2928"/>
    </row>
    <row r="83" spans="1:260" s="2621" customFormat="1" ht="18.75">
      <c r="A83" s="2641"/>
      <c r="B83" s="4048" t="s">
        <v>4966</v>
      </c>
      <c r="C83" s="4035">
        <f t="shared" si="26"/>
        <v>2.947E-3</v>
      </c>
      <c r="D83" s="4041"/>
      <c r="E83" s="4041"/>
      <c r="F83" s="4041">
        <f>'Шаблон 46 ГП'!F50/1000000</f>
        <v>2.8660000000000001E-3</v>
      </c>
      <c r="G83" s="4041">
        <f>'Шаблон 46 ГП'!G50/1000000</f>
        <v>8.1000000000000004E-5</v>
      </c>
      <c r="H83" s="4035" t="e">
        <f t="shared" si="21"/>
        <v>#DIV/0!</v>
      </c>
      <c r="I83" s="4042"/>
      <c r="J83" s="4042"/>
      <c r="K83" s="4041" t="e">
        <f t="shared" ref="K83:K88" si="34">F83/IY83*12*1000</f>
        <v>#DIV/0!</v>
      </c>
      <c r="L83" s="4041" t="e">
        <f>G83/IZ83*12*1000</f>
        <v>#DIV/0!</v>
      </c>
      <c r="M83" s="4038">
        <f t="shared" si="22"/>
        <v>100.00000000000001</v>
      </c>
      <c r="N83" s="4038"/>
      <c r="O83" s="4039">
        <f t="shared" si="23"/>
        <v>0</v>
      </c>
      <c r="P83" s="4039">
        <f t="shared" si="24"/>
        <v>97.251442144553792</v>
      </c>
      <c r="Q83" s="2597">
        <f t="shared" si="25"/>
        <v>2.7485578554462169</v>
      </c>
      <c r="R83" s="2620"/>
      <c r="IT83" s="2620"/>
      <c r="IX83" s="2929"/>
      <c r="IY83" s="2928"/>
      <c r="IZ83" s="2928"/>
    </row>
    <row r="84" spans="1:260" s="2621" customFormat="1" ht="18.75">
      <c r="A84" s="2641"/>
      <c r="B84" s="4048" t="s">
        <v>4967</v>
      </c>
      <c r="C84" s="4035">
        <f t="shared" si="26"/>
        <v>1.1671000000000001E-2</v>
      </c>
      <c r="D84" s="4041"/>
      <c r="E84" s="4041"/>
      <c r="F84" s="4041">
        <f>'Шаблон 46 ГП'!F51/1000000</f>
        <v>1.1671000000000001E-2</v>
      </c>
      <c r="G84" s="4041">
        <f>'Шаблон 46 ГП'!G51/1000000</f>
        <v>0</v>
      </c>
      <c r="H84" s="4035" t="e">
        <f t="shared" si="21"/>
        <v>#DIV/0!</v>
      </c>
      <c r="I84" s="4042"/>
      <c r="J84" s="4042"/>
      <c r="K84" s="4041" t="e">
        <f t="shared" si="34"/>
        <v>#DIV/0!</v>
      </c>
      <c r="L84" s="4041" t="e">
        <f t="shared" si="33"/>
        <v>#DIV/0!</v>
      </c>
      <c r="M84" s="4038">
        <f t="shared" si="22"/>
        <v>100</v>
      </c>
      <c r="N84" s="4038"/>
      <c r="O84" s="4039">
        <f t="shared" si="23"/>
        <v>0</v>
      </c>
      <c r="P84" s="4039">
        <f t="shared" si="24"/>
        <v>100</v>
      </c>
      <c r="Q84" s="2597">
        <f t="shared" si="25"/>
        <v>0</v>
      </c>
      <c r="R84" s="2620"/>
      <c r="IT84" s="2620"/>
      <c r="IX84" s="2929"/>
      <c r="IY84" s="2928"/>
      <c r="IZ84" s="2928"/>
    </row>
    <row r="85" spans="1:260" s="2621" customFormat="1" ht="18.75">
      <c r="A85" s="2630"/>
      <c r="B85" s="4040" t="s">
        <v>231</v>
      </c>
      <c r="C85" s="4035">
        <f t="shared" si="26"/>
        <v>0.62942699999999996</v>
      </c>
      <c r="D85" s="4041"/>
      <c r="E85" s="4041"/>
      <c r="F85" s="4036">
        <f>F86+F87+F88</f>
        <v>0.583847</v>
      </c>
      <c r="G85" s="4036">
        <f>G86+G87+G88</f>
        <v>4.5580000000000002E-2</v>
      </c>
      <c r="H85" s="4035">
        <f t="shared" si="21"/>
        <v>1.2588539999999999</v>
      </c>
      <c r="I85" s="4042"/>
      <c r="J85" s="4042"/>
      <c r="K85" s="4036">
        <f>F85/IY85*12*1000</f>
        <v>1.167694</v>
      </c>
      <c r="L85" s="4036">
        <f t="shared" si="33"/>
        <v>9.1160000000000005E-2</v>
      </c>
      <c r="M85" s="2595">
        <f t="shared" si="22"/>
        <v>100</v>
      </c>
      <c r="N85" s="2595"/>
      <c r="O85" s="2596">
        <f t="shared" si="23"/>
        <v>0</v>
      </c>
      <c r="P85" s="2596">
        <f t="shared" si="24"/>
        <v>92.758493042084311</v>
      </c>
      <c r="Q85" s="2597">
        <f t="shared" si="25"/>
        <v>7.2415069579156928</v>
      </c>
      <c r="R85" s="2620"/>
      <c r="IT85" s="2620"/>
      <c r="IX85" s="2929"/>
      <c r="IY85" s="2928">
        <v>6000</v>
      </c>
      <c r="IZ85" s="2928">
        <v>6000</v>
      </c>
    </row>
    <row r="86" spans="1:260" s="2621" customFormat="1" ht="18.75">
      <c r="A86" s="2630"/>
      <c r="B86" s="4048" t="s">
        <v>4965</v>
      </c>
      <c r="C86" s="4035">
        <f t="shared" si="26"/>
        <v>0.62227499999999991</v>
      </c>
      <c r="D86" s="4041"/>
      <c r="E86" s="4041"/>
      <c r="F86" s="4041">
        <f>'Шаблон 46 ГП'!F52/1000000</f>
        <v>0.57672199999999996</v>
      </c>
      <c r="G86" s="4041">
        <f>'Шаблон 46 ГП'!G52/1000000</f>
        <v>4.5553000000000003E-2</v>
      </c>
      <c r="H86" s="4035" t="e">
        <f t="shared" si="21"/>
        <v>#DIV/0!</v>
      </c>
      <c r="I86" s="4042"/>
      <c r="J86" s="4042"/>
      <c r="K86" s="4041" t="e">
        <f>F86/IY86*12*1000</f>
        <v>#DIV/0!</v>
      </c>
      <c r="L86" s="4041" t="e">
        <f t="shared" si="33"/>
        <v>#DIV/0!</v>
      </c>
      <c r="M86" s="4038">
        <f t="shared" si="22"/>
        <v>100</v>
      </c>
      <c r="N86" s="4038"/>
      <c r="O86" s="4039">
        <f t="shared" si="23"/>
        <v>0</v>
      </c>
      <c r="P86" s="4039">
        <f t="shared" si="24"/>
        <v>92.679603069382509</v>
      </c>
      <c r="Q86" s="2597">
        <f t="shared" si="25"/>
        <v>7.3203969306174939</v>
      </c>
      <c r="R86" s="2620"/>
      <c r="IT86" s="2620"/>
      <c r="IX86" s="2929"/>
      <c r="IY86" s="2928"/>
      <c r="IZ86" s="2928"/>
    </row>
    <row r="87" spans="1:260" s="2621" customFormat="1" ht="18.75">
      <c r="A87" s="2630"/>
      <c r="B87" s="4048" t="s">
        <v>4966</v>
      </c>
      <c r="C87" s="4035">
        <f t="shared" si="26"/>
        <v>1.3799999999999999E-3</v>
      </c>
      <c r="D87" s="4041"/>
      <c r="E87" s="4041"/>
      <c r="F87" s="4041">
        <f>'Шаблон 46 ГП'!F53/1000000</f>
        <v>1.353E-3</v>
      </c>
      <c r="G87" s="4041">
        <f>'Шаблон 46 ГП'!G53/1000000</f>
        <v>2.6999999999999999E-5</v>
      </c>
      <c r="H87" s="4035" t="e">
        <f t="shared" si="21"/>
        <v>#DIV/0!</v>
      </c>
      <c r="I87" s="4042"/>
      <c r="J87" s="4042"/>
      <c r="K87" s="4041" t="e">
        <f t="shared" si="34"/>
        <v>#DIV/0!</v>
      </c>
      <c r="L87" s="4041" t="e">
        <f t="shared" si="33"/>
        <v>#DIV/0!</v>
      </c>
      <c r="M87" s="4038">
        <f t="shared" si="22"/>
        <v>100.00000000000001</v>
      </c>
      <c r="N87" s="4038"/>
      <c r="O87" s="4039">
        <f t="shared" si="23"/>
        <v>0</v>
      </c>
      <c r="P87" s="4039">
        <f t="shared" si="24"/>
        <v>98.043478260869577</v>
      </c>
      <c r="Q87" s="2597">
        <f t="shared" si="25"/>
        <v>1.956521739130435</v>
      </c>
      <c r="R87" s="2620"/>
      <c r="IT87" s="2620"/>
      <c r="IX87" s="2929"/>
      <c r="IY87" s="2928"/>
      <c r="IZ87" s="2928"/>
    </row>
    <row r="88" spans="1:260" s="2621" customFormat="1" ht="18.75">
      <c r="A88" s="2630"/>
      <c r="B88" s="4048" t="s">
        <v>4967</v>
      </c>
      <c r="C88" s="4035">
        <f t="shared" si="26"/>
        <v>5.7720000000000002E-3</v>
      </c>
      <c r="D88" s="4041"/>
      <c r="E88" s="4041"/>
      <c r="F88" s="4041">
        <f>'Шаблон 46 ГП'!F54/1000000</f>
        <v>5.7720000000000002E-3</v>
      </c>
      <c r="G88" s="4041">
        <f>'Шаблон 46 ГП'!G54/1000000</f>
        <v>0</v>
      </c>
      <c r="H88" s="4035" t="e">
        <f t="shared" si="21"/>
        <v>#DIV/0!</v>
      </c>
      <c r="I88" s="4042"/>
      <c r="J88" s="4042"/>
      <c r="K88" s="4041" t="e">
        <f t="shared" si="34"/>
        <v>#DIV/0!</v>
      </c>
      <c r="L88" s="4041" t="e">
        <f t="shared" si="33"/>
        <v>#DIV/0!</v>
      </c>
      <c r="M88" s="4038">
        <f t="shared" si="22"/>
        <v>100</v>
      </c>
      <c r="N88" s="4038"/>
      <c r="O88" s="4039">
        <f t="shared" si="23"/>
        <v>0</v>
      </c>
      <c r="P88" s="4039">
        <f t="shared" si="24"/>
        <v>100</v>
      </c>
      <c r="Q88" s="2597">
        <f t="shared" si="25"/>
        <v>0</v>
      </c>
      <c r="R88" s="2620"/>
      <c r="IT88" s="2620"/>
      <c r="IX88" s="2929"/>
      <c r="IY88" s="2928"/>
      <c r="IZ88" s="2928"/>
    </row>
    <row r="89" spans="1:260" ht="15" customHeight="1">
      <c r="A89" s="2625" t="s">
        <v>3528</v>
      </c>
      <c r="B89" s="4049" t="s">
        <v>3566</v>
      </c>
      <c r="C89" s="4035">
        <f t="shared" si="20"/>
        <v>0</v>
      </c>
      <c r="D89" s="4050"/>
      <c r="E89" s="4050"/>
      <c r="F89" s="4050"/>
      <c r="G89" s="4050"/>
      <c r="H89" s="4035">
        <f t="shared" si="21"/>
        <v>0</v>
      </c>
      <c r="I89" s="4050"/>
      <c r="J89" s="4050"/>
      <c r="K89" s="4050"/>
      <c r="L89" s="4052"/>
      <c r="M89" s="2595"/>
      <c r="N89" s="2595"/>
      <c r="O89" s="2596"/>
      <c r="P89" s="2596"/>
      <c r="Q89" s="2597"/>
      <c r="IY89" s="2554">
        <v>6000</v>
      </c>
      <c r="IZ89" s="2554">
        <v>6000</v>
      </c>
    </row>
    <row r="90" spans="1:260" ht="15.75" customHeight="1">
      <c r="A90" s="2628"/>
      <c r="B90" s="4040" t="s">
        <v>230</v>
      </c>
      <c r="C90" s="4035">
        <f t="shared" si="20"/>
        <v>0</v>
      </c>
      <c r="D90" s="4041"/>
      <c r="E90" s="4041"/>
      <c r="F90" s="4041"/>
      <c r="G90" s="4041"/>
      <c r="H90" s="4035">
        <f t="shared" si="21"/>
        <v>0</v>
      </c>
      <c r="I90" s="4042"/>
      <c r="J90" s="4042"/>
      <c r="K90" s="4042"/>
      <c r="L90" s="4053"/>
      <c r="M90" s="2595"/>
      <c r="N90" s="2595"/>
      <c r="O90" s="2596"/>
      <c r="P90" s="2596"/>
      <c r="Q90" s="2597"/>
      <c r="IY90" s="2554">
        <v>6000</v>
      </c>
      <c r="IZ90" s="2554">
        <v>6000</v>
      </c>
    </row>
    <row r="91" spans="1:260" ht="15.75" customHeight="1">
      <c r="A91" s="2630"/>
      <c r="B91" s="4040" t="s">
        <v>231</v>
      </c>
      <c r="C91" s="4035">
        <f t="shared" si="20"/>
        <v>0</v>
      </c>
      <c r="D91" s="4041"/>
      <c r="E91" s="4041"/>
      <c r="F91" s="4041"/>
      <c r="G91" s="4041"/>
      <c r="H91" s="4035">
        <f t="shared" si="21"/>
        <v>0</v>
      </c>
      <c r="I91" s="4042"/>
      <c r="J91" s="4042"/>
      <c r="K91" s="4042"/>
      <c r="L91" s="4053"/>
      <c r="M91" s="2595"/>
      <c r="N91" s="2595"/>
      <c r="O91" s="2596"/>
      <c r="P91" s="2596"/>
      <c r="Q91" s="2597"/>
      <c r="IY91" s="2554">
        <v>6000</v>
      </c>
      <c r="IZ91" s="2554">
        <v>6000</v>
      </c>
    </row>
    <row r="92" spans="1:260" ht="15.75" customHeight="1">
      <c r="A92" s="2633" t="s">
        <v>374</v>
      </c>
      <c r="B92" s="4054" t="s">
        <v>3575</v>
      </c>
      <c r="C92" s="4035">
        <f t="shared" si="20"/>
        <v>0</v>
      </c>
      <c r="D92" s="4055"/>
      <c r="E92" s="4055"/>
      <c r="F92" s="4055"/>
      <c r="G92" s="4055"/>
      <c r="H92" s="4035">
        <f t="shared" si="21"/>
        <v>0</v>
      </c>
      <c r="I92" s="4035"/>
      <c r="J92" s="4035"/>
      <c r="K92" s="4035"/>
      <c r="L92" s="4052"/>
      <c r="M92" s="2595"/>
      <c r="N92" s="2595"/>
      <c r="O92" s="2596"/>
      <c r="P92" s="2596"/>
      <c r="Q92" s="2597"/>
      <c r="IY92" s="2554">
        <v>6000</v>
      </c>
      <c r="IZ92" s="2554">
        <v>6000</v>
      </c>
    </row>
    <row r="93" spans="1:260" ht="15.6" customHeight="1">
      <c r="A93" s="2646" t="s">
        <v>3607</v>
      </c>
      <c r="B93" s="2647" t="s">
        <v>425</v>
      </c>
      <c r="C93" s="2648">
        <f t="shared" si="7"/>
        <v>55.391792000000002</v>
      </c>
      <c r="D93" s="2648"/>
      <c r="E93" s="2648">
        <f>E24+E45</f>
        <v>2.6853119999999997</v>
      </c>
      <c r="F93" s="2648">
        <f>F24+F45</f>
        <v>20.759640000000001</v>
      </c>
      <c r="G93" s="2648">
        <f>G24+G45</f>
        <v>31.946840000000002</v>
      </c>
      <c r="H93" s="2648">
        <f t="shared" si="9"/>
        <v>92.806199882352928</v>
      </c>
      <c r="I93" s="2648"/>
      <c r="J93" s="2648">
        <f>J24+J45</f>
        <v>3.7910287058823524</v>
      </c>
      <c r="K93" s="2648">
        <f>K24+K45</f>
        <v>31.436105294117638</v>
      </c>
      <c r="L93" s="2648">
        <f>L24+L45</f>
        <v>57.579065882352936</v>
      </c>
      <c r="M93" s="2649">
        <v>100</v>
      </c>
      <c r="N93" s="2649"/>
      <c r="O93" s="2650">
        <f t="shared" ref="O93:O98" si="35">E93/C93*100</f>
        <v>4.8478518261333727</v>
      </c>
      <c r="P93" s="2650">
        <f t="shared" ref="P93:P98" si="36">F93/C93*100</f>
        <v>37.477827039789581</v>
      </c>
      <c r="Q93" s="2651">
        <f t="shared" ref="Q93:Q98" si="37">G93/C93*100</f>
        <v>57.674321134077047</v>
      </c>
    </row>
    <row r="94" spans="1:260" s="2621" customFormat="1" ht="47.25">
      <c r="A94" s="2652" t="s">
        <v>3608</v>
      </c>
      <c r="B94" s="2653" t="s">
        <v>3576</v>
      </c>
      <c r="C94" s="2592">
        <f t="shared" si="7"/>
        <v>55.391792000000002</v>
      </c>
      <c r="D94" s="2654"/>
      <c r="E94" s="2639">
        <f>E95+E96</f>
        <v>2.6853119999999997</v>
      </c>
      <c r="F94" s="2639">
        <f>F95+F96</f>
        <v>20.759640000000001</v>
      </c>
      <c r="G94" s="2639">
        <f>G95+G96</f>
        <v>31.946840000000002</v>
      </c>
      <c r="H94" s="2592">
        <f t="shared" si="9"/>
        <v>92.806199882352928</v>
      </c>
      <c r="I94" s="2593"/>
      <c r="J94" s="2639">
        <f>J95+J96</f>
        <v>3.7910287058823524</v>
      </c>
      <c r="K94" s="2639">
        <f>K95+K96</f>
        <v>31.436105294117638</v>
      </c>
      <c r="L94" s="2639">
        <f>L95+L96</f>
        <v>57.579065882352936</v>
      </c>
      <c r="M94" s="2595">
        <f t="shared" ref="M94:M100" si="38">N94+O94+P94+Q94</f>
        <v>100</v>
      </c>
      <c r="N94" s="2595"/>
      <c r="O94" s="2595">
        <f t="shared" si="35"/>
        <v>4.8478518261333727</v>
      </c>
      <c r="P94" s="2595">
        <f t="shared" si="36"/>
        <v>37.477827039789581</v>
      </c>
      <c r="Q94" s="2595">
        <f t="shared" si="37"/>
        <v>57.674321134077047</v>
      </c>
      <c r="R94" s="2620"/>
      <c r="IT94" s="2620"/>
      <c r="IX94" s="2929"/>
    </row>
    <row r="95" spans="1:260" s="2621" customFormat="1">
      <c r="A95" s="2652"/>
      <c r="B95" s="2655" t="s">
        <v>3577</v>
      </c>
      <c r="C95" s="2592">
        <f t="shared" si="7"/>
        <v>30.561553000000004</v>
      </c>
      <c r="D95" s="2654"/>
      <c r="E95" s="2594">
        <f>E24</f>
        <v>2.6853119999999997</v>
      </c>
      <c r="F95" s="2594">
        <f>F24-F100</f>
        <v>17.141397000000001</v>
      </c>
      <c r="G95" s="2594">
        <f>G24</f>
        <v>10.734844000000001</v>
      </c>
      <c r="H95" s="2592">
        <f t="shared" si="9"/>
        <v>43.14572188235293</v>
      </c>
      <c r="I95" s="2593"/>
      <c r="J95" s="2594">
        <f>J24</f>
        <v>3.7910287058823524</v>
      </c>
      <c r="K95" s="2594">
        <f>K24-K100</f>
        <v>24.199619294117639</v>
      </c>
      <c r="L95" s="2594">
        <f>L24</f>
        <v>15.155073882352941</v>
      </c>
      <c r="M95" s="2595">
        <f t="shared" si="38"/>
        <v>100</v>
      </c>
      <c r="N95" s="2595"/>
      <c r="O95" s="2595">
        <f t="shared" si="35"/>
        <v>8.7865691903811278</v>
      </c>
      <c r="P95" s="2595">
        <f t="shared" si="36"/>
        <v>56.088108480612874</v>
      </c>
      <c r="Q95" s="2595">
        <f t="shared" si="37"/>
        <v>35.125322329005989</v>
      </c>
      <c r="R95" s="2620"/>
      <c r="IT95" s="2620"/>
      <c r="IX95" s="2929"/>
    </row>
    <row r="96" spans="1:260" s="2621" customFormat="1">
      <c r="A96" s="2652"/>
      <c r="B96" s="2655" t="s">
        <v>3578</v>
      </c>
      <c r="C96" s="2592">
        <f t="shared" si="7"/>
        <v>24.830238999999999</v>
      </c>
      <c r="D96" s="2654"/>
      <c r="E96" s="2594"/>
      <c r="F96" s="2594">
        <f>F97+F98</f>
        <v>3.6182430000000001</v>
      </c>
      <c r="G96" s="2594">
        <f>G97+G98</f>
        <v>21.211995999999999</v>
      </c>
      <c r="H96" s="2592">
        <f t="shared" si="9"/>
        <v>49.660477999999998</v>
      </c>
      <c r="I96" s="2593"/>
      <c r="J96" s="2594"/>
      <c r="K96" s="2594">
        <f>K97+K98</f>
        <v>7.2364860000000002</v>
      </c>
      <c r="L96" s="2594">
        <f>L97+L98</f>
        <v>42.423991999999998</v>
      </c>
      <c r="M96" s="2595">
        <f t="shared" si="38"/>
        <v>100</v>
      </c>
      <c r="N96" s="2595"/>
      <c r="O96" s="2595">
        <f t="shared" si="35"/>
        <v>0</v>
      </c>
      <c r="P96" s="2595">
        <f t="shared" si="36"/>
        <v>14.571921760398682</v>
      </c>
      <c r="Q96" s="2595">
        <f t="shared" si="37"/>
        <v>85.428078239601319</v>
      </c>
      <c r="R96" s="2620"/>
      <c r="IT96" s="2620"/>
      <c r="IX96" s="2929"/>
    </row>
    <row r="97" spans="1:258" s="2621" customFormat="1">
      <c r="A97" s="2652"/>
      <c r="B97" s="2655" t="s">
        <v>3579</v>
      </c>
      <c r="C97" s="2592">
        <f t="shared" si="7"/>
        <v>21.214106000000001</v>
      </c>
      <c r="D97" s="2654"/>
      <c r="E97" s="2594"/>
      <c r="F97" s="2656">
        <f>F61</f>
        <v>1.662123</v>
      </c>
      <c r="G97" s="2656">
        <f>G61</f>
        <v>19.551983</v>
      </c>
      <c r="H97" s="2592">
        <f t="shared" si="9"/>
        <v>42.428212000000002</v>
      </c>
      <c r="I97" s="2593"/>
      <c r="J97" s="2594"/>
      <c r="K97" s="2656">
        <f>K61</f>
        <v>3.324246</v>
      </c>
      <c r="L97" s="2656">
        <f>L61</f>
        <v>39.103966</v>
      </c>
      <c r="M97" s="2595">
        <f t="shared" si="38"/>
        <v>99.999999999999986</v>
      </c>
      <c r="N97" s="2595"/>
      <c r="O97" s="2595">
        <f t="shared" si="35"/>
        <v>0</v>
      </c>
      <c r="P97" s="2595">
        <f t="shared" si="36"/>
        <v>7.8349896055011694</v>
      </c>
      <c r="Q97" s="2595">
        <f t="shared" si="37"/>
        <v>92.165010394498822</v>
      </c>
      <c r="R97" s="2620"/>
      <c r="IT97" s="2620"/>
      <c r="IX97" s="2929"/>
    </row>
    <row r="98" spans="1:258" s="2621" customFormat="1">
      <c r="A98" s="2652"/>
      <c r="B98" s="2655" t="s">
        <v>3580</v>
      </c>
      <c r="C98" s="2592">
        <f t="shared" si="7"/>
        <v>3.616133</v>
      </c>
      <c r="D98" s="2654"/>
      <c r="E98" s="2594"/>
      <c r="F98" s="2656">
        <f>F47+F75</f>
        <v>1.9561200000000001</v>
      </c>
      <c r="G98" s="2656">
        <f>G47+G75</f>
        <v>1.660013</v>
      </c>
      <c r="H98" s="2592">
        <f t="shared" si="9"/>
        <v>7.2322660000000001</v>
      </c>
      <c r="I98" s="2593"/>
      <c r="J98" s="2594"/>
      <c r="K98" s="2656">
        <f>K47+K75</f>
        <v>3.9122400000000002</v>
      </c>
      <c r="L98" s="2656">
        <f>L47+L75</f>
        <v>3.3200259999999999</v>
      </c>
      <c r="M98" s="2595">
        <f t="shared" si="38"/>
        <v>100</v>
      </c>
      <c r="N98" s="2595"/>
      <c r="O98" s="2595">
        <f t="shared" si="35"/>
        <v>0</v>
      </c>
      <c r="P98" s="2595">
        <f t="shared" si="36"/>
        <v>54.094249298905758</v>
      </c>
      <c r="Q98" s="2595">
        <f t="shared" si="37"/>
        <v>45.905750701094235</v>
      </c>
      <c r="R98" s="2620"/>
      <c r="IT98" s="2620"/>
      <c r="IX98" s="2929"/>
    </row>
    <row r="99" spans="1:258" s="2621" customFormat="1" hidden="1">
      <c r="A99" s="2652" t="s">
        <v>3609</v>
      </c>
      <c r="B99" s="2653" t="s">
        <v>3581</v>
      </c>
      <c r="C99" s="2592">
        <f>SUM(D99:G99)</f>
        <v>0</v>
      </c>
      <c r="D99" s="2654"/>
      <c r="E99" s="2594"/>
      <c r="F99" s="2639">
        <f>F100</f>
        <v>0</v>
      </c>
      <c r="G99" s="2639"/>
      <c r="H99" s="2592">
        <f t="shared" si="9"/>
        <v>0</v>
      </c>
      <c r="I99" s="2593"/>
      <c r="J99" s="2593"/>
      <c r="K99" s="2639">
        <f>K100</f>
        <v>0</v>
      </c>
      <c r="L99" s="2593"/>
      <c r="M99" s="2595" t="e">
        <f t="shared" si="38"/>
        <v>#DIV/0!</v>
      </c>
      <c r="N99" s="2595"/>
      <c r="O99" s="2595" t="e">
        <f>E99/C99*100</f>
        <v>#DIV/0!</v>
      </c>
      <c r="P99" s="2595" t="e">
        <f>F99/C99*100</f>
        <v>#DIV/0!</v>
      </c>
      <c r="Q99" s="2595" t="e">
        <f>G99/C99*100</f>
        <v>#DIV/0!</v>
      </c>
      <c r="R99" s="2620"/>
      <c r="IT99" s="2620"/>
      <c r="IX99" s="2929"/>
    </row>
    <row r="100" spans="1:258" s="2621" customFormat="1" hidden="1">
      <c r="A100" s="2652"/>
      <c r="B100" s="2655" t="s">
        <v>3577</v>
      </c>
      <c r="C100" s="2592">
        <f>SUM(D100:G100)</f>
        <v>0</v>
      </c>
      <c r="D100" s="2654"/>
      <c r="E100" s="2657"/>
      <c r="F100" s="2657">
        <v>0</v>
      </c>
      <c r="G100" s="2658"/>
      <c r="H100" s="2592">
        <f t="shared" si="9"/>
        <v>0</v>
      </c>
      <c r="I100" s="2659"/>
      <c r="J100" s="2659"/>
      <c r="K100" s="2657">
        <v>0</v>
      </c>
      <c r="L100" s="2659"/>
      <c r="M100" s="2595" t="e">
        <f t="shared" si="38"/>
        <v>#DIV/0!</v>
      </c>
      <c r="N100" s="2595"/>
      <c r="O100" s="2595" t="e">
        <f>E100/C100*100</f>
        <v>#DIV/0!</v>
      </c>
      <c r="P100" s="2595" t="e">
        <f>F100/C100*100</f>
        <v>#DIV/0!</v>
      </c>
      <c r="Q100" s="2595" t="e">
        <f>G100/C100*100</f>
        <v>#DIV/0!</v>
      </c>
      <c r="R100" s="2620"/>
      <c r="IT100" s="2620"/>
      <c r="IX100" s="2929"/>
    </row>
    <row r="101" spans="1:258" s="2621" customFormat="1" ht="16.5" thickBot="1">
      <c r="A101" s="2660" t="s">
        <v>3610</v>
      </c>
      <c r="B101" s="2661" t="s">
        <v>3582</v>
      </c>
      <c r="C101" s="2662">
        <f>SUM(D101:G101)</f>
        <v>57.180120000000002</v>
      </c>
      <c r="D101" s="2662"/>
      <c r="E101" s="2662">
        <f>E20+E93</f>
        <v>2.8462615199999997</v>
      </c>
      <c r="F101" s="2662">
        <f>F20+F93</f>
        <v>21.367671520000002</v>
      </c>
      <c r="G101" s="2662">
        <f>G20+G93</f>
        <v>32.966186960000002</v>
      </c>
      <c r="H101" s="2662">
        <f t="shared" si="9"/>
        <v>95.3308982352941</v>
      </c>
      <c r="I101" s="2662"/>
      <c r="J101" s="2662">
        <f>J20+J93</f>
        <v>4.0182515576470585</v>
      </c>
      <c r="K101" s="2662">
        <f>K20+K93</f>
        <v>32.294502734117636</v>
      </c>
      <c r="L101" s="2662">
        <f>L20+L93</f>
        <v>59.01814394352941</v>
      </c>
      <c r="M101" s="2663">
        <v>100</v>
      </c>
      <c r="N101" s="2663"/>
      <c r="O101" s="2664">
        <f>E101/C101*100</f>
        <v>4.977711694204209</v>
      </c>
      <c r="P101" s="2664">
        <f>F101/C101*100</f>
        <v>37.369056798061983</v>
      </c>
      <c r="Q101" s="2665">
        <f>G101/C101*100</f>
        <v>57.653231507733807</v>
      </c>
      <c r="R101" s="2620"/>
      <c r="IT101" s="2620"/>
      <c r="IX101" s="2929"/>
    </row>
    <row r="102" spans="1:258" s="2667" customFormat="1" ht="20.25">
      <c r="A102" s="2666"/>
      <c r="C102" s="4639"/>
      <c r="D102" s="4639"/>
      <c r="E102" s="4639"/>
      <c r="F102" s="4639"/>
      <c r="G102" s="4639"/>
      <c r="H102" s="4639"/>
      <c r="I102" s="2668"/>
      <c r="J102" s="2668"/>
      <c r="K102" s="2668"/>
      <c r="L102" s="2668"/>
      <c r="IX102" s="2666"/>
    </row>
    <row r="103" spans="1:258">
      <c r="A103" s="2669"/>
      <c r="B103" s="2554"/>
      <c r="C103" s="2670">
        <f>C17-C101</f>
        <v>0</v>
      </c>
      <c r="D103" s="2671"/>
      <c r="E103" s="2672"/>
      <c r="F103" s="2671"/>
      <c r="G103" s="2671"/>
      <c r="H103" s="2673">
        <f>H17-H101</f>
        <v>-95.3308982352941</v>
      </c>
      <c r="I103" s="2674"/>
      <c r="J103" s="2674"/>
      <c r="K103" s="2671"/>
      <c r="L103" s="2671"/>
      <c r="M103" s="2554"/>
      <c r="N103" s="2554"/>
      <c r="O103" s="2554"/>
      <c r="P103" s="2554"/>
      <c r="Q103" s="2554"/>
    </row>
    <row r="104" spans="1:258">
      <c r="C104" s="2676"/>
      <c r="E104" s="2677"/>
      <c r="F104" s="2677"/>
      <c r="G104" s="2677"/>
      <c r="J104" s="2677"/>
      <c r="K104" s="2677"/>
      <c r="L104" s="2677"/>
    </row>
    <row r="105" spans="1:258" s="2684" customFormat="1">
      <c r="A105" s="2678"/>
      <c r="B105" s="2679"/>
      <c r="C105" s="2680"/>
      <c r="D105" s="2681"/>
      <c r="E105" s="2682"/>
      <c r="F105" s="2681"/>
      <c r="G105" s="2683"/>
      <c r="H105" s="2681"/>
      <c r="I105" s="2681"/>
      <c r="J105" s="2681"/>
      <c r="K105" s="2681"/>
      <c r="L105" s="2683"/>
      <c r="IX105" s="2678"/>
    </row>
    <row r="106" spans="1:258" s="2569" customFormat="1">
      <c r="A106" s="2685"/>
      <c r="B106" s="2686"/>
      <c r="C106" s="2676"/>
      <c r="D106" s="2687"/>
      <c r="E106" s="2687"/>
      <c r="F106" s="2687"/>
      <c r="G106" s="2687"/>
      <c r="H106" s="2687"/>
      <c r="I106" s="2687"/>
      <c r="J106" s="2687"/>
      <c r="K106" s="2687"/>
      <c r="L106" s="2687"/>
      <c r="M106" s="2688"/>
      <c r="N106" s="2688"/>
      <c r="O106" s="2688"/>
      <c r="P106" s="2688"/>
      <c r="Q106" s="2688"/>
      <c r="IX106" s="2930"/>
    </row>
    <row r="107" spans="1:258" s="2569" customFormat="1">
      <c r="A107" s="2685"/>
      <c r="B107" s="2689"/>
      <c r="C107" s="2680"/>
      <c r="D107" s="2687"/>
      <c r="E107" s="2687"/>
      <c r="F107" s="2687"/>
      <c r="G107" s="2687"/>
      <c r="H107" s="2687"/>
      <c r="I107" s="2687"/>
      <c r="J107" s="2687"/>
      <c r="K107" s="2687"/>
      <c r="L107" s="2690"/>
      <c r="M107" s="2688"/>
      <c r="N107" s="2688"/>
      <c r="O107" s="2688"/>
      <c r="P107" s="2688"/>
      <c r="Q107" s="2688"/>
      <c r="IX107" s="2930"/>
    </row>
    <row r="108" spans="1:258" s="2569" customFormat="1">
      <c r="A108" s="2685"/>
      <c r="B108" s="2691"/>
      <c r="C108" s="2687"/>
      <c r="D108" s="2687"/>
      <c r="E108" s="2687"/>
      <c r="F108" s="2687"/>
      <c r="G108" s="2687"/>
      <c r="H108" s="2687"/>
      <c r="I108" s="2687"/>
      <c r="J108" s="2687"/>
      <c r="K108" s="2687"/>
      <c r="L108" s="2690"/>
      <c r="M108" s="2688"/>
      <c r="N108" s="2688"/>
      <c r="O108" s="2688"/>
      <c r="P108" s="2688"/>
      <c r="Q108" s="2688"/>
      <c r="IX108" s="2930"/>
    </row>
    <row r="109" spans="1:258" s="2569" customFormat="1">
      <c r="A109" s="2685"/>
      <c r="B109" s="2692"/>
      <c r="C109" s="2693">
        <f>(C57+C71+C85)/C45</f>
        <v>0.18563236543957554</v>
      </c>
      <c r="D109" s="2687"/>
      <c r="E109" s="2693"/>
      <c r="F109" s="2687"/>
      <c r="G109" s="2694"/>
      <c r="H109" s="2687"/>
      <c r="I109" s="2687"/>
      <c r="J109" s="2687"/>
      <c r="K109" s="2687"/>
      <c r="L109" s="2694"/>
      <c r="M109" s="2688"/>
      <c r="N109" s="2688"/>
      <c r="O109" s="2688"/>
      <c r="P109" s="2688"/>
      <c r="Q109" s="2688"/>
      <c r="IX109" s="2930"/>
    </row>
    <row r="110" spans="1:258" s="2569" customFormat="1">
      <c r="A110" s="2685"/>
      <c r="B110" s="2692"/>
      <c r="C110" s="2693">
        <f>(C47+C75)/C45</f>
        <v>0.1456342405725535</v>
      </c>
      <c r="D110" s="2687"/>
      <c r="E110" s="2693"/>
      <c r="F110" s="2687"/>
      <c r="G110" s="2694"/>
      <c r="H110" s="2687"/>
      <c r="I110" s="2687"/>
      <c r="J110" s="2687"/>
      <c r="K110" s="2687"/>
      <c r="L110" s="2694"/>
      <c r="M110" s="2688"/>
      <c r="N110" s="2688"/>
      <c r="O110" s="2688"/>
      <c r="P110" s="2688"/>
      <c r="Q110" s="2688"/>
      <c r="IX110" s="2930"/>
    </row>
    <row r="111" spans="1:258" s="2569" customFormat="1" hidden="1">
      <c r="A111" s="2685"/>
      <c r="B111" s="2686"/>
      <c r="C111" s="2687"/>
      <c r="D111" s="2687"/>
      <c r="E111" s="2687"/>
      <c r="F111" s="2687"/>
      <c r="G111" s="2695"/>
      <c r="H111" s="2687"/>
      <c r="I111" s="2687"/>
      <c r="J111" s="2687"/>
      <c r="K111" s="2687"/>
      <c r="L111" s="2695"/>
      <c r="M111" s="2688"/>
      <c r="N111" s="2688"/>
      <c r="O111" s="2688"/>
      <c r="P111" s="2688"/>
      <c r="Q111" s="2688"/>
      <c r="IX111" s="2930"/>
    </row>
    <row r="112" spans="1:258" s="2569" customFormat="1" hidden="1">
      <c r="A112" s="2685"/>
      <c r="B112" s="2689"/>
      <c r="C112" s="2687"/>
      <c r="D112" s="2687"/>
      <c r="E112" s="2687"/>
      <c r="F112" s="2687"/>
      <c r="G112" s="2690"/>
      <c r="H112" s="2687"/>
      <c r="I112" s="2687"/>
      <c r="J112" s="2687"/>
      <c r="K112" s="2687"/>
      <c r="L112" s="2690"/>
      <c r="M112" s="2688"/>
      <c r="N112" s="2688"/>
      <c r="O112" s="2688"/>
      <c r="P112" s="2688"/>
      <c r="Q112" s="2688"/>
      <c r="IX112" s="2930"/>
    </row>
    <row r="113" spans="1:258" s="2569" customFormat="1" hidden="1">
      <c r="A113" s="2685"/>
      <c r="B113" s="2691" t="s">
        <v>659</v>
      </c>
      <c r="C113" s="2687" t="e">
        <f>#REF!+#REF!</f>
        <v>#REF!</v>
      </c>
      <c r="D113" s="2687"/>
      <c r="E113" s="2687"/>
      <c r="F113" s="2687"/>
      <c r="G113" s="2690"/>
      <c r="H113" s="2687" t="e">
        <f>#REF!+#REF!</f>
        <v>#REF!</v>
      </c>
      <c r="I113" s="2687"/>
      <c r="J113" s="2687"/>
      <c r="K113" s="2687"/>
      <c r="L113" s="2690"/>
      <c r="M113" s="2688"/>
      <c r="N113" s="2688"/>
      <c r="O113" s="2688"/>
      <c r="P113" s="2688"/>
      <c r="Q113" s="2688"/>
      <c r="IX113" s="2930"/>
    </row>
    <row r="114" spans="1:258" s="2569" customFormat="1" hidden="1">
      <c r="A114" s="2685"/>
      <c r="B114" s="2692"/>
      <c r="C114" s="2687"/>
      <c r="D114" s="2687"/>
      <c r="E114" s="2687"/>
      <c r="F114" s="2687"/>
      <c r="G114" s="2694"/>
      <c r="H114" s="2687"/>
      <c r="I114" s="2687"/>
      <c r="J114" s="2687"/>
      <c r="K114" s="2687"/>
      <c r="L114" s="2694"/>
      <c r="M114" s="2688"/>
      <c r="N114" s="2688"/>
      <c r="O114" s="2688"/>
      <c r="P114" s="2688"/>
      <c r="Q114" s="2688"/>
      <c r="IX114" s="2930"/>
    </row>
    <row r="115" spans="1:258" s="2569" customFormat="1" hidden="1">
      <c r="A115" s="2685"/>
      <c r="B115" s="2692" t="s">
        <v>3611</v>
      </c>
      <c r="C115" s="2592"/>
      <c r="D115" s="2592"/>
      <c r="E115" s="2592">
        <f>E98-E45</f>
        <v>0</v>
      </c>
      <c r="F115" s="2592">
        <f>F98-F45</f>
        <v>-1.662123</v>
      </c>
      <c r="G115" s="2592">
        <f>G98-G45</f>
        <v>-19.551983</v>
      </c>
      <c r="H115" s="2592"/>
      <c r="I115" s="2592"/>
      <c r="J115" s="2592">
        <f>J98-J45</f>
        <v>0</v>
      </c>
      <c r="K115" s="2592">
        <f>K98-K45</f>
        <v>-3.324246</v>
      </c>
      <c r="L115" s="2592">
        <f>L98-L45</f>
        <v>-39.103966</v>
      </c>
      <c r="M115" s="2688"/>
      <c r="N115" s="2688"/>
      <c r="O115" s="2688"/>
      <c r="P115" s="2688"/>
      <c r="Q115" s="2688"/>
      <c r="IX115" s="2930"/>
    </row>
    <row r="116" spans="1:258" s="2569" customFormat="1" hidden="1">
      <c r="A116" s="2685"/>
      <c r="B116" s="2696"/>
      <c r="C116" s="2612"/>
      <c r="D116" s="2612"/>
      <c r="E116" s="2612"/>
      <c r="F116" s="2612"/>
      <c r="G116" s="2612"/>
      <c r="H116" s="2612"/>
      <c r="I116" s="2612"/>
      <c r="J116" s="2612"/>
      <c r="K116" s="2612"/>
      <c r="L116" s="2612"/>
      <c r="M116" s="2688"/>
      <c r="N116" s="2688"/>
      <c r="O116" s="2688"/>
      <c r="P116" s="2688"/>
      <c r="Q116" s="2688"/>
      <c r="IX116" s="2930"/>
    </row>
    <row r="117" spans="1:258" s="2569" customFormat="1" hidden="1">
      <c r="A117" s="2685"/>
      <c r="B117" s="2689"/>
      <c r="C117" s="2612"/>
      <c r="D117" s="2612"/>
      <c r="E117" s="2612"/>
      <c r="F117" s="2612"/>
      <c r="G117" s="2612"/>
      <c r="H117" s="2612"/>
      <c r="I117" s="2612"/>
      <c r="J117" s="2612"/>
      <c r="K117" s="2612"/>
      <c r="L117" s="2612"/>
      <c r="M117" s="2688"/>
      <c r="N117" s="2688"/>
      <c r="O117" s="2688"/>
      <c r="P117" s="2688"/>
      <c r="Q117" s="2688"/>
      <c r="IX117" s="2930"/>
    </row>
    <row r="118" spans="1:258" s="2569" customFormat="1" hidden="1">
      <c r="A118" s="2685"/>
      <c r="B118" s="2691"/>
      <c r="C118" s="2687"/>
      <c r="D118" s="2687"/>
      <c r="E118" s="2687"/>
      <c r="F118" s="2687"/>
      <c r="G118" s="2690"/>
      <c r="H118" s="2687"/>
      <c r="I118" s="2687"/>
      <c r="J118" s="2687"/>
      <c r="K118" s="2687"/>
      <c r="L118" s="2690"/>
      <c r="M118" s="2688"/>
      <c r="N118" s="2688"/>
      <c r="O118" s="2688"/>
      <c r="P118" s="2688"/>
      <c r="Q118" s="2688"/>
      <c r="IX118" s="2930"/>
    </row>
    <row r="119" spans="1:258" s="2569" customFormat="1" hidden="1">
      <c r="A119" s="2685"/>
      <c r="B119" s="2692"/>
      <c r="C119" s="2687"/>
      <c r="D119" s="2687"/>
      <c r="E119" s="2687"/>
      <c r="F119" s="2687"/>
      <c r="G119" s="2694"/>
      <c r="H119" s="2687"/>
      <c r="I119" s="2687"/>
      <c r="J119" s="2687"/>
      <c r="K119" s="2687"/>
      <c r="L119" s="2694"/>
      <c r="M119" s="2688"/>
      <c r="N119" s="2688"/>
      <c r="O119" s="2688"/>
      <c r="P119" s="2688"/>
      <c r="Q119" s="2688"/>
      <c r="IX119" s="2930"/>
    </row>
    <row r="120" spans="1:258" s="2569" customFormat="1" hidden="1">
      <c r="A120" s="2685"/>
      <c r="B120" s="2692" t="s">
        <v>3612</v>
      </c>
      <c r="C120" s="2592"/>
      <c r="D120" s="2592"/>
      <c r="E120" s="2592"/>
      <c r="F120" s="2592">
        <f>F45</f>
        <v>3.6182430000000001</v>
      </c>
      <c r="G120" s="2592">
        <f>G45</f>
        <v>21.211995999999999</v>
      </c>
      <c r="H120" s="2592"/>
      <c r="I120" s="2592"/>
      <c r="J120" s="2592"/>
      <c r="K120" s="2592">
        <f>K45</f>
        <v>7.2364860000000002</v>
      </c>
      <c r="L120" s="2592">
        <f>L45</f>
        <v>42.423991999999998</v>
      </c>
      <c r="M120" s="2688"/>
      <c r="N120" s="2688"/>
      <c r="O120" s="2688"/>
      <c r="P120" s="2688"/>
      <c r="Q120" s="2688"/>
      <c r="IX120" s="2930"/>
    </row>
    <row r="121" spans="1:258" s="2569" customFormat="1" hidden="1">
      <c r="A121" s="2685"/>
      <c r="B121" s="2689"/>
      <c r="C121" s="2612"/>
      <c r="D121" s="2612"/>
      <c r="E121" s="2612"/>
      <c r="F121" s="2612"/>
      <c r="G121" s="2612"/>
      <c r="H121" s="2612"/>
      <c r="I121" s="2612"/>
      <c r="J121" s="2612"/>
      <c r="K121" s="2612"/>
      <c r="L121" s="2612"/>
      <c r="M121" s="2688"/>
      <c r="N121" s="2688"/>
      <c r="O121" s="2688"/>
      <c r="P121" s="2688"/>
      <c r="Q121" s="2688"/>
      <c r="IX121" s="2930"/>
    </row>
    <row r="122" spans="1:258" s="2569" customFormat="1" hidden="1">
      <c r="A122" s="2685"/>
      <c r="B122" s="2691"/>
      <c r="C122" s="2612"/>
      <c r="D122" s="2612"/>
      <c r="E122" s="2612"/>
      <c r="F122" s="2612"/>
      <c r="G122" s="2612"/>
      <c r="H122" s="2612"/>
      <c r="I122" s="2612"/>
      <c r="J122" s="2612"/>
      <c r="K122" s="2612"/>
      <c r="L122" s="2612"/>
      <c r="M122" s="2688"/>
      <c r="N122" s="2688"/>
      <c r="O122" s="2688"/>
      <c r="P122" s="2688"/>
      <c r="Q122" s="2688"/>
      <c r="IX122" s="2930"/>
    </row>
    <row r="123" spans="1:258" s="2569" customFormat="1" hidden="1">
      <c r="A123" s="2685"/>
      <c r="B123" s="2692"/>
      <c r="C123" s="2687"/>
      <c r="D123" s="2687"/>
      <c r="E123" s="2687"/>
      <c r="F123" s="2687"/>
      <c r="G123" s="2694"/>
      <c r="H123" s="2687"/>
      <c r="I123" s="2687"/>
      <c r="J123" s="2687"/>
      <c r="K123" s="2687"/>
      <c r="L123" s="2694"/>
      <c r="M123" s="2688"/>
      <c r="N123" s="2688"/>
      <c r="O123" s="2688"/>
      <c r="P123" s="2688"/>
      <c r="Q123" s="2688"/>
      <c r="IX123" s="2930"/>
    </row>
    <row r="124" spans="1:258" s="2569" customFormat="1" hidden="1">
      <c r="A124" s="2685"/>
      <c r="B124" s="2692"/>
      <c r="C124" s="2687"/>
      <c r="D124" s="2687"/>
      <c r="E124" s="2687"/>
      <c r="F124" s="2687"/>
      <c r="G124" s="2694"/>
      <c r="H124" s="2687"/>
      <c r="I124" s="2687"/>
      <c r="J124" s="2687"/>
      <c r="K124" s="2687"/>
      <c r="L124" s="2694"/>
      <c r="M124" s="2688"/>
      <c r="N124" s="2688"/>
      <c r="O124" s="2688"/>
      <c r="P124" s="2688"/>
      <c r="Q124" s="2688"/>
      <c r="IX124" s="2930"/>
    </row>
    <row r="125" spans="1:258" s="2569" customFormat="1" hidden="1">
      <c r="A125" s="2685"/>
      <c r="B125" s="2688"/>
      <c r="C125" s="2687"/>
      <c r="D125" s="2687"/>
      <c r="E125" s="2687"/>
      <c r="F125" s="2687"/>
      <c r="G125" s="2687"/>
      <c r="H125" s="2687"/>
      <c r="I125" s="2687"/>
      <c r="J125" s="2687"/>
      <c r="K125" s="2687"/>
      <c r="L125" s="2687"/>
      <c r="M125" s="2688"/>
      <c r="N125" s="2688"/>
      <c r="O125" s="2688"/>
      <c r="P125" s="2688"/>
      <c r="Q125" s="2688"/>
      <c r="IX125" s="2930"/>
    </row>
    <row r="126" spans="1:258" hidden="1"/>
    <row r="127" spans="1:258" hidden="1"/>
    <row r="128" spans="1:258" hidden="1"/>
    <row r="129" spans="1:12" hidden="1"/>
    <row r="130" spans="1:12" hidden="1"/>
    <row r="131" spans="1:12" hidden="1">
      <c r="C131" s="2560">
        <v>34.573070000000001</v>
      </c>
      <c r="H131" s="2560">
        <v>84.433000000000007</v>
      </c>
    </row>
    <row r="132" spans="1:12" ht="31.5" hidden="1">
      <c r="A132" s="2631" t="s">
        <v>373</v>
      </c>
      <c r="B132" s="2632" t="s">
        <v>3571</v>
      </c>
      <c r="C132" s="2601">
        <f t="shared" ref="C132:C151" si="39">SUM(D132:G132)</f>
        <v>149.18179999999995</v>
      </c>
      <c r="D132" s="2601"/>
      <c r="E132" s="2601"/>
      <c r="F132" s="2601">
        <f>F133+F144</f>
        <v>13.9749</v>
      </c>
      <c r="G132" s="2601">
        <f>G133+G144</f>
        <v>135.20689999999996</v>
      </c>
      <c r="H132" s="2601">
        <f>SUM(I132:L132)</f>
        <v>62.340900000000005</v>
      </c>
      <c r="I132" s="2601"/>
      <c r="J132" s="2601"/>
      <c r="K132" s="2601">
        <f>K133+K144</f>
        <v>6.68</v>
      </c>
      <c r="L132" s="2601">
        <f>L133+L144</f>
        <v>55.660900000000005</v>
      </c>
    </row>
    <row r="133" spans="1:12" hidden="1">
      <c r="A133" s="2633" t="s">
        <v>3470</v>
      </c>
      <c r="B133" s="2634" t="s">
        <v>3572</v>
      </c>
      <c r="C133" s="2592">
        <f t="shared" si="39"/>
        <v>134.02149999999997</v>
      </c>
      <c r="D133" s="2592"/>
      <c r="E133" s="2592"/>
      <c r="F133" s="2635"/>
      <c r="G133" s="2635">
        <f>G134+G139</f>
        <v>134.02149999999997</v>
      </c>
      <c r="H133" s="2592">
        <f t="shared" ref="H133:H151" si="40">SUM(I133:L133)</f>
        <v>55.170900000000003</v>
      </c>
      <c r="I133" s="2592"/>
      <c r="J133" s="2592"/>
      <c r="K133" s="2635"/>
      <c r="L133" s="2635">
        <f>L134+L139</f>
        <v>55.170900000000003</v>
      </c>
    </row>
    <row r="134" spans="1:12" ht="31.5" hidden="1">
      <c r="A134" s="2636" t="s">
        <v>3471</v>
      </c>
      <c r="B134" s="2637" t="s">
        <v>3573</v>
      </c>
      <c r="C134" s="2592">
        <f t="shared" si="39"/>
        <v>4.8403999999999998</v>
      </c>
      <c r="D134" s="2592"/>
      <c r="E134" s="2592"/>
      <c r="F134" s="2635"/>
      <c r="G134" s="2635">
        <f>G135+G136</f>
        <v>4.8403999999999998</v>
      </c>
      <c r="H134" s="2592">
        <f t="shared" si="40"/>
        <v>2.0209000000000001</v>
      </c>
      <c r="I134" s="2592"/>
      <c r="J134" s="2592"/>
      <c r="K134" s="2635"/>
      <c r="L134" s="2635">
        <f>L135+L136</f>
        <v>2.0209000000000001</v>
      </c>
    </row>
    <row r="135" spans="1:12" hidden="1">
      <c r="A135" s="2628"/>
      <c r="B135" s="2638" t="s">
        <v>229</v>
      </c>
      <c r="C135" s="2592">
        <f t="shared" si="39"/>
        <v>2.3201999999999998</v>
      </c>
      <c r="D135" s="2640"/>
      <c r="E135" s="2640"/>
      <c r="F135" s="2640"/>
      <c r="G135" s="2594">
        <v>2.3201999999999998</v>
      </c>
      <c r="H135" s="2592">
        <f t="shared" si="40"/>
        <v>0.97099999999999997</v>
      </c>
      <c r="I135" s="2640"/>
      <c r="J135" s="2640"/>
      <c r="K135" s="2640"/>
      <c r="L135" s="2593">
        <v>0.97099999999999997</v>
      </c>
    </row>
    <row r="136" spans="1:12" hidden="1">
      <c r="A136" s="2641"/>
      <c r="B136" s="2626" t="s">
        <v>3566</v>
      </c>
      <c r="C136" s="2592">
        <f t="shared" si="39"/>
        <v>2.5202</v>
      </c>
      <c r="D136" s="2627"/>
      <c r="E136" s="2627"/>
      <c r="F136" s="2635"/>
      <c r="G136" s="2635">
        <f>G137+G138</f>
        <v>2.5202</v>
      </c>
      <c r="H136" s="2592">
        <f t="shared" si="40"/>
        <v>1.0499000000000001</v>
      </c>
      <c r="I136" s="2627"/>
      <c r="J136" s="2627"/>
      <c r="K136" s="2635"/>
      <c r="L136" s="2635">
        <f>L137+L138</f>
        <v>1.0499000000000001</v>
      </c>
    </row>
    <row r="137" spans="1:12" hidden="1">
      <c r="A137" s="2641"/>
      <c r="B137" s="2629" t="s">
        <v>230</v>
      </c>
      <c r="C137" s="2592">
        <f t="shared" si="39"/>
        <v>1.3504</v>
      </c>
      <c r="D137" s="2593"/>
      <c r="E137" s="2593"/>
      <c r="F137" s="2593"/>
      <c r="G137" s="2594">
        <v>1.3504</v>
      </c>
      <c r="H137" s="2592">
        <f t="shared" si="40"/>
        <v>0.55990000000000006</v>
      </c>
      <c r="I137" s="2593"/>
      <c r="J137" s="2593"/>
      <c r="K137" s="2593"/>
      <c r="L137" s="2593">
        <v>0.55990000000000006</v>
      </c>
    </row>
    <row r="138" spans="1:12" hidden="1">
      <c r="A138" s="2630"/>
      <c r="B138" s="2629" t="s">
        <v>231</v>
      </c>
      <c r="C138" s="2592">
        <f t="shared" si="39"/>
        <v>1.1698</v>
      </c>
      <c r="D138" s="2593"/>
      <c r="E138" s="2593"/>
      <c r="F138" s="2593"/>
      <c r="G138" s="2594">
        <v>1.1698</v>
      </c>
      <c r="H138" s="2592">
        <f t="shared" si="40"/>
        <v>0.49</v>
      </c>
      <c r="I138" s="2593"/>
      <c r="J138" s="2593"/>
      <c r="K138" s="2593"/>
      <c r="L138" s="2593">
        <v>0.49</v>
      </c>
    </row>
    <row r="139" spans="1:12" ht="39" hidden="1">
      <c r="A139" s="2642" t="s">
        <v>3487</v>
      </c>
      <c r="B139" s="2643" t="s">
        <v>3574</v>
      </c>
      <c r="C139" s="2592">
        <f t="shared" si="39"/>
        <v>129.18109999999999</v>
      </c>
      <c r="D139" s="2592"/>
      <c r="E139" s="2592"/>
      <c r="F139" s="2635"/>
      <c r="G139" s="2635">
        <f>G140+G141</f>
        <v>129.18109999999999</v>
      </c>
      <c r="H139" s="2592">
        <f t="shared" si="40"/>
        <v>53.150000000000006</v>
      </c>
      <c r="I139" s="2592"/>
      <c r="J139" s="2592"/>
      <c r="K139" s="2635"/>
      <c r="L139" s="2635">
        <f>L140+L141</f>
        <v>53.150000000000006</v>
      </c>
    </row>
    <row r="140" spans="1:12" hidden="1">
      <c r="A140" s="2628"/>
      <c r="B140" s="2638" t="s">
        <v>229</v>
      </c>
      <c r="C140" s="2592">
        <f t="shared" si="39"/>
        <v>46.464199999999998</v>
      </c>
      <c r="D140" s="2640"/>
      <c r="E140" s="2640"/>
      <c r="F140" s="2640"/>
      <c r="G140" s="2594">
        <v>46.464199999999998</v>
      </c>
      <c r="H140" s="2592">
        <f t="shared" si="40"/>
        <v>22.5</v>
      </c>
      <c r="I140" s="2640"/>
      <c r="J140" s="2640"/>
      <c r="K140" s="2640"/>
      <c r="L140" s="2593">
        <v>22.5</v>
      </c>
    </row>
    <row r="141" spans="1:12" hidden="1">
      <c r="A141" s="2641"/>
      <c r="B141" s="2626" t="s">
        <v>233</v>
      </c>
      <c r="C141" s="2592">
        <f t="shared" si="39"/>
        <v>82.716899999999995</v>
      </c>
      <c r="D141" s="2627"/>
      <c r="E141" s="2627"/>
      <c r="F141" s="2635"/>
      <c r="G141" s="2635">
        <f>G142+G143</f>
        <v>82.716899999999995</v>
      </c>
      <c r="H141" s="2592">
        <f t="shared" si="40"/>
        <v>30.650000000000002</v>
      </c>
      <c r="I141" s="2627"/>
      <c r="J141" s="2627"/>
      <c r="K141" s="2635"/>
      <c r="L141" s="2635">
        <f>L142+L143</f>
        <v>30.650000000000002</v>
      </c>
    </row>
    <row r="142" spans="1:12" hidden="1">
      <c r="A142" s="2641"/>
      <c r="B142" s="2629" t="s">
        <v>230</v>
      </c>
      <c r="C142" s="2592">
        <f t="shared" si="39"/>
        <v>59.158099999999997</v>
      </c>
      <c r="D142" s="2593"/>
      <c r="E142" s="2593"/>
      <c r="F142" s="2593"/>
      <c r="G142" s="2594">
        <f>53.1581+6</f>
        <v>59.158099999999997</v>
      </c>
      <c r="H142" s="2592">
        <f t="shared" si="40"/>
        <v>18.510000000000002</v>
      </c>
      <c r="I142" s="2593"/>
      <c r="J142" s="2593"/>
      <c r="K142" s="2593"/>
      <c r="L142" s="2593">
        <v>18.510000000000002</v>
      </c>
    </row>
    <row r="143" spans="1:12" hidden="1">
      <c r="A143" s="2630"/>
      <c r="B143" s="2629" t="s">
        <v>231</v>
      </c>
      <c r="C143" s="2592">
        <f t="shared" si="39"/>
        <v>23.558800000000002</v>
      </c>
      <c r="D143" s="2593"/>
      <c r="E143" s="2593"/>
      <c r="F143" s="2593"/>
      <c r="G143" s="2594">
        <v>23.558800000000002</v>
      </c>
      <c r="H143" s="2592">
        <f t="shared" si="40"/>
        <v>12.14</v>
      </c>
      <c r="I143" s="2593"/>
      <c r="J143" s="2593"/>
      <c r="K143" s="2593"/>
      <c r="L143" s="2593">
        <v>12.14</v>
      </c>
    </row>
    <row r="144" spans="1:12" hidden="1">
      <c r="A144" s="2633" t="s">
        <v>3504</v>
      </c>
      <c r="B144" s="2634" t="s">
        <v>40</v>
      </c>
      <c r="C144" s="2592">
        <f t="shared" si="39"/>
        <v>15.160299999999999</v>
      </c>
      <c r="D144" s="2592"/>
      <c r="E144" s="2592"/>
      <c r="F144" s="2635">
        <f>F145+F146</f>
        <v>13.9749</v>
      </c>
      <c r="G144" s="2635">
        <f>G145+G146</f>
        <v>1.1854</v>
      </c>
      <c r="H144" s="2592">
        <f t="shared" si="40"/>
        <v>7.17</v>
      </c>
      <c r="I144" s="2592"/>
      <c r="J144" s="2592"/>
      <c r="K144" s="2635">
        <f>K145+K146</f>
        <v>6.68</v>
      </c>
      <c r="L144" s="2635">
        <f>L145+L146</f>
        <v>0.49</v>
      </c>
    </row>
    <row r="145" spans="1:12" hidden="1">
      <c r="A145" s="2644" t="s">
        <v>3505</v>
      </c>
      <c r="B145" s="2638" t="s">
        <v>229</v>
      </c>
      <c r="C145" s="2592">
        <f t="shared" si="39"/>
        <v>3.5913999999999997</v>
      </c>
      <c r="D145" s="2640"/>
      <c r="E145" s="2640"/>
      <c r="F145" s="2594">
        <v>2.8222999999999998</v>
      </c>
      <c r="G145" s="2594">
        <v>0.76910000000000001</v>
      </c>
      <c r="H145" s="2592">
        <f t="shared" si="40"/>
        <v>1.5</v>
      </c>
      <c r="I145" s="2640"/>
      <c r="J145" s="2640"/>
      <c r="K145" s="2593">
        <v>1.18</v>
      </c>
      <c r="L145" s="2593">
        <v>0.32</v>
      </c>
    </row>
    <row r="146" spans="1:12" hidden="1">
      <c r="A146" s="2625" t="s">
        <v>3519</v>
      </c>
      <c r="B146" s="2626" t="s">
        <v>3566</v>
      </c>
      <c r="C146" s="2592">
        <f t="shared" si="39"/>
        <v>11.568899999999999</v>
      </c>
      <c r="D146" s="2627"/>
      <c r="E146" s="2627"/>
      <c r="F146" s="2635">
        <f>F147+F148</f>
        <v>11.1526</v>
      </c>
      <c r="G146" s="2635">
        <f>G147+G148</f>
        <v>0.41629999999999989</v>
      </c>
      <c r="H146" s="2592">
        <f t="shared" si="40"/>
        <v>5.67</v>
      </c>
      <c r="I146" s="2627"/>
      <c r="J146" s="2627"/>
      <c r="K146" s="2635">
        <f>K147+K148</f>
        <v>5.5</v>
      </c>
      <c r="L146" s="2635">
        <f>L147+L148</f>
        <v>0.16999999999999998</v>
      </c>
    </row>
    <row r="147" spans="1:12" hidden="1">
      <c r="A147" s="2628"/>
      <c r="B147" s="2629" t="s">
        <v>230</v>
      </c>
      <c r="C147" s="2592">
        <f t="shared" si="39"/>
        <v>6.7407999999999992</v>
      </c>
      <c r="D147" s="2593"/>
      <c r="E147" s="2593"/>
      <c r="F147" s="2594">
        <v>6.4605999999999995</v>
      </c>
      <c r="G147" s="2594">
        <v>0.2802</v>
      </c>
      <c r="H147" s="2592">
        <f t="shared" si="40"/>
        <v>3.65</v>
      </c>
      <c r="I147" s="2593"/>
      <c r="J147" s="2593"/>
      <c r="K147" s="2593">
        <v>3.54</v>
      </c>
      <c r="L147" s="2593">
        <v>0.11</v>
      </c>
    </row>
    <row r="148" spans="1:12" hidden="1">
      <c r="A148" s="2630"/>
      <c r="B148" s="2629" t="s">
        <v>231</v>
      </c>
      <c r="C148" s="2592">
        <f t="shared" si="39"/>
        <v>4.8281000000000001</v>
      </c>
      <c r="D148" s="2593"/>
      <c r="E148" s="2593"/>
      <c r="F148" s="2594">
        <v>4.6920000000000002</v>
      </c>
      <c r="G148" s="2594">
        <v>0.13609999999999989</v>
      </c>
      <c r="H148" s="2592">
        <f t="shared" si="40"/>
        <v>2.02</v>
      </c>
      <c r="I148" s="2593"/>
      <c r="J148" s="2593"/>
      <c r="K148" s="2593">
        <v>1.96</v>
      </c>
      <c r="L148" s="2593">
        <v>0.06</v>
      </c>
    </row>
    <row r="149" spans="1:12" hidden="1">
      <c r="A149" s="2625" t="s">
        <v>3528</v>
      </c>
      <c r="B149" s="2626" t="s">
        <v>3566</v>
      </c>
      <c r="C149" s="2592">
        <f t="shared" si="39"/>
        <v>0</v>
      </c>
      <c r="D149" s="2627"/>
      <c r="E149" s="2627"/>
      <c r="F149" s="2627"/>
      <c r="G149" s="2627"/>
      <c r="H149" s="2592">
        <f t="shared" si="40"/>
        <v>0</v>
      </c>
      <c r="I149" s="2627"/>
      <c r="J149" s="2627"/>
      <c r="K149" s="2627"/>
      <c r="L149" s="2645"/>
    </row>
    <row r="150" spans="1:12" hidden="1">
      <c r="A150" s="2628"/>
      <c r="B150" s="2629" t="s">
        <v>230</v>
      </c>
      <c r="C150" s="2592">
        <f t="shared" si="39"/>
        <v>0</v>
      </c>
      <c r="D150" s="2594"/>
      <c r="E150" s="2594"/>
      <c r="F150" s="2594"/>
      <c r="G150" s="2594"/>
      <c r="H150" s="2592">
        <f t="shared" si="40"/>
        <v>0</v>
      </c>
      <c r="I150" s="2593"/>
      <c r="J150" s="2593"/>
      <c r="K150" s="2593"/>
      <c r="L150" s="2598"/>
    </row>
    <row r="151" spans="1:12" hidden="1">
      <c r="A151" s="2630"/>
      <c r="B151" s="2629" t="s">
        <v>231</v>
      </c>
      <c r="C151" s="2592">
        <f t="shared" si="39"/>
        <v>0</v>
      </c>
      <c r="D151" s="2594"/>
      <c r="E151" s="2594"/>
      <c r="F151" s="2594"/>
      <c r="G151" s="2594"/>
      <c r="H151" s="2592">
        <f t="shared" si="40"/>
        <v>0</v>
      </c>
      <c r="I151" s="2593"/>
      <c r="J151" s="2593"/>
      <c r="K151" s="2593"/>
      <c r="L151" s="2598"/>
    </row>
    <row r="152" spans="1:12" hidden="1"/>
    <row r="153" spans="1:12" hidden="1">
      <c r="C153" s="2560">
        <v>149.18179999999995</v>
      </c>
      <c r="D153" s="2560">
        <f>C132-C153</f>
        <v>0</v>
      </c>
    </row>
    <row r="154" spans="1:12" hidden="1"/>
    <row r="155" spans="1:12" hidden="1">
      <c r="C155" s="2697">
        <f>(C138+C143+C148)/C132</f>
        <v>0.19812537454300733</v>
      </c>
      <c r="E155" s="2697">
        <v>0.224</v>
      </c>
    </row>
    <row r="156" spans="1:12" hidden="1">
      <c r="C156" s="2697">
        <f>(C134+C144)/C132</f>
        <v>0.13406930336006137</v>
      </c>
      <c r="E156" s="2697">
        <v>0.1305</v>
      </c>
    </row>
    <row r="157" spans="1:12" hidden="1"/>
    <row r="158" spans="1:12" hidden="1"/>
    <row r="159" spans="1:12" hidden="1"/>
    <row r="160" spans="1:12"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spans="1:258" hidden="1"/>
    <row r="178" spans="1:258" hidden="1">
      <c r="C178" s="2560">
        <v>6.2623250944902897E-2</v>
      </c>
      <c r="F178" s="2560">
        <f>ROUND(F192/C179*C178,6)</f>
        <v>1.6396000000000001E-2</v>
      </c>
      <c r="I178" s="2698"/>
    </row>
    <row r="179" spans="1:258" hidden="1">
      <c r="C179" s="2560">
        <v>3.7694999999999999E-2</v>
      </c>
    </row>
    <row r="180" spans="1:258" hidden="1"/>
    <row r="181" spans="1:258" hidden="1"/>
    <row r="182" spans="1:258" s="2700" customFormat="1" ht="19.5" hidden="1" customHeight="1">
      <c r="A182" s="4625" t="s">
        <v>3603</v>
      </c>
      <c r="B182" s="4626"/>
      <c r="C182" s="4627" t="s">
        <v>1779</v>
      </c>
      <c r="D182" s="4627"/>
      <c r="E182" s="4627"/>
      <c r="F182" s="4627"/>
      <c r="G182" s="4627"/>
      <c r="H182" s="4627"/>
      <c r="I182" s="4627"/>
      <c r="J182" s="4627"/>
      <c r="K182" s="4627"/>
      <c r="L182" s="4627"/>
      <c r="M182" s="4627"/>
      <c r="N182" s="4627"/>
      <c r="O182" s="4627"/>
      <c r="P182" s="4627"/>
      <c r="Q182" s="4628"/>
      <c r="R182" s="2699"/>
      <c r="IT182" s="2701"/>
      <c r="IX182" s="2931"/>
    </row>
    <row r="183" spans="1:258" s="2700" customFormat="1" ht="21.75" hidden="1" customHeight="1">
      <c r="A183" s="4629" t="s">
        <v>3613</v>
      </c>
      <c r="B183" s="4630"/>
      <c r="C183" s="4631" t="s">
        <v>909</v>
      </c>
      <c r="D183" s="4631"/>
      <c r="E183" s="4631"/>
      <c r="F183" s="4631"/>
      <c r="G183" s="4631"/>
      <c r="H183" s="4631"/>
      <c r="I183" s="4631"/>
      <c r="J183" s="4631"/>
      <c r="K183" s="4631"/>
      <c r="L183" s="4631"/>
      <c r="M183" s="4631"/>
      <c r="N183" s="4631"/>
      <c r="O183" s="4631"/>
      <c r="P183" s="4631"/>
      <c r="Q183" s="4632"/>
      <c r="R183" s="2699"/>
      <c r="IT183" s="2701"/>
      <c r="IX183" s="2931"/>
    </row>
    <row r="184" spans="1:258" s="2703" customFormat="1" ht="31.5" hidden="1" customHeight="1">
      <c r="A184" s="4633" t="s">
        <v>3</v>
      </c>
      <c r="B184" s="4634" t="s">
        <v>4</v>
      </c>
      <c r="C184" s="4635" t="s">
        <v>3604</v>
      </c>
      <c r="D184" s="4635"/>
      <c r="E184" s="4635"/>
      <c r="F184" s="4635"/>
      <c r="G184" s="4635"/>
      <c r="H184" s="4635" t="s">
        <v>3605</v>
      </c>
      <c r="I184" s="4635"/>
      <c r="J184" s="4635"/>
      <c r="K184" s="4635"/>
      <c r="L184" s="4635"/>
      <c r="M184" s="4634" t="s">
        <v>3606</v>
      </c>
      <c r="N184" s="4634"/>
      <c r="O184" s="4634"/>
      <c r="P184" s="4634"/>
      <c r="Q184" s="4636"/>
      <c r="R184" s="2702"/>
      <c r="IT184" s="2704"/>
    </row>
    <row r="185" spans="1:258" s="2711" customFormat="1" ht="45.75" hidden="1" customHeight="1">
      <c r="A185" s="4633"/>
      <c r="B185" s="4634"/>
      <c r="C185" s="2705" t="s">
        <v>8</v>
      </c>
      <c r="D185" s="2705" t="s">
        <v>9</v>
      </c>
      <c r="E185" s="2706" t="s">
        <v>10</v>
      </c>
      <c r="F185" s="2706" t="s">
        <v>11</v>
      </c>
      <c r="G185" s="2705" t="s">
        <v>12</v>
      </c>
      <c r="H185" s="2705" t="s">
        <v>8</v>
      </c>
      <c r="I185" s="2705" t="s">
        <v>9</v>
      </c>
      <c r="J185" s="2706" t="s">
        <v>10</v>
      </c>
      <c r="K185" s="2706" t="s">
        <v>11</v>
      </c>
      <c r="L185" s="2705" t="s">
        <v>12</v>
      </c>
      <c r="M185" s="2707" t="s">
        <v>8</v>
      </c>
      <c r="N185" s="2707" t="s">
        <v>9</v>
      </c>
      <c r="O185" s="2708" t="s">
        <v>10</v>
      </c>
      <c r="P185" s="2708" t="s">
        <v>11</v>
      </c>
      <c r="Q185" s="2709" t="s">
        <v>12</v>
      </c>
      <c r="R185" s="2710">
        <v>24</v>
      </c>
    </row>
    <row r="186" spans="1:258" s="2716" customFormat="1" ht="12.75" hidden="1">
      <c r="A186" s="2712">
        <v>1</v>
      </c>
      <c r="B186" s="2713">
        <v>2</v>
      </c>
      <c r="C186" s="2713">
        <v>3</v>
      </c>
      <c r="D186" s="2713">
        <v>4</v>
      </c>
      <c r="E186" s="2713">
        <v>5</v>
      </c>
      <c r="F186" s="2713">
        <v>6</v>
      </c>
      <c r="G186" s="2713">
        <v>7</v>
      </c>
      <c r="H186" s="2713">
        <v>8</v>
      </c>
      <c r="I186" s="2713">
        <v>9</v>
      </c>
      <c r="J186" s="2713">
        <v>10</v>
      </c>
      <c r="K186" s="2713">
        <v>11</v>
      </c>
      <c r="L186" s="2713">
        <v>12</v>
      </c>
      <c r="M186" s="2713">
        <v>13</v>
      </c>
      <c r="N186" s="2713">
        <v>14</v>
      </c>
      <c r="O186" s="2713">
        <v>15</v>
      </c>
      <c r="P186" s="2713">
        <v>16</v>
      </c>
      <c r="Q186" s="2714">
        <v>17</v>
      </c>
      <c r="R186" s="2715">
        <v>31</v>
      </c>
      <c r="IX186" s="2932"/>
    </row>
    <row r="187" spans="1:258" s="2718" customFormat="1" ht="12.75" hidden="1">
      <c r="A187" s="4617" t="s">
        <v>376</v>
      </c>
      <c r="B187" s="4618"/>
      <c r="C187" s="4618"/>
      <c r="D187" s="4618"/>
      <c r="E187" s="4618"/>
      <c r="F187" s="4618"/>
      <c r="G187" s="4618"/>
      <c r="H187" s="4618"/>
      <c r="I187" s="4618"/>
      <c r="J187" s="4618"/>
      <c r="K187" s="4618"/>
      <c r="L187" s="4618"/>
      <c r="M187" s="4618"/>
      <c r="N187" s="4618"/>
      <c r="O187" s="4618"/>
      <c r="P187" s="4618"/>
      <c r="Q187" s="4619"/>
      <c r="R187" s="2717">
        <v>0.59699999999999998</v>
      </c>
      <c r="IX187" s="2933"/>
    </row>
    <row r="188" spans="1:258" s="2726" customFormat="1" ht="12.75" hidden="1">
      <c r="A188" s="2719" t="s">
        <v>25</v>
      </c>
      <c r="B188" s="2720" t="s">
        <v>3555</v>
      </c>
      <c r="C188" s="2721">
        <f t="shared" ref="C188:C193" si="41">SUM(D188:G188)</f>
        <v>0.66953559940000007</v>
      </c>
      <c r="D188" s="2721"/>
      <c r="E188" s="2721"/>
      <c r="F188" s="2721">
        <f>F189</f>
        <v>0.66953559940000007</v>
      </c>
      <c r="G188" s="2721"/>
      <c r="H188" s="2721">
        <f>SUM(I188:L188)</f>
        <v>1.4037848916008382</v>
      </c>
      <c r="I188" s="2721"/>
      <c r="J188" s="2721"/>
      <c r="K188" s="2721">
        <f>K189</f>
        <v>1.4037848916008382</v>
      </c>
      <c r="L188" s="2721"/>
      <c r="M188" s="2722">
        <f>N188+O188+P188+Q188</f>
        <v>100</v>
      </c>
      <c r="N188" s="2722">
        <f>D188/C188*100</f>
        <v>0</v>
      </c>
      <c r="O188" s="2723">
        <f>E188/C188*100</f>
        <v>0</v>
      </c>
      <c r="P188" s="2723">
        <f>F188/C188*100</f>
        <v>100</v>
      </c>
      <c r="Q188" s="2724">
        <f>G188/C188*100</f>
        <v>0</v>
      </c>
      <c r="R188" s="2725"/>
      <c r="IT188" s="2727"/>
      <c r="IX188" s="2934"/>
    </row>
    <row r="189" spans="1:258" s="2726" customFormat="1" ht="12.75" hidden="1">
      <c r="A189" s="2728" t="s">
        <v>339</v>
      </c>
      <c r="B189" s="2729" t="s">
        <v>3614</v>
      </c>
      <c r="C189" s="2730">
        <f t="shared" si="41"/>
        <v>0.66953559940000007</v>
      </c>
      <c r="D189" s="2731"/>
      <c r="E189" s="2731"/>
      <c r="F189" s="2731">
        <v>0.66953559940000007</v>
      </c>
      <c r="G189" s="2732"/>
      <c r="H189" s="2730">
        <f>SUM(I189:L189)</f>
        <v>1.4037848916008382</v>
      </c>
      <c r="I189" s="2731"/>
      <c r="J189" s="2731"/>
      <c r="K189" s="2731">
        <f>K235</f>
        <v>1.4037848916008382</v>
      </c>
      <c r="L189" s="2731"/>
      <c r="M189" s="2733">
        <f>N189+O189+P189+Q189</f>
        <v>100</v>
      </c>
      <c r="N189" s="2733">
        <f>D189/C189*100</f>
        <v>0</v>
      </c>
      <c r="O189" s="2734">
        <f>E189/C189*100</f>
        <v>0</v>
      </c>
      <c r="P189" s="2734">
        <f>F189/C189*100</f>
        <v>100</v>
      </c>
      <c r="Q189" s="2735">
        <f>G189/C189*100</f>
        <v>0</v>
      </c>
      <c r="R189" s="2725"/>
      <c r="IT189" s="2727"/>
      <c r="IX189" s="2934"/>
    </row>
    <row r="190" spans="1:258" s="2726" customFormat="1" ht="12.75" hidden="1">
      <c r="A190" s="2728"/>
      <c r="B190" s="2729" t="s">
        <v>3615</v>
      </c>
      <c r="C190" s="2730">
        <f t="shared" si="41"/>
        <v>0.66953559940000007</v>
      </c>
      <c r="D190" s="2730"/>
      <c r="E190" s="2730"/>
      <c r="F190" s="2731">
        <v>0.66953559940000007</v>
      </c>
      <c r="G190" s="2736"/>
      <c r="H190" s="2730">
        <f>SUM(I190:L190)</f>
        <v>1.4037848916008382</v>
      </c>
      <c r="I190" s="2731"/>
      <c r="J190" s="2731"/>
      <c r="K190" s="2731">
        <f>K189</f>
        <v>1.4037848916008382</v>
      </c>
      <c r="L190" s="2731"/>
      <c r="M190" s="2733">
        <f>N190+O190+P190+Q190</f>
        <v>100</v>
      </c>
      <c r="N190" s="2733">
        <f>D190/C190*100</f>
        <v>0</v>
      </c>
      <c r="O190" s="2734">
        <f>E190/C190*100</f>
        <v>0</v>
      </c>
      <c r="P190" s="2734">
        <f>F190/C190*100</f>
        <v>100</v>
      </c>
      <c r="Q190" s="2735">
        <f>G190/C190*100</f>
        <v>0</v>
      </c>
      <c r="R190" s="2725"/>
      <c r="IT190" s="2727"/>
      <c r="IX190" s="2934"/>
    </row>
    <row r="191" spans="1:258" s="2726" customFormat="1" ht="12.75" hidden="1">
      <c r="A191" s="2728"/>
      <c r="B191" s="2729" t="s">
        <v>3616</v>
      </c>
      <c r="C191" s="2730">
        <f t="shared" si="41"/>
        <v>0</v>
      </c>
      <c r="D191" s="2731"/>
      <c r="E191" s="2731"/>
      <c r="F191" s="2731"/>
      <c r="G191" s="2732"/>
      <c r="H191" s="2730">
        <f>SUM(I191:L191)</f>
        <v>0</v>
      </c>
      <c r="I191" s="2731"/>
      <c r="J191" s="2731"/>
      <c r="K191" s="2731"/>
      <c r="L191" s="2731"/>
      <c r="M191" s="2733"/>
      <c r="N191" s="2733"/>
      <c r="O191" s="2734"/>
      <c r="P191" s="2734"/>
      <c r="Q191" s="2735"/>
      <c r="R191" s="2737"/>
      <c r="IT191" s="2727"/>
      <c r="IX191" s="2934"/>
    </row>
    <row r="192" spans="1:258" s="2726" customFormat="1" ht="17.25" hidden="1" customHeight="1">
      <c r="A192" s="2738" t="s">
        <v>27</v>
      </c>
      <c r="B192" s="2720" t="s">
        <v>3558</v>
      </c>
      <c r="C192" s="2721">
        <f t="shared" si="41"/>
        <v>9.8689999999999993E-3</v>
      </c>
      <c r="D192" s="2721"/>
      <c r="E192" s="2721"/>
      <c r="F192" s="2721">
        <f>ROUND(C188*1.474%,6)</f>
        <v>9.8689999999999993E-3</v>
      </c>
      <c r="G192" s="2721"/>
      <c r="H192" s="2721">
        <f>SUM(I192:L192)</f>
        <v>8.1658544982566902E-2</v>
      </c>
      <c r="I192" s="2721"/>
      <c r="J192" s="2721"/>
      <c r="K192" s="2721">
        <v>8.1658544982566902E-2</v>
      </c>
      <c r="L192" s="2721"/>
      <c r="M192" s="2722">
        <f>N192+O192+P192+Q192</f>
        <v>100</v>
      </c>
      <c r="N192" s="2722"/>
      <c r="O192" s="2723">
        <f>E192/C192*100</f>
        <v>0</v>
      </c>
      <c r="P192" s="2723">
        <f>F192/C192*100</f>
        <v>100</v>
      </c>
      <c r="Q192" s="2724">
        <f>G192/C192*100</f>
        <v>0</v>
      </c>
      <c r="R192" s="2737"/>
      <c r="IT192" s="2727"/>
      <c r="IX192" s="2934"/>
    </row>
    <row r="193" spans="1:258" s="2726" customFormat="1" ht="21.75" hidden="1" customHeight="1">
      <c r="A193" s="2738" t="s">
        <v>41</v>
      </c>
      <c r="B193" s="2720" t="s">
        <v>42</v>
      </c>
      <c r="C193" s="2721">
        <f t="shared" si="41"/>
        <v>1.1969E-2</v>
      </c>
      <c r="D193" s="2721"/>
      <c r="E193" s="2721"/>
      <c r="F193" s="2721">
        <f>F194+F203+F208+F210+F211+F212</f>
        <v>1.1969E-2</v>
      </c>
      <c r="G193" s="2721"/>
      <c r="H193" s="2721">
        <f>J193+K193+L193</f>
        <v>2.694701104086742E-2</v>
      </c>
      <c r="I193" s="2721"/>
      <c r="J193" s="2721"/>
      <c r="K193" s="2721">
        <f>K194+K203+K208+K210+K211+K212</f>
        <v>2.694701104086742E-2</v>
      </c>
      <c r="L193" s="2721"/>
      <c r="M193" s="2722">
        <f>N193+O193+P193+Q193</f>
        <v>100</v>
      </c>
      <c r="N193" s="2722"/>
      <c r="O193" s="2723">
        <f>E193/C193*100</f>
        <v>0</v>
      </c>
      <c r="P193" s="2723">
        <f>F193/C193*100</f>
        <v>100</v>
      </c>
      <c r="Q193" s="2724">
        <f>G193/C193*100</f>
        <v>0</v>
      </c>
      <c r="R193" s="2737"/>
      <c r="IT193" s="2727"/>
      <c r="IX193" s="2934"/>
    </row>
    <row r="194" spans="1:258" s="2726" customFormat="1" ht="17.25" hidden="1" customHeight="1">
      <c r="A194" s="2739" t="s">
        <v>2008</v>
      </c>
      <c r="B194" s="2740" t="s">
        <v>3562</v>
      </c>
      <c r="C194" s="2741">
        <f>D194+E194+F194+G194</f>
        <v>1.1969E-2</v>
      </c>
      <c r="D194" s="2741"/>
      <c r="E194" s="2741"/>
      <c r="F194" s="2741">
        <f>F195+F196+F197</f>
        <v>1.1969E-2</v>
      </c>
      <c r="G194" s="2741"/>
      <c r="H194" s="2741">
        <f>K194</f>
        <v>2.694701104086742E-2</v>
      </c>
      <c r="I194" s="2741"/>
      <c r="J194" s="2741"/>
      <c r="K194" s="2741">
        <f>K195+K196+K197</f>
        <v>2.694701104086742E-2</v>
      </c>
      <c r="L194" s="2741"/>
      <c r="M194" s="2742"/>
      <c r="N194" s="2742"/>
      <c r="O194" s="2743"/>
      <c r="P194" s="2743"/>
      <c r="Q194" s="2744"/>
      <c r="R194" s="2737"/>
      <c r="IT194" s="2727"/>
      <c r="IX194" s="2934"/>
    </row>
    <row r="195" spans="1:258" s="2726" customFormat="1" ht="17.25" hidden="1" customHeight="1">
      <c r="A195" s="2745"/>
      <c r="B195" s="2746" t="s">
        <v>156</v>
      </c>
      <c r="C195" s="2730">
        <f>SUM(D195:G195)</f>
        <v>1.1969E-2</v>
      </c>
      <c r="D195" s="2730"/>
      <c r="E195" s="2731"/>
      <c r="F195" s="2731">
        <v>1.1969E-2</v>
      </c>
      <c r="G195" s="2730"/>
      <c r="H195" s="2730">
        <f>J195+K195+L195</f>
        <v>2.694701104086742E-2</v>
      </c>
      <c r="I195" s="2730"/>
      <c r="J195" s="2731"/>
      <c r="K195" s="2731">
        <f>+F195*1000/R185/R186/R187</f>
        <v>2.694701104086742E-2</v>
      </c>
      <c r="L195" s="2730"/>
      <c r="M195" s="2733">
        <f>N195+O195+P195+Q195</f>
        <v>100</v>
      </c>
      <c r="N195" s="2733"/>
      <c r="O195" s="2734">
        <f>E195/C195*100</f>
        <v>0</v>
      </c>
      <c r="P195" s="2734">
        <f>F195/C195*100</f>
        <v>100</v>
      </c>
      <c r="Q195" s="2735">
        <f>G195/C195*100</f>
        <v>0</v>
      </c>
      <c r="R195" s="2737"/>
      <c r="IT195" s="2727"/>
      <c r="IX195" s="2934"/>
    </row>
    <row r="196" spans="1:258" s="2726" customFormat="1" ht="17.25" hidden="1" customHeight="1">
      <c r="A196" s="2745"/>
      <c r="B196" s="2746" t="s">
        <v>225</v>
      </c>
      <c r="C196" s="2730"/>
      <c r="D196" s="2730"/>
      <c r="E196" s="2730"/>
      <c r="F196" s="2730"/>
      <c r="G196" s="2730"/>
      <c r="H196" s="2730"/>
      <c r="I196" s="2730"/>
      <c r="J196" s="2730"/>
      <c r="K196" s="2730"/>
      <c r="L196" s="2730"/>
      <c r="M196" s="2733"/>
      <c r="N196" s="2733"/>
      <c r="O196" s="2734"/>
      <c r="P196" s="2734"/>
      <c r="Q196" s="2735"/>
      <c r="R196" s="2737"/>
      <c r="IT196" s="2727"/>
      <c r="IX196" s="2934"/>
    </row>
    <row r="197" spans="1:258" s="2726" customFormat="1" ht="17.25" hidden="1" customHeight="1">
      <c r="A197" s="2745"/>
      <c r="B197" s="2746" t="s">
        <v>226</v>
      </c>
      <c r="C197" s="2730"/>
      <c r="D197" s="2747"/>
      <c r="E197" s="2730"/>
      <c r="F197" s="2730"/>
      <c r="G197" s="2730"/>
      <c r="H197" s="2730"/>
      <c r="I197" s="2730"/>
      <c r="J197" s="2730"/>
      <c r="K197" s="2730"/>
      <c r="L197" s="2730"/>
      <c r="M197" s="2733"/>
      <c r="N197" s="2733"/>
      <c r="O197" s="2734"/>
      <c r="P197" s="2734"/>
      <c r="Q197" s="2735"/>
      <c r="R197" s="2737"/>
      <c r="IT197" s="2727"/>
      <c r="IX197" s="2934"/>
    </row>
    <row r="198" spans="1:258" s="2726" customFormat="1" ht="17.25" hidden="1" customHeight="1">
      <c r="A198" s="2745"/>
      <c r="B198" s="2746" t="s">
        <v>3563</v>
      </c>
      <c r="C198" s="2730"/>
      <c r="D198" s="2730"/>
      <c r="E198" s="2730"/>
      <c r="F198" s="2730"/>
      <c r="G198" s="2730"/>
      <c r="H198" s="2730"/>
      <c r="I198" s="2730"/>
      <c r="J198" s="2730"/>
      <c r="K198" s="2730"/>
      <c r="L198" s="2730"/>
      <c r="M198" s="2733"/>
      <c r="N198" s="2733"/>
      <c r="O198" s="2734"/>
      <c r="P198" s="2734"/>
      <c r="Q198" s="2735"/>
      <c r="R198" s="2737"/>
      <c r="IT198" s="2727"/>
      <c r="IX198" s="2934"/>
    </row>
    <row r="199" spans="1:258" s="2726" customFormat="1" ht="17.25" hidden="1" customHeight="1">
      <c r="A199" s="2745"/>
      <c r="B199" s="2748" t="s">
        <v>3562</v>
      </c>
      <c r="C199" s="2730"/>
      <c r="D199" s="2730"/>
      <c r="E199" s="2730"/>
      <c r="F199" s="2730"/>
      <c r="G199" s="2730"/>
      <c r="H199" s="2730"/>
      <c r="I199" s="2730"/>
      <c r="J199" s="2730"/>
      <c r="K199" s="2730"/>
      <c r="L199" s="2730"/>
      <c r="M199" s="2733"/>
      <c r="N199" s="2733"/>
      <c r="O199" s="2734"/>
      <c r="P199" s="2734"/>
      <c r="Q199" s="2735"/>
      <c r="R199" s="2737"/>
      <c r="IT199" s="2727"/>
      <c r="IX199" s="2934"/>
    </row>
    <row r="200" spans="1:258" s="2726" customFormat="1" ht="17.25" hidden="1" customHeight="1">
      <c r="A200" s="2749"/>
      <c r="B200" s="2750" t="s">
        <v>42</v>
      </c>
      <c r="C200" s="2730"/>
      <c r="D200" s="2730"/>
      <c r="E200" s="2730"/>
      <c r="F200" s="2730"/>
      <c r="G200" s="2730"/>
      <c r="H200" s="2730"/>
      <c r="I200" s="2730"/>
      <c r="J200" s="2730"/>
      <c r="K200" s="2730"/>
      <c r="L200" s="2730"/>
      <c r="M200" s="2733"/>
      <c r="N200" s="2733"/>
      <c r="O200" s="2734"/>
      <c r="P200" s="2734"/>
      <c r="Q200" s="2735"/>
      <c r="R200" s="2737"/>
      <c r="IT200" s="2727"/>
      <c r="IX200" s="2934"/>
    </row>
    <row r="201" spans="1:258" s="2752" customFormat="1" ht="12.75" hidden="1">
      <c r="A201" s="2749"/>
      <c r="B201" s="2750" t="s">
        <v>521</v>
      </c>
      <c r="C201" s="2730"/>
      <c r="D201" s="2730"/>
      <c r="E201" s="2730"/>
      <c r="F201" s="2730"/>
      <c r="G201" s="2730"/>
      <c r="H201" s="2730"/>
      <c r="I201" s="2730"/>
      <c r="J201" s="2730"/>
      <c r="K201" s="2730"/>
      <c r="L201" s="2730"/>
      <c r="M201" s="2733"/>
      <c r="N201" s="2733"/>
      <c r="O201" s="2734"/>
      <c r="P201" s="2734"/>
      <c r="Q201" s="2735"/>
      <c r="R201" s="2751"/>
      <c r="IT201" s="2753"/>
      <c r="IX201" s="2935"/>
    </row>
    <row r="202" spans="1:258" s="2752" customFormat="1" ht="25.5" hidden="1">
      <c r="A202" s="2754"/>
      <c r="B202" s="2755" t="s">
        <v>3564</v>
      </c>
      <c r="C202" s="2730"/>
      <c r="D202" s="2730"/>
      <c r="E202" s="2730"/>
      <c r="F202" s="2730"/>
      <c r="G202" s="2730"/>
      <c r="H202" s="2730"/>
      <c r="I202" s="2730"/>
      <c r="J202" s="2730"/>
      <c r="K202" s="2730"/>
      <c r="L202" s="2730"/>
      <c r="M202" s="2733"/>
      <c r="N202" s="2733"/>
      <c r="O202" s="2734"/>
      <c r="P202" s="2734"/>
      <c r="Q202" s="2735"/>
      <c r="R202" s="2751"/>
      <c r="IT202" s="2753"/>
      <c r="IX202" s="2935"/>
    </row>
    <row r="203" spans="1:258" s="2726" customFormat="1" ht="22.5" hidden="1" customHeight="1">
      <c r="A203" s="2739" t="s">
        <v>2013</v>
      </c>
      <c r="B203" s="2740" t="s">
        <v>3565</v>
      </c>
      <c r="C203" s="2741"/>
      <c r="D203" s="2741"/>
      <c r="E203" s="2741"/>
      <c r="F203" s="2741"/>
      <c r="G203" s="2741"/>
      <c r="H203" s="2741"/>
      <c r="I203" s="2741"/>
      <c r="J203" s="2741"/>
      <c r="K203" s="2741"/>
      <c r="L203" s="2741"/>
      <c r="M203" s="2742"/>
      <c r="N203" s="2742"/>
      <c r="O203" s="2743"/>
      <c r="P203" s="2743"/>
      <c r="Q203" s="2744"/>
      <c r="R203" s="2737"/>
      <c r="IT203" s="2727"/>
      <c r="IX203" s="2934"/>
    </row>
    <row r="204" spans="1:258" s="2726" customFormat="1" ht="17.25" hidden="1" customHeight="1">
      <c r="A204" s="2745"/>
      <c r="B204" s="2746" t="s">
        <v>156</v>
      </c>
      <c r="C204" s="2730"/>
      <c r="D204" s="2730"/>
      <c r="E204" s="2730"/>
      <c r="F204" s="2730"/>
      <c r="G204" s="2730"/>
      <c r="H204" s="2730"/>
      <c r="I204" s="2730"/>
      <c r="J204" s="2730"/>
      <c r="K204" s="2730"/>
      <c r="L204" s="2730"/>
      <c r="M204" s="2733"/>
      <c r="N204" s="2733"/>
      <c r="O204" s="2734"/>
      <c r="P204" s="2734"/>
      <c r="Q204" s="2735"/>
      <c r="R204" s="2727"/>
      <c r="IT204" s="2727"/>
      <c r="IX204" s="2934"/>
    </row>
    <row r="205" spans="1:258" s="2752" customFormat="1" ht="12.75" hidden="1">
      <c r="A205" s="2728" t="s">
        <v>2015</v>
      </c>
      <c r="B205" s="2756" t="s">
        <v>3566</v>
      </c>
      <c r="C205" s="2730"/>
      <c r="D205" s="2731"/>
      <c r="E205" s="2731"/>
      <c r="F205" s="2730"/>
      <c r="G205" s="2730"/>
      <c r="H205" s="2730"/>
      <c r="I205" s="2731"/>
      <c r="J205" s="2731"/>
      <c r="K205" s="2730"/>
      <c r="L205" s="2730"/>
      <c r="M205" s="2733"/>
      <c r="N205" s="2733"/>
      <c r="O205" s="2734"/>
      <c r="P205" s="2734"/>
      <c r="Q205" s="2735"/>
      <c r="R205" s="2753"/>
      <c r="IT205" s="2753"/>
      <c r="IX205" s="2935"/>
    </row>
    <row r="206" spans="1:258" s="2752" customFormat="1" ht="12.75" hidden="1">
      <c r="A206" s="2728"/>
      <c r="B206" s="2757" t="s">
        <v>230</v>
      </c>
      <c r="C206" s="2730"/>
      <c r="D206" s="2732"/>
      <c r="E206" s="2732"/>
      <c r="F206" s="2732"/>
      <c r="G206" s="2732"/>
      <c r="H206" s="2730"/>
      <c r="I206" s="2731"/>
      <c r="J206" s="2731"/>
      <c r="K206" s="2731"/>
      <c r="L206" s="2731"/>
      <c r="M206" s="2733"/>
      <c r="N206" s="2733"/>
      <c r="O206" s="2734"/>
      <c r="P206" s="2734"/>
      <c r="Q206" s="2735"/>
      <c r="R206" s="2727"/>
      <c r="IT206" s="2753"/>
      <c r="IX206" s="2935"/>
    </row>
    <row r="207" spans="1:258" s="2752" customFormat="1" ht="12.75" hidden="1">
      <c r="A207" s="2728"/>
      <c r="B207" s="2757" t="s">
        <v>231</v>
      </c>
      <c r="C207" s="2730"/>
      <c r="D207" s="2732"/>
      <c r="E207" s="2732"/>
      <c r="F207" s="2732"/>
      <c r="G207" s="2732"/>
      <c r="H207" s="2730"/>
      <c r="I207" s="2731"/>
      <c r="J207" s="2731"/>
      <c r="K207" s="2731"/>
      <c r="L207" s="2731"/>
      <c r="M207" s="2733"/>
      <c r="N207" s="2733"/>
      <c r="O207" s="2734"/>
      <c r="P207" s="2734"/>
      <c r="Q207" s="2735"/>
      <c r="R207" s="2753"/>
      <c r="IT207" s="2753"/>
      <c r="IX207" s="2935"/>
    </row>
    <row r="208" spans="1:258" s="2726" customFormat="1" ht="22.5" hidden="1" customHeight="1">
      <c r="A208" s="2739" t="s">
        <v>721</v>
      </c>
      <c r="B208" s="2740" t="s">
        <v>3567</v>
      </c>
      <c r="C208" s="2741"/>
      <c r="D208" s="2741"/>
      <c r="E208" s="2741"/>
      <c r="F208" s="2741"/>
      <c r="G208" s="2741"/>
      <c r="H208" s="2741"/>
      <c r="I208" s="2741"/>
      <c r="J208" s="2741"/>
      <c r="K208" s="2741"/>
      <c r="L208" s="2741"/>
      <c r="M208" s="2742"/>
      <c r="N208" s="2742"/>
      <c r="O208" s="2743"/>
      <c r="P208" s="2743"/>
      <c r="Q208" s="2744"/>
      <c r="R208" s="2727"/>
      <c r="IT208" s="2727"/>
      <c r="IX208" s="2934"/>
    </row>
    <row r="209" spans="1:258" s="2726" customFormat="1" ht="22.5" hidden="1" customHeight="1">
      <c r="A209" s="2745"/>
      <c r="B209" s="2746" t="s">
        <v>226</v>
      </c>
      <c r="C209" s="2730"/>
      <c r="D209" s="2747"/>
      <c r="E209" s="2730"/>
      <c r="F209" s="2730"/>
      <c r="G209" s="2730"/>
      <c r="H209" s="2730"/>
      <c r="I209" s="2730"/>
      <c r="J209" s="2730"/>
      <c r="K209" s="2730"/>
      <c r="L209" s="2730"/>
      <c r="M209" s="2733"/>
      <c r="N209" s="2733"/>
      <c r="O209" s="2734"/>
      <c r="P209" s="2734"/>
      <c r="Q209" s="2735"/>
      <c r="R209" s="2727"/>
      <c r="IT209" s="2727"/>
      <c r="IX209" s="2934"/>
    </row>
    <row r="210" spans="1:258" s="2726" customFormat="1" ht="22.5" hidden="1" customHeight="1">
      <c r="A210" s="2739" t="s">
        <v>3617</v>
      </c>
      <c r="B210" s="2740" t="s">
        <v>3568</v>
      </c>
      <c r="C210" s="2741"/>
      <c r="D210" s="2741"/>
      <c r="E210" s="2741"/>
      <c r="F210" s="2741"/>
      <c r="G210" s="2741"/>
      <c r="H210" s="2741"/>
      <c r="I210" s="2741"/>
      <c r="J210" s="2741"/>
      <c r="K210" s="2741"/>
      <c r="L210" s="2741"/>
      <c r="M210" s="2742"/>
      <c r="N210" s="2742"/>
      <c r="O210" s="2743"/>
      <c r="P210" s="2743"/>
      <c r="Q210" s="2744"/>
      <c r="R210" s="2727"/>
      <c r="IT210" s="2727"/>
      <c r="IX210" s="2934"/>
    </row>
    <row r="211" spans="1:258" s="2726" customFormat="1" ht="22.5" hidden="1" customHeight="1">
      <c r="A211" s="2739" t="s">
        <v>3618</v>
      </c>
      <c r="B211" s="2740" t="s">
        <v>3569</v>
      </c>
      <c r="C211" s="2741"/>
      <c r="D211" s="2741"/>
      <c r="E211" s="2741"/>
      <c r="F211" s="2741"/>
      <c r="G211" s="2741"/>
      <c r="H211" s="2741"/>
      <c r="I211" s="2741"/>
      <c r="J211" s="2741"/>
      <c r="K211" s="2741"/>
      <c r="L211" s="2741"/>
      <c r="M211" s="2742"/>
      <c r="N211" s="2742"/>
      <c r="O211" s="2743"/>
      <c r="P211" s="2743"/>
      <c r="Q211" s="2744"/>
      <c r="R211" s="2727"/>
      <c r="IT211" s="2727"/>
      <c r="IX211" s="2934"/>
    </row>
    <row r="212" spans="1:258" s="2726" customFormat="1" ht="22.5" hidden="1" customHeight="1">
      <c r="A212" s="2739" t="s">
        <v>3619</v>
      </c>
      <c r="B212" s="2740" t="s">
        <v>3570</v>
      </c>
      <c r="C212" s="2741"/>
      <c r="D212" s="2741"/>
      <c r="E212" s="2741"/>
      <c r="F212" s="2741"/>
      <c r="G212" s="2741"/>
      <c r="H212" s="2741"/>
      <c r="I212" s="2741"/>
      <c r="J212" s="2741"/>
      <c r="K212" s="2741"/>
      <c r="L212" s="2741"/>
      <c r="M212" s="2742"/>
      <c r="N212" s="2742"/>
      <c r="O212" s="2743"/>
      <c r="P212" s="2743"/>
      <c r="Q212" s="2744"/>
      <c r="R212" s="2727"/>
      <c r="IT212" s="2727"/>
      <c r="IX212" s="2934"/>
    </row>
    <row r="213" spans="1:258" s="2752" customFormat="1" ht="25.5" hidden="1">
      <c r="A213" s="2758" t="s">
        <v>723</v>
      </c>
      <c r="B213" s="2759" t="s">
        <v>3571</v>
      </c>
      <c r="C213" s="2721">
        <f>SUM(D213:G213)</f>
        <v>0.64769759940000005</v>
      </c>
      <c r="D213" s="2721"/>
      <c r="E213" s="2721"/>
      <c r="F213" s="2721">
        <f>F214+F225</f>
        <v>0.64769759940000005</v>
      </c>
      <c r="G213" s="2721"/>
      <c r="H213" s="2721">
        <f>SUM(I213:L213)</f>
        <v>1.2951793355774039</v>
      </c>
      <c r="I213" s="2721"/>
      <c r="J213" s="2721"/>
      <c r="K213" s="2721">
        <f>K214+K225</f>
        <v>1.2951793355774039</v>
      </c>
      <c r="L213" s="2721"/>
      <c r="M213" s="2722">
        <f>N213+O213+P213+Q213</f>
        <v>100</v>
      </c>
      <c r="N213" s="2722"/>
      <c r="O213" s="2723">
        <f>E213/C213*100</f>
        <v>0</v>
      </c>
      <c r="P213" s="2723">
        <f>F213/C213*100</f>
        <v>100</v>
      </c>
      <c r="Q213" s="2724">
        <f>G213/C213*100</f>
        <v>0</v>
      </c>
      <c r="R213" s="2753"/>
      <c r="IT213" s="2753"/>
      <c r="IX213" s="2935"/>
    </row>
    <row r="214" spans="1:258" s="2752" customFormat="1" ht="12.75" hidden="1">
      <c r="A214" s="2760" t="s">
        <v>792</v>
      </c>
      <c r="B214" s="2761" t="s">
        <v>3572</v>
      </c>
      <c r="C214" s="2741">
        <f>SUM(D214:G214)</f>
        <v>0.14426400000000009</v>
      </c>
      <c r="D214" s="2741"/>
      <c r="E214" s="2741"/>
      <c r="F214" s="2741">
        <f>F215+F220</f>
        <v>0.14426400000000009</v>
      </c>
      <c r="G214" s="2741"/>
      <c r="H214" s="2741">
        <f>SUM(I214:L214)</f>
        <v>0.28847992001333128</v>
      </c>
      <c r="I214" s="2741"/>
      <c r="J214" s="2741"/>
      <c r="K214" s="2741">
        <f>K215+K220</f>
        <v>0.28847992001333128</v>
      </c>
      <c r="L214" s="2741"/>
      <c r="M214" s="2742">
        <f>N214+O214+P214+Q214</f>
        <v>100</v>
      </c>
      <c r="N214" s="2742"/>
      <c r="O214" s="2743">
        <f>E214/C214*100</f>
        <v>0</v>
      </c>
      <c r="P214" s="2743">
        <f>F214/C214*100</f>
        <v>100</v>
      </c>
      <c r="Q214" s="2744">
        <f>G214/C214*100</f>
        <v>0</v>
      </c>
      <c r="R214" s="2753"/>
      <c r="IT214" s="2753"/>
      <c r="IX214" s="2935"/>
    </row>
    <row r="215" spans="1:258" s="2752" customFormat="1" ht="25.5" hidden="1">
      <c r="A215" s="2762" t="s">
        <v>1835</v>
      </c>
      <c r="B215" s="2763" t="s">
        <v>3573</v>
      </c>
      <c r="C215" s="2730">
        <v>0.14426400000000009</v>
      </c>
      <c r="D215" s="2730"/>
      <c r="E215" s="2731"/>
      <c r="F215" s="2730">
        <v>0.14426400000000009</v>
      </c>
      <c r="G215" s="2731"/>
      <c r="H215" s="2730">
        <v>0.28847992001333128</v>
      </c>
      <c r="I215" s="2730"/>
      <c r="J215" s="2731"/>
      <c r="K215" s="2730">
        <v>0.28847992001333128</v>
      </c>
      <c r="L215" s="2730"/>
      <c r="M215" s="2733">
        <v>100</v>
      </c>
      <c r="N215" s="2733"/>
      <c r="O215" s="2734">
        <v>0</v>
      </c>
      <c r="P215" s="2734">
        <v>100</v>
      </c>
      <c r="Q215" s="2735">
        <v>0</v>
      </c>
      <c r="R215" s="2753"/>
      <c r="IT215" s="2753"/>
      <c r="IX215" s="2935"/>
    </row>
    <row r="216" spans="1:258" s="2752" customFormat="1" ht="12.75" hidden="1">
      <c r="A216" s="2728"/>
      <c r="B216" s="2764"/>
      <c r="C216" s="2730"/>
      <c r="D216" s="2736"/>
      <c r="E216" s="2736"/>
      <c r="F216" s="2736"/>
      <c r="G216" s="2736"/>
      <c r="H216" s="2730"/>
      <c r="I216" s="2730"/>
      <c r="J216" s="2730"/>
      <c r="K216" s="2730"/>
      <c r="L216" s="2736"/>
      <c r="M216" s="2733"/>
      <c r="N216" s="2733"/>
      <c r="O216" s="2734"/>
      <c r="P216" s="2734"/>
      <c r="Q216" s="2735"/>
      <c r="R216" s="2753"/>
      <c r="IT216" s="2753"/>
      <c r="IX216" s="2935"/>
    </row>
    <row r="217" spans="1:258" s="2752" customFormat="1" ht="12.75" hidden="1">
      <c r="A217" s="2728"/>
      <c r="B217" s="2756" t="s">
        <v>3566</v>
      </c>
      <c r="C217" s="2730">
        <v>0.14426400000000009</v>
      </c>
      <c r="D217" s="2731"/>
      <c r="E217" s="2731"/>
      <c r="F217" s="2730">
        <v>0.14426400000000009</v>
      </c>
      <c r="G217" s="2730"/>
      <c r="H217" s="2730">
        <v>0.28847992001333128</v>
      </c>
      <c r="I217" s="2731"/>
      <c r="J217" s="2731"/>
      <c r="K217" s="2730">
        <v>0.28847992001333128</v>
      </c>
      <c r="L217" s="2730"/>
      <c r="M217" s="2733">
        <v>100</v>
      </c>
      <c r="N217" s="2733"/>
      <c r="O217" s="2734">
        <v>0</v>
      </c>
      <c r="P217" s="2734">
        <v>100</v>
      </c>
      <c r="Q217" s="2735">
        <v>0</v>
      </c>
      <c r="R217" s="2753"/>
      <c r="IT217" s="2753"/>
      <c r="IX217" s="2935"/>
    </row>
    <row r="218" spans="1:258" s="2752" customFormat="1" ht="12.75" hidden="1">
      <c r="A218" s="2728"/>
      <c r="B218" s="2757" t="s">
        <v>230</v>
      </c>
      <c r="C218" s="2730">
        <v>0.10048100000000008</v>
      </c>
      <c r="D218" s="2732"/>
      <c r="E218" s="2732"/>
      <c r="F218" s="2732">
        <v>0.10048100000000008</v>
      </c>
      <c r="G218" s="2736"/>
      <c r="H218" s="2730">
        <v>0.20092851191468106</v>
      </c>
      <c r="I218" s="2731"/>
      <c r="J218" s="2731"/>
      <c r="K218" s="2731">
        <v>0.20092851191468106</v>
      </c>
      <c r="L218" s="2736"/>
      <c r="M218" s="2733">
        <v>100</v>
      </c>
      <c r="N218" s="2733"/>
      <c r="O218" s="2734">
        <v>0</v>
      </c>
      <c r="P218" s="2734">
        <v>100</v>
      </c>
      <c r="Q218" s="2735">
        <v>0</v>
      </c>
      <c r="R218" s="2753"/>
      <c r="IT218" s="2753"/>
      <c r="IX218" s="2935"/>
    </row>
    <row r="219" spans="1:258" s="2752" customFormat="1" ht="12.75" hidden="1">
      <c r="A219" s="2728"/>
      <c r="B219" s="2757" t="s">
        <v>231</v>
      </c>
      <c r="C219" s="2730">
        <v>4.3783000000000002E-2</v>
      </c>
      <c r="D219" s="2732"/>
      <c r="E219" s="2732"/>
      <c r="F219" s="2732">
        <v>4.3783000000000002E-2</v>
      </c>
      <c r="G219" s="2736"/>
      <c r="H219" s="2730">
        <v>8.7551408098650224E-2</v>
      </c>
      <c r="I219" s="2731"/>
      <c r="J219" s="2731"/>
      <c r="K219" s="2731">
        <v>8.7551408098650224E-2</v>
      </c>
      <c r="L219" s="2736"/>
      <c r="M219" s="2733">
        <v>100</v>
      </c>
      <c r="N219" s="2733"/>
      <c r="O219" s="2734">
        <v>0</v>
      </c>
      <c r="P219" s="2734">
        <v>100</v>
      </c>
      <c r="Q219" s="2735">
        <v>0</v>
      </c>
      <c r="R219" s="2753"/>
      <c r="IT219" s="2753"/>
      <c r="IX219" s="2935"/>
    </row>
    <row r="220" spans="1:258" s="2752" customFormat="1" ht="39" hidden="1" customHeight="1">
      <c r="A220" s="2762" t="s">
        <v>1837</v>
      </c>
      <c r="B220" s="2763" t="s">
        <v>3574</v>
      </c>
      <c r="C220" s="2730"/>
      <c r="D220" s="2730"/>
      <c r="E220" s="2730"/>
      <c r="F220" s="2730"/>
      <c r="G220" s="2730"/>
      <c r="H220" s="2730"/>
      <c r="I220" s="2730"/>
      <c r="J220" s="2730"/>
      <c r="K220" s="2730"/>
      <c r="L220" s="2730"/>
      <c r="M220" s="2733"/>
      <c r="N220" s="2733"/>
      <c r="O220" s="2734"/>
      <c r="P220" s="2734"/>
      <c r="Q220" s="2735"/>
      <c r="R220" s="2753"/>
      <c r="IT220" s="2753"/>
      <c r="IX220" s="2935"/>
    </row>
    <row r="221" spans="1:258" s="2752" customFormat="1" ht="12.75" hidden="1">
      <c r="A221" s="2728"/>
      <c r="B221" s="2764" t="s">
        <v>229</v>
      </c>
      <c r="C221" s="2730"/>
      <c r="D221" s="2736"/>
      <c r="E221" s="2736"/>
      <c r="F221" s="2736"/>
      <c r="G221" s="2736"/>
      <c r="H221" s="2730"/>
      <c r="I221" s="2730"/>
      <c r="J221" s="2730"/>
      <c r="K221" s="2730"/>
      <c r="L221" s="2736"/>
      <c r="M221" s="2733"/>
      <c r="N221" s="2733"/>
      <c r="O221" s="2734"/>
      <c r="P221" s="2734"/>
      <c r="Q221" s="2735"/>
      <c r="R221" s="2753"/>
      <c r="IT221" s="2753"/>
      <c r="IX221" s="2935"/>
    </row>
    <row r="222" spans="1:258" s="2752" customFormat="1" ht="12.75" hidden="1">
      <c r="A222" s="2728"/>
      <c r="B222" s="2756" t="s">
        <v>233</v>
      </c>
      <c r="C222" s="2730"/>
      <c r="D222" s="2731"/>
      <c r="E222" s="2731"/>
      <c r="F222" s="2731"/>
      <c r="G222" s="2730"/>
      <c r="H222" s="2730"/>
      <c r="I222" s="2731"/>
      <c r="J222" s="2731"/>
      <c r="K222" s="2730"/>
      <c r="L222" s="2730"/>
      <c r="M222" s="2733"/>
      <c r="N222" s="2733"/>
      <c r="O222" s="2734"/>
      <c r="P222" s="2734"/>
      <c r="Q222" s="2735"/>
      <c r="R222" s="2753"/>
      <c r="IT222" s="2753"/>
      <c r="IX222" s="2935"/>
    </row>
    <row r="223" spans="1:258" s="2752" customFormat="1" ht="12.75" hidden="1">
      <c r="A223" s="2728"/>
      <c r="B223" s="2757" t="s">
        <v>230</v>
      </c>
      <c r="C223" s="2730"/>
      <c r="D223" s="2732"/>
      <c r="E223" s="2732"/>
      <c r="F223" s="2736"/>
      <c r="G223" s="2736"/>
      <c r="H223" s="2730"/>
      <c r="I223" s="2731"/>
      <c r="J223" s="2731"/>
      <c r="K223" s="2731"/>
      <c r="L223" s="2736"/>
      <c r="M223" s="2733"/>
      <c r="N223" s="2733"/>
      <c r="O223" s="2734"/>
      <c r="P223" s="2734"/>
      <c r="Q223" s="2735"/>
      <c r="R223" s="2753"/>
      <c r="IT223" s="2753"/>
      <c r="IX223" s="2935"/>
    </row>
    <row r="224" spans="1:258" s="2752" customFormat="1" ht="12.75" hidden="1">
      <c r="A224" s="2728"/>
      <c r="B224" s="2757" t="s">
        <v>231</v>
      </c>
      <c r="C224" s="2730"/>
      <c r="D224" s="2732"/>
      <c r="E224" s="2732"/>
      <c r="F224" s="2736"/>
      <c r="G224" s="2736"/>
      <c r="H224" s="2730"/>
      <c r="I224" s="2731"/>
      <c r="J224" s="2731"/>
      <c r="K224" s="2731"/>
      <c r="L224" s="2736"/>
      <c r="M224" s="2733"/>
      <c r="N224" s="2733"/>
      <c r="O224" s="2734"/>
      <c r="P224" s="2734"/>
      <c r="Q224" s="2735"/>
      <c r="R224" s="2753"/>
      <c r="IT224" s="2753"/>
      <c r="IX224" s="2935"/>
    </row>
    <row r="225" spans="1:258" s="2752" customFormat="1" ht="12.75" hidden="1">
      <c r="A225" s="2760" t="s">
        <v>286</v>
      </c>
      <c r="B225" s="2761" t="s">
        <v>40</v>
      </c>
      <c r="C225" s="2741">
        <v>0.50343359939999999</v>
      </c>
      <c r="D225" s="2741"/>
      <c r="E225" s="2741"/>
      <c r="F225" s="2741">
        <v>0.50343359939999999</v>
      </c>
      <c r="G225" s="2741"/>
      <c r="H225" s="2741">
        <v>1.0066994155640727</v>
      </c>
      <c r="I225" s="2741"/>
      <c r="J225" s="2741"/>
      <c r="K225" s="2741">
        <v>1.0066994155640727</v>
      </c>
      <c r="L225" s="2741"/>
      <c r="M225" s="2742">
        <v>100</v>
      </c>
      <c r="N225" s="2742"/>
      <c r="O225" s="2743">
        <v>0</v>
      </c>
      <c r="P225" s="2743">
        <v>100</v>
      </c>
      <c r="Q225" s="2744">
        <v>0</v>
      </c>
      <c r="R225" s="2753"/>
      <c r="IT225" s="2753"/>
      <c r="IX225" s="2935"/>
    </row>
    <row r="226" spans="1:258" s="2752" customFormat="1" ht="12.75" hidden="1">
      <c r="A226" s="2728" t="s">
        <v>1842</v>
      </c>
      <c r="B226" s="2764" t="s">
        <v>229</v>
      </c>
      <c r="C226" s="2730">
        <v>0</v>
      </c>
      <c r="D226" s="2736"/>
      <c r="E226" s="2736"/>
      <c r="F226" s="2736"/>
      <c r="G226" s="2736"/>
      <c r="H226" s="2730">
        <v>0</v>
      </c>
      <c r="I226" s="2730"/>
      <c r="J226" s="2730"/>
      <c r="K226" s="2736"/>
      <c r="L226" s="2736"/>
      <c r="M226" s="2733"/>
      <c r="N226" s="2733"/>
      <c r="O226" s="2734"/>
      <c r="P226" s="2734"/>
      <c r="Q226" s="2735"/>
      <c r="R226" s="2753"/>
      <c r="IT226" s="2753"/>
      <c r="IX226" s="2935"/>
    </row>
    <row r="227" spans="1:258" s="2752" customFormat="1" ht="12.75" hidden="1">
      <c r="A227" s="2728" t="s">
        <v>1843</v>
      </c>
      <c r="B227" s="2756" t="s">
        <v>3566</v>
      </c>
      <c r="C227" s="2730">
        <v>0.50343359939999999</v>
      </c>
      <c r="D227" s="2731"/>
      <c r="E227" s="2730"/>
      <c r="F227" s="2730">
        <v>0.50343359939999999</v>
      </c>
      <c r="G227" s="2730"/>
      <c r="H227" s="2730">
        <v>1.0066994155640727</v>
      </c>
      <c r="I227" s="2731"/>
      <c r="J227" s="2730"/>
      <c r="K227" s="2730">
        <v>1.0066994155640727</v>
      </c>
      <c r="L227" s="2730"/>
      <c r="M227" s="2733">
        <v>100</v>
      </c>
      <c r="N227" s="2733"/>
      <c r="O227" s="2734">
        <v>0</v>
      </c>
      <c r="P227" s="2734">
        <v>100</v>
      </c>
      <c r="Q227" s="2735">
        <v>0</v>
      </c>
      <c r="R227" s="2753"/>
      <c r="IT227" s="2753"/>
      <c r="IX227" s="2935"/>
    </row>
    <row r="228" spans="1:258" s="2752" customFormat="1" ht="12.75" hidden="1">
      <c r="A228" s="2728"/>
      <c r="B228" s="2757" t="s">
        <v>230</v>
      </c>
      <c r="C228" s="2730">
        <v>0.343634</v>
      </c>
      <c r="D228" s="2732"/>
      <c r="E228" s="2732"/>
      <c r="F228" s="2732">
        <v>0.343634</v>
      </c>
      <c r="G228" s="2736"/>
      <c r="H228" s="2730">
        <v>0.68715347442092989</v>
      </c>
      <c r="I228" s="2731"/>
      <c r="J228" s="2731"/>
      <c r="K228" s="2731">
        <v>0.68715347442092989</v>
      </c>
      <c r="L228" s="2736"/>
      <c r="M228" s="2733">
        <v>100</v>
      </c>
      <c r="N228" s="2733"/>
      <c r="O228" s="2734">
        <v>0</v>
      </c>
      <c r="P228" s="2734">
        <v>100</v>
      </c>
      <c r="Q228" s="2735">
        <v>0</v>
      </c>
      <c r="R228" s="2753"/>
      <c r="IT228" s="2753"/>
      <c r="IX228" s="2935"/>
    </row>
    <row r="229" spans="1:258" s="2752" customFormat="1" ht="12.75" hidden="1">
      <c r="A229" s="2728"/>
      <c r="B229" s="2757" t="s">
        <v>231</v>
      </c>
      <c r="C229" s="2730">
        <v>0.15979959939999999</v>
      </c>
      <c r="D229" s="2732"/>
      <c r="E229" s="2732"/>
      <c r="F229" s="2732">
        <v>0.15979959939999999</v>
      </c>
      <c r="G229" s="2736"/>
      <c r="H229" s="2730">
        <v>0.31954594114314283</v>
      </c>
      <c r="I229" s="2731"/>
      <c r="J229" s="2731"/>
      <c r="K229" s="2731">
        <v>0.31954594114314283</v>
      </c>
      <c r="L229" s="2736"/>
      <c r="M229" s="2733">
        <v>100</v>
      </c>
      <c r="N229" s="2733"/>
      <c r="O229" s="2734">
        <v>0</v>
      </c>
      <c r="P229" s="2734">
        <v>100</v>
      </c>
      <c r="Q229" s="2735">
        <v>0</v>
      </c>
      <c r="R229" s="2753"/>
      <c r="IT229" s="2753"/>
      <c r="IX229" s="2935"/>
    </row>
    <row r="230" spans="1:258" s="2701" customFormat="1" ht="15" hidden="1" customHeight="1">
      <c r="A230" s="2728" t="s">
        <v>3528</v>
      </c>
      <c r="B230" s="2756" t="s">
        <v>3566</v>
      </c>
      <c r="C230" s="2730">
        <f t="shared" ref="C230:C235" si="42">SUM(D230:G230)</f>
        <v>0</v>
      </c>
      <c r="D230" s="2731"/>
      <c r="E230" s="2731"/>
      <c r="F230" s="2731"/>
      <c r="G230" s="2731"/>
      <c r="H230" s="2730">
        <f t="shared" ref="H230:H235" si="43">SUM(I230:L230)</f>
        <v>0</v>
      </c>
      <c r="I230" s="2731"/>
      <c r="J230" s="2731"/>
      <c r="K230" s="2731"/>
      <c r="L230" s="2731"/>
      <c r="M230" s="2733"/>
      <c r="N230" s="2733"/>
      <c r="O230" s="2734"/>
      <c r="P230" s="2734"/>
      <c r="Q230" s="2735"/>
      <c r="IX230" s="2773"/>
    </row>
    <row r="231" spans="1:258" s="2701" customFormat="1" ht="15.75" hidden="1" customHeight="1">
      <c r="A231" s="2728"/>
      <c r="B231" s="2757" t="s">
        <v>230</v>
      </c>
      <c r="C231" s="2730">
        <f t="shared" si="42"/>
        <v>0</v>
      </c>
      <c r="D231" s="2732"/>
      <c r="E231" s="2732"/>
      <c r="F231" s="2732"/>
      <c r="G231" s="2732"/>
      <c r="H231" s="2730">
        <f t="shared" si="43"/>
        <v>0</v>
      </c>
      <c r="I231" s="2731"/>
      <c r="J231" s="2731"/>
      <c r="K231" s="2731"/>
      <c r="L231" s="2731"/>
      <c r="M231" s="2733"/>
      <c r="N231" s="2733"/>
      <c r="O231" s="2734"/>
      <c r="P231" s="2734"/>
      <c r="Q231" s="2735"/>
      <c r="IX231" s="2773"/>
    </row>
    <row r="232" spans="1:258" s="2701" customFormat="1" ht="15.75" hidden="1" customHeight="1">
      <c r="A232" s="2728"/>
      <c r="B232" s="2757" t="s">
        <v>231</v>
      </c>
      <c r="C232" s="2730">
        <f t="shared" si="42"/>
        <v>0</v>
      </c>
      <c r="D232" s="2732"/>
      <c r="E232" s="2732"/>
      <c r="F232" s="2732"/>
      <c r="G232" s="2732"/>
      <c r="H232" s="2730">
        <f t="shared" si="43"/>
        <v>0</v>
      </c>
      <c r="I232" s="2731"/>
      <c r="J232" s="2731"/>
      <c r="K232" s="2731"/>
      <c r="L232" s="2731"/>
      <c r="M232" s="2733"/>
      <c r="N232" s="2733"/>
      <c r="O232" s="2734"/>
      <c r="P232" s="2734"/>
      <c r="Q232" s="2735"/>
      <c r="IX232" s="2773"/>
    </row>
    <row r="233" spans="1:258" s="2701" customFormat="1" ht="17.25" hidden="1" customHeight="1">
      <c r="A233" s="2765" t="s">
        <v>45</v>
      </c>
      <c r="B233" s="2759" t="s">
        <v>3575</v>
      </c>
      <c r="C233" s="2721">
        <f t="shared" si="42"/>
        <v>0</v>
      </c>
      <c r="D233" s="2766"/>
      <c r="E233" s="2766"/>
      <c r="F233" s="2766"/>
      <c r="G233" s="2766"/>
      <c r="H233" s="2721">
        <f t="shared" si="43"/>
        <v>0</v>
      </c>
      <c r="I233" s="2721"/>
      <c r="J233" s="2721"/>
      <c r="K233" s="2721"/>
      <c r="L233" s="2767"/>
      <c r="M233" s="2722"/>
      <c r="N233" s="2722"/>
      <c r="O233" s="2723"/>
      <c r="P233" s="2723"/>
      <c r="Q233" s="2724"/>
      <c r="IX233" s="2773"/>
    </row>
    <row r="234" spans="1:258" s="2701" customFormat="1" ht="17.25" hidden="1" customHeight="1">
      <c r="A234" s="2765" t="s">
        <v>52</v>
      </c>
      <c r="B234" s="2759" t="s">
        <v>425</v>
      </c>
      <c r="C234" s="2721">
        <f t="shared" si="42"/>
        <v>0.65966659940000005</v>
      </c>
      <c r="D234" s="2721"/>
      <c r="E234" s="2721"/>
      <c r="F234" s="2721">
        <f>F193+F213</f>
        <v>0.65966659940000005</v>
      </c>
      <c r="G234" s="2721"/>
      <c r="H234" s="2721">
        <f t="shared" si="43"/>
        <v>1.3221263466182713</v>
      </c>
      <c r="I234" s="2721"/>
      <c r="J234" s="2721"/>
      <c r="K234" s="2721">
        <f>K193+K213</f>
        <v>1.3221263466182713</v>
      </c>
      <c r="L234" s="2721"/>
      <c r="M234" s="2722">
        <v>100</v>
      </c>
      <c r="N234" s="2722"/>
      <c r="O234" s="2723">
        <f>E234/C234*100</f>
        <v>0</v>
      </c>
      <c r="P234" s="2723">
        <f>F234/C234*100</f>
        <v>100</v>
      </c>
      <c r="Q234" s="2724">
        <f>G234/C234*100</f>
        <v>0</v>
      </c>
      <c r="IX234" s="2773"/>
    </row>
    <row r="235" spans="1:258" s="2701" customFormat="1" ht="17.25" hidden="1" customHeight="1" thickBot="1">
      <c r="A235" s="2768" t="s">
        <v>372</v>
      </c>
      <c r="B235" s="2769" t="s">
        <v>3582</v>
      </c>
      <c r="C235" s="2770">
        <f t="shared" si="42"/>
        <v>0.66953559940000007</v>
      </c>
      <c r="D235" s="2770"/>
      <c r="E235" s="2770"/>
      <c r="F235" s="2770">
        <f>F192+F234</f>
        <v>0.66953559940000007</v>
      </c>
      <c r="G235" s="2770"/>
      <c r="H235" s="2770">
        <f t="shared" si="43"/>
        <v>1.4037848916008382</v>
      </c>
      <c r="I235" s="2770"/>
      <c r="J235" s="2770"/>
      <c r="K235" s="2770">
        <f>K192+K234</f>
        <v>1.4037848916008382</v>
      </c>
      <c r="L235" s="2770"/>
      <c r="M235" s="2771">
        <v>100</v>
      </c>
      <c r="N235" s="2771"/>
      <c r="O235" s="2771">
        <f>E235/C235*100</f>
        <v>0</v>
      </c>
      <c r="P235" s="2771">
        <f>F235/C235*100</f>
        <v>100</v>
      </c>
      <c r="Q235" s="2772">
        <f>G235/C235*100</f>
        <v>0</v>
      </c>
      <c r="IX235" s="2773"/>
    </row>
    <row r="236" spans="1:258" s="2701" customFormat="1" ht="12.75" hidden="1">
      <c r="A236" s="2773"/>
      <c r="C236" s="4620"/>
      <c r="D236" s="4620"/>
      <c r="E236" s="4620"/>
      <c r="F236" s="4620"/>
      <c r="G236" s="4620"/>
      <c r="H236" s="4620"/>
      <c r="I236" s="2774"/>
      <c r="J236" s="2774"/>
      <c r="K236" s="2774"/>
      <c r="L236" s="2774"/>
      <c r="IX236" s="2773"/>
    </row>
    <row r="237" spans="1:258" hidden="1"/>
    <row r="238" spans="1:258" hidden="1">
      <c r="C238" s="2560">
        <f>C188-C235</f>
        <v>0</v>
      </c>
      <c r="H238" s="2560">
        <f>H188-H235</f>
        <v>0</v>
      </c>
    </row>
    <row r="239" spans="1:258" hidden="1"/>
    <row r="240" spans="1:258"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spans="1:258" hidden="1"/>
    <row r="258" spans="1:258" hidden="1"/>
    <row r="259" spans="1:258" hidden="1"/>
    <row r="260" spans="1:258" hidden="1"/>
    <row r="261" spans="1:258" hidden="1"/>
    <row r="262" spans="1:258" ht="17.100000000000001" hidden="1" customHeight="1"/>
    <row r="263" spans="1:258" hidden="1">
      <c r="E263" s="2560">
        <f>ROUND(E21/C21*E105,6)</f>
        <v>0</v>
      </c>
      <c r="F263" s="2560">
        <f>ROUND(F21/C21*E105,6)</f>
        <v>0</v>
      </c>
      <c r="G263" s="2560">
        <f>E105-E263-F263</f>
        <v>0</v>
      </c>
    </row>
    <row r="264" spans="1:258" hidden="1"/>
    <row r="265" spans="1:258" hidden="1"/>
    <row r="266" spans="1:258" hidden="1"/>
    <row r="267" spans="1:258" hidden="1"/>
    <row r="268" spans="1:258" hidden="1"/>
    <row r="269" spans="1:258" s="2700" customFormat="1" ht="19.5" hidden="1" customHeight="1">
      <c r="A269" s="4625" t="s">
        <v>3603</v>
      </c>
      <c r="B269" s="4626"/>
      <c r="C269" s="4627" t="s">
        <v>1779</v>
      </c>
      <c r="D269" s="4627"/>
      <c r="E269" s="4627"/>
      <c r="F269" s="4627"/>
      <c r="G269" s="4627"/>
      <c r="H269" s="4627"/>
      <c r="I269" s="4627"/>
      <c r="J269" s="4627"/>
      <c r="K269" s="4627"/>
      <c r="L269" s="4627"/>
      <c r="M269" s="4627"/>
      <c r="N269" s="4627"/>
      <c r="O269" s="4627"/>
      <c r="P269" s="4627"/>
      <c r="Q269" s="4628"/>
      <c r="R269" s="2701"/>
      <c r="IT269" s="2701"/>
      <c r="IX269" s="2931"/>
    </row>
    <row r="270" spans="1:258" s="2700" customFormat="1" ht="21.75" hidden="1" customHeight="1">
      <c r="A270" s="4629" t="s">
        <v>3613</v>
      </c>
      <c r="B270" s="4630"/>
      <c r="C270" s="4631" t="s">
        <v>3620</v>
      </c>
      <c r="D270" s="4631"/>
      <c r="E270" s="4631"/>
      <c r="F270" s="4631"/>
      <c r="G270" s="4631"/>
      <c r="H270" s="4631"/>
      <c r="I270" s="4631"/>
      <c r="J270" s="4631"/>
      <c r="K270" s="4631"/>
      <c r="L270" s="4631"/>
      <c r="M270" s="4631"/>
      <c r="N270" s="4631"/>
      <c r="O270" s="4631"/>
      <c r="P270" s="4631"/>
      <c r="Q270" s="4632"/>
      <c r="R270" s="2701"/>
      <c r="IT270" s="2701"/>
      <c r="IX270" s="2931"/>
    </row>
    <row r="271" spans="1:258" s="2703" customFormat="1" ht="31.5" hidden="1" customHeight="1">
      <c r="A271" s="4633" t="s">
        <v>3</v>
      </c>
      <c r="B271" s="4634" t="s">
        <v>4</v>
      </c>
      <c r="C271" s="4635" t="s">
        <v>3604</v>
      </c>
      <c r="D271" s="4635"/>
      <c r="E271" s="4635"/>
      <c r="F271" s="4635"/>
      <c r="G271" s="4635"/>
      <c r="H271" s="4635" t="s">
        <v>3605</v>
      </c>
      <c r="I271" s="4635"/>
      <c r="J271" s="4635"/>
      <c r="K271" s="4635"/>
      <c r="L271" s="4635"/>
      <c r="M271" s="4634" t="s">
        <v>3606</v>
      </c>
      <c r="N271" s="4634"/>
      <c r="O271" s="4634"/>
      <c r="P271" s="4634"/>
      <c r="Q271" s="4636"/>
      <c r="R271" s="2775"/>
      <c r="IT271" s="2704"/>
    </row>
    <row r="272" spans="1:258" s="2711" customFormat="1" ht="45.75" hidden="1" customHeight="1">
      <c r="A272" s="4633"/>
      <c r="B272" s="4634"/>
      <c r="C272" s="2705" t="s">
        <v>8</v>
      </c>
      <c r="D272" s="2705" t="s">
        <v>9</v>
      </c>
      <c r="E272" s="2706" t="s">
        <v>10</v>
      </c>
      <c r="F272" s="2706" t="s">
        <v>11</v>
      </c>
      <c r="G272" s="2705" t="s">
        <v>12</v>
      </c>
      <c r="H272" s="2705" t="s">
        <v>8</v>
      </c>
      <c r="I272" s="2705" t="s">
        <v>9</v>
      </c>
      <c r="J272" s="2706" t="s">
        <v>10</v>
      </c>
      <c r="K272" s="2706" t="s">
        <v>11</v>
      </c>
      <c r="L272" s="2705" t="s">
        <v>12</v>
      </c>
      <c r="M272" s="2707" t="s">
        <v>8</v>
      </c>
      <c r="N272" s="2707" t="s">
        <v>9</v>
      </c>
      <c r="O272" s="2708" t="s">
        <v>10</v>
      </c>
      <c r="P272" s="2708" t="s">
        <v>11</v>
      </c>
      <c r="Q272" s="2709" t="s">
        <v>12</v>
      </c>
      <c r="R272" s="2776">
        <v>24</v>
      </c>
    </row>
    <row r="273" spans="1:258" s="2716" customFormat="1" ht="12.75" hidden="1">
      <c r="A273" s="2712">
        <v>1</v>
      </c>
      <c r="B273" s="2713">
        <v>2</v>
      </c>
      <c r="C273" s="2713">
        <v>3</v>
      </c>
      <c r="D273" s="2713">
        <v>4</v>
      </c>
      <c r="E273" s="2713">
        <v>5</v>
      </c>
      <c r="F273" s="2713">
        <v>6</v>
      </c>
      <c r="G273" s="2713">
        <v>7</v>
      </c>
      <c r="H273" s="2713">
        <v>8</v>
      </c>
      <c r="I273" s="2713">
        <v>9</v>
      </c>
      <c r="J273" s="2713">
        <v>10</v>
      </c>
      <c r="K273" s="2713">
        <v>11</v>
      </c>
      <c r="L273" s="2713">
        <v>12</v>
      </c>
      <c r="M273" s="2713">
        <v>13</v>
      </c>
      <c r="N273" s="2713">
        <v>14</v>
      </c>
      <c r="O273" s="2713">
        <v>15</v>
      </c>
      <c r="P273" s="2713">
        <v>16</v>
      </c>
      <c r="Q273" s="2714">
        <v>17</v>
      </c>
      <c r="R273" s="2777">
        <v>31</v>
      </c>
      <c r="IX273" s="2932"/>
    </row>
    <row r="274" spans="1:258" s="2718" customFormat="1" ht="12.75" hidden="1">
      <c r="A274" s="4617" t="s">
        <v>3621</v>
      </c>
      <c r="B274" s="4618"/>
      <c r="C274" s="4618"/>
      <c r="D274" s="4618"/>
      <c r="E274" s="4618"/>
      <c r="F274" s="4618"/>
      <c r="G274" s="4618"/>
      <c r="H274" s="4618"/>
      <c r="I274" s="4618"/>
      <c r="J274" s="4618"/>
      <c r="K274" s="4618"/>
      <c r="L274" s="4618"/>
      <c r="M274" s="4618"/>
      <c r="N274" s="4618"/>
      <c r="O274" s="4618"/>
      <c r="P274" s="4618"/>
      <c r="Q274" s="4619"/>
      <c r="R274" s="2778">
        <v>1</v>
      </c>
      <c r="IX274" s="2933"/>
    </row>
    <row r="275" spans="1:258" s="2726" customFormat="1" ht="12.75" hidden="1">
      <c r="A275" s="2719" t="s">
        <v>25</v>
      </c>
      <c r="B275" s="2720" t="s">
        <v>3555</v>
      </c>
      <c r="C275" s="2721">
        <v>0.343584</v>
      </c>
      <c r="D275" s="2721">
        <v>0</v>
      </c>
      <c r="E275" s="2721">
        <v>0</v>
      </c>
      <c r="F275" s="2721">
        <v>0.343584</v>
      </c>
      <c r="G275" s="2721"/>
      <c r="H275" s="2721">
        <v>0.46180645161290323</v>
      </c>
      <c r="I275" s="2721">
        <v>0</v>
      </c>
      <c r="J275" s="2721">
        <v>0</v>
      </c>
      <c r="K275" s="2721">
        <v>0.46180645161290323</v>
      </c>
      <c r="L275" s="2779"/>
      <c r="M275" s="2722">
        <f>N275+O275+P275+Q275</f>
        <v>100</v>
      </c>
      <c r="N275" s="2722">
        <f>D275/C275*100</f>
        <v>0</v>
      </c>
      <c r="O275" s="2723">
        <f>E275/C275*100</f>
        <v>0</v>
      </c>
      <c r="P275" s="2723">
        <f>F275/C275*100</f>
        <v>100</v>
      </c>
      <c r="Q275" s="2724">
        <f>G275/C275*100</f>
        <v>0</v>
      </c>
      <c r="IT275" s="2727"/>
      <c r="IX275" s="2934"/>
    </row>
    <row r="276" spans="1:258" s="2726" customFormat="1" ht="12.75" hidden="1">
      <c r="A276" s="2728" t="s">
        <v>339</v>
      </c>
      <c r="B276" s="2729" t="s">
        <v>3614</v>
      </c>
      <c r="C276" s="2730">
        <v>0.343584</v>
      </c>
      <c r="D276" s="2731"/>
      <c r="E276" s="2731"/>
      <c r="F276" s="2731">
        <v>0.343584</v>
      </c>
      <c r="G276" s="2732"/>
      <c r="H276" s="2730">
        <v>0.46180645161290323</v>
      </c>
      <c r="I276" s="2731"/>
      <c r="J276" s="2731">
        <v>0</v>
      </c>
      <c r="K276" s="2731">
        <v>0.46180645161290323</v>
      </c>
      <c r="L276" s="2780"/>
      <c r="M276" s="2733">
        <f>N276+O276+P276+Q276</f>
        <v>100</v>
      </c>
      <c r="N276" s="2733">
        <f>D276/C276*100</f>
        <v>0</v>
      </c>
      <c r="O276" s="2734">
        <f>E276/C276*100</f>
        <v>0</v>
      </c>
      <c r="P276" s="2734">
        <f>F276/C276*100</f>
        <v>100</v>
      </c>
      <c r="Q276" s="2735">
        <f>G276/C276*100</f>
        <v>0</v>
      </c>
      <c r="IT276" s="2727"/>
      <c r="IX276" s="2934"/>
    </row>
    <row r="277" spans="1:258" s="2726" customFormat="1" ht="12.75" hidden="1">
      <c r="A277" s="2728"/>
      <c r="B277" s="2729" t="s">
        <v>3615</v>
      </c>
      <c r="C277" s="2730">
        <v>0.343584</v>
      </c>
      <c r="D277" s="2730"/>
      <c r="E277" s="2730">
        <v>0</v>
      </c>
      <c r="F277" s="2730">
        <v>0.343584</v>
      </c>
      <c r="G277" s="2736"/>
      <c r="H277" s="2730">
        <v>0.46180645161290323</v>
      </c>
      <c r="I277" s="2731">
        <v>0</v>
      </c>
      <c r="J277" s="2731">
        <v>0</v>
      </c>
      <c r="K277" s="2731">
        <v>0.46180645161290323</v>
      </c>
      <c r="L277" s="2780"/>
      <c r="M277" s="2733">
        <f>N277+O277+P277+Q277</f>
        <v>100</v>
      </c>
      <c r="N277" s="2733">
        <f>D277/C277*100</f>
        <v>0</v>
      </c>
      <c r="O277" s="2734">
        <f>E277/C277*100</f>
        <v>0</v>
      </c>
      <c r="P277" s="2734">
        <f>F277/C277*100</f>
        <v>100</v>
      </c>
      <c r="Q277" s="2735">
        <f>G277/C277*100</f>
        <v>0</v>
      </c>
      <c r="R277" s="2781"/>
      <c r="IT277" s="2727"/>
      <c r="IX277" s="2934"/>
    </row>
    <row r="278" spans="1:258" s="2726" customFormat="1" ht="12.75" hidden="1">
      <c r="A278" s="2728"/>
      <c r="B278" s="2729" t="s">
        <v>3616</v>
      </c>
      <c r="C278" s="2730">
        <v>0</v>
      </c>
      <c r="D278" s="2731"/>
      <c r="E278" s="2731"/>
      <c r="F278" s="2731"/>
      <c r="G278" s="2732"/>
      <c r="H278" s="2730">
        <v>0</v>
      </c>
      <c r="I278" s="2731"/>
      <c r="J278" s="2731"/>
      <c r="K278" s="2731"/>
      <c r="L278" s="2780"/>
      <c r="M278" s="2733"/>
      <c r="N278" s="2733"/>
      <c r="O278" s="2734"/>
      <c r="P278" s="2734"/>
      <c r="Q278" s="2735"/>
      <c r="R278" s="2727"/>
      <c r="IT278" s="2727"/>
      <c r="IX278" s="2934"/>
    </row>
    <row r="279" spans="1:258" s="2726" customFormat="1" ht="17.25" hidden="1" customHeight="1">
      <c r="A279" s="2738" t="s">
        <v>27</v>
      </c>
      <c r="B279" s="2720" t="s">
        <v>3558</v>
      </c>
      <c r="C279" s="2721">
        <v>5.8E-5</v>
      </c>
      <c r="D279" s="2721"/>
      <c r="E279" s="2721">
        <v>0</v>
      </c>
      <c r="F279" s="2721">
        <v>5.8E-5</v>
      </c>
      <c r="G279" s="2721"/>
      <c r="H279" s="2721">
        <v>7.7956989247311831E-5</v>
      </c>
      <c r="I279" s="2721"/>
      <c r="J279" s="2721">
        <v>0</v>
      </c>
      <c r="K279" s="2721">
        <v>7.7956989247311831E-5</v>
      </c>
      <c r="L279" s="2779"/>
      <c r="M279" s="2722">
        <f>N279+O279+P279+Q279</f>
        <v>100</v>
      </c>
      <c r="N279" s="2722"/>
      <c r="O279" s="2723">
        <f>E279/C279*100</f>
        <v>0</v>
      </c>
      <c r="P279" s="2723">
        <f>F279/C279*100</f>
        <v>100</v>
      </c>
      <c r="Q279" s="2724">
        <f>G279/C279*100</f>
        <v>0</v>
      </c>
      <c r="R279" s="2727"/>
      <c r="IT279" s="2727"/>
      <c r="IX279" s="2934"/>
    </row>
    <row r="280" spans="1:258" s="2726" customFormat="1" ht="21.75" hidden="1" customHeight="1">
      <c r="A280" s="2738" t="s">
        <v>41</v>
      </c>
      <c r="B280" s="2720" t="s">
        <v>42</v>
      </c>
      <c r="C280" s="2721">
        <v>0.33310399999999996</v>
      </c>
      <c r="D280" s="2721"/>
      <c r="E280" s="2721">
        <v>0</v>
      </c>
      <c r="F280" s="2721">
        <v>0.32949299999999998</v>
      </c>
      <c r="G280" s="2721">
        <v>3.6110000000000001E-3</v>
      </c>
      <c r="H280" s="2721">
        <v>0.44772043010752688</v>
      </c>
      <c r="I280" s="2721"/>
      <c r="J280" s="2721">
        <v>0</v>
      </c>
      <c r="K280" s="2721">
        <v>0.44286693548387096</v>
      </c>
      <c r="L280" s="2721">
        <v>4.8534946236559141E-3</v>
      </c>
      <c r="M280" s="2722">
        <f>N280+O280+P280+Q280</f>
        <v>100</v>
      </c>
      <c r="N280" s="2722"/>
      <c r="O280" s="2723">
        <f>E280/C280*100</f>
        <v>0</v>
      </c>
      <c r="P280" s="2723">
        <f>F280/C280*100</f>
        <v>98.91595417647342</v>
      </c>
      <c r="Q280" s="2724">
        <f>G280/C280*100</f>
        <v>1.0840458235265864</v>
      </c>
      <c r="R280" s="2727"/>
      <c r="IT280" s="2727"/>
      <c r="IX280" s="2934"/>
    </row>
    <row r="281" spans="1:258" s="2726" customFormat="1" ht="17.25" hidden="1" customHeight="1">
      <c r="A281" s="2739" t="s">
        <v>2008</v>
      </c>
      <c r="B281" s="2740" t="s">
        <v>3562</v>
      </c>
      <c r="C281" s="2741">
        <v>0.33310399999999996</v>
      </c>
      <c r="D281" s="2741"/>
      <c r="E281" s="2741">
        <v>0</v>
      </c>
      <c r="F281" s="2741">
        <v>0.32949299999999998</v>
      </c>
      <c r="G281" s="2741">
        <v>3.6110000000000001E-3</v>
      </c>
      <c r="H281" s="2741">
        <v>25.751999999999981</v>
      </c>
      <c r="I281" s="2741"/>
      <c r="J281" s="2741">
        <v>0</v>
      </c>
      <c r="K281" s="2741">
        <v>0.44286693548387096</v>
      </c>
      <c r="L281" s="2741">
        <v>4.8534946236559141E-3</v>
      </c>
      <c r="M281" s="2742"/>
      <c r="N281" s="2742"/>
      <c r="O281" s="2743"/>
      <c r="P281" s="2743"/>
      <c r="Q281" s="2744"/>
      <c r="R281" s="2727"/>
      <c r="IT281" s="2727"/>
      <c r="IX281" s="2934"/>
    </row>
    <row r="282" spans="1:258" s="2726" customFormat="1" ht="17.25" hidden="1" customHeight="1">
      <c r="A282" s="2745"/>
      <c r="B282" s="2746" t="s">
        <v>156</v>
      </c>
      <c r="C282" s="2730">
        <v>0</v>
      </c>
      <c r="D282" s="2730"/>
      <c r="E282" s="2731"/>
      <c r="F282" s="2731"/>
      <c r="G282" s="2731"/>
      <c r="H282" s="2730">
        <v>0</v>
      </c>
      <c r="I282" s="2730"/>
      <c r="J282" s="2731">
        <v>0</v>
      </c>
      <c r="K282" s="2731"/>
      <c r="L282" s="2782"/>
      <c r="M282" s="2733" t="e">
        <f>N282+O282+P282+Q282</f>
        <v>#DIV/0!</v>
      </c>
      <c r="N282" s="2733"/>
      <c r="O282" s="2734" t="e">
        <f>E282/C282*100</f>
        <v>#DIV/0!</v>
      </c>
      <c r="P282" s="2734" t="e">
        <f>F282/C282*100</f>
        <v>#DIV/0!</v>
      </c>
      <c r="Q282" s="2735" t="e">
        <f>G282/C282*100</f>
        <v>#DIV/0!</v>
      </c>
      <c r="R282" s="2727"/>
      <c r="IT282" s="2727"/>
      <c r="IX282" s="2934"/>
    </row>
    <row r="283" spans="1:258" s="2726" customFormat="1" ht="17.25" hidden="1" customHeight="1">
      <c r="A283" s="2745"/>
      <c r="B283" s="2746" t="s">
        <v>225</v>
      </c>
      <c r="C283" s="2730">
        <v>0.33310399999999996</v>
      </c>
      <c r="D283" s="2730"/>
      <c r="E283" s="2730"/>
      <c r="F283" s="2731">
        <v>0.32949299999999998</v>
      </c>
      <c r="G283" s="2783">
        <v>3.6110000000000001E-3</v>
      </c>
      <c r="H283" s="2730">
        <v>0.44772043010752688</v>
      </c>
      <c r="I283" s="2730"/>
      <c r="J283" s="2731"/>
      <c r="K283" s="2731">
        <v>0.44286693548387096</v>
      </c>
      <c r="L283" s="2731">
        <v>4.8534946236559141E-3</v>
      </c>
      <c r="M283" s="2733">
        <f t="shared" ref="M283:M289" si="44">N283+O283+P283+Q283</f>
        <v>100</v>
      </c>
      <c r="N283" s="2733"/>
      <c r="O283" s="2734">
        <f t="shared" ref="O283:O289" si="45">E283/C283*100</f>
        <v>0</v>
      </c>
      <c r="P283" s="2734">
        <f t="shared" ref="P283:P289" si="46">F283/C283*100</f>
        <v>98.91595417647342</v>
      </c>
      <c r="Q283" s="2735">
        <f t="shared" ref="Q283:Q289" si="47">G283/C283*100</f>
        <v>1.0840458235265864</v>
      </c>
      <c r="R283" s="2727"/>
      <c r="IT283" s="2727"/>
      <c r="IX283" s="2934"/>
    </row>
    <row r="284" spans="1:258" s="2726" customFormat="1" ht="17.25" hidden="1" customHeight="1">
      <c r="A284" s="2745"/>
      <c r="B284" s="2746" t="s">
        <v>226</v>
      </c>
      <c r="C284" s="2730"/>
      <c r="D284" s="2747"/>
      <c r="E284" s="2730"/>
      <c r="F284" s="2730"/>
      <c r="G284" s="2730"/>
      <c r="H284" s="2730">
        <v>0</v>
      </c>
      <c r="I284" s="2730"/>
      <c r="J284" s="2731"/>
      <c r="K284" s="2731"/>
      <c r="L284" s="2782"/>
      <c r="M284" s="2733" t="e">
        <f t="shared" si="44"/>
        <v>#DIV/0!</v>
      </c>
      <c r="N284" s="2733"/>
      <c r="O284" s="2734" t="e">
        <f t="shared" si="45"/>
        <v>#DIV/0!</v>
      </c>
      <c r="P284" s="2734" t="e">
        <f t="shared" si="46"/>
        <v>#DIV/0!</v>
      </c>
      <c r="Q284" s="2735" t="e">
        <f t="shared" si="47"/>
        <v>#DIV/0!</v>
      </c>
      <c r="R284" s="2727"/>
      <c r="IT284" s="2727"/>
      <c r="IX284" s="2934"/>
    </row>
    <row r="285" spans="1:258" s="2726" customFormat="1" ht="17.25" hidden="1" customHeight="1">
      <c r="A285" s="2745"/>
      <c r="B285" s="2746" t="s">
        <v>3563</v>
      </c>
      <c r="C285" s="2730"/>
      <c r="D285" s="2730"/>
      <c r="E285" s="2730"/>
      <c r="F285" s="2730"/>
      <c r="G285" s="2730"/>
      <c r="H285" s="2730">
        <v>0</v>
      </c>
      <c r="I285" s="2730"/>
      <c r="J285" s="2731"/>
      <c r="K285" s="2731"/>
      <c r="L285" s="2782"/>
      <c r="M285" s="2733" t="e">
        <f t="shared" si="44"/>
        <v>#DIV/0!</v>
      </c>
      <c r="N285" s="2733"/>
      <c r="O285" s="2734" t="e">
        <f t="shared" si="45"/>
        <v>#DIV/0!</v>
      </c>
      <c r="P285" s="2734" t="e">
        <f t="shared" si="46"/>
        <v>#DIV/0!</v>
      </c>
      <c r="Q285" s="2735" t="e">
        <f t="shared" si="47"/>
        <v>#DIV/0!</v>
      </c>
      <c r="R285" s="2727"/>
      <c r="IT285" s="2727"/>
      <c r="IX285" s="2934"/>
    </row>
    <row r="286" spans="1:258" s="2726" customFormat="1" ht="17.25" hidden="1" customHeight="1">
      <c r="A286" s="2745"/>
      <c r="B286" s="2748" t="s">
        <v>3562</v>
      </c>
      <c r="C286" s="2730">
        <v>4.651694</v>
      </c>
      <c r="D286" s="2730"/>
      <c r="E286" s="2730">
        <v>4.651694</v>
      </c>
      <c r="F286" s="2730">
        <v>0</v>
      </c>
      <c r="G286" s="2730">
        <v>0</v>
      </c>
      <c r="H286" s="2730">
        <v>0</v>
      </c>
      <c r="I286" s="2730"/>
      <c r="J286" s="2731"/>
      <c r="K286" s="2731"/>
      <c r="L286" s="2782"/>
      <c r="M286" s="2733">
        <f t="shared" si="44"/>
        <v>100</v>
      </c>
      <c r="N286" s="2733"/>
      <c r="O286" s="2734">
        <f t="shared" si="45"/>
        <v>100</v>
      </c>
      <c r="P286" s="2734">
        <f t="shared" si="46"/>
        <v>0</v>
      </c>
      <c r="Q286" s="2735">
        <f t="shared" si="47"/>
        <v>0</v>
      </c>
      <c r="R286" s="2727"/>
      <c r="IT286" s="2727"/>
      <c r="IX286" s="2934"/>
    </row>
    <row r="287" spans="1:258" s="2726" customFormat="1" ht="17.25" hidden="1" customHeight="1">
      <c r="A287" s="2749"/>
      <c r="B287" s="2750" t="s">
        <v>42</v>
      </c>
      <c r="C287" s="2730">
        <v>4.651694</v>
      </c>
      <c r="D287" s="2730"/>
      <c r="E287" s="2730">
        <v>4.651694</v>
      </c>
      <c r="F287" s="2730"/>
      <c r="G287" s="2730"/>
      <c r="H287" s="2730">
        <v>0</v>
      </c>
      <c r="I287" s="2730"/>
      <c r="J287" s="2731"/>
      <c r="K287" s="2731"/>
      <c r="L287" s="2782"/>
      <c r="M287" s="2733">
        <f t="shared" si="44"/>
        <v>100</v>
      </c>
      <c r="N287" s="2733"/>
      <c r="O287" s="2734">
        <f t="shared" si="45"/>
        <v>100</v>
      </c>
      <c r="P287" s="2734">
        <f t="shared" si="46"/>
        <v>0</v>
      </c>
      <c r="Q287" s="2735">
        <f t="shared" si="47"/>
        <v>0</v>
      </c>
      <c r="R287" s="2727"/>
      <c r="IT287" s="2727"/>
      <c r="IX287" s="2934"/>
    </row>
    <row r="288" spans="1:258" s="2752" customFormat="1" ht="12.75" hidden="1">
      <c r="A288" s="2749"/>
      <c r="B288" s="2750" t="s">
        <v>521</v>
      </c>
      <c r="C288" s="2730">
        <v>0</v>
      </c>
      <c r="D288" s="2730"/>
      <c r="E288" s="2730"/>
      <c r="F288" s="2730"/>
      <c r="G288" s="2730"/>
      <c r="H288" s="2730">
        <v>0</v>
      </c>
      <c r="I288" s="2730"/>
      <c r="J288" s="2731"/>
      <c r="K288" s="2731"/>
      <c r="L288" s="2782"/>
      <c r="M288" s="2733" t="e">
        <f t="shared" si="44"/>
        <v>#DIV/0!</v>
      </c>
      <c r="N288" s="2733"/>
      <c r="O288" s="2734" t="e">
        <f t="shared" si="45"/>
        <v>#DIV/0!</v>
      </c>
      <c r="P288" s="2734" t="e">
        <f t="shared" si="46"/>
        <v>#DIV/0!</v>
      </c>
      <c r="Q288" s="2735" t="e">
        <f t="shared" si="47"/>
        <v>#DIV/0!</v>
      </c>
      <c r="R288" s="2753"/>
      <c r="IT288" s="2753"/>
      <c r="IX288" s="2935"/>
    </row>
    <row r="289" spans="1:258" s="2752" customFormat="1" ht="25.5" hidden="1">
      <c r="A289" s="2754"/>
      <c r="B289" s="2755" t="s">
        <v>3564</v>
      </c>
      <c r="C289" s="2730">
        <v>0</v>
      </c>
      <c r="D289" s="2730"/>
      <c r="E289" s="2730"/>
      <c r="F289" s="2730"/>
      <c r="G289" s="2730"/>
      <c r="H289" s="2730">
        <v>0</v>
      </c>
      <c r="I289" s="2730"/>
      <c r="J289" s="2731"/>
      <c r="K289" s="2731"/>
      <c r="L289" s="2782"/>
      <c r="M289" s="2733" t="e">
        <f t="shared" si="44"/>
        <v>#DIV/0!</v>
      </c>
      <c r="N289" s="2733"/>
      <c r="O289" s="2734" t="e">
        <f t="shared" si="45"/>
        <v>#DIV/0!</v>
      </c>
      <c r="P289" s="2734" t="e">
        <f t="shared" si="46"/>
        <v>#DIV/0!</v>
      </c>
      <c r="Q289" s="2735" t="e">
        <f t="shared" si="47"/>
        <v>#DIV/0!</v>
      </c>
      <c r="R289" s="2753"/>
      <c r="IT289" s="2753"/>
      <c r="IX289" s="2935"/>
    </row>
    <row r="290" spans="1:258" s="2726" customFormat="1" ht="22.5" hidden="1" customHeight="1">
      <c r="A290" s="2739" t="s">
        <v>2013</v>
      </c>
      <c r="B290" s="2740" t="s">
        <v>3565</v>
      </c>
      <c r="C290" s="2741"/>
      <c r="D290" s="2741"/>
      <c r="E290" s="2741"/>
      <c r="F290" s="2741"/>
      <c r="G290" s="2741"/>
      <c r="H290" s="2741"/>
      <c r="I290" s="2741"/>
      <c r="J290" s="2741"/>
      <c r="K290" s="2741"/>
      <c r="L290" s="2784"/>
      <c r="M290" s="2742"/>
      <c r="N290" s="2742"/>
      <c r="O290" s="2743"/>
      <c r="P290" s="2743"/>
      <c r="Q290" s="2744"/>
      <c r="R290" s="2727"/>
      <c r="IT290" s="2727"/>
      <c r="IX290" s="2934"/>
    </row>
    <row r="291" spans="1:258" s="2726" customFormat="1" ht="17.25" hidden="1" customHeight="1">
      <c r="A291" s="2745"/>
      <c r="B291" s="2746" t="s">
        <v>156</v>
      </c>
      <c r="C291" s="2730"/>
      <c r="D291" s="2730"/>
      <c r="E291" s="2730"/>
      <c r="F291" s="2730"/>
      <c r="G291" s="2730"/>
      <c r="H291" s="2730"/>
      <c r="I291" s="2730"/>
      <c r="J291" s="2730"/>
      <c r="K291" s="2730"/>
      <c r="L291" s="2782"/>
      <c r="M291" s="2733"/>
      <c r="N291" s="2733"/>
      <c r="O291" s="2734"/>
      <c r="P291" s="2734"/>
      <c r="Q291" s="2735"/>
      <c r="R291" s="2727"/>
      <c r="IT291" s="2727"/>
      <c r="IX291" s="2934"/>
    </row>
    <row r="292" spans="1:258" s="2752" customFormat="1" ht="12.75" hidden="1">
      <c r="A292" s="2728" t="s">
        <v>2015</v>
      </c>
      <c r="B292" s="2756" t="s">
        <v>3566</v>
      </c>
      <c r="C292" s="2730"/>
      <c r="D292" s="2731"/>
      <c r="E292" s="2731"/>
      <c r="F292" s="2730"/>
      <c r="G292" s="2730"/>
      <c r="H292" s="2730"/>
      <c r="I292" s="2731"/>
      <c r="J292" s="2731"/>
      <c r="K292" s="2730"/>
      <c r="L292" s="2782"/>
      <c r="M292" s="2733"/>
      <c r="N292" s="2733"/>
      <c r="O292" s="2734"/>
      <c r="P292" s="2734"/>
      <c r="Q292" s="2735"/>
      <c r="R292" s="2753"/>
      <c r="IT292" s="2753"/>
      <c r="IX292" s="2935"/>
    </row>
    <row r="293" spans="1:258" s="2752" customFormat="1" ht="12.75" hidden="1">
      <c r="A293" s="2728"/>
      <c r="B293" s="2757" t="s">
        <v>230</v>
      </c>
      <c r="C293" s="2730"/>
      <c r="D293" s="2732"/>
      <c r="E293" s="2732"/>
      <c r="F293" s="2732"/>
      <c r="G293" s="2732"/>
      <c r="H293" s="2730"/>
      <c r="I293" s="2731"/>
      <c r="J293" s="2731"/>
      <c r="K293" s="2731"/>
      <c r="L293" s="2780"/>
      <c r="M293" s="2733"/>
      <c r="N293" s="2733"/>
      <c r="O293" s="2734"/>
      <c r="P293" s="2734"/>
      <c r="Q293" s="2735"/>
      <c r="R293" s="2727"/>
      <c r="IT293" s="2753"/>
      <c r="IX293" s="2935"/>
    </row>
    <row r="294" spans="1:258" s="2752" customFormat="1" ht="12.75" hidden="1">
      <c r="A294" s="2728"/>
      <c r="B294" s="2757" t="s">
        <v>231</v>
      </c>
      <c r="C294" s="2730"/>
      <c r="D294" s="2732"/>
      <c r="E294" s="2732"/>
      <c r="F294" s="2732"/>
      <c r="G294" s="2732"/>
      <c r="H294" s="2730"/>
      <c r="I294" s="2731"/>
      <c r="J294" s="2731"/>
      <c r="K294" s="2731"/>
      <c r="L294" s="2780"/>
      <c r="M294" s="2733"/>
      <c r="N294" s="2733"/>
      <c r="O294" s="2734"/>
      <c r="P294" s="2734"/>
      <c r="Q294" s="2735"/>
      <c r="R294" s="2753"/>
      <c r="IT294" s="2753"/>
      <c r="IX294" s="2935"/>
    </row>
    <row r="295" spans="1:258" s="2726" customFormat="1" ht="22.5" hidden="1" customHeight="1">
      <c r="A295" s="2739" t="s">
        <v>721</v>
      </c>
      <c r="B295" s="2740" t="s">
        <v>3567</v>
      </c>
      <c r="C295" s="2741"/>
      <c r="D295" s="2741"/>
      <c r="E295" s="2741"/>
      <c r="F295" s="2741"/>
      <c r="G295" s="2741"/>
      <c r="H295" s="2741"/>
      <c r="I295" s="2741"/>
      <c r="J295" s="2741"/>
      <c r="K295" s="2741"/>
      <c r="L295" s="2784"/>
      <c r="M295" s="2742"/>
      <c r="N295" s="2742"/>
      <c r="O295" s="2743"/>
      <c r="P295" s="2743"/>
      <c r="Q295" s="2744"/>
      <c r="R295" s="2727"/>
      <c r="IT295" s="2727"/>
      <c r="IX295" s="2934"/>
    </row>
    <row r="296" spans="1:258" s="2726" customFormat="1" ht="22.5" hidden="1" customHeight="1">
      <c r="A296" s="2745"/>
      <c r="B296" s="2746" t="s">
        <v>226</v>
      </c>
      <c r="C296" s="2730"/>
      <c r="D296" s="2747"/>
      <c r="E296" s="2730"/>
      <c r="F296" s="2730"/>
      <c r="G296" s="2730"/>
      <c r="H296" s="2730"/>
      <c r="I296" s="2730"/>
      <c r="J296" s="2730"/>
      <c r="K296" s="2730"/>
      <c r="L296" s="2782"/>
      <c r="M296" s="2733"/>
      <c r="N296" s="2733"/>
      <c r="O296" s="2734"/>
      <c r="P296" s="2734"/>
      <c r="Q296" s="2735"/>
      <c r="R296" s="2727"/>
      <c r="IT296" s="2727"/>
      <c r="IX296" s="2934"/>
    </row>
    <row r="297" spans="1:258" s="2726" customFormat="1" ht="22.5" hidden="1" customHeight="1">
      <c r="A297" s="2739" t="s">
        <v>3622</v>
      </c>
      <c r="B297" s="2740" t="s">
        <v>3568</v>
      </c>
      <c r="C297" s="2741"/>
      <c r="D297" s="2741"/>
      <c r="E297" s="2741"/>
      <c r="F297" s="2741"/>
      <c r="G297" s="2741"/>
      <c r="H297" s="2741"/>
      <c r="I297" s="2741"/>
      <c r="J297" s="2741"/>
      <c r="K297" s="2741"/>
      <c r="L297" s="2784"/>
      <c r="M297" s="2742"/>
      <c r="N297" s="2742"/>
      <c r="O297" s="2743"/>
      <c r="P297" s="2743"/>
      <c r="Q297" s="2744"/>
      <c r="R297" s="2727"/>
      <c r="IT297" s="2727"/>
      <c r="IX297" s="2934"/>
    </row>
    <row r="298" spans="1:258" s="2726" customFormat="1" ht="22.5" hidden="1" customHeight="1">
      <c r="A298" s="2739" t="s">
        <v>3623</v>
      </c>
      <c r="B298" s="2740" t="s">
        <v>3569</v>
      </c>
      <c r="C298" s="2741"/>
      <c r="D298" s="2741"/>
      <c r="E298" s="2741"/>
      <c r="F298" s="2741"/>
      <c r="G298" s="2741"/>
      <c r="H298" s="2741"/>
      <c r="I298" s="2741"/>
      <c r="J298" s="2741"/>
      <c r="K298" s="2741"/>
      <c r="L298" s="2784"/>
      <c r="M298" s="2742"/>
      <c r="N298" s="2742"/>
      <c r="O298" s="2743"/>
      <c r="P298" s="2743"/>
      <c r="Q298" s="2744"/>
      <c r="R298" s="2727"/>
      <c r="IT298" s="2727"/>
      <c r="IX298" s="2934"/>
    </row>
    <row r="299" spans="1:258" s="2726" customFormat="1" ht="22.5" hidden="1" customHeight="1">
      <c r="A299" s="2739" t="s">
        <v>3624</v>
      </c>
      <c r="B299" s="2740" t="s">
        <v>3570</v>
      </c>
      <c r="C299" s="2741"/>
      <c r="D299" s="2741"/>
      <c r="E299" s="2741"/>
      <c r="F299" s="2741"/>
      <c r="G299" s="2741"/>
      <c r="H299" s="2741"/>
      <c r="I299" s="2741"/>
      <c r="J299" s="2741"/>
      <c r="K299" s="2741"/>
      <c r="L299" s="2784"/>
      <c r="M299" s="2742"/>
      <c r="N299" s="2742"/>
      <c r="O299" s="2743"/>
      <c r="P299" s="2743"/>
      <c r="Q299" s="2744"/>
      <c r="R299" s="2727"/>
      <c r="IT299" s="2727"/>
      <c r="IX299" s="2934"/>
    </row>
    <row r="300" spans="1:258" s="2752" customFormat="1" ht="25.5" hidden="1">
      <c r="A300" s="2758" t="s">
        <v>723</v>
      </c>
      <c r="B300" s="2759" t="s">
        <v>3571</v>
      </c>
      <c r="C300" s="2721">
        <v>1.048E-2</v>
      </c>
      <c r="D300" s="2721"/>
      <c r="E300" s="2721">
        <v>0</v>
      </c>
      <c r="F300" s="2721">
        <v>1.048E-2</v>
      </c>
      <c r="G300" s="2721">
        <v>0</v>
      </c>
      <c r="H300" s="2721">
        <v>1.4086021505376346E-2</v>
      </c>
      <c r="I300" s="2721"/>
      <c r="J300" s="2721">
        <v>0</v>
      </c>
      <c r="K300" s="2721">
        <v>1.4086021505376346E-2</v>
      </c>
      <c r="L300" s="2779">
        <v>0</v>
      </c>
      <c r="M300" s="2722">
        <f>N300+O300+P300+Q300</f>
        <v>0</v>
      </c>
      <c r="N300" s="2722"/>
      <c r="O300" s="2723"/>
      <c r="P300" s="2723"/>
      <c r="Q300" s="2724"/>
      <c r="R300" s="2753"/>
      <c r="IT300" s="2753"/>
      <c r="IX300" s="2935"/>
    </row>
    <row r="301" spans="1:258" s="2752" customFormat="1" ht="12.75" hidden="1">
      <c r="A301" s="2760" t="s">
        <v>285</v>
      </c>
      <c r="B301" s="2761" t="s">
        <v>3572</v>
      </c>
      <c r="C301" s="2741">
        <v>0</v>
      </c>
      <c r="D301" s="2741"/>
      <c r="E301" s="2741">
        <v>0</v>
      </c>
      <c r="F301" s="2741">
        <v>0</v>
      </c>
      <c r="G301" s="2741">
        <v>0</v>
      </c>
      <c r="H301" s="2741">
        <v>0</v>
      </c>
      <c r="I301" s="2741"/>
      <c r="J301" s="2741"/>
      <c r="K301" s="2741">
        <v>0</v>
      </c>
      <c r="L301" s="2784">
        <v>0</v>
      </c>
      <c r="M301" s="2742" t="e">
        <f>N301+O301+P301+Q301</f>
        <v>#DIV/0!</v>
      </c>
      <c r="N301" s="2742"/>
      <c r="O301" s="2743" t="e">
        <f t="shared" ref="O301:O306" si="48">E301/C301*100</f>
        <v>#DIV/0!</v>
      </c>
      <c r="P301" s="2743" t="e">
        <f t="shared" ref="P301:P306" si="49">F301/C301*100</f>
        <v>#DIV/0!</v>
      </c>
      <c r="Q301" s="2744" t="e">
        <f t="shared" ref="Q301:Q306" si="50">G301/C301*100</f>
        <v>#DIV/0!</v>
      </c>
      <c r="R301" s="2753"/>
      <c r="IT301" s="2753"/>
      <c r="IX301" s="2935"/>
    </row>
    <row r="302" spans="1:258" s="2752" customFormat="1" ht="25.5" hidden="1">
      <c r="A302" s="2762" t="s">
        <v>1835</v>
      </c>
      <c r="B302" s="2763" t="s">
        <v>3573</v>
      </c>
      <c r="C302" s="2730">
        <v>0</v>
      </c>
      <c r="D302" s="2730">
        <v>0</v>
      </c>
      <c r="E302" s="2731"/>
      <c r="F302" s="2731"/>
      <c r="G302" s="2731"/>
      <c r="H302" s="2730">
        <v>0</v>
      </c>
      <c r="I302" s="2730"/>
      <c r="J302" s="2731"/>
      <c r="K302" s="2731"/>
      <c r="L302" s="2782">
        <v>0</v>
      </c>
      <c r="M302" s="2733" t="e">
        <f>N302+O302+P302+Q302</f>
        <v>#DIV/0!</v>
      </c>
      <c r="N302" s="2733"/>
      <c r="O302" s="2734" t="e">
        <f t="shared" si="48"/>
        <v>#DIV/0!</v>
      </c>
      <c r="P302" s="2734" t="e">
        <f t="shared" si="49"/>
        <v>#DIV/0!</v>
      </c>
      <c r="Q302" s="2735" t="e">
        <f t="shared" si="50"/>
        <v>#DIV/0!</v>
      </c>
      <c r="R302" s="2753"/>
      <c r="IT302" s="2753"/>
      <c r="IX302" s="2935"/>
    </row>
    <row r="303" spans="1:258" s="2752" customFormat="1" ht="12.75" hidden="1">
      <c r="A303" s="2728"/>
      <c r="B303" s="2764" t="s">
        <v>229</v>
      </c>
      <c r="C303" s="2730">
        <v>0</v>
      </c>
      <c r="D303" s="2736"/>
      <c r="E303" s="2736"/>
      <c r="F303" s="2736"/>
      <c r="G303" s="2736"/>
      <c r="H303" s="2730">
        <v>0</v>
      </c>
      <c r="I303" s="2730"/>
      <c r="J303" s="2730"/>
      <c r="K303" s="2730"/>
      <c r="L303" s="2785"/>
      <c r="M303" s="2733"/>
      <c r="N303" s="2733"/>
      <c r="O303" s="2734"/>
      <c r="P303" s="2734"/>
      <c r="Q303" s="2735"/>
      <c r="R303" s="2753"/>
      <c r="IT303" s="2753"/>
      <c r="IX303" s="2935"/>
    </row>
    <row r="304" spans="1:258" s="2752" customFormat="1" ht="12.75" hidden="1">
      <c r="A304" s="2728"/>
      <c r="B304" s="2756" t="s">
        <v>3566</v>
      </c>
      <c r="C304" s="2730">
        <v>0</v>
      </c>
      <c r="D304" s="2731"/>
      <c r="E304" s="2731"/>
      <c r="F304" s="2730">
        <v>0</v>
      </c>
      <c r="G304" s="2730"/>
      <c r="H304" s="2730">
        <v>0</v>
      </c>
      <c r="I304" s="2731"/>
      <c r="J304" s="2731"/>
      <c r="K304" s="2730">
        <v>0</v>
      </c>
      <c r="L304" s="2782">
        <v>0</v>
      </c>
      <c r="M304" s="2733" t="e">
        <f>N304+O304+P304+Q304</f>
        <v>#DIV/0!</v>
      </c>
      <c r="N304" s="2733"/>
      <c r="O304" s="2734" t="e">
        <f t="shared" si="48"/>
        <v>#DIV/0!</v>
      </c>
      <c r="P304" s="2734" t="e">
        <f t="shared" si="49"/>
        <v>#DIV/0!</v>
      </c>
      <c r="Q304" s="2735" t="e">
        <f t="shared" si="50"/>
        <v>#DIV/0!</v>
      </c>
      <c r="R304" s="2753"/>
      <c r="IT304" s="2753"/>
      <c r="IX304" s="2935"/>
    </row>
    <row r="305" spans="1:258" s="2752" customFormat="1" ht="12.75" hidden="1">
      <c r="A305" s="2728"/>
      <c r="B305" s="2757" t="s">
        <v>230</v>
      </c>
      <c r="C305" s="2730">
        <v>0</v>
      </c>
      <c r="D305" s="2732"/>
      <c r="E305" s="2732"/>
      <c r="F305" s="2732"/>
      <c r="G305" s="2736"/>
      <c r="H305" s="2730">
        <v>0</v>
      </c>
      <c r="I305" s="2731"/>
      <c r="J305" s="2731"/>
      <c r="K305" s="2730">
        <v>0</v>
      </c>
      <c r="L305" s="2785"/>
      <c r="M305" s="2733" t="e">
        <f>N305+O305+P305+Q305</f>
        <v>#DIV/0!</v>
      </c>
      <c r="N305" s="2733"/>
      <c r="O305" s="2734" t="e">
        <f t="shared" si="48"/>
        <v>#DIV/0!</v>
      </c>
      <c r="P305" s="2734" t="e">
        <f t="shared" si="49"/>
        <v>#DIV/0!</v>
      </c>
      <c r="Q305" s="2735" t="e">
        <f t="shared" si="50"/>
        <v>#DIV/0!</v>
      </c>
      <c r="R305" s="2753"/>
      <c r="IT305" s="2753"/>
      <c r="IX305" s="2935"/>
    </row>
    <row r="306" spans="1:258" s="2752" customFormat="1" ht="12.75" hidden="1">
      <c r="A306" s="2728"/>
      <c r="B306" s="2757" t="s">
        <v>231</v>
      </c>
      <c r="C306" s="2730">
        <v>0</v>
      </c>
      <c r="D306" s="2732"/>
      <c r="E306" s="2732"/>
      <c r="F306" s="2732"/>
      <c r="G306" s="2736"/>
      <c r="H306" s="2730">
        <v>0</v>
      </c>
      <c r="I306" s="2731"/>
      <c r="J306" s="2731"/>
      <c r="K306" s="2730">
        <v>0</v>
      </c>
      <c r="L306" s="2785"/>
      <c r="M306" s="2733" t="e">
        <f>N306+O306+P306+Q306</f>
        <v>#DIV/0!</v>
      </c>
      <c r="N306" s="2733"/>
      <c r="O306" s="2734" t="e">
        <f t="shared" si="48"/>
        <v>#DIV/0!</v>
      </c>
      <c r="P306" s="2734" t="e">
        <f t="shared" si="49"/>
        <v>#DIV/0!</v>
      </c>
      <c r="Q306" s="2735" t="e">
        <f t="shared" si="50"/>
        <v>#DIV/0!</v>
      </c>
      <c r="R306" s="2753"/>
      <c r="IT306" s="2753"/>
      <c r="IX306" s="2935"/>
    </row>
    <row r="307" spans="1:258" s="2752" customFormat="1" ht="39" hidden="1" customHeight="1">
      <c r="A307" s="2762" t="s">
        <v>1837</v>
      </c>
      <c r="B307" s="2763" t="s">
        <v>3574</v>
      </c>
      <c r="C307" s="2730"/>
      <c r="D307" s="2730"/>
      <c r="E307" s="2730"/>
      <c r="F307" s="2730"/>
      <c r="G307" s="2730"/>
      <c r="H307" s="2730"/>
      <c r="I307" s="2730"/>
      <c r="J307" s="2730"/>
      <c r="K307" s="2730"/>
      <c r="L307" s="2782"/>
      <c r="M307" s="2733"/>
      <c r="N307" s="2733"/>
      <c r="O307" s="2734"/>
      <c r="P307" s="2734"/>
      <c r="Q307" s="2735"/>
      <c r="R307" s="2753"/>
      <c r="IT307" s="2753"/>
      <c r="IX307" s="2935"/>
    </row>
    <row r="308" spans="1:258" s="2752" customFormat="1" ht="12.75" hidden="1">
      <c r="A308" s="2728"/>
      <c r="B308" s="2764" t="s">
        <v>229</v>
      </c>
      <c r="C308" s="2730"/>
      <c r="D308" s="2736"/>
      <c r="E308" s="2736"/>
      <c r="F308" s="2736"/>
      <c r="G308" s="2736"/>
      <c r="H308" s="2730"/>
      <c r="I308" s="2730"/>
      <c r="J308" s="2730"/>
      <c r="K308" s="2730"/>
      <c r="L308" s="2785"/>
      <c r="M308" s="2733"/>
      <c r="N308" s="2733"/>
      <c r="O308" s="2734"/>
      <c r="P308" s="2734"/>
      <c r="Q308" s="2735"/>
      <c r="R308" s="2753"/>
      <c r="IT308" s="2753"/>
      <c r="IX308" s="2935"/>
    </row>
    <row r="309" spans="1:258" s="2752" customFormat="1" ht="12.75" hidden="1">
      <c r="A309" s="2728"/>
      <c r="B309" s="2756" t="s">
        <v>233</v>
      </c>
      <c r="C309" s="2730"/>
      <c r="D309" s="2731"/>
      <c r="E309" s="2731"/>
      <c r="F309" s="2731"/>
      <c r="G309" s="2730"/>
      <c r="H309" s="2730"/>
      <c r="I309" s="2731"/>
      <c r="J309" s="2731"/>
      <c r="K309" s="2730"/>
      <c r="L309" s="2782"/>
      <c r="M309" s="2733"/>
      <c r="N309" s="2733"/>
      <c r="O309" s="2734"/>
      <c r="P309" s="2734"/>
      <c r="Q309" s="2735"/>
      <c r="R309" s="2753"/>
      <c r="IT309" s="2753"/>
      <c r="IX309" s="2935"/>
    </row>
    <row r="310" spans="1:258" s="2752" customFormat="1" ht="12.75" hidden="1">
      <c r="A310" s="2728"/>
      <c r="B310" s="2757" t="s">
        <v>230</v>
      </c>
      <c r="C310" s="2730"/>
      <c r="D310" s="2732"/>
      <c r="E310" s="2732"/>
      <c r="F310" s="2736"/>
      <c r="G310" s="2736"/>
      <c r="H310" s="2730"/>
      <c r="I310" s="2731"/>
      <c r="J310" s="2731"/>
      <c r="K310" s="2731"/>
      <c r="L310" s="2785"/>
      <c r="M310" s="2733"/>
      <c r="N310" s="2733"/>
      <c r="O310" s="2734"/>
      <c r="P310" s="2734"/>
      <c r="Q310" s="2735"/>
      <c r="R310" s="2753"/>
      <c r="IT310" s="2753"/>
      <c r="IX310" s="2935"/>
    </row>
    <row r="311" spans="1:258" s="2752" customFormat="1" ht="12.75" hidden="1">
      <c r="A311" s="2728"/>
      <c r="B311" s="2757" t="s">
        <v>231</v>
      </c>
      <c r="C311" s="2730"/>
      <c r="D311" s="2732"/>
      <c r="E311" s="2732"/>
      <c r="F311" s="2736"/>
      <c r="G311" s="2736"/>
      <c r="H311" s="2730"/>
      <c r="I311" s="2731"/>
      <c r="J311" s="2731"/>
      <c r="K311" s="2731"/>
      <c r="L311" s="2785"/>
      <c r="M311" s="2733"/>
      <c r="N311" s="2733"/>
      <c r="O311" s="2734"/>
      <c r="P311" s="2734"/>
      <c r="Q311" s="2735"/>
      <c r="R311" s="2753"/>
      <c r="IT311" s="2753"/>
      <c r="IX311" s="2935"/>
    </row>
    <row r="312" spans="1:258" s="2752" customFormat="1" ht="12.75" hidden="1">
      <c r="A312" s="2760" t="s">
        <v>286</v>
      </c>
      <c r="B312" s="2761" t="s">
        <v>40</v>
      </c>
      <c r="C312" s="2741">
        <v>1.048E-2</v>
      </c>
      <c r="D312" s="2741"/>
      <c r="E312" s="2741">
        <v>0</v>
      </c>
      <c r="F312" s="2741">
        <v>1.048E-2</v>
      </c>
      <c r="G312" s="2741">
        <v>0</v>
      </c>
      <c r="H312" s="2741">
        <v>1.4086021505376346E-2</v>
      </c>
      <c r="I312" s="2741"/>
      <c r="J312" s="2741">
        <v>0</v>
      </c>
      <c r="K312" s="2741">
        <v>1.4086021505376346E-2</v>
      </c>
      <c r="L312" s="2784">
        <v>0</v>
      </c>
      <c r="M312" s="2742">
        <f>N312+O312+P312+Q312</f>
        <v>100</v>
      </c>
      <c r="N312" s="2742"/>
      <c r="O312" s="2743">
        <f>E312/C312*100</f>
        <v>0</v>
      </c>
      <c r="P312" s="2743">
        <f>F312/C312*100</f>
        <v>100</v>
      </c>
      <c r="Q312" s="2744">
        <f>G312/C312*100</f>
        <v>0</v>
      </c>
      <c r="R312" s="2753"/>
      <c r="IT312" s="2753"/>
      <c r="IX312" s="2935"/>
    </row>
    <row r="313" spans="1:258" s="2752" customFormat="1" ht="12.75" hidden="1">
      <c r="A313" s="2728" t="s">
        <v>1842</v>
      </c>
      <c r="B313" s="2764" t="s">
        <v>229</v>
      </c>
      <c r="C313" s="2730">
        <v>1.048E-2</v>
      </c>
      <c r="D313" s="2736"/>
      <c r="E313" s="2736"/>
      <c r="F313" s="2736">
        <v>1.048E-2</v>
      </c>
      <c r="G313" s="2736"/>
      <c r="H313" s="2730">
        <v>1.4086021505376346E-2</v>
      </c>
      <c r="I313" s="2730"/>
      <c r="J313" s="2730"/>
      <c r="K313" s="2731">
        <v>1.4086021505376346E-2</v>
      </c>
      <c r="L313" s="2785"/>
      <c r="M313" s="2733"/>
      <c r="N313" s="2733"/>
      <c r="O313" s="2734"/>
      <c r="P313" s="2734"/>
      <c r="Q313" s="2735"/>
      <c r="R313" s="2753"/>
      <c r="IT313" s="2753"/>
      <c r="IX313" s="2935"/>
    </row>
    <row r="314" spans="1:258" s="2752" customFormat="1" ht="12.75" hidden="1">
      <c r="A314" s="2728" t="s">
        <v>1843</v>
      </c>
      <c r="B314" s="2756" t="s">
        <v>3566</v>
      </c>
      <c r="C314" s="2730">
        <v>0</v>
      </c>
      <c r="D314" s="2731"/>
      <c r="E314" s="2730">
        <v>0</v>
      </c>
      <c r="F314" s="2730">
        <v>0</v>
      </c>
      <c r="G314" s="2730"/>
      <c r="H314" s="2730">
        <v>0</v>
      </c>
      <c r="I314" s="2731"/>
      <c r="J314" s="2730">
        <v>0</v>
      </c>
      <c r="K314" s="2730">
        <v>0</v>
      </c>
      <c r="L314" s="2782">
        <v>0</v>
      </c>
      <c r="M314" s="2733" t="e">
        <f>N314+O314+P314+Q314</f>
        <v>#DIV/0!</v>
      </c>
      <c r="N314" s="2733"/>
      <c r="O314" s="2734" t="e">
        <f>E314/C314*100</f>
        <v>#DIV/0!</v>
      </c>
      <c r="P314" s="2734" t="e">
        <f>F314/C314*100</f>
        <v>#DIV/0!</v>
      </c>
      <c r="Q314" s="2735" t="e">
        <f>G314/C314*100</f>
        <v>#DIV/0!</v>
      </c>
      <c r="R314" s="2753"/>
      <c r="IT314" s="2753"/>
      <c r="IX314" s="2935"/>
    </row>
    <row r="315" spans="1:258" s="2752" customFormat="1" ht="12.75" hidden="1">
      <c r="A315" s="2728"/>
      <c r="B315" s="2757" t="s">
        <v>230</v>
      </c>
      <c r="C315" s="2730">
        <v>0</v>
      </c>
      <c r="D315" s="2732"/>
      <c r="E315" s="2732"/>
      <c r="F315" s="2732"/>
      <c r="G315" s="2736"/>
      <c r="H315" s="2730">
        <v>0</v>
      </c>
      <c r="I315" s="2731"/>
      <c r="J315" s="2731"/>
      <c r="K315" s="2732"/>
      <c r="L315" s="2785"/>
      <c r="M315" s="2733" t="e">
        <f>N315+O315+P315+Q315</f>
        <v>#DIV/0!</v>
      </c>
      <c r="N315" s="2733"/>
      <c r="O315" s="2734" t="e">
        <f>E315/C315*100</f>
        <v>#DIV/0!</v>
      </c>
      <c r="P315" s="2734" t="e">
        <f>F315/C315*100</f>
        <v>#DIV/0!</v>
      </c>
      <c r="Q315" s="2735" t="e">
        <f>G315/C315*100</f>
        <v>#DIV/0!</v>
      </c>
      <c r="R315" s="2753"/>
      <c r="IT315" s="2753"/>
      <c r="IX315" s="2935"/>
    </row>
    <row r="316" spans="1:258" s="2752" customFormat="1" ht="12.75" hidden="1">
      <c r="A316" s="2728"/>
      <c r="B316" s="2757" t="s">
        <v>231</v>
      </c>
      <c r="C316" s="2730">
        <v>0</v>
      </c>
      <c r="D316" s="2732"/>
      <c r="E316" s="2732"/>
      <c r="F316" s="2732"/>
      <c r="G316" s="2736"/>
      <c r="H316" s="2730">
        <v>0</v>
      </c>
      <c r="I316" s="2731"/>
      <c r="J316" s="2731"/>
      <c r="K316" s="2732"/>
      <c r="L316" s="2785"/>
      <c r="M316" s="2733" t="e">
        <f>N316+O316+P316+Q316</f>
        <v>#DIV/0!</v>
      </c>
      <c r="N316" s="2733"/>
      <c r="O316" s="2734" t="e">
        <f>E316/C316*100</f>
        <v>#DIV/0!</v>
      </c>
      <c r="P316" s="2734" t="e">
        <f>F316/C316*100</f>
        <v>#DIV/0!</v>
      </c>
      <c r="Q316" s="2735" t="e">
        <f>G316/C316*100</f>
        <v>#DIV/0!</v>
      </c>
      <c r="R316" s="2753"/>
      <c r="IT316" s="2753"/>
      <c r="IX316" s="2935"/>
    </row>
    <row r="317" spans="1:258" s="2701" customFormat="1" ht="15" hidden="1" customHeight="1">
      <c r="A317" s="2728" t="s">
        <v>3528</v>
      </c>
      <c r="B317" s="2756" t="s">
        <v>3566</v>
      </c>
      <c r="C317" s="2730">
        <v>0</v>
      </c>
      <c r="D317" s="2731"/>
      <c r="E317" s="2731"/>
      <c r="F317" s="2731"/>
      <c r="G317" s="2731"/>
      <c r="H317" s="2730">
        <v>0</v>
      </c>
      <c r="I317" s="2731"/>
      <c r="J317" s="2731"/>
      <c r="K317" s="2731"/>
      <c r="L317" s="2780"/>
      <c r="M317" s="2733"/>
      <c r="N317" s="2733"/>
      <c r="O317" s="2734"/>
      <c r="P317" s="2734"/>
      <c r="Q317" s="2735"/>
      <c r="IX317" s="2773"/>
    </row>
    <row r="318" spans="1:258" s="2701" customFormat="1" ht="15.75" hidden="1" customHeight="1">
      <c r="A318" s="2728"/>
      <c r="B318" s="2757" t="s">
        <v>230</v>
      </c>
      <c r="C318" s="2730">
        <v>0</v>
      </c>
      <c r="D318" s="2732"/>
      <c r="E318" s="2732"/>
      <c r="F318" s="2732"/>
      <c r="G318" s="2732"/>
      <c r="H318" s="2730">
        <v>0</v>
      </c>
      <c r="I318" s="2731"/>
      <c r="J318" s="2731"/>
      <c r="K318" s="2731"/>
      <c r="L318" s="2780"/>
      <c r="M318" s="2733"/>
      <c r="N318" s="2733"/>
      <c r="O318" s="2734"/>
      <c r="P318" s="2734"/>
      <c r="Q318" s="2735"/>
      <c r="IX318" s="2773"/>
    </row>
    <row r="319" spans="1:258" s="2701" customFormat="1" ht="15.75" hidden="1" customHeight="1">
      <c r="A319" s="2728"/>
      <c r="B319" s="2757" t="s">
        <v>231</v>
      </c>
      <c r="C319" s="2730">
        <v>0</v>
      </c>
      <c r="D319" s="2732"/>
      <c r="E319" s="2732"/>
      <c r="F319" s="2732"/>
      <c r="G319" s="2732"/>
      <c r="H319" s="2730">
        <v>0</v>
      </c>
      <c r="I319" s="2731"/>
      <c r="J319" s="2731"/>
      <c r="K319" s="2731"/>
      <c r="L319" s="2780"/>
      <c r="M319" s="2733"/>
      <c r="N319" s="2733"/>
      <c r="O319" s="2734"/>
      <c r="P319" s="2734"/>
      <c r="Q319" s="2735"/>
      <c r="IX319" s="2773"/>
    </row>
    <row r="320" spans="1:258" s="2701" customFormat="1" ht="17.25" hidden="1" customHeight="1">
      <c r="A320" s="2765" t="s">
        <v>45</v>
      </c>
      <c r="B320" s="2759" t="s">
        <v>3575</v>
      </c>
      <c r="C320" s="2721">
        <v>0</v>
      </c>
      <c r="D320" s="2766"/>
      <c r="E320" s="2766"/>
      <c r="F320" s="2766"/>
      <c r="G320" s="2766"/>
      <c r="H320" s="2721">
        <v>0</v>
      </c>
      <c r="I320" s="2721"/>
      <c r="J320" s="2721"/>
      <c r="K320" s="2721"/>
      <c r="L320" s="2786"/>
      <c r="M320" s="2722"/>
      <c r="N320" s="2722"/>
      <c r="O320" s="2723"/>
      <c r="P320" s="2723"/>
      <c r="Q320" s="2724"/>
      <c r="IX320" s="2773"/>
    </row>
    <row r="321" spans="1:258" s="2701" customFormat="1" ht="17.25" hidden="1" customHeight="1">
      <c r="A321" s="2765" t="s">
        <v>52</v>
      </c>
      <c r="B321" s="2759" t="s">
        <v>425</v>
      </c>
      <c r="C321" s="2721">
        <v>0.34358399999999995</v>
      </c>
      <c r="D321" s="2721"/>
      <c r="E321" s="2721">
        <v>0</v>
      </c>
      <c r="F321" s="2721">
        <v>0.33997299999999997</v>
      </c>
      <c r="G321" s="2721">
        <v>3.6110000000000001E-3</v>
      </c>
      <c r="H321" s="2721">
        <v>0.46180645161290323</v>
      </c>
      <c r="I321" s="2721"/>
      <c r="J321" s="2721">
        <v>0</v>
      </c>
      <c r="K321" s="2721">
        <v>0.45695295698924732</v>
      </c>
      <c r="L321" s="2779">
        <v>4.8534946236559141E-3</v>
      </c>
      <c r="M321" s="2722">
        <v>100</v>
      </c>
      <c r="N321" s="2722"/>
      <c r="O321" s="2723">
        <f>E321/C321*100</f>
        <v>0</v>
      </c>
      <c r="P321" s="2723">
        <f>F321/C321*100</f>
        <v>98.949019744807686</v>
      </c>
      <c r="Q321" s="2724">
        <f>G321/C321*100</f>
        <v>1.0509802551923257</v>
      </c>
      <c r="IX321" s="2773"/>
    </row>
    <row r="322" spans="1:258" s="2701" customFormat="1" ht="17.25" hidden="1" customHeight="1" thickBot="1">
      <c r="A322" s="2768" t="s">
        <v>372</v>
      </c>
      <c r="B322" s="2769" t="s">
        <v>3582</v>
      </c>
      <c r="C322" s="2770">
        <v>0.34364199999999995</v>
      </c>
      <c r="D322" s="2770"/>
      <c r="E322" s="2770">
        <v>0</v>
      </c>
      <c r="F322" s="2770">
        <v>0.34003099999999997</v>
      </c>
      <c r="G322" s="2770">
        <v>3.6110000000000001E-3</v>
      </c>
      <c r="H322" s="2770">
        <v>0.46188440860215052</v>
      </c>
      <c r="I322" s="2770"/>
      <c r="J322" s="2770">
        <v>0</v>
      </c>
      <c r="K322" s="2770">
        <v>0.4570309139784946</v>
      </c>
      <c r="L322" s="2787">
        <v>4.8534946236559141E-3</v>
      </c>
      <c r="M322" s="2771">
        <v>100</v>
      </c>
      <c r="N322" s="2771"/>
      <c r="O322" s="2771">
        <f>E322/C322*100</f>
        <v>0</v>
      </c>
      <c r="P322" s="2771">
        <f>F322/C322*100</f>
        <v>98.949197129570905</v>
      </c>
      <c r="Q322" s="2772">
        <f>G322/C322*100</f>
        <v>1.0508028704291095</v>
      </c>
      <c r="IX322" s="2773"/>
    </row>
    <row r="323" spans="1:258" s="2701" customFormat="1" ht="12.75" hidden="1">
      <c r="A323" s="2773"/>
      <c r="C323" s="4620"/>
      <c r="D323" s="4620"/>
      <c r="E323" s="4620"/>
      <c r="F323" s="4620"/>
      <c r="G323" s="4620"/>
      <c r="H323" s="4620"/>
      <c r="I323" s="2774"/>
      <c r="J323" s="2774"/>
      <c r="K323" s="2774"/>
      <c r="L323" s="2774"/>
      <c r="IX323" s="2773"/>
    </row>
    <row r="324" spans="1:258" hidden="1"/>
    <row r="325" spans="1:258" hidden="1"/>
    <row r="326" spans="1:258" hidden="1"/>
    <row r="327" spans="1:258" hidden="1"/>
    <row r="328" spans="1:258" hidden="1"/>
    <row r="329" spans="1:258" hidden="1"/>
    <row r="330" spans="1:258" hidden="1"/>
    <row r="331" spans="1:258" hidden="1"/>
    <row r="332" spans="1:258" hidden="1"/>
    <row r="333" spans="1:258" hidden="1"/>
    <row r="334" spans="1:258" hidden="1"/>
    <row r="335" spans="1:258" hidden="1"/>
    <row r="336" spans="1:258" hidden="1"/>
    <row r="337" spans="3:3" hidden="1"/>
    <row r="338" spans="3:3" hidden="1"/>
    <row r="339" spans="3:3" hidden="1"/>
    <row r="340" spans="3:3" hidden="1"/>
    <row r="341" spans="3:3" hidden="1"/>
    <row r="342" spans="3:3" hidden="1"/>
    <row r="343" spans="3:3" hidden="1"/>
    <row r="344" spans="3:3" hidden="1"/>
    <row r="345" spans="3:3" hidden="1"/>
    <row r="346" spans="3:3" hidden="1">
      <c r="C346" s="2788"/>
    </row>
    <row r="347" spans="3:3" hidden="1"/>
    <row r="348" spans="3:3" hidden="1"/>
    <row r="349" spans="3:3" hidden="1"/>
    <row r="350" spans="3:3" hidden="1"/>
    <row r="351" spans="3:3" hidden="1"/>
    <row r="352" spans="3:3" hidden="1"/>
    <row r="353" spans="1:12" hidden="1"/>
    <row r="354" spans="1:12" hidden="1"/>
    <row r="355" spans="1:12" hidden="1"/>
    <row r="356" spans="1:12" hidden="1"/>
    <row r="357" spans="1:12" hidden="1"/>
    <row r="358" spans="1:12" hidden="1"/>
    <row r="359" spans="1:12" hidden="1"/>
    <row r="360" spans="1:12" ht="32.450000000000003" hidden="1" customHeight="1">
      <c r="A360" s="4621" t="s">
        <v>400</v>
      </c>
      <c r="B360" s="4621" t="s">
        <v>3625</v>
      </c>
      <c r="C360" s="4621" t="s">
        <v>692</v>
      </c>
      <c r="D360" s="4622" t="s">
        <v>469</v>
      </c>
      <c r="E360" s="4622"/>
      <c r="F360" s="4622"/>
      <c r="G360" s="4622"/>
      <c r="H360" s="2789"/>
      <c r="I360" s="4623" t="s">
        <v>3626</v>
      </c>
      <c r="J360" s="4621"/>
      <c r="K360" s="4621"/>
      <c r="L360" s="4624"/>
    </row>
    <row r="361" spans="1:12" ht="35.1" hidden="1" customHeight="1" thickBot="1">
      <c r="A361" s="4621"/>
      <c r="B361" s="4621"/>
      <c r="C361" s="4621"/>
      <c r="D361" s="2790" t="s">
        <v>3627</v>
      </c>
      <c r="E361" s="2790" t="s">
        <v>3628</v>
      </c>
      <c r="F361" s="2790">
        <v>2015</v>
      </c>
      <c r="G361" s="2790">
        <v>2016</v>
      </c>
      <c r="H361" s="2791"/>
      <c r="I361" s="2792" t="s">
        <v>3627</v>
      </c>
      <c r="J361" s="2793" t="s">
        <v>3628</v>
      </c>
      <c r="K361" s="2793">
        <v>2015</v>
      </c>
      <c r="L361" s="2794">
        <v>2016</v>
      </c>
    </row>
    <row r="362" spans="1:12" ht="16.5" hidden="1" thickTop="1">
      <c r="A362" s="2795" t="s">
        <v>697</v>
      </c>
      <c r="B362" s="2796" t="s">
        <v>698</v>
      </c>
      <c r="C362" s="2796"/>
      <c r="D362" s="2797"/>
      <c r="E362" s="2797"/>
      <c r="F362" s="2797"/>
      <c r="G362" s="2798"/>
      <c r="H362" s="2799"/>
      <c r="I362" s="2800"/>
      <c r="J362" s="2796"/>
      <c r="K362" s="2796"/>
      <c r="L362" s="2801"/>
    </row>
    <row r="363" spans="1:12" hidden="1">
      <c r="A363" s="2802" t="s">
        <v>699</v>
      </c>
      <c r="B363" s="2803" t="s">
        <v>700</v>
      </c>
      <c r="C363" s="2804" t="s">
        <v>240</v>
      </c>
      <c r="D363" s="2805">
        <f t="shared" ref="D363:G376" si="51">SUMIF($K$8:$P$8,"="&amp;D$8,$K363:$P363)</f>
        <v>57.180120000000002</v>
      </c>
      <c r="E363" s="2805">
        <f t="shared" si="51"/>
        <v>57.180120000000002</v>
      </c>
      <c r="F363" s="2805">
        <f t="shared" si="51"/>
        <v>57.180120000000002</v>
      </c>
      <c r="G363" s="2806">
        <f t="shared" si="51"/>
        <v>57.180120000000002</v>
      </c>
      <c r="H363" s="2807"/>
      <c r="I363" s="2808">
        <v>93.111199999999997</v>
      </c>
      <c r="J363" s="2808">
        <v>93.649237999999997</v>
      </c>
      <c r="K363" s="2809">
        <v>97.495531999999997</v>
      </c>
      <c r="L363" s="2809">
        <f>C17</f>
        <v>57.180120000000002</v>
      </c>
    </row>
    <row r="364" spans="1:12" hidden="1">
      <c r="A364" s="2802" t="s">
        <v>688</v>
      </c>
      <c r="B364" s="2803" t="s">
        <v>3629</v>
      </c>
      <c r="C364" s="2804" t="s">
        <v>240</v>
      </c>
      <c r="D364" s="2805">
        <f t="shared" si="51"/>
        <v>57.180120000000002</v>
      </c>
      <c r="E364" s="2805">
        <f t="shared" si="51"/>
        <v>57.180120000000002</v>
      </c>
      <c r="F364" s="2805">
        <f t="shared" si="51"/>
        <v>57.180120000000002</v>
      </c>
      <c r="G364" s="2806">
        <f t="shared" si="51"/>
        <v>57.180120000000002</v>
      </c>
      <c r="H364" s="2807"/>
      <c r="I364" s="2810">
        <f>I365+I369</f>
        <v>93.111199999999997</v>
      </c>
      <c r="J364" s="2810">
        <f>J365+J369</f>
        <v>93.649237999999997</v>
      </c>
      <c r="K364" s="2811">
        <f>K365+K369</f>
        <v>97.495531999999997</v>
      </c>
      <c r="L364" s="2811">
        <f>L365+L369</f>
        <v>57.180120000000002</v>
      </c>
    </row>
    <row r="365" spans="1:12" hidden="1">
      <c r="A365" s="2802" t="s">
        <v>702</v>
      </c>
      <c r="B365" s="2812" t="s">
        <v>3630</v>
      </c>
      <c r="C365" s="2804" t="s">
        <v>240</v>
      </c>
      <c r="D365" s="2805">
        <f t="shared" si="51"/>
        <v>57.180120000000002</v>
      </c>
      <c r="E365" s="2805">
        <f t="shared" si="51"/>
        <v>57.180120000000002</v>
      </c>
      <c r="F365" s="2805">
        <f t="shared" si="51"/>
        <v>57.180120000000002</v>
      </c>
      <c r="G365" s="2806">
        <f t="shared" si="51"/>
        <v>57.180120000000002</v>
      </c>
      <c r="H365" s="2807"/>
      <c r="I365" s="2808">
        <v>93.111199999999997</v>
      </c>
      <c r="J365" s="2808">
        <f>J363</f>
        <v>93.649237999999997</v>
      </c>
      <c r="K365" s="2809">
        <v>97.495531999999997</v>
      </c>
      <c r="L365" s="2809">
        <f>L363</f>
        <v>57.180120000000002</v>
      </c>
    </row>
    <row r="366" spans="1:12" ht="22.5" hidden="1">
      <c r="A366" s="2802" t="s">
        <v>704</v>
      </c>
      <c r="B366" s="2813" t="s">
        <v>3631</v>
      </c>
      <c r="C366" s="2804" t="s">
        <v>240</v>
      </c>
      <c r="D366" s="2805">
        <f t="shared" si="51"/>
        <v>24.830238999999999</v>
      </c>
      <c r="E366" s="2805">
        <f t="shared" si="51"/>
        <v>24.830238999999999</v>
      </c>
      <c r="F366" s="2805">
        <f t="shared" si="51"/>
        <v>24.830238999999999</v>
      </c>
      <c r="G366" s="2806">
        <f t="shared" si="51"/>
        <v>24.830238999999999</v>
      </c>
      <c r="H366" s="2807"/>
      <c r="I366" s="2810">
        <f>SUM(I367:I368)</f>
        <v>34.573059540000003</v>
      </c>
      <c r="J366" s="2810">
        <f>SUM(J367:J368)</f>
        <v>34.573059540000003</v>
      </c>
      <c r="K366" s="2811">
        <f>SUM(K367:K368)</f>
        <v>34.573059540000003</v>
      </c>
      <c r="L366" s="2811">
        <f>SUM(L367:L368)</f>
        <v>24.830238999999999</v>
      </c>
    </row>
    <row r="367" spans="1:12" ht="22.5" hidden="1">
      <c r="A367" s="2802" t="s">
        <v>3632</v>
      </c>
      <c r="B367" s="2814" t="s">
        <v>557</v>
      </c>
      <c r="C367" s="2804" t="s">
        <v>240</v>
      </c>
      <c r="D367" s="2805">
        <f t="shared" si="51"/>
        <v>0</v>
      </c>
      <c r="E367" s="2805">
        <f t="shared" si="51"/>
        <v>0</v>
      </c>
      <c r="F367" s="2805">
        <f t="shared" si="51"/>
        <v>0</v>
      </c>
      <c r="G367" s="2806">
        <f t="shared" si="51"/>
        <v>0</v>
      </c>
      <c r="H367" s="2807"/>
      <c r="I367" s="2808"/>
      <c r="J367" s="2808"/>
      <c r="K367" s="2809"/>
      <c r="L367" s="2809"/>
    </row>
    <row r="368" spans="1:12" ht="22.5" hidden="1">
      <c r="A368" s="2802" t="s">
        <v>3633</v>
      </c>
      <c r="B368" s="2814" t="s">
        <v>558</v>
      </c>
      <c r="C368" s="2804" t="s">
        <v>240</v>
      </c>
      <c r="D368" s="2805">
        <f t="shared" si="51"/>
        <v>24.830238999999999</v>
      </c>
      <c r="E368" s="2805">
        <f t="shared" si="51"/>
        <v>24.830238999999999</v>
      </c>
      <c r="F368" s="2805">
        <f t="shared" si="51"/>
        <v>24.830238999999999</v>
      </c>
      <c r="G368" s="2806">
        <f t="shared" si="51"/>
        <v>24.830238999999999</v>
      </c>
      <c r="H368" s="2807"/>
      <c r="I368" s="2808">
        <v>34.573059540000003</v>
      </c>
      <c r="J368" s="2808">
        <f>I368</f>
        <v>34.573059540000003</v>
      </c>
      <c r="K368" s="2809">
        <v>34.573059540000003</v>
      </c>
      <c r="L368" s="2809">
        <f>C45</f>
        <v>24.830238999999999</v>
      </c>
    </row>
    <row r="369" spans="1:13" hidden="1">
      <c r="A369" s="2802" t="s">
        <v>706</v>
      </c>
      <c r="B369" s="2815" t="s">
        <v>3634</v>
      </c>
      <c r="C369" s="2804" t="s">
        <v>240</v>
      </c>
      <c r="D369" s="2805">
        <f t="shared" si="51"/>
        <v>0</v>
      </c>
      <c r="E369" s="2805">
        <f t="shared" si="51"/>
        <v>0</v>
      </c>
      <c r="F369" s="2805">
        <f t="shared" si="51"/>
        <v>0</v>
      </c>
      <c r="G369" s="2806">
        <f t="shared" si="51"/>
        <v>0</v>
      </c>
      <c r="H369" s="2807"/>
      <c r="I369" s="2808"/>
      <c r="J369" s="2808"/>
      <c r="K369" s="2809"/>
      <c r="L369" s="2809"/>
    </row>
    <row r="370" spans="1:13" ht="22.5" hidden="1">
      <c r="A370" s="2802" t="s">
        <v>3635</v>
      </c>
      <c r="B370" s="2816" t="s">
        <v>3631</v>
      </c>
      <c r="C370" s="2804" t="s">
        <v>240</v>
      </c>
      <c r="D370" s="2805">
        <f t="shared" si="51"/>
        <v>0</v>
      </c>
      <c r="E370" s="2805">
        <f t="shared" si="51"/>
        <v>0</v>
      </c>
      <c r="F370" s="2805">
        <f t="shared" si="51"/>
        <v>0</v>
      </c>
      <c r="G370" s="2806">
        <f t="shared" si="51"/>
        <v>0</v>
      </c>
      <c r="H370" s="2807"/>
      <c r="I370" s="2810">
        <f>SUM(I371:I372)</f>
        <v>0</v>
      </c>
      <c r="J370" s="2810">
        <f>SUM(J371:J372)</f>
        <v>0</v>
      </c>
      <c r="K370" s="2811">
        <f>SUM(K371:K372)</f>
        <v>0</v>
      </c>
      <c r="L370" s="2811">
        <f>SUM(L371:L372)</f>
        <v>0</v>
      </c>
    </row>
    <row r="371" spans="1:13" ht="22.5" hidden="1">
      <c r="A371" s="2802" t="s">
        <v>3636</v>
      </c>
      <c r="B371" s="2817" t="s">
        <v>557</v>
      </c>
      <c r="C371" s="2804" t="s">
        <v>240</v>
      </c>
      <c r="D371" s="2805">
        <f t="shared" si="51"/>
        <v>0</v>
      </c>
      <c r="E371" s="2805">
        <f t="shared" si="51"/>
        <v>0</v>
      </c>
      <c r="F371" s="2805">
        <f t="shared" si="51"/>
        <v>0</v>
      </c>
      <c r="G371" s="2806">
        <f t="shared" si="51"/>
        <v>0</v>
      </c>
      <c r="H371" s="2807"/>
      <c r="I371" s="2808"/>
      <c r="J371" s="2808"/>
      <c r="K371" s="2809"/>
      <c r="L371" s="2809"/>
    </row>
    <row r="372" spans="1:13" ht="22.5" hidden="1">
      <c r="A372" s="2802" t="s">
        <v>3637</v>
      </c>
      <c r="B372" s="2817" t="s">
        <v>558</v>
      </c>
      <c r="C372" s="2804" t="s">
        <v>240</v>
      </c>
      <c r="D372" s="2805">
        <f t="shared" si="51"/>
        <v>0</v>
      </c>
      <c r="E372" s="2805">
        <f t="shared" si="51"/>
        <v>0</v>
      </c>
      <c r="F372" s="2805">
        <f t="shared" si="51"/>
        <v>0</v>
      </c>
      <c r="G372" s="2806">
        <f t="shared" si="51"/>
        <v>0</v>
      </c>
      <c r="H372" s="2807"/>
      <c r="I372" s="2808"/>
      <c r="J372" s="2808"/>
      <c r="K372" s="2809"/>
      <c r="L372" s="2809"/>
    </row>
    <row r="373" spans="1:13" ht="22.5" hidden="1">
      <c r="A373" s="2802" t="s">
        <v>708</v>
      </c>
      <c r="B373" s="2803" t="s">
        <v>3638</v>
      </c>
      <c r="C373" s="2804" t="s">
        <v>240</v>
      </c>
      <c r="D373" s="2805">
        <f t="shared" si="51"/>
        <v>55.391792000000002</v>
      </c>
      <c r="E373" s="2805">
        <f t="shared" si="51"/>
        <v>55.391792000000002</v>
      </c>
      <c r="F373" s="2805">
        <f t="shared" si="51"/>
        <v>55.391792000000002</v>
      </c>
      <c r="G373" s="2806">
        <f t="shared" si="51"/>
        <v>55.391792000000002</v>
      </c>
      <c r="H373" s="2807"/>
      <c r="I373" s="2810">
        <f>I374+I375</f>
        <v>83.856799999999993</v>
      </c>
      <c r="J373" s="2810">
        <f>J374+J375</f>
        <v>85.017830000000004</v>
      </c>
      <c r="K373" s="2811">
        <f>K374+K375</f>
        <v>88.486944539999996</v>
      </c>
      <c r="L373" s="2811">
        <f>L374+L375</f>
        <v>55.391792000000002</v>
      </c>
      <c r="M373" s="2818"/>
    </row>
    <row r="374" spans="1:13" ht="22.5" hidden="1">
      <c r="A374" s="2802" t="s">
        <v>710</v>
      </c>
      <c r="B374" s="2812" t="s">
        <v>3631</v>
      </c>
      <c r="C374" s="2804" t="s">
        <v>240</v>
      </c>
      <c r="D374" s="2805">
        <f t="shared" si="51"/>
        <v>24.830238999999999</v>
      </c>
      <c r="E374" s="2805">
        <f t="shared" si="51"/>
        <v>24.830238999999999</v>
      </c>
      <c r="F374" s="2805">
        <f t="shared" si="51"/>
        <v>24.830238999999999</v>
      </c>
      <c r="G374" s="2806">
        <f t="shared" si="51"/>
        <v>24.830238999999999</v>
      </c>
      <c r="H374" s="2807"/>
      <c r="I374" s="2808">
        <v>34.573059540000003</v>
      </c>
      <c r="J374" s="2808">
        <v>35.233114</v>
      </c>
      <c r="K374" s="2809">
        <v>34.573059540000003</v>
      </c>
      <c r="L374" s="2809">
        <f>L368</f>
        <v>24.830238999999999</v>
      </c>
    </row>
    <row r="375" spans="1:13" hidden="1">
      <c r="A375" s="2802" t="s">
        <v>711</v>
      </c>
      <c r="B375" s="2812" t="s">
        <v>280</v>
      </c>
      <c r="C375" s="2804" t="s">
        <v>240</v>
      </c>
      <c r="D375" s="2805">
        <f t="shared" si="51"/>
        <v>30.561553000000004</v>
      </c>
      <c r="E375" s="2805">
        <f t="shared" si="51"/>
        <v>30.561553000000004</v>
      </c>
      <c r="F375" s="2805">
        <f t="shared" si="51"/>
        <v>30.561553000000004</v>
      </c>
      <c r="G375" s="2806">
        <f t="shared" si="51"/>
        <v>30.561553000000004</v>
      </c>
      <c r="H375" s="2807"/>
      <c r="I375" s="2808">
        <v>49.28374045999999</v>
      </c>
      <c r="J375" s="2808">
        <v>49.784715999999996</v>
      </c>
      <c r="K375" s="2809">
        <v>53.913885000000001</v>
      </c>
      <c r="L375" s="2809">
        <f>C93-L374</f>
        <v>30.561553000000004</v>
      </c>
      <c r="M375" s="2818"/>
    </row>
    <row r="376" spans="1:13" hidden="1">
      <c r="A376" s="2802" t="s">
        <v>723</v>
      </c>
      <c r="B376" s="2803" t="s">
        <v>3639</v>
      </c>
      <c r="C376" s="2804" t="s">
        <v>240</v>
      </c>
      <c r="D376" s="2805">
        <f t="shared" si="51"/>
        <v>1.7883280000000001</v>
      </c>
      <c r="E376" s="2805">
        <f t="shared" si="51"/>
        <v>1.7883280000000001</v>
      </c>
      <c r="F376" s="2805">
        <f t="shared" si="51"/>
        <v>1.7883280000000001</v>
      </c>
      <c r="G376" s="2806">
        <f t="shared" si="51"/>
        <v>1.7883280000000001</v>
      </c>
      <c r="H376" s="2807"/>
      <c r="I376" s="2808">
        <v>9.2544000000000004</v>
      </c>
      <c r="J376" s="2808">
        <v>8.6314080000000004</v>
      </c>
      <c r="K376" s="2809">
        <v>9.0085870000000003</v>
      </c>
      <c r="L376" s="2809">
        <f>C20</f>
        <v>1.7883280000000001</v>
      </c>
    </row>
    <row r="377" spans="1:13" hidden="1">
      <c r="A377" s="2819" t="s">
        <v>725</v>
      </c>
      <c r="B377" s="2820" t="s">
        <v>195</v>
      </c>
      <c r="C377" s="2820"/>
      <c r="D377" s="2821"/>
      <c r="E377" s="2821"/>
      <c r="F377" s="2821"/>
      <c r="G377" s="2822"/>
      <c r="H377" s="2823"/>
      <c r="I377" s="2820"/>
      <c r="J377" s="2820"/>
      <c r="K377" s="2824"/>
      <c r="L377" s="2824"/>
    </row>
    <row r="378" spans="1:13" hidden="1">
      <c r="A378" s="2825" t="s">
        <v>726</v>
      </c>
      <c r="B378" s="2826" t="s">
        <v>3640</v>
      </c>
      <c r="C378" s="2804" t="s">
        <v>420</v>
      </c>
      <c r="D378" s="2805">
        <f t="shared" ref="D378:G388" si="52">SUMIF($K$8:$P$8,"="&amp;D$8,$K378:$P378)</f>
        <v>0</v>
      </c>
      <c r="E378" s="2805">
        <f t="shared" si="52"/>
        <v>0</v>
      </c>
      <c r="F378" s="2805">
        <f t="shared" si="52"/>
        <v>0</v>
      </c>
      <c r="G378" s="2806">
        <f t="shared" si="52"/>
        <v>0</v>
      </c>
      <c r="H378" s="2807"/>
      <c r="I378" s="2808">
        <v>196.8227</v>
      </c>
      <c r="J378" s="2809">
        <v>147.61702500000001</v>
      </c>
      <c r="K378" s="2809">
        <v>147.61702500000001</v>
      </c>
      <c r="L378" s="2809">
        <f>H17</f>
        <v>0</v>
      </c>
    </row>
    <row r="379" spans="1:13" hidden="1">
      <c r="A379" s="2825" t="s">
        <v>728</v>
      </c>
      <c r="B379" s="2812" t="s">
        <v>3641</v>
      </c>
      <c r="C379" s="2804" t="s">
        <v>420</v>
      </c>
      <c r="D379" s="2805">
        <f t="shared" si="52"/>
        <v>0</v>
      </c>
      <c r="E379" s="2805">
        <f t="shared" si="52"/>
        <v>0</v>
      </c>
      <c r="F379" s="2805">
        <f t="shared" si="52"/>
        <v>0</v>
      </c>
      <c r="G379" s="2806">
        <f t="shared" si="52"/>
        <v>0</v>
      </c>
      <c r="H379" s="2807"/>
      <c r="I379" s="2808">
        <v>196.8227</v>
      </c>
      <c r="J379" s="2809">
        <v>147.61702500000001</v>
      </c>
      <c r="K379" s="2809">
        <v>147.61702500000001</v>
      </c>
      <c r="L379" s="2809">
        <f>L378</f>
        <v>0</v>
      </c>
    </row>
    <row r="380" spans="1:13" ht="22.5" hidden="1">
      <c r="A380" s="2825" t="s">
        <v>730</v>
      </c>
      <c r="B380" s="2813" t="s">
        <v>3642</v>
      </c>
      <c r="C380" s="2804" t="s">
        <v>420</v>
      </c>
      <c r="D380" s="2805">
        <f t="shared" si="52"/>
        <v>49.660477999999998</v>
      </c>
      <c r="E380" s="2805">
        <f t="shared" si="52"/>
        <v>49.660477999999998</v>
      </c>
      <c r="F380" s="2805">
        <f t="shared" si="52"/>
        <v>49.660477999999998</v>
      </c>
      <c r="G380" s="2806">
        <f t="shared" si="52"/>
        <v>49.660477999999998</v>
      </c>
      <c r="H380" s="2807"/>
      <c r="I380" s="2810">
        <f>SUM(I381:I382)</f>
        <v>84.433098700000002</v>
      </c>
      <c r="J380" s="2811">
        <f>SUM(J381:J382)</f>
        <v>84.433098700000002</v>
      </c>
      <c r="K380" s="2811">
        <f>SUM(K381:K382)</f>
        <v>84.433098700000002</v>
      </c>
      <c r="L380" s="2811">
        <f>SUM(L381:L382)</f>
        <v>49.660477999999998</v>
      </c>
    </row>
    <row r="381" spans="1:13" ht="22.5" hidden="1">
      <c r="A381" s="2825" t="s">
        <v>3643</v>
      </c>
      <c r="B381" s="2814" t="s">
        <v>557</v>
      </c>
      <c r="C381" s="2804" t="s">
        <v>420</v>
      </c>
      <c r="D381" s="2805">
        <f t="shared" si="52"/>
        <v>0</v>
      </c>
      <c r="E381" s="2805">
        <f t="shared" si="52"/>
        <v>0</v>
      </c>
      <c r="F381" s="2805">
        <f t="shared" si="52"/>
        <v>0</v>
      </c>
      <c r="G381" s="2806">
        <f t="shared" si="52"/>
        <v>0</v>
      </c>
      <c r="H381" s="2807"/>
      <c r="I381" s="2808"/>
      <c r="J381" s="2809"/>
      <c r="K381" s="2809"/>
      <c r="L381" s="2809"/>
    </row>
    <row r="382" spans="1:13" ht="22.5" hidden="1">
      <c r="A382" s="2825" t="s">
        <v>3644</v>
      </c>
      <c r="B382" s="2814" t="s">
        <v>558</v>
      </c>
      <c r="C382" s="2804" t="s">
        <v>420</v>
      </c>
      <c r="D382" s="2805">
        <f t="shared" si="52"/>
        <v>49.660477999999998</v>
      </c>
      <c r="E382" s="2805">
        <f t="shared" si="52"/>
        <v>49.660477999999998</v>
      </c>
      <c r="F382" s="2805">
        <f t="shared" si="52"/>
        <v>49.660477999999998</v>
      </c>
      <c r="G382" s="2806">
        <f t="shared" si="52"/>
        <v>49.660477999999998</v>
      </c>
      <c r="H382" s="2807"/>
      <c r="I382" s="2808">
        <v>84.433098700000002</v>
      </c>
      <c r="J382" s="2809">
        <v>84.433098700000002</v>
      </c>
      <c r="K382" s="2809">
        <v>84.433098700000002</v>
      </c>
      <c r="L382" s="2809">
        <f>H45</f>
        <v>49.660477999999998</v>
      </c>
    </row>
    <row r="383" spans="1:13" ht="22.5" hidden="1">
      <c r="A383" s="2825" t="s">
        <v>731</v>
      </c>
      <c r="B383" s="2815" t="s">
        <v>3645</v>
      </c>
      <c r="C383" s="2804" t="s">
        <v>420</v>
      </c>
      <c r="D383" s="2805">
        <f t="shared" si="52"/>
        <v>0</v>
      </c>
      <c r="E383" s="2805">
        <f t="shared" si="52"/>
        <v>0</v>
      </c>
      <c r="F383" s="2805">
        <f t="shared" si="52"/>
        <v>0</v>
      </c>
      <c r="G383" s="2806">
        <f t="shared" si="52"/>
        <v>0</v>
      </c>
      <c r="H383" s="2807"/>
      <c r="I383" s="2808"/>
      <c r="J383" s="2809"/>
      <c r="K383" s="2809"/>
      <c r="L383" s="2809"/>
    </row>
    <row r="384" spans="1:13" ht="22.5" hidden="1">
      <c r="A384" s="2825" t="s">
        <v>3646</v>
      </c>
      <c r="B384" s="2816" t="s">
        <v>3642</v>
      </c>
      <c r="C384" s="2804" t="s">
        <v>420</v>
      </c>
      <c r="D384" s="2805">
        <f t="shared" si="52"/>
        <v>0</v>
      </c>
      <c r="E384" s="2805">
        <f t="shared" si="52"/>
        <v>0</v>
      </c>
      <c r="F384" s="2805">
        <f t="shared" si="52"/>
        <v>0</v>
      </c>
      <c r="G384" s="2806">
        <f t="shared" si="52"/>
        <v>0</v>
      </c>
      <c r="H384" s="2807"/>
      <c r="I384" s="2810">
        <f>SUM(I385:I386)</f>
        <v>0</v>
      </c>
      <c r="J384" s="2811">
        <f>SUM(J385:J386)</f>
        <v>0</v>
      </c>
      <c r="K384" s="2811">
        <f>SUM(K385:K386)</f>
        <v>0</v>
      </c>
      <c r="L384" s="2811">
        <f>SUM(L385:L386)</f>
        <v>0</v>
      </c>
    </row>
    <row r="385" spans="1:25" ht="22.5" hidden="1">
      <c r="A385" s="2825" t="s">
        <v>3647</v>
      </c>
      <c r="B385" s="2817" t="s">
        <v>557</v>
      </c>
      <c r="C385" s="2804" t="s">
        <v>420</v>
      </c>
      <c r="D385" s="2805">
        <f t="shared" si="52"/>
        <v>0</v>
      </c>
      <c r="E385" s="2805">
        <f t="shared" si="52"/>
        <v>0</v>
      </c>
      <c r="F385" s="2805">
        <f t="shared" si="52"/>
        <v>0</v>
      </c>
      <c r="G385" s="2806">
        <f t="shared" si="52"/>
        <v>0</v>
      </c>
      <c r="H385" s="2807"/>
      <c r="I385" s="2808"/>
      <c r="J385" s="2809"/>
      <c r="K385" s="2809"/>
      <c r="L385" s="2809"/>
    </row>
    <row r="386" spans="1:25" ht="22.5" hidden="1">
      <c r="A386" s="2825" t="s">
        <v>3648</v>
      </c>
      <c r="B386" s="2817" t="s">
        <v>558</v>
      </c>
      <c r="C386" s="2804" t="s">
        <v>420</v>
      </c>
      <c r="D386" s="2805">
        <f t="shared" si="52"/>
        <v>0</v>
      </c>
      <c r="E386" s="2805">
        <f t="shared" si="52"/>
        <v>0</v>
      </c>
      <c r="F386" s="2805">
        <f t="shared" si="52"/>
        <v>0</v>
      </c>
      <c r="G386" s="2806">
        <f t="shared" si="52"/>
        <v>0</v>
      </c>
      <c r="H386" s="2807"/>
      <c r="I386" s="2808"/>
      <c r="J386" s="2809"/>
      <c r="K386" s="2809"/>
      <c r="L386" s="2809"/>
    </row>
    <row r="387" spans="1:25" ht="22.5" hidden="1">
      <c r="A387" s="2825" t="s">
        <v>733</v>
      </c>
      <c r="B387" s="2803" t="s">
        <v>743</v>
      </c>
      <c r="C387" s="2804" t="s">
        <v>420</v>
      </c>
      <c r="D387" s="2805">
        <f t="shared" si="52"/>
        <v>92.806199882352928</v>
      </c>
      <c r="E387" s="2805">
        <f t="shared" si="52"/>
        <v>92.806199882352928</v>
      </c>
      <c r="F387" s="2805">
        <f t="shared" si="52"/>
        <v>92.806199882352928</v>
      </c>
      <c r="G387" s="2806">
        <f t="shared" si="52"/>
        <v>92.806199882352928</v>
      </c>
      <c r="H387" s="2807"/>
      <c r="I387" s="2808">
        <v>177.26032732216962</v>
      </c>
      <c r="J387" s="2809">
        <v>133.97721143092787</v>
      </c>
      <c r="K387" s="2809">
        <v>133.97721143092787</v>
      </c>
      <c r="L387" s="2809">
        <f>H93</f>
        <v>92.806199882352928</v>
      </c>
    </row>
    <row r="388" spans="1:25" ht="22.5" hidden="1">
      <c r="A388" s="2825" t="s">
        <v>736</v>
      </c>
      <c r="B388" s="2803" t="s">
        <v>3649</v>
      </c>
      <c r="C388" s="2804" t="s">
        <v>420</v>
      </c>
      <c r="D388" s="2805">
        <f t="shared" si="52"/>
        <v>0</v>
      </c>
      <c r="E388" s="2805">
        <f t="shared" si="52"/>
        <v>0</v>
      </c>
      <c r="F388" s="2805">
        <f t="shared" si="52"/>
        <v>0</v>
      </c>
      <c r="G388" s="2806">
        <f t="shared" si="52"/>
        <v>0</v>
      </c>
      <c r="H388" s="2807"/>
      <c r="I388" s="2808"/>
      <c r="J388" s="2809"/>
      <c r="K388" s="2809"/>
      <c r="L388" s="2809"/>
    </row>
    <row r="389" spans="1:25" hidden="1"/>
    <row r="390" spans="1:25" hidden="1"/>
    <row r="391" spans="1:25" hidden="1">
      <c r="B391" s="2827">
        <f>SUM(B392:B395)</f>
        <v>0.25</v>
      </c>
      <c r="C391" s="2827">
        <f>SUM(C392:C395)</f>
        <v>0.26200000000000001</v>
      </c>
      <c r="D391" s="2827">
        <f>(B391+C391)/2</f>
        <v>0.25600000000000001</v>
      </c>
      <c r="E391" s="2827">
        <f>SUM(E392:E395)</f>
        <v>0.219</v>
      </c>
      <c r="F391" s="2827">
        <f>(B391+C391+E391)/3</f>
        <v>0.24366666666666667</v>
      </c>
      <c r="G391" s="2827">
        <f>SUM(G392:G395)</f>
        <v>0.24299999999999999</v>
      </c>
      <c r="H391" s="2827">
        <f>(B391+C391+E391+G391)/4</f>
        <v>0.24349999999999999</v>
      </c>
      <c r="I391" s="2827">
        <f>SUM(I392:I395)</f>
        <v>0.184</v>
      </c>
      <c r="J391" s="2827">
        <f>(B391+C391+E391+G391+I391)/5</f>
        <v>0.23159999999999997</v>
      </c>
      <c r="K391" s="2827">
        <f>SUM(K392:K395)</f>
        <v>0.17599999999999999</v>
      </c>
      <c r="L391" s="2827">
        <f>(G391+I391+K391)/3</f>
        <v>0.20099999999999998</v>
      </c>
      <c r="M391" s="2827">
        <f>SUM(M392:M395)</f>
        <v>0.22700000000000001</v>
      </c>
      <c r="N391" s="2827">
        <f>(B391+C391+E391+G391+I391+K391+M391)/7</f>
        <v>0.223</v>
      </c>
      <c r="O391" s="2827">
        <f>SUM(O392:O395)</f>
        <v>0.20499999999999999</v>
      </c>
      <c r="P391" s="2827">
        <f>(B391+C391+E391+G391+I391+K391+M391+O391)/8</f>
        <v>0.22075</v>
      </c>
      <c r="Q391" s="2827">
        <f>SUM(Q392:Q395)</f>
        <v>0.20799999999999999</v>
      </c>
      <c r="R391" s="2827">
        <f>(M391+O391+Q391)/3</f>
        <v>0.21333333333333335</v>
      </c>
      <c r="S391" s="2827">
        <f>(B391+C391+E391+G391+I391+K391+M391+O391+Q391)/9</f>
        <v>0.21933333333333332</v>
      </c>
      <c r="T391" s="2827">
        <f>SUM(T392:T395)</f>
        <v>0.215</v>
      </c>
      <c r="U391" s="2827">
        <f>(B391+C391+E391+G391+I391+K391+M391+O391+Q391+T391)/10</f>
        <v>0.21890000000000001</v>
      </c>
      <c r="V391" s="2827">
        <f>SUM(V392:V395)</f>
        <v>0.247</v>
      </c>
      <c r="W391" s="2827">
        <f>(B391+C391+E391+G391+I391+K391+M391+O391+Q391+T391+V391)/11</f>
        <v>0.22145454545454546</v>
      </c>
      <c r="X391" s="2827">
        <f>SUM(X392:X395)</f>
        <v>0.24</v>
      </c>
      <c r="Y391" s="2827">
        <f>(T391+V391+X391)/3</f>
        <v>0.23399999999999999</v>
      </c>
    </row>
    <row r="392" spans="1:25" ht="15.6" hidden="1" customHeight="1">
      <c r="A392" s="4157" t="s">
        <v>3</v>
      </c>
      <c r="B392" s="2828"/>
      <c r="C392" s="2828"/>
      <c r="D392" s="2829">
        <f>(B392+C392)/2</f>
        <v>0</v>
      </c>
      <c r="E392" s="2828"/>
      <c r="F392" s="2829">
        <f>(B392+C392+E392)/3</f>
        <v>0</v>
      </c>
      <c r="G392" s="2828"/>
      <c r="H392" s="2829">
        <f>(B392+C392+E392+G392)/4</f>
        <v>0</v>
      </c>
      <c r="I392" s="2828"/>
      <c r="J392" s="2829">
        <f>(B392+C392+E392+G392+I392)/5</f>
        <v>0</v>
      </c>
      <c r="K392" s="2828"/>
      <c r="L392" s="2829">
        <f>(G392+I392+K392)/3</f>
        <v>0</v>
      </c>
      <c r="M392" s="2828"/>
      <c r="N392" s="2829">
        <f>(B392+C392+E392+G392+I392+K392+M392)/7</f>
        <v>0</v>
      </c>
      <c r="O392" s="2828"/>
      <c r="P392" s="2829">
        <f>(B392+C392+E392+G392+I392+K392+M392+O392)/8</f>
        <v>0</v>
      </c>
      <c r="Q392" s="2828"/>
      <c r="R392" s="2829">
        <f>(M392+O392+Q392)/3</f>
        <v>0</v>
      </c>
      <c r="S392" s="2829">
        <f>(B392+C392+E392+G392+I392+K392+M392+O392+Q392)/9</f>
        <v>0</v>
      </c>
      <c r="T392" s="2828"/>
      <c r="U392" s="2829">
        <f>(B392+C392+E392+G392+I392+K392+M392+O392+Q392+T392)/10</f>
        <v>0</v>
      </c>
      <c r="V392" s="2828"/>
      <c r="W392" s="2829">
        <f>(B392+C392+E392+G392+I392+K392+M392+O392+Q392+T392+V392)/11</f>
        <v>0</v>
      </c>
      <c r="X392" s="2828"/>
      <c r="Y392" s="2829">
        <f>(T392+V392+X392)/3</f>
        <v>0</v>
      </c>
    </row>
    <row r="393" spans="1:25" ht="24.95" hidden="1" customHeight="1" thickBot="1">
      <c r="A393" s="4158"/>
      <c r="B393" s="2828"/>
      <c r="C393" s="2828"/>
      <c r="D393" s="2829">
        <f>(B393+C393)/2</f>
        <v>0</v>
      </c>
      <c r="E393" s="2828"/>
      <c r="F393" s="2829">
        <f>(B393+C393+E393)/3</f>
        <v>0</v>
      </c>
      <c r="G393" s="2828"/>
      <c r="H393" s="2829">
        <f>(B393+C393+E393+G393)/4</f>
        <v>0</v>
      </c>
      <c r="I393" s="2828"/>
      <c r="J393" s="2829">
        <f>(B393+C393+E393+G393+I393)/5</f>
        <v>0</v>
      </c>
      <c r="K393" s="2828"/>
      <c r="L393" s="2829">
        <f>(G393+I393+K393)/3</f>
        <v>0</v>
      </c>
      <c r="M393" s="2828"/>
      <c r="N393" s="2829">
        <f>(B393+C393+E393+G393+I393+K393+M393)/7</f>
        <v>0</v>
      </c>
      <c r="O393" s="2828"/>
      <c r="P393" s="2829">
        <f>(B393+C393+E393+G393+I393+K393+M393+O393)/8</f>
        <v>0</v>
      </c>
      <c r="Q393" s="2828"/>
      <c r="R393" s="2829">
        <f>(M393+O393+Q393)/3</f>
        <v>0</v>
      </c>
      <c r="S393" s="2829">
        <f>(B393+C393+E393+G393+I393+K393+M393+O393+Q393)/9</f>
        <v>0</v>
      </c>
      <c r="T393" s="2828"/>
      <c r="U393" s="2829">
        <f>(B393+C393+E393+G393+I393+K393+M393+O393+Q393+T393)/10</f>
        <v>0</v>
      </c>
      <c r="V393" s="2828"/>
      <c r="W393" s="2829">
        <f>(B393+C393+E393+G393+I393+K393+M393+O393+Q393+T393+V393)/11</f>
        <v>0</v>
      </c>
      <c r="X393" s="2828"/>
      <c r="Y393" s="2829">
        <f>(T393+V393+X393)/3</f>
        <v>0</v>
      </c>
    </row>
    <row r="394" spans="1:25" ht="17.45" hidden="1" customHeight="1">
      <c r="A394" s="372" t="s">
        <v>25</v>
      </c>
      <c r="B394" s="2828">
        <v>0.25</v>
      </c>
      <c r="C394" s="2828">
        <v>0.26200000000000001</v>
      </c>
      <c r="D394" s="2829">
        <f>(B394+C394)/2</f>
        <v>0.25600000000000001</v>
      </c>
      <c r="E394" s="2828">
        <v>0.219</v>
      </c>
      <c r="F394" s="2829">
        <f>(B394+C394+E394)/3</f>
        <v>0.24366666666666667</v>
      </c>
      <c r="G394" s="2828">
        <v>0.24299999999999999</v>
      </c>
      <c r="H394" s="2829">
        <f>(B394+C394+E394+G394)/4</f>
        <v>0.24349999999999999</v>
      </c>
      <c r="I394" s="2828">
        <v>0.184</v>
      </c>
      <c r="J394" s="2829">
        <f>(B394+C394+E394+G394+I394)/5</f>
        <v>0.23159999999999997</v>
      </c>
      <c r="K394" s="2828">
        <v>0.17599999999999999</v>
      </c>
      <c r="L394" s="2829">
        <f>(G394+I394+K394)/3</f>
        <v>0.20099999999999998</v>
      </c>
      <c r="M394" s="2828">
        <v>0.22700000000000001</v>
      </c>
      <c r="N394" s="2829">
        <f>(B394+C394+E394+G394+I394+K394+M394)/7</f>
        <v>0.223</v>
      </c>
      <c r="O394" s="2828">
        <v>0.20499999999999999</v>
      </c>
      <c r="P394" s="2829">
        <f>(B394+C394+E394+G394+I394+K394+M394+O394)/8</f>
        <v>0.22075</v>
      </c>
      <c r="Q394" s="2828">
        <v>0.20799999999999999</v>
      </c>
      <c r="R394" s="2829">
        <f>(M394+O394+Q394)/3</f>
        <v>0.21333333333333335</v>
      </c>
      <c r="S394" s="2829">
        <f>(B394+C394+E394+G394+I394+K394+M394+O394+Q394)/9</f>
        <v>0.21933333333333332</v>
      </c>
      <c r="T394" s="2828">
        <v>0.215</v>
      </c>
      <c r="U394" s="2829">
        <f>(B394+C394+E394+G394+I394+K394+M394+O394+Q394+T394)/10</f>
        <v>0.21890000000000001</v>
      </c>
      <c r="V394" s="2828">
        <v>0.247</v>
      </c>
      <c r="W394" s="2829">
        <f>(B394+C394+E394+G394+I394+K394+M394+O394+Q394+T394+V394)/11</f>
        <v>0.22145454545454546</v>
      </c>
      <c r="X394" s="2828">
        <v>0.24</v>
      </c>
      <c r="Y394" s="2829">
        <f>(T394+V394+X394)/3</f>
        <v>0.23399999999999999</v>
      </c>
    </row>
    <row r="395" spans="1:25" ht="15.6" hidden="1" customHeight="1">
      <c r="A395" s="373"/>
      <c r="B395" s="2828"/>
      <c r="C395" s="2828"/>
      <c r="D395" s="2829">
        <f>(B395+C395)/2</f>
        <v>0</v>
      </c>
      <c r="E395" s="2828"/>
      <c r="F395" s="2829">
        <f>(B395+C395+E395)/3</f>
        <v>0</v>
      </c>
      <c r="G395" s="2828"/>
      <c r="H395" s="2829">
        <f>(B395+C395+E395+G395)/4</f>
        <v>0</v>
      </c>
      <c r="I395" s="2828"/>
      <c r="J395" s="2829">
        <f>(B395+C395+E395+G395+I395)/5</f>
        <v>0</v>
      </c>
      <c r="K395" s="2828"/>
      <c r="L395" s="2829">
        <f>(G395+I395+K395)/3</f>
        <v>0</v>
      </c>
      <c r="M395" s="2828"/>
      <c r="N395" s="2829">
        <f>(B395+C395+E395+G395+I395+K395+M395)/7</f>
        <v>0</v>
      </c>
      <c r="O395" s="2828"/>
      <c r="P395" s="2829">
        <f>(B395+C395+E395+G395+I395+K395+M395+O395)/8</f>
        <v>0</v>
      </c>
      <c r="Q395" s="2828"/>
      <c r="R395" s="2829">
        <f>(M395+O395+Q395)/3</f>
        <v>0</v>
      </c>
      <c r="S395" s="2829">
        <f>(B395+C395+E395+G395+I395+K395+M395+O395+Q395)/9</f>
        <v>0</v>
      </c>
      <c r="T395" s="2828"/>
      <c r="U395" s="2829">
        <f>(B395+C395+E395+G395+I395+K395+M395+O395+Q395+T395)/10</f>
        <v>0</v>
      </c>
      <c r="V395" s="2828"/>
      <c r="W395" s="2829">
        <f>(B395+C395+E395+G395+I395+K395+M395+O395+Q395+T395+V395)/11</f>
        <v>0</v>
      </c>
      <c r="X395" s="2828"/>
      <c r="Y395" s="2829">
        <f>(T395+V395+X395)/3</f>
        <v>0</v>
      </c>
    </row>
    <row r="396" spans="1:25" ht="15.6" hidden="1" customHeight="1">
      <c r="A396" s="373"/>
      <c r="B396" s="2829" t="e">
        <f>SUM(B397:B400)</f>
        <v>#REF!</v>
      </c>
      <c r="C396" s="2829" t="e">
        <f>SUM(C397:C400)</f>
        <v>#REF!</v>
      </c>
      <c r="D396" s="2829" t="e">
        <f>B396+C396</f>
        <v>#REF!</v>
      </c>
      <c r="E396" s="2829" t="e">
        <f>SUM(E397:E400)</f>
        <v>#REF!</v>
      </c>
      <c r="F396" s="2829" t="e">
        <f>B396+C396+E396</f>
        <v>#REF!</v>
      </c>
      <c r="G396" s="2829" t="e">
        <f>SUM(G397:G400)</f>
        <v>#REF!</v>
      </c>
      <c r="H396" s="2829" t="e">
        <f>B396+C396+E396+G396</f>
        <v>#REF!</v>
      </c>
      <c r="I396" s="2829" t="e">
        <f>SUM(I397:I400)</f>
        <v>#REF!</v>
      </c>
      <c r="J396" s="2829" t="e">
        <f>B396+C396+E396+G396+I396</f>
        <v>#REF!</v>
      </c>
      <c r="K396" s="2829" t="e">
        <f>SUM(K397:K400)</f>
        <v>#REF!</v>
      </c>
      <c r="L396" s="2829" t="e">
        <f>G396+I396+K396</f>
        <v>#REF!</v>
      </c>
      <c r="M396" s="2829" t="e">
        <f>SUM(M397:M400)</f>
        <v>#REF!</v>
      </c>
      <c r="N396" s="2829" t="e">
        <f>B396+C396+E396+G396+I396+K396+M396</f>
        <v>#REF!</v>
      </c>
      <c r="O396" s="2829">
        <f>SUM(O397:O400)</f>
        <v>0</v>
      </c>
      <c r="P396" s="2829" t="e">
        <f>B396+C396+E396+G396+I396+K396+M396+O396</f>
        <v>#REF!</v>
      </c>
      <c r="Q396" s="2829">
        <f>SUM(Q397:Q400)</f>
        <v>0</v>
      </c>
      <c r="R396" s="2829" t="e">
        <f>M396+O396+Q396</f>
        <v>#REF!</v>
      </c>
      <c r="S396" s="2829" t="e">
        <f>B396+C396+E396+G396+I396+K396+M396+O396+Q396</f>
        <v>#REF!</v>
      </c>
      <c r="T396" s="2829">
        <f>SUM(T397:T400)</f>
        <v>0</v>
      </c>
      <c r="U396" s="2829" t="e">
        <f>B396+C396+E396+G396+I396+K396+M396+O396+Q396+T396</f>
        <v>#REF!</v>
      </c>
      <c r="V396" s="2829">
        <f>SUM(V397:V400)</f>
        <v>0</v>
      </c>
      <c r="W396" s="2829" t="e">
        <f>B396+C396+E396+G396+I396+K396+M396+O396+Q396+T396+V396</f>
        <v>#REF!</v>
      </c>
      <c r="X396" s="2829">
        <f>SUM(X397:X400)</f>
        <v>0</v>
      </c>
      <c r="Y396" s="2829">
        <f>T396+V396+X396</f>
        <v>0</v>
      </c>
    </row>
    <row r="397" spans="1:25" ht="15.6" hidden="1" customHeight="1">
      <c r="A397" s="373"/>
      <c r="B397" s="2828"/>
      <c r="C397" s="2828"/>
      <c r="D397" s="2829">
        <f>B397+C397</f>
        <v>0</v>
      </c>
      <c r="E397" s="2828"/>
      <c r="F397" s="2829">
        <f>B397+C397+E397</f>
        <v>0</v>
      </c>
      <c r="G397" s="2828"/>
      <c r="H397" s="2829">
        <f>B397+C397+E397+G397</f>
        <v>0</v>
      </c>
      <c r="I397" s="2828"/>
      <c r="J397" s="2829">
        <f>B397+C397+E397+G397+I397</f>
        <v>0</v>
      </c>
      <c r="K397" s="2828"/>
      <c r="L397" s="2829">
        <f>G397+I397+K397</f>
        <v>0</v>
      </c>
      <c r="M397" s="2828"/>
      <c r="N397" s="2829">
        <f>B397+C397+E397+G397+I397+K397+M397</f>
        <v>0</v>
      </c>
      <c r="O397" s="2828"/>
      <c r="P397" s="2829">
        <f>B397+C397+E397+G397+I397+K397+M397+O397</f>
        <v>0</v>
      </c>
      <c r="Q397" s="2828"/>
      <c r="R397" s="2829">
        <f>M397+O397+Q397</f>
        <v>0</v>
      </c>
      <c r="S397" s="2829">
        <f>B397+C397+E397+G397+I397+K397+M397+O397+Q397</f>
        <v>0</v>
      </c>
      <c r="T397" s="2828"/>
      <c r="U397" s="2829">
        <f>B397+C397+E397+G397+I397+K397+M397+O397+Q397+T397</f>
        <v>0</v>
      </c>
      <c r="V397" s="2828"/>
      <c r="W397" s="2829">
        <f>B397+C397+E397+G397+I397+K397+M397+O397+Q397+T397+V397</f>
        <v>0</v>
      </c>
      <c r="X397" s="2828"/>
      <c r="Y397" s="2829">
        <f>T397+V397+X397</f>
        <v>0</v>
      </c>
    </row>
    <row r="398" spans="1:25" ht="15.6" hidden="1" customHeight="1">
      <c r="A398" s="373"/>
      <c r="B398" s="2828"/>
      <c r="C398" s="2828"/>
      <c r="D398" s="2829">
        <f>B398+C398</f>
        <v>0</v>
      </c>
      <c r="E398" s="2828"/>
      <c r="F398" s="2829">
        <f>B398+C398+E398</f>
        <v>0</v>
      </c>
      <c r="G398" s="2828"/>
      <c r="H398" s="2829">
        <f>B398+C398+E398+G398</f>
        <v>0</v>
      </c>
      <c r="I398" s="2828"/>
      <c r="J398" s="2829">
        <f>B398+C398+E398+G398+I398</f>
        <v>0</v>
      </c>
      <c r="K398" s="2828"/>
      <c r="L398" s="2829">
        <f>G398+I398+K398</f>
        <v>0</v>
      </c>
      <c r="M398" s="2828"/>
      <c r="N398" s="2829">
        <f>B398+C398+E398+G398+I398+K398+M398</f>
        <v>0</v>
      </c>
      <c r="O398" s="2828"/>
      <c r="P398" s="2829">
        <f>B398+C398+E398+G398+I398+K398+M398+O398</f>
        <v>0</v>
      </c>
      <c r="Q398" s="2828"/>
      <c r="R398" s="2829">
        <f>M398+O398+Q398</f>
        <v>0</v>
      </c>
      <c r="S398" s="2829">
        <f>B398+C398+E398+G398+I398+K398+M398+O398+Q398</f>
        <v>0</v>
      </c>
      <c r="T398" s="2828"/>
      <c r="U398" s="2829">
        <f>B398+C398+E398+G398+I398+K398+M398+O398+Q398+T398</f>
        <v>0</v>
      </c>
      <c r="V398" s="2828"/>
      <c r="W398" s="2829">
        <f>B398+C398+E398+G398+I398+K398+M398+O398+Q398+T398+V398</f>
        <v>0</v>
      </c>
      <c r="X398" s="2828"/>
      <c r="Y398" s="2829">
        <f>T398+V398+X398</f>
        <v>0</v>
      </c>
    </row>
    <row r="399" spans="1:25" ht="15.6" hidden="1" customHeight="1">
      <c r="A399" s="373"/>
      <c r="B399" s="2828" t="e">
        <v>#REF!</v>
      </c>
      <c r="C399" s="2828" t="e">
        <v>#REF!</v>
      </c>
      <c r="D399" s="2829" t="e">
        <f>B399+C399</f>
        <v>#REF!</v>
      </c>
      <c r="E399" s="2828" t="e">
        <v>#REF!</v>
      </c>
      <c r="F399" s="2829" t="e">
        <f>B399+C399+E399</f>
        <v>#REF!</v>
      </c>
      <c r="G399" s="2828" t="e">
        <v>#REF!</v>
      </c>
      <c r="H399" s="2829" t="e">
        <f>B399+C399+E399+G399</f>
        <v>#REF!</v>
      </c>
      <c r="I399" s="2828" t="e">
        <v>#REF!</v>
      </c>
      <c r="J399" s="2829" t="e">
        <f>B399+C399+E399+G399+I399</f>
        <v>#REF!</v>
      </c>
      <c r="K399" s="2828" t="e">
        <v>#REF!</v>
      </c>
      <c r="L399" s="2829" t="e">
        <f>G399+I399+K399</f>
        <v>#REF!</v>
      </c>
      <c r="M399" s="2828" t="e">
        <v>#REF!</v>
      </c>
      <c r="N399" s="2829" t="e">
        <f>B399+C399+E399+G399+I399+K399+M399</f>
        <v>#REF!</v>
      </c>
      <c r="O399" s="2828">
        <v>0</v>
      </c>
      <c r="P399" s="2829" t="e">
        <f>B399+C399+E399+G399+I399+K399+M399+O399</f>
        <v>#REF!</v>
      </c>
      <c r="Q399" s="2828">
        <v>0</v>
      </c>
      <c r="R399" s="2829" t="e">
        <f>M399+O399+Q399</f>
        <v>#REF!</v>
      </c>
      <c r="S399" s="2829" t="e">
        <f>B399+C399+E399+G399+I399+K399+M399+O399+Q399</f>
        <v>#REF!</v>
      </c>
      <c r="T399" s="2828">
        <v>0</v>
      </c>
      <c r="U399" s="2829" t="e">
        <f>B399+C399+E399+G399+I399+K399+M399+O399+Q399+T399</f>
        <v>#REF!</v>
      </c>
      <c r="V399" s="2828">
        <v>0</v>
      </c>
      <c r="W399" s="2829" t="e">
        <f>B399+C399+E399+G399+I399+K399+M399+O399+Q399+T399+V399</f>
        <v>#REF!</v>
      </c>
      <c r="X399" s="2828">
        <v>0</v>
      </c>
      <c r="Y399" s="2829">
        <f>T399+V399+X399</f>
        <v>0</v>
      </c>
    </row>
    <row r="400" spans="1:25" ht="15.6" hidden="1" customHeight="1">
      <c r="A400" s="373"/>
      <c r="B400" s="2828"/>
      <c r="C400" s="2828"/>
      <c r="D400" s="2829">
        <f>B400+C400</f>
        <v>0</v>
      </c>
      <c r="E400" s="2828"/>
      <c r="F400" s="2829">
        <f>B400+C400+E400</f>
        <v>0</v>
      </c>
      <c r="G400" s="2828"/>
      <c r="H400" s="2829">
        <f>B400+C400+E400+G400</f>
        <v>0</v>
      </c>
      <c r="I400" s="2828"/>
      <c r="J400" s="2829">
        <f>B400+C400+E400+G400+I400</f>
        <v>0</v>
      </c>
      <c r="K400" s="2828"/>
      <c r="L400" s="2829">
        <f>G400+I400+K400</f>
        <v>0</v>
      </c>
      <c r="M400" s="2828"/>
      <c r="N400" s="2829">
        <f>B400+C400+E400+G400+I400+K400+M400</f>
        <v>0</v>
      </c>
      <c r="O400" s="2828"/>
      <c r="P400" s="2829">
        <f>B400+C400+E400+G400+I400+K400+M400+O400</f>
        <v>0</v>
      </c>
      <c r="Q400" s="2828"/>
      <c r="R400" s="2829">
        <f>M400+O400+Q400</f>
        <v>0</v>
      </c>
      <c r="S400" s="2829">
        <f>B400+C400+E400+G400+I400+K400+M400+O400+Q400</f>
        <v>0</v>
      </c>
      <c r="T400" s="2828"/>
      <c r="U400" s="2829">
        <f>B400+C400+E400+G400+I400+K400+M400+O400+Q400+T400</f>
        <v>0</v>
      </c>
      <c r="V400" s="2828"/>
      <c r="W400" s="2829">
        <f>B400+C400+E400+G400+I400+K400+M400+O400+Q400+T400+V400</f>
        <v>0</v>
      </c>
      <c r="X400" s="2828"/>
      <c r="Y400" s="2829">
        <f>T400+V400+X400</f>
        <v>0</v>
      </c>
    </row>
    <row r="401" spans="1:17" ht="28.15" hidden="1" customHeight="1">
      <c r="A401" s="373"/>
      <c r="B401" s="241" t="s">
        <v>338</v>
      </c>
      <c r="C401" s="235" t="s">
        <v>212</v>
      </c>
      <c r="D401" s="2830">
        <v>1.7967550000000001</v>
      </c>
      <c r="E401" s="2554"/>
      <c r="F401" s="2554"/>
      <c r="G401" s="2554"/>
      <c r="H401" s="2554"/>
      <c r="I401" s="2554"/>
      <c r="J401" s="2554"/>
      <c r="K401" s="2554"/>
      <c r="L401" s="2554"/>
      <c r="M401" s="2554"/>
      <c r="N401" s="2554"/>
      <c r="O401" s="2554"/>
      <c r="P401" s="2554"/>
      <c r="Q401" s="2554"/>
    </row>
    <row r="402" spans="1:17" ht="15.6" hidden="1" customHeight="1">
      <c r="A402" s="373"/>
      <c r="B402" s="234" t="s">
        <v>219</v>
      </c>
      <c r="C402" s="235" t="s">
        <v>212</v>
      </c>
      <c r="D402" s="2831"/>
      <c r="E402" s="2554"/>
      <c r="F402" s="2554"/>
      <c r="G402" s="2554"/>
      <c r="H402" s="2554"/>
      <c r="I402" s="2554"/>
      <c r="J402" s="2554"/>
      <c r="K402" s="2554"/>
      <c r="L402" s="2554"/>
      <c r="M402" s="2554"/>
      <c r="N402" s="2554"/>
      <c r="O402" s="2554"/>
      <c r="P402" s="2554"/>
      <c r="Q402" s="2554"/>
    </row>
    <row r="403" spans="1:17" ht="15.6" hidden="1" customHeight="1">
      <c r="A403" s="2832" t="s">
        <v>339</v>
      </c>
      <c r="B403" s="1915" t="s">
        <v>220</v>
      </c>
      <c r="C403" s="2833" t="s">
        <v>212</v>
      </c>
      <c r="D403" s="2834">
        <v>191.79956101953863</v>
      </c>
      <c r="E403" s="2554"/>
      <c r="F403" s="2554"/>
      <c r="G403" s="2554"/>
      <c r="H403" s="2554"/>
      <c r="I403" s="2554"/>
      <c r="J403" s="2554"/>
      <c r="K403" s="2554"/>
      <c r="L403" s="2554"/>
      <c r="M403" s="2554"/>
      <c r="N403" s="2554"/>
      <c r="O403" s="2554"/>
      <c r="P403" s="2554"/>
      <c r="Q403" s="2554"/>
    </row>
    <row r="404" spans="1:17" ht="15.6" hidden="1" customHeight="1">
      <c r="A404" s="2835"/>
      <c r="B404" s="1917" t="s">
        <v>221</v>
      </c>
      <c r="C404" s="2833" t="s">
        <v>212</v>
      </c>
      <c r="D404" s="2834">
        <v>133.09982519954764</v>
      </c>
      <c r="E404" s="2554"/>
      <c r="F404" s="2554"/>
      <c r="G404" s="2554"/>
      <c r="H404" s="2554"/>
      <c r="I404" s="2554"/>
      <c r="J404" s="2554"/>
      <c r="K404" s="2554"/>
      <c r="L404" s="2554"/>
      <c r="M404" s="2554"/>
      <c r="N404" s="2554"/>
      <c r="O404" s="2554"/>
      <c r="P404" s="2554"/>
      <c r="Q404" s="2554"/>
    </row>
    <row r="405" spans="1:17" ht="15.6" hidden="1" customHeight="1">
      <c r="A405" s="2836"/>
      <c r="B405" s="1918" t="s">
        <v>156</v>
      </c>
      <c r="C405" s="2837"/>
      <c r="D405" s="2838">
        <v>64.968431780009752</v>
      </c>
      <c r="E405" s="2554"/>
      <c r="F405" s="2554"/>
      <c r="G405" s="2554"/>
      <c r="H405" s="2554"/>
      <c r="I405" s="2554"/>
      <c r="J405" s="2554"/>
      <c r="K405" s="2554"/>
      <c r="L405" s="2554"/>
      <c r="M405" s="2554"/>
      <c r="N405" s="2554"/>
      <c r="O405" s="2554"/>
      <c r="P405" s="2554"/>
      <c r="Q405" s="2554"/>
    </row>
    <row r="406" spans="1:17" ht="15.6" hidden="1" customHeight="1">
      <c r="A406" s="2836"/>
      <c r="B406" s="1920" t="s">
        <v>222</v>
      </c>
      <c r="C406" s="2839" t="s">
        <v>212</v>
      </c>
      <c r="D406" s="2840">
        <v>2.2978499999836001E-3</v>
      </c>
      <c r="E406" s="2554"/>
      <c r="F406" s="2554"/>
      <c r="G406" s="2554"/>
      <c r="H406" s="2554"/>
      <c r="I406" s="2554"/>
      <c r="J406" s="2554"/>
      <c r="K406" s="2554"/>
      <c r="L406" s="2554"/>
      <c r="M406" s="2554"/>
      <c r="N406" s="2554"/>
      <c r="O406" s="2554"/>
      <c r="P406" s="2554"/>
      <c r="Q406" s="2554"/>
    </row>
    <row r="407" spans="1:17" ht="15.6" hidden="1" customHeight="1">
      <c r="A407" s="2836"/>
      <c r="B407" s="1920" t="s">
        <v>223</v>
      </c>
      <c r="C407" s="2839" t="s">
        <v>212</v>
      </c>
      <c r="D407" s="2840">
        <v>41.015857140108643</v>
      </c>
      <c r="E407" s="2554"/>
      <c r="F407" s="2554"/>
      <c r="G407" s="2554"/>
      <c r="H407" s="2554"/>
      <c r="I407" s="2554"/>
      <c r="J407" s="2554"/>
      <c r="K407" s="2554"/>
      <c r="L407" s="2554"/>
      <c r="M407" s="2554"/>
      <c r="N407" s="2554"/>
      <c r="O407" s="2554"/>
      <c r="P407" s="2554"/>
      <c r="Q407" s="2554"/>
    </row>
    <row r="408" spans="1:17" ht="15.6" hidden="1" customHeight="1">
      <c r="A408" s="2836"/>
      <c r="B408" s="1920" t="s">
        <v>224</v>
      </c>
      <c r="C408" s="2839" t="s">
        <v>212</v>
      </c>
      <c r="D408" s="2840">
        <v>23.950276789901121</v>
      </c>
      <c r="E408" s="2554"/>
      <c r="F408" s="2554"/>
      <c r="G408" s="2554"/>
      <c r="H408" s="2554"/>
      <c r="I408" s="2554"/>
      <c r="J408" s="2554"/>
      <c r="K408" s="2554"/>
      <c r="L408" s="2554"/>
      <c r="M408" s="2554"/>
      <c r="N408" s="2554"/>
      <c r="O408" s="2554"/>
      <c r="P408" s="2554"/>
      <c r="Q408" s="2554"/>
    </row>
    <row r="409" spans="1:17" ht="15.6" hidden="1" customHeight="1">
      <c r="A409" s="2836"/>
      <c r="B409" s="1918" t="s">
        <v>225</v>
      </c>
      <c r="C409" s="2837"/>
      <c r="D409" s="2838">
        <v>68.131393419537872</v>
      </c>
      <c r="E409" s="2554"/>
      <c r="F409" s="2554"/>
      <c r="G409" s="2554"/>
      <c r="H409" s="2554"/>
      <c r="I409" s="2554"/>
      <c r="J409" s="2554"/>
      <c r="K409" s="2554"/>
      <c r="L409" s="2554"/>
      <c r="M409" s="2554"/>
      <c r="N409" s="2554"/>
      <c r="O409" s="2554"/>
      <c r="P409" s="2554"/>
      <c r="Q409" s="2554"/>
    </row>
    <row r="410" spans="1:17" ht="15.6" hidden="1" customHeight="1">
      <c r="A410" s="2836"/>
      <c r="B410" s="1920" t="s">
        <v>222</v>
      </c>
      <c r="C410" s="2839" t="s">
        <v>212</v>
      </c>
      <c r="D410" s="2840">
        <v>2.5561719399738663</v>
      </c>
      <c r="E410" s="2554"/>
      <c r="F410" s="2554"/>
      <c r="G410" s="2554"/>
      <c r="H410" s="2554"/>
      <c r="I410" s="2554"/>
      <c r="J410" s="2554"/>
      <c r="K410" s="2554"/>
      <c r="L410" s="2554"/>
      <c r="M410" s="2554"/>
      <c r="N410" s="2554"/>
      <c r="O410" s="2554"/>
      <c r="P410" s="2554"/>
      <c r="Q410" s="2554"/>
    </row>
    <row r="411" spans="1:17" ht="15.6" hidden="1" customHeight="1">
      <c r="A411" s="2836"/>
      <c r="B411" s="1920" t="s">
        <v>223</v>
      </c>
      <c r="C411" s="2839" t="s">
        <v>212</v>
      </c>
      <c r="D411" s="2840">
        <v>56.821990709492773</v>
      </c>
      <c r="E411" s="2554"/>
      <c r="F411" s="2554"/>
      <c r="G411" s="2554"/>
      <c r="H411" s="2554"/>
      <c r="I411" s="2554"/>
      <c r="J411" s="2554"/>
      <c r="K411" s="2554"/>
      <c r="L411" s="2554"/>
      <c r="M411" s="2554"/>
      <c r="N411" s="2554"/>
      <c r="O411" s="2554"/>
      <c r="P411" s="2554"/>
      <c r="Q411" s="2554"/>
    </row>
    <row r="412" spans="1:17" ht="15.6" hidden="1" customHeight="1">
      <c r="A412" s="2836"/>
      <c r="B412" s="1920" t="s">
        <v>224</v>
      </c>
      <c r="C412" s="2839" t="s">
        <v>212</v>
      </c>
      <c r="D412" s="2840">
        <v>8.7532307700712391</v>
      </c>
      <c r="E412" s="2554"/>
      <c r="F412" s="2554"/>
      <c r="G412" s="2554"/>
      <c r="H412" s="2554"/>
      <c r="I412" s="2554"/>
      <c r="J412" s="2554"/>
      <c r="K412" s="2554"/>
      <c r="L412" s="2554"/>
      <c r="M412" s="2554"/>
      <c r="N412" s="2554"/>
      <c r="O412" s="2554"/>
      <c r="P412" s="2554"/>
      <c r="Q412" s="2554"/>
    </row>
    <row r="413" spans="1:17" ht="15.6" hidden="1" customHeight="1">
      <c r="A413" s="2835"/>
      <c r="B413" s="1917" t="s">
        <v>227</v>
      </c>
      <c r="C413" s="2833" t="s">
        <v>212</v>
      </c>
      <c r="D413" s="2834">
        <v>4.4949029499910118</v>
      </c>
      <c r="E413" s="2554"/>
      <c r="F413" s="2554"/>
      <c r="G413" s="2554"/>
      <c r="H413" s="2554"/>
      <c r="I413" s="2554"/>
      <c r="J413" s="2554"/>
      <c r="K413" s="2554"/>
      <c r="L413" s="2554"/>
      <c r="M413" s="2554"/>
      <c r="N413" s="2554"/>
      <c r="O413" s="2554"/>
      <c r="P413" s="2554"/>
      <c r="Q413" s="2554"/>
    </row>
    <row r="414" spans="1:17" ht="15.6" hidden="1" customHeight="1">
      <c r="A414" s="2836"/>
      <c r="B414" s="1918" t="s">
        <v>156</v>
      </c>
      <c r="C414" s="2837"/>
      <c r="D414" s="2838">
        <v>4.4949029499910118</v>
      </c>
      <c r="E414" s="2554"/>
      <c r="F414" s="2554"/>
      <c r="G414" s="2554"/>
      <c r="H414" s="2554"/>
      <c r="I414" s="2554"/>
      <c r="J414" s="2554"/>
      <c r="K414" s="2554"/>
      <c r="L414" s="2554"/>
      <c r="M414" s="2554"/>
      <c r="N414" s="2554"/>
      <c r="O414" s="2554"/>
      <c r="P414" s="2554"/>
      <c r="Q414" s="2554"/>
    </row>
    <row r="415" spans="1:17" ht="15.6" hidden="1" customHeight="1">
      <c r="A415" s="2836"/>
      <c r="B415" s="1920" t="s">
        <v>222</v>
      </c>
      <c r="C415" s="2839" t="s">
        <v>212</v>
      </c>
      <c r="D415" s="2840"/>
      <c r="E415" s="2554"/>
      <c r="F415" s="2554"/>
      <c r="G415" s="2554"/>
      <c r="H415" s="2554"/>
      <c r="I415" s="2554"/>
      <c r="J415" s="2554"/>
      <c r="K415" s="2554"/>
      <c r="L415" s="2554"/>
      <c r="M415" s="2554"/>
      <c r="N415" s="2554"/>
      <c r="O415" s="2554"/>
      <c r="P415" s="2554"/>
      <c r="Q415" s="2554"/>
    </row>
    <row r="416" spans="1:17" ht="15.6" hidden="1" customHeight="1">
      <c r="A416" s="2836"/>
      <c r="B416" s="1920" t="s">
        <v>223</v>
      </c>
      <c r="C416" s="2839" t="s">
        <v>212</v>
      </c>
      <c r="D416" s="2840">
        <v>4.4219930299905901</v>
      </c>
      <c r="E416" s="2554"/>
      <c r="F416" s="2554"/>
      <c r="G416" s="2554"/>
      <c r="H416" s="2554"/>
      <c r="I416" s="2554"/>
      <c r="J416" s="2554"/>
      <c r="K416" s="2554"/>
      <c r="L416" s="2554"/>
      <c r="M416" s="2554"/>
      <c r="N416" s="2554"/>
      <c r="O416" s="2554"/>
      <c r="P416" s="2554"/>
      <c r="Q416" s="2554"/>
    </row>
    <row r="417" spans="1:17" ht="15.6" hidden="1" customHeight="1">
      <c r="A417" s="2836"/>
      <c r="B417" s="1920" t="s">
        <v>224</v>
      </c>
      <c r="C417" s="2839" t="s">
        <v>212</v>
      </c>
      <c r="D417" s="2840">
        <v>7.2909920000421596E-2</v>
      </c>
      <c r="E417" s="2554"/>
      <c r="F417" s="2554"/>
      <c r="G417" s="2554"/>
      <c r="H417" s="2554"/>
      <c r="I417" s="2554"/>
      <c r="J417" s="2554"/>
      <c r="K417" s="2554"/>
      <c r="L417" s="2554"/>
      <c r="M417" s="2554"/>
      <c r="N417" s="2554"/>
      <c r="O417" s="2554"/>
      <c r="P417" s="2554"/>
      <c r="Q417" s="2554"/>
    </row>
    <row r="418" spans="1:17" ht="15.6" hidden="1" customHeight="1">
      <c r="A418" s="2836"/>
      <c r="B418" s="1918" t="s">
        <v>225</v>
      </c>
      <c r="C418" s="2837"/>
      <c r="D418" s="2838">
        <v>0</v>
      </c>
      <c r="E418" s="2554"/>
      <c r="F418" s="2554"/>
      <c r="G418" s="2554"/>
      <c r="H418" s="2554"/>
      <c r="I418" s="2554"/>
      <c r="J418" s="2554"/>
      <c r="K418" s="2554"/>
      <c r="L418" s="2554"/>
      <c r="M418" s="2554"/>
      <c r="N418" s="2554"/>
      <c r="O418" s="2554"/>
      <c r="P418" s="2554"/>
      <c r="Q418" s="2554"/>
    </row>
    <row r="419" spans="1:17" ht="15.6" hidden="1" customHeight="1">
      <c r="A419" s="2836"/>
      <c r="B419" s="1920" t="s">
        <v>222</v>
      </c>
      <c r="C419" s="2839" t="s">
        <v>212</v>
      </c>
      <c r="D419" s="2840"/>
      <c r="E419" s="2554"/>
      <c r="F419" s="2554"/>
      <c r="G419" s="2554"/>
      <c r="H419" s="2554"/>
      <c r="I419" s="2554"/>
      <c r="J419" s="2554"/>
      <c r="K419" s="2554"/>
      <c r="L419" s="2554"/>
      <c r="M419" s="2554"/>
      <c r="N419" s="2554"/>
      <c r="O419" s="2554"/>
      <c r="P419" s="2554"/>
      <c r="Q419" s="2554"/>
    </row>
    <row r="420" spans="1:17" ht="15.6" hidden="1" customHeight="1">
      <c r="A420" s="2836"/>
      <c r="B420" s="1920" t="s">
        <v>223</v>
      </c>
      <c r="C420" s="2839" t="s">
        <v>212</v>
      </c>
      <c r="D420" s="2840"/>
      <c r="E420" s="2554"/>
      <c r="F420" s="2554"/>
      <c r="G420" s="2554"/>
      <c r="H420" s="2554"/>
      <c r="I420" s="2554"/>
      <c r="J420" s="2554"/>
      <c r="K420" s="2554"/>
      <c r="L420" s="2554"/>
      <c r="M420" s="2554"/>
      <c r="N420" s="2554"/>
      <c r="O420" s="2554"/>
      <c r="P420" s="2554"/>
      <c r="Q420" s="2554"/>
    </row>
    <row r="421" spans="1:17" ht="15.6" hidden="1" customHeight="1">
      <c r="A421" s="2836"/>
      <c r="B421" s="1920" t="s">
        <v>224</v>
      </c>
      <c r="C421" s="2839" t="s">
        <v>212</v>
      </c>
      <c r="D421" s="2840"/>
      <c r="E421" s="2554"/>
      <c r="F421" s="2554"/>
      <c r="G421" s="2554"/>
      <c r="H421" s="2554"/>
      <c r="I421" s="2554"/>
      <c r="J421" s="2554"/>
      <c r="K421" s="2554"/>
      <c r="L421" s="2554"/>
      <c r="M421" s="2554"/>
      <c r="N421" s="2554"/>
      <c r="O421" s="2554"/>
      <c r="P421" s="2554"/>
      <c r="Q421" s="2554"/>
    </row>
    <row r="422" spans="1:17" ht="15.6" hidden="1" customHeight="1">
      <c r="A422" s="2836"/>
      <c r="B422" s="1922" t="s">
        <v>226</v>
      </c>
      <c r="C422" s="2841"/>
      <c r="D422" s="2838">
        <v>0</v>
      </c>
      <c r="E422" s="2554"/>
      <c r="F422" s="2554"/>
      <c r="G422" s="2554"/>
      <c r="H422" s="2554"/>
      <c r="I422" s="2554"/>
      <c r="J422" s="2554"/>
      <c r="K422" s="2554"/>
      <c r="L422" s="2554"/>
      <c r="M422" s="2554"/>
      <c r="N422" s="2554"/>
      <c r="O422" s="2554"/>
      <c r="P422" s="2554"/>
      <c r="Q422" s="2554"/>
    </row>
    <row r="423" spans="1:17" ht="15.6" hidden="1" customHeight="1">
      <c r="A423" s="2836"/>
      <c r="B423" s="1920" t="s">
        <v>222</v>
      </c>
      <c r="C423" s="2839" t="s">
        <v>212</v>
      </c>
      <c r="D423" s="2840"/>
      <c r="E423" s="2554"/>
      <c r="F423" s="2554"/>
      <c r="G423" s="2554"/>
      <c r="H423" s="2554"/>
      <c r="I423" s="2554"/>
      <c r="J423" s="2554"/>
      <c r="K423" s="2554"/>
      <c r="L423" s="2554"/>
      <c r="M423" s="2554"/>
      <c r="N423" s="2554"/>
      <c r="O423" s="2554"/>
      <c r="P423" s="2554"/>
      <c r="Q423" s="2554"/>
    </row>
    <row r="424" spans="1:17" hidden="1">
      <c r="A424" s="2836"/>
      <c r="B424" s="1920" t="s">
        <v>223</v>
      </c>
      <c r="C424" s="2839" t="s">
        <v>212</v>
      </c>
      <c r="D424" s="2840"/>
      <c r="E424" s="2554"/>
      <c r="F424" s="2554"/>
      <c r="G424" s="2554"/>
      <c r="H424" s="2554"/>
      <c r="I424" s="2554"/>
      <c r="J424" s="2554"/>
      <c r="K424" s="2554"/>
      <c r="L424" s="2554"/>
      <c r="M424" s="2554"/>
      <c r="N424" s="2554"/>
      <c r="O424" s="2554"/>
      <c r="P424" s="2554"/>
      <c r="Q424" s="2554"/>
    </row>
    <row r="425" spans="1:17" hidden="1">
      <c r="A425" s="2836"/>
      <c r="B425" s="1920" t="s">
        <v>224</v>
      </c>
      <c r="C425" s="2839" t="s">
        <v>212</v>
      </c>
      <c r="D425" s="2840"/>
      <c r="E425" s="2554"/>
      <c r="F425" s="2554"/>
      <c r="G425" s="2554"/>
      <c r="H425" s="2554"/>
      <c r="I425" s="2554"/>
      <c r="J425" s="2554"/>
      <c r="K425" s="2554"/>
      <c r="L425" s="2554"/>
      <c r="M425" s="2554"/>
      <c r="N425" s="2554"/>
      <c r="O425" s="2554"/>
      <c r="P425" s="2554"/>
      <c r="Q425" s="2554"/>
    </row>
    <row r="426" spans="1:17" hidden="1">
      <c r="A426" s="2835"/>
      <c r="B426" s="1917" t="s">
        <v>340</v>
      </c>
      <c r="C426" s="2833" t="s">
        <v>212</v>
      </c>
      <c r="D426" s="2834">
        <v>50.59831329</v>
      </c>
      <c r="E426" s="2554"/>
      <c r="F426" s="2554"/>
      <c r="G426" s="2554"/>
      <c r="H426" s="2554"/>
      <c r="I426" s="2554"/>
      <c r="J426" s="2554"/>
      <c r="K426" s="2554"/>
      <c r="L426" s="2554"/>
      <c r="M426" s="2554"/>
      <c r="N426" s="2554"/>
      <c r="O426" s="2554"/>
      <c r="P426" s="2554"/>
      <c r="Q426" s="2554"/>
    </row>
    <row r="427" spans="1:17" hidden="1">
      <c r="A427" s="2836"/>
      <c r="B427" s="1918" t="s">
        <v>226</v>
      </c>
      <c r="C427" s="2837"/>
      <c r="D427" s="2838">
        <v>50.59831329</v>
      </c>
      <c r="E427" s="2554"/>
      <c r="F427" s="2554"/>
      <c r="G427" s="2554"/>
      <c r="H427" s="2554"/>
      <c r="I427" s="2554"/>
      <c r="J427" s="2554"/>
      <c r="K427" s="2554"/>
      <c r="L427" s="2554"/>
      <c r="M427" s="2554"/>
      <c r="N427" s="2554"/>
      <c r="O427" s="2554"/>
      <c r="P427" s="2554"/>
      <c r="Q427" s="2554"/>
    </row>
    <row r="428" spans="1:17" hidden="1">
      <c r="A428" s="2836"/>
      <c r="B428" s="1920" t="s">
        <v>222</v>
      </c>
      <c r="C428" s="2839" t="s">
        <v>212</v>
      </c>
      <c r="D428" s="2840">
        <v>15.36020025</v>
      </c>
      <c r="E428" s="2554"/>
      <c r="F428" s="2554"/>
      <c r="G428" s="2554"/>
      <c r="H428" s="2554"/>
      <c r="I428" s="2554"/>
      <c r="J428" s="2554"/>
      <c r="K428" s="2554"/>
      <c r="L428" s="2554"/>
      <c r="M428" s="2554"/>
      <c r="N428" s="2554"/>
      <c r="O428" s="2554"/>
      <c r="P428" s="2554"/>
      <c r="Q428" s="2554"/>
    </row>
    <row r="429" spans="1:17" hidden="1">
      <c r="A429" s="2836"/>
      <c r="B429" s="1920" t="s">
        <v>223</v>
      </c>
      <c r="C429" s="2839" t="s">
        <v>212</v>
      </c>
      <c r="D429" s="2840">
        <v>35.034673470000001</v>
      </c>
      <c r="E429" s="2554"/>
      <c r="F429" s="2554"/>
      <c r="G429" s="2554"/>
      <c r="H429" s="2554"/>
      <c r="I429" s="2554"/>
      <c r="J429" s="2554"/>
      <c r="K429" s="2554"/>
      <c r="L429" s="2554"/>
      <c r="M429" s="2554"/>
      <c r="N429" s="2554"/>
      <c r="O429" s="2554"/>
      <c r="P429" s="2554"/>
      <c r="Q429" s="2554"/>
    </row>
    <row r="430" spans="1:17" hidden="1">
      <c r="A430" s="2836"/>
      <c r="B430" s="1920" t="s">
        <v>224</v>
      </c>
      <c r="C430" s="2839" t="s">
        <v>212</v>
      </c>
      <c r="D430" s="2840">
        <v>0.20343956999999999</v>
      </c>
      <c r="E430" s="2554"/>
      <c r="F430" s="2554"/>
      <c r="G430" s="2554"/>
      <c r="H430" s="2554"/>
      <c r="I430" s="2554"/>
      <c r="J430" s="2554"/>
      <c r="K430" s="2554"/>
      <c r="L430" s="2554"/>
      <c r="M430" s="2554"/>
      <c r="N430" s="2554"/>
      <c r="O430" s="2554"/>
      <c r="P430" s="2554"/>
      <c r="Q430" s="2554"/>
    </row>
    <row r="431" spans="1:17" hidden="1">
      <c r="A431" s="2835"/>
      <c r="B431" s="1917" t="s">
        <v>152</v>
      </c>
      <c r="C431" s="2833" t="s">
        <v>212</v>
      </c>
      <c r="D431" s="2834">
        <v>3.6065195800000001</v>
      </c>
      <c r="E431" s="2554"/>
      <c r="F431" s="2554"/>
      <c r="G431" s="2554"/>
      <c r="H431" s="2554"/>
      <c r="I431" s="2554"/>
      <c r="J431" s="2554"/>
      <c r="K431" s="2554"/>
      <c r="L431" s="2554"/>
      <c r="M431" s="2554"/>
      <c r="N431" s="2554"/>
      <c r="O431" s="2554"/>
      <c r="P431" s="2554"/>
      <c r="Q431" s="2554"/>
    </row>
    <row r="432" spans="1:17" hidden="1">
      <c r="A432" s="2836"/>
      <c r="B432" s="1918" t="s">
        <v>156</v>
      </c>
      <c r="C432" s="2837"/>
      <c r="D432" s="2838">
        <v>3.6065195800000001</v>
      </c>
      <c r="E432" s="2554"/>
      <c r="F432" s="2554"/>
      <c r="G432" s="2554"/>
      <c r="H432" s="2554"/>
      <c r="I432" s="2554"/>
      <c r="J432" s="2554"/>
      <c r="K432" s="2554"/>
      <c r="L432" s="2554"/>
      <c r="M432" s="2554"/>
      <c r="N432" s="2554"/>
      <c r="O432" s="2554"/>
      <c r="P432" s="2554"/>
      <c r="Q432" s="2554"/>
    </row>
    <row r="433" spans="1:17" hidden="1">
      <c r="A433" s="2836"/>
      <c r="B433" s="1920" t="s">
        <v>222</v>
      </c>
      <c r="C433" s="2839" t="s">
        <v>212</v>
      </c>
      <c r="D433" s="2840">
        <v>0</v>
      </c>
      <c r="E433" s="2554"/>
      <c r="F433" s="2554"/>
      <c r="G433" s="2554"/>
      <c r="H433" s="2554"/>
      <c r="I433" s="2554"/>
      <c r="J433" s="2554"/>
      <c r="K433" s="2554"/>
      <c r="L433" s="2554"/>
      <c r="M433" s="2554"/>
      <c r="N433" s="2554"/>
      <c r="O433" s="2554"/>
      <c r="P433" s="2554"/>
      <c r="Q433" s="2554"/>
    </row>
    <row r="434" spans="1:17" hidden="1">
      <c r="A434" s="2836"/>
      <c r="B434" s="1920" t="s">
        <v>223</v>
      </c>
      <c r="C434" s="2839" t="s">
        <v>212</v>
      </c>
      <c r="D434" s="2840">
        <v>1.2221329999999999E-2</v>
      </c>
      <c r="E434" s="2554"/>
      <c r="F434" s="2554"/>
      <c r="G434" s="2554"/>
      <c r="H434" s="2554"/>
      <c r="I434" s="2554"/>
      <c r="J434" s="2554"/>
      <c r="K434" s="2554"/>
      <c r="L434" s="2554"/>
      <c r="M434" s="2554"/>
      <c r="N434" s="2554"/>
      <c r="O434" s="2554"/>
      <c r="P434" s="2554"/>
      <c r="Q434" s="2554"/>
    </row>
    <row r="435" spans="1:17" hidden="1">
      <c r="A435" s="2836"/>
      <c r="B435" s="1920" t="s">
        <v>224</v>
      </c>
      <c r="C435" s="2839" t="s">
        <v>212</v>
      </c>
      <c r="D435" s="2840">
        <v>3.59429825</v>
      </c>
      <c r="E435" s="2554"/>
      <c r="F435" s="2554"/>
      <c r="G435" s="2554"/>
      <c r="H435" s="2554"/>
      <c r="I435" s="2554"/>
      <c r="J435" s="2554"/>
      <c r="K435" s="2554"/>
      <c r="L435" s="2554"/>
      <c r="M435" s="2554"/>
      <c r="N435" s="2554"/>
      <c r="O435" s="2554"/>
      <c r="P435" s="2554"/>
      <c r="Q435" s="2554"/>
    </row>
    <row r="436" spans="1:17" hidden="1">
      <c r="A436" s="2835"/>
      <c r="B436" s="1917" t="s">
        <v>28</v>
      </c>
      <c r="C436" s="2833" t="s">
        <v>212</v>
      </c>
      <c r="D436" s="2834">
        <v>56.750421550847442</v>
      </c>
      <c r="E436" s="2554"/>
      <c r="F436" s="2554"/>
      <c r="G436" s="2554"/>
      <c r="H436" s="2554"/>
      <c r="I436" s="2554"/>
      <c r="J436" s="2554"/>
      <c r="K436" s="2554"/>
      <c r="L436" s="2554"/>
      <c r="M436" s="2554"/>
      <c r="N436" s="2554"/>
      <c r="O436" s="2554"/>
      <c r="P436" s="2554"/>
      <c r="Q436" s="2554"/>
    </row>
    <row r="437" spans="1:17" hidden="1">
      <c r="A437" s="2835"/>
      <c r="B437" s="1923" t="s">
        <v>341</v>
      </c>
      <c r="C437" s="2833" t="s">
        <v>212</v>
      </c>
      <c r="D437" s="2834">
        <v>56.568943644067787</v>
      </c>
      <c r="E437" s="2554"/>
      <c r="F437" s="2554"/>
      <c r="G437" s="2554"/>
      <c r="H437" s="2554"/>
      <c r="I437" s="2554"/>
      <c r="J437" s="2554"/>
      <c r="K437" s="2554"/>
      <c r="L437" s="2554"/>
      <c r="M437" s="2554"/>
      <c r="N437" s="2554"/>
      <c r="O437" s="2554"/>
      <c r="P437" s="2554"/>
      <c r="Q437" s="2554"/>
    </row>
    <row r="438" spans="1:17" hidden="1">
      <c r="A438" s="2835"/>
      <c r="B438" s="1923" t="s">
        <v>342</v>
      </c>
      <c r="C438" s="2833" t="s">
        <v>212</v>
      </c>
      <c r="D438" s="2834">
        <v>0</v>
      </c>
      <c r="E438" s="2554"/>
      <c r="F438" s="2554"/>
      <c r="G438" s="2554"/>
      <c r="H438" s="2554"/>
      <c r="I438" s="2554"/>
      <c r="J438" s="2554"/>
      <c r="K438" s="2554"/>
      <c r="L438" s="2554"/>
      <c r="M438" s="2554"/>
      <c r="N438" s="2554"/>
      <c r="O438" s="2554"/>
      <c r="P438" s="2554"/>
      <c r="Q438" s="2554"/>
    </row>
    <row r="439" spans="1:17" hidden="1">
      <c r="A439" s="2836"/>
      <c r="B439" s="254" t="s">
        <v>228</v>
      </c>
      <c r="C439" s="255" t="s">
        <v>212</v>
      </c>
      <c r="D439" s="2838">
        <v>11.068340949152544</v>
      </c>
      <c r="E439" s="2554"/>
      <c r="F439" s="2554"/>
      <c r="G439" s="2554"/>
      <c r="H439" s="2554"/>
      <c r="I439" s="2554"/>
      <c r="J439" s="2554"/>
      <c r="K439" s="2554"/>
      <c r="L439" s="2554"/>
      <c r="M439" s="2554"/>
      <c r="N439" s="2554"/>
      <c r="O439" s="2554"/>
      <c r="P439" s="2554"/>
      <c r="Q439" s="2554"/>
    </row>
    <row r="440" spans="1:17" hidden="1">
      <c r="A440" s="2842"/>
      <c r="B440" s="1924" t="s">
        <v>341</v>
      </c>
      <c r="C440" s="2843" t="s">
        <v>212</v>
      </c>
      <c r="D440" s="2844">
        <v>10.886863042372884</v>
      </c>
      <c r="E440" s="2554"/>
      <c r="F440" s="2554"/>
      <c r="G440" s="2554"/>
      <c r="H440" s="2554"/>
      <c r="I440" s="2554"/>
      <c r="J440" s="2554"/>
      <c r="K440" s="2554"/>
      <c r="L440" s="2554"/>
      <c r="M440" s="2554"/>
      <c r="N440" s="2554"/>
      <c r="O440" s="2554"/>
      <c r="P440" s="2554"/>
      <c r="Q440" s="2554"/>
    </row>
    <row r="441" spans="1:17" hidden="1">
      <c r="A441" s="2845"/>
      <c r="B441" s="1926" t="s">
        <v>342</v>
      </c>
      <c r="C441" s="2846" t="s">
        <v>212</v>
      </c>
      <c r="D441" s="2847"/>
      <c r="E441" s="2554"/>
      <c r="F441" s="2554"/>
      <c r="G441" s="2554"/>
      <c r="H441" s="2554"/>
      <c r="I441" s="2554"/>
      <c r="J441" s="2554"/>
      <c r="K441" s="2554"/>
      <c r="L441" s="2554"/>
      <c r="M441" s="2554"/>
      <c r="N441" s="2554"/>
      <c r="O441" s="2554"/>
      <c r="P441" s="2554"/>
      <c r="Q441" s="2554"/>
    </row>
    <row r="442" spans="1:17" hidden="1">
      <c r="A442" s="2836"/>
      <c r="B442" s="256" t="s">
        <v>281</v>
      </c>
      <c r="C442" s="255" t="s">
        <v>212</v>
      </c>
      <c r="D442" s="2840">
        <v>0</v>
      </c>
      <c r="E442" s="2554"/>
      <c r="F442" s="2554"/>
      <c r="G442" s="2554"/>
      <c r="H442" s="2554"/>
      <c r="I442" s="2554"/>
      <c r="J442" s="2554"/>
      <c r="K442" s="2554"/>
      <c r="L442" s="2554"/>
      <c r="M442" s="2554"/>
      <c r="N442" s="2554"/>
      <c r="O442" s="2554"/>
      <c r="P442" s="2554"/>
      <c r="Q442" s="2554"/>
    </row>
    <row r="443" spans="1:17" hidden="1">
      <c r="A443" s="2842"/>
      <c r="B443" s="1924" t="s">
        <v>341</v>
      </c>
      <c r="C443" s="2843" t="s">
        <v>212</v>
      </c>
      <c r="D443" s="2844">
        <v>0</v>
      </c>
      <c r="E443" s="2554"/>
      <c r="F443" s="2554"/>
      <c r="G443" s="2554"/>
      <c r="H443" s="2554"/>
      <c r="I443" s="2554"/>
      <c r="J443" s="2554"/>
      <c r="K443" s="2554"/>
      <c r="L443" s="2554"/>
      <c r="M443" s="2554"/>
      <c r="N443" s="2554"/>
      <c r="O443" s="2554"/>
      <c r="P443" s="2554"/>
      <c r="Q443" s="2554"/>
    </row>
    <row r="444" spans="1:17" hidden="1">
      <c r="A444" s="2845"/>
      <c r="B444" s="1926" t="s">
        <v>342</v>
      </c>
      <c r="C444" s="2846" t="s">
        <v>212</v>
      </c>
      <c r="D444" s="2847"/>
      <c r="E444" s="2554"/>
      <c r="F444" s="2554"/>
      <c r="G444" s="2554"/>
      <c r="H444" s="2554"/>
      <c r="I444" s="2554"/>
      <c r="J444" s="2554"/>
      <c r="K444" s="2554"/>
      <c r="L444" s="2554"/>
      <c r="M444" s="2554"/>
      <c r="N444" s="2554"/>
      <c r="O444" s="2554"/>
      <c r="P444" s="2554"/>
      <c r="Q444" s="2554"/>
    </row>
    <row r="445" spans="1:17" hidden="1">
      <c r="A445" s="2836"/>
      <c r="B445" s="257" t="s">
        <v>343</v>
      </c>
      <c r="C445" s="255" t="s">
        <v>212</v>
      </c>
      <c r="D445" s="2838">
        <v>0.22653655084745764</v>
      </c>
      <c r="E445" s="2554"/>
      <c r="F445" s="2554"/>
      <c r="G445" s="2554"/>
      <c r="H445" s="2554"/>
      <c r="I445" s="2554"/>
      <c r="J445" s="2554"/>
      <c r="K445" s="2554"/>
      <c r="L445" s="2554"/>
      <c r="M445" s="2554"/>
      <c r="N445" s="2554"/>
      <c r="O445" s="2554"/>
      <c r="P445" s="2554"/>
      <c r="Q445" s="2554"/>
    </row>
    <row r="446" spans="1:17" hidden="1">
      <c r="A446" s="2842"/>
      <c r="B446" s="1924" t="s">
        <v>341</v>
      </c>
      <c r="C446" s="2843" t="s">
        <v>212</v>
      </c>
      <c r="D446" s="2844">
        <v>4.505864406779661E-2</v>
      </c>
      <c r="E446" s="2554"/>
      <c r="F446" s="2554"/>
      <c r="G446" s="2554"/>
      <c r="H446" s="2554"/>
      <c r="I446" s="2554"/>
      <c r="J446" s="2554"/>
      <c r="K446" s="2554"/>
      <c r="L446" s="2554"/>
      <c r="M446" s="2554"/>
      <c r="N446" s="2554"/>
      <c r="O446" s="2554"/>
      <c r="P446" s="2554"/>
      <c r="Q446" s="2554"/>
    </row>
    <row r="447" spans="1:17" hidden="1">
      <c r="A447" s="2845"/>
      <c r="B447" s="1926" t="s">
        <v>342</v>
      </c>
      <c r="C447" s="2846" t="s">
        <v>212</v>
      </c>
      <c r="D447" s="2847"/>
      <c r="E447" s="2554"/>
      <c r="F447" s="2554"/>
      <c r="G447" s="2554"/>
      <c r="H447" s="2554"/>
      <c r="I447" s="2554"/>
      <c r="J447" s="2554"/>
      <c r="K447" s="2554"/>
      <c r="L447" s="2554"/>
      <c r="M447" s="2554"/>
      <c r="N447" s="2554"/>
      <c r="O447" s="2554"/>
      <c r="P447" s="2554"/>
      <c r="Q447" s="2554"/>
    </row>
    <row r="448" spans="1:17" hidden="1">
      <c r="A448" s="2836"/>
      <c r="B448" s="1920" t="s">
        <v>230</v>
      </c>
      <c r="C448" s="2839" t="s">
        <v>212</v>
      </c>
      <c r="D448" s="2840">
        <v>0.18147790677966102</v>
      </c>
      <c r="E448" s="2554"/>
      <c r="F448" s="2554"/>
      <c r="G448" s="2554"/>
      <c r="H448" s="2554"/>
      <c r="I448" s="2554"/>
      <c r="J448" s="2554"/>
      <c r="K448" s="2554"/>
      <c r="L448" s="2554"/>
      <c r="M448" s="2554"/>
      <c r="N448" s="2554"/>
      <c r="O448" s="2554"/>
      <c r="P448" s="2554"/>
      <c r="Q448" s="2554"/>
    </row>
    <row r="449" spans="1:17" hidden="1">
      <c r="A449" s="2842"/>
      <c r="B449" s="1924" t="s">
        <v>341</v>
      </c>
      <c r="C449" s="2843" t="s">
        <v>212</v>
      </c>
      <c r="D449" s="2844">
        <v>0.18147790677966102</v>
      </c>
      <c r="E449" s="2554"/>
      <c r="F449" s="2554"/>
      <c r="G449" s="2554"/>
      <c r="H449" s="2554"/>
      <c r="I449" s="2554"/>
      <c r="J449" s="2554"/>
      <c r="K449" s="2554"/>
      <c r="L449" s="2554"/>
      <c r="M449" s="2554"/>
      <c r="N449" s="2554"/>
      <c r="O449" s="2554"/>
      <c r="P449" s="2554"/>
      <c r="Q449" s="2554"/>
    </row>
    <row r="450" spans="1:17" hidden="1">
      <c r="A450" s="2845"/>
      <c r="B450" s="1926" t="s">
        <v>342</v>
      </c>
      <c r="C450" s="2846" t="s">
        <v>212</v>
      </c>
      <c r="D450" s="2847"/>
      <c r="E450" s="2554"/>
      <c r="F450" s="2554"/>
      <c r="G450" s="2554"/>
      <c r="H450" s="2554"/>
      <c r="I450" s="2554"/>
      <c r="J450" s="2554"/>
      <c r="K450" s="2554"/>
      <c r="L450" s="2554"/>
      <c r="M450" s="2554"/>
      <c r="N450" s="2554"/>
      <c r="O450" s="2554"/>
      <c r="P450" s="2554"/>
      <c r="Q450" s="2554"/>
    </row>
    <row r="451" spans="1:17" hidden="1">
      <c r="A451" s="2836"/>
      <c r="B451" s="1920" t="s">
        <v>231</v>
      </c>
      <c r="C451" s="2839" t="s">
        <v>212</v>
      </c>
      <c r="D451" s="2840">
        <v>4.505864406779661E-2</v>
      </c>
      <c r="E451" s="2554"/>
      <c r="F451" s="2554"/>
      <c r="G451" s="2554"/>
      <c r="H451" s="2554"/>
      <c r="I451" s="2554"/>
      <c r="J451" s="2554"/>
      <c r="K451" s="2554"/>
      <c r="L451" s="2554"/>
      <c r="M451" s="2554"/>
      <c r="N451" s="2554"/>
      <c r="O451" s="2554"/>
      <c r="P451" s="2554"/>
      <c r="Q451" s="2554"/>
    </row>
    <row r="452" spans="1:17" hidden="1">
      <c r="A452" s="2842"/>
      <c r="B452" s="1924" t="s">
        <v>341</v>
      </c>
      <c r="C452" s="2843" t="s">
        <v>212</v>
      </c>
      <c r="D452" s="2844">
        <v>4.505864406779661E-2</v>
      </c>
      <c r="E452" s="2554"/>
      <c r="F452" s="2554"/>
      <c r="G452" s="2554"/>
      <c r="H452" s="2554"/>
      <c r="I452" s="2554"/>
      <c r="J452" s="2554"/>
      <c r="K452" s="2554"/>
      <c r="L452" s="2554"/>
      <c r="M452" s="2554"/>
      <c r="N452" s="2554"/>
      <c r="O452" s="2554"/>
      <c r="P452" s="2554"/>
      <c r="Q452" s="2554"/>
    </row>
    <row r="453" spans="1:17" hidden="1">
      <c r="A453" s="2845"/>
      <c r="B453" s="1926" t="s">
        <v>342</v>
      </c>
      <c r="C453" s="2846" t="s">
        <v>212</v>
      </c>
      <c r="D453" s="2847"/>
      <c r="E453" s="2554"/>
      <c r="F453" s="2554"/>
      <c r="G453" s="2554"/>
      <c r="H453" s="2554"/>
      <c r="I453" s="2554"/>
      <c r="J453" s="2554"/>
      <c r="K453" s="2554"/>
      <c r="L453" s="2554"/>
      <c r="M453" s="2554"/>
      <c r="N453" s="2554"/>
      <c r="O453" s="2554"/>
      <c r="P453" s="2554"/>
      <c r="Q453" s="2554"/>
    </row>
    <row r="454" spans="1:17" hidden="1">
      <c r="A454" s="2836"/>
      <c r="B454" s="256" t="s">
        <v>236</v>
      </c>
      <c r="C454" s="255" t="s">
        <v>212</v>
      </c>
      <c r="D454" s="2840">
        <v>10.271043220338985</v>
      </c>
      <c r="E454" s="2554"/>
      <c r="F454" s="2554"/>
      <c r="G454" s="2554"/>
      <c r="H454" s="2554"/>
      <c r="I454" s="2554"/>
      <c r="J454" s="2554"/>
      <c r="K454" s="2554"/>
      <c r="L454" s="2554"/>
      <c r="M454" s="2554"/>
      <c r="N454" s="2554"/>
      <c r="O454" s="2554"/>
      <c r="P454" s="2554"/>
      <c r="Q454" s="2554"/>
    </row>
    <row r="455" spans="1:17" hidden="1">
      <c r="A455" s="2842"/>
      <c r="B455" s="1924" t="s">
        <v>341</v>
      </c>
      <c r="C455" s="2843" t="s">
        <v>212</v>
      </c>
      <c r="D455" s="2844">
        <v>10.271043220338985</v>
      </c>
      <c r="E455" s="2554"/>
      <c r="F455" s="2554"/>
      <c r="G455" s="2554"/>
      <c r="H455" s="2554"/>
      <c r="I455" s="2554"/>
      <c r="J455" s="2554"/>
      <c r="K455" s="2554"/>
      <c r="L455" s="2554"/>
      <c r="M455" s="2554"/>
      <c r="N455" s="2554"/>
      <c r="O455" s="2554"/>
      <c r="P455" s="2554"/>
      <c r="Q455" s="2554"/>
    </row>
    <row r="456" spans="1:17" hidden="1">
      <c r="A456" s="2845"/>
      <c r="B456" s="1926" t="s">
        <v>342</v>
      </c>
      <c r="C456" s="2846" t="s">
        <v>212</v>
      </c>
      <c r="D456" s="2847"/>
      <c r="E456" s="2554"/>
      <c r="F456" s="2554"/>
      <c r="G456" s="2554"/>
      <c r="H456" s="2554"/>
      <c r="I456" s="2554"/>
      <c r="J456" s="2554"/>
      <c r="K456" s="2554"/>
      <c r="L456" s="2554"/>
      <c r="M456" s="2554"/>
      <c r="N456" s="2554"/>
      <c r="O456" s="2554"/>
      <c r="P456" s="2554"/>
      <c r="Q456" s="2554"/>
    </row>
    <row r="457" spans="1:17" hidden="1">
      <c r="A457" s="2836"/>
      <c r="B457" s="257" t="s">
        <v>344</v>
      </c>
      <c r="C457" s="255" t="s">
        <v>212</v>
      </c>
      <c r="D457" s="2838">
        <v>0.57076117796610182</v>
      </c>
      <c r="E457" s="2554"/>
      <c r="F457" s="2554"/>
      <c r="G457" s="2554"/>
      <c r="H457" s="2554"/>
      <c r="I457" s="2554"/>
      <c r="J457" s="2554"/>
      <c r="K457" s="2554"/>
      <c r="L457" s="2554"/>
      <c r="M457" s="2554"/>
      <c r="N457" s="2554"/>
      <c r="O457" s="2554"/>
      <c r="P457" s="2554"/>
      <c r="Q457" s="2554"/>
    </row>
    <row r="458" spans="1:17" hidden="1">
      <c r="A458" s="2842"/>
      <c r="B458" s="1924" t="s">
        <v>341</v>
      </c>
      <c r="C458" s="2843" t="s">
        <v>212</v>
      </c>
      <c r="D458" s="2844">
        <v>0.57076117796610182</v>
      </c>
      <c r="E458" s="2554"/>
      <c r="F458" s="2554"/>
      <c r="G458" s="2554"/>
      <c r="H458" s="2554"/>
      <c r="I458" s="2554"/>
      <c r="J458" s="2554"/>
      <c r="K458" s="2554"/>
      <c r="L458" s="2554"/>
      <c r="M458" s="2554"/>
      <c r="N458" s="2554"/>
      <c r="O458" s="2554"/>
      <c r="P458" s="2554"/>
      <c r="Q458" s="2554"/>
    </row>
    <row r="459" spans="1:17" hidden="1">
      <c r="A459" s="2845"/>
      <c r="B459" s="1926" t="s">
        <v>342</v>
      </c>
      <c r="C459" s="2846" t="s">
        <v>212</v>
      </c>
      <c r="D459" s="2847"/>
      <c r="E459" s="2554"/>
      <c r="F459" s="2554"/>
      <c r="G459" s="2554"/>
      <c r="H459" s="2554"/>
      <c r="I459" s="2554"/>
      <c r="J459" s="2554"/>
      <c r="K459" s="2554"/>
      <c r="L459" s="2554"/>
      <c r="M459" s="2554"/>
      <c r="N459" s="2554"/>
      <c r="O459" s="2554"/>
      <c r="P459" s="2554"/>
      <c r="Q459" s="2554"/>
    </row>
    <row r="460" spans="1:17" hidden="1">
      <c r="A460" s="2836"/>
      <c r="B460" s="1920" t="s">
        <v>230</v>
      </c>
      <c r="C460" s="2839" t="s">
        <v>212</v>
      </c>
      <c r="D460" s="2840">
        <v>0.47047385593220348</v>
      </c>
      <c r="E460" s="2554"/>
      <c r="F460" s="2554"/>
      <c r="G460" s="2554"/>
      <c r="H460" s="2554"/>
      <c r="I460" s="2554"/>
      <c r="J460" s="2554"/>
      <c r="K460" s="2554"/>
      <c r="L460" s="2554"/>
      <c r="M460" s="2554"/>
      <c r="N460" s="2554"/>
      <c r="O460" s="2554"/>
      <c r="P460" s="2554"/>
      <c r="Q460" s="2554"/>
    </row>
    <row r="461" spans="1:17" hidden="1">
      <c r="A461" s="2842"/>
      <c r="B461" s="1924" t="s">
        <v>341</v>
      </c>
      <c r="C461" s="2843" t="s">
        <v>212</v>
      </c>
      <c r="D461" s="2844">
        <v>0.47047385593220348</v>
      </c>
      <c r="E461" s="2554"/>
      <c r="F461" s="2554"/>
      <c r="G461" s="2554"/>
      <c r="H461" s="2554"/>
      <c r="I461" s="2554"/>
      <c r="J461" s="2554"/>
      <c r="K461" s="2554"/>
      <c r="L461" s="2554"/>
      <c r="M461" s="2554"/>
      <c r="N461" s="2554"/>
      <c r="O461" s="2554"/>
      <c r="P461" s="2554"/>
      <c r="Q461" s="2554"/>
    </row>
    <row r="462" spans="1:17" hidden="1">
      <c r="A462" s="2845"/>
      <c r="B462" s="1926" t="s">
        <v>342</v>
      </c>
      <c r="C462" s="2846" t="s">
        <v>212</v>
      </c>
      <c r="D462" s="2847"/>
      <c r="E462" s="2554"/>
      <c r="F462" s="2554"/>
      <c r="G462" s="2554"/>
      <c r="H462" s="2554"/>
      <c r="I462" s="2554"/>
      <c r="J462" s="2554"/>
      <c r="K462" s="2554"/>
      <c r="L462" s="2554"/>
      <c r="M462" s="2554"/>
      <c r="N462" s="2554"/>
      <c r="O462" s="2554"/>
      <c r="P462" s="2554"/>
      <c r="Q462" s="2554"/>
    </row>
    <row r="463" spans="1:17" hidden="1">
      <c r="A463" s="2836"/>
      <c r="B463" s="1920" t="s">
        <v>231</v>
      </c>
      <c r="C463" s="2839" t="s">
        <v>212</v>
      </c>
      <c r="D463" s="2840">
        <v>0.10028732203389831</v>
      </c>
      <c r="E463" s="2554"/>
      <c r="F463" s="2554"/>
      <c r="G463" s="2554"/>
      <c r="H463" s="2554"/>
      <c r="I463" s="2554"/>
      <c r="J463" s="2554"/>
      <c r="K463" s="2554"/>
      <c r="L463" s="2554"/>
      <c r="M463" s="2554"/>
      <c r="N463" s="2554"/>
      <c r="O463" s="2554"/>
      <c r="P463" s="2554"/>
      <c r="Q463" s="2554"/>
    </row>
    <row r="464" spans="1:17" hidden="1">
      <c r="A464" s="2842"/>
      <c r="B464" s="1924" t="s">
        <v>341</v>
      </c>
      <c r="C464" s="2843" t="s">
        <v>212</v>
      </c>
      <c r="D464" s="2844">
        <v>0.10028732203389831</v>
      </c>
      <c r="E464" s="2554"/>
      <c r="F464" s="2554"/>
      <c r="G464" s="2554"/>
      <c r="H464" s="2554"/>
      <c r="I464" s="2554"/>
      <c r="J464" s="2554"/>
      <c r="K464" s="2554"/>
      <c r="L464" s="2554"/>
      <c r="M464" s="2554"/>
      <c r="N464" s="2554"/>
      <c r="O464" s="2554"/>
      <c r="P464" s="2554"/>
      <c r="Q464" s="2554"/>
    </row>
    <row r="465" spans="1:17" hidden="1">
      <c r="A465" s="2845"/>
      <c r="B465" s="1926" t="s">
        <v>342</v>
      </c>
      <c r="C465" s="2846" t="s">
        <v>212</v>
      </c>
      <c r="D465" s="2847"/>
      <c r="E465" s="2554"/>
      <c r="F465" s="2554"/>
      <c r="G465" s="2554"/>
      <c r="H465" s="2554"/>
      <c r="I465" s="2554"/>
      <c r="J465" s="2554"/>
      <c r="K465" s="2554"/>
      <c r="L465" s="2554"/>
      <c r="M465" s="2554"/>
      <c r="N465" s="2554"/>
      <c r="O465" s="2554"/>
      <c r="P465" s="2554"/>
      <c r="Q465" s="2554"/>
    </row>
    <row r="466" spans="1:17" hidden="1">
      <c r="A466" s="2836"/>
      <c r="B466" s="254" t="s">
        <v>232</v>
      </c>
      <c r="C466" s="255" t="s">
        <v>212</v>
      </c>
      <c r="D466" s="2838">
        <v>36.533161711864388</v>
      </c>
      <c r="E466" s="2554"/>
      <c r="F466" s="2554"/>
      <c r="G466" s="2554"/>
      <c r="H466" s="2554"/>
      <c r="I466" s="2554"/>
      <c r="J466" s="2554"/>
      <c r="K466" s="2554"/>
      <c r="L466" s="2554"/>
      <c r="M466" s="2554"/>
      <c r="N466" s="2554"/>
      <c r="O466" s="2554"/>
      <c r="P466" s="2554"/>
      <c r="Q466" s="2554"/>
    </row>
    <row r="467" spans="1:17" hidden="1">
      <c r="A467" s="2842"/>
      <c r="B467" s="1924" t="s">
        <v>341</v>
      </c>
      <c r="C467" s="2843" t="s">
        <v>212</v>
      </c>
      <c r="D467" s="2844">
        <v>36.533161711864388</v>
      </c>
      <c r="E467" s="2554"/>
      <c r="F467" s="2554"/>
      <c r="G467" s="2554"/>
      <c r="H467" s="2554"/>
      <c r="I467" s="2554"/>
      <c r="J467" s="2554"/>
      <c r="K467" s="2554"/>
      <c r="L467" s="2554"/>
      <c r="M467" s="2554"/>
      <c r="N467" s="2554"/>
      <c r="O467" s="2554"/>
      <c r="P467" s="2554"/>
      <c r="Q467" s="2554"/>
    </row>
    <row r="468" spans="1:17" hidden="1">
      <c r="A468" s="2845"/>
      <c r="B468" s="1926" t="s">
        <v>342</v>
      </c>
      <c r="C468" s="2846" t="s">
        <v>212</v>
      </c>
      <c r="D468" s="2847"/>
      <c r="E468" s="2554"/>
      <c r="F468" s="2554"/>
      <c r="G468" s="2554"/>
      <c r="H468" s="2554"/>
      <c r="I468" s="2554"/>
      <c r="J468" s="2554"/>
      <c r="K468" s="2554"/>
      <c r="L468" s="2554"/>
      <c r="M468" s="2554"/>
      <c r="N468" s="2554"/>
      <c r="O468" s="2554"/>
      <c r="P468" s="2554"/>
      <c r="Q468" s="2554"/>
    </row>
    <row r="469" spans="1:17" hidden="1">
      <c r="A469" s="2836"/>
      <c r="B469" s="256" t="s">
        <v>229</v>
      </c>
      <c r="C469" s="255" t="s">
        <v>212</v>
      </c>
      <c r="D469" s="2840">
        <v>16.888737830508472</v>
      </c>
      <c r="E469" s="2554"/>
      <c r="F469" s="2554"/>
      <c r="G469" s="2554"/>
      <c r="H469" s="2554"/>
      <c r="I469" s="2554"/>
      <c r="J469" s="2554"/>
      <c r="K469" s="2554"/>
      <c r="L469" s="2554"/>
      <c r="M469" s="2554"/>
      <c r="N469" s="2554"/>
      <c r="O469" s="2554"/>
      <c r="P469" s="2554"/>
      <c r="Q469" s="2554"/>
    </row>
    <row r="470" spans="1:17" hidden="1">
      <c r="A470" s="2842"/>
      <c r="B470" s="1924" t="s">
        <v>341</v>
      </c>
      <c r="C470" s="2843" t="s">
        <v>212</v>
      </c>
      <c r="D470" s="2844">
        <v>16.888737830508472</v>
      </c>
      <c r="E470" s="2554"/>
      <c r="F470" s="2554"/>
      <c r="G470" s="2554"/>
      <c r="H470" s="2554"/>
      <c r="I470" s="2554"/>
      <c r="J470" s="2554"/>
      <c r="K470" s="2554"/>
      <c r="L470" s="2554"/>
      <c r="M470" s="2554"/>
      <c r="N470" s="2554"/>
      <c r="O470" s="2554"/>
      <c r="P470" s="2554"/>
      <c r="Q470" s="2554"/>
    </row>
    <row r="471" spans="1:17" hidden="1">
      <c r="A471" s="2845"/>
      <c r="B471" s="1926" t="s">
        <v>342</v>
      </c>
      <c r="C471" s="2846" t="s">
        <v>212</v>
      </c>
      <c r="D471" s="2847"/>
      <c r="E471" s="2554"/>
      <c r="F471" s="2554"/>
      <c r="G471" s="2554"/>
      <c r="H471" s="2554"/>
      <c r="I471" s="2554"/>
      <c r="J471" s="2554"/>
      <c r="K471" s="2554"/>
      <c r="L471" s="2554"/>
      <c r="M471" s="2554"/>
      <c r="N471" s="2554"/>
      <c r="O471" s="2554"/>
      <c r="P471" s="2554"/>
      <c r="Q471" s="2554"/>
    </row>
    <row r="472" spans="1:17" hidden="1">
      <c r="A472" s="2836"/>
      <c r="B472" s="257" t="s">
        <v>345</v>
      </c>
      <c r="C472" s="255" t="s">
        <v>212</v>
      </c>
      <c r="D472" s="2838">
        <v>19.644423881355916</v>
      </c>
      <c r="E472" s="2554"/>
      <c r="F472" s="2554"/>
      <c r="G472" s="2554"/>
      <c r="H472" s="2554"/>
      <c r="I472" s="2554"/>
      <c r="J472" s="2554"/>
      <c r="K472" s="2554"/>
      <c r="L472" s="2554"/>
      <c r="M472" s="2554"/>
      <c r="N472" s="2554"/>
      <c r="O472" s="2554"/>
      <c r="P472" s="2554"/>
      <c r="Q472" s="2554"/>
    </row>
    <row r="473" spans="1:17" hidden="1">
      <c r="A473" s="2842"/>
      <c r="B473" s="1924" t="s">
        <v>341</v>
      </c>
      <c r="C473" s="2843" t="s">
        <v>212</v>
      </c>
      <c r="D473" s="2844">
        <v>19.644423881355916</v>
      </c>
      <c r="E473" s="2554"/>
      <c r="F473" s="2554"/>
      <c r="G473" s="2554"/>
      <c r="H473" s="2554"/>
      <c r="I473" s="2554"/>
      <c r="J473" s="2554"/>
      <c r="K473" s="2554"/>
      <c r="L473" s="2554"/>
      <c r="M473" s="2554"/>
      <c r="N473" s="2554"/>
      <c r="O473" s="2554"/>
      <c r="P473" s="2554"/>
      <c r="Q473" s="2554"/>
    </row>
    <row r="474" spans="1:17" hidden="1">
      <c r="A474" s="2845"/>
      <c r="B474" s="1926" t="s">
        <v>342</v>
      </c>
      <c r="C474" s="2846" t="s">
        <v>212</v>
      </c>
      <c r="D474" s="2847"/>
      <c r="E474" s="2554"/>
      <c r="F474" s="2554"/>
      <c r="G474" s="2554"/>
      <c r="H474" s="2554"/>
      <c r="I474" s="2554"/>
      <c r="J474" s="2554"/>
      <c r="K474" s="2554"/>
      <c r="L474" s="2554"/>
      <c r="M474" s="2554"/>
      <c r="N474" s="2554"/>
      <c r="O474" s="2554"/>
      <c r="P474" s="2554"/>
      <c r="Q474" s="2554"/>
    </row>
    <row r="475" spans="1:17" hidden="1">
      <c r="A475" s="2836"/>
      <c r="B475" s="1920" t="s">
        <v>230</v>
      </c>
      <c r="C475" s="2839" t="s">
        <v>212</v>
      </c>
      <c r="D475" s="2840">
        <v>16.724814644067777</v>
      </c>
      <c r="E475" s="2554"/>
      <c r="F475" s="2554"/>
      <c r="G475" s="2554"/>
      <c r="H475" s="2554"/>
      <c r="I475" s="2554"/>
      <c r="J475" s="2554"/>
      <c r="K475" s="2554"/>
      <c r="L475" s="2554"/>
      <c r="M475" s="2554"/>
      <c r="N475" s="2554"/>
      <c r="O475" s="2554"/>
      <c r="P475" s="2554"/>
      <c r="Q475" s="2554"/>
    </row>
    <row r="476" spans="1:17" hidden="1">
      <c r="A476" s="2842"/>
      <c r="B476" s="1924" t="s">
        <v>341</v>
      </c>
      <c r="C476" s="2843" t="s">
        <v>212</v>
      </c>
      <c r="D476" s="2844">
        <v>16.724814644067777</v>
      </c>
      <c r="E476" s="2554"/>
      <c r="F476" s="2554"/>
      <c r="G476" s="2554"/>
      <c r="H476" s="2554"/>
      <c r="I476" s="2554"/>
      <c r="J476" s="2554"/>
      <c r="K476" s="2554"/>
      <c r="L476" s="2554"/>
      <c r="M476" s="2554"/>
      <c r="N476" s="2554"/>
      <c r="O476" s="2554"/>
      <c r="P476" s="2554"/>
      <c r="Q476" s="2554"/>
    </row>
    <row r="477" spans="1:17" hidden="1">
      <c r="A477" s="2845"/>
      <c r="B477" s="1926" t="s">
        <v>342</v>
      </c>
      <c r="C477" s="2846" t="s">
        <v>212</v>
      </c>
      <c r="D477" s="2847"/>
      <c r="E477" s="2554"/>
      <c r="F477" s="2554"/>
      <c r="G477" s="2554"/>
      <c r="H477" s="2554"/>
      <c r="I477" s="2554"/>
      <c r="J477" s="2554"/>
      <c r="K477" s="2554"/>
      <c r="L477" s="2554"/>
      <c r="M477" s="2554"/>
      <c r="N477" s="2554"/>
      <c r="O477" s="2554"/>
      <c r="P477" s="2554"/>
      <c r="Q477" s="2554"/>
    </row>
    <row r="478" spans="1:17" hidden="1">
      <c r="A478" s="2836"/>
      <c r="B478" s="1920" t="s">
        <v>231</v>
      </c>
      <c r="C478" s="2839" t="s">
        <v>212</v>
      </c>
      <c r="D478" s="2840">
        <v>2.9196092372881375</v>
      </c>
      <c r="E478" s="2554"/>
      <c r="F478" s="2554"/>
      <c r="G478" s="2554"/>
      <c r="H478" s="2554"/>
      <c r="I478" s="2554"/>
      <c r="J478" s="2554"/>
      <c r="K478" s="2554"/>
      <c r="L478" s="2554"/>
      <c r="M478" s="2554"/>
      <c r="N478" s="2554"/>
      <c r="O478" s="2554"/>
      <c r="P478" s="2554"/>
      <c r="Q478" s="2554"/>
    </row>
    <row r="479" spans="1:17" hidden="1">
      <c r="A479" s="2842"/>
      <c r="B479" s="1924" t="s">
        <v>341</v>
      </c>
      <c r="C479" s="2843" t="s">
        <v>212</v>
      </c>
      <c r="D479" s="2844">
        <v>2.9196092372881375</v>
      </c>
      <c r="E479" s="2554"/>
      <c r="F479" s="2554"/>
      <c r="G479" s="2554"/>
      <c r="H479" s="2554"/>
      <c r="I479" s="2554"/>
      <c r="J479" s="2554"/>
      <c r="K479" s="2554"/>
      <c r="L479" s="2554"/>
      <c r="M479" s="2554"/>
      <c r="N479" s="2554"/>
      <c r="O479" s="2554"/>
      <c r="P479" s="2554"/>
      <c r="Q479" s="2554"/>
    </row>
    <row r="480" spans="1:17" hidden="1">
      <c r="A480" s="2845"/>
      <c r="B480" s="1926" t="s">
        <v>342</v>
      </c>
      <c r="C480" s="2846" t="s">
        <v>212</v>
      </c>
      <c r="D480" s="2847"/>
      <c r="E480" s="2554"/>
      <c r="F480" s="2554"/>
      <c r="G480" s="2554"/>
      <c r="H480" s="2554"/>
      <c r="I480" s="2554"/>
      <c r="J480" s="2554"/>
      <c r="K480" s="2554"/>
      <c r="L480" s="2554"/>
      <c r="M480" s="2554"/>
      <c r="N480" s="2554"/>
      <c r="O480" s="2554"/>
      <c r="P480" s="2554"/>
      <c r="Q480" s="2554"/>
    </row>
    <row r="481" spans="1:17" hidden="1">
      <c r="A481" s="2836"/>
      <c r="B481" s="259" t="s">
        <v>40</v>
      </c>
      <c r="C481" s="255" t="s">
        <v>212</v>
      </c>
      <c r="D481" s="2838">
        <v>9.1489188898305098</v>
      </c>
      <c r="E481" s="2554"/>
      <c r="F481" s="2554"/>
      <c r="G481" s="2554"/>
      <c r="H481" s="2554"/>
      <c r="I481" s="2554"/>
      <c r="J481" s="2554"/>
      <c r="K481" s="2554"/>
      <c r="L481" s="2554"/>
      <c r="M481" s="2554"/>
      <c r="N481" s="2554"/>
      <c r="O481" s="2554"/>
      <c r="P481" s="2554"/>
      <c r="Q481" s="2554"/>
    </row>
    <row r="482" spans="1:17" hidden="1">
      <c r="A482" s="2842"/>
      <c r="B482" s="1924" t="s">
        <v>341</v>
      </c>
      <c r="C482" s="2843" t="s">
        <v>212</v>
      </c>
      <c r="D482" s="2844">
        <v>9.1489188898305098</v>
      </c>
      <c r="E482" s="2554"/>
      <c r="F482" s="2554"/>
      <c r="G482" s="2554"/>
      <c r="H482" s="2554"/>
      <c r="I482" s="2554"/>
      <c r="J482" s="2554"/>
      <c r="K482" s="2554"/>
      <c r="L482" s="2554"/>
      <c r="M482" s="2554"/>
      <c r="N482" s="2554"/>
      <c r="O482" s="2554"/>
      <c r="P482" s="2554"/>
      <c r="Q482" s="2554"/>
    </row>
    <row r="483" spans="1:17" hidden="1">
      <c r="A483" s="2845"/>
      <c r="B483" s="1926" t="s">
        <v>342</v>
      </c>
      <c r="C483" s="2846" t="s">
        <v>212</v>
      </c>
      <c r="D483" s="2847"/>
      <c r="E483" s="2554"/>
      <c r="F483" s="2554"/>
      <c r="G483" s="2554"/>
      <c r="H483" s="2554"/>
      <c r="I483" s="2554"/>
      <c r="J483" s="2554"/>
      <c r="K483" s="2554"/>
      <c r="L483" s="2554"/>
      <c r="M483" s="2554"/>
      <c r="N483" s="2554"/>
      <c r="O483" s="2554"/>
      <c r="P483" s="2554"/>
      <c r="Q483" s="2554"/>
    </row>
    <row r="484" spans="1:17" hidden="1">
      <c r="A484" s="2836"/>
      <c r="B484" s="256" t="s">
        <v>281</v>
      </c>
      <c r="C484" s="255" t="s">
        <v>212</v>
      </c>
      <c r="D484" s="2840">
        <v>0</v>
      </c>
      <c r="E484" s="2554"/>
      <c r="F484" s="2554"/>
      <c r="G484" s="2554"/>
      <c r="H484" s="2554"/>
      <c r="I484" s="2554"/>
      <c r="J484" s="2554"/>
      <c r="K484" s="2554"/>
      <c r="L484" s="2554"/>
      <c r="M484" s="2554"/>
      <c r="N484" s="2554"/>
      <c r="O484" s="2554"/>
      <c r="P484" s="2554"/>
      <c r="Q484" s="2554"/>
    </row>
    <row r="485" spans="1:17" hidden="1">
      <c r="A485" s="2842"/>
      <c r="B485" s="1924" t="s">
        <v>341</v>
      </c>
      <c r="C485" s="2843" t="s">
        <v>212</v>
      </c>
      <c r="D485" s="2844">
        <v>0</v>
      </c>
      <c r="E485" s="2554"/>
      <c r="F485" s="2554"/>
      <c r="G485" s="2554"/>
      <c r="H485" s="2554"/>
      <c r="I485" s="2554"/>
      <c r="J485" s="2554"/>
      <c r="K485" s="2554"/>
      <c r="L485" s="2554"/>
      <c r="M485" s="2554"/>
      <c r="N485" s="2554"/>
      <c r="O485" s="2554"/>
      <c r="P485" s="2554"/>
      <c r="Q485" s="2554"/>
    </row>
    <row r="486" spans="1:17" hidden="1">
      <c r="A486" s="2845"/>
      <c r="B486" s="1926" t="s">
        <v>342</v>
      </c>
      <c r="C486" s="2846" t="s">
        <v>212</v>
      </c>
      <c r="D486" s="2847"/>
      <c r="E486" s="2554"/>
      <c r="F486" s="2554"/>
      <c r="G486" s="2554"/>
      <c r="H486" s="2554"/>
      <c r="I486" s="2554"/>
      <c r="J486" s="2554"/>
      <c r="K486" s="2554"/>
      <c r="L486" s="2554"/>
      <c r="M486" s="2554"/>
      <c r="N486" s="2554"/>
      <c r="O486" s="2554"/>
      <c r="P486" s="2554"/>
      <c r="Q486" s="2554"/>
    </row>
    <row r="487" spans="1:17" hidden="1">
      <c r="A487" s="2836"/>
      <c r="B487" s="257" t="s">
        <v>343</v>
      </c>
      <c r="C487" s="255" t="s">
        <v>212</v>
      </c>
      <c r="D487" s="2838">
        <v>0</v>
      </c>
      <c r="E487" s="2554"/>
      <c r="F487" s="2554"/>
      <c r="G487" s="2554"/>
      <c r="H487" s="2554"/>
      <c r="I487" s="2554"/>
      <c r="J487" s="2554"/>
      <c r="K487" s="2554"/>
      <c r="L487" s="2554"/>
      <c r="M487" s="2554"/>
      <c r="N487" s="2554"/>
      <c r="O487" s="2554"/>
      <c r="P487" s="2554"/>
      <c r="Q487" s="2554"/>
    </row>
    <row r="488" spans="1:17" hidden="1">
      <c r="A488" s="2842"/>
      <c r="B488" s="1924" t="s">
        <v>341</v>
      </c>
      <c r="C488" s="2843" t="s">
        <v>212</v>
      </c>
      <c r="D488" s="2844">
        <v>0</v>
      </c>
      <c r="E488" s="2554"/>
      <c r="F488" s="2554"/>
      <c r="G488" s="2554"/>
      <c r="H488" s="2554"/>
      <c r="I488" s="2554"/>
      <c r="J488" s="2554"/>
      <c r="K488" s="2554"/>
      <c r="L488" s="2554"/>
      <c r="M488" s="2554"/>
      <c r="N488" s="2554"/>
      <c r="O488" s="2554"/>
      <c r="P488" s="2554"/>
      <c r="Q488" s="2554"/>
    </row>
    <row r="489" spans="1:17" hidden="1">
      <c r="A489" s="2845"/>
      <c r="B489" s="1926" t="s">
        <v>342</v>
      </c>
      <c r="C489" s="2846" t="s">
        <v>212</v>
      </c>
      <c r="D489" s="2847"/>
      <c r="E489" s="2554"/>
      <c r="F489" s="2554"/>
      <c r="G489" s="2554"/>
      <c r="H489" s="2554"/>
      <c r="I489" s="2554"/>
      <c r="J489" s="2554"/>
      <c r="K489" s="2554"/>
      <c r="L489" s="2554"/>
      <c r="M489" s="2554"/>
      <c r="N489" s="2554"/>
      <c r="O489" s="2554"/>
      <c r="P489" s="2554"/>
      <c r="Q489" s="2554"/>
    </row>
    <row r="490" spans="1:17" hidden="1">
      <c r="A490" s="2836"/>
      <c r="B490" s="1920" t="s">
        <v>230</v>
      </c>
      <c r="C490" s="2839" t="s">
        <v>212</v>
      </c>
      <c r="D490" s="2840">
        <v>0</v>
      </c>
      <c r="E490" s="2554"/>
      <c r="F490" s="2554"/>
      <c r="G490" s="2554"/>
      <c r="H490" s="2554"/>
      <c r="I490" s="2554"/>
      <c r="J490" s="2554"/>
      <c r="K490" s="2554"/>
      <c r="L490" s="2554"/>
      <c r="M490" s="2554"/>
      <c r="N490" s="2554"/>
      <c r="O490" s="2554"/>
      <c r="P490" s="2554"/>
      <c r="Q490" s="2554"/>
    </row>
    <row r="491" spans="1:17" hidden="1">
      <c r="A491" s="2842"/>
      <c r="B491" s="1924" t="s">
        <v>341</v>
      </c>
      <c r="C491" s="2843" t="s">
        <v>212</v>
      </c>
      <c r="D491" s="2844">
        <v>0</v>
      </c>
      <c r="E491" s="2554"/>
      <c r="F491" s="2554"/>
      <c r="G491" s="2554"/>
      <c r="H491" s="2554"/>
      <c r="I491" s="2554"/>
      <c r="J491" s="2554"/>
      <c r="K491" s="2554"/>
      <c r="L491" s="2554"/>
      <c r="M491" s="2554"/>
      <c r="N491" s="2554"/>
      <c r="O491" s="2554"/>
      <c r="P491" s="2554"/>
      <c r="Q491" s="2554"/>
    </row>
    <row r="492" spans="1:17" hidden="1">
      <c r="A492" s="2845"/>
      <c r="B492" s="1926" t="s">
        <v>342</v>
      </c>
      <c r="C492" s="2846" t="s">
        <v>212</v>
      </c>
      <c r="D492" s="2847"/>
      <c r="E492" s="2554"/>
      <c r="F492" s="2554"/>
      <c r="G492" s="2554"/>
      <c r="H492" s="2554"/>
      <c r="I492" s="2554"/>
      <c r="J492" s="2554"/>
      <c r="K492" s="2554"/>
      <c r="L492" s="2554"/>
      <c r="M492" s="2554"/>
      <c r="N492" s="2554"/>
      <c r="O492" s="2554"/>
      <c r="P492" s="2554"/>
      <c r="Q492" s="2554"/>
    </row>
    <row r="493" spans="1:17" hidden="1">
      <c r="A493" s="2836"/>
      <c r="B493" s="1920" t="s">
        <v>231</v>
      </c>
      <c r="C493" s="2839" t="s">
        <v>212</v>
      </c>
      <c r="D493" s="2840">
        <v>0</v>
      </c>
      <c r="E493" s="2554"/>
      <c r="F493" s="2554"/>
      <c r="G493" s="2554"/>
      <c r="H493" s="2554"/>
      <c r="I493" s="2554"/>
      <c r="J493" s="2554"/>
      <c r="K493" s="2554"/>
      <c r="L493" s="2554"/>
      <c r="M493" s="2554"/>
      <c r="N493" s="2554"/>
      <c r="O493" s="2554"/>
      <c r="P493" s="2554"/>
      <c r="Q493" s="2554"/>
    </row>
    <row r="494" spans="1:17" hidden="1">
      <c r="A494" s="2842"/>
      <c r="B494" s="1924" t="s">
        <v>341</v>
      </c>
      <c r="C494" s="2843" t="s">
        <v>212</v>
      </c>
      <c r="D494" s="2844">
        <v>0</v>
      </c>
      <c r="E494" s="2554"/>
      <c r="F494" s="2554"/>
      <c r="G494" s="2554"/>
      <c r="H494" s="2554"/>
      <c r="I494" s="2554"/>
      <c r="J494" s="2554"/>
      <c r="K494" s="2554"/>
      <c r="L494" s="2554"/>
      <c r="M494" s="2554"/>
      <c r="N494" s="2554"/>
      <c r="O494" s="2554"/>
      <c r="P494" s="2554"/>
      <c r="Q494" s="2554"/>
    </row>
    <row r="495" spans="1:17" hidden="1">
      <c r="A495" s="2845"/>
      <c r="B495" s="1926" t="s">
        <v>342</v>
      </c>
      <c r="C495" s="2846" t="s">
        <v>212</v>
      </c>
      <c r="D495" s="2847"/>
      <c r="E495" s="2554"/>
      <c r="F495" s="2554"/>
      <c r="G495" s="2554"/>
      <c r="H495" s="2554"/>
      <c r="I495" s="2554"/>
      <c r="J495" s="2554"/>
      <c r="K495" s="2554"/>
      <c r="L495" s="2554"/>
      <c r="M495" s="2554"/>
      <c r="N495" s="2554"/>
      <c r="O495" s="2554"/>
      <c r="P495" s="2554"/>
      <c r="Q495" s="2554"/>
    </row>
    <row r="496" spans="1:17" hidden="1">
      <c r="A496" s="2836"/>
      <c r="B496" s="256" t="s">
        <v>234</v>
      </c>
      <c r="C496" s="255" t="s">
        <v>212</v>
      </c>
      <c r="D496" s="2840">
        <v>0.56897535593220339</v>
      </c>
      <c r="E496" s="2554"/>
      <c r="F496" s="2554"/>
      <c r="G496" s="2554"/>
      <c r="H496" s="2554"/>
      <c r="I496" s="2554"/>
      <c r="J496" s="2554"/>
      <c r="K496" s="2554"/>
      <c r="L496" s="2554"/>
      <c r="M496" s="2554"/>
      <c r="N496" s="2554"/>
      <c r="O496" s="2554"/>
      <c r="P496" s="2554"/>
      <c r="Q496" s="2554"/>
    </row>
    <row r="497" spans="1:17" hidden="1">
      <c r="A497" s="2842"/>
      <c r="B497" s="1924" t="s">
        <v>341</v>
      </c>
      <c r="C497" s="2843" t="s">
        <v>212</v>
      </c>
      <c r="D497" s="2844">
        <v>0.56897535593220339</v>
      </c>
      <c r="E497" s="2554"/>
      <c r="F497" s="2554"/>
      <c r="G497" s="2554"/>
      <c r="H497" s="2554"/>
      <c r="I497" s="2554"/>
      <c r="J497" s="2554"/>
      <c r="K497" s="2554"/>
      <c r="L497" s="2554"/>
      <c r="M497" s="2554"/>
      <c r="N497" s="2554"/>
      <c r="O497" s="2554"/>
      <c r="P497" s="2554"/>
      <c r="Q497" s="2554"/>
    </row>
    <row r="498" spans="1:17" hidden="1">
      <c r="A498" s="2845"/>
      <c r="B498" s="1926" t="s">
        <v>342</v>
      </c>
      <c r="C498" s="2846" t="s">
        <v>212</v>
      </c>
      <c r="D498" s="2847"/>
      <c r="E498" s="2554"/>
      <c r="F498" s="2554"/>
      <c r="G498" s="2554"/>
      <c r="H498" s="2554"/>
      <c r="I498" s="2554"/>
      <c r="J498" s="2554"/>
      <c r="K498" s="2554"/>
      <c r="L498" s="2554"/>
      <c r="M498" s="2554"/>
      <c r="N498" s="2554"/>
      <c r="O498" s="2554"/>
      <c r="P498" s="2554"/>
      <c r="Q498" s="2554"/>
    </row>
    <row r="499" spans="1:17" hidden="1">
      <c r="A499" s="2836"/>
      <c r="B499" s="257" t="s">
        <v>346</v>
      </c>
      <c r="C499" s="255" t="s">
        <v>212</v>
      </c>
      <c r="D499" s="2838">
        <v>8.3679281355932211</v>
      </c>
      <c r="E499" s="2554"/>
      <c r="F499" s="2554"/>
      <c r="G499" s="2554"/>
      <c r="H499" s="2554"/>
      <c r="I499" s="2554"/>
      <c r="J499" s="2554"/>
      <c r="K499" s="2554"/>
      <c r="L499" s="2554"/>
      <c r="M499" s="2554"/>
      <c r="N499" s="2554"/>
      <c r="O499" s="2554"/>
      <c r="P499" s="2554"/>
      <c r="Q499" s="2554"/>
    </row>
    <row r="500" spans="1:17" hidden="1">
      <c r="A500" s="2842"/>
      <c r="B500" s="1924" t="s">
        <v>341</v>
      </c>
      <c r="C500" s="2843" t="s">
        <v>212</v>
      </c>
      <c r="D500" s="2844">
        <v>8.3679281355932211</v>
      </c>
      <c r="E500" s="2554"/>
      <c r="F500" s="2554"/>
      <c r="G500" s="2554"/>
      <c r="H500" s="2554"/>
      <c r="I500" s="2554"/>
      <c r="J500" s="2554"/>
      <c r="K500" s="2554"/>
      <c r="L500" s="2554"/>
      <c r="M500" s="2554"/>
      <c r="N500" s="2554"/>
      <c r="O500" s="2554"/>
      <c r="P500" s="2554"/>
      <c r="Q500" s="2554"/>
    </row>
    <row r="501" spans="1:17" hidden="1">
      <c r="A501" s="2845"/>
      <c r="B501" s="1926" t="s">
        <v>342</v>
      </c>
      <c r="C501" s="2846" t="s">
        <v>212</v>
      </c>
      <c r="D501" s="2847"/>
      <c r="E501" s="2554"/>
      <c r="F501" s="2554"/>
      <c r="G501" s="2554"/>
      <c r="H501" s="2554"/>
      <c r="I501" s="2554"/>
      <c r="J501" s="2554"/>
      <c r="K501" s="2554"/>
      <c r="L501" s="2554"/>
      <c r="M501" s="2554"/>
      <c r="N501" s="2554"/>
      <c r="O501" s="2554"/>
      <c r="P501" s="2554"/>
      <c r="Q501" s="2554"/>
    </row>
    <row r="502" spans="1:17" hidden="1">
      <c r="A502" s="2836"/>
      <c r="B502" s="1920" t="s">
        <v>230</v>
      </c>
      <c r="C502" s="2839" t="s">
        <v>212</v>
      </c>
      <c r="D502" s="2840">
        <v>6.7274788474576281</v>
      </c>
      <c r="E502" s="2554"/>
      <c r="F502" s="2554"/>
      <c r="G502" s="2554"/>
      <c r="H502" s="2554"/>
      <c r="I502" s="2554"/>
      <c r="J502" s="2554"/>
      <c r="K502" s="2554"/>
      <c r="L502" s="2554"/>
      <c r="M502" s="2554"/>
      <c r="N502" s="2554"/>
      <c r="O502" s="2554"/>
      <c r="P502" s="2554"/>
      <c r="Q502" s="2554"/>
    </row>
    <row r="503" spans="1:17" hidden="1">
      <c r="A503" s="2842"/>
      <c r="B503" s="1924" t="s">
        <v>341</v>
      </c>
      <c r="C503" s="2843" t="s">
        <v>212</v>
      </c>
      <c r="D503" s="2844">
        <v>6.7274788474576281</v>
      </c>
      <c r="E503" s="2554"/>
      <c r="F503" s="2554"/>
      <c r="G503" s="2554"/>
      <c r="H503" s="2554"/>
      <c r="I503" s="2554"/>
      <c r="J503" s="2554"/>
      <c r="K503" s="2554"/>
      <c r="L503" s="2554"/>
      <c r="M503" s="2554"/>
      <c r="N503" s="2554"/>
      <c r="O503" s="2554"/>
      <c r="P503" s="2554"/>
      <c r="Q503" s="2554"/>
    </row>
    <row r="504" spans="1:17" hidden="1">
      <c r="A504" s="2845"/>
      <c r="B504" s="1926" t="s">
        <v>342</v>
      </c>
      <c r="C504" s="2846" t="s">
        <v>212</v>
      </c>
      <c r="D504" s="2847"/>
      <c r="E504" s="2554"/>
      <c r="F504" s="2554"/>
      <c r="G504" s="2554"/>
      <c r="H504" s="2554"/>
      <c r="I504" s="2554"/>
      <c r="J504" s="2554"/>
      <c r="K504" s="2554"/>
      <c r="L504" s="2554"/>
      <c r="M504" s="2554"/>
      <c r="N504" s="2554"/>
      <c r="O504" s="2554"/>
      <c r="P504" s="2554"/>
      <c r="Q504" s="2554"/>
    </row>
    <row r="505" spans="1:17" hidden="1">
      <c r="A505" s="2836"/>
      <c r="B505" s="1920" t="s">
        <v>231</v>
      </c>
      <c r="C505" s="2839" t="s">
        <v>212</v>
      </c>
      <c r="D505" s="2840">
        <v>1.6404492881355937</v>
      </c>
      <c r="E505" s="2554"/>
      <c r="F505" s="2554"/>
      <c r="G505" s="2554"/>
      <c r="H505" s="2554"/>
      <c r="I505" s="2554"/>
      <c r="J505" s="2554"/>
      <c r="K505" s="2554"/>
      <c r="L505" s="2554"/>
      <c r="M505" s="2554"/>
      <c r="N505" s="2554"/>
      <c r="O505" s="2554"/>
      <c r="P505" s="2554"/>
      <c r="Q505" s="2554"/>
    </row>
    <row r="506" spans="1:17" hidden="1">
      <c r="A506" s="2842"/>
      <c r="B506" s="1924" t="s">
        <v>341</v>
      </c>
      <c r="C506" s="2843" t="s">
        <v>212</v>
      </c>
      <c r="D506" s="2844">
        <v>1.6404492881355937</v>
      </c>
      <c r="E506" s="2554"/>
      <c r="F506" s="2554"/>
      <c r="G506" s="2554"/>
      <c r="H506" s="2554"/>
      <c r="I506" s="2554"/>
      <c r="J506" s="2554"/>
      <c r="K506" s="2554"/>
      <c r="L506" s="2554"/>
      <c r="M506" s="2554"/>
      <c r="N506" s="2554"/>
      <c r="O506" s="2554"/>
      <c r="P506" s="2554"/>
      <c r="Q506" s="2554"/>
    </row>
    <row r="507" spans="1:17" hidden="1">
      <c r="A507" s="2845"/>
      <c r="B507" s="1926" t="s">
        <v>342</v>
      </c>
      <c r="C507" s="2846" t="s">
        <v>212</v>
      </c>
      <c r="D507" s="2847"/>
      <c r="E507" s="2554"/>
      <c r="F507" s="2554"/>
      <c r="G507" s="2554"/>
      <c r="H507" s="2554"/>
      <c r="I507" s="2554"/>
      <c r="J507" s="2554"/>
      <c r="K507" s="2554"/>
      <c r="L507" s="2554"/>
      <c r="M507" s="2554"/>
      <c r="N507" s="2554"/>
      <c r="O507" s="2554"/>
      <c r="P507" s="2554"/>
      <c r="Q507" s="2554"/>
    </row>
    <row r="508" spans="1:17" hidden="1">
      <c r="A508" s="2836"/>
      <c r="B508" s="256" t="s">
        <v>236</v>
      </c>
      <c r="C508" s="255" t="s">
        <v>212</v>
      </c>
      <c r="D508" s="2840">
        <v>3.676596610169492E-2</v>
      </c>
      <c r="E508" s="2554"/>
      <c r="F508" s="2554"/>
      <c r="G508" s="2554"/>
      <c r="H508" s="2554"/>
      <c r="I508" s="2554"/>
      <c r="J508" s="2554"/>
      <c r="K508" s="2554"/>
      <c r="L508" s="2554"/>
      <c r="M508" s="2554"/>
      <c r="N508" s="2554"/>
      <c r="O508" s="2554"/>
      <c r="P508" s="2554"/>
      <c r="Q508" s="2554"/>
    </row>
    <row r="509" spans="1:17" hidden="1">
      <c r="A509" s="2842"/>
      <c r="B509" s="1924" t="s">
        <v>341</v>
      </c>
      <c r="C509" s="2843" t="s">
        <v>212</v>
      </c>
      <c r="D509" s="2844">
        <v>3.676596610169492E-2</v>
      </c>
      <c r="E509" s="2554"/>
      <c r="F509" s="2554"/>
      <c r="G509" s="2554"/>
      <c r="H509" s="2554"/>
      <c r="I509" s="2554"/>
      <c r="J509" s="2554"/>
      <c r="K509" s="2554"/>
      <c r="L509" s="2554"/>
      <c r="M509" s="2554"/>
      <c r="N509" s="2554"/>
      <c r="O509" s="2554"/>
      <c r="P509" s="2554"/>
      <c r="Q509" s="2554"/>
    </row>
    <row r="510" spans="1:17" hidden="1">
      <c r="A510" s="2845"/>
      <c r="B510" s="1926" t="s">
        <v>342</v>
      </c>
      <c r="C510" s="2846" t="s">
        <v>212</v>
      </c>
      <c r="D510" s="2847"/>
      <c r="E510" s="2554"/>
      <c r="F510" s="2554"/>
      <c r="G510" s="2554"/>
      <c r="H510" s="2554"/>
      <c r="I510" s="2554"/>
      <c r="J510" s="2554"/>
      <c r="K510" s="2554"/>
      <c r="L510" s="2554"/>
      <c r="M510" s="2554"/>
      <c r="N510" s="2554"/>
      <c r="O510" s="2554"/>
      <c r="P510" s="2554"/>
      <c r="Q510" s="2554"/>
    </row>
    <row r="511" spans="1:17" hidden="1">
      <c r="A511" s="2836"/>
      <c r="B511" s="257" t="s">
        <v>344</v>
      </c>
      <c r="C511" s="255" t="s">
        <v>212</v>
      </c>
      <c r="D511" s="2838">
        <v>0.17524943220338982</v>
      </c>
      <c r="E511" s="2554"/>
      <c r="F511" s="2554"/>
      <c r="G511" s="2554"/>
      <c r="H511" s="2554"/>
      <c r="I511" s="2554"/>
      <c r="J511" s="2554"/>
      <c r="K511" s="2554"/>
      <c r="L511" s="2554"/>
      <c r="M511" s="2554"/>
      <c r="N511" s="2554"/>
      <c r="O511" s="2554"/>
      <c r="P511" s="2554"/>
      <c r="Q511" s="2554"/>
    </row>
    <row r="512" spans="1:17" hidden="1">
      <c r="A512" s="2842"/>
      <c r="B512" s="1924" t="s">
        <v>341</v>
      </c>
      <c r="C512" s="2843" t="s">
        <v>212</v>
      </c>
      <c r="D512" s="2844">
        <v>0.17524943220338982</v>
      </c>
      <c r="E512" s="2554"/>
      <c r="F512" s="2554"/>
      <c r="G512" s="2554"/>
      <c r="H512" s="2554"/>
      <c r="I512" s="2554"/>
      <c r="J512" s="2554"/>
      <c r="K512" s="2554"/>
      <c r="L512" s="2554"/>
      <c r="M512" s="2554"/>
      <c r="N512" s="2554"/>
      <c r="O512" s="2554"/>
      <c r="P512" s="2554"/>
      <c r="Q512" s="2554"/>
    </row>
    <row r="513" spans="1:17" hidden="1">
      <c r="A513" s="2845"/>
      <c r="B513" s="1926" t="s">
        <v>342</v>
      </c>
      <c r="C513" s="2846" t="s">
        <v>212</v>
      </c>
      <c r="D513" s="2847"/>
      <c r="E513" s="2554"/>
      <c r="F513" s="2554"/>
      <c r="G513" s="2554"/>
      <c r="H513" s="2554"/>
      <c r="I513" s="2554"/>
      <c r="J513" s="2554"/>
      <c r="K513" s="2554"/>
      <c r="L513" s="2554"/>
      <c r="M513" s="2554"/>
      <c r="N513" s="2554"/>
      <c r="O513" s="2554"/>
      <c r="P513" s="2554"/>
      <c r="Q513" s="2554"/>
    </row>
    <row r="514" spans="1:17" hidden="1">
      <c r="A514" s="2836"/>
      <c r="B514" s="1920" t="s">
        <v>230</v>
      </c>
      <c r="C514" s="2839" t="s">
        <v>212</v>
      </c>
      <c r="D514" s="2840">
        <v>0.12889533050847457</v>
      </c>
      <c r="E514" s="2554"/>
      <c r="F514" s="2554"/>
      <c r="G514" s="2554"/>
      <c r="H514" s="2554"/>
      <c r="I514" s="2554"/>
      <c r="J514" s="2554"/>
      <c r="K514" s="2554"/>
      <c r="L514" s="2554"/>
      <c r="M514" s="2554"/>
      <c r="N514" s="2554"/>
      <c r="O514" s="2554"/>
      <c r="P514" s="2554"/>
      <c r="Q514" s="2554"/>
    </row>
    <row r="515" spans="1:17" hidden="1">
      <c r="A515" s="2842"/>
      <c r="B515" s="1924" t="s">
        <v>341</v>
      </c>
      <c r="C515" s="2843" t="s">
        <v>212</v>
      </c>
      <c r="D515" s="2844">
        <v>0.12889533050847457</v>
      </c>
      <c r="E515" s="2554"/>
      <c r="F515" s="2554"/>
      <c r="G515" s="2554"/>
      <c r="H515" s="2554"/>
      <c r="I515" s="2554"/>
      <c r="J515" s="2554"/>
      <c r="K515" s="2554"/>
      <c r="L515" s="2554"/>
      <c r="M515" s="2554"/>
      <c r="N515" s="2554"/>
      <c r="O515" s="2554"/>
      <c r="P515" s="2554"/>
      <c r="Q515" s="2554"/>
    </row>
    <row r="516" spans="1:17" hidden="1">
      <c r="A516" s="2845"/>
      <c r="B516" s="1926" t="s">
        <v>342</v>
      </c>
      <c r="C516" s="2846" t="s">
        <v>212</v>
      </c>
      <c r="D516" s="2847"/>
      <c r="E516" s="2554"/>
      <c r="F516" s="2554"/>
      <c r="G516" s="2554"/>
      <c r="H516" s="2554"/>
      <c r="I516" s="2554"/>
      <c r="J516" s="2554"/>
      <c r="K516" s="2554"/>
      <c r="L516" s="2554"/>
      <c r="M516" s="2554"/>
      <c r="N516" s="2554"/>
      <c r="O516" s="2554"/>
      <c r="P516" s="2554"/>
      <c r="Q516" s="2554"/>
    </row>
    <row r="517" spans="1:17" hidden="1">
      <c r="A517" s="2836"/>
      <c r="B517" s="1920" t="s">
        <v>231</v>
      </c>
      <c r="C517" s="2839" t="s">
        <v>212</v>
      </c>
      <c r="D517" s="2840">
        <v>4.6354101694915252E-2</v>
      </c>
      <c r="E517" s="2554"/>
      <c r="F517" s="2554"/>
      <c r="G517" s="2554"/>
      <c r="H517" s="2554"/>
      <c r="I517" s="2554"/>
      <c r="J517" s="2554"/>
      <c r="K517" s="2554"/>
      <c r="L517" s="2554"/>
      <c r="M517" s="2554"/>
      <c r="N517" s="2554"/>
      <c r="O517" s="2554"/>
      <c r="P517" s="2554"/>
      <c r="Q517" s="2554"/>
    </row>
    <row r="518" spans="1:17" hidden="1">
      <c r="A518" s="2842"/>
      <c r="B518" s="1924" t="s">
        <v>341</v>
      </c>
      <c r="C518" s="2843" t="s">
        <v>212</v>
      </c>
      <c r="D518" s="2844">
        <v>4.6354101694915252E-2</v>
      </c>
      <c r="E518" s="2554"/>
      <c r="F518" s="2554"/>
      <c r="G518" s="2554"/>
      <c r="H518" s="2554"/>
      <c r="I518" s="2554"/>
      <c r="J518" s="2554"/>
      <c r="K518" s="2554"/>
      <c r="L518" s="2554"/>
      <c r="M518" s="2554"/>
      <c r="N518" s="2554"/>
      <c r="O518" s="2554"/>
      <c r="P518" s="2554"/>
      <c r="Q518" s="2554"/>
    </row>
    <row r="519" spans="1:17" hidden="1">
      <c r="A519" s="2845"/>
      <c r="B519" s="1926" t="s">
        <v>342</v>
      </c>
      <c r="C519" s="2846" t="s">
        <v>212</v>
      </c>
      <c r="D519" s="2847"/>
      <c r="E519" s="2554"/>
      <c r="F519" s="2554"/>
      <c r="G519" s="2554"/>
      <c r="H519" s="2554"/>
      <c r="I519" s="2554"/>
      <c r="J519" s="2554"/>
      <c r="K519" s="2554"/>
      <c r="L519" s="2554"/>
      <c r="M519" s="2554"/>
      <c r="N519" s="2554"/>
      <c r="O519" s="2554"/>
      <c r="P519" s="2554"/>
      <c r="Q519" s="2554"/>
    </row>
    <row r="520" spans="1:17" hidden="1">
      <c r="A520" s="2835"/>
      <c r="B520" s="1917" t="s">
        <v>347</v>
      </c>
      <c r="C520" s="2833" t="s">
        <v>212</v>
      </c>
      <c r="D520" s="2834">
        <v>14.59280266329</v>
      </c>
      <c r="E520" s="2554"/>
      <c r="F520" s="2554"/>
      <c r="G520" s="2554"/>
      <c r="H520" s="2554"/>
      <c r="I520" s="2554"/>
      <c r="J520" s="2554"/>
      <c r="K520" s="2554"/>
      <c r="L520" s="2554"/>
      <c r="M520" s="2554"/>
      <c r="N520" s="2554"/>
      <c r="O520" s="2554"/>
      <c r="P520" s="2554"/>
      <c r="Q520" s="2554"/>
    </row>
    <row r="521" spans="1:17" hidden="1">
      <c r="A521" s="384"/>
      <c r="B521" s="1920" t="s">
        <v>222</v>
      </c>
      <c r="C521" s="2839" t="s">
        <v>212</v>
      </c>
      <c r="D521" s="2840">
        <v>1.3095715860000001</v>
      </c>
      <c r="E521" s="2554"/>
      <c r="F521" s="2554"/>
      <c r="G521" s="2554"/>
      <c r="H521" s="2554"/>
      <c r="I521" s="2554"/>
      <c r="J521" s="2554"/>
      <c r="K521" s="2554"/>
      <c r="L521" s="2554"/>
      <c r="M521" s="2554"/>
      <c r="N521" s="2554"/>
      <c r="O521" s="2554"/>
      <c r="P521" s="2554"/>
      <c r="Q521" s="2554"/>
    </row>
    <row r="522" spans="1:17" hidden="1">
      <c r="A522" s="384"/>
      <c r="B522" s="1920" t="s">
        <v>223</v>
      </c>
      <c r="C522" s="2839" t="s">
        <v>212</v>
      </c>
      <c r="D522" s="2840">
        <v>4.9892776992899996</v>
      </c>
      <c r="E522" s="2554"/>
      <c r="F522" s="2554"/>
      <c r="G522" s="2554"/>
      <c r="H522" s="2554"/>
      <c r="I522" s="2554"/>
      <c r="J522" s="2554"/>
      <c r="K522" s="2554"/>
      <c r="L522" s="2554"/>
      <c r="M522" s="2554"/>
      <c r="N522" s="2554"/>
      <c r="O522" s="2554"/>
      <c r="P522" s="2554"/>
      <c r="Q522" s="2554"/>
    </row>
    <row r="523" spans="1:17" hidden="1">
      <c r="A523" s="384"/>
      <c r="B523" s="1920" t="s">
        <v>224</v>
      </c>
      <c r="C523" s="2839" t="s">
        <v>212</v>
      </c>
      <c r="D523" s="2840">
        <v>8.2939533779999994</v>
      </c>
      <c r="E523" s="2554"/>
      <c r="F523" s="2554"/>
      <c r="G523" s="2554"/>
      <c r="H523" s="2554"/>
      <c r="I523" s="2554"/>
      <c r="J523" s="2554"/>
      <c r="K523" s="2554"/>
      <c r="L523" s="2554"/>
      <c r="M523" s="2554"/>
      <c r="N523" s="2554"/>
      <c r="O523" s="2554"/>
      <c r="P523" s="2554"/>
      <c r="Q523" s="2554"/>
    </row>
    <row r="524" spans="1:17" hidden="1">
      <c r="A524" s="2835"/>
      <c r="B524" s="1923" t="s">
        <v>348</v>
      </c>
      <c r="C524" s="2833" t="s">
        <v>212</v>
      </c>
      <c r="D524" s="2834">
        <v>14.5507954</v>
      </c>
      <c r="E524" s="2554"/>
      <c r="F524" s="2554"/>
      <c r="G524" s="2554"/>
      <c r="H524" s="2554"/>
      <c r="I524" s="2554"/>
      <c r="J524" s="2554"/>
      <c r="K524" s="2554"/>
      <c r="L524" s="2554"/>
      <c r="M524" s="2554"/>
      <c r="N524" s="2554"/>
      <c r="O524" s="2554"/>
      <c r="P524" s="2554"/>
      <c r="Q524" s="2554"/>
    </row>
    <row r="525" spans="1:17" hidden="1">
      <c r="A525" s="384"/>
      <c r="B525" s="1920" t="s">
        <v>222</v>
      </c>
      <c r="C525" s="2839" t="s">
        <v>212</v>
      </c>
      <c r="D525" s="2840">
        <v>1.3095715860000001</v>
      </c>
      <c r="E525" s="2554"/>
      <c r="F525" s="2554"/>
      <c r="G525" s="2554"/>
      <c r="H525" s="2554"/>
      <c r="I525" s="2554"/>
      <c r="J525" s="2554"/>
      <c r="K525" s="2554"/>
      <c r="L525" s="2554"/>
      <c r="M525" s="2554"/>
      <c r="N525" s="2554"/>
      <c r="O525" s="2554"/>
      <c r="P525" s="2554"/>
      <c r="Q525" s="2554"/>
    </row>
    <row r="526" spans="1:17" hidden="1">
      <c r="A526" s="384"/>
      <c r="B526" s="1920" t="s">
        <v>223</v>
      </c>
      <c r="C526" s="2839" t="s">
        <v>212</v>
      </c>
      <c r="D526" s="2840">
        <v>4.9472704360000002</v>
      </c>
      <c r="E526" s="2554"/>
      <c r="F526" s="2554"/>
      <c r="G526" s="2554"/>
      <c r="H526" s="2554"/>
      <c r="I526" s="2554"/>
      <c r="J526" s="2554"/>
      <c r="K526" s="2554"/>
      <c r="L526" s="2554"/>
      <c r="M526" s="2554"/>
      <c r="N526" s="2554"/>
      <c r="O526" s="2554"/>
      <c r="P526" s="2554"/>
      <c r="Q526" s="2554"/>
    </row>
    <row r="527" spans="1:17" hidden="1">
      <c r="A527" s="384"/>
      <c r="B527" s="1920" t="s">
        <v>224</v>
      </c>
      <c r="C527" s="2839" t="s">
        <v>212</v>
      </c>
      <c r="D527" s="2840">
        <v>8.2939533779999994</v>
      </c>
      <c r="E527" s="2554"/>
      <c r="F527" s="2554"/>
      <c r="G527" s="2554"/>
      <c r="H527" s="2554"/>
      <c r="I527" s="2554"/>
      <c r="J527" s="2554"/>
      <c r="K527" s="2554"/>
      <c r="L527" s="2554"/>
      <c r="M527" s="2554"/>
      <c r="N527" s="2554"/>
      <c r="O527" s="2554"/>
      <c r="P527" s="2554"/>
      <c r="Q527" s="2554"/>
    </row>
    <row r="528" spans="1:17" hidden="1">
      <c r="A528" s="2835"/>
      <c r="B528" s="1923" t="s">
        <v>349</v>
      </c>
      <c r="C528" s="2833" t="s">
        <v>212</v>
      </c>
      <c r="D528" s="2834">
        <v>3.3749015029999996E-2</v>
      </c>
      <c r="E528" s="2554"/>
      <c r="F528" s="2554"/>
      <c r="G528" s="2554"/>
      <c r="H528" s="2554"/>
      <c r="I528" s="2554"/>
      <c r="J528" s="2554"/>
      <c r="K528" s="2554"/>
      <c r="L528" s="2554"/>
      <c r="M528" s="2554"/>
      <c r="N528" s="2554"/>
      <c r="O528" s="2554"/>
      <c r="P528" s="2554"/>
      <c r="Q528" s="2554"/>
    </row>
    <row r="529" spans="1:17" hidden="1">
      <c r="A529" s="384"/>
      <c r="B529" s="1920" t="s">
        <v>222</v>
      </c>
      <c r="C529" s="2839" t="s">
        <v>212</v>
      </c>
      <c r="D529" s="2840">
        <v>0</v>
      </c>
      <c r="E529" s="2554"/>
      <c r="F529" s="2554"/>
      <c r="G529" s="2554"/>
      <c r="H529" s="2554"/>
      <c r="I529" s="2554"/>
      <c r="J529" s="2554"/>
      <c r="K529" s="2554"/>
      <c r="L529" s="2554"/>
      <c r="M529" s="2554"/>
      <c r="N529" s="2554"/>
      <c r="O529" s="2554"/>
      <c r="P529" s="2554"/>
      <c r="Q529" s="2554"/>
    </row>
    <row r="530" spans="1:17" hidden="1">
      <c r="A530" s="384"/>
      <c r="B530" s="1920" t="s">
        <v>223</v>
      </c>
      <c r="C530" s="2839" t="s">
        <v>212</v>
      </c>
      <c r="D530" s="2840">
        <v>3.3749015029999996E-2</v>
      </c>
      <c r="E530" s="2554"/>
      <c r="F530" s="2554"/>
      <c r="G530" s="2554"/>
      <c r="H530" s="2554"/>
      <c r="I530" s="2554"/>
      <c r="J530" s="2554"/>
      <c r="K530" s="2554"/>
      <c r="L530" s="2554"/>
      <c r="M530" s="2554"/>
      <c r="N530" s="2554"/>
      <c r="O530" s="2554"/>
      <c r="P530" s="2554"/>
      <c r="Q530" s="2554"/>
    </row>
    <row r="531" spans="1:17" hidden="1">
      <c r="A531" s="384"/>
      <c r="B531" s="1920" t="s">
        <v>224</v>
      </c>
      <c r="C531" s="2839" t="s">
        <v>212</v>
      </c>
      <c r="D531" s="2840">
        <v>0</v>
      </c>
      <c r="E531" s="2554"/>
      <c r="F531" s="2554"/>
      <c r="G531" s="2554"/>
      <c r="H531" s="2554"/>
      <c r="I531" s="2554"/>
      <c r="J531" s="2554"/>
      <c r="K531" s="2554"/>
      <c r="L531" s="2554"/>
      <c r="M531" s="2554"/>
      <c r="N531" s="2554"/>
      <c r="O531" s="2554"/>
      <c r="P531" s="2554"/>
      <c r="Q531" s="2554"/>
    </row>
    <row r="532" spans="1:17" hidden="1">
      <c r="A532" s="2835"/>
      <c r="B532" s="1923" t="s">
        <v>1854</v>
      </c>
      <c r="C532" s="2833" t="s">
        <v>212</v>
      </c>
      <c r="D532" s="2834">
        <v>8.25824826E-3</v>
      </c>
      <c r="E532" s="2554"/>
      <c r="F532" s="2554"/>
      <c r="G532" s="2554"/>
      <c r="H532" s="2554"/>
      <c r="I532" s="2554"/>
      <c r="J532" s="2554"/>
      <c r="K532" s="2554"/>
      <c r="L532" s="2554"/>
      <c r="M532" s="2554"/>
      <c r="N532" s="2554"/>
      <c r="O532" s="2554"/>
      <c r="P532" s="2554"/>
      <c r="Q532" s="2554"/>
    </row>
    <row r="533" spans="1:17" hidden="1">
      <c r="A533" s="384"/>
      <c r="B533" s="1920" t="s">
        <v>222</v>
      </c>
      <c r="C533" s="2839" t="s">
        <v>212</v>
      </c>
      <c r="D533" s="2840">
        <v>0</v>
      </c>
      <c r="E533" s="2554"/>
      <c r="F533" s="2554"/>
      <c r="G533" s="2554"/>
      <c r="H533" s="2554"/>
      <c r="I533" s="2554"/>
      <c r="J533" s="2554"/>
      <c r="K533" s="2554"/>
      <c r="L533" s="2554"/>
      <c r="M533" s="2554"/>
      <c r="N533" s="2554"/>
      <c r="O533" s="2554"/>
      <c r="P533" s="2554"/>
      <c r="Q533" s="2554"/>
    </row>
    <row r="534" spans="1:17" hidden="1">
      <c r="A534" s="384"/>
      <c r="B534" s="1920" t="s">
        <v>223</v>
      </c>
      <c r="C534" s="2839" t="s">
        <v>212</v>
      </c>
      <c r="D534" s="2840">
        <v>8.25824826E-3</v>
      </c>
      <c r="E534" s="2554"/>
      <c r="F534" s="2554"/>
      <c r="G534" s="2554"/>
      <c r="H534" s="2554"/>
      <c r="I534" s="2554"/>
      <c r="J534" s="2554"/>
      <c r="K534" s="2554"/>
      <c r="L534" s="2554"/>
      <c r="M534" s="2554"/>
      <c r="N534" s="2554"/>
      <c r="O534" s="2554"/>
      <c r="P534" s="2554"/>
      <c r="Q534" s="2554"/>
    </row>
    <row r="535" spans="1:17" hidden="1">
      <c r="A535" s="384"/>
      <c r="B535" s="1920" t="s">
        <v>224</v>
      </c>
      <c r="C535" s="2839" t="s">
        <v>212</v>
      </c>
      <c r="D535" s="2840">
        <v>0</v>
      </c>
      <c r="E535" s="2554"/>
      <c r="F535" s="2554"/>
      <c r="G535" s="2554"/>
      <c r="H535" s="2554"/>
      <c r="I535" s="2554"/>
      <c r="J535" s="2554"/>
      <c r="K535" s="2554"/>
      <c r="L535" s="2554"/>
      <c r="M535" s="2554"/>
      <c r="N535" s="2554"/>
      <c r="O535" s="2554"/>
      <c r="P535" s="2554"/>
      <c r="Q535" s="2554"/>
    </row>
    <row r="536" spans="1:17" ht="18" hidden="1">
      <c r="A536" s="372" t="s">
        <v>27</v>
      </c>
      <c r="B536" s="260" t="s">
        <v>239</v>
      </c>
      <c r="C536" s="233" t="s">
        <v>240</v>
      </c>
      <c r="D536" s="2848">
        <v>86.503527000000005</v>
      </c>
      <c r="E536" s="2554"/>
      <c r="F536" s="2554"/>
      <c r="G536" s="2554"/>
      <c r="H536" s="2554"/>
      <c r="I536" s="2554"/>
      <c r="J536" s="2554"/>
      <c r="K536" s="2554"/>
      <c r="L536" s="2554"/>
      <c r="M536" s="2554"/>
      <c r="N536" s="2554"/>
      <c r="O536" s="2554"/>
      <c r="P536" s="2554"/>
      <c r="Q536" s="2554"/>
    </row>
    <row r="537" spans="1:17" hidden="1">
      <c r="A537" s="2835"/>
      <c r="B537" s="1917" t="s">
        <v>220</v>
      </c>
      <c r="C537" s="2833" t="s">
        <v>240</v>
      </c>
      <c r="D537" s="2834">
        <v>44.179210000000005</v>
      </c>
      <c r="E537" s="2554"/>
      <c r="F537" s="2554"/>
      <c r="G537" s="2554"/>
      <c r="H537" s="2554"/>
      <c r="I537" s="2554"/>
      <c r="J537" s="2554"/>
      <c r="K537" s="2554"/>
      <c r="L537" s="2554"/>
      <c r="M537" s="2554"/>
      <c r="N537" s="2554"/>
      <c r="O537" s="2554"/>
      <c r="P537" s="2554"/>
      <c r="Q537" s="2554"/>
    </row>
    <row r="538" spans="1:17" hidden="1">
      <c r="A538" s="2835"/>
      <c r="B538" s="1917" t="s">
        <v>221</v>
      </c>
      <c r="C538" s="2833" t="s">
        <v>240</v>
      </c>
      <c r="D538" s="2834">
        <v>30.339748</v>
      </c>
      <c r="E538" s="2554"/>
      <c r="F538" s="2554"/>
      <c r="G538" s="2554"/>
      <c r="H538" s="2554"/>
      <c r="I538" s="2554"/>
      <c r="J538" s="2554"/>
      <c r="K538" s="2554"/>
      <c r="L538" s="2554"/>
      <c r="M538" s="2554"/>
      <c r="N538" s="2554"/>
      <c r="O538" s="2554"/>
      <c r="P538" s="2554"/>
      <c r="Q538" s="2554"/>
    </row>
    <row r="539" spans="1:17" hidden="1">
      <c r="A539" s="2836"/>
      <c r="B539" s="1918" t="s">
        <v>156</v>
      </c>
      <c r="C539" s="2837"/>
      <c r="D539" s="2838">
        <v>14.708271</v>
      </c>
      <c r="E539" s="2554"/>
      <c r="F539" s="2554"/>
      <c r="G539" s="2554"/>
      <c r="H539" s="2554"/>
      <c r="I539" s="2554"/>
      <c r="J539" s="2554"/>
      <c r="K539" s="2554"/>
      <c r="L539" s="2554"/>
      <c r="M539" s="2554"/>
      <c r="N539" s="2554"/>
      <c r="O539" s="2554"/>
      <c r="P539" s="2554"/>
      <c r="Q539" s="2554"/>
    </row>
    <row r="540" spans="1:17" hidden="1">
      <c r="A540" s="2836"/>
      <c r="B540" s="1920" t="s">
        <v>222</v>
      </c>
      <c r="C540" s="2839" t="s">
        <v>240</v>
      </c>
      <c r="D540" s="2840">
        <v>5.4100000000000003E-4</v>
      </c>
      <c r="E540" s="2554"/>
      <c r="F540" s="2554"/>
      <c r="G540" s="2554"/>
      <c r="H540" s="2554"/>
      <c r="I540" s="2554"/>
      <c r="J540" s="2554"/>
      <c r="K540" s="2554"/>
      <c r="L540" s="2554"/>
      <c r="M540" s="2554"/>
      <c r="N540" s="2554"/>
      <c r="O540" s="2554"/>
      <c r="P540" s="2554"/>
      <c r="Q540" s="2554"/>
    </row>
    <row r="541" spans="1:17" hidden="1">
      <c r="A541" s="2836"/>
      <c r="B541" s="1920" t="s">
        <v>223</v>
      </c>
      <c r="C541" s="2839" t="s">
        <v>240</v>
      </c>
      <c r="D541" s="2840">
        <v>9.3866259999999997</v>
      </c>
      <c r="E541" s="2554"/>
      <c r="F541" s="2554"/>
      <c r="G541" s="2554"/>
      <c r="H541" s="2554"/>
      <c r="I541" s="2554"/>
      <c r="J541" s="2554"/>
      <c r="K541" s="2554"/>
      <c r="L541" s="2554"/>
      <c r="M541" s="2554"/>
      <c r="N541" s="2554"/>
      <c r="O541" s="2554"/>
      <c r="P541" s="2554"/>
      <c r="Q541" s="2554"/>
    </row>
    <row r="542" spans="1:17" hidden="1">
      <c r="A542" s="2836"/>
      <c r="B542" s="1920" t="s">
        <v>224</v>
      </c>
      <c r="C542" s="2839" t="s">
        <v>240</v>
      </c>
      <c r="D542" s="2840">
        <v>5.3211040000000001</v>
      </c>
      <c r="E542" s="2554"/>
      <c r="F542" s="2554"/>
      <c r="G542" s="2554"/>
      <c r="H542" s="2554"/>
      <c r="I542" s="2554"/>
      <c r="J542" s="2554"/>
      <c r="K542" s="2554"/>
      <c r="L542" s="2554"/>
      <c r="M542" s="2554"/>
      <c r="N542" s="2554"/>
      <c r="O542" s="2554"/>
      <c r="P542" s="2554"/>
      <c r="Q542" s="2554"/>
    </row>
    <row r="543" spans="1:17" hidden="1">
      <c r="A543" s="2836"/>
      <c r="B543" s="1918" t="s">
        <v>225</v>
      </c>
      <c r="C543" s="2837"/>
      <c r="D543" s="2838">
        <v>15.631477</v>
      </c>
      <c r="E543" s="2554"/>
      <c r="F543" s="2554"/>
      <c r="G543" s="2554"/>
      <c r="H543" s="2554"/>
      <c r="I543" s="2554"/>
      <c r="J543" s="2554"/>
      <c r="K543" s="2554"/>
      <c r="L543" s="2554"/>
      <c r="M543" s="2554"/>
      <c r="N543" s="2554"/>
      <c r="O543" s="2554"/>
      <c r="P543" s="2554"/>
      <c r="Q543" s="2554"/>
    </row>
    <row r="544" spans="1:17" hidden="1">
      <c r="A544" s="2836"/>
      <c r="B544" s="1920" t="s">
        <v>222</v>
      </c>
      <c r="C544" s="2839" t="s">
        <v>240</v>
      </c>
      <c r="D544" s="2840">
        <v>0.607298</v>
      </c>
      <c r="E544" s="2554"/>
      <c r="F544" s="2554"/>
      <c r="G544" s="2554"/>
      <c r="H544" s="2554"/>
      <c r="I544" s="2554"/>
      <c r="J544" s="2554"/>
      <c r="K544" s="2554"/>
      <c r="L544" s="2554"/>
      <c r="M544" s="2554"/>
      <c r="N544" s="2554"/>
      <c r="O544" s="2554"/>
      <c r="P544" s="2554"/>
      <c r="Q544" s="2554"/>
    </row>
    <row r="545" spans="1:258" hidden="1">
      <c r="A545" s="2836"/>
      <c r="B545" s="1920" t="s">
        <v>223</v>
      </c>
      <c r="C545" s="2839" t="s">
        <v>240</v>
      </c>
      <c r="D545" s="2840">
        <v>13.063848</v>
      </c>
      <c r="E545" s="2554"/>
      <c r="F545" s="2554"/>
      <c r="G545" s="2554"/>
      <c r="H545" s="2554"/>
      <c r="I545" s="2554"/>
      <c r="J545" s="2554"/>
      <c r="K545" s="2554"/>
      <c r="L545" s="2554"/>
      <c r="M545" s="2554"/>
      <c r="N545" s="2554"/>
      <c r="O545" s="2554"/>
      <c r="P545" s="2554"/>
      <c r="Q545" s="2554"/>
    </row>
    <row r="546" spans="1:258" hidden="1">
      <c r="A546" s="2836"/>
      <c r="B546" s="1920" t="s">
        <v>224</v>
      </c>
      <c r="C546" s="2839" t="s">
        <v>240</v>
      </c>
      <c r="D546" s="2840">
        <v>1.960331</v>
      </c>
      <c r="E546" s="2554"/>
      <c r="F546" s="2554"/>
      <c r="G546" s="2554"/>
      <c r="H546" s="2554"/>
      <c r="I546" s="2554"/>
      <c r="J546" s="2554"/>
      <c r="K546" s="2554"/>
      <c r="L546" s="2554"/>
      <c r="M546" s="2554"/>
      <c r="N546" s="2554"/>
      <c r="O546" s="2554"/>
      <c r="P546" s="2554"/>
      <c r="Q546" s="2554"/>
    </row>
    <row r="547" spans="1:258" hidden="1">
      <c r="A547" s="2835"/>
      <c r="B547" s="1917" t="s">
        <v>227</v>
      </c>
      <c r="C547" s="2833" t="s">
        <v>240</v>
      </c>
      <c r="D547" s="2834">
        <v>0.88874200000000003</v>
      </c>
      <c r="E547" s="2554"/>
      <c r="F547" s="2554"/>
      <c r="G547" s="2554"/>
      <c r="H547" s="2554"/>
      <c r="I547" s="2554"/>
      <c r="J547" s="2554"/>
      <c r="K547" s="2554"/>
      <c r="L547" s="2554"/>
      <c r="M547" s="2554"/>
      <c r="N547" s="2554"/>
      <c r="O547" s="2554"/>
      <c r="P547" s="2554"/>
      <c r="Q547" s="2554"/>
    </row>
    <row r="548" spans="1:258" hidden="1">
      <c r="A548" s="2836"/>
      <c r="B548" s="1918" t="s">
        <v>156</v>
      </c>
      <c r="C548" s="2837"/>
      <c r="D548" s="2838">
        <v>0.88874200000000003</v>
      </c>
      <c r="E548" s="2554"/>
      <c r="F548" s="2554"/>
      <c r="G548" s="2554"/>
      <c r="H548" s="2554"/>
      <c r="I548" s="2554"/>
      <c r="J548" s="2554"/>
      <c r="K548" s="2554"/>
      <c r="L548" s="2554"/>
      <c r="M548" s="2554"/>
      <c r="N548" s="2554"/>
      <c r="O548" s="2554"/>
      <c r="P548" s="2554"/>
      <c r="Q548" s="2554"/>
    </row>
    <row r="549" spans="1:258" hidden="1">
      <c r="A549" s="2836"/>
      <c r="B549" s="1920" t="s">
        <v>222</v>
      </c>
      <c r="C549" s="2839" t="s">
        <v>240</v>
      </c>
      <c r="D549" s="2840"/>
      <c r="E549" s="2554"/>
      <c r="F549" s="2554"/>
      <c r="G549" s="2554"/>
      <c r="H549" s="2554"/>
      <c r="I549" s="2554"/>
      <c r="J549" s="2554"/>
      <c r="K549" s="2554"/>
      <c r="L549" s="2554"/>
      <c r="M549" s="2554"/>
      <c r="N549" s="2554"/>
      <c r="O549" s="2554"/>
      <c r="P549" s="2554"/>
      <c r="Q549" s="2554"/>
    </row>
    <row r="550" spans="1:258" hidden="1">
      <c r="A550" s="2836"/>
      <c r="B550" s="1920" t="s">
        <v>223</v>
      </c>
      <c r="C550" s="2839" t="s">
        <v>240</v>
      </c>
      <c r="D550" s="2840">
        <v>0.87414599999999998</v>
      </c>
      <c r="E550" s="2554"/>
      <c r="F550" s="2554"/>
      <c r="G550" s="2554"/>
      <c r="H550" s="2554"/>
      <c r="I550" s="2554"/>
      <c r="J550" s="2554"/>
      <c r="K550" s="2554"/>
      <c r="L550" s="2554"/>
      <c r="M550" s="2554"/>
      <c r="N550" s="2554"/>
      <c r="O550" s="2554"/>
      <c r="P550" s="2554"/>
      <c r="Q550" s="2554"/>
    </row>
    <row r="551" spans="1:258" hidden="1">
      <c r="A551" s="2836"/>
      <c r="B551" s="1920" t="s">
        <v>224</v>
      </c>
      <c r="C551" s="2839" t="s">
        <v>240</v>
      </c>
      <c r="D551" s="2840">
        <v>1.4596E-2</v>
      </c>
      <c r="E551" s="2554"/>
      <c r="F551" s="2554"/>
      <c r="G551" s="2554"/>
      <c r="H551" s="2554"/>
      <c r="I551" s="2554"/>
      <c r="J551" s="2554"/>
      <c r="K551" s="2554"/>
      <c r="L551" s="2554"/>
      <c r="M551" s="2554"/>
      <c r="N551" s="2554"/>
      <c r="O551" s="2554"/>
      <c r="P551" s="2554"/>
      <c r="Q551" s="2554"/>
    </row>
    <row r="552" spans="1:258" hidden="1">
      <c r="A552" s="2836"/>
      <c r="B552" s="1918" t="s">
        <v>225</v>
      </c>
      <c r="C552" s="2837"/>
      <c r="D552" s="2838">
        <v>0</v>
      </c>
      <c r="E552" s="2554"/>
      <c r="F552" s="2554"/>
      <c r="G552" s="2554"/>
      <c r="H552" s="2554"/>
      <c r="I552" s="2554"/>
      <c r="J552" s="2554"/>
      <c r="K552" s="2554"/>
      <c r="L552" s="2554"/>
      <c r="M552" s="2554"/>
      <c r="N552" s="2554"/>
      <c r="O552" s="2554"/>
      <c r="P552" s="2554"/>
      <c r="Q552" s="2554"/>
    </row>
    <row r="553" spans="1:258" hidden="1">
      <c r="A553" s="2836"/>
      <c r="B553" s="1920" t="s">
        <v>222</v>
      </c>
      <c r="C553" s="2839" t="s">
        <v>240</v>
      </c>
      <c r="D553" s="2840"/>
      <c r="E553" s="2554"/>
      <c r="F553" s="2554"/>
      <c r="G553" s="2554"/>
      <c r="H553" s="2554"/>
      <c r="I553" s="2554"/>
      <c r="J553" s="2554"/>
      <c r="K553" s="2554"/>
      <c r="L553" s="2554"/>
      <c r="M553" s="2554"/>
      <c r="N553" s="2554"/>
      <c r="O553" s="2554"/>
      <c r="P553" s="2554"/>
      <c r="Q553" s="2554"/>
    </row>
    <row r="554" spans="1:258" hidden="1">
      <c r="A554" s="2836"/>
      <c r="B554" s="1920" t="s">
        <v>223</v>
      </c>
      <c r="C554" s="2839" t="s">
        <v>240</v>
      </c>
      <c r="D554" s="2840"/>
      <c r="E554" s="2554"/>
      <c r="F554" s="2554"/>
      <c r="G554" s="2554"/>
      <c r="H554" s="2554"/>
      <c r="I554" s="2554"/>
      <c r="J554" s="2554"/>
      <c r="K554" s="2554"/>
      <c r="L554" s="2554"/>
      <c r="M554" s="2554"/>
      <c r="N554" s="2554"/>
      <c r="O554" s="2554"/>
      <c r="P554" s="2554"/>
      <c r="Q554" s="2554"/>
    </row>
    <row r="555" spans="1:258" hidden="1">
      <c r="A555" s="2836"/>
      <c r="B555" s="1920" t="s">
        <v>224</v>
      </c>
      <c r="C555" s="2839" t="s">
        <v>240</v>
      </c>
      <c r="D555" s="2840"/>
      <c r="E555" s="2554"/>
      <c r="F555" s="2554"/>
      <c r="G555" s="2554"/>
      <c r="H555" s="2554"/>
      <c r="I555" s="2554"/>
      <c r="J555" s="2554"/>
      <c r="K555" s="2554"/>
      <c r="L555" s="2554"/>
      <c r="M555" s="2554"/>
      <c r="N555" s="2554"/>
      <c r="O555" s="2554"/>
      <c r="P555" s="2554"/>
      <c r="Q555" s="2554"/>
    </row>
    <row r="556" spans="1:258" hidden="1">
      <c r="A556" s="2836"/>
      <c r="B556" s="1922" t="s">
        <v>226</v>
      </c>
      <c r="C556" s="2841"/>
      <c r="D556" s="2838">
        <v>0</v>
      </c>
      <c r="E556" s="2554"/>
      <c r="F556" s="2554"/>
      <c r="G556" s="2554"/>
      <c r="H556" s="2554"/>
      <c r="I556" s="2554"/>
      <c r="J556" s="2554"/>
      <c r="K556" s="2554"/>
      <c r="L556" s="2554"/>
      <c r="M556" s="2554"/>
      <c r="N556" s="2554"/>
      <c r="O556" s="2554"/>
      <c r="P556" s="2554"/>
      <c r="Q556" s="2554"/>
    </row>
    <row r="557" spans="1:258" hidden="1">
      <c r="A557" s="2836"/>
      <c r="B557" s="1920" t="s">
        <v>222</v>
      </c>
      <c r="C557" s="2839" t="s">
        <v>240</v>
      </c>
      <c r="D557" s="2840"/>
      <c r="E557" s="2554"/>
      <c r="F557" s="2554"/>
      <c r="G557" s="2554"/>
      <c r="H557" s="2554"/>
      <c r="I557" s="2554"/>
      <c r="J557" s="2554"/>
      <c r="K557" s="2554"/>
      <c r="L557" s="2554"/>
      <c r="M557" s="2554"/>
      <c r="N557" s="2554"/>
      <c r="O557" s="2554"/>
      <c r="P557" s="2554"/>
      <c r="Q557" s="2554"/>
    </row>
    <row r="558" spans="1:258" hidden="1">
      <c r="A558" s="2836"/>
      <c r="B558" s="1920" t="s">
        <v>223</v>
      </c>
      <c r="C558" s="2839" t="s">
        <v>240</v>
      </c>
      <c r="D558" s="2840"/>
      <c r="E558" s="2554"/>
      <c r="F558" s="2554"/>
      <c r="G558" s="2554"/>
      <c r="H558" s="2554"/>
      <c r="I558" s="2554"/>
      <c r="J558" s="2554"/>
      <c r="K558" s="2554"/>
      <c r="L558" s="2554"/>
      <c r="M558" s="2554"/>
      <c r="N558" s="2554"/>
      <c r="O558" s="2554"/>
      <c r="P558" s="2554"/>
      <c r="Q558" s="2554"/>
    </row>
    <row r="559" spans="1:258" hidden="1">
      <c r="A559" s="2836"/>
      <c r="B559" s="1920" t="s">
        <v>224</v>
      </c>
      <c r="C559" s="2839" t="s">
        <v>240</v>
      </c>
      <c r="D559" s="2840"/>
      <c r="E559" s="2554"/>
      <c r="F559" s="2554"/>
      <c r="G559" s="2554"/>
      <c r="H559" s="2554"/>
      <c r="I559" s="2554"/>
      <c r="J559" s="2554"/>
      <c r="K559" s="2554"/>
      <c r="L559" s="2554"/>
      <c r="M559" s="2554"/>
      <c r="N559" s="2554"/>
      <c r="O559" s="2554"/>
      <c r="P559" s="2554"/>
      <c r="Q559" s="2554"/>
    </row>
    <row r="560" spans="1:258" s="2588" customFormat="1" ht="17.25" hidden="1" customHeight="1">
      <c r="A560" s="2835"/>
      <c r="B560" s="1917" t="s">
        <v>340</v>
      </c>
      <c r="C560" s="2833" t="s">
        <v>240</v>
      </c>
      <c r="D560" s="2834">
        <v>12.037420000000001</v>
      </c>
      <c r="IB560" s="2589"/>
      <c r="IX560" s="2928"/>
    </row>
    <row r="561" spans="1:258" s="2588" customFormat="1" ht="17.25" hidden="1" customHeight="1">
      <c r="A561" s="2836"/>
      <c r="B561" s="1918" t="s">
        <v>226</v>
      </c>
      <c r="C561" s="2837"/>
      <c r="D561" s="2838">
        <v>12.037420000000001</v>
      </c>
      <c r="IB561" s="2589"/>
      <c r="IX561" s="2928"/>
    </row>
    <row r="562" spans="1:258" hidden="1">
      <c r="A562" s="2836"/>
      <c r="B562" s="1920" t="s">
        <v>222</v>
      </c>
      <c r="C562" s="2839" t="s">
        <v>240</v>
      </c>
      <c r="D562" s="2840">
        <v>3.7690790000000001</v>
      </c>
      <c r="E562" s="2554"/>
      <c r="F562" s="2554"/>
      <c r="G562" s="2554"/>
      <c r="H562" s="2554"/>
      <c r="I562" s="2554"/>
      <c r="J562" s="2554"/>
      <c r="K562" s="2554"/>
      <c r="L562" s="2554"/>
      <c r="M562" s="2554"/>
      <c r="N562" s="2554"/>
      <c r="O562" s="2554"/>
      <c r="P562" s="2554"/>
      <c r="Q562" s="2554"/>
    </row>
    <row r="563" spans="1:258" hidden="1">
      <c r="A563" s="2836"/>
      <c r="B563" s="1920" t="s">
        <v>223</v>
      </c>
      <c r="C563" s="2839" t="s">
        <v>240</v>
      </c>
      <c r="D563" s="2840">
        <v>8.2241610000000005</v>
      </c>
      <c r="E563" s="2554"/>
      <c r="F563" s="2554"/>
      <c r="G563" s="2554"/>
      <c r="H563" s="2554"/>
      <c r="I563" s="2554"/>
      <c r="J563" s="2554"/>
      <c r="K563" s="2554"/>
      <c r="L563" s="2554"/>
      <c r="M563" s="2554"/>
      <c r="N563" s="2554"/>
      <c r="O563" s="2554"/>
      <c r="P563" s="2554"/>
      <c r="Q563" s="2554"/>
    </row>
    <row r="564" spans="1:258" hidden="1">
      <c r="A564" s="2836"/>
      <c r="B564" s="1920" t="s">
        <v>224</v>
      </c>
      <c r="C564" s="2839" t="s">
        <v>240</v>
      </c>
      <c r="D564" s="2840">
        <v>4.4179999999999997E-2</v>
      </c>
      <c r="E564" s="2554"/>
      <c r="F564" s="2554"/>
      <c r="G564" s="2554"/>
      <c r="H564" s="2554"/>
      <c r="I564" s="2554"/>
      <c r="J564" s="2554"/>
      <c r="K564" s="2554"/>
      <c r="L564" s="2554"/>
      <c r="M564" s="2554"/>
      <c r="N564" s="2554"/>
      <c r="O564" s="2554"/>
      <c r="P564" s="2554"/>
      <c r="Q564" s="2554"/>
    </row>
    <row r="565" spans="1:258" hidden="1">
      <c r="A565" s="2835"/>
      <c r="B565" s="1917" t="s">
        <v>152</v>
      </c>
      <c r="C565" s="2833" t="s">
        <v>240</v>
      </c>
      <c r="D565" s="2834">
        <v>0.9133</v>
      </c>
      <c r="E565" s="2554"/>
      <c r="F565" s="2554"/>
      <c r="G565" s="2554"/>
      <c r="H565" s="2554"/>
      <c r="I565" s="2554"/>
      <c r="J565" s="2554"/>
      <c r="K565" s="2554"/>
      <c r="L565" s="2554"/>
      <c r="M565" s="2554"/>
      <c r="N565" s="2554"/>
      <c r="O565" s="2554"/>
      <c r="P565" s="2554"/>
      <c r="Q565" s="2554"/>
    </row>
    <row r="566" spans="1:258" s="2588" customFormat="1" ht="17.25" hidden="1" customHeight="1">
      <c r="A566" s="2836"/>
      <c r="B566" s="1918" t="s">
        <v>156</v>
      </c>
      <c r="C566" s="2837"/>
      <c r="D566" s="2838">
        <v>0.9133</v>
      </c>
      <c r="IB566" s="2589"/>
      <c r="IX566" s="2928"/>
    </row>
    <row r="567" spans="1:258" s="2588" customFormat="1" ht="17.25" hidden="1" customHeight="1">
      <c r="A567" s="2836"/>
      <c r="B567" s="1920" t="s">
        <v>222</v>
      </c>
      <c r="C567" s="2839" t="s">
        <v>240</v>
      </c>
      <c r="D567" s="2840">
        <v>0</v>
      </c>
      <c r="IB567" s="2589"/>
      <c r="IX567" s="2928"/>
    </row>
    <row r="568" spans="1:258" hidden="1">
      <c r="A568" s="2836"/>
      <c r="B568" s="1920" t="s">
        <v>223</v>
      </c>
      <c r="C568" s="2839" t="s">
        <v>240</v>
      </c>
      <c r="D568" s="2840">
        <v>2.6870000000000002E-3</v>
      </c>
      <c r="E568" s="2554"/>
      <c r="F568" s="2554"/>
      <c r="G568" s="2554"/>
      <c r="H568" s="2554"/>
      <c r="I568" s="2554"/>
      <c r="J568" s="2554"/>
      <c r="K568" s="2554"/>
      <c r="L568" s="2554"/>
      <c r="M568" s="2554"/>
      <c r="N568" s="2554"/>
      <c r="O568" s="2554"/>
      <c r="P568" s="2554"/>
      <c r="Q568" s="2554"/>
    </row>
    <row r="569" spans="1:258" hidden="1">
      <c r="A569" s="2836"/>
      <c r="B569" s="1920" t="s">
        <v>224</v>
      </c>
      <c r="C569" s="2839" t="s">
        <v>240</v>
      </c>
      <c r="D569" s="2840">
        <v>0.91061300000000001</v>
      </c>
      <c r="E569" s="2554"/>
      <c r="F569" s="2554"/>
      <c r="G569" s="2554"/>
      <c r="H569" s="2554"/>
      <c r="I569" s="2554"/>
      <c r="J569" s="2554"/>
      <c r="K569" s="2554"/>
      <c r="L569" s="2554"/>
      <c r="M569" s="2554"/>
      <c r="N569" s="2554"/>
      <c r="O569" s="2554"/>
      <c r="P569" s="2554"/>
      <c r="Q569" s="2554"/>
    </row>
    <row r="570" spans="1:258" hidden="1">
      <c r="A570" s="2835"/>
      <c r="B570" s="1917" t="s">
        <v>28</v>
      </c>
      <c r="C570" s="2833" t="s">
        <v>240</v>
      </c>
      <c r="D570" s="2834">
        <v>34.183495999999998</v>
      </c>
      <c r="E570" s="2554"/>
      <c r="F570" s="2554"/>
      <c r="G570" s="2554"/>
      <c r="H570" s="2554"/>
      <c r="I570" s="2554"/>
      <c r="J570" s="2554"/>
      <c r="K570" s="2554"/>
      <c r="L570" s="2554"/>
      <c r="M570" s="2554"/>
      <c r="N570" s="2554"/>
      <c r="O570" s="2554"/>
      <c r="P570" s="2554"/>
      <c r="Q570" s="2554"/>
    </row>
    <row r="571" spans="1:258" hidden="1">
      <c r="A571" s="2849"/>
      <c r="B571" s="1929" t="s">
        <v>341</v>
      </c>
      <c r="C571" s="2850" t="s">
        <v>240</v>
      </c>
      <c r="D571" s="2834">
        <v>34.183495999999998</v>
      </c>
      <c r="E571" s="2554"/>
      <c r="F571" s="2554"/>
      <c r="G571" s="2554"/>
      <c r="H571" s="2554"/>
      <c r="I571" s="2554"/>
      <c r="J571" s="2554"/>
      <c r="K571" s="2554"/>
      <c r="L571" s="2554"/>
      <c r="M571" s="2554"/>
      <c r="N571" s="2554"/>
      <c r="O571" s="2554"/>
      <c r="P571" s="2554"/>
      <c r="Q571" s="2554"/>
    </row>
    <row r="572" spans="1:258" hidden="1">
      <c r="A572" s="2849"/>
      <c r="B572" s="1929" t="s">
        <v>350</v>
      </c>
      <c r="C572" s="2850" t="s">
        <v>240</v>
      </c>
      <c r="D572" s="2834">
        <v>0</v>
      </c>
      <c r="E572" s="2554"/>
      <c r="F572" s="2554"/>
      <c r="G572" s="2554"/>
      <c r="H572" s="2554"/>
      <c r="I572" s="2554"/>
      <c r="J572" s="2554"/>
      <c r="K572" s="2554"/>
      <c r="L572" s="2554"/>
      <c r="M572" s="2554"/>
      <c r="N572" s="2554"/>
      <c r="O572" s="2554"/>
      <c r="P572" s="2554"/>
      <c r="Q572" s="2554"/>
    </row>
    <row r="573" spans="1:258" hidden="1">
      <c r="A573" s="2836"/>
      <c r="B573" s="254" t="s">
        <v>228</v>
      </c>
      <c r="C573" s="255" t="s">
        <v>240</v>
      </c>
      <c r="D573" s="2838">
        <v>4.9302300000000008</v>
      </c>
      <c r="E573" s="2554"/>
      <c r="F573" s="2554"/>
      <c r="G573" s="2554"/>
      <c r="H573" s="2554"/>
      <c r="I573" s="2554"/>
      <c r="J573" s="2554"/>
      <c r="K573" s="2554"/>
      <c r="L573" s="2554"/>
      <c r="M573" s="2554"/>
      <c r="N573" s="2554"/>
      <c r="O573" s="2554"/>
      <c r="P573" s="2554"/>
      <c r="Q573" s="2554"/>
    </row>
    <row r="574" spans="1:258" hidden="1">
      <c r="A574" s="2842"/>
      <c r="B574" s="1924" t="s">
        <v>341</v>
      </c>
      <c r="C574" s="2843" t="s">
        <v>240</v>
      </c>
      <c r="D574" s="2844">
        <v>4.9302300000000008</v>
      </c>
      <c r="E574" s="2554"/>
      <c r="F574" s="2554"/>
      <c r="G574" s="2554"/>
      <c r="H574" s="2554"/>
      <c r="I574" s="2554"/>
      <c r="J574" s="2554"/>
      <c r="K574" s="2554"/>
      <c r="L574" s="2554"/>
      <c r="M574" s="2554"/>
      <c r="N574" s="2554"/>
      <c r="O574" s="2554"/>
      <c r="P574" s="2554"/>
      <c r="Q574" s="2554"/>
    </row>
    <row r="575" spans="1:258" hidden="1">
      <c r="A575" s="2845"/>
      <c r="B575" s="1926" t="s">
        <v>342</v>
      </c>
      <c r="C575" s="2846" t="s">
        <v>240</v>
      </c>
      <c r="D575" s="2847"/>
      <c r="E575" s="2554"/>
      <c r="F575" s="2554"/>
      <c r="G575" s="2554"/>
      <c r="H575" s="2554"/>
      <c r="I575" s="2554"/>
      <c r="J575" s="2554"/>
      <c r="K575" s="2554"/>
      <c r="L575" s="2554"/>
      <c r="M575" s="2554"/>
      <c r="N575" s="2554"/>
      <c r="O575" s="2554"/>
      <c r="P575" s="2554"/>
      <c r="Q575" s="2554"/>
    </row>
    <row r="576" spans="1:258" hidden="1">
      <c r="A576" s="2836"/>
      <c r="B576" s="256" t="s">
        <v>281</v>
      </c>
      <c r="C576" s="255" t="s">
        <v>240</v>
      </c>
      <c r="D576" s="2838">
        <v>0</v>
      </c>
      <c r="E576" s="2554"/>
      <c r="F576" s="2554"/>
      <c r="G576" s="2554"/>
      <c r="H576" s="2554"/>
      <c r="I576" s="2554"/>
      <c r="J576" s="2554"/>
      <c r="K576" s="2554"/>
      <c r="L576" s="2554"/>
      <c r="M576" s="2554"/>
      <c r="N576" s="2554"/>
      <c r="O576" s="2554"/>
      <c r="P576" s="2554"/>
      <c r="Q576" s="2554"/>
    </row>
    <row r="577" spans="1:17" hidden="1">
      <c r="A577" s="2842"/>
      <c r="B577" s="1924" t="s">
        <v>341</v>
      </c>
      <c r="C577" s="2843" t="s">
        <v>240</v>
      </c>
      <c r="D577" s="2844">
        <v>0</v>
      </c>
      <c r="E577" s="2554"/>
      <c r="F577" s="2554"/>
      <c r="G577" s="2554"/>
      <c r="H577" s="2554"/>
      <c r="I577" s="2554"/>
      <c r="J577" s="2554"/>
      <c r="K577" s="2554"/>
      <c r="L577" s="2554"/>
      <c r="M577" s="2554"/>
      <c r="N577" s="2554"/>
      <c r="O577" s="2554"/>
      <c r="P577" s="2554"/>
      <c r="Q577" s="2554"/>
    </row>
    <row r="578" spans="1:17" hidden="1">
      <c r="A578" s="2845"/>
      <c r="B578" s="1926" t="s">
        <v>342</v>
      </c>
      <c r="C578" s="2846" t="s">
        <v>240</v>
      </c>
      <c r="D578" s="2847"/>
      <c r="E578" s="2554"/>
      <c r="F578" s="2554"/>
      <c r="G578" s="2554"/>
      <c r="H578" s="2554"/>
      <c r="I578" s="2554"/>
      <c r="J578" s="2554"/>
      <c r="K578" s="2554"/>
      <c r="L578" s="2554"/>
      <c r="M578" s="2554"/>
      <c r="N578" s="2554"/>
      <c r="O578" s="2554"/>
      <c r="P578" s="2554"/>
      <c r="Q578" s="2554"/>
    </row>
    <row r="579" spans="1:17" hidden="1">
      <c r="A579" s="2836"/>
      <c r="B579" s="257" t="s">
        <v>1855</v>
      </c>
      <c r="C579" s="255" t="s">
        <v>240</v>
      </c>
      <c r="D579" s="2838">
        <v>0.117536</v>
      </c>
      <c r="E579" s="2554"/>
      <c r="F579" s="2554"/>
      <c r="G579" s="2554"/>
      <c r="H579" s="2554"/>
      <c r="I579" s="2554"/>
      <c r="J579" s="2554"/>
      <c r="K579" s="2554"/>
      <c r="L579" s="2554"/>
      <c r="M579" s="2554"/>
      <c r="N579" s="2554"/>
      <c r="O579" s="2554"/>
      <c r="P579" s="2554"/>
      <c r="Q579" s="2554"/>
    </row>
    <row r="580" spans="1:17" hidden="1">
      <c r="A580" s="2842"/>
      <c r="B580" s="1924" t="s">
        <v>341</v>
      </c>
      <c r="C580" s="2843" t="s">
        <v>240</v>
      </c>
      <c r="D580" s="2844">
        <v>0.117536</v>
      </c>
      <c r="E580" s="2554"/>
      <c r="F580" s="2554"/>
      <c r="G580" s="2554"/>
      <c r="H580" s="2554"/>
      <c r="I580" s="2554"/>
      <c r="J580" s="2554"/>
      <c r="K580" s="2554"/>
      <c r="L580" s="2554"/>
      <c r="M580" s="2554"/>
      <c r="N580" s="2554"/>
      <c r="O580" s="2554"/>
      <c r="P580" s="2554"/>
      <c r="Q580" s="2554"/>
    </row>
    <row r="581" spans="1:17" hidden="1">
      <c r="A581" s="2845"/>
      <c r="B581" s="1926" t="s">
        <v>342</v>
      </c>
      <c r="C581" s="2846" t="s">
        <v>240</v>
      </c>
      <c r="D581" s="2847"/>
      <c r="E581" s="2554"/>
      <c r="F581" s="2554"/>
      <c r="G581" s="2554"/>
      <c r="H581" s="2554"/>
      <c r="I581" s="2554"/>
      <c r="J581" s="2554"/>
      <c r="K581" s="2554"/>
      <c r="L581" s="2554"/>
      <c r="M581" s="2554"/>
      <c r="N581" s="2554"/>
      <c r="O581" s="2554"/>
      <c r="P581" s="2554"/>
      <c r="Q581" s="2554"/>
    </row>
    <row r="582" spans="1:17" hidden="1">
      <c r="A582" s="2836"/>
      <c r="B582" s="1920" t="s">
        <v>230</v>
      </c>
      <c r="C582" s="2839" t="s">
        <v>240</v>
      </c>
      <c r="D582" s="2840">
        <v>7.8440999999999997E-2</v>
      </c>
      <c r="E582" s="2554"/>
      <c r="F582" s="2554"/>
      <c r="G582" s="2554"/>
      <c r="H582" s="2554"/>
      <c r="I582" s="2554"/>
      <c r="J582" s="2554"/>
      <c r="K582" s="2554"/>
      <c r="L582" s="2554"/>
      <c r="M582" s="2554"/>
      <c r="N582" s="2554"/>
      <c r="O582" s="2554"/>
      <c r="P582" s="2554"/>
      <c r="Q582" s="2554"/>
    </row>
    <row r="583" spans="1:17" hidden="1">
      <c r="A583" s="2842"/>
      <c r="B583" s="1924" t="s">
        <v>341</v>
      </c>
      <c r="C583" s="2843" t="s">
        <v>240</v>
      </c>
      <c r="D583" s="2844">
        <v>7.8440999999999997E-2</v>
      </c>
      <c r="E583" s="2554"/>
      <c r="F583" s="2554"/>
      <c r="G583" s="2554"/>
      <c r="H583" s="2554"/>
      <c r="I583" s="2554"/>
      <c r="J583" s="2554"/>
      <c r="K583" s="2554"/>
      <c r="L583" s="2554"/>
      <c r="M583" s="2554"/>
      <c r="N583" s="2554"/>
      <c r="O583" s="2554"/>
      <c r="P583" s="2554"/>
      <c r="Q583" s="2554"/>
    </row>
    <row r="584" spans="1:17" hidden="1">
      <c r="A584" s="2845"/>
      <c r="B584" s="1926" t="s">
        <v>342</v>
      </c>
      <c r="C584" s="2846" t="s">
        <v>240</v>
      </c>
      <c r="D584" s="2847"/>
      <c r="E584" s="2554"/>
      <c r="F584" s="2554"/>
      <c r="G584" s="2554"/>
      <c r="H584" s="2554"/>
      <c r="I584" s="2554"/>
      <c r="J584" s="2554"/>
      <c r="K584" s="2554"/>
      <c r="L584" s="2554"/>
      <c r="M584" s="2554"/>
      <c r="N584" s="2554"/>
      <c r="O584" s="2554"/>
      <c r="P584" s="2554"/>
      <c r="Q584" s="2554"/>
    </row>
    <row r="585" spans="1:17" hidden="1">
      <c r="A585" s="2836"/>
      <c r="B585" s="1920" t="s">
        <v>231</v>
      </c>
      <c r="C585" s="2839" t="s">
        <v>240</v>
      </c>
      <c r="D585" s="2840">
        <v>3.9094999999999998E-2</v>
      </c>
      <c r="E585" s="2554"/>
      <c r="F585" s="2554"/>
      <c r="G585" s="2554"/>
      <c r="H585" s="2554"/>
      <c r="I585" s="2554"/>
      <c r="J585" s="2554"/>
      <c r="K585" s="2554"/>
      <c r="L585" s="2554"/>
      <c r="M585" s="2554"/>
      <c r="N585" s="2554"/>
      <c r="O585" s="2554"/>
      <c r="P585" s="2554"/>
      <c r="Q585" s="2554"/>
    </row>
    <row r="586" spans="1:17" hidden="1">
      <c r="A586" s="2842"/>
      <c r="B586" s="1924" t="s">
        <v>341</v>
      </c>
      <c r="C586" s="2843" t="s">
        <v>240</v>
      </c>
      <c r="D586" s="2844">
        <v>3.9094999999999998E-2</v>
      </c>
      <c r="E586" s="2554"/>
      <c r="F586" s="2554"/>
      <c r="G586" s="2554"/>
      <c r="H586" s="2554"/>
      <c r="I586" s="2554"/>
      <c r="J586" s="2554"/>
      <c r="K586" s="2554"/>
      <c r="L586" s="2554"/>
      <c r="M586" s="2554"/>
      <c r="N586" s="2554"/>
      <c r="O586" s="2554"/>
      <c r="P586" s="2554"/>
      <c r="Q586" s="2554"/>
    </row>
    <row r="587" spans="1:17" hidden="1">
      <c r="A587" s="2845"/>
      <c r="B587" s="1926" t="s">
        <v>342</v>
      </c>
      <c r="C587" s="2846" t="s">
        <v>240</v>
      </c>
      <c r="D587" s="2847"/>
      <c r="E587" s="2554"/>
      <c r="F587" s="2554"/>
      <c r="G587" s="2554"/>
      <c r="H587" s="2554"/>
      <c r="I587" s="2554"/>
      <c r="J587" s="2554"/>
      <c r="K587" s="2554"/>
      <c r="L587" s="2554"/>
      <c r="M587" s="2554"/>
      <c r="N587" s="2554"/>
      <c r="O587" s="2554"/>
      <c r="P587" s="2554"/>
      <c r="Q587" s="2554"/>
    </row>
    <row r="588" spans="1:17" hidden="1">
      <c r="A588" s="2845"/>
      <c r="B588" s="256" t="s">
        <v>236</v>
      </c>
      <c r="C588" s="2846" t="s">
        <v>240</v>
      </c>
      <c r="D588" s="2838">
        <v>4.5223250000000004</v>
      </c>
      <c r="E588" s="2554"/>
      <c r="F588" s="2554"/>
      <c r="G588" s="2554"/>
      <c r="H588" s="2554"/>
      <c r="I588" s="2554"/>
      <c r="J588" s="2554"/>
      <c r="K588" s="2554"/>
      <c r="L588" s="2554"/>
      <c r="M588" s="2554"/>
      <c r="N588" s="2554"/>
      <c r="O588" s="2554"/>
      <c r="P588" s="2554"/>
      <c r="Q588" s="2554"/>
    </row>
    <row r="589" spans="1:17" hidden="1">
      <c r="A589" s="2842"/>
      <c r="B589" s="1924" t="s">
        <v>341</v>
      </c>
      <c r="C589" s="2843" t="s">
        <v>240</v>
      </c>
      <c r="D589" s="2844">
        <v>4.5223250000000004</v>
      </c>
      <c r="E589" s="2554"/>
      <c r="F589" s="2554"/>
      <c r="G589" s="2554"/>
      <c r="H589" s="2554"/>
      <c r="I589" s="2554"/>
      <c r="J589" s="2554"/>
      <c r="K589" s="2554"/>
      <c r="L589" s="2554"/>
      <c r="M589" s="2554"/>
      <c r="N589" s="2554"/>
      <c r="O589" s="2554"/>
      <c r="P589" s="2554"/>
      <c r="Q589" s="2554"/>
    </row>
    <row r="590" spans="1:17" hidden="1">
      <c r="A590" s="2845"/>
      <c r="B590" s="1926" t="s">
        <v>342</v>
      </c>
      <c r="C590" s="2846" t="s">
        <v>240</v>
      </c>
      <c r="D590" s="2847"/>
      <c r="E590" s="2554"/>
      <c r="F590" s="2554"/>
      <c r="G590" s="2554"/>
      <c r="H590" s="2554"/>
      <c r="I590" s="2554"/>
      <c r="J590" s="2554"/>
      <c r="K590" s="2554"/>
      <c r="L590" s="2554"/>
      <c r="M590" s="2554"/>
      <c r="N590" s="2554"/>
      <c r="O590" s="2554"/>
      <c r="P590" s="2554"/>
      <c r="Q590" s="2554"/>
    </row>
    <row r="591" spans="1:17" hidden="1">
      <c r="A591" s="2836"/>
      <c r="B591" s="257" t="s">
        <v>344</v>
      </c>
      <c r="C591" s="255" t="s">
        <v>240</v>
      </c>
      <c r="D591" s="2838">
        <v>0.29036899999999999</v>
      </c>
      <c r="E591" s="2554"/>
      <c r="F591" s="2554"/>
      <c r="G591" s="2554"/>
      <c r="H591" s="2554"/>
      <c r="I591" s="2554"/>
      <c r="J591" s="2554"/>
      <c r="K591" s="2554"/>
      <c r="L591" s="2554"/>
      <c r="M591" s="2554"/>
      <c r="N591" s="2554"/>
      <c r="O591" s="2554"/>
      <c r="P591" s="2554"/>
      <c r="Q591" s="2554"/>
    </row>
    <row r="592" spans="1:17" hidden="1">
      <c r="A592" s="2842"/>
      <c r="B592" s="1924" t="s">
        <v>341</v>
      </c>
      <c r="C592" s="2843" t="s">
        <v>240</v>
      </c>
      <c r="D592" s="2844">
        <v>0.29036899999999999</v>
      </c>
      <c r="E592" s="2554"/>
      <c r="F592" s="2554"/>
      <c r="G592" s="2554"/>
      <c r="H592" s="2554"/>
      <c r="I592" s="2554"/>
      <c r="J592" s="2554"/>
      <c r="K592" s="2554"/>
      <c r="L592" s="2554"/>
      <c r="M592" s="2554"/>
      <c r="N592" s="2554"/>
      <c r="O592" s="2554"/>
      <c r="P592" s="2554"/>
      <c r="Q592" s="2554"/>
    </row>
    <row r="593" spans="1:17" hidden="1">
      <c r="A593" s="2845"/>
      <c r="B593" s="1926" t="s">
        <v>342</v>
      </c>
      <c r="C593" s="2846" t="s">
        <v>240</v>
      </c>
      <c r="D593" s="2847"/>
      <c r="E593" s="2554"/>
      <c r="F593" s="2554"/>
      <c r="G593" s="2554"/>
      <c r="H593" s="2554"/>
      <c r="I593" s="2554"/>
      <c r="J593" s="2554"/>
      <c r="K593" s="2554"/>
      <c r="L593" s="2554"/>
      <c r="M593" s="2554"/>
      <c r="N593" s="2554"/>
      <c r="O593" s="2554"/>
      <c r="P593" s="2554"/>
      <c r="Q593" s="2554"/>
    </row>
    <row r="594" spans="1:17" hidden="1">
      <c r="A594" s="2836"/>
      <c r="B594" s="1920" t="s">
        <v>230</v>
      </c>
      <c r="C594" s="2839" t="s">
        <v>240</v>
      </c>
      <c r="D594" s="2840">
        <v>0.20335500000000001</v>
      </c>
      <c r="E594" s="2554"/>
      <c r="F594" s="2554"/>
      <c r="G594" s="2554"/>
      <c r="H594" s="2554"/>
      <c r="I594" s="2554"/>
      <c r="J594" s="2554"/>
      <c r="K594" s="2554"/>
      <c r="L594" s="2554"/>
      <c r="M594" s="2554"/>
      <c r="N594" s="2554"/>
      <c r="O594" s="2554"/>
      <c r="P594" s="2554"/>
      <c r="Q594" s="2554"/>
    </row>
    <row r="595" spans="1:17" hidden="1">
      <c r="A595" s="2842"/>
      <c r="B595" s="1924" t="s">
        <v>341</v>
      </c>
      <c r="C595" s="2843" t="s">
        <v>240</v>
      </c>
      <c r="D595" s="2844">
        <v>0.20335500000000001</v>
      </c>
      <c r="E595" s="2554"/>
      <c r="F595" s="2554"/>
      <c r="G595" s="2554"/>
      <c r="H595" s="2554"/>
      <c r="I595" s="2554"/>
      <c r="J595" s="2554"/>
      <c r="K595" s="2554"/>
      <c r="L595" s="2554"/>
      <c r="M595" s="2554"/>
      <c r="N595" s="2554"/>
      <c r="O595" s="2554"/>
      <c r="P595" s="2554"/>
      <c r="Q595" s="2554"/>
    </row>
    <row r="596" spans="1:17" hidden="1">
      <c r="A596" s="2845"/>
      <c r="B596" s="1926" t="s">
        <v>342</v>
      </c>
      <c r="C596" s="2846" t="s">
        <v>240</v>
      </c>
      <c r="D596" s="2847"/>
      <c r="E596" s="2554"/>
      <c r="F596" s="2554"/>
      <c r="G596" s="2554"/>
      <c r="H596" s="2554"/>
      <c r="I596" s="2554"/>
      <c r="J596" s="2554"/>
      <c r="K596" s="2554"/>
      <c r="L596" s="2554"/>
      <c r="M596" s="2554"/>
      <c r="N596" s="2554"/>
      <c r="O596" s="2554"/>
      <c r="P596" s="2554"/>
      <c r="Q596" s="2554"/>
    </row>
    <row r="597" spans="1:17" hidden="1">
      <c r="A597" s="2836"/>
      <c r="B597" s="1920" t="s">
        <v>231</v>
      </c>
      <c r="C597" s="2839" t="s">
        <v>240</v>
      </c>
      <c r="D597" s="2840">
        <v>8.7013999999999994E-2</v>
      </c>
      <c r="E597" s="2554"/>
      <c r="F597" s="2554"/>
      <c r="G597" s="2554"/>
      <c r="H597" s="2554"/>
      <c r="I597" s="2554"/>
      <c r="J597" s="2554"/>
      <c r="K597" s="2554"/>
      <c r="L597" s="2554"/>
      <c r="M597" s="2554"/>
      <c r="N597" s="2554"/>
      <c r="O597" s="2554"/>
      <c r="P597" s="2554"/>
      <c r="Q597" s="2554"/>
    </row>
    <row r="598" spans="1:17" hidden="1">
      <c r="A598" s="2842"/>
      <c r="B598" s="1924" t="s">
        <v>341</v>
      </c>
      <c r="C598" s="2843" t="s">
        <v>240</v>
      </c>
      <c r="D598" s="2844">
        <v>8.7013999999999994E-2</v>
      </c>
      <c r="E598" s="2554"/>
      <c r="F598" s="2554"/>
      <c r="G598" s="2554"/>
      <c r="H598" s="2554"/>
      <c r="I598" s="2554"/>
      <c r="J598" s="2554"/>
      <c r="K598" s="2554"/>
      <c r="L598" s="2554"/>
      <c r="M598" s="2554"/>
      <c r="N598" s="2554"/>
      <c r="O598" s="2554"/>
      <c r="P598" s="2554"/>
      <c r="Q598" s="2554"/>
    </row>
    <row r="599" spans="1:17" hidden="1">
      <c r="A599" s="2845"/>
      <c r="B599" s="1926" t="s">
        <v>342</v>
      </c>
      <c r="C599" s="2846" t="s">
        <v>240</v>
      </c>
      <c r="D599" s="2847"/>
      <c r="E599" s="2554"/>
      <c r="F599" s="2554"/>
      <c r="G599" s="2554"/>
      <c r="H599" s="2554"/>
      <c r="I599" s="2554"/>
      <c r="J599" s="2554"/>
      <c r="K599" s="2554"/>
      <c r="L599" s="2554"/>
      <c r="M599" s="2554"/>
      <c r="N599" s="2554"/>
      <c r="O599" s="2554"/>
      <c r="P599" s="2554"/>
      <c r="Q599" s="2554"/>
    </row>
    <row r="600" spans="1:17" hidden="1">
      <c r="A600" s="2836"/>
      <c r="B600" s="254" t="s">
        <v>232</v>
      </c>
      <c r="C600" s="255" t="s">
        <v>240</v>
      </c>
      <c r="D600" s="2838">
        <v>24.559447999999996</v>
      </c>
      <c r="E600" s="2554"/>
      <c r="F600" s="2554"/>
      <c r="G600" s="2554"/>
      <c r="H600" s="2554"/>
      <c r="I600" s="2554"/>
      <c r="J600" s="2554"/>
      <c r="K600" s="2554"/>
      <c r="L600" s="2554"/>
      <c r="M600" s="2554"/>
      <c r="N600" s="2554"/>
      <c r="O600" s="2554"/>
      <c r="P600" s="2554"/>
      <c r="Q600" s="2554"/>
    </row>
    <row r="601" spans="1:17" hidden="1">
      <c r="A601" s="2842"/>
      <c r="B601" s="1924" t="s">
        <v>341</v>
      </c>
      <c r="C601" s="2843" t="s">
        <v>240</v>
      </c>
      <c r="D601" s="2844">
        <v>24.559447999999996</v>
      </c>
      <c r="E601" s="2554"/>
      <c r="F601" s="2554"/>
      <c r="G601" s="2554"/>
      <c r="H601" s="2554"/>
      <c r="I601" s="2554"/>
      <c r="J601" s="2554"/>
      <c r="K601" s="2554"/>
      <c r="L601" s="2554"/>
      <c r="M601" s="2554"/>
      <c r="N601" s="2554"/>
      <c r="O601" s="2554"/>
      <c r="P601" s="2554"/>
      <c r="Q601" s="2554"/>
    </row>
    <row r="602" spans="1:17" hidden="1">
      <c r="A602" s="2845"/>
      <c r="B602" s="1926" t="s">
        <v>342</v>
      </c>
      <c r="C602" s="2846" t="s">
        <v>240</v>
      </c>
      <c r="D602" s="2847"/>
      <c r="E602" s="2554"/>
      <c r="F602" s="2554"/>
      <c r="G602" s="2554"/>
      <c r="H602" s="2554"/>
      <c r="I602" s="2554"/>
      <c r="J602" s="2554"/>
      <c r="K602" s="2554"/>
      <c r="L602" s="2554"/>
      <c r="M602" s="2554"/>
      <c r="N602" s="2554"/>
      <c r="O602" s="2554"/>
      <c r="P602" s="2554"/>
      <c r="Q602" s="2554"/>
    </row>
    <row r="603" spans="1:17" hidden="1">
      <c r="A603" s="2836"/>
      <c r="B603" s="256" t="s">
        <v>229</v>
      </c>
      <c r="C603" s="255" t="s">
        <v>240</v>
      </c>
      <c r="D603" s="2838">
        <v>10.600377999999999</v>
      </c>
      <c r="E603" s="2554"/>
      <c r="F603" s="2554"/>
      <c r="G603" s="2554"/>
      <c r="H603" s="2554"/>
      <c r="I603" s="2554"/>
      <c r="J603" s="2554"/>
      <c r="K603" s="2554"/>
      <c r="L603" s="2554"/>
      <c r="M603" s="2554"/>
      <c r="N603" s="2554"/>
      <c r="O603" s="2554"/>
      <c r="P603" s="2554"/>
      <c r="Q603" s="2554"/>
    </row>
    <row r="604" spans="1:17" hidden="1">
      <c r="A604" s="2842"/>
      <c r="B604" s="1924" t="s">
        <v>341</v>
      </c>
      <c r="C604" s="2843" t="s">
        <v>240</v>
      </c>
      <c r="D604" s="2844">
        <v>10.600377999999999</v>
      </c>
      <c r="E604" s="2554"/>
      <c r="F604" s="2554"/>
      <c r="G604" s="2554"/>
      <c r="H604" s="2554"/>
      <c r="I604" s="2554"/>
      <c r="J604" s="2554"/>
      <c r="K604" s="2554"/>
      <c r="L604" s="2554"/>
      <c r="M604" s="2554"/>
      <c r="N604" s="2554"/>
      <c r="O604" s="2554"/>
      <c r="P604" s="2554"/>
      <c r="Q604" s="2554"/>
    </row>
    <row r="605" spans="1:17" hidden="1">
      <c r="A605" s="2845"/>
      <c r="B605" s="1926" t="s">
        <v>342</v>
      </c>
      <c r="C605" s="2846" t="s">
        <v>240</v>
      </c>
      <c r="D605" s="2847"/>
      <c r="E605" s="2554"/>
      <c r="F605" s="2554"/>
      <c r="G605" s="2554"/>
      <c r="H605" s="2554"/>
      <c r="I605" s="2554"/>
      <c r="J605" s="2554"/>
      <c r="K605" s="2554"/>
      <c r="L605" s="2554"/>
      <c r="M605" s="2554"/>
      <c r="N605" s="2554"/>
      <c r="O605" s="2554"/>
      <c r="P605" s="2554"/>
      <c r="Q605" s="2554"/>
    </row>
    <row r="606" spans="1:17" hidden="1">
      <c r="A606" s="2836"/>
      <c r="B606" s="257" t="s">
        <v>345</v>
      </c>
      <c r="C606" s="255" t="s">
        <v>240</v>
      </c>
      <c r="D606" s="2838">
        <v>13.959069999999999</v>
      </c>
      <c r="E606" s="2554"/>
      <c r="F606" s="2554"/>
      <c r="G606" s="2554"/>
      <c r="H606" s="2554"/>
      <c r="I606" s="2554"/>
      <c r="J606" s="2554"/>
      <c r="K606" s="2554"/>
      <c r="L606" s="2554"/>
      <c r="M606" s="2554"/>
      <c r="N606" s="2554"/>
      <c r="O606" s="2554"/>
      <c r="P606" s="2554"/>
      <c r="Q606" s="2554"/>
    </row>
    <row r="607" spans="1:17" hidden="1">
      <c r="A607" s="2842"/>
      <c r="B607" s="1924" t="s">
        <v>341</v>
      </c>
      <c r="C607" s="2843" t="s">
        <v>240</v>
      </c>
      <c r="D607" s="2844">
        <v>13.959069999999999</v>
      </c>
      <c r="E607" s="2554"/>
      <c r="F607" s="2554"/>
      <c r="G607" s="2554"/>
      <c r="H607" s="2554"/>
      <c r="I607" s="2554"/>
      <c r="J607" s="2554"/>
      <c r="K607" s="2554"/>
      <c r="L607" s="2554"/>
      <c r="M607" s="2554"/>
      <c r="N607" s="2554"/>
      <c r="O607" s="2554"/>
      <c r="P607" s="2554"/>
      <c r="Q607" s="2554"/>
    </row>
    <row r="608" spans="1:17" hidden="1">
      <c r="A608" s="2845"/>
      <c r="B608" s="1926" t="s">
        <v>342</v>
      </c>
      <c r="C608" s="2846" t="s">
        <v>240</v>
      </c>
      <c r="D608" s="2847"/>
      <c r="E608" s="2554"/>
      <c r="F608" s="2554"/>
      <c r="G608" s="2554"/>
      <c r="H608" s="2554"/>
      <c r="I608" s="2554"/>
      <c r="J608" s="2554"/>
      <c r="K608" s="2554"/>
      <c r="L608" s="2554"/>
      <c r="M608" s="2554"/>
      <c r="N608" s="2554"/>
      <c r="O608" s="2554"/>
      <c r="P608" s="2554"/>
      <c r="Q608" s="2554"/>
    </row>
    <row r="609" spans="1:17" hidden="1">
      <c r="A609" s="2836"/>
      <c r="B609" s="1920" t="s">
        <v>230</v>
      </c>
      <c r="C609" s="2839" t="s">
        <v>240</v>
      </c>
      <c r="D609" s="2840">
        <v>10.332607999999999</v>
      </c>
      <c r="E609" s="2554"/>
      <c r="F609" s="2554"/>
      <c r="G609" s="2554"/>
      <c r="H609" s="2554"/>
      <c r="I609" s="2554"/>
      <c r="J609" s="2554"/>
      <c r="K609" s="2554"/>
      <c r="L609" s="2554"/>
      <c r="M609" s="2554"/>
      <c r="N609" s="2554"/>
      <c r="O609" s="2554"/>
      <c r="P609" s="2554"/>
      <c r="Q609" s="2554"/>
    </row>
    <row r="610" spans="1:17" hidden="1">
      <c r="A610" s="2842"/>
      <c r="B610" s="1924" t="s">
        <v>341</v>
      </c>
      <c r="C610" s="2843" t="s">
        <v>240</v>
      </c>
      <c r="D610" s="2844">
        <v>10.332607999999999</v>
      </c>
      <c r="E610" s="2554"/>
      <c r="F610" s="2554"/>
      <c r="G610" s="2554"/>
      <c r="H610" s="2554"/>
      <c r="I610" s="2554"/>
      <c r="J610" s="2554"/>
      <c r="K610" s="2554"/>
      <c r="L610" s="2554"/>
      <c r="M610" s="2554"/>
      <c r="N610" s="2554"/>
      <c r="O610" s="2554"/>
      <c r="P610" s="2554"/>
      <c r="Q610" s="2554"/>
    </row>
    <row r="611" spans="1:17" hidden="1">
      <c r="A611" s="2845"/>
      <c r="B611" s="1926" t="s">
        <v>342</v>
      </c>
      <c r="C611" s="2846" t="s">
        <v>240</v>
      </c>
      <c r="D611" s="2847"/>
      <c r="E611" s="2554"/>
      <c r="F611" s="2554"/>
      <c r="G611" s="2554"/>
      <c r="H611" s="2554"/>
      <c r="I611" s="2554"/>
      <c r="J611" s="2554"/>
      <c r="K611" s="2554"/>
      <c r="L611" s="2554"/>
      <c r="M611" s="2554"/>
      <c r="N611" s="2554"/>
      <c r="O611" s="2554"/>
      <c r="P611" s="2554"/>
      <c r="Q611" s="2554"/>
    </row>
    <row r="612" spans="1:17" hidden="1">
      <c r="A612" s="2845"/>
      <c r="B612" s="1920" t="s">
        <v>231</v>
      </c>
      <c r="C612" s="2851" t="s">
        <v>240</v>
      </c>
      <c r="D612" s="2840">
        <v>3.6264619999999996</v>
      </c>
      <c r="E612" s="2554"/>
      <c r="F612" s="2554"/>
      <c r="G612" s="2554"/>
      <c r="H612" s="2554"/>
      <c r="I612" s="2554"/>
      <c r="J612" s="2554"/>
      <c r="K612" s="2554"/>
      <c r="L612" s="2554"/>
      <c r="M612" s="2554"/>
      <c r="N612" s="2554"/>
      <c r="O612" s="2554"/>
      <c r="P612" s="2554"/>
      <c r="Q612" s="2554"/>
    </row>
    <row r="613" spans="1:17" hidden="1">
      <c r="A613" s="2842"/>
      <c r="B613" s="1924" t="s">
        <v>341</v>
      </c>
      <c r="C613" s="2843" t="s">
        <v>240</v>
      </c>
      <c r="D613" s="2844">
        <v>3.6264619999999996</v>
      </c>
      <c r="E613" s="2554"/>
      <c r="F613" s="2554"/>
      <c r="G613" s="2554"/>
      <c r="H613" s="2554"/>
      <c r="I613" s="2554"/>
      <c r="J613" s="2554"/>
      <c r="K613" s="2554"/>
      <c r="L613" s="2554"/>
      <c r="M613" s="2554"/>
      <c r="N613" s="2554"/>
      <c r="O613" s="2554"/>
      <c r="P613" s="2554"/>
      <c r="Q613" s="2554"/>
    </row>
    <row r="614" spans="1:17" hidden="1">
      <c r="A614" s="2845"/>
      <c r="B614" s="1926" t="s">
        <v>342</v>
      </c>
      <c r="C614" s="2846" t="s">
        <v>240</v>
      </c>
      <c r="D614" s="2847"/>
      <c r="E614" s="2554"/>
      <c r="F614" s="2554"/>
      <c r="G614" s="2554"/>
      <c r="H614" s="2554"/>
      <c r="I614" s="2554"/>
      <c r="J614" s="2554"/>
      <c r="K614" s="2554"/>
      <c r="L614" s="2554"/>
      <c r="M614" s="2554"/>
      <c r="N614" s="2554"/>
      <c r="O614" s="2554"/>
      <c r="P614" s="2554"/>
      <c r="Q614" s="2554"/>
    </row>
    <row r="615" spans="1:17" hidden="1">
      <c r="A615" s="2836"/>
      <c r="B615" s="259" t="s">
        <v>40</v>
      </c>
      <c r="C615" s="255" t="s">
        <v>240</v>
      </c>
      <c r="D615" s="2838">
        <v>4.6938180000000003</v>
      </c>
      <c r="E615" s="2554"/>
      <c r="F615" s="2554"/>
      <c r="G615" s="2554"/>
      <c r="H615" s="2554"/>
      <c r="I615" s="2554"/>
      <c r="J615" s="2554"/>
      <c r="K615" s="2554"/>
      <c r="L615" s="2554"/>
      <c r="M615" s="2554"/>
      <c r="N615" s="2554"/>
      <c r="O615" s="2554"/>
      <c r="P615" s="2554"/>
      <c r="Q615" s="2554"/>
    </row>
    <row r="616" spans="1:17" hidden="1">
      <c r="A616" s="2842"/>
      <c r="B616" s="1924" t="s">
        <v>341</v>
      </c>
      <c r="C616" s="2843" t="s">
        <v>240</v>
      </c>
      <c r="D616" s="2844">
        <v>4.6938180000000003</v>
      </c>
      <c r="E616" s="2554"/>
      <c r="F616" s="2554"/>
      <c r="G616" s="2554"/>
      <c r="H616" s="2554"/>
      <c r="I616" s="2554"/>
      <c r="J616" s="2554"/>
      <c r="K616" s="2554"/>
      <c r="L616" s="2554"/>
      <c r="M616" s="2554"/>
      <c r="N616" s="2554"/>
      <c r="O616" s="2554"/>
      <c r="P616" s="2554"/>
      <c r="Q616" s="2554"/>
    </row>
    <row r="617" spans="1:17" hidden="1">
      <c r="A617" s="2845"/>
      <c r="B617" s="1926" t="s">
        <v>342</v>
      </c>
      <c r="C617" s="2846" t="s">
        <v>240</v>
      </c>
      <c r="D617" s="2847"/>
      <c r="E617" s="2554"/>
      <c r="F617" s="2554"/>
      <c r="G617" s="2554"/>
      <c r="H617" s="2554"/>
      <c r="I617" s="2554"/>
      <c r="J617" s="2554"/>
      <c r="K617" s="2554"/>
      <c r="L617" s="2554"/>
      <c r="M617" s="2554"/>
      <c r="N617" s="2554"/>
      <c r="O617" s="2554"/>
      <c r="P617" s="2554"/>
      <c r="Q617" s="2554"/>
    </row>
    <row r="618" spans="1:17" hidden="1">
      <c r="A618" s="2836"/>
      <c r="B618" s="256" t="s">
        <v>281</v>
      </c>
      <c r="C618" s="255" t="s">
        <v>240</v>
      </c>
      <c r="D618" s="2838">
        <v>0</v>
      </c>
      <c r="E618" s="2554"/>
      <c r="F618" s="2554"/>
      <c r="G618" s="2554"/>
      <c r="H618" s="2554"/>
      <c r="I618" s="2554"/>
      <c r="J618" s="2554"/>
      <c r="K618" s="2554"/>
      <c r="L618" s="2554"/>
      <c r="M618" s="2554"/>
      <c r="N618" s="2554"/>
      <c r="O618" s="2554"/>
      <c r="P618" s="2554"/>
      <c r="Q618" s="2554"/>
    </row>
    <row r="619" spans="1:17" hidden="1">
      <c r="A619" s="2842"/>
      <c r="B619" s="1924" t="s">
        <v>341</v>
      </c>
      <c r="C619" s="2843" t="s">
        <v>240</v>
      </c>
      <c r="D619" s="2844">
        <v>0</v>
      </c>
      <c r="E619" s="2554"/>
      <c r="F619" s="2554"/>
      <c r="G619" s="2554"/>
      <c r="H619" s="2554"/>
      <c r="I619" s="2554"/>
      <c r="J619" s="2554"/>
      <c r="K619" s="2554"/>
      <c r="L619" s="2554"/>
      <c r="M619" s="2554"/>
      <c r="N619" s="2554"/>
      <c r="O619" s="2554"/>
      <c r="P619" s="2554"/>
      <c r="Q619" s="2554"/>
    </row>
    <row r="620" spans="1:17" hidden="1">
      <c r="A620" s="2845"/>
      <c r="B620" s="1926" t="s">
        <v>342</v>
      </c>
      <c r="C620" s="2846" t="s">
        <v>240</v>
      </c>
      <c r="D620" s="2847"/>
      <c r="E620" s="2554"/>
      <c r="F620" s="2554"/>
      <c r="G620" s="2554"/>
      <c r="H620" s="2554"/>
      <c r="I620" s="2554"/>
      <c r="J620" s="2554"/>
      <c r="K620" s="2554"/>
      <c r="L620" s="2554"/>
      <c r="M620" s="2554"/>
      <c r="N620" s="2554"/>
      <c r="O620" s="2554"/>
      <c r="P620" s="2554"/>
      <c r="Q620" s="2554"/>
    </row>
    <row r="621" spans="1:17" hidden="1">
      <c r="A621" s="2836"/>
      <c r="B621" s="257" t="s">
        <v>343</v>
      </c>
      <c r="C621" s="255" t="s">
        <v>240</v>
      </c>
      <c r="D621" s="2838">
        <v>0</v>
      </c>
      <c r="E621" s="2554"/>
      <c r="F621" s="2554"/>
      <c r="G621" s="2554"/>
      <c r="H621" s="2554"/>
      <c r="I621" s="2554"/>
      <c r="J621" s="2554"/>
      <c r="K621" s="2554"/>
      <c r="L621" s="2554"/>
      <c r="M621" s="2554"/>
      <c r="N621" s="2554"/>
      <c r="O621" s="2554"/>
      <c r="P621" s="2554"/>
      <c r="Q621" s="2554"/>
    </row>
    <row r="622" spans="1:17" hidden="1">
      <c r="A622" s="2842"/>
      <c r="B622" s="1924" t="s">
        <v>341</v>
      </c>
      <c r="C622" s="2843" t="s">
        <v>240</v>
      </c>
      <c r="D622" s="2844">
        <v>0</v>
      </c>
      <c r="E622" s="2554"/>
      <c r="F622" s="2554"/>
      <c r="G622" s="2554"/>
      <c r="H622" s="2554"/>
      <c r="I622" s="2554"/>
      <c r="J622" s="2554"/>
      <c r="K622" s="2554"/>
      <c r="L622" s="2554"/>
      <c r="M622" s="2554"/>
      <c r="N622" s="2554"/>
      <c r="O622" s="2554"/>
      <c r="P622" s="2554"/>
      <c r="Q622" s="2554"/>
    </row>
    <row r="623" spans="1:17" hidden="1">
      <c r="A623" s="2845"/>
      <c r="B623" s="1926" t="s">
        <v>342</v>
      </c>
      <c r="C623" s="2846" t="s">
        <v>240</v>
      </c>
      <c r="D623" s="2847"/>
      <c r="E623" s="2554"/>
      <c r="F623" s="2554"/>
      <c r="G623" s="2554"/>
      <c r="H623" s="2554"/>
      <c r="I623" s="2554"/>
      <c r="J623" s="2554"/>
      <c r="K623" s="2554"/>
      <c r="L623" s="2554"/>
      <c r="M623" s="2554"/>
      <c r="N623" s="2554"/>
      <c r="O623" s="2554"/>
      <c r="P623" s="2554"/>
      <c r="Q623" s="2554"/>
    </row>
    <row r="624" spans="1:17" hidden="1">
      <c r="A624" s="2836"/>
      <c r="B624" s="1920" t="s">
        <v>230</v>
      </c>
      <c r="C624" s="2839" t="s">
        <v>240</v>
      </c>
      <c r="D624" s="2840">
        <v>0</v>
      </c>
      <c r="E624" s="2554"/>
      <c r="F624" s="2554"/>
      <c r="G624" s="2554"/>
      <c r="H624" s="2554"/>
      <c r="I624" s="2554"/>
      <c r="J624" s="2554"/>
      <c r="K624" s="2554"/>
      <c r="L624" s="2554"/>
      <c r="M624" s="2554"/>
      <c r="N624" s="2554"/>
      <c r="O624" s="2554"/>
      <c r="P624" s="2554"/>
      <c r="Q624" s="2554"/>
    </row>
    <row r="625" spans="1:17" hidden="1">
      <c r="A625" s="2842"/>
      <c r="B625" s="1924" t="s">
        <v>341</v>
      </c>
      <c r="C625" s="2843" t="s">
        <v>240</v>
      </c>
      <c r="D625" s="2844">
        <v>0</v>
      </c>
      <c r="E625" s="2554"/>
      <c r="F625" s="2554"/>
      <c r="G625" s="2554"/>
      <c r="H625" s="2554"/>
      <c r="I625" s="2554"/>
      <c r="J625" s="2554"/>
      <c r="K625" s="2554"/>
      <c r="L625" s="2554"/>
      <c r="M625" s="2554"/>
      <c r="N625" s="2554"/>
      <c r="O625" s="2554"/>
      <c r="P625" s="2554"/>
      <c r="Q625" s="2554"/>
    </row>
    <row r="626" spans="1:17" hidden="1">
      <c r="A626" s="2845"/>
      <c r="B626" s="1926" t="s">
        <v>342</v>
      </c>
      <c r="C626" s="2846" t="s">
        <v>240</v>
      </c>
      <c r="D626" s="2847"/>
      <c r="E626" s="2554"/>
      <c r="F626" s="2554"/>
      <c r="G626" s="2554"/>
      <c r="H626" s="2554"/>
      <c r="I626" s="2554"/>
      <c r="J626" s="2554"/>
      <c r="K626" s="2554"/>
      <c r="L626" s="2554"/>
      <c r="M626" s="2554"/>
      <c r="N626" s="2554"/>
      <c r="O626" s="2554"/>
      <c r="P626" s="2554"/>
      <c r="Q626" s="2554"/>
    </row>
    <row r="627" spans="1:17" hidden="1">
      <c r="A627" s="2836"/>
      <c r="B627" s="1920" t="s">
        <v>231</v>
      </c>
      <c r="C627" s="2839" t="s">
        <v>240</v>
      </c>
      <c r="D627" s="2840">
        <v>0</v>
      </c>
      <c r="E627" s="2554"/>
      <c r="F627" s="2554"/>
      <c r="G627" s="2554"/>
      <c r="H627" s="2554"/>
      <c r="I627" s="2554"/>
      <c r="J627" s="2554"/>
      <c r="K627" s="2554"/>
      <c r="L627" s="2554"/>
      <c r="M627" s="2554"/>
      <c r="N627" s="2554"/>
      <c r="O627" s="2554"/>
      <c r="P627" s="2554"/>
      <c r="Q627" s="2554"/>
    </row>
    <row r="628" spans="1:17" hidden="1">
      <c r="A628" s="2842"/>
      <c r="B628" s="1924" t="s">
        <v>341</v>
      </c>
      <c r="C628" s="2843" t="s">
        <v>240</v>
      </c>
      <c r="D628" s="2844">
        <v>0</v>
      </c>
      <c r="E628" s="2554"/>
      <c r="F628" s="2554"/>
      <c r="G628" s="2554"/>
      <c r="H628" s="2554"/>
      <c r="I628" s="2554"/>
      <c r="J628" s="2554"/>
      <c r="K628" s="2554"/>
      <c r="L628" s="2554"/>
      <c r="M628" s="2554"/>
      <c r="N628" s="2554"/>
      <c r="O628" s="2554"/>
      <c r="P628" s="2554"/>
      <c r="Q628" s="2554"/>
    </row>
    <row r="629" spans="1:17" hidden="1">
      <c r="A629" s="2845"/>
      <c r="B629" s="1926" t="s">
        <v>342</v>
      </c>
      <c r="C629" s="2846" t="s">
        <v>240</v>
      </c>
      <c r="D629" s="2847"/>
      <c r="E629" s="2554"/>
      <c r="F629" s="2554"/>
      <c r="G629" s="2554"/>
      <c r="H629" s="2554"/>
      <c r="I629" s="2554"/>
      <c r="J629" s="2554"/>
      <c r="K629" s="2554"/>
      <c r="L629" s="2554"/>
      <c r="M629" s="2554"/>
      <c r="N629" s="2554"/>
      <c r="O629" s="2554"/>
      <c r="P629" s="2554"/>
      <c r="Q629" s="2554"/>
    </row>
    <row r="630" spans="1:17" hidden="1">
      <c r="A630" s="2836"/>
      <c r="B630" s="256" t="s">
        <v>234</v>
      </c>
      <c r="C630" s="255" t="s">
        <v>240</v>
      </c>
      <c r="D630" s="2838">
        <v>0.25051899999999999</v>
      </c>
      <c r="E630" s="2554"/>
      <c r="F630" s="2554"/>
      <c r="G630" s="2554"/>
      <c r="H630" s="2554"/>
      <c r="I630" s="2554"/>
      <c r="J630" s="2554"/>
      <c r="K630" s="2554"/>
      <c r="L630" s="2554"/>
      <c r="M630" s="2554"/>
      <c r="N630" s="2554"/>
      <c r="O630" s="2554"/>
      <c r="P630" s="2554"/>
      <c r="Q630" s="2554"/>
    </row>
    <row r="631" spans="1:17" hidden="1">
      <c r="A631" s="2842"/>
      <c r="B631" s="1924" t="s">
        <v>341</v>
      </c>
      <c r="C631" s="2843" t="s">
        <v>240</v>
      </c>
      <c r="D631" s="2844">
        <v>0.25051899999999999</v>
      </c>
      <c r="E631" s="2554"/>
      <c r="F631" s="2554"/>
      <c r="G631" s="2554"/>
      <c r="H631" s="2554"/>
      <c r="I631" s="2554"/>
      <c r="J631" s="2554"/>
      <c r="K631" s="2554"/>
      <c r="L631" s="2554"/>
      <c r="M631" s="2554"/>
      <c r="N631" s="2554"/>
      <c r="O631" s="2554"/>
      <c r="P631" s="2554"/>
      <c r="Q631" s="2554"/>
    </row>
    <row r="632" spans="1:17" hidden="1">
      <c r="A632" s="2845"/>
      <c r="B632" s="1926" t="s">
        <v>342</v>
      </c>
      <c r="C632" s="2846" t="s">
        <v>240</v>
      </c>
      <c r="D632" s="2847"/>
      <c r="E632" s="2554"/>
      <c r="F632" s="2554"/>
      <c r="G632" s="2554"/>
      <c r="H632" s="2554"/>
      <c r="I632" s="2554"/>
      <c r="J632" s="2554"/>
      <c r="K632" s="2554"/>
      <c r="L632" s="2554"/>
      <c r="M632" s="2554"/>
      <c r="N632" s="2554"/>
      <c r="O632" s="2554"/>
      <c r="P632" s="2554"/>
      <c r="Q632" s="2554"/>
    </row>
    <row r="633" spans="1:17" hidden="1">
      <c r="A633" s="2836"/>
      <c r="B633" s="257" t="s">
        <v>346</v>
      </c>
      <c r="C633" s="255" t="s">
        <v>240</v>
      </c>
      <c r="D633" s="2838">
        <v>4.3311790000000006</v>
      </c>
      <c r="E633" s="2554"/>
      <c r="F633" s="2554"/>
      <c r="G633" s="2554"/>
      <c r="H633" s="2554"/>
      <c r="I633" s="2554"/>
      <c r="J633" s="2554"/>
      <c r="K633" s="2554"/>
      <c r="L633" s="2554"/>
      <c r="M633" s="2554"/>
      <c r="N633" s="2554"/>
      <c r="O633" s="2554"/>
      <c r="P633" s="2554"/>
      <c r="Q633" s="2554"/>
    </row>
    <row r="634" spans="1:17" hidden="1">
      <c r="A634" s="2842"/>
      <c r="B634" s="1924" t="s">
        <v>341</v>
      </c>
      <c r="C634" s="2843" t="s">
        <v>240</v>
      </c>
      <c r="D634" s="2844">
        <v>4.3311790000000006</v>
      </c>
      <c r="E634" s="2554"/>
      <c r="F634" s="2554"/>
      <c r="G634" s="2554"/>
      <c r="H634" s="2554"/>
      <c r="I634" s="2554"/>
      <c r="J634" s="2554"/>
      <c r="K634" s="2554"/>
      <c r="L634" s="2554"/>
      <c r="M634" s="2554"/>
      <c r="N634" s="2554"/>
      <c r="O634" s="2554"/>
      <c r="P634" s="2554"/>
      <c r="Q634" s="2554"/>
    </row>
    <row r="635" spans="1:17" hidden="1">
      <c r="A635" s="2845"/>
      <c r="B635" s="1926" t="s">
        <v>342</v>
      </c>
      <c r="C635" s="2846" t="s">
        <v>240</v>
      </c>
      <c r="D635" s="2847"/>
      <c r="E635" s="2554"/>
      <c r="F635" s="2554"/>
      <c r="G635" s="2554"/>
      <c r="H635" s="2554"/>
      <c r="I635" s="2554"/>
      <c r="J635" s="2554"/>
      <c r="K635" s="2554"/>
      <c r="L635" s="2554"/>
      <c r="M635" s="2554"/>
      <c r="N635" s="2554"/>
      <c r="O635" s="2554"/>
      <c r="P635" s="2554"/>
      <c r="Q635" s="2554"/>
    </row>
    <row r="636" spans="1:17" hidden="1">
      <c r="A636" s="2836"/>
      <c r="B636" s="1920" t="s">
        <v>230</v>
      </c>
      <c r="C636" s="2839" t="s">
        <v>240</v>
      </c>
      <c r="D636" s="2840">
        <v>2.907848</v>
      </c>
      <c r="E636" s="2554"/>
      <c r="F636" s="2554"/>
      <c r="G636" s="2554"/>
      <c r="H636" s="2554"/>
      <c r="I636" s="2554"/>
      <c r="J636" s="2554"/>
      <c r="K636" s="2554"/>
      <c r="L636" s="2554"/>
      <c r="M636" s="2554"/>
      <c r="N636" s="2554"/>
      <c r="O636" s="2554"/>
      <c r="P636" s="2554"/>
      <c r="Q636" s="2554"/>
    </row>
    <row r="637" spans="1:17" hidden="1">
      <c r="A637" s="2842"/>
      <c r="B637" s="1924" t="s">
        <v>341</v>
      </c>
      <c r="C637" s="2843" t="s">
        <v>240</v>
      </c>
      <c r="D637" s="2844">
        <v>2.907848</v>
      </c>
      <c r="E637" s="2554"/>
      <c r="F637" s="2554"/>
      <c r="G637" s="2554"/>
      <c r="H637" s="2554"/>
      <c r="I637" s="2554"/>
      <c r="J637" s="2554"/>
      <c r="K637" s="2554"/>
      <c r="L637" s="2554"/>
      <c r="M637" s="2554"/>
      <c r="N637" s="2554"/>
      <c r="O637" s="2554"/>
      <c r="P637" s="2554"/>
      <c r="Q637" s="2554"/>
    </row>
    <row r="638" spans="1:17" hidden="1">
      <c r="A638" s="2845"/>
      <c r="B638" s="1926" t="s">
        <v>342</v>
      </c>
      <c r="C638" s="2846" t="s">
        <v>240</v>
      </c>
      <c r="D638" s="2847"/>
      <c r="E638" s="2554"/>
      <c r="F638" s="2554"/>
      <c r="G638" s="2554"/>
      <c r="H638" s="2554"/>
      <c r="I638" s="2554"/>
      <c r="J638" s="2554"/>
      <c r="K638" s="2554"/>
      <c r="L638" s="2554"/>
      <c r="M638" s="2554"/>
      <c r="N638" s="2554"/>
      <c r="O638" s="2554"/>
      <c r="P638" s="2554"/>
      <c r="Q638" s="2554"/>
    </row>
    <row r="639" spans="1:17" hidden="1">
      <c r="A639" s="2836"/>
      <c r="B639" s="1920" t="s">
        <v>231</v>
      </c>
      <c r="C639" s="2839" t="s">
        <v>240</v>
      </c>
      <c r="D639" s="2840">
        <v>1.4233310000000001</v>
      </c>
      <c r="E639" s="2554"/>
      <c r="F639" s="2554"/>
      <c r="G639" s="2554"/>
      <c r="H639" s="2554"/>
      <c r="I639" s="2554"/>
      <c r="J639" s="2554"/>
      <c r="K639" s="2554"/>
      <c r="L639" s="2554"/>
      <c r="M639" s="2554"/>
      <c r="N639" s="2554"/>
      <c r="O639" s="2554"/>
      <c r="P639" s="2554"/>
      <c r="Q639" s="2554"/>
    </row>
    <row r="640" spans="1:17" hidden="1">
      <c r="A640" s="2842"/>
      <c r="B640" s="1924" t="s">
        <v>341</v>
      </c>
      <c r="C640" s="2843" t="s">
        <v>240</v>
      </c>
      <c r="D640" s="2844">
        <v>1.4233310000000001</v>
      </c>
      <c r="E640" s="2554"/>
      <c r="F640" s="2554"/>
      <c r="G640" s="2554"/>
      <c r="H640" s="2554"/>
      <c r="I640" s="2554"/>
      <c r="J640" s="2554"/>
      <c r="K640" s="2554"/>
      <c r="L640" s="2554"/>
      <c r="M640" s="2554"/>
      <c r="N640" s="2554"/>
      <c r="O640" s="2554"/>
      <c r="P640" s="2554"/>
      <c r="Q640" s="2554"/>
    </row>
    <row r="641" spans="1:17" hidden="1">
      <c r="A641" s="2845"/>
      <c r="B641" s="1926" t="s">
        <v>342</v>
      </c>
      <c r="C641" s="2846" t="s">
        <v>240</v>
      </c>
      <c r="D641" s="2847"/>
      <c r="E641" s="2554"/>
      <c r="F641" s="2554"/>
      <c r="G641" s="2554"/>
      <c r="H641" s="2554"/>
      <c r="I641" s="2554"/>
      <c r="J641" s="2554"/>
      <c r="K641" s="2554"/>
      <c r="L641" s="2554"/>
      <c r="M641" s="2554"/>
      <c r="N641" s="2554"/>
      <c r="O641" s="2554"/>
      <c r="P641" s="2554"/>
      <c r="Q641" s="2554"/>
    </row>
    <row r="642" spans="1:17" hidden="1">
      <c r="A642" s="2836"/>
      <c r="B642" s="256" t="s">
        <v>236</v>
      </c>
      <c r="C642" s="255" t="s">
        <v>240</v>
      </c>
      <c r="D642" s="2838">
        <v>1.6188000000000001E-2</v>
      </c>
      <c r="E642" s="2554"/>
      <c r="F642" s="2554"/>
      <c r="G642" s="2554"/>
      <c r="H642" s="2554"/>
      <c r="I642" s="2554"/>
      <c r="J642" s="2554"/>
      <c r="K642" s="2554"/>
      <c r="L642" s="2554"/>
      <c r="M642" s="2554"/>
      <c r="N642" s="2554"/>
      <c r="O642" s="2554"/>
      <c r="P642" s="2554"/>
      <c r="Q642" s="2554"/>
    </row>
    <row r="643" spans="1:17" hidden="1">
      <c r="A643" s="2842"/>
      <c r="B643" s="1924" t="s">
        <v>341</v>
      </c>
      <c r="C643" s="2843" t="s">
        <v>240</v>
      </c>
      <c r="D643" s="2844">
        <v>1.6188000000000001E-2</v>
      </c>
      <c r="E643" s="2554"/>
      <c r="F643" s="2554"/>
      <c r="G643" s="2554"/>
      <c r="H643" s="2554"/>
      <c r="I643" s="2554"/>
      <c r="J643" s="2554"/>
      <c r="K643" s="2554"/>
      <c r="L643" s="2554"/>
      <c r="M643" s="2554"/>
      <c r="N643" s="2554"/>
      <c r="O643" s="2554"/>
      <c r="P643" s="2554"/>
      <c r="Q643" s="2554"/>
    </row>
    <row r="644" spans="1:17" hidden="1">
      <c r="A644" s="2845"/>
      <c r="B644" s="1926" t="s">
        <v>342</v>
      </c>
      <c r="C644" s="2846" t="s">
        <v>240</v>
      </c>
      <c r="D644" s="2847"/>
      <c r="E644" s="2554"/>
      <c r="F644" s="2554"/>
      <c r="G644" s="2554"/>
      <c r="H644" s="2554"/>
      <c r="I644" s="2554"/>
      <c r="J644" s="2554"/>
      <c r="K644" s="2554"/>
      <c r="L644" s="2554"/>
      <c r="M644" s="2554"/>
      <c r="N644" s="2554"/>
      <c r="O644" s="2554"/>
      <c r="P644" s="2554"/>
      <c r="Q644" s="2554"/>
    </row>
    <row r="645" spans="1:17" hidden="1">
      <c r="A645" s="2836"/>
      <c r="B645" s="257" t="s">
        <v>344</v>
      </c>
      <c r="C645" s="255" t="s">
        <v>240</v>
      </c>
      <c r="D645" s="2838">
        <v>9.593199999999999E-2</v>
      </c>
      <c r="E645" s="2554"/>
      <c r="F645" s="2554"/>
      <c r="G645" s="2554"/>
      <c r="H645" s="2554"/>
      <c r="I645" s="2554"/>
      <c r="J645" s="2554"/>
      <c r="K645" s="2554"/>
      <c r="L645" s="2554"/>
      <c r="M645" s="2554"/>
      <c r="N645" s="2554"/>
      <c r="O645" s="2554"/>
      <c r="P645" s="2554"/>
      <c r="Q645" s="2554"/>
    </row>
    <row r="646" spans="1:17" hidden="1">
      <c r="A646" s="2842"/>
      <c r="B646" s="1924" t="s">
        <v>341</v>
      </c>
      <c r="C646" s="2843" t="s">
        <v>240</v>
      </c>
      <c r="D646" s="2844">
        <v>9.593199999999999E-2</v>
      </c>
      <c r="E646" s="2554"/>
      <c r="F646" s="2554"/>
      <c r="G646" s="2554"/>
      <c r="H646" s="2554"/>
      <c r="I646" s="2554"/>
      <c r="J646" s="2554"/>
      <c r="K646" s="2554"/>
      <c r="L646" s="2554"/>
      <c r="M646" s="2554"/>
      <c r="N646" s="2554"/>
      <c r="O646" s="2554"/>
      <c r="P646" s="2554"/>
      <c r="Q646" s="2554"/>
    </row>
    <row r="647" spans="1:17" hidden="1">
      <c r="A647" s="2845"/>
      <c r="B647" s="1926" t="s">
        <v>342</v>
      </c>
      <c r="C647" s="2846" t="s">
        <v>240</v>
      </c>
      <c r="D647" s="2847"/>
      <c r="E647" s="2554"/>
      <c r="F647" s="2554"/>
      <c r="G647" s="2554"/>
      <c r="H647" s="2554"/>
      <c r="I647" s="2554"/>
      <c r="J647" s="2554"/>
      <c r="K647" s="2554"/>
      <c r="L647" s="2554"/>
      <c r="M647" s="2554"/>
      <c r="N647" s="2554"/>
      <c r="O647" s="2554"/>
      <c r="P647" s="2554"/>
      <c r="Q647" s="2554"/>
    </row>
    <row r="648" spans="1:17" hidden="1">
      <c r="A648" s="2836"/>
      <c r="B648" s="1920" t="s">
        <v>230</v>
      </c>
      <c r="C648" s="2839" t="s">
        <v>240</v>
      </c>
      <c r="D648" s="2840">
        <v>5.5712999999999999E-2</v>
      </c>
      <c r="E648" s="2554"/>
      <c r="F648" s="2554"/>
      <c r="G648" s="2554"/>
      <c r="H648" s="2554"/>
      <c r="I648" s="2554"/>
      <c r="J648" s="2554"/>
      <c r="K648" s="2554"/>
      <c r="L648" s="2554"/>
      <c r="M648" s="2554"/>
      <c r="N648" s="2554"/>
      <c r="O648" s="2554"/>
      <c r="P648" s="2554"/>
      <c r="Q648" s="2554"/>
    </row>
    <row r="649" spans="1:17" hidden="1">
      <c r="A649" s="2842"/>
      <c r="B649" s="1924" t="s">
        <v>341</v>
      </c>
      <c r="C649" s="2843" t="s">
        <v>240</v>
      </c>
      <c r="D649" s="2844">
        <v>5.5712999999999999E-2</v>
      </c>
      <c r="E649" s="2554"/>
      <c r="F649" s="2554"/>
      <c r="G649" s="2554"/>
      <c r="H649" s="2554"/>
      <c r="I649" s="2554"/>
      <c r="J649" s="2554"/>
      <c r="K649" s="2554"/>
      <c r="L649" s="2554"/>
      <c r="M649" s="2554"/>
      <c r="N649" s="2554"/>
      <c r="O649" s="2554"/>
      <c r="P649" s="2554"/>
      <c r="Q649" s="2554"/>
    </row>
    <row r="650" spans="1:17" hidden="1">
      <c r="A650" s="2845"/>
      <c r="B650" s="1926" t="s">
        <v>342</v>
      </c>
      <c r="C650" s="2846" t="s">
        <v>240</v>
      </c>
      <c r="D650" s="2847"/>
      <c r="E650" s="2554"/>
      <c r="F650" s="2554"/>
      <c r="G650" s="2554"/>
      <c r="H650" s="2554"/>
      <c r="I650" s="2554"/>
      <c r="J650" s="2554"/>
      <c r="K650" s="2554"/>
      <c r="L650" s="2554"/>
      <c r="M650" s="2554"/>
      <c r="N650" s="2554"/>
      <c r="O650" s="2554"/>
      <c r="P650" s="2554"/>
      <c r="Q650" s="2554"/>
    </row>
    <row r="651" spans="1:17" hidden="1">
      <c r="A651" s="2836"/>
      <c r="B651" s="1920" t="s">
        <v>231</v>
      </c>
      <c r="C651" s="2839" t="s">
        <v>240</v>
      </c>
      <c r="D651" s="2840">
        <v>4.0218999999999998E-2</v>
      </c>
      <c r="E651" s="2554"/>
      <c r="F651" s="2554"/>
      <c r="G651" s="2554"/>
      <c r="H651" s="2554"/>
      <c r="I651" s="2554"/>
      <c r="J651" s="2554"/>
      <c r="K651" s="2554"/>
      <c r="L651" s="2554"/>
      <c r="M651" s="2554"/>
      <c r="N651" s="2554"/>
      <c r="O651" s="2554"/>
      <c r="P651" s="2554"/>
      <c r="Q651" s="2554"/>
    </row>
    <row r="652" spans="1:17" hidden="1">
      <c r="A652" s="2842"/>
      <c r="B652" s="1924" t="s">
        <v>341</v>
      </c>
      <c r="C652" s="2843" t="s">
        <v>240</v>
      </c>
      <c r="D652" s="2844">
        <v>4.0218999999999998E-2</v>
      </c>
      <c r="E652" s="2554"/>
      <c r="F652" s="2554"/>
      <c r="G652" s="2554"/>
      <c r="H652" s="2554"/>
      <c r="I652" s="2554"/>
      <c r="J652" s="2554"/>
      <c r="K652" s="2554"/>
      <c r="L652" s="2554"/>
      <c r="M652" s="2554"/>
      <c r="N652" s="2554"/>
      <c r="O652" s="2554"/>
      <c r="P652" s="2554"/>
      <c r="Q652" s="2554"/>
    </row>
    <row r="653" spans="1:17" hidden="1">
      <c r="A653" s="2845"/>
      <c r="B653" s="1926" t="s">
        <v>342</v>
      </c>
      <c r="C653" s="2846" t="s">
        <v>240</v>
      </c>
      <c r="D653" s="2847"/>
      <c r="E653" s="2554"/>
      <c r="F653" s="2554"/>
      <c r="G653" s="2554"/>
      <c r="H653" s="2554"/>
      <c r="I653" s="2554"/>
      <c r="J653" s="2554"/>
      <c r="K653" s="2554"/>
      <c r="L653" s="2554"/>
      <c r="M653" s="2554"/>
      <c r="N653" s="2554"/>
      <c r="O653" s="2554"/>
      <c r="P653" s="2554"/>
      <c r="Q653" s="2554"/>
    </row>
    <row r="654" spans="1:17" hidden="1">
      <c r="A654" s="2835"/>
      <c r="B654" s="1917" t="s">
        <v>347</v>
      </c>
      <c r="C654" s="2833" t="s">
        <v>240</v>
      </c>
      <c r="D654" s="2834">
        <v>7.6018829999999991</v>
      </c>
      <c r="E654" s="2554"/>
      <c r="F654" s="2554"/>
      <c r="G654" s="2554"/>
      <c r="H654" s="2554"/>
      <c r="I654" s="2554"/>
      <c r="J654" s="2554"/>
      <c r="K654" s="2554"/>
      <c r="L654" s="2554"/>
      <c r="M654" s="2554"/>
      <c r="N654" s="2554"/>
      <c r="O654" s="2554"/>
      <c r="P654" s="2554"/>
      <c r="Q654" s="2554"/>
    </row>
    <row r="655" spans="1:17" hidden="1">
      <c r="A655" s="384"/>
      <c r="B655" s="1920" t="s">
        <v>222</v>
      </c>
      <c r="C655" s="2839" t="s">
        <v>240</v>
      </c>
      <c r="D655" s="2840">
        <v>0.68220000000000003</v>
      </c>
      <c r="E655" s="2554"/>
      <c r="F655" s="2554"/>
      <c r="G655" s="2554"/>
      <c r="H655" s="2554"/>
      <c r="I655" s="2554"/>
      <c r="J655" s="2554"/>
      <c r="K655" s="2554"/>
      <c r="L655" s="2554"/>
      <c r="M655" s="2554"/>
      <c r="N655" s="2554"/>
      <c r="O655" s="2554"/>
      <c r="P655" s="2554"/>
      <c r="Q655" s="2554"/>
    </row>
    <row r="656" spans="1:17" hidden="1">
      <c r="A656" s="384"/>
      <c r="B656" s="1920" t="s">
        <v>223</v>
      </c>
      <c r="C656" s="2839" t="s">
        <v>240</v>
      </c>
      <c r="D656" s="2840">
        <v>2.5990829999999998</v>
      </c>
      <c r="E656" s="2554"/>
      <c r="F656" s="2554"/>
      <c r="G656" s="2554"/>
      <c r="H656" s="2554"/>
      <c r="I656" s="2554"/>
      <c r="J656" s="2554"/>
      <c r="K656" s="2554"/>
      <c r="L656" s="2554"/>
      <c r="M656" s="2554"/>
      <c r="N656" s="2554"/>
      <c r="O656" s="2554"/>
      <c r="P656" s="2554"/>
      <c r="Q656" s="2554"/>
    </row>
    <row r="657" spans="1:17" hidden="1">
      <c r="A657" s="384"/>
      <c r="B657" s="1920" t="s">
        <v>224</v>
      </c>
      <c r="C657" s="2839" t="s">
        <v>240</v>
      </c>
      <c r="D657" s="2840">
        <v>4.3205999999999998</v>
      </c>
      <c r="E657" s="2554"/>
      <c r="F657" s="2554"/>
      <c r="G657" s="2554"/>
      <c r="H657" s="2554"/>
      <c r="I657" s="2554"/>
      <c r="J657" s="2554"/>
      <c r="K657" s="2554"/>
      <c r="L657" s="2554"/>
      <c r="M657" s="2554"/>
      <c r="N657" s="2554"/>
      <c r="O657" s="2554"/>
      <c r="P657" s="2554"/>
      <c r="Q657" s="2554"/>
    </row>
    <row r="658" spans="1:17" hidden="1">
      <c r="A658" s="2835"/>
      <c r="B658" s="1923" t="s">
        <v>348</v>
      </c>
      <c r="C658" s="2833" t="s">
        <v>240</v>
      </c>
      <c r="D658" s="2834">
        <v>7.58</v>
      </c>
      <c r="E658" s="2554"/>
      <c r="F658" s="2554"/>
      <c r="G658" s="2554"/>
      <c r="H658" s="2554"/>
      <c r="I658" s="2554"/>
      <c r="J658" s="2554"/>
      <c r="K658" s="2554"/>
      <c r="L658" s="2554"/>
      <c r="M658" s="2554"/>
      <c r="N658" s="2554"/>
      <c r="O658" s="2554"/>
      <c r="P658" s="2554"/>
      <c r="Q658" s="2554"/>
    </row>
    <row r="659" spans="1:17" hidden="1">
      <c r="A659" s="384"/>
      <c r="B659" s="1920" t="s">
        <v>222</v>
      </c>
      <c r="C659" s="2839" t="s">
        <v>240</v>
      </c>
      <c r="D659" s="2840">
        <v>0.68220000000000003</v>
      </c>
      <c r="E659" s="2554"/>
      <c r="F659" s="2554"/>
      <c r="G659" s="2554"/>
      <c r="H659" s="2554"/>
      <c r="I659" s="2554"/>
      <c r="J659" s="2554"/>
      <c r="K659" s="2554"/>
      <c r="L659" s="2554"/>
      <c r="M659" s="2554"/>
      <c r="N659" s="2554"/>
      <c r="O659" s="2554"/>
      <c r="P659" s="2554"/>
      <c r="Q659" s="2554"/>
    </row>
    <row r="660" spans="1:17" hidden="1">
      <c r="A660" s="384"/>
      <c r="B660" s="1920" t="s">
        <v>223</v>
      </c>
      <c r="C660" s="2839" t="s">
        <v>240</v>
      </c>
      <c r="D660" s="2840">
        <v>2.5771999999999999</v>
      </c>
      <c r="E660" s="2554"/>
      <c r="F660" s="2554"/>
      <c r="G660" s="2554"/>
      <c r="H660" s="2554"/>
      <c r="I660" s="2554"/>
      <c r="J660" s="2554"/>
      <c r="K660" s="2554"/>
      <c r="L660" s="2554"/>
      <c r="M660" s="2554"/>
      <c r="N660" s="2554"/>
      <c r="O660" s="2554"/>
      <c r="P660" s="2554"/>
      <c r="Q660" s="2554"/>
    </row>
    <row r="661" spans="1:17" hidden="1">
      <c r="A661" s="384"/>
      <c r="B661" s="1920" t="s">
        <v>224</v>
      </c>
      <c r="C661" s="2839" t="s">
        <v>240</v>
      </c>
      <c r="D661" s="2840">
        <v>4.3205999999999998</v>
      </c>
      <c r="E661" s="2554"/>
      <c r="F661" s="2554"/>
      <c r="G661" s="2554"/>
      <c r="H661" s="2554"/>
      <c r="I661" s="2554"/>
      <c r="J661" s="2554"/>
      <c r="K661" s="2554"/>
      <c r="L661" s="2554"/>
      <c r="M661" s="2554"/>
      <c r="N661" s="2554"/>
      <c r="O661" s="2554"/>
      <c r="P661" s="2554"/>
      <c r="Q661" s="2554"/>
    </row>
    <row r="662" spans="1:17" hidden="1">
      <c r="A662" s="2835"/>
      <c r="B662" s="1923" t="s">
        <v>349</v>
      </c>
      <c r="C662" s="2833" t="s">
        <v>240</v>
      </c>
      <c r="D662" s="2834">
        <v>1.7580999999999999E-2</v>
      </c>
      <c r="E662" s="2554"/>
      <c r="F662" s="2554"/>
      <c r="G662" s="2554"/>
      <c r="H662" s="2554"/>
      <c r="I662" s="2554"/>
      <c r="J662" s="2554"/>
      <c r="K662" s="2554"/>
      <c r="L662" s="2554"/>
      <c r="M662" s="2554"/>
      <c r="N662" s="2554"/>
      <c r="O662" s="2554"/>
      <c r="P662" s="2554"/>
      <c r="Q662" s="2554"/>
    </row>
    <row r="663" spans="1:17" hidden="1">
      <c r="A663" s="384"/>
      <c r="B663" s="1920" t="s">
        <v>222</v>
      </c>
      <c r="C663" s="2839" t="s">
        <v>240</v>
      </c>
      <c r="D663" s="2840"/>
      <c r="E663" s="2554"/>
      <c r="F663" s="2554"/>
      <c r="G663" s="2554"/>
      <c r="H663" s="2554"/>
      <c r="I663" s="2554"/>
      <c r="J663" s="2554"/>
      <c r="K663" s="2554"/>
      <c r="L663" s="2554"/>
      <c r="M663" s="2554"/>
      <c r="N663" s="2554"/>
      <c r="O663" s="2554"/>
      <c r="P663" s="2554"/>
      <c r="Q663" s="2554"/>
    </row>
    <row r="664" spans="1:17" hidden="1">
      <c r="A664" s="384"/>
      <c r="B664" s="1920" t="s">
        <v>223</v>
      </c>
      <c r="C664" s="2839" t="s">
        <v>240</v>
      </c>
      <c r="D664" s="2840">
        <v>1.7580999999999999E-2</v>
      </c>
      <c r="E664" s="2554"/>
      <c r="F664" s="2554"/>
      <c r="G664" s="2554"/>
      <c r="H664" s="2554"/>
      <c r="I664" s="2554"/>
      <c r="J664" s="2554"/>
      <c r="K664" s="2554"/>
      <c r="L664" s="2554"/>
      <c r="M664" s="2554"/>
      <c r="N664" s="2554"/>
      <c r="O664" s="2554"/>
      <c r="P664" s="2554"/>
      <c r="Q664" s="2554"/>
    </row>
    <row r="665" spans="1:17" hidden="1">
      <c r="A665" s="384"/>
      <c r="B665" s="1920" t="s">
        <v>224</v>
      </c>
      <c r="C665" s="2839" t="s">
        <v>240</v>
      </c>
      <c r="D665" s="2840"/>
      <c r="E665" s="2554"/>
      <c r="F665" s="2554"/>
      <c r="G665" s="2554"/>
      <c r="H665" s="2554"/>
      <c r="I665" s="2554"/>
      <c r="J665" s="2554"/>
      <c r="K665" s="2554"/>
      <c r="L665" s="2554"/>
      <c r="M665" s="2554"/>
      <c r="N665" s="2554"/>
      <c r="O665" s="2554"/>
      <c r="P665" s="2554"/>
      <c r="Q665" s="2554"/>
    </row>
    <row r="666" spans="1:17" hidden="1">
      <c r="A666" s="2835"/>
      <c r="B666" s="1923" t="s">
        <v>1854</v>
      </c>
      <c r="C666" s="2833" t="s">
        <v>240</v>
      </c>
      <c r="D666" s="2834">
        <v>4.3020000000000003E-3</v>
      </c>
      <c r="E666" s="2554"/>
      <c r="F666" s="2554"/>
      <c r="G666" s="2554"/>
      <c r="H666" s="2554"/>
      <c r="I666" s="2554"/>
      <c r="J666" s="2554"/>
      <c r="K666" s="2554"/>
      <c r="L666" s="2554"/>
      <c r="M666" s="2554"/>
      <c r="N666" s="2554"/>
      <c r="O666" s="2554"/>
      <c r="P666" s="2554"/>
      <c r="Q666" s="2554"/>
    </row>
    <row r="667" spans="1:17" hidden="1">
      <c r="A667" s="384"/>
      <c r="B667" s="1920" t="s">
        <v>222</v>
      </c>
      <c r="C667" s="2839" t="s">
        <v>240</v>
      </c>
      <c r="D667" s="2840"/>
      <c r="E667" s="2554"/>
      <c r="F667" s="2554"/>
      <c r="G667" s="2554"/>
      <c r="H667" s="2554"/>
      <c r="I667" s="2554"/>
      <c r="J667" s="2554"/>
      <c r="K667" s="2554"/>
      <c r="L667" s="2554"/>
      <c r="M667" s="2554"/>
      <c r="N667" s="2554"/>
      <c r="O667" s="2554"/>
      <c r="P667" s="2554"/>
      <c r="Q667" s="2554"/>
    </row>
    <row r="668" spans="1:17" hidden="1">
      <c r="A668" s="384"/>
      <c r="B668" s="1920" t="s">
        <v>223</v>
      </c>
      <c r="C668" s="2839" t="s">
        <v>240</v>
      </c>
      <c r="D668" s="2840">
        <v>4.3020000000000003E-3</v>
      </c>
      <c r="E668" s="2554"/>
      <c r="F668" s="2554"/>
      <c r="G668" s="2554"/>
      <c r="H668" s="2554"/>
      <c r="I668" s="2554"/>
      <c r="J668" s="2554"/>
      <c r="K668" s="2554"/>
      <c r="L668" s="2554"/>
      <c r="M668" s="2554"/>
      <c r="N668" s="2554"/>
      <c r="O668" s="2554"/>
      <c r="P668" s="2554"/>
      <c r="Q668" s="2554"/>
    </row>
    <row r="669" spans="1:17" hidden="1">
      <c r="A669" s="384"/>
      <c r="B669" s="1920" t="s">
        <v>224</v>
      </c>
      <c r="C669" s="2839" t="s">
        <v>240</v>
      </c>
      <c r="D669" s="2840"/>
      <c r="E669" s="2554"/>
      <c r="F669" s="2554"/>
      <c r="G669" s="2554"/>
      <c r="H669" s="2554"/>
      <c r="I669" s="2554"/>
      <c r="J669" s="2554"/>
      <c r="K669" s="2554"/>
      <c r="L669" s="2554"/>
      <c r="M669" s="2554"/>
      <c r="N669" s="2554"/>
      <c r="O669" s="2554"/>
      <c r="P669" s="2554"/>
      <c r="Q669" s="2554"/>
    </row>
    <row r="670" spans="1:17" hidden="1">
      <c r="A670" s="2849"/>
      <c r="B670" s="1930" t="s">
        <v>241</v>
      </c>
      <c r="C670" s="2852"/>
      <c r="D670" s="2853"/>
      <c r="E670" s="2554"/>
      <c r="F670" s="2554"/>
      <c r="G670" s="2554"/>
      <c r="H670" s="2554"/>
      <c r="I670" s="2554"/>
      <c r="J670" s="2554"/>
      <c r="K670" s="2554"/>
      <c r="L670" s="2554"/>
      <c r="M670" s="2554"/>
      <c r="N670" s="2554"/>
      <c r="O670" s="2554"/>
      <c r="P670" s="2554"/>
      <c r="Q670" s="2554"/>
    </row>
    <row r="671" spans="1:17" hidden="1">
      <c r="A671" s="2836"/>
      <c r="B671" s="234" t="s">
        <v>242</v>
      </c>
      <c r="C671" s="235" t="s">
        <v>240</v>
      </c>
      <c r="D671" s="2854">
        <v>0.53893800000000003</v>
      </c>
      <c r="E671" s="2554"/>
      <c r="F671" s="2554"/>
      <c r="G671" s="2554"/>
      <c r="H671" s="2554"/>
      <c r="I671" s="2554"/>
      <c r="J671" s="2554"/>
      <c r="K671" s="2554"/>
      <c r="L671" s="2554"/>
      <c r="M671" s="2554"/>
      <c r="N671" s="2554"/>
      <c r="O671" s="2554"/>
      <c r="P671" s="2554"/>
      <c r="Q671" s="2554"/>
    </row>
    <row r="672" spans="1:17" hidden="1">
      <c r="A672" s="384"/>
      <c r="B672" s="234" t="s">
        <v>243</v>
      </c>
      <c r="C672" s="235" t="s">
        <v>240</v>
      </c>
      <c r="D672" s="2831">
        <v>78.362706000000003</v>
      </c>
      <c r="E672" s="2554"/>
      <c r="F672" s="2554"/>
      <c r="G672" s="2554"/>
      <c r="H672" s="2554"/>
      <c r="I672" s="2554"/>
      <c r="J672" s="2554"/>
      <c r="K672" s="2554"/>
      <c r="L672" s="2554"/>
      <c r="M672" s="2554"/>
      <c r="N672" s="2554"/>
      <c r="O672" s="2554"/>
      <c r="P672" s="2554"/>
      <c r="Q672" s="2554"/>
    </row>
    <row r="673" spans="1:17" hidden="1">
      <c r="A673" s="384"/>
      <c r="B673" s="237" t="s">
        <v>214</v>
      </c>
      <c r="C673" s="238" t="s">
        <v>240</v>
      </c>
      <c r="D673" s="2855">
        <v>5.7342300000000002</v>
      </c>
      <c r="E673" s="2554"/>
      <c r="F673" s="2554"/>
      <c r="G673" s="2554"/>
      <c r="H673" s="2554"/>
      <c r="I673" s="2554"/>
      <c r="J673" s="2554"/>
      <c r="K673" s="2554"/>
      <c r="L673" s="2554"/>
      <c r="M673" s="2554"/>
      <c r="N673" s="2554"/>
      <c r="O673" s="2554"/>
      <c r="P673" s="2554"/>
      <c r="Q673" s="2554"/>
    </row>
    <row r="674" spans="1:17" hidden="1">
      <c r="A674" s="384"/>
      <c r="B674" s="237" t="s">
        <v>215</v>
      </c>
      <c r="C674" s="238" t="s">
        <v>240</v>
      </c>
      <c r="D674" s="2855">
        <v>34.183495999999998</v>
      </c>
      <c r="E674" s="2554"/>
      <c r="F674" s="2554"/>
      <c r="G674" s="2554"/>
      <c r="H674" s="2554"/>
      <c r="I674" s="2554"/>
      <c r="J674" s="2554"/>
      <c r="K674" s="2554"/>
      <c r="L674" s="2554"/>
      <c r="M674" s="2554"/>
      <c r="N674" s="2554"/>
      <c r="O674" s="2554"/>
      <c r="P674" s="2554"/>
      <c r="Q674" s="2554"/>
    </row>
    <row r="675" spans="1:17" hidden="1">
      <c r="A675" s="384"/>
      <c r="B675" s="237" t="s">
        <v>216</v>
      </c>
      <c r="C675" s="238" t="s">
        <v>240</v>
      </c>
      <c r="D675" s="2855">
        <v>38.444980000000008</v>
      </c>
      <c r="E675" s="2554"/>
      <c r="F675" s="2554"/>
      <c r="G675" s="2554"/>
      <c r="H675" s="2554"/>
      <c r="I675" s="2554"/>
      <c r="J675" s="2554"/>
      <c r="K675" s="2554"/>
      <c r="L675" s="2554"/>
      <c r="M675" s="2554"/>
      <c r="N675" s="2554"/>
      <c r="O675" s="2554"/>
      <c r="P675" s="2554"/>
      <c r="Q675" s="2554"/>
    </row>
    <row r="676" spans="1:17" hidden="1">
      <c r="A676" s="384"/>
      <c r="B676" s="234" t="s">
        <v>244</v>
      </c>
      <c r="C676" s="235" t="s">
        <v>240</v>
      </c>
      <c r="D676" s="2831">
        <v>7.6018829999999991</v>
      </c>
      <c r="E676" s="2554"/>
      <c r="F676" s="2554"/>
      <c r="G676" s="2554"/>
      <c r="H676" s="2554"/>
      <c r="I676" s="2554"/>
      <c r="J676" s="2554"/>
      <c r="K676" s="2554"/>
      <c r="L676" s="2554"/>
      <c r="M676" s="2554"/>
      <c r="N676" s="2554"/>
      <c r="O676" s="2554"/>
      <c r="P676" s="2554"/>
      <c r="Q676" s="2554"/>
    </row>
    <row r="677" spans="1:17" ht="18" hidden="1">
      <c r="A677" s="372" t="s">
        <v>41</v>
      </c>
      <c r="B677" s="266" t="s">
        <v>245</v>
      </c>
      <c r="C677" s="267" t="s">
        <v>246</v>
      </c>
      <c r="D677" s="2848">
        <v>3.0681807005820243</v>
      </c>
      <c r="E677" s="2554"/>
      <c r="F677" s="2554"/>
      <c r="G677" s="2554"/>
      <c r="H677" s="2554"/>
      <c r="I677" s="2554"/>
      <c r="J677" s="2554"/>
      <c r="K677" s="2554"/>
      <c r="L677" s="2554"/>
      <c r="M677" s="2554"/>
      <c r="N677" s="2554"/>
      <c r="O677" s="2554"/>
      <c r="P677" s="2554"/>
      <c r="Q677" s="2554"/>
    </row>
    <row r="678" spans="1:17" hidden="1">
      <c r="A678" s="2856"/>
      <c r="B678" s="1932" t="s">
        <v>243</v>
      </c>
      <c r="C678" s="2857" t="s">
        <v>246</v>
      </c>
      <c r="D678" s="2858">
        <v>4.2890765740016468</v>
      </c>
      <c r="E678" s="2554"/>
      <c r="F678" s="2554"/>
      <c r="G678" s="2554"/>
      <c r="H678" s="2554"/>
      <c r="I678" s="2554"/>
      <c r="J678" s="2554"/>
      <c r="K678" s="2554"/>
      <c r="L678" s="2554"/>
      <c r="M678" s="2554"/>
      <c r="N678" s="2554"/>
      <c r="O678" s="2554"/>
      <c r="P678" s="2554"/>
      <c r="Q678" s="2554"/>
    </row>
    <row r="679" spans="1:17" hidden="1">
      <c r="A679" s="2856"/>
      <c r="B679" s="1932" t="s">
        <v>214</v>
      </c>
      <c r="C679" s="2857" t="s">
        <v>246</v>
      </c>
      <c r="D679" s="2858">
        <v>2.7447708067980008</v>
      </c>
      <c r="E679" s="2554"/>
      <c r="F679" s="2554"/>
      <c r="G679" s="2554"/>
      <c r="H679" s="2554"/>
      <c r="I679" s="2554"/>
      <c r="J679" s="2554"/>
      <c r="K679" s="2554"/>
      <c r="L679" s="2554"/>
      <c r="M679" s="2554"/>
      <c r="N679" s="2554"/>
      <c r="O679" s="2554"/>
      <c r="P679" s="2554"/>
      <c r="Q679" s="2554"/>
    </row>
    <row r="680" spans="1:17" hidden="1">
      <c r="A680" s="2856"/>
      <c r="B680" s="1932" t="s">
        <v>215</v>
      </c>
      <c r="C680" s="2857" t="s">
        <v>246</v>
      </c>
      <c r="D680" s="2858">
        <v>1.3</v>
      </c>
      <c r="E680" s="2554"/>
      <c r="F680" s="2554"/>
      <c r="G680" s="2554"/>
      <c r="H680" s="2554"/>
      <c r="I680" s="2554"/>
      <c r="J680" s="2554"/>
      <c r="K680" s="2554"/>
      <c r="L680" s="2554"/>
      <c r="M680" s="2554"/>
      <c r="N680" s="2554"/>
      <c r="O680" s="2554"/>
      <c r="P680" s="2554"/>
      <c r="Q680" s="2554"/>
    </row>
    <row r="681" spans="1:17" hidden="1">
      <c r="A681" s="2856"/>
      <c r="B681" s="1932" t="s">
        <v>216</v>
      </c>
      <c r="C681" s="2857" t="s">
        <v>246</v>
      </c>
      <c r="D681" s="2858">
        <v>2.7447708067980008</v>
      </c>
      <c r="E681" s="2554"/>
      <c r="F681" s="2554"/>
      <c r="G681" s="2554"/>
      <c r="H681" s="2554"/>
      <c r="I681" s="2554"/>
      <c r="J681" s="2554"/>
      <c r="K681" s="2554"/>
      <c r="L681" s="2554"/>
      <c r="M681" s="2554"/>
      <c r="N681" s="2554"/>
      <c r="O681" s="2554"/>
      <c r="P681" s="2554"/>
      <c r="Q681" s="2554"/>
    </row>
    <row r="682" spans="1:17" hidden="1">
      <c r="A682" s="2856"/>
      <c r="B682" s="1932" t="s">
        <v>244</v>
      </c>
      <c r="C682" s="2857" t="s">
        <v>246</v>
      </c>
      <c r="D682" s="2858">
        <v>1.9196300000000002</v>
      </c>
      <c r="E682" s="2554"/>
      <c r="F682" s="2554"/>
      <c r="G682" s="2554"/>
      <c r="H682" s="2554"/>
      <c r="I682" s="2554"/>
      <c r="J682" s="2554"/>
      <c r="K682" s="2554"/>
      <c r="L682" s="2554"/>
      <c r="M682" s="2554"/>
      <c r="N682" s="2554"/>
      <c r="O682" s="2554"/>
      <c r="P682" s="2554"/>
      <c r="Q682" s="2554"/>
    </row>
    <row r="683" spans="1:17" hidden="1">
      <c r="A683" s="2859"/>
      <c r="B683" s="1915" t="s">
        <v>220</v>
      </c>
      <c r="C683" s="2860" t="s">
        <v>246</v>
      </c>
      <c r="D683" s="2861">
        <v>4.3413986130475992</v>
      </c>
      <c r="E683" s="2554"/>
      <c r="F683" s="2554"/>
      <c r="G683" s="2554"/>
      <c r="H683" s="2554"/>
      <c r="I683" s="2554"/>
      <c r="J683" s="2554"/>
      <c r="K683" s="2554"/>
      <c r="L683" s="2554"/>
      <c r="M683" s="2554"/>
      <c r="N683" s="2554"/>
      <c r="O683" s="2554"/>
      <c r="P683" s="2554"/>
      <c r="Q683" s="2554"/>
    </row>
    <row r="684" spans="1:17" hidden="1">
      <c r="A684" s="2859"/>
      <c r="B684" s="1935" t="s">
        <v>221</v>
      </c>
      <c r="C684" s="2860" t="s">
        <v>246</v>
      </c>
      <c r="D684" s="2861">
        <v>4.3869785998073434</v>
      </c>
      <c r="E684" s="2554"/>
      <c r="F684" s="2554"/>
      <c r="G684" s="2554"/>
      <c r="H684" s="2554"/>
      <c r="I684" s="2554"/>
      <c r="J684" s="2554"/>
      <c r="K684" s="2554"/>
      <c r="L684" s="2554"/>
      <c r="M684" s="2554"/>
      <c r="N684" s="2554"/>
      <c r="O684" s="2554"/>
      <c r="P684" s="2554"/>
      <c r="Q684" s="2554"/>
    </row>
    <row r="685" spans="1:17" hidden="1">
      <c r="A685" s="2862"/>
      <c r="B685" s="1936" t="s">
        <v>156</v>
      </c>
      <c r="C685" s="2863"/>
      <c r="D685" s="2864">
        <v>4.4171358944915928</v>
      </c>
      <c r="E685" s="2554"/>
      <c r="F685" s="2554"/>
      <c r="G685" s="2554"/>
      <c r="H685" s="2554"/>
      <c r="I685" s="2554"/>
      <c r="J685" s="2554"/>
      <c r="K685" s="2554"/>
      <c r="L685" s="2554"/>
      <c r="M685" s="2554"/>
      <c r="N685" s="2554"/>
      <c r="O685" s="2554"/>
      <c r="P685" s="2554"/>
      <c r="Q685" s="2554"/>
    </row>
    <row r="686" spans="1:17" hidden="1">
      <c r="A686" s="2862"/>
      <c r="B686" s="1938" t="s">
        <v>222</v>
      </c>
      <c r="C686" s="2865" t="s">
        <v>246</v>
      </c>
      <c r="D686" s="2858">
        <v>4.2474121996000003</v>
      </c>
      <c r="E686" s="2554"/>
      <c r="F686" s="2554"/>
      <c r="G686" s="2554"/>
      <c r="H686" s="2554"/>
      <c r="I686" s="2554"/>
      <c r="J686" s="2554"/>
      <c r="K686" s="2554"/>
      <c r="L686" s="2554"/>
      <c r="M686" s="2554"/>
      <c r="N686" s="2554"/>
      <c r="O686" s="2554"/>
      <c r="P686" s="2554"/>
      <c r="Q686" s="2554"/>
    </row>
    <row r="687" spans="1:17" hidden="1">
      <c r="A687" s="2862"/>
      <c r="B687" s="1938" t="s">
        <v>223</v>
      </c>
      <c r="C687" s="2865" t="s">
        <v>246</v>
      </c>
      <c r="D687" s="2858">
        <v>4.3696059840999997</v>
      </c>
      <c r="E687" s="2554"/>
      <c r="F687" s="2554"/>
      <c r="G687" s="2554"/>
      <c r="H687" s="2554"/>
      <c r="I687" s="2554"/>
      <c r="J687" s="2554"/>
      <c r="K687" s="2554"/>
      <c r="L687" s="2554"/>
      <c r="M687" s="2554"/>
      <c r="N687" s="2554"/>
      <c r="O687" s="2554"/>
      <c r="P687" s="2554"/>
      <c r="Q687" s="2554"/>
    </row>
    <row r="688" spans="1:17" hidden="1">
      <c r="A688" s="2862"/>
      <c r="B688" s="1938" t="s">
        <v>224</v>
      </c>
      <c r="C688" s="2865" t="s">
        <v>246</v>
      </c>
      <c r="D688" s="2858">
        <v>4.5009976857999998</v>
      </c>
      <c r="E688" s="2554"/>
      <c r="F688" s="2554"/>
      <c r="G688" s="2554"/>
      <c r="H688" s="2554"/>
      <c r="I688" s="2554"/>
      <c r="J688" s="2554"/>
      <c r="K688" s="2554"/>
      <c r="L688" s="2554"/>
      <c r="M688" s="2554"/>
      <c r="N688" s="2554"/>
      <c r="O688" s="2554"/>
      <c r="P688" s="2554"/>
      <c r="Q688" s="2554"/>
    </row>
    <row r="689" spans="1:17" hidden="1">
      <c r="A689" s="2862"/>
      <c r="B689" s="1936" t="s">
        <v>225</v>
      </c>
      <c r="C689" s="2863"/>
      <c r="D689" s="2864">
        <v>4.358602416108079</v>
      </c>
      <c r="E689" s="2554"/>
      <c r="F689" s="2554"/>
      <c r="G689" s="2554"/>
      <c r="H689" s="2554"/>
      <c r="I689" s="2554"/>
      <c r="J689" s="2554"/>
      <c r="K689" s="2554"/>
      <c r="L689" s="2554"/>
      <c r="M689" s="2554"/>
      <c r="N689" s="2554"/>
      <c r="O689" s="2554"/>
      <c r="P689" s="2554"/>
      <c r="Q689" s="2554"/>
    </row>
    <row r="690" spans="1:17" hidden="1">
      <c r="A690" s="2862"/>
      <c r="B690" s="1938" t="s">
        <v>222</v>
      </c>
      <c r="C690" s="2865" t="s">
        <v>246</v>
      </c>
      <c r="D690" s="2858">
        <v>4.2090900018999999</v>
      </c>
      <c r="E690" s="2554"/>
      <c r="F690" s="2554"/>
      <c r="G690" s="2554"/>
      <c r="H690" s="2554"/>
      <c r="I690" s="2554"/>
      <c r="J690" s="2554"/>
      <c r="K690" s="2554"/>
      <c r="L690" s="2554"/>
      <c r="M690" s="2554"/>
      <c r="N690" s="2554"/>
      <c r="O690" s="2554"/>
      <c r="P690" s="2554"/>
      <c r="Q690" s="2554"/>
    </row>
    <row r="691" spans="1:17" hidden="1">
      <c r="A691" s="2862"/>
      <c r="B691" s="1938" t="s">
        <v>223</v>
      </c>
      <c r="C691" s="2865" t="s">
        <v>246</v>
      </c>
      <c r="D691" s="2858">
        <v>4.3495600002000003</v>
      </c>
      <c r="E691" s="2554"/>
      <c r="F691" s="2554"/>
      <c r="G691" s="2554"/>
      <c r="H691" s="2554"/>
      <c r="I691" s="2554"/>
      <c r="J691" s="2554"/>
      <c r="K691" s="2554"/>
      <c r="L691" s="2554"/>
      <c r="M691" s="2554"/>
      <c r="N691" s="2554"/>
      <c r="O691" s="2554"/>
      <c r="P691" s="2554"/>
      <c r="Q691" s="2554"/>
    </row>
    <row r="692" spans="1:17" hidden="1">
      <c r="A692" s="2862"/>
      <c r="B692" s="1938" t="s">
        <v>224</v>
      </c>
      <c r="C692" s="2865" t="s">
        <v>246</v>
      </c>
      <c r="D692" s="2858">
        <v>4.4651799977</v>
      </c>
      <c r="E692" s="2554"/>
      <c r="F692" s="2554"/>
      <c r="G692" s="2554"/>
      <c r="H692" s="2554"/>
      <c r="I692" s="2554"/>
      <c r="J692" s="2554"/>
      <c r="K692" s="2554"/>
      <c r="L692" s="2554"/>
      <c r="M692" s="2554"/>
      <c r="N692" s="2554"/>
      <c r="O692" s="2554"/>
      <c r="P692" s="2554"/>
      <c r="Q692" s="2554"/>
    </row>
    <row r="693" spans="1:17" hidden="1">
      <c r="A693" s="2859"/>
      <c r="B693" s="1935" t="s">
        <v>227</v>
      </c>
      <c r="C693" s="2860" t="s">
        <v>246</v>
      </c>
      <c r="D693" s="2861">
        <v>5.057601587402206</v>
      </c>
      <c r="E693" s="2554"/>
      <c r="F693" s="2554"/>
      <c r="G693" s="2554"/>
      <c r="H693" s="2554"/>
      <c r="I693" s="2554"/>
      <c r="J693" s="2554"/>
      <c r="K693" s="2554"/>
      <c r="L693" s="2554"/>
      <c r="M693" s="2554"/>
      <c r="N693" s="2554"/>
      <c r="O693" s="2554"/>
      <c r="P693" s="2554"/>
      <c r="Q693" s="2554"/>
    </row>
    <row r="694" spans="1:17" hidden="1">
      <c r="A694" s="2862"/>
      <c r="B694" s="1936" t="s">
        <v>156</v>
      </c>
      <c r="C694" s="2863"/>
      <c r="D694" s="2864">
        <v>5.057601587402206</v>
      </c>
      <c r="E694" s="2554"/>
      <c r="F694" s="2554"/>
      <c r="G694" s="2554"/>
      <c r="H694" s="2554"/>
      <c r="I694" s="2554"/>
      <c r="J694" s="2554"/>
      <c r="K694" s="2554"/>
      <c r="L694" s="2554"/>
      <c r="M694" s="2554"/>
      <c r="N694" s="2554"/>
      <c r="O694" s="2554"/>
      <c r="P694" s="2554"/>
      <c r="Q694" s="2554"/>
    </row>
    <row r="695" spans="1:17" hidden="1">
      <c r="A695" s="2862"/>
      <c r="B695" s="1938" t="s">
        <v>222</v>
      </c>
      <c r="C695" s="2865" t="s">
        <v>240</v>
      </c>
      <c r="D695" s="2858"/>
      <c r="E695" s="2554"/>
      <c r="F695" s="2554"/>
      <c r="G695" s="2554"/>
      <c r="H695" s="2554"/>
      <c r="I695" s="2554"/>
      <c r="J695" s="2554"/>
      <c r="K695" s="2554"/>
      <c r="L695" s="2554"/>
      <c r="M695" s="2554"/>
      <c r="N695" s="2554"/>
      <c r="O695" s="2554"/>
      <c r="P695" s="2554"/>
      <c r="Q695" s="2554"/>
    </row>
    <row r="696" spans="1:17" hidden="1">
      <c r="A696" s="2862"/>
      <c r="B696" s="1938" t="s">
        <v>223</v>
      </c>
      <c r="C696" s="2865" t="s">
        <v>246</v>
      </c>
      <c r="D696" s="2858">
        <v>5.0586435560999998</v>
      </c>
      <c r="E696" s="2554"/>
      <c r="F696" s="2554"/>
      <c r="G696" s="2554"/>
      <c r="H696" s="2554"/>
      <c r="I696" s="2554"/>
      <c r="J696" s="2554"/>
      <c r="K696" s="2554"/>
      <c r="L696" s="2554"/>
      <c r="M696" s="2554"/>
      <c r="N696" s="2554"/>
      <c r="O696" s="2554"/>
      <c r="P696" s="2554"/>
      <c r="Q696" s="2554"/>
    </row>
    <row r="697" spans="1:17" hidden="1">
      <c r="A697" s="2862"/>
      <c r="B697" s="1938" t="s">
        <v>224</v>
      </c>
      <c r="C697" s="2865" t="s">
        <v>246</v>
      </c>
      <c r="D697" s="2858">
        <v>4.9951986846</v>
      </c>
      <c r="E697" s="2554"/>
      <c r="F697" s="2554"/>
      <c r="G697" s="2554"/>
      <c r="H697" s="2554"/>
      <c r="I697" s="2554"/>
      <c r="J697" s="2554"/>
      <c r="K697" s="2554"/>
      <c r="L697" s="2554"/>
      <c r="M697" s="2554"/>
      <c r="N697" s="2554"/>
      <c r="O697" s="2554"/>
      <c r="P697" s="2554"/>
      <c r="Q697" s="2554"/>
    </row>
    <row r="698" spans="1:17" hidden="1">
      <c r="A698" s="2862"/>
      <c r="B698" s="1936" t="s">
        <v>225</v>
      </c>
      <c r="C698" s="2863"/>
      <c r="D698" s="2866">
        <v>0</v>
      </c>
      <c r="E698" s="2554"/>
      <c r="F698" s="2554"/>
      <c r="G698" s="2554"/>
      <c r="H698" s="2554"/>
      <c r="I698" s="2554"/>
      <c r="J698" s="2554"/>
      <c r="K698" s="2554"/>
      <c r="L698" s="2554"/>
      <c r="M698" s="2554"/>
      <c r="N698" s="2554"/>
      <c r="O698" s="2554"/>
      <c r="P698" s="2554"/>
      <c r="Q698" s="2554"/>
    </row>
    <row r="699" spans="1:17" hidden="1">
      <c r="A699" s="2862"/>
      <c r="B699" s="1938" t="s">
        <v>222</v>
      </c>
      <c r="C699" s="2865" t="s">
        <v>240</v>
      </c>
      <c r="D699" s="2858"/>
      <c r="E699" s="2554"/>
      <c r="F699" s="2554"/>
      <c r="G699" s="2554"/>
      <c r="H699" s="2554"/>
      <c r="I699" s="2554"/>
      <c r="J699" s="2554"/>
      <c r="K699" s="2554"/>
      <c r="L699" s="2554"/>
      <c r="M699" s="2554"/>
      <c r="N699" s="2554"/>
      <c r="O699" s="2554"/>
      <c r="P699" s="2554"/>
      <c r="Q699" s="2554"/>
    </row>
    <row r="700" spans="1:17" hidden="1">
      <c r="A700" s="2862"/>
      <c r="B700" s="1938" t="s">
        <v>223</v>
      </c>
      <c r="C700" s="2865" t="s">
        <v>240</v>
      </c>
      <c r="D700" s="2858"/>
      <c r="E700" s="2554"/>
      <c r="F700" s="2554"/>
      <c r="G700" s="2554"/>
      <c r="H700" s="2554"/>
      <c r="I700" s="2554"/>
      <c r="J700" s="2554"/>
      <c r="K700" s="2554"/>
      <c r="L700" s="2554"/>
      <c r="M700" s="2554"/>
      <c r="N700" s="2554"/>
      <c r="O700" s="2554"/>
      <c r="P700" s="2554"/>
      <c r="Q700" s="2554"/>
    </row>
    <row r="701" spans="1:17" hidden="1">
      <c r="A701" s="2862"/>
      <c r="B701" s="1938" t="s">
        <v>224</v>
      </c>
      <c r="C701" s="2865" t="s">
        <v>240</v>
      </c>
      <c r="D701" s="2858"/>
      <c r="E701" s="2554"/>
      <c r="F701" s="2554"/>
      <c r="G701" s="2554"/>
      <c r="H701" s="2554"/>
      <c r="I701" s="2554"/>
      <c r="J701" s="2554"/>
      <c r="K701" s="2554"/>
      <c r="L701" s="2554"/>
      <c r="M701" s="2554"/>
      <c r="N701" s="2554"/>
      <c r="O701" s="2554"/>
      <c r="P701" s="2554"/>
      <c r="Q701" s="2554"/>
    </row>
    <row r="702" spans="1:17" hidden="1">
      <c r="A702" s="2862"/>
      <c r="B702" s="1941" t="s">
        <v>226</v>
      </c>
      <c r="C702" s="2867"/>
      <c r="D702" s="2866">
        <v>0</v>
      </c>
      <c r="E702" s="2554"/>
      <c r="F702" s="2554"/>
      <c r="G702" s="2554"/>
      <c r="H702" s="2554"/>
      <c r="I702" s="2554"/>
      <c r="J702" s="2554"/>
      <c r="K702" s="2554"/>
      <c r="L702" s="2554"/>
      <c r="M702" s="2554"/>
      <c r="N702" s="2554"/>
      <c r="O702" s="2554"/>
      <c r="P702" s="2554"/>
      <c r="Q702" s="2554"/>
    </row>
    <row r="703" spans="1:17" hidden="1">
      <c r="A703" s="2862"/>
      <c r="B703" s="1938" t="s">
        <v>222</v>
      </c>
      <c r="C703" s="2865" t="s">
        <v>240</v>
      </c>
      <c r="D703" s="2858"/>
      <c r="E703" s="2554"/>
      <c r="F703" s="2554"/>
      <c r="G703" s="2554"/>
      <c r="H703" s="2554"/>
      <c r="I703" s="2554"/>
      <c r="J703" s="2554"/>
      <c r="K703" s="2554"/>
      <c r="L703" s="2554"/>
      <c r="M703" s="2554"/>
      <c r="N703" s="2554"/>
      <c r="O703" s="2554"/>
      <c r="P703" s="2554"/>
      <c r="Q703" s="2554"/>
    </row>
    <row r="704" spans="1:17" hidden="1">
      <c r="A704" s="2862"/>
      <c r="B704" s="1938" t="s">
        <v>223</v>
      </c>
      <c r="C704" s="2865" t="s">
        <v>240</v>
      </c>
      <c r="D704" s="2858"/>
      <c r="E704" s="2554"/>
      <c r="F704" s="2554"/>
      <c r="G704" s="2554"/>
      <c r="H704" s="2554"/>
      <c r="I704" s="2554"/>
      <c r="J704" s="2554"/>
      <c r="K704" s="2554"/>
      <c r="L704" s="2554"/>
      <c r="M704" s="2554"/>
      <c r="N704" s="2554"/>
      <c r="O704" s="2554"/>
      <c r="P704" s="2554"/>
      <c r="Q704" s="2554"/>
    </row>
    <row r="705" spans="1:17" hidden="1">
      <c r="A705" s="2862"/>
      <c r="B705" s="1938" t="s">
        <v>224</v>
      </c>
      <c r="C705" s="2865" t="s">
        <v>240</v>
      </c>
      <c r="D705" s="2858"/>
      <c r="E705" s="2554"/>
      <c r="F705" s="2554"/>
      <c r="G705" s="2554"/>
      <c r="H705" s="2554"/>
      <c r="I705" s="2554"/>
      <c r="J705" s="2554"/>
      <c r="K705" s="2554"/>
      <c r="L705" s="2554"/>
      <c r="M705" s="2554"/>
      <c r="N705" s="2554"/>
      <c r="O705" s="2554"/>
      <c r="P705" s="2554"/>
      <c r="Q705" s="2554"/>
    </row>
    <row r="706" spans="1:17" hidden="1">
      <c r="A706" s="2859"/>
      <c r="B706" s="1935" t="s">
        <v>340</v>
      </c>
      <c r="C706" s="2860" t="s">
        <v>246</v>
      </c>
      <c r="D706" s="2861">
        <v>4.2034184476407734</v>
      </c>
      <c r="E706" s="2554"/>
      <c r="F706" s="2554"/>
      <c r="G706" s="2554"/>
      <c r="H706" s="2554"/>
      <c r="I706" s="2554"/>
      <c r="J706" s="2554"/>
      <c r="K706" s="2554"/>
      <c r="L706" s="2554"/>
      <c r="M706" s="2554"/>
      <c r="N706" s="2554"/>
      <c r="O706" s="2554"/>
      <c r="P706" s="2554"/>
      <c r="Q706" s="2554"/>
    </row>
    <row r="707" spans="1:17" hidden="1">
      <c r="A707" s="2862"/>
      <c r="B707" s="1936" t="s">
        <v>226</v>
      </c>
      <c r="C707" s="2863"/>
      <c r="D707" s="2864">
        <v>4.2034184476407734</v>
      </c>
      <c r="E707" s="2554"/>
      <c r="F707" s="2554"/>
      <c r="G707" s="2554"/>
      <c r="H707" s="2554"/>
      <c r="I707" s="2554"/>
      <c r="J707" s="2554"/>
      <c r="K707" s="2554"/>
      <c r="L707" s="2554"/>
      <c r="M707" s="2554"/>
      <c r="N707" s="2554"/>
      <c r="O707" s="2554"/>
      <c r="P707" s="2554"/>
      <c r="Q707" s="2554"/>
    </row>
    <row r="708" spans="1:17" hidden="1">
      <c r="A708" s="2862"/>
      <c r="B708" s="1938" t="s">
        <v>222</v>
      </c>
      <c r="C708" s="2865" t="s">
        <v>246</v>
      </c>
      <c r="D708" s="2858">
        <v>3.0215852042368971</v>
      </c>
      <c r="E708" s="2554"/>
      <c r="F708" s="2554"/>
      <c r="G708" s="2554"/>
      <c r="H708" s="2554"/>
      <c r="I708" s="2554"/>
      <c r="J708" s="2554"/>
      <c r="K708" s="2554"/>
      <c r="L708" s="2554"/>
      <c r="M708" s="2554"/>
      <c r="N708" s="2554"/>
      <c r="O708" s="2554"/>
      <c r="P708" s="2554"/>
      <c r="Q708" s="2554"/>
    </row>
    <row r="709" spans="1:17" hidden="1">
      <c r="A709" s="2862"/>
      <c r="B709" s="1938" t="s">
        <v>223</v>
      </c>
      <c r="C709" s="2865" t="s">
        <v>246</v>
      </c>
      <c r="D709" s="2858">
        <v>3.1655784742054536</v>
      </c>
      <c r="E709" s="2554"/>
      <c r="F709" s="2554"/>
      <c r="G709" s="2554"/>
      <c r="H709" s="2554"/>
      <c r="I709" s="2554"/>
      <c r="J709" s="2554"/>
      <c r="K709" s="2554"/>
      <c r="L709" s="2554"/>
      <c r="M709" s="2554"/>
      <c r="N709" s="2554"/>
      <c r="O709" s="2554"/>
      <c r="P709" s="2554"/>
      <c r="Q709" s="2554"/>
    </row>
    <row r="710" spans="1:17" hidden="1">
      <c r="A710" s="2862"/>
      <c r="B710" s="1938" t="s">
        <v>224</v>
      </c>
      <c r="C710" s="2865" t="s">
        <v>246</v>
      </c>
      <c r="D710" s="2858">
        <v>3.2901299230421004</v>
      </c>
      <c r="E710" s="2554"/>
      <c r="F710" s="2554"/>
      <c r="G710" s="2554"/>
      <c r="H710" s="2554"/>
      <c r="I710" s="2554"/>
      <c r="J710" s="2554"/>
      <c r="K710" s="2554"/>
      <c r="L710" s="2554"/>
      <c r="M710" s="2554"/>
      <c r="N710" s="2554"/>
      <c r="O710" s="2554"/>
      <c r="P710" s="2554"/>
      <c r="Q710" s="2554"/>
    </row>
    <row r="711" spans="1:17" hidden="1">
      <c r="A711" s="2859"/>
      <c r="B711" s="1935" t="s">
        <v>152</v>
      </c>
      <c r="C711" s="2860" t="s">
        <v>246</v>
      </c>
      <c r="D711" s="2861">
        <v>3.9488881857002083</v>
      </c>
      <c r="E711" s="2554"/>
      <c r="F711" s="2554"/>
      <c r="G711" s="2554"/>
      <c r="H711" s="2554"/>
      <c r="I711" s="2554"/>
      <c r="J711" s="2554"/>
      <c r="K711" s="2554"/>
      <c r="L711" s="2554"/>
      <c r="M711" s="2554"/>
      <c r="N711" s="2554"/>
      <c r="O711" s="2554"/>
      <c r="P711" s="2554"/>
      <c r="Q711" s="2554"/>
    </row>
    <row r="712" spans="1:17" hidden="1">
      <c r="A712" s="2862"/>
      <c r="B712" s="1936" t="s">
        <v>226</v>
      </c>
      <c r="C712" s="2863"/>
      <c r="D712" s="2864">
        <v>3.9488881857002083</v>
      </c>
      <c r="E712" s="2554"/>
      <c r="F712" s="2554"/>
      <c r="G712" s="2554"/>
      <c r="H712" s="2554"/>
      <c r="I712" s="2554"/>
      <c r="J712" s="2554"/>
      <c r="K712" s="2554"/>
      <c r="L712" s="2554"/>
      <c r="M712" s="2554"/>
      <c r="N712" s="2554"/>
      <c r="O712" s="2554"/>
      <c r="P712" s="2554"/>
      <c r="Q712" s="2554"/>
    </row>
    <row r="713" spans="1:17" hidden="1">
      <c r="A713" s="2862"/>
      <c r="B713" s="1938" t="s">
        <v>222</v>
      </c>
      <c r="C713" s="2865" t="s">
        <v>246</v>
      </c>
      <c r="D713" s="2858">
        <v>0</v>
      </c>
      <c r="E713" s="2554"/>
      <c r="F713" s="2554"/>
      <c r="G713" s="2554"/>
      <c r="H713" s="2554"/>
      <c r="I713" s="2554"/>
      <c r="J713" s="2554"/>
      <c r="K713" s="2554"/>
      <c r="L713" s="2554"/>
      <c r="M713" s="2554"/>
      <c r="N713" s="2554"/>
      <c r="O713" s="2554"/>
      <c r="P713" s="2554"/>
      <c r="Q713" s="2554"/>
    </row>
    <row r="714" spans="1:17" hidden="1">
      <c r="A714" s="2862"/>
      <c r="B714" s="1938" t="s">
        <v>223</v>
      </c>
      <c r="C714" s="2865" t="s">
        <v>246</v>
      </c>
      <c r="D714" s="2858">
        <v>1.345548939337551</v>
      </c>
      <c r="E714" s="2554"/>
      <c r="F714" s="2554"/>
      <c r="G714" s="2554"/>
      <c r="H714" s="2554"/>
      <c r="I714" s="2554"/>
      <c r="J714" s="2554"/>
      <c r="K714" s="2554"/>
      <c r="L714" s="2554"/>
      <c r="M714" s="2554"/>
      <c r="N714" s="2554"/>
      <c r="O714" s="2554"/>
      <c r="P714" s="2554"/>
      <c r="Q714" s="2554"/>
    </row>
    <row r="715" spans="1:17" hidden="1">
      <c r="A715" s="2862"/>
      <c r="B715" s="1938" t="s">
        <v>224</v>
      </c>
      <c r="C715" s="2865" t="s">
        <v>246</v>
      </c>
      <c r="D715" s="2858">
        <v>1.4905744262381495</v>
      </c>
      <c r="E715" s="2554"/>
      <c r="F715" s="2554"/>
      <c r="G715" s="2554"/>
      <c r="H715" s="2554"/>
      <c r="I715" s="2554"/>
      <c r="J715" s="2554"/>
      <c r="K715" s="2554"/>
      <c r="L715" s="2554"/>
      <c r="M715" s="2554"/>
      <c r="N715" s="2554"/>
      <c r="O715" s="2554"/>
      <c r="P715" s="2554"/>
      <c r="Q715" s="2554"/>
    </row>
    <row r="716" spans="1:17" hidden="1">
      <c r="A716" s="2859"/>
      <c r="B716" s="1935" t="s">
        <v>28</v>
      </c>
      <c r="C716" s="2860" t="s">
        <v>246</v>
      </c>
      <c r="D716" s="2861">
        <v>1.6601702046755968</v>
      </c>
      <c r="E716" s="2554"/>
      <c r="F716" s="2554"/>
      <c r="G716" s="2554"/>
      <c r="H716" s="2554"/>
      <c r="I716" s="2554"/>
      <c r="J716" s="2554"/>
      <c r="K716" s="2554"/>
      <c r="L716" s="2554"/>
      <c r="M716" s="2554"/>
      <c r="N716" s="2554"/>
      <c r="O716" s="2554"/>
      <c r="P716" s="2554"/>
      <c r="Q716" s="2554"/>
    </row>
    <row r="717" spans="1:17" hidden="1">
      <c r="A717" s="2849"/>
      <c r="B717" s="1929" t="s">
        <v>341</v>
      </c>
      <c r="C717" s="2850" t="s">
        <v>240</v>
      </c>
      <c r="D717" s="2861"/>
      <c r="E717" s="2554"/>
      <c r="F717" s="2554"/>
      <c r="G717" s="2554"/>
      <c r="H717" s="2554"/>
      <c r="I717" s="2554"/>
      <c r="J717" s="2554"/>
      <c r="K717" s="2554"/>
      <c r="L717" s="2554"/>
      <c r="M717" s="2554"/>
      <c r="N717" s="2554"/>
      <c r="O717" s="2554"/>
      <c r="P717" s="2554"/>
      <c r="Q717" s="2554"/>
    </row>
    <row r="718" spans="1:17" hidden="1">
      <c r="A718" s="2849"/>
      <c r="B718" s="1929" t="s">
        <v>350</v>
      </c>
      <c r="C718" s="2850" t="s">
        <v>240</v>
      </c>
      <c r="D718" s="2861"/>
      <c r="E718" s="2554"/>
      <c r="F718" s="2554"/>
      <c r="G718" s="2554"/>
      <c r="H718" s="2554"/>
      <c r="I718" s="2554"/>
      <c r="J718" s="2554"/>
      <c r="K718" s="2554"/>
      <c r="L718" s="2554"/>
      <c r="M718" s="2554"/>
      <c r="N718" s="2554"/>
      <c r="O718" s="2554"/>
      <c r="P718" s="2554"/>
      <c r="Q718" s="2554"/>
    </row>
    <row r="719" spans="1:17" hidden="1">
      <c r="A719" s="2862"/>
      <c r="B719" s="1942" t="s">
        <v>228</v>
      </c>
      <c r="C719" s="2868" t="s">
        <v>246</v>
      </c>
      <c r="D719" s="2864">
        <v>2.2449948479386443</v>
      </c>
      <c r="E719" s="2554"/>
      <c r="F719" s="2554"/>
      <c r="G719" s="2554"/>
      <c r="H719" s="2554"/>
      <c r="I719" s="2554"/>
      <c r="J719" s="2554"/>
      <c r="K719" s="2554"/>
      <c r="L719" s="2554"/>
      <c r="M719" s="2554"/>
      <c r="N719" s="2554"/>
      <c r="O719" s="2554"/>
      <c r="P719" s="2554"/>
      <c r="Q719" s="2554"/>
    </row>
    <row r="720" spans="1:17" hidden="1">
      <c r="A720" s="2842"/>
      <c r="B720" s="1924" t="s">
        <v>341</v>
      </c>
      <c r="C720" s="2843" t="s">
        <v>246</v>
      </c>
      <c r="D720" s="2844"/>
      <c r="E720" s="2554"/>
      <c r="F720" s="2554"/>
      <c r="G720" s="2554"/>
      <c r="H720" s="2554"/>
      <c r="I720" s="2554"/>
      <c r="J720" s="2554"/>
      <c r="K720" s="2554"/>
      <c r="L720" s="2554"/>
      <c r="M720" s="2554"/>
      <c r="N720" s="2554"/>
      <c r="O720" s="2554"/>
      <c r="P720" s="2554"/>
      <c r="Q720" s="2554"/>
    </row>
    <row r="721" spans="1:17" hidden="1">
      <c r="A721" s="2845"/>
      <c r="B721" s="1926" t="s">
        <v>342</v>
      </c>
      <c r="C721" s="2846" t="s">
        <v>246</v>
      </c>
      <c r="D721" s="2847"/>
      <c r="E721" s="2554"/>
      <c r="F721" s="2554"/>
      <c r="G721" s="2554"/>
      <c r="H721" s="2554"/>
      <c r="I721" s="2554"/>
      <c r="J721" s="2554"/>
      <c r="K721" s="2554"/>
      <c r="L721" s="2554"/>
      <c r="M721" s="2554"/>
      <c r="N721" s="2554"/>
      <c r="O721" s="2554"/>
      <c r="P721" s="2554"/>
      <c r="Q721" s="2554"/>
    </row>
    <row r="722" spans="1:17" hidden="1">
      <c r="A722" s="2862"/>
      <c r="B722" s="256" t="s">
        <v>281</v>
      </c>
      <c r="C722" s="2868" t="s">
        <v>246</v>
      </c>
      <c r="D722" s="2869">
        <v>2.68</v>
      </c>
      <c r="E722" s="2554"/>
      <c r="F722" s="2554"/>
      <c r="G722" s="2554"/>
      <c r="H722" s="2554"/>
      <c r="I722" s="2554"/>
      <c r="J722" s="2554"/>
      <c r="K722" s="2554"/>
      <c r="L722" s="2554"/>
      <c r="M722" s="2554"/>
      <c r="N722" s="2554"/>
      <c r="O722" s="2554"/>
      <c r="P722" s="2554"/>
      <c r="Q722" s="2554"/>
    </row>
    <row r="723" spans="1:17" hidden="1">
      <c r="A723" s="2842"/>
      <c r="B723" s="1924" t="s">
        <v>341</v>
      </c>
      <c r="C723" s="2843" t="s">
        <v>246</v>
      </c>
      <c r="D723" s="2844">
        <v>2.68</v>
      </c>
      <c r="E723" s="2554"/>
      <c r="F723" s="2554"/>
      <c r="G723" s="2554"/>
      <c r="H723" s="2554"/>
      <c r="I723" s="2554"/>
      <c r="J723" s="2554"/>
      <c r="K723" s="2554"/>
      <c r="L723" s="2554"/>
      <c r="M723" s="2554"/>
      <c r="N723" s="2554"/>
      <c r="O723" s="2554"/>
      <c r="P723" s="2554"/>
      <c r="Q723" s="2554"/>
    </row>
    <row r="724" spans="1:17" hidden="1">
      <c r="A724" s="2845"/>
      <c r="B724" s="1926" t="s">
        <v>342</v>
      </c>
      <c r="C724" s="2846" t="s">
        <v>246</v>
      </c>
      <c r="D724" s="2847"/>
      <c r="E724" s="2554"/>
      <c r="F724" s="2554"/>
      <c r="G724" s="2554"/>
      <c r="H724" s="2554"/>
      <c r="I724" s="2554"/>
      <c r="J724" s="2554"/>
      <c r="K724" s="2554"/>
      <c r="L724" s="2554"/>
      <c r="M724" s="2554"/>
      <c r="N724" s="2554"/>
      <c r="O724" s="2554"/>
      <c r="P724" s="2554"/>
      <c r="Q724" s="2554"/>
    </row>
    <row r="725" spans="1:17" hidden="1">
      <c r="A725" s="2862"/>
      <c r="B725" s="257" t="s">
        <v>282</v>
      </c>
      <c r="C725" s="2868" t="s">
        <v>246</v>
      </c>
      <c r="D725" s="2866"/>
      <c r="E725" s="2554"/>
      <c r="F725" s="2554"/>
      <c r="G725" s="2554"/>
      <c r="H725" s="2554"/>
      <c r="I725" s="2554"/>
      <c r="J725" s="2554"/>
      <c r="K725" s="2554"/>
      <c r="L725" s="2554"/>
      <c r="M725" s="2554"/>
      <c r="N725" s="2554"/>
      <c r="O725" s="2554"/>
      <c r="P725" s="2554"/>
      <c r="Q725" s="2554"/>
    </row>
    <row r="726" spans="1:17" hidden="1">
      <c r="A726" s="2842"/>
      <c r="B726" s="1924" t="s">
        <v>341</v>
      </c>
      <c r="C726" s="2843" t="s">
        <v>246</v>
      </c>
      <c r="D726" s="2844"/>
      <c r="E726" s="2554"/>
      <c r="F726" s="2554"/>
      <c r="G726" s="2554"/>
      <c r="H726" s="2554"/>
      <c r="I726" s="2554"/>
      <c r="J726" s="2554"/>
      <c r="K726" s="2554"/>
      <c r="L726" s="2554"/>
      <c r="M726" s="2554"/>
      <c r="N726" s="2554"/>
      <c r="O726" s="2554"/>
      <c r="P726" s="2554"/>
      <c r="Q726" s="2554"/>
    </row>
    <row r="727" spans="1:17" hidden="1">
      <c r="A727" s="2845"/>
      <c r="B727" s="1926" t="s">
        <v>342</v>
      </c>
      <c r="C727" s="2846" t="s">
        <v>246</v>
      </c>
      <c r="D727" s="2847"/>
      <c r="E727" s="2554"/>
      <c r="F727" s="2554"/>
      <c r="G727" s="2554"/>
      <c r="H727" s="2554"/>
      <c r="I727" s="2554"/>
      <c r="J727" s="2554"/>
      <c r="K727" s="2554"/>
      <c r="L727" s="2554"/>
      <c r="M727" s="2554"/>
      <c r="N727" s="2554"/>
      <c r="O727" s="2554"/>
      <c r="P727" s="2554"/>
      <c r="Q727" s="2554"/>
    </row>
    <row r="728" spans="1:17" hidden="1">
      <c r="A728" s="2862"/>
      <c r="B728" s="1920" t="s">
        <v>230</v>
      </c>
      <c r="C728" s="2865" t="s">
        <v>246</v>
      </c>
      <c r="D728" s="2869">
        <v>2.73</v>
      </c>
      <c r="E728" s="2554"/>
      <c r="F728" s="2554"/>
      <c r="G728" s="2554"/>
      <c r="H728" s="2554"/>
      <c r="I728" s="2554"/>
      <c r="J728" s="2554"/>
      <c r="K728" s="2554"/>
      <c r="L728" s="2554"/>
      <c r="M728" s="2554"/>
      <c r="N728" s="2554"/>
      <c r="O728" s="2554"/>
      <c r="P728" s="2554"/>
      <c r="Q728" s="2554"/>
    </row>
    <row r="729" spans="1:17" hidden="1">
      <c r="A729" s="2842"/>
      <c r="B729" s="1924" t="s">
        <v>341</v>
      </c>
      <c r="C729" s="2843" t="s">
        <v>246</v>
      </c>
      <c r="D729" s="2844">
        <v>2.73</v>
      </c>
      <c r="E729" s="2554"/>
      <c r="F729" s="2554"/>
      <c r="G729" s="2554"/>
      <c r="H729" s="2554"/>
      <c r="I729" s="2554"/>
      <c r="J729" s="2554"/>
      <c r="K729" s="2554"/>
      <c r="L729" s="2554"/>
      <c r="M729" s="2554"/>
      <c r="N729" s="2554"/>
      <c r="O729" s="2554"/>
      <c r="P729" s="2554"/>
      <c r="Q729" s="2554"/>
    </row>
    <row r="730" spans="1:17" hidden="1">
      <c r="A730" s="2845"/>
      <c r="B730" s="1926" t="s">
        <v>342</v>
      </c>
      <c r="C730" s="2846" t="s">
        <v>246</v>
      </c>
      <c r="D730" s="2847"/>
      <c r="E730" s="2554"/>
      <c r="F730" s="2554"/>
      <c r="G730" s="2554"/>
      <c r="H730" s="2554"/>
      <c r="I730" s="2554"/>
      <c r="J730" s="2554"/>
      <c r="K730" s="2554"/>
      <c r="L730" s="2554"/>
      <c r="M730" s="2554"/>
      <c r="N730" s="2554"/>
      <c r="O730" s="2554"/>
      <c r="P730" s="2554"/>
      <c r="Q730" s="2554"/>
    </row>
    <row r="731" spans="1:17" hidden="1">
      <c r="A731" s="2862"/>
      <c r="B731" s="1920" t="s">
        <v>231</v>
      </c>
      <c r="C731" s="2865" t="s">
        <v>246</v>
      </c>
      <c r="D731" s="2869">
        <v>1.36</v>
      </c>
      <c r="E731" s="2554"/>
      <c r="F731" s="2554"/>
      <c r="G731" s="2554"/>
      <c r="H731" s="2554"/>
      <c r="I731" s="2554"/>
      <c r="J731" s="2554"/>
      <c r="K731" s="2554"/>
      <c r="L731" s="2554"/>
      <c r="M731" s="2554"/>
      <c r="N731" s="2554"/>
      <c r="O731" s="2554"/>
      <c r="P731" s="2554"/>
      <c r="Q731" s="2554"/>
    </row>
    <row r="732" spans="1:17" hidden="1">
      <c r="A732" s="2842"/>
      <c r="B732" s="1924" t="s">
        <v>341</v>
      </c>
      <c r="C732" s="2843" t="s">
        <v>246</v>
      </c>
      <c r="D732" s="2844">
        <v>1.36</v>
      </c>
      <c r="E732" s="2554"/>
      <c r="F732" s="2554"/>
      <c r="G732" s="2554"/>
      <c r="H732" s="2554"/>
      <c r="I732" s="2554"/>
      <c r="J732" s="2554"/>
      <c r="K732" s="2554"/>
      <c r="L732" s="2554"/>
      <c r="M732" s="2554"/>
      <c r="N732" s="2554"/>
      <c r="O732" s="2554"/>
      <c r="P732" s="2554"/>
      <c r="Q732" s="2554"/>
    </row>
    <row r="733" spans="1:17" hidden="1">
      <c r="A733" s="2845"/>
      <c r="B733" s="1926" t="s">
        <v>342</v>
      </c>
      <c r="C733" s="2846" t="s">
        <v>246</v>
      </c>
      <c r="D733" s="2847"/>
      <c r="E733" s="2554"/>
      <c r="F733" s="2554"/>
      <c r="G733" s="2554"/>
      <c r="H733" s="2554"/>
      <c r="I733" s="2554"/>
      <c r="J733" s="2554"/>
      <c r="K733" s="2554"/>
      <c r="L733" s="2554"/>
      <c r="M733" s="2554"/>
      <c r="N733" s="2554"/>
      <c r="O733" s="2554"/>
      <c r="P733" s="2554"/>
      <c r="Q733" s="2554"/>
    </row>
    <row r="734" spans="1:17" hidden="1">
      <c r="A734" s="2862"/>
      <c r="B734" s="256" t="s">
        <v>236</v>
      </c>
      <c r="C734" s="2868" t="s">
        <v>246</v>
      </c>
      <c r="D734" s="2858">
        <v>2.68</v>
      </c>
      <c r="E734" s="2554"/>
      <c r="F734" s="2554"/>
      <c r="G734" s="2554"/>
      <c r="H734" s="2554"/>
      <c r="I734" s="2554"/>
      <c r="J734" s="2554"/>
      <c r="K734" s="2554"/>
      <c r="L734" s="2554"/>
      <c r="M734" s="2554"/>
      <c r="N734" s="2554"/>
      <c r="O734" s="2554"/>
      <c r="P734" s="2554"/>
      <c r="Q734" s="2554"/>
    </row>
    <row r="735" spans="1:17" hidden="1">
      <c r="A735" s="2842"/>
      <c r="B735" s="1924" t="s">
        <v>341</v>
      </c>
      <c r="C735" s="2843" t="s">
        <v>246</v>
      </c>
      <c r="D735" s="2844">
        <v>2.68</v>
      </c>
      <c r="E735" s="2554"/>
      <c r="F735" s="2554"/>
      <c r="G735" s="2554"/>
      <c r="H735" s="2554"/>
      <c r="I735" s="2554"/>
      <c r="J735" s="2554"/>
      <c r="K735" s="2554"/>
      <c r="L735" s="2554"/>
      <c r="M735" s="2554"/>
      <c r="N735" s="2554"/>
      <c r="O735" s="2554"/>
      <c r="P735" s="2554"/>
      <c r="Q735" s="2554"/>
    </row>
    <row r="736" spans="1:17" hidden="1">
      <c r="A736" s="2845"/>
      <c r="B736" s="1926" t="s">
        <v>342</v>
      </c>
      <c r="C736" s="2846" t="s">
        <v>246</v>
      </c>
      <c r="D736" s="2847"/>
      <c r="E736" s="2554"/>
      <c r="F736" s="2554"/>
      <c r="G736" s="2554"/>
      <c r="H736" s="2554"/>
      <c r="I736" s="2554"/>
      <c r="J736" s="2554"/>
      <c r="K736" s="2554"/>
      <c r="L736" s="2554"/>
      <c r="M736" s="2554"/>
      <c r="N736" s="2554"/>
      <c r="O736" s="2554"/>
      <c r="P736" s="2554"/>
      <c r="Q736" s="2554"/>
    </row>
    <row r="737" spans="1:17" hidden="1">
      <c r="A737" s="2862"/>
      <c r="B737" s="257" t="s">
        <v>237</v>
      </c>
      <c r="C737" s="2868" t="s">
        <v>246</v>
      </c>
      <c r="D737" s="2864"/>
      <c r="E737" s="2554"/>
      <c r="F737" s="2554"/>
      <c r="G737" s="2554"/>
      <c r="H737" s="2554"/>
      <c r="I737" s="2554"/>
      <c r="J737" s="2554"/>
      <c r="K737" s="2554"/>
      <c r="L737" s="2554"/>
      <c r="M737" s="2554"/>
      <c r="N737" s="2554"/>
      <c r="O737" s="2554"/>
      <c r="P737" s="2554"/>
      <c r="Q737" s="2554"/>
    </row>
    <row r="738" spans="1:17" hidden="1">
      <c r="A738" s="2842"/>
      <c r="B738" s="1924" t="s">
        <v>341</v>
      </c>
      <c r="C738" s="2843" t="s">
        <v>246</v>
      </c>
      <c r="D738" s="2844"/>
      <c r="E738" s="2554"/>
      <c r="F738" s="2554"/>
      <c r="G738" s="2554"/>
      <c r="H738" s="2554"/>
      <c r="I738" s="2554"/>
      <c r="J738" s="2554"/>
      <c r="K738" s="2554"/>
      <c r="L738" s="2554"/>
      <c r="M738" s="2554"/>
      <c r="N738" s="2554"/>
      <c r="O738" s="2554"/>
      <c r="P738" s="2554"/>
      <c r="Q738" s="2554"/>
    </row>
    <row r="739" spans="1:17" hidden="1">
      <c r="A739" s="2845"/>
      <c r="B739" s="1926" t="s">
        <v>342</v>
      </c>
      <c r="C739" s="2846" t="s">
        <v>246</v>
      </c>
      <c r="D739" s="2847"/>
      <c r="E739" s="2554"/>
      <c r="F739" s="2554"/>
      <c r="G739" s="2554"/>
      <c r="H739" s="2554"/>
      <c r="I739" s="2554"/>
      <c r="J739" s="2554"/>
      <c r="K739" s="2554"/>
      <c r="L739" s="2554"/>
      <c r="M739" s="2554"/>
      <c r="N739" s="2554"/>
      <c r="O739" s="2554"/>
      <c r="P739" s="2554"/>
      <c r="Q739" s="2554"/>
    </row>
    <row r="740" spans="1:17" hidden="1">
      <c r="A740" s="2862"/>
      <c r="B740" s="1920" t="s">
        <v>230</v>
      </c>
      <c r="C740" s="2865" t="s">
        <v>246</v>
      </c>
      <c r="D740" s="2858">
        <v>2.73</v>
      </c>
      <c r="E740" s="2554"/>
      <c r="F740" s="2554"/>
      <c r="G740" s="2554"/>
      <c r="H740" s="2554"/>
      <c r="I740" s="2554"/>
      <c r="J740" s="2554"/>
      <c r="K740" s="2554"/>
      <c r="L740" s="2554"/>
      <c r="M740" s="2554"/>
      <c r="N740" s="2554"/>
      <c r="O740" s="2554"/>
      <c r="P740" s="2554"/>
      <c r="Q740" s="2554"/>
    </row>
    <row r="741" spans="1:17" hidden="1">
      <c r="A741" s="2842"/>
      <c r="B741" s="1924" t="s">
        <v>341</v>
      </c>
      <c r="C741" s="2843" t="s">
        <v>246</v>
      </c>
      <c r="D741" s="2844">
        <v>2.73</v>
      </c>
      <c r="E741" s="2554"/>
      <c r="F741" s="2554"/>
      <c r="G741" s="2554"/>
      <c r="H741" s="2554"/>
      <c r="I741" s="2554"/>
      <c r="J741" s="2554"/>
      <c r="K741" s="2554"/>
      <c r="L741" s="2554"/>
      <c r="M741" s="2554"/>
      <c r="N741" s="2554"/>
      <c r="O741" s="2554"/>
      <c r="P741" s="2554"/>
      <c r="Q741" s="2554"/>
    </row>
    <row r="742" spans="1:17" hidden="1">
      <c r="A742" s="2845"/>
      <c r="B742" s="1926" t="s">
        <v>342</v>
      </c>
      <c r="C742" s="2846" t="s">
        <v>246</v>
      </c>
      <c r="D742" s="2847"/>
      <c r="E742" s="2554"/>
      <c r="F742" s="2554"/>
      <c r="G742" s="2554"/>
      <c r="H742" s="2554"/>
      <c r="I742" s="2554"/>
      <c r="J742" s="2554"/>
      <c r="K742" s="2554"/>
      <c r="L742" s="2554"/>
      <c r="M742" s="2554"/>
      <c r="N742" s="2554"/>
      <c r="O742" s="2554"/>
      <c r="P742" s="2554"/>
      <c r="Q742" s="2554"/>
    </row>
    <row r="743" spans="1:17" hidden="1">
      <c r="A743" s="2862"/>
      <c r="B743" s="1920" t="s">
        <v>231</v>
      </c>
      <c r="C743" s="2865" t="s">
        <v>246</v>
      </c>
      <c r="D743" s="2858">
        <v>1.36</v>
      </c>
      <c r="E743" s="2554"/>
      <c r="F743" s="2554"/>
      <c r="G743" s="2554"/>
      <c r="H743" s="2554"/>
      <c r="I743" s="2554"/>
      <c r="J743" s="2554"/>
      <c r="K743" s="2554"/>
      <c r="L743" s="2554"/>
      <c r="M743" s="2554"/>
      <c r="N743" s="2554"/>
      <c r="O743" s="2554"/>
      <c r="P743" s="2554"/>
      <c r="Q743" s="2554"/>
    </row>
    <row r="744" spans="1:17" hidden="1">
      <c r="A744" s="2842"/>
      <c r="B744" s="1924" t="s">
        <v>341</v>
      </c>
      <c r="C744" s="2843" t="s">
        <v>246</v>
      </c>
      <c r="D744" s="2844">
        <v>1.36</v>
      </c>
      <c r="E744" s="2554"/>
      <c r="F744" s="2554"/>
      <c r="G744" s="2554"/>
      <c r="H744" s="2554"/>
      <c r="I744" s="2554"/>
      <c r="J744" s="2554"/>
      <c r="K744" s="2554"/>
      <c r="L744" s="2554"/>
      <c r="M744" s="2554"/>
      <c r="N744" s="2554"/>
      <c r="O744" s="2554"/>
      <c r="P744" s="2554"/>
      <c r="Q744" s="2554"/>
    </row>
    <row r="745" spans="1:17" hidden="1">
      <c r="A745" s="2845"/>
      <c r="B745" s="1926" t="s">
        <v>342</v>
      </c>
      <c r="C745" s="2846" t="s">
        <v>246</v>
      </c>
      <c r="D745" s="2847"/>
      <c r="E745" s="2554"/>
      <c r="F745" s="2554"/>
      <c r="G745" s="2554"/>
      <c r="H745" s="2554"/>
      <c r="I745" s="2554"/>
      <c r="J745" s="2554"/>
      <c r="K745" s="2554"/>
      <c r="L745" s="2554"/>
      <c r="M745" s="2554"/>
      <c r="N745" s="2554"/>
      <c r="O745" s="2554"/>
      <c r="P745" s="2554"/>
      <c r="Q745" s="2554"/>
    </row>
    <row r="746" spans="1:17" hidden="1">
      <c r="A746" s="2862"/>
      <c r="B746" s="1942" t="s">
        <v>232</v>
      </c>
      <c r="C746" s="2868" t="s">
        <v>246</v>
      </c>
      <c r="D746" s="2866"/>
      <c r="E746" s="2554"/>
      <c r="F746" s="2554"/>
      <c r="G746" s="2554"/>
      <c r="H746" s="2554"/>
      <c r="I746" s="2554"/>
      <c r="J746" s="2554"/>
      <c r="K746" s="2554"/>
      <c r="L746" s="2554"/>
      <c r="M746" s="2554"/>
      <c r="N746" s="2554"/>
      <c r="O746" s="2554"/>
      <c r="P746" s="2554"/>
      <c r="Q746" s="2554"/>
    </row>
    <row r="747" spans="1:17" hidden="1">
      <c r="A747" s="2842"/>
      <c r="B747" s="1924" t="s">
        <v>341</v>
      </c>
      <c r="C747" s="2843" t="s">
        <v>246</v>
      </c>
      <c r="D747" s="2844"/>
      <c r="E747" s="2554"/>
      <c r="F747" s="2554"/>
      <c r="G747" s="2554"/>
      <c r="H747" s="2554"/>
      <c r="I747" s="2554"/>
      <c r="J747" s="2554"/>
      <c r="K747" s="2554"/>
      <c r="L747" s="2554"/>
      <c r="M747" s="2554"/>
      <c r="N747" s="2554"/>
      <c r="O747" s="2554"/>
      <c r="P747" s="2554"/>
      <c r="Q747" s="2554"/>
    </row>
    <row r="748" spans="1:17" hidden="1">
      <c r="A748" s="2845"/>
      <c r="B748" s="1926" t="s">
        <v>342</v>
      </c>
      <c r="C748" s="2846" t="s">
        <v>246</v>
      </c>
      <c r="D748" s="2847"/>
      <c r="E748" s="2554"/>
      <c r="F748" s="2554"/>
      <c r="G748" s="2554"/>
      <c r="H748" s="2554"/>
      <c r="I748" s="2554"/>
      <c r="J748" s="2554"/>
      <c r="K748" s="2554"/>
      <c r="L748" s="2554"/>
      <c r="M748" s="2554"/>
      <c r="N748" s="2554"/>
      <c r="O748" s="2554"/>
      <c r="P748" s="2554"/>
      <c r="Q748" s="2554"/>
    </row>
    <row r="749" spans="1:17" hidden="1">
      <c r="A749" s="2862"/>
      <c r="B749" s="1945" t="s">
        <v>229</v>
      </c>
      <c r="C749" s="2868" t="s">
        <v>246</v>
      </c>
      <c r="D749" s="2869">
        <v>1.8799999999999997</v>
      </c>
      <c r="E749" s="2554"/>
      <c r="F749" s="2554"/>
      <c r="G749" s="2554"/>
      <c r="H749" s="2554"/>
      <c r="I749" s="2554"/>
      <c r="J749" s="2554"/>
      <c r="K749" s="2554"/>
      <c r="L749" s="2554"/>
      <c r="M749" s="2554"/>
      <c r="N749" s="2554"/>
      <c r="O749" s="2554"/>
      <c r="P749" s="2554"/>
      <c r="Q749" s="2554"/>
    </row>
    <row r="750" spans="1:17" hidden="1">
      <c r="A750" s="2842"/>
      <c r="B750" s="1924" t="s">
        <v>341</v>
      </c>
      <c r="C750" s="2843" t="s">
        <v>246</v>
      </c>
      <c r="D750" s="2844">
        <v>1.8799999999999997</v>
      </c>
      <c r="E750" s="2554"/>
      <c r="F750" s="2554"/>
      <c r="G750" s="2554"/>
      <c r="H750" s="2554"/>
      <c r="I750" s="2554"/>
      <c r="J750" s="2554"/>
      <c r="K750" s="2554"/>
      <c r="L750" s="2554"/>
      <c r="M750" s="2554"/>
      <c r="N750" s="2554"/>
      <c r="O750" s="2554"/>
      <c r="P750" s="2554"/>
      <c r="Q750" s="2554"/>
    </row>
    <row r="751" spans="1:17" hidden="1">
      <c r="A751" s="2845"/>
      <c r="B751" s="1926" t="s">
        <v>342</v>
      </c>
      <c r="C751" s="2846" t="s">
        <v>246</v>
      </c>
      <c r="D751" s="2847"/>
      <c r="E751" s="2554"/>
      <c r="F751" s="2554"/>
      <c r="G751" s="2554"/>
      <c r="H751" s="2554"/>
      <c r="I751" s="2554"/>
      <c r="J751" s="2554"/>
      <c r="K751" s="2554"/>
      <c r="L751" s="2554"/>
      <c r="M751" s="2554"/>
      <c r="N751" s="2554"/>
      <c r="O751" s="2554"/>
      <c r="P751" s="2554"/>
      <c r="Q751" s="2554"/>
    </row>
    <row r="752" spans="1:17" hidden="1">
      <c r="A752" s="2862"/>
      <c r="B752" s="1946" t="s">
        <v>233</v>
      </c>
      <c r="C752" s="2868" t="s">
        <v>246</v>
      </c>
      <c r="D752" s="2866"/>
      <c r="E752" s="2554"/>
      <c r="F752" s="2554"/>
      <c r="G752" s="2554"/>
      <c r="H752" s="2554"/>
      <c r="I752" s="2554"/>
      <c r="J752" s="2554"/>
      <c r="K752" s="2554"/>
      <c r="L752" s="2554"/>
      <c r="M752" s="2554"/>
      <c r="N752" s="2554"/>
      <c r="O752" s="2554"/>
      <c r="P752" s="2554"/>
      <c r="Q752" s="2554"/>
    </row>
    <row r="753" spans="1:17" hidden="1">
      <c r="A753" s="2842"/>
      <c r="B753" s="1924" t="s">
        <v>341</v>
      </c>
      <c r="C753" s="2843" t="s">
        <v>246</v>
      </c>
      <c r="D753" s="2844"/>
      <c r="E753" s="2554"/>
      <c r="F753" s="2554"/>
      <c r="G753" s="2554"/>
      <c r="H753" s="2554"/>
      <c r="I753" s="2554"/>
      <c r="J753" s="2554"/>
      <c r="K753" s="2554"/>
      <c r="L753" s="2554"/>
      <c r="M753" s="2554"/>
      <c r="N753" s="2554"/>
      <c r="O753" s="2554"/>
      <c r="P753" s="2554"/>
      <c r="Q753" s="2554"/>
    </row>
    <row r="754" spans="1:17" hidden="1">
      <c r="A754" s="2845"/>
      <c r="B754" s="1926" t="s">
        <v>342</v>
      </c>
      <c r="C754" s="2846" t="s">
        <v>246</v>
      </c>
      <c r="D754" s="2847"/>
      <c r="E754" s="2554"/>
      <c r="F754" s="2554"/>
      <c r="G754" s="2554"/>
      <c r="H754" s="2554"/>
      <c r="I754" s="2554"/>
      <c r="J754" s="2554"/>
      <c r="K754" s="2554"/>
      <c r="L754" s="2554"/>
      <c r="M754" s="2554"/>
      <c r="N754" s="2554"/>
      <c r="O754" s="2554"/>
      <c r="P754" s="2554"/>
      <c r="Q754" s="2554"/>
    </row>
    <row r="755" spans="1:17" hidden="1">
      <c r="A755" s="2862"/>
      <c r="B755" s="1938" t="s">
        <v>230</v>
      </c>
      <c r="C755" s="2865" t="s">
        <v>246</v>
      </c>
      <c r="D755" s="2869">
        <v>1.9099999999999977</v>
      </c>
      <c r="E755" s="2554"/>
      <c r="F755" s="2554"/>
      <c r="G755" s="2554"/>
      <c r="H755" s="2554"/>
      <c r="I755" s="2554"/>
      <c r="J755" s="2554"/>
      <c r="K755" s="2554"/>
      <c r="L755" s="2554"/>
      <c r="M755" s="2554"/>
      <c r="N755" s="2554"/>
      <c r="O755" s="2554"/>
      <c r="P755" s="2554"/>
      <c r="Q755" s="2554"/>
    </row>
    <row r="756" spans="1:17" hidden="1">
      <c r="A756" s="2842"/>
      <c r="B756" s="1924" t="s">
        <v>341</v>
      </c>
      <c r="C756" s="2843" t="s">
        <v>246</v>
      </c>
      <c r="D756" s="2844">
        <v>1.9099999999999977</v>
      </c>
      <c r="E756" s="2554"/>
      <c r="F756" s="2554"/>
      <c r="G756" s="2554"/>
      <c r="H756" s="2554"/>
      <c r="I756" s="2554"/>
      <c r="J756" s="2554"/>
      <c r="K756" s="2554"/>
      <c r="L756" s="2554"/>
      <c r="M756" s="2554"/>
      <c r="N756" s="2554"/>
      <c r="O756" s="2554"/>
      <c r="P756" s="2554"/>
      <c r="Q756" s="2554"/>
    </row>
    <row r="757" spans="1:17" hidden="1">
      <c r="A757" s="2845"/>
      <c r="B757" s="1926" t="s">
        <v>342</v>
      </c>
      <c r="C757" s="2846" t="s">
        <v>246</v>
      </c>
      <c r="D757" s="2847"/>
      <c r="E757" s="2554"/>
      <c r="F757" s="2554"/>
      <c r="G757" s="2554"/>
      <c r="H757" s="2554"/>
      <c r="I757" s="2554"/>
      <c r="J757" s="2554"/>
      <c r="K757" s="2554"/>
      <c r="L757" s="2554"/>
      <c r="M757" s="2554"/>
      <c r="N757" s="2554"/>
      <c r="O757" s="2554"/>
      <c r="P757" s="2554"/>
      <c r="Q757" s="2554"/>
    </row>
    <row r="758" spans="1:17" hidden="1">
      <c r="A758" s="2862"/>
      <c r="B758" s="1938" t="s">
        <v>231</v>
      </c>
      <c r="C758" s="2865" t="s">
        <v>246</v>
      </c>
      <c r="D758" s="2869">
        <v>0.95000000000000073</v>
      </c>
      <c r="E758" s="2554"/>
      <c r="F758" s="2554"/>
      <c r="G758" s="2554"/>
      <c r="H758" s="2554"/>
      <c r="I758" s="2554"/>
      <c r="J758" s="2554"/>
      <c r="K758" s="2554"/>
      <c r="L758" s="2554"/>
      <c r="M758" s="2554"/>
      <c r="N758" s="2554"/>
      <c r="O758" s="2554"/>
      <c r="P758" s="2554"/>
      <c r="Q758" s="2554"/>
    </row>
    <row r="759" spans="1:17" hidden="1">
      <c r="A759" s="2842"/>
      <c r="B759" s="1924" t="s">
        <v>341</v>
      </c>
      <c r="C759" s="2843" t="s">
        <v>246</v>
      </c>
      <c r="D759" s="2844">
        <v>0.95000000000000073</v>
      </c>
      <c r="E759" s="2554"/>
      <c r="F759" s="2554"/>
      <c r="G759" s="2554"/>
      <c r="H759" s="2554"/>
      <c r="I759" s="2554"/>
      <c r="J759" s="2554"/>
      <c r="K759" s="2554"/>
      <c r="L759" s="2554"/>
      <c r="M759" s="2554"/>
      <c r="N759" s="2554"/>
      <c r="O759" s="2554"/>
      <c r="P759" s="2554"/>
      <c r="Q759" s="2554"/>
    </row>
    <row r="760" spans="1:17" hidden="1">
      <c r="A760" s="2845"/>
      <c r="B760" s="1926" t="s">
        <v>342</v>
      </c>
      <c r="C760" s="2846" t="s">
        <v>246</v>
      </c>
      <c r="D760" s="2847"/>
      <c r="E760" s="2554"/>
      <c r="F760" s="2554"/>
      <c r="G760" s="2554"/>
      <c r="H760" s="2554"/>
      <c r="I760" s="2554"/>
      <c r="J760" s="2554"/>
      <c r="K760" s="2554"/>
      <c r="L760" s="2554"/>
      <c r="M760" s="2554"/>
      <c r="N760" s="2554"/>
      <c r="O760" s="2554"/>
      <c r="P760" s="2554"/>
      <c r="Q760" s="2554"/>
    </row>
    <row r="761" spans="1:17" hidden="1">
      <c r="A761" s="2862"/>
      <c r="B761" s="1947" t="s">
        <v>40</v>
      </c>
      <c r="C761" s="2868" t="s">
        <v>246</v>
      </c>
      <c r="D761" s="2866"/>
      <c r="E761" s="2554"/>
      <c r="F761" s="2554"/>
      <c r="G761" s="2554"/>
      <c r="H761" s="2554"/>
      <c r="I761" s="2554"/>
      <c r="J761" s="2554"/>
      <c r="K761" s="2554"/>
      <c r="L761" s="2554"/>
      <c r="M761" s="2554"/>
      <c r="N761" s="2554"/>
      <c r="O761" s="2554"/>
      <c r="P761" s="2554"/>
      <c r="Q761" s="2554"/>
    </row>
    <row r="762" spans="1:17" hidden="1">
      <c r="A762" s="2842"/>
      <c r="B762" s="1924" t="s">
        <v>341</v>
      </c>
      <c r="C762" s="2843" t="s">
        <v>246</v>
      </c>
      <c r="D762" s="2844"/>
      <c r="E762" s="2554"/>
      <c r="F762" s="2554"/>
      <c r="G762" s="2554"/>
      <c r="H762" s="2554"/>
      <c r="I762" s="2554"/>
      <c r="J762" s="2554"/>
      <c r="K762" s="2554"/>
      <c r="L762" s="2554"/>
      <c r="M762" s="2554"/>
      <c r="N762" s="2554"/>
      <c r="O762" s="2554"/>
      <c r="P762" s="2554"/>
      <c r="Q762" s="2554"/>
    </row>
    <row r="763" spans="1:17" hidden="1">
      <c r="A763" s="2845"/>
      <c r="B763" s="1926" t="s">
        <v>342</v>
      </c>
      <c r="C763" s="2846" t="s">
        <v>246</v>
      </c>
      <c r="D763" s="2847"/>
      <c r="E763" s="2554"/>
      <c r="F763" s="2554"/>
      <c r="G763" s="2554"/>
      <c r="H763" s="2554"/>
      <c r="I763" s="2554"/>
      <c r="J763" s="2554"/>
      <c r="K763" s="2554"/>
      <c r="L763" s="2554"/>
      <c r="M763" s="2554"/>
      <c r="N763" s="2554"/>
      <c r="O763" s="2554"/>
      <c r="P763" s="2554"/>
      <c r="Q763" s="2554"/>
    </row>
    <row r="764" spans="1:17" hidden="1">
      <c r="A764" s="2862"/>
      <c r="B764" s="1945" t="s">
        <v>281</v>
      </c>
      <c r="C764" s="2868" t="s">
        <v>246</v>
      </c>
      <c r="D764" s="2858">
        <v>2.68</v>
      </c>
      <c r="E764" s="2554"/>
      <c r="F764" s="2554"/>
      <c r="G764" s="2554"/>
      <c r="H764" s="2554"/>
      <c r="I764" s="2554"/>
      <c r="J764" s="2554"/>
      <c r="K764" s="2554"/>
      <c r="L764" s="2554"/>
      <c r="M764" s="2554"/>
      <c r="N764" s="2554"/>
      <c r="O764" s="2554"/>
      <c r="P764" s="2554"/>
      <c r="Q764" s="2554"/>
    </row>
    <row r="765" spans="1:17" hidden="1">
      <c r="A765" s="2842"/>
      <c r="B765" s="1924" t="s">
        <v>341</v>
      </c>
      <c r="C765" s="2843" t="s">
        <v>246</v>
      </c>
      <c r="D765" s="2844">
        <v>2.68</v>
      </c>
      <c r="E765" s="2554"/>
      <c r="F765" s="2554"/>
      <c r="G765" s="2554"/>
      <c r="H765" s="2554"/>
      <c r="I765" s="2554"/>
      <c r="J765" s="2554"/>
      <c r="K765" s="2554"/>
      <c r="L765" s="2554"/>
      <c r="M765" s="2554"/>
      <c r="N765" s="2554"/>
      <c r="O765" s="2554"/>
      <c r="P765" s="2554"/>
      <c r="Q765" s="2554"/>
    </row>
    <row r="766" spans="1:17" hidden="1">
      <c r="A766" s="2845"/>
      <c r="B766" s="1926" t="s">
        <v>342</v>
      </c>
      <c r="C766" s="2846" t="s">
        <v>246</v>
      </c>
      <c r="D766" s="2847"/>
      <c r="E766" s="2554"/>
      <c r="F766" s="2554"/>
      <c r="G766" s="2554"/>
      <c r="H766" s="2554"/>
      <c r="I766" s="2554"/>
      <c r="J766" s="2554"/>
      <c r="K766" s="2554"/>
      <c r="L766" s="2554"/>
      <c r="M766" s="2554"/>
      <c r="N766" s="2554"/>
      <c r="O766" s="2554"/>
      <c r="P766" s="2554"/>
      <c r="Q766" s="2554"/>
    </row>
    <row r="767" spans="1:17" hidden="1">
      <c r="A767" s="2862"/>
      <c r="B767" s="1946" t="s">
        <v>282</v>
      </c>
      <c r="C767" s="2868" t="s">
        <v>246</v>
      </c>
      <c r="D767" s="2870"/>
      <c r="E767" s="2554"/>
      <c r="F767" s="2554"/>
      <c r="G767" s="2554"/>
      <c r="H767" s="2554"/>
      <c r="I767" s="2554"/>
      <c r="J767" s="2554"/>
      <c r="K767" s="2554"/>
      <c r="L767" s="2554"/>
      <c r="M767" s="2554"/>
      <c r="N767" s="2554"/>
      <c r="O767" s="2554"/>
      <c r="P767" s="2554"/>
      <c r="Q767" s="2554"/>
    </row>
    <row r="768" spans="1:17" hidden="1">
      <c r="A768" s="2842"/>
      <c r="B768" s="1924" t="s">
        <v>341</v>
      </c>
      <c r="C768" s="2843" t="s">
        <v>246</v>
      </c>
      <c r="D768" s="2844"/>
      <c r="E768" s="2554"/>
      <c r="F768" s="2554"/>
      <c r="G768" s="2554"/>
      <c r="H768" s="2554"/>
      <c r="I768" s="2554"/>
      <c r="J768" s="2554"/>
      <c r="K768" s="2554"/>
      <c r="L768" s="2554"/>
      <c r="M768" s="2554"/>
      <c r="N768" s="2554"/>
      <c r="O768" s="2554"/>
      <c r="P768" s="2554"/>
      <c r="Q768" s="2554"/>
    </row>
    <row r="769" spans="1:17" hidden="1">
      <c r="A769" s="2845"/>
      <c r="B769" s="1926" t="s">
        <v>342</v>
      </c>
      <c r="C769" s="2846" t="s">
        <v>246</v>
      </c>
      <c r="D769" s="2847"/>
      <c r="E769" s="2554"/>
      <c r="F769" s="2554"/>
      <c r="G769" s="2554"/>
      <c r="H769" s="2554"/>
      <c r="I769" s="2554"/>
      <c r="J769" s="2554"/>
      <c r="K769" s="2554"/>
      <c r="L769" s="2554"/>
      <c r="M769" s="2554"/>
      <c r="N769" s="2554"/>
      <c r="O769" s="2554"/>
      <c r="P769" s="2554"/>
      <c r="Q769" s="2554"/>
    </row>
    <row r="770" spans="1:17" hidden="1">
      <c r="A770" s="2862"/>
      <c r="B770" s="1938" t="s">
        <v>230</v>
      </c>
      <c r="C770" s="2865" t="s">
        <v>246</v>
      </c>
      <c r="D770" s="2858">
        <v>2.73</v>
      </c>
      <c r="E770" s="2554"/>
      <c r="F770" s="2554"/>
      <c r="G770" s="2554"/>
      <c r="H770" s="2554"/>
      <c r="I770" s="2554"/>
      <c r="J770" s="2554"/>
      <c r="K770" s="2554"/>
      <c r="L770" s="2554"/>
      <c r="M770" s="2554"/>
      <c r="N770" s="2554"/>
      <c r="O770" s="2554"/>
      <c r="P770" s="2554"/>
      <c r="Q770" s="2554"/>
    </row>
    <row r="771" spans="1:17" hidden="1">
      <c r="A771" s="2842"/>
      <c r="B771" s="1924" t="s">
        <v>341</v>
      </c>
      <c r="C771" s="2843" t="s">
        <v>246</v>
      </c>
      <c r="D771" s="2844">
        <v>2.73</v>
      </c>
      <c r="E771" s="2554"/>
      <c r="F771" s="2554"/>
      <c r="G771" s="2554"/>
      <c r="H771" s="2554"/>
      <c r="I771" s="2554"/>
      <c r="J771" s="2554"/>
      <c r="K771" s="2554"/>
      <c r="L771" s="2554"/>
      <c r="M771" s="2554"/>
      <c r="N771" s="2554"/>
      <c r="O771" s="2554"/>
      <c r="P771" s="2554"/>
      <c r="Q771" s="2554"/>
    </row>
    <row r="772" spans="1:17" hidden="1">
      <c r="A772" s="2845"/>
      <c r="B772" s="1926" t="s">
        <v>342</v>
      </c>
      <c r="C772" s="2846" t="s">
        <v>246</v>
      </c>
      <c r="D772" s="2847"/>
      <c r="E772" s="2554"/>
      <c r="F772" s="2554"/>
      <c r="G772" s="2554"/>
      <c r="H772" s="2554"/>
      <c r="I772" s="2554"/>
      <c r="J772" s="2554"/>
      <c r="K772" s="2554"/>
      <c r="L772" s="2554"/>
      <c r="M772" s="2554"/>
      <c r="N772" s="2554"/>
      <c r="O772" s="2554"/>
      <c r="P772" s="2554"/>
      <c r="Q772" s="2554"/>
    </row>
    <row r="773" spans="1:17" hidden="1">
      <c r="A773" s="2862"/>
      <c r="B773" s="1938" t="s">
        <v>231</v>
      </c>
      <c r="C773" s="2865" t="s">
        <v>246</v>
      </c>
      <c r="D773" s="2858">
        <v>1.36</v>
      </c>
      <c r="E773" s="2554"/>
      <c r="F773" s="2554"/>
      <c r="G773" s="2554"/>
      <c r="H773" s="2554"/>
      <c r="I773" s="2554"/>
      <c r="J773" s="2554"/>
      <c r="K773" s="2554"/>
      <c r="L773" s="2554"/>
      <c r="M773" s="2554"/>
      <c r="N773" s="2554"/>
      <c r="O773" s="2554"/>
      <c r="P773" s="2554"/>
      <c r="Q773" s="2554"/>
    </row>
    <row r="774" spans="1:17" hidden="1">
      <c r="A774" s="2842"/>
      <c r="B774" s="1924" t="s">
        <v>341</v>
      </c>
      <c r="C774" s="2843" t="s">
        <v>246</v>
      </c>
      <c r="D774" s="2844">
        <v>1.36</v>
      </c>
      <c r="E774" s="2554"/>
      <c r="F774" s="2554"/>
      <c r="G774" s="2554"/>
      <c r="H774" s="2554"/>
      <c r="I774" s="2554"/>
      <c r="J774" s="2554"/>
      <c r="K774" s="2554"/>
      <c r="L774" s="2554"/>
      <c r="M774" s="2554"/>
      <c r="N774" s="2554"/>
      <c r="O774" s="2554"/>
      <c r="P774" s="2554"/>
      <c r="Q774" s="2554"/>
    </row>
    <row r="775" spans="1:17" hidden="1">
      <c r="A775" s="2845"/>
      <c r="B775" s="1926" t="s">
        <v>342</v>
      </c>
      <c r="C775" s="2846" t="s">
        <v>246</v>
      </c>
      <c r="D775" s="2847"/>
      <c r="E775" s="2554"/>
      <c r="F775" s="2554"/>
      <c r="G775" s="2554"/>
      <c r="H775" s="2554"/>
      <c r="I775" s="2554"/>
      <c r="J775" s="2554"/>
      <c r="K775" s="2554"/>
      <c r="L775" s="2554"/>
      <c r="M775" s="2554"/>
      <c r="N775" s="2554"/>
      <c r="O775" s="2554"/>
      <c r="P775" s="2554"/>
      <c r="Q775" s="2554"/>
    </row>
    <row r="776" spans="1:17" hidden="1">
      <c r="A776" s="2862"/>
      <c r="B776" s="1945" t="s">
        <v>234</v>
      </c>
      <c r="C776" s="2868" t="s">
        <v>246</v>
      </c>
      <c r="D776" s="2858">
        <v>2.68</v>
      </c>
      <c r="E776" s="2554"/>
      <c r="F776" s="2554"/>
      <c r="G776" s="2554"/>
      <c r="H776" s="2554"/>
      <c r="I776" s="2554"/>
      <c r="J776" s="2554"/>
      <c r="K776" s="2554"/>
      <c r="L776" s="2554"/>
      <c r="M776" s="2554"/>
      <c r="N776" s="2554"/>
      <c r="O776" s="2554"/>
      <c r="P776" s="2554"/>
      <c r="Q776" s="2554"/>
    </row>
    <row r="777" spans="1:17" hidden="1">
      <c r="A777" s="2842"/>
      <c r="B777" s="1924" t="s">
        <v>341</v>
      </c>
      <c r="C777" s="2843" t="s">
        <v>246</v>
      </c>
      <c r="D777" s="2844">
        <v>2.68</v>
      </c>
      <c r="E777" s="2554"/>
      <c r="F777" s="2554"/>
      <c r="G777" s="2554"/>
      <c r="H777" s="2554"/>
      <c r="I777" s="2554"/>
      <c r="J777" s="2554"/>
      <c r="K777" s="2554"/>
      <c r="L777" s="2554"/>
      <c r="M777" s="2554"/>
      <c r="N777" s="2554"/>
      <c r="O777" s="2554"/>
      <c r="P777" s="2554"/>
      <c r="Q777" s="2554"/>
    </row>
    <row r="778" spans="1:17" hidden="1">
      <c r="A778" s="2845"/>
      <c r="B778" s="1926" t="s">
        <v>342</v>
      </c>
      <c r="C778" s="2846" t="s">
        <v>246</v>
      </c>
      <c r="D778" s="2847"/>
      <c r="E778" s="2554"/>
      <c r="F778" s="2554"/>
      <c r="G778" s="2554"/>
      <c r="H778" s="2554"/>
      <c r="I778" s="2554"/>
      <c r="J778" s="2554"/>
      <c r="K778" s="2554"/>
      <c r="L778" s="2554"/>
      <c r="M778" s="2554"/>
      <c r="N778" s="2554"/>
      <c r="O778" s="2554"/>
      <c r="P778" s="2554"/>
      <c r="Q778" s="2554"/>
    </row>
    <row r="779" spans="1:17" hidden="1">
      <c r="A779" s="2862"/>
      <c r="B779" s="1946" t="s">
        <v>235</v>
      </c>
      <c r="C779" s="2868" t="s">
        <v>246</v>
      </c>
      <c r="D779" s="2870"/>
      <c r="E779" s="2554"/>
      <c r="F779" s="2554"/>
      <c r="G779" s="2554"/>
      <c r="H779" s="2554"/>
      <c r="I779" s="2554"/>
      <c r="J779" s="2554"/>
      <c r="K779" s="2554"/>
      <c r="L779" s="2554"/>
      <c r="M779" s="2554"/>
      <c r="N779" s="2554"/>
      <c r="O779" s="2554"/>
      <c r="P779" s="2554"/>
      <c r="Q779" s="2554"/>
    </row>
    <row r="780" spans="1:17" hidden="1">
      <c r="A780" s="2842"/>
      <c r="B780" s="1924" t="s">
        <v>341</v>
      </c>
      <c r="C780" s="2843" t="s">
        <v>246</v>
      </c>
      <c r="D780" s="2844"/>
      <c r="E780" s="2554"/>
      <c r="F780" s="2554"/>
      <c r="G780" s="2554"/>
      <c r="H780" s="2554"/>
      <c r="I780" s="2554"/>
      <c r="J780" s="2554"/>
      <c r="K780" s="2554"/>
      <c r="L780" s="2554"/>
      <c r="M780" s="2554"/>
      <c r="N780" s="2554"/>
      <c r="O780" s="2554"/>
      <c r="P780" s="2554"/>
      <c r="Q780" s="2554"/>
    </row>
    <row r="781" spans="1:17" hidden="1">
      <c r="A781" s="2845"/>
      <c r="B781" s="1926" t="s">
        <v>342</v>
      </c>
      <c r="C781" s="2846" t="s">
        <v>246</v>
      </c>
      <c r="D781" s="2847"/>
      <c r="E781" s="2554"/>
      <c r="F781" s="2554"/>
      <c r="G781" s="2554"/>
      <c r="H781" s="2554"/>
      <c r="I781" s="2554"/>
      <c r="J781" s="2554"/>
      <c r="K781" s="2554"/>
      <c r="L781" s="2554"/>
      <c r="M781" s="2554"/>
      <c r="N781" s="2554"/>
      <c r="O781" s="2554"/>
      <c r="P781" s="2554"/>
      <c r="Q781" s="2554"/>
    </row>
    <row r="782" spans="1:17" hidden="1">
      <c r="A782" s="2862"/>
      <c r="B782" s="1938" t="s">
        <v>230</v>
      </c>
      <c r="C782" s="2865" t="s">
        <v>246</v>
      </c>
      <c r="D782" s="2858">
        <v>2.73</v>
      </c>
      <c r="E782" s="2554"/>
      <c r="F782" s="2554"/>
      <c r="G782" s="2554"/>
      <c r="H782" s="2554"/>
      <c r="I782" s="2554"/>
      <c r="J782" s="2554"/>
      <c r="K782" s="2554"/>
      <c r="L782" s="2554"/>
      <c r="M782" s="2554"/>
      <c r="N782" s="2554"/>
      <c r="O782" s="2554"/>
      <c r="P782" s="2554"/>
      <c r="Q782" s="2554"/>
    </row>
    <row r="783" spans="1:17" hidden="1">
      <c r="A783" s="2842"/>
      <c r="B783" s="1924" t="s">
        <v>341</v>
      </c>
      <c r="C783" s="2843" t="s">
        <v>246</v>
      </c>
      <c r="D783" s="2844">
        <v>2.73</v>
      </c>
      <c r="E783" s="2554"/>
      <c r="F783" s="2554"/>
      <c r="G783" s="2554"/>
      <c r="H783" s="2554"/>
      <c r="I783" s="2554"/>
      <c r="J783" s="2554"/>
      <c r="K783" s="2554"/>
      <c r="L783" s="2554"/>
      <c r="M783" s="2554"/>
      <c r="N783" s="2554"/>
      <c r="O783" s="2554"/>
      <c r="P783" s="2554"/>
      <c r="Q783" s="2554"/>
    </row>
    <row r="784" spans="1:17" hidden="1">
      <c r="A784" s="2845"/>
      <c r="B784" s="1926" t="s">
        <v>342</v>
      </c>
      <c r="C784" s="2846" t="s">
        <v>246</v>
      </c>
      <c r="D784" s="2847"/>
      <c r="E784" s="2554"/>
      <c r="F784" s="2554"/>
      <c r="G784" s="2554"/>
      <c r="H784" s="2554"/>
      <c r="I784" s="2554"/>
      <c r="J784" s="2554"/>
      <c r="K784" s="2554"/>
      <c r="L784" s="2554"/>
      <c r="M784" s="2554"/>
      <c r="N784" s="2554"/>
      <c r="O784" s="2554"/>
      <c r="P784" s="2554"/>
      <c r="Q784" s="2554"/>
    </row>
    <row r="785" spans="1:17" hidden="1">
      <c r="A785" s="2862"/>
      <c r="B785" s="1938" t="s">
        <v>231</v>
      </c>
      <c r="C785" s="2865" t="s">
        <v>246</v>
      </c>
      <c r="D785" s="2858">
        <v>1.36</v>
      </c>
      <c r="E785" s="2554"/>
      <c r="F785" s="2554"/>
      <c r="G785" s="2554"/>
      <c r="H785" s="2554"/>
      <c r="I785" s="2554"/>
      <c r="J785" s="2554"/>
      <c r="K785" s="2554"/>
      <c r="L785" s="2554"/>
      <c r="M785" s="2554"/>
      <c r="N785" s="2554"/>
      <c r="O785" s="2554"/>
      <c r="P785" s="2554"/>
      <c r="Q785" s="2554"/>
    </row>
    <row r="786" spans="1:17" hidden="1">
      <c r="A786" s="2842"/>
      <c r="B786" s="1924" t="s">
        <v>341</v>
      </c>
      <c r="C786" s="2843" t="s">
        <v>246</v>
      </c>
      <c r="D786" s="2844">
        <v>1.36</v>
      </c>
      <c r="E786" s="2554"/>
      <c r="F786" s="2554"/>
      <c r="G786" s="2554"/>
      <c r="H786" s="2554"/>
      <c r="I786" s="2554"/>
      <c r="J786" s="2554"/>
      <c r="K786" s="2554"/>
      <c r="L786" s="2554"/>
      <c r="M786" s="2554"/>
      <c r="N786" s="2554"/>
      <c r="O786" s="2554"/>
      <c r="P786" s="2554"/>
      <c r="Q786" s="2554"/>
    </row>
    <row r="787" spans="1:17" hidden="1">
      <c r="A787" s="2845"/>
      <c r="B787" s="1926" t="s">
        <v>342</v>
      </c>
      <c r="C787" s="2846" t="s">
        <v>246</v>
      </c>
      <c r="D787" s="2847"/>
      <c r="E787" s="2554"/>
      <c r="F787" s="2554"/>
      <c r="G787" s="2554"/>
      <c r="H787" s="2554"/>
      <c r="I787" s="2554"/>
      <c r="J787" s="2554"/>
      <c r="K787" s="2554"/>
      <c r="L787" s="2554"/>
      <c r="M787" s="2554"/>
      <c r="N787" s="2554"/>
      <c r="O787" s="2554"/>
      <c r="P787" s="2554"/>
      <c r="Q787" s="2554"/>
    </row>
    <row r="788" spans="1:17" hidden="1">
      <c r="A788" s="2862"/>
      <c r="B788" s="1945" t="s">
        <v>236</v>
      </c>
      <c r="C788" s="2868" t="s">
        <v>246</v>
      </c>
      <c r="D788" s="2858">
        <v>2.68</v>
      </c>
      <c r="E788" s="2554"/>
      <c r="F788" s="2554"/>
      <c r="G788" s="2554"/>
      <c r="H788" s="2554"/>
      <c r="I788" s="2554"/>
      <c r="J788" s="2554"/>
      <c r="K788" s="2554"/>
      <c r="L788" s="2554"/>
      <c r="M788" s="2554"/>
      <c r="N788" s="2554"/>
      <c r="O788" s="2554"/>
      <c r="P788" s="2554"/>
      <c r="Q788" s="2554"/>
    </row>
    <row r="789" spans="1:17" hidden="1">
      <c r="A789" s="2842"/>
      <c r="B789" s="1924" t="s">
        <v>341</v>
      </c>
      <c r="C789" s="2843" t="s">
        <v>246</v>
      </c>
      <c r="D789" s="2844">
        <v>2.68</v>
      </c>
      <c r="E789" s="2554"/>
      <c r="F789" s="2554"/>
      <c r="G789" s="2554"/>
      <c r="H789" s="2554"/>
      <c r="I789" s="2554"/>
      <c r="J789" s="2554"/>
      <c r="K789" s="2554"/>
      <c r="L789" s="2554"/>
      <c r="M789" s="2554"/>
      <c r="N789" s="2554"/>
      <c r="O789" s="2554"/>
      <c r="P789" s="2554"/>
      <c r="Q789" s="2554"/>
    </row>
    <row r="790" spans="1:17" hidden="1">
      <c r="A790" s="2845"/>
      <c r="B790" s="1926" t="s">
        <v>342</v>
      </c>
      <c r="C790" s="2846" t="s">
        <v>246</v>
      </c>
      <c r="D790" s="2847"/>
      <c r="E790" s="2554"/>
      <c r="F790" s="2554"/>
      <c r="G790" s="2554"/>
      <c r="H790" s="2554"/>
      <c r="I790" s="2554"/>
      <c r="J790" s="2554"/>
      <c r="K790" s="2554"/>
      <c r="L790" s="2554"/>
      <c r="M790" s="2554"/>
      <c r="N790" s="2554"/>
      <c r="O790" s="2554"/>
      <c r="P790" s="2554"/>
      <c r="Q790" s="2554"/>
    </row>
    <row r="791" spans="1:17" hidden="1">
      <c r="A791" s="2862"/>
      <c r="B791" s="1946" t="s">
        <v>237</v>
      </c>
      <c r="C791" s="2868" t="s">
        <v>246</v>
      </c>
      <c r="D791" s="2870"/>
      <c r="E791" s="2554"/>
      <c r="F791" s="2554"/>
      <c r="G791" s="2554"/>
      <c r="H791" s="2554"/>
      <c r="I791" s="2554"/>
      <c r="J791" s="2554"/>
      <c r="K791" s="2554"/>
      <c r="L791" s="2554"/>
      <c r="M791" s="2554"/>
      <c r="N791" s="2554"/>
      <c r="O791" s="2554"/>
      <c r="P791" s="2554"/>
      <c r="Q791" s="2554"/>
    </row>
    <row r="792" spans="1:17" hidden="1">
      <c r="A792" s="2842"/>
      <c r="B792" s="1924" t="s">
        <v>341</v>
      </c>
      <c r="C792" s="2843" t="s">
        <v>246</v>
      </c>
      <c r="D792" s="2844"/>
      <c r="E792" s="2554"/>
      <c r="F792" s="2554"/>
      <c r="G792" s="2554"/>
      <c r="H792" s="2554"/>
      <c r="I792" s="2554"/>
      <c r="J792" s="2554"/>
      <c r="K792" s="2554"/>
      <c r="L792" s="2554"/>
      <c r="M792" s="2554"/>
      <c r="N792" s="2554"/>
      <c r="O792" s="2554"/>
      <c r="P792" s="2554"/>
      <c r="Q792" s="2554"/>
    </row>
    <row r="793" spans="1:17" hidden="1">
      <c r="A793" s="2845"/>
      <c r="B793" s="1926" t="s">
        <v>342</v>
      </c>
      <c r="C793" s="2846" t="s">
        <v>246</v>
      </c>
      <c r="D793" s="2847"/>
      <c r="E793" s="2554"/>
      <c r="F793" s="2554"/>
      <c r="G793" s="2554"/>
      <c r="H793" s="2554"/>
      <c r="I793" s="2554"/>
      <c r="J793" s="2554"/>
      <c r="K793" s="2554"/>
      <c r="L793" s="2554"/>
      <c r="M793" s="2554"/>
      <c r="N793" s="2554"/>
      <c r="O793" s="2554"/>
      <c r="P793" s="2554"/>
      <c r="Q793" s="2554"/>
    </row>
    <row r="794" spans="1:17" hidden="1">
      <c r="A794" s="2862"/>
      <c r="B794" s="1938" t="s">
        <v>230</v>
      </c>
      <c r="C794" s="2865" t="s">
        <v>246</v>
      </c>
      <c r="D794" s="2858">
        <v>2.73</v>
      </c>
      <c r="E794" s="2554"/>
      <c r="F794" s="2554"/>
      <c r="G794" s="2554"/>
      <c r="H794" s="2554"/>
      <c r="I794" s="2554"/>
      <c r="J794" s="2554"/>
      <c r="K794" s="2554"/>
      <c r="L794" s="2554"/>
      <c r="M794" s="2554"/>
      <c r="N794" s="2554"/>
      <c r="O794" s="2554"/>
      <c r="P794" s="2554"/>
      <c r="Q794" s="2554"/>
    </row>
    <row r="795" spans="1:17" hidden="1">
      <c r="A795" s="2842"/>
      <c r="B795" s="1924" t="s">
        <v>341</v>
      </c>
      <c r="C795" s="2843" t="s">
        <v>246</v>
      </c>
      <c r="D795" s="2844">
        <v>2.73</v>
      </c>
      <c r="E795" s="2554"/>
      <c r="F795" s="2554"/>
      <c r="G795" s="2554"/>
      <c r="H795" s="2554"/>
      <c r="I795" s="2554"/>
      <c r="J795" s="2554"/>
      <c r="K795" s="2554"/>
      <c r="L795" s="2554"/>
      <c r="M795" s="2554"/>
      <c r="N795" s="2554"/>
      <c r="O795" s="2554"/>
      <c r="P795" s="2554"/>
      <c r="Q795" s="2554"/>
    </row>
    <row r="796" spans="1:17" hidden="1">
      <c r="A796" s="2845"/>
      <c r="B796" s="1926" t="s">
        <v>342</v>
      </c>
      <c r="C796" s="2846" t="s">
        <v>246</v>
      </c>
      <c r="D796" s="2847"/>
      <c r="E796" s="2554"/>
      <c r="F796" s="2554"/>
      <c r="G796" s="2554"/>
      <c r="H796" s="2554"/>
      <c r="I796" s="2554"/>
      <c r="J796" s="2554"/>
      <c r="K796" s="2554"/>
      <c r="L796" s="2554"/>
      <c r="M796" s="2554"/>
      <c r="N796" s="2554"/>
      <c r="O796" s="2554"/>
      <c r="P796" s="2554"/>
      <c r="Q796" s="2554"/>
    </row>
    <row r="797" spans="1:17" hidden="1">
      <c r="A797" s="2862"/>
      <c r="B797" s="1938" t="s">
        <v>231</v>
      </c>
      <c r="C797" s="2865" t="s">
        <v>246</v>
      </c>
      <c r="D797" s="2858">
        <v>1.36</v>
      </c>
      <c r="E797" s="2554"/>
      <c r="F797" s="2554"/>
      <c r="G797" s="2554"/>
      <c r="H797" s="2554"/>
      <c r="I797" s="2554"/>
      <c r="J797" s="2554"/>
      <c r="K797" s="2554"/>
      <c r="L797" s="2554"/>
      <c r="M797" s="2554"/>
      <c r="N797" s="2554"/>
      <c r="O797" s="2554"/>
      <c r="P797" s="2554"/>
      <c r="Q797" s="2554"/>
    </row>
    <row r="798" spans="1:17" hidden="1">
      <c r="A798" s="2842"/>
      <c r="B798" s="1924" t="s">
        <v>341</v>
      </c>
      <c r="C798" s="2843" t="s">
        <v>246</v>
      </c>
      <c r="D798" s="2844">
        <v>1.36</v>
      </c>
      <c r="E798" s="2554"/>
      <c r="F798" s="2554"/>
      <c r="G798" s="2554"/>
      <c r="H798" s="2554"/>
      <c r="I798" s="2554"/>
      <c r="J798" s="2554"/>
      <c r="K798" s="2554"/>
      <c r="L798" s="2554"/>
      <c r="M798" s="2554"/>
      <c r="N798" s="2554"/>
      <c r="O798" s="2554"/>
      <c r="P798" s="2554"/>
      <c r="Q798" s="2554"/>
    </row>
    <row r="799" spans="1:17" hidden="1">
      <c r="A799" s="2845"/>
      <c r="B799" s="1926" t="s">
        <v>342</v>
      </c>
      <c r="C799" s="2846" t="s">
        <v>246</v>
      </c>
      <c r="D799" s="2847"/>
      <c r="E799" s="2554"/>
      <c r="F799" s="2554"/>
      <c r="G799" s="2554"/>
      <c r="H799" s="2554"/>
      <c r="I799" s="2554"/>
      <c r="J799" s="2554"/>
      <c r="K799" s="2554"/>
      <c r="L799" s="2554"/>
      <c r="M799" s="2554"/>
      <c r="N799" s="2554"/>
      <c r="O799" s="2554"/>
      <c r="P799" s="2554"/>
      <c r="Q799" s="2554"/>
    </row>
    <row r="800" spans="1:17" hidden="1">
      <c r="A800" s="2859"/>
      <c r="B800" s="1935" t="s">
        <v>238</v>
      </c>
      <c r="C800" s="2860" t="s">
        <v>246</v>
      </c>
      <c r="D800" s="2871">
        <v>1.9196299999999999</v>
      </c>
      <c r="E800" s="2554"/>
      <c r="F800" s="2554"/>
      <c r="G800" s="2554"/>
      <c r="H800" s="2554"/>
      <c r="I800" s="2554"/>
      <c r="J800" s="2554"/>
      <c r="K800" s="2554"/>
      <c r="L800" s="2554"/>
      <c r="M800" s="2554"/>
      <c r="N800" s="2554"/>
      <c r="O800" s="2554"/>
      <c r="P800" s="2554"/>
      <c r="Q800" s="2554"/>
    </row>
    <row r="801" spans="1:17" hidden="1">
      <c r="A801" s="2856"/>
      <c r="B801" s="1938" t="s">
        <v>222</v>
      </c>
      <c r="C801" s="2865" t="s">
        <v>246</v>
      </c>
      <c r="D801" s="2858">
        <v>1.9196299999999999</v>
      </c>
      <c r="E801" s="2554"/>
      <c r="F801" s="2554"/>
      <c r="G801" s="2554"/>
      <c r="H801" s="2554"/>
      <c r="I801" s="2554"/>
      <c r="J801" s="2554"/>
      <c r="K801" s="2554"/>
      <c r="L801" s="2554"/>
      <c r="M801" s="2554"/>
      <c r="N801" s="2554"/>
      <c r="O801" s="2554"/>
      <c r="P801" s="2554"/>
      <c r="Q801" s="2554"/>
    </row>
    <row r="802" spans="1:17" hidden="1">
      <c r="A802" s="2856"/>
      <c r="B802" s="1938" t="s">
        <v>223</v>
      </c>
      <c r="C802" s="2865" t="s">
        <v>246</v>
      </c>
      <c r="D802" s="2858">
        <v>1.9196299999999999</v>
      </c>
      <c r="E802" s="2554"/>
      <c r="F802" s="2554"/>
      <c r="G802" s="2554"/>
      <c r="H802" s="2554"/>
      <c r="I802" s="2554"/>
      <c r="J802" s="2554"/>
      <c r="K802" s="2554"/>
      <c r="L802" s="2554"/>
      <c r="M802" s="2554"/>
      <c r="N802" s="2554"/>
      <c r="O802" s="2554"/>
      <c r="P802" s="2554"/>
      <c r="Q802" s="2554"/>
    </row>
    <row r="803" spans="1:17" hidden="1">
      <c r="A803" s="2856"/>
      <c r="B803" s="1938" t="s">
        <v>224</v>
      </c>
      <c r="C803" s="2865" t="s">
        <v>246</v>
      </c>
      <c r="D803" s="2858">
        <v>1.9196299999999999</v>
      </c>
      <c r="E803" s="2554"/>
      <c r="F803" s="2554"/>
      <c r="G803" s="2554"/>
      <c r="H803" s="2554"/>
      <c r="I803" s="2554"/>
      <c r="J803" s="2554"/>
      <c r="K803" s="2554"/>
      <c r="L803" s="2554"/>
      <c r="M803" s="2554"/>
      <c r="N803" s="2554"/>
      <c r="O803" s="2554"/>
      <c r="P803" s="2554"/>
      <c r="Q803" s="2554"/>
    </row>
    <row r="804" spans="1:17" ht="19.5" hidden="1">
      <c r="A804" s="2872"/>
      <c r="B804" s="1949" t="s">
        <v>351</v>
      </c>
      <c r="C804" s="2873"/>
      <c r="D804" s="2874"/>
      <c r="E804" s="2554"/>
      <c r="F804" s="2554"/>
      <c r="G804" s="2554"/>
      <c r="H804" s="2554"/>
      <c r="I804" s="2554"/>
      <c r="J804" s="2554"/>
      <c r="K804" s="2554"/>
      <c r="L804" s="2554"/>
      <c r="M804" s="2554"/>
      <c r="N804" s="2554"/>
      <c r="O804" s="2554"/>
      <c r="P804" s="2554"/>
      <c r="Q804" s="2554"/>
    </row>
    <row r="805" spans="1:17" hidden="1">
      <c r="A805" s="2856"/>
      <c r="B805" s="1938" t="s">
        <v>352</v>
      </c>
      <c r="C805" s="2865" t="s">
        <v>246</v>
      </c>
      <c r="D805" s="2858">
        <v>1.5717399999999999</v>
      </c>
      <c r="E805" s="2554"/>
      <c r="F805" s="2554"/>
      <c r="G805" s="2554"/>
      <c r="H805" s="2554"/>
      <c r="I805" s="2554"/>
      <c r="J805" s="2554"/>
      <c r="K805" s="2554"/>
      <c r="L805" s="2554"/>
      <c r="M805" s="2554"/>
      <c r="N805" s="2554"/>
      <c r="O805" s="2554"/>
      <c r="P805" s="2554"/>
      <c r="Q805" s="2554"/>
    </row>
    <row r="806" spans="1:17" hidden="1">
      <c r="A806" s="2856"/>
      <c r="B806" s="1938"/>
      <c r="C806" s="2865"/>
      <c r="D806" s="2858"/>
      <c r="E806" s="2554"/>
      <c r="F806" s="2554"/>
      <c r="G806" s="2554"/>
      <c r="H806" s="2554"/>
      <c r="I806" s="2554"/>
      <c r="J806" s="2554"/>
      <c r="K806" s="2554"/>
      <c r="L806" s="2554"/>
      <c r="M806" s="2554"/>
      <c r="N806" s="2554"/>
      <c r="O806" s="2554"/>
      <c r="P806" s="2554"/>
      <c r="Q806" s="2554"/>
    </row>
    <row r="807" spans="1:17" ht="18" hidden="1">
      <c r="A807" s="372" t="s">
        <v>44</v>
      </c>
      <c r="B807" s="266" t="s">
        <v>247</v>
      </c>
      <c r="C807" s="267" t="s">
        <v>248</v>
      </c>
      <c r="D807" s="2875">
        <v>8.8430400103465839E-2</v>
      </c>
      <c r="E807" s="2554"/>
      <c r="F807" s="2554"/>
      <c r="G807" s="2554"/>
      <c r="H807" s="2554"/>
      <c r="I807" s="2554"/>
      <c r="J807" s="2554"/>
      <c r="K807" s="2554"/>
      <c r="L807" s="2554"/>
      <c r="M807" s="2554"/>
      <c r="N807" s="2554"/>
      <c r="O807" s="2554"/>
      <c r="P807" s="2554"/>
      <c r="Q807" s="2554"/>
    </row>
    <row r="808" spans="1:17" ht="18" hidden="1">
      <c r="A808" s="372" t="s">
        <v>45</v>
      </c>
      <c r="B808" s="260" t="s">
        <v>249</v>
      </c>
      <c r="C808" s="267" t="s">
        <v>240</v>
      </c>
      <c r="D808" s="2848">
        <v>86.503527000000005</v>
      </c>
      <c r="E808" s="2554"/>
      <c r="F808" s="2554"/>
      <c r="G808" s="2554"/>
      <c r="H808" s="2554"/>
      <c r="I808" s="2554"/>
      <c r="J808" s="2554"/>
      <c r="K808" s="2554"/>
      <c r="L808" s="2554"/>
      <c r="M808" s="2554"/>
      <c r="N808" s="2554"/>
      <c r="O808" s="2554"/>
      <c r="P808" s="2554"/>
      <c r="Q808" s="2554"/>
    </row>
    <row r="809" spans="1:17" hidden="1">
      <c r="A809" s="395"/>
      <c r="B809" s="260" t="s">
        <v>250</v>
      </c>
      <c r="C809" s="267" t="s">
        <v>240</v>
      </c>
      <c r="D809" s="2848">
        <v>85.964589000000004</v>
      </c>
      <c r="E809" s="2554"/>
      <c r="F809" s="2554"/>
      <c r="G809" s="2554"/>
      <c r="H809" s="2554"/>
      <c r="I809" s="2554"/>
      <c r="J809" s="2554"/>
      <c r="K809" s="2554"/>
      <c r="L809" s="2554"/>
      <c r="M809" s="2554"/>
      <c r="N809" s="2554"/>
      <c r="O809" s="2554"/>
      <c r="P809" s="2554"/>
      <c r="Q809" s="2554"/>
    </row>
    <row r="810" spans="1:17" hidden="1">
      <c r="A810" s="384"/>
      <c r="B810" s="234" t="s">
        <v>251</v>
      </c>
      <c r="C810" s="235" t="s">
        <v>240</v>
      </c>
      <c r="D810" s="2831">
        <v>85.964589000000004</v>
      </c>
      <c r="E810" s="2554"/>
      <c r="F810" s="2554"/>
      <c r="G810" s="2554"/>
      <c r="H810" s="2554"/>
      <c r="I810" s="2554"/>
      <c r="J810" s="2554"/>
      <c r="K810" s="2554"/>
      <c r="L810" s="2554"/>
      <c r="M810" s="2554"/>
      <c r="N810" s="2554"/>
      <c r="O810" s="2554"/>
      <c r="P810" s="2554"/>
      <c r="Q810" s="2554"/>
    </row>
    <row r="811" spans="1:17" hidden="1">
      <c r="A811" s="384"/>
      <c r="B811" s="234" t="s">
        <v>252</v>
      </c>
      <c r="C811" s="235" t="s">
        <v>240</v>
      </c>
      <c r="D811" s="2831">
        <v>0</v>
      </c>
      <c r="E811" s="2554"/>
      <c r="F811" s="2554"/>
      <c r="G811" s="2554"/>
      <c r="H811" s="2554"/>
      <c r="I811" s="2554"/>
      <c r="J811" s="2554"/>
      <c r="K811" s="2554"/>
      <c r="L811" s="2554"/>
      <c r="M811" s="2554"/>
      <c r="N811" s="2554"/>
      <c r="O811" s="2554"/>
      <c r="P811" s="2554"/>
      <c r="Q811" s="2554"/>
    </row>
    <row r="812" spans="1:17" hidden="1">
      <c r="A812" s="384"/>
      <c r="B812" s="234" t="s">
        <v>253</v>
      </c>
      <c r="C812" s="235" t="s">
        <v>240</v>
      </c>
      <c r="D812" s="2831">
        <v>0</v>
      </c>
      <c r="E812" s="2554"/>
      <c r="F812" s="2554"/>
      <c r="G812" s="2554"/>
      <c r="H812" s="2554"/>
      <c r="I812" s="2554"/>
      <c r="J812" s="2554"/>
      <c r="K812" s="2554"/>
      <c r="L812" s="2554"/>
      <c r="M812" s="2554"/>
      <c r="N812" s="2554"/>
      <c r="O812" s="2554"/>
      <c r="P812" s="2554"/>
      <c r="Q812" s="2554"/>
    </row>
    <row r="813" spans="1:17" hidden="1">
      <c r="A813" s="2876"/>
      <c r="B813" s="1951" t="s">
        <v>222</v>
      </c>
      <c r="C813" s="2877" t="s">
        <v>240</v>
      </c>
      <c r="D813" s="2878">
        <v>0</v>
      </c>
      <c r="E813" s="2554"/>
      <c r="F813" s="2554"/>
      <c r="G813" s="2554"/>
      <c r="H813" s="2554"/>
      <c r="I813" s="2554"/>
      <c r="J813" s="2554"/>
      <c r="K813" s="2554"/>
      <c r="L813" s="2554"/>
      <c r="M813" s="2554"/>
      <c r="N813" s="2554"/>
      <c r="O813" s="2554"/>
      <c r="P813" s="2554"/>
      <c r="Q813" s="2554"/>
    </row>
    <row r="814" spans="1:17" hidden="1">
      <c r="A814" s="2876"/>
      <c r="B814" s="1951" t="s">
        <v>223</v>
      </c>
      <c r="C814" s="2877" t="s">
        <v>240</v>
      </c>
      <c r="D814" s="2878">
        <v>0</v>
      </c>
      <c r="E814" s="2554"/>
      <c r="F814" s="2554"/>
      <c r="G814" s="2554"/>
      <c r="H814" s="2554"/>
      <c r="I814" s="2554"/>
      <c r="J814" s="2554"/>
      <c r="K814" s="2554"/>
      <c r="L814" s="2554"/>
      <c r="M814" s="2554"/>
      <c r="N814" s="2554"/>
      <c r="O814" s="2554"/>
      <c r="P814" s="2554"/>
      <c r="Q814" s="2554"/>
    </row>
    <row r="815" spans="1:17" hidden="1">
      <c r="A815" s="384"/>
      <c r="B815" s="234" t="s">
        <v>254</v>
      </c>
      <c r="C815" s="235" t="s">
        <v>240</v>
      </c>
      <c r="D815" s="2831">
        <v>0.53893800000000003</v>
      </c>
      <c r="E815" s="2554"/>
      <c r="F815" s="2554"/>
      <c r="G815" s="2554"/>
      <c r="H815" s="2554"/>
      <c r="I815" s="2554"/>
      <c r="J815" s="2554"/>
      <c r="K815" s="2554"/>
      <c r="L815" s="2554"/>
      <c r="M815" s="2554"/>
      <c r="N815" s="2554"/>
      <c r="O815" s="2554"/>
      <c r="P815" s="2554"/>
      <c r="Q815" s="2554"/>
    </row>
    <row r="816" spans="1:17" hidden="1">
      <c r="A816" s="397"/>
      <c r="B816" s="266" t="s">
        <v>255</v>
      </c>
      <c r="C816" s="267" t="s">
        <v>246</v>
      </c>
      <c r="D816" s="2848">
        <v>1.5701733018932298</v>
      </c>
      <c r="E816" s="2554"/>
      <c r="F816" s="2554"/>
      <c r="G816" s="2554"/>
      <c r="H816" s="2554"/>
      <c r="I816" s="2554"/>
      <c r="J816" s="2554"/>
      <c r="K816" s="2554"/>
      <c r="L816" s="2554"/>
      <c r="M816" s="2554"/>
      <c r="N816" s="2554"/>
      <c r="O816" s="2554"/>
      <c r="P816" s="2554"/>
      <c r="Q816" s="2554"/>
    </row>
    <row r="817" spans="1:17" hidden="1">
      <c r="A817" s="384"/>
      <c r="B817" s="234" t="s">
        <v>256</v>
      </c>
      <c r="C817" s="235" t="s">
        <v>246</v>
      </c>
      <c r="D817" s="2831"/>
      <c r="E817" s="2554"/>
      <c r="F817" s="2554"/>
      <c r="G817" s="2554"/>
      <c r="H817" s="2554"/>
      <c r="I817" s="2554"/>
      <c r="J817" s="2554"/>
      <c r="K817" s="2554"/>
      <c r="L817" s="2554"/>
      <c r="M817" s="2554"/>
      <c r="N817" s="2554"/>
      <c r="O817" s="2554"/>
      <c r="P817" s="2554"/>
      <c r="Q817" s="2554"/>
    </row>
    <row r="818" spans="1:17" hidden="1">
      <c r="A818" s="384"/>
      <c r="B818" s="234" t="s">
        <v>257</v>
      </c>
      <c r="C818" s="235" t="s">
        <v>246</v>
      </c>
      <c r="D818" s="2831"/>
      <c r="E818" s="2554"/>
      <c r="F818" s="2554"/>
      <c r="G818" s="2554"/>
      <c r="H818" s="2554"/>
      <c r="I818" s="2554"/>
      <c r="J818" s="2554"/>
      <c r="K818" s="2554"/>
      <c r="L818" s="2554"/>
      <c r="M818" s="2554"/>
      <c r="N818" s="2554"/>
      <c r="O818" s="2554"/>
      <c r="P818" s="2554"/>
      <c r="Q818" s="2554"/>
    </row>
    <row r="819" spans="1:17" hidden="1">
      <c r="A819" s="384"/>
      <c r="B819" s="234" t="s">
        <v>258</v>
      </c>
      <c r="C819" s="235" t="s">
        <v>246</v>
      </c>
      <c r="D819" s="2831">
        <v>1.366263</v>
      </c>
      <c r="E819" s="2554"/>
      <c r="F819" s="2554"/>
      <c r="G819" s="2554"/>
      <c r="H819" s="2554"/>
      <c r="I819" s="2554"/>
      <c r="J819" s="2554"/>
      <c r="K819" s="2554"/>
      <c r="L819" s="2554"/>
      <c r="M819" s="2554"/>
      <c r="N819" s="2554"/>
      <c r="O819" s="2554"/>
      <c r="P819" s="2554"/>
      <c r="Q819" s="2554"/>
    </row>
    <row r="820" spans="1:17" hidden="1">
      <c r="A820" s="384"/>
      <c r="B820" s="234" t="s">
        <v>252</v>
      </c>
      <c r="C820" s="235" t="s">
        <v>246</v>
      </c>
      <c r="D820" s="2831"/>
      <c r="E820" s="2554"/>
      <c r="F820" s="2554"/>
      <c r="G820" s="2554"/>
      <c r="H820" s="2554"/>
      <c r="I820" s="2554"/>
      <c r="J820" s="2554"/>
      <c r="K820" s="2554"/>
      <c r="L820" s="2554"/>
      <c r="M820" s="2554"/>
      <c r="N820" s="2554"/>
      <c r="O820" s="2554"/>
      <c r="P820" s="2554"/>
      <c r="Q820" s="2554"/>
    </row>
    <row r="821" spans="1:17" hidden="1">
      <c r="A821" s="384"/>
      <c r="B821" s="234" t="s">
        <v>253</v>
      </c>
      <c r="C821" s="235" t="s">
        <v>246</v>
      </c>
      <c r="D821" s="2831"/>
      <c r="E821" s="2554"/>
      <c r="F821" s="2554"/>
      <c r="G821" s="2554"/>
      <c r="H821" s="2554"/>
      <c r="I821" s="2554"/>
      <c r="J821" s="2554"/>
      <c r="K821" s="2554"/>
      <c r="L821" s="2554"/>
      <c r="M821" s="2554"/>
      <c r="N821" s="2554"/>
      <c r="O821" s="2554"/>
      <c r="P821" s="2554"/>
      <c r="Q821" s="2554"/>
    </row>
    <row r="822" spans="1:17" hidden="1">
      <c r="A822" s="384"/>
      <c r="B822" s="234" t="s">
        <v>254</v>
      </c>
      <c r="C822" s="235" t="s">
        <v>246</v>
      </c>
      <c r="D822" s="2831"/>
      <c r="E822" s="2554"/>
      <c r="F822" s="2554"/>
      <c r="G822" s="2554"/>
      <c r="H822" s="2554"/>
      <c r="I822" s="2554"/>
      <c r="J822" s="2554"/>
      <c r="K822" s="2554"/>
      <c r="L822" s="2554"/>
      <c r="M822" s="2554"/>
      <c r="N822" s="2554"/>
      <c r="O822" s="2554"/>
      <c r="P822" s="2554"/>
      <c r="Q822" s="2554"/>
    </row>
    <row r="823" spans="1:17" hidden="1">
      <c r="A823" s="397"/>
      <c r="B823" s="266" t="s">
        <v>259</v>
      </c>
      <c r="C823" s="267" t="s">
        <v>212</v>
      </c>
      <c r="D823" s="2848">
        <v>135.82552861500017</v>
      </c>
      <c r="E823" s="2554"/>
      <c r="F823" s="2554"/>
      <c r="G823" s="2554"/>
      <c r="H823" s="2554"/>
      <c r="I823" s="2554"/>
      <c r="J823" s="2554"/>
      <c r="K823" s="2554"/>
      <c r="L823" s="2554"/>
      <c r="M823" s="2554"/>
      <c r="N823" s="2554"/>
      <c r="O823" s="2554"/>
      <c r="P823" s="2554"/>
      <c r="Q823" s="2554"/>
    </row>
    <row r="824" spans="1:17" hidden="1">
      <c r="A824" s="398"/>
      <c r="B824" s="266" t="s">
        <v>260</v>
      </c>
      <c r="C824" s="267" t="s">
        <v>212</v>
      </c>
      <c r="D824" s="2848">
        <v>134.06588291</v>
      </c>
      <c r="E824" s="2554"/>
      <c r="F824" s="2554"/>
      <c r="G824" s="2554"/>
      <c r="H824" s="2554"/>
      <c r="I824" s="2554"/>
      <c r="J824" s="2554"/>
      <c r="K824" s="2554"/>
      <c r="L824" s="2554"/>
      <c r="M824" s="2554"/>
      <c r="N824" s="2554"/>
      <c r="O824" s="2554"/>
      <c r="P824" s="2554"/>
      <c r="Q824" s="2554"/>
    </row>
    <row r="825" spans="1:17" hidden="1">
      <c r="A825" s="384"/>
      <c r="B825" s="234" t="s">
        <v>251</v>
      </c>
      <c r="C825" s="235" t="s">
        <v>212</v>
      </c>
      <c r="D825" s="2831">
        <v>134.06588291</v>
      </c>
      <c r="E825" s="2554"/>
      <c r="F825" s="2554"/>
      <c r="G825" s="2554"/>
      <c r="H825" s="2554"/>
      <c r="I825" s="2554"/>
      <c r="J825" s="2554"/>
      <c r="K825" s="2554"/>
      <c r="L825" s="2554"/>
      <c r="M825" s="2554"/>
      <c r="N825" s="2554"/>
      <c r="O825" s="2554"/>
      <c r="P825" s="2554"/>
      <c r="Q825" s="2554"/>
    </row>
    <row r="826" spans="1:17" hidden="1">
      <c r="A826" s="384"/>
      <c r="B826" s="234" t="s">
        <v>252</v>
      </c>
      <c r="C826" s="235" t="s">
        <v>212</v>
      </c>
      <c r="D826" s="2831"/>
      <c r="E826" s="2554"/>
      <c r="F826" s="2554"/>
      <c r="G826" s="2554"/>
      <c r="H826" s="2554"/>
      <c r="I826" s="2554"/>
      <c r="J826" s="2554"/>
      <c r="K826" s="2554"/>
      <c r="L826" s="2554"/>
      <c r="M826" s="2554"/>
      <c r="N826" s="2554"/>
      <c r="O826" s="2554"/>
      <c r="P826" s="2554"/>
      <c r="Q826" s="2554"/>
    </row>
    <row r="827" spans="1:17" hidden="1">
      <c r="A827" s="384"/>
      <c r="B827" s="234" t="s">
        <v>253</v>
      </c>
      <c r="C827" s="235" t="s">
        <v>212</v>
      </c>
      <c r="D827" s="2831"/>
      <c r="E827" s="2554"/>
      <c r="F827" s="2554"/>
      <c r="G827" s="2554"/>
      <c r="H827" s="2554"/>
      <c r="I827" s="2554"/>
      <c r="J827" s="2554"/>
      <c r="K827" s="2554"/>
      <c r="L827" s="2554"/>
      <c r="M827" s="2554"/>
      <c r="N827" s="2554"/>
      <c r="O827" s="2554"/>
      <c r="P827" s="2554"/>
      <c r="Q827" s="2554"/>
    </row>
    <row r="828" spans="1:17" hidden="1">
      <c r="A828" s="384"/>
      <c r="B828" s="234" t="s">
        <v>254</v>
      </c>
      <c r="C828" s="235" t="s">
        <v>212</v>
      </c>
      <c r="D828" s="2831">
        <v>1.7596457050001559</v>
      </c>
      <c r="E828" s="2554"/>
      <c r="F828" s="2554"/>
      <c r="G828" s="2554"/>
      <c r="H828" s="2554"/>
      <c r="I828" s="2554"/>
      <c r="J828" s="2554"/>
      <c r="K828" s="2554"/>
      <c r="L828" s="2554"/>
      <c r="M828" s="2554"/>
      <c r="N828" s="2554"/>
      <c r="O828" s="2554"/>
      <c r="P828" s="2554"/>
      <c r="Q828" s="2554"/>
    </row>
    <row r="829" spans="1:17" hidden="1">
      <c r="A829" s="384"/>
      <c r="B829" s="234"/>
      <c r="C829" s="235"/>
      <c r="D829" s="2831"/>
      <c r="E829" s="2554"/>
      <c r="F829" s="2554"/>
      <c r="G829" s="2554"/>
      <c r="H829" s="2554"/>
      <c r="I829" s="2554"/>
      <c r="J829" s="2554"/>
      <c r="K829" s="2554"/>
      <c r="L829" s="2554"/>
      <c r="M829" s="2554"/>
      <c r="N829" s="2554"/>
      <c r="O829" s="2554"/>
      <c r="P829" s="2554"/>
      <c r="Q829" s="2554"/>
    </row>
    <row r="830" spans="1:17" ht="19.5" hidden="1">
      <c r="A830" s="2872"/>
      <c r="B830" s="1949" t="s">
        <v>353</v>
      </c>
      <c r="C830" s="2873"/>
      <c r="D830" s="2874"/>
      <c r="E830" s="2554"/>
      <c r="F830" s="2554"/>
      <c r="G830" s="2554"/>
      <c r="H830" s="2554"/>
      <c r="I830" s="2554"/>
      <c r="J830" s="2554"/>
      <c r="K830" s="2554"/>
      <c r="L830" s="2554"/>
      <c r="M830" s="2554"/>
      <c r="N830" s="2554"/>
      <c r="O830" s="2554"/>
      <c r="P830" s="2554"/>
      <c r="Q830" s="2554"/>
    </row>
    <row r="831" spans="1:17" ht="18" hidden="1">
      <c r="A831" s="372" t="s">
        <v>52</v>
      </c>
      <c r="B831" s="399" t="s">
        <v>354</v>
      </c>
      <c r="C831" s="400" t="s">
        <v>240</v>
      </c>
      <c r="D831" s="2848">
        <v>77.565933000000001</v>
      </c>
      <c r="E831" s="2554"/>
      <c r="F831" s="2554"/>
      <c r="G831" s="2554"/>
      <c r="H831" s="2554"/>
      <c r="I831" s="2554"/>
      <c r="J831" s="2554"/>
      <c r="K831" s="2554"/>
      <c r="L831" s="2554"/>
      <c r="M831" s="2554"/>
      <c r="N831" s="2554"/>
      <c r="O831" s="2554"/>
      <c r="P831" s="2554"/>
      <c r="Q831" s="2554"/>
    </row>
    <row r="832" spans="1:17" hidden="1">
      <c r="A832" s="397"/>
      <c r="B832" s="266" t="s">
        <v>261</v>
      </c>
      <c r="C832" s="267" t="s">
        <v>240</v>
      </c>
      <c r="D832" s="2848">
        <v>43.025647999999997</v>
      </c>
      <c r="E832" s="2554"/>
      <c r="F832" s="2554"/>
      <c r="G832" s="2554"/>
      <c r="H832" s="2554"/>
      <c r="I832" s="2554"/>
      <c r="J832" s="2554"/>
      <c r="K832" s="2554"/>
      <c r="L832" s="2554"/>
      <c r="M832" s="2554"/>
      <c r="N832" s="2554"/>
      <c r="O832" s="2554"/>
      <c r="P832" s="2554"/>
      <c r="Q832" s="2554"/>
    </row>
    <row r="833" spans="1:17" hidden="1">
      <c r="A833" s="384"/>
      <c r="B833" s="234" t="s">
        <v>222</v>
      </c>
      <c r="C833" s="235" t="s">
        <v>240</v>
      </c>
      <c r="D833" s="2831">
        <v>4.3769179999999999</v>
      </c>
      <c r="E833" s="2554"/>
      <c r="F833" s="2554"/>
      <c r="G833" s="2554"/>
      <c r="H833" s="2554"/>
      <c r="I833" s="2554"/>
      <c r="J833" s="2554"/>
      <c r="K833" s="2554"/>
      <c r="L833" s="2554"/>
      <c r="M833" s="2554"/>
      <c r="N833" s="2554"/>
      <c r="O833" s="2554"/>
      <c r="P833" s="2554"/>
      <c r="Q833" s="2554"/>
    </row>
    <row r="834" spans="1:17" hidden="1">
      <c r="A834" s="384"/>
      <c r="B834" s="234" t="s">
        <v>223</v>
      </c>
      <c r="C834" s="235" t="s">
        <v>240</v>
      </c>
      <c r="D834" s="2831">
        <v>31.314513999999999</v>
      </c>
      <c r="E834" s="2554"/>
      <c r="F834" s="2554"/>
      <c r="G834" s="2554"/>
      <c r="H834" s="2554"/>
      <c r="I834" s="2554"/>
      <c r="J834" s="2554"/>
      <c r="K834" s="2554"/>
      <c r="L834" s="2554"/>
      <c r="M834" s="2554"/>
      <c r="N834" s="2554"/>
      <c r="O834" s="2554"/>
      <c r="P834" s="2554"/>
      <c r="Q834" s="2554"/>
    </row>
    <row r="835" spans="1:17" hidden="1">
      <c r="A835" s="384"/>
      <c r="B835" s="234" t="s">
        <v>224</v>
      </c>
      <c r="C835" s="235" t="s">
        <v>240</v>
      </c>
      <c r="D835" s="2831">
        <v>7.3342159999999996</v>
      </c>
      <c r="E835" s="2554"/>
      <c r="F835" s="2554"/>
      <c r="G835" s="2554"/>
      <c r="H835" s="2554"/>
      <c r="I835" s="2554"/>
      <c r="J835" s="2554"/>
      <c r="K835" s="2554"/>
      <c r="L835" s="2554"/>
      <c r="M835" s="2554"/>
      <c r="N835" s="2554"/>
      <c r="O835" s="2554"/>
      <c r="P835" s="2554"/>
      <c r="Q835" s="2554"/>
    </row>
    <row r="836" spans="1:17" hidden="1">
      <c r="A836" s="397"/>
      <c r="B836" s="266" t="s">
        <v>262</v>
      </c>
      <c r="C836" s="267"/>
      <c r="D836" s="2848">
        <v>2.1108990092026039</v>
      </c>
      <c r="E836" s="2554"/>
      <c r="F836" s="2554"/>
      <c r="G836" s="2554"/>
      <c r="H836" s="2554"/>
      <c r="I836" s="2554"/>
      <c r="J836" s="2554"/>
      <c r="K836" s="2554"/>
      <c r="L836" s="2554"/>
      <c r="M836" s="2554"/>
      <c r="N836" s="2554"/>
      <c r="O836" s="2554"/>
      <c r="P836" s="2554"/>
      <c r="Q836" s="2554"/>
    </row>
    <row r="837" spans="1:17" hidden="1">
      <c r="A837" s="384"/>
      <c r="B837" s="234" t="s">
        <v>222</v>
      </c>
      <c r="C837" s="235"/>
      <c r="D837" s="2831">
        <v>1.9650099999999999</v>
      </c>
      <c r="E837" s="2554"/>
      <c r="F837" s="2554"/>
      <c r="G837" s="2554"/>
      <c r="H837" s="2554"/>
      <c r="I837" s="2554"/>
      <c r="J837" s="2554"/>
      <c r="K837" s="2554"/>
      <c r="L837" s="2554"/>
      <c r="M837" s="2554"/>
      <c r="N837" s="2554"/>
      <c r="O837" s="2554"/>
      <c r="P837" s="2554"/>
      <c r="Q837" s="2554"/>
    </row>
    <row r="838" spans="1:17" hidden="1">
      <c r="A838" s="384"/>
      <c r="B838" s="234" t="s">
        <v>223</v>
      </c>
      <c r="C838" s="235"/>
      <c r="D838" s="2831">
        <v>2.10548</v>
      </c>
      <c r="E838" s="2554"/>
      <c r="F838" s="2554"/>
      <c r="G838" s="2554"/>
      <c r="H838" s="2554"/>
      <c r="I838" s="2554"/>
      <c r="J838" s="2554"/>
      <c r="K838" s="2554"/>
      <c r="L838" s="2554"/>
      <c r="M838" s="2554"/>
      <c r="N838" s="2554"/>
      <c r="O838" s="2554"/>
      <c r="P838" s="2554"/>
      <c r="Q838" s="2554"/>
    </row>
    <row r="839" spans="1:17" hidden="1">
      <c r="A839" s="384"/>
      <c r="B839" s="234" t="s">
        <v>224</v>
      </c>
      <c r="C839" s="235"/>
      <c r="D839" s="2831">
        <v>2.2210999999999999</v>
      </c>
      <c r="E839" s="2554"/>
      <c r="F839" s="2554"/>
      <c r="G839" s="2554"/>
      <c r="H839" s="2554"/>
      <c r="I839" s="2554"/>
      <c r="J839" s="2554"/>
      <c r="K839" s="2554"/>
      <c r="L839" s="2554"/>
      <c r="M839" s="2554"/>
      <c r="N839" s="2554"/>
      <c r="O839" s="2554"/>
      <c r="P839" s="2554"/>
      <c r="Q839" s="2554"/>
    </row>
    <row r="840" spans="1:17" hidden="1">
      <c r="A840" s="397"/>
      <c r="B840" s="266" t="s">
        <v>263</v>
      </c>
      <c r="C840" s="267" t="s">
        <v>212</v>
      </c>
      <c r="D840" s="2848">
        <v>90.822797733499982</v>
      </c>
      <c r="E840" s="2554"/>
      <c r="F840" s="2554"/>
      <c r="G840" s="2554"/>
      <c r="H840" s="2554"/>
      <c r="I840" s="2554"/>
      <c r="J840" s="2554"/>
      <c r="K840" s="2554"/>
      <c r="L840" s="2554"/>
      <c r="M840" s="2554"/>
      <c r="N840" s="2554"/>
      <c r="O840" s="2554"/>
      <c r="P840" s="2554"/>
      <c r="Q840" s="2554"/>
    </row>
    <row r="841" spans="1:17" hidden="1">
      <c r="A841" s="384"/>
      <c r="B841" s="234" t="s">
        <v>222</v>
      </c>
      <c r="C841" s="235" t="s">
        <v>212</v>
      </c>
      <c r="D841" s="2831">
        <v>8.6006876391800002</v>
      </c>
      <c r="E841" s="2554"/>
      <c r="F841" s="2554"/>
      <c r="G841" s="2554"/>
      <c r="H841" s="2554"/>
      <c r="I841" s="2554"/>
      <c r="J841" s="2554"/>
      <c r="K841" s="2554"/>
      <c r="L841" s="2554"/>
      <c r="M841" s="2554"/>
      <c r="N841" s="2554"/>
      <c r="O841" s="2554"/>
      <c r="P841" s="2554"/>
      <c r="Q841" s="2554"/>
    </row>
    <row r="842" spans="1:17" hidden="1">
      <c r="A842" s="384"/>
      <c r="B842" s="234" t="s">
        <v>223</v>
      </c>
      <c r="C842" s="235" t="s">
        <v>212</v>
      </c>
      <c r="D842" s="2831">
        <v>65.932082936719993</v>
      </c>
      <c r="E842" s="2554"/>
      <c r="F842" s="2554"/>
      <c r="G842" s="2554"/>
      <c r="H842" s="2554"/>
      <c r="I842" s="2554"/>
      <c r="J842" s="2554"/>
      <c r="K842" s="2554"/>
      <c r="L842" s="2554"/>
      <c r="M842" s="2554"/>
      <c r="N842" s="2554"/>
      <c r="O842" s="2554"/>
      <c r="P842" s="2554"/>
      <c r="Q842" s="2554"/>
    </row>
    <row r="843" spans="1:17" hidden="1">
      <c r="A843" s="384"/>
      <c r="B843" s="234" t="s">
        <v>224</v>
      </c>
      <c r="C843" s="235" t="s">
        <v>212</v>
      </c>
      <c r="D843" s="2831">
        <v>16.290027157599997</v>
      </c>
      <c r="E843" s="2554"/>
      <c r="F843" s="2554"/>
      <c r="G843" s="2554"/>
      <c r="H843" s="2554"/>
      <c r="I843" s="2554"/>
      <c r="J843" s="2554"/>
      <c r="K843" s="2554"/>
      <c r="L843" s="2554"/>
      <c r="M843" s="2554"/>
      <c r="N843" s="2554"/>
      <c r="O843" s="2554"/>
      <c r="P843" s="2554"/>
      <c r="Q843" s="2554"/>
    </row>
    <row r="844" spans="1:17" hidden="1">
      <c r="A844" s="384"/>
      <c r="B844" s="1953" t="s">
        <v>24</v>
      </c>
      <c r="C844" s="2879" t="s">
        <v>212</v>
      </c>
      <c r="D844" s="2880">
        <v>0</v>
      </c>
      <c r="E844" s="2554"/>
      <c r="F844" s="2554"/>
      <c r="G844" s="2554"/>
      <c r="H844" s="2554"/>
      <c r="I844" s="2554"/>
      <c r="J844" s="2554"/>
      <c r="K844" s="2554"/>
      <c r="L844" s="2554"/>
      <c r="M844" s="2554"/>
      <c r="N844" s="2554"/>
      <c r="O844" s="2554"/>
      <c r="P844" s="2554"/>
      <c r="Q844" s="2554"/>
    </row>
    <row r="845" spans="1:17" ht="18" hidden="1">
      <c r="A845" s="372"/>
      <c r="B845" s="260" t="s">
        <v>355</v>
      </c>
      <c r="C845" s="233" t="s">
        <v>240</v>
      </c>
      <c r="D845" s="2848">
        <v>33.626984999999998</v>
      </c>
      <c r="E845" s="2554"/>
      <c r="F845" s="2554"/>
      <c r="G845" s="2554"/>
      <c r="H845" s="2554"/>
      <c r="I845" s="2554"/>
      <c r="J845" s="2554"/>
      <c r="K845" s="2554"/>
      <c r="L845" s="2554"/>
      <c r="M845" s="2554"/>
      <c r="N845" s="2554"/>
      <c r="O845" s="2554"/>
      <c r="P845" s="2554"/>
      <c r="Q845" s="2554"/>
    </row>
    <row r="846" spans="1:17" hidden="1">
      <c r="A846" s="397"/>
      <c r="B846" s="266" t="s">
        <v>356</v>
      </c>
      <c r="C846" s="267" t="s">
        <v>240</v>
      </c>
      <c r="D846" s="2848">
        <v>9.0675369999999997</v>
      </c>
      <c r="E846" s="2554"/>
      <c r="F846" s="2554"/>
      <c r="G846" s="2554"/>
      <c r="H846" s="2554"/>
      <c r="I846" s="2554"/>
      <c r="J846" s="2554"/>
      <c r="K846" s="2554"/>
      <c r="L846" s="2554"/>
      <c r="M846" s="2554"/>
      <c r="N846" s="2554"/>
      <c r="O846" s="2554"/>
      <c r="P846" s="2554"/>
      <c r="Q846" s="2554"/>
    </row>
    <row r="847" spans="1:17" ht="29.25" hidden="1">
      <c r="A847" s="401"/>
      <c r="B847" s="402" t="s">
        <v>357</v>
      </c>
      <c r="C847" s="403" t="s">
        <v>240</v>
      </c>
      <c r="D847" s="2881">
        <v>9.0675369999999997</v>
      </c>
      <c r="E847" s="2554"/>
      <c r="F847" s="2554"/>
      <c r="G847" s="2554"/>
      <c r="H847" s="2554"/>
      <c r="I847" s="2554"/>
      <c r="J847" s="2554"/>
      <c r="K847" s="2554"/>
      <c r="L847" s="2554"/>
      <c r="M847" s="2554"/>
      <c r="N847" s="2554"/>
      <c r="O847" s="2554"/>
      <c r="P847" s="2554"/>
      <c r="Q847" s="2554"/>
    </row>
    <row r="848" spans="1:17" ht="29.25" hidden="1">
      <c r="A848" s="401"/>
      <c r="B848" s="402" t="s">
        <v>358</v>
      </c>
      <c r="C848" s="403" t="s">
        <v>240</v>
      </c>
      <c r="D848" s="2881">
        <v>0</v>
      </c>
      <c r="E848" s="2554"/>
      <c r="F848" s="2554"/>
      <c r="G848" s="2554"/>
      <c r="H848" s="2554"/>
      <c r="I848" s="2554"/>
      <c r="J848" s="2554"/>
      <c r="K848" s="2554"/>
      <c r="L848" s="2554"/>
      <c r="M848" s="2554"/>
      <c r="N848" s="2554"/>
      <c r="O848" s="2554"/>
      <c r="P848" s="2554"/>
      <c r="Q848" s="2554"/>
    </row>
    <row r="849" spans="1:17" hidden="1">
      <c r="A849" s="2882"/>
      <c r="B849" s="1955" t="s">
        <v>359</v>
      </c>
      <c r="C849" s="2883"/>
      <c r="D849" s="2884">
        <v>1.3296300000000001</v>
      </c>
      <c r="E849" s="2554"/>
      <c r="F849" s="2554"/>
      <c r="G849" s="2554"/>
      <c r="H849" s="2554"/>
      <c r="I849" s="2554"/>
      <c r="J849" s="2554"/>
      <c r="K849" s="2554"/>
      <c r="L849" s="2554"/>
      <c r="M849" s="2554"/>
      <c r="N849" s="2554"/>
      <c r="O849" s="2554"/>
      <c r="P849" s="2554"/>
      <c r="Q849" s="2554"/>
    </row>
    <row r="850" spans="1:17" hidden="1">
      <c r="A850" s="2882"/>
      <c r="B850" s="1955" t="s">
        <v>360</v>
      </c>
      <c r="C850" s="2883"/>
      <c r="D850" s="2884"/>
      <c r="E850" s="2554"/>
      <c r="F850" s="2554"/>
      <c r="G850" s="2554"/>
      <c r="H850" s="2554"/>
      <c r="I850" s="2554"/>
      <c r="J850" s="2554"/>
      <c r="K850" s="2554"/>
      <c r="L850" s="2554"/>
      <c r="M850" s="2554"/>
      <c r="N850" s="2554"/>
      <c r="O850" s="2554"/>
      <c r="P850" s="2554"/>
      <c r="Q850" s="2554"/>
    </row>
    <row r="851" spans="1:17" hidden="1">
      <c r="A851" s="407"/>
      <c r="B851" s="260" t="s">
        <v>361</v>
      </c>
      <c r="C851" s="233" t="s">
        <v>212</v>
      </c>
      <c r="D851" s="2848">
        <v>12.056469221310001</v>
      </c>
      <c r="E851" s="2554"/>
      <c r="F851" s="2554"/>
      <c r="G851" s="2554"/>
      <c r="H851" s="2554"/>
      <c r="I851" s="2554"/>
      <c r="J851" s="2554"/>
      <c r="K851" s="2554"/>
      <c r="L851" s="2554"/>
      <c r="M851" s="2554"/>
      <c r="N851" s="2554"/>
      <c r="O851" s="2554"/>
      <c r="P851" s="2554"/>
      <c r="Q851" s="2554"/>
    </row>
    <row r="852" spans="1:17" hidden="1">
      <c r="A852" s="407"/>
      <c r="B852" s="260" t="s">
        <v>362</v>
      </c>
      <c r="C852" s="233" t="s">
        <v>240</v>
      </c>
      <c r="D852" s="2848">
        <v>24.559448</v>
      </c>
      <c r="E852" s="2554"/>
      <c r="F852" s="2554"/>
      <c r="G852" s="2554"/>
      <c r="H852" s="2554"/>
      <c r="I852" s="2554"/>
      <c r="J852" s="2554"/>
      <c r="K852" s="2554"/>
      <c r="L852" s="2554"/>
      <c r="M852" s="2554"/>
      <c r="N852" s="2554"/>
      <c r="O852" s="2554"/>
      <c r="P852" s="2554"/>
      <c r="Q852" s="2554"/>
    </row>
    <row r="853" spans="1:17" ht="29.25" hidden="1">
      <c r="A853" s="401"/>
      <c r="B853" s="402" t="s">
        <v>363</v>
      </c>
      <c r="C853" s="403" t="s">
        <v>240</v>
      </c>
      <c r="D853" s="2881">
        <v>24.559448</v>
      </c>
      <c r="E853" s="2554"/>
      <c r="F853" s="2554"/>
      <c r="G853" s="2554"/>
      <c r="H853" s="2554"/>
      <c r="I853" s="2554"/>
      <c r="J853" s="2554"/>
      <c r="K853" s="2554"/>
      <c r="L853" s="2554"/>
      <c r="M853" s="2554"/>
      <c r="N853" s="2554"/>
      <c r="O853" s="2554"/>
      <c r="P853" s="2554"/>
      <c r="Q853" s="2554"/>
    </row>
    <row r="854" spans="1:17" ht="29.25" hidden="1">
      <c r="A854" s="401"/>
      <c r="B854" s="402" t="s">
        <v>364</v>
      </c>
      <c r="C854" s="403" t="s">
        <v>240</v>
      </c>
      <c r="D854" s="2881"/>
      <c r="E854" s="2554"/>
      <c r="F854" s="2554"/>
      <c r="G854" s="2554"/>
      <c r="H854" s="2554"/>
      <c r="I854" s="2554"/>
      <c r="J854" s="2554"/>
      <c r="K854" s="2554"/>
      <c r="L854" s="2554"/>
      <c r="M854" s="2554"/>
      <c r="N854" s="2554"/>
      <c r="O854" s="2554"/>
      <c r="P854" s="2554"/>
      <c r="Q854" s="2554"/>
    </row>
    <row r="855" spans="1:17" hidden="1">
      <c r="A855" s="2882"/>
      <c r="B855" s="1955" t="s">
        <v>359</v>
      </c>
      <c r="C855" s="2883"/>
      <c r="D855" s="2884">
        <v>0.21468000000000001</v>
      </c>
      <c r="E855" s="2554"/>
      <c r="F855" s="2554"/>
      <c r="G855" s="2554"/>
      <c r="H855" s="2554"/>
      <c r="I855" s="2554"/>
      <c r="J855" s="2554"/>
      <c r="K855" s="2554"/>
      <c r="L855" s="2554"/>
      <c r="M855" s="2554"/>
      <c r="N855" s="2554"/>
      <c r="O855" s="2554"/>
      <c r="P855" s="2554"/>
      <c r="Q855" s="2554"/>
    </row>
    <row r="856" spans="1:17" hidden="1">
      <c r="A856" s="2882"/>
      <c r="B856" s="1955" t="s">
        <v>360</v>
      </c>
      <c r="C856" s="2883"/>
      <c r="D856" s="2884"/>
      <c r="E856" s="2554"/>
      <c r="F856" s="2554"/>
      <c r="G856" s="2554"/>
      <c r="H856" s="2554"/>
      <c r="I856" s="2554"/>
      <c r="J856" s="2554"/>
      <c r="K856" s="2554"/>
      <c r="L856" s="2554"/>
      <c r="M856" s="2554"/>
      <c r="N856" s="2554"/>
      <c r="O856" s="2554"/>
      <c r="P856" s="2554"/>
      <c r="Q856" s="2554"/>
    </row>
    <row r="857" spans="1:17" hidden="1">
      <c r="A857" s="397"/>
      <c r="B857" s="266" t="s">
        <v>365</v>
      </c>
      <c r="C857" s="267" t="s">
        <v>212</v>
      </c>
      <c r="D857" s="2848">
        <v>5.2724222966400003</v>
      </c>
      <c r="E857" s="2554"/>
      <c r="F857" s="2554"/>
      <c r="G857" s="2554"/>
      <c r="H857" s="2554"/>
      <c r="I857" s="2554"/>
      <c r="J857" s="2554"/>
      <c r="K857" s="2554"/>
      <c r="L857" s="2554"/>
      <c r="M857" s="2554"/>
      <c r="N857" s="2554"/>
      <c r="O857" s="2554"/>
      <c r="P857" s="2554"/>
      <c r="Q857" s="2554"/>
    </row>
    <row r="858" spans="1:17" hidden="1">
      <c r="A858" s="407"/>
      <c r="B858" s="260" t="s">
        <v>366</v>
      </c>
      <c r="C858" s="233" t="s">
        <v>212</v>
      </c>
      <c r="D858" s="2848">
        <v>17.328891517950002</v>
      </c>
      <c r="E858" s="2554"/>
      <c r="F858" s="2554"/>
      <c r="G858" s="2554"/>
      <c r="H858" s="2554"/>
      <c r="I858" s="2554"/>
      <c r="J858" s="2554"/>
      <c r="K858" s="2554"/>
      <c r="L858" s="2554"/>
      <c r="M858" s="2554"/>
      <c r="N858" s="2554"/>
      <c r="O858" s="2554"/>
      <c r="P858" s="2554"/>
      <c r="Q858" s="2554"/>
    </row>
    <row r="859" spans="1:17" hidden="1">
      <c r="A859" s="2885"/>
      <c r="B859" s="1959"/>
      <c r="C859" s="2886"/>
      <c r="D859" s="2887"/>
      <c r="E859" s="2554"/>
      <c r="F859" s="2554"/>
      <c r="G859" s="2554"/>
      <c r="H859" s="2554"/>
      <c r="I859" s="2554"/>
      <c r="J859" s="2554"/>
      <c r="K859" s="2554"/>
      <c r="L859" s="2554"/>
      <c r="M859" s="2554"/>
      <c r="N859" s="2554"/>
      <c r="O859" s="2554"/>
      <c r="P859" s="2554"/>
      <c r="Q859" s="2554"/>
    </row>
    <row r="860" spans="1:17" ht="57.75" hidden="1">
      <c r="A860" s="397"/>
      <c r="B860" s="597" t="s">
        <v>436</v>
      </c>
      <c r="C860" s="267" t="s">
        <v>240</v>
      </c>
      <c r="D860" s="2848">
        <v>0.9133</v>
      </c>
      <c r="E860" s="2554"/>
      <c r="F860" s="2554"/>
      <c r="G860" s="2554"/>
      <c r="H860" s="2554"/>
      <c r="I860" s="2554"/>
      <c r="J860" s="2554"/>
      <c r="K860" s="2554"/>
      <c r="L860" s="2554"/>
      <c r="M860" s="2554"/>
      <c r="N860" s="2554"/>
      <c r="O860" s="2554"/>
      <c r="P860" s="2554"/>
      <c r="Q860" s="2554"/>
    </row>
    <row r="861" spans="1:17" hidden="1">
      <c r="A861" s="384"/>
      <c r="B861" s="234" t="s">
        <v>222</v>
      </c>
      <c r="C861" s="235" t="s">
        <v>240</v>
      </c>
      <c r="D861" s="2831">
        <v>0</v>
      </c>
      <c r="E861" s="2554"/>
      <c r="F861" s="2554"/>
      <c r="G861" s="2554"/>
      <c r="H861" s="2554"/>
      <c r="I861" s="2554"/>
      <c r="J861" s="2554"/>
      <c r="K861" s="2554"/>
      <c r="L861" s="2554"/>
      <c r="M861" s="2554"/>
      <c r="N861" s="2554"/>
      <c r="O861" s="2554"/>
      <c r="P861" s="2554"/>
      <c r="Q861" s="2554"/>
    </row>
    <row r="862" spans="1:17" hidden="1">
      <c r="A862" s="384"/>
      <c r="B862" s="234" t="s">
        <v>223</v>
      </c>
      <c r="C862" s="235" t="s">
        <v>240</v>
      </c>
      <c r="D862" s="2831">
        <v>2.6869999999999997E-3</v>
      </c>
      <c r="E862" s="2554"/>
      <c r="F862" s="2554"/>
      <c r="G862" s="2554"/>
      <c r="H862" s="2554"/>
      <c r="I862" s="2554"/>
      <c r="J862" s="2554"/>
      <c r="K862" s="2554"/>
      <c r="L862" s="2554"/>
      <c r="M862" s="2554"/>
      <c r="N862" s="2554"/>
      <c r="O862" s="2554"/>
      <c r="P862" s="2554"/>
      <c r="Q862" s="2554"/>
    </row>
    <row r="863" spans="1:17" hidden="1">
      <c r="A863" s="384"/>
      <c r="B863" s="234" t="s">
        <v>224</v>
      </c>
      <c r="C863" s="235" t="s">
        <v>240</v>
      </c>
      <c r="D863" s="2831">
        <v>0.91061300000000001</v>
      </c>
      <c r="E863" s="2554"/>
      <c r="F863" s="2554"/>
      <c r="G863" s="2554"/>
      <c r="H863" s="2554"/>
      <c r="I863" s="2554"/>
      <c r="J863" s="2554"/>
      <c r="K863" s="2554"/>
      <c r="L863" s="2554"/>
      <c r="M863" s="2554"/>
      <c r="N863" s="2554"/>
      <c r="O863" s="2554"/>
      <c r="P863" s="2554"/>
      <c r="Q863" s="2554"/>
    </row>
    <row r="864" spans="1:17" hidden="1">
      <c r="A864" s="397"/>
      <c r="B864" s="598" t="s">
        <v>437</v>
      </c>
      <c r="C864" s="267"/>
      <c r="D864" s="2848"/>
      <c r="E864" s="2554"/>
      <c r="F864" s="2554"/>
      <c r="G864" s="2554"/>
      <c r="H864" s="2554"/>
      <c r="I864" s="2554"/>
      <c r="J864" s="2554"/>
      <c r="K864" s="2554"/>
      <c r="L864" s="2554"/>
      <c r="M864" s="2554"/>
      <c r="N864" s="2554"/>
      <c r="O864" s="2554"/>
      <c r="P864" s="2554"/>
      <c r="Q864" s="2554"/>
    </row>
    <row r="865" spans="1:17" hidden="1">
      <c r="A865" s="384"/>
      <c r="B865" s="234" t="s">
        <v>222</v>
      </c>
      <c r="C865" s="235"/>
      <c r="D865" s="2888"/>
      <c r="E865" s="2554"/>
      <c r="F865" s="2554"/>
      <c r="G865" s="2554"/>
      <c r="H865" s="2554"/>
      <c r="I865" s="2554"/>
      <c r="J865" s="2554"/>
      <c r="K865" s="2554"/>
      <c r="L865" s="2554"/>
      <c r="M865" s="2554"/>
      <c r="N865" s="2554"/>
      <c r="O865" s="2554"/>
      <c r="P865" s="2554"/>
      <c r="Q865" s="2554"/>
    </row>
    <row r="866" spans="1:17" hidden="1">
      <c r="A866" s="384"/>
      <c r="B866" s="234" t="s">
        <v>223</v>
      </c>
      <c r="C866" s="235"/>
      <c r="D866" s="2888">
        <v>0.20293</v>
      </c>
      <c r="E866" s="2554"/>
      <c r="F866" s="2554"/>
      <c r="G866" s="2554"/>
      <c r="H866" s="2554"/>
      <c r="I866" s="2554"/>
      <c r="J866" s="2554"/>
      <c r="K866" s="2554"/>
      <c r="L866" s="2554"/>
      <c r="M866" s="2554"/>
      <c r="N866" s="2554"/>
      <c r="O866" s="2554"/>
      <c r="P866" s="2554"/>
      <c r="Q866" s="2554"/>
    </row>
    <row r="867" spans="1:17" hidden="1">
      <c r="A867" s="384"/>
      <c r="B867" s="234" t="s">
        <v>224</v>
      </c>
      <c r="C867" s="235"/>
      <c r="D867" s="2888">
        <v>0.40905999999999998</v>
      </c>
      <c r="E867" s="2554"/>
      <c r="F867" s="2554"/>
      <c r="G867" s="2554"/>
      <c r="H867" s="2554"/>
      <c r="I867" s="2554"/>
      <c r="J867" s="2554"/>
      <c r="K867" s="2554"/>
      <c r="L867" s="2554"/>
      <c r="M867" s="2554"/>
      <c r="N867" s="2554"/>
      <c r="O867" s="2554"/>
      <c r="P867" s="2554"/>
      <c r="Q867" s="2554"/>
    </row>
    <row r="868" spans="1:17" hidden="1">
      <c r="A868" s="397"/>
      <c r="B868" s="266" t="s">
        <v>438</v>
      </c>
      <c r="C868" s="267" t="s">
        <v>212</v>
      </c>
      <c r="D868" s="2848">
        <v>0.37304062668999999</v>
      </c>
      <c r="E868" s="2554"/>
      <c r="F868" s="2554"/>
      <c r="G868" s="2554"/>
      <c r="H868" s="2554"/>
      <c r="I868" s="2554"/>
      <c r="J868" s="2554"/>
      <c r="K868" s="2554"/>
      <c r="L868" s="2554"/>
      <c r="M868" s="2554"/>
      <c r="N868" s="2554"/>
      <c r="O868" s="2554"/>
      <c r="P868" s="2554"/>
      <c r="Q868" s="2554"/>
    </row>
    <row r="869" spans="1:17" hidden="1">
      <c r="A869" s="384"/>
      <c r="B869" s="234" t="s">
        <v>222</v>
      </c>
      <c r="C869" s="235" t="s">
        <v>212</v>
      </c>
      <c r="D869" s="2831">
        <v>0</v>
      </c>
      <c r="E869" s="2554"/>
      <c r="F869" s="2554"/>
      <c r="G869" s="2554"/>
      <c r="H869" s="2554"/>
      <c r="I869" s="2554"/>
      <c r="J869" s="2554"/>
      <c r="K869" s="2554"/>
      <c r="L869" s="2554"/>
      <c r="M869" s="2554"/>
      <c r="N869" s="2554"/>
      <c r="O869" s="2554"/>
      <c r="P869" s="2554"/>
      <c r="Q869" s="2554"/>
    </row>
    <row r="870" spans="1:17" hidden="1">
      <c r="A870" s="384"/>
      <c r="B870" s="234" t="s">
        <v>223</v>
      </c>
      <c r="C870" s="235" t="s">
        <v>212</v>
      </c>
      <c r="D870" s="2831">
        <v>5.4527290999999991E-4</v>
      </c>
      <c r="E870" s="2554"/>
      <c r="F870" s="2554"/>
      <c r="G870" s="2554"/>
      <c r="H870" s="2554"/>
      <c r="I870" s="2554"/>
      <c r="J870" s="2554"/>
      <c r="K870" s="2554"/>
      <c r="L870" s="2554"/>
      <c r="M870" s="2554"/>
      <c r="N870" s="2554"/>
      <c r="O870" s="2554"/>
      <c r="P870" s="2554"/>
      <c r="Q870" s="2554"/>
    </row>
    <row r="871" spans="1:17" hidden="1">
      <c r="A871" s="384"/>
      <c r="B871" s="234" t="s">
        <v>224</v>
      </c>
      <c r="C871" s="235" t="s">
        <v>212</v>
      </c>
      <c r="D871" s="2831">
        <v>0.37249535377999998</v>
      </c>
      <c r="E871" s="2554"/>
      <c r="F871" s="2554"/>
      <c r="G871" s="2554"/>
      <c r="H871" s="2554"/>
      <c r="I871" s="2554"/>
      <c r="J871" s="2554"/>
      <c r="K871" s="2554"/>
      <c r="L871" s="2554"/>
      <c r="M871" s="2554"/>
      <c r="N871" s="2554"/>
      <c r="O871" s="2554"/>
      <c r="P871" s="2554"/>
      <c r="Q871" s="2554"/>
    </row>
    <row r="872" spans="1:17" hidden="1">
      <c r="A872" s="384"/>
      <c r="B872" s="234"/>
      <c r="C872" s="235"/>
      <c r="D872" s="2831"/>
      <c r="E872" s="2554"/>
      <c r="F872" s="2554"/>
      <c r="G872" s="2554"/>
      <c r="H872" s="2554"/>
      <c r="I872" s="2554"/>
      <c r="J872" s="2554"/>
      <c r="K872" s="2554"/>
      <c r="L872" s="2554"/>
      <c r="M872" s="2554"/>
      <c r="N872" s="2554"/>
      <c r="O872" s="2554"/>
      <c r="P872" s="2554"/>
      <c r="Q872" s="2554"/>
    </row>
    <row r="873" spans="1:17" ht="43.5" hidden="1">
      <c r="A873" s="397"/>
      <c r="B873" s="597" t="s">
        <v>418</v>
      </c>
      <c r="C873" s="267" t="s">
        <v>420</v>
      </c>
      <c r="D873" s="2848">
        <v>1.6479999999999999E-3</v>
      </c>
      <c r="E873" s="2554"/>
      <c r="F873" s="2554"/>
      <c r="G873" s="2554"/>
      <c r="H873" s="2554"/>
      <c r="I873" s="2554"/>
      <c r="J873" s="2554"/>
      <c r="K873" s="2554"/>
      <c r="L873" s="2554"/>
      <c r="M873" s="2554"/>
      <c r="N873" s="2554"/>
      <c r="O873" s="2554"/>
      <c r="P873" s="2554"/>
      <c r="Q873" s="2554"/>
    </row>
    <row r="874" spans="1:17" hidden="1">
      <c r="A874" s="384"/>
      <c r="B874" s="234" t="s">
        <v>222</v>
      </c>
      <c r="C874" s="235" t="s">
        <v>420</v>
      </c>
      <c r="D874" s="2831">
        <v>0</v>
      </c>
      <c r="E874" s="2554"/>
      <c r="F874" s="2554"/>
      <c r="G874" s="2554"/>
      <c r="H874" s="2554"/>
      <c r="I874" s="2554"/>
      <c r="J874" s="2554"/>
      <c r="K874" s="2554"/>
      <c r="L874" s="2554"/>
      <c r="M874" s="2554"/>
      <c r="N874" s="2554"/>
      <c r="O874" s="2554"/>
      <c r="P874" s="2554"/>
      <c r="Q874" s="2554"/>
    </row>
    <row r="875" spans="1:17" hidden="1">
      <c r="A875" s="384"/>
      <c r="B875" s="234" t="s">
        <v>223</v>
      </c>
      <c r="C875" s="235" t="s">
        <v>420</v>
      </c>
      <c r="D875" s="2831">
        <v>3.9999999999999998E-6</v>
      </c>
      <c r="E875" s="2554"/>
      <c r="F875" s="2554"/>
      <c r="G875" s="2554"/>
      <c r="H875" s="2554"/>
      <c r="I875" s="2554"/>
      <c r="J875" s="2554"/>
      <c r="K875" s="2554"/>
      <c r="L875" s="2554"/>
      <c r="M875" s="2554"/>
      <c r="N875" s="2554"/>
      <c r="O875" s="2554"/>
      <c r="P875" s="2554"/>
      <c r="Q875" s="2554"/>
    </row>
    <row r="876" spans="1:17" hidden="1">
      <c r="A876" s="384"/>
      <c r="B876" s="234" t="s">
        <v>224</v>
      </c>
      <c r="C876" s="235" t="s">
        <v>420</v>
      </c>
      <c r="D876" s="2831">
        <v>1.6439999999999998E-3</v>
      </c>
      <c r="E876" s="2554"/>
      <c r="F876" s="2554"/>
      <c r="G876" s="2554"/>
      <c r="H876" s="2554"/>
      <c r="I876" s="2554"/>
      <c r="J876" s="2554"/>
      <c r="K876" s="2554"/>
      <c r="L876" s="2554"/>
      <c r="M876" s="2554"/>
      <c r="N876" s="2554"/>
      <c r="O876" s="2554"/>
      <c r="P876" s="2554"/>
      <c r="Q876" s="2554"/>
    </row>
    <row r="877" spans="1:17" hidden="1">
      <c r="A877" s="397"/>
      <c r="B877" s="598" t="s">
        <v>437</v>
      </c>
      <c r="C877" s="267"/>
      <c r="D877" s="2848"/>
      <c r="E877" s="2554"/>
      <c r="F877" s="2554"/>
      <c r="G877" s="2554"/>
      <c r="H877" s="2554"/>
      <c r="I877" s="2554"/>
      <c r="J877" s="2554"/>
      <c r="K877" s="2554"/>
      <c r="L877" s="2554"/>
      <c r="M877" s="2554"/>
      <c r="N877" s="2554"/>
      <c r="O877" s="2554"/>
      <c r="P877" s="2554"/>
      <c r="Q877" s="2554"/>
    </row>
    <row r="878" spans="1:17" hidden="1">
      <c r="A878" s="384"/>
      <c r="B878" s="234" t="s">
        <v>222</v>
      </c>
      <c r="C878" s="235"/>
      <c r="D878" s="2831"/>
      <c r="E878" s="2554"/>
      <c r="F878" s="2554"/>
      <c r="G878" s="2554"/>
      <c r="H878" s="2554"/>
      <c r="I878" s="2554"/>
      <c r="J878" s="2554"/>
      <c r="K878" s="2554"/>
      <c r="L878" s="2554"/>
      <c r="M878" s="2554"/>
      <c r="N878" s="2554"/>
      <c r="O878" s="2554"/>
      <c r="P878" s="2554"/>
      <c r="Q878" s="2554"/>
    </row>
    <row r="879" spans="1:17" hidden="1">
      <c r="A879" s="384"/>
      <c r="B879" s="234" t="s">
        <v>223</v>
      </c>
      <c r="C879" s="235"/>
      <c r="D879" s="2831">
        <v>1354.15471</v>
      </c>
      <c r="E879" s="2554"/>
      <c r="F879" s="2554"/>
      <c r="G879" s="2554"/>
      <c r="H879" s="2554"/>
      <c r="I879" s="2554"/>
      <c r="J879" s="2554"/>
      <c r="K879" s="2554"/>
      <c r="L879" s="2554"/>
      <c r="M879" s="2554"/>
      <c r="N879" s="2554"/>
      <c r="O879" s="2554"/>
      <c r="P879" s="2554"/>
      <c r="Q879" s="2554"/>
    </row>
    <row r="880" spans="1:17" hidden="1">
      <c r="A880" s="384"/>
      <c r="B880" s="234" t="s">
        <v>224</v>
      </c>
      <c r="C880" s="235"/>
      <c r="D880" s="2831">
        <v>656.77356000000009</v>
      </c>
      <c r="E880" s="2554"/>
      <c r="F880" s="2554"/>
      <c r="G880" s="2554"/>
      <c r="H880" s="2554"/>
      <c r="I880" s="2554"/>
      <c r="J880" s="2554"/>
      <c r="K880" s="2554"/>
      <c r="L880" s="2554"/>
      <c r="M880" s="2554"/>
      <c r="N880" s="2554"/>
      <c r="O880" s="2554"/>
      <c r="P880" s="2554"/>
      <c r="Q880" s="2554"/>
    </row>
    <row r="881" spans="1:17" hidden="1">
      <c r="A881" s="397"/>
      <c r="B881" s="266" t="s">
        <v>438</v>
      </c>
      <c r="C881" s="267" t="s">
        <v>212</v>
      </c>
      <c r="D881" s="2848">
        <v>1.0851523514800001</v>
      </c>
      <c r="E881" s="2554"/>
      <c r="F881" s="2554"/>
      <c r="G881" s="2554"/>
      <c r="H881" s="2554"/>
      <c r="I881" s="2554"/>
      <c r="J881" s="2554"/>
      <c r="K881" s="2554"/>
      <c r="L881" s="2554"/>
      <c r="M881" s="2554"/>
      <c r="N881" s="2554"/>
      <c r="O881" s="2554"/>
      <c r="P881" s="2554"/>
      <c r="Q881" s="2554"/>
    </row>
    <row r="882" spans="1:17" hidden="1">
      <c r="A882" s="384"/>
      <c r="B882" s="234" t="s">
        <v>222</v>
      </c>
      <c r="C882" s="235" t="s">
        <v>212</v>
      </c>
      <c r="D882" s="2831">
        <v>0</v>
      </c>
      <c r="E882" s="2554"/>
      <c r="F882" s="2554"/>
      <c r="G882" s="2554"/>
      <c r="H882" s="2554"/>
      <c r="I882" s="2554"/>
      <c r="J882" s="2554"/>
      <c r="K882" s="2554"/>
      <c r="L882" s="2554"/>
      <c r="M882" s="2554"/>
      <c r="N882" s="2554"/>
      <c r="O882" s="2554"/>
      <c r="P882" s="2554"/>
      <c r="Q882" s="2554"/>
    </row>
    <row r="883" spans="1:17" hidden="1">
      <c r="A883" s="384"/>
      <c r="B883" s="234" t="s">
        <v>223</v>
      </c>
      <c r="C883" s="235" t="s">
        <v>212</v>
      </c>
      <c r="D883" s="2831">
        <v>5.4166188399999999E-3</v>
      </c>
      <c r="E883" s="2554"/>
      <c r="F883" s="2554"/>
      <c r="G883" s="2554"/>
      <c r="H883" s="2554"/>
      <c r="I883" s="2554"/>
      <c r="J883" s="2554"/>
      <c r="K883" s="2554"/>
      <c r="L883" s="2554"/>
      <c r="M883" s="2554"/>
      <c r="N883" s="2554"/>
      <c r="O883" s="2554"/>
      <c r="P883" s="2554"/>
      <c r="Q883" s="2554"/>
    </row>
    <row r="884" spans="1:17" hidden="1">
      <c r="A884" s="384"/>
      <c r="B884" s="234" t="s">
        <v>224</v>
      </c>
      <c r="C884" s="235" t="s">
        <v>212</v>
      </c>
      <c r="D884" s="2831">
        <v>1.0797357326400001</v>
      </c>
      <c r="E884" s="2554"/>
      <c r="F884" s="2554"/>
      <c r="G884" s="2554"/>
      <c r="H884" s="2554"/>
      <c r="I884" s="2554"/>
      <c r="J884" s="2554"/>
      <c r="K884" s="2554"/>
      <c r="L884" s="2554"/>
      <c r="M884" s="2554"/>
      <c r="N884" s="2554"/>
      <c r="O884" s="2554"/>
      <c r="P884" s="2554"/>
      <c r="Q884" s="2554"/>
    </row>
    <row r="885" spans="1:17" hidden="1">
      <c r="A885" s="2885"/>
      <c r="B885" s="2889"/>
      <c r="C885" s="2886"/>
      <c r="D885" s="2887"/>
      <c r="E885" s="2554"/>
      <c r="F885" s="2554"/>
      <c r="G885" s="2554"/>
      <c r="H885" s="2554"/>
      <c r="I885" s="2554"/>
      <c r="J885" s="2554"/>
      <c r="K885" s="2554"/>
      <c r="L885" s="2554"/>
      <c r="M885" s="2554"/>
      <c r="N885" s="2554"/>
      <c r="O885" s="2554"/>
      <c r="P885" s="2554"/>
      <c r="Q885" s="2554"/>
    </row>
    <row r="886" spans="1:17" ht="18" hidden="1">
      <c r="A886" s="372"/>
      <c r="B886" s="399" t="s">
        <v>264</v>
      </c>
      <c r="C886" s="400" t="s">
        <v>212</v>
      </c>
      <c r="D886" s="2848">
        <v>109.60988222961998</v>
      </c>
      <c r="E886" s="2554"/>
      <c r="F886" s="2554"/>
      <c r="G886" s="2554"/>
      <c r="H886" s="2554"/>
      <c r="I886" s="2554"/>
      <c r="J886" s="2554"/>
      <c r="K886" s="2554"/>
      <c r="L886" s="2554"/>
      <c r="M886" s="2554"/>
      <c r="N886" s="2554"/>
      <c r="O886" s="2554"/>
      <c r="P886" s="2554"/>
      <c r="Q886" s="2554"/>
    </row>
    <row r="887" spans="1:17" hidden="1">
      <c r="A887" s="2836"/>
      <c r="B887" s="1957"/>
      <c r="C887" s="2837"/>
      <c r="D887" s="2887"/>
      <c r="E887" s="2554"/>
      <c r="F887" s="2554"/>
      <c r="G887" s="2554"/>
      <c r="H887" s="2554"/>
      <c r="I887" s="2554"/>
      <c r="J887" s="2554"/>
      <c r="K887" s="2554"/>
      <c r="L887" s="2554"/>
      <c r="M887" s="2554"/>
      <c r="N887" s="2554"/>
      <c r="O887" s="2554"/>
      <c r="P887" s="2554"/>
      <c r="Q887" s="2554"/>
    </row>
    <row r="888" spans="1:17" ht="18" hidden="1">
      <c r="A888" s="372"/>
      <c r="B888" s="399" t="s">
        <v>367</v>
      </c>
      <c r="C888" s="400" t="s">
        <v>240</v>
      </c>
      <c r="D888" s="2848">
        <v>0.56600099999999998</v>
      </c>
      <c r="E888" s="2554"/>
      <c r="F888" s="2554"/>
      <c r="G888" s="2554"/>
      <c r="H888" s="2554"/>
      <c r="I888" s="2554"/>
      <c r="J888" s="2554"/>
      <c r="K888" s="2554"/>
      <c r="L888" s="2554"/>
      <c r="M888" s="2554"/>
      <c r="N888" s="2554"/>
      <c r="O888" s="2554"/>
      <c r="P888" s="2554"/>
      <c r="Q888" s="2554"/>
    </row>
    <row r="889" spans="1:17" hidden="1">
      <c r="A889" s="397"/>
      <c r="B889" s="266" t="s">
        <v>261</v>
      </c>
      <c r="C889" s="267" t="s">
        <v>240</v>
      </c>
      <c r="D889" s="2848">
        <v>4.4619999999999998E-3</v>
      </c>
      <c r="E889" s="2554"/>
      <c r="F889" s="2554"/>
      <c r="G889" s="2554"/>
      <c r="H889" s="2554"/>
      <c r="I889" s="2554"/>
      <c r="J889" s="2554"/>
      <c r="K889" s="2554"/>
      <c r="L889" s="2554"/>
      <c r="M889" s="2554"/>
      <c r="N889" s="2554"/>
      <c r="O889" s="2554"/>
      <c r="P889" s="2554"/>
      <c r="Q889" s="2554"/>
    </row>
    <row r="890" spans="1:17" hidden="1">
      <c r="A890" s="384"/>
      <c r="B890" s="234" t="s">
        <v>222</v>
      </c>
      <c r="C890" s="235" t="s">
        <v>240</v>
      </c>
      <c r="D890" s="2831"/>
      <c r="E890" s="2554"/>
      <c r="F890" s="2554"/>
      <c r="G890" s="2554"/>
      <c r="H890" s="2554"/>
      <c r="I890" s="2554"/>
      <c r="J890" s="2554"/>
      <c r="K890" s="2554"/>
      <c r="L890" s="2554"/>
      <c r="M890" s="2554"/>
      <c r="N890" s="2554"/>
      <c r="O890" s="2554"/>
      <c r="P890" s="2554"/>
      <c r="Q890" s="2554"/>
    </row>
    <row r="891" spans="1:17" hidden="1">
      <c r="A891" s="384"/>
      <c r="B891" s="234" t="s">
        <v>223</v>
      </c>
      <c r="C891" s="235" t="s">
        <v>240</v>
      </c>
      <c r="D891" s="2831">
        <v>4.4619999999999998E-3</v>
      </c>
      <c r="E891" s="2554"/>
      <c r="F891" s="2554"/>
      <c r="G891" s="2554"/>
      <c r="H891" s="2554"/>
      <c r="I891" s="2554"/>
      <c r="J891" s="2554"/>
      <c r="K891" s="2554"/>
      <c r="L891" s="2554"/>
      <c r="M891" s="2554"/>
      <c r="N891" s="2554"/>
      <c r="O891" s="2554"/>
      <c r="P891" s="2554"/>
      <c r="Q891" s="2554"/>
    </row>
    <row r="892" spans="1:17" hidden="1">
      <c r="A892" s="384"/>
      <c r="B892" s="234" t="s">
        <v>224</v>
      </c>
      <c r="C892" s="235" t="s">
        <v>240</v>
      </c>
      <c r="D892" s="2831"/>
      <c r="E892" s="2554"/>
      <c r="F892" s="2554"/>
      <c r="G892" s="2554"/>
      <c r="H892" s="2554"/>
      <c r="I892" s="2554"/>
      <c r="J892" s="2554"/>
      <c r="K892" s="2554"/>
      <c r="L892" s="2554"/>
      <c r="M892" s="2554"/>
      <c r="N892" s="2554"/>
      <c r="O892" s="2554"/>
      <c r="P892" s="2554"/>
      <c r="Q892" s="2554"/>
    </row>
    <row r="893" spans="1:17" hidden="1">
      <c r="A893" s="397"/>
      <c r="B893" s="266" t="s">
        <v>262</v>
      </c>
      <c r="C893" s="267"/>
      <c r="D893" s="2848">
        <v>2.10548</v>
      </c>
      <c r="E893" s="2554"/>
      <c r="F893" s="2554"/>
      <c r="G893" s="2554"/>
      <c r="H893" s="2554"/>
      <c r="I893" s="2554"/>
      <c r="J893" s="2554"/>
      <c r="K893" s="2554"/>
      <c r="L893" s="2554"/>
      <c r="M893" s="2554"/>
      <c r="N893" s="2554"/>
      <c r="O893" s="2554"/>
      <c r="P893" s="2554"/>
      <c r="Q893" s="2554"/>
    </row>
    <row r="894" spans="1:17" hidden="1">
      <c r="A894" s="384"/>
      <c r="B894" s="234" t="s">
        <v>222</v>
      </c>
      <c r="C894" s="235"/>
      <c r="D894" s="2831">
        <v>1.9650099999999999</v>
      </c>
      <c r="E894" s="2554"/>
      <c r="F894" s="2554"/>
      <c r="G894" s="2554"/>
      <c r="H894" s="2554"/>
      <c r="I894" s="2554"/>
      <c r="J894" s="2554"/>
      <c r="K894" s="2554"/>
      <c r="L894" s="2554"/>
      <c r="M894" s="2554"/>
      <c r="N894" s="2554"/>
      <c r="O894" s="2554"/>
      <c r="P894" s="2554"/>
      <c r="Q894" s="2554"/>
    </row>
    <row r="895" spans="1:17" hidden="1">
      <c r="A895" s="384"/>
      <c r="B895" s="234" t="s">
        <v>223</v>
      </c>
      <c r="C895" s="235"/>
      <c r="D895" s="2831">
        <v>2.10548</v>
      </c>
      <c r="E895" s="2554"/>
      <c r="F895" s="2554"/>
      <c r="G895" s="2554"/>
      <c r="H895" s="2554"/>
      <c r="I895" s="2554"/>
      <c r="J895" s="2554"/>
      <c r="K895" s="2554"/>
      <c r="L895" s="2554"/>
      <c r="M895" s="2554"/>
      <c r="N895" s="2554"/>
      <c r="O895" s="2554"/>
      <c r="P895" s="2554"/>
      <c r="Q895" s="2554"/>
    </row>
    <row r="896" spans="1:17" hidden="1">
      <c r="A896" s="384"/>
      <c r="B896" s="234" t="s">
        <v>224</v>
      </c>
      <c r="C896" s="235"/>
      <c r="D896" s="2831">
        <v>2.2210999999999999</v>
      </c>
      <c r="E896" s="2554"/>
      <c r="F896" s="2554"/>
      <c r="G896" s="2554"/>
      <c r="H896" s="2554"/>
      <c r="I896" s="2554"/>
      <c r="J896" s="2554"/>
      <c r="K896" s="2554"/>
      <c r="L896" s="2554"/>
      <c r="M896" s="2554"/>
      <c r="N896" s="2554"/>
      <c r="O896" s="2554"/>
      <c r="P896" s="2554"/>
      <c r="Q896" s="2554"/>
    </row>
    <row r="897" spans="1:17" hidden="1">
      <c r="A897" s="397"/>
      <c r="B897" s="266" t="s">
        <v>263</v>
      </c>
      <c r="C897" s="267" t="s">
        <v>212</v>
      </c>
      <c r="D897" s="2848">
        <v>9.3946517599999991E-3</v>
      </c>
      <c r="E897" s="2554"/>
      <c r="F897" s="2554"/>
      <c r="G897" s="2554"/>
      <c r="H897" s="2554"/>
      <c r="I897" s="2554"/>
      <c r="J897" s="2554"/>
      <c r="K897" s="2554"/>
      <c r="L897" s="2554"/>
      <c r="M897" s="2554"/>
      <c r="N897" s="2554"/>
      <c r="O897" s="2554"/>
      <c r="P897" s="2554"/>
      <c r="Q897" s="2554"/>
    </row>
    <row r="898" spans="1:17" hidden="1">
      <c r="A898" s="384"/>
      <c r="B898" s="234" t="s">
        <v>222</v>
      </c>
      <c r="C898" s="235" t="s">
        <v>212</v>
      </c>
      <c r="D898" s="2831">
        <v>0</v>
      </c>
      <c r="E898" s="2554"/>
      <c r="F898" s="2554"/>
      <c r="G898" s="2554"/>
      <c r="H898" s="2554"/>
      <c r="I898" s="2554"/>
      <c r="J898" s="2554"/>
      <c r="K898" s="2554"/>
      <c r="L898" s="2554"/>
      <c r="M898" s="2554"/>
      <c r="N898" s="2554"/>
      <c r="O898" s="2554"/>
      <c r="P898" s="2554"/>
      <c r="Q898" s="2554"/>
    </row>
    <row r="899" spans="1:17" hidden="1">
      <c r="A899" s="384"/>
      <c r="B899" s="234" t="s">
        <v>223</v>
      </c>
      <c r="C899" s="235" t="s">
        <v>212</v>
      </c>
      <c r="D899" s="2831">
        <v>9.3946517599999991E-3</v>
      </c>
      <c r="E899" s="2554"/>
      <c r="F899" s="2554"/>
      <c r="G899" s="2554"/>
      <c r="H899" s="2554"/>
      <c r="I899" s="2554"/>
      <c r="J899" s="2554"/>
      <c r="K899" s="2554"/>
      <c r="L899" s="2554"/>
      <c r="M899" s="2554"/>
      <c r="N899" s="2554"/>
      <c r="O899" s="2554"/>
      <c r="P899" s="2554"/>
      <c r="Q899" s="2554"/>
    </row>
    <row r="900" spans="1:17" hidden="1">
      <c r="A900" s="384"/>
      <c r="B900" s="234" t="s">
        <v>224</v>
      </c>
      <c r="C900" s="235" t="s">
        <v>212</v>
      </c>
      <c r="D900" s="2831">
        <v>0</v>
      </c>
      <c r="E900" s="2554"/>
      <c r="F900" s="2554"/>
      <c r="G900" s="2554"/>
      <c r="H900" s="2554"/>
      <c r="I900" s="2554"/>
      <c r="J900" s="2554"/>
      <c r="K900" s="2554"/>
      <c r="L900" s="2554"/>
      <c r="M900" s="2554"/>
      <c r="N900" s="2554"/>
      <c r="O900" s="2554"/>
      <c r="P900" s="2554"/>
      <c r="Q900" s="2554"/>
    </row>
    <row r="901" spans="1:17" hidden="1">
      <c r="A901" s="397"/>
      <c r="B901" s="266" t="s">
        <v>355</v>
      </c>
      <c r="C901" s="267" t="s">
        <v>240</v>
      </c>
      <c r="D901" s="2848">
        <v>0.56153900000000001</v>
      </c>
      <c r="E901" s="2554"/>
      <c r="F901" s="2554"/>
      <c r="G901" s="2554"/>
      <c r="H901" s="2554"/>
      <c r="I901" s="2554"/>
      <c r="J901" s="2554"/>
      <c r="K901" s="2554"/>
      <c r="L901" s="2554"/>
      <c r="M901" s="2554"/>
      <c r="N901" s="2554"/>
      <c r="O901" s="2554"/>
      <c r="P901" s="2554"/>
      <c r="Q901" s="2554"/>
    </row>
    <row r="902" spans="1:17" hidden="1">
      <c r="A902" s="397"/>
      <c r="B902" s="266" t="str">
        <f>B846</f>
        <v>Объём услуг по передаче э/э "НАСЕЛЕНИЕ" коэфф. "1"</v>
      </c>
      <c r="C902" s="267" t="s">
        <v>240</v>
      </c>
      <c r="D902" s="2848">
        <v>0.56153900000000001</v>
      </c>
      <c r="E902" s="2554"/>
      <c r="F902" s="2554"/>
      <c r="G902" s="2554"/>
      <c r="H902" s="2554"/>
      <c r="I902" s="2554"/>
      <c r="J902" s="2554"/>
      <c r="K902" s="2554"/>
      <c r="L902" s="2554"/>
      <c r="M902" s="2554"/>
      <c r="N902" s="2554"/>
      <c r="O902" s="2554"/>
      <c r="P902" s="2554"/>
      <c r="Q902" s="2554"/>
    </row>
    <row r="903" spans="1:17" ht="29.25" hidden="1">
      <c r="A903" s="401"/>
      <c r="B903" s="402" t="str">
        <f>B847</f>
        <v>Объём услуг по передаче э/э "НАСЕЛЕНИЕ" коэфф. "1" в пределах соц нормы</v>
      </c>
      <c r="C903" s="403" t="s">
        <v>240</v>
      </c>
      <c r="D903" s="2881">
        <v>0.56153900000000001</v>
      </c>
      <c r="E903" s="2554"/>
      <c r="F903" s="2554"/>
      <c r="G903" s="2554"/>
      <c r="H903" s="2554"/>
      <c r="I903" s="2554"/>
      <c r="J903" s="2554"/>
      <c r="K903" s="2554"/>
      <c r="L903" s="2554"/>
      <c r="M903" s="2554"/>
      <c r="N903" s="2554"/>
      <c r="O903" s="2554"/>
      <c r="P903" s="2554"/>
      <c r="Q903" s="2554"/>
    </row>
    <row r="904" spans="1:17" ht="29.25" hidden="1">
      <c r="A904" s="401"/>
      <c r="B904" s="402" t="str">
        <f>B848</f>
        <v>Объём услуг по передаче э/э "НАСЕЛЕНИЕ" коэфф. "1" сверх соц нормы</v>
      </c>
      <c r="C904" s="403" t="s">
        <v>240</v>
      </c>
      <c r="D904" s="2881"/>
      <c r="E904" s="2554"/>
      <c r="F904" s="2554"/>
      <c r="G904" s="2554"/>
      <c r="H904" s="2554"/>
      <c r="I904" s="2554"/>
      <c r="J904" s="2554"/>
      <c r="K904" s="2554"/>
      <c r="L904" s="2554"/>
      <c r="M904" s="2554"/>
      <c r="N904" s="2554"/>
      <c r="O904" s="2554"/>
      <c r="P904" s="2554"/>
      <c r="Q904" s="2554"/>
    </row>
    <row r="905" spans="1:17" hidden="1">
      <c r="A905" s="2882"/>
      <c r="B905" s="1955" t="s">
        <v>359</v>
      </c>
      <c r="C905" s="2883"/>
      <c r="D905" s="2884">
        <v>1.3296300000000001</v>
      </c>
      <c r="E905" s="2554"/>
      <c r="F905" s="2554"/>
      <c r="G905" s="2554"/>
      <c r="H905" s="2554"/>
      <c r="I905" s="2554"/>
      <c r="J905" s="2554"/>
      <c r="K905" s="2554"/>
      <c r="L905" s="2554"/>
      <c r="M905" s="2554"/>
      <c r="N905" s="2554"/>
      <c r="O905" s="2554"/>
      <c r="P905" s="2554"/>
      <c r="Q905" s="2554"/>
    </row>
    <row r="906" spans="1:17" hidden="1">
      <c r="A906" s="2882"/>
      <c r="B906" s="1955" t="s">
        <v>360</v>
      </c>
      <c r="C906" s="2883"/>
      <c r="D906" s="2884"/>
      <c r="E906" s="2554"/>
      <c r="F906" s="2554"/>
      <c r="G906" s="2554"/>
      <c r="H906" s="2554"/>
      <c r="I906" s="2554"/>
      <c r="J906" s="2554"/>
      <c r="K906" s="2554"/>
      <c r="L906" s="2554"/>
      <c r="M906" s="2554"/>
      <c r="N906" s="2554"/>
      <c r="O906" s="2554"/>
      <c r="P906" s="2554"/>
      <c r="Q906" s="2554"/>
    </row>
    <row r="907" spans="1:17" hidden="1">
      <c r="A907" s="407"/>
      <c r="B907" s="260" t="str">
        <f>B851</f>
        <v>Стоимость услуг по передаче коэфф. "1"</v>
      </c>
      <c r="C907" s="233" t="s">
        <v>212</v>
      </c>
      <c r="D907" s="2848">
        <v>0.74663910057000005</v>
      </c>
      <c r="E907" s="2554"/>
      <c r="F907" s="2554"/>
      <c r="G907" s="2554"/>
      <c r="H907" s="2554"/>
      <c r="I907" s="2554"/>
      <c r="J907" s="2554"/>
      <c r="K907" s="2554"/>
      <c r="L907" s="2554"/>
      <c r="M907" s="2554"/>
      <c r="N907" s="2554"/>
      <c r="O907" s="2554"/>
      <c r="P907" s="2554"/>
      <c r="Q907" s="2554"/>
    </row>
    <row r="908" spans="1:17" hidden="1">
      <c r="A908" s="397"/>
      <c r="B908" s="266" t="str">
        <f>B852</f>
        <v>Объём услуг по передаче э/э "НАСЕЛЕНИЕ" коэфф. "0,7"</v>
      </c>
      <c r="C908" s="267" t="s">
        <v>240</v>
      </c>
      <c r="D908" s="2848">
        <v>0</v>
      </c>
      <c r="E908" s="2554"/>
      <c r="F908" s="2554"/>
      <c r="G908" s="2554"/>
      <c r="H908" s="2554"/>
      <c r="I908" s="2554"/>
      <c r="J908" s="2554"/>
      <c r="K908" s="2554"/>
      <c r="L908" s="2554"/>
      <c r="M908" s="2554"/>
      <c r="N908" s="2554"/>
      <c r="O908" s="2554"/>
      <c r="P908" s="2554"/>
      <c r="Q908" s="2554"/>
    </row>
    <row r="909" spans="1:17" ht="29.25" hidden="1">
      <c r="A909" s="401"/>
      <c r="B909" s="402" t="s">
        <v>363</v>
      </c>
      <c r="C909" s="403" t="s">
        <v>240</v>
      </c>
      <c r="D909" s="2881">
        <v>0</v>
      </c>
      <c r="E909" s="2554"/>
      <c r="F909" s="2554"/>
      <c r="G909" s="2554"/>
      <c r="H909" s="2554"/>
      <c r="I909" s="2554"/>
      <c r="J909" s="2554"/>
      <c r="K909" s="2554"/>
      <c r="L909" s="2554"/>
      <c r="M909" s="2554"/>
      <c r="N909" s="2554"/>
      <c r="O909" s="2554"/>
      <c r="P909" s="2554"/>
      <c r="Q909" s="2554"/>
    </row>
    <row r="910" spans="1:17" ht="29.25" hidden="1">
      <c r="A910" s="401"/>
      <c r="B910" s="402" t="s">
        <v>364</v>
      </c>
      <c r="C910" s="403" t="s">
        <v>240</v>
      </c>
      <c r="D910" s="2881"/>
      <c r="E910" s="2554"/>
      <c r="F910" s="2554"/>
      <c r="G910" s="2554"/>
      <c r="H910" s="2554"/>
      <c r="I910" s="2554"/>
      <c r="J910" s="2554"/>
      <c r="K910" s="2554"/>
      <c r="L910" s="2554"/>
      <c r="M910" s="2554"/>
      <c r="N910" s="2554"/>
      <c r="O910" s="2554"/>
      <c r="P910" s="2554"/>
      <c r="Q910" s="2554"/>
    </row>
    <row r="911" spans="1:17" hidden="1">
      <c r="A911" s="2882"/>
      <c r="B911" s="1955" t="s">
        <v>359</v>
      </c>
      <c r="C911" s="2883"/>
      <c r="D911" s="2884">
        <v>0.21468000000000001</v>
      </c>
      <c r="E911" s="2554"/>
      <c r="F911" s="2554"/>
      <c r="G911" s="2554"/>
      <c r="H911" s="2554"/>
      <c r="I911" s="2554"/>
      <c r="J911" s="2554"/>
      <c r="K911" s="2554"/>
      <c r="L911" s="2554"/>
      <c r="M911" s="2554"/>
      <c r="N911" s="2554"/>
      <c r="O911" s="2554"/>
      <c r="P911" s="2554"/>
      <c r="Q911" s="2554"/>
    </row>
    <row r="912" spans="1:17" hidden="1">
      <c r="A912" s="2882"/>
      <c r="B912" s="1955" t="s">
        <v>360</v>
      </c>
      <c r="C912" s="2883"/>
      <c r="D912" s="2884"/>
      <c r="E912" s="2554"/>
      <c r="F912" s="2554"/>
      <c r="G912" s="2554"/>
      <c r="H912" s="2554"/>
      <c r="I912" s="2554"/>
      <c r="J912" s="2554"/>
      <c r="K912" s="2554"/>
      <c r="L912" s="2554"/>
      <c r="M912" s="2554"/>
      <c r="N912" s="2554"/>
      <c r="O912" s="2554"/>
      <c r="P912" s="2554"/>
      <c r="Q912" s="2554"/>
    </row>
    <row r="913" spans="1:17" hidden="1">
      <c r="A913" s="397"/>
      <c r="B913" s="266" t="s">
        <v>365</v>
      </c>
      <c r="C913" s="267" t="s">
        <v>212</v>
      </c>
      <c r="D913" s="2848">
        <v>0</v>
      </c>
      <c r="E913" s="2554"/>
      <c r="F913" s="2554"/>
      <c r="G913" s="2554"/>
      <c r="H913" s="2554"/>
      <c r="I913" s="2554"/>
      <c r="J913" s="2554"/>
      <c r="K913" s="2554"/>
      <c r="L913" s="2554"/>
      <c r="M913" s="2554"/>
      <c r="N913" s="2554"/>
      <c r="O913" s="2554"/>
      <c r="P913" s="2554"/>
      <c r="Q913" s="2554"/>
    </row>
    <row r="914" spans="1:17" hidden="1">
      <c r="A914" s="397"/>
      <c r="B914" s="260" t="s">
        <v>366</v>
      </c>
      <c r="C914" s="267" t="s">
        <v>212</v>
      </c>
      <c r="D914" s="2848">
        <v>0.74663910057000005</v>
      </c>
      <c r="E914" s="2554"/>
      <c r="F914" s="2554"/>
      <c r="G914" s="2554"/>
      <c r="H914" s="2554"/>
      <c r="I914" s="2554"/>
      <c r="J914" s="2554"/>
      <c r="K914" s="2554"/>
      <c r="L914" s="2554"/>
      <c r="M914" s="2554"/>
      <c r="N914" s="2554"/>
      <c r="O914" s="2554"/>
      <c r="P914" s="2554"/>
      <c r="Q914" s="2554"/>
    </row>
    <row r="915" spans="1:17" ht="18" hidden="1">
      <c r="A915" s="372"/>
      <c r="B915" s="399" t="s">
        <v>368</v>
      </c>
      <c r="C915" s="400" t="s">
        <v>212</v>
      </c>
      <c r="D915" s="2848">
        <v>0.75603375233000003</v>
      </c>
      <c r="E915" s="2554"/>
      <c r="F915" s="2554"/>
      <c r="G915" s="2554"/>
      <c r="H915" s="2554"/>
      <c r="I915" s="2554"/>
      <c r="J915" s="2554"/>
      <c r="K915" s="2554"/>
      <c r="L915" s="2554"/>
      <c r="M915" s="2554"/>
      <c r="N915" s="2554"/>
      <c r="O915" s="2554"/>
      <c r="P915" s="2554"/>
      <c r="Q915" s="2554"/>
    </row>
    <row r="916" spans="1:17" hidden="1">
      <c r="A916" s="2885"/>
      <c r="B916" s="1959"/>
      <c r="C916" s="2837"/>
      <c r="D916" s="2887"/>
      <c r="E916" s="2554"/>
      <c r="F916" s="2554"/>
      <c r="G916" s="2554"/>
      <c r="H916" s="2554"/>
      <c r="I916" s="2554"/>
      <c r="J916" s="2554"/>
      <c r="K916" s="2554"/>
      <c r="L916" s="2554"/>
      <c r="M916" s="2554"/>
      <c r="N916" s="2554"/>
      <c r="O916" s="2554"/>
      <c r="P916" s="2554"/>
      <c r="Q916" s="2554"/>
    </row>
    <row r="917" spans="1:17" ht="36" hidden="1">
      <c r="A917" s="372"/>
      <c r="B917" s="410" t="s">
        <v>1856</v>
      </c>
      <c r="C917" s="400" t="s">
        <v>240</v>
      </c>
      <c r="D917" s="2848">
        <v>0.15835399999999999</v>
      </c>
      <c r="E917" s="2554"/>
      <c r="F917" s="2554"/>
      <c r="G917" s="2554"/>
      <c r="H917" s="2554"/>
      <c r="I917" s="2554"/>
      <c r="J917" s="2554"/>
      <c r="K917" s="2554"/>
      <c r="L917" s="2554"/>
      <c r="M917" s="2554"/>
      <c r="N917" s="2554"/>
      <c r="O917" s="2554"/>
      <c r="P917" s="2554"/>
      <c r="Q917" s="2554"/>
    </row>
    <row r="918" spans="1:17" hidden="1">
      <c r="A918" s="397"/>
      <c r="B918" s="266" t="s">
        <v>261</v>
      </c>
      <c r="C918" s="267" t="s">
        <v>240</v>
      </c>
      <c r="D918" s="2848">
        <v>0.15835399999999999</v>
      </c>
      <c r="E918" s="2554"/>
      <c r="F918" s="2554"/>
      <c r="G918" s="2554"/>
      <c r="H918" s="2554"/>
      <c r="I918" s="2554"/>
      <c r="J918" s="2554"/>
      <c r="K918" s="2554"/>
      <c r="L918" s="2554"/>
      <c r="M918" s="2554"/>
      <c r="N918" s="2554"/>
      <c r="O918" s="2554"/>
      <c r="P918" s="2554"/>
      <c r="Q918" s="2554"/>
    </row>
    <row r="919" spans="1:17" hidden="1">
      <c r="A919" s="384"/>
      <c r="B919" s="234" t="s">
        <v>222</v>
      </c>
      <c r="C919" s="235" t="s">
        <v>240</v>
      </c>
      <c r="D919" s="2831"/>
      <c r="E919" s="2554"/>
      <c r="F919" s="2554"/>
      <c r="G919" s="2554"/>
      <c r="H919" s="2554"/>
      <c r="I919" s="2554"/>
      <c r="J919" s="2554"/>
      <c r="K919" s="2554"/>
      <c r="L919" s="2554"/>
      <c r="M919" s="2554"/>
      <c r="N919" s="2554"/>
      <c r="O919" s="2554"/>
      <c r="P919" s="2554"/>
      <c r="Q919" s="2554"/>
    </row>
    <row r="920" spans="1:17" hidden="1">
      <c r="A920" s="384"/>
      <c r="B920" s="234" t="s">
        <v>223</v>
      </c>
      <c r="C920" s="235" t="s">
        <v>240</v>
      </c>
      <c r="D920" s="2831">
        <v>0.15835399999999999</v>
      </c>
      <c r="E920" s="2554"/>
      <c r="F920" s="2554"/>
      <c r="G920" s="2554"/>
      <c r="H920" s="2554"/>
      <c r="I920" s="2554"/>
      <c r="J920" s="2554"/>
      <c r="K920" s="2554"/>
      <c r="L920" s="2554"/>
      <c r="M920" s="2554"/>
      <c r="N920" s="2554"/>
      <c r="O920" s="2554"/>
      <c r="P920" s="2554"/>
      <c r="Q920" s="2554"/>
    </row>
    <row r="921" spans="1:17" hidden="1">
      <c r="A921" s="384"/>
      <c r="B921" s="234" t="s">
        <v>224</v>
      </c>
      <c r="C921" s="235" t="s">
        <v>240</v>
      </c>
      <c r="D921" s="2831"/>
      <c r="E921" s="2554"/>
      <c r="F921" s="2554"/>
      <c r="G921" s="2554"/>
      <c r="H921" s="2554"/>
      <c r="I921" s="2554"/>
      <c r="J921" s="2554"/>
      <c r="K921" s="2554"/>
      <c r="L921" s="2554"/>
      <c r="M921" s="2554"/>
      <c r="N921" s="2554"/>
      <c r="O921" s="2554"/>
      <c r="P921" s="2554"/>
      <c r="Q921" s="2554"/>
    </row>
    <row r="922" spans="1:17" hidden="1">
      <c r="A922" s="397"/>
      <c r="B922" s="266" t="s">
        <v>262</v>
      </c>
      <c r="C922" s="267"/>
      <c r="D922" s="2848">
        <v>2.10548</v>
      </c>
      <c r="E922" s="2554"/>
      <c r="F922" s="2554"/>
      <c r="G922" s="2554"/>
      <c r="H922" s="2554"/>
      <c r="I922" s="2554"/>
      <c r="J922" s="2554"/>
      <c r="K922" s="2554"/>
      <c r="L922" s="2554"/>
      <c r="M922" s="2554"/>
      <c r="N922" s="2554"/>
      <c r="O922" s="2554"/>
      <c r="P922" s="2554"/>
      <c r="Q922" s="2554"/>
    </row>
    <row r="923" spans="1:17" hidden="1">
      <c r="A923" s="384"/>
      <c r="B923" s="234" t="s">
        <v>222</v>
      </c>
      <c r="C923" s="235"/>
      <c r="D923" s="2831">
        <v>1.9650099999999999</v>
      </c>
      <c r="E923" s="2554"/>
      <c r="F923" s="2554"/>
      <c r="G923" s="2554"/>
      <c r="H923" s="2554"/>
      <c r="I923" s="2554"/>
      <c r="J923" s="2554"/>
      <c r="K923" s="2554"/>
      <c r="L923" s="2554"/>
      <c r="M923" s="2554"/>
      <c r="N923" s="2554"/>
      <c r="O923" s="2554"/>
      <c r="P923" s="2554"/>
      <c r="Q923" s="2554"/>
    </row>
    <row r="924" spans="1:17" hidden="1">
      <c r="A924" s="384"/>
      <c r="B924" s="234" t="s">
        <v>223</v>
      </c>
      <c r="C924" s="235"/>
      <c r="D924" s="2831">
        <v>2.10548</v>
      </c>
      <c r="E924" s="2554"/>
      <c r="F924" s="2554"/>
      <c r="G924" s="2554"/>
      <c r="H924" s="2554"/>
      <c r="I924" s="2554"/>
      <c r="J924" s="2554"/>
      <c r="K924" s="2554"/>
      <c r="L924" s="2554"/>
      <c r="M924" s="2554"/>
      <c r="N924" s="2554"/>
      <c r="O924" s="2554"/>
      <c r="P924" s="2554"/>
      <c r="Q924" s="2554"/>
    </row>
    <row r="925" spans="1:17" hidden="1">
      <c r="A925" s="384"/>
      <c r="B925" s="234" t="s">
        <v>224</v>
      </c>
      <c r="C925" s="235"/>
      <c r="D925" s="2831">
        <v>2.2210999999999999</v>
      </c>
      <c r="E925" s="2554"/>
      <c r="F925" s="2554"/>
      <c r="G925" s="2554"/>
      <c r="H925" s="2554"/>
      <c r="I925" s="2554"/>
      <c r="J925" s="2554"/>
      <c r="K925" s="2554"/>
      <c r="L925" s="2554"/>
      <c r="M925" s="2554"/>
      <c r="N925" s="2554"/>
      <c r="O925" s="2554"/>
      <c r="P925" s="2554"/>
      <c r="Q925" s="2554"/>
    </row>
    <row r="926" spans="1:17" hidden="1">
      <c r="A926" s="397"/>
      <c r="B926" s="266" t="s">
        <v>263</v>
      </c>
      <c r="C926" s="267" t="s">
        <v>212</v>
      </c>
      <c r="D926" s="2848">
        <v>0.33341117991999997</v>
      </c>
      <c r="E926" s="2554"/>
      <c r="F926" s="2554"/>
      <c r="G926" s="2554"/>
      <c r="H926" s="2554"/>
      <c r="I926" s="2554"/>
      <c r="J926" s="2554"/>
      <c r="K926" s="2554"/>
      <c r="L926" s="2554"/>
      <c r="M926" s="2554"/>
      <c r="N926" s="2554"/>
      <c r="O926" s="2554"/>
      <c r="P926" s="2554"/>
      <c r="Q926" s="2554"/>
    </row>
    <row r="927" spans="1:17" hidden="1">
      <c r="A927" s="384"/>
      <c r="B927" s="234" t="s">
        <v>222</v>
      </c>
      <c r="C927" s="235" t="s">
        <v>212</v>
      </c>
      <c r="D927" s="2831">
        <v>0</v>
      </c>
      <c r="E927" s="2554"/>
      <c r="F927" s="2554"/>
      <c r="G927" s="2554"/>
      <c r="H927" s="2554"/>
      <c r="I927" s="2554"/>
      <c r="J927" s="2554"/>
      <c r="K927" s="2554"/>
      <c r="L927" s="2554"/>
      <c r="M927" s="2554"/>
      <c r="N927" s="2554"/>
      <c r="O927" s="2554"/>
      <c r="P927" s="2554"/>
      <c r="Q927" s="2554"/>
    </row>
    <row r="928" spans="1:17" hidden="1">
      <c r="A928" s="384"/>
      <c r="B928" s="234" t="s">
        <v>223</v>
      </c>
      <c r="C928" s="235" t="s">
        <v>212</v>
      </c>
      <c r="D928" s="2831">
        <v>0.33341117991999997</v>
      </c>
      <c r="E928" s="2554"/>
      <c r="F928" s="2554"/>
      <c r="G928" s="2554"/>
      <c r="H928" s="2554"/>
      <c r="I928" s="2554"/>
      <c r="J928" s="2554"/>
      <c r="K928" s="2554"/>
      <c r="L928" s="2554"/>
      <c r="M928" s="2554"/>
      <c r="N928" s="2554"/>
      <c r="O928" s="2554"/>
      <c r="P928" s="2554"/>
      <c r="Q928" s="2554"/>
    </row>
    <row r="929" spans="1:17" hidden="1">
      <c r="A929" s="384"/>
      <c r="B929" s="234" t="s">
        <v>224</v>
      </c>
      <c r="C929" s="235" t="s">
        <v>212</v>
      </c>
      <c r="D929" s="2831">
        <v>0</v>
      </c>
      <c r="E929" s="2554"/>
      <c r="F929" s="2554"/>
      <c r="G929" s="2554"/>
      <c r="H929" s="2554"/>
      <c r="I929" s="2554"/>
      <c r="J929" s="2554"/>
      <c r="K929" s="2554"/>
      <c r="L929" s="2554"/>
      <c r="M929" s="2554"/>
      <c r="N929" s="2554"/>
      <c r="O929" s="2554"/>
      <c r="P929" s="2554"/>
      <c r="Q929" s="2554"/>
    </row>
    <row r="930" spans="1:17" hidden="1">
      <c r="A930" s="397"/>
      <c r="B930" s="266" t="s">
        <v>355</v>
      </c>
      <c r="C930" s="267" t="s">
        <v>240</v>
      </c>
      <c r="D930" s="2848">
        <v>0</v>
      </c>
      <c r="E930" s="2554"/>
      <c r="F930" s="2554"/>
      <c r="G930" s="2554"/>
      <c r="H930" s="2554"/>
      <c r="I930" s="2554"/>
      <c r="J930" s="2554"/>
      <c r="K930" s="2554"/>
      <c r="L930" s="2554"/>
      <c r="M930" s="2554"/>
      <c r="N930" s="2554"/>
      <c r="O930" s="2554"/>
      <c r="P930" s="2554"/>
      <c r="Q930" s="2554"/>
    </row>
    <row r="931" spans="1:17" hidden="1">
      <c r="A931" s="397"/>
      <c r="B931" s="266" t="s">
        <v>356</v>
      </c>
      <c r="C931" s="267" t="s">
        <v>240</v>
      </c>
      <c r="D931" s="2848">
        <v>0</v>
      </c>
      <c r="E931" s="2554"/>
      <c r="F931" s="2554"/>
      <c r="G931" s="2554"/>
      <c r="H931" s="2554"/>
      <c r="I931" s="2554"/>
      <c r="J931" s="2554"/>
      <c r="K931" s="2554"/>
      <c r="L931" s="2554"/>
      <c r="M931" s="2554"/>
      <c r="N931" s="2554"/>
      <c r="O931" s="2554"/>
      <c r="P931" s="2554"/>
      <c r="Q931" s="2554"/>
    </row>
    <row r="932" spans="1:17" ht="29.25" hidden="1">
      <c r="A932" s="401"/>
      <c r="B932" s="402" t="str">
        <f>B903</f>
        <v>Объём услуг по передаче э/э "НАСЕЛЕНИЕ" коэфф. "1" в пределах соц нормы</v>
      </c>
      <c r="C932" s="403" t="s">
        <v>240</v>
      </c>
      <c r="D932" s="2881">
        <v>0</v>
      </c>
      <c r="E932" s="2554"/>
      <c r="F932" s="2554"/>
      <c r="G932" s="2554"/>
      <c r="H932" s="2554"/>
      <c r="I932" s="2554"/>
      <c r="J932" s="2554"/>
      <c r="K932" s="2554"/>
      <c r="L932" s="2554"/>
      <c r="M932" s="2554"/>
      <c r="N932" s="2554"/>
      <c r="O932" s="2554"/>
      <c r="P932" s="2554"/>
      <c r="Q932" s="2554"/>
    </row>
    <row r="933" spans="1:17" ht="29.25" hidden="1">
      <c r="A933" s="401"/>
      <c r="B933" s="402" t="str">
        <f>B904</f>
        <v>Объём услуг по передаче э/э "НАСЕЛЕНИЕ" коэфф. "1" сверх соц нормы</v>
      </c>
      <c r="C933" s="403" t="s">
        <v>240</v>
      </c>
      <c r="D933" s="2881"/>
      <c r="E933" s="2554"/>
      <c r="F933" s="2554"/>
      <c r="G933" s="2554"/>
      <c r="H933" s="2554"/>
      <c r="I933" s="2554"/>
      <c r="J933" s="2554"/>
      <c r="K933" s="2554"/>
      <c r="L933" s="2554"/>
      <c r="M933" s="2554"/>
      <c r="N933" s="2554"/>
      <c r="O933" s="2554"/>
      <c r="P933" s="2554"/>
      <c r="Q933" s="2554"/>
    </row>
    <row r="934" spans="1:17" hidden="1">
      <c r="A934" s="2882"/>
      <c r="B934" s="1955" t="s">
        <v>359</v>
      </c>
      <c r="C934" s="2883"/>
      <c r="D934" s="2884">
        <v>1.3296300000000001</v>
      </c>
      <c r="E934" s="2554"/>
      <c r="F934" s="2554"/>
      <c r="G934" s="2554"/>
      <c r="H934" s="2554"/>
      <c r="I934" s="2554"/>
      <c r="J934" s="2554"/>
      <c r="K934" s="2554"/>
      <c r="L934" s="2554"/>
      <c r="M934" s="2554"/>
      <c r="N934" s="2554"/>
      <c r="O934" s="2554"/>
      <c r="P934" s="2554"/>
      <c r="Q934" s="2554"/>
    </row>
    <row r="935" spans="1:17" hidden="1">
      <c r="A935" s="2882"/>
      <c r="B935" s="1955" t="s">
        <v>360</v>
      </c>
      <c r="C935" s="2883"/>
      <c r="D935" s="2884"/>
      <c r="E935" s="2554"/>
      <c r="F935" s="2554"/>
      <c r="G935" s="2554"/>
      <c r="H935" s="2554"/>
      <c r="I935" s="2554"/>
      <c r="J935" s="2554"/>
      <c r="K935" s="2554"/>
      <c r="L935" s="2554"/>
      <c r="M935" s="2554"/>
      <c r="N935" s="2554"/>
      <c r="O935" s="2554"/>
      <c r="P935" s="2554"/>
      <c r="Q935" s="2554"/>
    </row>
    <row r="936" spans="1:17" hidden="1">
      <c r="A936" s="407"/>
      <c r="B936" s="260" t="str">
        <f>B907</f>
        <v>Стоимость услуг по передаче коэфф. "1"</v>
      </c>
      <c r="C936" s="233" t="s">
        <v>212</v>
      </c>
      <c r="D936" s="2848">
        <v>0</v>
      </c>
      <c r="E936" s="2554"/>
      <c r="F936" s="2554"/>
      <c r="G936" s="2554"/>
      <c r="H936" s="2554"/>
      <c r="I936" s="2554"/>
      <c r="J936" s="2554"/>
      <c r="K936" s="2554"/>
      <c r="L936" s="2554"/>
      <c r="M936" s="2554"/>
      <c r="N936" s="2554"/>
      <c r="O936" s="2554"/>
      <c r="P936" s="2554"/>
      <c r="Q936" s="2554"/>
    </row>
    <row r="937" spans="1:17" hidden="1">
      <c r="A937" s="397"/>
      <c r="B937" s="266" t="s">
        <v>362</v>
      </c>
      <c r="C937" s="267" t="s">
        <v>240</v>
      </c>
      <c r="D937" s="2848">
        <v>0</v>
      </c>
      <c r="E937" s="2554"/>
      <c r="F937" s="2554"/>
      <c r="G937" s="2554"/>
      <c r="H937" s="2554"/>
      <c r="I937" s="2554"/>
      <c r="J937" s="2554"/>
      <c r="K937" s="2554"/>
      <c r="L937" s="2554"/>
      <c r="M937" s="2554"/>
      <c r="N937" s="2554"/>
      <c r="O937" s="2554"/>
      <c r="P937" s="2554"/>
      <c r="Q937" s="2554"/>
    </row>
    <row r="938" spans="1:17" ht="29.25" hidden="1">
      <c r="A938" s="401"/>
      <c r="B938" s="402" t="s">
        <v>363</v>
      </c>
      <c r="C938" s="403" t="s">
        <v>240</v>
      </c>
      <c r="D938" s="2881">
        <v>0</v>
      </c>
      <c r="E938" s="2554"/>
      <c r="F938" s="2554"/>
      <c r="G938" s="2554"/>
      <c r="H938" s="2554"/>
      <c r="I938" s="2554"/>
      <c r="J938" s="2554"/>
      <c r="K938" s="2554"/>
      <c r="L938" s="2554"/>
      <c r="M938" s="2554"/>
      <c r="N938" s="2554"/>
      <c r="O938" s="2554"/>
      <c r="P938" s="2554"/>
      <c r="Q938" s="2554"/>
    </row>
    <row r="939" spans="1:17" ht="29.25" hidden="1">
      <c r="A939" s="401"/>
      <c r="B939" s="402" t="s">
        <v>364</v>
      </c>
      <c r="C939" s="403" t="s">
        <v>240</v>
      </c>
      <c r="D939" s="2881"/>
      <c r="E939" s="2554"/>
      <c r="F939" s="2554"/>
      <c r="G939" s="2554"/>
      <c r="H939" s="2554"/>
      <c r="I939" s="2554"/>
      <c r="J939" s="2554"/>
      <c r="K939" s="2554"/>
      <c r="L939" s="2554"/>
      <c r="M939" s="2554"/>
      <c r="N939" s="2554"/>
      <c r="O939" s="2554"/>
      <c r="P939" s="2554"/>
      <c r="Q939" s="2554"/>
    </row>
    <row r="940" spans="1:17" hidden="1">
      <c r="A940" s="2882"/>
      <c r="B940" s="1955" t="s">
        <v>359</v>
      </c>
      <c r="C940" s="2883"/>
      <c r="D940" s="2884">
        <v>0.21468000000000001</v>
      </c>
      <c r="E940" s="2554"/>
      <c r="F940" s="2554"/>
      <c r="G940" s="2554"/>
      <c r="H940" s="2554"/>
      <c r="I940" s="2554"/>
      <c r="J940" s="2554"/>
      <c r="K940" s="2554"/>
      <c r="L940" s="2554"/>
      <c r="M940" s="2554"/>
      <c r="N940" s="2554"/>
      <c r="O940" s="2554"/>
      <c r="P940" s="2554"/>
      <c r="Q940" s="2554"/>
    </row>
    <row r="941" spans="1:17" hidden="1">
      <c r="A941" s="2882"/>
      <c r="B941" s="1955" t="s">
        <v>360</v>
      </c>
      <c r="C941" s="2883"/>
      <c r="D941" s="2884"/>
      <c r="E941" s="2554"/>
      <c r="F941" s="2554"/>
      <c r="G941" s="2554"/>
      <c r="H941" s="2554"/>
      <c r="I941" s="2554"/>
      <c r="J941" s="2554"/>
      <c r="K941" s="2554"/>
      <c r="L941" s="2554"/>
      <c r="M941" s="2554"/>
      <c r="N941" s="2554"/>
      <c r="O941" s="2554"/>
      <c r="P941" s="2554"/>
      <c r="Q941" s="2554"/>
    </row>
    <row r="942" spans="1:17" hidden="1">
      <c r="A942" s="397"/>
      <c r="B942" s="266" t="s">
        <v>365</v>
      </c>
      <c r="C942" s="267" t="s">
        <v>212</v>
      </c>
      <c r="D942" s="2848">
        <v>0</v>
      </c>
      <c r="E942" s="2554"/>
      <c r="F942" s="2554"/>
      <c r="G942" s="2554"/>
      <c r="H942" s="2554"/>
      <c r="I942" s="2554"/>
      <c r="J942" s="2554"/>
      <c r="K942" s="2554"/>
      <c r="L942" s="2554"/>
      <c r="M942" s="2554"/>
      <c r="N942" s="2554"/>
      <c r="O942" s="2554"/>
      <c r="P942" s="2554"/>
      <c r="Q942" s="2554"/>
    </row>
    <row r="943" spans="1:17" hidden="1">
      <c r="A943" s="407"/>
      <c r="B943" s="260" t="s">
        <v>366</v>
      </c>
      <c r="C943" s="233" t="s">
        <v>212</v>
      </c>
      <c r="D943" s="2848">
        <v>0</v>
      </c>
      <c r="E943" s="2554"/>
      <c r="F943" s="2554"/>
      <c r="G943" s="2554"/>
      <c r="H943" s="2554"/>
      <c r="I943" s="2554"/>
      <c r="J943" s="2554"/>
      <c r="K943" s="2554"/>
      <c r="L943" s="2554"/>
      <c r="M943" s="2554"/>
      <c r="N943" s="2554"/>
      <c r="O943" s="2554"/>
      <c r="P943" s="2554"/>
      <c r="Q943" s="2554"/>
    </row>
    <row r="944" spans="1:17" ht="36" hidden="1">
      <c r="A944" s="372"/>
      <c r="B944" s="410" t="s">
        <v>369</v>
      </c>
      <c r="C944" s="400" t="s">
        <v>212</v>
      </c>
      <c r="D944" s="2848">
        <v>0.33341117991999997</v>
      </c>
      <c r="E944" s="2554"/>
      <c r="F944" s="2554"/>
      <c r="G944" s="2554"/>
      <c r="H944" s="2554"/>
      <c r="I944" s="2554"/>
      <c r="J944" s="2554"/>
      <c r="K944" s="2554"/>
      <c r="L944" s="2554"/>
      <c r="M944" s="2554"/>
      <c r="N944" s="2554"/>
      <c r="O944" s="2554"/>
      <c r="P944" s="2554"/>
      <c r="Q944" s="2554"/>
    </row>
    <row r="945" spans="1:17" hidden="1">
      <c r="A945" s="2885"/>
      <c r="B945" s="1959"/>
      <c r="C945" s="2837"/>
      <c r="D945" s="2887"/>
      <c r="E945" s="2554"/>
      <c r="F945" s="2554"/>
      <c r="G945" s="2554"/>
      <c r="H945" s="2554"/>
      <c r="I945" s="2554"/>
      <c r="J945" s="2554"/>
      <c r="K945" s="2554"/>
      <c r="L945" s="2554"/>
      <c r="M945" s="2554"/>
      <c r="N945" s="2554"/>
      <c r="O945" s="2554"/>
      <c r="P945" s="2554"/>
      <c r="Q945" s="2554"/>
    </row>
    <row r="946" spans="1:17" ht="18" hidden="1">
      <c r="A946" s="372"/>
      <c r="B946" s="399" t="s">
        <v>370</v>
      </c>
      <c r="C946" s="400" t="s">
        <v>240</v>
      </c>
      <c r="D946" s="2848">
        <v>78.290288000000004</v>
      </c>
      <c r="E946" s="2554"/>
      <c r="F946" s="2554"/>
      <c r="G946" s="2554"/>
      <c r="H946" s="2554"/>
      <c r="I946" s="2554"/>
      <c r="J946" s="2554"/>
      <c r="K946" s="2554"/>
      <c r="L946" s="2554"/>
      <c r="M946" s="2554"/>
      <c r="N946" s="2554"/>
      <c r="O946" s="2554"/>
      <c r="P946" s="2554"/>
      <c r="Q946" s="2554"/>
    </row>
    <row r="947" spans="1:17" ht="18" hidden="1">
      <c r="A947" s="372"/>
      <c r="B947" s="399" t="s">
        <v>371</v>
      </c>
      <c r="C947" s="400" t="s">
        <v>212</v>
      </c>
      <c r="D947" s="2848">
        <v>110.69932716186999</v>
      </c>
      <c r="E947" s="2554"/>
      <c r="F947" s="2554"/>
      <c r="G947" s="2554"/>
      <c r="H947" s="2554"/>
      <c r="I947" s="2554"/>
      <c r="J947" s="2554"/>
      <c r="K947" s="2554"/>
      <c r="L947" s="2554"/>
      <c r="M947" s="2554"/>
      <c r="N947" s="2554"/>
      <c r="O947" s="2554"/>
      <c r="P947" s="2554"/>
      <c r="Q947" s="2554"/>
    </row>
    <row r="948" spans="1:17" hidden="1">
      <c r="A948" s="2885"/>
      <c r="B948" s="1959"/>
      <c r="C948" s="2837"/>
      <c r="D948" s="2887"/>
      <c r="E948" s="2554"/>
      <c r="F948" s="2554"/>
      <c r="G948" s="2554"/>
      <c r="H948" s="2554"/>
      <c r="I948" s="2554"/>
      <c r="J948" s="2554"/>
      <c r="K948" s="2554"/>
      <c r="L948" s="2554"/>
      <c r="M948" s="2554"/>
      <c r="N948" s="2554"/>
      <c r="O948" s="2554"/>
      <c r="P948" s="2554"/>
      <c r="Q948" s="2554"/>
    </row>
    <row r="949" spans="1:17" ht="18" hidden="1">
      <c r="A949" s="372" t="s">
        <v>372</v>
      </c>
      <c r="B949" s="260" t="s">
        <v>265</v>
      </c>
      <c r="C949" s="267" t="s">
        <v>212</v>
      </c>
      <c r="D949" s="2848">
        <v>11</v>
      </c>
      <c r="E949" s="2554"/>
      <c r="F949" s="2554"/>
      <c r="G949" s="2554"/>
      <c r="H949" s="2554"/>
      <c r="I949" s="2554"/>
      <c r="J949" s="2554"/>
      <c r="K949" s="2554"/>
      <c r="L949" s="2554"/>
      <c r="M949" s="2554"/>
      <c r="N949" s="2554"/>
      <c r="O949" s="2554"/>
      <c r="P949" s="2554"/>
      <c r="Q949" s="2554"/>
    </row>
    <row r="950" spans="1:17" hidden="1">
      <c r="A950" s="411"/>
      <c r="B950" s="298" t="s">
        <v>266</v>
      </c>
      <c r="C950" s="299"/>
      <c r="D950" s="2890">
        <v>0</v>
      </c>
      <c r="E950" s="2554"/>
      <c r="F950" s="2554"/>
      <c r="G950" s="2554"/>
      <c r="H950" s="2554"/>
      <c r="I950" s="2554"/>
      <c r="J950" s="2554"/>
      <c r="K950" s="2554"/>
      <c r="L950" s="2554"/>
      <c r="M950" s="2554"/>
      <c r="N950" s="2554"/>
      <c r="O950" s="2554"/>
      <c r="P950" s="2554"/>
      <c r="Q950" s="2554"/>
    </row>
    <row r="951" spans="1:17" ht="18.75" hidden="1" thickBot="1">
      <c r="A951" s="372" t="s">
        <v>373</v>
      </c>
      <c r="B951" s="301" t="s">
        <v>267</v>
      </c>
      <c r="C951" s="302" t="s">
        <v>212</v>
      </c>
      <c r="D951" s="2891">
        <v>0.27459845160099999</v>
      </c>
      <c r="E951" s="2554"/>
      <c r="F951" s="2554"/>
      <c r="G951" s="2554"/>
      <c r="H951" s="2554"/>
      <c r="I951" s="2554"/>
      <c r="J951" s="2554"/>
      <c r="K951" s="2554"/>
      <c r="L951" s="2554"/>
      <c r="M951" s="2554"/>
      <c r="N951" s="2554"/>
      <c r="O951" s="2554"/>
      <c r="P951" s="2554"/>
      <c r="Q951" s="2554"/>
    </row>
    <row r="952" spans="1:17" hidden="1">
      <c r="A952" s="412"/>
      <c r="B952" s="304" t="s">
        <v>268</v>
      </c>
      <c r="C952" s="305" t="s">
        <v>212</v>
      </c>
      <c r="D952" s="2892">
        <v>9.4818941667000001E-2</v>
      </c>
      <c r="E952" s="2554"/>
      <c r="F952" s="2554"/>
      <c r="G952" s="2554"/>
      <c r="H952" s="2554"/>
      <c r="I952" s="2554"/>
      <c r="J952" s="2554"/>
      <c r="K952" s="2554"/>
      <c r="L952" s="2554"/>
      <c r="M952" s="2554"/>
      <c r="N952" s="2554"/>
      <c r="O952" s="2554"/>
      <c r="P952" s="2554"/>
      <c r="Q952" s="2554"/>
    </row>
    <row r="953" spans="1:17" hidden="1">
      <c r="A953" s="373"/>
      <c r="B953" s="307" t="s">
        <v>269</v>
      </c>
      <c r="C953" s="235" t="s">
        <v>212</v>
      </c>
      <c r="D953" s="2831">
        <v>2.6649022590000002E-2</v>
      </c>
      <c r="E953" s="2554"/>
      <c r="F953" s="2554"/>
      <c r="G953" s="2554"/>
      <c r="H953" s="2554"/>
      <c r="I953" s="2554"/>
      <c r="J953" s="2554"/>
      <c r="K953" s="2554"/>
      <c r="L953" s="2554"/>
      <c r="M953" s="2554"/>
      <c r="N953" s="2554"/>
      <c r="O953" s="2554"/>
      <c r="P953" s="2554"/>
      <c r="Q953" s="2554"/>
    </row>
    <row r="954" spans="1:17" hidden="1">
      <c r="A954" s="373"/>
      <c r="B954" s="307" t="s">
        <v>270</v>
      </c>
      <c r="C954" s="235" t="s">
        <v>212</v>
      </c>
      <c r="D954" s="2831"/>
      <c r="E954" s="2554"/>
      <c r="F954" s="2554"/>
      <c r="G954" s="2554"/>
      <c r="H954" s="2554"/>
      <c r="I954" s="2554"/>
      <c r="J954" s="2554"/>
      <c r="K954" s="2554"/>
      <c r="L954" s="2554"/>
      <c r="M954" s="2554"/>
      <c r="N954" s="2554"/>
      <c r="O954" s="2554"/>
      <c r="P954" s="2554"/>
      <c r="Q954" s="2554"/>
    </row>
    <row r="955" spans="1:17" hidden="1">
      <c r="A955" s="373"/>
      <c r="B955" s="307" t="s">
        <v>271</v>
      </c>
      <c r="C955" s="235" t="s">
        <v>212</v>
      </c>
      <c r="D955" s="2831">
        <v>0</v>
      </c>
      <c r="E955" s="2554"/>
      <c r="F955" s="2554"/>
      <c r="G955" s="2554"/>
      <c r="H955" s="2554"/>
      <c r="I955" s="2554"/>
      <c r="J955" s="2554"/>
      <c r="K955" s="2554"/>
      <c r="L955" s="2554"/>
      <c r="M955" s="2554"/>
      <c r="N955" s="2554"/>
      <c r="O955" s="2554"/>
      <c r="P955" s="2554"/>
      <c r="Q955" s="2554"/>
    </row>
    <row r="956" spans="1:17" hidden="1">
      <c r="A956" s="373"/>
      <c r="B956" s="307" t="s">
        <v>272</v>
      </c>
      <c r="C956" s="235" t="s">
        <v>212</v>
      </c>
      <c r="D956" s="2831">
        <v>0.13533388734399998</v>
      </c>
      <c r="E956" s="2554"/>
      <c r="F956" s="2554"/>
      <c r="G956" s="2554"/>
      <c r="H956" s="2554"/>
      <c r="I956" s="2554"/>
      <c r="J956" s="2554"/>
      <c r="K956" s="2554"/>
      <c r="L956" s="2554"/>
      <c r="M956" s="2554"/>
      <c r="N956" s="2554"/>
      <c r="O956" s="2554"/>
      <c r="P956" s="2554"/>
      <c r="Q956" s="2554"/>
    </row>
    <row r="957" spans="1:17" hidden="1">
      <c r="A957" s="373"/>
      <c r="B957" s="307" t="s">
        <v>273</v>
      </c>
      <c r="C957" s="235" t="s">
        <v>212</v>
      </c>
      <c r="D957" s="2831">
        <v>1.7796600000000003E-2</v>
      </c>
      <c r="E957" s="2554"/>
      <c r="F957" s="2554"/>
      <c r="G957" s="2554"/>
      <c r="H957" s="2554"/>
      <c r="I957" s="2554"/>
      <c r="J957" s="2554"/>
      <c r="K957" s="2554"/>
      <c r="L957" s="2554"/>
      <c r="M957" s="2554"/>
      <c r="N957" s="2554"/>
      <c r="O957" s="2554"/>
      <c r="P957" s="2554"/>
      <c r="Q957" s="2554"/>
    </row>
    <row r="958" spans="1:17" ht="18" hidden="1">
      <c r="A958" s="372" t="s">
        <v>374</v>
      </c>
      <c r="B958" s="266" t="s">
        <v>274</v>
      </c>
      <c r="C958" s="267"/>
      <c r="D958" s="2848"/>
      <c r="E958" s="2554"/>
      <c r="F958" s="2554"/>
      <c r="G958" s="2554"/>
      <c r="H958" s="2554"/>
      <c r="I958" s="2554"/>
      <c r="J958" s="2554"/>
      <c r="K958" s="2554"/>
      <c r="L958" s="2554"/>
      <c r="M958" s="2554"/>
      <c r="N958" s="2554"/>
      <c r="O958" s="2554"/>
      <c r="P958" s="2554"/>
      <c r="Q958" s="2554"/>
    </row>
    <row r="959" spans="1:17" hidden="1">
      <c r="A959" s="384"/>
      <c r="B959" s="307" t="s">
        <v>275</v>
      </c>
      <c r="C959" s="235" t="s">
        <v>276</v>
      </c>
      <c r="D959" s="2893"/>
      <c r="E959" s="2554"/>
      <c r="F959" s="2554"/>
      <c r="G959" s="2554"/>
      <c r="H959" s="2554"/>
      <c r="I959" s="2554"/>
      <c r="J959" s="2554"/>
      <c r="K959" s="2554"/>
      <c r="L959" s="2554"/>
      <c r="M959" s="2554"/>
      <c r="N959" s="2554"/>
      <c r="O959" s="2554"/>
      <c r="P959" s="2554"/>
      <c r="Q959" s="2554"/>
    </row>
    <row r="960" spans="1:17" ht="16.5" hidden="1" thickBot="1">
      <c r="A960" s="413"/>
      <c r="B960" s="309" t="s">
        <v>277</v>
      </c>
      <c r="C960" s="310" t="s">
        <v>276</v>
      </c>
      <c r="D960" s="2894"/>
      <c r="E960" s="2554"/>
      <c r="F960" s="2554"/>
      <c r="G960" s="2554"/>
      <c r="H960" s="2554"/>
      <c r="I960" s="2554"/>
      <c r="J960" s="2554"/>
      <c r="K960" s="2554"/>
      <c r="L960" s="2554"/>
      <c r="M960" s="2554"/>
      <c r="N960" s="2554"/>
      <c r="O960" s="2554"/>
      <c r="P960" s="2554"/>
      <c r="Q960" s="2554"/>
    </row>
    <row r="961" spans="1:22" ht="18.75" hidden="1" thickBot="1">
      <c r="A961" s="372" t="s">
        <v>375</v>
      </c>
      <c r="B961" s="312" t="s">
        <v>278</v>
      </c>
      <c r="C961" s="313" t="s">
        <v>212</v>
      </c>
      <c r="D961" s="2891">
        <v>7.608997845204919</v>
      </c>
      <c r="E961" s="2554"/>
      <c r="F961" s="2554"/>
      <c r="G961" s="2554"/>
      <c r="H961" s="2554"/>
      <c r="I961" s="2554"/>
      <c r="J961" s="2554"/>
      <c r="K961" s="2554"/>
      <c r="L961" s="2554"/>
      <c r="M961" s="2554"/>
      <c r="N961" s="2554"/>
      <c r="O961" s="2554"/>
      <c r="P961" s="2554"/>
      <c r="Q961" s="2554"/>
    </row>
    <row r="962" spans="1:22" hidden="1">
      <c r="A962" s="411" t="s">
        <v>3650</v>
      </c>
      <c r="B962" s="2895" t="s">
        <v>3651</v>
      </c>
      <c r="C962" s="2896" t="s">
        <v>1760</v>
      </c>
      <c r="D962" s="2897">
        <v>189.16123848999999</v>
      </c>
      <c r="E962" s="2554"/>
      <c r="F962" s="2554"/>
      <c r="G962" s="2554"/>
      <c r="H962" s="2554"/>
      <c r="I962" s="2554"/>
      <c r="J962" s="2554"/>
      <c r="K962" s="2554"/>
      <c r="L962" s="2554"/>
      <c r="M962" s="2554"/>
      <c r="N962" s="2554"/>
      <c r="O962" s="2554"/>
      <c r="P962" s="2554"/>
      <c r="Q962" s="2554"/>
    </row>
    <row r="963" spans="1:22" ht="16.5" hidden="1" thickBot="1">
      <c r="A963" s="2898"/>
      <c r="B963" s="2899" t="s">
        <v>244</v>
      </c>
      <c r="C963" s="2900" t="s">
        <v>1760</v>
      </c>
      <c r="D963" s="2901">
        <v>0</v>
      </c>
      <c r="E963" s="2554"/>
      <c r="F963" s="2554"/>
      <c r="G963" s="2554"/>
      <c r="H963" s="2554"/>
      <c r="I963" s="2554"/>
      <c r="J963" s="2554"/>
      <c r="K963" s="2554"/>
      <c r="L963" s="2554"/>
      <c r="M963" s="2554"/>
      <c r="N963" s="2554"/>
      <c r="O963" s="2554"/>
      <c r="P963" s="2554"/>
      <c r="Q963" s="2554"/>
    </row>
    <row r="964" spans="1:22" hidden="1">
      <c r="A964" s="2902" t="s">
        <v>3650</v>
      </c>
      <c r="B964" s="2903" t="s">
        <v>3652</v>
      </c>
      <c r="C964" s="2904" t="s">
        <v>1760</v>
      </c>
      <c r="D964" s="2905">
        <v>1.88213743</v>
      </c>
      <c r="E964" s="2554"/>
      <c r="F964" s="2554"/>
      <c r="G964" s="2554"/>
      <c r="H964" s="2554"/>
      <c r="I964" s="2554"/>
      <c r="J964" s="2554"/>
      <c r="K964" s="2554"/>
      <c r="L964" s="2554"/>
      <c r="M964" s="2554"/>
      <c r="N964" s="2554"/>
      <c r="O964" s="2554"/>
      <c r="P964" s="2554"/>
      <c r="Q964" s="2554"/>
    </row>
    <row r="965" spans="1:22" ht="16.5" hidden="1" thickBot="1">
      <c r="A965" s="2906" t="s">
        <v>3653</v>
      </c>
      <c r="B965" s="2907" t="s">
        <v>3654</v>
      </c>
      <c r="C965" s="2908" t="s">
        <v>1760</v>
      </c>
      <c r="D965" s="2909">
        <v>191.04337591999999</v>
      </c>
      <c r="E965" s="2554"/>
      <c r="F965" s="2554"/>
      <c r="G965" s="2554"/>
      <c r="H965" s="2554"/>
      <c r="I965" s="2554"/>
      <c r="J965" s="2554"/>
      <c r="K965" s="2554"/>
      <c r="L965" s="2554"/>
      <c r="M965" s="2554"/>
      <c r="N965" s="2554"/>
      <c r="O965" s="2554"/>
      <c r="P965" s="2554"/>
      <c r="Q965" s="2554"/>
    </row>
    <row r="966" spans="1:22" hidden="1">
      <c r="A966" s="227"/>
      <c r="B966" s="226"/>
      <c r="C966" s="227"/>
      <c r="D966" s="2910">
        <v>3.3314709999999997E-2</v>
      </c>
      <c r="E966" s="2910"/>
      <c r="F966" s="2910"/>
      <c r="G966" s="314"/>
      <c r="H966" s="2910"/>
      <c r="I966" s="314"/>
      <c r="J966" s="2911"/>
      <c r="K966" s="314"/>
      <c r="L966" s="314"/>
      <c r="M966" s="314"/>
      <c r="N966" s="314"/>
      <c r="O966"/>
      <c r="P966" s="314"/>
      <c r="Q966"/>
      <c r="R966"/>
      <c r="S966" s="314"/>
      <c r="T966"/>
      <c r="U966" s="314"/>
      <c r="V966"/>
    </row>
    <row r="967" spans="1:22" ht="18" hidden="1">
      <c r="A967" s="227"/>
      <c r="B967" s="227" t="s">
        <v>3655</v>
      </c>
      <c r="C967" s="227" t="s">
        <v>3656</v>
      </c>
      <c r="D967" s="2912"/>
      <c r="E967" s="2913"/>
      <c r="F967" s="2913"/>
      <c r="G967" s="2913"/>
      <c r="H967" s="2913"/>
      <c r="I967" s="2913"/>
      <c r="J967" s="2913"/>
      <c r="K967" s="2914"/>
      <c r="L967" s="2914"/>
      <c r="M967" s="2914"/>
      <c r="N967" s="2914"/>
      <c r="O967"/>
      <c r="P967" s="2914"/>
      <c r="Q967"/>
      <c r="R967"/>
      <c r="S967" s="2914"/>
      <c r="T967"/>
      <c r="U967" s="2914"/>
      <c r="V967"/>
    </row>
    <row r="968" spans="1:22" ht="18" hidden="1">
      <c r="A968" s="227"/>
      <c r="B968" s="227"/>
      <c r="C968" s="2915"/>
      <c r="D968" s="2912"/>
      <c r="E968" s="2913"/>
      <c r="F968" s="2913"/>
      <c r="G968" s="2913"/>
      <c r="H968" s="2913"/>
      <c r="I968" s="2913"/>
      <c r="J968" s="2913"/>
      <c r="K968" s="2914"/>
      <c r="L968" s="2914"/>
      <c r="M968" s="2914"/>
      <c r="N968" s="2914"/>
      <c r="O968"/>
      <c r="P968" s="2914"/>
      <c r="Q968"/>
      <c r="R968"/>
      <c r="S968" s="2914"/>
      <c r="T968"/>
      <c r="U968" s="2914"/>
      <c r="V968"/>
    </row>
    <row r="969" spans="1:22" ht="18" hidden="1">
      <c r="A969" s="227"/>
      <c r="B969" s="227" t="s">
        <v>3657</v>
      </c>
      <c r="C969" s="227" t="s">
        <v>3658</v>
      </c>
      <c r="D969" s="2916"/>
      <c r="E969" s="2917"/>
      <c r="F969" s="2918"/>
      <c r="G969" s="2913"/>
      <c r="H969" s="314"/>
      <c r="I969" s="314"/>
      <c r="J969" s="314"/>
      <c r="K969" s="2914"/>
      <c r="L969" s="2914"/>
      <c r="M969" s="2914"/>
      <c r="N969" s="2914"/>
      <c r="O969"/>
      <c r="P969" s="2914"/>
      <c r="Q969"/>
      <c r="R969"/>
      <c r="S969" s="2914"/>
      <c r="T969"/>
      <c r="U969" s="2914"/>
      <c r="V969"/>
    </row>
    <row r="970" spans="1:22" hidden="1">
      <c r="A970" s="227"/>
      <c r="B970" s="230"/>
      <c r="C970" s="2915"/>
      <c r="D970" s="2916"/>
      <c r="E970" s="2916"/>
      <c r="F970" s="2916"/>
      <c r="G970" s="2916"/>
      <c r="H970" s="2916"/>
      <c r="I970" s="2916"/>
      <c r="J970" s="2916"/>
      <c r="K970" s="2916"/>
      <c r="L970" s="2916"/>
      <c r="M970" s="2916"/>
      <c r="N970" s="2916"/>
      <c r="O970" s="2916"/>
      <c r="P970" s="2919"/>
      <c r="Q970" s="2919"/>
      <c r="R970" s="2919"/>
      <c r="S970" s="2919"/>
      <c r="T970" s="2919"/>
      <c r="U970" s="2919"/>
      <c r="V970" s="2916"/>
    </row>
    <row r="971" spans="1:22" ht="18" hidden="1">
      <c r="A971" s="227"/>
      <c r="B971" s="227" t="s">
        <v>3657</v>
      </c>
      <c r="C971" s="227"/>
      <c r="D971" s="2920"/>
      <c r="E971" s="2913"/>
      <c r="F971" s="2913"/>
      <c r="G971" s="2913"/>
      <c r="H971" s="2921"/>
      <c r="I971" s="2921"/>
      <c r="J971" s="2922"/>
      <c r="K971" s="315"/>
      <c r="L971" s="315"/>
      <c r="M971" s="315"/>
      <c r="N971" s="315"/>
      <c r="O971"/>
      <c r="P971" s="315"/>
      <c r="Q971"/>
      <c r="R971"/>
      <c r="S971" s="315"/>
      <c r="T971"/>
      <c r="U971" s="315"/>
      <c r="V971"/>
    </row>
    <row r="972" spans="1:22" ht="18" hidden="1">
      <c r="A972" s="227"/>
      <c r="B972" s="227"/>
      <c r="C972" s="2915"/>
      <c r="D972" s="2917"/>
      <c r="E972" s="227"/>
      <c r="F972" s="227"/>
      <c r="G972" s="2913"/>
      <c r="H972" s="2923"/>
      <c r="I972" s="2923"/>
      <c r="J972" s="2923"/>
      <c r="K972" s="315"/>
      <c r="L972" s="315"/>
      <c r="M972" s="315"/>
      <c r="N972" s="315"/>
      <c r="O972"/>
      <c r="P972" s="315"/>
      <c r="Q972"/>
      <c r="R972"/>
      <c r="S972" s="315"/>
      <c r="T972"/>
      <c r="U972" s="315"/>
      <c r="V972"/>
    </row>
    <row r="973" spans="1:22" hidden="1"/>
    <row r="974" spans="1:22" hidden="1"/>
    <row r="975" spans="1:22" hidden="1"/>
    <row r="976" spans="1:22"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spans="4:4" hidden="1"/>
    <row r="1058" spans="4:4" hidden="1"/>
    <row r="1059" spans="4:4" hidden="1"/>
    <row r="1060" spans="4:4" hidden="1">
      <c r="D1060" s="2560">
        <v>140.19484261500017</v>
      </c>
    </row>
    <row r="1061" spans="4:4" hidden="1">
      <c r="D1061" s="2560">
        <v>5</v>
      </c>
    </row>
    <row r="1062" spans="4:4" hidden="1">
      <c r="D1062" s="2560">
        <v>145.19484261500017</v>
      </c>
    </row>
    <row r="1063" spans="4:4" hidden="1"/>
    <row r="1064" spans="4:4" hidden="1">
      <c r="D1064" s="2560">
        <v>73.851618400862719</v>
      </c>
    </row>
    <row r="1065" spans="4:4" hidden="1">
      <c r="D1065" s="2560">
        <v>184.12868767309337</v>
      </c>
    </row>
    <row r="1066" spans="4:4" hidden="1">
      <c r="D1066" s="2560">
        <v>184.12868767309337</v>
      </c>
    </row>
    <row r="1067" spans="4:4" hidden="1"/>
    <row r="1068" spans="4:4" hidden="1">
      <c r="D1068" s="2560">
        <v>180.50091200000003</v>
      </c>
    </row>
    <row r="1069" spans="4:4" hidden="1">
      <c r="D1069" s="2560">
        <v>180.50091200000003</v>
      </c>
    </row>
    <row r="1070" spans="4:4" hidden="1">
      <c r="D1070" s="2560">
        <v>180.50091200000003</v>
      </c>
    </row>
    <row r="1071" spans="4:4" hidden="1"/>
    <row r="1072" spans="4:4" hidden="1"/>
    <row r="1073" spans="4:4" hidden="1"/>
    <row r="1074" spans="4:4" hidden="1"/>
    <row r="1075" spans="4:4" hidden="1">
      <c r="D1075" s="2560">
        <v>134.21181899999999</v>
      </c>
    </row>
    <row r="1076" spans="4:4" hidden="1">
      <c r="D1076" s="2560">
        <v>66.272788000000006</v>
      </c>
    </row>
    <row r="1077" spans="4:4" hidden="1">
      <c r="D1077" s="2560">
        <v>9.3999999999999997E-4</v>
      </c>
    </row>
    <row r="1078" spans="4:4" hidden="1">
      <c r="D1078" s="2560">
        <v>41.840209000000002</v>
      </c>
    </row>
    <row r="1079" spans="4:4" hidden="1">
      <c r="D1079" s="2560">
        <v>24.431639000000001</v>
      </c>
    </row>
    <row r="1080" spans="4:4" hidden="1">
      <c r="D1080" s="2560">
        <v>67.939031</v>
      </c>
    </row>
    <row r="1081" spans="4:4" hidden="1">
      <c r="D1081" s="2560">
        <v>1.0458529999999999</v>
      </c>
    </row>
    <row r="1082" spans="4:4" hidden="1">
      <c r="D1082" s="2560">
        <v>57.964021000000002</v>
      </c>
    </row>
    <row r="1083" spans="4:4" hidden="1">
      <c r="D1083" s="2560">
        <v>8.929157</v>
      </c>
    </row>
    <row r="1084" spans="4:4" hidden="1">
      <c r="D1084" s="2560">
        <v>1.8836250000000001</v>
      </c>
    </row>
    <row r="1085" spans="4:4" hidden="1">
      <c r="D1085" s="2560">
        <v>1.8836250000000001</v>
      </c>
    </row>
    <row r="1086" spans="4:4" hidden="1"/>
    <row r="1087" spans="4:4" hidden="1">
      <c r="D1087" s="2560">
        <v>1.80925</v>
      </c>
    </row>
    <row r="1088" spans="4:4" hidden="1">
      <c r="D1088" s="2560">
        <v>7.4374999999999997E-2</v>
      </c>
    </row>
    <row r="1089" spans="4:4" hidden="1">
      <c r="D1089" s="2560">
        <v>0</v>
      </c>
    </row>
    <row r="1090" spans="4:4" hidden="1"/>
    <row r="1091" spans="4:4" hidden="1"/>
    <row r="1092" spans="4:4" hidden="1"/>
    <row r="1093" spans="4:4" hidden="1">
      <c r="D1093" s="2560">
        <v>0</v>
      </c>
    </row>
    <row r="1094" spans="4:4" hidden="1"/>
    <row r="1095" spans="4:4" hidden="1"/>
    <row r="1096" spans="4:4" hidden="1"/>
    <row r="1097" spans="4:4" hidden="1">
      <c r="D1097" s="2560">
        <v>42.230940000000004</v>
      </c>
    </row>
    <row r="1098" spans="4:4" hidden="1">
      <c r="D1098" s="2560">
        <v>42.230940000000004</v>
      </c>
    </row>
    <row r="1099" spans="4:4" hidden="1">
      <c r="D1099" s="2560">
        <v>6.2845979999999999</v>
      </c>
    </row>
    <row r="1100" spans="4:4" hidden="1">
      <c r="D1100" s="2560">
        <v>35.738813999999998</v>
      </c>
    </row>
    <row r="1101" spans="4:4" hidden="1">
      <c r="D1101" s="2560">
        <v>0.20752799999999999</v>
      </c>
    </row>
    <row r="1102" spans="4:4" hidden="1"/>
    <row r="1103" spans="4:4" hidden="1"/>
    <row r="1104" spans="4:4" hidden="1"/>
    <row r="1105" spans="4:4" hidden="1">
      <c r="D1105" s="2560">
        <v>178.32638399999999</v>
      </c>
    </row>
    <row r="1106" spans="4:4" hidden="1"/>
    <row r="1107" spans="4:4" hidden="1"/>
    <row r="1108" spans="4:4" hidden="1"/>
    <row r="1109" spans="4:4" hidden="1"/>
    <row r="1110" spans="4:4" hidden="1"/>
    <row r="1111" spans="4:4" hidden="1"/>
    <row r="1112" spans="4:4" hidden="1"/>
    <row r="1113" spans="4:4" hidden="1"/>
    <row r="1114" spans="4:4" hidden="1"/>
    <row r="1115" spans="4:4" hidden="1"/>
    <row r="1116" spans="4:4" hidden="1"/>
    <row r="1117" spans="4:4" hidden="1"/>
    <row r="1118" spans="4:4" hidden="1"/>
    <row r="1119" spans="4:4" hidden="1"/>
    <row r="1120" spans="4:4"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spans="4:4" hidden="1">
      <c r="D1137" s="2560">
        <v>257.79945422847112</v>
      </c>
    </row>
    <row r="1138" spans="4:4" hidden="1">
      <c r="D1138" s="2560">
        <v>5</v>
      </c>
    </row>
    <row r="1139" spans="4:4" hidden="1">
      <c r="D1139" s="2560">
        <v>262.79945422847112</v>
      </c>
    </row>
    <row r="1140" spans="4:4" hidden="1"/>
    <row r="1141" spans="4:4" hidden="1">
      <c r="D1141" s="2560">
        <v>191.45623001433367</v>
      </c>
    </row>
    <row r="1142" spans="4:4" hidden="1">
      <c r="D1142" s="2560">
        <v>184.12868767309337</v>
      </c>
    </row>
    <row r="1143" spans="4:4" hidden="1">
      <c r="D1143" s="2560">
        <v>184.12868767309337</v>
      </c>
    </row>
    <row r="1144" spans="4:4" hidden="1"/>
    <row r="1145" spans="4:4" hidden="1">
      <c r="D1145" s="2560">
        <v>180.50091200000003</v>
      </c>
    </row>
    <row r="1146" spans="4:4" hidden="1">
      <c r="D1146" s="2560">
        <v>180.50091200000003</v>
      </c>
    </row>
    <row r="1147" spans="4:4" hidden="1">
      <c r="D1147" s="2560">
        <v>180.50091200000003</v>
      </c>
    </row>
    <row r="1148" spans="4:4" hidden="1"/>
    <row r="1149" spans="4:4" hidden="1"/>
    <row r="1150" spans="4:4" hidden="1"/>
    <row r="1151" spans="4:4" hidden="1"/>
    <row r="1152" spans="4:4" hidden="1">
      <c r="D1152" s="2560">
        <v>135.87877900000001</v>
      </c>
    </row>
    <row r="1153" spans="4:4" hidden="1">
      <c r="D1153" s="2560">
        <v>66.274285000000006</v>
      </c>
    </row>
    <row r="1154" spans="4:4" hidden="1">
      <c r="D1154" s="2560">
        <v>2.4369999999999999E-3</v>
      </c>
    </row>
    <row r="1155" spans="4:4" hidden="1">
      <c r="D1155" s="2560">
        <v>41.840209000000002</v>
      </c>
    </row>
    <row r="1156" spans="4:4" hidden="1">
      <c r="D1156" s="2560">
        <v>24.431639000000001</v>
      </c>
    </row>
    <row r="1157" spans="4:4" hidden="1">
      <c r="D1157" s="2560">
        <v>69.604494000000003</v>
      </c>
    </row>
    <row r="1158" spans="4:4" hidden="1">
      <c r="D1158" s="2560">
        <v>2.7113160000000001</v>
      </c>
    </row>
    <row r="1159" spans="4:4" hidden="1">
      <c r="D1159" s="2560">
        <v>57.964021000000002</v>
      </c>
    </row>
    <row r="1160" spans="4:4" hidden="1">
      <c r="D1160" s="2560">
        <v>8.929157</v>
      </c>
    </row>
    <row r="1161" spans="4:4" hidden="1">
      <c r="D1161" s="2560">
        <v>4.7647560000000002</v>
      </c>
    </row>
    <row r="1162" spans="4:4" hidden="1">
      <c r="D1162" s="2560">
        <v>4.7647560000000002</v>
      </c>
    </row>
    <row r="1163" spans="4:4" hidden="1"/>
    <row r="1164" spans="4:4" hidden="1">
      <c r="D1164" s="2560">
        <v>4.6903810000000004</v>
      </c>
    </row>
    <row r="1165" spans="4:4" hidden="1">
      <c r="D1165" s="2560">
        <v>7.4374999999999997E-2</v>
      </c>
    </row>
    <row r="1166" spans="4:4" hidden="1">
      <c r="D1166" s="2560">
        <v>0</v>
      </c>
    </row>
    <row r="1167" spans="4:4" hidden="1"/>
    <row r="1168" spans="4:4" hidden="1"/>
    <row r="1169" spans="4:4" hidden="1"/>
    <row r="1170" spans="4:4" hidden="1">
      <c r="D1170" s="2560">
        <v>0</v>
      </c>
    </row>
    <row r="1171" spans="4:4" hidden="1"/>
    <row r="1172" spans="4:4" hidden="1"/>
    <row r="1173" spans="4:4" hidden="1"/>
    <row r="1174" spans="4:4" hidden="1">
      <c r="D1174" s="2560">
        <v>52.238813999999998</v>
      </c>
    </row>
    <row r="1175" spans="4:4" hidden="1">
      <c r="D1175" s="2560">
        <v>52.238813999999998</v>
      </c>
    </row>
    <row r="1176" spans="4:4" hidden="1">
      <c r="D1176" s="2560">
        <v>16.292472</v>
      </c>
    </row>
    <row r="1177" spans="4:4" hidden="1">
      <c r="D1177" s="2560">
        <v>35.738813999999998</v>
      </c>
    </row>
    <row r="1178" spans="4:4" hidden="1">
      <c r="D1178" s="2560">
        <v>0.20752799999999999</v>
      </c>
    </row>
    <row r="1179" spans="4:4" hidden="1"/>
    <row r="1180" spans="4:4" hidden="1"/>
    <row r="1181" spans="4:4" hidden="1"/>
    <row r="1182" spans="4:4" hidden="1">
      <c r="D1182" s="2560">
        <v>192.882349</v>
      </c>
    </row>
    <row r="1183" spans="4:4" hidden="1"/>
    <row r="1184" spans="4: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spans="4:4" hidden="1"/>
    <row r="1202" spans="4:4" hidden="1"/>
    <row r="1203" spans="4:4" hidden="1"/>
    <row r="1204" spans="4:4" hidden="1"/>
    <row r="1205" spans="4:4" hidden="1"/>
    <row r="1206" spans="4:4" hidden="1"/>
    <row r="1207" spans="4:4" hidden="1"/>
    <row r="1208" spans="4:4" hidden="1"/>
    <row r="1209" spans="4:4" hidden="1"/>
    <row r="1210" spans="4:4" hidden="1"/>
    <row r="1211" spans="4:4" hidden="1"/>
    <row r="1212" spans="4:4" hidden="1"/>
    <row r="1213" spans="4:4" hidden="1"/>
    <row r="1214" spans="4:4" hidden="1"/>
    <row r="1215" spans="4:4" hidden="1">
      <c r="D1215" s="2560">
        <v>0</v>
      </c>
    </row>
    <row r="1216" spans="4:4" hidden="1">
      <c r="D1216" s="2560">
        <v>0</v>
      </c>
    </row>
    <row r="1217" spans="4:4" hidden="1">
      <c r="D1217" s="2560">
        <v>0</v>
      </c>
    </row>
    <row r="1218" spans="4:4" hidden="1">
      <c r="D1218" s="2560">
        <v>0</v>
      </c>
    </row>
    <row r="1219" spans="4:4" hidden="1">
      <c r="D1219" s="2560">
        <v>0</v>
      </c>
    </row>
    <row r="1220" spans="4:4" hidden="1">
      <c r="D1220" s="2560">
        <v>0</v>
      </c>
    </row>
    <row r="1221" spans="4:4" hidden="1">
      <c r="D1221" s="2560">
        <v>0</v>
      </c>
    </row>
    <row r="1222" spans="4:4" hidden="1">
      <c r="D1222" s="2560">
        <v>0</v>
      </c>
    </row>
    <row r="1223" spans="4:4" hidden="1">
      <c r="D1223" s="2560">
        <v>0</v>
      </c>
    </row>
    <row r="1224" spans="4:4" hidden="1"/>
    <row r="1225" spans="4:4" hidden="1">
      <c r="D1225" s="2560">
        <v>0.47963</v>
      </c>
    </row>
    <row r="1226" spans="4:4" hidden="1"/>
    <row r="1227" spans="4:4" hidden="1">
      <c r="D1227" s="2560">
        <v>2.62</v>
      </c>
    </row>
    <row r="1228" spans="4:4" hidden="1">
      <c r="D1228" s="2560">
        <v>2.62</v>
      </c>
    </row>
    <row r="1229" spans="4:4" hidden="1">
      <c r="D1229" s="2560">
        <v>2.62</v>
      </c>
    </row>
    <row r="1230" spans="4:4" hidden="1"/>
    <row r="1231" spans="4:4" hidden="1"/>
    <row r="1232" spans="4:4" hidden="1">
      <c r="D1232" s="2560">
        <v>0</v>
      </c>
    </row>
    <row r="1233" spans="4:4" hidden="1">
      <c r="D1233" s="2560">
        <v>0</v>
      </c>
    </row>
    <row r="1234" spans="4:4" hidden="1">
      <c r="D1234" s="2560">
        <v>0</v>
      </c>
    </row>
    <row r="1235" spans="4:4" hidden="1"/>
    <row r="1236" spans="4:4" hidden="1"/>
    <row r="1237" spans="4:4" hidden="1">
      <c r="D1237" s="2560">
        <v>0.48225000000000001</v>
      </c>
    </row>
    <row r="1238" spans="4:4" hidden="1"/>
    <row r="1239" spans="4:4" hidden="1"/>
    <row r="1240" spans="4:4" hidden="1">
      <c r="D1240" s="2560">
        <v>1.64076</v>
      </c>
    </row>
    <row r="1241" spans="4:4" hidden="1">
      <c r="D1241" s="2560">
        <v>1.7809999999999999</v>
      </c>
    </row>
    <row r="1242" spans="4:4" hidden="1">
      <c r="D1242" s="2560">
        <v>1.83188</v>
      </c>
    </row>
    <row r="1243" spans="4:4" hidden="1"/>
    <row r="1244" spans="4:4" hidden="1"/>
    <row r="1245" spans="4:4" hidden="1">
      <c r="D1245" s="2560" t="e">
        <v>#DIV/0!</v>
      </c>
    </row>
    <row r="1246" spans="4:4" hidden="1">
      <c r="D1246" s="2560" t="e">
        <v>#DIV/0!</v>
      </c>
    </row>
    <row r="1247" spans="4:4" hidden="1">
      <c r="D1247" s="2560">
        <v>1.6433800000000001</v>
      </c>
    </row>
    <row r="1248" spans="4:4" hidden="1">
      <c r="D1248" s="2560">
        <v>1.78362</v>
      </c>
    </row>
    <row r="1249" spans="4:4" hidden="1">
      <c r="D1249" s="2560">
        <v>1.8345</v>
      </c>
    </row>
    <row r="1250" spans="4:4" hidden="1">
      <c r="D1250" s="2560">
        <v>1.0251190337247695</v>
      </c>
    </row>
    <row r="1251" spans="4:4" hidden="1">
      <c r="D1251" s="2560">
        <v>1.6433800000000001</v>
      </c>
    </row>
    <row r="1252" spans="4:4" hidden="1">
      <c r="D1252" s="2560">
        <v>1.78362</v>
      </c>
    </row>
    <row r="1253" spans="4:4" hidden="1">
      <c r="D1253" s="2560">
        <v>1.8345</v>
      </c>
    </row>
    <row r="1254" spans="4:4" hidden="1">
      <c r="D1254" s="2560">
        <v>2.7061830231823826E-2</v>
      </c>
    </row>
    <row r="1255" spans="4:4" hidden="1">
      <c r="D1255" s="2560">
        <v>0.69472720996003423</v>
      </c>
    </row>
    <row r="1256" spans="4:4" hidden="1"/>
    <row r="1257" spans="4:4" hidden="1">
      <c r="D1257" s="2560">
        <v>0.20262271119210917</v>
      </c>
    </row>
    <row r="1258" spans="4:4" hidden="1">
      <c r="D1258" s="2560">
        <v>1.5609403713432543E-2</v>
      </c>
    </row>
    <row r="1259" spans="4:4" hidden="1">
      <c r="D1259" s="2560">
        <v>0</v>
      </c>
    </row>
    <row r="1260" spans="4:4" hidden="1"/>
    <row r="1261" spans="4:4" hidden="1"/>
    <row r="1262" spans="4:4" hidden="1"/>
    <row r="1263" spans="4:4" hidden="1">
      <c r="D1263" s="2560">
        <v>0</v>
      </c>
    </row>
    <row r="1264" spans="4:4" hidden="1"/>
    <row r="1265" spans="4:4" hidden="1"/>
    <row r="1266" spans="4:4" hidden="1"/>
    <row r="1267" spans="4:4" hidden="1">
      <c r="D1267" s="2560" t="e">
        <v>#DIV/0!</v>
      </c>
    </row>
    <row r="1268" spans="4:4" hidden="1">
      <c r="D1268" s="2560" t="e">
        <v>#DIV/0!</v>
      </c>
    </row>
    <row r="1269" spans="4:4" hidden="1">
      <c r="D1269" s="2560">
        <v>1.6433800000000001</v>
      </c>
    </row>
    <row r="1270" spans="4:4" hidden="1">
      <c r="D1270" s="2560">
        <v>1.78362</v>
      </c>
    </row>
    <row r="1271" spans="4:4" hidden="1">
      <c r="D1271" s="2560">
        <v>1.8345</v>
      </c>
    </row>
    <row r="1272" spans="4:4" hidden="1"/>
    <row r="1273" spans="4:4" hidden="1"/>
    <row r="1274" spans="4:4" hidden="1"/>
    <row r="1275" spans="4:4" hidden="1"/>
    <row r="1276" spans="4:4" hidden="1"/>
    <row r="1277" spans="4:4" hidden="1"/>
    <row r="1278" spans="4:4" hidden="1"/>
    <row r="1279" spans="4:4" hidden="1"/>
    <row r="1280" spans="4:4"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spans="4:4" hidden="1"/>
    <row r="1362" spans="4:4" hidden="1"/>
    <row r="1363" spans="4:4" hidden="1"/>
    <row r="1364" spans="4:4" hidden="1"/>
    <row r="1365" spans="4:4" hidden="1"/>
    <row r="1366" spans="4:4" hidden="1"/>
    <row r="1367" spans="4:4" hidden="1"/>
    <row r="1368" spans="4:4" hidden="1"/>
    <row r="1369" spans="4:4" hidden="1"/>
    <row r="1370" spans="4:4" hidden="1"/>
    <row r="1371" spans="4:4" hidden="1"/>
    <row r="1372" spans="4:4" hidden="1"/>
    <row r="1373" spans="4:4" hidden="1">
      <c r="D1373" s="2828"/>
    </row>
    <row r="1374" spans="4:4" hidden="1">
      <c r="D1374" s="2828"/>
    </row>
    <row r="1375" spans="4:4" hidden="1">
      <c r="D1375" s="2828">
        <v>0.25</v>
      </c>
    </row>
    <row r="1376" spans="4:4" hidden="1">
      <c r="D1376" s="2828"/>
    </row>
    <row r="1377" spans="4:4" hidden="1">
      <c r="D1377" s="2829">
        <v>0.15636</v>
      </c>
    </row>
    <row r="1378" spans="4:4" hidden="1">
      <c r="D1378" s="2828"/>
    </row>
    <row r="1379" spans="4:4" hidden="1">
      <c r="D1379" s="2828"/>
    </row>
    <row r="1380" spans="4:4" hidden="1">
      <c r="D1380" s="2828">
        <v>0.15636</v>
      </c>
    </row>
    <row r="1381" spans="4:4" hidden="1">
      <c r="D1381" s="2828"/>
    </row>
    <row r="1382" spans="4:4" hidden="1">
      <c r="D1382" s="1845"/>
    </row>
    <row r="1383" spans="4:4" hidden="1">
      <c r="D1383" s="2924"/>
    </row>
    <row r="1384" spans="4:4" hidden="1">
      <c r="D1384" s="2829">
        <v>6.0000000000000001E-3</v>
      </c>
    </row>
    <row r="1385" spans="4:4" hidden="1">
      <c r="D1385" s="2828"/>
    </row>
    <row r="1386" spans="4:4" hidden="1">
      <c r="D1386" s="2828"/>
    </row>
    <row r="1387" spans="4:4" hidden="1">
      <c r="D1387" s="2828">
        <v>6.0000000000000001E-3</v>
      </c>
    </row>
    <row r="1388" spans="4:4" hidden="1">
      <c r="D1388" s="2828"/>
    </row>
    <row r="1389" spans="4:4" hidden="1">
      <c r="D1389" s="2829">
        <v>4.3020000000000003E-3</v>
      </c>
    </row>
    <row r="1390" spans="4:4" hidden="1">
      <c r="D1390" s="2828"/>
    </row>
    <row r="1391" spans="4:4" hidden="1">
      <c r="D1391" s="2828"/>
    </row>
    <row r="1392" spans="4:4" hidden="1">
      <c r="D1392" s="2828">
        <v>4.3020000000000003E-3</v>
      </c>
    </row>
    <row r="1393" spans="4:4" hidden="1">
      <c r="D1393" s="2828"/>
    </row>
    <row r="1394" spans="4:4" hidden="1"/>
    <row r="1395" spans="4:4" hidden="1"/>
  </sheetData>
  <mergeCells count="38">
    <mergeCell ref="A10:Q10"/>
    <mergeCell ref="A11:B11"/>
    <mergeCell ref="C11:Q11"/>
    <mergeCell ref="A13:A14"/>
    <mergeCell ref="B13:B14"/>
    <mergeCell ref="C13:G13"/>
    <mergeCell ref="H13:L13"/>
    <mergeCell ref="M13:Q13"/>
    <mergeCell ref="A187:Q187"/>
    <mergeCell ref="A16:Q16"/>
    <mergeCell ref="C102:H102"/>
    <mergeCell ref="A182:B182"/>
    <mergeCell ref="C182:Q182"/>
    <mergeCell ref="A183:B183"/>
    <mergeCell ref="C183:Q183"/>
    <mergeCell ref="A184:A185"/>
    <mergeCell ref="B184:B185"/>
    <mergeCell ref="C184:G184"/>
    <mergeCell ref="H184:L184"/>
    <mergeCell ref="M184:Q184"/>
    <mergeCell ref="A271:A272"/>
    <mergeCell ref="B271:B272"/>
    <mergeCell ref="C271:G271"/>
    <mergeCell ref="H271:L271"/>
    <mergeCell ref="M271:Q271"/>
    <mergeCell ref="C236:H236"/>
    <mergeCell ref="A269:B269"/>
    <mergeCell ref="C269:Q269"/>
    <mergeCell ref="A270:B270"/>
    <mergeCell ref="C270:Q270"/>
    <mergeCell ref="A392:A393"/>
    <mergeCell ref="A274:Q274"/>
    <mergeCell ref="C323:H323"/>
    <mergeCell ref="A360:A361"/>
    <mergeCell ref="B360:B361"/>
    <mergeCell ref="C360:C361"/>
    <mergeCell ref="D360:G360"/>
    <mergeCell ref="I360:L360"/>
  </mergeCells>
  <dataValidations count="1">
    <dataValidation type="decimal" allowBlank="1" showInputMessage="1" showErrorMessage="1" sqref="D388:G388 IZ388:JC388 SV388:SY388 ACR388:ACU388 AMN388:AMQ388 AWJ388:AWM388 BGF388:BGI388 BQB388:BQE388 BZX388:CAA388 CJT388:CJW388 CTP388:CTS388 DDL388:DDO388 DNH388:DNK388 DXD388:DXG388 EGZ388:EHC388 EQV388:EQY388 FAR388:FAU388 FKN388:FKQ388 FUJ388:FUM388 GEF388:GEI388 GOB388:GOE388 GXX388:GYA388 HHT388:HHW388 HRP388:HRS388 IBL388:IBO388 ILH388:ILK388 IVD388:IVG388 JEZ388:JFC388 JOV388:JOY388 JYR388:JYU388 KIN388:KIQ388 KSJ388:KSM388 LCF388:LCI388 LMB388:LME388 LVX388:LWA388 MFT388:MFW388 MPP388:MPS388 MZL388:MZO388 NJH388:NJK388 NTD388:NTG388 OCZ388:ODC388 OMV388:OMY388 OWR388:OWU388 PGN388:PGQ388 PQJ388:PQM388 QAF388:QAI388 QKB388:QKE388 QTX388:QUA388 RDT388:RDW388 RNP388:RNS388 RXL388:RXO388 SHH388:SHK388 SRD388:SRG388 TAZ388:TBC388 TKV388:TKY388 TUR388:TUU388 UEN388:UEQ388 UOJ388:UOM388 UYF388:UYI388 VIB388:VIE388 VRX388:VSA388 WBT388:WBW388 WLP388:WLS388 WVL388:WVO388 D65924:G65924 IZ65924:JC65924 SV65924:SY65924 ACR65924:ACU65924 AMN65924:AMQ65924 AWJ65924:AWM65924 BGF65924:BGI65924 BQB65924:BQE65924 BZX65924:CAA65924 CJT65924:CJW65924 CTP65924:CTS65924 DDL65924:DDO65924 DNH65924:DNK65924 DXD65924:DXG65924 EGZ65924:EHC65924 EQV65924:EQY65924 FAR65924:FAU65924 FKN65924:FKQ65924 FUJ65924:FUM65924 GEF65924:GEI65924 GOB65924:GOE65924 GXX65924:GYA65924 HHT65924:HHW65924 HRP65924:HRS65924 IBL65924:IBO65924 ILH65924:ILK65924 IVD65924:IVG65924 JEZ65924:JFC65924 JOV65924:JOY65924 JYR65924:JYU65924 KIN65924:KIQ65924 KSJ65924:KSM65924 LCF65924:LCI65924 LMB65924:LME65924 LVX65924:LWA65924 MFT65924:MFW65924 MPP65924:MPS65924 MZL65924:MZO65924 NJH65924:NJK65924 NTD65924:NTG65924 OCZ65924:ODC65924 OMV65924:OMY65924 OWR65924:OWU65924 PGN65924:PGQ65924 PQJ65924:PQM65924 QAF65924:QAI65924 QKB65924:QKE65924 QTX65924:QUA65924 RDT65924:RDW65924 RNP65924:RNS65924 RXL65924:RXO65924 SHH65924:SHK65924 SRD65924:SRG65924 TAZ65924:TBC65924 TKV65924:TKY65924 TUR65924:TUU65924 UEN65924:UEQ65924 UOJ65924:UOM65924 UYF65924:UYI65924 VIB65924:VIE65924 VRX65924:VSA65924 WBT65924:WBW65924 WLP65924:WLS65924 WVL65924:WVO65924 D131460:G131460 IZ131460:JC131460 SV131460:SY131460 ACR131460:ACU131460 AMN131460:AMQ131460 AWJ131460:AWM131460 BGF131460:BGI131460 BQB131460:BQE131460 BZX131460:CAA131460 CJT131460:CJW131460 CTP131460:CTS131460 DDL131460:DDO131460 DNH131460:DNK131460 DXD131460:DXG131460 EGZ131460:EHC131460 EQV131460:EQY131460 FAR131460:FAU131460 FKN131460:FKQ131460 FUJ131460:FUM131460 GEF131460:GEI131460 GOB131460:GOE131460 GXX131460:GYA131460 HHT131460:HHW131460 HRP131460:HRS131460 IBL131460:IBO131460 ILH131460:ILK131460 IVD131460:IVG131460 JEZ131460:JFC131460 JOV131460:JOY131460 JYR131460:JYU131460 KIN131460:KIQ131460 KSJ131460:KSM131460 LCF131460:LCI131460 LMB131460:LME131460 LVX131460:LWA131460 MFT131460:MFW131460 MPP131460:MPS131460 MZL131460:MZO131460 NJH131460:NJK131460 NTD131460:NTG131460 OCZ131460:ODC131460 OMV131460:OMY131460 OWR131460:OWU131460 PGN131460:PGQ131460 PQJ131460:PQM131460 QAF131460:QAI131460 QKB131460:QKE131460 QTX131460:QUA131460 RDT131460:RDW131460 RNP131460:RNS131460 RXL131460:RXO131460 SHH131460:SHK131460 SRD131460:SRG131460 TAZ131460:TBC131460 TKV131460:TKY131460 TUR131460:TUU131460 UEN131460:UEQ131460 UOJ131460:UOM131460 UYF131460:UYI131460 VIB131460:VIE131460 VRX131460:VSA131460 WBT131460:WBW131460 WLP131460:WLS131460 WVL131460:WVO131460 D196996:G196996 IZ196996:JC196996 SV196996:SY196996 ACR196996:ACU196996 AMN196996:AMQ196996 AWJ196996:AWM196996 BGF196996:BGI196996 BQB196996:BQE196996 BZX196996:CAA196996 CJT196996:CJW196996 CTP196996:CTS196996 DDL196996:DDO196996 DNH196996:DNK196996 DXD196996:DXG196996 EGZ196996:EHC196996 EQV196996:EQY196996 FAR196996:FAU196996 FKN196996:FKQ196996 FUJ196996:FUM196996 GEF196996:GEI196996 GOB196996:GOE196996 GXX196996:GYA196996 HHT196996:HHW196996 HRP196996:HRS196996 IBL196996:IBO196996 ILH196996:ILK196996 IVD196996:IVG196996 JEZ196996:JFC196996 JOV196996:JOY196996 JYR196996:JYU196996 KIN196996:KIQ196996 KSJ196996:KSM196996 LCF196996:LCI196996 LMB196996:LME196996 LVX196996:LWA196996 MFT196996:MFW196996 MPP196996:MPS196996 MZL196996:MZO196996 NJH196996:NJK196996 NTD196996:NTG196996 OCZ196996:ODC196996 OMV196996:OMY196996 OWR196996:OWU196996 PGN196996:PGQ196996 PQJ196996:PQM196996 QAF196996:QAI196996 QKB196996:QKE196996 QTX196996:QUA196996 RDT196996:RDW196996 RNP196996:RNS196996 RXL196996:RXO196996 SHH196996:SHK196996 SRD196996:SRG196996 TAZ196996:TBC196996 TKV196996:TKY196996 TUR196996:TUU196996 UEN196996:UEQ196996 UOJ196996:UOM196996 UYF196996:UYI196996 VIB196996:VIE196996 VRX196996:VSA196996 WBT196996:WBW196996 WLP196996:WLS196996 WVL196996:WVO196996 D262532:G262532 IZ262532:JC262532 SV262532:SY262532 ACR262532:ACU262532 AMN262532:AMQ262532 AWJ262532:AWM262532 BGF262532:BGI262532 BQB262532:BQE262532 BZX262532:CAA262532 CJT262532:CJW262532 CTP262532:CTS262532 DDL262532:DDO262532 DNH262532:DNK262532 DXD262532:DXG262532 EGZ262532:EHC262532 EQV262532:EQY262532 FAR262532:FAU262532 FKN262532:FKQ262532 FUJ262532:FUM262532 GEF262532:GEI262532 GOB262532:GOE262532 GXX262532:GYA262532 HHT262532:HHW262532 HRP262532:HRS262532 IBL262532:IBO262532 ILH262532:ILK262532 IVD262532:IVG262532 JEZ262532:JFC262532 JOV262532:JOY262532 JYR262532:JYU262532 KIN262532:KIQ262532 KSJ262532:KSM262532 LCF262532:LCI262532 LMB262532:LME262532 LVX262532:LWA262532 MFT262532:MFW262532 MPP262532:MPS262532 MZL262532:MZO262532 NJH262532:NJK262532 NTD262532:NTG262532 OCZ262532:ODC262532 OMV262532:OMY262532 OWR262532:OWU262532 PGN262532:PGQ262532 PQJ262532:PQM262532 QAF262532:QAI262532 QKB262532:QKE262532 QTX262532:QUA262532 RDT262532:RDW262532 RNP262532:RNS262532 RXL262532:RXO262532 SHH262532:SHK262532 SRD262532:SRG262532 TAZ262532:TBC262532 TKV262532:TKY262532 TUR262532:TUU262532 UEN262532:UEQ262532 UOJ262532:UOM262532 UYF262532:UYI262532 VIB262532:VIE262532 VRX262532:VSA262532 WBT262532:WBW262532 WLP262532:WLS262532 WVL262532:WVO262532 D328068:G328068 IZ328068:JC328068 SV328068:SY328068 ACR328068:ACU328068 AMN328068:AMQ328068 AWJ328068:AWM328068 BGF328068:BGI328068 BQB328068:BQE328068 BZX328068:CAA328068 CJT328068:CJW328068 CTP328068:CTS328068 DDL328068:DDO328068 DNH328068:DNK328068 DXD328068:DXG328068 EGZ328068:EHC328068 EQV328068:EQY328068 FAR328068:FAU328068 FKN328068:FKQ328068 FUJ328068:FUM328068 GEF328068:GEI328068 GOB328068:GOE328068 GXX328068:GYA328068 HHT328068:HHW328068 HRP328068:HRS328068 IBL328068:IBO328068 ILH328068:ILK328068 IVD328068:IVG328068 JEZ328068:JFC328068 JOV328068:JOY328068 JYR328068:JYU328068 KIN328068:KIQ328068 KSJ328068:KSM328068 LCF328068:LCI328068 LMB328068:LME328068 LVX328068:LWA328068 MFT328068:MFW328068 MPP328068:MPS328068 MZL328068:MZO328068 NJH328068:NJK328068 NTD328068:NTG328068 OCZ328068:ODC328068 OMV328068:OMY328068 OWR328068:OWU328068 PGN328068:PGQ328068 PQJ328068:PQM328068 QAF328068:QAI328068 QKB328068:QKE328068 QTX328068:QUA328068 RDT328068:RDW328068 RNP328068:RNS328068 RXL328068:RXO328068 SHH328068:SHK328068 SRD328068:SRG328068 TAZ328068:TBC328068 TKV328068:TKY328068 TUR328068:TUU328068 UEN328068:UEQ328068 UOJ328068:UOM328068 UYF328068:UYI328068 VIB328068:VIE328068 VRX328068:VSA328068 WBT328068:WBW328068 WLP328068:WLS328068 WVL328068:WVO328068 D393604:G393604 IZ393604:JC393604 SV393604:SY393604 ACR393604:ACU393604 AMN393604:AMQ393604 AWJ393604:AWM393604 BGF393604:BGI393604 BQB393604:BQE393604 BZX393604:CAA393604 CJT393604:CJW393604 CTP393604:CTS393604 DDL393604:DDO393604 DNH393604:DNK393604 DXD393604:DXG393604 EGZ393604:EHC393604 EQV393604:EQY393604 FAR393604:FAU393604 FKN393604:FKQ393604 FUJ393604:FUM393604 GEF393604:GEI393604 GOB393604:GOE393604 GXX393604:GYA393604 HHT393604:HHW393604 HRP393604:HRS393604 IBL393604:IBO393604 ILH393604:ILK393604 IVD393604:IVG393604 JEZ393604:JFC393604 JOV393604:JOY393604 JYR393604:JYU393604 KIN393604:KIQ393604 KSJ393604:KSM393604 LCF393604:LCI393604 LMB393604:LME393604 LVX393604:LWA393604 MFT393604:MFW393604 MPP393604:MPS393604 MZL393604:MZO393604 NJH393604:NJK393604 NTD393604:NTG393604 OCZ393604:ODC393604 OMV393604:OMY393604 OWR393604:OWU393604 PGN393604:PGQ393604 PQJ393604:PQM393604 QAF393604:QAI393604 QKB393604:QKE393604 QTX393604:QUA393604 RDT393604:RDW393604 RNP393604:RNS393604 RXL393604:RXO393604 SHH393604:SHK393604 SRD393604:SRG393604 TAZ393604:TBC393604 TKV393604:TKY393604 TUR393604:TUU393604 UEN393604:UEQ393604 UOJ393604:UOM393604 UYF393604:UYI393604 VIB393604:VIE393604 VRX393604:VSA393604 WBT393604:WBW393604 WLP393604:WLS393604 WVL393604:WVO393604 D459140:G459140 IZ459140:JC459140 SV459140:SY459140 ACR459140:ACU459140 AMN459140:AMQ459140 AWJ459140:AWM459140 BGF459140:BGI459140 BQB459140:BQE459140 BZX459140:CAA459140 CJT459140:CJW459140 CTP459140:CTS459140 DDL459140:DDO459140 DNH459140:DNK459140 DXD459140:DXG459140 EGZ459140:EHC459140 EQV459140:EQY459140 FAR459140:FAU459140 FKN459140:FKQ459140 FUJ459140:FUM459140 GEF459140:GEI459140 GOB459140:GOE459140 GXX459140:GYA459140 HHT459140:HHW459140 HRP459140:HRS459140 IBL459140:IBO459140 ILH459140:ILK459140 IVD459140:IVG459140 JEZ459140:JFC459140 JOV459140:JOY459140 JYR459140:JYU459140 KIN459140:KIQ459140 KSJ459140:KSM459140 LCF459140:LCI459140 LMB459140:LME459140 LVX459140:LWA459140 MFT459140:MFW459140 MPP459140:MPS459140 MZL459140:MZO459140 NJH459140:NJK459140 NTD459140:NTG459140 OCZ459140:ODC459140 OMV459140:OMY459140 OWR459140:OWU459140 PGN459140:PGQ459140 PQJ459140:PQM459140 QAF459140:QAI459140 QKB459140:QKE459140 QTX459140:QUA459140 RDT459140:RDW459140 RNP459140:RNS459140 RXL459140:RXO459140 SHH459140:SHK459140 SRD459140:SRG459140 TAZ459140:TBC459140 TKV459140:TKY459140 TUR459140:TUU459140 UEN459140:UEQ459140 UOJ459140:UOM459140 UYF459140:UYI459140 VIB459140:VIE459140 VRX459140:VSA459140 WBT459140:WBW459140 WLP459140:WLS459140 WVL459140:WVO459140 D524676:G524676 IZ524676:JC524676 SV524676:SY524676 ACR524676:ACU524676 AMN524676:AMQ524676 AWJ524676:AWM524676 BGF524676:BGI524676 BQB524676:BQE524676 BZX524676:CAA524676 CJT524676:CJW524676 CTP524676:CTS524676 DDL524676:DDO524676 DNH524676:DNK524676 DXD524676:DXG524676 EGZ524676:EHC524676 EQV524676:EQY524676 FAR524676:FAU524676 FKN524676:FKQ524676 FUJ524676:FUM524676 GEF524676:GEI524676 GOB524676:GOE524676 GXX524676:GYA524676 HHT524676:HHW524676 HRP524676:HRS524676 IBL524676:IBO524676 ILH524676:ILK524676 IVD524676:IVG524676 JEZ524676:JFC524676 JOV524676:JOY524676 JYR524676:JYU524676 KIN524676:KIQ524676 KSJ524676:KSM524676 LCF524676:LCI524676 LMB524676:LME524676 LVX524676:LWA524676 MFT524676:MFW524676 MPP524676:MPS524676 MZL524676:MZO524676 NJH524676:NJK524676 NTD524676:NTG524676 OCZ524676:ODC524676 OMV524676:OMY524676 OWR524676:OWU524676 PGN524676:PGQ524676 PQJ524676:PQM524676 QAF524676:QAI524676 QKB524676:QKE524676 QTX524676:QUA524676 RDT524676:RDW524676 RNP524676:RNS524676 RXL524676:RXO524676 SHH524676:SHK524676 SRD524676:SRG524676 TAZ524676:TBC524676 TKV524676:TKY524676 TUR524676:TUU524676 UEN524676:UEQ524676 UOJ524676:UOM524676 UYF524676:UYI524676 VIB524676:VIE524676 VRX524676:VSA524676 WBT524676:WBW524676 WLP524676:WLS524676 WVL524676:WVO524676 D590212:G590212 IZ590212:JC590212 SV590212:SY590212 ACR590212:ACU590212 AMN590212:AMQ590212 AWJ590212:AWM590212 BGF590212:BGI590212 BQB590212:BQE590212 BZX590212:CAA590212 CJT590212:CJW590212 CTP590212:CTS590212 DDL590212:DDO590212 DNH590212:DNK590212 DXD590212:DXG590212 EGZ590212:EHC590212 EQV590212:EQY590212 FAR590212:FAU590212 FKN590212:FKQ590212 FUJ590212:FUM590212 GEF590212:GEI590212 GOB590212:GOE590212 GXX590212:GYA590212 HHT590212:HHW590212 HRP590212:HRS590212 IBL590212:IBO590212 ILH590212:ILK590212 IVD590212:IVG590212 JEZ590212:JFC590212 JOV590212:JOY590212 JYR590212:JYU590212 KIN590212:KIQ590212 KSJ590212:KSM590212 LCF590212:LCI590212 LMB590212:LME590212 LVX590212:LWA590212 MFT590212:MFW590212 MPP590212:MPS590212 MZL590212:MZO590212 NJH590212:NJK590212 NTD590212:NTG590212 OCZ590212:ODC590212 OMV590212:OMY590212 OWR590212:OWU590212 PGN590212:PGQ590212 PQJ590212:PQM590212 QAF590212:QAI590212 QKB590212:QKE590212 QTX590212:QUA590212 RDT590212:RDW590212 RNP590212:RNS590212 RXL590212:RXO590212 SHH590212:SHK590212 SRD590212:SRG590212 TAZ590212:TBC590212 TKV590212:TKY590212 TUR590212:TUU590212 UEN590212:UEQ590212 UOJ590212:UOM590212 UYF590212:UYI590212 VIB590212:VIE590212 VRX590212:VSA590212 WBT590212:WBW590212 WLP590212:WLS590212 WVL590212:WVO590212 D655748:G655748 IZ655748:JC655748 SV655748:SY655748 ACR655748:ACU655748 AMN655748:AMQ655748 AWJ655748:AWM655748 BGF655748:BGI655748 BQB655748:BQE655748 BZX655748:CAA655748 CJT655748:CJW655748 CTP655748:CTS655748 DDL655748:DDO655748 DNH655748:DNK655748 DXD655748:DXG655748 EGZ655748:EHC655748 EQV655748:EQY655748 FAR655748:FAU655748 FKN655748:FKQ655748 FUJ655748:FUM655748 GEF655748:GEI655748 GOB655748:GOE655748 GXX655748:GYA655748 HHT655748:HHW655748 HRP655748:HRS655748 IBL655748:IBO655748 ILH655748:ILK655748 IVD655748:IVG655748 JEZ655748:JFC655748 JOV655748:JOY655748 JYR655748:JYU655748 KIN655748:KIQ655748 KSJ655748:KSM655748 LCF655748:LCI655748 LMB655748:LME655748 LVX655748:LWA655748 MFT655748:MFW655748 MPP655748:MPS655748 MZL655748:MZO655748 NJH655748:NJK655748 NTD655748:NTG655748 OCZ655748:ODC655748 OMV655748:OMY655748 OWR655748:OWU655748 PGN655748:PGQ655748 PQJ655748:PQM655748 QAF655748:QAI655748 QKB655748:QKE655748 QTX655748:QUA655748 RDT655748:RDW655748 RNP655748:RNS655748 RXL655748:RXO655748 SHH655748:SHK655748 SRD655748:SRG655748 TAZ655748:TBC655748 TKV655748:TKY655748 TUR655748:TUU655748 UEN655748:UEQ655748 UOJ655748:UOM655748 UYF655748:UYI655748 VIB655748:VIE655748 VRX655748:VSA655748 WBT655748:WBW655748 WLP655748:WLS655748 WVL655748:WVO655748 D721284:G721284 IZ721284:JC721284 SV721284:SY721284 ACR721284:ACU721284 AMN721284:AMQ721284 AWJ721284:AWM721284 BGF721284:BGI721284 BQB721284:BQE721284 BZX721284:CAA721284 CJT721284:CJW721284 CTP721284:CTS721284 DDL721284:DDO721284 DNH721284:DNK721284 DXD721284:DXG721284 EGZ721284:EHC721284 EQV721284:EQY721284 FAR721284:FAU721284 FKN721284:FKQ721284 FUJ721284:FUM721284 GEF721284:GEI721284 GOB721284:GOE721284 GXX721284:GYA721284 HHT721284:HHW721284 HRP721284:HRS721284 IBL721284:IBO721284 ILH721284:ILK721284 IVD721284:IVG721284 JEZ721284:JFC721284 JOV721284:JOY721284 JYR721284:JYU721284 KIN721284:KIQ721284 KSJ721284:KSM721284 LCF721284:LCI721284 LMB721284:LME721284 LVX721284:LWA721284 MFT721284:MFW721284 MPP721284:MPS721284 MZL721284:MZO721284 NJH721284:NJK721284 NTD721284:NTG721284 OCZ721284:ODC721284 OMV721284:OMY721284 OWR721284:OWU721284 PGN721284:PGQ721284 PQJ721284:PQM721284 QAF721284:QAI721284 QKB721284:QKE721284 QTX721284:QUA721284 RDT721284:RDW721284 RNP721284:RNS721284 RXL721284:RXO721284 SHH721284:SHK721284 SRD721284:SRG721284 TAZ721284:TBC721284 TKV721284:TKY721284 TUR721284:TUU721284 UEN721284:UEQ721284 UOJ721284:UOM721284 UYF721284:UYI721284 VIB721284:VIE721284 VRX721284:VSA721284 WBT721284:WBW721284 WLP721284:WLS721284 WVL721284:WVO721284 D786820:G786820 IZ786820:JC786820 SV786820:SY786820 ACR786820:ACU786820 AMN786820:AMQ786820 AWJ786820:AWM786820 BGF786820:BGI786820 BQB786820:BQE786820 BZX786820:CAA786820 CJT786820:CJW786820 CTP786820:CTS786820 DDL786820:DDO786820 DNH786820:DNK786820 DXD786820:DXG786820 EGZ786820:EHC786820 EQV786820:EQY786820 FAR786820:FAU786820 FKN786820:FKQ786820 FUJ786820:FUM786820 GEF786820:GEI786820 GOB786820:GOE786820 GXX786820:GYA786820 HHT786820:HHW786820 HRP786820:HRS786820 IBL786820:IBO786820 ILH786820:ILK786820 IVD786820:IVG786820 JEZ786820:JFC786820 JOV786820:JOY786820 JYR786820:JYU786820 KIN786820:KIQ786820 KSJ786820:KSM786820 LCF786820:LCI786820 LMB786820:LME786820 LVX786820:LWA786820 MFT786820:MFW786820 MPP786820:MPS786820 MZL786820:MZO786820 NJH786820:NJK786820 NTD786820:NTG786820 OCZ786820:ODC786820 OMV786820:OMY786820 OWR786820:OWU786820 PGN786820:PGQ786820 PQJ786820:PQM786820 QAF786820:QAI786820 QKB786820:QKE786820 QTX786820:QUA786820 RDT786820:RDW786820 RNP786820:RNS786820 RXL786820:RXO786820 SHH786820:SHK786820 SRD786820:SRG786820 TAZ786820:TBC786820 TKV786820:TKY786820 TUR786820:TUU786820 UEN786820:UEQ786820 UOJ786820:UOM786820 UYF786820:UYI786820 VIB786820:VIE786820 VRX786820:VSA786820 WBT786820:WBW786820 WLP786820:WLS786820 WVL786820:WVO786820 D852356:G852356 IZ852356:JC852356 SV852356:SY852356 ACR852356:ACU852356 AMN852356:AMQ852356 AWJ852356:AWM852356 BGF852356:BGI852356 BQB852356:BQE852356 BZX852356:CAA852356 CJT852356:CJW852356 CTP852356:CTS852356 DDL852356:DDO852356 DNH852356:DNK852356 DXD852356:DXG852356 EGZ852356:EHC852356 EQV852356:EQY852356 FAR852356:FAU852356 FKN852356:FKQ852356 FUJ852356:FUM852356 GEF852356:GEI852356 GOB852356:GOE852356 GXX852356:GYA852356 HHT852356:HHW852356 HRP852356:HRS852356 IBL852356:IBO852356 ILH852356:ILK852356 IVD852356:IVG852356 JEZ852356:JFC852356 JOV852356:JOY852356 JYR852356:JYU852356 KIN852356:KIQ852356 KSJ852356:KSM852356 LCF852356:LCI852356 LMB852356:LME852356 LVX852356:LWA852356 MFT852356:MFW852356 MPP852356:MPS852356 MZL852356:MZO852356 NJH852356:NJK852356 NTD852356:NTG852356 OCZ852356:ODC852356 OMV852356:OMY852356 OWR852356:OWU852356 PGN852356:PGQ852356 PQJ852356:PQM852356 QAF852356:QAI852356 QKB852356:QKE852356 QTX852356:QUA852356 RDT852356:RDW852356 RNP852356:RNS852356 RXL852356:RXO852356 SHH852356:SHK852356 SRD852356:SRG852356 TAZ852356:TBC852356 TKV852356:TKY852356 TUR852356:TUU852356 UEN852356:UEQ852356 UOJ852356:UOM852356 UYF852356:UYI852356 VIB852356:VIE852356 VRX852356:VSA852356 WBT852356:WBW852356 WLP852356:WLS852356 WVL852356:WVO852356 D917892:G917892 IZ917892:JC917892 SV917892:SY917892 ACR917892:ACU917892 AMN917892:AMQ917892 AWJ917892:AWM917892 BGF917892:BGI917892 BQB917892:BQE917892 BZX917892:CAA917892 CJT917892:CJW917892 CTP917892:CTS917892 DDL917892:DDO917892 DNH917892:DNK917892 DXD917892:DXG917892 EGZ917892:EHC917892 EQV917892:EQY917892 FAR917892:FAU917892 FKN917892:FKQ917892 FUJ917892:FUM917892 GEF917892:GEI917892 GOB917892:GOE917892 GXX917892:GYA917892 HHT917892:HHW917892 HRP917892:HRS917892 IBL917892:IBO917892 ILH917892:ILK917892 IVD917892:IVG917892 JEZ917892:JFC917892 JOV917892:JOY917892 JYR917892:JYU917892 KIN917892:KIQ917892 KSJ917892:KSM917892 LCF917892:LCI917892 LMB917892:LME917892 LVX917892:LWA917892 MFT917892:MFW917892 MPP917892:MPS917892 MZL917892:MZO917892 NJH917892:NJK917892 NTD917892:NTG917892 OCZ917892:ODC917892 OMV917892:OMY917892 OWR917892:OWU917892 PGN917892:PGQ917892 PQJ917892:PQM917892 QAF917892:QAI917892 QKB917892:QKE917892 QTX917892:QUA917892 RDT917892:RDW917892 RNP917892:RNS917892 RXL917892:RXO917892 SHH917892:SHK917892 SRD917892:SRG917892 TAZ917892:TBC917892 TKV917892:TKY917892 TUR917892:TUU917892 UEN917892:UEQ917892 UOJ917892:UOM917892 UYF917892:UYI917892 VIB917892:VIE917892 VRX917892:VSA917892 WBT917892:WBW917892 WLP917892:WLS917892 WVL917892:WVO917892 D983428:G983428 IZ983428:JC983428 SV983428:SY983428 ACR983428:ACU983428 AMN983428:AMQ983428 AWJ983428:AWM983428 BGF983428:BGI983428 BQB983428:BQE983428 BZX983428:CAA983428 CJT983428:CJW983428 CTP983428:CTS983428 DDL983428:DDO983428 DNH983428:DNK983428 DXD983428:DXG983428 EGZ983428:EHC983428 EQV983428:EQY983428 FAR983428:FAU983428 FKN983428:FKQ983428 FUJ983428:FUM983428 GEF983428:GEI983428 GOB983428:GOE983428 GXX983428:GYA983428 HHT983428:HHW983428 HRP983428:HRS983428 IBL983428:IBO983428 ILH983428:ILK983428 IVD983428:IVG983428 JEZ983428:JFC983428 JOV983428:JOY983428 JYR983428:JYU983428 KIN983428:KIQ983428 KSJ983428:KSM983428 LCF983428:LCI983428 LMB983428:LME983428 LVX983428:LWA983428 MFT983428:MFW983428 MPP983428:MPS983428 MZL983428:MZO983428 NJH983428:NJK983428 NTD983428:NTG983428 OCZ983428:ODC983428 OMV983428:OMY983428 OWR983428:OWU983428 PGN983428:PGQ983428 PQJ983428:PQM983428 QAF983428:QAI983428 QKB983428:QKE983428 QTX983428:QUA983428 RDT983428:RDW983428 RNP983428:RNS983428 RXL983428:RXO983428 SHH983428:SHK983428 SRD983428:SRG983428 TAZ983428:TBC983428 TKV983428:TKY983428 TUR983428:TUU983428 UEN983428:UEQ983428 UOJ983428:UOM983428 UYF983428:UYI983428 VIB983428:VIE983428 VRX983428:VSA983428 WBT983428:WBW983428 WLP983428:WLS983428 WVL983428:WVO983428 D378:H387 IZ378:JD387 SV378:SZ387 ACR378:ACV387 AMN378:AMR387 AWJ378:AWN387 BGF378:BGJ387 BQB378:BQF387 BZX378:CAB387 CJT378:CJX387 CTP378:CTT387 DDL378:DDP387 DNH378:DNL387 DXD378:DXH387 EGZ378:EHD387 EQV378:EQZ387 FAR378:FAV387 FKN378:FKR387 FUJ378:FUN387 GEF378:GEJ387 GOB378:GOF387 GXX378:GYB387 HHT378:HHX387 HRP378:HRT387 IBL378:IBP387 ILH378:ILL387 IVD378:IVH387 JEZ378:JFD387 JOV378:JOZ387 JYR378:JYV387 KIN378:KIR387 KSJ378:KSN387 LCF378:LCJ387 LMB378:LMF387 LVX378:LWB387 MFT378:MFX387 MPP378:MPT387 MZL378:MZP387 NJH378:NJL387 NTD378:NTH387 OCZ378:ODD387 OMV378:OMZ387 OWR378:OWV387 PGN378:PGR387 PQJ378:PQN387 QAF378:QAJ387 QKB378:QKF387 QTX378:QUB387 RDT378:RDX387 RNP378:RNT387 RXL378:RXP387 SHH378:SHL387 SRD378:SRH387 TAZ378:TBD387 TKV378:TKZ387 TUR378:TUV387 UEN378:UER387 UOJ378:UON387 UYF378:UYJ387 VIB378:VIF387 VRX378:VSB387 WBT378:WBX387 WLP378:WLT387 WVL378:WVP387 D65914:H65923 IZ65914:JD65923 SV65914:SZ65923 ACR65914:ACV65923 AMN65914:AMR65923 AWJ65914:AWN65923 BGF65914:BGJ65923 BQB65914:BQF65923 BZX65914:CAB65923 CJT65914:CJX65923 CTP65914:CTT65923 DDL65914:DDP65923 DNH65914:DNL65923 DXD65914:DXH65923 EGZ65914:EHD65923 EQV65914:EQZ65923 FAR65914:FAV65923 FKN65914:FKR65923 FUJ65914:FUN65923 GEF65914:GEJ65923 GOB65914:GOF65923 GXX65914:GYB65923 HHT65914:HHX65923 HRP65914:HRT65923 IBL65914:IBP65923 ILH65914:ILL65923 IVD65914:IVH65923 JEZ65914:JFD65923 JOV65914:JOZ65923 JYR65914:JYV65923 KIN65914:KIR65923 KSJ65914:KSN65923 LCF65914:LCJ65923 LMB65914:LMF65923 LVX65914:LWB65923 MFT65914:MFX65923 MPP65914:MPT65923 MZL65914:MZP65923 NJH65914:NJL65923 NTD65914:NTH65923 OCZ65914:ODD65923 OMV65914:OMZ65923 OWR65914:OWV65923 PGN65914:PGR65923 PQJ65914:PQN65923 QAF65914:QAJ65923 QKB65914:QKF65923 QTX65914:QUB65923 RDT65914:RDX65923 RNP65914:RNT65923 RXL65914:RXP65923 SHH65914:SHL65923 SRD65914:SRH65923 TAZ65914:TBD65923 TKV65914:TKZ65923 TUR65914:TUV65923 UEN65914:UER65923 UOJ65914:UON65923 UYF65914:UYJ65923 VIB65914:VIF65923 VRX65914:VSB65923 WBT65914:WBX65923 WLP65914:WLT65923 WVL65914:WVP65923 D131450:H131459 IZ131450:JD131459 SV131450:SZ131459 ACR131450:ACV131459 AMN131450:AMR131459 AWJ131450:AWN131459 BGF131450:BGJ131459 BQB131450:BQF131459 BZX131450:CAB131459 CJT131450:CJX131459 CTP131450:CTT131459 DDL131450:DDP131459 DNH131450:DNL131459 DXD131450:DXH131459 EGZ131450:EHD131459 EQV131450:EQZ131459 FAR131450:FAV131459 FKN131450:FKR131459 FUJ131450:FUN131459 GEF131450:GEJ131459 GOB131450:GOF131459 GXX131450:GYB131459 HHT131450:HHX131459 HRP131450:HRT131459 IBL131450:IBP131459 ILH131450:ILL131459 IVD131450:IVH131459 JEZ131450:JFD131459 JOV131450:JOZ131459 JYR131450:JYV131459 KIN131450:KIR131459 KSJ131450:KSN131459 LCF131450:LCJ131459 LMB131450:LMF131459 LVX131450:LWB131459 MFT131450:MFX131459 MPP131450:MPT131459 MZL131450:MZP131459 NJH131450:NJL131459 NTD131450:NTH131459 OCZ131450:ODD131459 OMV131450:OMZ131459 OWR131450:OWV131459 PGN131450:PGR131459 PQJ131450:PQN131459 QAF131450:QAJ131459 QKB131450:QKF131459 QTX131450:QUB131459 RDT131450:RDX131459 RNP131450:RNT131459 RXL131450:RXP131459 SHH131450:SHL131459 SRD131450:SRH131459 TAZ131450:TBD131459 TKV131450:TKZ131459 TUR131450:TUV131459 UEN131450:UER131459 UOJ131450:UON131459 UYF131450:UYJ131459 VIB131450:VIF131459 VRX131450:VSB131459 WBT131450:WBX131459 WLP131450:WLT131459 WVL131450:WVP131459 D196986:H196995 IZ196986:JD196995 SV196986:SZ196995 ACR196986:ACV196995 AMN196986:AMR196995 AWJ196986:AWN196995 BGF196986:BGJ196995 BQB196986:BQF196995 BZX196986:CAB196995 CJT196986:CJX196995 CTP196986:CTT196995 DDL196986:DDP196995 DNH196986:DNL196995 DXD196986:DXH196995 EGZ196986:EHD196995 EQV196986:EQZ196995 FAR196986:FAV196995 FKN196986:FKR196995 FUJ196986:FUN196995 GEF196986:GEJ196995 GOB196986:GOF196995 GXX196986:GYB196995 HHT196986:HHX196995 HRP196986:HRT196995 IBL196986:IBP196995 ILH196986:ILL196995 IVD196986:IVH196995 JEZ196986:JFD196995 JOV196986:JOZ196995 JYR196986:JYV196995 KIN196986:KIR196995 KSJ196986:KSN196995 LCF196986:LCJ196995 LMB196986:LMF196995 LVX196986:LWB196995 MFT196986:MFX196995 MPP196986:MPT196995 MZL196986:MZP196995 NJH196986:NJL196995 NTD196986:NTH196995 OCZ196986:ODD196995 OMV196986:OMZ196995 OWR196986:OWV196995 PGN196986:PGR196995 PQJ196986:PQN196995 QAF196986:QAJ196995 QKB196986:QKF196995 QTX196986:QUB196995 RDT196986:RDX196995 RNP196986:RNT196995 RXL196986:RXP196995 SHH196986:SHL196995 SRD196986:SRH196995 TAZ196986:TBD196995 TKV196986:TKZ196995 TUR196986:TUV196995 UEN196986:UER196995 UOJ196986:UON196995 UYF196986:UYJ196995 VIB196986:VIF196995 VRX196986:VSB196995 WBT196986:WBX196995 WLP196986:WLT196995 WVL196986:WVP196995 D262522:H262531 IZ262522:JD262531 SV262522:SZ262531 ACR262522:ACV262531 AMN262522:AMR262531 AWJ262522:AWN262531 BGF262522:BGJ262531 BQB262522:BQF262531 BZX262522:CAB262531 CJT262522:CJX262531 CTP262522:CTT262531 DDL262522:DDP262531 DNH262522:DNL262531 DXD262522:DXH262531 EGZ262522:EHD262531 EQV262522:EQZ262531 FAR262522:FAV262531 FKN262522:FKR262531 FUJ262522:FUN262531 GEF262522:GEJ262531 GOB262522:GOF262531 GXX262522:GYB262531 HHT262522:HHX262531 HRP262522:HRT262531 IBL262522:IBP262531 ILH262522:ILL262531 IVD262522:IVH262531 JEZ262522:JFD262531 JOV262522:JOZ262531 JYR262522:JYV262531 KIN262522:KIR262531 KSJ262522:KSN262531 LCF262522:LCJ262531 LMB262522:LMF262531 LVX262522:LWB262531 MFT262522:MFX262531 MPP262522:MPT262531 MZL262522:MZP262531 NJH262522:NJL262531 NTD262522:NTH262531 OCZ262522:ODD262531 OMV262522:OMZ262531 OWR262522:OWV262531 PGN262522:PGR262531 PQJ262522:PQN262531 QAF262522:QAJ262531 QKB262522:QKF262531 QTX262522:QUB262531 RDT262522:RDX262531 RNP262522:RNT262531 RXL262522:RXP262531 SHH262522:SHL262531 SRD262522:SRH262531 TAZ262522:TBD262531 TKV262522:TKZ262531 TUR262522:TUV262531 UEN262522:UER262531 UOJ262522:UON262531 UYF262522:UYJ262531 VIB262522:VIF262531 VRX262522:VSB262531 WBT262522:WBX262531 WLP262522:WLT262531 WVL262522:WVP262531 D328058:H328067 IZ328058:JD328067 SV328058:SZ328067 ACR328058:ACV328067 AMN328058:AMR328067 AWJ328058:AWN328067 BGF328058:BGJ328067 BQB328058:BQF328067 BZX328058:CAB328067 CJT328058:CJX328067 CTP328058:CTT328067 DDL328058:DDP328067 DNH328058:DNL328067 DXD328058:DXH328067 EGZ328058:EHD328067 EQV328058:EQZ328067 FAR328058:FAV328067 FKN328058:FKR328067 FUJ328058:FUN328067 GEF328058:GEJ328067 GOB328058:GOF328067 GXX328058:GYB328067 HHT328058:HHX328067 HRP328058:HRT328067 IBL328058:IBP328067 ILH328058:ILL328067 IVD328058:IVH328067 JEZ328058:JFD328067 JOV328058:JOZ328067 JYR328058:JYV328067 KIN328058:KIR328067 KSJ328058:KSN328067 LCF328058:LCJ328067 LMB328058:LMF328067 LVX328058:LWB328067 MFT328058:MFX328067 MPP328058:MPT328067 MZL328058:MZP328067 NJH328058:NJL328067 NTD328058:NTH328067 OCZ328058:ODD328067 OMV328058:OMZ328067 OWR328058:OWV328067 PGN328058:PGR328067 PQJ328058:PQN328067 QAF328058:QAJ328067 QKB328058:QKF328067 QTX328058:QUB328067 RDT328058:RDX328067 RNP328058:RNT328067 RXL328058:RXP328067 SHH328058:SHL328067 SRD328058:SRH328067 TAZ328058:TBD328067 TKV328058:TKZ328067 TUR328058:TUV328067 UEN328058:UER328067 UOJ328058:UON328067 UYF328058:UYJ328067 VIB328058:VIF328067 VRX328058:VSB328067 WBT328058:WBX328067 WLP328058:WLT328067 WVL328058:WVP328067 D393594:H393603 IZ393594:JD393603 SV393594:SZ393603 ACR393594:ACV393603 AMN393594:AMR393603 AWJ393594:AWN393603 BGF393594:BGJ393603 BQB393594:BQF393603 BZX393594:CAB393603 CJT393594:CJX393603 CTP393594:CTT393603 DDL393594:DDP393603 DNH393594:DNL393603 DXD393594:DXH393603 EGZ393594:EHD393603 EQV393594:EQZ393603 FAR393594:FAV393603 FKN393594:FKR393603 FUJ393594:FUN393603 GEF393594:GEJ393603 GOB393594:GOF393603 GXX393594:GYB393603 HHT393594:HHX393603 HRP393594:HRT393603 IBL393594:IBP393603 ILH393594:ILL393603 IVD393594:IVH393603 JEZ393594:JFD393603 JOV393594:JOZ393603 JYR393594:JYV393603 KIN393594:KIR393603 KSJ393594:KSN393603 LCF393594:LCJ393603 LMB393594:LMF393603 LVX393594:LWB393603 MFT393594:MFX393603 MPP393594:MPT393603 MZL393594:MZP393603 NJH393594:NJL393603 NTD393594:NTH393603 OCZ393594:ODD393603 OMV393594:OMZ393603 OWR393594:OWV393603 PGN393594:PGR393603 PQJ393594:PQN393603 QAF393594:QAJ393603 QKB393594:QKF393603 QTX393594:QUB393603 RDT393594:RDX393603 RNP393594:RNT393603 RXL393594:RXP393603 SHH393594:SHL393603 SRD393594:SRH393603 TAZ393594:TBD393603 TKV393594:TKZ393603 TUR393594:TUV393603 UEN393594:UER393603 UOJ393594:UON393603 UYF393594:UYJ393603 VIB393594:VIF393603 VRX393594:VSB393603 WBT393594:WBX393603 WLP393594:WLT393603 WVL393594:WVP393603 D459130:H459139 IZ459130:JD459139 SV459130:SZ459139 ACR459130:ACV459139 AMN459130:AMR459139 AWJ459130:AWN459139 BGF459130:BGJ459139 BQB459130:BQF459139 BZX459130:CAB459139 CJT459130:CJX459139 CTP459130:CTT459139 DDL459130:DDP459139 DNH459130:DNL459139 DXD459130:DXH459139 EGZ459130:EHD459139 EQV459130:EQZ459139 FAR459130:FAV459139 FKN459130:FKR459139 FUJ459130:FUN459139 GEF459130:GEJ459139 GOB459130:GOF459139 GXX459130:GYB459139 HHT459130:HHX459139 HRP459130:HRT459139 IBL459130:IBP459139 ILH459130:ILL459139 IVD459130:IVH459139 JEZ459130:JFD459139 JOV459130:JOZ459139 JYR459130:JYV459139 KIN459130:KIR459139 KSJ459130:KSN459139 LCF459130:LCJ459139 LMB459130:LMF459139 LVX459130:LWB459139 MFT459130:MFX459139 MPP459130:MPT459139 MZL459130:MZP459139 NJH459130:NJL459139 NTD459130:NTH459139 OCZ459130:ODD459139 OMV459130:OMZ459139 OWR459130:OWV459139 PGN459130:PGR459139 PQJ459130:PQN459139 QAF459130:QAJ459139 QKB459130:QKF459139 QTX459130:QUB459139 RDT459130:RDX459139 RNP459130:RNT459139 RXL459130:RXP459139 SHH459130:SHL459139 SRD459130:SRH459139 TAZ459130:TBD459139 TKV459130:TKZ459139 TUR459130:TUV459139 UEN459130:UER459139 UOJ459130:UON459139 UYF459130:UYJ459139 VIB459130:VIF459139 VRX459130:VSB459139 WBT459130:WBX459139 WLP459130:WLT459139 WVL459130:WVP459139 D524666:H524675 IZ524666:JD524675 SV524666:SZ524675 ACR524666:ACV524675 AMN524666:AMR524675 AWJ524666:AWN524675 BGF524666:BGJ524675 BQB524666:BQF524675 BZX524666:CAB524675 CJT524666:CJX524675 CTP524666:CTT524675 DDL524666:DDP524675 DNH524666:DNL524675 DXD524666:DXH524675 EGZ524666:EHD524675 EQV524666:EQZ524675 FAR524666:FAV524675 FKN524666:FKR524675 FUJ524666:FUN524675 GEF524666:GEJ524675 GOB524666:GOF524675 GXX524666:GYB524675 HHT524666:HHX524675 HRP524666:HRT524675 IBL524666:IBP524675 ILH524666:ILL524675 IVD524666:IVH524675 JEZ524666:JFD524675 JOV524666:JOZ524675 JYR524666:JYV524675 KIN524666:KIR524675 KSJ524666:KSN524675 LCF524666:LCJ524675 LMB524666:LMF524675 LVX524666:LWB524675 MFT524666:MFX524675 MPP524666:MPT524675 MZL524666:MZP524675 NJH524666:NJL524675 NTD524666:NTH524675 OCZ524666:ODD524675 OMV524666:OMZ524675 OWR524666:OWV524675 PGN524666:PGR524675 PQJ524666:PQN524675 QAF524666:QAJ524675 QKB524666:QKF524675 QTX524666:QUB524675 RDT524666:RDX524675 RNP524666:RNT524675 RXL524666:RXP524675 SHH524666:SHL524675 SRD524666:SRH524675 TAZ524666:TBD524675 TKV524666:TKZ524675 TUR524666:TUV524675 UEN524666:UER524675 UOJ524666:UON524675 UYF524666:UYJ524675 VIB524666:VIF524675 VRX524666:VSB524675 WBT524666:WBX524675 WLP524666:WLT524675 WVL524666:WVP524675 D590202:H590211 IZ590202:JD590211 SV590202:SZ590211 ACR590202:ACV590211 AMN590202:AMR590211 AWJ590202:AWN590211 BGF590202:BGJ590211 BQB590202:BQF590211 BZX590202:CAB590211 CJT590202:CJX590211 CTP590202:CTT590211 DDL590202:DDP590211 DNH590202:DNL590211 DXD590202:DXH590211 EGZ590202:EHD590211 EQV590202:EQZ590211 FAR590202:FAV590211 FKN590202:FKR590211 FUJ590202:FUN590211 GEF590202:GEJ590211 GOB590202:GOF590211 GXX590202:GYB590211 HHT590202:HHX590211 HRP590202:HRT590211 IBL590202:IBP590211 ILH590202:ILL590211 IVD590202:IVH590211 JEZ590202:JFD590211 JOV590202:JOZ590211 JYR590202:JYV590211 KIN590202:KIR590211 KSJ590202:KSN590211 LCF590202:LCJ590211 LMB590202:LMF590211 LVX590202:LWB590211 MFT590202:MFX590211 MPP590202:MPT590211 MZL590202:MZP590211 NJH590202:NJL590211 NTD590202:NTH590211 OCZ590202:ODD590211 OMV590202:OMZ590211 OWR590202:OWV590211 PGN590202:PGR590211 PQJ590202:PQN590211 QAF590202:QAJ590211 QKB590202:QKF590211 QTX590202:QUB590211 RDT590202:RDX590211 RNP590202:RNT590211 RXL590202:RXP590211 SHH590202:SHL590211 SRD590202:SRH590211 TAZ590202:TBD590211 TKV590202:TKZ590211 TUR590202:TUV590211 UEN590202:UER590211 UOJ590202:UON590211 UYF590202:UYJ590211 VIB590202:VIF590211 VRX590202:VSB590211 WBT590202:WBX590211 WLP590202:WLT590211 WVL590202:WVP590211 D655738:H655747 IZ655738:JD655747 SV655738:SZ655747 ACR655738:ACV655747 AMN655738:AMR655747 AWJ655738:AWN655747 BGF655738:BGJ655747 BQB655738:BQF655747 BZX655738:CAB655747 CJT655738:CJX655747 CTP655738:CTT655747 DDL655738:DDP655747 DNH655738:DNL655747 DXD655738:DXH655747 EGZ655738:EHD655747 EQV655738:EQZ655747 FAR655738:FAV655747 FKN655738:FKR655747 FUJ655738:FUN655747 GEF655738:GEJ655747 GOB655738:GOF655747 GXX655738:GYB655747 HHT655738:HHX655747 HRP655738:HRT655747 IBL655738:IBP655747 ILH655738:ILL655747 IVD655738:IVH655747 JEZ655738:JFD655747 JOV655738:JOZ655747 JYR655738:JYV655747 KIN655738:KIR655747 KSJ655738:KSN655747 LCF655738:LCJ655747 LMB655738:LMF655747 LVX655738:LWB655747 MFT655738:MFX655747 MPP655738:MPT655747 MZL655738:MZP655747 NJH655738:NJL655747 NTD655738:NTH655747 OCZ655738:ODD655747 OMV655738:OMZ655747 OWR655738:OWV655747 PGN655738:PGR655747 PQJ655738:PQN655747 QAF655738:QAJ655747 QKB655738:QKF655747 QTX655738:QUB655747 RDT655738:RDX655747 RNP655738:RNT655747 RXL655738:RXP655747 SHH655738:SHL655747 SRD655738:SRH655747 TAZ655738:TBD655747 TKV655738:TKZ655747 TUR655738:TUV655747 UEN655738:UER655747 UOJ655738:UON655747 UYF655738:UYJ655747 VIB655738:VIF655747 VRX655738:VSB655747 WBT655738:WBX655747 WLP655738:WLT655747 WVL655738:WVP655747 D721274:H721283 IZ721274:JD721283 SV721274:SZ721283 ACR721274:ACV721283 AMN721274:AMR721283 AWJ721274:AWN721283 BGF721274:BGJ721283 BQB721274:BQF721283 BZX721274:CAB721283 CJT721274:CJX721283 CTP721274:CTT721283 DDL721274:DDP721283 DNH721274:DNL721283 DXD721274:DXH721283 EGZ721274:EHD721283 EQV721274:EQZ721283 FAR721274:FAV721283 FKN721274:FKR721283 FUJ721274:FUN721283 GEF721274:GEJ721283 GOB721274:GOF721283 GXX721274:GYB721283 HHT721274:HHX721283 HRP721274:HRT721283 IBL721274:IBP721283 ILH721274:ILL721283 IVD721274:IVH721283 JEZ721274:JFD721283 JOV721274:JOZ721283 JYR721274:JYV721283 KIN721274:KIR721283 KSJ721274:KSN721283 LCF721274:LCJ721283 LMB721274:LMF721283 LVX721274:LWB721283 MFT721274:MFX721283 MPP721274:MPT721283 MZL721274:MZP721283 NJH721274:NJL721283 NTD721274:NTH721283 OCZ721274:ODD721283 OMV721274:OMZ721283 OWR721274:OWV721283 PGN721274:PGR721283 PQJ721274:PQN721283 QAF721274:QAJ721283 QKB721274:QKF721283 QTX721274:QUB721283 RDT721274:RDX721283 RNP721274:RNT721283 RXL721274:RXP721283 SHH721274:SHL721283 SRD721274:SRH721283 TAZ721274:TBD721283 TKV721274:TKZ721283 TUR721274:TUV721283 UEN721274:UER721283 UOJ721274:UON721283 UYF721274:UYJ721283 VIB721274:VIF721283 VRX721274:VSB721283 WBT721274:WBX721283 WLP721274:WLT721283 WVL721274:WVP721283 D786810:H786819 IZ786810:JD786819 SV786810:SZ786819 ACR786810:ACV786819 AMN786810:AMR786819 AWJ786810:AWN786819 BGF786810:BGJ786819 BQB786810:BQF786819 BZX786810:CAB786819 CJT786810:CJX786819 CTP786810:CTT786819 DDL786810:DDP786819 DNH786810:DNL786819 DXD786810:DXH786819 EGZ786810:EHD786819 EQV786810:EQZ786819 FAR786810:FAV786819 FKN786810:FKR786819 FUJ786810:FUN786819 GEF786810:GEJ786819 GOB786810:GOF786819 GXX786810:GYB786819 HHT786810:HHX786819 HRP786810:HRT786819 IBL786810:IBP786819 ILH786810:ILL786819 IVD786810:IVH786819 JEZ786810:JFD786819 JOV786810:JOZ786819 JYR786810:JYV786819 KIN786810:KIR786819 KSJ786810:KSN786819 LCF786810:LCJ786819 LMB786810:LMF786819 LVX786810:LWB786819 MFT786810:MFX786819 MPP786810:MPT786819 MZL786810:MZP786819 NJH786810:NJL786819 NTD786810:NTH786819 OCZ786810:ODD786819 OMV786810:OMZ786819 OWR786810:OWV786819 PGN786810:PGR786819 PQJ786810:PQN786819 QAF786810:QAJ786819 QKB786810:QKF786819 QTX786810:QUB786819 RDT786810:RDX786819 RNP786810:RNT786819 RXL786810:RXP786819 SHH786810:SHL786819 SRD786810:SRH786819 TAZ786810:TBD786819 TKV786810:TKZ786819 TUR786810:TUV786819 UEN786810:UER786819 UOJ786810:UON786819 UYF786810:UYJ786819 VIB786810:VIF786819 VRX786810:VSB786819 WBT786810:WBX786819 WLP786810:WLT786819 WVL786810:WVP786819 D852346:H852355 IZ852346:JD852355 SV852346:SZ852355 ACR852346:ACV852355 AMN852346:AMR852355 AWJ852346:AWN852355 BGF852346:BGJ852355 BQB852346:BQF852355 BZX852346:CAB852355 CJT852346:CJX852355 CTP852346:CTT852355 DDL852346:DDP852355 DNH852346:DNL852355 DXD852346:DXH852355 EGZ852346:EHD852355 EQV852346:EQZ852355 FAR852346:FAV852355 FKN852346:FKR852355 FUJ852346:FUN852355 GEF852346:GEJ852355 GOB852346:GOF852355 GXX852346:GYB852355 HHT852346:HHX852355 HRP852346:HRT852355 IBL852346:IBP852355 ILH852346:ILL852355 IVD852346:IVH852355 JEZ852346:JFD852355 JOV852346:JOZ852355 JYR852346:JYV852355 KIN852346:KIR852355 KSJ852346:KSN852355 LCF852346:LCJ852355 LMB852346:LMF852355 LVX852346:LWB852355 MFT852346:MFX852355 MPP852346:MPT852355 MZL852346:MZP852355 NJH852346:NJL852355 NTD852346:NTH852355 OCZ852346:ODD852355 OMV852346:OMZ852355 OWR852346:OWV852355 PGN852346:PGR852355 PQJ852346:PQN852355 QAF852346:QAJ852355 QKB852346:QKF852355 QTX852346:QUB852355 RDT852346:RDX852355 RNP852346:RNT852355 RXL852346:RXP852355 SHH852346:SHL852355 SRD852346:SRH852355 TAZ852346:TBD852355 TKV852346:TKZ852355 TUR852346:TUV852355 UEN852346:UER852355 UOJ852346:UON852355 UYF852346:UYJ852355 VIB852346:VIF852355 VRX852346:VSB852355 WBT852346:WBX852355 WLP852346:WLT852355 WVL852346:WVP852355 D917882:H917891 IZ917882:JD917891 SV917882:SZ917891 ACR917882:ACV917891 AMN917882:AMR917891 AWJ917882:AWN917891 BGF917882:BGJ917891 BQB917882:BQF917891 BZX917882:CAB917891 CJT917882:CJX917891 CTP917882:CTT917891 DDL917882:DDP917891 DNH917882:DNL917891 DXD917882:DXH917891 EGZ917882:EHD917891 EQV917882:EQZ917891 FAR917882:FAV917891 FKN917882:FKR917891 FUJ917882:FUN917891 GEF917882:GEJ917891 GOB917882:GOF917891 GXX917882:GYB917891 HHT917882:HHX917891 HRP917882:HRT917891 IBL917882:IBP917891 ILH917882:ILL917891 IVD917882:IVH917891 JEZ917882:JFD917891 JOV917882:JOZ917891 JYR917882:JYV917891 KIN917882:KIR917891 KSJ917882:KSN917891 LCF917882:LCJ917891 LMB917882:LMF917891 LVX917882:LWB917891 MFT917882:MFX917891 MPP917882:MPT917891 MZL917882:MZP917891 NJH917882:NJL917891 NTD917882:NTH917891 OCZ917882:ODD917891 OMV917882:OMZ917891 OWR917882:OWV917891 PGN917882:PGR917891 PQJ917882:PQN917891 QAF917882:QAJ917891 QKB917882:QKF917891 QTX917882:QUB917891 RDT917882:RDX917891 RNP917882:RNT917891 RXL917882:RXP917891 SHH917882:SHL917891 SRD917882:SRH917891 TAZ917882:TBD917891 TKV917882:TKZ917891 TUR917882:TUV917891 UEN917882:UER917891 UOJ917882:UON917891 UYF917882:UYJ917891 VIB917882:VIF917891 VRX917882:VSB917891 WBT917882:WBX917891 WLP917882:WLT917891 WVL917882:WVP917891 D983418:H983427 IZ983418:JD983427 SV983418:SZ983427 ACR983418:ACV983427 AMN983418:AMR983427 AWJ983418:AWN983427 BGF983418:BGJ983427 BQB983418:BQF983427 BZX983418:CAB983427 CJT983418:CJX983427 CTP983418:CTT983427 DDL983418:DDP983427 DNH983418:DNL983427 DXD983418:DXH983427 EGZ983418:EHD983427 EQV983418:EQZ983427 FAR983418:FAV983427 FKN983418:FKR983427 FUJ983418:FUN983427 GEF983418:GEJ983427 GOB983418:GOF983427 GXX983418:GYB983427 HHT983418:HHX983427 HRP983418:HRT983427 IBL983418:IBP983427 ILH983418:ILL983427 IVD983418:IVH983427 JEZ983418:JFD983427 JOV983418:JOZ983427 JYR983418:JYV983427 KIN983418:KIR983427 KSJ983418:KSN983427 LCF983418:LCJ983427 LMB983418:LMF983427 LVX983418:LWB983427 MFT983418:MFX983427 MPP983418:MPT983427 MZL983418:MZP983427 NJH983418:NJL983427 NTD983418:NTH983427 OCZ983418:ODD983427 OMV983418:OMZ983427 OWR983418:OWV983427 PGN983418:PGR983427 PQJ983418:PQN983427 QAF983418:QAJ983427 QKB983418:QKF983427 QTX983418:QUB983427 RDT983418:RDX983427 RNP983418:RNT983427 RXL983418:RXP983427 SHH983418:SHL983427 SRD983418:SRH983427 TAZ983418:TBD983427 TKV983418:TKZ983427 TUR983418:TUV983427 UEN983418:UER983427 UOJ983418:UON983427 UYF983418:UYJ983427 VIB983418:VIF983427 VRX983418:VSB983427 WBT983418:WBX983427 WLP983418:WLT983427 WVL983418:WVP983427 D363:L376 IZ363:JH376 SV363:TD376 ACR363:ACZ376 AMN363:AMV376 AWJ363:AWR376 BGF363:BGN376 BQB363:BQJ376 BZX363:CAF376 CJT363:CKB376 CTP363:CTX376 DDL363:DDT376 DNH363:DNP376 DXD363:DXL376 EGZ363:EHH376 EQV363:ERD376 FAR363:FAZ376 FKN363:FKV376 FUJ363:FUR376 GEF363:GEN376 GOB363:GOJ376 GXX363:GYF376 HHT363:HIB376 HRP363:HRX376 IBL363:IBT376 ILH363:ILP376 IVD363:IVL376 JEZ363:JFH376 JOV363:JPD376 JYR363:JYZ376 KIN363:KIV376 KSJ363:KSR376 LCF363:LCN376 LMB363:LMJ376 LVX363:LWF376 MFT363:MGB376 MPP363:MPX376 MZL363:MZT376 NJH363:NJP376 NTD363:NTL376 OCZ363:ODH376 OMV363:OND376 OWR363:OWZ376 PGN363:PGV376 PQJ363:PQR376 QAF363:QAN376 QKB363:QKJ376 QTX363:QUF376 RDT363:REB376 RNP363:RNX376 RXL363:RXT376 SHH363:SHP376 SRD363:SRL376 TAZ363:TBH376 TKV363:TLD376 TUR363:TUZ376 UEN363:UEV376 UOJ363:UOR376 UYF363:UYN376 VIB363:VIJ376 VRX363:VSF376 WBT363:WCB376 WLP363:WLX376 WVL363:WVT376 D65899:L65912 IZ65899:JH65912 SV65899:TD65912 ACR65899:ACZ65912 AMN65899:AMV65912 AWJ65899:AWR65912 BGF65899:BGN65912 BQB65899:BQJ65912 BZX65899:CAF65912 CJT65899:CKB65912 CTP65899:CTX65912 DDL65899:DDT65912 DNH65899:DNP65912 DXD65899:DXL65912 EGZ65899:EHH65912 EQV65899:ERD65912 FAR65899:FAZ65912 FKN65899:FKV65912 FUJ65899:FUR65912 GEF65899:GEN65912 GOB65899:GOJ65912 GXX65899:GYF65912 HHT65899:HIB65912 HRP65899:HRX65912 IBL65899:IBT65912 ILH65899:ILP65912 IVD65899:IVL65912 JEZ65899:JFH65912 JOV65899:JPD65912 JYR65899:JYZ65912 KIN65899:KIV65912 KSJ65899:KSR65912 LCF65899:LCN65912 LMB65899:LMJ65912 LVX65899:LWF65912 MFT65899:MGB65912 MPP65899:MPX65912 MZL65899:MZT65912 NJH65899:NJP65912 NTD65899:NTL65912 OCZ65899:ODH65912 OMV65899:OND65912 OWR65899:OWZ65912 PGN65899:PGV65912 PQJ65899:PQR65912 QAF65899:QAN65912 QKB65899:QKJ65912 QTX65899:QUF65912 RDT65899:REB65912 RNP65899:RNX65912 RXL65899:RXT65912 SHH65899:SHP65912 SRD65899:SRL65912 TAZ65899:TBH65912 TKV65899:TLD65912 TUR65899:TUZ65912 UEN65899:UEV65912 UOJ65899:UOR65912 UYF65899:UYN65912 VIB65899:VIJ65912 VRX65899:VSF65912 WBT65899:WCB65912 WLP65899:WLX65912 WVL65899:WVT65912 D131435:L131448 IZ131435:JH131448 SV131435:TD131448 ACR131435:ACZ131448 AMN131435:AMV131448 AWJ131435:AWR131448 BGF131435:BGN131448 BQB131435:BQJ131448 BZX131435:CAF131448 CJT131435:CKB131448 CTP131435:CTX131448 DDL131435:DDT131448 DNH131435:DNP131448 DXD131435:DXL131448 EGZ131435:EHH131448 EQV131435:ERD131448 FAR131435:FAZ131448 FKN131435:FKV131448 FUJ131435:FUR131448 GEF131435:GEN131448 GOB131435:GOJ131448 GXX131435:GYF131448 HHT131435:HIB131448 HRP131435:HRX131448 IBL131435:IBT131448 ILH131435:ILP131448 IVD131435:IVL131448 JEZ131435:JFH131448 JOV131435:JPD131448 JYR131435:JYZ131448 KIN131435:KIV131448 KSJ131435:KSR131448 LCF131435:LCN131448 LMB131435:LMJ131448 LVX131435:LWF131448 MFT131435:MGB131448 MPP131435:MPX131448 MZL131435:MZT131448 NJH131435:NJP131448 NTD131435:NTL131448 OCZ131435:ODH131448 OMV131435:OND131448 OWR131435:OWZ131448 PGN131435:PGV131448 PQJ131435:PQR131448 QAF131435:QAN131448 QKB131435:QKJ131448 QTX131435:QUF131448 RDT131435:REB131448 RNP131435:RNX131448 RXL131435:RXT131448 SHH131435:SHP131448 SRD131435:SRL131448 TAZ131435:TBH131448 TKV131435:TLD131448 TUR131435:TUZ131448 UEN131435:UEV131448 UOJ131435:UOR131448 UYF131435:UYN131448 VIB131435:VIJ131448 VRX131435:VSF131448 WBT131435:WCB131448 WLP131435:WLX131448 WVL131435:WVT131448 D196971:L196984 IZ196971:JH196984 SV196971:TD196984 ACR196971:ACZ196984 AMN196971:AMV196984 AWJ196971:AWR196984 BGF196971:BGN196984 BQB196971:BQJ196984 BZX196971:CAF196984 CJT196971:CKB196984 CTP196971:CTX196984 DDL196971:DDT196984 DNH196971:DNP196984 DXD196971:DXL196984 EGZ196971:EHH196984 EQV196971:ERD196984 FAR196971:FAZ196984 FKN196971:FKV196984 FUJ196971:FUR196984 GEF196971:GEN196984 GOB196971:GOJ196984 GXX196971:GYF196984 HHT196971:HIB196984 HRP196971:HRX196984 IBL196971:IBT196984 ILH196971:ILP196984 IVD196971:IVL196984 JEZ196971:JFH196984 JOV196971:JPD196984 JYR196971:JYZ196984 KIN196971:KIV196984 KSJ196971:KSR196984 LCF196971:LCN196984 LMB196971:LMJ196984 LVX196971:LWF196984 MFT196971:MGB196984 MPP196971:MPX196984 MZL196971:MZT196984 NJH196971:NJP196984 NTD196971:NTL196984 OCZ196971:ODH196984 OMV196971:OND196984 OWR196971:OWZ196984 PGN196971:PGV196984 PQJ196971:PQR196984 QAF196971:QAN196984 QKB196971:QKJ196984 QTX196971:QUF196984 RDT196971:REB196984 RNP196971:RNX196984 RXL196971:RXT196984 SHH196971:SHP196984 SRD196971:SRL196984 TAZ196971:TBH196984 TKV196971:TLD196984 TUR196971:TUZ196984 UEN196971:UEV196984 UOJ196971:UOR196984 UYF196971:UYN196984 VIB196971:VIJ196984 VRX196971:VSF196984 WBT196971:WCB196984 WLP196971:WLX196984 WVL196971:WVT196984 D262507:L262520 IZ262507:JH262520 SV262507:TD262520 ACR262507:ACZ262520 AMN262507:AMV262520 AWJ262507:AWR262520 BGF262507:BGN262520 BQB262507:BQJ262520 BZX262507:CAF262520 CJT262507:CKB262520 CTP262507:CTX262520 DDL262507:DDT262520 DNH262507:DNP262520 DXD262507:DXL262520 EGZ262507:EHH262520 EQV262507:ERD262520 FAR262507:FAZ262520 FKN262507:FKV262520 FUJ262507:FUR262520 GEF262507:GEN262520 GOB262507:GOJ262520 GXX262507:GYF262520 HHT262507:HIB262520 HRP262507:HRX262520 IBL262507:IBT262520 ILH262507:ILP262520 IVD262507:IVL262520 JEZ262507:JFH262520 JOV262507:JPD262520 JYR262507:JYZ262520 KIN262507:KIV262520 KSJ262507:KSR262520 LCF262507:LCN262520 LMB262507:LMJ262520 LVX262507:LWF262520 MFT262507:MGB262520 MPP262507:MPX262520 MZL262507:MZT262520 NJH262507:NJP262520 NTD262507:NTL262520 OCZ262507:ODH262520 OMV262507:OND262520 OWR262507:OWZ262520 PGN262507:PGV262520 PQJ262507:PQR262520 QAF262507:QAN262520 QKB262507:QKJ262520 QTX262507:QUF262520 RDT262507:REB262520 RNP262507:RNX262520 RXL262507:RXT262520 SHH262507:SHP262520 SRD262507:SRL262520 TAZ262507:TBH262520 TKV262507:TLD262520 TUR262507:TUZ262520 UEN262507:UEV262520 UOJ262507:UOR262520 UYF262507:UYN262520 VIB262507:VIJ262520 VRX262507:VSF262520 WBT262507:WCB262520 WLP262507:WLX262520 WVL262507:WVT262520 D328043:L328056 IZ328043:JH328056 SV328043:TD328056 ACR328043:ACZ328056 AMN328043:AMV328056 AWJ328043:AWR328056 BGF328043:BGN328056 BQB328043:BQJ328056 BZX328043:CAF328056 CJT328043:CKB328056 CTP328043:CTX328056 DDL328043:DDT328056 DNH328043:DNP328056 DXD328043:DXL328056 EGZ328043:EHH328056 EQV328043:ERD328056 FAR328043:FAZ328056 FKN328043:FKV328056 FUJ328043:FUR328056 GEF328043:GEN328056 GOB328043:GOJ328056 GXX328043:GYF328056 HHT328043:HIB328056 HRP328043:HRX328056 IBL328043:IBT328056 ILH328043:ILP328056 IVD328043:IVL328056 JEZ328043:JFH328056 JOV328043:JPD328056 JYR328043:JYZ328056 KIN328043:KIV328056 KSJ328043:KSR328056 LCF328043:LCN328056 LMB328043:LMJ328056 LVX328043:LWF328056 MFT328043:MGB328056 MPP328043:MPX328056 MZL328043:MZT328056 NJH328043:NJP328056 NTD328043:NTL328056 OCZ328043:ODH328056 OMV328043:OND328056 OWR328043:OWZ328056 PGN328043:PGV328056 PQJ328043:PQR328056 QAF328043:QAN328056 QKB328043:QKJ328056 QTX328043:QUF328056 RDT328043:REB328056 RNP328043:RNX328056 RXL328043:RXT328056 SHH328043:SHP328056 SRD328043:SRL328056 TAZ328043:TBH328056 TKV328043:TLD328056 TUR328043:TUZ328056 UEN328043:UEV328056 UOJ328043:UOR328056 UYF328043:UYN328056 VIB328043:VIJ328056 VRX328043:VSF328056 WBT328043:WCB328056 WLP328043:WLX328056 WVL328043:WVT328056 D393579:L393592 IZ393579:JH393592 SV393579:TD393592 ACR393579:ACZ393592 AMN393579:AMV393592 AWJ393579:AWR393592 BGF393579:BGN393592 BQB393579:BQJ393592 BZX393579:CAF393592 CJT393579:CKB393592 CTP393579:CTX393592 DDL393579:DDT393592 DNH393579:DNP393592 DXD393579:DXL393592 EGZ393579:EHH393592 EQV393579:ERD393592 FAR393579:FAZ393592 FKN393579:FKV393592 FUJ393579:FUR393592 GEF393579:GEN393592 GOB393579:GOJ393592 GXX393579:GYF393592 HHT393579:HIB393592 HRP393579:HRX393592 IBL393579:IBT393592 ILH393579:ILP393592 IVD393579:IVL393592 JEZ393579:JFH393592 JOV393579:JPD393592 JYR393579:JYZ393592 KIN393579:KIV393592 KSJ393579:KSR393592 LCF393579:LCN393592 LMB393579:LMJ393592 LVX393579:LWF393592 MFT393579:MGB393592 MPP393579:MPX393592 MZL393579:MZT393592 NJH393579:NJP393592 NTD393579:NTL393592 OCZ393579:ODH393592 OMV393579:OND393592 OWR393579:OWZ393592 PGN393579:PGV393592 PQJ393579:PQR393592 QAF393579:QAN393592 QKB393579:QKJ393592 QTX393579:QUF393592 RDT393579:REB393592 RNP393579:RNX393592 RXL393579:RXT393592 SHH393579:SHP393592 SRD393579:SRL393592 TAZ393579:TBH393592 TKV393579:TLD393592 TUR393579:TUZ393592 UEN393579:UEV393592 UOJ393579:UOR393592 UYF393579:UYN393592 VIB393579:VIJ393592 VRX393579:VSF393592 WBT393579:WCB393592 WLP393579:WLX393592 WVL393579:WVT393592 D459115:L459128 IZ459115:JH459128 SV459115:TD459128 ACR459115:ACZ459128 AMN459115:AMV459128 AWJ459115:AWR459128 BGF459115:BGN459128 BQB459115:BQJ459128 BZX459115:CAF459128 CJT459115:CKB459128 CTP459115:CTX459128 DDL459115:DDT459128 DNH459115:DNP459128 DXD459115:DXL459128 EGZ459115:EHH459128 EQV459115:ERD459128 FAR459115:FAZ459128 FKN459115:FKV459128 FUJ459115:FUR459128 GEF459115:GEN459128 GOB459115:GOJ459128 GXX459115:GYF459128 HHT459115:HIB459128 HRP459115:HRX459128 IBL459115:IBT459128 ILH459115:ILP459128 IVD459115:IVL459128 JEZ459115:JFH459128 JOV459115:JPD459128 JYR459115:JYZ459128 KIN459115:KIV459128 KSJ459115:KSR459128 LCF459115:LCN459128 LMB459115:LMJ459128 LVX459115:LWF459128 MFT459115:MGB459128 MPP459115:MPX459128 MZL459115:MZT459128 NJH459115:NJP459128 NTD459115:NTL459128 OCZ459115:ODH459128 OMV459115:OND459128 OWR459115:OWZ459128 PGN459115:PGV459128 PQJ459115:PQR459128 QAF459115:QAN459128 QKB459115:QKJ459128 QTX459115:QUF459128 RDT459115:REB459128 RNP459115:RNX459128 RXL459115:RXT459128 SHH459115:SHP459128 SRD459115:SRL459128 TAZ459115:TBH459128 TKV459115:TLD459128 TUR459115:TUZ459128 UEN459115:UEV459128 UOJ459115:UOR459128 UYF459115:UYN459128 VIB459115:VIJ459128 VRX459115:VSF459128 WBT459115:WCB459128 WLP459115:WLX459128 WVL459115:WVT459128 D524651:L524664 IZ524651:JH524664 SV524651:TD524664 ACR524651:ACZ524664 AMN524651:AMV524664 AWJ524651:AWR524664 BGF524651:BGN524664 BQB524651:BQJ524664 BZX524651:CAF524664 CJT524651:CKB524664 CTP524651:CTX524664 DDL524651:DDT524664 DNH524651:DNP524664 DXD524651:DXL524664 EGZ524651:EHH524664 EQV524651:ERD524664 FAR524651:FAZ524664 FKN524651:FKV524664 FUJ524651:FUR524664 GEF524651:GEN524664 GOB524651:GOJ524664 GXX524651:GYF524664 HHT524651:HIB524664 HRP524651:HRX524664 IBL524651:IBT524664 ILH524651:ILP524664 IVD524651:IVL524664 JEZ524651:JFH524664 JOV524651:JPD524664 JYR524651:JYZ524664 KIN524651:KIV524664 KSJ524651:KSR524664 LCF524651:LCN524664 LMB524651:LMJ524664 LVX524651:LWF524664 MFT524651:MGB524664 MPP524651:MPX524664 MZL524651:MZT524664 NJH524651:NJP524664 NTD524651:NTL524664 OCZ524651:ODH524664 OMV524651:OND524664 OWR524651:OWZ524664 PGN524651:PGV524664 PQJ524651:PQR524664 QAF524651:QAN524664 QKB524651:QKJ524664 QTX524651:QUF524664 RDT524651:REB524664 RNP524651:RNX524664 RXL524651:RXT524664 SHH524651:SHP524664 SRD524651:SRL524664 TAZ524651:TBH524664 TKV524651:TLD524664 TUR524651:TUZ524664 UEN524651:UEV524664 UOJ524651:UOR524664 UYF524651:UYN524664 VIB524651:VIJ524664 VRX524651:VSF524664 WBT524651:WCB524664 WLP524651:WLX524664 WVL524651:WVT524664 D590187:L590200 IZ590187:JH590200 SV590187:TD590200 ACR590187:ACZ590200 AMN590187:AMV590200 AWJ590187:AWR590200 BGF590187:BGN590200 BQB590187:BQJ590200 BZX590187:CAF590200 CJT590187:CKB590200 CTP590187:CTX590200 DDL590187:DDT590200 DNH590187:DNP590200 DXD590187:DXL590200 EGZ590187:EHH590200 EQV590187:ERD590200 FAR590187:FAZ590200 FKN590187:FKV590200 FUJ590187:FUR590200 GEF590187:GEN590200 GOB590187:GOJ590200 GXX590187:GYF590200 HHT590187:HIB590200 HRP590187:HRX590200 IBL590187:IBT590200 ILH590187:ILP590200 IVD590187:IVL590200 JEZ590187:JFH590200 JOV590187:JPD590200 JYR590187:JYZ590200 KIN590187:KIV590200 KSJ590187:KSR590200 LCF590187:LCN590200 LMB590187:LMJ590200 LVX590187:LWF590200 MFT590187:MGB590200 MPP590187:MPX590200 MZL590187:MZT590200 NJH590187:NJP590200 NTD590187:NTL590200 OCZ590187:ODH590200 OMV590187:OND590200 OWR590187:OWZ590200 PGN590187:PGV590200 PQJ590187:PQR590200 QAF590187:QAN590200 QKB590187:QKJ590200 QTX590187:QUF590200 RDT590187:REB590200 RNP590187:RNX590200 RXL590187:RXT590200 SHH590187:SHP590200 SRD590187:SRL590200 TAZ590187:TBH590200 TKV590187:TLD590200 TUR590187:TUZ590200 UEN590187:UEV590200 UOJ590187:UOR590200 UYF590187:UYN590200 VIB590187:VIJ590200 VRX590187:VSF590200 WBT590187:WCB590200 WLP590187:WLX590200 WVL590187:WVT590200 D655723:L655736 IZ655723:JH655736 SV655723:TD655736 ACR655723:ACZ655736 AMN655723:AMV655736 AWJ655723:AWR655736 BGF655723:BGN655736 BQB655723:BQJ655736 BZX655723:CAF655736 CJT655723:CKB655736 CTP655723:CTX655736 DDL655723:DDT655736 DNH655723:DNP655736 DXD655723:DXL655736 EGZ655723:EHH655736 EQV655723:ERD655736 FAR655723:FAZ655736 FKN655723:FKV655736 FUJ655723:FUR655736 GEF655723:GEN655736 GOB655723:GOJ655736 GXX655723:GYF655736 HHT655723:HIB655736 HRP655723:HRX655736 IBL655723:IBT655736 ILH655723:ILP655736 IVD655723:IVL655736 JEZ655723:JFH655736 JOV655723:JPD655736 JYR655723:JYZ655736 KIN655723:KIV655736 KSJ655723:KSR655736 LCF655723:LCN655736 LMB655723:LMJ655736 LVX655723:LWF655736 MFT655723:MGB655736 MPP655723:MPX655736 MZL655723:MZT655736 NJH655723:NJP655736 NTD655723:NTL655736 OCZ655723:ODH655736 OMV655723:OND655736 OWR655723:OWZ655736 PGN655723:PGV655736 PQJ655723:PQR655736 QAF655723:QAN655736 QKB655723:QKJ655736 QTX655723:QUF655736 RDT655723:REB655736 RNP655723:RNX655736 RXL655723:RXT655736 SHH655723:SHP655736 SRD655723:SRL655736 TAZ655723:TBH655736 TKV655723:TLD655736 TUR655723:TUZ655736 UEN655723:UEV655736 UOJ655723:UOR655736 UYF655723:UYN655736 VIB655723:VIJ655736 VRX655723:VSF655736 WBT655723:WCB655736 WLP655723:WLX655736 WVL655723:WVT655736 D721259:L721272 IZ721259:JH721272 SV721259:TD721272 ACR721259:ACZ721272 AMN721259:AMV721272 AWJ721259:AWR721272 BGF721259:BGN721272 BQB721259:BQJ721272 BZX721259:CAF721272 CJT721259:CKB721272 CTP721259:CTX721272 DDL721259:DDT721272 DNH721259:DNP721272 DXD721259:DXL721272 EGZ721259:EHH721272 EQV721259:ERD721272 FAR721259:FAZ721272 FKN721259:FKV721272 FUJ721259:FUR721272 GEF721259:GEN721272 GOB721259:GOJ721272 GXX721259:GYF721272 HHT721259:HIB721272 HRP721259:HRX721272 IBL721259:IBT721272 ILH721259:ILP721272 IVD721259:IVL721272 JEZ721259:JFH721272 JOV721259:JPD721272 JYR721259:JYZ721272 KIN721259:KIV721272 KSJ721259:KSR721272 LCF721259:LCN721272 LMB721259:LMJ721272 LVX721259:LWF721272 MFT721259:MGB721272 MPP721259:MPX721272 MZL721259:MZT721272 NJH721259:NJP721272 NTD721259:NTL721272 OCZ721259:ODH721272 OMV721259:OND721272 OWR721259:OWZ721272 PGN721259:PGV721272 PQJ721259:PQR721272 QAF721259:QAN721272 QKB721259:QKJ721272 QTX721259:QUF721272 RDT721259:REB721272 RNP721259:RNX721272 RXL721259:RXT721272 SHH721259:SHP721272 SRD721259:SRL721272 TAZ721259:TBH721272 TKV721259:TLD721272 TUR721259:TUZ721272 UEN721259:UEV721272 UOJ721259:UOR721272 UYF721259:UYN721272 VIB721259:VIJ721272 VRX721259:VSF721272 WBT721259:WCB721272 WLP721259:WLX721272 WVL721259:WVT721272 D786795:L786808 IZ786795:JH786808 SV786795:TD786808 ACR786795:ACZ786808 AMN786795:AMV786808 AWJ786795:AWR786808 BGF786795:BGN786808 BQB786795:BQJ786808 BZX786795:CAF786808 CJT786795:CKB786808 CTP786795:CTX786808 DDL786795:DDT786808 DNH786795:DNP786808 DXD786795:DXL786808 EGZ786795:EHH786808 EQV786795:ERD786808 FAR786795:FAZ786808 FKN786795:FKV786808 FUJ786795:FUR786808 GEF786795:GEN786808 GOB786795:GOJ786808 GXX786795:GYF786808 HHT786795:HIB786808 HRP786795:HRX786808 IBL786795:IBT786808 ILH786795:ILP786808 IVD786795:IVL786808 JEZ786795:JFH786808 JOV786795:JPD786808 JYR786795:JYZ786808 KIN786795:KIV786808 KSJ786795:KSR786808 LCF786795:LCN786808 LMB786795:LMJ786808 LVX786795:LWF786808 MFT786795:MGB786808 MPP786795:MPX786808 MZL786795:MZT786808 NJH786795:NJP786808 NTD786795:NTL786808 OCZ786795:ODH786808 OMV786795:OND786808 OWR786795:OWZ786808 PGN786795:PGV786808 PQJ786795:PQR786808 QAF786795:QAN786808 QKB786795:QKJ786808 QTX786795:QUF786808 RDT786795:REB786808 RNP786795:RNX786808 RXL786795:RXT786808 SHH786795:SHP786808 SRD786795:SRL786808 TAZ786795:TBH786808 TKV786795:TLD786808 TUR786795:TUZ786808 UEN786795:UEV786808 UOJ786795:UOR786808 UYF786795:UYN786808 VIB786795:VIJ786808 VRX786795:VSF786808 WBT786795:WCB786808 WLP786795:WLX786808 WVL786795:WVT786808 D852331:L852344 IZ852331:JH852344 SV852331:TD852344 ACR852331:ACZ852344 AMN852331:AMV852344 AWJ852331:AWR852344 BGF852331:BGN852344 BQB852331:BQJ852344 BZX852331:CAF852344 CJT852331:CKB852344 CTP852331:CTX852344 DDL852331:DDT852344 DNH852331:DNP852344 DXD852331:DXL852344 EGZ852331:EHH852344 EQV852331:ERD852344 FAR852331:FAZ852344 FKN852331:FKV852344 FUJ852331:FUR852344 GEF852331:GEN852344 GOB852331:GOJ852344 GXX852331:GYF852344 HHT852331:HIB852344 HRP852331:HRX852344 IBL852331:IBT852344 ILH852331:ILP852344 IVD852331:IVL852344 JEZ852331:JFH852344 JOV852331:JPD852344 JYR852331:JYZ852344 KIN852331:KIV852344 KSJ852331:KSR852344 LCF852331:LCN852344 LMB852331:LMJ852344 LVX852331:LWF852344 MFT852331:MGB852344 MPP852331:MPX852344 MZL852331:MZT852344 NJH852331:NJP852344 NTD852331:NTL852344 OCZ852331:ODH852344 OMV852331:OND852344 OWR852331:OWZ852344 PGN852331:PGV852344 PQJ852331:PQR852344 QAF852331:QAN852344 QKB852331:QKJ852344 QTX852331:QUF852344 RDT852331:REB852344 RNP852331:RNX852344 RXL852331:RXT852344 SHH852331:SHP852344 SRD852331:SRL852344 TAZ852331:TBH852344 TKV852331:TLD852344 TUR852331:TUZ852344 UEN852331:UEV852344 UOJ852331:UOR852344 UYF852331:UYN852344 VIB852331:VIJ852344 VRX852331:VSF852344 WBT852331:WCB852344 WLP852331:WLX852344 WVL852331:WVT852344 D917867:L917880 IZ917867:JH917880 SV917867:TD917880 ACR917867:ACZ917880 AMN917867:AMV917880 AWJ917867:AWR917880 BGF917867:BGN917880 BQB917867:BQJ917880 BZX917867:CAF917880 CJT917867:CKB917880 CTP917867:CTX917880 DDL917867:DDT917880 DNH917867:DNP917880 DXD917867:DXL917880 EGZ917867:EHH917880 EQV917867:ERD917880 FAR917867:FAZ917880 FKN917867:FKV917880 FUJ917867:FUR917880 GEF917867:GEN917880 GOB917867:GOJ917880 GXX917867:GYF917880 HHT917867:HIB917880 HRP917867:HRX917880 IBL917867:IBT917880 ILH917867:ILP917880 IVD917867:IVL917880 JEZ917867:JFH917880 JOV917867:JPD917880 JYR917867:JYZ917880 KIN917867:KIV917880 KSJ917867:KSR917880 LCF917867:LCN917880 LMB917867:LMJ917880 LVX917867:LWF917880 MFT917867:MGB917880 MPP917867:MPX917880 MZL917867:MZT917880 NJH917867:NJP917880 NTD917867:NTL917880 OCZ917867:ODH917880 OMV917867:OND917880 OWR917867:OWZ917880 PGN917867:PGV917880 PQJ917867:PQR917880 QAF917867:QAN917880 QKB917867:QKJ917880 QTX917867:QUF917880 RDT917867:REB917880 RNP917867:RNX917880 RXL917867:RXT917880 SHH917867:SHP917880 SRD917867:SRL917880 TAZ917867:TBH917880 TKV917867:TLD917880 TUR917867:TUZ917880 UEN917867:UEV917880 UOJ917867:UOR917880 UYF917867:UYN917880 VIB917867:VIJ917880 VRX917867:VSF917880 WBT917867:WCB917880 WLP917867:WLX917880 WVL917867:WVT917880 D983403:L983416 IZ983403:JH983416 SV983403:TD983416 ACR983403:ACZ983416 AMN983403:AMV983416 AWJ983403:AWR983416 BGF983403:BGN983416 BQB983403:BQJ983416 BZX983403:CAF983416 CJT983403:CKB983416 CTP983403:CTX983416 DDL983403:DDT983416 DNH983403:DNP983416 DXD983403:DXL983416 EGZ983403:EHH983416 EQV983403:ERD983416 FAR983403:FAZ983416 FKN983403:FKV983416 FUJ983403:FUR983416 GEF983403:GEN983416 GOB983403:GOJ983416 GXX983403:GYF983416 HHT983403:HIB983416 HRP983403:HRX983416 IBL983403:IBT983416 ILH983403:ILP983416 IVD983403:IVL983416 JEZ983403:JFH983416 JOV983403:JPD983416 JYR983403:JYZ983416 KIN983403:KIV983416 KSJ983403:KSR983416 LCF983403:LCN983416 LMB983403:LMJ983416 LVX983403:LWF983416 MFT983403:MGB983416 MPP983403:MPX983416 MZL983403:MZT983416 NJH983403:NJP983416 NTD983403:NTL983416 OCZ983403:ODH983416 OMV983403:OND983416 OWR983403:OWZ983416 PGN983403:PGV983416 PQJ983403:PQR983416 QAF983403:QAN983416 QKB983403:QKJ983416 QTX983403:QUF983416 RDT983403:REB983416 RNP983403:RNX983416 RXL983403:RXT983416 SHH983403:SHP983416 SRD983403:SRL983416 TAZ983403:TBH983416 TKV983403:TLD983416 TUR983403:TUZ983416 UEN983403:UEV983416 UOJ983403:UOR983416 UYF983403:UYN983416 VIB983403:VIJ983416 VRX983403:VSF983416 WBT983403:WCB983416 WLP983403:WLX983416 WVL983403:WVT983416 I378:L388 JE378:JH388 TA378:TD388 ACW378:ACZ388 AMS378:AMV388 AWO378:AWR388 BGK378:BGN388 BQG378:BQJ388 CAC378:CAF388 CJY378:CKB388 CTU378:CTX388 DDQ378:DDT388 DNM378:DNP388 DXI378:DXL388 EHE378:EHH388 ERA378:ERD388 FAW378:FAZ388 FKS378:FKV388 FUO378:FUR388 GEK378:GEN388 GOG378:GOJ388 GYC378:GYF388 HHY378:HIB388 HRU378:HRX388 IBQ378:IBT388 ILM378:ILP388 IVI378:IVL388 JFE378:JFH388 JPA378:JPD388 JYW378:JYZ388 KIS378:KIV388 KSO378:KSR388 LCK378:LCN388 LMG378:LMJ388 LWC378:LWF388 MFY378:MGB388 MPU378:MPX388 MZQ378:MZT388 NJM378:NJP388 NTI378:NTL388 ODE378:ODH388 ONA378:OND388 OWW378:OWZ388 PGS378:PGV388 PQO378:PQR388 QAK378:QAN388 QKG378:QKJ388 QUC378:QUF388 RDY378:REB388 RNU378:RNX388 RXQ378:RXT388 SHM378:SHP388 SRI378:SRL388 TBE378:TBH388 TLA378:TLD388 TUW378:TUZ388 UES378:UEV388 UOO378:UOR388 UYK378:UYN388 VIG378:VIJ388 VSC378:VSF388 WBY378:WCB388 WLU378:WLX388 WVQ378:WVT388 I65914:L65924 JE65914:JH65924 TA65914:TD65924 ACW65914:ACZ65924 AMS65914:AMV65924 AWO65914:AWR65924 BGK65914:BGN65924 BQG65914:BQJ65924 CAC65914:CAF65924 CJY65914:CKB65924 CTU65914:CTX65924 DDQ65914:DDT65924 DNM65914:DNP65924 DXI65914:DXL65924 EHE65914:EHH65924 ERA65914:ERD65924 FAW65914:FAZ65924 FKS65914:FKV65924 FUO65914:FUR65924 GEK65914:GEN65924 GOG65914:GOJ65924 GYC65914:GYF65924 HHY65914:HIB65924 HRU65914:HRX65924 IBQ65914:IBT65924 ILM65914:ILP65924 IVI65914:IVL65924 JFE65914:JFH65924 JPA65914:JPD65924 JYW65914:JYZ65924 KIS65914:KIV65924 KSO65914:KSR65924 LCK65914:LCN65924 LMG65914:LMJ65924 LWC65914:LWF65924 MFY65914:MGB65924 MPU65914:MPX65924 MZQ65914:MZT65924 NJM65914:NJP65924 NTI65914:NTL65924 ODE65914:ODH65924 ONA65914:OND65924 OWW65914:OWZ65924 PGS65914:PGV65924 PQO65914:PQR65924 QAK65914:QAN65924 QKG65914:QKJ65924 QUC65914:QUF65924 RDY65914:REB65924 RNU65914:RNX65924 RXQ65914:RXT65924 SHM65914:SHP65924 SRI65914:SRL65924 TBE65914:TBH65924 TLA65914:TLD65924 TUW65914:TUZ65924 UES65914:UEV65924 UOO65914:UOR65924 UYK65914:UYN65924 VIG65914:VIJ65924 VSC65914:VSF65924 WBY65914:WCB65924 WLU65914:WLX65924 WVQ65914:WVT65924 I131450:L131460 JE131450:JH131460 TA131450:TD131460 ACW131450:ACZ131460 AMS131450:AMV131460 AWO131450:AWR131460 BGK131450:BGN131460 BQG131450:BQJ131460 CAC131450:CAF131460 CJY131450:CKB131460 CTU131450:CTX131460 DDQ131450:DDT131460 DNM131450:DNP131460 DXI131450:DXL131460 EHE131450:EHH131460 ERA131450:ERD131460 FAW131450:FAZ131460 FKS131450:FKV131460 FUO131450:FUR131460 GEK131450:GEN131460 GOG131450:GOJ131460 GYC131450:GYF131460 HHY131450:HIB131460 HRU131450:HRX131460 IBQ131450:IBT131460 ILM131450:ILP131460 IVI131450:IVL131460 JFE131450:JFH131460 JPA131450:JPD131460 JYW131450:JYZ131460 KIS131450:KIV131460 KSO131450:KSR131460 LCK131450:LCN131460 LMG131450:LMJ131460 LWC131450:LWF131460 MFY131450:MGB131460 MPU131450:MPX131460 MZQ131450:MZT131460 NJM131450:NJP131460 NTI131450:NTL131460 ODE131450:ODH131460 ONA131450:OND131460 OWW131450:OWZ131460 PGS131450:PGV131460 PQO131450:PQR131460 QAK131450:QAN131460 QKG131450:QKJ131460 QUC131450:QUF131460 RDY131450:REB131460 RNU131450:RNX131460 RXQ131450:RXT131460 SHM131450:SHP131460 SRI131450:SRL131460 TBE131450:TBH131460 TLA131450:TLD131460 TUW131450:TUZ131460 UES131450:UEV131460 UOO131450:UOR131460 UYK131450:UYN131460 VIG131450:VIJ131460 VSC131450:VSF131460 WBY131450:WCB131460 WLU131450:WLX131460 WVQ131450:WVT131460 I196986:L196996 JE196986:JH196996 TA196986:TD196996 ACW196986:ACZ196996 AMS196986:AMV196996 AWO196986:AWR196996 BGK196986:BGN196996 BQG196986:BQJ196996 CAC196986:CAF196996 CJY196986:CKB196996 CTU196986:CTX196996 DDQ196986:DDT196996 DNM196986:DNP196996 DXI196986:DXL196996 EHE196986:EHH196996 ERA196986:ERD196996 FAW196986:FAZ196996 FKS196986:FKV196996 FUO196986:FUR196996 GEK196986:GEN196996 GOG196986:GOJ196996 GYC196986:GYF196996 HHY196986:HIB196996 HRU196986:HRX196996 IBQ196986:IBT196996 ILM196986:ILP196996 IVI196986:IVL196996 JFE196986:JFH196996 JPA196986:JPD196996 JYW196986:JYZ196996 KIS196986:KIV196996 KSO196986:KSR196996 LCK196986:LCN196996 LMG196986:LMJ196996 LWC196986:LWF196996 MFY196986:MGB196996 MPU196986:MPX196996 MZQ196986:MZT196996 NJM196986:NJP196996 NTI196986:NTL196996 ODE196986:ODH196996 ONA196986:OND196996 OWW196986:OWZ196996 PGS196986:PGV196996 PQO196986:PQR196996 QAK196986:QAN196996 QKG196986:QKJ196996 QUC196986:QUF196996 RDY196986:REB196996 RNU196986:RNX196996 RXQ196986:RXT196996 SHM196986:SHP196996 SRI196986:SRL196996 TBE196986:TBH196996 TLA196986:TLD196996 TUW196986:TUZ196996 UES196986:UEV196996 UOO196986:UOR196996 UYK196986:UYN196996 VIG196986:VIJ196996 VSC196986:VSF196996 WBY196986:WCB196996 WLU196986:WLX196996 WVQ196986:WVT196996 I262522:L262532 JE262522:JH262532 TA262522:TD262532 ACW262522:ACZ262532 AMS262522:AMV262532 AWO262522:AWR262532 BGK262522:BGN262532 BQG262522:BQJ262532 CAC262522:CAF262532 CJY262522:CKB262532 CTU262522:CTX262532 DDQ262522:DDT262532 DNM262522:DNP262532 DXI262522:DXL262532 EHE262522:EHH262532 ERA262522:ERD262532 FAW262522:FAZ262532 FKS262522:FKV262532 FUO262522:FUR262532 GEK262522:GEN262532 GOG262522:GOJ262532 GYC262522:GYF262532 HHY262522:HIB262532 HRU262522:HRX262532 IBQ262522:IBT262532 ILM262522:ILP262532 IVI262522:IVL262532 JFE262522:JFH262532 JPA262522:JPD262532 JYW262522:JYZ262532 KIS262522:KIV262532 KSO262522:KSR262532 LCK262522:LCN262532 LMG262522:LMJ262532 LWC262522:LWF262532 MFY262522:MGB262532 MPU262522:MPX262532 MZQ262522:MZT262532 NJM262522:NJP262532 NTI262522:NTL262532 ODE262522:ODH262532 ONA262522:OND262532 OWW262522:OWZ262532 PGS262522:PGV262532 PQO262522:PQR262532 QAK262522:QAN262532 QKG262522:QKJ262532 QUC262522:QUF262532 RDY262522:REB262532 RNU262522:RNX262532 RXQ262522:RXT262532 SHM262522:SHP262532 SRI262522:SRL262532 TBE262522:TBH262532 TLA262522:TLD262532 TUW262522:TUZ262532 UES262522:UEV262532 UOO262522:UOR262532 UYK262522:UYN262532 VIG262522:VIJ262532 VSC262522:VSF262532 WBY262522:WCB262532 WLU262522:WLX262532 WVQ262522:WVT262532 I328058:L328068 JE328058:JH328068 TA328058:TD328068 ACW328058:ACZ328068 AMS328058:AMV328068 AWO328058:AWR328068 BGK328058:BGN328068 BQG328058:BQJ328068 CAC328058:CAF328068 CJY328058:CKB328068 CTU328058:CTX328068 DDQ328058:DDT328068 DNM328058:DNP328068 DXI328058:DXL328068 EHE328058:EHH328068 ERA328058:ERD328068 FAW328058:FAZ328068 FKS328058:FKV328068 FUO328058:FUR328068 GEK328058:GEN328068 GOG328058:GOJ328068 GYC328058:GYF328068 HHY328058:HIB328068 HRU328058:HRX328068 IBQ328058:IBT328068 ILM328058:ILP328068 IVI328058:IVL328068 JFE328058:JFH328068 JPA328058:JPD328068 JYW328058:JYZ328068 KIS328058:KIV328068 KSO328058:KSR328068 LCK328058:LCN328068 LMG328058:LMJ328068 LWC328058:LWF328068 MFY328058:MGB328068 MPU328058:MPX328068 MZQ328058:MZT328068 NJM328058:NJP328068 NTI328058:NTL328068 ODE328058:ODH328068 ONA328058:OND328068 OWW328058:OWZ328068 PGS328058:PGV328068 PQO328058:PQR328068 QAK328058:QAN328068 QKG328058:QKJ328068 QUC328058:QUF328068 RDY328058:REB328068 RNU328058:RNX328068 RXQ328058:RXT328068 SHM328058:SHP328068 SRI328058:SRL328068 TBE328058:TBH328068 TLA328058:TLD328068 TUW328058:TUZ328068 UES328058:UEV328068 UOO328058:UOR328068 UYK328058:UYN328068 VIG328058:VIJ328068 VSC328058:VSF328068 WBY328058:WCB328068 WLU328058:WLX328068 WVQ328058:WVT328068 I393594:L393604 JE393594:JH393604 TA393594:TD393604 ACW393594:ACZ393604 AMS393594:AMV393604 AWO393594:AWR393604 BGK393594:BGN393604 BQG393594:BQJ393604 CAC393594:CAF393604 CJY393594:CKB393604 CTU393594:CTX393604 DDQ393594:DDT393604 DNM393594:DNP393604 DXI393594:DXL393604 EHE393594:EHH393604 ERA393594:ERD393604 FAW393594:FAZ393604 FKS393594:FKV393604 FUO393594:FUR393604 GEK393594:GEN393604 GOG393594:GOJ393604 GYC393594:GYF393604 HHY393594:HIB393604 HRU393594:HRX393604 IBQ393594:IBT393604 ILM393594:ILP393604 IVI393594:IVL393604 JFE393594:JFH393604 JPA393594:JPD393604 JYW393594:JYZ393604 KIS393594:KIV393604 KSO393594:KSR393604 LCK393594:LCN393604 LMG393594:LMJ393604 LWC393594:LWF393604 MFY393594:MGB393604 MPU393594:MPX393604 MZQ393594:MZT393604 NJM393594:NJP393604 NTI393594:NTL393604 ODE393594:ODH393604 ONA393594:OND393604 OWW393594:OWZ393604 PGS393594:PGV393604 PQO393594:PQR393604 QAK393594:QAN393604 QKG393594:QKJ393604 QUC393594:QUF393604 RDY393594:REB393604 RNU393594:RNX393604 RXQ393594:RXT393604 SHM393594:SHP393604 SRI393594:SRL393604 TBE393594:TBH393604 TLA393594:TLD393604 TUW393594:TUZ393604 UES393594:UEV393604 UOO393594:UOR393604 UYK393594:UYN393604 VIG393594:VIJ393604 VSC393594:VSF393604 WBY393594:WCB393604 WLU393594:WLX393604 WVQ393594:WVT393604 I459130:L459140 JE459130:JH459140 TA459130:TD459140 ACW459130:ACZ459140 AMS459130:AMV459140 AWO459130:AWR459140 BGK459130:BGN459140 BQG459130:BQJ459140 CAC459130:CAF459140 CJY459130:CKB459140 CTU459130:CTX459140 DDQ459130:DDT459140 DNM459130:DNP459140 DXI459130:DXL459140 EHE459130:EHH459140 ERA459130:ERD459140 FAW459130:FAZ459140 FKS459130:FKV459140 FUO459130:FUR459140 GEK459130:GEN459140 GOG459130:GOJ459140 GYC459130:GYF459140 HHY459130:HIB459140 HRU459130:HRX459140 IBQ459130:IBT459140 ILM459130:ILP459140 IVI459130:IVL459140 JFE459130:JFH459140 JPA459130:JPD459140 JYW459130:JYZ459140 KIS459130:KIV459140 KSO459130:KSR459140 LCK459130:LCN459140 LMG459130:LMJ459140 LWC459130:LWF459140 MFY459130:MGB459140 MPU459130:MPX459140 MZQ459130:MZT459140 NJM459130:NJP459140 NTI459130:NTL459140 ODE459130:ODH459140 ONA459130:OND459140 OWW459130:OWZ459140 PGS459130:PGV459140 PQO459130:PQR459140 QAK459130:QAN459140 QKG459130:QKJ459140 QUC459130:QUF459140 RDY459130:REB459140 RNU459130:RNX459140 RXQ459130:RXT459140 SHM459130:SHP459140 SRI459130:SRL459140 TBE459130:TBH459140 TLA459130:TLD459140 TUW459130:TUZ459140 UES459130:UEV459140 UOO459130:UOR459140 UYK459130:UYN459140 VIG459130:VIJ459140 VSC459130:VSF459140 WBY459130:WCB459140 WLU459130:WLX459140 WVQ459130:WVT459140 I524666:L524676 JE524666:JH524676 TA524666:TD524676 ACW524666:ACZ524676 AMS524666:AMV524676 AWO524666:AWR524676 BGK524666:BGN524676 BQG524666:BQJ524676 CAC524666:CAF524676 CJY524666:CKB524676 CTU524666:CTX524676 DDQ524666:DDT524676 DNM524666:DNP524676 DXI524666:DXL524676 EHE524666:EHH524676 ERA524666:ERD524676 FAW524666:FAZ524676 FKS524666:FKV524676 FUO524666:FUR524676 GEK524666:GEN524676 GOG524666:GOJ524676 GYC524666:GYF524676 HHY524666:HIB524676 HRU524666:HRX524676 IBQ524666:IBT524676 ILM524666:ILP524676 IVI524666:IVL524676 JFE524666:JFH524676 JPA524666:JPD524676 JYW524666:JYZ524676 KIS524666:KIV524676 KSO524666:KSR524676 LCK524666:LCN524676 LMG524666:LMJ524676 LWC524666:LWF524676 MFY524666:MGB524676 MPU524666:MPX524676 MZQ524666:MZT524676 NJM524666:NJP524676 NTI524666:NTL524676 ODE524666:ODH524676 ONA524666:OND524676 OWW524666:OWZ524676 PGS524666:PGV524676 PQO524666:PQR524676 QAK524666:QAN524676 QKG524666:QKJ524676 QUC524666:QUF524676 RDY524666:REB524676 RNU524666:RNX524676 RXQ524666:RXT524676 SHM524666:SHP524676 SRI524666:SRL524676 TBE524666:TBH524676 TLA524666:TLD524676 TUW524666:TUZ524676 UES524666:UEV524676 UOO524666:UOR524676 UYK524666:UYN524676 VIG524666:VIJ524676 VSC524666:VSF524676 WBY524666:WCB524676 WLU524666:WLX524676 WVQ524666:WVT524676 I590202:L590212 JE590202:JH590212 TA590202:TD590212 ACW590202:ACZ590212 AMS590202:AMV590212 AWO590202:AWR590212 BGK590202:BGN590212 BQG590202:BQJ590212 CAC590202:CAF590212 CJY590202:CKB590212 CTU590202:CTX590212 DDQ590202:DDT590212 DNM590202:DNP590212 DXI590202:DXL590212 EHE590202:EHH590212 ERA590202:ERD590212 FAW590202:FAZ590212 FKS590202:FKV590212 FUO590202:FUR590212 GEK590202:GEN590212 GOG590202:GOJ590212 GYC590202:GYF590212 HHY590202:HIB590212 HRU590202:HRX590212 IBQ590202:IBT590212 ILM590202:ILP590212 IVI590202:IVL590212 JFE590202:JFH590212 JPA590202:JPD590212 JYW590202:JYZ590212 KIS590202:KIV590212 KSO590202:KSR590212 LCK590202:LCN590212 LMG590202:LMJ590212 LWC590202:LWF590212 MFY590202:MGB590212 MPU590202:MPX590212 MZQ590202:MZT590212 NJM590202:NJP590212 NTI590202:NTL590212 ODE590202:ODH590212 ONA590202:OND590212 OWW590202:OWZ590212 PGS590202:PGV590212 PQO590202:PQR590212 QAK590202:QAN590212 QKG590202:QKJ590212 QUC590202:QUF590212 RDY590202:REB590212 RNU590202:RNX590212 RXQ590202:RXT590212 SHM590202:SHP590212 SRI590202:SRL590212 TBE590202:TBH590212 TLA590202:TLD590212 TUW590202:TUZ590212 UES590202:UEV590212 UOO590202:UOR590212 UYK590202:UYN590212 VIG590202:VIJ590212 VSC590202:VSF590212 WBY590202:WCB590212 WLU590202:WLX590212 WVQ590202:WVT590212 I655738:L655748 JE655738:JH655748 TA655738:TD655748 ACW655738:ACZ655748 AMS655738:AMV655748 AWO655738:AWR655748 BGK655738:BGN655748 BQG655738:BQJ655748 CAC655738:CAF655748 CJY655738:CKB655748 CTU655738:CTX655748 DDQ655738:DDT655748 DNM655738:DNP655748 DXI655738:DXL655748 EHE655738:EHH655748 ERA655738:ERD655748 FAW655738:FAZ655748 FKS655738:FKV655748 FUO655738:FUR655748 GEK655738:GEN655748 GOG655738:GOJ655748 GYC655738:GYF655748 HHY655738:HIB655748 HRU655738:HRX655748 IBQ655738:IBT655748 ILM655738:ILP655748 IVI655738:IVL655748 JFE655738:JFH655748 JPA655738:JPD655748 JYW655738:JYZ655748 KIS655738:KIV655748 KSO655738:KSR655748 LCK655738:LCN655748 LMG655738:LMJ655748 LWC655738:LWF655748 MFY655738:MGB655748 MPU655738:MPX655748 MZQ655738:MZT655748 NJM655738:NJP655748 NTI655738:NTL655748 ODE655738:ODH655748 ONA655738:OND655748 OWW655738:OWZ655748 PGS655738:PGV655748 PQO655738:PQR655748 QAK655738:QAN655748 QKG655738:QKJ655748 QUC655738:QUF655748 RDY655738:REB655748 RNU655738:RNX655748 RXQ655738:RXT655748 SHM655738:SHP655748 SRI655738:SRL655748 TBE655738:TBH655748 TLA655738:TLD655748 TUW655738:TUZ655748 UES655738:UEV655748 UOO655738:UOR655748 UYK655738:UYN655748 VIG655738:VIJ655748 VSC655738:VSF655748 WBY655738:WCB655748 WLU655738:WLX655748 WVQ655738:WVT655748 I721274:L721284 JE721274:JH721284 TA721274:TD721284 ACW721274:ACZ721284 AMS721274:AMV721284 AWO721274:AWR721284 BGK721274:BGN721284 BQG721274:BQJ721284 CAC721274:CAF721284 CJY721274:CKB721284 CTU721274:CTX721284 DDQ721274:DDT721284 DNM721274:DNP721284 DXI721274:DXL721284 EHE721274:EHH721284 ERA721274:ERD721284 FAW721274:FAZ721284 FKS721274:FKV721284 FUO721274:FUR721284 GEK721274:GEN721284 GOG721274:GOJ721284 GYC721274:GYF721284 HHY721274:HIB721284 HRU721274:HRX721284 IBQ721274:IBT721284 ILM721274:ILP721284 IVI721274:IVL721284 JFE721274:JFH721284 JPA721274:JPD721284 JYW721274:JYZ721284 KIS721274:KIV721284 KSO721274:KSR721284 LCK721274:LCN721284 LMG721274:LMJ721284 LWC721274:LWF721284 MFY721274:MGB721284 MPU721274:MPX721284 MZQ721274:MZT721284 NJM721274:NJP721284 NTI721274:NTL721284 ODE721274:ODH721284 ONA721274:OND721284 OWW721274:OWZ721284 PGS721274:PGV721284 PQO721274:PQR721284 QAK721274:QAN721284 QKG721274:QKJ721284 QUC721274:QUF721284 RDY721274:REB721284 RNU721274:RNX721284 RXQ721274:RXT721284 SHM721274:SHP721284 SRI721274:SRL721284 TBE721274:TBH721284 TLA721274:TLD721284 TUW721274:TUZ721284 UES721274:UEV721284 UOO721274:UOR721284 UYK721274:UYN721284 VIG721274:VIJ721284 VSC721274:VSF721284 WBY721274:WCB721284 WLU721274:WLX721284 WVQ721274:WVT721284 I786810:L786820 JE786810:JH786820 TA786810:TD786820 ACW786810:ACZ786820 AMS786810:AMV786820 AWO786810:AWR786820 BGK786810:BGN786820 BQG786810:BQJ786820 CAC786810:CAF786820 CJY786810:CKB786820 CTU786810:CTX786820 DDQ786810:DDT786820 DNM786810:DNP786820 DXI786810:DXL786820 EHE786810:EHH786820 ERA786810:ERD786820 FAW786810:FAZ786820 FKS786810:FKV786820 FUO786810:FUR786820 GEK786810:GEN786820 GOG786810:GOJ786820 GYC786810:GYF786820 HHY786810:HIB786820 HRU786810:HRX786820 IBQ786810:IBT786820 ILM786810:ILP786820 IVI786810:IVL786820 JFE786810:JFH786820 JPA786810:JPD786820 JYW786810:JYZ786820 KIS786810:KIV786820 KSO786810:KSR786820 LCK786810:LCN786820 LMG786810:LMJ786820 LWC786810:LWF786820 MFY786810:MGB786820 MPU786810:MPX786820 MZQ786810:MZT786820 NJM786810:NJP786820 NTI786810:NTL786820 ODE786810:ODH786820 ONA786810:OND786820 OWW786810:OWZ786820 PGS786810:PGV786820 PQO786810:PQR786820 QAK786810:QAN786820 QKG786810:QKJ786820 QUC786810:QUF786820 RDY786810:REB786820 RNU786810:RNX786820 RXQ786810:RXT786820 SHM786810:SHP786820 SRI786810:SRL786820 TBE786810:TBH786820 TLA786810:TLD786820 TUW786810:TUZ786820 UES786810:UEV786820 UOO786810:UOR786820 UYK786810:UYN786820 VIG786810:VIJ786820 VSC786810:VSF786820 WBY786810:WCB786820 WLU786810:WLX786820 WVQ786810:WVT786820 I852346:L852356 JE852346:JH852356 TA852346:TD852356 ACW852346:ACZ852356 AMS852346:AMV852356 AWO852346:AWR852356 BGK852346:BGN852356 BQG852346:BQJ852356 CAC852346:CAF852356 CJY852346:CKB852356 CTU852346:CTX852356 DDQ852346:DDT852356 DNM852346:DNP852356 DXI852346:DXL852356 EHE852346:EHH852356 ERA852346:ERD852356 FAW852346:FAZ852356 FKS852346:FKV852356 FUO852346:FUR852356 GEK852346:GEN852356 GOG852346:GOJ852356 GYC852346:GYF852356 HHY852346:HIB852356 HRU852346:HRX852356 IBQ852346:IBT852356 ILM852346:ILP852356 IVI852346:IVL852356 JFE852346:JFH852356 JPA852346:JPD852356 JYW852346:JYZ852356 KIS852346:KIV852356 KSO852346:KSR852356 LCK852346:LCN852356 LMG852346:LMJ852356 LWC852346:LWF852356 MFY852346:MGB852356 MPU852346:MPX852356 MZQ852346:MZT852356 NJM852346:NJP852356 NTI852346:NTL852356 ODE852346:ODH852356 ONA852346:OND852356 OWW852346:OWZ852356 PGS852346:PGV852356 PQO852346:PQR852356 QAK852346:QAN852356 QKG852346:QKJ852356 QUC852346:QUF852356 RDY852346:REB852356 RNU852346:RNX852356 RXQ852346:RXT852356 SHM852346:SHP852356 SRI852346:SRL852356 TBE852346:TBH852356 TLA852346:TLD852356 TUW852346:TUZ852356 UES852346:UEV852356 UOO852346:UOR852356 UYK852346:UYN852356 VIG852346:VIJ852356 VSC852346:VSF852356 WBY852346:WCB852356 WLU852346:WLX852356 WVQ852346:WVT852356 I917882:L917892 JE917882:JH917892 TA917882:TD917892 ACW917882:ACZ917892 AMS917882:AMV917892 AWO917882:AWR917892 BGK917882:BGN917892 BQG917882:BQJ917892 CAC917882:CAF917892 CJY917882:CKB917892 CTU917882:CTX917892 DDQ917882:DDT917892 DNM917882:DNP917892 DXI917882:DXL917892 EHE917882:EHH917892 ERA917882:ERD917892 FAW917882:FAZ917892 FKS917882:FKV917892 FUO917882:FUR917892 GEK917882:GEN917892 GOG917882:GOJ917892 GYC917882:GYF917892 HHY917882:HIB917892 HRU917882:HRX917892 IBQ917882:IBT917892 ILM917882:ILP917892 IVI917882:IVL917892 JFE917882:JFH917892 JPA917882:JPD917892 JYW917882:JYZ917892 KIS917882:KIV917892 KSO917882:KSR917892 LCK917882:LCN917892 LMG917882:LMJ917892 LWC917882:LWF917892 MFY917882:MGB917892 MPU917882:MPX917892 MZQ917882:MZT917892 NJM917882:NJP917892 NTI917882:NTL917892 ODE917882:ODH917892 ONA917882:OND917892 OWW917882:OWZ917892 PGS917882:PGV917892 PQO917882:PQR917892 QAK917882:QAN917892 QKG917882:QKJ917892 QUC917882:QUF917892 RDY917882:REB917892 RNU917882:RNX917892 RXQ917882:RXT917892 SHM917882:SHP917892 SRI917882:SRL917892 TBE917882:TBH917892 TLA917882:TLD917892 TUW917882:TUZ917892 UES917882:UEV917892 UOO917882:UOR917892 UYK917882:UYN917892 VIG917882:VIJ917892 VSC917882:VSF917892 WBY917882:WCB917892 WLU917882:WLX917892 WVQ917882:WVT917892 I983418:L983428 JE983418:JH983428 TA983418:TD983428 ACW983418:ACZ983428 AMS983418:AMV983428 AWO983418:AWR983428 BGK983418:BGN983428 BQG983418:BQJ983428 CAC983418:CAF983428 CJY983418:CKB983428 CTU983418:CTX983428 DDQ983418:DDT983428 DNM983418:DNP983428 DXI983418:DXL983428 EHE983418:EHH983428 ERA983418:ERD983428 FAW983418:FAZ983428 FKS983418:FKV983428 FUO983418:FUR983428 GEK983418:GEN983428 GOG983418:GOJ983428 GYC983418:GYF983428 HHY983418:HIB983428 HRU983418:HRX983428 IBQ983418:IBT983428 ILM983418:ILP983428 IVI983418:IVL983428 JFE983418:JFH983428 JPA983418:JPD983428 JYW983418:JYZ983428 KIS983418:KIV983428 KSO983418:KSR983428 LCK983418:LCN983428 LMG983418:LMJ983428 LWC983418:LWF983428 MFY983418:MGB983428 MPU983418:MPX983428 MZQ983418:MZT983428 NJM983418:NJP983428 NTI983418:NTL983428 ODE983418:ODH983428 ONA983418:OND983428 OWW983418:OWZ983428 PGS983418:PGV983428 PQO983418:PQR983428 QAK983418:QAN983428 QKG983418:QKJ983428 QUC983418:QUF983428 RDY983418:REB983428 RNU983418:RNX983428 RXQ983418:RXT983428 SHM983418:SHP983428 SRI983418:SRL983428 TBE983418:TBH983428 TLA983418:TLD983428 TUW983418:TUZ983428 UES983418:UEV983428 UOO983418:UOR983428 UYK983418:UYN983428 VIG983418:VIJ983428 VSC983418:VSF983428 WBY983418:WCB983428 WLU983418:WLX983428 WVQ983418:WVT983428">
      <formula1>-1000000000</formula1>
      <formula2>1000000000</formula2>
    </dataValidation>
  </dataValidations>
  <pageMargins left="0.48" right="0.19685039370078741" top="0.17" bottom="0.17" header="0.17" footer="0.16"/>
  <pageSetup paperSize="9" scale="65"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topLeftCell="A10" workbookViewId="0">
      <selection activeCell="D35" sqref="D35"/>
    </sheetView>
  </sheetViews>
  <sheetFormatPr defaultRowHeight="12.75"/>
  <cols>
    <col min="1" max="1" width="34.28515625" style="2937" customWidth="1"/>
    <col min="2" max="2" width="11.28515625" style="2937" customWidth="1"/>
    <col min="3" max="3" width="15.5703125" style="2937" customWidth="1"/>
    <col min="4" max="4" width="12.42578125" style="2937" customWidth="1"/>
    <col min="5" max="5" width="11.42578125" style="2937" customWidth="1"/>
    <col min="6" max="6" width="9.140625" style="2937"/>
    <col min="7" max="7" width="15.5703125" style="2937" customWidth="1"/>
    <col min="8" max="8" width="9.140625" style="2937"/>
    <col min="9" max="9" width="12.5703125" style="2937" bestFit="1" customWidth="1"/>
    <col min="10" max="256" width="9.140625" style="2937"/>
    <col min="257" max="257" width="34.28515625" style="2937" customWidth="1"/>
    <col min="258" max="258" width="11.28515625" style="2937" customWidth="1"/>
    <col min="259" max="259" width="15.5703125" style="2937" customWidth="1"/>
    <col min="260" max="260" width="12.42578125" style="2937" customWidth="1"/>
    <col min="261" max="261" width="10" style="2937" customWidth="1"/>
    <col min="262" max="262" width="9.140625" style="2937"/>
    <col min="263" max="263" width="15.5703125" style="2937" customWidth="1"/>
    <col min="264" max="264" width="9.140625" style="2937"/>
    <col min="265" max="265" width="12.5703125" style="2937" bestFit="1" customWidth="1"/>
    <col min="266" max="512" width="9.140625" style="2937"/>
    <col min="513" max="513" width="34.28515625" style="2937" customWidth="1"/>
    <col min="514" max="514" width="11.28515625" style="2937" customWidth="1"/>
    <col min="515" max="515" width="15.5703125" style="2937" customWidth="1"/>
    <col min="516" max="516" width="12.42578125" style="2937" customWidth="1"/>
    <col min="517" max="517" width="10" style="2937" customWidth="1"/>
    <col min="518" max="518" width="9.140625" style="2937"/>
    <col min="519" max="519" width="15.5703125" style="2937" customWidth="1"/>
    <col min="520" max="520" width="9.140625" style="2937"/>
    <col min="521" max="521" width="12.5703125" style="2937" bestFit="1" customWidth="1"/>
    <col min="522" max="768" width="9.140625" style="2937"/>
    <col min="769" max="769" width="34.28515625" style="2937" customWidth="1"/>
    <col min="770" max="770" width="11.28515625" style="2937" customWidth="1"/>
    <col min="771" max="771" width="15.5703125" style="2937" customWidth="1"/>
    <col min="772" max="772" width="12.42578125" style="2937" customWidth="1"/>
    <col min="773" max="773" width="10" style="2937" customWidth="1"/>
    <col min="774" max="774" width="9.140625" style="2937"/>
    <col min="775" max="775" width="15.5703125" style="2937" customWidth="1"/>
    <col min="776" max="776" width="9.140625" style="2937"/>
    <col min="777" max="777" width="12.5703125" style="2937" bestFit="1" customWidth="1"/>
    <col min="778" max="1024" width="9.140625" style="2937"/>
    <col min="1025" max="1025" width="34.28515625" style="2937" customWidth="1"/>
    <col min="1026" max="1026" width="11.28515625" style="2937" customWidth="1"/>
    <col min="1027" max="1027" width="15.5703125" style="2937" customWidth="1"/>
    <col min="1028" max="1028" width="12.42578125" style="2937" customWidth="1"/>
    <col min="1029" max="1029" width="10" style="2937" customWidth="1"/>
    <col min="1030" max="1030" width="9.140625" style="2937"/>
    <col min="1031" max="1031" width="15.5703125" style="2937" customWidth="1"/>
    <col min="1032" max="1032" width="9.140625" style="2937"/>
    <col min="1033" max="1033" width="12.5703125" style="2937" bestFit="1" customWidth="1"/>
    <col min="1034" max="1280" width="9.140625" style="2937"/>
    <col min="1281" max="1281" width="34.28515625" style="2937" customWidth="1"/>
    <col min="1282" max="1282" width="11.28515625" style="2937" customWidth="1"/>
    <col min="1283" max="1283" width="15.5703125" style="2937" customWidth="1"/>
    <col min="1284" max="1284" width="12.42578125" style="2937" customWidth="1"/>
    <col min="1285" max="1285" width="10" style="2937" customWidth="1"/>
    <col min="1286" max="1286" width="9.140625" style="2937"/>
    <col min="1287" max="1287" width="15.5703125" style="2937" customWidth="1"/>
    <col min="1288" max="1288" width="9.140625" style="2937"/>
    <col min="1289" max="1289" width="12.5703125" style="2937" bestFit="1" customWidth="1"/>
    <col min="1290" max="1536" width="9.140625" style="2937"/>
    <col min="1537" max="1537" width="34.28515625" style="2937" customWidth="1"/>
    <col min="1538" max="1538" width="11.28515625" style="2937" customWidth="1"/>
    <col min="1539" max="1539" width="15.5703125" style="2937" customWidth="1"/>
    <col min="1540" max="1540" width="12.42578125" style="2937" customWidth="1"/>
    <col min="1541" max="1541" width="10" style="2937" customWidth="1"/>
    <col min="1542" max="1542" width="9.140625" style="2937"/>
    <col min="1543" max="1543" width="15.5703125" style="2937" customWidth="1"/>
    <col min="1544" max="1544" width="9.140625" style="2937"/>
    <col min="1545" max="1545" width="12.5703125" style="2937" bestFit="1" customWidth="1"/>
    <col min="1546" max="1792" width="9.140625" style="2937"/>
    <col min="1793" max="1793" width="34.28515625" style="2937" customWidth="1"/>
    <col min="1794" max="1794" width="11.28515625" style="2937" customWidth="1"/>
    <col min="1795" max="1795" width="15.5703125" style="2937" customWidth="1"/>
    <col min="1796" max="1796" width="12.42578125" style="2937" customWidth="1"/>
    <col min="1797" max="1797" width="10" style="2937" customWidth="1"/>
    <col min="1798" max="1798" width="9.140625" style="2937"/>
    <col min="1799" max="1799" width="15.5703125" style="2937" customWidth="1"/>
    <col min="1800" max="1800" width="9.140625" style="2937"/>
    <col min="1801" max="1801" width="12.5703125" style="2937" bestFit="1" customWidth="1"/>
    <col min="1802" max="2048" width="9.140625" style="2937"/>
    <col min="2049" max="2049" width="34.28515625" style="2937" customWidth="1"/>
    <col min="2050" max="2050" width="11.28515625" style="2937" customWidth="1"/>
    <col min="2051" max="2051" width="15.5703125" style="2937" customWidth="1"/>
    <col min="2052" max="2052" width="12.42578125" style="2937" customWidth="1"/>
    <col min="2053" max="2053" width="10" style="2937" customWidth="1"/>
    <col min="2054" max="2054" width="9.140625" style="2937"/>
    <col min="2055" max="2055" width="15.5703125" style="2937" customWidth="1"/>
    <col min="2056" max="2056" width="9.140625" style="2937"/>
    <col min="2057" max="2057" width="12.5703125" style="2937" bestFit="1" customWidth="1"/>
    <col min="2058" max="2304" width="9.140625" style="2937"/>
    <col min="2305" max="2305" width="34.28515625" style="2937" customWidth="1"/>
    <col min="2306" max="2306" width="11.28515625" style="2937" customWidth="1"/>
    <col min="2307" max="2307" width="15.5703125" style="2937" customWidth="1"/>
    <col min="2308" max="2308" width="12.42578125" style="2937" customWidth="1"/>
    <col min="2309" max="2309" width="10" style="2937" customWidth="1"/>
    <col min="2310" max="2310" width="9.140625" style="2937"/>
    <col min="2311" max="2311" width="15.5703125" style="2937" customWidth="1"/>
    <col min="2312" max="2312" width="9.140625" style="2937"/>
    <col min="2313" max="2313" width="12.5703125" style="2937" bestFit="1" customWidth="1"/>
    <col min="2314" max="2560" width="9.140625" style="2937"/>
    <col min="2561" max="2561" width="34.28515625" style="2937" customWidth="1"/>
    <col min="2562" max="2562" width="11.28515625" style="2937" customWidth="1"/>
    <col min="2563" max="2563" width="15.5703125" style="2937" customWidth="1"/>
    <col min="2564" max="2564" width="12.42578125" style="2937" customWidth="1"/>
    <col min="2565" max="2565" width="10" style="2937" customWidth="1"/>
    <col min="2566" max="2566" width="9.140625" style="2937"/>
    <col min="2567" max="2567" width="15.5703125" style="2937" customWidth="1"/>
    <col min="2568" max="2568" width="9.140625" style="2937"/>
    <col min="2569" max="2569" width="12.5703125" style="2937" bestFit="1" customWidth="1"/>
    <col min="2570" max="2816" width="9.140625" style="2937"/>
    <col min="2817" max="2817" width="34.28515625" style="2937" customWidth="1"/>
    <col min="2818" max="2818" width="11.28515625" style="2937" customWidth="1"/>
    <col min="2819" max="2819" width="15.5703125" style="2937" customWidth="1"/>
    <col min="2820" max="2820" width="12.42578125" style="2937" customWidth="1"/>
    <col min="2821" max="2821" width="10" style="2937" customWidth="1"/>
    <col min="2822" max="2822" width="9.140625" style="2937"/>
    <col min="2823" max="2823" width="15.5703125" style="2937" customWidth="1"/>
    <col min="2824" max="2824" width="9.140625" style="2937"/>
    <col min="2825" max="2825" width="12.5703125" style="2937" bestFit="1" customWidth="1"/>
    <col min="2826" max="3072" width="9.140625" style="2937"/>
    <col min="3073" max="3073" width="34.28515625" style="2937" customWidth="1"/>
    <col min="3074" max="3074" width="11.28515625" style="2937" customWidth="1"/>
    <col min="3075" max="3075" width="15.5703125" style="2937" customWidth="1"/>
    <col min="3076" max="3076" width="12.42578125" style="2937" customWidth="1"/>
    <col min="3077" max="3077" width="10" style="2937" customWidth="1"/>
    <col min="3078" max="3078" width="9.140625" style="2937"/>
    <col min="3079" max="3079" width="15.5703125" style="2937" customWidth="1"/>
    <col min="3080" max="3080" width="9.140625" style="2937"/>
    <col min="3081" max="3081" width="12.5703125" style="2937" bestFit="1" customWidth="1"/>
    <col min="3082" max="3328" width="9.140625" style="2937"/>
    <col min="3329" max="3329" width="34.28515625" style="2937" customWidth="1"/>
    <col min="3330" max="3330" width="11.28515625" style="2937" customWidth="1"/>
    <col min="3331" max="3331" width="15.5703125" style="2937" customWidth="1"/>
    <col min="3332" max="3332" width="12.42578125" style="2937" customWidth="1"/>
    <col min="3333" max="3333" width="10" style="2937" customWidth="1"/>
    <col min="3334" max="3334" width="9.140625" style="2937"/>
    <col min="3335" max="3335" width="15.5703125" style="2937" customWidth="1"/>
    <col min="3336" max="3336" width="9.140625" style="2937"/>
    <col min="3337" max="3337" width="12.5703125" style="2937" bestFit="1" customWidth="1"/>
    <col min="3338" max="3584" width="9.140625" style="2937"/>
    <col min="3585" max="3585" width="34.28515625" style="2937" customWidth="1"/>
    <col min="3586" max="3586" width="11.28515625" style="2937" customWidth="1"/>
    <col min="3587" max="3587" width="15.5703125" style="2937" customWidth="1"/>
    <col min="3588" max="3588" width="12.42578125" style="2937" customWidth="1"/>
    <col min="3589" max="3589" width="10" style="2937" customWidth="1"/>
    <col min="3590" max="3590" width="9.140625" style="2937"/>
    <col min="3591" max="3591" width="15.5703125" style="2937" customWidth="1"/>
    <col min="3592" max="3592" width="9.140625" style="2937"/>
    <col min="3593" max="3593" width="12.5703125" style="2937" bestFit="1" customWidth="1"/>
    <col min="3594" max="3840" width="9.140625" style="2937"/>
    <col min="3841" max="3841" width="34.28515625" style="2937" customWidth="1"/>
    <col min="3842" max="3842" width="11.28515625" style="2937" customWidth="1"/>
    <col min="3843" max="3843" width="15.5703125" style="2937" customWidth="1"/>
    <col min="3844" max="3844" width="12.42578125" style="2937" customWidth="1"/>
    <col min="3845" max="3845" width="10" style="2937" customWidth="1"/>
    <col min="3846" max="3846" width="9.140625" style="2937"/>
    <col min="3847" max="3847" width="15.5703125" style="2937" customWidth="1"/>
    <col min="3848" max="3848" width="9.140625" style="2937"/>
    <col min="3849" max="3849" width="12.5703125" style="2937" bestFit="1" customWidth="1"/>
    <col min="3850" max="4096" width="9.140625" style="2937"/>
    <col min="4097" max="4097" width="34.28515625" style="2937" customWidth="1"/>
    <col min="4098" max="4098" width="11.28515625" style="2937" customWidth="1"/>
    <col min="4099" max="4099" width="15.5703125" style="2937" customWidth="1"/>
    <col min="4100" max="4100" width="12.42578125" style="2937" customWidth="1"/>
    <col min="4101" max="4101" width="10" style="2937" customWidth="1"/>
    <col min="4102" max="4102" width="9.140625" style="2937"/>
    <col min="4103" max="4103" width="15.5703125" style="2937" customWidth="1"/>
    <col min="4104" max="4104" width="9.140625" style="2937"/>
    <col min="4105" max="4105" width="12.5703125" style="2937" bestFit="1" customWidth="1"/>
    <col min="4106" max="4352" width="9.140625" style="2937"/>
    <col min="4353" max="4353" width="34.28515625" style="2937" customWidth="1"/>
    <col min="4354" max="4354" width="11.28515625" style="2937" customWidth="1"/>
    <col min="4355" max="4355" width="15.5703125" style="2937" customWidth="1"/>
    <col min="4356" max="4356" width="12.42578125" style="2937" customWidth="1"/>
    <col min="4357" max="4357" width="10" style="2937" customWidth="1"/>
    <col min="4358" max="4358" width="9.140625" style="2937"/>
    <col min="4359" max="4359" width="15.5703125" style="2937" customWidth="1"/>
    <col min="4360" max="4360" width="9.140625" style="2937"/>
    <col min="4361" max="4361" width="12.5703125" style="2937" bestFit="1" customWidth="1"/>
    <col min="4362" max="4608" width="9.140625" style="2937"/>
    <col min="4609" max="4609" width="34.28515625" style="2937" customWidth="1"/>
    <col min="4610" max="4610" width="11.28515625" style="2937" customWidth="1"/>
    <col min="4611" max="4611" width="15.5703125" style="2937" customWidth="1"/>
    <col min="4612" max="4612" width="12.42578125" style="2937" customWidth="1"/>
    <col min="4613" max="4613" width="10" style="2937" customWidth="1"/>
    <col min="4614" max="4614" width="9.140625" style="2937"/>
    <col min="4615" max="4615" width="15.5703125" style="2937" customWidth="1"/>
    <col min="4616" max="4616" width="9.140625" style="2937"/>
    <col min="4617" max="4617" width="12.5703125" style="2937" bestFit="1" customWidth="1"/>
    <col min="4618" max="4864" width="9.140625" style="2937"/>
    <col min="4865" max="4865" width="34.28515625" style="2937" customWidth="1"/>
    <col min="4866" max="4866" width="11.28515625" style="2937" customWidth="1"/>
    <col min="4867" max="4867" width="15.5703125" style="2937" customWidth="1"/>
    <col min="4868" max="4868" width="12.42578125" style="2937" customWidth="1"/>
    <col min="4869" max="4869" width="10" style="2937" customWidth="1"/>
    <col min="4870" max="4870" width="9.140625" style="2937"/>
    <col min="4871" max="4871" width="15.5703125" style="2937" customWidth="1"/>
    <col min="4872" max="4872" width="9.140625" style="2937"/>
    <col min="4873" max="4873" width="12.5703125" style="2937" bestFit="1" customWidth="1"/>
    <col min="4874" max="5120" width="9.140625" style="2937"/>
    <col min="5121" max="5121" width="34.28515625" style="2937" customWidth="1"/>
    <col min="5122" max="5122" width="11.28515625" style="2937" customWidth="1"/>
    <col min="5123" max="5123" width="15.5703125" style="2937" customWidth="1"/>
    <col min="5124" max="5124" width="12.42578125" style="2937" customWidth="1"/>
    <col min="5125" max="5125" width="10" style="2937" customWidth="1"/>
    <col min="5126" max="5126" width="9.140625" style="2937"/>
    <col min="5127" max="5127" width="15.5703125" style="2937" customWidth="1"/>
    <col min="5128" max="5128" width="9.140625" style="2937"/>
    <col min="5129" max="5129" width="12.5703125" style="2937" bestFit="1" customWidth="1"/>
    <col min="5130" max="5376" width="9.140625" style="2937"/>
    <col min="5377" max="5377" width="34.28515625" style="2937" customWidth="1"/>
    <col min="5378" max="5378" width="11.28515625" style="2937" customWidth="1"/>
    <col min="5379" max="5379" width="15.5703125" style="2937" customWidth="1"/>
    <col min="5380" max="5380" width="12.42578125" style="2937" customWidth="1"/>
    <col min="5381" max="5381" width="10" style="2937" customWidth="1"/>
    <col min="5382" max="5382" width="9.140625" style="2937"/>
    <col min="5383" max="5383" width="15.5703125" style="2937" customWidth="1"/>
    <col min="5384" max="5384" width="9.140625" style="2937"/>
    <col min="5385" max="5385" width="12.5703125" style="2937" bestFit="1" customWidth="1"/>
    <col min="5386" max="5632" width="9.140625" style="2937"/>
    <col min="5633" max="5633" width="34.28515625" style="2937" customWidth="1"/>
    <col min="5634" max="5634" width="11.28515625" style="2937" customWidth="1"/>
    <col min="5635" max="5635" width="15.5703125" style="2937" customWidth="1"/>
    <col min="5636" max="5636" width="12.42578125" style="2937" customWidth="1"/>
    <col min="5637" max="5637" width="10" style="2937" customWidth="1"/>
    <col min="5638" max="5638" width="9.140625" style="2937"/>
    <col min="5639" max="5639" width="15.5703125" style="2937" customWidth="1"/>
    <col min="5640" max="5640" width="9.140625" style="2937"/>
    <col min="5641" max="5641" width="12.5703125" style="2937" bestFit="1" customWidth="1"/>
    <col min="5642" max="5888" width="9.140625" style="2937"/>
    <col min="5889" max="5889" width="34.28515625" style="2937" customWidth="1"/>
    <col min="5890" max="5890" width="11.28515625" style="2937" customWidth="1"/>
    <col min="5891" max="5891" width="15.5703125" style="2937" customWidth="1"/>
    <col min="5892" max="5892" width="12.42578125" style="2937" customWidth="1"/>
    <col min="5893" max="5893" width="10" style="2937" customWidth="1"/>
    <col min="5894" max="5894" width="9.140625" style="2937"/>
    <col min="5895" max="5895" width="15.5703125" style="2937" customWidth="1"/>
    <col min="5896" max="5896" width="9.140625" style="2937"/>
    <col min="5897" max="5897" width="12.5703125" style="2937" bestFit="1" customWidth="1"/>
    <col min="5898" max="6144" width="9.140625" style="2937"/>
    <col min="6145" max="6145" width="34.28515625" style="2937" customWidth="1"/>
    <col min="6146" max="6146" width="11.28515625" style="2937" customWidth="1"/>
    <col min="6147" max="6147" width="15.5703125" style="2937" customWidth="1"/>
    <col min="6148" max="6148" width="12.42578125" style="2937" customWidth="1"/>
    <col min="6149" max="6149" width="10" style="2937" customWidth="1"/>
    <col min="6150" max="6150" width="9.140625" style="2937"/>
    <col min="6151" max="6151" width="15.5703125" style="2937" customWidth="1"/>
    <col min="6152" max="6152" width="9.140625" style="2937"/>
    <col min="6153" max="6153" width="12.5703125" style="2937" bestFit="1" customWidth="1"/>
    <col min="6154" max="6400" width="9.140625" style="2937"/>
    <col min="6401" max="6401" width="34.28515625" style="2937" customWidth="1"/>
    <col min="6402" max="6402" width="11.28515625" style="2937" customWidth="1"/>
    <col min="6403" max="6403" width="15.5703125" style="2937" customWidth="1"/>
    <col min="6404" max="6404" width="12.42578125" style="2937" customWidth="1"/>
    <col min="6405" max="6405" width="10" style="2937" customWidth="1"/>
    <col min="6406" max="6406" width="9.140625" style="2937"/>
    <col min="6407" max="6407" width="15.5703125" style="2937" customWidth="1"/>
    <col min="6408" max="6408" width="9.140625" style="2937"/>
    <col min="6409" max="6409" width="12.5703125" style="2937" bestFit="1" customWidth="1"/>
    <col min="6410" max="6656" width="9.140625" style="2937"/>
    <col min="6657" max="6657" width="34.28515625" style="2937" customWidth="1"/>
    <col min="6658" max="6658" width="11.28515625" style="2937" customWidth="1"/>
    <col min="6659" max="6659" width="15.5703125" style="2937" customWidth="1"/>
    <col min="6660" max="6660" width="12.42578125" style="2937" customWidth="1"/>
    <col min="6661" max="6661" width="10" style="2937" customWidth="1"/>
    <col min="6662" max="6662" width="9.140625" style="2937"/>
    <col min="6663" max="6663" width="15.5703125" style="2937" customWidth="1"/>
    <col min="6664" max="6664" width="9.140625" style="2937"/>
    <col min="6665" max="6665" width="12.5703125" style="2937" bestFit="1" customWidth="1"/>
    <col min="6666" max="6912" width="9.140625" style="2937"/>
    <col min="6913" max="6913" width="34.28515625" style="2937" customWidth="1"/>
    <col min="6914" max="6914" width="11.28515625" style="2937" customWidth="1"/>
    <col min="6915" max="6915" width="15.5703125" style="2937" customWidth="1"/>
    <col min="6916" max="6916" width="12.42578125" style="2937" customWidth="1"/>
    <col min="6917" max="6917" width="10" style="2937" customWidth="1"/>
    <col min="6918" max="6918" width="9.140625" style="2937"/>
    <col min="6919" max="6919" width="15.5703125" style="2937" customWidth="1"/>
    <col min="6920" max="6920" width="9.140625" style="2937"/>
    <col min="6921" max="6921" width="12.5703125" style="2937" bestFit="1" customWidth="1"/>
    <col min="6922" max="7168" width="9.140625" style="2937"/>
    <col min="7169" max="7169" width="34.28515625" style="2937" customWidth="1"/>
    <col min="7170" max="7170" width="11.28515625" style="2937" customWidth="1"/>
    <col min="7171" max="7171" width="15.5703125" style="2937" customWidth="1"/>
    <col min="7172" max="7172" width="12.42578125" style="2937" customWidth="1"/>
    <col min="7173" max="7173" width="10" style="2937" customWidth="1"/>
    <col min="7174" max="7174" width="9.140625" style="2937"/>
    <col min="7175" max="7175" width="15.5703125" style="2937" customWidth="1"/>
    <col min="7176" max="7176" width="9.140625" style="2937"/>
    <col min="7177" max="7177" width="12.5703125" style="2937" bestFit="1" customWidth="1"/>
    <col min="7178" max="7424" width="9.140625" style="2937"/>
    <col min="7425" max="7425" width="34.28515625" style="2937" customWidth="1"/>
    <col min="7426" max="7426" width="11.28515625" style="2937" customWidth="1"/>
    <col min="7427" max="7427" width="15.5703125" style="2937" customWidth="1"/>
    <col min="7428" max="7428" width="12.42578125" style="2937" customWidth="1"/>
    <col min="7429" max="7429" width="10" style="2937" customWidth="1"/>
    <col min="7430" max="7430" width="9.140625" style="2937"/>
    <col min="7431" max="7431" width="15.5703125" style="2937" customWidth="1"/>
    <col min="7432" max="7432" width="9.140625" style="2937"/>
    <col min="7433" max="7433" width="12.5703125" style="2937" bestFit="1" customWidth="1"/>
    <col min="7434" max="7680" width="9.140625" style="2937"/>
    <col min="7681" max="7681" width="34.28515625" style="2937" customWidth="1"/>
    <col min="7682" max="7682" width="11.28515625" style="2937" customWidth="1"/>
    <col min="7683" max="7683" width="15.5703125" style="2937" customWidth="1"/>
    <col min="7684" max="7684" width="12.42578125" style="2937" customWidth="1"/>
    <col min="7685" max="7685" width="10" style="2937" customWidth="1"/>
    <col min="7686" max="7686" width="9.140625" style="2937"/>
    <col min="7687" max="7687" width="15.5703125" style="2937" customWidth="1"/>
    <col min="7688" max="7688" width="9.140625" style="2937"/>
    <col min="7689" max="7689" width="12.5703125" style="2937" bestFit="1" customWidth="1"/>
    <col min="7690" max="7936" width="9.140625" style="2937"/>
    <col min="7937" max="7937" width="34.28515625" style="2937" customWidth="1"/>
    <col min="7938" max="7938" width="11.28515625" style="2937" customWidth="1"/>
    <col min="7939" max="7939" width="15.5703125" style="2937" customWidth="1"/>
    <col min="7940" max="7940" width="12.42578125" style="2937" customWidth="1"/>
    <col min="7941" max="7941" width="10" style="2937" customWidth="1"/>
    <col min="7942" max="7942" width="9.140625" style="2937"/>
    <col min="7943" max="7943" width="15.5703125" style="2937" customWidth="1"/>
    <col min="7944" max="7944" width="9.140625" style="2937"/>
    <col min="7945" max="7945" width="12.5703125" style="2937" bestFit="1" customWidth="1"/>
    <col min="7946" max="8192" width="9.140625" style="2937"/>
    <col min="8193" max="8193" width="34.28515625" style="2937" customWidth="1"/>
    <col min="8194" max="8194" width="11.28515625" style="2937" customWidth="1"/>
    <col min="8195" max="8195" width="15.5703125" style="2937" customWidth="1"/>
    <col min="8196" max="8196" width="12.42578125" style="2937" customWidth="1"/>
    <col min="8197" max="8197" width="10" style="2937" customWidth="1"/>
    <col min="8198" max="8198" width="9.140625" style="2937"/>
    <col min="8199" max="8199" width="15.5703125" style="2937" customWidth="1"/>
    <col min="8200" max="8200" width="9.140625" style="2937"/>
    <col min="8201" max="8201" width="12.5703125" style="2937" bestFit="1" customWidth="1"/>
    <col min="8202" max="8448" width="9.140625" style="2937"/>
    <col min="8449" max="8449" width="34.28515625" style="2937" customWidth="1"/>
    <col min="8450" max="8450" width="11.28515625" style="2937" customWidth="1"/>
    <col min="8451" max="8451" width="15.5703125" style="2937" customWidth="1"/>
    <col min="8452" max="8452" width="12.42578125" style="2937" customWidth="1"/>
    <col min="8453" max="8453" width="10" style="2937" customWidth="1"/>
    <col min="8454" max="8454" width="9.140625" style="2937"/>
    <col min="8455" max="8455" width="15.5703125" style="2937" customWidth="1"/>
    <col min="8456" max="8456" width="9.140625" style="2937"/>
    <col min="8457" max="8457" width="12.5703125" style="2937" bestFit="1" customWidth="1"/>
    <col min="8458" max="8704" width="9.140625" style="2937"/>
    <col min="8705" max="8705" width="34.28515625" style="2937" customWidth="1"/>
    <col min="8706" max="8706" width="11.28515625" style="2937" customWidth="1"/>
    <col min="8707" max="8707" width="15.5703125" style="2937" customWidth="1"/>
    <col min="8708" max="8708" width="12.42578125" style="2937" customWidth="1"/>
    <col min="8709" max="8709" width="10" style="2937" customWidth="1"/>
    <col min="8710" max="8710" width="9.140625" style="2937"/>
    <col min="8711" max="8711" width="15.5703125" style="2937" customWidth="1"/>
    <col min="8712" max="8712" width="9.140625" style="2937"/>
    <col min="8713" max="8713" width="12.5703125" style="2937" bestFit="1" customWidth="1"/>
    <col min="8714" max="8960" width="9.140625" style="2937"/>
    <col min="8961" max="8961" width="34.28515625" style="2937" customWidth="1"/>
    <col min="8962" max="8962" width="11.28515625" style="2937" customWidth="1"/>
    <col min="8963" max="8963" width="15.5703125" style="2937" customWidth="1"/>
    <col min="8964" max="8964" width="12.42578125" style="2937" customWidth="1"/>
    <col min="8965" max="8965" width="10" style="2937" customWidth="1"/>
    <col min="8966" max="8966" width="9.140625" style="2937"/>
    <col min="8967" max="8967" width="15.5703125" style="2937" customWidth="1"/>
    <col min="8968" max="8968" width="9.140625" style="2937"/>
    <col min="8969" max="8969" width="12.5703125" style="2937" bestFit="1" customWidth="1"/>
    <col min="8970" max="9216" width="9.140625" style="2937"/>
    <col min="9217" max="9217" width="34.28515625" style="2937" customWidth="1"/>
    <col min="9218" max="9218" width="11.28515625" style="2937" customWidth="1"/>
    <col min="9219" max="9219" width="15.5703125" style="2937" customWidth="1"/>
    <col min="9220" max="9220" width="12.42578125" style="2937" customWidth="1"/>
    <col min="9221" max="9221" width="10" style="2937" customWidth="1"/>
    <col min="9222" max="9222" width="9.140625" style="2937"/>
    <col min="9223" max="9223" width="15.5703125" style="2937" customWidth="1"/>
    <col min="9224" max="9224" width="9.140625" style="2937"/>
    <col min="9225" max="9225" width="12.5703125" style="2937" bestFit="1" customWidth="1"/>
    <col min="9226" max="9472" width="9.140625" style="2937"/>
    <col min="9473" max="9473" width="34.28515625" style="2937" customWidth="1"/>
    <col min="9474" max="9474" width="11.28515625" style="2937" customWidth="1"/>
    <col min="9475" max="9475" width="15.5703125" style="2937" customWidth="1"/>
    <col min="9476" max="9476" width="12.42578125" style="2937" customWidth="1"/>
    <col min="9477" max="9477" width="10" style="2937" customWidth="1"/>
    <col min="9478" max="9478" width="9.140625" style="2937"/>
    <col min="9479" max="9479" width="15.5703125" style="2937" customWidth="1"/>
    <col min="9480" max="9480" width="9.140625" style="2937"/>
    <col min="9481" max="9481" width="12.5703125" style="2937" bestFit="1" customWidth="1"/>
    <col min="9482" max="9728" width="9.140625" style="2937"/>
    <col min="9729" max="9729" width="34.28515625" style="2937" customWidth="1"/>
    <col min="9730" max="9730" width="11.28515625" style="2937" customWidth="1"/>
    <col min="9731" max="9731" width="15.5703125" style="2937" customWidth="1"/>
    <col min="9732" max="9732" width="12.42578125" style="2937" customWidth="1"/>
    <col min="9733" max="9733" width="10" style="2937" customWidth="1"/>
    <col min="9734" max="9734" width="9.140625" style="2937"/>
    <col min="9735" max="9735" width="15.5703125" style="2937" customWidth="1"/>
    <col min="9736" max="9736" width="9.140625" style="2937"/>
    <col min="9737" max="9737" width="12.5703125" style="2937" bestFit="1" customWidth="1"/>
    <col min="9738" max="9984" width="9.140625" style="2937"/>
    <col min="9985" max="9985" width="34.28515625" style="2937" customWidth="1"/>
    <col min="9986" max="9986" width="11.28515625" style="2937" customWidth="1"/>
    <col min="9987" max="9987" width="15.5703125" style="2937" customWidth="1"/>
    <col min="9988" max="9988" width="12.42578125" style="2937" customWidth="1"/>
    <col min="9989" max="9989" width="10" style="2937" customWidth="1"/>
    <col min="9990" max="9990" width="9.140625" style="2937"/>
    <col min="9991" max="9991" width="15.5703125" style="2937" customWidth="1"/>
    <col min="9992" max="9992" width="9.140625" style="2937"/>
    <col min="9993" max="9993" width="12.5703125" style="2937" bestFit="1" customWidth="1"/>
    <col min="9994" max="10240" width="9.140625" style="2937"/>
    <col min="10241" max="10241" width="34.28515625" style="2937" customWidth="1"/>
    <col min="10242" max="10242" width="11.28515625" style="2937" customWidth="1"/>
    <col min="10243" max="10243" width="15.5703125" style="2937" customWidth="1"/>
    <col min="10244" max="10244" width="12.42578125" style="2937" customWidth="1"/>
    <col min="10245" max="10245" width="10" style="2937" customWidth="1"/>
    <col min="10246" max="10246" width="9.140625" style="2937"/>
    <col min="10247" max="10247" width="15.5703125" style="2937" customWidth="1"/>
    <col min="10248" max="10248" width="9.140625" style="2937"/>
    <col min="10249" max="10249" width="12.5703125" style="2937" bestFit="1" customWidth="1"/>
    <col min="10250" max="10496" width="9.140625" style="2937"/>
    <col min="10497" max="10497" width="34.28515625" style="2937" customWidth="1"/>
    <col min="10498" max="10498" width="11.28515625" style="2937" customWidth="1"/>
    <col min="10499" max="10499" width="15.5703125" style="2937" customWidth="1"/>
    <col min="10500" max="10500" width="12.42578125" style="2937" customWidth="1"/>
    <col min="10501" max="10501" width="10" style="2937" customWidth="1"/>
    <col min="10502" max="10502" width="9.140625" style="2937"/>
    <col min="10503" max="10503" width="15.5703125" style="2937" customWidth="1"/>
    <col min="10504" max="10504" width="9.140625" style="2937"/>
    <col min="10505" max="10505" width="12.5703125" style="2937" bestFit="1" customWidth="1"/>
    <col min="10506" max="10752" width="9.140625" style="2937"/>
    <col min="10753" max="10753" width="34.28515625" style="2937" customWidth="1"/>
    <col min="10754" max="10754" width="11.28515625" style="2937" customWidth="1"/>
    <col min="10755" max="10755" width="15.5703125" style="2937" customWidth="1"/>
    <col min="10756" max="10756" width="12.42578125" style="2937" customWidth="1"/>
    <col min="10757" max="10757" width="10" style="2937" customWidth="1"/>
    <col min="10758" max="10758" width="9.140625" style="2937"/>
    <col min="10759" max="10759" width="15.5703125" style="2937" customWidth="1"/>
    <col min="10760" max="10760" width="9.140625" style="2937"/>
    <col min="10761" max="10761" width="12.5703125" style="2937" bestFit="1" customWidth="1"/>
    <col min="10762" max="11008" width="9.140625" style="2937"/>
    <col min="11009" max="11009" width="34.28515625" style="2937" customWidth="1"/>
    <col min="11010" max="11010" width="11.28515625" style="2937" customWidth="1"/>
    <col min="11011" max="11011" width="15.5703125" style="2937" customWidth="1"/>
    <col min="11012" max="11012" width="12.42578125" style="2937" customWidth="1"/>
    <col min="11013" max="11013" width="10" style="2937" customWidth="1"/>
    <col min="11014" max="11014" width="9.140625" style="2937"/>
    <col min="11015" max="11015" width="15.5703125" style="2937" customWidth="1"/>
    <col min="11016" max="11016" width="9.140625" style="2937"/>
    <col min="11017" max="11017" width="12.5703125" style="2937" bestFit="1" customWidth="1"/>
    <col min="11018" max="11264" width="9.140625" style="2937"/>
    <col min="11265" max="11265" width="34.28515625" style="2937" customWidth="1"/>
    <col min="11266" max="11266" width="11.28515625" style="2937" customWidth="1"/>
    <col min="11267" max="11267" width="15.5703125" style="2937" customWidth="1"/>
    <col min="11268" max="11268" width="12.42578125" style="2937" customWidth="1"/>
    <col min="11269" max="11269" width="10" style="2937" customWidth="1"/>
    <col min="11270" max="11270" width="9.140625" style="2937"/>
    <col min="11271" max="11271" width="15.5703125" style="2937" customWidth="1"/>
    <col min="11272" max="11272" width="9.140625" style="2937"/>
    <col min="11273" max="11273" width="12.5703125" style="2937" bestFit="1" customWidth="1"/>
    <col min="11274" max="11520" width="9.140625" style="2937"/>
    <col min="11521" max="11521" width="34.28515625" style="2937" customWidth="1"/>
    <col min="11522" max="11522" width="11.28515625" style="2937" customWidth="1"/>
    <col min="11523" max="11523" width="15.5703125" style="2937" customWidth="1"/>
    <col min="11524" max="11524" width="12.42578125" style="2937" customWidth="1"/>
    <col min="11525" max="11525" width="10" style="2937" customWidth="1"/>
    <col min="11526" max="11526" width="9.140625" style="2937"/>
    <col min="11527" max="11527" width="15.5703125" style="2937" customWidth="1"/>
    <col min="11528" max="11528" width="9.140625" style="2937"/>
    <col min="11529" max="11529" width="12.5703125" style="2937" bestFit="1" customWidth="1"/>
    <col min="11530" max="11776" width="9.140625" style="2937"/>
    <col min="11777" max="11777" width="34.28515625" style="2937" customWidth="1"/>
    <col min="11778" max="11778" width="11.28515625" style="2937" customWidth="1"/>
    <col min="11779" max="11779" width="15.5703125" style="2937" customWidth="1"/>
    <col min="11780" max="11780" width="12.42578125" style="2937" customWidth="1"/>
    <col min="11781" max="11781" width="10" style="2937" customWidth="1"/>
    <col min="11782" max="11782" width="9.140625" style="2937"/>
    <col min="11783" max="11783" width="15.5703125" style="2937" customWidth="1"/>
    <col min="11784" max="11784" width="9.140625" style="2937"/>
    <col min="11785" max="11785" width="12.5703125" style="2937" bestFit="1" customWidth="1"/>
    <col min="11786" max="12032" width="9.140625" style="2937"/>
    <col min="12033" max="12033" width="34.28515625" style="2937" customWidth="1"/>
    <col min="12034" max="12034" width="11.28515625" style="2937" customWidth="1"/>
    <col min="12035" max="12035" width="15.5703125" style="2937" customWidth="1"/>
    <col min="12036" max="12036" width="12.42578125" style="2937" customWidth="1"/>
    <col min="12037" max="12037" width="10" style="2937" customWidth="1"/>
    <col min="12038" max="12038" width="9.140625" style="2937"/>
    <col min="12039" max="12039" width="15.5703125" style="2937" customWidth="1"/>
    <col min="12040" max="12040" width="9.140625" style="2937"/>
    <col min="12041" max="12041" width="12.5703125" style="2937" bestFit="1" customWidth="1"/>
    <col min="12042" max="12288" width="9.140625" style="2937"/>
    <col min="12289" max="12289" width="34.28515625" style="2937" customWidth="1"/>
    <col min="12290" max="12290" width="11.28515625" style="2937" customWidth="1"/>
    <col min="12291" max="12291" width="15.5703125" style="2937" customWidth="1"/>
    <col min="12292" max="12292" width="12.42578125" style="2937" customWidth="1"/>
    <col min="12293" max="12293" width="10" style="2937" customWidth="1"/>
    <col min="12294" max="12294" width="9.140625" style="2937"/>
    <col min="12295" max="12295" width="15.5703125" style="2937" customWidth="1"/>
    <col min="12296" max="12296" width="9.140625" style="2937"/>
    <col min="12297" max="12297" width="12.5703125" style="2937" bestFit="1" customWidth="1"/>
    <col min="12298" max="12544" width="9.140625" style="2937"/>
    <col min="12545" max="12545" width="34.28515625" style="2937" customWidth="1"/>
    <col min="12546" max="12546" width="11.28515625" style="2937" customWidth="1"/>
    <col min="12547" max="12547" width="15.5703125" style="2937" customWidth="1"/>
    <col min="12548" max="12548" width="12.42578125" style="2937" customWidth="1"/>
    <col min="12549" max="12549" width="10" style="2937" customWidth="1"/>
    <col min="12550" max="12550" width="9.140625" style="2937"/>
    <col min="12551" max="12551" width="15.5703125" style="2937" customWidth="1"/>
    <col min="12552" max="12552" width="9.140625" style="2937"/>
    <col min="12553" max="12553" width="12.5703125" style="2937" bestFit="1" customWidth="1"/>
    <col min="12554" max="12800" width="9.140625" style="2937"/>
    <col min="12801" max="12801" width="34.28515625" style="2937" customWidth="1"/>
    <col min="12802" max="12802" width="11.28515625" style="2937" customWidth="1"/>
    <col min="12803" max="12803" width="15.5703125" style="2937" customWidth="1"/>
    <col min="12804" max="12804" width="12.42578125" style="2937" customWidth="1"/>
    <col min="12805" max="12805" width="10" style="2937" customWidth="1"/>
    <col min="12806" max="12806" width="9.140625" style="2937"/>
    <col min="12807" max="12807" width="15.5703125" style="2937" customWidth="1"/>
    <col min="12808" max="12808" width="9.140625" style="2937"/>
    <col min="12809" max="12809" width="12.5703125" style="2937" bestFit="1" customWidth="1"/>
    <col min="12810" max="13056" width="9.140625" style="2937"/>
    <col min="13057" max="13057" width="34.28515625" style="2937" customWidth="1"/>
    <col min="13058" max="13058" width="11.28515625" style="2937" customWidth="1"/>
    <col min="13059" max="13059" width="15.5703125" style="2937" customWidth="1"/>
    <col min="13060" max="13060" width="12.42578125" style="2937" customWidth="1"/>
    <col min="13061" max="13061" width="10" style="2937" customWidth="1"/>
    <col min="13062" max="13062" width="9.140625" style="2937"/>
    <col min="13063" max="13063" width="15.5703125" style="2937" customWidth="1"/>
    <col min="13064" max="13064" width="9.140625" style="2937"/>
    <col min="13065" max="13065" width="12.5703125" style="2937" bestFit="1" customWidth="1"/>
    <col min="13066" max="13312" width="9.140625" style="2937"/>
    <col min="13313" max="13313" width="34.28515625" style="2937" customWidth="1"/>
    <col min="13314" max="13314" width="11.28515625" style="2937" customWidth="1"/>
    <col min="13315" max="13315" width="15.5703125" style="2937" customWidth="1"/>
    <col min="13316" max="13316" width="12.42578125" style="2937" customWidth="1"/>
    <col min="13317" max="13317" width="10" style="2937" customWidth="1"/>
    <col min="13318" max="13318" width="9.140625" style="2937"/>
    <col min="13319" max="13319" width="15.5703125" style="2937" customWidth="1"/>
    <col min="13320" max="13320" width="9.140625" style="2937"/>
    <col min="13321" max="13321" width="12.5703125" style="2937" bestFit="1" customWidth="1"/>
    <col min="13322" max="13568" width="9.140625" style="2937"/>
    <col min="13569" max="13569" width="34.28515625" style="2937" customWidth="1"/>
    <col min="13570" max="13570" width="11.28515625" style="2937" customWidth="1"/>
    <col min="13571" max="13571" width="15.5703125" style="2937" customWidth="1"/>
    <col min="13572" max="13572" width="12.42578125" style="2937" customWidth="1"/>
    <col min="13573" max="13573" width="10" style="2937" customWidth="1"/>
    <col min="13574" max="13574" width="9.140625" style="2937"/>
    <col min="13575" max="13575" width="15.5703125" style="2937" customWidth="1"/>
    <col min="13576" max="13576" width="9.140625" style="2937"/>
    <col min="13577" max="13577" width="12.5703125" style="2937" bestFit="1" customWidth="1"/>
    <col min="13578" max="13824" width="9.140625" style="2937"/>
    <col min="13825" max="13825" width="34.28515625" style="2937" customWidth="1"/>
    <col min="13826" max="13826" width="11.28515625" style="2937" customWidth="1"/>
    <col min="13827" max="13827" width="15.5703125" style="2937" customWidth="1"/>
    <col min="13828" max="13828" width="12.42578125" style="2937" customWidth="1"/>
    <col min="13829" max="13829" width="10" style="2937" customWidth="1"/>
    <col min="13830" max="13830" width="9.140625" style="2937"/>
    <col min="13831" max="13831" width="15.5703125" style="2937" customWidth="1"/>
    <col min="13832" max="13832" width="9.140625" style="2937"/>
    <col min="13833" max="13833" width="12.5703125" style="2937" bestFit="1" customWidth="1"/>
    <col min="13834" max="14080" width="9.140625" style="2937"/>
    <col min="14081" max="14081" width="34.28515625" style="2937" customWidth="1"/>
    <col min="14082" max="14082" width="11.28515625" style="2937" customWidth="1"/>
    <col min="14083" max="14083" width="15.5703125" style="2937" customWidth="1"/>
    <col min="14084" max="14084" width="12.42578125" style="2937" customWidth="1"/>
    <col min="14085" max="14085" width="10" style="2937" customWidth="1"/>
    <col min="14086" max="14086" width="9.140625" style="2937"/>
    <col min="14087" max="14087" width="15.5703125" style="2937" customWidth="1"/>
    <col min="14088" max="14088" width="9.140625" style="2937"/>
    <col min="14089" max="14089" width="12.5703125" style="2937" bestFit="1" customWidth="1"/>
    <col min="14090" max="14336" width="9.140625" style="2937"/>
    <col min="14337" max="14337" width="34.28515625" style="2937" customWidth="1"/>
    <col min="14338" max="14338" width="11.28515625" style="2937" customWidth="1"/>
    <col min="14339" max="14339" width="15.5703125" style="2937" customWidth="1"/>
    <col min="14340" max="14340" width="12.42578125" style="2937" customWidth="1"/>
    <col min="14341" max="14341" width="10" style="2937" customWidth="1"/>
    <col min="14342" max="14342" width="9.140625" style="2937"/>
    <col min="14343" max="14343" width="15.5703125" style="2937" customWidth="1"/>
    <col min="14344" max="14344" width="9.140625" style="2937"/>
    <col min="14345" max="14345" width="12.5703125" style="2937" bestFit="1" customWidth="1"/>
    <col min="14346" max="14592" width="9.140625" style="2937"/>
    <col min="14593" max="14593" width="34.28515625" style="2937" customWidth="1"/>
    <col min="14594" max="14594" width="11.28515625" style="2937" customWidth="1"/>
    <col min="14595" max="14595" width="15.5703125" style="2937" customWidth="1"/>
    <col min="14596" max="14596" width="12.42578125" style="2937" customWidth="1"/>
    <col min="14597" max="14597" width="10" style="2937" customWidth="1"/>
    <col min="14598" max="14598" width="9.140625" style="2937"/>
    <col min="14599" max="14599" width="15.5703125" style="2937" customWidth="1"/>
    <col min="14600" max="14600" width="9.140625" style="2937"/>
    <col min="14601" max="14601" width="12.5703125" style="2937" bestFit="1" customWidth="1"/>
    <col min="14602" max="14848" width="9.140625" style="2937"/>
    <col min="14849" max="14849" width="34.28515625" style="2937" customWidth="1"/>
    <col min="14850" max="14850" width="11.28515625" style="2937" customWidth="1"/>
    <col min="14851" max="14851" width="15.5703125" style="2937" customWidth="1"/>
    <col min="14852" max="14852" width="12.42578125" style="2937" customWidth="1"/>
    <col min="14853" max="14853" width="10" style="2937" customWidth="1"/>
    <col min="14854" max="14854" width="9.140625" style="2937"/>
    <col min="14855" max="14855" width="15.5703125" style="2937" customWidth="1"/>
    <col min="14856" max="14856" width="9.140625" style="2937"/>
    <col min="14857" max="14857" width="12.5703125" style="2937" bestFit="1" customWidth="1"/>
    <col min="14858" max="15104" width="9.140625" style="2937"/>
    <col min="15105" max="15105" width="34.28515625" style="2937" customWidth="1"/>
    <col min="15106" max="15106" width="11.28515625" style="2937" customWidth="1"/>
    <col min="15107" max="15107" width="15.5703125" style="2937" customWidth="1"/>
    <col min="15108" max="15108" width="12.42578125" style="2937" customWidth="1"/>
    <col min="15109" max="15109" width="10" style="2937" customWidth="1"/>
    <col min="15110" max="15110" width="9.140625" style="2937"/>
    <col min="15111" max="15111" width="15.5703125" style="2937" customWidth="1"/>
    <col min="15112" max="15112" width="9.140625" style="2937"/>
    <col min="15113" max="15113" width="12.5703125" style="2937" bestFit="1" customWidth="1"/>
    <col min="15114" max="15360" width="9.140625" style="2937"/>
    <col min="15361" max="15361" width="34.28515625" style="2937" customWidth="1"/>
    <col min="15362" max="15362" width="11.28515625" style="2937" customWidth="1"/>
    <col min="15363" max="15363" width="15.5703125" style="2937" customWidth="1"/>
    <col min="15364" max="15364" width="12.42578125" style="2937" customWidth="1"/>
    <col min="15365" max="15365" width="10" style="2937" customWidth="1"/>
    <col min="15366" max="15366" width="9.140625" style="2937"/>
    <col min="15367" max="15367" width="15.5703125" style="2937" customWidth="1"/>
    <col min="15368" max="15368" width="9.140625" style="2937"/>
    <col min="15369" max="15369" width="12.5703125" style="2937" bestFit="1" customWidth="1"/>
    <col min="15370" max="15616" width="9.140625" style="2937"/>
    <col min="15617" max="15617" width="34.28515625" style="2937" customWidth="1"/>
    <col min="15618" max="15618" width="11.28515625" style="2937" customWidth="1"/>
    <col min="15619" max="15619" width="15.5703125" style="2937" customWidth="1"/>
    <col min="15620" max="15620" width="12.42578125" style="2937" customWidth="1"/>
    <col min="15621" max="15621" width="10" style="2937" customWidth="1"/>
    <col min="15622" max="15622" width="9.140625" style="2937"/>
    <col min="15623" max="15623" width="15.5703125" style="2937" customWidth="1"/>
    <col min="15624" max="15624" width="9.140625" style="2937"/>
    <col min="15625" max="15625" width="12.5703125" style="2937" bestFit="1" customWidth="1"/>
    <col min="15626" max="15872" width="9.140625" style="2937"/>
    <col min="15873" max="15873" width="34.28515625" style="2937" customWidth="1"/>
    <col min="15874" max="15874" width="11.28515625" style="2937" customWidth="1"/>
    <col min="15875" max="15875" width="15.5703125" style="2937" customWidth="1"/>
    <col min="15876" max="15876" width="12.42578125" style="2937" customWidth="1"/>
    <col min="15877" max="15877" width="10" style="2937" customWidth="1"/>
    <col min="15878" max="15878" width="9.140625" style="2937"/>
    <col min="15879" max="15879" width="15.5703125" style="2937" customWidth="1"/>
    <col min="15880" max="15880" width="9.140625" style="2937"/>
    <col min="15881" max="15881" width="12.5703125" style="2937" bestFit="1" customWidth="1"/>
    <col min="15882" max="16128" width="9.140625" style="2937"/>
    <col min="16129" max="16129" width="34.28515625" style="2937" customWidth="1"/>
    <col min="16130" max="16130" width="11.28515625" style="2937" customWidth="1"/>
    <col min="16131" max="16131" width="15.5703125" style="2937" customWidth="1"/>
    <col min="16132" max="16132" width="12.42578125" style="2937" customWidth="1"/>
    <col min="16133" max="16133" width="10" style="2937" customWidth="1"/>
    <col min="16134" max="16134" width="9.140625" style="2937"/>
    <col min="16135" max="16135" width="15.5703125" style="2937" customWidth="1"/>
    <col min="16136" max="16136" width="9.140625" style="2937"/>
    <col min="16137" max="16137" width="12.5703125" style="2937" bestFit="1" customWidth="1"/>
    <col min="16138" max="16384" width="9.140625" style="2937"/>
  </cols>
  <sheetData>
    <row r="1" spans="1:5" ht="19.5" customHeight="1">
      <c r="A1" s="2939" t="s">
        <v>3663</v>
      </c>
      <c r="C1" s="2940"/>
    </row>
    <row r="2" spans="1:5" ht="16.5">
      <c r="A2" s="2941" t="s">
        <v>156</v>
      </c>
      <c r="C2" s="2942">
        <v>1463.45</v>
      </c>
    </row>
    <row r="3" spans="1:5" ht="16.5">
      <c r="A3" s="2941" t="s">
        <v>157</v>
      </c>
      <c r="C3" s="2942">
        <v>1463.45</v>
      </c>
    </row>
    <row r="4" spans="1:5" ht="16.5">
      <c r="A4" s="2941" t="s">
        <v>158</v>
      </c>
      <c r="C4" s="2942">
        <v>1029.58</v>
      </c>
    </row>
    <row r="5" spans="1:5" ht="16.5">
      <c r="A5" s="2941" t="s">
        <v>1404</v>
      </c>
      <c r="C5" s="2942">
        <v>487.82</v>
      </c>
    </row>
    <row r="6" spans="1:5" ht="16.5">
      <c r="A6" s="2943" t="s">
        <v>389</v>
      </c>
      <c r="C6" s="2944"/>
    </row>
    <row r="7" spans="1:5">
      <c r="C7" s="2945"/>
    </row>
    <row r="8" spans="1:5" ht="16.5">
      <c r="A8" s="2939" t="s">
        <v>3663</v>
      </c>
    </row>
    <row r="9" spans="1:5" ht="16.5">
      <c r="A9" s="2946" t="s">
        <v>3664</v>
      </c>
      <c r="C9" s="3229">
        <v>1.0237099999999999</v>
      </c>
    </row>
    <row r="10" spans="1:5">
      <c r="A10" s="2938"/>
      <c r="B10" s="2938"/>
      <c r="C10" s="2938"/>
    </row>
    <row r="11" spans="1:5" ht="33">
      <c r="A11" s="2947" t="s">
        <v>3665</v>
      </c>
      <c r="C11" s="2942">
        <v>1</v>
      </c>
    </row>
    <row r="14" spans="1:5" ht="16.5">
      <c r="A14" s="2939" t="s">
        <v>3666</v>
      </c>
      <c r="B14" s="2948" t="s">
        <v>9</v>
      </c>
      <c r="C14" s="2948" t="s">
        <v>513</v>
      </c>
      <c r="D14" s="2948" t="s">
        <v>279</v>
      </c>
      <c r="E14" s="2948" t="s">
        <v>12</v>
      </c>
    </row>
    <row r="15" spans="1:5" ht="16.5">
      <c r="A15" s="2941" t="s">
        <v>812</v>
      </c>
      <c r="B15" s="3230">
        <v>2491.9499999999998</v>
      </c>
      <c r="C15" s="3230">
        <v>4069.7</v>
      </c>
      <c r="D15" s="3230">
        <v>4360.62</v>
      </c>
      <c r="E15" s="3230">
        <v>4600.3</v>
      </c>
    </row>
    <row r="16" spans="1:5" ht="16.5">
      <c r="A16" s="2941" t="s">
        <v>3667</v>
      </c>
      <c r="B16" s="2949"/>
      <c r="C16" s="2949"/>
      <c r="D16" s="2949"/>
      <c r="E16" s="2949"/>
    </row>
    <row r="17" spans="1:5" ht="82.5">
      <c r="A17" s="2950" t="s">
        <v>3668</v>
      </c>
      <c r="B17" s="3232">
        <v>1738.1436799999999</v>
      </c>
      <c r="C17" s="3232">
        <v>2397.80962</v>
      </c>
      <c r="D17" s="3232">
        <v>2799.14266</v>
      </c>
      <c r="E17" s="3232">
        <v>1025.7991099999999</v>
      </c>
    </row>
    <row r="18" spans="1:5" ht="115.5">
      <c r="A18" s="2950" t="s">
        <v>3669</v>
      </c>
      <c r="B18" s="3233">
        <v>0.11928</v>
      </c>
      <c r="C18" s="3233">
        <v>0.26486999999999999</v>
      </c>
      <c r="D18" s="3233">
        <v>0.33305000000000001</v>
      </c>
      <c r="E18" s="3233">
        <v>0.70567000000000002</v>
      </c>
    </row>
    <row r="20" spans="1:5" ht="16.5">
      <c r="A20" s="2941" t="s">
        <v>3671</v>
      </c>
      <c r="B20" s="3231">
        <v>1044.56</v>
      </c>
      <c r="C20" s="3231">
        <v>1044.56</v>
      </c>
      <c r="D20" s="3231">
        <v>1044.56</v>
      </c>
      <c r="E20" s="3231">
        <v>1044.56</v>
      </c>
    </row>
    <row r="21" spans="1:5" ht="16.5">
      <c r="A21" s="2941" t="s">
        <v>3670</v>
      </c>
      <c r="B21" s="3231">
        <v>91.34</v>
      </c>
      <c r="C21" s="3231">
        <v>91.34</v>
      </c>
      <c r="D21" s="3231">
        <v>91.34</v>
      </c>
      <c r="E21" s="3231">
        <v>91.34</v>
      </c>
    </row>
    <row r="24" spans="1:5" ht="16.5">
      <c r="A24" s="2941" t="s">
        <v>3671</v>
      </c>
      <c r="B24" s="3231">
        <v>2850</v>
      </c>
      <c r="C24" s="3231">
        <v>2850</v>
      </c>
      <c r="D24" s="3231">
        <v>2850</v>
      </c>
      <c r="E24" s="3231">
        <v>2850</v>
      </c>
    </row>
    <row r="25" spans="1:5" ht="16.5">
      <c r="A25" s="2941" t="s">
        <v>3670</v>
      </c>
      <c r="B25" s="3231">
        <v>2850</v>
      </c>
      <c r="C25" s="3231">
        <v>2850</v>
      </c>
      <c r="D25" s="3231">
        <v>2850</v>
      </c>
      <c r="E25" s="3231">
        <v>2850</v>
      </c>
    </row>
    <row r="28" spans="1:5" ht="16.5">
      <c r="A28" s="2941" t="s">
        <v>3671</v>
      </c>
      <c r="B28" s="3231">
        <v>5550</v>
      </c>
      <c r="C28" s="3231">
        <v>5550</v>
      </c>
      <c r="D28" s="3231">
        <v>5550</v>
      </c>
      <c r="E28" s="3231">
        <v>5550</v>
      </c>
    </row>
    <row r="29" spans="1:5" ht="16.5">
      <c r="A29" s="2941" t="s">
        <v>3670</v>
      </c>
      <c r="B29" s="3231">
        <v>5550</v>
      </c>
      <c r="C29" s="3231">
        <v>5550</v>
      </c>
      <c r="D29" s="3231">
        <v>5550</v>
      </c>
      <c r="E29" s="3231">
        <v>5550</v>
      </c>
    </row>
  </sheetData>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247"/>
  <sheetViews>
    <sheetView workbookViewId="0">
      <selection activeCell="W16" sqref="W16"/>
    </sheetView>
  </sheetViews>
  <sheetFormatPr defaultRowHeight="12.75"/>
  <cols>
    <col min="1" max="1" width="5.7109375" customWidth="1"/>
    <col min="2" max="2" width="61.7109375" customWidth="1"/>
    <col min="3" max="8" width="14" hidden="1" customWidth="1"/>
    <col min="9" max="9" width="17.7109375" customWidth="1"/>
    <col min="10" max="10" width="14.42578125" customWidth="1"/>
    <col min="11" max="17" width="14" hidden="1" customWidth="1"/>
    <col min="18" max="18" width="11.42578125" hidden="1" customWidth="1"/>
    <col min="19" max="20" width="0" hidden="1" customWidth="1"/>
  </cols>
  <sheetData>
    <row r="2" spans="2:19" ht="15.75">
      <c r="B2" s="4652" t="s">
        <v>3677</v>
      </c>
      <c r="C2" s="4652" t="s">
        <v>3677</v>
      </c>
      <c r="D2" s="4652" t="s">
        <v>3677</v>
      </c>
      <c r="E2" s="4652" t="s">
        <v>3677</v>
      </c>
      <c r="F2" s="4652" t="s">
        <v>3677</v>
      </c>
      <c r="G2" s="4652" t="s">
        <v>3677</v>
      </c>
      <c r="H2" s="4652" t="s">
        <v>3677</v>
      </c>
      <c r="I2" s="4652"/>
      <c r="J2" s="2956"/>
      <c r="K2" s="2956"/>
      <c r="L2" s="2956"/>
      <c r="M2" s="2956"/>
      <c r="N2" s="2956"/>
      <c r="O2" s="2956"/>
      <c r="P2" s="2956"/>
      <c r="Q2" s="2956"/>
      <c r="R2" s="2956"/>
      <c r="S2" s="2956"/>
    </row>
    <row r="4" spans="2:19" ht="15.75">
      <c r="B4" s="4652" t="s">
        <v>698</v>
      </c>
      <c r="C4" s="4652" t="s">
        <v>3678</v>
      </c>
      <c r="D4" s="4652" t="s">
        <v>3678</v>
      </c>
      <c r="E4" s="4652" t="s">
        <v>3678</v>
      </c>
      <c r="F4" s="4652" t="s">
        <v>3678</v>
      </c>
      <c r="G4" s="4652" t="s">
        <v>3678</v>
      </c>
      <c r="H4" s="4652" t="s">
        <v>3678</v>
      </c>
      <c r="I4" s="4652"/>
      <c r="J4" s="2956"/>
      <c r="K4" s="2956"/>
      <c r="L4" s="2956"/>
      <c r="M4" s="2956"/>
      <c r="N4" s="2956"/>
      <c r="O4" s="2956"/>
      <c r="P4" s="2956"/>
      <c r="Q4" s="2956"/>
      <c r="R4" s="2956"/>
      <c r="S4" s="2956"/>
    </row>
    <row r="6" spans="2:19" ht="15.75">
      <c r="B6" s="4652" t="s">
        <v>3750</v>
      </c>
      <c r="C6" s="4652" t="s">
        <v>3679</v>
      </c>
      <c r="D6" s="4652" t="s">
        <v>3679</v>
      </c>
      <c r="E6" s="4652" t="s">
        <v>3679</v>
      </c>
      <c r="F6" s="4652" t="s">
        <v>3679</v>
      </c>
      <c r="G6" s="4652" t="s">
        <v>3679</v>
      </c>
      <c r="H6" s="4652" t="s">
        <v>3679</v>
      </c>
      <c r="I6" s="4652"/>
      <c r="J6" s="2956"/>
      <c r="K6" s="2956"/>
      <c r="L6" s="2956"/>
      <c r="M6" s="2956"/>
      <c r="N6" s="2956"/>
      <c r="O6" s="2956"/>
      <c r="P6" s="2956"/>
      <c r="Q6" s="2956"/>
      <c r="R6" s="2956"/>
      <c r="S6" s="2956"/>
    </row>
    <row r="8" spans="2:19" ht="18.75">
      <c r="B8" s="4653" t="s">
        <v>1541</v>
      </c>
      <c r="C8" s="4653" t="s">
        <v>1541</v>
      </c>
      <c r="D8" s="4653" t="s">
        <v>1541</v>
      </c>
      <c r="E8" s="4653" t="s">
        <v>1541</v>
      </c>
      <c r="F8" s="4653" t="s">
        <v>1541</v>
      </c>
      <c r="G8" s="4653" t="s">
        <v>1541</v>
      </c>
      <c r="H8" s="4653" t="s">
        <v>1541</v>
      </c>
      <c r="I8" s="4653"/>
      <c r="J8" s="4653" t="s">
        <v>1541</v>
      </c>
      <c r="K8" s="4653" t="s">
        <v>1541</v>
      </c>
      <c r="L8" s="4653" t="s">
        <v>1541</v>
      </c>
      <c r="M8" s="4653" t="s">
        <v>1541</v>
      </c>
      <c r="N8" s="4653" t="s">
        <v>1541</v>
      </c>
      <c r="O8" s="4653" t="s">
        <v>1541</v>
      </c>
      <c r="P8" s="4653" t="s">
        <v>1541</v>
      </c>
      <c r="Q8" s="4653" t="s">
        <v>1541</v>
      </c>
      <c r="R8" s="2956"/>
      <c r="S8" s="2956"/>
    </row>
    <row r="9" spans="2:19" ht="15">
      <c r="B9" s="4654"/>
      <c r="C9" s="4654" t="s">
        <v>3680</v>
      </c>
      <c r="D9" s="4654" t="s">
        <v>3681</v>
      </c>
      <c r="E9" s="4654"/>
      <c r="F9" s="4654"/>
      <c r="G9" s="4654"/>
      <c r="H9" s="4654"/>
      <c r="I9" s="2957"/>
      <c r="J9" s="4654"/>
      <c r="K9" s="4654"/>
      <c r="L9" s="4654"/>
      <c r="M9" s="4654" t="s">
        <v>3681</v>
      </c>
      <c r="N9" s="4654"/>
      <c r="O9" s="4654"/>
      <c r="P9" s="4655"/>
      <c r="Q9" s="4655"/>
      <c r="R9" s="2956"/>
      <c r="S9" s="2956"/>
    </row>
    <row r="10" spans="2:19" ht="105">
      <c r="B10" s="4655"/>
      <c r="C10" s="4655"/>
      <c r="D10" s="2958" t="s">
        <v>3682</v>
      </c>
      <c r="E10" s="2958" t="s">
        <v>3683</v>
      </c>
      <c r="F10" s="2958" t="s">
        <v>3684</v>
      </c>
      <c r="G10" s="2958" t="s">
        <v>3685</v>
      </c>
      <c r="H10" s="2958" t="s">
        <v>1498</v>
      </c>
      <c r="I10" s="2958"/>
      <c r="J10" s="2958" t="s">
        <v>3686</v>
      </c>
      <c r="K10" s="2958" t="s">
        <v>3685</v>
      </c>
      <c r="L10" s="2958" t="s">
        <v>1498</v>
      </c>
      <c r="M10" s="2958" t="s">
        <v>3682</v>
      </c>
      <c r="N10" s="2958" t="s">
        <v>3683</v>
      </c>
      <c r="O10" s="2958" t="s">
        <v>3684</v>
      </c>
      <c r="P10" s="2958" t="s">
        <v>3685</v>
      </c>
      <c r="Q10" s="2958" t="s">
        <v>1498</v>
      </c>
      <c r="R10" s="2956"/>
      <c r="S10" s="2956"/>
    </row>
    <row r="11" spans="2:19" ht="15">
      <c r="B11" s="2959" t="s">
        <v>1468</v>
      </c>
      <c r="C11" s="2960">
        <v>748148</v>
      </c>
      <c r="D11" s="2960">
        <v>0</v>
      </c>
      <c r="E11" s="2960">
        <v>0</v>
      </c>
      <c r="F11" s="2960">
        <v>0</v>
      </c>
      <c r="G11" s="2960">
        <v>0</v>
      </c>
      <c r="H11" s="2960">
        <v>0</v>
      </c>
      <c r="I11" s="2960"/>
      <c r="J11" s="2961">
        <f>J12</f>
        <v>55391.792000000001</v>
      </c>
      <c r="K11" s="2960">
        <v>-3.47</v>
      </c>
      <c r="L11" s="2960">
        <v>-2.68</v>
      </c>
      <c r="M11" s="2962">
        <v>78902</v>
      </c>
      <c r="N11" s="2962">
        <v>79551</v>
      </c>
      <c r="O11" s="2962">
        <v>76787</v>
      </c>
      <c r="P11" s="2962">
        <v>-3.47</v>
      </c>
      <c r="Q11" s="2963">
        <v>-2.68</v>
      </c>
      <c r="R11" s="2956"/>
      <c r="S11" s="2956"/>
    </row>
    <row r="12" spans="2:19" ht="15">
      <c r="B12" s="2964" t="s">
        <v>3687</v>
      </c>
      <c r="C12" s="2960">
        <v>748148</v>
      </c>
      <c r="D12" s="2960">
        <v>0</v>
      </c>
      <c r="E12" s="2960">
        <v>0</v>
      </c>
      <c r="F12" s="2960">
        <v>0</v>
      </c>
      <c r="G12" s="2960">
        <v>0</v>
      </c>
      <c r="H12" s="2960">
        <v>0</v>
      </c>
      <c r="I12" s="2960"/>
      <c r="J12" s="2961">
        <f>J13+J16+J26+J27+J28</f>
        <v>55391.792000000001</v>
      </c>
      <c r="K12" s="2960">
        <v>-3.47</v>
      </c>
      <c r="L12" s="2960">
        <v>-2.68</v>
      </c>
      <c r="M12" s="2962">
        <v>78902</v>
      </c>
      <c r="N12" s="2962">
        <v>79551</v>
      </c>
      <c r="O12" s="2962">
        <v>76787</v>
      </c>
      <c r="P12" s="2962">
        <v>-3.47</v>
      </c>
      <c r="Q12" s="2963">
        <v>-2.68</v>
      </c>
      <c r="R12" s="2956"/>
      <c r="S12" s="2965"/>
    </row>
    <row r="13" spans="2:19" ht="15">
      <c r="B13" s="2966" t="s">
        <v>3688</v>
      </c>
      <c r="C13" s="2962">
        <v>99592</v>
      </c>
      <c r="D13" s="2962">
        <v>0</v>
      </c>
      <c r="E13" s="2962">
        <v>0</v>
      </c>
      <c r="F13" s="2962">
        <v>0</v>
      </c>
      <c r="G13" s="2962">
        <v>0</v>
      </c>
      <c r="H13" s="2962">
        <v>0</v>
      </c>
      <c r="I13" s="2962"/>
      <c r="J13" s="2967">
        <f>J14+J15</f>
        <v>6554.9870000000001</v>
      </c>
      <c r="K13" s="2962">
        <v>5.1100000000000003</v>
      </c>
      <c r="L13" s="2962">
        <v>26.67</v>
      </c>
      <c r="M13" s="2962">
        <v>9135</v>
      </c>
      <c r="N13" s="2962">
        <v>11008</v>
      </c>
      <c r="O13" s="2962">
        <v>11571</v>
      </c>
      <c r="P13" s="2962">
        <v>5.1100000000000003</v>
      </c>
      <c r="Q13" s="2963">
        <v>26.67</v>
      </c>
      <c r="R13" s="2956"/>
      <c r="S13" s="2956"/>
    </row>
    <row r="14" spans="2:19" ht="15">
      <c r="B14" s="2968" t="s">
        <v>3775</v>
      </c>
      <c r="C14" s="2969">
        <v>78444</v>
      </c>
      <c r="D14" s="2969">
        <v>0</v>
      </c>
      <c r="E14" s="2969">
        <v>0</v>
      </c>
      <c r="F14" s="2969">
        <v>0</v>
      </c>
      <c r="G14" s="2969">
        <v>0</v>
      </c>
      <c r="H14" s="2969">
        <v>0</v>
      </c>
      <c r="I14" s="2969"/>
      <c r="J14" s="2970">
        <f>'Форма 1'!AS15</f>
        <v>6494.2079999999996</v>
      </c>
      <c r="K14" s="2969">
        <v>2.58</v>
      </c>
      <c r="L14" s="2969">
        <v>2.56</v>
      </c>
      <c r="M14" s="2969">
        <v>9135</v>
      </c>
      <c r="N14" s="2969">
        <v>9133</v>
      </c>
      <c r="O14" s="2969">
        <v>9369</v>
      </c>
      <c r="P14" s="2969">
        <v>2.58</v>
      </c>
      <c r="Q14" s="2971">
        <v>2.56</v>
      </c>
      <c r="R14" s="2956"/>
      <c r="S14" s="2956"/>
    </row>
    <row r="15" spans="2:19" ht="15">
      <c r="B15" s="2968" t="s">
        <v>3776</v>
      </c>
      <c r="C15" s="2969">
        <v>21148</v>
      </c>
      <c r="D15" s="2969">
        <v>0</v>
      </c>
      <c r="E15" s="2969">
        <v>0</v>
      </c>
      <c r="F15" s="2969">
        <v>0</v>
      </c>
      <c r="G15" s="2969">
        <v>0</v>
      </c>
      <c r="H15" s="2969">
        <v>0</v>
      </c>
      <c r="I15" s="2969"/>
      <c r="J15" s="2970">
        <f>'Форма 1'!AS16</f>
        <v>60.779000000000003</v>
      </c>
      <c r="K15" s="2969">
        <v>17.440000000000001</v>
      </c>
      <c r="L15" s="2969">
        <v>0</v>
      </c>
      <c r="M15" s="2969">
        <v>0</v>
      </c>
      <c r="N15" s="2969">
        <v>1875</v>
      </c>
      <c r="O15" s="2969">
        <v>2202</v>
      </c>
      <c r="P15" s="2969">
        <v>17.440000000000001</v>
      </c>
      <c r="Q15" s="2971">
        <v>0</v>
      </c>
      <c r="R15" s="2956"/>
      <c r="S15" s="2956"/>
    </row>
    <row r="16" spans="2:19" ht="15">
      <c r="B16" s="2964" t="s">
        <v>3689</v>
      </c>
      <c r="C16" s="2960">
        <v>55338</v>
      </c>
      <c r="D16" s="2960">
        <v>0</v>
      </c>
      <c r="E16" s="2960">
        <v>0</v>
      </c>
      <c r="F16" s="2960">
        <v>0</v>
      </c>
      <c r="G16" s="2960">
        <v>0</v>
      </c>
      <c r="H16" s="2960">
        <v>0</v>
      </c>
      <c r="I16" s="2960"/>
      <c r="J16" s="2961">
        <f>J17+J20+J23</f>
        <v>4162.308</v>
      </c>
      <c r="K16" s="2960">
        <v>-4.51</v>
      </c>
      <c r="L16" s="2960">
        <v>4.22</v>
      </c>
      <c r="M16" s="2962">
        <v>5734</v>
      </c>
      <c r="N16" s="2962">
        <v>6258</v>
      </c>
      <c r="O16" s="2962">
        <v>5976</v>
      </c>
      <c r="P16" s="2962">
        <v>-4.51</v>
      </c>
      <c r="Q16" s="2963">
        <v>4.22</v>
      </c>
      <c r="R16" s="2956"/>
      <c r="S16" s="2972"/>
    </row>
    <row r="17" spans="2:17" ht="15">
      <c r="B17" s="2973" t="s">
        <v>3690</v>
      </c>
      <c r="C17" s="2974">
        <v>7405</v>
      </c>
      <c r="D17" s="2974">
        <v>0</v>
      </c>
      <c r="E17" s="2974">
        <v>0</v>
      </c>
      <c r="F17" s="2974">
        <v>0</v>
      </c>
      <c r="G17" s="2974">
        <v>0</v>
      </c>
      <c r="H17" s="2974">
        <v>0</v>
      </c>
      <c r="I17" s="2974"/>
      <c r="J17" s="2975">
        <f>'Форма 1'!AS21</f>
        <v>448.01</v>
      </c>
      <c r="K17" s="2969">
        <v>-1.23</v>
      </c>
      <c r="L17" s="2969">
        <v>7.77</v>
      </c>
      <c r="M17" s="2969">
        <v>669</v>
      </c>
      <c r="N17" s="2969">
        <v>730</v>
      </c>
      <c r="O17" s="2969">
        <v>721</v>
      </c>
      <c r="P17" s="2969">
        <v>-1.23</v>
      </c>
      <c r="Q17" s="2971">
        <v>7.77</v>
      </c>
    </row>
    <row r="18" spans="2:17" ht="15">
      <c r="B18" s="2968" t="s">
        <v>3691</v>
      </c>
      <c r="C18" s="2969">
        <v>613</v>
      </c>
      <c r="D18" s="2969">
        <v>0</v>
      </c>
      <c r="E18" s="2969">
        <v>0</v>
      </c>
      <c r="F18" s="2969">
        <v>0</v>
      </c>
      <c r="G18" s="2969">
        <v>0</v>
      </c>
      <c r="H18" s="2969">
        <v>0</v>
      </c>
      <c r="I18" s="2969"/>
      <c r="J18" s="2970">
        <f>'Форма 1'!AS22</f>
        <v>121.251</v>
      </c>
      <c r="K18" s="2969">
        <v>12.5</v>
      </c>
      <c r="L18" s="2969">
        <v>12.5</v>
      </c>
      <c r="M18" s="2969">
        <v>56</v>
      </c>
      <c r="N18" s="2969">
        <v>56</v>
      </c>
      <c r="O18" s="2969">
        <v>63</v>
      </c>
      <c r="P18" s="2969">
        <v>12.5</v>
      </c>
      <c r="Q18" s="2971">
        <v>12.5</v>
      </c>
    </row>
    <row r="19" spans="2:17" ht="15">
      <c r="B19" s="2968" t="s">
        <v>3692</v>
      </c>
      <c r="C19" s="2969">
        <v>250</v>
      </c>
      <c r="D19" s="2969">
        <v>0</v>
      </c>
      <c r="E19" s="2969">
        <v>0</v>
      </c>
      <c r="F19" s="2969">
        <v>0</v>
      </c>
      <c r="G19" s="2969">
        <v>0</v>
      </c>
      <c r="H19" s="2969">
        <v>0</v>
      </c>
      <c r="I19" s="2969"/>
      <c r="J19" s="2970">
        <f>'Форма 1'!AS23</f>
        <v>15.093</v>
      </c>
      <c r="K19" s="2969">
        <v>3.85</v>
      </c>
      <c r="L19" s="2969">
        <v>3.85</v>
      </c>
      <c r="M19" s="2969">
        <v>26</v>
      </c>
      <c r="N19" s="2969">
        <v>26</v>
      </c>
      <c r="O19" s="2969">
        <v>27</v>
      </c>
      <c r="P19" s="2969">
        <v>3.85</v>
      </c>
      <c r="Q19" s="2971">
        <v>3.85</v>
      </c>
    </row>
    <row r="20" spans="2:17" ht="15">
      <c r="B20" s="2973" t="s">
        <v>3693</v>
      </c>
      <c r="C20" s="2974">
        <v>12027</v>
      </c>
      <c r="D20" s="2974">
        <v>0</v>
      </c>
      <c r="E20" s="2974">
        <v>0</v>
      </c>
      <c r="F20" s="2974">
        <v>0</v>
      </c>
      <c r="G20" s="2974">
        <v>0</v>
      </c>
      <c r="H20" s="2974">
        <v>0</v>
      </c>
      <c r="I20" s="2974"/>
      <c r="J20" s="2975">
        <f>'Форма 1'!AS24</f>
        <v>1734.0229999999999</v>
      </c>
      <c r="K20" s="2969">
        <v>-1.84</v>
      </c>
      <c r="L20" s="2969">
        <v>7.14</v>
      </c>
      <c r="M20" s="2969">
        <v>1148</v>
      </c>
      <c r="N20" s="2969">
        <v>1253</v>
      </c>
      <c r="O20" s="2969">
        <v>1230</v>
      </c>
      <c r="P20" s="2969">
        <v>-1.84</v>
      </c>
      <c r="Q20" s="2971">
        <v>7.14</v>
      </c>
    </row>
    <row r="21" spans="2:17" ht="15">
      <c r="B21" s="2968" t="s">
        <v>3691</v>
      </c>
      <c r="C21" s="2969">
        <v>3101</v>
      </c>
      <c r="D21" s="2969">
        <v>0</v>
      </c>
      <c r="E21" s="2969">
        <v>0</v>
      </c>
      <c r="F21" s="2969">
        <v>0</v>
      </c>
      <c r="G21" s="2969">
        <v>0</v>
      </c>
      <c r="H21" s="2969">
        <v>0</v>
      </c>
      <c r="I21" s="2969"/>
      <c r="J21" s="2970">
        <f>'Форма 1'!AS25</f>
        <v>155.845</v>
      </c>
      <c r="K21" s="2969">
        <v>21</v>
      </c>
      <c r="L21" s="2969">
        <v>21</v>
      </c>
      <c r="M21" s="2969">
        <v>281</v>
      </c>
      <c r="N21" s="2969">
        <v>281</v>
      </c>
      <c r="O21" s="2969">
        <v>340</v>
      </c>
      <c r="P21" s="2969">
        <v>21</v>
      </c>
      <c r="Q21" s="2971">
        <v>21</v>
      </c>
    </row>
    <row r="22" spans="2:17" ht="15">
      <c r="B22" s="2968" t="s">
        <v>3692</v>
      </c>
      <c r="C22" s="2969">
        <v>6975</v>
      </c>
      <c r="D22" s="2969">
        <v>0</v>
      </c>
      <c r="E22" s="2969">
        <v>0</v>
      </c>
      <c r="F22" s="2969">
        <v>0</v>
      </c>
      <c r="G22" s="2969">
        <v>0</v>
      </c>
      <c r="H22" s="2969">
        <v>0</v>
      </c>
      <c r="I22" s="2969"/>
      <c r="J22" s="2970">
        <f>'Форма 1'!AS26</f>
        <v>1443.0070000000001</v>
      </c>
      <c r="K22" s="2969">
        <v>-0.15</v>
      </c>
      <c r="L22" s="2969">
        <v>-0.15</v>
      </c>
      <c r="M22" s="2969">
        <v>686</v>
      </c>
      <c r="N22" s="2969">
        <v>686</v>
      </c>
      <c r="O22" s="2969">
        <v>685</v>
      </c>
      <c r="P22" s="2969">
        <v>-0.15</v>
      </c>
      <c r="Q22" s="2971">
        <v>-0.15</v>
      </c>
    </row>
    <row r="23" spans="2:17" ht="15">
      <c r="B23" s="2973" t="s">
        <v>3694</v>
      </c>
      <c r="C23" s="2974">
        <v>35906</v>
      </c>
      <c r="D23" s="2974">
        <v>0</v>
      </c>
      <c r="E23" s="2974">
        <v>0</v>
      </c>
      <c r="F23" s="2974">
        <v>0</v>
      </c>
      <c r="G23" s="2974">
        <v>0</v>
      </c>
      <c r="H23" s="2974">
        <v>0</v>
      </c>
      <c r="I23" s="2974"/>
      <c r="J23" s="2975">
        <f>'Форма 1'!AS27</f>
        <v>1980.2750000000001</v>
      </c>
      <c r="K23" s="2969">
        <v>-5.85</v>
      </c>
      <c r="L23" s="2969">
        <v>2.76</v>
      </c>
      <c r="M23" s="2969">
        <v>3917</v>
      </c>
      <c r="N23" s="2969">
        <v>4275</v>
      </c>
      <c r="O23" s="2969">
        <v>4025</v>
      </c>
      <c r="P23" s="2969">
        <v>-5.85</v>
      </c>
      <c r="Q23" s="2971">
        <v>2.76</v>
      </c>
    </row>
    <row r="24" spans="2:17" ht="15">
      <c r="B24" s="2968" t="s">
        <v>3691</v>
      </c>
      <c r="C24" s="2969">
        <v>20996</v>
      </c>
      <c r="D24" s="2969">
        <v>0</v>
      </c>
      <c r="E24" s="2969">
        <v>0</v>
      </c>
      <c r="F24" s="2969">
        <v>0</v>
      </c>
      <c r="G24" s="2969">
        <v>0</v>
      </c>
      <c r="H24" s="2969">
        <v>0</v>
      </c>
      <c r="I24" s="2969"/>
      <c r="J24" s="2970">
        <f>'Форма 1'!AS28</f>
        <v>1570.9670000000001</v>
      </c>
      <c r="K24" s="2969">
        <v>-2.09</v>
      </c>
      <c r="L24" s="2969">
        <v>-2.09</v>
      </c>
      <c r="M24" s="2969">
        <v>2054</v>
      </c>
      <c r="N24" s="2969">
        <v>2054</v>
      </c>
      <c r="O24" s="2969">
        <v>2011</v>
      </c>
      <c r="P24" s="2969">
        <v>-2.09</v>
      </c>
      <c r="Q24" s="2971">
        <v>-2.09</v>
      </c>
    </row>
    <row r="25" spans="2:17" ht="15">
      <c r="B25" s="2968" t="s">
        <v>3692</v>
      </c>
      <c r="C25" s="2969">
        <v>5264</v>
      </c>
      <c r="D25" s="2969">
        <v>0</v>
      </c>
      <c r="E25" s="2969">
        <v>0</v>
      </c>
      <c r="F25" s="2969">
        <v>0</v>
      </c>
      <c r="G25" s="2969">
        <v>0</v>
      </c>
      <c r="H25" s="2969">
        <v>0</v>
      </c>
      <c r="I25" s="2969"/>
      <c r="J25" s="2970">
        <f>'Форма 1'!AS29</f>
        <v>0</v>
      </c>
      <c r="K25" s="2969">
        <v>12.13</v>
      </c>
      <c r="L25" s="2969">
        <v>12.13</v>
      </c>
      <c r="M25" s="2969">
        <v>544</v>
      </c>
      <c r="N25" s="2969">
        <v>544</v>
      </c>
      <c r="O25" s="2969">
        <v>610</v>
      </c>
      <c r="P25" s="2969">
        <v>12.13</v>
      </c>
      <c r="Q25" s="2971">
        <v>12.13</v>
      </c>
    </row>
    <row r="26" spans="2:17" ht="15">
      <c r="B26" s="2973" t="s">
        <v>3695</v>
      </c>
      <c r="C26" s="2974">
        <v>277634</v>
      </c>
      <c r="D26" s="2974">
        <v>0</v>
      </c>
      <c r="E26" s="2974">
        <v>0</v>
      </c>
      <c r="F26" s="2974">
        <v>0</v>
      </c>
      <c r="G26" s="2974">
        <v>0</v>
      </c>
      <c r="H26" s="2974">
        <v>0</v>
      </c>
      <c r="I26" s="2974"/>
      <c r="J26" s="2975">
        <f>'Форма 1'!AS33</f>
        <v>19721.404999999999</v>
      </c>
      <c r="K26" s="2974">
        <v>-2.0699999999999998</v>
      </c>
      <c r="L26" s="2974">
        <v>-8.8800000000000008</v>
      </c>
      <c r="M26" s="2969">
        <v>29771</v>
      </c>
      <c r="N26" s="2969">
        <v>27699</v>
      </c>
      <c r="O26" s="2969">
        <v>27126</v>
      </c>
      <c r="P26" s="2969">
        <v>-2.0699999999999998</v>
      </c>
      <c r="Q26" s="2971">
        <v>-8.8800000000000008</v>
      </c>
    </row>
    <row r="27" spans="2:17" ht="15">
      <c r="B27" s="2973" t="s">
        <v>3696</v>
      </c>
      <c r="C27" s="2974">
        <v>1748</v>
      </c>
      <c r="D27" s="2974">
        <v>0</v>
      </c>
      <c r="E27" s="2974">
        <v>0</v>
      </c>
      <c r="F27" s="2974">
        <v>0</v>
      </c>
      <c r="G27" s="2974">
        <v>0</v>
      </c>
      <c r="H27" s="2974">
        <v>0</v>
      </c>
      <c r="I27" s="2974"/>
      <c r="J27" s="2975">
        <f>'Форма 1'!AS34</f>
        <v>122.85299999999999</v>
      </c>
      <c r="K27" s="2974">
        <v>33.08</v>
      </c>
      <c r="L27" s="2974">
        <v>33.08</v>
      </c>
      <c r="M27" s="2969">
        <v>130</v>
      </c>
      <c r="N27" s="2969">
        <v>130</v>
      </c>
      <c r="O27" s="2969">
        <v>173</v>
      </c>
      <c r="P27" s="2969">
        <v>33.08</v>
      </c>
      <c r="Q27" s="2971">
        <v>33.08</v>
      </c>
    </row>
    <row r="28" spans="2:17" ht="15">
      <c r="B28" s="2973" t="s">
        <v>3697</v>
      </c>
      <c r="C28" s="2974">
        <v>313836</v>
      </c>
      <c r="D28" s="2974">
        <v>0</v>
      </c>
      <c r="E28" s="2974">
        <v>0</v>
      </c>
      <c r="F28" s="2974">
        <v>0</v>
      </c>
      <c r="G28" s="2974">
        <v>0</v>
      </c>
      <c r="H28" s="2974">
        <v>0</v>
      </c>
      <c r="I28" s="2974"/>
      <c r="J28" s="2975">
        <f>'Форма 1'!AS35</f>
        <v>24830.239000000001</v>
      </c>
      <c r="K28" s="2974">
        <v>-7.3</v>
      </c>
      <c r="L28" s="2974">
        <v>-6.42</v>
      </c>
      <c r="M28" s="2969">
        <v>34132</v>
      </c>
      <c r="N28" s="2969">
        <v>34456</v>
      </c>
      <c r="O28" s="2969">
        <v>31941</v>
      </c>
      <c r="P28" s="2969">
        <v>-7.3</v>
      </c>
      <c r="Q28" s="2971">
        <v>-6.42</v>
      </c>
    </row>
    <row r="29" spans="2:17" ht="15">
      <c r="B29" s="2976" t="s">
        <v>1470</v>
      </c>
      <c r="C29" s="2977">
        <v>814011</v>
      </c>
      <c r="D29" s="2977">
        <v>0</v>
      </c>
      <c r="E29" s="2977">
        <v>0</v>
      </c>
      <c r="F29" s="2977">
        <v>0</v>
      </c>
      <c r="G29" s="2977">
        <v>0</v>
      </c>
      <c r="H29" s="2977">
        <v>0</v>
      </c>
      <c r="I29" s="2977"/>
      <c r="J29" s="2978">
        <f>'Форма 1'!AS38</f>
        <v>57180.12</v>
      </c>
      <c r="K29" s="2977">
        <v>-2.4</v>
      </c>
      <c r="L29" s="2977">
        <v>-2.21</v>
      </c>
      <c r="M29" s="2969">
        <v>86504</v>
      </c>
      <c r="N29" s="2969">
        <v>86673</v>
      </c>
      <c r="O29" s="2969">
        <v>84591</v>
      </c>
      <c r="P29" s="2969">
        <v>-2.4</v>
      </c>
      <c r="Q29" s="2971">
        <v>-2.21</v>
      </c>
    </row>
    <row r="30" spans="2:17" ht="15">
      <c r="B30" s="2959" t="s">
        <v>1471</v>
      </c>
      <c r="C30" s="2960">
        <v>65863</v>
      </c>
      <c r="D30" s="2960">
        <v>0</v>
      </c>
      <c r="E30" s="2960">
        <v>0</v>
      </c>
      <c r="F30" s="2960">
        <v>0</v>
      </c>
      <c r="G30" s="2960">
        <v>0</v>
      </c>
      <c r="H30" s="2960">
        <v>0</v>
      </c>
      <c r="I30" s="2960"/>
      <c r="J30" s="2961">
        <f>J31</f>
        <v>1788.3280000000002</v>
      </c>
      <c r="K30" s="2960">
        <v>9.58</v>
      </c>
      <c r="L30" s="2960">
        <v>2.66</v>
      </c>
      <c r="M30" s="2962">
        <v>7602</v>
      </c>
      <c r="N30" s="2962">
        <v>7122</v>
      </c>
      <c r="O30" s="2962">
        <v>7804</v>
      </c>
      <c r="P30" s="2962">
        <v>9.58</v>
      </c>
      <c r="Q30" s="2963">
        <v>2.66</v>
      </c>
    </row>
    <row r="31" spans="2:17" ht="15">
      <c r="B31" s="2968" t="s">
        <v>3698</v>
      </c>
      <c r="C31" s="2969">
        <v>65863</v>
      </c>
      <c r="D31" s="2969">
        <v>0</v>
      </c>
      <c r="E31" s="2969">
        <v>0</v>
      </c>
      <c r="F31" s="2969">
        <v>0</v>
      </c>
      <c r="G31" s="2969">
        <v>0</v>
      </c>
      <c r="H31" s="2969">
        <v>0</v>
      </c>
      <c r="I31" s="2969"/>
      <c r="J31" s="2970">
        <f>'Форма 1'!AS41</f>
        <v>1788.3280000000002</v>
      </c>
      <c r="K31" s="2969">
        <v>9.58</v>
      </c>
      <c r="L31" s="2969">
        <v>2.66</v>
      </c>
      <c r="M31" s="2969">
        <v>7602</v>
      </c>
      <c r="N31" s="2969">
        <v>7122</v>
      </c>
      <c r="O31" s="2969">
        <v>7804</v>
      </c>
      <c r="P31" s="2969">
        <v>9.58</v>
      </c>
      <c r="Q31" s="2971">
        <v>2.66</v>
      </c>
    </row>
    <row r="32" spans="2:17" ht="15">
      <c r="B32" s="2959" t="s">
        <v>1474</v>
      </c>
      <c r="C32" s="2960">
        <v>745283</v>
      </c>
      <c r="D32" s="2960">
        <v>0</v>
      </c>
      <c r="E32" s="2960">
        <v>0</v>
      </c>
      <c r="F32" s="2960">
        <v>0</v>
      </c>
      <c r="G32" s="2960">
        <v>0</v>
      </c>
      <c r="H32" s="2960">
        <v>0</v>
      </c>
      <c r="I32" s="2960"/>
      <c r="J32" s="2961">
        <f>J33</f>
        <v>55312.284999999996</v>
      </c>
      <c r="K32" s="2960">
        <v>-3.81</v>
      </c>
      <c r="L32" s="2960">
        <v>-2.92</v>
      </c>
      <c r="M32" s="2962">
        <v>78290</v>
      </c>
      <c r="N32" s="2962">
        <v>79013</v>
      </c>
      <c r="O32" s="2962">
        <v>76001</v>
      </c>
      <c r="P32" s="2962">
        <v>-3.81</v>
      </c>
      <c r="Q32" s="2963">
        <v>-2.92</v>
      </c>
    </row>
    <row r="33" spans="2:17" ht="15">
      <c r="B33" s="2968" t="s">
        <v>3698</v>
      </c>
      <c r="C33" s="2969">
        <v>745283</v>
      </c>
      <c r="D33" s="2969">
        <v>0</v>
      </c>
      <c r="E33" s="2969">
        <v>0</v>
      </c>
      <c r="F33" s="2969">
        <v>0</v>
      </c>
      <c r="G33" s="2969">
        <v>0</v>
      </c>
      <c r="H33" s="2969">
        <v>0</v>
      </c>
      <c r="I33" s="2969"/>
      <c r="J33" s="2970">
        <f>'Форма 1'!AS47</f>
        <v>55312.284999999996</v>
      </c>
      <c r="K33" s="2969">
        <v>-3.81</v>
      </c>
      <c r="L33" s="2969">
        <v>-2.92</v>
      </c>
      <c r="M33" s="2969">
        <v>78290</v>
      </c>
      <c r="N33" s="2969">
        <v>79013</v>
      </c>
      <c r="O33" s="2969">
        <v>76001</v>
      </c>
      <c r="P33" s="2969">
        <v>-3.81</v>
      </c>
      <c r="Q33" s="2971">
        <v>-2.92</v>
      </c>
    </row>
    <row r="34" spans="2:17" ht="15">
      <c r="B34" s="2959" t="s">
        <v>3699</v>
      </c>
      <c r="C34" s="2960">
        <v>132610</v>
      </c>
      <c r="D34" s="2960">
        <v>0</v>
      </c>
      <c r="E34" s="2960">
        <v>0</v>
      </c>
      <c r="F34" s="2960">
        <v>0</v>
      </c>
      <c r="G34" s="2960">
        <v>0</v>
      </c>
      <c r="H34" s="2960">
        <v>0</v>
      </c>
      <c r="I34" s="2960"/>
      <c r="J34" s="2961">
        <f>J35</f>
        <v>7063.8419501600001</v>
      </c>
      <c r="K34" s="2960">
        <v>11.71</v>
      </c>
      <c r="L34" s="2960">
        <v>7.6</v>
      </c>
      <c r="M34" s="2962">
        <v>14593</v>
      </c>
      <c r="N34" s="2962">
        <v>14056</v>
      </c>
      <c r="O34" s="2962">
        <v>15702</v>
      </c>
      <c r="P34" s="2962">
        <v>11.71</v>
      </c>
      <c r="Q34" s="2963">
        <v>7.6</v>
      </c>
    </row>
    <row r="35" spans="2:17" ht="15">
      <c r="B35" s="2968" t="s">
        <v>3698</v>
      </c>
      <c r="C35" s="2969">
        <v>132610</v>
      </c>
      <c r="D35" s="2969">
        <v>0</v>
      </c>
      <c r="E35" s="2969">
        <v>0</v>
      </c>
      <c r="F35" s="2969">
        <v>0</v>
      </c>
      <c r="G35" s="2969">
        <v>0</v>
      </c>
      <c r="H35" s="2969">
        <v>0</v>
      </c>
      <c r="I35" s="2969"/>
      <c r="J35" s="2970">
        <f>'Форма 1'!AS53</f>
        <v>7063.8419501600001</v>
      </c>
      <c r="K35" s="2969">
        <v>11.71</v>
      </c>
      <c r="L35" s="2969">
        <v>7.6</v>
      </c>
      <c r="M35" s="2969">
        <v>14593</v>
      </c>
      <c r="N35" s="2969">
        <v>14056</v>
      </c>
      <c r="O35" s="2969">
        <v>15702</v>
      </c>
      <c r="P35" s="2969">
        <v>11.71</v>
      </c>
      <c r="Q35" s="2971">
        <v>7.6</v>
      </c>
    </row>
    <row r="36" spans="2:17" ht="15">
      <c r="B36" s="2959" t="s">
        <v>3700</v>
      </c>
      <c r="C36" s="2960">
        <v>1093114</v>
      </c>
      <c r="D36" s="2960">
        <v>0</v>
      </c>
      <c r="E36" s="2960">
        <v>0</v>
      </c>
      <c r="F36" s="2960">
        <v>0</v>
      </c>
      <c r="G36" s="2960">
        <v>0</v>
      </c>
      <c r="H36" s="2960">
        <v>0</v>
      </c>
      <c r="I36" s="2960"/>
      <c r="J36" s="2961">
        <f>J37</f>
        <v>127514.47548999998</v>
      </c>
      <c r="K36" s="2960">
        <v>-2.2599999999999998</v>
      </c>
      <c r="L36" s="2960">
        <v>-3.02</v>
      </c>
      <c r="M36" s="2962">
        <v>110797</v>
      </c>
      <c r="N36" s="2962">
        <v>109939</v>
      </c>
      <c r="O36" s="2962">
        <v>107449</v>
      </c>
      <c r="P36" s="2962">
        <v>-2.2599999999999998</v>
      </c>
      <c r="Q36" s="2963">
        <v>-3.02</v>
      </c>
    </row>
    <row r="37" spans="2:17" ht="15">
      <c r="B37" s="2968" t="s">
        <v>3698</v>
      </c>
      <c r="C37" s="2969">
        <v>1093114</v>
      </c>
      <c r="D37" s="2969">
        <v>0</v>
      </c>
      <c r="E37" s="2969">
        <v>0</v>
      </c>
      <c r="F37" s="2969">
        <v>0</v>
      </c>
      <c r="G37" s="2969">
        <v>0</v>
      </c>
      <c r="H37" s="2969">
        <v>0</v>
      </c>
      <c r="I37" s="2969"/>
      <c r="J37" s="2970">
        <f>'Форма 1'!AS59</f>
        <v>127514.47548999998</v>
      </c>
      <c r="K37" s="2969">
        <v>-2.2599999999999998</v>
      </c>
      <c r="L37" s="2969">
        <v>-3.02</v>
      </c>
      <c r="M37" s="2969">
        <v>110797</v>
      </c>
      <c r="N37" s="2969">
        <v>109939</v>
      </c>
      <c r="O37" s="2969">
        <v>107449</v>
      </c>
      <c r="P37" s="2969">
        <v>-2.2599999999999998</v>
      </c>
      <c r="Q37" s="2971">
        <v>-3.02</v>
      </c>
    </row>
    <row r="38" spans="2:17" ht="15.75" thickBot="1">
      <c r="B38" s="2956"/>
      <c r="C38" s="2956"/>
      <c r="D38" s="2956"/>
      <c r="E38" s="2956"/>
      <c r="F38" s="2956"/>
      <c r="G38" s="2956"/>
      <c r="H38" s="2956"/>
      <c r="I38" s="2956"/>
      <c r="J38" s="2956"/>
      <c r="K38" s="2956"/>
      <c r="L38" s="2956"/>
      <c r="M38" s="2956"/>
      <c r="N38" s="2956"/>
      <c r="O38" s="2956"/>
      <c r="P38" s="2956"/>
      <c r="Q38" s="2956"/>
    </row>
    <row r="39" spans="2:17" s="3074" customFormat="1" ht="16.5" thickBot="1">
      <c r="B39" s="3075" t="s">
        <v>211</v>
      </c>
      <c r="C39" s="3076"/>
      <c r="D39" s="3076"/>
      <c r="E39" s="3076"/>
      <c r="F39" s="3076"/>
      <c r="G39" s="3076"/>
      <c r="H39" s="3076"/>
      <c r="I39" s="3077" t="s">
        <v>3701</v>
      </c>
      <c r="J39" s="3078">
        <f>'Шаблон 46 ГП'!L280/1000*1.2+'Шаблон 46 ЭСК'!L45/1000*1.2</f>
        <v>395151.63843599992</v>
      </c>
      <c r="K39" s="3079">
        <v>324665</v>
      </c>
      <c r="L39" s="3080">
        <v>333893.28200000001</v>
      </c>
    </row>
    <row r="40" spans="2:17" s="3074" customFormat="1" ht="15">
      <c r="B40" s="3056" t="s">
        <v>280</v>
      </c>
      <c r="C40" s="3057"/>
      <c r="D40" s="3057"/>
      <c r="E40" s="3057"/>
      <c r="F40" s="3057"/>
      <c r="G40" s="3057"/>
      <c r="H40" s="3057"/>
      <c r="I40" s="3058" t="s">
        <v>3701</v>
      </c>
      <c r="J40" s="3073">
        <f>J39-J41-J42-J43</f>
        <v>278415.08638399985</v>
      </c>
      <c r="K40" s="3059">
        <f>K39-K41-K42-K43</f>
        <v>207928.44794799999</v>
      </c>
      <c r="L40" s="3060">
        <f>L39-L41-L42-L43</f>
        <v>220349.62700000001</v>
      </c>
    </row>
    <row r="41" spans="2:17" s="3074" customFormat="1" ht="15">
      <c r="B41" s="3061" t="s">
        <v>705</v>
      </c>
      <c r="C41" s="3057"/>
      <c r="D41" s="3057"/>
      <c r="E41" s="3057"/>
      <c r="F41" s="3057"/>
      <c r="G41" s="3057"/>
      <c r="H41" s="3057"/>
      <c r="I41" s="3062" t="s">
        <v>3701</v>
      </c>
      <c r="J41" s="3063">
        <f>'Шаблон 46 ГП'!L27/1000*1.2</f>
        <v>68444.663712000038</v>
      </c>
      <c r="K41" s="3064">
        <f>J41</f>
        <v>68444.663712000038</v>
      </c>
      <c r="L41" s="3064">
        <v>63776.754999999997</v>
      </c>
    </row>
    <row r="42" spans="2:17" s="3074" customFormat="1" ht="15">
      <c r="B42" s="3061" t="s">
        <v>1758</v>
      </c>
      <c r="C42" s="3057"/>
      <c r="D42" s="3057"/>
      <c r="E42" s="3057"/>
      <c r="F42" s="3057"/>
      <c r="G42" s="3057"/>
      <c r="H42" s="3057"/>
      <c r="I42" s="3062" t="s">
        <v>3701</v>
      </c>
      <c r="J42" s="3063">
        <f>'Отчёт СТС'!F19/1000</f>
        <v>39815.277999999998</v>
      </c>
      <c r="K42" s="3064">
        <f>J42</f>
        <v>39815.277999999998</v>
      </c>
      <c r="L42" s="3064">
        <v>35875.362000000001</v>
      </c>
    </row>
    <row r="43" spans="2:17" s="3074" customFormat="1" ht="15.75" thickBot="1">
      <c r="B43" s="3065" t="s">
        <v>238</v>
      </c>
      <c r="C43" s="3057"/>
      <c r="D43" s="3057"/>
      <c r="E43" s="3057"/>
      <c r="F43" s="3057"/>
      <c r="G43" s="3057"/>
      <c r="H43" s="3057"/>
      <c r="I43" s="3066" t="s">
        <v>3701</v>
      </c>
      <c r="J43" s="3071">
        <f>'Шаблон 46 ГП'!L268/1000*1.2</f>
        <v>8476.6103399999993</v>
      </c>
      <c r="K43" s="3067">
        <f>J43</f>
        <v>8476.6103399999993</v>
      </c>
      <c r="L43" s="3067">
        <v>13891.538</v>
      </c>
    </row>
    <row r="44" spans="2:17" s="3074" customFormat="1" ht="16.5" thickBot="1">
      <c r="B44" s="3075" t="s">
        <v>1751</v>
      </c>
      <c r="C44" s="3076"/>
      <c r="D44" s="3076"/>
      <c r="E44" s="3076"/>
      <c r="F44" s="3076"/>
      <c r="G44" s="3076"/>
      <c r="H44" s="3076"/>
      <c r="I44" s="3081" t="s">
        <v>3701</v>
      </c>
      <c r="J44" s="3079">
        <f>SUM(J45:J48)</f>
        <v>0</v>
      </c>
      <c r="K44" s="3079">
        <f>L39</f>
        <v>333893.28200000001</v>
      </c>
      <c r="L44" s="3080">
        <v>231827.88399999999</v>
      </c>
    </row>
    <row r="45" spans="2:17" s="3074" customFormat="1" ht="15">
      <c r="B45" s="3056" t="s">
        <v>280</v>
      </c>
      <c r="C45" s="3057"/>
      <c r="D45" s="3057"/>
      <c r="E45" s="3057"/>
      <c r="F45" s="3057"/>
      <c r="G45" s="3057"/>
      <c r="H45" s="3057"/>
      <c r="I45" s="3058" t="s">
        <v>3701</v>
      </c>
      <c r="J45" s="3073">
        <f>Сбор!C9/1000+Сбор!C13/1000</f>
        <v>0</v>
      </c>
      <c r="K45" s="3059">
        <f>K44-K46-K47-K48</f>
        <v>333893.28200000001</v>
      </c>
      <c r="L45" s="3060">
        <f>L44-L46-L47-L48</f>
        <v>153752.48799999998</v>
      </c>
    </row>
    <row r="46" spans="2:17" s="3074" customFormat="1" ht="15">
      <c r="B46" s="3061" t="s">
        <v>705</v>
      </c>
      <c r="C46" s="3057"/>
      <c r="D46" s="3057"/>
      <c r="E46" s="3057"/>
      <c r="F46" s="3057"/>
      <c r="G46" s="3057"/>
      <c r="H46" s="3057"/>
      <c r="I46" s="3062" t="s">
        <v>3701</v>
      </c>
      <c r="J46" s="3063">
        <f>Сбор!C8/1000</f>
        <v>0</v>
      </c>
      <c r="K46" s="3064">
        <f>J46</f>
        <v>0</v>
      </c>
      <c r="L46" s="3064">
        <v>57609.362000000001</v>
      </c>
    </row>
    <row r="47" spans="2:17" s="3074" customFormat="1" ht="15">
      <c r="B47" s="3061" t="s">
        <v>1758</v>
      </c>
      <c r="C47" s="3057"/>
      <c r="D47" s="3057"/>
      <c r="E47" s="3057"/>
      <c r="F47" s="3057"/>
      <c r="G47" s="3057"/>
      <c r="H47" s="3057"/>
      <c r="I47" s="3062" t="s">
        <v>3701</v>
      </c>
      <c r="J47" s="3063">
        <f>Сбор!C11/1000</f>
        <v>0</v>
      </c>
      <c r="K47" s="3064">
        <f>J47</f>
        <v>0</v>
      </c>
      <c r="L47" s="3064">
        <v>20460.708999999999</v>
      </c>
    </row>
    <row r="48" spans="2:17" s="3074" customFormat="1" ht="15.75" thickBot="1">
      <c r="B48" s="3068" t="s">
        <v>238</v>
      </c>
      <c r="C48" s="3069"/>
      <c r="D48" s="3069"/>
      <c r="E48" s="3069"/>
      <c r="F48" s="3069"/>
      <c r="G48" s="3069"/>
      <c r="H48" s="3069"/>
      <c r="I48" s="3070" t="s">
        <v>3701</v>
      </c>
      <c r="J48" s="3071">
        <f>Сбор!C12/1000</f>
        <v>0</v>
      </c>
      <c r="K48" s="3072">
        <f>J48</f>
        <v>0</v>
      </c>
      <c r="L48" s="3072">
        <v>5.3250000000000002</v>
      </c>
    </row>
    <row r="49" spans="2:19" s="3074" customFormat="1" ht="15">
      <c r="B49" s="3082"/>
      <c r="C49" s="3057"/>
      <c r="D49" s="3057"/>
      <c r="E49" s="3057"/>
      <c r="F49" s="3057"/>
      <c r="G49" s="3057"/>
      <c r="H49" s="3057"/>
      <c r="I49" s="3083"/>
      <c r="J49" s="3084"/>
      <c r="K49" s="3085"/>
      <c r="L49" s="3085"/>
    </row>
    <row r="50" spans="2:19" s="3074" customFormat="1"/>
    <row r="51" spans="2:19" s="3074" customFormat="1" ht="15.75">
      <c r="B51" s="4648" t="s">
        <v>3677</v>
      </c>
      <c r="C51" s="4648" t="s">
        <v>3677</v>
      </c>
      <c r="D51" s="4648" t="s">
        <v>3677</v>
      </c>
      <c r="E51" s="4648" t="s">
        <v>3677</v>
      </c>
      <c r="F51" s="4648" t="s">
        <v>3677</v>
      </c>
      <c r="G51" s="4648" t="s">
        <v>3677</v>
      </c>
      <c r="H51" s="4648" t="s">
        <v>3677</v>
      </c>
      <c r="I51" s="4648"/>
      <c r="J51" s="4648" t="s">
        <v>3677</v>
      </c>
      <c r="K51" s="3086"/>
    </row>
    <row r="52" spans="2:19" s="3074" customFormat="1"/>
    <row r="53" spans="2:19" s="3074" customFormat="1" ht="15.75">
      <c r="B53" s="4648" t="s">
        <v>3702</v>
      </c>
      <c r="C53" s="4648" t="s">
        <v>3678</v>
      </c>
      <c r="D53" s="4648" t="s">
        <v>3678</v>
      </c>
      <c r="E53" s="4648" t="s">
        <v>3678</v>
      </c>
      <c r="F53" s="4648" t="s">
        <v>3678</v>
      </c>
      <c r="G53" s="4648" t="s">
        <v>3678</v>
      </c>
      <c r="H53" s="4648" t="s">
        <v>3678</v>
      </c>
      <c r="I53" s="4648"/>
      <c r="J53" s="4648" t="s">
        <v>3678</v>
      </c>
    </row>
    <row r="54" spans="2:19" s="3074" customFormat="1"/>
    <row r="55" spans="2:19" s="3074" customFormat="1" ht="15.75">
      <c r="B55" s="4648" t="str">
        <f>B6</f>
        <v xml:space="preserve">Отчетный период: </v>
      </c>
      <c r="C55" s="4648" t="s">
        <v>3679</v>
      </c>
      <c r="D55" s="4648" t="s">
        <v>3679</v>
      </c>
      <c r="E55" s="4648" t="s">
        <v>3679</v>
      </c>
      <c r="F55" s="4648" t="s">
        <v>3679</v>
      </c>
      <c r="G55" s="4648" t="s">
        <v>3679</v>
      </c>
      <c r="H55" s="4648" t="s">
        <v>3679</v>
      </c>
      <c r="I55" s="4648"/>
      <c r="J55" s="4648" t="s">
        <v>3679</v>
      </c>
    </row>
    <row r="56" spans="2:19" s="3074" customFormat="1"/>
    <row r="57" spans="2:19" s="3074" customFormat="1" ht="18.75">
      <c r="B57" s="4649" t="s">
        <v>3702</v>
      </c>
      <c r="C57" s="4649" t="s">
        <v>1541</v>
      </c>
      <c r="D57" s="4649" t="s">
        <v>1541</v>
      </c>
      <c r="E57" s="4649" t="s">
        <v>1541</v>
      </c>
      <c r="F57" s="4649" t="s">
        <v>1541</v>
      </c>
      <c r="G57" s="4649" t="s">
        <v>1541</v>
      </c>
      <c r="H57" s="4649" t="s">
        <v>1541</v>
      </c>
      <c r="I57" s="4649"/>
      <c r="J57" s="4649" t="s">
        <v>1541</v>
      </c>
      <c r="K57" s="4649" t="s">
        <v>1541</v>
      </c>
      <c r="L57" s="4649" t="s">
        <v>1541</v>
      </c>
      <c r="M57" s="4649" t="s">
        <v>1541</v>
      </c>
      <c r="N57" s="4649" t="s">
        <v>1541</v>
      </c>
      <c r="O57" s="4649" t="s">
        <v>1541</v>
      </c>
      <c r="P57" s="4649" t="s">
        <v>1541</v>
      </c>
      <c r="Q57" s="4649" t="s">
        <v>1541</v>
      </c>
      <c r="R57" s="4649" t="s">
        <v>1541</v>
      </c>
      <c r="S57" s="4649" t="s">
        <v>1541</v>
      </c>
    </row>
    <row r="58" spans="2:19" s="3074" customFormat="1" ht="15">
      <c r="B58" s="4650"/>
      <c r="C58" s="4650" t="s">
        <v>3680</v>
      </c>
      <c r="D58" s="4650" t="s">
        <v>3681</v>
      </c>
      <c r="E58" s="4650"/>
      <c r="F58" s="4650"/>
      <c r="G58" s="4650"/>
      <c r="H58" s="4650"/>
      <c r="I58" s="3087"/>
      <c r="J58" s="4650">
        <f>J9</f>
        <v>0</v>
      </c>
      <c r="K58" s="4650"/>
      <c r="L58" s="4650"/>
      <c r="M58" s="4650"/>
      <c r="N58" s="4650"/>
      <c r="O58" s="4650" t="s">
        <v>3681</v>
      </c>
      <c r="P58" s="4650"/>
      <c r="Q58" s="4650"/>
      <c r="R58" s="4651"/>
      <c r="S58" s="4651"/>
    </row>
    <row r="59" spans="2:19" s="3074" customFormat="1" ht="150">
      <c r="B59" s="4651"/>
      <c r="C59" s="4651"/>
      <c r="D59" s="3088" t="s">
        <v>3682</v>
      </c>
      <c r="E59" s="3088" t="s">
        <v>3683</v>
      </c>
      <c r="F59" s="3088" t="s">
        <v>3684</v>
      </c>
      <c r="G59" s="3088" t="s">
        <v>3685</v>
      </c>
      <c r="H59" s="3088" t="s">
        <v>1498</v>
      </c>
      <c r="I59" s="3088"/>
      <c r="J59" s="3088" t="s">
        <v>1499</v>
      </c>
      <c r="K59" s="3088" t="s">
        <v>3758</v>
      </c>
      <c r="L59" s="3088" t="s">
        <v>3686</v>
      </c>
      <c r="M59" s="3088" t="s">
        <v>3685</v>
      </c>
      <c r="N59" s="3088" t="s">
        <v>1498</v>
      </c>
      <c r="O59" s="3088" t="s">
        <v>3682</v>
      </c>
      <c r="P59" s="3088" t="s">
        <v>3683</v>
      </c>
      <c r="Q59" s="3088" t="s">
        <v>3684</v>
      </c>
      <c r="R59" s="3088" t="s">
        <v>3685</v>
      </c>
      <c r="S59" s="3088" t="s">
        <v>1498</v>
      </c>
    </row>
    <row r="60" spans="2:19" s="3074" customFormat="1" ht="15.75">
      <c r="B60" s="3089" t="s">
        <v>3703</v>
      </c>
      <c r="C60" s="3090">
        <v>1740</v>
      </c>
      <c r="D60" s="3090">
        <v>0</v>
      </c>
      <c r="E60" s="3090">
        <v>0</v>
      </c>
      <c r="F60" s="3090">
        <v>0</v>
      </c>
      <c r="G60" s="3090">
        <v>0</v>
      </c>
      <c r="H60" s="3090">
        <v>0</v>
      </c>
      <c r="I60" s="3091" t="s">
        <v>3177</v>
      </c>
      <c r="J60" s="3092">
        <f>'Приложение 1111'!C10/1000</f>
        <v>0</v>
      </c>
      <c r="K60" s="3092">
        <v>170</v>
      </c>
      <c r="L60" s="3092">
        <v>171</v>
      </c>
      <c r="M60" s="3093">
        <v>6.08</v>
      </c>
      <c r="N60" s="3090">
        <v>0</v>
      </c>
      <c r="O60" s="3090">
        <v>0</v>
      </c>
      <c r="P60" s="3090">
        <v>181</v>
      </c>
      <c r="Q60" s="3090">
        <v>192</v>
      </c>
      <c r="R60" s="3090">
        <v>6.08</v>
      </c>
      <c r="S60" s="3094">
        <v>0</v>
      </c>
    </row>
    <row r="61" spans="2:19" s="3074" customFormat="1" ht="15.75">
      <c r="B61" s="3095" t="s">
        <v>280</v>
      </c>
      <c r="C61" s="3090"/>
      <c r="D61" s="3090"/>
      <c r="E61" s="3090"/>
      <c r="F61" s="3090"/>
      <c r="G61" s="3090"/>
      <c r="H61" s="3090"/>
      <c r="I61" s="3091" t="s">
        <v>3177</v>
      </c>
      <c r="J61" s="3096">
        <f>J60-J62-J63</f>
        <v>0</v>
      </c>
      <c r="K61" s="3090" t="e">
        <f>K60-K62-K63</f>
        <v>#DIV/0!</v>
      </c>
      <c r="L61" s="3090">
        <f>L60-L62-L63</f>
        <v>9</v>
      </c>
      <c r="M61" s="3097"/>
      <c r="N61" s="3097"/>
      <c r="O61" s="3097"/>
      <c r="P61" s="3097"/>
      <c r="Q61" s="3097"/>
      <c r="R61" s="3097"/>
      <c r="S61" s="3098"/>
    </row>
    <row r="62" spans="2:19" s="3074" customFormat="1" ht="15.75">
      <c r="B62" s="3095" t="s">
        <v>705</v>
      </c>
      <c r="C62" s="3090"/>
      <c r="D62" s="3090"/>
      <c r="E62" s="3090"/>
      <c r="F62" s="3090"/>
      <c r="G62" s="3090"/>
      <c r="H62" s="3090"/>
      <c r="I62" s="3091" t="s">
        <v>3177</v>
      </c>
      <c r="J62" s="3096">
        <f>'Приложение 1111'!C12/1000</f>
        <v>0</v>
      </c>
      <c r="K62" s="3090" t="e">
        <f>ROUND(J62/J60*K60,0)</f>
        <v>#DIV/0!</v>
      </c>
      <c r="L62" s="3090">
        <v>153</v>
      </c>
      <c r="M62" s="3097"/>
      <c r="N62" s="3097"/>
      <c r="O62" s="3097"/>
      <c r="P62" s="3097"/>
      <c r="Q62" s="3097"/>
      <c r="R62" s="3097"/>
      <c r="S62" s="3098"/>
    </row>
    <row r="63" spans="2:19" s="3074" customFormat="1" ht="15.75">
      <c r="B63" s="3095" t="s">
        <v>1758</v>
      </c>
      <c r="C63" s="3090"/>
      <c r="D63" s="3090"/>
      <c r="E63" s="3090"/>
      <c r="F63" s="3090"/>
      <c r="G63" s="3090"/>
      <c r="H63" s="3090"/>
      <c r="I63" s="3091" t="s">
        <v>3177</v>
      </c>
      <c r="J63" s="3096">
        <f>'Приложение 1111'!C16/1000+'Приложение 1111'!C20/1000</f>
        <v>0</v>
      </c>
      <c r="K63" s="3090" t="e">
        <f>ROUND(J63/J60*K60,0)</f>
        <v>#DIV/0!</v>
      </c>
      <c r="L63" s="3090">
        <v>9</v>
      </c>
      <c r="M63" s="3097"/>
      <c r="N63" s="3097"/>
      <c r="O63" s="3097"/>
      <c r="P63" s="3097"/>
      <c r="Q63" s="3097"/>
      <c r="R63" s="3097"/>
      <c r="S63" s="3098"/>
    </row>
    <row r="64" spans="2:19" s="3074" customFormat="1" ht="15.75">
      <c r="B64" s="3089" t="s">
        <v>211</v>
      </c>
      <c r="C64" s="3090">
        <v>1740</v>
      </c>
      <c r="D64" s="3090">
        <v>0</v>
      </c>
      <c r="E64" s="3090">
        <v>0</v>
      </c>
      <c r="F64" s="3090">
        <v>0</v>
      </c>
      <c r="G64" s="3090">
        <v>0</v>
      </c>
      <c r="H64" s="3090">
        <v>0</v>
      </c>
      <c r="I64" s="3091" t="s">
        <v>3701</v>
      </c>
      <c r="J64" s="3092">
        <f>'Приложение 1111'!D10/1000</f>
        <v>0</v>
      </c>
      <c r="K64" s="3092">
        <v>10976.61</v>
      </c>
      <c r="L64" s="3092">
        <v>11292</v>
      </c>
    </row>
    <row r="65" spans="2:12" s="3074" customFormat="1" ht="15.75">
      <c r="B65" s="3095" t="s">
        <v>280</v>
      </c>
      <c r="C65" s="3090"/>
      <c r="D65" s="3090"/>
      <c r="E65" s="3090"/>
      <c r="F65" s="3090"/>
      <c r="G65" s="3090"/>
      <c r="H65" s="3090"/>
      <c r="I65" s="3091" t="s">
        <v>3701</v>
      </c>
      <c r="J65" s="3096">
        <f>J64-J66-J67</f>
        <v>0</v>
      </c>
      <c r="K65" s="3090" t="e">
        <f>K64-K66-K67</f>
        <v>#DIV/0!</v>
      </c>
      <c r="L65" s="3090">
        <f>L64-L66-L67</f>
        <v>244</v>
      </c>
    </row>
    <row r="66" spans="2:12" s="3074" customFormat="1" ht="15.75">
      <c r="B66" s="3095" t="s">
        <v>705</v>
      </c>
      <c r="C66" s="3090"/>
      <c r="D66" s="3090"/>
      <c r="E66" s="3090"/>
      <c r="F66" s="3090"/>
      <c r="G66" s="3090"/>
      <c r="H66" s="3090"/>
      <c r="I66" s="3091" t="s">
        <v>3701</v>
      </c>
      <c r="J66" s="3096">
        <f>'Приложение 1111'!D12/1000</f>
        <v>0</v>
      </c>
      <c r="K66" s="3090" t="e">
        <f>ROUND(J66/J64*K64,0)</f>
        <v>#DIV/0!</v>
      </c>
      <c r="L66" s="3090">
        <v>10434</v>
      </c>
    </row>
    <row r="67" spans="2:12" s="3074" customFormat="1" ht="15.75">
      <c r="B67" s="3095" t="s">
        <v>1758</v>
      </c>
      <c r="C67" s="3090"/>
      <c r="D67" s="3090"/>
      <c r="E67" s="3090"/>
      <c r="F67" s="3090"/>
      <c r="G67" s="3090"/>
      <c r="H67" s="3090"/>
      <c r="I67" s="3091" t="s">
        <v>3701</v>
      </c>
      <c r="J67" s="3096">
        <f>'Приложение 1111'!D16/1000+'Приложение 1111'!D20/1000</f>
        <v>0</v>
      </c>
      <c r="K67" s="3090" t="e">
        <f>ROUND(J67/J64*K64,0)</f>
        <v>#DIV/0!</v>
      </c>
      <c r="L67" s="3090">
        <v>614</v>
      </c>
    </row>
    <row r="68" spans="2:12" s="3074" customFormat="1" ht="15.75">
      <c r="B68" s="3089" t="s">
        <v>1751</v>
      </c>
      <c r="C68" s="3090">
        <v>1740</v>
      </c>
      <c r="D68" s="3090">
        <v>0</v>
      </c>
      <c r="E68" s="3090">
        <v>0</v>
      </c>
      <c r="F68" s="3090">
        <v>0</v>
      </c>
      <c r="G68" s="3090">
        <v>0</v>
      </c>
      <c r="H68" s="3090">
        <v>0</v>
      </c>
      <c r="I68" s="3091" t="s">
        <v>3701</v>
      </c>
      <c r="J68" s="3092">
        <f>SUM(J69:J71)</f>
        <v>0</v>
      </c>
      <c r="K68" s="3092">
        <f>L64</f>
        <v>11292</v>
      </c>
      <c r="L68" s="3092">
        <v>10393</v>
      </c>
    </row>
    <row r="69" spans="2:12" s="3074" customFormat="1" ht="15.75">
      <c r="B69" s="3095" t="s">
        <v>280</v>
      </c>
      <c r="C69" s="3090"/>
      <c r="D69" s="3090"/>
      <c r="E69" s="3090"/>
      <c r="F69" s="3090"/>
      <c r="G69" s="3090"/>
      <c r="H69" s="3090"/>
      <c r="I69" s="3091" t="s">
        <v>3701</v>
      </c>
      <c r="J69" s="3096">
        <f>'Приложение 22222'!F26/1000+'Приложение 22222'!F29/1000</f>
        <v>0</v>
      </c>
      <c r="K69" s="3090" t="e">
        <f>K68-K70-K71</f>
        <v>#DIV/0!</v>
      </c>
      <c r="L69" s="3090">
        <f>L68-L70-L71</f>
        <v>589</v>
      </c>
    </row>
    <row r="70" spans="2:12" s="3074" customFormat="1" ht="15.75">
      <c r="B70" s="3095" t="s">
        <v>705</v>
      </c>
      <c r="C70" s="3090"/>
      <c r="D70" s="3090"/>
      <c r="E70" s="3090"/>
      <c r="F70" s="3090"/>
      <c r="G70" s="3090"/>
      <c r="H70" s="3090"/>
      <c r="I70" s="3091" t="s">
        <v>3701</v>
      </c>
      <c r="J70" s="3096">
        <f>'Приложение 22222'!F8/1000</f>
        <v>0</v>
      </c>
      <c r="K70" s="3090" t="e">
        <f>ROUND(J70/J68*K68,0)</f>
        <v>#DIV/0!</v>
      </c>
      <c r="L70" s="3090">
        <v>9710</v>
      </c>
    </row>
    <row r="71" spans="2:12" s="3074" customFormat="1" ht="15.75">
      <c r="B71" s="3095" t="s">
        <v>1758</v>
      </c>
      <c r="C71" s="3090"/>
      <c r="D71" s="3090"/>
      <c r="E71" s="3090"/>
      <c r="F71" s="3090"/>
      <c r="G71" s="3090"/>
      <c r="H71" s="3090"/>
      <c r="I71" s="3091" t="s">
        <v>3701</v>
      </c>
      <c r="J71" s="3096">
        <f>'Приложение 22222'!F20/1000+'Приложение 22222'!F23/1000</f>
        <v>0</v>
      </c>
      <c r="K71" s="3090" t="e">
        <f>ROUND(J71/J68*K68,0)</f>
        <v>#DIV/0!</v>
      </c>
      <c r="L71" s="3090">
        <v>94</v>
      </c>
    </row>
    <row r="72" spans="2:12" s="3074" customFormat="1" ht="15.75">
      <c r="B72" s="3099"/>
      <c r="C72" s="3097"/>
      <c r="D72" s="3097"/>
      <c r="E72" s="3097"/>
      <c r="F72" s="3097"/>
      <c r="G72" s="3097"/>
      <c r="H72" s="3097"/>
      <c r="I72" s="3100"/>
      <c r="J72" s="3097"/>
      <c r="K72" s="3097"/>
      <c r="L72" s="3097"/>
    </row>
    <row r="73" spans="2:12" s="3074" customFormat="1" ht="15.75">
      <c r="B73" s="3099"/>
      <c r="C73" s="3097"/>
      <c r="D73" s="3097"/>
      <c r="E73" s="3097"/>
      <c r="F73" s="3097"/>
      <c r="G73" s="3097"/>
      <c r="H73" s="3097"/>
      <c r="I73" s="3100"/>
      <c r="J73" s="3097"/>
      <c r="K73" s="3097"/>
      <c r="L73" s="3097"/>
    </row>
    <row r="74" spans="2:12" s="3074" customFormat="1" ht="15.75">
      <c r="B74" s="3099"/>
      <c r="C74" s="3097"/>
      <c r="D74" s="3097"/>
      <c r="E74" s="3097"/>
      <c r="F74" s="3097"/>
      <c r="G74" s="3097"/>
      <c r="H74" s="3097"/>
      <c r="I74" s="3100"/>
      <c r="J74" s="3097"/>
      <c r="K74" s="3097"/>
      <c r="L74" s="3097"/>
    </row>
    <row r="75" spans="2:12" s="3074" customFormat="1"/>
    <row r="76" spans="2:12" s="3074" customFormat="1"/>
    <row r="77" spans="2:12" s="3074" customFormat="1" ht="15.75">
      <c r="B77" s="4648" t="s">
        <v>3677</v>
      </c>
      <c r="C77" s="4648" t="s">
        <v>3677</v>
      </c>
      <c r="D77" s="4648" t="s">
        <v>3677</v>
      </c>
      <c r="E77" s="4648" t="s">
        <v>3677</v>
      </c>
      <c r="F77" s="4648" t="s">
        <v>3677</v>
      </c>
      <c r="G77" s="4648" t="s">
        <v>3677</v>
      </c>
      <c r="H77" s="4648" t="s">
        <v>3677</v>
      </c>
      <c r="I77" s="4648"/>
      <c r="J77" s="4648" t="s">
        <v>3677</v>
      </c>
    </row>
    <row r="78" spans="2:12" s="3074" customFormat="1"/>
    <row r="79" spans="2:12" s="3074" customFormat="1" ht="15.75">
      <c r="B79" s="4648" t="s">
        <v>3678</v>
      </c>
      <c r="C79" s="4648" t="s">
        <v>3678</v>
      </c>
      <c r="D79" s="4648" t="s">
        <v>3678</v>
      </c>
      <c r="E79" s="4648" t="s">
        <v>3678</v>
      </c>
      <c r="F79" s="4648" t="s">
        <v>3678</v>
      </c>
      <c r="G79" s="4648" t="s">
        <v>3678</v>
      </c>
      <c r="H79" s="4648" t="s">
        <v>3678</v>
      </c>
      <c r="I79" s="4648"/>
      <c r="J79" s="4648" t="s">
        <v>3678</v>
      </c>
    </row>
    <row r="80" spans="2:12" s="3074" customFormat="1"/>
    <row r="81" spans="2:19" s="3074" customFormat="1" ht="15.75">
      <c r="B81" s="4648" t="str">
        <f>B55</f>
        <v xml:space="preserve">Отчетный период: </v>
      </c>
      <c r="C81" s="4648" t="s">
        <v>3679</v>
      </c>
      <c r="D81" s="4648" t="s">
        <v>3679</v>
      </c>
      <c r="E81" s="4648" t="s">
        <v>3679</v>
      </c>
      <c r="F81" s="4648" t="s">
        <v>3679</v>
      </c>
      <c r="G81" s="4648" t="s">
        <v>3679</v>
      </c>
      <c r="H81" s="4648" t="s">
        <v>3679</v>
      </c>
      <c r="I81" s="4648"/>
      <c r="J81" s="4648" t="s">
        <v>3679</v>
      </c>
    </row>
    <row r="82" spans="2:19" s="3074" customFormat="1"/>
    <row r="83" spans="2:19" s="3074" customFormat="1" ht="18.75">
      <c r="B83" s="4649" t="s">
        <v>3705</v>
      </c>
      <c r="C83" s="4649" t="s">
        <v>1541</v>
      </c>
      <c r="D83" s="4649" t="s">
        <v>1541</v>
      </c>
      <c r="E83" s="4649" t="s">
        <v>1541</v>
      </c>
      <c r="F83" s="4649" t="s">
        <v>1541</v>
      </c>
      <c r="G83" s="4649" t="s">
        <v>1541</v>
      </c>
      <c r="H83" s="4649" t="s">
        <v>1541</v>
      </c>
      <c r="I83" s="4649"/>
      <c r="J83" s="4649" t="s">
        <v>1541</v>
      </c>
      <c r="K83" s="4649" t="s">
        <v>1541</v>
      </c>
      <c r="L83" s="4649" t="s">
        <v>1541</v>
      </c>
      <c r="M83" s="4649" t="s">
        <v>1541</v>
      </c>
      <c r="N83" s="4649" t="s">
        <v>1541</v>
      </c>
      <c r="O83" s="4649" t="s">
        <v>1541</v>
      </c>
      <c r="P83" s="4649" t="s">
        <v>1541</v>
      </c>
      <c r="Q83" s="4649" t="s">
        <v>1541</v>
      </c>
      <c r="R83" s="4649" t="s">
        <v>1541</v>
      </c>
      <c r="S83" s="4649" t="s">
        <v>1541</v>
      </c>
    </row>
    <row r="84" spans="2:19" s="3074" customFormat="1" ht="15">
      <c r="B84" s="4650"/>
      <c r="C84" s="4650" t="s">
        <v>3680</v>
      </c>
      <c r="D84" s="4650" t="s">
        <v>3681</v>
      </c>
      <c r="E84" s="4650"/>
      <c r="F84" s="4650"/>
      <c r="G84" s="4650"/>
      <c r="H84" s="4650"/>
      <c r="I84" s="3087"/>
      <c r="J84" s="4650">
        <f>J58</f>
        <v>0</v>
      </c>
      <c r="K84" s="4650"/>
      <c r="L84" s="4650"/>
      <c r="M84" s="4650"/>
      <c r="N84" s="4650"/>
      <c r="O84" s="4650" t="s">
        <v>3681</v>
      </c>
      <c r="P84" s="4650"/>
      <c r="Q84" s="4650"/>
      <c r="R84" s="4651"/>
      <c r="S84" s="4651"/>
    </row>
    <row r="85" spans="2:19" s="3074" customFormat="1" ht="150">
      <c r="B85" s="4651"/>
      <c r="C85" s="4651"/>
      <c r="D85" s="3088" t="s">
        <v>3682</v>
      </c>
      <c r="E85" s="3088" t="s">
        <v>3683</v>
      </c>
      <c r="F85" s="3088" t="s">
        <v>3684</v>
      </c>
      <c r="G85" s="3088" t="s">
        <v>3685</v>
      </c>
      <c r="H85" s="3088" t="s">
        <v>1498</v>
      </c>
      <c r="I85" s="3088"/>
      <c r="J85" s="3088" t="s">
        <v>1499</v>
      </c>
      <c r="K85" s="3088" t="s">
        <v>3758</v>
      </c>
      <c r="L85" s="3088" t="s">
        <v>3686</v>
      </c>
      <c r="M85" s="3088" t="s">
        <v>3685</v>
      </c>
      <c r="N85" s="3088" t="s">
        <v>1498</v>
      </c>
      <c r="O85" s="3088" t="s">
        <v>3682</v>
      </c>
      <c r="P85" s="3088" t="s">
        <v>3683</v>
      </c>
      <c r="Q85" s="3088" t="s">
        <v>3684</v>
      </c>
      <c r="R85" s="3088" t="s">
        <v>3685</v>
      </c>
      <c r="S85" s="3088" t="s">
        <v>1498</v>
      </c>
    </row>
    <row r="86" spans="2:19" s="3074" customFormat="1" ht="15.75">
      <c r="B86" s="3089" t="s">
        <v>3703</v>
      </c>
      <c r="C86" s="3090">
        <v>1740</v>
      </c>
      <c r="D86" s="3090">
        <v>0</v>
      </c>
      <c r="E86" s="3090">
        <v>0</v>
      </c>
      <c r="F86" s="3090">
        <v>0</v>
      </c>
      <c r="G86" s="3090">
        <v>0</v>
      </c>
      <c r="H86" s="3090">
        <v>0</v>
      </c>
      <c r="I86" s="3091" t="s">
        <v>3177</v>
      </c>
      <c r="J86" s="3092">
        <f>'Приложение 1111'!E10/1000</f>
        <v>0</v>
      </c>
      <c r="K86" s="3092">
        <v>165</v>
      </c>
      <c r="L86" s="3092">
        <v>167</v>
      </c>
      <c r="M86" s="3090">
        <v>6.9</v>
      </c>
      <c r="N86" s="3090">
        <v>7.02</v>
      </c>
      <c r="O86" s="3090">
        <v>173.8</v>
      </c>
      <c r="P86" s="3090">
        <v>174</v>
      </c>
      <c r="Q86" s="3090">
        <v>186</v>
      </c>
      <c r="R86" s="3090">
        <v>6.9</v>
      </c>
      <c r="S86" s="3094">
        <v>7.02</v>
      </c>
    </row>
    <row r="87" spans="2:19" s="3074" customFormat="1" ht="15.75">
      <c r="B87" s="3095" t="s">
        <v>280</v>
      </c>
      <c r="C87" s="3090"/>
      <c r="D87" s="3090"/>
      <c r="E87" s="3090"/>
      <c r="F87" s="3090"/>
      <c r="G87" s="3090"/>
      <c r="H87" s="3090"/>
      <c r="I87" s="3091" t="s">
        <v>3177</v>
      </c>
      <c r="J87" s="3096">
        <f>J86-J88-J89</f>
        <v>0</v>
      </c>
      <c r="K87" s="3090" t="e">
        <f>K86-K88-K89</f>
        <v>#DIV/0!</v>
      </c>
      <c r="L87" s="3090">
        <f>L86-L88-L89</f>
        <v>11</v>
      </c>
      <c r="M87" s="3097"/>
      <c r="N87" s="3097"/>
      <c r="O87" s="3097"/>
      <c r="P87" s="3097"/>
      <c r="Q87" s="3097"/>
      <c r="R87" s="3097"/>
      <c r="S87" s="3098"/>
    </row>
    <row r="88" spans="2:19" s="3074" customFormat="1" ht="15.75">
      <c r="B88" s="3095" t="s">
        <v>705</v>
      </c>
      <c r="C88" s="3090"/>
      <c r="D88" s="3090"/>
      <c r="E88" s="3090"/>
      <c r="F88" s="3090"/>
      <c r="G88" s="3090"/>
      <c r="H88" s="3090"/>
      <c r="I88" s="3091" t="s">
        <v>3177</v>
      </c>
      <c r="J88" s="3096">
        <f>'Приложение 1111'!E12/1000</f>
        <v>0</v>
      </c>
      <c r="K88" s="3090" t="e">
        <f>ROUND(J88/J86*K86,0)</f>
        <v>#DIV/0!</v>
      </c>
      <c r="L88" s="3090">
        <v>142</v>
      </c>
      <c r="M88" s="3097"/>
      <c r="N88" s="3097"/>
      <c r="O88" s="3097"/>
      <c r="P88" s="3097"/>
      <c r="Q88" s="3097"/>
      <c r="R88" s="3097"/>
      <c r="S88" s="3098"/>
    </row>
    <row r="89" spans="2:19" s="3074" customFormat="1" ht="15.75">
      <c r="B89" s="3095" t="s">
        <v>1758</v>
      </c>
      <c r="C89" s="3090"/>
      <c r="D89" s="3090"/>
      <c r="E89" s="3090"/>
      <c r="F89" s="3090"/>
      <c r="G89" s="3090"/>
      <c r="H89" s="3090"/>
      <c r="I89" s="3091" t="s">
        <v>3177</v>
      </c>
      <c r="J89" s="3096">
        <f>'Приложение 1111'!E16/1000+'Приложение 1111'!E20/1000</f>
        <v>0</v>
      </c>
      <c r="K89" s="3090" t="e">
        <f>ROUND(J89/J86*K86,0)</f>
        <v>#DIV/0!</v>
      </c>
      <c r="L89" s="3090">
        <v>14</v>
      </c>
      <c r="M89" s="3097"/>
      <c r="N89" s="3097"/>
      <c r="O89" s="3097"/>
      <c r="P89" s="3097"/>
      <c r="Q89" s="3097"/>
      <c r="R89" s="3097"/>
      <c r="S89" s="3098"/>
    </row>
    <row r="90" spans="2:19" s="3074" customFormat="1" ht="15.75">
      <c r="B90" s="3089" t="s">
        <v>211</v>
      </c>
      <c r="C90" s="3090">
        <v>1740</v>
      </c>
      <c r="D90" s="3090">
        <v>0</v>
      </c>
      <c r="E90" s="3090">
        <v>0</v>
      </c>
      <c r="F90" s="3090">
        <v>0</v>
      </c>
      <c r="G90" s="3090">
        <v>0</v>
      </c>
      <c r="H90" s="3090">
        <v>0</v>
      </c>
      <c r="I90" s="3091" t="s">
        <v>3701</v>
      </c>
      <c r="J90" s="3092">
        <f>'Приложение 1111'!F10/1000</f>
        <v>0</v>
      </c>
      <c r="K90" s="3092">
        <v>6718.65</v>
      </c>
      <c r="L90" s="3092">
        <v>7282</v>
      </c>
    </row>
    <row r="91" spans="2:19" s="3074" customFormat="1" ht="15.75">
      <c r="B91" s="3095" t="s">
        <v>280</v>
      </c>
      <c r="C91" s="3090"/>
      <c r="D91" s="3090"/>
      <c r="E91" s="3090"/>
      <c r="F91" s="3090"/>
      <c r="G91" s="3090"/>
      <c r="H91" s="3090"/>
      <c r="I91" s="3091" t="s">
        <v>3701</v>
      </c>
      <c r="J91" s="3096">
        <f>J90-J92-J93</f>
        <v>0</v>
      </c>
      <c r="K91" s="3090" t="e">
        <f>K90-K92-K93</f>
        <v>#DIV/0!</v>
      </c>
      <c r="L91" s="3090">
        <f>L90-L92-L93</f>
        <v>793</v>
      </c>
    </row>
    <row r="92" spans="2:19" s="3074" customFormat="1" ht="15.75">
      <c r="B92" s="3095" t="s">
        <v>705</v>
      </c>
      <c r="C92" s="3090"/>
      <c r="D92" s="3090"/>
      <c r="E92" s="3090"/>
      <c r="F92" s="3090"/>
      <c r="G92" s="3090"/>
      <c r="H92" s="3090"/>
      <c r="I92" s="3091" t="s">
        <v>3701</v>
      </c>
      <c r="J92" s="3096">
        <f>'Приложение 1111'!F12/1000</f>
        <v>0</v>
      </c>
      <c r="K92" s="3090" t="e">
        <f>ROUND(J92/J90*K90,0)</f>
        <v>#DIV/0!</v>
      </c>
      <c r="L92" s="3090">
        <v>5926</v>
      </c>
    </row>
    <row r="93" spans="2:19" s="3074" customFormat="1" ht="15.75">
      <c r="B93" s="3095" t="s">
        <v>1758</v>
      </c>
      <c r="C93" s="3090"/>
      <c r="D93" s="3090"/>
      <c r="E93" s="3090"/>
      <c r="F93" s="3090"/>
      <c r="G93" s="3090"/>
      <c r="H93" s="3090"/>
      <c r="I93" s="3091" t="s">
        <v>3701</v>
      </c>
      <c r="J93" s="3096">
        <f>'Приложение 1111'!F16/1000+'Приложение 1111'!F20/1000</f>
        <v>0</v>
      </c>
      <c r="K93" s="3090" t="e">
        <f>ROUND(J93/J90*K90,0)</f>
        <v>#DIV/0!</v>
      </c>
      <c r="L93" s="3090">
        <v>563</v>
      </c>
    </row>
    <row r="94" spans="2:19" s="3074" customFormat="1" ht="15.75">
      <c r="B94" s="3089" t="s">
        <v>1751</v>
      </c>
      <c r="C94" s="3090">
        <v>1740</v>
      </c>
      <c r="D94" s="3090">
        <v>0</v>
      </c>
      <c r="E94" s="3090">
        <v>0</v>
      </c>
      <c r="F94" s="3090">
        <v>0</v>
      </c>
      <c r="G94" s="3090">
        <v>0</v>
      </c>
      <c r="H94" s="3090">
        <v>0</v>
      </c>
      <c r="I94" s="3091" t="s">
        <v>3701</v>
      </c>
      <c r="J94" s="3092">
        <f>SUM(J95:J97)</f>
        <v>0</v>
      </c>
      <c r="K94" s="3092">
        <f>L90</f>
        <v>7282</v>
      </c>
      <c r="L94" s="3092">
        <v>5585</v>
      </c>
    </row>
    <row r="95" spans="2:19" s="3074" customFormat="1" ht="15.75">
      <c r="B95" s="3095" t="s">
        <v>280</v>
      </c>
      <c r="C95" s="3090"/>
      <c r="D95" s="3090"/>
      <c r="E95" s="3090"/>
      <c r="F95" s="3090"/>
      <c r="G95" s="3090"/>
      <c r="H95" s="3090"/>
      <c r="I95" s="3091" t="s">
        <v>3701</v>
      </c>
      <c r="J95" s="3096">
        <f>'Приложение 22222'!F27/1000+'Приложение 22222'!F30/1000</f>
        <v>0</v>
      </c>
      <c r="K95" s="3090" t="e">
        <f>K94-K96-K97</f>
        <v>#DIV/0!</v>
      </c>
      <c r="L95" s="3090">
        <f>L94-L96-L97</f>
        <v>625</v>
      </c>
    </row>
    <row r="96" spans="2:19" s="3074" customFormat="1" ht="15.75">
      <c r="B96" s="3095" t="s">
        <v>705</v>
      </c>
      <c r="C96" s="3090"/>
      <c r="D96" s="3090"/>
      <c r="E96" s="3090"/>
      <c r="F96" s="3090"/>
      <c r="G96" s="3090"/>
      <c r="H96" s="3090"/>
      <c r="I96" s="3091" t="s">
        <v>3701</v>
      </c>
      <c r="J96" s="3096">
        <f>'Приложение 22222'!F9/1000</f>
        <v>0</v>
      </c>
      <c r="K96" s="3090" t="e">
        <f>ROUND(J96/J94*K94,0)</f>
        <v>#DIV/0!</v>
      </c>
      <c r="L96" s="3090">
        <v>4870</v>
      </c>
    </row>
    <row r="97" spans="2:19" s="3074" customFormat="1" ht="15.75">
      <c r="B97" s="3095" t="s">
        <v>1758</v>
      </c>
      <c r="C97" s="3090"/>
      <c r="D97" s="3090"/>
      <c r="E97" s="3090"/>
      <c r="F97" s="3090"/>
      <c r="G97" s="3090"/>
      <c r="H97" s="3090"/>
      <c r="I97" s="3091" t="s">
        <v>3701</v>
      </c>
      <c r="J97" s="3096">
        <f>'Приложение 22222'!F21/1000+'Приложение 22222'!F24/1000</f>
        <v>0</v>
      </c>
      <c r="K97" s="3090" t="e">
        <f>ROUND(J97/J94*K94,0)</f>
        <v>#DIV/0!</v>
      </c>
      <c r="L97" s="3090">
        <v>90</v>
      </c>
    </row>
    <row r="98" spans="2:19" s="3074" customFormat="1"/>
    <row r="99" spans="2:19" s="3074" customFormat="1"/>
    <row r="100" spans="2:19" s="3074" customFormat="1"/>
    <row r="101" spans="2:19" s="3074" customFormat="1" ht="15.75" hidden="1">
      <c r="B101" s="4648" t="s">
        <v>3677</v>
      </c>
      <c r="C101" s="4648" t="s">
        <v>3677</v>
      </c>
      <c r="D101" s="4648" t="s">
        <v>3677</v>
      </c>
      <c r="E101" s="4648" t="s">
        <v>3677</v>
      </c>
      <c r="F101" s="4648" t="s">
        <v>3677</v>
      </c>
      <c r="G101" s="4648" t="s">
        <v>3677</v>
      </c>
      <c r="H101" s="4648" t="s">
        <v>3677</v>
      </c>
      <c r="I101" s="4648"/>
      <c r="J101" s="4648" t="s">
        <v>3677</v>
      </c>
    </row>
    <row r="102" spans="2:19" s="3074" customFormat="1" hidden="1"/>
    <row r="103" spans="2:19" s="3074" customFormat="1" ht="15.75" hidden="1">
      <c r="B103" s="4648" t="s">
        <v>3678</v>
      </c>
      <c r="C103" s="4648" t="s">
        <v>3678</v>
      </c>
      <c r="D103" s="4648" t="s">
        <v>3678</v>
      </c>
      <c r="E103" s="4648" t="s">
        <v>3678</v>
      </c>
      <c r="F103" s="4648" t="s">
        <v>3678</v>
      </c>
      <c r="G103" s="4648" t="s">
        <v>3678</v>
      </c>
      <c r="H103" s="4648" t="s">
        <v>3678</v>
      </c>
      <c r="I103" s="4648"/>
      <c r="J103" s="4648" t="s">
        <v>3678</v>
      </c>
    </row>
    <row r="104" spans="2:19" s="3074" customFormat="1" hidden="1"/>
    <row r="105" spans="2:19" s="3074" customFormat="1" ht="15.75" hidden="1">
      <c r="B105" s="4648" t="str">
        <f>B81</f>
        <v xml:space="preserve">Отчетный период: </v>
      </c>
      <c r="C105" s="4648" t="s">
        <v>3679</v>
      </c>
      <c r="D105" s="4648" t="s">
        <v>3679</v>
      </c>
      <c r="E105" s="4648" t="s">
        <v>3679</v>
      </c>
      <c r="F105" s="4648" t="s">
        <v>3679</v>
      </c>
      <c r="G105" s="4648" t="s">
        <v>3679</v>
      </c>
      <c r="H105" s="4648" t="s">
        <v>3679</v>
      </c>
      <c r="I105" s="4648"/>
      <c r="J105" s="4648" t="s">
        <v>3679</v>
      </c>
    </row>
    <row r="106" spans="2:19" s="3074" customFormat="1" hidden="1"/>
    <row r="107" spans="2:19" s="3074" customFormat="1" ht="18.75" hidden="1">
      <c r="B107" s="4649" t="s">
        <v>3706</v>
      </c>
      <c r="C107" s="4649" t="s">
        <v>1541</v>
      </c>
      <c r="D107" s="4649" t="s">
        <v>1541</v>
      </c>
      <c r="E107" s="4649" t="s">
        <v>1541</v>
      </c>
      <c r="F107" s="4649" t="s">
        <v>1541</v>
      </c>
      <c r="G107" s="4649" t="s">
        <v>1541</v>
      </c>
      <c r="H107" s="4649" t="s">
        <v>1541</v>
      </c>
      <c r="I107" s="4649"/>
      <c r="J107" s="4649" t="s">
        <v>1541</v>
      </c>
      <c r="K107" s="4649" t="s">
        <v>1541</v>
      </c>
      <c r="L107" s="4649" t="s">
        <v>1541</v>
      </c>
      <c r="M107" s="4649" t="s">
        <v>1541</v>
      </c>
      <c r="N107" s="4649" t="s">
        <v>1541</v>
      </c>
      <c r="O107" s="4649" t="s">
        <v>1541</v>
      </c>
      <c r="P107" s="4649" t="s">
        <v>1541</v>
      </c>
      <c r="Q107" s="4649" t="s">
        <v>1541</v>
      </c>
      <c r="R107" s="4649" t="s">
        <v>1541</v>
      </c>
      <c r="S107" s="4649" t="s">
        <v>1541</v>
      </c>
    </row>
    <row r="108" spans="2:19" s="3074" customFormat="1" ht="15" hidden="1">
      <c r="B108" s="4650"/>
      <c r="C108" s="4650" t="s">
        <v>3680</v>
      </c>
      <c r="D108" s="4650" t="s">
        <v>3681</v>
      </c>
      <c r="E108" s="4650"/>
      <c r="F108" s="4650"/>
      <c r="G108" s="4650"/>
      <c r="H108" s="4650"/>
      <c r="I108" s="3087"/>
      <c r="J108" s="4650">
        <f>J84</f>
        <v>0</v>
      </c>
      <c r="K108" s="4650"/>
      <c r="L108" s="4650"/>
      <c r="M108" s="4650"/>
      <c r="N108" s="4650"/>
      <c r="O108" s="4650" t="s">
        <v>3681</v>
      </c>
      <c r="P108" s="4650"/>
      <c r="Q108" s="4650"/>
      <c r="R108" s="4651"/>
      <c r="S108" s="4651"/>
    </row>
    <row r="109" spans="2:19" s="3074" customFormat="1" ht="150" hidden="1">
      <c r="B109" s="4651"/>
      <c r="C109" s="4651"/>
      <c r="D109" s="3088" t="s">
        <v>3682</v>
      </c>
      <c r="E109" s="3088" t="s">
        <v>3683</v>
      </c>
      <c r="F109" s="3088" t="s">
        <v>3684</v>
      </c>
      <c r="G109" s="3088" t="s">
        <v>3685</v>
      </c>
      <c r="H109" s="3088" t="s">
        <v>1498</v>
      </c>
      <c r="I109" s="3088"/>
      <c r="J109" s="3088" t="s">
        <v>1499</v>
      </c>
      <c r="K109" s="3088" t="s">
        <v>3758</v>
      </c>
      <c r="L109" s="3088" t="s">
        <v>3686</v>
      </c>
      <c r="M109" s="3088" t="s">
        <v>3685</v>
      </c>
      <c r="N109" s="3088" t="s">
        <v>1498</v>
      </c>
      <c r="O109" s="3088" t="s">
        <v>3682</v>
      </c>
      <c r="P109" s="3088" t="s">
        <v>3683</v>
      </c>
      <c r="Q109" s="3088" t="s">
        <v>3684</v>
      </c>
      <c r="R109" s="3088" t="s">
        <v>3685</v>
      </c>
      <c r="S109" s="3088" t="s">
        <v>1498</v>
      </c>
    </row>
    <row r="110" spans="2:19" s="3074" customFormat="1" ht="15.75" hidden="1">
      <c r="B110" s="3089" t="s">
        <v>3703</v>
      </c>
      <c r="C110" s="3090">
        <v>1740</v>
      </c>
      <c r="D110" s="3090">
        <v>0</v>
      </c>
      <c r="E110" s="3090">
        <v>0</v>
      </c>
      <c r="F110" s="3090">
        <v>0</v>
      </c>
      <c r="G110" s="3090">
        <v>0</v>
      </c>
      <c r="H110" s="3090">
        <v>0</v>
      </c>
      <c r="I110" s="3091" t="s">
        <v>3704</v>
      </c>
      <c r="J110" s="3090"/>
      <c r="K110" s="3090"/>
      <c r="L110" s="3090"/>
      <c r="M110" s="3090">
        <v>6.9</v>
      </c>
      <c r="N110" s="3090">
        <v>7.02</v>
      </c>
      <c r="O110" s="3090">
        <v>173.8</v>
      </c>
      <c r="P110" s="3090">
        <v>174</v>
      </c>
      <c r="Q110" s="3090">
        <v>186</v>
      </c>
      <c r="R110" s="3090">
        <v>6.9</v>
      </c>
      <c r="S110" s="3094">
        <v>7.02</v>
      </c>
    </row>
    <row r="111" spans="2:19" s="3074" customFormat="1" ht="15.75" hidden="1">
      <c r="B111" s="3089" t="s">
        <v>211</v>
      </c>
      <c r="C111" s="3090">
        <v>1740</v>
      </c>
      <c r="D111" s="3090">
        <v>0</v>
      </c>
      <c r="E111" s="3090">
        <v>0</v>
      </c>
      <c r="F111" s="3090">
        <v>0</v>
      </c>
      <c r="G111" s="3090">
        <v>0</v>
      </c>
      <c r="H111" s="3090">
        <v>0</v>
      </c>
      <c r="I111" s="3091" t="s">
        <v>3701</v>
      </c>
      <c r="J111" s="3090"/>
      <c r="K111" s="3090"/>
      <c r="L111" s="3090"/>
    </row>
    <row r="112" spans="2:19" s="3074" customFormat="1" ht="15.75" hidden="1">
      <c r="B112" s="3089" t="s">
        <v>1751</v>
      </c>
      <c r="C112" s="3090">
        <v>1740</v>
      </c>
      <c r="D112" s="3090">
        <v>0</v>
      </c>
      <c r="E112" s="3090">
        <v>0</v>
      </c>
      <c r="F112" s="3090">
        <v>0</v>
      </c>
      <c r="G112" s="3090">
        <v>0</v>
      </c>
      <c r="H112" s="3090">
        <v>0</v>
      </c>
      <c r="I112" s="3091" t="s">
        <v>3701</v>
      </c>
      <c r="J112" s="3090"/>
      <c r="K112" s="3090"/>
      <c r="L112" s="3090"/>
    </row>
    <row r="113" spans="1:20" s="3074" customFormat="1"/>
    <row r="114" spans="1:20" s="3074" customFormat="1"/>
    <row r="115" spans="1:20" s="3074" customFormat="1" ht="21.75" thickBot="1">
      <c r="B115" s="3101" t="s">
        <v>1779</v>
      </c>
      <c r="J115" s="4647">
        <f>J84</f>
        <v>0</v>
      </c>
      <c r="K115" s="4647"/>
      <c r="L115" s="4647"/>
    </row>
    <row r="116" spans="1:20" s="3074" customFormat="1" ht="34.5" customHeight="1" thickBot="1">
      <c r="A116" s="3102" t="s">
        <v>3</v>
      </c>
      <c r="B116" s="3103" t="s">
        <v>698</v>
      </c>
      <c r="I116" s="3104" t="s">
        <v>210</v>
      </c>
      <c r="J116" s="3105" t="s">
        <v>3707</v>
      </c>
      <c r="K116" s="3105" t="s">
        <v>3759</v>
      </c>
      <c r="L116" s="3105" t="s">
        <v>3707</v>
      </c>
      <c r="T116" s="3106" t="s">
        <v>248</v>
      </c>
    </row>
    <row r="117" spans="1:20" s="3074" customFormat="1" ht="15">
      <c r="A117" s="3107" t="s">
        <v>25</v>
      </c>
      <c r="B117" s="3108" t="s">
        <v>1755</v>
      </c>
      <c r="C117" s="3109"/>
      <c r="D117" s="3109"/>
      <c r="E117" s="3109"/>
      <c r="F117" s="3109"/>
      <c r="G117" s="3109"/>
      <c r="H117" s="3109"/>
      <c r="I117" s="3110" t="s">
        <v>240</v>
      </c>
      <c r="J117" s="2979">
        <f t="shared" ref="J117:L118" si="0">J29/1000</f>
        <v>57.180120000000002</v>
      </c>
      <c r="K117" s="2979">
        <f t="shared" si="0"/>
        <v>-2.3999999999999998E-3</v>
      </c>
      <c r="L117" s="2979">
        <f t="shared" si="0"/>
        <v>-2.2100000000000002E-3</v>
      </c>
      <c r="M117" s="3109"/>
      <c r="N117" s="3109"/>
      <c r="O117" s="3109"/>
      <c r="P117" s="3109"/>
      <c r="Q117" s="3109"/>
      <c r="R117" s="3109"/>
      <c r="S117" s="3109"/>
      <c r="T117" s="2980">
        <f>L117/K117</f>
        <v>0.9208333333333335</v>
      </c>
    </row>
    <row r="118" spans="1:20" s="3074" customFormat="1" ht="15">
      <c r="A118" s="3111"/>
      <c r="B118" s="3112" t="s">
        <v>244</v>
      </c>
      <c r="C118" s="3057"/>
      <c r="D118" s="3057"/>
      <c r="E118" s="3057"/>
      <c r="F118" s="3057"/>
      <c r="G118" s="3057"/>
      <c r="H118" s="3057"/>
      <c r="I118" s="3062" t="s">
        <v>240</v>
      </c>
      <c r="J118" s="2981">
        <f t="shared" si="0"/>
        <v>1.7883280000000001</v>
      </c>
      <c r="K118" s="2981">
        <f t="shared" si="0"/>
        <v>9.58E-3</v>
      </c>
      <c r="L118" s="2981">
        <f t="shared" si="0"/>
        <v>2.66E-3</v>
      </c>
      <c r="M118" s="3057"/>
      <c r="N118" s="3057"/>
      <c r="O118" s="3057"/>
      <c r="P118" s="3057"/>
      <c r="Q118" s="3057"/>
      <c r="R118" s="3057"/>
      <c r="S118" s="3057"/>
      <c r="T118" s="2982">
        <f>L118/K118</f>
        <v>0.27766179540709812</v>
      </c>
    </row>
    <row r="119" spans="1:20" s="3074" customFormat="1" ht="15">
      <c r="A119" s="3111"/>
      <c r="B119" s="3113" t="s">
        <v>1756</v>
      </c>
      <c r="C119" s="3057"/>
      <c r="D119" s="3057"/>
      <c r="E119" s="3057"/>
      <c r="F119" s="3057"/>
      <c r="G119" s="3057"/>
      <c r="H119" s="3057"/>
      <c r="I119" s="3062" t="s">
        <v>248</v>
      </c>
      <c r="J119" s="2983">
        <f>IFERROR(J118/J117,0)</f>
        <v>3.1275345347299026E-2</v>
      </c>
      <c r="K119" s="2983">
        <f>K118/K117</f>
        <v>-3.9916666666666671</v>
      </c>
      <c r="L119" s="2983">
        <f>L118/L117</f>
        <v>-1.2036199095022624</v>
      </c>
      <c r="M119" s="3057"/>
      <c r="N119" s="3057"/>
      <c r="O119" s="3057"/>
      <c r="P119" s="3057"/>
      <c r="Q119" s="3057"/>
      <c r="R119" s="3057"/>
      <c r="S119" s="3057"/>
      <c r="T119" s="2983"/>
    </row>
    <row r="120" spans="1:20" s="3074" customFormat="1" ht="15">
      <c r="A120" s="3111"/>
      <c r="B120" s="3112" t="s">
        <v>1757</v>
      </c>
      <c r="C120" s="3057"/>
      <c r="D120" s="3057"/>
      <c r="E120" s="3057"/>
      <c r="F120" s="3057"/>
      <c r="G120" s="3057"/>
      <c r="H120" s="3057"/>
      <c r="I120" s="3062" t="s">
        <v>240</v>
      </c>
      <c r="J120" s="3114">
        <f>J117-J118</f>
        <v>55.391792000000002</v>
      </c>
      <c r="K120" s="3115">
        <f>K117-K118</f>
        <v>-1.1979999999999999E-2</v>
      </c>
      <c r="L120" s="2984">
        <f>L117-L118</f>
        <v>-4.8700000000000002E-3</v>
      </c>
      <c r="M120" s="3057"/>
      <c r="N120" s="3057"/>
      <c r="O120" s="3057"/>
      <c r="P120" s="3057"/>
      <c r="Q120" s="3057"/>
      <c r="R120" s="3057"/>
      <c r="S120" s="3057"/>
      <c r="T120" s="2985">
        <f t="shared" ref="T120:T126" si="1">L120/K120</f>
        <v>0.40651085141903176</v>
      </c>
    </row>
    <row r="121" spans="1:20" s="3074" customFormat="1" ht="15">
      <c r="A121" s="3111"/>
      <c r="B121" s="3116" t="s">
        <v>280</v>
      </c>
      <c r="C121" s="3057"/>
      <c r="D121" s="3057"/>
      <c r="E121" s="3057"/>
      <c r="F121" s="3057"/>
      <c r="G121" s="3057"/>
      <c r="H121" s="3057"/>
      <c r="I121" s="3117" t="s">
        <v>240</v>
      </c>
      <c r="J121" s="3118">
        <f>J120-J122-J123</f>
        <v>26.399245000000001</v>
      </c>
      <c r="K121" s="3118">
        <f>K120-K122-K123</f>
        <v>-1.6999999999999914E-4</v>
      </c>
      <c r="L121" s="2986">
        <f>L120-L122-L123</f>
        <v>-2.6699999999999996E-3</v>
      </c>
      <c r="M121" s="3057"/>
      <c r="N121" s="3057"/>
      <c r="O121" s="3057"/>
      <c r="P121" s="3057"/>
      <c r="Q121" s="3057"/>
      <c r="R121" s="3057"/>
      <c r="S121" s="3057"/>
      <c r="T121" s="2987">
        <f t="shared" si="1"/>
        <v>15.705882352941254</v>
      </c>
    </row>
    <row r="122" spans="1:20" s="3074" customFormat="1" ht="15">
      <c r="A122" s="3119"/>
      <c r="B122" s="3116" t="s">
        <v>705</v>
      </c>
      <c r="C122" s="3057"/>
      <c r="D122" s="3057"/>
      <c r="E122" s="3057"/>
      <c r="F122" s="3057"/>
      <c r="G122" s="3057"/>
      <c r="H122" s="3057"/>
      <c r="I122" s="3117" t="s">
        <v>240</v>
      </c>
      <c r="J122" s="2981">
        <f>J28/1000</f>
        <v>24.830239000000002</v>
      </c>
      <c r="K122" s="2981">
        <f>K28/1000</f>
        <v>-7.3000000000000001E-3</v>
      </c>
      <c r="L122" s="2981">
        <f>L28/1000</f>
        <v>-6.4200000000000004E-3</v>
      </c>
      <c r="M122" s="3057"/>
      <c r="N122" s="3057"/>
      <c r="O122" s="3057"/>
      <c r="P122" s="3057"/>
      <c r="Q122" s="3057"/>
      <c r="R122" s="3057"/>
      <c r="S122" s="3057"/>
      <c r="T122" s="2987">
        <f t="shared" si="1"/>
        <v>0.8794520547945206</v>
      </c>
    </row>
    <row r="123" spans="1:20" s="3074" customFormat="1" ht="15">
      <c r="A123" s="3119"/>
      <c r="B123" s="3116" t="s">
        <v>1758</v>
      </c>
      <c r="C123" s="3057"/>
      <c r="D123" s="3057"/>
      <c r="E123" s="3057"/>
      <c r="F123" s="3057"/>
      <c r="G123" s="3057"/>
      <c r="H123" s="3057"/>
      <c r="I123" s="3117" t="s">
        <v>240</v>
      </c>
      <c r="J123" s="2981">
        <f>J16/1000</f>
        <v>4.1623080000000003</v>
      </c>
      <c r="K123" s="2981">
        <f>K16/1000</f>
        <v>-4.5100000000000001E-3</v>
      </c>
      <c r="L123" s="2981">
        <f>L16/1000</f>
        <v>4.2199999999999998E-3</v>
      </c>
      <c r="M123" s="3057"/>
      <c r="N123" s="3057"/>
      <c r="O123" s="3057"/>
      <c r="P123" s="3057"/>
      <c r="Q123" s="3057"/>
      <c r="R123" s="3057"/>
      <c r="S123" s="3057"/>
      <c r="T123" s="2987">
        <f t="shared" si="1"/>
        <v>-0.93569844789356982</v>
      </c>
    </row>
    <row r="124" spans="1:20" s="3074" customFormat="1" ht="15">
      <c r="A124" s="3119" t="s">
        <v>27</v>
      </c>
      <c r="B124" s="3120" t="s">
        <v>1749</v>
      </c>
      <c r="C124" s="3057"/>
      <c r="D124" s="3057"/>
      <c r="E124" s="3057"/>
      <c r="F124" s="3057"/>
      <c r="G124" s="3057"/>
      <c r="H124" s="3057"/>
      <c r="I124" s="3121" t="s">
        <v>240</v>
      </c>
      <c r="J124" s="2988">
        <f>J32/1000</f>
        <v>55.312284999999996</v>
      </c>
      <c r="K124" s="2988">
        <f>K32/1000</f>
        <v>-3.81E-3</v>
      </c>
      <c r="L124" s="2988">
        <f>L32/1000</f>
        <v>-2.9199999999999999E-3</v>
      </c>
      <c r="M124" s="3057"/>
      <c r="N124" s="3057"/>
      <c r="O124" s="3057"/>
      <c r="P124" s="3057"/>
      <c r="Q124" s="3057"/>
      <c r="R124" s="3057"/>
      <c r="S124" s="3057"/>
      <c r="T124" s="2989">
        <f t="shared" si="1"/>
        <v>0.76640419947506555</v>
      </c>
    </row>
    <row r="125" spans="1:20" s="3074" customFormat="1" ht="15.75" thickBot="1">
      <c r="A125" s="3122" t="s">
        <v>427</v>
      </c>
      <c r="B125" s="3123" t="s">
        <v>3708</v>
      </c>
      <c r="C125" s="3069"/>
      <c r="D125" s="3069"/>
      <c r="E125" s="3069"/>
      <c r="F125" s="3069"/>
      <c r="G125" s="3069"/>
      <c r="H125" s="3069"/>
      <c r="I125" s="3124" t="s">
        <v>240</v>
      </c>
      <c r="J125" s="3125">
        <f>J124-J126</f>
        <v>55.312284999999996</v>
      </c>
      <c r="K125" s="3125">
        <f t="shared" ref="K125:L125" si="2">K124-K126</f>
        <v>-3.81E-3</v>
      </c>
      <c r="L125" s="3125">
        <f t="shared" si="2"/>
        <v>-2.9199999999999999E-3</v>
      </c>
      <c r="M125" s="3069"/>
      <c r="N125" s="3069"/>
      <c r="O125" s="3069"/>
      <c r="P125" s="3069"/>
      <c r="Q125" s="3069"/>
      <c r="R125" s="3069"/>
      <c r="S125" s="3069"/>
      <c r="T125" s="3126">
        <f t="shared" si="1"/>
        <v>0.76640419947506555</v>
      </c>
    </row>
    <row r="126" spans="1:20" s="3074" customFormat="1" ht="15" hidden="1">
      <c r="A126" s="3127" t="s">
        <v>428</v>
      </c>
      <c r="B126" s="3128" t="s">
        <v>3709</v>
      </c>
      <c r="I126" s="3129" t="s">
        <v>240</v>
      </c>
      <c r="J126" s="3130"/>
      <c r="K126" s="3130"/>
      <c r="L126" s="3130"/>
      <c r="T126" s="3131" t="e">
        <f t="shared" si="1"/>
        <v>#DIV/0!</v>
      </c>
    </row>
    <row r="127" spans="1:20" s="3074" customFormat="1" ht="18.75" thickBot="1">
      <c r="A127" s="3132"/>
      <c r="B127" s="3133"/>
      <c r="I127" s="3134"/>
      <c r="J127" s="3135"/>
      <c r="K127" s="3136"/>
      <c r="L127" s="3137"/>
      <c r="T127" s="3138"/>
    </row>
    <row r="128" spans="1:20" s="3074" customFormat="1" ht="15">
      <c r="A128" s="3107" t="s">
        <v>41</v>
      </c>
      <c r="B128" s="3139" t="s">
        <v>1759</v>
      </c>
      <c r="C128" s="3109"/>
      <c r="D128" s="3109"/>
      <c r="E128" s="3109"/>
      <c r="F128" s="3109"/>
      <c r="G128" s="3109"/>
      <c r="H128" s="3109"/>
      <c r="I128" s="3110" t="s">
        <v>1760</v>
      </c>
      <c r="J128" s="3140">
        <f>J129+J130</f>
        <v>53.818308530000003</v>
      </c>
      <c r="K128" s="3141">
        <v>150.10853328521401</v>
      </c>
      <c r="L128" s="3142">
        <v>137.18384234570993</v>
      </c>
      <c r="M128" s="3109"/>
      <c r="N128" s="3109"/>
      <c r="O128" s="3109"/>
      <c r="P128" s="3109"/>
      <c r="Q128" s="3109"/>
      <c r="R128" s="3109"/>
      <c r="S128" s="3109"/>
      <c r="T128" s="3143">
        <f t="shared" ref="T128:T142" si="3">L128/K128</f>
        <v>0.91389769351122441</v>
      </c>
    </row>
    <row r="129" spans="1:20" s="3074" customFormat="1" ht="15">
      <c r="A129" s="3220"/>
      <c r="B129" s="3225" t="s">
        <v>3765</v>
      </c>
      <c r="C129" s="3057"/>
      <c r="D129" s="3057"/>
      <c r="E129" s="3057"/>
      <c r="F129" s="3057"/>
      <c r="G129" s="3057"/>
      <c r="H129" s="3057"/>
      <c r="I129" s="3221"/>
      <c r="J129" s="3226">
        <f>'Шаблон 46 ГП'!L9/1000000</f>
        <v>53.818308530000003</v>
      </c>
      <c r="K129" s="3222"/>
      <c r="L129" s="3223"/>
      <c r="M129" s="3057"/>
      <c r="N129" s="3057"/>
      <c r="O129" s="3057"/>
      <c r="P129" s="3057"/>
      <c r="Q129" s="3057"/>
      <c r="R129" s="3057"/>
      <c r="S129" s="3057"/>
      <c r="T129" s="3224"/>
    </row>
    <row r="130" spans="1:20" s="3074" customFormat="1" ht="15">
      <c r="A130" s="3220"/>
      <c r="B130" s="3225" t="s">
        <v>3766</v>
      </c>
      <c r="C130" s="3057"/>
      <c r="D130" s="3057"/>
      <c r="E130" s="3057"/>
      <c r="F130" s="3057"/>
      <c r="G130" s="3057"/>
      <c r="H130" s="3057"/>
      <c r="I130" s="3221"/>
      <c r="J130" s="3226">
        <f>'Шаблон 46 ЭСК'!L9/1000000</f>
        <v>0</v>
      </c>
      <c r="K130" s="3222"/>
      <c r="L130" s="3223"/>
      <c r="M130" s="3057"/>
      <c r="N130" s="3057"/>
      <c r="O130" s="3057"/>
      <c r="P130" s="3057"/>
      <c r="Q130" s="3057"/>
      <c r="R130" s="3057"/>
      <c r="S130" s="3057"/>
      <c r="T130" s="3224"/>
    </row>
    <row r="131" spans="1:20" s="3074" customFormat="1" ht="15">
      <c r="A131" s="3119" t="s">
        <v>44</v>
      </c>
      <c r="B131" s="3120" t="s">
        <v>1750</v>
      </c>
      <c r="C131" s="3057"/>
      <c r="D131" s="3057"/>
      <c r="E131" s="3057"/>
      <c r="F131" s="3057"/>
      <c r="G131" s="3057"/>
      <c r="H131" s="3057"/>
      <c r="I131" s="3144" t="s">
        <v>1760</v>
      </c>
      <c r="J131" s="2988">
        <f>J36/1000</f>
        <v>127.51447548999998</v>
      </c>
      <c r="K131" s="2988">
        <f>K36/1000</f>
        <v>-2.2599999999999999E-3</v>
      </c>
      <c r="L131" s="2988">
        <f>L36/1000</f>
        <v>-3.0200000000000001E-3</v>
      </c>
      <c r="M131" s="3057"/>
      <c r="N131" s="3057"/>
      <c r="O131" s="3057"/>
      <c r="P131" s="3057"/>
      <c r="Q131" s="3057"/>
      <c r="R131" s="3057"/>
      <c r="S131" s="3057"/>
      <c r="T131" s="2989">
        <f t="shared" si="3"/>
        <v>1.336283185840708</v>
      </c>
    </row>
    <row r="132" spans="1:20" s="3074" customFormat="1" ht="15">
      <c r="A132" s="3111" t="s">
        <v>285</v>
      </c>
      <c r="B132" s="3145" t="s">
        <v>3710</v>
      </c>
      <c r="C132" s="3057"/>
      <c r="D132" s="3057"/>
      <c r="E132" s="3057"/>
      <c r="F132" s="3057"/>
      <c r="G132" s="3057"/>
      <c r="H132" s="3057"/>
      <c r="I132" s="3146" t="s">
        <v>1760</v>
      </c>
      <c r="J132" s="2990">
        <f>J131-J133</f>
        <v>127.51447548999998</v>
      </c>
      <c r="K132" s="2990">
        <f t="shared" ref="K132:L132" si="4">K131-K133</f>
        <v>-2.2599999999999999E-3</v>
      </c>
      <c r="L132" s="2990">
        <f t="shared" si="4"/>
        <v>-3.0200000000000001E-3</v>
      </c>
      <c r="M132" s="3057"/>
      <c r="N132" s="3057"/>
      <c r="O132" s="3057"/>
      <c r="P132" s="3057"/>
      <c r="Q132" s="3057"/>
      <c r="R132" s="3057"/>
      <c r="S132" s="3057"/>
      <c r="T132" s="2989">
        <f t="shared" si="3"/>
        <v>1.336283185840708</v>
      </c>
    </row>
    <row r="133" spans="1:20" s="3074" customFormat="1" ht="15" hidden="1">
      <c r="A133" s="3111" t="s">
        <v>286</v>
      </c>
      <c r="B133" s="3145" t="s">
        <v>3711</v>
      </c>
      <c r="C133" s="3057"/>
      <c r="D133" s="3057"/>
      <c r="E133" s="3057"/>
      <c r="F133" s="3057"/>
      <c r="G133" s="3057"/>
      <c r="H133" s="3057"/>
      <c r="I133" s="3146" t="s">
        <v>1760</v>
      </c>
      <c r="J133" s="2990"/>
      <c r="K133" s="2990"/>
      <c r="L133" s="2990"/>
      <c r="M133" s="3057"/>
      <c r="N133" s="3057"/>
      <c r="O133" s="3057"/>
      <c r="P133" s="3057"/>
      <c r="Q133" s="3057"/>
      <c r="R133" s="3057"/>
      <c r="S133" s="3057"/>
      <c r="T133" s="2989" t="e">
        <f t="shared" si="3"/>
        <v>#DIV/0!</v>
      </c>
    </row>
    <row r="134" spans="1:20" s="3074" customFormat="1" ht="15.75" thickBot="1">
      <c r="A134" s="3147" t="s">
        <v>45</v>
      </c>
      <c r="B134" s="3148" t="s">
        <v>3712</v>
      </c>
      <c r="C134" s="3057"/>
      <c r="D134" s="3057"/>
      <c r="E134" s="3057"/>
      <c r="F134" s="3057"/>
      <c r="G134" s="3057"/>
      <c r="H134" s="3057"/>
      <c r="I134" s="3149" t="s">
        <v>1752</v>
      </c>
      <c r="J134" s="2991">
        <f>J39/1000</f>
        <v>395.15163843599993</v>
      </c>
      <c r="K134" s="2991">
        <f>K39/1000</f>
        <v>324.66500000000002</v>
      </c>
      <c r="L134" s="2991">
        <f>L39/1000</f>
        <v>333.893282</v>
      </c>
      <c r="M134" s="3057"/>
      <c r="N134" s="3057"/>
      <c r="O134" s="3057"/>
      <c r="P134" s="3057"/>
      <c r="Q134" s="3057"/>
      <c r="R134" s="3057"/>
      <c r="S134" s="3057"/>
      <c r="T134" s="2992">
        <f t="shared" si="3"/>
        <v>1.0284240124435957</v>
      </c>
    </row>
    <row r="135" spans="1:20" s="3074" customFormat="1" ht="15">
      <c r="A135" s="3111" t="s">
        <v>3120</v>
      </c>
      <c r="B135" s="3112" t="s">
        <v>280</v>
      </c>
      <c r="C135" s="3057"/>
      <c r="D135" s="3057"/>
      <c r="E135" s="3057"/>
      <c r="F135" s="3057"/>
      <c r="G135" s="3057"/>
      <c r="H135" s="3057"/>
      <c r="I135" s="3117" t="s">
        <v>1752</v>
      </c>
      <c r="J135" s="3118">
        <f t="shared" ref="J135:J143" si="5">J40/1000</f>
        <v>278.41508638399984</v>
      </c>
      <c r="K135" s="3118">
        <f t="shared" ref="K135:L135" si="6">K40/1000</f>
        <v>207.92844794799998</v>
      </c>
      <c r="L135" s="2986">
        <f t="shared" si="6"/>
        <v>220.349627</v>
      </c>
      <c r="M135" s="3057"/>
      <c r="N135" s="3057"/>
      <c r="O135" s="3057"/>
      <c r="P135" s="3057"/>
      <c r="Q135" s="3057"/>
      <c r="R135" s="3057"/>
      <c r="S135" s="3057"/>
      <c r="T135" s="2987">
        <f t="shared" si="3"/>
        <v>1.0597377567840374</v>
      </c>
    </row>
    <row r="136" spans="1:20" s="3074" customFormat="1" ht="15">
      <c r="A136" s="3111" t="s">
        <v>3216</v>
      </c>
      <c r="B136" s="3112" t="s">
        <v>705</v>
      </c>
      <c r="C136" s="3057"/>
      <c r="D136" s="3057"/>
      <c r="E136" s="3057"/>
      <c r="F136" s="3057"/>
      <c r="G136" s="3057"/>
      <c r="H136" s="3057"/>
      <c r="I136" s="3117" t="s">
        <v>1752</v>
      </c>
      <c r="J136" s="3118">
        <f t="shared" si="5"/>
        <v>68.444663712000036</v>
      </c>
      <c r="K136" s="2981">
        <f t="shared" ref="K136:L139" si="7">K41/1000</f>
        <v>68.444663712000036</v>
      </c>
      <c r="L136" s="2981">
        <f t="shared" si="7"/>
        <v>63.776754999999994</v>
      </c>
      <c r="M136" s="3057"/>
      <c r="N136" s="3057"/>
      <c r="O136" s="3057"/>
      <c r="P136" s="3057"/>
      <c r="Q136" s="3057"/>
      <c r="R136" s="3057"/>
      <c r="S136" s="3057"/>
      <c r="T136" s="2987">
        <f t="shared" si="3"/>
        <v>0.93180025353559237</v>
      </c>
    </row>
    <row r="137" spans="1:20" s="3074" customFormat="1" ht="15">
      <c r="A137" s="3111" t="s">
        <v>3273</v>
      </c>
      <c r="B137" s="3112" t="s">
        <v>1758</v>
      </c>
      <c r="C137" s="3057"/>
      <c r="D137" s="3057"/>
      <c r="E137" s="3057"/>
      <c r="F137" s="3057"/>
      <c r="G137" s="3057"/>
      <c r="H137" s="3057"/>
      <c r="I137" s="3117" t="s">
        <v>1752</v>
      </c>
      <c r="J137" s="3118">
        <f t="shared" si="5"/>
        <v>39.815277999999999</v>
      </c>
      <c r="K137" s="2981">
        <f t="shared" si="7"/>
        <v>39.815277999999999</v>
      </c>
      <c r="L137" s="2981">
        <f t="shared" si="7"/>
        <v>35.875362000000003</v>
      </c>
      <c r="M137" s="3057"/>
      <c r="N137" s="3057"/>
      <c r="O137" s="3057"/>
      <c r="P137" s="3057"/>
      <c r="Q137" s="3057"/>
      <c r="R137" s="3057"/>
      <c r="S137" s="3057"/>
      <c r="T137" s="2987">
        <f t="shared" si="3"/>
        <v>0.90104512142298754</v>
      </c>
    </row>
    <row r="138" spans="1:20" s="3074" customFormat="1" ht="15.75" thickBot="1">
      <c r="A138" s="3150" t="s">
        <v>3760</v>
      </c>
      <c r="B138" s="3151" t="s">
        <v>238</v>
      </c>
      <c r="C138" s="3057"/>
      <c r="D138" s="3057"/>
      <c r="E138" s="3057"/>
      <c r="F138" s="3057"/>
      <c r="G138" s="3057"/>
      <c r="H138" s="3057"/>
      <c r="I138" s="3152" t="s">
        <v>1752</v>
      </c>
      <c r="J138" s="3153">
        <f t="shared" si="5"/>
        <v>8.4766103399999988</v>
      </c>
      <c r="K138" s="3154">
        <f t="shared" si="7"/>
        <v>8.4766103399999988</v>
      </c>
      <c r="L138" s="3154">
        <f t="shared" si="7"/>
        <v>13.891538000000001</v>
      </c>
      <c r="M138" s="3057"/>
      <c r="N138" s="3057"/>
      <c r="O138" s="3057"/>
      <c r="P138" s="3057"/>
      <c r="Q138" s="3057"/>
      <c r="R138" s="3057"/>
      <c r="S138" s="3057"/>
      <c r="T138" s="3155">
        <f t="shared" si="3"/>
        <v>1.6388081370742829</v>
      </c>
    </row>
    <row r="139" spans="1:20" s="3074" customFormat="1" ht="15.75" thickBot="1">
      <c r="A139" s="3156" t="s">
        <v>52</v>
      </c>
      <c r="B139" s="3157" t="s">
        <v>1762</v>
      </c>
      <c r="C139" s="3158"/>
      <c r="D139" s="3158"/>
      <c r="E139" s="3158"/>
      <c r="F139" s="3158"/>
      <c r="G139" s="3158"/>
      <c r="H139" s="3158"/>
      <c r="I139" s="3159" t="s">
        <v>1752</v>
      </c>
      <c r="J139" s="3160">
        <f t="shared" si="5"/>
        <v>0</v>
      </c>
      <c r="K139" s="3160">
        <f t="shared" si="7"/>
        <v>333.893282</v>
      </c>
      <c r="L139" s="3160">
        <f t="shared" si="7"/>
        <v>231.82788399999998</v>
      </c>
      <c r="M139" s="3158"/>
      <c r="N139" s="3158"/>
      <c r="O139" s="3158"/>
      <c r="P139" s="3158"/>
      <c r="Q139" s="3158"/>
      <c r="R139" s="3158"/>
      <c r="S139" s="3158"/>
      <c r="T139" s="3161">
        <f t="shared" si="3"/>
        <v>0.69431730585103535</v>
      </c>
    </row>
    <row r="140" spans="1:20" s="3074" customFormat="1" ht="15">
      <c r="A140" s="3162" t="s">
        <v>3334</v>
      </c>
      <c r="B140" s="3163" t="s">
        <v>280</v>
      </c>
      <c r="C140" s="3109"/>
      <c r="D140" s="3109"/>
      <c r="E140" s="3109"/>
      <c r="F140" s="3109"/>
      <c r="G140" s="3109"/>
      <c r="H140" s="3109"/>
      <c r="I140" s="3164" t="s">
        <v>1752</v>
      </c>
      <c r="J140" s="3165">
        <f t="shared" si="5"/>
        <v>0</v>
      </c>
      <c r="K140" s="3165">
        <f t="shared" ref="K140:L140" si="8">K45/1000</f>
        <v>333.893282</v>
      </c>
      <c r="L140" s="3166">
        <f t="shared" si="8"/>
        <v>153.75248799999997</v>
      </c>
      <c r="M140" s="3109"/>
      <c r="N140" s="3109"/>
      <c r="O140" s="3109"/>
      <c r="P140" s="3109"/>
      <c r="Q140" s="3109"/>
      <c r="R140" s="3109"/>
      <c r="S140" s="3109"/>
      <c r="T140" s="3167">
        <f t="shared" si="3"/>
        <v>0.46048392192568871</v>
      </c>
    </row>
    <row r="141" spans="1:20" s="3074" customFormat="1" ht="15">
      <c r="A141" s="3111" t="s">
        <v>3366</v>
      </c>
      <c r="B141" s="3112" t="s">
        <v>705</v>
      </c>
      <c r="C141" s="3057"/>
      <c r="D141" s="3057"/>
      <c r="E141" s="3057"/>
      <c r="F141" s="3057"/>
      <c r="G141" s="3057"/>
      <c r="H141" s="3057"/>
      <c r="I141" s="3117" t="s">
        <v>1752</v>
      </c>
      <c r="J141" s="2981">
        <f t="shared" si="5"/>
        <v>0</v>
      </c>
      <c r="K141" s="2981">
        <f t="shared" ref="K141:L143" si="9">K46/1000</f>
        <v>0</v>
      </c>
      <c r="L141" s="2981">
        <f t="shared" si="9"/>
        <v>57.609362000000004</v>
      </c>
      <c r="M141" s="3057"/>
      <c r="N141" s="3057"/>
      <c r="O141" s="3057"/>
      <c r="P141" s="3057"/>
      <c r="Q141" s="3057"/>
      <c r="R141" s="3057"/>
      <c r="S141" s="3057"/>
      <c r="T141" s="2987" t="e">
        <f t="shared" si="3"/>
        <v>#DIV/0!</v>
      </c>
    </row>
    <row r="142" spans="1:20" s="3074" customFormat="1" ht="15">
      <c r="A142" s="3111" t="s">
        <v>3389</v>
      </c>
      <c r="B142" s="3112" t="s">
        <v>1758</v>
      </c>
      <c r="C142" s="3057"/>
      <c r="D142" s="3057"/>
      <c r="E142" s="3057"/>
      <c r="F142" s="3057"/>
      <c r="G142" s="3057"/>
      <c r="H142" s="3057"/>
      <c r="I142" s="3117" t="s">
        <v>1752</v>
      </c>
      <c r="J142" s="2981">
        <f t="shared" si="5"/>
        <v>0</v>
      </c>
      <c r="K142" s="2981">
        <f t="shared" si="9"/>
        <v>0</v>
      </c>
      <c r="L142" s="2981">
        <f t="shared" si="9"/>
        <v>20.460708999999998</v>
      </c>
      <c r="M142" s="3057"/>
      <c r="N142" s="3057"/>
      <c r="O142" s="3057"/>
      <c r="P142" s="3057"/>
      <c r="Q142" s="3057"/>
      <c r="R142" s="3057"/>
      <c r="S142" s="3057"/>
      <c r="T142" s="2987" t="e">
        <f t="shared" si="3"/>
        <v>#DIV/0!</v>
      </c>
    </row>
    <row r="143" spans="1:20" s="3074" customFormat="1" ht="15.75" thickBot="1">
      <c r="A143" s="3122" t="s">
        <v>3761</v>
      </c>
      <c r="B143" s="3168" t="s">
        <v>238</v>
      </c>
      <c r="C143" s="3069"/>
      <c r="D143" s="3069"/>
      <c r="E143" s="3069"/>
      <c r="F143" s="3069"/>
      <c r="G143" s="3069"/>
      <c r="H143" s="3069"/>
      <c r="I143" s="3169" t="s">
        <v>1752</v>
      </c>
      <c r="J143" s="3170">
        <f t="shared" si="5"/>
        <v>0</v>
      </c>
      <c r="K143" s="3170">
        <f t="shared" si="9"/>
        <v>0</v>
      </c>
      <c r="L143" s="3170">
        <f t="shared" si="9"/>
        <v>5.3249999999999999E-3</v>
      </c>
      <c r="M143" s="3069"/>
      <c r="N143" s="3069"/>
      <c r="O143" s="3069"/>
      <c r="P143" s="3069"/>
      <c r="Q143" s="3069"/>
      <c r="R143" s="3069"/>
      <c r="S143" s="3069"/>
      <c r="T143" s="3171"/>
    </row>
    <row r="144" spans="1:20" s="3074" customFormat="1" ht="15.75" thickBot="1">
      <c r="A144" s="3099"/>
      <c r="B144" s="3172"/>
      <c r="I144" s="3173"/>
      <c r="J144" s="3174"/>
      <c r="K144" s="3174"/>
      <c r="L144" s="3174"/>
      <c r="T144" s="3175"/>
    </row>
    <row r="145" spans="1:20" s="3074" customFormat="1" ht="16.5" thickBot="1">
      <c r="A145" s="3176"/>
      <c r="B145" s="3177" t="s">
        <v>3713</v>
      </c>
      <c r="I145" s="3178"/>
      <c r="J145" s="3179"/>
      <c r="K145" s="3179"/>
      <c r="L145" s="3179"/>
      <c r="M145" s="3158"/>
      <c r="N145" s="3158"/>
      <c r="O145" s="3158"/>
      <c r="P145" s="3158"/>
      <c r="Q145" s="3158"/>
      <c r="R145" s="3158"/>
      <c r="S145" s="3158"/>
      <c r="T145" s="3180"/>
    </row>
    <row r="146" spans="1:20" s="3074" customFormat="1" ht="15.75" thickBot="1">
      <c r="A146" s="3156" t="s">
        <v>25</v>
      </c>
      <c r="B146" s="3181" t="s">
        <v>3333</v>
      </c>
      <c r="C146" s="3158"/>
      <c r="D146" s="3158"/>
      <c r="E146" s="3158"/>
      <c r="F146" s="3158"/>
      <c r="G146" s="3158"/>
      <c r="H146" s="3158"/>
      <c r="I146" s="3182" t="s">
        <v>3177</v>
      </c>
      <c r="J146" s="3160">
        <f>J60</f>
        <v>0</v>
      </c>
      <c r="K146" s="3183">
        <f>K60</f>
        <v>170</v>
      </c>
      <c r="L146" s="3160">
        <f>L60</f>
        <v>171</v>
      </c>
      <c r="M146" s="3158"/>
      <c r="N146" s="3158"/>
      <c r="O146" s="3158"/>
      <c r="P146" s="3158"/>
      <c r="Q146" s="3158"/>
      <c r="R146" s="3158"/>
      <c r="S146" s="3158"/>
      <c r="T146" s="3184">
        <f t="shared" ref="T146:T154" si="10">L146/K146</f>
        <v>1.0058823529411764</v>
      </c>
    </row>
    <row r="147" spans="1:20" s="3074" customFormat="1" ht="15.75" thickBot="1">
      <c r="A147" s="3185" t="s">
        <v>27</v>
      </c>
      <c r="B147" s="3181" t="s">
        <v>211</v>
      </c>
      <c r="C147" s="3158"/>
      <c r="D147" s="3158"/>
      <c r="E147" s="3158"/>
      <c r="F147" s="3158"/>
      <c r="G147" s="3158"/>
      <c r="H147" s="3158"/>
      <c r="I147" s="3159" t="s">
        <v>1752</v>
      </c>
      <c r="J147" s="3160">
        <f t="shared" ref="J147:L154" si="11">J64/1000</f>
        <v>0</v>
      </c>
      <c r="K147" s="3183">
        <f t="shared" si="11"/>
        <v>10.976610000000001</v>
      </c>
      <c r="L147" s="3160">
        <f t="shared" si="11"/>
        <v>11.292</v>
      </c>
      <c r="M147" s="3158"/>
      <c r="N147" s="3158"/>
      <c r="O147" s="3158"/>
      <c r="P147" s="3158"/>
      <c r="Q147" s="3158"/>
      <c r="R147" s="3158"/>
      <c r="S147" s="3158"/>
      <c r="T147" s="3184">
        <f t="shared" si="10"/>
        <v>1.0287329148070306</v>
      </c>
    </row>
    <row r="148" spans="1:20" s="3074" customFormat="1" ht="15">
      <c r="A148" s="3186"/>
      <c r="B148" s="3163" t="s">
        <v>280</v>
      </c>
      <c r="C148" s="3109"/>
      <c r="D148" s="3109"/>
      <c r="E148" s="3109"/>
      <c r="F148" s="3109"/>
      <c r="G148" s="3109"/>
      <c r="H148" s="3109"/>
      <c r="I148" s="3187" t="s">
        <v>1752</v>
      </c>
      <c r="J148" s="3188">
        <f t="shared" si="11"/>
        <v>0</v>
      </c>
      <c r="K148" s="3188" t="e">
        <f t="shared" si="11"/>
        <v>#DIV/0!</v>
      </c>
      <c r="L148" s="3188">
        <f t="shared" si="11"/>
        <v>0.24399999999999999</v>
      </c>
      <c r="M148" s="3109"/>
      <c r="N148" s="3109"/>
      <c r="O148" s="3109"/>
      <c r="P148" s="3109"/>
      <c r="Q148" s="3109"/>
      <c r="R148" s="3109"/>
      <c r="S148" s="3109"/>
      <c r="T148" s="3167" t="e">
        <f t="shared" si="10"/>
        <v>#DIV/0!</v>
      </c>
    </row>
    <row r="149" spans="1:20" s="3074" customFormat="1" ht="15">
      <c r="A149" s="3189"/>
      <c r="B149" s="3112" t="s">
        <v>705</v>
      </c>
      <c r="C149" s="3057"/>
      <c r="D149" s="3057"/>
      <c r="E149" s="3057"/>
      <c r="F149" s="3057"/>
      <c r="G149" s="3057"/>
      <c r="H149" s="3057"/>
      <c r="I149" s="3062" t="s">
        <v>1752</v>
      </c>
      <c r="J149" s="2981">
        <f t="shared" si="11"/>
        <v>0</v>
      </c>
      <c r="K149" s="2981" t="e">
        <f t="shared" si="11"/>
        <v>#DIV/0!</v>
      </c>
      <c r="L149" s="2981">
        <f t="shared" si="11"/>
        <v>10.433999999999999</v>
      </c>
      <c r="M149" s="3057"/>
      <c r="N149" s="3057"/>
      <c r="O149" s="3057"/>
      <c r="P149" s="3057"/>
      <c r="Q149" s="3057"/>
      <c r="R149" s="3057"/>
      <c r="S149" s="3057"/>
      <c r="T149" s="2987" t="e">
        <f t="shared" si="10"/>
        <v>#DIV/0!</v>
      </c>
    </row>
    <row r="150" spans="1:20" s="3074" customFormat="1" ht="15.75" thickBot="1">
      <c r="A150" s="3190"/>
      <c r="B150" s="3168" t="s">
        <v>1758</v>
      </c>
      <c r="C150" s="3069"/>
      <c r="D150" s="3069"/>
      <c r="E150" s="3069"/>
      <c r="F150" s="3069"/>
      <c r="G150" s="3069"/>
      <c r="H150" s="3069"/>
      <c r="I150" s="3070" t="s">
        <v>1752</v>
      </c>
      <c r="J150" s="3191">
        <f t="shared" si="11"/>
        <v>0</v>
      </c>
      <c r="K150" s="3191" t="e">
        <f t="shared" si="11"/>
        <v>#DIV/0!</v>
      </c>
      <c r="L150" s="3191">
        <f t="shared" si="11"/>
        <v>0.61399999999999999</v>
      </c>
      <c r="M150" s="3069"/>
      <c r="N150" s="3069"/>
      <c r="O150" s="3069"/>
      <c r="P150" s="3069"/>
      <c r="Q150" s="3069"/>
      <c r="R150" s="3069"/>
      <c r="S150" s="3069"/>
      <c r="T150" s="3192" t="e">
        <f t="shared" si="10"/>
        <v>#DIV/0!</v>
      </c>
    </row>
    <row r="151" spans="1:20" s="3074" customFormat="1" ht="15.75" thickBot="1">
      <c r="A151" s="3193" t="s">
        <v>41</v>
      </c>
      <c r="B151" s="3194" t="s">
        <v>1751</v>
      </c>
      <c r="C151" s="3069"/>
      <c r="D151" s="3069"/>
      <c r="E151" s="3069"/>
      <c r="F151" s="3069"/>
      <c r="G151" s="3069"/>
      <c r="H151" s="3069"/>
      <c r="I151" s="3195" t="s">
        <v>1752</v>
      </c>
      <c r="J151" s="2991">
        <f t="shared" si="11"/>
        <v>0</v>
      </c>
      <c r="K151" s="3196">
        <f t="shared" si="11"/>
        <v>11.292</v>
      </c>
      <c r="L151" s="2991">
        <f t="shared" si="11"/>
        <v>10.393000000000001</v>
      </c>
      <c r="M151" s="3069"/>
      <c r="N151" s="3069"/>
      <c r="O151" s="3069"/>
      <c r="P151" s="3069"/>
      <c r="Q151" s="3069"/>
      <c r="R151" s="3069"/>
      <c r="S151" s="3069"/>
      <c r="T151" s="3197">
        <f t="shared" si="10"/>
        <v>0.9203861140630536</v>
      </c>
    </row>
    <row r="152" spans="1:20" s="3074" customFormat="1" ht="15">
      <c r="A152" s="3107"/>
      <c r="B152" s="3163" t="s">
        <v>280</v>
      </c>
      <c r="C152" s="3109"/>
      <c r="D152" s="3109"/>
      <c r="E152" s="3109"/>
      <c r="F152" s="3109"/>
      <c r="G152" s="3109"/>
      <c r="H152" s="3109"/>
      <c r="I152" s="3187" t="s">
        <v>1752</v>
      </c>
      <c r="J152" s="3188">
        <f t="shared" si="11"/>
        <v>0</v>
      </c>
      <c r="K152" s="3188" t="e">
        <f t="shared" si="11"/>
        <v>#DIV/0!</v>
      </c>
      <c r="L152" s="3188">
        <f t="shared" si="11"/>
        <v>0.58899999999999997</v>
      </c>
      <c r="M152" s="3109"/>
      <c r="N152" s="3109"/>
      <c r="O152" s="3109"/>
      <c r="P152" s="3109"/>
      <c r="Q152" s="3109"/>
      <c r="R152" s="3109"/>
      <c r="S152" s="3109"/>
      <c r="T152" s="3167" t="e">
        <f t="shared" si="10"/>
        <v>#DIV/0!</v>
      </c>
    </row>
    <row r="153" spans="1:20" s="3074" customFormat="1" ht="15">
      <c r="A153" s="3119"/>
      <c r="B153" s="3112" t="s">
        <v>705</v>
      </c>
      <c r="C153" s="3057"/>
      <c r="D153" s="3057"/>
      <c r="E153" s="3057"/>
      <c r="F153" s="3057"/>
      <c r="G153" s="3057"/>
      <c r="H153" s="3057"/>
      <c r="I153" s="3062" t="s">
        <v>1752</v>
      </c>
      <c r="J153" s="2981">
        <f t="shared" si="11"/>
        <v>0</v>
      </c>
      <c r="K153" s="2981" t="e">
        <f t="shared" si="11"/>
        <v>#DIV/0!</v>
      </c>
      <c r="L153" s="2981">
        <f t="shared" si="11"/>
        <v>9.7100000000000009</v>
      </c>
      <c r="M153" s="3057"/>
      <c r="N153" s="3057"/>
      <c r="O153" s="3057"/>
      <c r="P153" s="3057"/>
      <c r="Q153" s="3057"/>
      <c r="R153" s="3057"/>
      <c r="S153" s="3057"/>
      <c r="T153" s="2987" t="e">
        <f t="shared" si="10"/>
        <v>#DIV/0!</v>
      </c>
    </row>
    <row r="154" spans="1:20" s="3074" customFormat="1" ht="15.75" thickBot="1">
      <c r="A154" s="3198"/>
      <c r="B154" s="3168" t="s">
        <v>1758</v>
      </c>
      <c r="C154" s="3069"/>
      <c r="D154" s="3069"/>
      <c r="E154" s="3069"/>
      <c r="F154" s="3069"/>
      <c r="G154" s="3069"/>
      <c r="H154" s="3069"/>
      <c r="I154" s="3070" t="s">
        <v>1752</v>
      </c>
      <c r="J154" s="3191">
        <f t="shared" si="11"/>
        <v>0</v>
      </c>
      <c r="K154" s="3191" t="e">
        <f t="shared" si="11"/>
        <v>#DIV/0!</v>
      </c>
      <c r="L154" s="3191">
        <f t="shared" si="11"/>
        <v>9.4E-2</v>
      </c>
      <c r="M154" s="3069"/>
      <c r="N154" s="3069"/>
      <c r="O154" s="3069"/>
      <c r="P154" s="3069"/>
      <c r="Q154" s="3069"/>
      <c r="R154" s="3069"/>
      <c r="S154" s="3069"/>
      <c r="T154" s="3192" t="e">
        <f t="shared" si="10"/>
        <v>#DIV/0!</v>
      </c>
    </row>
    <row r="155" spans="1:20" s="3074" customFormat="1" ht="15.75" thickBot="1">
      <c r="A155" s="3199"/>
      <c r="B155" s="3200"/>
      <c r="C155" s="3200"/>
      <c r="D155" s="3200"/>
      <c r="E155" s="3200"/>
      <c r="F155" s="3200"/>
      <c r="G155" s="3200"/>
      <c r="H155" s="3200"/>
      <c r="I155" s="3200"/>
      <c r="J155" s="3200"/>
      <c r="K155" s="3200"/>
      <c r="L155" s="3200"/>
      <c r="M155" s="3200"/>
      <c r="N155" s="3200"/>
      <c r="O155" s="3200"/>
      <c r="P155" s="3200"/>
      <c r="Q155" s="3200"/>
      <c r="R155" s="3200"/>
      <c r="S155" s="3200"/>
      <c r="T155" s="3201"/>
    </row>
    <row r="156" spans="1:20" s="3074" customFormat="1" ht="15.75" thickBot="1">
      <c r="A156" s="3185" t="s">
        <v>25</v>
      </c>
      <c r="B156" s="3181" t="s">
        <v>3424</v>
      </c>
      <c r="C156" s="3158"/>
      <c r="D156" s="3158"/>
      <c r="E156" s="3158"/>
      <c r="F156" s="3158"/>
      <c r="G156" s="3158"/>
      <c r="H156" s="3158"/>
      <c r="I156" s="3182" t="s">
        <v>3177</v>
      </c>
      <c r="J156" s="3160">
        <f>J86</f>
        <v>0</v>
      </c>
      <c r="K156" s="3183">
        <f>K86</f>
        <v>165</v>
      </c>
      <c r="L156" s="3160">
        <f>L86</f>
        <v>167</v>
      </c>
      <c r="M156" s="3158"/>
      <c r="N156" s="3158"/>
      <c r="O156" s="3158"/>
      <c r="P156" s="3158"/>
      <c r="Q156" s="3158"/>
      <c r="R156" s="3158"/>
      <c r="S156" s="3158"/>
      <c r="T156" s="3184">
        <f t="shared" ref="T156:T164" si="12">L156/K156</f>
        <v>1.0121212121212122</v>
      </c>
    </row>
    <row r="157" spans="1:20" s="3074" customFormat="1" ht="15.75" thickBot="1">
      <c r="A157" s="3185" t="s">
        <v>27</v>
      </c>
      <c r="B157" s="3181" t="s">
        <v>211</v>
      </c>
      <c r="C157" s="3158"/>
      <c r="D157" s="3158"/>
      <c r="E157" s="3158"/>
      <c r="F157" s="3158"/>
      <c r="G157" s="3158"/>
      <c r="H157" s="3158"/>
      <c r="I157" s="3159" t="s">
        <v>1752</v>
      </c>
      <c r="J157" s="3160">
        <f t="shared" ref="J157:L164" si="13">J90/1000</f>
        <v>0</v>
      </c>
      <c r="K157" s="3183">
        <f t="shared" si="13"/>
        <v>6.7186499999999993</v>
      </c>
      <c r="L157" s="3160">
        <f t="shared" si="13"/>
        <v>7.282</v>
      </c>
      <c r="M157" s="3158"/>
      <c r="N157" s="3158"/>
      <c r="O157" s="3158"/>
      <c r="P157" s="3158"/>
      <c r="Q157" s="3158"/>
      <c r="R157" s="3158"/>
      <c r="S157" s="3158"/>
      <c r="T157" s="3184">
        <f t="shared" si="12"/>
        <v>1.0838486898409652</v>
      </c>
    </row>
    <row r="158" spans="1:20" s="3074" customFormat="1" ht="15">
      <c r="A158" s="3186"/>
      <c r="B158" s="3163" t="s">
        <v>280</v>
      </c>
      <c r="C158" s="3109"/>
      <c r="D158" s="3109"/>
      <c r="E158" s="3109"/>
      <c r="F158" s="3109"/>
      <c r="G158" s="3109"/>
      <c r="H158" s="3109"/>
      <c r="I158" s="3187" t="s">
        <v>1752</v>
      </c>
      <c r="J158" s="3188">
        <f t="shared" si="13"/>
        <v>0</v>
      </c>
      <c r="K158" s="3188" t="e">
        <f t="shared" si="13"/>
        <v>#DIV/0!</v>
      </c>
      <c r="L158" s="3188">
        <f t="shared" si="13"/>
        <v>0.79300000000000004</v>
      </c>
      <c r="M158" s="3109"/>
      <c r="N158" s="3109"/>
      <c r="O158" s="3109"/>
      <c r="P158" s="3109"/>
      <c r="Q158" s="3109"/>
      <c r="R158" s="3109"/>
      <c r="S158" s="3109"/>
      <c r="T158" s="3167" t="e">
        <f t="shared" si="12"/>
        <v>#DIV/0!</v>
      </c>
    </row>
    <row r="159" spans="1:20" s="3074" customFormat="1" ht="15">
      <c r="A159" s="3189"/>
      <c r="B159" s="3112" t="s">
        <v>705</v>
      </c>
      <c r="C159" s="3057"/>
      <c r="D159" s="3057"/>
      <c r="E159" s="3057"/>
      <c r="F159" s="3057"/>
      <c r="G159" s="3057"/>
      <c r="H159" s="3057"/>
      <c r="I159" s="3062" t="s">
        <v>1752</v>
      </c>
      <c r="J159" s="2981">
        <f t="shared" si="13"/>
        <v>0</v>
      </c>
      <c r="K159" s="2981" t="e">
        <f t="shared" si="13"/>
        <v>#DIV/0!</v>
      </c>
      <c r="L159" s="2981">
        <f t="shared" si="13"/>
        <v>5.9260000000000002</v>
      </c>
      <c r="M159" s="3057"/>
      <c r="N159" s="3057"/>
      <c r="O159" s="3057"/>
      <c r="P159" s="3057"/>
      <c r="Q159" s="3057"/>
      <c r="R159" s="3057"/>
      <c r="S159" s="3057"/>
      <c r="T159" s="2987" t="e">
        <f t="shared" si="12"/>
        <v>#DIV/0!</v>
      </c>
    </row>
    <row r="160" spans="1:20" s="3074" customFormat="1" ht="15.75" thickBot="1">
      <c r="A160" s="3190"/>
      <c r="B160" s="3168" t="s">
        <v>1758</v>
      </c>
      <c r="C160" s="3069"/>
      <c r="D160" s="3069"/>
      <c r="E160" s="3069"/>
      <c r="F160" s="3069"/>
      <c r="G160" s="3069"/>
      <c r="H160" s="3069"/>
      <c r="I160" s="3070" t="s">
        <v>1752</v>
      </c>
      <c r="J160" s="3191">
        <f t="shared" si="13"/>
        <v>0</v>
      </c>
      <c r="K160" s="3191" t="e">
        <f t="shared" si="13"/>
        <v>#DIV/0!</v>
      </c>
      <c r="L160" s="3191">
        <f t="shared" si="13"/>
        <v>0.56299999999999994</v>
      </c>
      <c r="M160" s="3069"/>
      <c r="N160" s="3069"/>
      <c r="O160" s="3069"/>
      <c r="P160" s="3069"/>
      <c r="Q160" s="3069"/>
      <c r="R160" s="3069"/>
      <c r="S160" s="3069"/>
      <c r="T160" s="3192" t="e">
        <f t="shared" si="12"/>
        <v>#DIV/0!</v>
      </c>
    </row>
    <row r="161" spans="1:21" s="3074" customFormat="1" ht="15.75" thickBot="1">
      <c r="A161" s="3186" t="s">
        <v>41</v>
      </c>
      <c r="B161" s="3202" t="s">
        <v>1751</v>
      </c>
      <c r="C161" s="3109"/>
      <c r="D161" s="3109"/>
      <c r="E161" s="3109"/>
      <c r="F161" s="3109"/>
      <c r="G161" s="3109"/>
      <c r="H161" s="3109"/>
      <c r="I161" s="3110" t="s">
        <v>1752</v>
      </c>
      <c r="J161" s="3140">
        <f t="shared" si="13"/>
        <v>0</v>
      </c>
      <c r="K161" s="3203">
        <f t="shared" si="13"/>
        <v>7.282</v>
      </c>
      <c r="L161" s="3140">
        <f t="shared" si="13"/>
        <v>5.585</v>
      </c>
      <c r="M161" s="3109"/>
      <c r="N161" s="3109"/>
      <c r="O161" s="3109"/>
      <c r="P161" s="3109"/>
      <c r="Q161" s="3109"/>
      <c r="R161" s="3109"/>
      <c r="S161" s="3109"/>
      <c r="T161" s="3204">
        <f t="shared" si="12"/>
        <v>0.76695962647624283</v>
      </c>
    </row>
    <row r="162" spans="1:21" s="3074" customFormat="1" ht="15">
      <c r="A162" s="3189"/>
      <c r="B162" s="3163" t="s">
        <v>280</v>
      </c>
      <c r="C162" s="3109"/>
      <c r="D162" s="3109"/>
      <c r="E162" s="3109"/>
      <c r="F162" s="3109"/>
      <c r="G162" s="3109"/>
      <c r="H162" s="3109"/>
      <c r="I162" s="3187" t="s">
        <v>1752</v>
      </c>
      <c r="J162" s="3188">
        <f t="shared" si="13"/>
        <v>0</v>
      </c>
      <c r="K162" s="3188" t="e">
        <f t="shared" si="13"/>
        <v>#DIV/0!</v>
      </c>
      <c r="L162" s="3188">
        <f t="shared" si="13"/>
        <v>0.625</v>
      </c>
      <c r="M162" s="3109"/>
      <c r="N162" s="3109"/>
      <c r="O162" s="3109"/>
      <c r="P162" s="3109"/>
      <c r="Q162" s="3109"/>
      <c r="R162" s="3109"/>
      <c r="S162" s="3109"/>
      <c r="T162" s="3167" t="e">
        <f t="shared" si="12"/>
        <v>#DIV/0!</v>
      </c>
    </row>
    <row r="163" spans="1:21" s="3074" customFormat="1" ht="15">
      <c r="A163" s="3189"/>
      <c r="B163" s="3112" t="s">
        <v>705</v>
      </c>
      <c r="C163" s="3057"/>
      <c r="D163" s="3057"/>
      <c r="E163" s="3057"/>
      <c r="F163" s="3057"/>
      <c r="G163" s="3057"/>
      <c r="H163" s="3057"/>
      <c r="I163" s="3062" t="s">
        <v>1752</v>
      </c>
      <c r="J163" s="2981">
        <f t="shared" si="13"/>
        <v>0</v>
      </c>
      <c r="K163" s="2981" t="e">
        <f t="shared" si="13"/>
        <v>#DIV/0!</v>
      </c>
      <c r="L163" s="2981">
        <f t="shared" si="13"/>
        <v>4.87</v>
      </c>
      <c r="M163" s="3057"/>
      <c r="N163" s="3057"/>
      <c r="O163" s="3057"/>
      <c r="P163" s="3057"/>
      <c r="Q163" s="3057"/>
      <c r="R163" s="3057"/>
      <c r="S163" s="3057"/>
      <c r="T163" s="2987" t="e">
        <f t="shared" si="12"/>
        <v>#DIV/0!</v>
      </c>
    </row>
    <row r="164" spans="1:21" s="3074" customFormat="1" ht="15.75" thickBot="1">
      <c r="A164" s="3190"/>
      <c r="B164" s="3168" t="s">
        <v>1758</v>
      </c>
      <c r="C164" s="3069"/>
      <c r="D164" s="3069"/>
      <c r="E164" s="3069"/>
      <c r="F164" s="3069"/>
      <c r="G164" s="3069"/>
      <c r="H164" s="3069"/>
      <c r="I164" s="3070" t="s">
        <v>1752</v>
      </c>
      <c r="J164" s="3191">
        <f t="shared" si="13"/>
        <v>0</v>
      </c>
      <c r="K164" s="3191" t="e">
        <f t="shared" si="13"/>
        <v>#DIV/0!</v>
      </c>
      <c r="L164" s="3191">
        <f t="shared" si="13"/>
        <v>0.09</v>
      </c>
      <c r="M164" s="3069"/>
      <c r="N164" s="3069"/>
      <c r="O164" s="3069"/>
      <c r="P164" s="3069"/>
      <c r="Q164" s="3069"/>
      <c r="R164" s="3069"/>
      <c r="S164" s="3069"/>
      <c r="T164" s="3192" t="e">
        <f t="shared" si="12"/>
        <v>#DIV/0!</v>
      </c>
    </row>
    <row r="165" spans="1:21" s="3074" customFormat="1" ht="15.75">
      <c r="A165" s="3205"/>
      <c r="B165" s="3205"/>
      <c r="I165" s="3206"/>
      <c r="J165" s="3207"/>
      <c r="K165" s="3207"/>
      <c r="L165" s="3207"/>
      <c r="T165" s="3207"/>
    </row>
    <row r="166" spans="1:21" s="3074" customFormat="1" ht="15" hidden="1">
      <c r="A166" s="3089" t="s">
        <v>25</v>
      </c>
      <c r="B166" s="3208" t="s">
        <v>3706</v>
      </c>
      <c r="I166" s="3209" t="s">
        <v>3177</v>
      </c>
      <c r="J166" s="3210">
        <f>J110</f>
        <v>0</v>
      </c>
      <c r="K166" s="3210">
        <f>K110</f>
        <v>0</v>
      </c>
      <c r="L166" s="3210">
        <f>L110</f>
        <v>0</v>
      </c>
      <c r="T166" s="3211" t="e">
        <f t="shared" ref="T166:T168" si="14">L166/K166</f>
        <v>#DIV/0!</v>
      </c>
    </row>
    <row r="167" spans="1:21" s="3074" customFormat="1" ht="15" hidden="1">
      <c r="A167" s="3212" t="s">
        <v>27</v>
      </c>
      <c r="B167" s="3089" t="s">
        <v>211</v>
      </c>
      <c r="I167" s="3213" t="s">
        <v>1752</v>
      </c>
      <c r="J167" s="3210">
        <f>J90/1000</f>
        <v>0</v>
      </c>
      <c r="K167" s="3210">
        <f>K111/1000</f>
        <v>0</v>
      </c>
      <c r="L167" s="3210">
        <f>L111/1000</f>
        <v>0</v>
      </c>
      <c r="T167" s="3211" t="e">
        <f t="shared" si="14"/>
        <v>#DIV/0!</v>
      </c>
    </row>
    <row r="168" spans="1:21" s="3074" customFormat="1" ht="15" hidden="1">
      <c r="A168" s="3212" t="s">
        <v>41</v>
      </c>
      <c r="B168" s="3089" t="s">
        <v>1751</v>
      </c>
      <c r="I168" s="3213" t="s">
        <v>1752</v>
      </c>
      <c r="J168" s="3210">
        <f>J94/1000</f>
        <v>0</v>
      </c>
      <c r="K168" s="3210">
        <f>K112/1000</f>
        <v>0</v>
      </c>
      <c r="L168" s="3210">
        <f>L112/1000</f>
        <v>0</v>
      </c>
      <c r="T168" s="3214" t="e">
        <f t="shared" si="14"/>
        <v>#DIV/0!</v>
      </c>
    </row>
    <row r="169" spans="1:21" s="3074" customFormat="1" ht="13.5" thickBot="1">
      <c r="T169" s="3057"/>
      <c r="U169" s="3057"/>
    </row>
    <row r="170" spans="1:21" s="3074" customFormat="1" ht="15.75" thickBot="1">
      <c r="A170" s="3186"/>
      <c r="B170" s="3202" t="s">
        <v>3762</v>
      </c>
      <c r="C170" s="3109"/>
      <c r="D170" s="3109"/>
      <c r="E170" s="3109"/>
      <c r="F170" s="3109"/>
      <c r="G170" s="3109"/>
      <c r="H170" s="3109"/>
      <c r="I170" s="3110" t="s">
        <v>1752</v>
      </c>
      <c r="J170" s="3140"/>
      <c r="K170" s="3215">
        <v>250.935</v>
      </c>
      <c r="M170" s="3109"/>
      <c r="N170" s="3109"/>
      <c r="O170" s="3109"/>
      <c r="P170" s="3109"/>
      <c r="Q170" s="3109"/>
      <c r="R170" s="3109"/>
      <c r="S170" s="3109"/>
      <c r="T170" s="3175"/>
      <c r="U170" s="3057"/>
    </row>
    <row r="171" spans="1:21" s="3074" customFormat="1" ht="15">
      <c r="A171" s="3186"/>
      <c r="B171" s="3163" t="s">
        <v>280</v>
      </c>
      <c r="C171" s="3109"/>
      <c r="D171" s="3109"/>
      <c r="E171" s="3109"/>
      <c r="F171" s="3109"/>
      <c r="G171" s="3109"/>
      <c r="H171" s="3109"/>
      <c r="I171" s="3187" t="s">
        <v>1752</v>
      </c>
      <c r="J171" s="3188"/>
      <c r="K171" s="3216" t="e">
        <f>ROUND(J45/$J$44*$K$170,6)</f>
        <v>#DIV/0!</v>
      </c>
      <c r="M171" s="3109"/>
      <c r="N171" s="3109"/>
      <c r="O171" s="3109"/>
      <c r="P171" s="3109"/>
      <c r="Q171" s="3109"/>
      <c r="R171" s="3109"/>
      <c r="S171" s="3109"/>
      <c r="T171" s="3217"/>
      <c r="U171" s="3057"/>
    </row>
    <row r="172" spans="1:21" s="3074" customFormat="1" ht="15">
      <c r="A172" s="3189"/>
      <c r="B172" s="3112" t="s">
        <v>705</v>
      </c>
      <c r="C172" s="3057"/>
      <c r="D172" s="3057"/>
      <c r="E172" s="3057"/>
      <c r="F172" s="3057"/>
      <c r="G172" s="3057"/>
      <c r="H172" s="3057"/>
      <c r="I172" s="3062" t="s">
        <v>1752</v>
      </c>
      <c r="J172" s="2981"/>
      <c r="K172" s="3218" t="e">
        <f>ROUND(J46/$J$44*$K$170,6)</f>
        <v>#DIV/0!</v>
      </c>
      <c r="M172" s="3057"/>
      <c r="N172" s="3057"/>
      <c r="O172" s="3057"/>
      <c r="P172" s="3057"/>
      <c r="Q172" s="3057"/>
      <c r="R172" s="3057"/>
      <c r="S172" s="3057"/>
      <c r="T172" s="3217"/>
      <c r="U172" s="3057"/>
    </row>
    <row r="173" spans="1:21" s="3074" customFormat="1" ht="15.75" thickBot="1">
      <c r="A173" s="3190"/>
      <c r="B173" s="3168" t="s">
        <v>1758</v>
      </c>
      <c r="C173" s="3069"/>
      <c r="D173" s="3069"/>
      <c r="E173" s="3069"/>
      <c r="F173" s="3069"/>
      <c r="G173" s="3069"/>
      <c r="H173" s="3069"/>
      <c r="I173" s="3070" t="s">
        <v>1752</v>
      </c>
      <c r="J173" s="3191"/>
      <c r="K173" s="3219" t="e">
        <f>ROUND(J47/$J$44*$K$170,6)</f>
        <v>#DIV/0!</v>
      </c>
      <c r="M173" s="3069"/>
      <c r="N173" s="3069"/>
      <c r="O173" s="3069"/>
      <c r="P173" s="3069"/>
      <c r="Q173" s="3069"/>
      <c r="R173" s="3069"/>
      <c r="S173" s="3069"/>
      <c r="T173" s="3217"/>
      <c r="U173" s="3057"/>
    </row>
    <row r="174" spans="1:21" s="3074" customFormat="1" ht="13.5" thickBot="1">
      <c r="T174" s="3057"/>
      <c r="U174" s="3057"/>
    </row>
    <row r="175" spans="1:21" s="3074" customFormat="1" ht="15.75" thickBot="1">
      <c r="A175" s="3186"/>
      <c r="B175" s="3202" t="s">
        <v>3763</v>
      </c>
      <c r="C175" s="3109"/>
      <c r="D175" s="3109"/>
      <c r="E175" s="3109"/>
      <c r="F175" s="3109"/>
      <c r="G175" s="3109"/>
      <c r="H175" s="3109"/>
      <c r="I175" s="3110" t="s">
        <v>1752</v>
      </c>
      <c r="J175" s="3140"/>
      <c r="K175" s="3215">
        <v>15.720450000000001</v>
      </c>
      <c r="M175" s="3109"/>
      <c r="N175" s="3109"/>
      <c r="O175" s="3109"/>
      <c r="P175" s="3109"/>
      <c r="Q175" s="3109"/>
      <c r="R175" s="3109"/>
      <c r="S175" s="3109"/>
      <c r="T175" s="3175"/>
      <c r="U175" s="3057"/>
    </row>
    <row r="176" spans="1:21" s="3074" customFormat="1" ht="15">
      <c r="A176" s="3186"/>
      <c r="B176" s="3163" t="s">
        <v>280</v>
      </c>
      <c r="C176" s="3109"/>
      <c r="D176" s="3109"/>
      <c r="E176" s="3109"/>
      <c r="F176" s="3109"/>
      <c r="G176" s="3109"/>
      <c r="H176" s="3109"/>
      <c r="I176" s="3187" t="s">
        <v>1752</v>
      </c>
      <c r="J176" s="3188"/>
      <c r="K176" s="3216" t="e">
        <f>ROUND((J69+J95)/($J$94+$J$68)*$K$175,6)</f>
        <v>#DIV/0!</v>
      </c>
      <c r="M176" s="3109"/>
      <c r="N176" s="3109"/>
      <c r="O176" s="3109"/>
      <c r="P176" s="3109"/>
      <c r="Q176" s="3109"/>
      <c r="R176" s="3109"/>
      <c r="S176" s="3109"/>
      <c r="T176" s="3217"/>
      <c r="U176" s="3057"/>
    </row>
    <row r="177" spans="1:21" s="3074" customFormat="1" ht="15">
      <c r="A177" s="3189"/>
      <c r="B177" s="3112" t="s">
        <v>705</v>
      </c>
      <c r="C177" s="3057"/>
      <c r="D177" s="3057"/>
      <c r="E177" s="3057"/>
      <c r="F177" s="3057"/>
      <c r="G177" s="3057"/>
      <c r="H177" s="3057"/>
      <c r="I177" s="3062" t="s">
        <v>1752</v>
      </c>
      <c r="J177" s="2981"/>
      <c r="K177" s="3218" t="e">
        <f>ROUND((J70+J96)/($J$94+$J$68)*$K$175,6)</f>
        <v>#DIV/0!</v>
      </c>
      <c r="M177" s="3057"/>
      <c r="N177" s="3057"/>
      <c r="O177" s="3057"/>
      <c r="P177" s="3057"/>
      <c r="Q177" s="3057"/>
      <c r="R177" s="3057"/>
      <c r="S177" s="3057"/>
      <c r="T177" s="3217"/>
      <c r="U177" s="3057"/>
    </row>
    <row r="178" spans="1:21" s="3074" customFormat="1" ht="15.75" thickBot="1">
      <c r="A178" s="3190"/>
      <c r="B178" s="3168" t="s">
        <v>1758</v>
      </c>
      <c r="C178" s="3069"/>
      <c r="D178" s="3069"/>
      <c r="E178" s="3069"/>
      <c r="F178" s="3069"/>
      <c r="G178" s="3069"/>
      <c r="H178" s="3069"/>
      <c r="I178" s="3070" t="s">
        <v>1752</v>
      </c>
      <c r="J178" s="3191"/>
      <c r="K178" s="3219" t="e">
        <f>ROUND((J71+J97)/($J$94+$J$68)*$K$175,6)</f>
        <v>#DIV/0!</v>
      </c>
      <c r="M178" s="3069"/>
      <c r="N178" s="3069"/>
      <c r="O178" s="3069"/>
      <c r="P178" s="3069"/>
      <c r="Q178" s="3069"/>
      <c r="R178" s="3069"/>
      <c r="S178" s="3069"/>
      <c r="T178" s="3217"/>
      <c r="U178" s="3057"/>
    </row>
    <row r="179" spans="1:21" s="3074" customFormat="1"/>
    <row r="180" spans="1:21" s="3074" customFormat="1"/>
    <row r="181" spans="1:21" s="3074" customFormat="1"/>
    <row r="182" spans="1:21" s="3074" customFormat="1"/>
    <row r="183" spans="1:21" s="3074" customFormat="1"/>
    <row r="184" spans="1:21" s="3074" customFormat="1"/>
    <row r="185" spans="1:21" s="3074" customFormat="1"/>
    <row r="186" spans="1:21" s="3074" customFormat="1"/>
    <row r="187" spans="1:21" s="3074" customFormat="1"/>
    <row r="188" spans="1:21" s="3074" customFormat="1"/>
    <row r="189" spans="1:21" s="3074" customFormat="1"/>
    <row r="190" spans="1:21" s="3074" customFormat="1"/>
    <row r="191" spans="1:21" s="3074" customFormat="1"/>
    <row r="192" spans="1:21" s="3074" customFormat="1"/>
    <row r="193" s="3074" customFormat="1"/>
    <row r="194" s="3074" customFormat="1"/>
    <row r="195" s="3074" customFormat="1"/>
    <row r="196" s="3074" customFormat="1"/>
    <row r="197" s="3074" customFormat="1"/>
    <row r="198" s="3074" customFormat="1"/>
    <row r="199" s="3074" customFormat="1"/>
    <row r="200" s="3074" customFormat="1"/>
    <row r="201" s="3074" customFormat="1"/>
    <row r="202" s="3074" customFormat="1"/>
    <row r="203" s="3074" customFormat="1"/>
    <row r="204" s="3074" customFormat="1"/>
    <row r="205" s="3074" customFormat="1"/>
    <row r="206" s="3074" customFormat="1"/>
    <row r="207" s="3074" customFormat="1"/>
    <row r="208" s="3074" customFormat="1"/>
    <row r="209" s="3074" customFormat="1"/>
    <row r="210" s="3074" customFormat="1"/>
    <row r="211" s="3074" customFormat="1"/>
    <row r="212" s="3074" customFormat="1"/>
    <row r="213" s="3074" customFormat="1"/>
    <row r="214" s="3074" customFormat="1"/>
    <row r="215" s="3074" customFormat="1"/>
    <row r="216" s="3074" customFormat="1"/>
    <row r="217" s="3074" customFormat="1"/>
    <row r="218" s="3074" customFormat="1"/>
    <row r="219" s="3074" customFormat="1"/>
    <row r="220" s="3074" customFormat="1"/>
    <row r="221" s="3074" customFormat="1"/>
    <row r="222" s="3074" customFormat="1"/>
    <row r="223" s="3074" customFormat="1"/>
    <row r="224" s="3074" customFormat="1"/>
    <row r="225" s="3074" customFormat="1"/>
    <row r="226" s="3074" customFormat="1"/>
    <row r="227" s="3074" customFormat="1"/>
    <row r="228" s="3074" customFormat="1"/>
    <row r="229" s="3074" customFormat="1"/>
    <row r="230" s="3074" customFormat="1"/>
    <row r="231" s="3074" customFormat="1"/>
    <row r="232" s="3074" customFormat="1"/>
    <row r="233" s="3074" customFormat="1"/>
    <row r="234" s="3074" customFormat="1"/>
    <row r="235" s="3074" customFormat="1"/>
    <row r="236" s="3074" customFormat="1"/>
    <row r="237" s="3074" customFormat="1"/>
    <row r="238" s="3074" customFormat="1"/>
    <row r="239" s="3074" customFormat="1"/>
    <row r="240" s="3074" customFormat="1"/>
    <row r="241" s="3074" customFormat="1"/>
    <row r="242" s="3074" customFormat="1"/>
    <row r="243" s="3074" customFormat="1"/>
    <row r="244" s="3074" customFormat="1"/>
    <row r="245" s="3074" customFormat="1"/>
    <row r="246" s="3074" customFormat="1"/>
    <row r="247" s="3074" customFormat="1"/>
  </sheetData>
  <mergeCells count="37">
    <mergeCell ref="B2:I2"/>
    <mergeCell ref="B4:I4"/>
    <mergeCell ref="B6:I6"/>
    <mergeCell ref="B8:Q8"/>
    <mergeCell ref="B9:B10"/>
    <mergeCell ref="C9:C10"/>
    <mergeCell ref="D9:H9"/>
    <mergeCell ref="J9:L9"/>
    <mergeCell ref="M9:Q9"/>
    <mergeCell ref="B51:J51"/>
    <mergeCell ref="B53:J53"/>
    <mergeCell ref="B55:J55"/>
    <mergeCell ref="B57:S57"/>
    <mergeCell ref="B58:B59"/>
    <mergeCell ref="C58:C59"/>
    <mergeCell ref="D58:H58"/>
    <mergeCell ref="J58:N58"/>
    <mergeCell ref="O58:S58"/>
    <mergeCell ref="B77:J77"/>
    <mergeCell ref="B79:J79"/>
    <mergeCell ref="B81:J81"/>
    <mergeCell ref="B83:S83"/>
    <mergeCell ref="B84:B85"/>
    <mergeCell ref="C84:C85"/>
    <mergeCell ref="D84:H84"/>
    <mergeCell ref="J84:N84"/>
    <mergeCell ref="O84:S84"/>
    <mergeCell ref="J115:L115"/>
    <mergeCell ref="B101:J101"/>
    <mergeCell ref="B103:J103"/>
    <mergeCell ref="B105:J105"/>
    <mergeCell ref="B107:S107"/>
    <mergeCell ref="B108:B109"/>
    <mergeCell ref="C108:C109"/>
    <mergeCell ref="D108:H108"/>
    <mergeCell ref="J108:N108"/>
    <mergeCell ref="O108:S108"/>
  </mergeCells>
  <pageMargins left="0.7" right="0.7" top="0.75" bottom="0.75" header="0.3" footer="0.3"/>
  <pageSetup paperSize="9" orientation="portrait"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F37"/>
  <sheetViews>
    <sheetView workbookViewId="0">
      <selection activeCell="F41" sqref="F41"/>
    </sheetView>
  </sheetViews>
  <sheetFormatPr defaultColWidth="9.140625" defaultRowHeight="15"/>
  <cols>
    <col min="1" max="1" width="9.140625" style="2993"/>
    <col min="2" max="2" width="39.42578125" style="2993" customWidth="1"/>
    <col min="3" max="3" width="18.28515625" style="2993" customWidth="1"/>
    <col min="4" max="4" width="22.140625" style="2993" customWidth="1"/>
    <col min="5" max="5" width="21.140625" style="2993" customWidth="1"/>
    <col min="6" max="6" width="24.7109375" style="2993" customWidth="1"/>
    <col min="7" max="16384" width="9.140625" style="2993"/>
  </cols>
  <sheetData>
    <row r="1" spans="2:6">
      <c r="F1" s="3013" t="s">
        <v>3714</v>
      </c>
    </row>
    <row r="2" spans="2:6">
      <c r="F2" s="3013" t="s">
        <v>3715</v>
      </c>
    </row>
    <row r="4" spans="2:6" ht="18.75">
      <c r="B4" s="3016" t="s">
        <v>3716</v>
      </c>
    </row>
    <row r="5" spans="2:6">
      <c r="B5" s="3029" t="str">
        <f>'Шаблон 46 ГП'!A8</f>
        <v>Май 2026 год</v>
      </c>
    </row>
    <row r="7" spans="2:6" ht="15.75" thickBot="1"/>
    <row r="8" spans="2:6">
      <c r="B8" s="3002" t="s">
        <v>746</v>
      </c>
      <c r="C8" s="3003" t="s">
        <v>3717</v>
      </c>
      <c r="D8" s="3004" t="s">
        <v>3718</v>
      </c>
      <c r="E8" s="3003" t="s">
        <v>3719</v>
      </c>
      <c r="F8" s="3005" t="s">
        <v>3718</v>
      </c>
    </row>
    <row r="9" spans="2:6" ht="15.75" thickBot="1">
      <c r="B9" s="3006"/>
      <c r="C9" s="3007"/>
      <c r="D9" s="3008"/>
      <c r="E9" s="3007"/>
      <c r="F9" s="3009"/>
    </row>
    <row r="10" spans="2:6">
      <c r="B10" s="4656" t="s">
        <v>3720</v>
      </c>
      <c r="C10" s="3022">
        <v>0</v>
      </c>
      <c r="D10" s="3025">
        <v>0</v>
      </c>
      <c r="E10" s="3022">
        <v>0</v>
      </c>
      <c r="F10" s="3025">
        <v>0</v>
      </c>
    </row>
    <row r="11" spans="2:6" ht="15.75" thickBot="1">
      <c r="B11" s="4657"/>
      <c r="C11" s="3023"/>
      <c r="D11" s="3021"/>
      <c r="E11" s="3023"/>
      <c r="F11" s="3019"/>
    </row>
    <row r="12" spans="2:6">
      <c r="B12" s="3010" t="s">
        <v>3721</v>
      </c>
      <c r="C12" s="3022">
        <f>SUM(C13:C15)</f>
        <v>0</v>
      </c>
      <c r="D12" s="3025">
        <f>SUM(D13:D15)</f>
        <v>0</v>
      </c>
      <c r="E12" s="3022">
        <f>SUM(E13:E15)</f>
        <v>0</v>
      </c>
      <c r="F12" s="3025">
        <f>SUM(F13:F15)</f>
        <v>0</v>
      </c>
    </row>
    <row r="13" spans="2:6">
      <c r="B13" s="3027" t="s">
        <v>3722</v>
      </c>
      <c r="C13" s="3022">
        <v>0</v>
      </c>
      <c r="D13" s="3020">
        <v>0</v>
      </c>
      <c r="E13" s="3022">
        <v>0</v>
      </c>
      <c r="F13" s="3018">
        <v>0</v>
      </c>
    </row>
    <row r="14" spans="2:6">
      <c r="B14" s="3027" t="s">
        <v>3723</v>
      </c>
      <c r="C14" s="3022">
        <v>0</v>
      </c>
      <c r="D14" s="3020">
        <v>0</v>
      </c>
      <c r="E14" s="3022">
        <v>0</v>
      </c>
      <c r="F14" s="3018">
        <v>0</v>
      </c>
    </row>
    <row r="15" spans="2:6">
      <c r="B15" s="3027" t="s">
        <v>3724</v>
      </c>
      <c r="C15" s="3022">
        <v>0</v>
      </c>
      <c r="D15" s="3020">
        <v>0</v>
      </c>
      <c r="E15" s="3022">
        <v>0</v>
      </c>
      <c r="F15" s="3018">
        <v>0</v>
      </c>
    </row>
    <row r="16" spans="2:6">
      <c r="B16" s="3010" t="s">
        <v>3725</v>
      </c>
      <c r="C16" s="3022">
        <v>0</v>
      </c>
      <c r="D16" s="3020">
        <v>0</v>
      </c>
      <c r="E16" s="3022">
        <v>0</v>
      </c>
      <c r="F16" s="3018">
        <v>0</v>
      </c>
    </row>
    <row r="17" spans="2:6">
      <c r="B17" s="3010"/>
      <c r="C17" s="3022"/>
      <c r="D17" s="3020"/>
      <c r="E17" s="3022"/>
      <c r="F17" s="3018"/>
    </row>
    <row r="18" spans="2:6">
      <c r="B18" s="3010"/>
      <c r="C18" s="3022"/>
      <c r="D18" s="3020"/>
      <c r="E18" s="3022"/>
      <c r="F18" s="3018"/>
    </row>
    <row r="19" spans="2:6">
      <c r="B19" s="3010"/>
      <c r="C19" s="3022"/>
      <c r="D19" s="3020"/>
      <c r="E19" s="3022"/>
      <c r="F19" s="3018"/>
    </row>
    <row r="20" spans="2:6">
      <c r="B20" s="3010" t="s">
        <v>3726</v>
      </c>
      <c r="C20" s="3022">
        <v>0</v>
      </c>
      <c r="D20" s="3020">
        <v>0</v>
      </c>
      <c r="E20" s="3022">
        <v>0</v>
      </c>
      <c r="F20" s="3018">
        <v>0</v>
      </c>
    </row>
    <row r="21" spans="2:6">
      <c r="B21" s="3010"/>
      <c r="C21" s="3022"/>
      <c r="D21" s="3020"/>
      <c r="E21" s="3022"/>
      <c r="F21" s="3018"/>
    </row>
    <row r="22" spans="2:6">
      <c r="B22" s="3010"/>
      <c r="C22" s="3022"/>
      <c r="D22" s="3020"/>
      <c r="E22" s="3022"/>
      <c r="F22" s="3018"/>
    </row>
    <row r="23" spans="2:6">
      <c r="B23" s="3010"/>
      <c r="C23" s="3022"/>
      <c r="D23" s="3020"/>
      <c r="E23" s="3022"/>
      <c r="F23" s="3018"/>
    </row>
    <row r="24" spans="2:6">
      <c r="B24" s="3010" t="s">
        <v>3727</v>
      </c>
      <c r="C24" s="3022">
        <v>0</v>
      </c>
      <c r="D24" s="3020">
        <v>0</v>
      </c>
      <c r="E24" s="3022">
        <v>0</v>
      </c>
      <c r="F24" s="3018">
        <v>0</v>
      </c>
    </row>
    <row r="25" spans="2:6">
      <c r="B25" s="3010"/>
      <c r="C25" s="3022"/>
      <c r="D25" s="3020"/>
      <c r="E25" s="3022"/>
      <c r="F25" s="3018"/>
    </row>
    <row r="26" spans="2:6">
      <c r="B26" s="3010"/>
      <c r="C26" s="3022"/>
      <c r="D26" s="3020"/>
      <c r="E26" s="3022"/>
      <c r="F26" s="3018"/>
    </row>
    <row r="27" spans="2:6">
      <c r="B27" s="3010"/>
      <c r="C27" s="3022"/>
      <c r="D27" s="3020"/>
      <c r="E27" s="3022"/>
      <c r="F27" s="3018"/>
    </row>
    <row r="28" spans="2:6">
      <c r="B28" s="3010" t="s">
        <v>3728</v>
      </c>
      <c r="C28" s="3022">
        <v>0</v>
      </c>
      <c r="D28" s="3020">
        <v>0</v>
      </c>
      <c r="E28" s="3022">
        <v>0</v>
      </c>
      <c r="F28" s="3018">
        <v>0</v>
      </c>
    </row>
    <row r="29" spans="2:6">
      <c r="B29" s="3010"/>
      <c r="C29" s="3022"/>
      <c r="D29" s="3020"/>
      <c r="E29" s="3022"/>
      <c r="F29" s="3018"/>
    </row>
    <row r="30" spans="2:6">
      <c r="B30" s="3010"/>
      <c r="C30" s="3022"/>
      <c r="D30" s="3020"/>
      <c r="E30" s="3022"/>
      <c r="F30" s="3018"/>
    </row>
    <row r="31" spans="2:6" ht="15.75" thickBot="1">
      <c r="B31" s="3006"/>
      <c r="C31" s="3023"/>
      <c r="D31" s="3021"/>
      <c r="E31" s="3023"/>
      <c r="F31" s="3019"/>
    </row>
    <row r="32" spans="2:6">
      <c r="B32" s="2999"/>
      <c r="C32" s="2999"/>
      <c r="D32" s="2999"/>
      <c r="E32" s="2999"/>
    </row>
    <row r="33" spans="2:6" ht="28.5" customHeight="1">
      <c r="B33" s="4658" t="s">
        <v>3729</v>
      </c>
      <c r="C33" s="4658"/>
      <c r="D33" s="4658" t="s">
        <v>207</v>
      </c>
      <c r="E33" s="4658"/>
      <c r="F33" s="4658"/>
    </row>
    <row r="34" spans="2:6">
      <c r="B34" s="3011"/>
      <c r="C34" s="3015"/>
      <c r="D34" s="3015"/>
      <c r="E34" s="3011"/>
      <c r="F34" s="3011"/>
    </row>
    <row r="35" spans="2:6">
      <c r="B35" s="3011"/>
      <c r="C35" s="3015"/>
      <c r="D35" s="3015"/>
      <c r="E35" s="3011"/>
      <c r="F35" s="3011"/>
    </row>
    <row r="36" spans="2:6" ht="28.5" customHeight="1">
      <c r="B36" s="4658" t="s">
        <v>3730</v>
      </c>
      <c r="C36" s="4658"/>
      <c r="D36" s="4658" t="s">
        <v>3731</v>
      </c>
      <c r="E36" s="4658"/>
      <c r="F36" s="4658"/>
    </row>
    <row r="37" spans="2:6">
      <c r="C37" s="3014"/>
      <c r="E37" s="2995"/>
    </row>
  </sheetData>
  <mergeCells count="5">
    <mergeCell ref="B10:B11"/>
    <mergeCell ref="B33:C33"/>
    <mergeCell ref="D33:F33"/>
    <mergeCell ref="B36:C36"/>
    <mergeCell ref="D36:F36"/>
  </mergeCells>
  <pageMargins left="0.70866141732283472" right="0.70866141732283472" top="0.74803149606299213" bottom="0.74803149606299213" header="0.31496062992125984" footer="0.31496062992125984"/>
  <pageSetup paperSize="9" scale="87"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M473"/>
  <sheetViews>
    <sheetView zoomScaleNormal="100" workbookViewId="0">
      <selection activeCell="C9" sqref="C9:C393"/>
    </sheetView>
  </sheetViews>
  <sheetFormatPr defaultColWidth="9.28515625" defaultRowHeight="12.75" outlineLevelRow="2"/>
  <cols>
    <col min="1" max="1" width="62.28515625" style="994" customWidth="1"/>
    <col min="2" max="2" width="16.5703125" style="994" customWidth="1"/>
    <col min="3" max="3" width="18.28515625" style="994" customWidth="1"/>
    <col min="4" max="4" width="14.5703125" style="994" bestFit="1" customWidth="1"/>
    <col min="5" max="5" width="19.42578125" style="994" customWidth="1"/>
    <col min="6" max="6" width="13.5703125" style="994" bestFit="1" customWidth="1"/>
    <col min="7" max="7" width="14.42578125" style="994" customWidth="1"/>
    <col min="8" max="8" width="14.5703125" style="994" bestFit="1" customWidth="1"/>
    <col min="9" max="9" width="14.7109375" style="994" customWidth="1"/>
    <col min="10" max="10" width="15.28515625" style="994" customWidth="1"/>
    <col min="11" max="11" width="12.5703125" style="994" customWidth="1"/>
    <col min="12" max="16384" width="9.28515625" style="994"/>
  </cols>
  <sheetData>
    <row r="1" spans="1:4">
      <c r="C1" s="995"/>
    </row>
    <row r="2" spans="1:4">
      <c r="C2" s="996"/>
    </row>
    <row r="3" spans="1:4">
      <c r="C3" s="996"/>
    </row>
    <row r="4" spans="1:4">
      <c r="A4" s="997"/>
      <c r="B4" s="998"/>
      <c r="C4" s="996"/>
      <c r="D4" s="998"/>
    </row>
    <row r="5" spans="1:4">
      <c r="A5" s="998"/>
      <c r="B5" s="998"/>
      <c r="C5" s="1000"/>
      <c r="D5" s="998"/>
    </row>
    <row r="6" spans="1:4">
      <c r="A6" s="998"/>
      <c r="B6" s="998"/>
      <c r="C6" s="996"/>
      <c r="D6" s="998"/>
    </row>
    <row r="7" spans="1:4" ht="38.25">
      <c r="A7" s="1001" t="s">
        <v>209</v>
      </c>
      <c r="B7" s="1001" t="s">
        <v>914</v>
      </c>
      <c r="C7" s="1001"/>
      <c r="D7" s="998"/>
    </row>
    <row r="8" spans="1:4">
      <c r="A8" s="1003"/>
      <c r="B8" s="1001"/>
      <c r="C8" s="1004"/>
      <c r="D8" s="998"/>
    </row>
    <row r="9" spans="1:4" s="1070" customFormat="1" ht="12.75" customHeight="1">
      <c r="A9" s="1005" t="s">
        <v>915</v>
      </c>
      <c r="B9" s="1006" t="s">
        <v>410</v>
      </c>
      <c r="C9" s="1007">
        <v>57180.12</v>
      </c>
      <c r="D9" s="1069"/>
    </row>
    <row r="10" spans="1:4">
      <c r="A10" s="1008" t="s">
        <v>916</v>
      </c>
      <c r="B10" s="1001" t="s">
        <v>410</v>
      </c>
      <c r="C10" s="1004">
        <v>56940.116000000002</v>
      </c>
      <c r="D10" s="997"/>
    </row>
    <row r="11" spans="1:4">
      <c r="A11" s="1008"/>
      <c r="B11" s="1001"/>
      <c r="C11" s="1009"/>
      <c r="D11" s="998"/>
    </row>
    <row r="12" spans="1:4">
      <c r="A12" s="1010" t="s">
        <v>917</v>
      </c>
      <c r="B12" s="1006" t="s">
        <v>410</v>
      </c>
      <c r="C12" s="1007">
        <v>26300.027999999998</v>
      </c>
      <c r="D12" s="998"/>
    </row>
    <row r="13" spans="1:4">
      <c r="A13" s="1010" t="s">
        <v>918</v>
      </c>
      <c r="B13" s="1006" t="s">
        <v>410</v>
      </c>
      <c r="C13" s="1007">
        <v>30880.092000000001</v>
      </c>
      <c r="D13" s="998"/>
    </row>
    <row r="14" spans="1:4">
      <c r="A14" s="1008"/>
      <c r="B14" s="1001"/>
      <c r="C14" s="1009"/>
      <c r="D14" s="998"/>
    </row>
    <row r="15" spans="1:4" s="995" customFormat="1">
      <c r="A15" s="1005" t="s">
        <v>919</v>
      </c>
      <c r="B15" s="1011" t="s">
        <v>410</v>
      </c>
      <c r="C15" s="1012">
        <v>57965.807000000212</v>
      </c>
      <c r="D15" s="999"/>
    </row>
    <row r="16" spans="1:4" s="995" customFormat="1">
      <c r="A16" s="1005" t="s">
        <v>920</v>
      </c>
      <c r="B16" s="1011" t="s">
        <v>410</v>
      </c>
      <c r="C16" s="1012">
        <v>785.6869999999999</v>
      </c>
      <c r="D16" s="999"/>
    </row>
    <row r="17" spans="1:6">
      <c r="A17" s="1013" t="s">
        <v>921</v>
      </c>
      <c r="B17" s="1006" t="s">
        <v>410</v>
      </c>
      <c r="C17" s="1007">
        <v>0</v>
      </c>
      <c r="D17" s="998"/>
    </row>
    <row r="18" spans="1:6">
      <c r="A18" s="1008" t="s">
        <v>922</v>
      </c>
      <c r="B18" s="1001" t="s">
        <v>923</v>
      </c>
      <c r="C18" s="1004">
        <v>0</v>
      </c>
      <c r="D18" s="998"/>
      <c r="E18" s="997"/>
    </row>
    <row r="19" spans="1:6">
      <c r="A19" s="1014" t="s">
        <v>924</v>
      </c>
      <c r="B19" s="1001" t="s">
        <v>410</v>
      </c>
      <c r="C19" s="1004"/>
      <c r="D19" s="998"/>
    </row>
    <row r="20" spans="1:6">
      <c r="A20" s="1008" t="s">
        <v>925</v>
      </c>
      <c r="B20" s="1001" t="s">
        <v>410</v>
      </c>
      <c r="C20" s="1004">
        <v>57180.120000000214</v>
      </c>
      <c r="D20" s="998"/>
    </row>
    <row r="21" spans="1:6">
      <c r="A21" s="1015"/>
      <c r="B21" s="1015"/>
      <c r="C21" s="1015"/>
      <c r="D21" s="998"/>
    </row>
    <row r="22" spans="1:6">
      <c r="A22" s="1005" t="s">
        <v>926</v>
      </c>
      <c r="B22" s="1016" t="s">
        <v>420</v>
      </c>
      <c r="C22" s="1012">
        <v>0</v>
      </c>
      <c r="D22" s="998"/>
    </row>
    <row r="23" spans="1:6">
      <c r="A23" s="1013"/>
      <c r="B23" s="1017"/>
      <c r="C23" s="1012"/>
      <c r="D23" s="998"/>
      <c r="E23" s="997"/>
    </row>
    <row r="24" spans="1:6">
      <c r="A24" s="1013" t="s">
        <v>927</v>
      </c>
      <c r="B24" s="1018" t="s">
        <v>923</v>
      </c>
      <c r="C24" s="1006">
        <v>54140406.079680003</v>
      </c>
      <c r="D24" s="998"/>
    </row>
    <row r="25" spans="1:6" s="1072" customFormat="1">
      <c r="A25" s="1019" t="s">
        <v>928</v>
      </c>
      <c r="B25" s="1020" t="s">
        <v>923</v>
      </c>
      <c r="C25" s="1021">
        <v>53818308.530000001</v>
      </c>
      <c r="D25" s="1071"/>
    </row>
    <row r="26" spans="1:6" s="1072" customFormat="1">
      <c r="A26" s="1019" t="s">
        <v>929</v>
      </c>
      <c r="B26" s="1020" t="s">
        <v>923</v>
      </c>
      <c r="C26" s="1021">
        <v>322097.54968000005</v>
      </c>
      <c r="D26" s="1073"/>
    </row>
    <row r="27" spans="1:6" s="1072" customFormat="1">
      <c r="A27" s="1019" t="s">
        <v>930</v>
      </c>
      <c r="B27" s="1020" t="s">
        <v>923</v>
      </c>
      <c r="C27" s="1021">
        <v>0</v>
      </c>
      <c r="D27" s="1071"/>
    </row>
    <row r="28" spans="1:6" s="1072" customFormat="1">
      <c r="A28" s="1019" t="s">
        <v>931</v>
      </c>
      <c r="B28" s="1020" t="s">
        <v>923</v>
      </c>
      <c r="C28" s="1021">
        <v>0</v>
      </c>
      <c r="D28" s="1071"/>
    </row>
    <row r="29" spans="1:6">
      <c r="A29" s="1022" t="s">
        <v>932</v>
      </c>
      <c r="B29" s="1020" t="s">
        <v>923</v>
      </c>
      <c r="C29" s="1023">
        <v>53818308.530000001</v>
      </c>
      <c r="D29" s="998"/>
    </row>
    <row r="30" spans="1:6">
      <c r="A30" s="1008" t="s">
        <v>933</v>
      </c>
      <c r="B30" s="1024" t="s">
        <v>923</v>
      </c>
      <c r="C30" s="1001">
        <v>65658336.406599998</v>
      </c>
      <c r="D30" s="998"/>
    </row>
    <row r="31" spans="1:6">
      <c r="A31" s="1008" t="s">
        <v>934</v>
      </c>
      <c r="B31" s="1024" t="s">
        <v>923</v>
      </c>
      <c r="C31" s="1001">
        <v>11840027.876599997</v>
      </c>
      <c r="D31" s="998"/>
      <c r="F31" s="997"/>
    </row>
    <row r="32" spans="1:6">
      <c r="A32" s="1022" t="s">
        <v>935</v>
      </c>
      <c r="B32" s="1020" t="s">
        <v>923</v>
      </c>
      <c r="C32" s="1023">
        <v>53982305.709680006</v>
      </c>
      <c r="D32" s="998"/>
      <c r="F32" s="1063"/>
    </row>
    <row r="33" spans="1:10">
      <c r="A33" s="1022"/>
      <c r="B33" s="1020"/>
      <c r="C33" s="1023"/>
      <c r="D33" s="998"/>
      <c r="E33" s="1063"/>
      <c r="F33" s="1063"/>
      <c r="G33" s="1063"/>
    </row>
    <row r="34" spans="1:10">
      <c r="A34" s="1013" t="s">
        <v>936</v>
      </c>
      <c r="B34" s="1018" t="s">
        <v>923</v>
      </c>
      <c r="C34" s="1006">
        <v>53818308.530000001</v>
      </c>
      <c r="D34" s="998"/>
    </row>
    <row r="35" spans="1:10">
      <c r="A35" s="1008" t="s">
        <v>937</v>
      </c>
      <c r="B35" s="1024" t="s">
        <v>923</v>
      </c>
      <c r="C35" s="1002">
        <v>158100.37</v>
      </c>
      <c r="D35" s="998"/>
    </row>
    <row r="36" spans="1:10">
      <c r="A36" s="1022" t="s">
        <v>938</v>
      </c>
      <c r="B36" s="1025" t="s">
        <v>939</v>
      </c>
      <c r="C36" s="1026">
        <v>928.4492240399552</v>
      </c>
      <c r="D36" s="998"/>
    </row>
    <row r="37" spans="1:10">
      <c r="A37" s="1022" t="s">
        <v>940</v>
      </c>
      <c r="B37" s="1025" t="s">
        <v>939</v>
      </c>
      <c r="C37" s="1027"/>
      <c r="D37" s="998"/>
    </row>
    <row r="38" spans="1:10">
      <c r="A38" s="1022"/>
      <c r="B38" s="1025"/>
      <c r="C38" s="1027"/>
      <c r="D38" s="998"/>
    </row>
    <row r="39" spans="1:10">
      <c r="A39" s="1013" t="s">
        <v>941</v>
      </c>
      <c r="B39" s="1018" t="s">
        <v>923</v>
      </c>
      <c r="C39" s="1006">
        <v>0</v>
      </c>
      <c r="D39" s="998"/>
      <c r="I39" s="1074"/>
    </row>
    <row r="40" spans="1:10">
      <c r="A40" s="1008" t="s">
        <v>942</v>
      </c>
      <c r="B40" s="1018" t="s">
        <v>923</v>
      </c>
      <c r="C40" s="1001">
        <v>0</v>
      </c>
      <c r="D40" s="998"/>
    </row>
    <row r="41" spans="1:10">
      <c r="A41" s="1022" t="s">
        <v>943</v>
      </c>
      <c r="B41" s="1028" t="s">
        <v>944</v>
      </c>
      <c r="C41" s="1026"/>
      <c r="D41" s="998"/>
      <c r="H41" s="1063"/>
      <c r="I41" s="1063"/>
      <c r="J41" s="1063"/>
    </row>
    <row r="42" spans="1:10">
      <c r="A42" s="1022"/>
      <c r="B42" s="1029"/>
      <c r="C42" s="1026">
        <v>0</v>
      </c>
      <c r="D42" s="998"/>
      <c r="H42" s="1063"/>
      <c r="I42" s="1063"/>
      <c r="J42" s="1063"/>
    </row>
    <row r="43" spans="1:10">
      <c r="A43" s="1013" t="s">
        <v>945</v>
      </c>
      <c r="B43" s="1018" t="s">
        <v>923</v>
      </c>
      <c r="C43" s="1006">
        <v>322097.54968000005</v>
      </c>
      <c r="D43" s="998"/>
      <c r="H43" s="1063"/>
      <c r="I43" s="1063"/>
      <c r="J43" s="1063"/>
    </row>
    <row r="44" spans="1:10">
      <c r="A44" s="1013" t="s">
        <v>946</v>
      </c>
      <c r="B44" s="1018" t="s">
        <v>923</v>
      </c>
      <c r="C44" s="1006">
        <v>0</v>
      </c>
      <c r="D44" s="998"/>
      <c r="H44" s="1063"/>
      <c r="I44" s="1063"/>
      <c r="J44" s="1063"/>
    </row>
    <row r="45" spans="1:10">
      <c r="A45" s="1013" t="s">
        <v>947</v>
      </c>
      <c r="B45" s="1018" t="s">
        <v>923</v>
      </c>
      <c r="C45" s="1006">
        <v>0</v>
      </c>
      <c r="D45" s="998"/>
      <c r="H45" s="1063"/>
      <c r="I45" s="1063"/>
      <c r="J45" s="1063"/>
    </row>
    <row r="46" spans="1:10">
      <c r="A46" s="1008" t="s">
        <v>948</v>
      </c>
      <c r="B46" s="1024"/>
      <c r="C46" s="1001">
        <v>54140406.079680003</v>
      </c>
      <c r="D46" s="998"/>
      <c r="H46" s="1063"/>
      <c r="I46" s="1063"/>
      <c r="J46" s="1063"/>
    </row>
    <row r="47" spans="1:10">
      <c r="A47" s="1008"/>
      <c r="B47" s="1024"/>
      <c r="C47" s="1001">
        <v>0</v>
      </c>
      <c r="D47" s="998"/>
      <c r="H47" s="1063"/>
      <c r="I47" s="1075"/>
      <c r="J47" s="1063"/>
    </row>
    <row r="48" spans="1:10">
      <c r="A48" s="1030"/>
      <c r="B48" s="1024"/>
      <c r="C48" s="1001">
        <v>57180.120000000214</v>
      </c>
      <c r="D48" s="998"/>
      <c r="H48" s="1063"/>
      <c r="I48" s="996"/>
      <c r="J48" s="1063"/>
    </row>
    <row r="49" spans="1:10">
      <c r="A49" s="1031" t="s">
        <v>949</v>
      </c>
      <c r="B49" s="1023" t="s">
        <v>923</v>
      </c>
      <c r="C49" s="1023">
        <v>158100.37</v>
      </c>
      <c r="D49" s="998"/>
      <c r="H49" s="1063"/>
      <c r="I49" s="996"/>
      <c r="J49" s="1063"/>
    </row>
    <row r="50" spans="1:10">
      <c r="A50" s="1032" t="s">
        <v>950</v>
      </c>
      <c r="B50" s="1023" t="s">
        <v>923</v>
      </c>
      <c r="C50" s="1023">
        <v>53982305.709680006</v>
      </c>
      <c r="D50" s="998"/>
      <c r="H50" s="1063"/>
      <c r="I50" s="996"/>
      <c r="J50" s="1063"/>
    </row>
    <row r="51" spans="1:10" ht="27" customHeight="1">
      <c r="A51" s="1032" t="s">
        <v>951</v>
      </c>
      <c r="B51" s="1025" t="s">
        <v>939</v>
      </c>
      <c r="C51" s="1023">
        <v>944.0747187952702</v>
      </c>
      <c r="D51" s="998"/>
      <c r="H51" s="1063"/>
      <c r="I51" s="996"/>
      <c r="J51" s="1063"/>
    </row>
    <row r="52" spans="1:10" ht="12.75" customHeight="1">
      <c r="A52" s="1032" t="s">
        <v>952</v>
      </c>
      <c r="B52" s="1025" t="s">
        <v>939</v>
      </c>
      <c r="C52" s="1023">
        <v>938.44168497722637</v>
      </c>
      <c r="D52" s="998"/>
      <c r="H52" s="1063"/>
      <c r="I52" s="996"/>
      <c r="J52" s="1063"/>
    </row>
    <row r="53" spans="1:10" ht="12.75" customHeight="1">
      <c r="A53" s="1022"/>
      <c r="B53" s="1025"/>
      <c r="C53" s="1023"/>
      <c r="D53" s="998"/>
      <c r="H53" s="1063"/>
      <c r="I53" s="996"/>
      <c r="J53" s="1063"/>
    </row>
    <row r="54" spans="1:10" ht="25.5" customHeight="1">
      <c r="A54" s="1010" t="s">
        <v>953</v>
      </c>
      <c r="B54" s="1006"/>
      <c r="C54" s="1006">
        <v>928.4492240399552</v>
      </c>
      <c r="D54" s="998"/>
      <c r="H54" s="1063"/>
      <c r="I54" s="996"/>
      <c r="J54" s="1063"/>
    </row>
    <row r="55" spans="1:10" ht="12.75" customHeight="1">
      <c r="A55" s="1008" t="s">
        <v>954</v>
      </c>
      <c r="B55" s="1033"/>
      <c r="C55" s="1001">
        <v>928.4492240399552</v>
      </c>
      <c r="D55" s="998"/>
      <c r="H55" s="1063"/>
      <c r="I55" s="996"/>
      <c r="J55" s="1063"/>
    </row>
    <row r="56" spans="1:10" ht="12.75" customHeight="1">
      <c r="A56" s="1008" t="s">
        <v>955</v>
      </c>
      <c r="B56" s="1033"/>
      <c r="C56" s="1001">
        <v>0</v>
      </c>
      <c r="D56" s="998"/>
      <c r="H56" s="1063"/>
      <c r="I56" s="996"/>
      <c r="J56" s="1063"/>
    </row>
    <row r="57" spans="1:10" ht="12.75" customHeight="1">
      <c r="A57" s="1008"/>
      <c r="B57" s="1033"/>
      <c r="C57" s="1001">
        <v>1139.49</v>
      </c>
      <c r="D57" s="998"/>
      <c r="I57" s="995"/>
    </row>
    <row r="58" spans="1:10" ht="18">
      <c r="A58" s="1084" t="s">
        <v>1165</v>
      </c>
      <c r="B58" s="1085"/>
      <c r="C58" s="1085"/>
      <c r="D58" s="998"/>
      <c r="I58" s="995"/>
    </row>
    <row r="59" spans="1:10">
      <c r="A59" s="1035" t="s">
        <v>956</v>
      </c>
      <c r="B59" s="1002" t="s">
        <v>410</v>
      </c>
      <c r="C59" s="1001">
        <v>26300.028000000213</v>
      </c>
      <c r="D59" s="998"/>
      <c r="H59" s="997"/>
      <c r="I59" s="1000"/>
    </row>
    <row r="60" spans="1:10">
      <c r="A60" s="1035" t="s">
        <v>957</v>
      </c>
      <c r="B60" s="1036" t="s">
        <v>420</v>
      </c>
      <c r="C60" s="1004">
        <v>0</v>
      </c>
      <c r="D60" s="998"/>
      <c r="I60" s="995"/>
    </row>
    <row r="61" spans="1:10">
      <c r="A61" s="1008" t="s">
        <v>958</v>
      </c>
      <c r="B61" s="1024" t="s">
        <v>923</v>
      </c>
      <c r="C61" s="1001">
        <v>0</v>
      </c>
      <c r="D61" s="998"/>
      <c r="I61" s="995"/>
    </row>
    <row r="62" spans="1:10">
      <c r="A62" s="1022" t="s">
        <v>959</v>
      </c>
      <c r="B62" s="1020" t="s">
        <v>923</v>
      </c>
      <c r="C62" s="1026">
        <v>0</v>
      </c>
      <c r="D62" s="998"/>
      <c r="I62" s="995"/>
    </row>
    <row r="63" spans="1:10">
      <c r="A63" s="1022" t="s">
        <v>934</v>
      </c>
      <c r="B63" s="1020" t="s">
        <v>923</v>
      </c>
      <c r="C63" s="1023">
        <v>0</v>
      </c>
      <c r="D63" s="998"/>
    </row>
    <row r="64" spans="1:10">
      <c r="A64" s="1022" t="s">
        <v>960</v>
      </c>
      <c r="B64" s="1025" t="s">
        <v>939</v>
      </c>
      <c r="C64" s="1023">
        <v>0</v>
      </c>
      <c r="D64" s="998"/>
    </row>
    <row r="65" spans="1:5">
      <c r="A65" s="1008" t="s">
        <v>961</v>
      </c>
      <c r="B65" s="1033"/>
      <c r="C65" s="1001">
        <v>0.4599505562422781</v>
      </c>
      <c r="D65" s="998"/>
    </row>
    <row r="66" spans="1:5" ht="15.75">
      <c r="A66" s="1086" t="s">
        <v>1164</v>
      </c>
      <c r="B66" s="1087"/>
      <c r="C66" s="1087"/>
      <c r="D66" s="998"/>
    </row>
    <row r="67" spans="1:5">
      <c r="A67" s="1088" t="s">
        <v>1166</v>
      </c>
      <c r="B67" s="1089"/>
      <c r="C67" s="1089"/>
      <c r="D67" s="998"/>
    </row>
    <row r="68" spans="1:5">
      <c r="A68" s="1035" t="s">
        <v>962</v>
      </c>
      <c r="B68" s="1002" t="s">
        <v>410</v>
      </c>
      <c r="C68" s="1037">
        <v>26300.028000000213</v>
      </c>
      <c r="D68" s="998"/>
    </row>
    <row r="69" spans="1:5">
      <c r="A69" s="1022" t="s">
        <v>963</v>
      </c>
      <c r="B69" s="1023" t="s">
        <v>410</v>
      </c>
      <c r="C69" s="1038">
        <v>26300.028000000213</v>
      </c>
      <c r="D69" s="997"/>
      <c r="E69" s="997"/>
    </row>
    <row r="70" spans="1:5">
      <c r="A70" s="1022" t="s">
        <v>964</v>
      </c>
      <c r="B70" s="1023" t="s">
        <v>410</v>
      </c>
      <c r="C70" s="1038">
        <v>0</v>
      </c>
      <c r="D70" s="998"/>
    </row>
    <row r="71" spans="1:5" ht="15" customHeight="1">
      <c r="A71" s="1008" t="s">
        <v>965</v>
      </c>
      <c r="B71" s="1033" t="s">
        <v>939</v>
      </c>
      <c r="C71" s="1040">
        <v>0</v>
      </c>
      <c r="D71" s="998"/>
    </row>
    <row r="72" spans="1:5">
      <c r="A72" s="1008" t="s">
        <v>966</v>
      </c>
      <c r="B72" s="1024" t="s">
        <v>923</v>
      </c>
      <c r="C72" s="1041"/>
      <c r="D72" s="998"/>
    </row>
    <row r="73" spans="1:5">
      <c r="A73" s="1022" t="s">
        <v>967</v>
      </c>
      <c r="B73" s="1020" t="s">
        <v>923</v>
      </c>
      <c r="C73" s="1042">
        <v>0</v>
      </c>
      <c r="D73" s="1063"/>
    </row>
    <row r="74" spans="1:5">
      <c r="A74" s="1022" t="s">
        <v>934</v>
      </c>
      <c r="B74" s="1020" t="s">
        <v>923</v>
      </c>
      <c r="C74" s="1042">
        <v>0</v>
      </c>
      <c r="D74" s="998"/>
    </row>
    <row r="75" spans="1:5">
      <c r="A75" s="1090" t="s">
        <v>1167</v>
      </c>
      <c r="B75" s="1091"/>
      <c r="C75" s="1091"/>
      <c r="D75" s="998"/>
    </row>
    <row r="76" spans="1:5">
      <c r="A76" s="1008" t="s">
        <v>968</v>
      </c>
      <c r="B76" s="1036" t="s">
        <v>420</v>
      </c>
      <c r="C76" s="1004"/>
      <c r="D76" s="998"/>
    </row>
    <row r="77" spans="1:5">
      <c r="A77" s="1008" t="s">
        <v>969</v>
      </c>
      <c r="B77" s="1036" t="s">
        <v>944</v>
      </c>
      <c r="C77" s="1001">
        <v>0</v>
      </c>
      <c r="D77" s="998"/>
    </row>
    <row r="78" spans="1:5">
      <c r="A78" s="1008" t="s">
        <v>970</v>
      </c>
      <c r="B78" s="1024" t="s">
        <v>923</v>
      </c>
      <c r="C78" s="1001"/>
      <c r="D78" s="998"/>
    </row>
    <row r="79" spans="1:5">
      <c r="A79" s="1022" t="s">
        <v>971</v>
      </c>
      <c r="B79" s="1020" t="s">
        <v>923</v>
      </c>
      <c r="C79" s="1023">
        <v>0</v>
      </c>
      <c r="D79" s="1063"/>
    </row>
    <row r="80" spans="1:5">
      <c r="A80" s="1022" t="s">
        <v>934</v>
      </c>
      <c r="B80" s="1020" t="s">
        <v>923</v>
      </c>
      <c r="C80" s="1023">
        <v>0</v>
      </c>
      <c r="D80" s="998"/>
    </row>
    <row r="81" spans="1:4">
      <c r="A81" s="1022"/>
      <c r="B81" s="1020"/>
      <c r="C81" s="1023"/>
      <c r="D81" s="998"/>
    </row>
    <row r="82" spans="1:4" ht="18">
      <c r="A82" s="1084" t="s">
        <v>1168</v>
      </c>
      <c r="B82" s="1085"/>
      <c r="C82" s="1085"/>
      <c r="D82" s="998"/>
    </row>
    <row r="83" spans="1:4">
      <c r="A83" s="1035" t="s">
        <v>972</v>
      </c>
      <c r="B83" s="1002" t="s">
        <v>410</v>
      </c>
      <c r="C83" s="1043">
        <v>31665.779000000002</v>
      </c>
      <c r="D83" s="998"/>
    </row>
    <row r="84" spans="1:4">
      <c r="A84" s="1035" t="s">
        <v>973</v>
      </c>
      <c r="B84" s="1036" t="s">
        <v>420</v>
      </c>
      <c r="C84" s="1037">
        <v>0</v>
      </c>
      <c r="D84" s="998"/>
    </row>
    <row r="85" spans="1:4">
      <c r="A85" s="1035"/>
      <c r="B85" s="1024"/>
      <c r="C85" s="1002">
        <v>1699.5731742459263</v>
      </c>
      <c r="D85" s="998"/>
    </row>
    <row r="86" spans="1:4">
      <c r="A86" s="1035"/>
      <c r="B86" s="1024"/>
      <c r="C86" s="1002">
        <v>53660208.160000004</v>
      </c>
      <c r="D86" s="998"/>
    </row>
    <row r="87" spans="1:4">
      <c r="A87" s="1035" t="s">
        <v>974</v>
      </c>
      <c r="B87" s="1024" t="s">
        <v>923</v>
      </c>
      <c r="C87" s="1002">
        <v>53818308.530000001</v>
      </c>
      <c r="D87" s="998"/>
    </row>
    <row r="88" spans="1:4">
      <c r="A88" s="1044" t="s">
        <v>975</v>
      </c>
      <c r="B88" s="1020" t="s">
        <v>923</v>
      </c>
      <c r="C88" s="1026">
        <v>65658336.406599998</v>
      </c>
      <c r="D88" s="998"/>
    </row>
    <row r="89" spans="1:4">
      <c r="A89" s="1044" t="s">
        <v>934</v>
      </c>
      <c r="B89" s="1020" t="s">
        <v>923</v>
      </c>
      <c r="C89" s="1026">
        <v>11840027.876599997</v>
      </c>
      <c r="D89" s="998"/>
    </row>
    <row r="90" spans="1:4">
      <c r="A90" s="1044"/>
      <c r="B90" s="1020"/>
      <c r="C90" s="1026"/>
      <c r="D90" s="998"/>
    </row>
    <row r="91" spans="1:4">
      <c r="A91" s="1044"/>
      <c r="B91" s="1020"/>
      <c r="C91" s="1026"/>
      <c r="D91" s="998"/>
    </row>
    <row r="92" spans="1:4">
      <c r="A92" s="1044"/>
      <c r="B92" s="1020"/>
      <c r="C92" s="1026"/>
      <c r="D92" s="998"/>
    </row>
    <row r="93" spans="1:4">
      <c r="A93" s="1044"/>
      <c r="B93" s="1020"/>
      <c r="C93" s="1026"/>
      <c r="D93" s="998"/>
    </row>
    <row r="94" spans="1:4">
      <c r="A94" s="1088" t="s">
        <v>1166</v>
      </c>
      <c r="B94" s="1089"/>
      <c r="C94" s="1089"/>
      <c r="D94" s="998"/>
    </row>
    <row r="95" spans="1:4">
      <c r="A95" s="1035" t="s">
        <v>972</v>
      </c>
      <c r="B95" s="1002" t="s">
        <v>410</v>
      </c>
      <c r="C95" s="1037">
        <v>31665.779000000002</v>
      </c>
      <c r="D95" s="998"/>
    </row>
    <row r="96" spans="1:4">
      <c r="A96" s="1022" t="s">
        <v>976</v>
      </c>
      <c r="B96" s="1023" t="s">
        <v>410</v>
      </c>
      <c r="C96" s="1045">
        <v>31665.779000000002</v>
      </c>
      <c r="D96" s="998"/>
    </row>
    <row r="97" spans="1:4">
      <c r="A97" s="1022" t="s">
        <v>977</v>
      </c>
      <c r="B97" s="1023" t="s">
        <v>410</v>
      </c>
      <c r="C97" s="1045">
        <v>0</v>
      </c>
      <c r="D97" s="998"/>
    </row>
    <row r="98" spans="1:4">
      <c r="A98" s="1035" t="s">
        <v>978</v>
      </c>
      <c r="B98" s="1033" t="s">
        <v>939</v>
      </c>
      <c r="C98" s="1001">
        <v>1699.5731742459263</v>
      </c>
      <c r="D98" s="998"/>
    </row>
    <row r="99" spans="1:4">
      <c r="A99" s="1008" t="s">
        <v>979</v>
      </c>
      <c r="B99" s="1024" t="s">
        <v>923</v>
      </c>
      <c r="C99" s="1037">
        <v>53818308.530000001</v>
      </c>
      <c r="D99" s="998"/>
    </row>
    <row r="100" spans="1:4">
      <c r="A100" s="1022" t="s">
        <v>980</v>
      </c>
      <c r="B100" s="1020" t="s">
        <v>923</v>
      </c>
      <c r="C100" s="1037">
        <v>64581970.236000001</v>
      </c>
      <c r="D100" s="998"/>
    </row>
    <row r="101" spans="1:4">
      <c r="A101" s="1022" t="s">
        <v>934</v>
      </c>
      <c r="B101" s="1020" t="s">
        <v>923</v>
      </c>
      <c r="C101" s="1037">
        <v>10763661.706</v>
      </c>
      <c r="D101" s="998"/>
    </row>
    <row r="102" spans="1:4">
      <c r="A102" s="1022"/>
      <c r="B102" s="1020"/>
      <c r="C102" s="1037"/>
      <c r="D102" s="998"/>
    </row>
    <row r="103" spans="1:4">
      <c r="A103" s="1035" t="s">
        <v>981</v>
      </c>
      <c r="B103" s="1002" t="s">
        <v>410</v>
      </c>
      <c r="C103" s="1037">
        <v>785.6869999999999</v>
      </c>
      <c r="D103" s="998"/>
    </row>
    <row r="104" spans="1:4">
      <c r="A104" s="1022" t="s">
        <v>982</v>
      </c>
      <c r="B104" s="1023" t="s">
        <v>410</v>
      </c>
      <c r="C104" s="1045">
        <v>785.6869999999999</v>
      </c>
      <c r="D104" s="998"/>
    </row>
    <row r="105" spans="1:4">
      <c r="A105" s="1022" t="s">
        <v>983</v>
      </c>
      <c r="B105" s="1023" t="s">
        <v>410</v>
      </c>
      <c r="C105" s="1045">
        <v>0</v>
      </c>
      <c r="D105" s="998"/>
    </row>
    <row r="106" spans="1:4">
      <c r="A106" s="1035" t="s">
        <v>984</v>
      </c>
      <c r="B106" s="1033" t="s">
        <v>939</v>
      </c>
      <c r="C106" s="1039">
        <v>201.22564074497862</v>
      </c>
      <c r="D106" s="998"/>
    </row>
    <row r="107" spans="1:4">
      <c r="A107" s="1008" t="s">
        <v>985</v>
      </c>
      <c r="B107" s="1024" t="s">
        <v>923</v>
      </c>
      <c r="C107" s="1037">
        <v>158100.37</v>
      </c>
      <c r="D107" s="998"/>
    </row>
    <row r="108" spans="1:4">
      <c r="A108" s="1022" t="s">
        <v>986</v>
      </c>
      <c r="B108" s="1020" t="s">
        <v>923</v>
      </c>
      <c r="C108" s="1023">
        <v>189720.44399999999</v>
      </c>
      <c r="D108" s="998"/>
    </row>
    <row r="109" spans="1:4">
      <c r="A109" s="1022" t="s">
        <v>934</v>
      </c>
      <c r="B109" s="1020" t="s">
        <v>923</v>
      </c>
      <c r="C109" s="1023">
        <v>31620.073999999993</v>
      </c>
      <c r="D109" s="998"/>
    </row>
    <row r="110" spans="1:4">
      <c r="A110" s="1022"/>
      <c r="B110" s="1020"/>
      <c r="C110" s="1023"/>
      <c r="D110" s="998"/>
    </row>
    <row r="111" spans="1:4">
      <c r="A111" s="1008" t="s">
        <v>987</v>
      </c>
      <c r="B111" s="1023" t="s">
        <v>410</v>
      </c>
      <c r="C111" s="1001">
        <v>30880.092000000004</v>
      </c>
      <c r="D111" s="998"/>
    </row>
    <row r="112" spans="1:4">
      <c r="A112" s="1022" t="s">
        <v>988</v>
      </c>
      <c r="B112" s="1023" t="s">
        <v>410</v>
      </c>
      <c r="C112" s="1023">
        <v>30880.092000000004</v>
      </c>
      <c r="D112" s="998"/>
    </row>
    <row r="113" spans="1:8">
      <c r="A113" s="1022" t="s">
        <v>989</v>
      </c>
      <c r="B113" s="1023"/>
      <c r="C113" s="1023">
        <v>0</v>
      </c>
      <c r="D113" s="998"/>
    </row>
    <row r="114" spans="1:8">
      <c r="A114" s="1035" t="s">
        <v>990</v>
      </c>
      <c r="B114" s="1033" t="s">
        <v>939</v>
      </c>
      <c r="C114" s="1001">
        <v>1737.6958643776061</v>
      </c>
      <c r="D114" s="998"/>
    </row>
    <row r="115" spans="1:8">
      <c r="A115" s="1008" t="s">
        <v>991</v>
      </c>
      <c r="B115" s="1024" t="s">
        <v>923</v>
      </c>
      <c r="C115" s="1001">
        <v>53660208.160000004</v>
      </c>
      <c r="D115" s="998"/>
    </row>
    <row r="116" spans="1:8">
      <c r="A116" s="1022" t="s">
        <v>992</v>
      </c>
      <c r="B116" s="1020" t="s">
        <v>923</v>
      </c>
      <c r="C116" s="1023">
        <v>64392249.792000003</v>
      </c>
      <c r="D116" s="998"/>
    </row>
    <row r="117" spans="1:8">
      <c r="A117" s="1022" t="s">
        <v>934</v>
      </c>
      <c r="B117" s="1020" t="s">
        <v>923</v>
      </c>
      <c r="C117" s="1023">
        <v>10732041.631999999</v>
      </c>
      <c r="D117" s="998"/>
    </row>
    <row r="118" spans="1:8">
      <c r="A118" s="1090" t="s">
        <v>1167</v>
      </c>
      <c r="B118" s="1091"/>
      <c r="C118" s="1091"/>
      <c r="D118" s="998"/>
    </row>
    <row r="119" spans="1:8">
      <c r="A119" s="1035" t="s">
        <v>973</v>
      </c>
      <c r="B119" s="1036" t="s">
        <v>420</v>
      </c>
      <c r="C119" s="1037">
        <v>0</v>
      </c>
      <c r="D119" s="998"/>
    </row>
    <row r="120" spans="1:8">
      <c r="A120" s="1008" t="s">
        <v>993</v>
      </c>
      <c r="B120" s="1036" t="s">
        <v>944</v>
      </c>
      <c r="C120" s="1001">
        <v>0</v>
      </c>
      <c r="D120" s="998"/>
    </row>
    <row r="121" spans="1:8">
      <c r="A121" s="1008" t="s">
        <v>994</v>
      </c>
      <c r="B121" s="1036" t="s">
        <v>923</v>
      </c>
      <c r="C121" s="1037">
        <v>0</v>
      </c>
      <c r="D121" s="998"/>
    </row>
    <row r="122" spans="1:8">
      <c r="A122" s="1022" t="s">
        <v>995</v>
      </c>
      <c r="B122" s="1028" t="s">
        <v>923</v>
      </c>
      <c r="C122" s="1037">
        <v>0</v>
      </c>
      <c r="D122" s="998"/>
    </row>
    <row r="123" spans="1:8">
      <c r="A123" s="1022" t="s">
        <v>934</v>
      </c>
      <c r="B123" s="1028" t="s">
        <v>923</v>
      </c>
      <c r="C123" s="1026">
        <v>0</v>
      </c>
      <c r="D123" s="998"/>
    </row>
    <row r="124" spans="1:8">
      <c r="A124" s="1035" t="s">
        <v>996</v>
      </c>
      <c r="B124" s="1034" t="s">
        <v>939</v>
      </c>
      <c r="C124" s="1002">
        <v>1699.5731742459263</v>
      </c>
      <c r="D124" s="998"/>
    </row>
    <row r="125" spans="1:8">
      <c r="A125" s="1035" t="s">
        <v>997</v>
      </c>
      <c r="B125" s="1034" t="s">
        <v>939</v>
      </c>
      <c r="C125" s="1002">
        <v>0</v>
      </c>
      <c r="D125" s="998"/>
    </row>
    <row r="126" spans="1:8" ht="15.75">
      <c r="A126" s="1086" t="s">
        <v>1169</v>
      </c>
      <c r="B126" s="1087"/>
      <c r="C126" s="1087"/>
      <c r="D126" s="998"/>
    </row>
    <row r="127" spans="1:8">
      <c r="A127" s="1088" t="s">
        <v>1166</v>
      </c>
      <c r="B127" s="1089"/>
      <c r="C127" s="1089"/>
      <c r="D127" s="998"/>
      <c r="H127" s="997"/>
    </row>
    <row r="128" spans="1:8">
      <c r="A128" s="1008" t="s">
        <v>998</v>
      </c>
      <c r="B128" s="1001" t="s">
        <v>410</v>
      </c>
      <c r="C128" s="1004">
        <v>31007.613000000001</v>
      </c>
      <c r="D128" s="997"/>
      <c r="E128" s="997"/>
      <c r="F128" s="997"/>
    </row>
    <row r="129" spans="1:13">
      <c r="A129" s="1022" t="s">
        <v>999</v>
      </c>
      <c r="B129" s="1023" t="s">
        <v>410</v>
      </c>
      <c r="C129" s="1046">
        <v>31007.613000000001</v>
      </c>
      <c r="D129" s="997"/>
      <c r="E129" s="995"/>
      <c r="F129" s="995"/>
      <c r="G129" s="995"/>
      <c r="H129" s="995"/>
      <c r="I129" s="995"/>
      <c r="J129" s="995"/>
      <c r="K129" s="995"/>
      <c r="L129" s="995"/>
      <c r="M129" s="995"/>
    </row>
    <row r="130" spans="1:13" ht="25.5">
      <c r="A130" s="1022" t="s">
        <v>1000</v>
      </c>
      <c r="B130" s="1023" t="s">
        <v>410</v>
      </c>
      <c r="C130" s="1046">
        <v>0</v>
      </c>
      <c r="D130" s="998"/>
      <c r="E130" s="995"/>
      <c r="F130" s="995"/>
      <c r="G130" s="995"/>
      <c r="H130" s="995"/>
      <c r="I130" s="995"/>
      <c r="J130" s="995"/>
      <c r="K130" s="995"/>
      <c r="L130" s="995"/>
      <c r="M130" s="995"/>
    </row>
    <row r="131" spans="1:13">
      <c r="A131" s="1022" t="s">
        <v>1001</v>
      </c>
      <c r="B131" s="1023" t="s">
        <v>410</v>
      </c>
      <c r="C131" s="1046">
        <v>0</v>
      </c>
      <c r="D131" s="998"/>
      <c r="E131" s="995"/>
      <c r="F131" s="995"/>
      <c r="G131" s="995"/>
      <c r="H131" s="995"/>
      <c r="I131" s="995"/>
      <c r="J131" s="995"/>
      <c r="K131" s="995"/>
      <c r="L131" s="995"/>
      <c r="M131" s="995"/>
    </row>
    <row r="132" spans="1:13">
      <c r="A132" s="1008" t="s">
        <v>1002</v>
      </c>
      <c r="B132" s="1033" t="s">
        <v>939</v>
      </c>
      <c r="C132" s="1039">
        <v>1735.6482270982935</v>
      </c>
      <c r="D132" s="998"/>
      <c r="E132" s="995"/>
      <c r="F132" s="995"/>
      <c r="G132" s="995"/>
      <c r="H132" s="995"/>
      <c r="I132" s="995"/>
      <c r="J132" s="995"/>
      <c r="K132" s="995"/>
      <c r="L132" s="995"/>
      <c r="M132" s="995"/>
    </row>
    <row r="133" spans="1:13">
      <c r="A133" s="1008" t="s">
        <v>1003</v>
      </c>
      <c r="B133" s="1036" t="s">
        <v>923</v>
      </c>
      <c r="C133" s="1001">
        <v>53818308.530000001</v>
      </c>
      <c r="D133" s="998"/>
      <c r="E133" s="996"/>
      <c r="F133" s="996"/>
      <c r="G133" s="995"/>
      <c r="H133" s="995"/>
      <c r="I133" s="995"/>
      <c r="J133" s="995"/>
      <c r="K133" s="995"/>
      <c r="L133" s="995"/>
      <c r="M133" s="995"/>
    </row>
    <row r="134" spans="1:13">
      <c r="A134" s="1022" t="s">
        <v>1004</v>
      </c>
      <c r="B134" s="1028" t="s">
        <v>923</v>
      </c>
      <c r="C134" s="1026">
        <v>65658336.406599998</v>
      </c>
      <c r="D134" s="998"/>
      <c r="E134" s="995"/>
      <c r="F134" s="995"/>
      <c r="G134" s="995"/>
      <c r="H134" s="995"/>
      <c r="I134" s="995"/>
      <c r="J134" s="995"/>
      <c r="K134" s="995"/>
      <c r="L134" s="995"/>
      <c r="M134" s="995"/>
    </row>
    <row r="135" spans="1:13">
      <c r="A135" s="1022" t="s">
        <v>934</v>
      </c>
      <c r="B135" s="1028" t="s">
        <v>923</v>
      </c>
      <c r="C135" s="1023">
        <v>11840027.876599997</v>
      </c>
      <c r="D135" s="998"/>
      <c r="E135" s="995"/>
      <c r="F135" s="996"/>
      <c r="G135" s="995"/>
      <c r="H135" s="995"/>
      <c r="I135" s="995"/>
      <c r="J135" s="995"/>
      <c r="K135" s="995"/>
      <c r="L135" s="995"/>
      <c r="M135" s="995"/>
    </row>
    <row r="136" spans="1:13">
      <c r="A136" s="1022" t="s">
        <v>1005</v>
      </c>
      <c r="B136" s="1028"/>
      <c r="C136" s="1026"/>
      <c r="D136" s="998"/>
      <c r="E136" s="995"/>
      <c r="F136" s="995"/>
      <c r="G136" s="995"/>
      <c r="H136" s="995"/>
      <c r="I136" s="995"/>
      <c r="J136" s="995"/>
      <c r="K136" s="995"/>
      <c r="L136" s="995"/>
      <c r="M136" s="995"/>
    </row>
    <row r="137" spans="1:13">
      <c r="A137" s="1013" t="s">
        <v>1006</v>
      </c>
      <c r="B137" s="1006" t="s">
        <v>410</v>
      </c>
      <c r="C137" s="1007">
        <v>367.52499999999998</v>
      </c>
      <c r="D137" s="998"/>
      <c r="E137" s="995"/>
      <c r="F137" s="995"/>
      <c r="G137" s="995"/>
      <c r="H137" s="995"/>
      <c r="I137" s="995"/>
      <c r="J137" s="995"/>
      <c r="K137" s="995"/>
      <c r="L137" s="995"/>
      <c r="M137" s="995"/>
    </row>
    <row r="138" spans="1:13">
      <c r="A138" s="1022" t="s">
        <v>1007</v>
      </c>
      <c r="B138" s="1023" t="s">
        <v>410</v>
      </c>
      <c r="C138" s="1038">
        <v>0</v>
      </c>
      <c r="D138" s="998"/>
      <c r="E138" s="995"/>
      <c r="F138" s="995"/>
      <c r="G138" s="995"/>
      <c r="H138" s="995"/>
      <c r="I138" s="995"/>
      <c r="J138" s="995"/>
      <c r="K138" s="995"/>
      <c r="L138" s="995"/>
      <c r="M138" s="995"/>
    </row>
    <row r="139" spans="1:13">
      <c r="A139" s="1022" t="s">
        <v>1008</v>
      </c>
      <c r="B139" s="1023" t="s">
        <v>410</v>
      </c>
      <c r="C139" s="1038">
        <v>367.52499999999998</v>
      </c>
      <c r="D139" s="998"/>
      <c r="E139" s="995"/>
      <c r="F139" s="995"/>
      <c r="G139" s="995"/>
      <c r="H139" s="995"/>
      <c r="I139" s="995"/>
      <c r="J139" s="995"/>
      <c r="K139" s="995"/>
      <c r="L139" s="995"/>
      <c r="M139" s="995"/>
    </row>
    <row r="140" spans="1:13" ht="25.5">
      <c r="A140" s="1022" t="s">
        <v>1009</v>
      </c>
      <c r="B140" s="1023" t="s">
        <v>410</v>
      </c>
      <c r="C140" s="1038">
        <v>0</v>
      </c>
      <c r="D140" s="998"/>
      <c r="E140" s="1076"/>
      <c r="F140" s="995"/>
      <c r="G140" s="995"/>
      <c r="H140" s="1000"/>
      <c r="I140" s="995"/>
      <c r="J140" s="1000"/>
      <c r="K140" s="996"/>
      <c r="L140" s="995"/>
      <c r="M140" s="995"/>
    </row>
    <row r="141" spans="1:13">
      <c r="A141" s="1022" t="s">
        <v>1010</v>
      </c>
      <c r="B141" s="1023" t="s">
        <v>410</v>
      </c>
      <c r="C141" s="1038">
        <v>0</v>
      </c>
      <c r="D141" s="998"/>
      <c r="E141" s="995"/>
      <c r="F141" s="995"/>
      <c r="G141" s="995"/>
      <c r="H141" s="995"/>
      <c r="I141" s="995"/>
      <c r="J141" s="995"/>
      <c r="K141" s="995"/>
      <c r="L141" s="995"/>
      <c r="M141" s="995"/>
    </row>
    <row r="142" spans="1:13">
      <c r="A142" s="1008" t="s">
        <v>1011</v>
      </c>
      <c r="B142" s="1033" t="s">
        <v>939</v>
      </c>
      <c r="C142" s="1047">
        <v>430.1758247738249</v>
      </c>
      <c r="D142" s="998"/>
      <c r="E142" s="996"/>
      <c r="F142" s="995"/>
      <c r="G142" s="995"/>
      <c r="H142" s="995"/>
      <c r="I142" s="995"/>
      <c r="J142" s="995"/>
      <c r="K142" s="995"/>
      <c r="L142" s="995"/>
      <c r="M142" s="995"/>
    </row>
    <row r="143" spans="1:13">
      <c r="A143" s="1013" t="s">
        <v>1012</v>
      </c>
      <c r="B143" s="1017" t="s">
        <v>923</v>
      </c>
      <c r="C143" s="1006">
        <v>158100.37</v>
      </c>
      <c r="D143" s="998"/>
      <c r="E143" s="995"/>
      <c r="F143" s="995"/>
      <c r="G143" s="995"/>
      <c r="H143" s="1000"/>
      <c r="I143" s="995"/>
      <c r="J143" s="995"/>
      <c r="K143" s="995"/>
      <c r="L143" s="995"/>
      <c r="M143" s="995"/>
    </row>
    <row r="144" spans="1:13">
      <c r="A144" s="1022" t="s">
        <v>1013</v>
      </c>
      <c r="B144" s="1028" t="s">
        <v>923</v>
      </c>
      <c r="C144" s="1023">
        <v>192882.45139999999</v>
      </c>
      <c r="D144" s="998"/>
      <c r="E144" s="1000"/>
      <c r="F144" s="995"/>
      <c r="G144" s="995"/>
      <c r="H144" s="995"/>
      <c r="I144" s="995"/>
      <c r="J144" s="995"/>
      <c r="K144" s="995"/>
      <c r="L144" s="995"/>
      <c r="M144" s="995"/>
    </row>
    <row r="145" spans="1:13">
      <c r="A145" s="1022" t="s">
        <v>934</v>
      </c>
      <c r="B145" s="1028" t="s">
        <v>923</v>
      </c>
      <c r="C145" s="1023">
        <v>34782.081399999995</v>
      </c>
      <c r="D145" s="998"/>
      <c r="E145" s="1000"/>
      <c r="F145" s="995"/>
      <c r="G145" s="995"/>
      <c r="H145" s="1000"/>
      <c r="I145" s="995"/>
      <c r="J145" s="995"/>
      <c r="K145" s="995"/>
      <c r="L145" s="995"/>
      <c r="M145" s="995"/>
    </row>
    <row r="146" spans="1:13" ht="15.75">
      <c r="A146" s="1086" t="s">
        <v>646</v>
      </c>
      <c r="B146" s="1087"/>
      <c r="C146" s="1087"/>
      <c r="D146" s="998"/>
      <c r="E146" s="995"/>
      <c r="F146" s="995"/>
      <c r="G146" s="995"/>
      <c r="H146" s="995"/>
      <c r="I146" s="995"/>
      <c r="J146" s="995"/>
      <c r="K146" s="995"/>
      <c r="L146" s="995"/>
      <c r="M146" s="995"/>
    </row>
    <row r="147" spans="1:13">
      <c r="A147" s="1088" t="s">
        <v>1166</v>
      </c>
      <c r="B147" s="1089"/>
      <c r="C147" s="1089"/>
      <c r="D147" s="998"/>
      <c r="E147" s="995"/>
      <c r="F147" s="995"/>
      <c r="G147" s="995"/>
      <c r="H147" s="995"/>
      <c r="I147" s="995"/>
      <c r="J147" s="995"/>
      <c r="K147" s="995"/>
      <c r="L147" s="995"/>
      <c r="M147" s="995"/>
    </row>
    <row r="148" spans="1:13">
      <c r="A148" s="1008" t="s">
        <v>1014</v>
      </c>
      <c r="B148" s="1001" t="s">
        <v>410</v>
      </c>
      <c r="C148" s="1004">
        <v>658.16600000000005</v>
      </c>
      <c r="D148" s="997"/>
      <c r="E148" s="995"/>
      <c r="F148" s="1077"/>
      <c r="G148" s="995"/>
      <c r="H148" s="996"/>
      <c r="I148" s="1000"/>
      <c r="J148" s="995"/>
      <c r="K148" s="995"/>
      <c r="L148" s="995"/>
      <c r="M148" s="995"/>
    </row>
    <row r="149" spans="1:13">
      <c r="A149" s="1008" t="s">
        <v>1015</v>
      </c>
      <c r="B149" s="1033" t="s">
        <v>939</v>
      </c>
      <c r="C149" s="1001">
        <v>0</v>
      </c>
      <c r="D149" s="998"/>
      <c r="E149" s="995"/>
      <c r="F149" s="995"/>
      <c r="G149" s="995"/>
      <c r="H149" s="995"/>
      <c r="I149" s="995"/>
      <c r="J149" s="995"/>
      <c r="K149" s="995"/>
      <c r="L149" s="995"/>
      <c r="M149" s="995"/>
    </row>
    <row r="150" spans="1:13">
      <c r="A150" s="1008" t="s">
        <v>1016</v>
      </c>
      <c r="B150" s="1036" t="s">
        <v>923</v>
      </c>
      <c r="C150" s="1001"/>
      <c r="D150" s="998"/>
      <c r="E150" s="995"/>
      <c r="F150" s="995"/>
      <c r="G150" s="995"/>
      <c r="H150" s="996"/>
      <c r="I150" s="1000"/>
      <c r="J150" s="995"/>
      <c r="K150" s="995"/>
      <c r="L150" s="995"/>
      <c r="M150" s="995"/>
    </row>
    <row r="151" spans="1:13">
      <c r="A151" s="1022" t="s">
        <v>1017</v>
      </c>
      <c r="B151" s="1028" t="s">
        <v>923</v>
      </c>
      <c r="C151" s="1023">
        <v>0</v>
      </c>
      <c r="D151" s="998"/>
      <c r="E151" s="995"/>
      <c r="F151" s="995"/>
      <c r="G151" s="995"/>
      <c r="H151" s="995"/>
      <c r="I151" s="995"/>
      <c r="J151" s="995"/>
      <c r="K151" s="995"/>
      <c r="L151" s="995"/>
      <c r="M151" s="995"/>
    </row>
    <row r="152" spans="1:13">
      <c r="A152" s="1022" t="s">
        <v>934</v>
      </c>
      <c r="B152" s="1028" t="s">
        <v>923</v>
      </c>
      <c r="C152" s="1023">
        <v>0</v>
      </c>
      <c r="D152" s="998"/>
    </row>
    <row r="153" spans="1:13">
      <c r="A153" s="1022" t="s">
        <v>1005</v>
      </c>
      <c r="B153" s="1028"/>
      <c r="C153" s="1048"/>
      <c r="D153" s="998"/>
      <c r="E153" s="1063"/>
    </row>
    <row r="154" spans="1:13" s="1070" customFormat="1">
      <c r="A154" s="1013" t="s">
        <v>1018</v>
      </c>
      <c r="B154" s="1006" t="s">
        <v>410</v>
      </c>
      <c r="C154" s="1007">
        <v>418.16199999999998</v>
      </c>
      <c r="D154" s="997"/>
    </row>
    <row r="155" spans="1:13">
      <c r="A155" s="1008" t="s">
        <v>1019</v>
      </c>
      <c r="B155" s="1033" t="s">
        <v>939</v>
      </c>
      <c r="C155" s="1001">
        <v>0</v>
      </c>
      <c r="D155" s="998"/>
    </row>
    <row r="156" spans="1:13">
      <c r="A156" s="1013" t="s">
        <v>1020</v>
      </c>
      <c r="B156" s="1017" t="s">
        <v>923</v>
      </c>
      <c r="C156" s="1006"/>
      <c r="D156" s="997"/>
      <c r="E156" s="997"/>
    </row>
    <row r="157" spans="1:13">
      <c r="A157" s="1022" t="s">
        <v>1021</v>
      </c>
      <c r="B157" s="1028" t="s">
        <v>923</v>
      </c>
      <c r="C157" s="1023">
        <v>0</v>
      </c>
      <c r="D157" s="998"/>
    </row>
    <row r="158" spans="1:13">
      <c r="A158" s="1022" t="s">
        <v>934</v>
      </c>
      <c r="B158" s="1028" t="s">
        <v>923</v>
      </c>
      <c r="C158" s="1023">
        <v>0</v>
      </c>
      <c r="D158" s="998"/>
    </row>
    <row r="159" spans="1:13">
      <c r="A159" s="1022" t="s">
        <v>1022</v>
      </c>
      <c r="B159" s="1028" t="s">
        <v>410</v>
      </c>
      <c r="C159" s="1023">
        <v>1076.328</v>
      </c>
      <c r="D159" s="998"/>
      <c r="E159" s="1078"/>
    </row>
    <row r="160" spans="1:13">
      <c r="A160" s="1022" t="s">
        <v>1023</v>
      </c>
      <c r="B160" s="1028" t="s">
        <v>248</v>
      </c>
      <c r="C160" s="1049">
        <v>1.1558915686086765E-2</v>
      </c>
      <c r="D160" s="998"/>
    </row>
    <row r="161" spans="1:6">
      <c r="A161" s="1022" t="s">
        <v>1024</v>
      </c>
      <c r="B161" s="1028" t="s">
        <v>248</v>
      </c>
      <c r="C161" s="1049">
        <v>7.3438909046128382E-3</v>
      </c>
      <c r="D161" s="998"/>
    </row>
    <row r="162" spans="1:6">
      <c r="A162" s="1022" t="s">
        <v>1022</v>
      </c>
      <c r="B162" s="1028" t="s">
        <v>248</v>
      </c>
      <c r="C162" s="1050">
        <v>3.4855077504303007E-2</v>
      </c>
      <c r="D162" s="1049"/>
    </row>
    <row r="163" spans="1:6">
      <c r="A163" s="1022" t="s">
        <v>1025</v>
      </c>
      <c r="B163" s="1028" t="s">
        <v>248</v>
      </c>
      <c r="C163" s="1051">
        <v>1.8902806590699605E-2</v>
      </c>
      <c r="D163" s="1051"/>
      <c r="E163" s="997"/>
      <c r="F163" s="1066"/>
    </row>
    <row r="164" spans="1:6" ht="15.75" hidden="1" customHeight="1" outlineLevel="1">
      <c r="A164" s="1086" t="s">
        <v>1170</v>
      </c>
      <c r="B164" s="1087"/>
      <c r="C164" s="1092"/>
      <c r="D164" s="998"/>
    </row>
    <row r="165" spans="1:6" ht="12.75" hidden="1" customHeight="1" outlineLevel="1">
      <c r="A165" s="1008" t="s">
        <v>1026</v>
      </c>
      <c r="B165" s="1036" t="s">
        <v>923</v>
      </c>
      <c r="C165" s="1001">
        <v>0</v>
      </c>
      <c r="D165" s="998"/>
    </row>
    <row r="166" spans="1:6" ht="12.75" hidden="1" customHeight="1" outlineLevel="1">
      <c r="A166" s="1022" t="s">
        <v>1027</v>
      </c>
      <c r="B166" s="1028" t="s">
        <v>923</v>
      </c>
      <c r="C166" s="1023">
        <v>0</v>
      </c>
      <c r="D166" s="998"/>
    </row>
    <row r="167" spans="1:6" ht="12.75" hidden="1" customHeight="1" outlineLevel="1">
      <c r="A167" s="1022" t="s">
        <v>934</v>
      </c>
      <c r="B167" s="1028" t="s">
        <v>923</v>
      </c>
      <c r="C167" s="1023">
        <v>0</v>
      </c>
      <c r="D167" s="998"/>
    </row>
    <row r="168" spans="1:6" ht="12.75" hidden="1" customHeight="1" outlineLevel="1">
      <c r="A168" s="1022"/>
      <c r="B168" s="1028"/>
      <c r="C168" s="1023"/>
      <c r="D168" s="998"/>
    </row>
    <row r="169" spans="1:6" ht="25.5" hidden="1" customHeight="1" outlineLevel="1">
      <c r="A169" s="1008" t="s">
        <v>1028</v>
      </c>
      <c r="B169" s="1028" t="s">
        <v>923</v>
      </c>
      <c r="C169" s="1001">
        <v>0</v>
      </c>
      <c r="D169" s="998"/>
    </row>
    <row r="170" spans="1:6" ht="12.75" hidden="1" customHeight="1" outlineLevel="1">
      <c r="A170" s="1008"/>
      <c r="B170" s="1028"/>
      <c r="C170" s="1001"/>
      <c r="D170" s="998"/>
    </row>
    <row r="171" spans="1:6" ht="12.75" hidden="1" customHeight="1" outlineLevel="1">
      <c r="A171" s="1022" t="s">
        <v>1029</v>
      </c>
      <c r="B171" s="1025" t="s">
        <v>939</v>
      </c>
      <c r="C171" s="1023">
        <v>0</v>
      </c>
      <c r="D171" s="998"/>
    </row>
    <row r="172" spans="1:6" ht="12.75" hidden="1" customHeight="1" outlineLevel="1">
      <c r="A172" s="1008" t="s">
        <v>1030</v>
      </c>
      <c r="B172" s="1036" t="s">
        <v>923</v>
      </c>
      <c r="C172" s="1001">
        <v>0</v>
      </c>
      <c r="D172" s="1065"/>
    </row>
    <row r="173" spans="1:6" ht="12.75" hidden="1" customHeight="1" outlineLevel="1">
      <c r="A173" s="1008" t="s">
        <v>1031</v>
      </c>
      <c r="B173" s="1036" t="s">
        <v>923</v>
      </c>
      <c r="C173" s="1001">
        <v>0</v>
      </c>
      <c r="D173" s="1079"/>
    </row>
    <row r="174" spans="1:6" ht="12.75" hidden="1" customHeight="1" outlineLevel="1">
      <c r="A174" s="1088" t="s">
        <v>1166</v>
      </c>
      <c r="B174" s="1089"/>
      <c r="C174" s="1093"/>
      <c r="D174" s="998"/>
    </row>
    <row r="175" spans="1:6" s="995" customFormat="1" ht="12.75" hidden="1" customHeight="1" outlineLevel="1">
      <c r="A175" s="1008" t="s">
        <v>1032</v>
      </c>
      <c r="B175" s="1001" t="s">
        <v>410</v>
      </c>
      <c r="C175" s="1004">
        <v>0</v>
      </c>
      <c r="D175" s="999"/>
    </row>
    <row r="176" spans="1:6" s="995" customFormat="1" ht="12.75" hidden="1" customHeight="1" outlineLevel="1">
      <c r="A176" s="1008" t="s">
        <v>1033</v>
      </c>
      <c r="B176" s="1033" t="s">
        <v>939</v>
      </c>
      <c r="C176" s="1001">
        <v>0</v>
      </c>
      <c r="D176" s="999"/>
    </row>
    <row r="177" spans="1:4" s="995" customFormat="1" ht="12.75" hidden="1" customHeight="1" outlineLevel="1">
      <c r="A177" s="1008" t="s">
        <v>1034</v>
      </c>
      <c r="B177" s="1036" t="s">
        <v>923</v>
      </c>
      <c r="C177" s="1002">
        <v>0</v>
      </c>
      <c r="D177" s="999"/>
    </row>
    <row r="178" spans="1:4" s="995" customFormat="1" ht="12.75" hidden="1" customHeight="1" outlineLevel="1">
      <c r="A178" s="1022" t="s">
        <v>1035</v>
      </c>
      <c r="B178" s="1028" t="s">
        <v>923</v>
      </c>
      <c r="C178" s="1026">
        <v>0</v>
      </c>
      <c r="D178" s="999"/>
    </row>
    <row r="179" spans="1:4" s="995" customFormat="1" ht="12.75" hidden="1" customHeight="1" outlineLevel="1">
      <c r="A179" s="1022" t="s">
        <v>934</v>
      </c>
      <c r="B179" s="1028" t="s">
        <v>923</v>
      </c>
      <c r="C179" s="1026">
        <v>0</v>
      </c>
      <c r="D179" s="999"/>
    </row>
    <row r="180" spans="1:4" s="995" customFormat="1" ht="12.75" hidden="1" customHeight="1" outlineLevel="1">
      <c r="A180" s="1002"/>
      <c r="B180" s="1002"/>
      <c r="C180" s="1002"/>
      <c r="D180" s="999"/>
    </row>
    <row r="181" spans="1:4" ht="12.75" hidden="1" customHeight="1" outlineLevel="1">
      <c r="A181" s="1008" t="s">
        <v>1036</v>
      </c>
      <c r="B181" s="1001" t="s">
        <v>410</v>
      </c>
      <c r="C181" s="1004">
        <v>0</v>
      </c>
      <c r="D181" s="998"/>
    </row>
    <row r="182" spans="1:4" ht="12.75" hidden="1" customHeight="1" outlineLevel="1">
      <c r="A182" s="1008" t="s">
        <v>1037</v>
      </c>
      <c r="B182" s="1033" t="s">
        <v>939</v>
      </c>
      <c r="C182" s="1001">
        <v>0</v>
      </c>
      <c r="D182" s="998"/>
    </row>
    <row r="183" spans="1:4" ht="12.75" hidden="1" customHeight="1" outlineLevel="1">
      <c r="A183" s="1008" t="s">
        <v>1038</v>
      </c>
      <c r="B183" s="1036" t="s">
        <v>923</v>
      </c>
      <c r="C183" s="1001">
        <v>0</v>
      </c>
      <c r="D183" s="998"/>
    </row>
    <row r="184" spans="1:4" ht="12.75" hidden="1" customHeight="1" outlineLevel="1">
      <c r="A184" s="1022" t="s">
        <v>1039</v>
      </c>
      <c r="B184" s="1028" t="s">
        <v>923</v>
      </c>
      <c r="C184" s="1023">
        <v>0</v>
      </c>
      <c r="D184" s="998"/>
    </row>
    <row r="185" spans="1:4" ht="12.75" hidden="1" customHeight="1" outlineLevel="1">
      <c r="A185" s="1022" t="s">
        <v>934</v>
      </c>
      <c r="B185" s="1028" t="s">
        <v>923</v>
      </c>
      <c r="C185" s="1023">
        <v>0</v>
      </c>
      <c r="D185" s="998"/>
    </row>
    <row r="186" spans="1:4" ht="12.75" hidden="1" customHeight="1" outlineLevel="1">
      <c r="A186" s="1022"/>
      <c r="B186" s="1028"/>
      <c r="C186" s="1023"/>
      <c r="D186" s="998"/>
    </row>
    <row r="187" spans="1:4" ht="12.75" hidden="1" customHeight="1" outlineLevel="1">
      <c r="A187" s="1008" t="s">
        <v>1040</v>
      </c>
      <c r="B187" s="1001" t="s">
        <v>410</v>
      </c>
      <c r="C187" s="1004">
        <v>0</v>
      </c>
      <c r="D187" s="998"/>
    </row>
    <row r="188" spans="1:4" ht="12.75" hidden="1" customHeight="1" outlineLevel="1">
      <c r="A188" s="1008" t="s">
        <v>1041</v>
      </c>
      <c r="B188" s="1033" t="s">
        <v>939</v>
      </c>
      <c r="C188" s="1001">
        <v>0</v>
      </c>
      <c r="D188" s="998"/>
    </row>
    <row r="189" spans="1:4" ht="12.75" hidden="1" customHeight="1" outlineLevel="1">
      <c r="A189" s="1008" t="s">
        <v>1042</v>
      </c>
      <c r="B189" s="1036" t="s">
        <v>923</v>
      </c>
      <c r="C189" s="1001">
        <v>0</v>
      </c>
      <c r="D189" s="998"/>
    </row>
    <row r="190" spans="1:4" ht="12.75" hidden="1" customHeight="1" outlineLevel="1">
      <c r="A190" s="1022" t="s">
        <v>1043</v>
      </c>
      <c r="B190" s="1028" t="s">
        <v>923</v>
      </c>
      <c r="C190" s="1023">
        <v>0</v>
      </c>
      <c r="D190" s="998"/>
    </row>
    <row r="191" spans="1:4" ht="12.75" hidden="1" customHeight="1" outlineLevel="1">
      <c r="A191" s="1022" t="s">
        <v>934</v>
      </c>
      <c r="B191" s="1028" t="s">
        <v>923</v>
      </c>
      <c r="C191" s="1023">
        <v>0</v>
      </c>
      <c r="D191" s="998"/>
    </row>
    <row r="192" spans="1:4" ht="12.75" hidden="1" customHeight="1" outlineLevel="1">
      <c r="A192" s="1090" t="s">
        <v>1167</v>
      </c>
      <c r="B192" s="1091"/>
      <c r="C192" s="1094"/>
      <c r="D192" s="998"/>
    </row>
    <row r="193" spans="1:4" s="995" customFormat="1" ht="12.75" hidden="1" customHeight="1" outlineLevel="1">
      <c r="A193" s="1008" t="s">
        <v>1044</v>
      </c>
      <c r="B193" s="1036" t="s">
        <v>420</v>
      </c>
      <c r="C193" s="1052">
        <v>0</v>
      </c>
      <c r="D193" s="999"/>
    </row>
    <row r="194" spans="1:4" s="995" customFormat="1" ht="12.75" hidden="1" customHeight="1" outlineLevel="1">
      <c r="A194" s="1008" t="s">
        <v>1045</v>
      </c>
      <c r="B194" s="1036" t="s">
        <v>944</v>
      </c>
      <c r="C194" s="1001">
        <v>0</v>
      </c>
      <c r="D194" s="999"/>
    </row>
    <row r="195" spans="1:4" s="995" customFormat="1" ht="25.5" hidden="1" customHeight="1" outlineLevel="1">
      <c r="A195" s="1022" t="s">
        <v>1046</v>
      </c>
      <c r="B195" s="1028" t="s">
        <v>944</v>
      </c>
      <c r="C195" s="1023">
        <v>0</v>
      </c>
      <c r="D195" s="999"/>
    </row>
    <row r="196" spans="1:4" s="995" customFormat="1" ht="25.5" hidden="1" customHeight="1" outlineLevel="1">
      <c r="A196" s="1022" t="s">
        <v>1047</v>
      </c>
      <c r="B196" s="1028" t="s">
        <v>923</v>
      </c>
      <c r="C196" s="1053">
        <v>0</v>
      </c>
      <c r="D196" s="999"/>
    </row>
    <row r="197" spans="1:4" s="995" customFormat="1" ht="12.75" hidden="1" customHeight="1" outlineLevel="1">
      <c r="A197" s="1054" t="s">
        <v>1048</v>
      </c>
      <c r="B197" s="1055" t="s">
        <v>923</v>
      </c>
      <c r="C197" s="1055">
        <v>0</v>
      </c>
      <c r="D197" s="999"/>
    </row>
    <row r="198" spans="1:4" s="995" customFormat="1" ht="12.75" hidden="1" customHeight="1" outlineLevel="1">
      <c r="A198" s="1008" t="s">
        <v>1049</v>
      </c>
      <c r="B198" s="1036" t="s">
        <v>923</v>
      </c>
      <c r="C198" s="1052">
        <v>0</v>
      </c>
      <c r="D198" s="999"/>
    </row>
    <row r="199" spans="1:4" s="995" customFormat="1" ht="12.75" hidden="1" customHeight="1" outlineLevel="1">
      <c r="A199" s="1022" t="s">
        <v>1050</v>
      </c>
      <c r="B199" s="1028" t="s">
        <v>923</v>
      </c>
      <c r="C199" s="1053">
        <v>0</v>
      </c>
      <c r="D199" s="999"/>
    </row>
    <row r="200" spans="1:4" s="995" customFormat="1" ht="12.75" hidden="1" customHeight="1" outlineLevel="1">
      <c r="A200" s="1022" t="s">
        <v>934</v>
      </c>
      <c r="B200" s="1028" t="s">
        <v>923</v>
      </c>
      <c r="C200" s="1053">
        <v>0</v>
      </c>
      <c r="D200" s="999"/>
    </row>
    <row r="201" spans="1:4" s="995" customFormat="1" ht="12.75" hidden="1" customHeight="1" outlineLevel="1">
      <c r="A201" s="1052"/>
      <c r="B201" s="1052"/>
      <c r="C201" s="1052"/>
      <c r="D201" s="999"/>
    </row>
    <row r="202" spans="1:4" ht="12.75" hidden="1" customHeight="1" outlineLevel="1">
      <c r="A202" s="1008" t="s">
        <v>1051</v>
      </c>
      <c r="B202" s="1036" t="s">
        <v>420</v>
      </c>
      <c r="C202" s="1004"/>
      <c r="D202" s="998"/>
    </row>
    <row r="203" spans="1:4" ht="12.75" hidden="1" customHeight="1" outlineLevel="1">
      <c r="A203" s="1008" t="s">
        <v>1052</v>
      </c>
      <c r="B203" s="1036" t="s">
        <v>944</v>
      </c>
      <c r="C203" s="1001">
        <v>0</v>
      </c>
      <c r="D203" s="998"/>
    </row>
    <row r="204" spans="1:4" ht="12.75" hidden="1" customHeight="1" outlineLevel="1">
      <c r="A204" s="1022" t="s">
        <v>1053</v>
      </c>
      <c r="B204" s="1028" t="s">
        <v>944</v>
      </c>
      <c r="C204" s="1023">
        <v>0</v>
      </c>
      <c r="D204" s="998"/>
    </row>
    <row r="205" spans="1:4" ht="25.5" hidden="1" customHeight="1" outlineLevel="1">
      <c r="A205" s="1022" t="s">
        <v>1047</v>
      </c>
      <c r="B205" s="1028" t="s">
        <v>923</v>
      </c>
      <c r="C205" s="1023"/>
      <c r="D205" s="998"/>
    </row>
    <row r="206" spans="1:4" ht="12.75" hidden="1" customHeight="1" outlineLevel="1">
      <c r="A206" s="1054" t="s">
        <v>1048</v>
      </c>
      <c r="B206" s="1055" t="s">
        <v>923</v>
      </c>
      <c r="C206" s="1056">
        <v>0</v>
      </c>
      <c r="D206" s="998"/>
    </row>
    <row r="207" spans="1:4" ht="12.75" hidden="1" customHeight="1" outlineLevel="1">
      <c r="A207" s="1008" t="s">
        <v>1054</v>
      </c>
      <c r="B207" s="1036" t="s">
        <v>923</v>
      </c>
      <c r="C207" s="1001">
        <v>0</v>
      </c>
      <c r="D207" s="998"/>
    </row>
    <row r="208" spans="1:4" ht="12.75" hidden="1" customHeight="1" outlineLevel="1">
      <c r="A208" s="1022" t="s">
        <v>1055</v>
      </c>
      <c r="B208" s="1028" t="s">
        <v>923</v>
      </c>
      <c r="C208" s="1023">
        <v>0</v>
      </c>
      <c r="D208" s="998"/>
    </row>
    <row r="209" spans="1:4" ht="12.75" hidden="1" customHeight="1" outlineLevel="1">
      <c r="A209" s="1022" t="s">
        <v>934</v>
      </c>
      <c r="B209" s="1028" t="s">
        <v>923</v>
      </c>
      <c r="C209" s="1023">
        <v>0</v>
      </c>
      <c r="D209" s="998"/>
    </row>
    <row r="210" spans="1:4" ht="12.75" hidden="1" customHeight="1" outlineLevel="1">
      <c r="A210" s="1022"/>
      <c r="B210" s="1028"/>
      <c r="C210" s="1023"/>
      <c r="D210" s="998"/>
    </row>
    <row r="211" spans="1:4" ht="12.75" hidden="1" customHeight="1" outlineLevel="1">
      <c r="A211" s="1008" t="s">
        <v>1056</v>
      </c>
      <c r="B211" s="1036" t="s">
        <v>420</v>
      </c>
      <c r="C211" s="1004"/>
      <c r="D211" s="998"/>
    </row>
    <row r="212" spans="1:4" ht="12.75" hidden="1" customHeight="1" outlineLevel="1">
      <c r="A212" s="1008" t="s">
        <v>1057</v>
      </c>
      <c r="B212" s="1036" t="s">
        <v>944</v>
      </c>
      <c r="C212" s="1001">
        <v>0</v>
      </c>
      <c r="D212" s="998"/>
    </row>
    <row r="213" spans="1:4" ht="12.75" hidden="1" customHeight="1" outlineLevel="1">
      <c r="A213" s="1022" t="s">
        <v>1058</v>
      </c>
      <c r="B213" s="1028" t="s">
        <v>944</v>
      </c>
      <c r="C213" s="1023">
        <v>0</v>
      </c>
      <c r="D213" s="998"/>
    </row>
    <row r="214" spans="1:4" ht="25.5" hidden="1" customHeight="1" outlineLevel="1">
      <c r="A214" s="1022" t="s">
        <v>1047</v>
      </c>
      <c r="B214" s="1028" t="s">
        <v>923</v>
      </c>
      <c r="C214" s="1023">
        <v>0</v>
      </c>
      <c r="D214" s="998"/>
    </row>
    <row r="215" spans="1:4" ht="12.75" hidden="1" customHeight="1" outlineLevel="1">
      <c r="A215" s="1054" t="s">
        <v>1048</v>
      </c>
      <c r="B215" s="1055" t="s">
        <v>923</v>
      </c>
      <c r="C215" s="1056">
        <v>0</v>
      </c>
      <c r="D215" s="998"/>
    </row>
    <row r="216" spans="1:4" ht="12.75" hidden="1" customHeight="1" outlineLevel="1">
      <c r="A216" s="1008" t="s">
        <v>1059</v>
      </c>
      <c r="B216" s="1036" t="s">
        <v>923</v>
      </c>
      <c r="C216" s="1001">
        <v>0</v>
      </c>
      <c r="D216" s="998"/>
    </row>
    <row r="217" spans="1:4" ht="12.75" hidden="1" customHeight="1" outlineLevel="1">
      <c r="A217" s="1022" t="s">
        <v>1060</v>
      </c>
      <c r="B217" s="1028" t="s">
        <v>923</v>
      </c>
      <c r="C217" s="1023">
        <v>0</v>
      </c>
      <c r="D217" s="998"/>
    </row>
    <row r="218" spans="1:4" ht="12.75" hidden="1" customHeight="1" outlineLevel="1">
      <c r="A218" s="1022" t="s">
        <v>934</v>
      </c>
      <c r="B218" s="1028" t="s">
        <v>923</v>
      </c>
      <c r="C218" s="1023">
        <v>0</v>
      </c>
      <c r="D218" s="998"/>
    </row>
    <row r="219" spans="1:4" ht="12.75" hidden="1" customHeight="1" outlineLevel="1">
      <c r="A219" s="1022"/>
      <c r="B219" s="1028"/>
      <c r="C219" s="1023"/>
      <c r="D219" s="998"/>
    </row>
    <row r="220" spans="1:4" ht="15.75" collapsed="1">
      <c r="A220" s="1086" t="s">
        <v>1161</v>
      </c>
      <c r="B220" s="1087"/>
      <c r="C220" s="1087"/>
      <c r="D220" s="998"/>
    </row>
    <row r="221" spans="1:4">
      <c r="A221" s="1090" t="s">
        <v>1167</v>
      </c>
      <c r="B221" s="1091"/>
      <c r="C221" s="1091"/>
      <c r="D221" s="998"/>
    </row>
    <row r="222" spans="1:4">
      <c r="A222" s="1008" t="s">
        <v>1061</v>
      </c>
      <c r="B222" s="1036" t="s">
        <v>420</v>
      </c>
      <c r="C222" s="1037"/>
      <c r="D222" s="998"/>
    </row>
    <row r="223" spans="1:4">
      <c r="A223" s="1008" t="s">
        <v>1062</v>
      </c>
      <c r="B223" s="1036" t="s">
        <v>944</v>
      </c>
      <c r="C223" s="1001">
        <v>0</v>
      </c>
      <c r="D223" s="998"/>
    </row>
    <row r="224" spans="1:4">
      <c r="A224" s="1008" t="s">
        <v>1063</v>
      </c>
      <c r="B224" s="1036" t="s">
        <v>923</v>
      </c>
      <c r="C224" s="1001"/>
      <c r="D224" s="998"/>
    </row>
    <row r="225" spans="1:4">
      <c r="A225" s="1022" t="s">
        <v>1064</v>
      </c>
      <c r="B225" s="1028" t="s">
        <v>923</v>
      </c>
      <c r="C225" s="1026">
        <v>0</v>
      </c>
      <c r="D225" s="998"/>
    </row>
    <row r="226" spans="1:4">
      <c r="A226" s="1022" t="s">
        <v>934</v>
      </c>
      <c r="B226" s="1028" t="s">
        <v>923</v>
      </c>
      <c r="C226" s="1023">
        <v>0</v>
      </c>
      <c r="D226" s="998"/>
    </row>
    <row r="227" spans="1:4" ht="15.75">
      <c r="A227" s="1086" t="s">
        <v>1171</v>
      </c>
      <c r="B227" s="1087"/>
      <c r="C227" s="1087"/>
      <c r="D227" s="998"/>
    </row>
    <row r="228" spans="1:4">
      <c r="A228" s="1090" t="s">
        <v>1167</v>
      </c>
      <c r="B228" s="1091"/>
      <c r="C228" s="1091"/>
      <c r="D228" s="998"/>
    </row>
    <row r="229" spans="1:4">
      <c r="A229" s="1008" t="s">
        <v>1065</v>
      </c>
      <c r="B229" s="1036" t="s">
        <v>420</v>
      </c>
      <c r="C229" s="1004"/>
      <c r="D229" s="998"/>
    </row>
    <row r="230" spans="1:4">
      <c r="A230" s="1008" t="s">
        <v>1066</v>
      </c>
      <c r="B230" s="1036" t="s">
        <v>944</v>
      </c>
      <c r="C230" s="1001">
        <v>0</v>
      </c>
      <c r="D230" s="998"/>
    </row>
    <row r="231" spans="1:4">
      <c r="A231" s="1008" t="s">
        <v>1067</v>
      </c>
      <c r="B231" s="1036" t="s">
        <v>923</v>
      </c>
      <c r="C231" s="1001"/>
      <c r="D231" s="998"/>
    </row>
    <row r="232" spans="1:4">
      <c r="A232" s="1022" t="s">
        <v>1068</v>
      </c>
      <c r="B232" s="1028" t="s">
        <v>923</v>
      </c>
      <c r="C232" s="1023">
        <v>0</v>
      </c>
      <c r="D232" s="998"/>
    </row>
    <row r="233" spans="1:4">
      <c r="A233" s="1022" t="s">
        <v>934</v>
      </c>
      <c r="B233" s="1028" t="s">
        <v>923</v>
      </c>
      <c r="C233" s="1023">
        <v>0</v>
      </c>
      <c r="D233" s="998"/>
    </row>
    <row r="234" spans="1:4" ht="15.75">
      <c r="A234" s="1086" t="s">
        <v>1172</v>
      </c>
      <c r="B234" s="1087"/>
      <c r="C234" s="1087"/>
      <c r="D234" s="998"/>
    </row>
    <row r="235" spans="1:4">
      <c r="A235" s="1090" t="s">
        <v>1167</v>
      </c>
      <c r="B235" s="1091"/>
      <c r="C235" s="1091"/>
      <c r="D235" s="998"/>
    </row>
    <row r="236" spans="1:4">
      <c r="A236" s="1008" t="s">
        <v>1069</v>
      </c>
      <c r="B236" s="1036" t="s">
        <v>420</v>
      </c>
      <c r="C236" s="1004"/>
      <c r="D236" s="998"/>
    </row>
    <row r="237" spans="1:4">
      <c r="A237" s="1008" t="s">
        <v>1070</v>
      </c>
      <c r="B237" s="1036" t="s">
        <v>944</v>
      </c>
      <c r="C237" s="1001">
        <v>0</v>
      </c>
      <c r="D237" s="998"/>
    </row>
    <row r="238" spans="1:4">
      <c r="A238" s="1008" t="s">
        <v>1071</v>
      </c>
      <c r="B238" s="1036" t="s">
        <v>923</v>
      </c>
      <c r="C238" s="1023"/>
      <c r="D238" s="998"/>
    </row>
    <row r="239" spans="1:4">
      <c r="A239" s="1022" t="s">
        <v>1072</v>
      </c>
      <c r="B239" s="1028" t="s">
        <v>923</v>
      </c>
      <c r="C239" s="1023">
        <v>0</v>
      </c>
      <c r="D239" s="998"/>
    </row>
    <row r="240" spans="1:4">
      <c r="A240" s="1022" t="s">
        <v>934</v>
      </c>
      <c r="B240" s="1028" t="s">
        <v>923</v>
      </c>
      <c r="C240" s="1023">
        <v>0</v>
      </c>
      <c r="D240" s="998"/>
    </row>
    <row r="241" spans="1:4" ht="15.75">
      <c r="A241" s="1086" t="s">
        <v>1173</v>
      </c>
      <c r="B241" s="1087"/>
      <c r="C241" s="1087"/>
      <c r="D241" s="998"/>
    </row>
    <row r="242" spans="1:4">
      <c r="A242" s="1090" t="s">
        <v>1167</v>
      </c>
      <c r="B242" s="1091"/>
      <c r="C242" s="1091"/>
      <c r="D242" s="998"/>
    </row>
    <row r="243" spans="1:4">
      <c r="A243" s="1008" t="s">
        <v>1073</v>
      </c>
      <c r="B243" s="1036" t="s">
        <v>420</v>
      </c>
      <c r="C243" s="1004"/>
      <c r="D243" s="998"/>
    </row>
    <row r="244" spans="1:4">
      <c r="A244" s="1008" t="s">
        <v>1074</v>
      </c>
      <c r="B244" s="1036" t="s">
        <v>944</v>
      </c>
      <c r="C244" s="1001">
        <v>0</v>
      </c>
      <c r="D244" s="998"/>
    </row>
    <row r="245" spans="1:4">
      <c r="A245" s="1008" t="s">
        <v>1075</v>
      </c>
      <c r="B245" s="1036" t="s">
        <v>923</v>
      </c>
      <c r="C245" s="1001"/>
      <c r="D245" s="998"/>
    </row>
    <row r="246" spans="1:4">
      <c r="A246" s="1022" t="s">
        <v>1076</v>
      </c>
      <c r="B246" s="1028" t="s">
        <v>923</v>
      </c>
      <c r="C246" s="1026"/>
      <c r="D246" s="998"/>
    </row>
    <row r="247" spans="1:4">
      <c r="A247" s="1022" t="s">
        <v>934</v>
      </c>
      <c r="B247" s="1028" t="s">
        <v>923</v>
      </c>
      <c r="C247" s="1023">
        <v>0</v>
      </c>
      <c r="D247" s="998"/>
    </row>
    <row r="248" spans="1:4" ht="15.75">
      <c r="A248" s="3512" t="s">
        <v>4951</v>
      </c>
      <c r="B248" s="3512"/>
      <c r="C248" s="3512"/>
      <c r="D248" s="998"/>
    </row>
    <row r="249" spans="1:4">
      <c r="A249" s="3513" t="s">
        <v>1167</v>
      </c>
      <c r="B249" s="3513"/>
      <c r="C249" s="3513"/>
      <c r="D249" s="998"/>
    </row>
    <row r="250" spans="1:4">
      <c r="A250" s="3514" t="s">
        <v>4952</v>
      </c>
      <c r="B250" s="3515" t="s">
        <v>420</v>
      </c>
      <c r="C250" s="3522"/>
      <c r="D250" s="998"/>
    </row>
    <row r="251" spans="1:4">
      <c r="A251" s="3514" t="s">
        <v>4953</v>
      </c>
      <c r="B251" s="3515" t="s">
        <v>944</v>
      </c>
      <c r="C251" s="3522">
        <v>0</v>
      </c>
      <c r="D251" s="998"/>
    </row>
    <row r="252" spans="1:4">
      <c r="A252" s="3514" t="s">
        <v>4954</v>
      </c>
      <c r="B252" s="3515" t="s">
        <v>923</v>
      </c>
      <c r="C252" s="3522"/>
      <c r="D252" s="998"/>
    </row>
    <row r="253" spans="1:4">
      <c r="A253" s="3516" t="s">
        <v>4955</v>
      </c>
      <c r="B253" s="3517" t="s">
        <v>923</v>
      </c>
      <c r="C253" s="3522">
        <v>0</v>
      </c>
      <c r="D253" s="998"/>
    </row>
    <row r="254" spans="1:4">
      <c r="A254" s="3516" t="s">
        <v>934</v>
      </c>
      <c r="B254" s="3517" t="s">
        <v>923</v>
      </c>
      <c r="C254" s="3522">
        <v>0</v>
      </c>
      <c r="D254" s="998"/>
    </row>
    <row r="255" spans="1:4" ht="15.75">
      <c r="A255" s="3512" t="s">
        <v>4078</v>
      </c>
      <c r="B255" s="3512"/>
      <c r="C255" s="3512"/>
      <c r="D255" s="998"/>
    </row>
    <row r="256" spans="1:4">
      <c r="A256" s="3513" t="s">
        <v>1167</v>
      </c>
      <c r="B256" s="3513"/>
      <c r="C256" s="3513"/>
      <c r="D256" s="998"/>
    </row>
    <row r="257" spans="1:6" ht="15">
      <c r="A257" s="3514" t="s">
        <v>4079</v>
      </c>
      <c r="B257" s="3515" t="s">
        <v>420</v>
      </c>
      <c r="C257" s="3541"/>
      <c r="D257" s="998"/>
      <c r="E257" s="1080"/>
    </row>
    <row r="258" spans="1:6" ht="15">
      <c r="A258" s="3514" t="s">
        <v>4080</v>
      </c>
      <c r="B258" s="3515" t="s">
        <v>944</v>
      </c>
      <c r="C258" s="3527">
        <v>0</v>
      </c>
      <c r="D258" s="998"/>
      <c r="E258" s="1080"/>
    </row>
    <row r="259" spans="1:6" ht="15">
      <c r="A259" s="3514" t="s">
        <v>4081</v>
      </c>
      <c r="B259" s="3515" t="s">
        <v>923</v>
      </c>
      <c r="C259" s="3527"/>
      <c r="D259" s="998"/>
      <c r="E259" s="1080"/>
    </row>
    <row r="260" spans="1:6" ht="15">
      <c r="A260" s="3516" t="s">
        <v>4082</v>
      </c>
      <c r="B260" s="3517" t="s">
        <v>923</v>
      </c>
      <c r="C260" s="3522">
        <v>0</v>
      </c>
      <c r="D260" s="998"/>
      <c r="E260" s="1080"/>
    </row>
    <row r="261" spans="1:6" ht="15">
      <c r="A261" s="3516" t="s">
        <v>934</v>
      </c>
      <c r="B261" s="3517" t="s">
        <v>923</v>
      </c>
      <c r="C261" s="3522">
        <v>0</v>
      </c>
      <c r="D261" s="998"/>
      <c r="E261" s="1080"/>
    </row>
    <row r="262" spans="1:6" ht="15">
      <c r="A262" s="3516"/>
      <c r="B262" s="3517"/>
      <c r="C262" s="3522"/>
      <c r="D262" s="998"/>
      <c r="E262" s="1080"/>
    </row>
    <row r="263" spans="1:6" ht="15.75">
      <c r="A263" s="3512" t="s">
        <v>1163</v>
      </c>
      <c r="B263" s="3512"/>
      <c r="C263" s="3512"/>
      <c r="D263" s="998"/>
      <c r="E263" s="1080"/>
    </row>
    <row r="264" spans="1:6" ht="15">
      <c r="A264" s="3513" t="s">
        <v>1167</v>
      </c>
      <c r="B264" s="3513"/>
      <c r="C264" s="3513"/>
      <c r="D264" s="998"/>
      <c r="E264" s="1080"/>
    </row>
    <row r="265" spans="1:6" s="995" customFormat="1" ht="15">
      <c r="A265" s="3514" t="s">
        <v>1077</v>
      </c>
      <c r="B265" s="3515" t="s">
        <v>420</v>
      </c>
      <c r="C265" s="3541"/>
      <c r="D265" s="999"/>
      <c r="E265" s="1080"/>
      <c r="F265" s="994"/>
    </row>
    <row r="266" spans="1:6" s="995" customFormat="1" ht="15">
      <c r="A266" s="3514" t="s">
        <v>1078</v>
      </c>
      <c r="B266" s="3515" t="s">
        <v>944</v>
      </c>
      <c r="C266" s="3527">
        <v>0</v>
      </c>
      <c r="D266" s="999"/>
      <c r="E266" s="1080"/>
      <c r="F266" s="994"/>
    </row>
    <row r="267" spans="1:6" s="995" customFormat="1" ht="15">
      <c r="A267" s="3514" t="s">
        <v>1079</v>
      </c>
      <c r="B267" s="3515" t="s">
        <v>923</v>
      </c>
      <c r="C267" s="3527"/>
      <c r="D267" s="999"/>
      <c r="E267" s="1080"/>
      <c r="F267" s="994"/>
    </row>
    <row r="268" spans="1:6" s="995" customFormat="1">
      <c r="A268" s="3516" t="s">
        <v>1080</v>
      </c>
      <c r="B268" s="3517" t="s">
        <v>923</v>
      </c>
      <c r="C268" s="3521"/>
      <c r="D268" s="999"/>
    </row>
    <row r="269" spans="1:6" s="995" customFormat="1">
      <c r="A269" s="3516" t="s">
        <v>934</v>
      </c>
      <c r="B269" s="3517" t="s">
        <v>923</v>
      </c>
      <c r="C269" s="3522">
        <v>0</v>
      </c>
      <c r="D269" s="999"/>
    </row>
    <row r="270" spans="1:6">
      <c r="A270" s="3516"/>
      <c r="B270" s="3517"/>
      <c r="C270" s="3521"/>
      <c r="D270" s="998"/>
    </row>
    <row r="271" spans="1:6" outlineLevel="1">
      <c r="A271" s="3516" t="s">
        <v>1081</v>
      </c>
      <c r="B271" s="3517" t="s">
        <v>944</v>
      </c>
      <c r="C271" s="3521"/>
      <c r="D271" s="998"/>
    </row>
    <row r="272" spans="1:6" outlineLevel="1">
      <c r="A272" s="3516" t="s">
        <v>1082</v>
      </c>
      <c r="B272" s="3517" t="s">
        <v>944</v>
      </c>
      <c r="C272" s="3521"/>
      <c r="D272" s="998"/>
    </row>
    <row r="273" spans="1:4" outlineLevel="1">
      <c r="A273" s="3518" t="s">
        <v>1083</v>
      </c>
      <c r="B273" s="3519" t="s">
        <v>420</v>
      </c>
      <c r="C273" s="3542"/>
      <c r="D273" s="998"/>
    </row>
    <row r="274" spans="1:4" ht="25.5" outlineLevel="1">
      <c r="A274" s="3520" t="s">
        <v>1084</v>
      </c>
      <c r="B274" s="3521" t="s">
        <v>420</v>
      </c>
      <c r="C274" s="3543"/>
      <c r="D274" s="998"/>
    </row>
    <row r="275" spans="1:4" outlineLevel="1">
      <c r="A275" s="3520" t="s">
        <v>1085</v>
      </c>
      <c r="B275" s="3521"/>
      <c r="C275" s="3521"/>
      <c r="D275" s="998"/>
    </row>
    <row r="276" spans="1:4" outlineLevel="1">
      <c r="A276" s="3520" t="s">
        <v>1086</v>
      </c>
      <c r="B276" s="3521" t="s">
        <v>420</v>
      </c>
      <c r="C276" s="3544">
        <v>0</v>
      </c>
      <c r="D276" s="998"/>
    </row>
    <row r="277" spans="1:4" outlineLevel="1">
      <c r="A277" s="3520" t="s">
        <v>1087</v>
      </c>
      <c r="B277" s="3521"/>
      <c r="C277" s="3544">
        <v>0</v>
      </c>
      <c r="D277" s="998"/>
    </row>
    <row r="278" spans="1:4" outlineLevel="1">
      <c r="A278" s="3516" t="s">
        <v>1088</v>
      </c>
      <c r="B278" s="3522" t="s">
        <v>420</v>
      </c>
      <c r="C278" s="3545">
        <v>0</v>
      </c>
      <c r="D278" s="998"/>
    </row>
    <row r="279" spans="1:4" ht="31.5" outlineLevel="1">
      <c r="A279" s="3512" t="s">
        <v>4956</v>
      </c>
      <c r="B279" s="3512"/>
      <c r="C279" s="3512"/>
      <c r="D279" s="998"/>
    </row>
    <row r="280" spans="1:4" outlineLevel="1">
      <c r="A280" s="3514" t="s">
        <v>4957</v>
      </c>
      <c r="B280" s="3515" t="s">
        <v>420</v>
      </c>
      <c r="C280" s="3513"/>
      <c r="D280" s="998"/>
    </row>
    <row r="281" spans="1:4" outlineLevel="1">
      <c r="A281" s="3514" t="s">
        <v>4958</v>
      </c>
      <c r="B281" s="3515" t="s">
        <v>944</v>
      </c>
      <c r="C281" s="3545">
        <v>0</v>
      </c>
      <c r="D281" s="998"/>
    </row>
    <row r="282" spans="1:4" outlineLevel="1">
      <c r="A282" s="3514" t="s">
        <v>4959</v>
      </c>
      <c r="B282" s="3515" t="s">
        <v>923</v>
      </c>
      <c r="C282" s="3545"/>
      <c r="D282" s="998"/>
    </row>
    <row r="283" spans="1:4" outlineLevel="1">
      <c r="A283" s="3516" t="s">
        <v>4960</v>
      </c>
      <c r="B283" s="3517" t="s">
        <v>923</v>
      </c>
      <c r="C283" s="3545">
        <v>0</v>
      </c>
      <c r="D283" s="998"/>
    </row>
    <row r="284" spans="1:4" outlineLevel="1">
      <c r="A284" s="3516" t="s">
        <v>934</v>
      </c>
      <c r="B284" s="3517" t="s">
        <v>923</v>
      </c>
      <c r="C284" s="3545">
        <v>0</v>
      </c>
      <c r="D284" s="998"/>
    </row>
    <row r="285" spans="1:4" ht="15.75" outlineLevel="1">
      <c r="A285" s="3512" t="s">
        <v>1174</v>
      </c>
      <c r="B285" s="3512"/>
      <c r="C285" s="3512"/>
      <c r="D285" s="998"/>
    </row>
    <row r="286" spans="1:4" outlineLevel="1">
      <c r="A286" s="3523" t="s">
        <v>1089</v>
      </c>
      <c r="B286" s="3524" t="s">
        <v>923</v>
      </c>
      <c r="C286" s="3546">
        <v>322097.54968000005</v>
      </c>
      <c r="D286" s="998"/>
    </row>
    <row r="287" spans="1:4" outlineLevel="1">
      <c r="A287" s="3516" t="s">
        <v>1090</v>
      </c>
      <c r="B287" s="3517" t="s">
        <v>923</v>
      </c>
      <c r="C287" s="3521">
        <v>392959.01060959999</v>
      </c>
      <c r="D287" s="998"/>
    </row>
    <row r="288" spans="1:4" outlineLevel="1">
      <c r="A288" s="3516" t="s">
        <v>934</v>
      </c>
      <c r="B288" s="3517" t="s">
        <v>923</v>
      </c>
      <c r="C288" s="3521">
        <v>70861.460929599998</v>
      </c>
      <c r="D288" s="998"/>
    </row>
    <row r="289" spans="1:6" outlineLevel="1">
      <c r="A289" s="3525"/>
      <c r="B289" s="3526"/>
      <c r="C289" s="3547"/>
      <c r="D289" s="998"/>
    </row>
    <row r="290" spans="1:6" outlineLevel="1">
      <c r="A290" s="3514" t="s">
        <v>1091</v>
      </c>
      <c r="B290" s="3527" t="s">
        <v>410</v>
      </c>
      <c r="C290" s="3542">
        <v>57180.12</v>
      </c>
      <c r="D290" s="998"/>
    </row>
    <row r="291" spans="1:6" outlineLevel="1">
      <c r="A291" s="3514" t="s">
        <v>1092</v>
      </c>
      <c r="B291" s="3528" t="s">
        <v>939</v>
      </c>
      <c r="C291" s="3548">
        <v>2.1909999999999998</v>
      </c>
      <c r="D291" s="998"/>
    </row>
    <row r="292" spans="1:6" outlineLevel="1">
      <c r="A292" s="3514" t="s">
        <v>1093</v>
      </c>
      <c r="B292" s="3515" t="s">
        <v>923</v>
      </c>
      <c r="C292" s="3549">
        <v>125281.64292</v>
      </c>
      <c r="D292" s="998"/>
    </row>
    <row r="293" spans="1:6" outlineLevel="1">
      <c r="A293" s="3516" t="s">
        <v>1094</v>
      </c>
      <c r="B293" s="3517" t="s">
        <v>923</v>
      </c>
      <c r="C293" s="3521">
        <v>152843.60436239999</v>
      </c>
      <c r="D293" s="998"/>
    </row>
    <row r="294" spans="1:6" outlineLevel="1">
      <c r="A294" s="3516" t="s">
        <v>934</v>
      </c>
      <c r="B294" s="3517" t="s">
        <v>923</v>
      </c>
      <c r="C294" s="3522">
        <v>27561.961442399988</v>
      </c>
      <c r="E294" s="994" t="e">
        <f>C272/#REF!</f>
        <v>#REF!</v>
      </c>
      <c r="F294" s="994" t="e">
        <f>#REF!/#REF!</f>
        <v>#REF!</v>
      </c>
    </row>
    <row r="295" spans="1:6" outlineLevel="1">
      <c r="A295" s="3516"/>
      <c r="B295" s="3526"/>
      <c r="C295" s="3547"/>
      <c r="D295" s="998"/>
    </row>
    <row r="296" spans="1:6" outlineLevel="1">
      <c r="A296" s="3514" t="s">
        <v>1095</v>
      </c>
      <c r="B296" s="3527" t="s">
        <v>410</v>
      </c>
      <c r="C296" s="3542">
        <v>57180.12</v>
      </c>
      <c r="D296" s="998"/>
    </row>
    <row r="297" spans="1:6" outlineLevel="1">
      <c r="A297" s="3514" t="s">
        <v>1092</v>
      </c>
      <c r="B297" s="3528" t="s">
        <v>939</v>
      </c>
      <c r="C297" s="3548">
        <v>0.51900000000000002</v>
      </c>
      <c r="D297" s="998"/>
    </row>
    <row r="298" spans="1:6" outlineLevel="1">
      <c r="A298" s="3514" t="s">
        <v>1096</v>
      </c>
      <c r="B298" s="3515" t="s">
        <v>923</v>
      </c>
      <c r="C298" s="3549">
        <v>29676.482280000004</v>
      </c>
      <c r="D298" s="998"/>
    </row>
    <row r="299" spans="1:6" outlineLevel="1">
      <c r="A299" s="3516" t="s">
        <v>1097</v>
      </c>
      <c r="B299" s="3517" t="s">
        <v>923</v>
      </c>
      <c r="C299" s="3521">
        <v>36205.308381600007</v>
      </c>
      <c r="D299" s="998"/>
    </row>
    <row r="300" spans="1:6" s="1082" customFormat="1" outlineLevel="1">
      <c r="A300" s="3516" t="s">
        <v>934</v>
      </c>
      <c r="B300" s="3517" t="s">
        <v>923</v>
      </c>
      <c r="C300" s="3521">
        <v>6528.8261016000033</v>
      </c>
      <c r="D300" s="1081"/>
    </row>
    <row r="301" spans="1:6" outlineLevel="1">
      <c r="A301" s="3516"/>
      <c r="B301" s="3517"/>
      <c r="C301" s="3521"/>
      <c r="D301" s="998"/>
    </row>
    <row r="302" spans="1:6" outlineLevel="1">
      <c r="A302" s="3514" t="s">
        <v>1098</v>
      </c>
      <c r="B302" s="3527" t="s">
        <v>410</v>
      </c>
      <c r="C302" s="3542">
        <v>63000.160000000003</v>
      </c>
      <c r="D302" s="998"/>
    </row>
    <row r="303" spans="1:6" outlineLevel="1">
      <c r="A303" s="3514" t="s">
        <v>1092</v>
      </c>
      <c r="B303" s="3528" t="s">
        <v>939</v>
      </c>
      <c r="C303" s="3548">
        <v>2.653</v>
      </c>
      <c r="D303" s="998"/>
    </row>
    <row r="304" spans="1:6" outlineLevel="1">
      <c r="A304" s="3514" t="s">
        <v>1099</v>
      </c>
      <c r="B304" s="3515" t="s">
        <v>923</v>
      </c>
      <c r="C304" s="3549">
        <v>167139.42448000002</v>
      </c>
      <c r="D304" s="998"/>
    </row>
    <row r="305" spans="1:4" s="1070" customFormat="1" outlineLevel="1">
      <c r="A305" s="3516" t="s">
        <v>1100</v>
      </c>
      <c r="B305" s="3517" t="s">
        <v>923</v>
      </c>
      <c r="C305" s="3521">
        <v>203910.09786560002</v>
      </c>
      <c r="D305" s="1069"/>
    </row>
    <row r="306" spans="1:4" outlineLevel="1">
      <c r="A306" s="3516" t="s">
        <v>934</v>
      </c>
      <c r="B306" s="3517" t="s">
        <v>923</v>
      </c>
      <c r="C306" s="3521">
        <v>36770.673385600006</v>
      </c>
      <c r="D306" s="998"/>
    </row>
    <row r="307" spans="1:4" outlineLevel="1">
      <c r="A307" s="3516"/>
      <c r="B307" s="3517"/>
      <c r="C307" s="3521"/>
      <c r="D307" s="998"/>
    </row>
    <row r="308" spans="1:4" outlineLevel="1">
      <c r="A308" s="3518" t="s">
        <v>1101</v>
      </c>
      <c r="B308" s="3519" t="s">
        <v>923</v>
      </c>
      <c r="C308" s="3521"/>
      <c r="D308" s="998"/>
    </row>
    <row r="309" spans="1:4" s="1070" customFormat="1" ht="15.75" outlineLevel="1">
      <c r="A309" s="3512" t="s">
        <v>1175</v>
      </c>
      <c r="B309" s="3512"/>
      <c r="C309" s="3512"/>
      <c r="D309" s="1069"/>
    </row>
    <row r="310" spans="1:4" ht="25.5" outlineLevel="1">
      <c r="A310" s="3514" t="s">
        <v>1102</v>
      </c>
      <c r="B310" s="3515" t="s">
        <v>923</v>
      </c>
      <c r="C310" s="3521">
        <v>0</v>
      </c>
      <c r="D310" s="998"/>
    </row>
    <row r="311" spans="1:4" outlineLevel="1">
      <c r="A311" s="3514" t="s">
        <v>1103</v>
      </c>
      <c r="B311" s="3515" t="s">
        <v>923</v>
      </c>
      <c r="C311" s="3549"/>
      <c r="D311" s="998"/>
    </row>
    <row r="312" spans="1:4" ht="25.5" outlineLevel="1">
      <c r="A312" s="3514" t="s">
        <v>1104</v>
      </c>
      <c r="B312" s="3515" t="s">
        <v>923</v>
      </c>
      <c r="C312" s="3549">
        <v>0</v>
      </c>
      <c r="D312" s="998"/>
    </row>
    <row r="313" spans="1:4" outlineLevel="1">
      <c r="A313" s="3523" t="s">
        <v>1105</v>
      </c>
      <c r="B313" s="3524" t="s">
        <v>923</v>
      </c>
      <c r="C313" s="3550">
        <v>0</v>
      </c>
      <c r="D313" s="998"/>
    </row>
    <row r="314" spans="1:4" outlineLevel="1">
      <c r="A314" s="3516" t="s">
        <v>1106</v>
      </c>
      <c r="B314" s="3517" t="s">
        <v>923</v>
      </c>
      <c r="C314" s="3521">
        <v>0</v>
      </c>
      <c r="D314" s="998"/>
    </row>
    <row r="315" spans="1:4" outlineLevel="1">
      <c r="A315" s="3516" t="s">
        <v>934</v>
      </c>
      <c r="B315" s="3517" t="s">
        <v>923</v>
      </c>
      <c r="C315" s="3521">
        <v>0</v>
      </c>
      <c r="D315" s="998"/>
    </row>
    <row r="316" spans="1:4" ht="15.75" outlineLevel="1">
      <c r="A316" s="3529" t="s">
        <v>1176</v>
      </c>
      <c r="B316" s="3529"/>
      <c r="C316" s="3529"/>
      <c r="D316" s="998"/>
    </row>
    <row r="317" spans="1:4" outlineLevel="1">
      <c r="A317" s="3530" t="s">
        <v>947</v>
      </c>
      <c r="B317" s="3531" t="s">
        <v>923</v>
      </c>
      <c r="C317" s="3551">
        <v>0</v>
      </c>
      <c r="D317" s="998"/>
    </row>
    <row r="318" spans="1:4" outlineLevel="1">
      <c r="A318" s="3532" t="s">
        <v>1107</v>
      </c>
      <c r="B318" s="3533" t="s">
        <v>923</v>
      </c>
      <c r="C318" s="3552">
        <v>0</v>
      </c>
      <c r="D318" s="998"/>
    </row>
    <row r="319" spans="1:4" outlineLevel="1">
      <c r="A319" s="3532" t="s">
        <v>934</v>
      </c>
      <c r="B319" s="3533" t="s">
        <v>923</v>
      </c>
      <c r="C319" s="3552">
        <v>0</v>
      </c>
      <c r="D319" s="998"/>
    </row>
    <row r="320" spans="1:4" outlineLevel="1">
      <c r="A320" s="3532"/>
      <c r="B320" s="3533"/>
      <c r="C320" s="3553"/>
      <c r="D320" s="998"/>
    </row>
    <row r="321" spans="1:4" ht="15.75" customHeight="1" outlineLevel="1">
      <c r="A321" s="3534" t="s">
        <v>1108</v>
      </c>
      <c r="B321" s="3535" t="s">
        <v>923</v>
      </c>
      <c r="C321" s="3554"/>
      <c r="D321" s="998"/>
    </row>
    <row r="322" spans="1:4" outlineLevel="1">
      <c r="A322" s="3532" t="s">
        <v>1109</v>
      </c>
      <c r="B322" s="3533" t="s">
        <v>923</v>
      </c>
      <c r="C322" s="3552">
        <v>0</v>
      </c>
      <c r="D322" s="998"/>
    </row>
    <row r="323" spans="1:4" outlineLevel="1">
      <c r="A323" s="3532" t="s">
        <v>934</v>
      </c>
      <c r="B323" s="3533" t="s">
        <v>923</v>
      </c>
      <c r="C323" s="3553">
        <v>0</v>
      </c>
      <c r="D323" s="998"/>
    </row>
    <row r="324" spans="1:4" outlineLevel="1">
      <c r="A324" s="3532"/>
      <c r="B324" s="3533"/>
      <c r="C324" s="3553"/>
      <c r="D324" s="998"/>
    </row>
    <row r="325" spans="1:4" outlineLevel="1">
      <c r="A325" s="3534" t="s">
        <v>1110</v>
      </c>
      <c r="B325" s="3535" t="s">
        <v>923</v>
      </c>
      <c r="C325" s="3554"/>
      <c r="D325" s="998"/>
    </row>
    <row r="326" spans="1:4" outlineLevel="1">
      <c r="A326" s="3532" t="s">
        <v>1111</v>
      </c>
      <c r="B326" s="3533" t="s">
        <v>923</v>
      </c>
      <c r="C326" s="3552">
        <v>0</v>
      </c>
      <c r="D326" s="998"/>
    </row>
    <row r="327" spans="1:4" outlineLevel="1">
      <c r="A327" s="3532" t="s">
        <v>934</v>
      </c>
      <c r="B327" s="3533" t="s">
        <v>923</v>
      </c>
      <c r="C327" s="3553">
        <v>0</v>
      </c>
      <c r="D327" s="998"/>
    </row>
    <row r="328" spans="1:4" outlineLevel="1">
      <c r="A328" s="3532"/>
      <c r="B328" s="3533"/>
      <c r="C328" s="3553"/>
      <c r="D328" s="998"/>
    </row>
    <row r="329" spans="1:4" outlineLevel="1">
      <c r="A329" s="3534" t="s">
        <v>1112</v>
      </c>
      <c r="B329" s="3535" t="s">
        <v>923</v>
      </c>
      <c r="C329" s="3554"/>
      <c r="D329" s="998"/>
    </row>
    <row r="330" spans="1:4" outlineLevel="1">
      <c r="A330" s="3532" t="s">
        <v>1113</v>
      </c>
      <c r="B330" s="3533" t="s">
        <v>923</v>
      </c>
      <c r="C330" s="3552">
        <v>0</v>
      </c>
      <c r="D330" s="998"/>
    </row>
    <row r="331" spans="1:4" outlineLevel="1">
      <c r="A331" s="3532" t="s">
        <v>934</v>
      </c>
      <c r="B331" s="3533" t="s">
        <v>923</v>
      </c>
      <c r="C331" s="3552">
        <v>0</v>
      </c>
      <c r="D331" s="998"/>
    </row>
    <row r="332" spans="1:4" outlineLevel="1">
      <c r="A332" s="3532"/>
      <c r="B332" s="3533"/>
      <c r="C332" s="3553"/>
      <c r="D332" s="998"/>
    </row>
    <row r="333" spans="1:4" outlineLevel="1">
      <c r="A333" s="3534" t="s">
        <v>1114</v>
      </c>
      <c r="B333" s="3535" t="s">
        <v>923</v>
      </c>
      <c r="C333" s="3554"/>
      <c r="D333" s="998"/>
    </row>
    <row r="334" spans="1:4" outlineLevel="1">
      <c r="A334" s="3532" t="s">
        <v>1115</v>
      </c>
      <c r="B334" s="3533" t="s">
        <v>923</v>
      </c>
      <c r="C334" s="3552">
        <v>0</v>
      </c>
      <c r="D334" s="998"/>
    </row>
    <row r="335" spans="1:4" outlineLevel="1">
      <c r="A335" s="3532" t="s">
        <v>934</v>
      </c>
      <c r="B335" s="3533" t="s">
        <v>923</v>
      </c>
      <c r="C335" s="3552">
        <v>0</v>
      </c>
      <c r="D335" s="998"/>
    </row>
    <row r="336" spans="1:4" outlineLevel="1">
      <c r="A336" s="3532"/>
      <c r="B336" s="3533"/>
      <c r="C336" s="3552"/>
      <c r="D336" s="998"/>
    </row>
    <row r="337" spans="1:4" ht="25.5" outlineLevel="1">
      <c r="A337" s="3534" t="s">
        <v>1116</v>
      </c>
      <c r="B337" s="3535" t="s">
        <v>923</v>
      </c>
      <c r="C337" s="3552"/>
      <c r="D337" s="998"/>
    </row>
    <row r="338" spans="1:4" outlineLevel="1">
      <c r="A338" s="3532" t="s">
        <v>1117</v>
      </c>
      <c r="B338" s="3533" t="s">
        <v>923</v>
      </c>
      <c r="C338" s="3552">
        <v>0</v>
      </c>
      <c r="D338" s="998"/>
    </row>
    <row r="339" spans="1:4" outlineLevel="1">
      <c r="A339" s="3532" t="s">
        <v>934</v>
      </c>
      <c r="B339" s="3533" t="s">
        <v>923</v>
      </c>
      <c r="C339" s="3552">
        <v>0</v>
      </c>
      <c r="D339" s="998"/>
    </row>
    <row r="340" spans="1:4" outlineLevel="2">
      <c r="A340" s="1057"/>
      <c r="B340" s="3533"/>
      <c r="C340" s="3552"/>
      <c r="D340" s="998"/>
    </row>
    <row r="341" spans="1:4" outlineLevel="2">
      <c r="A341" s="3534" t="s">
        <v>1118</v>
      </c>
      <c r="B341" s="3535" t="s">
        <v>923</v>
      </c>
      <c r="C341" s="3552"/>
      <c r="D341" s="998"/>
    </row>
    <row r="342" spans="1:4" outlineLevel="2">
      <c r="A342" s="3532" t="s">
        <v>1117</v>
      </c>
      <c r="B342" s="3533" t="s">
        <v>923</v>
      </c>
      <c r="C342" s="3552">
        <v>0</v>
      </c>
      <c r="D342" s="998"/>
    </row>
    <row r="343" spans="1:4" outlineLevel="2">
      <c r="A343" s="3532" t="s">
        <v>934</v>
      </c>
      <c r="B343" s="3533" t="s">
        <v>923</v>
      </c>
      <c r="C343" s="3552">
        <v>0</v>
      </c>
      <c r="D343" s="998"/>
    </row>
    <row r="344" spans="1:4" outlineLevel="2">
      <c r="A344" s="1057"/>
      <c r="B344" s="3533"/>
      <c r="C344" s="3552"/>
      <c r="D344" s="998"/>
    </row>
    <row r="345" spans="1:4" outlineLevel="2">
      <c r="A345" s="3534" t="s">
        <v>1119</v>
      </c>
      <c r="B345" s="1058" t="s">
        <v>923</v>
      </c>
      <c r="C345" s="1059"/>
      <c r="D345" s="998"/>
    </row>
    <row r="346" spans="1:4" outlineLevel="2">
      <c r="A346" s="3532" t="s">
        <v>1120</v>
      </c>
      <c r="B346" s="3533" t="s">
        <v>923</v>
      </c>
      <c r="C346" s="3552">
        <v>0</v>
      </c>
      <c r="D346" s="998"/>
    </row>
    <row r="347" spans="1:4" outlineLevel="2">
      <c r="A347" s="3532" t="s">
        <v>934</v>
      </c>
      <c r="B347" s="3533" t="s">
        <v>923</v>
      </c>
      <c r="C347" s="3552">
        <v>0</v>
      </c>
      <c r="D347" s="998"/>
    </row>
    <row r="348" spans="1:4" outlineLevel="2">
      <c r="A348" s="1057"/>
      <c r="B348" s="1060"/>
      <c r="C348" s="1061"/>
      <c r="D348" s="998"/>
    </row>
    <row r="349" spans="1:4" outlineLevel="2">
      <c r="A349" s="3534" t="s">
        <v>4083</v>
      </c>
      <c r="B349" s="3535" t="s">
        <v>923</v>
      </c>
      <c r="C349" s="3552"/>
      <c r="D349" s="998"/>
    </row>
    <row r="350" spans="1:4" outlineLevel="2">
      <c r="A350" s="3532" t="s">
        <v>1120</v>
      </c>
      <c r="B350" s="3536" t="s">
        <v>923</v>
      </c>
      <c r="C350" s="3552">
        <v>0</v>
      </c>
      <c r="D350" s="998"/>
    </row>
    <row r="351" spans="1:4" outlineLevel="2">
      <c r="A351" s="3532" t="s">
        <v>934</v>
      </c>
      <c r="B351" s="3533" t="s">
        <v>923</v>
      </c>
      <c r="C351" s="3552">
        <v>0</v>
      </c>
      <c r="D351" s="998"/>
    </row>
    <row r="352" spans="1:4" outlineLevel="2">
      <c r="D352" s="998"/>
    </row>
    <row r="353" spans="1:4" ht="15.75" outlineLevel="2">
      <c r="A353" s="3529" t="s">
        <v>1177</v>
      </c>
      <c r="B353" s="3529"/>
      <c r="C353" s="3529"/>
      <c r="D353" s="998"/>
    </row>
    <row r="354" spans="1:4" outlineLevel="2">
      <c r="A354" s="3514" t="s">
        <v>1121</v>
      </c>
      <c r="B354" s="3527" t="s">
        <v>410</v>
      </c>
      <c r="C354" s="3554">
        <v>57180.12</v>
      </c>
      <c r="D354" s="998"/>
    </row>
    <row r="355" spans="1:4" outlineLevel="2">
      <c r="A355" s="3514" t="s">
        <v>1122</v>
      </c>
      <c r="B355" s="3528" t="s">
        <v>939</v>
      </c>
      <c r="C355" s="3554">
        <v>747.74</v>
      </c>
      <c r="D355" s="998"/>
    </row>
    <row r="356" spans="1:4" outlineLevel="2">
      <c r="A356" s="3514" t="s">
        <v>1123</v>
      </c>
      <c r="B356" s="3515" t="s">
        <v>923</v>
      </c>
      <c r="C356" s="3554">
        <v>42755862.928800002</v>
      </c>
      <c r="D356" s="998"/>
    </row>
    <row r="357" spans="1:4" outlineLevel="2">
      <c r="A357" s="3516" t="s">
        <v>1124</v>
      </c>
      <c r="B357" s="3517" t="s">
        <v>923</v>
      </c>
      <c r="C357" s="3552">
        <v>50451918.255984001</v>
      </c>
      <c r="D357" s="998"/>
    </row>
    <row r="358" spans="1:4" outlineLevel="2">
      <c r="A358" s="3537" t="s">
        <v>934</v>
      </c>
      <c r="B358" s="3538" t="s">
        <v>923</v>
      </c>
      <c r="C358" s="3555">
        <v>7696055.3271839991</v>
      </c>
      <c r="D358" s="998"/>
    </row>
    <row r="359" spans="1:4" outlineLevel="2">
      <c r="A359" s="3532"/>
      <c r="B359" s="3533"/>
      <c r="C359" s="3553"/>
      <c r="D359" s="998"/>
    </row>
    <row r="360" spans="1:4" outlineLevel="2">
      <c r="A360" s="3514" t="s">
        <v>1125</v>
      </c>
      <c r="B360" s="3527" t="s">
        <v>410</v>
      </c>
      <c r="C360" s="3554">
        <v>26300.028000000213</v>
      </c>
      <c r="D360" s="998"/>
    </row>
    <row r="361" spans="1:4" outlineLevel="2">
      <c r="A361" s="3514" t="s">
        <v>1122</v>
      </c>
      <c r="B361" s="3528" t="s">
        <v>939</v>
      </c>
      <c r="C361" s="3554">
        <v>747.74</v>
      </c>
      <c r="D361" s="998"/>
    </row>
    <row r="362" spans="1:4" outlineLevel="2">
      <c r="A362" s="3514" t="s">
        <v>1126</v>
      </c>
      <c r="B362" s="3515" t="s">
        <v>923</v>
      </c>
      <c r="C362" s="3554">
        <v>19665582.936720159</v>
      </c>
      <c r="D362" s="998"/>
    </row>
    <row r="363" spans="1:4" outlineLevel="2">
      <c r="A363" s="3516" t="s">
        <v>1127</v>
      </c>
      <c r="B363" s="3517" t="s">
        <v>923</v>
      </c>
      <c r="C363" s="3552">
        <v>23205387.865329787</v>
      </c>
      <c r="D363" s="998"/>
    </row>
    <row r="364" spans="1:4" outlineLevel="2">
      <c r="A364" s="3516" t="s">
        <v>934</v>
      </c>
      <c r="B364" s="3517" t="s">
        <v>923</v>
      </c>
      <c r="C364" s="3555">
        <v>3539804.9286096282</v>
      </c>
      <c r="D364" s="998"/>
    </row>
    <row r="365" spans="1:4" outlineLevel="2">
      <c r="A365" s="3532"/>
      <c r="B365" s="3533"/>
      <c r="C365" s="3553"/>
      <c r="D365" s="998"/>
    </row>
    <row r="366" spans="1:4" outlineLevel="2">
      <c r="A366" s="3514" t="s">
        <v>1128</v>
      </c>
      <c r="B366" s="3527" t="s">
        <v>410</v>
      </c>
      <c r="C366" s="3554">
        <v>30880.092000000004</v>
      </c>
      <c r="D366" s="998"/>
    </row>
    <row r="367" spans="1:4" outlineLevel="2">
      <c r="A367" s="3514" t="s">
        <v>1122</v>
      </c>
      <c r="B367" s="3528" t="s">
        <v>939</v>
      </c>
      <c r="C367" s="3554">
        <v>747.74</v>
      </c>
      <c r="D367" s="998"/>
    </row>
    <row r="368" spans="1:4" ht="25.5" outlineLevel="2">
      <c r="A368" s="3514" t="s">
        <v>1129</v>
      </c>
      <c r="B368" s="3515" t="s">
        <v>923</v>
      </c>
      <c r="C368" s="3554">
        <v>23090279.992080003</v>
      </c>
      <c r="D368" s="998"/>
    </row>
    <row r="369" spans="1:4" ht="25.5" outlineLevel="2">
      <c r="A369" s="3516" t="s">
        <v>1130</v>
      </c>
      <c r="B369" s="3517" t="s">
        <v>923</v>
      </c>
      <c r="C369" s="3552">
        <v>27246530.390654404</v>
      </c>
      <c r="D369" s="998"/>
    </row>
    <row r="370" spans="1:4" outlineLevel="2">
      <c r="A370" s="3516" t="s">
        <v>934</v>
      </c>
      <c r="B370" s="3517" t="s">
        <v>923</v>
      </c>
      <c r="C370" s="3552">
        <v>4156250.3985744007</v>
      </c>
      <c r="D370" s="998"/>
    </row>
    <row r="371" spans="1:4" outlineLevel="2">
      <c r="A371" s="1057"/>
      <c r="B371" s="1060"/>
      <c r="C371" s="1062"/>
      <c r="D371" s="998"/>
    </row>
    <row r="372" spans="1:4" outlineLevel="2">
      <c r="A372" s="3532" t="s">
        <v>1131</v>
      </c>
      <c r="B372" s="3533"/>
      <c r="C372" s="3553"/>
      <c r="D372" s="998"/>
    </row>
    <row r="373" spans="1:4" outlineLevel="2">
      <c r="A373" s="3532" t="s">
        <v>1132</v>
      </c>
      <c r="B373" s="3533"/>
      <c r="C373" s="3553"/>
      <c r="D373" s="998"/>
    </row>
    <row r="374" spans="1:4" outlineLevel="2">
      <c r="A374" s="3532" t="s">
        <v>1133</v>
      </c>
      <c r="B374" s="3533"/>
      <c r="C374" s="3553"/>
      <c r="D374" s="998"/>
    </row>
    <row r="375" spans="1:4" outlineLevel="2">
      <c r="A375" s="3532" t="s">
        <v>1134</v>
      </c>
      <c r="B375" s="3533"/>
      <c r="C375" s="3553"/>
      <c r="D375" s="998"/>
    </row>
    <row r="376" spans="1:4" outlineLevel="2">
      <c r="A376" s="3516" t="s">
        <v>934</v>
      </c>
      <c r="B376" s="3539"/>
      <c r="C376" s="3553"/>
      <c r="D376" s="998"/>
    </row>
    <row r="377" spans="1:4" outlineLevel="2">
      <c r="A377" s="3532"/>
      <c r="B377" s="3533"/>
      <c r="C377" s="3553"/>
      <c r="D377" s="998"/>
    </row>
    <row r="378" spans="1:4" outlineLevel="2">
      <c r="A378" s="3532" t="s">
        <v>1135</v>
      </c>
      <c r="B378" s="3540"/>
      <c r="C378" s="3553"/>
      <c r="D378" s="998"/>
    </row>
    <row r="379" spans="1:4" outlineLevel="1">
      <c r="A379" s="3532" t="s">
        <v>1136</v>
      </c>
      <c r="B379" s="3539"/>
      <c r="C379" s="3553"/>
      <c r="D379" s="998"/>
    </row>
    <row r="380" spans="1:4" outlineLevel="1">
      <c r="A380" s="3532" t="s">
        <v>1137</v>
      </c>
      <c r="B380" s="3539"/>
      <c r="C380" s="3553"/>
      <c r="D380" s="998"/>
    </row>
    <row r="381" spans="1:4" outlineLevel="1">
      <c r="A381" s="3532" t="s">
        <v>1138</v>
      </c>
      <c r="B381" s="3539"/>
      <c r="C381" s="3553"/>
      <c r="D381" s="998"/>
    </row>
    <row r="382" spans="1:4" outlineLevel="1">
      <c r="A382" s="3516" t="s">
        <v>934</v>
      </c>
      <c r="B382" s="3539"/>
      <c r="C382" s="3553"/>
      <c r="D382" s="998"/>
    </row>
    <row r="383" spans="1:4" outlineLevel="1">
      <c r="B383" s="3539"/>
      <c r="C383" s="3553"/>
      <c r="D383" s="998"/>
    </row>
    <row r="384" spans="1:4" outlineLevel="1">
      <c r="A384" s="3532" t="s">
        <v>1139</v>
      </c>
      <c r="B384" s="3533"/>
      <c r="C384" s="3553"/>
      <c r="D384" s="998"/>
    </row>
    <row r="385" spans="1:5" outlineLevel="1">
      <c r="A385" s="3532" t="s">
        <v>1140</v>
      </c>
      <c r="B385" s="3533"/>
      <c r="C385" s="3553"/>
      <c r="D385" s="998"/>
    </row>
    <row r="386" spans="1:5" outlineLevel="1">
      <c r="A386" s="3532" t="s">
        <v>1141</v>
      </c>
      <c r="B386" s="3533"/>
      <c r="C386" s="3553"/>
      <c r="D386" s="998"/>
    </row>
    <row r="387" spans="1:5" outlineLevel="1">
      <c r="A387" s="3532" t="s">
        <v>1142</v>
      </c>
      <c r="B387" s="3533"/>
      <c r="C387" s="3553"/>
      <c r="D387" s="998"/>
    </row>
    <row r="388" spans="1:5" outlineLevel="1">
      <c r="A388" s="3516" t="s">
        <v>934</v>
      </c>
      <c r="B388" s="3533"/>
      <c r="C388" s="3553"/>
      <c r="D388" s="998"/>
    </row>
    <row r="389" spans="1:5" outlineLevel="1">
      <c r="A389" s="3532"/>
      <c r="B389" s="3533"/>
      <c r="C389" s="3553"/>
      <c r="D389" s="998"/>
    </row>
    <row r="390" spans="1:5" outlineLevel="1">
      <c r="A390" s="3532"/>
      <c r="B390" s="3533"/>
      <c r="C390" s="3553"/>
      <c r="D390" s="998"/>
    </row>
    <row r="391" spans="1:5" outlineLevel="1">
      <c r="A391" s="3532" t="s">
        <v>1143</v>
      </c>
      <c r="B391" s="3533"/>
      <c r="C391" s="3553"/>
      <c r="D391" s="998"/>
    </row>
    <row r="392" spans="1:5" ht="15" outlineLevel="1">
      <c r="A392" s="1057"/>
      <c r="B392" s="1060"/>
      <c r="C392" s="3556"/>
      <c r="D392" s="998"/>
    </row>
    <row r="393" spans="1:5" ht="15" outlineLevel="1">
      <c r="A393" s="1057"/>
      <c r="B393" s="1060"/>
      <c r="C393" s="3556"/>
      <c r="D393" s="998"/>
    </row>
    <row r="394" spans="1:5" ht="15" outlineLevel="1">
      <c r="A394" s="1057"/>
      <c r="B394" s="1060"/>
      <c r="C394" s="3556">
        <v>36682.087</v>
      </c>
      <c r="D394" s="998"/>
    </row>
    <row r="395" spans="1:5" ht="15" outlineLevel="1">
      <c r="A395" s="1057"/>
      <c r="B395" s="1060"/>
      <c r="C395" s="3556">
        <v>36682.087</v>
      </c>
      <c r="D395" s="998"/>
    </row>
    <row r="396" spans="1:5" ht="15" outlineLevel="1">
      <c r="A396" s="1063" t="s">
        <v>1144</v>
      </c>
      <c r="B396" s="1060"/>
      <c r="C396" s="3556">
        <v>36205.498999999996</v>
      </c>
      <c r="D396" s="998"/>
    </row>
    <row r="397" spans="1:5" ht="15" outlineLevel="1">
      <c r="A397" s="1063" t="s">
        <v>1145</v>
      </c>
      <c r="B397" s="1060"/>
      <c r="C397" s="3556" t="s">
        <v>4084</v>
      </c>
      <c r="D397" s="998"/>
    </row>
    <row r="398" spans="1:5" ht="15" outlineLevel="1">
      <c r="A398" s="1063" t="s">
        <v>1146</v>
      </c>
      <c r="B398" s="1060"/>
      <c r="C398" s="3556">
        <v>34178353.110989995</v>
      </c>
      <c r="D398" s="998"/>
    </row>
    <row r="399" spans="1:5" ht="15" outlineLevel="1">
      <c r="A399" s="1063" t="s">
        <v>1147</v>
      </c>
      <c r="B399" s="1060"/>
      <c r="C399" s="3556">
        <v>208.66300000000001</v>
      </c>
      <c r="D399" s="998"/>
    </row>
    <row r="400" spans="1:5" ht="15" outlineLevel="1">
      <c r="A400" s="1063" t="s">
        <v>1148</v>
      </c>
      <c r="B400" s="1060"/>
      <c r="C400" s="3556" t="s">
        <v>4085</v>
      </c>
      <c r="D400" s="1063"/>
      <c r="E400" s="1063"/>
    </row>
    <row r="401" spans="1:5" ht="15" outlineLevel="1">
      <c r="A401" s="1063" t="s">
        <v>1149</v>
      </c>
      <c r="B401" s="1060"/>
      <c r="C401" s="3556">
        <v>157550.99815</v>
      </c>
      <c r="D401" s="998"/>
    </row>
    <row r="402" spans="1:5" ht="15" outlineLevel="1">
      <c r="A402" s="1064" t="s">
        <v>1150</v>
      </c>
      <c r="B402" s="1060"/>
      <c r="C402" s="3556">
        <v>267.92500000000001</v>
      </c>
      <c r="D402" s="998"/>
    </row>
    <row r="403" spans="1:5" ht="15">
      <c r="A403" s="1064" t="s">
        <v>1151</v>
      </c>
      <c r="C403" s="3556" t="s">
        <v>4086</v>
      </c>
    </row>
    <row r="404" spans="1:5" ht="15">
      <c r="C404" s="3556">
        <v>269915.68274999998</v>
      </c>
    </row>
    <row r="405" spans="1:5" ht="15">
      <c r="C405" s="3556">
        <v>42643642.969419993</v>
      </c>
    </row>
    <row r="406" spans="1:5">
      <c r="C406" s="1066">
        <v>5.8819558845813157E-2</v>
      </c>
    </row>
    <row r="407" spans="1:5">
      <c r="C407" s="1066">
        <v>3.5486415844671632E-2</v>
      </c>
      <c r="E407" s="1083"/>
    </row>
    <row r="442" spans="1:3">
      <c r="A442" s="994" t="s">
        <v>1152</v>
      </c>
      <c r="C442" s="1063"/>
    </row>
    <row r="443" spans="1:3">
      <c r="C443" s="1063"/>
    </row>
    <row r="444" spans="1:3">
      <c r="A444" s="994" t="s">
        <v>1153</v>
      </c>
      <c r="B444" s="1067" t="s">
        <v>923</v>
      </c>
      <c r="C444" s="1063"/>
    </row>
    <row r="445" spans="1:3">
      <c r="A445" s="994" t="s">
        <v>1154</v>
      </c>
      <c r="B445" s="1067" t="s">
        <v>923</v>
      </c>
      <c r="C445" s="1063"/>
    </row>
    <row r="446" spans="1:3">
      <c r="A446" s="994" t="s">
        <v>1155</v>
      </c>
      <c r="B446" s="1067" t="s">
        <v>923</v>
      </c>
      <c r="C446" s="1063"/>
    </row>
    <row r="447" spans="1:3" ht="18">
      <c r="A447" s="994" t="s">
        <v>1156</v>
      </c>
      <c r="B447" s="1067" t="s">
        <v>923</v>
      </c>
      <c r="C447" s="1068"/>
    </row>
    <row r="448" spans="1:3" ht="18">
      <c r="B448" s="1067"/>
      <c r="C448" s="1068"/>
    </row>
    <row r="449" spans="1:3">
      <c r="A449" s="994" t="s">
        <v>1157</v>
      </c>
      <c r="C449" s="1063"/>
    </row>
    <row r="451" spans="1:3">
      <c r="A451" s="994" t="s">
        <v>1153</v>
      </c>
      <c r="B451" s="1067" t="s">
        <v>923</v>
      </c>
      <c r="C451" s="1063"/>
    </row>
    <row r="452" spans="1:3">
      <c r="A452" s="994" t="s">
        <v>1154</v>
      </c>
      <c r="B452" s="1067" t="s">
        <v>923</v>
      </c>
      <c r="C452" s="1063"/>
    </row>
    <row r="453" spans="1:3">
      <c r="A453" s="994" t="s">
        <v>1155</v>
      </c>
      <c r="B453" s="1067" t="s">
        <v>923</v>
      </c>
      <c r="C453" s="1063"/>
    </row>
    <row r="454" spans="1:3" ht="18">
      <c r="A454" s="994" t="s">
        <v>1156</v>
      </c>
      <c r="B454" s="1067" t="s">
        <v>923</v>
      </c>
      <c r="C454" s="1068"/>
    </row>
    <row r="456" spans="1:3">
      <c r="A456" s="994" t="s">
        <v>1158</v>
      </c>
    </row>
    <row r="458" spans="1:3">
      <c r="A458" s="994" t="s">
        <v>1153</v>
      </c>
      <c r="B458" s="1067" t="s">
        <v>923</v>
      </c>
      <c r="C458" s="1063"/>
    </row>
    <row r="459" spans="1:3">
      <c r="A459" s="994" t="s">
        <v>1154</v>
      </c>
      <c r="B459" s="1067" t="s">
        <v>923</v>
      </c>
      <c r="C459" s="1063"/>
    </row>
    <row r="460" spans="1:3">
      <c r="A460" s="994" t="s">
        <v>1155</v>
      </c>
      <c r="B460" s="1067" t="s">
        <v>923</v>
      </c>
      <c r="C460" s="1063"/>
    </row>
    <row r="461" spans="1:3" ht="18">
      <c r="A461" s="994" t="s">
        <v>1156</v>
      </c>
      <c r="B461" s="1067" t="s">
        <v>923</v>
      </c>
      <c r="C461" s="1068"/>
    </row>
    <row r="467" spans="1:1">
      <c r="A467" s="994" t="s">
        <v>1159</v>
      </c>
    </row>
    <row r="468" spans="1:1">
      <c r="A468" s="994" t="s">
        <v>1160</v>
      </c>
    </row>
    <row r="469" spans="1:1">
      <c r="A469" s="994" t="s">
        <v>1161</v>
      </c>
    </row>
    <row r="470" spans="1:1">
      <c r="A470" s="994" t="s">
        <v>1162</v>
      </c>
    </row>
    <row r="471" spans="1:1">
      <c r="A471" s="994" t="s">
        <v>1163</v>
      </c>
    </row>
    <row r="472" spans="1:1">
      <c r="A472" s="994" t="s">
        <v>1164</v>
      </c>
    </row>
    <row r="473" spans="1:1">
      <c r="A473" s="994" t="s">
        <v>1156</v>
      </c>
    </row>
  </sheetData>
  <conditionalFormatting sqref="C162:D162">
    <cfRule type="cellIs" dxfId="456" priority="1" stopIfTrue="1" operator="equal">
      <formula>0.045</formula>
    </cfRule>
    <cfRule type="cellIs" dxfId="455" priority="2" stopIfTrue="1" operator="lessThan">
      <formula>0.045</formula>
    </cfRule>
    <cfRule type="cellIs" dxfId="454" priority="3" stopIfTrue="1" operator="greaterThan">
      <formula>0.058</formula>
    </cfRule>
  </conditionalFormatting>
  <pageMargins left="0.7" right="0.7" top="0.75" bottom="0.75" header="0.3" footer="0.3"/>
  <legacy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38"/>
  <sheetViews>
    <sheetView workbookViewId="0">
      <selection activeCell="O33" sqref="O33"/>
    </sheetView>
  </sheetViews>
  <sheetFormatPr defaultColWidth="9.140625" defaultRowHeight="15"/>
  <cols>
    <col min="1" max="1" width="35.7109375" style="2993" customWidth="1"/>
    <col min="2" max="2" width="8.42578125" style="2994" customWidth="1"/>
    <col min="3" max="3" width="12.7109375" style="2995" customWidth="1"/>
    <col min="4" max="4" width="13" style="2995" customWidth="1"/>
    <col min="5" max="7" width="12.85546875" style="2995" customWidth="1"/>
    <col min="8" max="8" width="13.28515625" style="2995" customWidth="1"/>
    <col min="9" max="9" width="13.140625" style="2995" customWidth="1"/>
    <col min="10" max="16384" width="9.140625" style="2993"/>
  </cols>
  <sheetData>
    <row r="1" spans="1:9" ht="26.25" customHeight="1">
      <c r="I1" s="3013" t="s">
        <v>3732</v>
      </c>
    </row>
    <row r="2" spans="1:9" ht="33.75" customHeight="1">
      <c r="A2" s="4659" t="s">
        <v>3767</v>
      </c>
      <c r="B2" s="4659"/>
      <c r="C2" s="4659"/>
      <c r="D2" s="4659"/>
      <c r="E2" s="3012"/>
      <c r="F2" s="3012"/>
      <c r="G2" s="3012"/>
      <c r="I2" s="3017" t="s">
        <v>3715</v>
      </c>
    </row>
    <row r="4" spans="1:9">
      <c r="A4" s="3001" t="s">
        <v>3733</v>
      </c>
    </row>
    <row r="5" spans="1:9" ht="30" customHeight="1">
      <c r="A5" s="4660" t="s">
        <v>3734</v>
      </c>
      <c r="B5" s="4662" t="s">
        <v>3735</v>
      </c>
      <c r="C5" s="4664" t="s">
        <v>3736</v>
      </c>
      <c r="D5" s="4664"/>
      <c r="E5" s="4665" t="s">
        <v>3737</v>
      </c>
      <c r="F5" s="4665" t="s">
        <v>3738</v>
      </c>
      <c r="G5" s="4662" t="s">
        <v>3739</v>
      </c>
      <c r="H5" s="4666" t="s">
        <v>3740</v>
      </c>
      <c r="I5" s="4667"/>
    </row>
    <row r="6" spans="1:9">
      <c r="A6" s="4661"/>
      <c r="B6" s="4663"/>
      <c r="C6" s="2997" t="s">
        <v>3741</v>
      </c>
      <c r="D6" s="2997" t="s">
        <v>3742</v>
      </c>
      <c r="E6" s="4665"/>
      <c r="F6" s="4665"/>
      <c r="G6" s="4663"/>
      <c r="H6" s="2997" t="s">
        <v>3741</v>
      </c>
      <c r="I6" s="2997" t="s">
        <v>3742</v>
      </c>
    </row>
    <row r="7" spans="1:9">
      <c r="A7" s="2996" t="s">
        <v>3743</v>
      </c>
      <c r="B7" s="2998"/>
      <c r="C7" s="3024"/>
      <c r="D7" s="3024"/>
      <c r="E7" s="3024"/>
      <c r="F7" s="3024"/>
      <c r="G7" s="3024"/>
      <c r="H7" s="3024"/>
      <c r="I7" s="3024"/>
    </row>
    <row r="8" spans="1:9">
      <c r="A8" s="3000" t="s">
        <v>3744</v>
      </c>
      <c r="B8" s="2998">
        <f>B11</f>
        <v>65.87</v>
      </c>
      <c r="C8" s="3024">
        <f>C110+C14+C17</f>
        <v>0</v>
      </c>
      <c r="D8" s="3024">
        <f t="shared" ref="D8:I9" si="0">D11+D14+D17</f>
        <v>0</v>
      </c>
      <c r="E8" s="3024">
        <f t="shared" si="0"/>
        <v>0</v>
      </c>
      <c r="F8" s="3024">
        <f t="shared" si="0"/>
        <v>0</v>
      </c>
      <c r="G8" s="3024">
        <f t="shared" si="0"/>
        <v>0</v>
      </c>
      <c r="H8" s="3024">
        <f t="shared" si="0"/>
        <v>0</v>
      </c>
      <c r="I8" s="3024">
        <f t="shared" si="0"/>
        <v>0</v>
      </c>
    </row>
    <row r="9" spans="1:9">
      <c r="A9" s="3000" t="s">
        <v>3745</v>
      </c>
      <c r="B9" s="2998">
        <f>B12</f>
        <v>41.63</v>
      </c>
      <c r="C9" s="3024">
        <f>C12+C15+C18</f>
        <v>0</v>
      </c>
      <c r="D9" s="3024">
        <f t="shared" si="0"/>
        <v>0</v>
      </c>
      <c r="E9" s="3024">
        <f t="shared" si="0"/>
        <v>0</v>
      </c>
      <c r="F9" s="3024">
        <f t="shared" si="0"/>
        <v>0</v>
      </c>
      <c r="G9" s="3024">
        <f t="shared" si="0"/>
        <v>0</v>
      </c>
      <c r="H9" s="3024">
        <f t="shared" si="0"/>
        <v>0</v>
      </c>
      <c r="I9" s="3024">
        <f t="shared" si="0"/>
        <v>0</v>
      </c>
    </row>
    <row r="10" spans="1:9">
      <c r="A10" s="3026" t="s">
        <v>3722</v>
      </c>
      <c r="B10" s="2998"/>
      <c r="C10" s="3024"/>
      <c r="D10" s="3024"/>
      <c r="E10" s="3024"/>
      <c r="F10" s="3024"/>
      <c r="G10" s="3024"/>
      <c r="H10" s="3024"/>
      <c r="I10" s="3024"/>
    </row>
    <row r="11" spans="1:9">
      <c r="A11" s="3000" t="s">
        <v>3744</v>
      </c>
      <c r="B11" s="2998">
        <v>65.87</v>
      </c>
      <c r="C11" s="3024">
        <v>0</v>
      </c>
      <c r="D11" s="3024">
        <v>0</v>
      </c>
      <c r="E11" s="3024">
        <v>0</v>
      </c>
      <c r="F11" s="3024">
        <v>0</v>
      </c>
      <c r="G11" s="3024">
        <v>0</v>
      </c>
      <c r="H11" s="3024">
        <v>0</v>
      </c>
      <c r="I11" s="3024">
        <v>0</v>
      </c>
    </row>
    <row r="12" spans="1:9">
      <c r="A12" s="3000" t="s">
        <v>3745</v>
      </c>
      <c r="B12" s="2998">
        <v>41.63</v>
      </c>
      <c r="C12" s="3024">
        <v>0</v>
      </c>
      <c r="D12" s="3024">
        <v>0</v>
      </c>
      <c r="E12" s="3024">
        <v>0</v>
      </c>
      <c r="F12" s="3024">
        <v>0</v>
      </c>
      <c r="G12" s="3024">
        <v>0</v>
      </c>
      <c r="H12" s="3024">
        <v>0</v>
      </c>
      <c r="I12" s="3024">
        <v>0</v>
      </c>
    </row>
    <row r="13" spans="1:9">
      <c r="A13" s="3026" t="s">
        <v>3723</v>
      </c>
      <c r="B13" s="2998"/>
      <c r="C13" s="3024"/>
      <c r="D13" s="3024"/>
      <c r="E13" s="3024"/>
      <c r="F13" s="3024"/>
      <c r="G13" s="3024"/>
      <c r="H13" s="3024"/>
      <c r="I13" s="3024"/>
    </row>
    <row r="14" spans="1:9">
      <c r="A14" s="3000" t="s">
        <v>3744</v>
      </c>
      <c r="B14" s="2998">
        <v>65.87</v>
      </c>
      <c r="C14" s="3024">
        <v>0</v>
      </c>
      <c r="D14" s="3024">
        <v>0</v>
      </c>
      <c r="E14" s="3024">
        <v>0</v>
      </c>
      <c r="F14" s="3024">
        <v>0</v>
      </c>
      <c r="G14" s="3024">
        <v>0</v>
      </c>
      <c r="H14" s="3024">
        <v>0</v>
      </c>
      <c r="I14" s="3024">
        <v>0</v>
      </c>
    </row>
    <row r="15" spans="1:9">
      <c r="A15" s="3000" t="s">
        <v>3745</v>
      </c>
      <c r="B15" s="2998">
        <v>41.63</v>
      </c>
      <c r="C15" s="3024">
        <v>0</v>
      </c>
      <c r="D15" s="3024">
        <v>0</v>
      </c>
      <c r="E15" s="3024">
        <v>0</v>
      </c>
      <c r="F15" s="3024">
        <v>0</v>
      </c>
      <c r="G15" s="3024">
        <v>0</v>
      </c>
      <c r="H15" s="3024">
        <v>0</v>
      </c>
      <c r="I15" s="3024">
        <v>0</v>
      </c>
    </row>
    <row r="16" spans="1:9">
      <c r="A16" s="3028" t="s">
        <v>3724</v>
      </c>
      <c r="B16" s="2998"/>
      <c r="C16" s="3024"/>
      <c r="D16" s="3024"/>
      <c r="E16" s="3024"/>
      <c r="F16" s="3024"/>
      <c r="G16" s="3024"/>
      <c r="H16" s="3024"/>
      <c r="I16" s="3024"/>
    </row>
    <row r="17" spans="1:9">
      <c r="A17" s="3000" t="s">
        <v>3744</v>
      </c>
      <c r="B17" s="2998">
        <v>54.89</v>
      </c>
      <c r="C17" s="3024">
        <v>0</v>
      </c>
      <c r="D17" s="3024">
        <v>0</v>
      </c>
      <c r="E17" s="3024">
        <v>0</v>
      </c>
      <c r="F17" s="3024">
        <v>0</v>
      </c>
      <c r="G17" s="3024">
        <v>0</v>
      </c>
      <c r="H17" s="3024">
        <v>0</v>
      </c>
      <c r="I17" s="3024">
        <v>0</v>
      </c>
    </row>
    <row r="18" spans="1:9">
      <c r="A18" s="3000" t="s">
        <v>3745</v>
      </c>
      <c r="B18" s="2998">
        <v>34.69</v>
      </c>
      <c r="C18" s="3024">
        <v>0</v>
      </c>
      <c r="D18" s="3024">
        <v>0</v>
      </c>
      <c r="E18" s="3024">
        <v>0</v>
      </c>
      <c r="F18" s="3024">
        <v>0</v>
      </c>
      <c r="G18" s="3024">
        <v>0</v>
      </c>
      <c r="H18" s="3024">
        <v>0</v>
      </c>
      <c r="I18" s="3024">
        <v>0</v>
      </c>
    </row>
    <row r="19" spans="1:9">
      <c r="A19" s="2996" t="s">
        <v>3746</v>
      </c>
      <c r="B19" s="2998"/>
      <c r="C19" s="3024"/>
      <c r="D19" s="3024"/>
      <c r="E19" s="3024"/>
      <c r="F19" s="3024"/>
      <c r="G19" s="3024"/>
      <c r="H19" s="3024"/>
      <c r="I19" s="3024"/>
    </row>
    <row r="20" spans="1:9">
      <c r="A20" s="3000" t="s">
        <v>3744</v>
      </c>
      <c r="B20" s="2998">
        <v>54.89</v>
      </c>
      <c r="C20" s="3024">
        <v>0</v>
      </c>
      <c r="D20" s="3024">
        <v>0</v>
      </c>
      <c r="E20" s="3024">
        <v>0</v>
      </c>
      <c r="F20" s="3024">
        <v>0</v>
      </c>
      <c r="G20" s="3024">
        <v>0</v>
      </c>
      <c r="H20" s="3024">
        <v>0</v>
      </c>
      <c r="I20" s="3024">
        <v>0</v>
      </c>
    </row>
    <row r="21" spans="1:9">
      <c r="A21" s="3000" t="s">
        <v>3745</v>
      </c>
      <c r="B21" s="2998">
        <v>34.69</v>
      </c>
      <c r="C21" s="3024">
        <v>0</v>
      </c>
      <c r="D21" s="3024">
        <v>0</v>
      </c>
      <c r="E21" s="3024">
        <v>0</v>
      </c>
      <c r="F21" s="3024">
        <v>0</v>
      </c>
      <c r="G21" s="3024">
        <v>0</v>
      </c>
      <c r="H21" s="3024">
        <v>0</v>
      </c>
      <c r="I21" s="3024">
        <v>0</v>
      </c>
    </row>
    <row r="22" spans="1:9">
      <c r="A22" s="2996" t="s">
        <v>3747</v>
      </c>
      <c r="B22" s="2998"/>
      <c r="C22" s="3024"/>
      <c r="D22" s="3024"/>
      <c r="E22" s="3024"/>
      <c r="F22" s="3024"/>
      <c r="G22" s="3024"/>
      <c r="H22" s="3024"/>
      <c r="I22" s="3024"/>
    </row>
    <row r="23" spans="1:9">
      <c r="A23" s="3000" t="s">
        <v>3744</v>
      </c>
      <c r="B23" s="2998">
        <v>54.89</v>
      </c>
      <c r="C23" s="3024">
        <v>0</v>
      </c>
      <c r="D23" s="3024">
        <v>0</v>
      </c>
      <c r="E23" s="3024">
        <v>0</v>
      </c>
      <c r="F23" s="3024">
        <v>0</v>
      </c>
      <c r="G23" s="3024">
        <v>0</v>
      </c>
      <c r="H23" s="3024">
        <v>0</v>
      </c>
      <c r="I23" s="3024">
        <v>0</v>
      </c>
    </row>
    <row r="24" spans="1:9">
      <c r="A24" s="3000" t="s">
        <v>3745</v>
      </c>
      <c r="B24" s="2998">
        <v>34.69</v>
      </c>
      <c r="C24" s="3024">
        <v>0</v>
      </c>
      <c r="D24" s="3024">
        <v>0</v>
      </c>
      <c r="E24" s="3024">
        <v>0</v>
      </c>
      <c r="F24" s="3024">
        <v>0</v>
      </c>
      <c r="G24" s="3024">
        <v>0</v>
      </c>
      <c r="H24" s="3024">
        <v>0</v>
      </c>
      <c r="I24" s="3024">
        <v>0</v>
      </c>
    </row>
    <row r="25" spans="1:9">
      <c r="A25" s="2996" t="s">
        <v>3748</v>
      </c>
      <c r="B25" s="2998"/>
      <c r="C25" s="3024"/>
      <c r="D25" s="3024"/>
      <c r="E25" s="3024"/>
      <c r="F25" s="3024"/>
      <c r="G25" s="3024"/>
      <c r="H25" s="3024"/>
      <c r="I25" s="3024"/>
    </row>
    <row r="26" spans="1:9">
      <c r="A26" s="3000" t="s">
        <v>3744</v>
      </c>
      <c r="B26" s="2998">
        <v>54.89</v>
      </c>
      <c r="C26" s="3024">
        <v>0</v>
      </c>
      <c r="D26" s="3024">
        <v>0</v>
      </c>
      <c r="E26" s="3024">
        <v>0</v>
      </c>
      <c r="F26" s="3024">
        <v>0</v>
      </c>
      <c r="G26" s="3024">
        <v>0</v>
      </c>
      <c r="H26" s="3024">
        <v>0</v>
      </c>
      <c r="I26" s="3024">
        <v>0</v>
      </c>
    </row>
    <row r="27" spans="1:9">
      <c r="A27" s="3000" t="s">
        <v>3745</v>
      </c>
      <c r="B27" s="2998">
        <v>34.69</v>
      </c>
      <c r="C27" s="3024">
        <v>0</v>
      </c>
      <c r="D27" s="3024">
        <v>0</v>
      </c>
      <c r="E27" s="3024">
        <v>0</v>
      </c>
      <c r="F27" s="3024">
        <v>0</v>
      </c>
      <c r="G27" s="3024">
        <v>0</v>
      </c>
      <c r="H27" s="3024">
        <v>0</v>
      </c>
      <c r="I27" s="3024">
        <v>0</v>
      </c>
    </row>
    <row r="28" spans="1:9">
      <c r="A28" s="2996" t="s">
        <v>3749</v>
      </c>
      <c r="B28" s="2998"/>
      <c r="C28" s="3024"/>
      <c r="D28" s="3024"/>
      <c r="E28" s="3024"/>
      <c r="F28" s="3024"/>
      <c r="G28" s="3024"/>
      <c r="H28" s="3024"/>
      <c r="I28" s="3024"/>
    </row>
    <row r="29" spans="1:9">
      <c r="A29" s="3000" t="s">
        <v>3744</v>
      </c>
      <c r="B29" s="2998">
        <v>54.89</v>
      </c>
      <c r="C29" s="3024">
        <v>0</v>
      </c>
      <c r="D29" s="3024">
        <v>0</v>
      </c>
      <c r="E29" s="3024">
        <v>0</v>
      </c>
      <c r="F29" s="3024">
        <v>0</v>
      </c>
      <c r="G29" s="3024">
        <v>0</v>
      </c>
      <c r="H29" s="3024">
        <v>0</v>
      </c>
      <c r="I29" s="3024">
        <v>0</v>
      </c>
    </row>
    <row r="30" spans="1:9">
      <c r="A30" s="3000" t="s">
        <v>3745</v>
      </c>
      <c r="B30" s="2998">
        <v>34.69</v>
      </c>
      <c r="C30" s="3024">
        <v>0</v>
      </c>
      <c r="D30" s="3024">
        <v>0</v>
      </c>
      <c r="E30" s="3024">
        <v>0</v>
      </c>
      <c r="F30" s="3024">
        <v>0</v>
      </c>
      <c r="G30" s="3024">
        <v>0</v>
      </c>
      <c r="H30" s="3024">
        <v>0</v>
      </c>
      <c r="I30" s="3024">
        <v>0</v>
      </c>
    </row>
    <row r="31" spans="1:9">
      <c r="A31" s="3000" t="s">
        <v>425</v>
      </c>
      <c r="B31" s="2998"/>
      <c r="C31" s="3024">
        <f>SUM(C19:C30)+C8+C9</f>
        <v>0</v>
      </c>
      <c r="D31" s="3024">
        <f t="shared" ref="D31:I31" si="1">SUM(D19:D30)+D8+D9</f>
        <v>0</v>
      </c>
      <c r="E31" s="3024">
        <f t="shared" si="1"/>
        <v>0</v>
      </c>
      <c r="F31" s="3024">
        <f t="shared" si="1"/>
        <v>0</v>
      </c>
      <c r="G31" s="3024">
        <f t="shared" si="1"/>
        <v>0</v>
      </c>
      <c r="H31" s="3024">
        <f t="shared" si="1"/>
        <v>0</v>
      </c>
      <c r="I31" s="3024">
        <f t="shared" si="1"/>
        <v>0</v>
      </c>
    </row>
    <row r="32" spans="1:9">
      <c r="A32" s="3000" t="s">
        <v>934</v>
      </c>
      <c r="B32" s="2998"/>
      <c r="C32" s="3024">
        <f>C31/1.2*0.2</f>
        <v>0</v>
      </c>
      <c r="D32" s="3024">
        <f t="shared" ref="D32:I32" si="2">D31/1.2*0.2</f>
        <v>0</v>
      </c>
      <c r="E32" s="3024">
        <f t="shared" si="2"/>
        <v>0</v>
      </c>
      <c r="F32" s="3024">
        <f t="shared" si="2"/>
        <v>0</v>
      </c>
      <c r="G32" s="3024">
        <f t="shared" si="2"/>
        <v>0</v>
      </c>
      <c r="H32" s="3024">
        <f t="shared" si="2"/>
        <v>0</v>
      </c>
      <c r="I32" s="3024">
        <f t="shared" si="2"/>
        <v>0</v>
      </c>
    </row>
    <row r="35" spans="1:9" ht="28.5" customHeight="1">
      <c r="A35" s="4658"/>
      <c r="B35" s="4658"/>
      <c r="F35" s="4658"/>
      <c r="G35" s="4658"/>
      <c r="H35" s="4658"/>
      <c r="I35" s="4658"/>
    </row>
    <row r="36" spans="1:9">
      <c r="A36" s="3011"/>
      <c r="B36" s="3015"/>
      <c r="F36" s="3015"/>
      <c r="G36" s="3015"/>
      <c r="H36" s="3000" t="s">
        <v>3744</v>
      </c>
      <c r="I36" s="2995">
        <f>(I8+I20+I23+I26+I29)/1000</f>
        <v>0</v>
      </c>
    </row>
    <row r="37" spans="1:9">
      <c r="A37" s="3011"/>
      <c r="B37" s="3015"/>
      <c r="F37" s="3015"/>
      <c r="G37" s="3015"/>
      <c r="H37" s="3000" t="s">
        <v>3745</v>
      </c>
      <c r="I37" s="2995">
        <f>(I9+I21+I24+I27+I30)/1000</f>
        <v>0</v>
      </c>
    </row>
    <row r="38" spans="1:9" ht="28.5" customHeight="1">
      <c r="A38" s="4658"/>
      <c r="B38" s="4658"/>
      <c r="F38" s="4658"/>
      <c r="G38" s="4658"/>
      <c r="H38" s="4658"/>
      <c r="I38" s="4658"/>
    </row>
  </sheetData>
  <mergeCells count="12">
    <mergeCell ref="G5:G6"/>
    <mergeCell ref="H5:I5"/>
    <mergeCell ref="A35:B35"/>
    <mergeCell ref="F35:I35"/>
    <mergeCell ref="A38:B38"/>
    <mergeCell ref="F38:I38"/>
    <mergeCell ref="F5:F6"/>
    <mergeCell ref="A2:D2"/>
    <mergeCell ref="A5:A6"/>
    <mergeCell ref="B5:B6"/>
    <mergeCell ref="C5:D5"/>
    <mergeCell ref="E5:E6"/>
  </mergeCells>
  <pageMargins left="0.70866141732283472" right="0.70866141732283472" top="0.74803149606299213" bottom="0.74803149606299213" header="0.31496062992125984" footer="0.31496062992125984"/>
  <pageSetup paperSize="9" scale="72" fitToHeight="2"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
  <sheetViews>
    <sheetView workbookViewId="0">
      <selection activeCell="C8" sqref="C8"/>
    </sheetView>
  </sheetViews>
  <sheetFormatPr defaultRowHeight="12.75"/>
  <cols>
    <col min="1" max="1" width="9.140625" style="1845"/>
    <col min="2" max="2" width="35.85546875" style="1845" customWidth="1"/>
    <col min="3" max="3" width="16.85546875" style="1845" customWidth="1"/>
    <col min="4" max="4" width="21.140625" style="1845" customWidth="1"/>
    <col min="5" max="5" width="9.140625" style="1845"/>
    <col min="6" max="6" width="29.5703125" style="1845" customWidth="1"/>
    <col min="7" max="7" width="19.85546875" style="1845" customWidth="1"/>
    <col min="8" max="247" width="9.140625" style="1845"/>
    <col min="248" max="248" width="13.5703125" style="1845" customWidth="1"/>
    <col min="249" max="250" width="17.7109375" style="1845" bestFit="1" customWidth="1"/>
    <col min="251" max="251" width="17.28515625" style="1845" bestFit="1" customWidth="1"/>
    <col min="252" max="252" width="12" style="1845" customWidth="1"/>
    <col min="253" max="253" width="11.140625" style="1845" customWidth="1"/>
    <col min="254" max="254" width="16" style="1845" customWidth="1"/>
    <col min="255" max="255" width="16.85546875" style="1845" customWidth="1"/>
    <col min="256" max="256" width="21.140625" style="1845" customWidth="1"/>
    <col min="257" max="257" width="9.140625" style="1845"/>
    <col min="258" max="258" width="13.140625" style="1845" customWidth="1"/>
    <col min="259" max="259" width="19.85546875" style="1845" customWidth="1"/>
    <col min="260" max="260" width="18.28515625" style="1845" customWidth="1"/>
    <col min="261" max="261" width="19.85546875" style="1845" customWidth="1"/>
    <col min="262" max="262" width="13.5703125" style="1845" customWidth="1"/>
    <col min="263" max="263" width="11.140625" style="1845" customWidth="1"/>
    <col min="264" max="503" width="9.140625" style="1845"/>
    <col min="504" max="504" width="13.5703125" style="1845" customWidth="1"/>
    <col min="505" max="506" width="17.7109375" style="1845" bestFit="1" customWidth="1"/>
    <col min="507" max="507" width="17.28515625" style="1845" bestFit="1" customWidth="1"/>
    <col min="508" max="508" width="12" style="1845" customWidth="1"/>
    <col min="509" max="509" width="11.140625" style="1845" customWidth="1"/>
    <col min="510" max="510" width="16" style="1845" customWidth="1"/>
    <col min="511" max="511" width="16.85546875" style="1845" customWidth="1"/>
    <col min="512" max="512" width="21.140625" style="1845" customWidth="1"/>
    <col min="513" max="513" width="9.140625" style="1845"/>
    <col min="514" max="514" width="13.140625" style="1845" customWidth="1"/>
    <col min="515" max="515" width="19.85546875" style="1845" customWidth="1"/>
    <col min="516" max="516" width="18.28515625" style="1845" customWidth="1"/>
    <col min="517" max="517" width="19.85546875" style="1845" customWidth="1"/>
    <col min="518" max="518" width="13.5703125" style="1845" customWidth="1"/>
    <col min="519" max="519" width="11.140625" style="1845" customWidth="1"/>
    <col min="520" max="759" width="9.140625" style="1845"/>
    <col min="760" max="760" width="13.5703125" style="1845" customWidth="1"/>
    <col min="761" max="762" width="17.7109375" style="1845" bestFit="1" customWidth="1"/>
    <col min="763" max="763" width="17.28515625" style="1845" bestFit="1" customWidth="1"/>
    <col min="764" max="764" width="12" style="1845" customWidth="1"/>
    <col min="765" max="765" width="11.140625" style="1845" customWidth="1"/>
    <col min="766" max="766" width="16" style="1845" customWidth="1"/>
    <col min="767" max="767" width="16.85546875" style="1845" customWidth="1"/>
    <col min="768" max="768" width="21.140625" style="1845" customWidth="1"/>
    <col min="769" max="769" width="9.140625" style="1845"/>
    <col min="770" max="770" width="13.140625" style="1845" customWidth="1"/>
    <col min="771" max="771" width="19.85546875" style="1845" customWidth="1"/>
    <col min="772" max="772" width="18.28515625" style="1845" customWidth="1"/>
    <col min="773" max="773" width="19.85546875" style="1845" customWidth="1"/>
    <col min="774" max="774" width="13.5703125" style="1845" customWidth="1"/>
    <col min="775" max="775" width="11.140625" style="1845" customWidth="1"/>
    <col min="776" max="1015" width="9.140625" style="1845"/>
    <col min="1016" max="1016" width="13.5703125" style="1845" customWidth="1"/>
    <col min="1017" max="1018" width="17.7109375" style="1845" bestFit="1" customWidth="1"/>
    <col min="1019" max="1019" width="17.28515625" style="1845" bestFit="1" customWidth="1"/>
    <col min="1020" max="1020" width="12" style="1845" customWidth="1"/>
    <col min="1021" max="1021" width="11.140625" style="1845" customWidth="1"/>
    <col min="1022" max="1022" width="16" style="1845" customWidth="1"/>
    <col min="1023" max="1023" width="16.85546875" style="1845" customWidth="1"/>
    <col min="1024" max="1024" width="21.140625" style="1845" customWidth="1"/>
    <col min="1025" max="1025" width="9.140625" style="1845"/>
    <col min="1026" max="1026" width="13.140625" style="1845" customWidth="1"/>
    <col min="1027" max="1027" width="19.85546875" style="1845" customWidth="1"/>
    <col min="1028" max="1028" width="18.28515625" style="1845" customWidth="1"/>
    <col min="1029" max="1029" width="19.85546875" style="1845" customWidth="1"/>
    <col min="1030" max="1030" width="13.5703125" style="1845" customWidth="1"/>
    <col min="1031" max="1031" width="11.140625" style="1845" customWidth="1"/>
    <col min="1032" max="1271" width="9.140625" style="1845"/>
    <col min="1272" max="1272" width="13.5703125" style="1845" customWidth="1"/>
    <col min="1273" max="1274" width="17.7109375" style="1845" bestFit="1" customWidth="1"/>
    <col min="1275" max="1275" width="17.28515625" style="1845" bestFit="1" customWidth="1"/>
    <col min="1276" max="1276" width="12" style="1845" customWidth="1"/>
    <col min="1277" max="1277" width="11.140625" style="1845" customWidth="1"/>
    <col min="1278" max="1278" width="16" style="1845" customWidth="1"/>
    <col min="1279" max="1279" width="16.85546875" style="1845" customWidth="1"/>
    <col min="1280" max="1280" width="21.140625" style="1845" customWidth="1"/>
    <col min="1281" max="1281" width="9.140625" style="1845"/>
    <col min="1282" max="1282" width="13.140625" style="1845" customWidth="1"/>
    <col min="1283" max="1283" width="19.85546875" style="1845" customWidth="1"/>
    <col min="1284" max="1284" width="18.28515625" style="1845" customWidth="1"/>
    <col min="1285" max="1285" width="19.85546875" style="1845" customWidth="1"/>
    <col min="1286" max="1286" width="13.5703125" style="1845" customWidth="1"/>
    <col min="1287" max="1287" width="11.140625" style="1845" customWidth="1"/>
    <col min="1288" max="1527" width="9.140625" style="1845"/>
    <col min="1528" max="1528" width="13.5703125" style="1845" customWidth="1"/>
    <col min="1529" max="1530" width="17.7109375" style="1845" bestFit="1" customWidth="1"/>
    <col min="1531" max="1531" width="17.28515625" style="1845" bestFit="1" customWidth="1"/>
    <col min="1532" max="1532" width="12" style="1845" customWidth="1"/>
    <col min="1533" max="1533" width="11.140625" style="1845" customWidth="1"/>
    <col min="1534" max="1534" width="16" style="1845" customWidth="1"/>
    <col min="1535" max="1535" width="16.85546875" style="1845" customWidth="1"/>
    <col min="1536" max="1536" width="21.140625" style="1845" customWidth="1"/>
    <col min="1537" max="1537" width="9.140625" style="1845"/>
    <col min="1538" max="1538" width="13.140625" style="1845" customWidth="1"/>
    <col min="1539" max="1539" width="19.85546875" style="1845" customWidth="1"/>
    <col min="1540" max="1540" width="18.28515625" style="1845" customWidth="1"/>
    <col min="1541" max="1541" width="19.85546875" style="1845" customWidth="1"/>
    <col min="1542" max="1542" width="13.5703125" style="1845" customWidth="1"/>
    <col min="1543" max="1543" width="11.140625" style="1845" customWidth="1"/>
    <col min="1544" max="1783" width="9.140625" style="1845"/>
    <col min="1784" max="1784" width="13.5703125" style="1845" customWidth="1"/>
    <col min="1785" max="1786" width="17.7109375" style="1845" bestFit="1" customWidth="1"/>
    <col min="1787" max="1787" width="17.28515625" style="1845" bestFit="1" customWidth="1"/>
    <col min="1788" max="1788" width="12" style="1845" customWidth="1"/>
    <col min="1789" max="1789" width="11.140625" style="1845" customWidth="1"/>
    <col min="1790" max="1790" width="16" style="1845" customWidth="1"/>
    <col min="1791" max="1791" width="16.85546875" style="1845" customWidth="1"/>
    <col min="1792" max="1792" width="21.140625" style="1845" customWidth="1"/>
    <col min="1793" max="1793" width="9.140625" style="1845"/>
    <col min="1794" max="1794" width="13.140625" style="1845" customWidth="1"/>
    <col min="1795" max="1795" width="19.85546875" style="1845" customWidth="1"/>
    <col min="1796" max="1796" width="18.28515625" style="1845" customWidth="1"/>
    <col min="1797" max="1797" width="19.85546875" style="1845" customWidth="1"/>
    <col min="1798" max="1798" width="13.5703125" style="1845" customWidth="1"/>
    <col min="1799" max="1799" width="11.140625" style="1845" customWidth="1"/>
    <col min="1800" max="2039" width="9.140625" style="1845"/>
    <col min="2040" max="2040" width="13.5703125" style="1845" customWidth="1"/>
    <col min="2041" max="2042" width="17.7109375" style="1845" bestFit="1" customWidth="1"/>
    <col min="2043" max="2043" width="17.28515625" style="1845" bestFit="1" customWidth="1"/>
    <col min="2044" max="2044" width="12" style="1845" customWidth="1"/>
    <col min="2045" max="2045" width="11.140625" style="1845" customWidth="1"/>
    <col min="2046" max="2046" width="16" style="1845" customWidth="1"/>
    <col min="2047" max="2047" width="16.85546875" style="1845" customWidth="1"/>
    <col min="2048" max="2048" width="21.140625" style="1845" customWidth="1"/>
    <col min="2049" max="2049" width="9.140625" style="1845"/>
    <col min="2050" max="2050" width="13.140625" style="1845" customWidth="1"/>
    <col min="2051" max="2051" width="19.85546875" style="1845" customWidth="1"/>
    <col min="2052" max="2052" width="18.28515625" style="1845" customWidth="1"/>
    <col min="2053" max="2053" width="19.85546875" style="1845" customWidth="1"/>
    <col min="2054" max="2054" width="13.5703125" style="1845" customWidth="1"/>
    <col min="2055" max="2055" width="11.140625" style="1845" customWidth="1"/>
    <col min="2056" max="2295" width="9.140625" style="1845"/>
    <col min="2296" max="2296" width="13.5703125" style="1845" customWidth="1"/>
    <col min="2297" max="2298" width="17.7109375" style="1845" bestFit="1" customWidth="1"/>
    <col min="2299" max="2299" width="17.28515625" style="1845" bestFit="1" customWidth="1"/>
    <col min="2300" max="2300" width="12" style="1845" customWidth="1"/>
    <col min="2301" max="2301" width="11.140625" style="1845" customWidth="1"/>
    <col min="2302" max="2302" width="16" style="1845" customWidth="1"/>
    <col min="2303" max="2303" width="16.85546875" style="1845" customWidth="1"/>
    <col min="2304" max="2304" width="21.140625" style="1845" customWidth="1"/>
    <col min="2305" max="2305" width="9.140625" style="1845"/>
    <col min="2306" max="2306" width="13.140625" style="1845" customWidth="1"/>
    <col min="2307" max="2307" width="19.85546875" style="1845" customWidth="1"/>
    <col min="2308" max="2308" width="18.28515625" style="1845" customWidth="1"/>
    <col min="2309" max="2309" width="19.85546875" style="1845" customWidth="1"/>
    <col min="2310" max="2310" width="13.5703125" style="1845" customWidth="1"/>
    <col min="2311" max="2311" width="11.140625" style="1845" customWidth="1"/>
    <col min="2312" max="2551" width="9.140625" style="1845"/>
    <col min="2552" max="2552" width="13.5703125" style="1845" customWidth="1"/>
    <col min="2553" max="2554" width="17.7109375" style="1845" bestFit="1" customWidth="1"/>
    <col min="2555" max="2555" width="17.28515625" style="1845" bestFit="1" customWidth="1"/>
    <col min="2556" max="2556" width="12" style="1845" customWidth="1"/>
    <col min="2557" max="2557" width="11.140625" style="1845" customWidth="1"/>
    <col min="2558" max="2558" width="16" style="1845" customWidth="1"/>
    <col min="2559" max="2559" width="16.85546875" style="1845" customWidth="1"/>
    <col min="2560" max="2560" width="21.140625" style="1845" customWidth="1"/>
    <col min="2561" max="2561" width="9.140625" style="1845"/>
    <col min="2562" max="2562" width="13.140625" style="1845" customWidth="1"/>
    <col min="2563" max="2563" width="19.85546875" style="1845" customWidth="1"/>
    <col min="2564" max="2564" width="18.28515625" style="1845" customWidth="1"/>
    <col min="2565" max="2565" width="19.85546875" style="1845" customWidth="1"/>
    <col min="2566" max="2566" width="13.5703125" style="1845" customWidth="1"/>
    <col min="2567" max="2567" width="11.140625" style="1845" customWidth="1"/>
    <col min="2568" max="2807" width="9.140625" style="1845"/>
    <col min="2808" max="2808" width="13.5703125" style="1845" customWidth="1"/>
    <col min="2809" max="2810" width="17.7109375" style="1845" bestFit="1" customWidth="1"/>
    <col min="2811" max="2811" width="17.28515625" style="1845" bestFit="1" customWidth="1"/>
    <col min="2812" max="2812" width="12" style="1845" customWidth="1"/>
    <col min="2813" max="2813" width="11.140625" style="1845" customWidth="1"/>
    <col min="2814" max="2814" width="16" style="1845" customWidth="1"/>
    <col min="2815" max="2815" width="16.85546875" style="1845" customWidth="1"/>
    <col min="2816" max="2816" width="21.140625" style="1845" customWidth="1"/>
    <col min="2817" max="2817" width="9.140625" style="1845"/>
    <col min="2818" max="2818" width="13.140625" style="1845" customWidth="1"/>
    <col min="2819" max="2819" width="19.85546875" style="1845" customWidth="1"/>
    <col min="2820" max="2820" width="18.28515625" style="1845" customWidth="1"/>
    <col min="2821" max="2821" width="19.85546875" style="1845" customWidth="1"/>
    <col min="2822" max="2822" width="13.5703125" style="1845" customWidth="1"/>
    <col min="2823" max="2823" width="11.140625" style="1845" customWidth="1"/>
    <col min="2824" max="3063" width="9.140625" style="1845"/>
    <col min="3064" max="3064" width="13.5703125" style="1845" customWidth="1"/>
    <col min="3065" max="3066" width="17.7109375" style="1845" bestFit="1" customWidth="1"/>
    <col min="3067" max="3067" width="17.28515625" style="1845" bestFit="1" customWidth="1"/>
    <col min="3068" max="3068" width="12" style="1845" customWidth="1"/>
    <col min="3069" max="3069" width="11.140625" style="1845" customWidth="1"/>
    <col min="3070" max="3070" width="16" style="1845" customWidth="1"/>
    <col min="3071" max="3071" width="16.85546875" style="1845" customWidth="1"/>
    <col min="3072" max="3072" width="21.140625" style="1845" customWidth="1"/>
    <col min="3073" max="3073" width="9.140625" style="1845"/>
    <col min="3074" max="3074" width="13.140625" style="1845" customWidth="1"/>
    <col min="3075" max="3075" width="19.85546875" style="1845" customWidth="1"/>
    <col min="3076" max="3076" width="18.28515625" style="1845" customWidth="1"/>
    <col min="3077" max="3077" width="19.85546875" style="1845" customWidth="1"/>
    <col min="3078" max="3078" width="13.5703125" style="1845" customWidth="1"/>
    <col min="3079" max="3079" width="11.140625" style="1845" customWidth="1"/>
    <col min="3080" max="3319" width="9.140625" style="1845"/>
    <col min="3320" max="3320" width="13.5703125" style="1845" customWidth="1"/>
    <col min="3321" max="3322" width="17.7109375" style="1845" bestFit="1" customWidth="1"/>
    <col min="3323" max="3323" width="17.28515625" style="1845" bestFit="1" customWidth="1"/>
    <col min="3324" max="3324" width="12" style="1845" customWidth="1"/>
    <col min="3325" max="3325" width="11.140625" style="1845" customWidth="1"/>
    <col min="3326" max="3326" width="16" style="1845" customWidth="1"/>
    <col min="3327" max="3327" width="16.85546875" style="1845" customWidth="1"/>
    <col min="3328" max="3328" width="21.140625" style="1845" customWidth="1"/>
    <col min="3329" max="3329" width="9.140625" style="1845"/>
    <col min="3330" max="3330" width="13.140625" style="1845" customWidth="1"/>
    <col min="3331" max="3331" width="19.85546875" style="1845" customWidth="1"/>
    <col min="3332" max="3332" width="18.28515625" style="1845" customWidth="1"/>
    <col min="3333" max="3333" width="19.85546875" style="1845" customWidth="1"/>
    <col min="3334" max="3334" width="13.5703125" style="1845" customWidth="1"/>
    <col min="3335" max="3335" width="11.140625" style="1845" customWidth="1"/>
    <col min="3336" max="3575" width="9.140625" style="1845"/>
    <col min="3576" max="3576" width="13.5703125" style="1845" customWidth="1"/>
    <col min="3577" max="3578" width="17.7109375" style="1845" bestFit="1" customWidth="1"/>
    <col min="3579" max="3579" width="17.28515625" style="1845" bestFit="1" customWidth="1"/>
    <col min="3580" max="3580" width="12" style="1845" customWidth="1"/>
    <col min="3581" max="3581" width="11.140625" style="1845" customWidth="1"/>
    <col min="3582" max="3582" width="16" style="1845" customWidth="1"/>
    <col min="3583" max="3583" width="16.85546875" style="1845" customWidth="1"/>
    <col min="3584" max="3584" width="21.140625" style="1845" customWidth="1"/>
    <col min="3585" max="3585" width="9.140625" style="1845"/>
    <col min="3586" max="3586" width="13.140625" style="1845" customWidth="1"/>
    <col min="3587" max="3587" width="19.85546875" style="1845" customWidth="1"/>
    <col min="3588" max="3588" width="18.28515625" style="1845" customWidth="1"/>
    <col min="3589" max="3589" width="19.85546875" style="1845" customWidth="1"/>
    <col min="3590" max="3590" width="13.5703125" style="1845" customWidth="1"/>
    <col min="3591" max="3591" width="11.140625" style="1845" customWidth="1"/>
    <col min="3592" max="3831" width="9.140625" style="1845"/>
    <col min="3832" max="3832" width="13.5703125" style="1845" customWidth="1"/>
    <col min="3833" max="3834" width="17.7109375" style="1845" bestFit="1" customWidth="1"/>
    <col min="3835" max="3835" width="17.28515625" style="1845" bestFit="1" customWidth="1"/>
    <col min="3836" max="3836" width="12" style="1845" customWidth="1"/>
    <col min="3837" max="3837" width="11.140625" style="1845" customWidth="1"/>
    <col min="3838" max="3838" width="16" style="1845" customWidth="1"/>
    <col min="3839" max="3839" width="16.85546875" style="1845" customWidth="1"/>
    <col min="3840" max="3840" width="21.140625" style="1845" customWidth="1"/>
    <col min="3841" max="3841" width="9.140625" style="1845"/>
    <col min="3842" max="3842" width="13.140625" style="1845" customWidth="1"/>
    <col min="3843" max="3843" width="19.85546875" style="1845" customWidth="1"/>
    <col min="3844" max="3844" width="18.28515625" style="1845" customWidth="1"/>
    <col min="3845" max="3845" width="19.85546875" style="1845" customWidth="1"/>
    <col min="3846" max="3846" width="13.5703125" style="1845" customWidth="1"/>
    <col min="3847" max="3847" width="11.140625" style="1845" customWidth="1"/>
    <col min="3848" max="4087" width="9.140625" style="1845"/>
    <col min="4088" max="4088" width="13.5703125" style="1845" customWidth="1"/>
    <col min="4089" max="4090" width="17.7109375" style="1845" bestFit="1" customWidth="1"/>
    <col min="4091" max="4091" width="17.28515625" style="1845" bestFit="1" customWidth="1"/>
    <col min="4092" max="4092" width="12" style="1845" customWidth="1"/>
    <col min="4093" max="4093" width="11.140625" style="1845" customWidth="1"/>
    <col min="4094" max="4094" width="16" style="1845" customWidth="1"/>
    <col min="4095" max="4095" width="16.85546875" style="1845" customWidth="1"/>
    <col min="4096" max="4096" width="21.140625" style="1845" customWidth="1"/>
    <col min="4097" max="4097" width="9.140625" style="1845"/>
    <col min="4098" max="4098" width="13.140625" style="1845" customWidth="1"/>
    <col min="4099" max="4099" width="19.85546875" style="1845" customWidth="1"/>
    <col min="4100" max="4100" width="18.28515625" style="1845" customWidth="1"/>
    <col min="4101" max="4101" width="19.85546875" style="1845" customWidth="1"/>
    <col min="4102" max="4102" width="13.5703125" style="1845" customWidth="1"/>
    <col min="4103" max="4103" width="11.140625" style="1845" customWidth="1"/>
    <col min="4104" max="4343" width="9.140625" style="1845"/>
    <col min="4344" max="4344" width="13.5703125" style="1845" customWidth="1"/>
    <col min="4345" max="4346" width="17.7109375" style="1845" bestFit="1" customWidth="1"/>
    <col min="4347" max="4347" width="17.28515625" style="1845" bestFit="1" customWidth="1"/>
    <col min="4348" max="4348" width="12" style="1845" customWidth="1"/>
    <col min="4349" max="4349" width="11.140625" style="1845" customWidth="1"/>
    <col min="4350" max="4350" width="16" style="1845" customWidth="1"/>
    <col min="4351" max="4351" width="16.85546875" style="1845" customWidth="1"/>
    <col min="4352" max="4352" width="21.140625" style="1845" customWidth="1"/>
    <col min="4353" max="4353" width="9.140625" style="1845"/>
    <col min="4354" max="4354" width="13.140625" style="1845" customWidth="1"/>
    <col min="4355" max="4355" width="19.85546875" style="1845" customWidth="1"/>
    <col min="4356" max="4356" width="18.28515625" style="1845" customWidth="1"/>
    <col min="4357" max="4357" width="19.85546875" style="1845" customWidth="1"/>
    <col min="4358" max="4358" width="13.5703125" style="1845" customWidth="1"/>
    <col min="4359" max="4359" width="11.140625" style="1845" customWidth="1"/>
    <col min="4360" max="4599" width="9.140625" style="1845"/>
    <col min="4600" max="4600" width="13.5703125" style="1845" customWidth="1"/>
    <col min="4601" max="4602" width="17.7109375" style="1845" bestFit="1" customWidth="1"/>
    <col min="4603" max="4603" width="17.28515625" style="1845" bestFit="1" customWidth="1"/>
    <col min="4604" max="4604" width="12" style="1845" customWidth="1"/>
    <col min="4605" max="4605" width="11.140625" style="1845" customWidth="1"/>
    <col min="4606" max="4606" width="16" style="1845" customWidth="1"/>
    <col min="4607" max="4607" width="16.85546875" style="1845" customWidth="1"/>
    <col min="4608" max="4608" width="21.140625" style="1845" customWidth="1"/>
    <col min="4609" max="4609" width="9.140625" style="1845"/>
    <col min="4610" max="4610" width="13.140625" style="1845" customWidth="1"/>
    <col min="4611" max="4611" width="19.85546875" style="1845" customWidth="1"/>
    <col min="4612" max="4612" width="18.28515625" style="1845" customWidth="1"/>
    <col min="4613" max="4613" width="19.85546875" style="1845" customWidth="1"/>
    <col min="4614" max="4614" width="13.5703125" style="1845" customWidth="1"/>
    <col min="4615" max="4615" width="11.140625" style="1845" customWidth="1"/>
    <col min="4616" max="4855" width="9.140625" style="1845"/>
    <col min="4856" max="4856" width="13.5703125" style="1845" customWidth="1"/>
    <col min="4857" max="4858" width="17.7109375" style="1845" bestFit="1" customWidth="1"/>
    <col min="4859" max="4859" width="17.28515625" style="1845" bestFit="1" customWidth="1"/>
    <col min="4860" max="4860" width="12" style="1845" customWidth="1"/>
    <col min="4861" max="4861" width="11.140625" style="1845" customWidth="1"/>
    <col min="4862" max="4862" width="16" style="1845" customWidth="1"/>
    <col min="4863" max="4863" width="16.85546875" style="1845" customWidth="1"/>
    <col min="4864" max="4864" width="21.140625" style="1845" customWidth="1"/>
    <col min="4865" max="4865" width="9.140625" style="1845"/>
    <col min="4866" max="4866" width="13.140625" style="1845" customWidth="1"/>
    <col min="4867" max="4867" width="19.85546875" style="1845" customWidth="1"/>
    <col min="4868" max="4868" width="18.28515625" style="1845" customWidth="1"/>
    <col min="4869" max="4869" width="19.85546875" style="1845" customWidth="1"/>
    <col min="4870" max="4870" width="13.5703125" style="1845" customWidth="1"/>
    <col min="4871" max="4871" width="11.140625" style="1845" customWidth="1"/>
    <col min="4872" max="5111" width="9.140625" style="1845"/>
    <col min="5112" max="5112" width="13.5703125" style="1845" customWidth="1"/>
    <col min="5113" max="5114" width="17.7109375" style="1845" bestFit="1" customWidth="1"/>
    <col min="5115" max="5115" width="17.28515625" style="1845" bestFit="1" customWidth="1"/>
    <col min="5116" max="5116" width="12" style="1845" customWidth="1"/>
    <col min="5117" max="5117" width="11.140625" style="1845" customWidth="1"/>
    <col min="5118" max="5118" width="16" style="1845" customWidth="1"/>
    <col min="5119" max="5119" width="16.85546875" style="1845" customWidth="1"/>
    <col min="5120" max="5120" width="21.140625" style="1845" customWidth="1"/>
    <col min="5121" max="5121" width="9.140625" style="1845"/>
    <col min="5122" max="5122" width="13.140625" style="1845" customWidth="1"/>
    <col min="5123" max="5123" width="19.85546875" style="1845" customWidth="1"/>
    <col min="5124" max="5124" width="18.28515625" style="1845" customWidth="1"/>
    <col min="5125" max="5125" width="19.85546875" style="1845" customWidth="1"/>
    <col min="5126" max="5126" width="13.5703125" style="1845" customWidth="1"/>
    <col min="5127" max="5127" width="11.140625" style="1845" customWidth="1"/>
    <col min="5128" max="5367" width="9.140625" style="1845"/>
    <col min="5368" max="5368" width="13.5703125" style="1845" customWidth="1"/>
    <col min="5369" max="5370" width="17.7109375" style="1845" bestFit="1" customWidth="1"/>
    <col min="5371" max="5371" width="17.28515625" style="1845" bestFit="1" customWidth="1"/>
    <col min="5372" max="5372" width="12" style="1845" customWidth="1"/>
    <col min="5373" max="5373" width="11.140625" style="1845" customWidth="1"/>
    <col min="5374" max="5374" width="16" style="1845" customWidth="1"/>
    <col min="5375" max="5375" width="16.85546875" style="1845" customWidth="1"/>
    <col min="5376" max="5376" width="21.140625" style="1845" customWidth="1"/>
    <col min="5377" max="5377" width="9.140625" style="1845"/>
    <col min="5378" max="5378" width="13.140625" style="1845" customWidth="1"/>
    <col min="5379" max="5379" width="19.85546875" style="1845" customWidth="1"/>
    <col min="5380" max="5380" width="18.28515625" style="1845" customWidth="1"/>
    <col min="5381" max="5381" width="19.85546875" style="1845" customWidth="1"/>
    <col min="5382" max="5382" width="13.5703125" style="1845" customWidth="1"/>
    <col min="5383" max="5383" width="11.140625" style="1845" customWidth="1"/>
    <col min="5384" max="5623" width="9.140625" style="1845"/>
    <col min="5624" max="5624" width="13.5703125" style="1845" customWidth="1"/>
    <col min="5625" max="5626" width="17.7109375" style="1845" bestFit="1" customWidth="1"/>
    <col min="5627" max="5627" width="17.28515625" style="1845" bestFit="1" customWidth="1"/>
    <col min="5628" max="5628" width="12" style="1845" customWidth="1"/>
    <col min="5629" max="5629" width="11.140625" style="1845" customWidth="1"/>
    <col min="5630" max="5630" width="16" style="1845" customWidth="1"/>
    <col min="5631" max="5631" width="16.85546875" style="1845" customWidth="1"/>
    <col min="5632" max="5632" width="21.140625" style="1845" customWidth="1"/>
    <col min="5633" max="5633" width="9.140625" style="1845"/>
    <col min="5634" max="5634" width="13.140625" style="1845" customWidth="1"/>
    <col min="5635" max="5635" width="19.85546875" style="1845" customWidth="1"/>
    <col min="5636" max="5636" width="18.28515625" style="1845" customWidth="1"/>
    <col min="5637" max="5637" width="19.85546875" style="1845" customWidth="1"/>
    <col min="5638" max="5638" width="13.5703125" style="1845" customWidth="1"/>
    <col min="5639" max="5639" width="11.140625" style="1845" customWidth="1"/>
    <col min="5640" max="5879" width="9.140625" style="1845"/>
    <col min="5880" max="5880" width="13.5703125" style="1845" customWidth="1"/>
    <col min="5881" max="5882" width="17.7109375" style="1845" bestFit="1" customWidth="1"/>
    <col min="5883" max="5883" width="17.28515625" style="1845" bestFit="1" customWidth="1"/>
    <col min="5884" max="5884" width="12" style="1845" customWidth="1"/>
    <col min="5885" max="5885" width="11.140625" style="1845" customWidth="1"/>
    <col min="5886" max="5886" width="16" style="1845" customWidth="1"/>
    <col min="5887" max="5887" width="16.85546875" style="1845" customWidth="1"/>
    <col min="5888" max="5888" width="21.140625" style="1845" customWidth="1"/>
    <col min="5889" max="5889" width="9.140625" style="1845"/>
    <col min="5890" max="5890" width="13.140625" style="1845" customWidth="1"/>
    <col min="5891" max="5891" width="19.85546875" style="1845" customWidth="1"/>
    <col min="5892" max="5892" width="18.28515625" style="1845" customWidth="1"/>
    <col min="5893" max="5893" width="19.85546875" style="1845" customWidth="1"/>
    <col min="5894" max="5894" width="13.5703125" style="1845" customWidth="1"/>
    <col min="5895" max="5895" width="11.140625" style="1845" customWidth="1"/>
    <col min="5896" max="6135" width="9.140625" style="1845"/>
    <col min="6136" max="6136" width="13.5703125" style="1845" customWidth="1"/>
    <col min="6137" max="6138" width="17.7109375" style="1845" bestFit="1" customWidth="1"/>
    <col min="6139" max="6139" width="17.28515625" style="1845" bestFit="1" customWidth="1"/>
    <col min="6140" max="6140" width="12" style="1845" customWidth="1"/>
    <col min="6141" max="6141" width="11.140625" style="1845" customWidth="1"/>
    <col min="6142" max="6142" width="16" style="1845" customWidth="1"/>
    <col min="6143" max="6143" width="16.85546875" style="1845" customWidth="1"/>
    <col min="6144" max="6144" width="21.140625" style="1845" customWidth="1"/>
    <col min="6145" max="6145" width="9.140625" style="1845"/>
    <col min="6146" max="6146" width="13.140625" style="1845" customWidth="1"/>
    <col min="6147" max="6147" width="19.85546875" style="1845" customWidth="1"/>
    <col min="6148" max="6148" width="18.28515625" style="1845" customWidth="1"/>
    <col min="6149" max="6149" width="19.85546875" style="1845" customWidth="1"/>
    <col min="6150" max="6150" width="13.5703125" style="1845" customWidth="1"/>
    <col min="6151" max="6151" width="11.140625" style="1845" customWidth="1"/>
    <col min="6152" max="6391" width="9.140625" style="1845"/>
    <col min="6392" max="6392" width="13.5703125" style="1845" customWidth="1"/>
    <col min="6393" max="6394" width="17.7109375" style="1845" bestFit="1" customWidth="1"/>
    <col min="6395" max="6395" width="17.28515625" style="1845" bestFit="1" customWidth="1"/>
    <col min="6396" max="6396" width="12" style="1845" customWidth="1"/>
    <col min="6397" max="6397" width="11.140625" style="1845" customWidth="1"/>
    <col min="6398" max="6398" width="16" style="1845" customWidth="1"/>
    <col min="6399" max="6399" width="16.85546875" style="1845" customWidth="1"/>
    <col min="6400" max="6400" width="21.140625" style="1845" customWidth="1"/>
    <col min="6401" max="6401" width="9.140625" style="1845"/>
    <col min="6402" max="6402" width="13.140625" style="1845" customWidth="1"/>
    <col min="6403" max="6403" width="19.85546875" style="1845" customWidth="1"/>
    <col min="6404" max="6404" width="18.28515625" style="1845" customWidth="1"/>
    <col min="6405" max="6405" width="19.85546875" style="1845" customWidth="1"/>
    <col min="6406" max="6406" width="13.5703125" style="1845" customWidth="1"/>
    <col min="6407" max="6407" width="11.140625" style="1845" customWidth="1"/>
    <col min="6408" max="6647" width="9.140625" style="1845"/>
    <col min="6648" max="6648" width="13.5703125" style="1845" customWidth="1"/>
    <col min="6649" max="6650" width="17.7109375" style="1845" bestFit="1" customWidth="1"/>
    <col min="6651" max="6651" width="17.28515625" style="1845" bestFit="1" customWidth="1"/>
    <col min="6652" max="6652" width="12" style="1845" customWidth="1"/>
    <col min="6653" max="6653" width="11.140625" style="1845" customWidth="1"/>
    <col min="6654" max="6654" width="16" style="1845" customWidth="1"/>
    <col min="6655" max="6655" width="16.85546875" style="1845" customWidth="1"/>
    <col min="6656" max="6656" width="21.140625" style="1845" customWidth="1"/>
    <col min="6657" max="6657" width="9.140625" style="1845"/>
    <col min="6658" max="6658" width="13.140625" style="1845" customWidth="1"/>
    <col min="6659" max="6659" width="19.85546875" style="1845" customWidth="1"/>
    <col min="6660" max="6660" width="18.28515625" style="1845" customWidth="1"/>
    <col min="6661" max="6661" width="19.85546875" style="1845" customWidth="1"/>
    <col min="6662" max="6662" width="13.5703125" style="1845" customWidth="1"/>
    <col min="6663" max="6663" width="11.140625" style="1845" customWidth="1"/>
    <col min="6664" max="6903" width="9.140625" style="1845"/>
    <col min="6904" max="6904" width="13.5703125" style="1845" customWidth="1"/>
    <col min="6905" max="6906" width="17.7109375" style="1845" bestFit="1" customWidth="1"/>
    <col min="6907" max="6907" width="17.28515625" style="1845" bestFit="1" customWidth="1"/>
    <col min="6908" max="6908" width="12" style="1845" customWidth="1"/>
    <col min="6909" max="6909" width="11.140625" style="1845" customWidth="1"/>
    <col min="6910" max="6910" width="16" style="1845" customWidth="1"/>
    <col min="6911" max="6911" width="16.85546875" style="1845" customWidth="1"/>
    <col min="6912" max="6912" width="21.140625" style="1845" customWidth="1"/>
    <col min="6913" max="6913" width="9.140625" style="1845"/>
    <col min="6914" max="6914" width="13.140625" style="1845" customWidth="1"/>
    <col min="6915" max="6915" width="19.85546875" style="1845" customWidth="1"/>
    <col min="6916" max="6916" width="18.28515625" style="1845" customWidth="1"/>
    <col min="6917" max="6917" width="19.85546875" style="1845" customWidth="1"/>
    <col min="6918" max="6918" width="13.5703125" style="1845" customWidth="1"/>
    <col min="6919" max="6919" width="11.140625" style="1845" customWidth="1"/>
    <col min="6920" max="7159" width="9.140625" style="1845"/>
    <col min="7160" max="7160" width="13.5703125" style="1845" customWidth="1"/>
    <col min="7161" max="7162" width="17.7109375" style="1845" bestFit="1" customWidth="1"/>
    <col min="7163" max="7163" width="17.28515625" style="1845" bestFit="1" customWidth="1"/>
    <col min="7164" max="7164" width="12" style="1845" customWidth="1"/>
    <col min="7165" max="7165" width="11.140625" style="1845" customWidth="1"/>
    <col min="7166" max="7166" width="16" style="1845" customWidth="1"/>
    <col min="7167" max="7167" width="16.85546875" style="1845" customWidth="1"/>
    <col min="7168" max="7168" width="21.140625" style="1845" customWidth="1"/>
    <col min="7169" max="7169" width="9.140625" style="1845"/>
    <col min="7170" max="7170" width="13.140625" style="1845" customWidth="1"/>
    <col min="7171" max="7171" width="19.85546875" style="1845" customWidth="1"/>
    <col min="7172" max="7172" width="18.28515625" style="1845" customWidth="1"/>
    <col min="7173" max="7173" width="19.85546875" style="1845" customWidth="1"/>
    <col min="7174" max="7174" width="13.5703125" style="1845" customWidth="1"/>
    <col min="7175" max="7175" width="11.140625" style="1845" customWidth="1"/>
    <col min="7176" max="7415" width="9.140625" style="1845"/>
    <col min="7416" max="7416" width="13.5703125" style="1845" customWidth="1"/>
    <col min="7417" max="7418" width="17.7109375" style="1845" bestFit="1" customWidth="1"/>
    <col min="7419" max="7419" width="17.28515625" style="1845" bestFit="1" customWidth="1"/>
    <col min="7420" max="7420" width="12" style="1845" customWidth="1"/>
    <col min="7421" max="7421" width="11.140625" style="1845" customWidth="1"/>
    <col min="7422" max="7422" width="16" style="1845" customWidth="1"/>
    <col min="7423" max="7423" width="16.85546875" style="1845" customWidth="1"/>
    <col min="7424" max="7424" width="21.140625" style="1845" customWidth="1"/>
    <col min="7425" max="7425" width="9.140625" style="1845"/>
    <col min="7426" max="7426" width="13.140625" style="1845" customWidth="1"/>
    <col min="7427" max="7427" width="19.85546875" style="1845" customWidth="1"/>
    <col min="7428" max="7428" width="18.28515625" style="1845" customWidth="1"/>
    <col min="7429" max="7429" width="19.85546875" style="1845" customWidth="1"/>
    <col min="7430" max="7430" width="13.5703125" style="1845" customWidth="1"/>
    <col min="7431" max="7431" width="11.140625" style="1845" customWidth="1"/>
    <col min="7432" max="7671" width="9.140625" style="1845"/>
    <col min="7672" max="7672" width="13.5703125" style="1845" customWidth="1"/>
    <col min="7673" max="7674" width="17.7109375" style="1845" bestFit="1" customWidth="1"/>
    <col min="7675" max="7675" width="17.28515625" style="1845" bestFit="1" customWidth="1"/>
    <col min="7676" max="7676" width="12" style="1845" customWidth="1"/>
    <col min="7677" max="7677" width="11.140625" style="1845" customWidth="1"/>
    <col min="7678" max="7678" width="16" style="1845" customWidth="1"/>
    <col min="7679" max="7679" width="16.85546875" style="1845" customWidth="1"/>
    <col min="7680" max="7680" width="21.140625" style="1845" customWidth="1"/>
    <col min="7681" max="7681" width="9.140625" style="1845"/>
    <col min="7682" max="7682" width="13.140625" style="1845" customWidth="1"/>
    <col min="7683" max="7683" width="19.85546875" style="1845" customWidth="1"/>
    <col min="7684" max="7684" width="18.28515625" style="1845" customWidth="1"/>
    <col min="7685" max="7685" width="19.85546875" style="1845" customWidth="1"/>
    <col min="7686" max="7686" width="13.5703125" style="1845" customWidth="1"/>
    <col min="7687" max="7687" width="11.140625" style="1845" customWidth="1"/>
    <col min="7688" max="7927" width="9.140625" style="1845"/>
    <col min="7928" max="7928" width="13.5703125" style="1845" customWidth="1"/>
    <col min="7929" max="7930" width="17.7109375" style="1845" bestFit="1" customWidth="1"/>
    <col min="7931" max="7931" width="17.28515625" style="1845" bestFit="1" customWidth="1"/>
    <col min="7932" max="7932" width="12" style="1845" customWidth="1"/>
    <col min="7933" max="7933" width="11.140625" style="1845" customWidth="1"/>
    <col min="7934" max="7934" width="16" style="1845" customWidth="1"/>
    <col min="7935" max="7935" width="16.85546875" style="1845" customWidth="1"/>
    <col min="7936" max="7936" width="21.140625" style="1845" customWidth="1"/>
    <col min="7937" max="7937" width="9.140625" style="1845"/>
    <col min="7938" max="7938" width="13.140625" style="1845" customWidth="1"/>
    <col min="7939" max="7939" width="19.85546875" style="1845" customWidth="1"/>
    <col min="7940" max="7940" width="18.28515625" style="1845" customWidth="1"/>
    <col min="7941" max="7941" width="19.85546875" style="1845" customWidth="1"/>
    <col min="7942" max="7942" width="13.5703125" style="1845" customWidth="1"/>
    <col min="7943" max="7943" width="11.140625" style="1845" customWidth="1"/>
    <col min="7944" max="8183" width="9.140625" style="1845"/>
    <col min="8184" max="8184" width="13.5703125" style="1845" customWidth="1"/>
    <col min="8185" max="8186" width="17.7109375" style="1845" bestFit="1" customWidth="1"/>
    <col min="8187" max="8187" width="17.28515625" style="1845" bestFit="1" customWidth="1"/>
    <col min="8188" max="8188" width="12" style="1845" customWidth="1"/>
    <col min="8189" max="8189" width="11.140625" style="1845" customWidth="1"/>
    <col min="8190" max="8190" width="16" style="1845" customWidth="1"/>
    <col min="8191" max="8191" width="16.85546875" style="1845" customWidth="1"/>
    <col min="8192" max="8192" width="21.140625" style="1845" customWidth="1"/>
    <col min="8193" max="8193" width="9.140625" style="1845"/>
    <col min="8194" max="8194" width="13.140625" style="1845" customWidth="1"/>
    <col min="8195" max="8195" width="19.85546875" style="1845" customWidth="1"/>
    <col min="8196" max="8196" width="18.28515625" style="1845" customWidth="1"/>
    <col min="8197" max="8197" width="19.85546875" style="1845" customWidth="1"/>
    <col min="8198" max="8198" width="13.5703125" style="1845" customWidth="1"/>
    <col min="8199" max="8199" width="11.140625" style="1845" customWidth="1"/>
    <col min="8200" max="8439" width="9.140625" style="1845"/>
    <col min="8440" max="8440" width="13.5703125" style="1845" customWidth="1"/>
    <col min="8441" max="8442" width="17.7109375" style="1845" bestFit="1" customWidth="1"/>
    <col min="8443" max="8443" width="17.28515625" style="1845" bestFit="1" customWidth="1"/>
    <col min="8444" max="8444" width="12" style="1845" customWidth="1"/>
    <col min="8445" max="8445" width="11.140625" style="1845" customWidth="1"/>
    <col min="8446" max="8446" width="16" style="1845" customWidth="1"/>
    <col min="8447" max="8447" width="16.85546875" style="1845" customWidth="1"/>
    <col min="8448" max="8448" width="21.140625" style="1845" customWidth="1"/>
    <col min="8449" max="8449" width="9.140625" style="1845"/>
    <col min="8450" max="8450" width="13.140625" style="1845" customWidth="1"/>
    <col min="8451" max="8451" width="19.85546875" style="1845" customWidth="1"/>
    <col min="8452" max="8452" width="18.28515625" style="1845" customWidth="1"/>
    <col min="8453" max="8453" width="19.85546875" style="1845" customWidth="1"/>
    <col min="8454" max="8454" width="13.5703125" style="1845" customWidth="1"/>
    <col min="8455" max="8455" width="11.140625" style="1845" customWidth="1"/>
    <col min="8456" max="8695" width="9.140625" style="1845"/>
    <col min="8696" max="8696" width="13.5703125" style="1845" customWidth="1"/>
    <col min="8697" max="8698" width="17.7109375" style="1845" bestFit="1" customWidth="1"/>
    <col min="8699" max="8699" width="17.28515625" style="1845" bestFit="1" customWidth="1"/>
    <col min="8700" max="8700" width="12" style="1845" customWidth="1"/>
    <col min="8701" max="8701" width="11.140625" style="1845" customWidth="1"/>
    <col min="8702" max="8702" width="16" style="1845" customWidth="1"/>
    <col min="8703" max="8703" width="16.85546875" style="1845" customWidth="1"/>
    <col min="8704" max="8704" width="21.140625" style="1845" customWidth="1"/>
    <col min="8705" max="8705" width="9.140625" style="1845"/>
    <col min="8706" max="8706" width="13.140625" style="1845" customWidth="1"/>
    <col min="8707" max="8707" width="19.85546875" style="1845" customWidth="1"/>
    <col min="8708" max="8708" width="18.28515625" style="1845" customWidth="1"/>
    <col min="8709" max="8709" width="19.85546875" style="1845" customWidth="1"/>
    <col min="8710" max="8710" width="13.5703125" style="1845" customWidth="1"/>
    <col min="8711" max="8711" width="11.140625" style="1845" customWidth="1"/>
    <col min="8712" max="8951" width="9.140625" style="1845"/>
    <col min="8952" max="8952" width="13.5703125" style="1845" customWidth="1"/>
    <col min="8953" max="8954" width="17.7109375" style="1845" bestFit="1" customWidth="1"/>
    <col min="8955" max="8955" width="17.28515625" style="1845" bestFit="1" customWidth="1"/>
    <col min="8956" max="8956" width="12" style="1845" customWidth="1"/>
    <col min="8957" max="8957" width="11.140625" style="1845" customWidth="1"/>
    <col min="8958" max="8958" width="16" style="1845" customWidth="1"/>
    <col min="8959" max="8959" width="16.85546875" style="1845" customWidth="1"/>
    <col min="8960" max="8960" width="21.140625" style="1845" customWidth="1"/>
    <col min="8961" max="8961" width="9.140625" style="1845"/>
    <col min="8962" max="8962" width="13.140625" style="1845" customWidth="1"/>
    <col min="8963" max="8963" width="19.85546875" style="1845" customWidth="1"/>
    <col min="8964" max="8964" width="18.28515625" style="1845" customWidth="1"/>
    <col min="8965" max="8965" width="19.85546875" style="1845" customWidth="1"/>
    <col min="8966" max="8966" width="13.5703125" style="1845" customWidth="1"/>
    <col min="8967" max="8967" width="11.140625" style="1845" customWidth="1"/>
    <col min="8968" max="9207" width="9.140625" style="1845"/>
    <col min="9208" max="9208" width="13.5703125" style="1845" customWidth="1"/>
    <col min="9209" max="9210" width="17.7109375" style="1845" bestFit="1" customWidth="1"/>
    <col min="9211" max="9211" width="17.28515625" style="1845" bestFit="1" customWidth="1"/>
    <col min="9212" max="9212" width="12" style="1845" customWidth="1"/>
    <col min="9213" max="9213" width="11.140625" style="1845" customWidth="1"/>
    <col min="9214" max="9214" width="16" style="1845" customWidth="1"/>
    <col min="9215" max="9215" width="16.85546875" style="1845" customWidth="1"/>
    <col min="9216" max="9216" width="21.140625" style="1845" customWidth="1"/>
    <col min="9217" max="9217" width="9.140625" style="1845"/>
    <col min="9218" max="9218" width="13.140625" style="1845" customWidth="1"/>
    <col min="9219" max="9219" width="19.85546875" style="1845" customWidth="1"/>
    <col min="9220" max="9220" width="18.28515625" style="1845" customWidth="1"/>
    <col min="9221" max="9221" width="19.85546875" style="1845" customWidth="1"/>
    <col min="9222" max="9222" width="13.5703125" style="1845" customWidth="1"/>
    <col min="9223" max="9223" width="11.140625" style="1845" customWidth="1"/>
    <col min="9224" max="9463" width="9.140625" style="1845"/>
    <col min="9464" max="9464" width="13.5703125" style="1845" customWidth="1"/>
    <col min="9465" max="9466" width="17.7109375" style="1845" bestFit="1" customWidth="1"/>
    <col min="9467" max="9467" width="17.28515625" style="1845" bestFit="1" customWidth="1"/>
    <col min="9468" max="9468" width="12" style="1845" customWidth="1"/>
    <col min="9469" max="9469" width="11.140625" style="1845" customWidth="1"/>
    <col min="9470" max="9470" width="16" style="1845" customWidth="1"/>
    <col min="9471" max="9471" width="16.85546875" style="1845" customWidth="1"/>
    <col min="9472" max="9472" width="21.140625" style="1845" customWidth="1"/>
    <col min="9473" max="9473" width="9.140625" style="1845"/>
    <col min="9474" max="9474" width="13.140625" style="1845" customWidth="1"/>
    <col min="9475" max="9475" width="19.85546875" style="1845" customWidth="1"/>
    <col min="9476" max="9476" width="18.28515625" style="1845" customWidth="1"/>
    <col min="9477" max="9477" width="19.85546875" style="1845" customWidth="1"/>
    <col min="9478" max="9478" width="13.5703125" style="1845" customWidth="1"/>
    <col min="9479" max="9479" width="11.140625" style="1845" customWidth="1"/>
    <col min="9480" max="9719" width="9.140625" style="1845"/>
    <col min="9720" max="9720" width="13.5703125" style="1845" customWidth="1"/>
    <col min="9721" max="9722" width="17.7109375" style="1845" bestFit="1" customWidth="1"/>
    <col min="9723" max="9723" width="17.28515625" style="1845" bestFit="1" customWidth="1"/>
    <col min="9724" max="9724" width="12" style="1845" customWidth="1"/>
    <col min="9725" max="9725" width="11.140625" style="1845" customWidth="1"/>
    <col min="9726" max="9726" width="16" style="1845" customWidth="1"/>
    <col min="9727" max="9727" width="16.85546875" style="1845" customWidth="1"/>
    <col min="9728" max="9728" width="21.140625" style="1845" customWidth="1"/>
    <col min="9729" max="9729" width="9.140625" style="1845"/>
    <col min="9730" max="9730" width="13.140625" style="1845" customWidth="1"/>
    <col min="9731" max="9731" width="19.85546875" style="1845" customWidth="1"/>
    <col min="9732" max="9732" width="18.28515625" style="1845" customWidth="1"/>
    <col min="9733" max="9733" width="19.85546875" style="1845" customWidth="1"/>
    <col min="9734" max="9734" width="13.5703125" style="1845" customWidth="1"/>
    <col min="9735" max="9735" width="11.140625" style="1845" customWidth="1"/>
    <col min="9736" max="9975" width="9.140625" style="1845"/>
    <col min="9976" max="9976" width="13.5703125" style="1845" customWidth="1"/>
    <col min="9977" max="9978" width="17.7109375" style="1845" bestFit="1" customWidth="1"/>
    <col min="9979" max="9979" width="17.28515625" style="1845" bestFit="1" customWidth="1"/>
    <col min="9980" max="9980" width="12" style="1845" customWidth="1"/>
    <col min="9981" max="9981" width="11.140625" style="1845" customWidth="1"/>
    <col min="9982" max="9982" width="16" style="1845" customWidth="1"/>
    <col min="9983" max="9983" width="16.85546875" style="1845" customWidth="1"/>
    <col min="9984" max="9984" width="21.140625" style="1845" customWidth="1"/>
    <col min="9985" max="9985" width="9.140625" style="1845"/>
    <col min="9986" max="9986" width="13.140625" style="1845" customWidth="1"/>
    <col min="9987" max="9987" width="19.85546875" style="1845" customWidth="1"/>
    <col min="9988" max="9988" width="18.28515625" style="1845" customWidth="1"/>
    <col min="9989" max="9989" width="19.85546875" style="1845" customWidth="1"/>
    <col min="9990" max="9990" width="13.5703125" style="1845" customWidth="1"/>
    <col min="9991" max="9991" width="11.140625" style="1845" customWidth="1"/>
    <col min="9992" max="10231" width="9.140625" style="1845"/>
    <col min="10232" max="10232" width="13.5703125" style="1845" customWidth="1"/>
    <col min="10233" max="10234" width="17.7109375" style="1845" bestFit="1" customWidth="1"/>
    <col min="10235" max="10235" width="17.28515625" style="1845" bestFit="1" customWidth="1"/>
    <col min="10236" max="10236" width="12" style="1845" customWidth="1"/>
    <col min="10237" max="10237" width="11.140625" style="1845" customWidth="1"/>
    <col min="10238" max="10238" width="16" style="1845" customWidth="1"/>
    <col min="10239" max="10239" width="16.85546875" style="1845" customWidth="1"/>
    <col min="10240" max="10240" width="21.140625" style="1845" customWidth="1"/>
    <col min="10241" max="10241" width="9.140625" style="1845"/>
    <col min="10242" max="10242" width="13.140625" style="1845" customWidth="1"/>
    <col min="10243" max="10243" width="19.85546875" style="1845" customWidth="1"/>
    <col min="10244" max="10244" width="18.28515625" style="1845" customWidth="1"/>
    <col min="10245" max="10245" width="19.85546875" style="1845" customWidth="1"/>
    <col min="10246" max="10246" width="13.5703125" style="1845" customWidth="1"/>
    <col min="10247" max="10247" width="11.140625" style="1845" customWidth="1"/>
    <col min="10248" max="10487" width="9.140625" style="1845"/>
    <col min="10488" max="10488" width="13.5703125" style="1845" customWidth="1"/>
    <col min="10489" max="10490" width="17.7109375" style="1845" bestFit="1" customWidth="1"/>
    <col min="10491" max="10491" width="17.28515625" style="1845" bestFit="1" customWidth="1"/>
    <col min="10492" max="10492" width="12" style="1845" customWidth="1"/>
    <col min="10493" max="10493" width="11.140625" style="1845" customWidth="1"/>
    <col min="10494" max="10494" width="16" style="1845" customWidth="1"/>
    <col min="10495" max="10495" width="16.85546875" style="1845" customWidth="1"/>
    <col min="10496" max="10496" width="21.140625" style="1845" customWidth="1"/>
    <col min="10497" max="10497" width="9.140625" style="1845"/>
    <col min="10498" max="10498" width="13.140625" style="1845" customWidth="1"/>
    <col min="10499" max="10499" width="19.85546875" style="1845" customWidth="1"/>
    <col min="10500" max="10500" width="18.28515625" style="1845" customWidth="1"/>
    <col min="10501" max="10501" width="19.85546875" style="1845" customWidth="1"/>
    <col min="10502" max="10502" width="13.5703125" style="1845" customWidth="1"/>
    <col min="10503" max="10503" width="11.140625" style="1845" customWidth="1"/>
    <col min="10504" max="10743" width="9.140625" style="1845"/>
    <col min="10744" max="10744" width="13.5703125" style="1845" customWidth="1"/>
    <col min="10745" max="10746" width="17.7109375" style="1845" bestFit="1" customWidth="1"/>
    <col min="10747" max="10747" width="17.28515625" style="1845" bestFit="1" customWidth="1"/>
    <col min="10748" max="10748" width="12" style="1845" customWidth="1"/>
    <col min="10749" max="10749" width="11.140625" style="1845" customWidth="1"/>
    <col min="10750" max="10750" width="16" style="1845" customWidth="1"/>
    <col min="10751" max="10751" width="16.85546875" style="1845" customWidth="1"/>
    <col min="10752" max="10752" width="21.140625" style="1845" customWidth="1"/>
    <col min="10753" max="10753" width="9.140625" style="1845"/>
    <col min="10754" max="10754" width="13.140625" style="1845" customWidth="1"/>
    <col min="10755" max="10755" width="19.85546875" style="1845" customWidth="1"/>
    <col min="10756" max="10756" width="18.28515625" style="1845" customWidth="1"/>
    <col min="10757" max="10757" width="19.85546875" style="1845" customWidth="1"/>
    <col min="10758" max="10758" width="13.5703125" style="1845" customWidth="1"/>
    <col min="10759" max="10759" width="11.140625" style="1845" customWidth="1"/>
    <col min="10760" max="10999" width="9.140625" style="1845"/>
    <col min="11000" max="11000" width="13.5703125" style="1845" customWidth="1"/>
    <col min="11001" max="11002" width="17.7109375" style="1845" bestFit="1" customWidth="1"/>
    <col min="11003" max="11003" width="17.28515625" style="1845" bestFit="1" customWidth="1"/>
    <col min="11004" max="11004" width="12" style="1845" customWidth="1"/>
    <col min="11005" max="11005" width="11.140625" style="1845" customWidth="1"/>
    <col min="11006" max="11006" width="16" style="1845" customWidth="1"/>
    <col min="11007" max="11007" width="16.85546875" style="1845" customWidth="1"/>
    <col min="11008" max="11008" width="21.140625" style="1845" customWidth="1"/>
    <col min="11009" max="11009" width="9.140625" style="1845"/>
    <col min="11010" max="11010" width="13.140625" style="1845" customWidth="1"/>
    <col min="11011" max="11011" width="19.85546875" style="1845" customWidth="1"/>
    <col min="11012" max="11012" width="18.28515625" style="1845" customWidth="1"/>
    <col min="11013" max="11013" width="19.85546875" style="1845" customWidth="1"/>
    <col min="11014" max="11014" width="13.5703125" style="1845" customWidth="1"/>
    <col min="11015" max="11015" width="11.140625" style="1845" customWidth="1"/>
    <col min="11016" max="11255" width="9.140625" style="1845"/>
    <col min="11256" max="11256" width="13.5703125" style="1845" customWidth="1"/>
    <col min="11257" max="11258" width="17.7109375" style="1845" bestFit="1" customWidth="1"/>
    <col min="11259" max="11259" width="17.28515625" style="1845" bestFit="1" customWidth="1"/>
    <col min="11260" max="11260" width="12" style="1845" customWidth="1"/>
    <col min="11261" max="11261" width="11.140625" style="1845" customWidth="1"/>
    <col min="11262" max="11262" width="16" style="1845" customWidth="1"/>
    <col min="11263" max="11263" width="16.85546875" style="1845" customWidth="1"/>
    <col min="11264" max="11264" width="21.140625" style="1845" customWidth="1"/>
    <col min="11265" max="11265" width="9.140625" style="1845"/>
    <col min="11266" max="11266" width="13.140625" style="1845" customWidth="1"/>
    <col min="11267" max="11267" width="19.85546875" style="1845" customWidth="1"/>
    <col min="11268" max="11268" width="18.28515625" style="1845" customWidth="1"/>
    <col min="11269" max="11269" width="19.85546875" style="1845" customWidth="1"/>
    <col min="11270" max="11270" width="13.5703125" style="1845" customWidth="1"/>
    <col min="11271" max="11271" width="11.140625" style="1845" customWidth="1"/>
    <col min="11272" max="11511" width="9.140625" style="1845"/>
    <col min="11512" max="11512" width="13.5703125" style="1845" customWidth="1"/>
    <col min="11513" max="11514" width="17.7109375" style="1845" bestFit="1" customWidth="1"/>
    <col min="11515" max="11515" width="17.28515625" style="1845" bestFit="1" customWidth="1"/>
    <col min="11516" max="11516" width="12" style="1845" customWidth="1"/>
    <col min="11517" max="11517" width="11.140625" style="1845" customWidth="1"/>
    <col min="11518" max="11518" width="16" style="1845" customWidth="1"/>
    <col min="11519" max="11519" width="16.85546875" style="1845" customWidth="1"/>
    <col min="11520" max="11520" width="21.140625" style="1845" customWidth="1"/>
    <col min="11521" max="11521" width="9.140625" style="1845"/>
    <col min="11522" max="11522" width="13.140625" style="1845" customWidth="1"/>
    <col min="11523" max="11523" width="19.85546875" style="1845" customWidth="1"/>
    <col min="11524" max="11524" width="18.28515625" style="1845" customWidth="1"/>
    <col min="11525" max="11525" width="19.85546875" style="1845" customWidth="1"/>
    <col min="11526" max="11526" width="13.5703125" style="1845" customWidth="1"/>
    <col min="11527" max="11527" width="11.140625" style="1845" customWidth="1"/>
    <col min="11528" max="11767" width="9.140625" style="1845"/>
    <col min="11768" max="11768" width="13.5703125" style="1845" customWidth="1"/>
    <col min="11769" max="11770" width="17.7109375" style="1845" bestFit="1" customWidth="1"/>
    <col min="11771" max="11771" width="17.28515625" style="1845" bestFit="1" customWidth="1"/>
    <col min="11772" max="11772" width="12" style="1845" customWidth="1"/>
    <col min="11773" max="11773" width="11.140625" style="1845" customWidth="1"/>
    <col min="11774" max="11774" width="16" style="1845" customWidth="1"/>
    <col min="11775" max="11775" width="16.85546875" style="1845" customWidth="1"/>
    <col min="11776" max="11776" width="21.140625" style="1845" customWidth="1"/>
    <col min="11777" max="11777" width="9.140625" style="1845"/>
    <col min="11778" max="11778" width="13.140625" style="1845" customWidth="1"/>
    <col min="11779" max="11779" width="19.85546875" style="1845" customWidth="1"/>
    <col min="11780" max="11780" width="18.28515625" style="1845" customWidth="1"/>
    <col min="11781" max="11781" width="19.85546875" style="1845" customWidth="1"/>
    <col min="11782" max="11782" width="13.5703125" style="1845" customWidth="1"/>
    <col min="11783" max="11783" width="11.140625" style="1845" customWidth="1"/>
    <col min="11784" max="12023" width="9.140625" style="1845"/>
    <col min="12024" max="12024" width="13.5703125" style="1845" customWidth="1"/>
    <col min="12025" max="12026" width="17.7109375" style="1845" bestFit="1" customWidth="1"/>
    <col min="12027" max="12027" width="17.28515625" style="1845" bestFit="1" customWidth="1"/>
    <col min="12028" max="12028" width="12" style="1845" customWidth="1"/>
    <col min="12029" max="12029" width="11.140625" style="1845" customWidth="1"/>
    <col min="12030" max="12030" width="16" style="1845" customWidth="1"/>
    <col min="12031" max="12031" width="16.85546875" style="1845" customWidth="1"/>
    <col min="12032" max="12032" width="21.140625" style="1845" customWidth="1"/>
    <col min="12033" max="12033" width="9.140625" style="1845"/>
    <col min="12034" max="12034" width="13.140625" style="1845" customWidth="1"/>
    <col min="12035" max="12035" width="19.85546875" style="1845" customWidth="1"/>
    <col min="12036" max="12036" width="18.28515625" style="1845" customWidth="1"/>
    <col min="12037" max="12037" width="19.85546875" style="1845" customWidth="1"/>
    <col min="12038" max="12038" width="13.5703125" style="1845" customWidth="1"/>
    <col min="12039" max="12039" width="11.140625" style="1845" customWidth="1"/>
    <col min="12040" max="12279" width="9.140625" style="1845"/>
    <col min="12280" max="12280" width="13.5703125" style="1845" customWidth="1"/>
    <col min="12281" max="12282" width="17.7109375" style="1845" bestFit="1" customWidth="1"/>
    <col min="12283" max="12283" width="17.28515625" style="1845" bestFit="1" customWidth="1"/>
    <col min="12284" max="12284" width="12" style="1845" customWidth="1"/>
    <col min="12285" max="12285" width="11.140625" style="1845" customWidth="1"/>
    <col min="12286" max="12286" width="16" style="1845" customWidth="1"/>
    <col min="12287" max="12287" width="16.85546875" style="1845" customWidth="1"/>
    <col min="12288" max="12288" width="21.140625" style="1845" customWidth="1"/>
    <col min="12289" max="12289" width="9.140625" style="1845"/>
    <col min="12290" max="12290" width="13.140625" style="1845" customWidth="1"/>
    <col min="12291" max="12291" width="19.85546875" style="1845" customWidth="1"/>
    <col min="12292" max="12292" width="18.28515625" style="1845" customWidth="1"/>
    <col min="12293" max="12293" width="19.85546875" style="1845" customWidth="1"/>
    <col min="12294" max="12294" width="13.5703125" style="1845" customWidth="1"/>
    <col min="12295" max="12295" width="11.140625" style="1845" customWidth="1"/>
    <col min="12296" max="12535" width="9.140625" style="1845"/>
    <col min="12536" max="12536" width="13.5703125" style="1845" customWidth="1"/>
    <col min="12537" max="12538" width="17.7109375" style="1845" bestFit="1" customWidth="1"/>
    <col min="12539" max="12539" width="17.28515625" style="1845" bestFit="1" customWidth="1"/>
    <col min="12540" max="12540" width="12" style="1845" customWidth="1"/>
    <col min="12541" max="12541" width="11.140625" style="1845" customWidth="1"/>
    <col min="12542" max="12542" width="16" style="1845" customWidth="1"/>
    <col min="12543" max="12543" width="16.85546875" style="1845" customWidth="1"/>
    <col min="12544" max="12544" width="21.140625" style="1845" customWidth="1"/>
    <col min="12545" max="12545" width="9.140625" style="1845"/>
    <col min="12546" max="12546" width="13.140625" style="1845" customWidth="1"/>
    <col min="12547" max="12547" width="19.85546875" style="1845" customWidth="1"/>
    <col min="12548" max="12548" width="18.28515625" style="1845" customWidth="1"/>
    <col min="12549" max="12549" width="19.85546875" style="1845" customWidth="1"/>
    <col min="12550" max="12550" width="13.5703125" style="1845" customWidth="1"/>
    <col min="12551" max="12551" width="11.140625" style="1845" customWidth="1"/>
    <col min="12552" max="12791" width="9.140625" style="1845"/>
    <col min="12792" max="12792" width="13.5703125" style="1845" customWidth="1"/>
    <col min="12793" max="12794" width="17.7109375" style="1845" bestFit="1" customWidth="1"/>
    <col min="12795" max="12795" width="17.28515625" style="1845" bestFit="1" customWidth="1"/>
    <col min="12796" max="12796" width="12" style="1845" customWidth="1"/>
    <col min="12797" max="12797" width="11.140625" style="1845" customWidth="1"/>
    <col min="12798" max="12798" width="16" style="1845" customWidth="1"/>
    <col min="12799" max="12799" width="16.85546875" style="1845" customWidth="1"/>
    <col min="12800" max="12800" width="21.140625" style="1845" customWidth="1"/>
    <col min="12801" max="12801" width="9.140625" style="1845"/>
    <col min="12802" max="12802" width="13.140625" style="1845" customWidth="1"/>
    <col min="12803" max="12803" width="19.85546875" style="1845" customWidth="1"/>
    <col min="12804" max="12804" width="18.28515625" style="1845" customWidth="1"/>
    <col min="12805" max="12805" width="19.85546875" style="1845" customWidth="1"/>
    <col min="12806" max="12806" width="13.5703125" style="1845" customWidth="1"/>
    <col min="12807" max="12807" width="11.140625" style="1845" customWidth="1"/>
    <col min="12808" max="13047" width="9.140625" style="1845"/>
    <col min="13048" max="13048" width="13.5703125" style="1845" customWidth="1"/>
    <col min="13049" max="13050" width="17.7109375" style="1845" bestFit="1" customWidth="1"/>
    <col min="13051" max="13051" width="17.28515625" style="1845" bestFit="1" customWidth="1"/>
    <col min="13052" max="13052" width="12" style="1845" customWidth="1"/>
    <col min="13053" max="13053" width="11.140625" style="1845" customWidth="1"/>
    <col min="13054" max="13054" width="16" style="1845" customWidth="1"/>
    <col min="13055" max="13055" width="16.85546875" style="1845" customWidth="1"/>
    <col min="13056" max="13056" width="21.140625" style="1845" customWidth="1"/>
    <col min="13057" max="13057" width="9.140625" style="1845"/>
    <col min="13058" max="13058" width="13.140625" style="1845" customWidth="1"/>
    <col min="13059" max="13059" width="19.85546875" style="1845" customWidth="1"/>
    <col min="13060" max="13060" width="18.28515625" style="1845" customWidth="1"/>
    <col min="13061" max="13061" width="19.85546875" style="1845" customWidth="1"/>
    <col min="13062" max="13062" width="13.5703125" style="1845" customWidth="1"/>
    <col min="13063" max="13063" width="11.140625" style="1845" customWidth="1"/>
    <col min="13064" max="13303" width="9.140625" style="1845"/>
    <col min="13304" max="13304" width="13.5703125" style="1845" customWidth="1"/>
    <col min="13305" max="13306" width="17.7109375" style="1845" bestFit="1" customWidth="1"/>
    <col min="13307" max="13307" width="17.28515625" style="1845" bestFit="1" customWidth="1"/>
    <col min="13308" max="13308" width="12" style="1845" customWidth="1"/>
    <col min="13309" max="13309" width="11.140625" style="1845" customWidth="1"/>
    <col min="13310" max="13310" width="16" style="1845" customWidth="1"/>
    <col min="13311" max="13311" width="16.85546875" style="1845" customWidth="1"/>
    <col min="13312" max="13312" width="21.140625" style="1845" customWidth="1"/>
    <col min="13313" max="13313" width="9.140625" style="1845"/>
    <col min="13314" max="13314" width="13.140625" style="1845" customWidth="1"/>
    <col min="13315" max="13315" width="19.85546875" style="1845" customWidth="1"/>
    <col min="13316" max="13316" width="18.28515625" style="1845" customWidth="1"/>
    <col min="13317" max="13317" width="19.85546875" style="1845" customWidth="1"/>
    <col min="13318" max="13318" width="13.5703125" style="1845" customWidth="1"/>
    <col min="13319" max="13319" width="11.140625" style="1845" customWidth="1"/>
    <col min="13320" max="13559" width="9.140625" style="1845"/>
    <col min="13560" max="13560" width="13.5703125" style="1845" customWidth="1"/>
    <col min="13561" max="13562" width="17.7109375" style="1845" bestFit="1" customWidth="1"/>
    <col min="13563" max="13563" width="17.28515625" style="1845" bestFit="1" customWidth="1"/>
    <col min="13564" max="13564" width="12" style="1845" customWidth="1"/>
    <col min="13565" max="13565" width="11.140625" style="1845" customWidth="1"/>
    <col min="13566" max="13566" width="16" style="1845" customWidth="1"/>
    <col min="13567" max="13567" width="16.85546875" style="1845" customWidth="1"/>
    <col min="13568" max="13568" width="21.140625" style="1845" customWidth="1"/>
    <col min="13569" max="13569" width="9.140625" style="1845"/>
    <col min="13570" max="13570" width="13.140625" style="1845" customWidth="1"/>
    <col min="13571" max="13571" width="19.85546875" style="1845" customWidth="1"/>
    <col min="13572" max="13572" width="18.28515625" style="1845" customWidth="1"/>
    <col min="13573" max="13573" width="19.85546875" style="1845" customWidth="1"/>
    <col min="13574" max="13574" width="13.5703125" style="1845" customWidth="1"/>
    <col min="13575" max="13575" width="11.140625" style="1845" customWidth="1"/>
    <col min="13576" max="13815" width="9.140625" style="1845"/>
    <col min="13816" max="13816" width="13.5703125" style="1845" customWidth="1"/>
    <col min="13817" max="13818" width="17.7109375" style="1845" bestFit="1" customWidth="1"/>
    <col min="13819" max="13819" width="17.28515625" style="1845" bestFit="1" customWidth="1"/>
    <col min="13820" max="13820" width="12" style="1845" customWidth="1"/>
    <col min="13821" max="13821" width="11.140625" style="1845" customWidth="1"/>
    <col min="13822" max="13822" width="16" style="1845" customWidth="1"/>
    <col min="13823" max="13823" width="16.85546875" style="1845" customWidth="1"/>
    <col min="13824" max="13824" width="21.140625" style="1845" customWidth="1"/>
    <col min="13825" max="13825" width="9.140625" style="1845"/>
    <col min="13826" max="13826" width="13.140625" style="1845" customWidth="1"/>
    <col min="13827" max="13827" width="19.85546875" style="1845" customWidth="1"/>
    <col min="13828" max="13828" width="18.28515625" style="1845" customWidth="1"/>
    <col min="13829" max="13829" width="19.85546875" style="1845" customWidth="1"/>
    <col min="13830" max="13830" width="13.5703125" style="1845" customWidth="1"/>
    <col min="13831" max="13831" width="11.140625" style="1845" customWidth="1"/>
    <col min="13832" max="14071" width="9.140625" style="1845"/>
    <col min="14072" max="14072" width="13.5703125" style="1845" customWidth="1"/>
    <col min="14073" max="14074" width="17.7109375" style="1845" bestFit="1" customWidth="1"/>
    <col min="14075" max="14075" width="17.28515625" style="1845" bestFit="1" customWidth="1"/>
    <col min="14076" max="14076" width="12" style="1845" customWidth="1"/>
    <col min="14077" max="14077" width="11.140625" style="1845" customWidth="1"/>
    <col min="14078" max="14078" width="16" style="1845" customWidth="1"/>
    <col min="14079" max="14079" width="16.85546875" style="1845" customWidth="1"/>
    <col min="14080" max="14080" width="21.140625" style="1845" customWidth="1"/>
    <col min="14081" max="14081" width="9.140625" style="1845"/>
    <col min="14082" max="14082" width="13.140625" style="1845" customWidth="1"/>
    <col min="14083" max="14083" width="19.85546875" style="1845" customWidth="1"/>
    <col min="14084" max="14084" width="18.28515625" style="1845" customWidth="1"/>
    <col min="14085" max="14085" width="19.85546875" style="1845" customWidth="1"/>
    <col min="14086" max="14086" width="13.5703125" style="1845" customWidth="1"/>
    <col min="14087" max="14087" width="11.140625" style="1845" customWidth="1"/>
    <col min="14088" max="14327" width="9.140625" style="1845"/>
    <col min="14328" max="14328" width="13.5703125" style="1845" customWidth="1"/>
    <col min="14329" max="14330" width="17.7109375" style="1845" bestFit="1" customWidth="1"/>
    <col min="14331" max="14331" width="17.28515625" style="1845" bestFit="1" customWidth="1"/>
    <col min="14332" max="14332" width="12" style="1845" customWidth="1"/>
    <col min="14333" max="14333" width="11.140625" style="1845" customWidth="1"/>
    <col min="14334" max="14334" width="16" style="1845" customWidth="1"/>
    <col min="14335" max="14335" width="16.85546875" style="1845" customWidth="1"/>
    <col min="14336" max="14336" width="21.140625" style="1845" customWidth="1"/>
    <col min="14337" max="14337" width="9.140625" style="1845"/>
    <col min="14338" max="14338" width="13.140625" style="1845" customWidth="1"/>
    <col min="14339" max="14339" width="19.85546875" style="1845" customWidth="1"/>
    <col min="14340" max="14340" width="18.28515625" style="1845" customWidth="1"/>
    <col min="14341" max="14341" width="19.85546875" style="1845" customWidth="1"/>
    <col min="14342" max="14342" width="13.5703125" style="1845" customWidth="1"/>
    <col min="14343" max="14343" width="11.140625" style="1845" customWidth="1"/>
    <col min="14344" max="14583" width="9.140625" style="1845"/>
    <col min="14584" max="14584" width="13.5703125" style="1845" customWidth="1"/>
    <col min="14585" max="14586" width="17.7109375" style="1845" bestFit="1" customWidth="1"/>
    <col min="14587" max="14587" width="17.28515625" style="1845" bestFit="1" customWidth="1"/>
    <col min="14588" max="14588" width="12" style="1845" customWidth="1"/>
    <col min="14589" max="14589" width="11.140625" style="1845" customWidth="1"/>
    <col min="14590" max="14590" width="16" style="1845" customWidth="1"/>
    <col min="14591" max="14591" width="16.85546875" style="1845" customWidth="1"/>
    <col min="14592" max="14592" width="21.140625" style="1845" customWidth="1"/>
    <col min="14593" max="14593" width="9.140625" style="1845"/>
    <col min="14594" max="14594" width="13.140625" style="1845" customWidth="1"/>
    <col min="14595" max="14595" width="19.85546875" style="1845" customWidth="1"/>
    <col min="14596" max="14596" width="18.28515625" style="1845" customWidth="1"/>
    <col min="14597" max="14597" width="19.85546875" style="1845" customWidth="1"/>
    <col min="14598" max="14598" width="13.5703125" style="1845" customWidth="1"/>
    <col min="14599" max="14599" width="11.140625" style="1845" customWidth="1"/>
    <col min="14600" max="14839" width="9.140625" style="1845"/>
    <col min="14840" max="14840" width="13.5703125" style="1845" customWidth="1"/>
    <col min="14841" max="14842" width="17.7109375" style="1845" bestFit="1" customWidth="1"/>
    <col min="14843" max="14843" width="17.28515625" style="1845" bestFit="1" customWidth="1"/>
    <col min="14844" max="14844" width="12" style="1845" customWidth="1"/>
    <col min="14845" max="14845" width="11.140625" style="1845" customWidth="1"/>
    <col min="14846" max="14846" width="16" style="1845" customWidth="1"/>
    <col min="14847" max="14847" width="16.85546875" style="1845" customWidth="1"/>
    <col min="14848" max="14848" width="21.140625" style="1845" customWidth="1"/>
    <col min="14849" max="14849" width="9.140625" style="1845"/>
    <col min="14850" max="14850" width="13.140625" style="1845" customWidth="1"/>
    <col min="14851" max="14851" width="19.85546875" style="1845" customWidth="1"/>
    <col min="14852" max="14852" width="18.28515625" style="1845" customWidth="1"/>
    <col min="14853" max="14853" width="19.85546875" style="1845" customWidth="1"/>
    <col min="14854" max="14854" width="13.5703125" style="1845" customWidth="1"/>
    <col min="14855" max="14855" width="11.140625" style="1845" customWidth="1"/>
    <col min="14856" max="15095" width="9.140625" style="1845"/>
    <col min="15096" max="15096" width="13.5703125" style="1845" customWidth="1"/>
    <col min="15097" max="15098" width="17.7109375" style="1845" bestFit="1" customWidth="1"/>
    <col min="15099" max="15099" width="17.28515625" style="1845" bestFit="1" customWidth="1"/>
    <col min="15100" max="15100" width="12" style="1845" customWidth="1"/>
    <col min="15101" max="15101" width="11.140625" style="1845" customWidth="1"/>
    <col min="15102" max="15102" width="16" style="1845" customWidth="1"/>
    <col min="15103" max="15103" width="16.85546875" style="1845" customWidth="1"/>
    <col min="15104" max="15104" width="21.140625" style="1845" customWidth="1"/>
    <col min="15105" max="15105" width="9.140625" style="1845"/>
    <col min="15106" max="15106" width="13.140625" style="1845" customWidth="1"/>
    <col min="15107" max="15107" width="19.85546875" style="1845" customWidth="1"/>
    <col min="15108" max="15108" width="18.28515625" style="1845" customWidth="1"/>
    <col min="15109" max="15109" width="19.85546875" style="1845" customWidth="1"/>
    <col min="15110" max="15110" width="13.5703125" style="1845" customWidth="1"/>
    <col min="15111" max="15111" width="11.140625" style="1845" customWidth="1"/>
    <col min="15112" max="15351" width="9.140625" style="1845"/>
    <col min="15352" max="15352" width="13.5703125" style="1845" customWidth="1"/>
    <col min="15353" max="15354" width="17.7109375" style="1845" bestFit="1" customWidth="1"/>
    <col min="15355" max="15355" width="17.28515625" style="1845" bestFit="1" customWidth="1"/>
    <col min="15356" max="15356" width="12" style="1845" customWidth="1"/>
    <col min="15357" max="15357" width="11.140625" style="1845" customWidth="1"/>
    <col min="15358" max="15358" width="16" style="1845" customWidth="1"/>
    <col min="15359" max="15359" width="16.85546875" style="1845" customWidth="1"/>
    <col min="15360" max="15360" width="21.140625" style="1845" customWidth="1"/>
    <col min="15361" max="15361" width="9.140625" style="1845"/>
    <col min="15362" max="15362" width="13.140625" style="1845" customWidth="1"/>
    <col min="15363" max="15363" width="19.85546875" style="1845" customWidth="1"/>
    <col min="15364" max="15364" width="18.28515625" style="1845" customWidth="1"/>
    <col min="15365" max="15365" width="19.85546875" style="1845" customWidth="1"/>
    <col min="15366" max="15366" width="13.5703125" style="1845" customWidth="1"/>
    <col min="15367" max="15367" width="11.140625" style="1845" customWidth="1"/>
    <col min="15368" max="15607" width="9.140625" style="1845"/>
    <col min="15608" max="15608" width="13.5703125" style="1845" customWidth="1"/>
    <col min="15609" max="15610" width="17.7109375" style="1845" bestFit="1" customWidth="1"/>
    <col min="15611" max="15611" width="17.28515625" style="1845" bestFit="1" customWidth="1"/>
    <col min="15612" max="15612" width="12" style="1845" customWidth="1"/>
    <col min="15613" max="15613" width="11.140625" style="1845" customWidth="1"/>
    <col min="15614" max="15614" width="16" style="1845" customWidth="1"/>
    <col min="15615" max="15615" width="16.85546875" style="1845" customWidth="1"/>
    <col min="15616" max="15616" width="21.140625" style="1845" customWidth="1"/>
    <col min="15617" max="15617" width="9.140625" style="1845"/>
    <col min="15618" max="15618" width="13.140625" style="1845" customWidth="1"/>
    <col min="15619" max="15619" width="19.85546875" style="1845" customWidth="1"/>
    <col min="15620" max="15620" width="18.28515625" style="1845" customWidth="1"/>
    <col min="15621" max="15621" width="19.85546875" style="1845" customWidth="1"/>
    <col min="15622" max="15622" width="13.5703125" style="1845" customWidth="1"/>
    <col min="15623" max="15623" width="11.140625" style="1845" customWidth="1"/>
    <col min="15624" max="15863" width="9.140625" style="1845"/>
    <col min="15864" max="15864" width="13.5703125" style="1845" customWidth="1"/>
    <col min="15865" max="15866" width="17.7109375" style="1845" bestFit="1" customWidth="1"/>
    <col min="15867" max="15867" width="17.28515625" style="1845" bestFit="1" customWidth="1"/>
    <col min="15868" max="15868" width="12" style="1845" customWidth="1"/>
    <col min="15869" max="15869" width="11.140625" style="1845" customWidth="1"/>
    <col min="15870" max="15870" width="16" style="1845" customWidth="1"/>
    <col min="15871" max="15871" width="16.85546875" style="1845" customWidth="1"/>
    <col min="15872" max="15872" width="21.140625" style="1845" customWidth="1"/>
    <col min="15873" max="15873" width="9.140625" style="1845"/>
    <col min="15874" max="15874" width="13.140625" style="1845" customWidth="1"/>
    <col min="15875" max="15875" width="19.85546875" style="1845" customWidth="1"/>
    <col min="15876" max="15876" width="18.28515625" style="1845" customWidth="1"/>
    <col min="15877" max="15877" width="19.85546875" style="1845" customWidth="1"/>
    <col min="15878" max="15878" width="13.5703125" style="1845" customWidth="1"/>
    <col min="15879" max="15879" width="11.140625" style="1845" customWidth="1"/>
    <col min="15880" max="16119" width="9.140625" style="1845"/>
    <col min="16120" max="16120" width="13.5703125" style="1845" customWidth="1"/>
    <col min="16121" max="16122" width="17.7109375" style="1845" bestFit="1" customWidth="1"/>
    <col min="16123" max="16123" width="17.28515625" style="1845" bestFit="1" customWidth="1"/>
    <col min="16124" max="16124" width="12" style="1845" customWidth="1"/>
    <col min="16125" max="16125" width="11.140625" style="1845" customWidth="1"/>
    <col min="16126" max="16126" width="16" style="1845" customWidth="1"/>
    <col min="16127" max="16127" width="16.85546875" style="1845" customWidth="1"/>
    <col min="16128" max="16128" width="21.140625" style="1845" customWidth="1"/>
    <col min="16129" max="16129" width="9.140625" style="1845"/>
    <col min="16130" max="16130" width="13.140625" style="1845" customWidth="1"/>
    <col min="16131" max="16131" width="19.85546875" style="1845" customWidth="1"/>
    <col min="16132" max="16132" width="18.28515625" style="1845" customWidth="1"/>
    <col min="16133" max="16133" width="19.85546875" style="1845" customWidth="1"/>
    <col min="16134" max="16134" width="13.5703125" style="1845" customWidth="1"/>
    <col min="16135" max="16135" width="11.140625" style="1845" customWidth="1"/>
    <col min="16136" max="16384" width="9.140625" style="1845"/>
  </cols>
  <sheetData>
    <row r="1" spans="1:7" ht="21" thickBot="1">
      <c r="A1" s="4672" t="str">
        <f>'Шаблон 46 ГП'!A8:P8</f>
        <v>Май 2026 год</v>
      </c>
      <c r="B1" s="4672"/>
      <c r="C1" s="4672"/>
      <c r="D1" s="4672"/>
      <c r="E1" s="4672"/>
      <c r="F1" s="4672"/>
      <c r="G1" s="4672"/>
    </row>
    <row r="2" spans="1:7" ht="21" thickBot="1">
      <c r="A2" s="4673" t="s">
        <v>698</v>
      </c>
      <c r="B2" s="4674"/>
      <c r="C2" s="4674"/>
      <c r="D2" s="4675" t="s">
        <v>431</v>
      </c>
      <c r="E2" s="4678" t="s">
        <v>3713</v>
      </c>
      <c r="F2" s="4678"/>
      <c r="G2" s="4678"/>
    </row>
    <row r="3" spans="1:7" ht="15.75" customHeight="1">
      <c r="A3" s="4679" t="s">
        <v>3753</v>
      </c>
      <c r="B3" s="3052" t="s">
        <v>3754</v>
      </c>
      <c r="C3" s="4681" t="s">
        <v>3755</v>
      </c>
      <c r="D3" s="4676"/>
      <c r="E3" s="4683" t="s">
        <v>3753</v>
      </c>
      <c r="F3" s="4685" t="s">
        <v>3754</v>
      </c>
      <c r="G3" s="4685"/>
    </row>
    <row r="4" spans="1:7" ht="68.25" customHeight="1" thickBot="1">
      <c r="A4" s="4680"/>
      <c r="B4" s="3053" t="s">
        <v>3756</v>
      </c>
      <c r="C4" s="4682"/>
      <c r="D4" s="4676"/>
      <c r="E4" s="4684"/>
      <c r="F4" s="4668" t="s">
        <v>3756</v>
      </c>
      <c r="G4" s="4669"/>
    </row>
    <row r="5" spans="1:7" ht="33" customHeight="1" thickBot="1">
      <c r="A5" s="3033"/>
      <c r="B5" s="3034"/>
      <c r="C5" s="3035"/>
      <c r="D5" s="4676"/>
      <c r="E5" s="3036"/>
      <c r="F5" s="3037"/>
      <c r="G5" s="3038" t="s">
        <v>3757</v>
      </c>
    </row>
    <row r="6" spans="1:7" ht="22.5" customHeight="1" thickBot="1">
      <c r="A6" s="3054">
        <v>1</v>
      </c>
      <c r="B6" s="3054">
        <v>2</v>
      </c>
      <c r="C6" s="3054">
        <v>3</v>
      </c>
      <c r="D6" s="4677"/>
      <c r="E6" s="3055">
        <v>1</v>
      </c>
      <c r="F6" s="3055">
        <v>2</v>
      </c>
      <c r="G6" s="3055">
        <v>3</v>
      </c>
    </row>
    <row r="7" spans="1:7" ht="15">
      <c r="A7" s="4670"/>
      <c r="B7" s="3039"/>
      <c r="C7" s="3040">
        <f>SUM(C8:C13)</f>
        <v>0</v>
      </c>
      <c r="D7" s="3041">
        <f>SUM(D8:D13)</f>
        <v>0</v>
      </c>
      <c r="E7" s="4671"/>
      <c r="F7" s="3042"/>
      <c r="G7" s="3043">
        <f>SUM(G8:G13)</f>
        <v>0</v>
      </c>
    </row>
    <row r="8" spans="1:7" ht="15">
      <c r="A8" s="4670"/>
      <c r="B8" s="3044" t="s">
        <v>28</v>
      </c>
      <c r="C8" s="3045"/>
      <c r="D8" s="3046">
        <f>C8+G8</f>
        <v>0</v>
      </c>
      <c r="E8" s="4671"/>
      <c r="F8" s="3047" t="s">
        <v>28</v>
      </c>
      <c r="G8" s="3048"/>
    </row>
    <row r="9" spans="1:7" ht="15">
      <c r="A9" s="4670"/>
      <c r="B9" s="3044" t="s">
        <v>1322</v>
      </c>
      <c r="C9" s="3045"/>
      <c r="D9" s="3046">
        <f t="shared" ref="D9:D13" si="0">C9+G9</f>
        <v>0</v>
      </c>
      <c r="E9" s="4671"/>
      <c r="F9" s="3047" t="s">
        <v>1322</v>
      </c>
      <c r="G9" s="3048"/>
    </row>
    <row r="10" spans="1:7" ht="15">
      <c r="A10" s="4670"/>
      <c r="B10" s="3692" t="s">
        <v>4640</v>
      </c>
      <c r="C10" s="3689"/>
      <c r="D10" s="3046"/>
      <c r="E10" s="4671"/>
      <c r="F10" s="3690"/>
      <c r="G10" s="3691"/>
    </row>
    <row r="11" spans="1:7" ht="15">
      <c r="A11" s="4670"/>
      <c r="B11" s="3049" t="s">
        <v>2872</v>
      </c>
      <c r="C11" s="3050"/>
      <c r="D11" s="3046">
        <f t="shared" si="0"/>
        <v>0</v>
      </c>
      <c r="E11" s="4671"/>
      <c r="F11" s="3051" t="s">
        <v>2872</v>
      </c>
      <c r="G11" s="3048"/>
    </row>
    <row r="12" spans="1:7" ht="15">
      <c r="A12" s="4670"/>
      <c r="B12" s="3049" t="s">
        <v>238</v>
      </c>
      <c r="C12" s="3050"/>
      <c r="D12" s="3046">
        <f t="shared" si="0"/>
        <v>0</v>
      </c>
      <c r="E12" s="4671"/>
      <c r="F12" s="3051" t="s">
        <v>238</v>
      </c>
      <c r="G12" s="3048"/>
    </row>
    <row r="13" spans="1:7" ht="15">
      <c r="A13" s="4670"/>
      <c r="B13" s="3049" t="s">
        <v>2996</v>
      </c>
      <c r="C13" s="3050"/>
      <c r="D13" s="3046">
        <f t="shared" si="0"/>
        <v>0</v>
      </c>
      <c r="E13" s="4671"/>
      <c r="F13" s="3051" t="s">
        <v>2996</v>
      </c>
      <c r="G13" s="3048"/>
    </row>
  </sheetData>
  <mergeCells count="11">
    <mergeCell ref="F4:G4"/>
    <mergeCell ref="A7:A13"/>
    <mergeCell ref="E7:E13"/>
    <mergeCell ref="A1:G1"/>
    <mergeCell ref="A2:C2"/>
    <mergeCell ref="D2:D6"/>
    <mergeCell ref="E2:G2"/>
    <mergeCell ref="A3:A4"/>
    <mergeCell ref="C3:C4"/>
    <mergeCell ref="E3:E4"/>
    <mergeCell ref="F3:G3"/>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775"/>
  <sheetViews>
    <sheetView topLeftCell="A740" zoomScaleNormal="100" workbookViewId="0">
      <selection activeCell="F755" sqref="F755:I755"/>
    </sheetView>
  </sheetViews>
  <sheetFormatPr defaultColWidth="8.85546875" defaultRowHeight="12.75"/>
  <cols>
    <col min="1" max="1" width="0.85546875" customWidth="1"/>
    <col min="2" max="2" width="8.85546875" hidden="1" customWidth="1"/>
    <col min="3" max="3" width="41.85546875" customWidth="1"/>
    <col min="4" max="4" width="8.85546875" hidden="1" customWidth="1"/>
    <col min="5" max="5" width="12.85546875" customWidth="1"/>
    <col min="6" max="8" width="24.85546875" customWidth="1"/>
    <col min="9" max="9" width="26" customWidth="1"/>
    <col min="10" max="27" width="24.85546875" customWidth="1"/>
  </cols>
  <sheetData>
    <row r="2" spans="2:27" ht="29.85" customHeight="1">
      <c r="B2" s="3331"/>
      <c r="C2" s="4687" t="s">
        <v>3824</v>
      </c>
      <c r="D2" s="4687"/>
      <c r="E2" s="4687"/>
      <c r="F2" s="4687"/>
      <c r="G2" s="4687"/>
      <c r="H2" s="4687"/>
      <c r="I2" s="4687"/>
      <c r="J2" s="4687"/>
      <c r="K2" s="4687"/>
      <c r="L2" s="4687"/>
      <c r="M2" s="4687"/>
      <c r="N2" s="4687"/>
      <c r="O2" s="4687"/>
      <c r="P2" s="4687"/>
      <c r="Q2" s="4687"/>
      <c r="R2" s="4687"/>
      <c r="S2" s="4687"/>
      <c r="T2" s="4687"/>
      <c r="U2" s="4687"/>
      <c r="V2" s="4687"/>
      <c r="W2" s="4687"/>
      <c r="X2" s="4687"/>
      <c r="Y2" s="4687"/>
      <c r="Z2" s="4687"/>
      <c r="AA2" s="4687"/>
    </row>
    <row r="3" spans="2:27" ht="15.75">
      <c r="B3" s="3331"/>
      <c r="C3" s="3332" t="s">
        <v>445</v>
      </c>
      <c r="D3" s="3331"/>
      <c r="E3" s="3333" t="str">
        <f>'Шаблон 46 ГП'!A8</f>
        <v>Май 2026 год</v>
      </c>
      <c r="F3" s="3331"/>
      <c r="G3" s="3331"/>
      <c r="H3" s="3331"/>
      <c r="I3" s="3331"/>
      <c r="J3" s="3331"/>
      <c r="K3" s="3331"/>
      <c r="L3" s="3331"/>
      <c r="M3" s="3331"/>
      <c r="N3" s="3331"/>
      <c r="O3" s="3331"/>
      <c r="P3" s="3331"/>
      <c r="Q3" s="3331"/>
      <c r="R3" s="3331"/>
      <c r="S3" s="3331"/>
      <c r="T3" s="3331"/>
      <c r="U3" s="3331"/>
      <c r="V3" s="3331"/>
      <c r="W3" s="3331"/>
      <c r="X3" s="3331"/>
      <c r="Y3" s="3331"/>
      <c r="Z3" s="3331"/>
      <c r="AA3" s="3331"/>
    </row>
    <row r="4" spans="2:27" ht="15.75">
      <c r="B4" s="3331"/>
      <c r="C4" s="3332" t="s">
        <v>3825</v>
      </c>
      <c r="D4" s="3331"/>
      <c r="E4" s="3334" t="s">
        <v>3826</v>
      </c>
      <c r="F4" s="3335" t="s">
        <v>3827</v>
      </c>
      <c r="G4" s="3331"/>
      <c r="H4" s="3331"/>
      <c r="I4" s="3331"/>
      <c r="J4" s="3331"/>
      <c r="K4" s="3331"/>
      <c r="L4" s="3331"/>
      <c r="M4" s="3331"/>
      <c r="N4" s="3331"/>
      <c r="O4" s="3331"/>
      <c r="P4" s="3331"/>
      <c r="Q4" s="3331"/>
      <c r="R4" s="3331"/>
      <c r="S4" s="3331"/>
      <c r="T4" s="3331"/>
      <c r="U4" s="3331"/>
      <c r="V4" s="3331"/>
      <c r="W4" s="3331"/>
      <c r="X4" s="3331"/>
      <c r="Y4" s="3331"/>
      <c r="Z4" s="3331"/>
      <c r="AA4" s="3331"/>
    </row>
    <row r="5" spans="2:27" ht="26.1" customHeight="1">
      <c r="B5" s="3331"/>
      <c r="C5" s="4686" t="s">
        <v>3828</v>
      </c>
      <c r="D5" s="4686"/>
      <c r="E5" s="4686"/>
      <c r="F5" s="4686"/>
      <c r="G5" s="4686"/>
      <c r="H5" s="4686"/>
      <c r="I5" s="4686"/>
      <c r="J5" s="4686"/>
      <c r="K5" s="4686"/>
      <c r="L5" s="4686"/>
      <c r="M5" s="4686"/>
      <c r="N5" s="4686"/>
      <c r="O5" s="4686"/>
      <c r="P5" s="4686"/>
      <c r="Q5" s="4686"/>
      <c r="R5" s="4686"/>
      <c r="S5" s="4686"/>
      <c r="T5" s="4686"/>
      <c r="U5" s="4686"/>
      <c r="V5" s="4686"/>
      <c r="W5" s="4686"/>
      <c r="X5" s="4686"/>
      <c r="Y5" s="4686"/>
      <c r="Z5" s="4686"/>
      <c r="AA5" s="4686"/>
    </row>
    <row r="6" spans="2:27" s="3336" customFormat="1" ht="8.25"/>
    <row r="7" spans="2:27" s="3336" customFormat="1" ht="8.25"/>
    <row r="8" spans="2:27" s="3336" customFormat="1" ht="9" thickBot="1"/>
    <row r="9" spans="2:27" s="3338" customFormat="1" ht="32.25" thickBot="1">
      <c r="B9" s="3337"/>
      <c r="C9" s="3337" t="s">
        <v>746</v>
      </c>
      <c r="D9" s="3337"/>
      <c r="E9" s="3337" t="s">
        <v>3829</v>
      </c>
      <c r="F9" s="3337" t="s">
        <v>3830</v>
      </c>
    </row>
    <row r="10" spans="2:27" s="3340" customFormat="1" thickBot="1">
      <c r="B10" s="3339"/>
      <c r="C10" s="3339"/>
      <c r="D10" s="3339"/>
      <c r="E10" s="3339"/>
      <c r="F10" s="3339" t="s">
        <v>3831</v>
      </c>
    </row>
    <row r="11" spans="2:27" ht="48" thickBot="1">
      <c r="B11" s="3341"/>
      <c r="C11" s="3342" t="s">
        <v>3832</v>
      </c>
      <c r="D11" s="3341"/>
      <c r="E11" s="3343">
        <v>25</v>
      </c>
      <c r="F11" s="3344" t="s">
        <v>3833</v>
      </c>
      <c r="G11" s="3331"/>
      <c r="H11" s="3331"/>
      <c r="I11" s="3331"/>
      <c r="J11" s="3331"/>
      <c r="K11" s="3331"/>
      <c r="L11" s="3331"/>
      <c r="M11" s="3331"/>
      <c r="N11" s="3331"/>
      <c r="O11" s="3331"/>
      <c r="P11" s="3331"/>
      <c r="Q11" s="3331"/>
      <c r="R11" s="3331"/>
      <c r="S11" s="3331"/>
      <c r="T11" s="3331"/>
      <c r="U11" s="3331"/>
      <c r="V11" s="3331"/>
      <c r="W11" s="3331"/>
      <c r="X11" s="3331"/>
      <c r="Y11" s="3331"/>
      <c r="Z11" s="3331"/>
      <c r="AA11" s="3331"/>
    </row>
    <row r="12" spans="2:27" ht="14.25">
      <c r="B12" s="3345"/>
      <c r="C12" s="3345"/>
      <c r="D12" s="3345"/>
      <c r="E12" s="3345"/>
      <c r="F12" s="3345"/>
      <c r="G12" s="3331"/>
      <c r="H12" s="3331"/>
      <c r="I12" s="3331"/>
      <c r="J12" s="3331"/>
      <c r="K12" s="3331"/>
      <c r="L12" s="3331"/>
      <c r="M12" s="3331"/>
      <c r="N12" s="3331"/>
      <c r="O12" s="3331"/>
      <c r="P12" s="3331"/>
      <c r="Q12" s="3331"/>
      <c r="R12" s="3331"/>
      <c r="S12" s="3331"/>
      <c r="T12" s="3331"/>
      <c r="U12" s="3331"/>
      <c r="V12" s="3331"/>
      <c r="W12" s="3331"/>
      <c r="X12" s="3331"/>
      <c r="Y12" s="3331"/>
      <c r="Z12" s="3331"/>
      <c r="AA12" s="3331"/>
    </row>
    <row r="15" spans="2:27" ht="26.1" customHeight="1">
      <c r="B15" s="3331"/>
      <c r="C15" s="4686" t="s">
        <v>3834</v>
      </c>
      <c r="D15" s="4686"/>
      <c r="E15" s="4686"/>
      <c r="F15" s="4686"/>
      <c r="G15" s="4686"/>
      <c r="H15" s="4686"/>
      <c r="I15" s="4686"/>
      <c r="J15" s="4686"/>
      <c r="K15" s="4686"/>
      <c r="L15" s="4686"/>
      <c r="M15" s="4686"/>
      <c r="N15" s="4686"/>
      <c r="O15" s="4686"/>
      <c r="P15" s="4686"/>
      <c r="Q15" s="4686"/>
      <c r="R15" s="4686"/>
      <c r="S15" s="4686"/>
      <c r="T15" s="4686"/>
      <c r="U15" s="4686"/>
      <c r="V15" s="4686"/>
      <c r="W15" s="4686"/>
      <c r="X15" s="4686"/>
      <c r="Y15" s="4686"/>
      <c r="Z15" s="4686"/>
      <c r="AA15" s="4686"/>
    </row>
    <row r="16" spans="2:27" s="3336" customFormat="1" ht="8.25"/>
    <row r="17" spans="2:6" s="3336" customFormat="1" ht="8.25"/>
    <row r="18" spans="2:6" s="3336" customFormat="1" ht="9" thickBot="1"/>
    <row r="19" spans="2:6" s="3338" customFormat="1" ht="16.5" thickBot="1">
      <c r="B19" s="3337"/>
      <c r="C19" s="3337" t="s">
        <v>746</v>
      </c>
      <c r="D19" s="3337"/>
      <c r="E19" s="3337" t="s">
        <v>3829</v>
      </c>
      <c r="F19" s="3337" t="s">
        <v>3835</v>
      </c>
    </row>
    <row r="20" spans="2:6" s="3340" customFormat="1" thickBot="1">
      <c r="B20" s="3339"/>
      <c r="C20" s="3339"/>
      <c r="D20" s="3339"/>
      <c r="E20" s="3339"/>
      <c r="F20" s="3339" t="s">
        <v>3831</v>
      </c>
    </row>
    <row r="21" spans="2:6" ht="108">
      <c r="B21" s="3346"/>
      <c r="C21" s="3347" t="s">
        <v>3836</v>
      </c>
      <c r="D21" s="3346"/>
      <c r="E21" s="3348">
        <v>1</v>
      </c>
      <c r="F21" s="3349" t="s">
        <v>3837</v>
      </c>
    </row>
    <row r="22" spans="2:6" ht="47.25">
      <c r="B22" s="3350"/>
      <c r="C22" s="3351" t="s">
        <v>3838</v>
      </c>
      <c r="D22" s="3350"/>
      <c r="E22" s="3352">
        <v>11</v>
      </c>
      <c r="F22" s="3353" t="s">
        <v>1779</v>
      </c>
    </row>
    <row r="23" spans="2:6" ht="108.75" thickBot="1">
      <c r="B23" s="3354"/>
      <c r="C23" s="3355" t="s">
        <v>3839</v>
      </c>
      <c r="D23" s="3354"/>
      <c r="E23" s="3356">
        <v>2</v>
      </c>
      <c r="F23" s="3357" t="s">
        <v>3840</v>
      </c>
    </row>
    <row r="24" spans="2:6" s="3359" customFormat="1" ht="15" hidden="1" customHeight="1">
      <c r="B24" s="3358"/>
      <c r="C24" s="3358"/>
      <c r="D24" s="3358"/>
      <c r="E24" s="3358"/>
      <c r="F24" s="3358"/>
    </row>
    <row r="25" spans="2:6" s="3359" customFormat="1" ht="15" hidden="1" customHeight="1"/>
    <row r="26" spans="2:6" s="3359" customFormat="1" ht="15" hidden="1" customHeight="1"/>
    <row r="27" spans="2:6" s="3359" customFormat="1" ht="17.649999999999999" hidden="1" customHeight="1">
      <c r="C27" s="3360" t="s">
        <v>3841</v>
      </c>
    </row>
    <row r="28" spans="2:6" s="3361" customFormat="1" ht="15" hidden="1" customHeight="1"/>
    <row r="29" spans="2:6" s="3361" customFormat="1" ht="15" hidden="1" customHeight="1"/>
    <row r="30" spans="2:6" s="3361" customFormat="1" ht="15" hidden="1" customHeight="1"/>
    <row r="31" spans="2:6" s="3363" customFormat="1" ht="15" hidden="1" customHeight="1">
      <c r="B31" s="3362"/>
      <c r="C31" s="3362" t="s">
        <v>746</v>
      </c>
      <c r="D31" s="3362"/>
      <c r="E31" s="3362" t="s">
        <v>3829</v>
      </c>
      <c r="F31" s="3362" t="s">
        <v>3835</v>
      </c>
    </row>
    <row r="32" spans="2:6" s="3365" customFormat="1" ht="15" hidden="1" customHeight="1">
      <c r="B32" s="3364"/>
      <c r="C32" s="3364"/>
      <c r="D32" s="3364"/>
      <c r="E32" s="3364"/>
      <c r="F32" s="3364" t="s">
        <v>3831</v>
      </c>
    </row>
    <row r="33" spans="2:6" ht="32.25" thickBot="1">
      <c r="B33" s="3341"/>
      <c r="C33" s="3342" t="s">
        <v>3842</v>
      </c>
      <c r="D33" s="3341"/>
      <c r="E33" s="3343">
        <v>3</v>
      </c>
      <c r="F33" s="3366" t="s">
        <v>3843</v>
      </c>
    </row>
    <row r="34" spans="2:6" s="3359" customFormat="1" ht="15" hidden="1" customHeight="1">
      <c r="B34" s="3358"/>
      <c r="C34" s="3358"/>
      <c r="D34" s="3358"/>
      <c r="E34" s="3358"/>
      <c r="F34" s="3358"/>
    </row>
    <row r="35" spans="2:6" s="3359" customFormat="1" ht="15" hidden="1" customHeight="1"/>
    <row r="36" spans="2:6" s="3359" customFormat="1" ht="15" hidden="1" customHeight="1"/>
    <row r="37" spans="2:6" s="3359" customFormat="1" ht="17.649999999999999" hidden="1" customHeight="1">
      <c r="C37" s="3360" t="s">
        <v>3844</v>
      </c>
    </row>
    <row r="38" spans="2:6" s="3361" customFormat="1" ht="15" hidden="1" customHeight="1"/>
    <row r="39" spans="2:6" s="3361" customFormat="1" ht="15" hidden="1" customHeight="1"/>
    <row r="40" spans="2:6" s="3361" customFormat="1" ht="15" hidden="1" customHeight="1"/>
    <row r="41" spans="2:6" s="3363" customFormat="1" ht="15" hidden="1" customHeight="1">
      <c r="B41" s="3362"/>
      <c r="C41" s="3362" t="s">
        <v>746</v>
      </c>
      <c r="D41" s="3362"/>
      <c r="E41" s="3362" t="s">
        <v>3829</v>
      </c>
      <c r="F41" s="3362" t="s">
        <v>3835</v>
      </c>
    </row>
    <row r="42" spans="2:6" s="3365" customFormat="1" ht="15" hidden="1" customHeight="1">
      <c r="B42" s="3364"/>
      <c r="C42" s="3364"/>
      <c r="D42" s="3364"/>
      <c r="E42" s="3364"/>
      <c r="F42" s="3364" t="s">
        <v>3831</v>
      </c>
    </row>
    <row r="43" spans="2:6" ht="32.25" thickBot="1">
      <c r="B43" s="3341"/>
      <c r="C43" s="3342" t="s">
        <v>3845</v>
      </c>
      <c r="D43" s="3341"/>
      <c r="E43" s="3343">
        <v>4</v>
      </c>
      <c r="F43" s="3366" t="s">
        <v>453</v>
      </c>
    </row>
    <row r="44" spans="2:6" s="3359" customFormat="1" ht="15" hidden="1" customHeight="1">
      <c r="B44" s="3358"/>
      <c r="C44" s="3358"/>
      <c r="D44" s="3358"/>
      <c r="E44" s="3358"/>
      <c r="F44" s="3358"/>
    </row>
    <row r="45" spans="2:6" s="3359" customFormat="1" ht="15" hidden="1" customHeight="1"/>
    <row r="46" spans="2:6" s="3359" customFormat="1" ht="15" hidden="1" customHeight="1"/>
    <row r="47" spans="2:6" s="3359" customFormat="1" ht="17.649999999999999" hidden="1" customHeight="1">
      <c r="C47" s="3360" t="s">
        <v>3846</v>
      </c>
    </row>
    <row r="48" spans="2:6" s="3361" customFormat="1" ht="15" hidden="1" customHeight="1"/>
    <row r="49" spans="2:27" s="3361" customFormat="1" ht="15" hidden="1" customHeight="1"/>
    <row r="50" spans="2:27" s="3361" customFormat="1" ht="15" hidden="1" customHeight="1"/>
    <row r="51" spans="2:27" s="3363" customFormat="1" ht="15" hidden="1" customHeight="1">
      <c r="B51" s="3362"/>
      <c r="C51" s="3362" t="s">
        <v>746</v>
      </c>
      <c r="D51" s="3362"/>
      <c r="E51" s="3362" t="s">
        <v>3829</v>
      </c>
      <c r="F51" s="3362" t="s">
        <v>3835</v>
      </c>
    </row>
    <row r="52" spans="2:27" s="3365" customFormat="1" ht="15" hidden="1" customHeight="1">
      <c r="B52" s="3364"/>
      <c r="C52" s="3364"/>
      <c r="D52" s="3364"/>
      <c r="E52" s="3364"/>
      <c r="F52" s="3364" t="s">
        <v>3831</v>
      </c>
    </row>
    <row r="53" spans="2:27" ht="32.25" thickBot="1">
      <c r="B53" s="3341"/>
      <c r="C53" s="3342" t="s">
        <v>3847</v>
      </c>
      <c r="D53" s="3341"/>
      <c r="E53" s="3343">
        <v>5</v>
      </c>
      <c r="F53" s="3366" t="s">
        <v>3848</v>
      </c>
      <c r="G53" s="3331"/>
      <c r="H53" s="3331"/>
      <c r="I53" s="3331"/>
      <c r="J53" s="3331"/>
      <c r="K53" s="3331"/>
      <c r="L53" s="3331"/>
      <c r="M53" s="3331"/>
      <c r="N53" s="3331"/>
      <c r="O53" s="3331"/>
      <c r="P53" s="3331"/>
      <c r="Q53" s="3331"/>
      <c r="R53" s="3331"/>
      <c r="S53" s="3331"/>
      <c r="T53" s="3331"/>
      <c r="U53" s="3331"/>
      <c r="V53" s="3331"/>
      <c r="W53" s="3331"/>
      <c r="X53" s="3331"/>
      <c r="Y53" s="3331"/>
      <c r="Z53" s="3331"/>
      <c r="AA53" s="3331"/>
    </row>
    <row r="54" spans="2:27" ht="14.25">
      <c r="B54" s="3345"/>
      <c r="C54" s="3345"/>
      <c r="D54" s="3345"/>
      <c r="E54" s="3345"/>
      <c r="F54" s="3345"/>
      <c r="G54" s="3331"/>
      <c r="H54" s="3331"/>
      <c r="I54" s="3331"/>
      <c r="J54" s="3331"/>
      <c r="K54" s="3331"/>
      <c r="L54" s="3331"/>
      <c r="M54" s="3331"/>
      <c r="N54" s="3331"/>
      <c r="O54" s="3331"/>
      <c r="P54" s="3331"/>
      <c r="Q54" s="3331"/>
      <c r="R54" s="3331"/>
      <c r="S54" s="3331"/>
      <c r="T54" s="3331"/>
      <c r="U54" s="3331"/>
      <c r="V54" s="3331"/>
      <c r="W54" s="3331"/>
      <c r="X54" s="3331"/>
      <c r="Y54" s="3331"/>
      <c r="Z54" s="3331"/>
      <c r="AA54" s="3331"/>
    </row>
    <row r="57" spans="2:27" ht="26.1" customHeight="1">
      <c r="B57" s="3331"/>
      <c r="C57" s="4686" t="s">
        <v>3849</v>
      </c>
      <c r="D57" s="4686"/>
      <c r="E57" s="4686"/>
      <c r="F57" s="4686"/>
      <c r="G57" s="4686"/>
      <c r="H57" s="4686"/>
      <c r="I57" s="4686"/>
      <c r="J57" s="4686"/>
      <c r="K57" s="4686"/>
      <c r="L57" s="4686"/>
      <c r="M57" s="4686"/>
      <c r="N57" s="4686"/>
      <c r="O57" s="4686"/>
      <c r="P57" s="4686"/>
      <c r="Q57" s="4686"/>
      <c r="R57" s="4686"/>
      <c r="S57" s="4686"/>
      <c r="T57" s="4686"/>
      <c r="U57" s="4686"/>
      <c r="V57" s="4686"/>
      <c r="W57" s="4686"/>
      <c r="X57" s="4686"/>
      <c r="Y57" s="4686"/>
      <c r="Z57" s="4686"/>
      <c r="AA57" s="4686"/>
    </row>
    <row r="58" spans="2:27" s="3336" customFormat="1" ht="8.25"/>
    <row r="59" spans="2:27" s="3336" customFormat="1" ht="8.25"/>
    <row r="60" spans="2:27" s="3336" customFormat="1" ht="9" thickBot="1"/>
    <row r="61" spans="2:27" s="3338" customFormat="1" ht="158.25" thickBot="1">
      <c r="B61" s="3337"/>
      <c r="C61" s="3337" t="s">
        <v>3850</v>
      </c>
      <c r="D61" s="3337"/>
      <c r="E61" s="3337" t="s">
        <v>3829</v>
      </c>
      <c r="F61" s="3337" t="s">
        <v>3851</v>
      </c>
      <c r="G61" s="3337" t="s">
        <v>3852</v>
      </c>
      <c r="H61" s="3337" t="s">
        <v>3853</v>
      </c>
      <c r="I61" s="3337" t="s">
        <v>3854</v>
      </c>
      <c r="J61" s="3337" t="s">
        <v>3855</v>
      </c>
      <c r="K61" s="3337" t="s">
        <v>3856</v>
      </c>
      <c r="L61" s="3337" t="s">
        <v>3857</v>
      </c>
      <c r="M61" s="3337" t="s">
        <v>3858</v>
      </c>
      <c r="N61" s="3337" t="s">
        <v>3859</v>
      </c>
      <c r="O61" s="3337" t="s">
        <v>3860</v>
      </c>
      <c r="P61" s="3337" t="s">
        <v>3861</v>
      </c>
      <c r="Q61" s="3337" t="s">
        <v>3862</v>
      </c>
      <c r="R61" s="3337" t="s">
        <v>3863</v>
      </c>
      <c r="S61" s="3337" t="s">
        <v>3864</v>
      </c>
      <c r="T61" s="3337" t="s">
        <v>3865</v>
      </c>
      <c r="U61" s="3337" t="s">
        <v>3866</v>
      </c>
      <c r="V61" s="3337" t="s">
        <v>3867</v>
      </c>
      <c r="W61" s="3337" t="s">
        <v>3868</v>
      </c>
      <c r="X61" s="3337" t="s">
        <v>3869</v>
      </c>
      <c r="Y61" s="3337" t="s">
        <v>3870</v>
      </c>
      <c r="Z61" s="3337" t="s">
        <v>3871</v>
      </c>
      <c r="AA61" s="3337" t="s">
        <v>3872</v>
      </c>
    </row>
    <row r="62" spans="2:27" s="3340" customFormat="1" thickBot="1">
      <c r="B62" s="3339"/>
      <c r="C62" s="3339"/>
      <c r="D62" s="3339"/>
      <c r="E62" s="3339"/>
      <c r="F62" s="3339" t="s">
        <v>3831</v>
      </c>
      <c r="G62" s="3339" t="s">
        <v>3873</v>
      </c>
      <c r="H62" s="3339" t="s">
        <v>3874</v>
      </c>
      <c r="I62" s="3339" t="s">
        <v>3875</v>
      </c>
      <c r="J62" s="3339" t="s">
        <v>3876</v>
      </c>
      <c r="K62" s="3339" t="s">
        <v>3877</v>
      </c>
      <c r="L62" s="3339" t="s">
        <v>3878</v>
      </c>
      <c r="M62" s="3339" t="s">
        <v>3879</v>
      </c>
      <c r="N62" s="3339" t="s">
        <v>3880</v>
      </c>
      <c r="O62" s="3339" t="s">
        <v>3881</v>
      </c>
      <c r="P62" s="3339" t="s">
        <v>3882</v>
      </c>
      <c r="Q62" s="3339" t="s">
        <v>3883</v>
      </c>
      <c r="R62" s="3339" t="s">
        <v>3884</v>
      </c>
      <c r="S62" s="3339" t="s">
        <v>3885</v>
      </c>
      <c r="T62" s="3339" t="s">
        <v>3886</v>
      </c>
      <c r="U62" s="3339" t="s">
        <v>3887</v>
      </c>
      <c r="V62" s="3339" t="s">
        <v>3888</v>
      </c>
      <c r="W62" s="3339" t="s">
        <v>3889</v>
      </c>
      <c r="X62" s="3339" t="s">
        <v>3890</v>
      </c>
      <c r="Y62" s="3339" t="s">
        <v>3891</v>
      </c>
      <c r="Z62" s="3339" t="s">
        <v>3892</v>
      </c>
      <c r="AA62" s="3339" t="s">
        <v>3893</v>
      </c>
    </row>
    <row r="63" spans="2:27" ht="47.25">
      <c r="B63" s="3346"/>
      <c r="C63" s="3347" t="s">
        <v>3894</v>
      </c>
      <c r="D63" s="3346"/>
      <c r="E63" s="3348">
        <v>10100</v>
      </c>
      <c r="F63" s="3367">
        <f>'Раздел 2А'!F46</f>
        <v>122.85300000000001</v>
      </c>
      <c r="G63" s="3368">
        <f>ROUND('Раздел 2А'!M46/1.2,5)</f>
        <v>1057.2741699999999</v>
      </c>
      <c r="H63" s="3369">
        <f>IF(F63=0,0,G63/F63)</f>
        <v>8.6060101910413245</v>
      </c>
      <c r="I63" s="3370"/>
      <c r="J63" s="3371"/>
      <c r="K63" s="3369">
        <f>IF(I63=0,0,J63/I63)</f>
        <v>0</v>
      </c>
      <c r="L63" s="3372"/>
      <c r="M63" s="3368"/>
      <c r="N63" s="3369">
        <f>IF(L63=0,0,M63/L63)</f>
        <v>0</v>
      </c>
      <c r="O63" s="3370"/>
      <c r="P63" s="3371"/>
      <c r="Q63" s="3369">
        <f>IF(O63=0,0,P63/O63)</f>
        <v>0</v>
      </c>
      <c r="R63" s="3372"/>
      <c r="S63" s="3368"/>
      <c r="T63" s="3369">
        <f>IF(R63=0,0,S63/R63)</f>
        <v>0</v>
      </c>
      <c r="U63" s="3373"/>
      <c r="V63" s="3374"/>
      <c r="W63" s="3369">
        <f>IF(U63=0,0,V63/U63)</f>
        <v>0</v>
      </c>
      <c r="X63" s="3370"/>
      <c r="Y63" s="3375">
        <f>Y65</f>
        <v>0</v>
      </c>
      <c r="Z63" s="3375"/>
      <c r="AA63" s="3376"/>
    </row>
    <row r="64" spans="2:27" ht="18">
      <c r="B64" s="3350"/>
      <c r="C64" s="3351" t="s">
        <v>512</v>
      </c>
      <c r="D64" s="3350"/>
      <c r="E64" s="3352"/>
      <c r="F64" s="3377"/>
      <c r="G64" s="3378"/>
      <c r="H64" s="3378"/>
      <c r="I64" s="3379"/>
      <c r="J64" s="3378"/>
      <c r="K64" s="3378"/>
      <c r="L64" s="3379"/>
      <c r="M64" s="3378"/>
      <c r="N64" s="3378"/>
      <c r="O64" s="3379"/>
      <c r="P64" s="3378"/>
      <c r="Q64" s="3378"/>
      <c r="R64" s="3379"/>
      <c r="S64" s="3378"/>
      <c r="T64" s="3378"/>
      <c r="U64" s="3379"/>
      <c r="V64" s="3378"/>
      <c r="W64" s="3378"/>
      <c r="X64" s="3379"/>
      <c r="Y64" s="3379"/>
      <c r="Z64" s="3379"/>
      <c r="AA64" s="3380"/>
    </row>
    <row r="65" spans="2:27" ht="18">
      <c r="B65" s="3350"/>
      <c r="C65" s="3351" t="s">
        <v>3895</v>
      </c>
      <c r="D65" s="3350"/>
      <c r="E65" s="3352">
        <v>10101</v>
      </c>
      <c r="F65" s="3381">
        <f>F63</f>
        <v>122.85300000000001</v>
      </c>
      <c r="G65" s="3382">
        <f>G63</f>
        <v>1057.2741699999999</v>
      </c>
      <c r="H65" s="3383">
        <f t="shared" ref="H65:H67" si="0">IF(F65=0,0,G65/F65)</f>
        <v>8.6060101910413245</v>
      </c>
      <c r="I65" s="3384"/>
      <c r="J65" s="3385"/>
      <c r="K65" s="3383">
        <f t="shared" ref="K65:K67" si="1">IF(I65=0,0,J65/I65)</f>
        <v>0</v>
      </c>
      <c r="L65" s="3386"/>
      <c r="M65" s="3387"/>
      <c r="N65" s="3383">
        <f t="shared" ref="N65:N67" si="2">IF(L65=0,0,M65/L65)</f>
        <v>0</v>
      </c>
      <c r="O65" s="3388"/>
      <c r="P65" s="3389"/>
      <c r="Q65" s="3383">
        <f t="shared" ref="Q65:Q67" si="3">IF(O65=0,0,P65/O65)</f>
        <v>0</v>
      </c>
      <c r="R65" s="3386"/>
      <c r="S65" s="3387"/>
      <c r="T65" s="3383">
        <f t="shared" ref="T65:T67" si="4">IF(R65=0,0,S65/R65)</f>
        <v>0</v>
      </c>
      <c r="U65" s="3388"/>
      <c r="V65" s="3389"/>
      <c r="W65" s="3383">
        <f t="shared" ref="W65:W67" si="5">IF(U65=0,0,V65/U65)</f>
        <v>0</v>
      </c>
      <c r="X65" s="3384"/>
      <c r="Y65" s="3390"/>
      <c r="Z65" s="3386"/>
      <c r="AA65" s="3391"/>
    </row>
    <row r="66" spans="2:27" ht="18">
      <c r="B66" s="3350"/>
      <c r="C66" s="3351" t="s">
        <v>3896</v>
      </c>
      <c r="D66" s="3350"/>
      <c r="E66" s="3352">
        <v>10150</v>
      </c>
      <c r="F66" s="3381"/>
      <c r="G66" s="3382"/>
      <c r="H66" s="3383">
        <f t="shared" si="0"/>
        <v>0</v>
      </c>
      <c r="I66" s="3388"/>
      <c r="J66" s="3389"/>
      <c r="K66" s="3383">
        <f t="shared" si="1"/>
        <v>0</v>
      </c>
      <c r="L66" s="3386"/>
      <c r="M66" s="3387"/>
      <c r="N66" s="3383">
        <f t="shared" si="2"/>
        <v>0</v>
      </c>
      <c r="O66" s="3388"/>
      <c r="P66" s="3389"/>
      <c r="Q66" s="3383">
        <f t="shared" si="3"/>
        <v>0</v>
      </c>
      <c r="R66" s="3386"/>
      <c r="S66" s="3387"/>
      <c r="T66" s="3383">
        <f t="shared" si="4"/>
        <v>0</v>
      </c>
      <c r="U66" s="3388"/>
      <c r="V66" s="3389"/>
      <c r="W66" s="3383">
        <f t="shared" si="5"/>
        <v>0</v>
      </c>
      <c r="X66" s="3388"/>
      <c r="Y66" s="3386"/>
      <c r="Z66" s="3386"/>
      <c r="AA66" s="3391"/>
    </row>
    <row r="67" spans="2:27" ht="31.5">
      <c r="B67" s="3350"/>
      <c r="C67" s="3351" t="s">
        <v>3897</v>
      </c>
      <c r="D67" s="3350"/>
      <c r="E67" s="3352">
        <v>10200</v>
      </c>
      <c r="F67" s="3381"/>
      <c r="G67" s="3382"/>
      <c r="H67" s="3383">
        <f t="shared" si="0"/>
        <v>0</v>
      </c>
      <c r="I67" s="3384"/>
      <c r="J67" s="3385"/>
      <c r="K67" s="3383">
        <f t="shared" si="1"/>
        <v>0</v>
      </c>
      <c r="L67" s="3390"/>
      <c r="M67" s="3382"/>
      <c r="N67" s="3383">
        <f t="shared" si="2"/>
        <v>0</v>
      </c>
      <c r="O67" s="3388"/>
      <c r="P67" s="3389"/>
      <c r="Q67" s="3383">
        <f t="shared" si="3"/>
        <v>0</v>
      </c>
      <c r="R67" s="3390"/>
      <c r="S67" s="3382"/>
      <c r="T67" s="3383">
        <f t="shared" si="4"/>
        <v>0</v>
      </c>
      <c r="U67" s="3384"/>
      <c r="V67" s="3385"/>
      <c r="W67" s="3383">
        <f t="shared" si="5"/>
        <v>0</v>
      </c>
      <c r="X67" s="3384"/>
      <c r="Y67" s="3386"/>
      <c r="Z67" s="3386"/>
      <c r="AA67" s="3391"/>
    </row>
    <row r="68" spans="2:27" ht="18">
      <c r="B68" s="3350"/>
      <c r="C68" s="3351" t="s">
        <v>512</v>
      </c>
      <c r="D68" s="3350"/>
      <c r="E68" s="3352"/>
      <c r="F68" s="3377"/>
      <c r="G68" s="3378"/>
      <c r="H68" s="3378"/>
      <c r="I68" s="3379"/>
      <c r="J68" s="3378"/>
      <c r="K68" s="3378"/>
      <c r="L68" s="3379"/>
      <c r="M68" s="3378"/>
      <c r="N68" s="3378"/>
      <c r="O68" s="3379"/>
      <c r="P68" s="3378"/>
      <c r="Q68" s="3378"/>
      <c r="R68" s="3379"/>
      <c r="S68" s="3378"/>
      <c r="T68" s="3378"/>
      <c r="U68" s="3379"/>
      <c r="V68" s="3378"/>
      <c r="W68" s="3378"/>
      <c r="X68" s="3379"/>
      <c r="Y68" s="3379"/>
      <c r="Z68" s="3379"/>
      <c r="AA68" s="3380"/>
    </row>
    <row r="69" spans="2:27" ht="18">
      <c r="B69" s="3350"/>
      <c r="C69" s="3351" t="s">
        <v>3898</v>
      </c>
      <c r="D69" s="3350"/>
      <c r="E69" s="3352">
        <v>10201</v>
      </c>
      <c r="F69" s="3381"/>
      <c r="G69" s="3382"/>
      <c r="H69" s="3383">
        <f t="shared" ref="H69:H72" si="6">IF(F69=0,0,G69/F69)</f>
        <v>0</v>
      </c>
      <c r="I69" s="3388"/>
      <c r="J69" s="3389"/>
      <c r="K69" s="3383">
        <f t="shared" ref="K69:K72" si="7">IF(I69=0,0,J69/I69)</f>
        <v>0</v>
      </c>
      <c r="L69" s="3386"/>
      <c r="M69" s="3387"/>
      <c r="N69" s="3383">
        <f t="shared" ref="N69:N72" si="8">IF(L69=0,0,M69/L69)</f>
        <v>0</v>
      </c>
      <c r="O69" s="3388"/>
      <c r="P69" s="3389"/>
      <c r="Q69" s="3383">
        <f t="shared" ref="Q69:Q72" si="9">IF(O69=0,0,P69/O69)</f>
        <v>0</v>
      </c>
      <c r="R69" s="3386"/>
      <c r="S69" s="3387"/>
      <c r="T69" s="3383">
        <f t="shared" ref="T69:T72" si="10">IF(R69=0,0,S69/R69)</f>
        <v>0</v>
      </c>
      <c r="U69" s="3388"/>
      <c r="V69" s="3389"/>
      <c r="W69" s="3383">
        <f t="shared" ref="W69:W72" si="11">IF(U69=0,0,V69/U69)</f>
        <v>0</v>
      </c>
      <c r="X69" s="3388"/>
      <c r="Y69" s="3386"/>
      <c r="Z69" s="3386"/>
      <c r="AA69" s="3391"/>
    </row>
    <row r="70" spans="2:27" ht="31.5">
      <c r="B70" s="3350"/>
      <c r="C70" s="3351" t="s">
        <v>3899</v>
      </c>
      <c r="D70" s="3350"/>
      <c r="E70" s="3352">
        <v>10202</v>
      </c>
      <c r="F70" s="3381"/>
      <c r="G70" s="3382"/>
      <c r="H70" s="3383">
        <f t="shared" si="6"/>
        <v>0</v>
      </c>
      <c r="I70" s="3384"/>
      <c r="J70" s="3385"/>
      <c r="K70" s="3383">
        <f t="shared" si="7"/>
        <v>0</v>
      </c>
      <c r="L70" s="3386"/>
      <c r="M70" s="3387"/>
      <c r="N70" s="3383">
        <f t="shared" si="8"/>
        <v>0</v>
      </c>
      <c r="O70" s="3388"/>
      <c r="P70" s="3389"/>
      <c r="Q70" s="3383">
        <f t="shared" si="9"/>
        <v>0</v>
      </c>
      <c r="R70" s="3386"/>
      <c r="S70" s="3387"/>
      <c r="T70" s="3383">
        <f t="shared" si="10"/>
        <v>0</v>
      </c>
      <c r="U70" s="3388"/>
      <c r="V70" s="3389"/>
      <c r="W70" s="3383">
        <f t="shared" si="11"/>
        <v>0</v>
      </c>
      <c r="X70" s="3384"/>
      <c r="Y70" s="3386"/>
      <c r="Z70" s="3386"/>
      <c r="AA70" s="3391"/>
    </row>
    <row r="71" spans="2:27" ht="31.5">
      <c r="B71" s="3350"/>
      <c r="C71" s="3351" t="s">
        <v>3900</v>
      </c>
      <c r="D71" s="3350"/>
      <c r="E71" s="3352">
        <v>10203</v>
      </c>
      <c r="F71" s="3381"/>
      <c r="G71" s="3382"/>
      <c r="H71" s="3383">
        <f t="shared" si="6"/>
        <v>0</v>
      </c>
      <c r="I71" s="3388"/>
      <c r="J71" s="3389"/>
      <c r="K71" s="3383">
        <f t="shared" si="7"/>
        <v>0</v>
      </c>
      <c r="L71" s="3386"/>
      <c r="M71" s="3387"/>
      <c r="N71" s="3383">
        <f t="shared" si="8"/>
        <v>0</v>
      </c>
      <c r="O71" s="3388"/>
      <c r="P71" s="3389"/>
      <c r="Q71" s="3383">
        <f t="shared" si="9"/>
        <v>0</v>
      </c>
      <c r="R71" s="3386"/>
      <c r="S71" s="3387"/>
      <c r="T71" s="3383">
        <f t="shared" si="10"/>
        <v>0</v>
      </c>
      <c r="U71" s="3388"/>
      <c r="V71" s="3389"/>
      <c r="W71" s="3383">
        <f t="shared" si="11"/>
        <v>0</v>
      </c>
      <c r="X71" s="3388"/>
      <c r="Y71" s="3386"/>
      <c r="Z71" s="3386"/>
      <c r="AA71" s="3391"/>
    </row>
    <row r="72" spans="2:27" ht="31.5">
      <c r="B72" s="3350"/>
      <c r="C72" s="3351" t="s">
        <v>3901</v>
      </c>
      <c r="D72" s="3350"/>
      <c r="E72" s="3352">
        <v>10300</v>
      </c>
      <c r="F72" s="3381"/>
      <c r="G72" s="3382"/>
      <c r="H72" s="3383">
        <f t="shared" si="6"/>
        <v>0</v>
      </c>
      <c r="I72" s="3384"/>
      <c r="J72" s="3385"/>
      <c r="K72" s="3383">
        <f t="shared" si="7"/>
        <v>0</v>
      </c>
      <c r="L72" s="3390"/>
      <c r="M72" s="3382"/>
      <c r="N72" s="3383">
        <f t="shared" si="8"/>
        <v>0</v>
      </c>
      <c r="O72" s="3384"/>
      <c r="P72" s="3385"/>
      <c r="Q72" s="3383">
        <f t="shared" si="9"/>
        <v>0</v>
      </c>
      <c r="R72" s="3390"/>
      <c r="S72" s="3382"/>
      <c r="T72" s="3383">
        <f t="shared" si="10"/>
        <v>0</v>
      </c>
      <c r="U72" s="3384"/>
      <c r="V72" s="3385"/>
      <c r="W72" s="3383">
        <f t="shared" si="11"/>
        <v>0</v>
      </c>
      <c r="X72" s="3384"/>
      <c r="Y72" s="3386"/>
      <c r="Z72" s="3386"/>
      <c r="AA72" s="3391"/>
    </row>
    <row r="73" spans="2:27" ht="18">
      <c r="B73" s="3350"/>
      <c r="C73" s="3351" t="s">
        <v>512</v>
      </c>
      <c r="D73" s="3350"/>
      <c r="E73" s="3352"/>
      <c r="F73" s="3377"/>
      <c r="G73" s="3378"/>
      <c r="H73" s="3378"/>
      <c r="I73" s="3379"/>
      <c r="J73" s="3378"/>
      <c r="K73" s="3378"/>
      <c r="L73" s="3379"/>
      <c r="M73" s="3378"/>
      <c r="N73" s="3378"/>
      <c r="O73" s="3379"/>
      <c r="P73" s="3378"/>
      <c r="Q73" s="3378"/>
      <c r="R73" s="3379"/>
      <c r="S73" s="3378"/>
      <c r="T73" s="3378"/>
      <c r="U73" s="3379"/>
      <c r="V73" s="3378"/>
      <c r="W73" s="3378"/>
      <c r="X73" s="3379"/>
      <c r="Y73" s="3379"/>
      <c r="Z73" s="3379"/>
      <c r="AA73" s="3380"/>
    </row>
    <row r="74" spans="2:27" ht="31.5">
      <c r="B74" s="3350"/>
      <c r="C74" s="3351" t="s">
        <v>3902</v>
      </c>
      <c r="D74" s="3350"/>
      <c r="E74" s="3352">
        <v>10301</v>
      </c>
      <c r="F74" s="3381"/>
      <c r="G74" s="3382"/>
      <c r="H74" s="3383">
        <f t="shared" ref="H74:H78" si="12">IF(F74=0,0,G74/F74)</f>
        <v>0</v>
      </c>
      <c r="I74" s="3388"/>
      <c r="J74" s="3389"/>
      <c r="K74" s="3383">
        <f t="shared" ref="K74:K78" si="13">IF(I74=0,0,J74/I74)</f>
        <v>0</v>
      </c>
      <c r="L74" s="3386"/>
      <c r="M74" s="3387"/>
      <c r="N74" s="3383">
        <f t="shared" ref="N74:N78" si="14">IF(L74=0,0,M74/L74)</f>
        <v>0</v>
      </c>
      <c r="O74" s="3388"/>
      <c r="P74" s="3389"/>
      <c r="Q74" s="3383">
        <f t="shared" ref="Q74:Q78" si="15">IF(O74=0,0,P74/O74)</f>
        <v>0</v>
      </c>
      <c r="R74" s="3386"/>
      <c r="S74" s="3387"/>
      <c r="T74" s="3383">
        <f t="shared" ref="T74:T78" si="16">IF(R74=0,0,S74/R74)</f>
        <v>0</v>
      </c>
      <c r="U74" s="3388"/>
      <c r="V74" s="3389"/>
      <c r="W74" s="3383">
        <f t="shared" ref="W74:W78" si="17">IF(U74=0,0,V74/U74)</f>
        <v>0</v>
      </c>
      <c r="X74" s="3388"/>
      <c r="Y74" s="3386"/>
      <c r="Z74" s="3386"/>
      <c r="AA74" s="3391"/>
    </row>
    <row r="75" spans="2:27" ht="31.5">
      <c r="B75" s="3350"/>
      <c r="C75" s="3351" t="s">
        <v>3903</v>
      </c>
      <c r="D75" s="3350"/>
      <c r="E75" s="3352">
        <v>10302</v>
      </c>
      <c r="F75" s="3381"/>
      <c r="G75" s="3382"/>
      <c r="H75" s="3383">
        <f t="shared" si="12"/>
        <v>0</v>
      </c>
      <c r="I75" s="3388"/>
      <c r="J75" s="3389"/>
      <c r="K75" s="3383">
        <f t="shared" si="13"/>
        <v>0</v>
      </c>
      <c r="L75" s="3386"/>
      <c r="M75" s="3387"/>
      <c r="N75" s="3383">
        <f t="shared" si="14"/>
        <v>0</v>
      </c>
      <c r="O75" s="3388"/>
      <c r="P75" s="3389"/>
      <c r="Q75" s="3383">
        <f t="shared" si="15"/>
        <v>0</v>
      </c>
      <c r="R75" s="3386"/>
      <c r="S75" s="3387"/>
      <c r="T75" s="3383">
        <f t="shared" si="16"/>
        <v>0</v>
      </c>
      <c r="U75" s="3388"/>
      <c r="V75" s="3389"/>
      <c r="W75" s="3383">
        <f t="shared" si="17"/>
        <v>0</v>
      </c>
      <c r="X75" s="3384"/>
      <c r="Y75" s="3386"/>
      <c r="Z75" s="3386"/>
      <c r="AA75" s="3391"/>
    </row>
    <row r="76" spans="2:27" ht="47.25">
      <c r="B76" s="3350"/>
      <c r="C76" s="3351" t="s">
        <v>3904</v>
      </c>
      <c r="D76" s="3350"/>
      <c r="E76" s="3352">
        <v>10303</v>
      </c>
      <c r="F76" s="3381"/>
      <c r="G76" s="3382"/>
      <c r="H76" s="3383">
        <f t="shared" si="12"/>
        <v>0</v>
      </c>
      <c r="I76" s="3388"/>
      <c r="J76" s="3389"/>
      <c r="K76" s="3383">
        <f t="shared" si="13"/>
        <v>0</v>
      </c>
      <c r="L76" s="3386"/>
      <c r="M76" s="3387"/>
      <c r="N76" s="3383">
        <f t="shared" si="14"/>
        <v>0</v>
      </c>
      <c r="O76" s="3388"/>
      <c r="P76" s="3389"/>
      <c r="Q76" s="3383">
        <f t="shared" si="15"/>
        <v>0</v>
      </c>
      <c r="R76" s="3386"/>
      <c r="S76" s="3387"/>
      <c r="T76" s="3383">
        <f t="shared" si="16"/>
        <v>0</v>
      </c>
      <c r="U76" s="3388"/>
      <c r="V76" s="3389"/>
      <c r="W76" s="3383">
        <f t="shared" si="17"/>
        <v>0</v>
      </c>
      <c r="X76" s="3388"/>
      <c r="Y76" s="3386"/>
      <c r="Z76" s="3386"/>
      <c r="AA76" s="3391"/>
    </row>
    <row r="77" spans="2:27" ht="47.25">
      <c r="B77" s="3350"/>
      <c r="C77" s="3351" t="s">
        <v>3905</v>
      </c>
      <c r="D77" s="3350"/>
      <c r="E77" s="3352">
        <v>10310</v>
      </c>
      <c r="F77" s="3381"/>
      <c r="G77" s="3382"/>
      <c r="H77" s="3383">
        <f t="shared" si="12"/>
        <v>0</v>
      </c>
      <c r="I77" s="3384"/>
      <c r="J77" s="3385"/>
      <c r="K77" s="3383">
        <f t="shared" si="13"/>
        <v>0</v>
      </c>
      <c r="L77" s="3386"/>
      <c r="M77" s="3387"/>
      <c r="N77" s="3383">
        <f t="shared" si="14"/>
        <v>0</v>
      </c>
      <c r="O77" s="3388"/>
      <c r="P77" s="3389"/>
      <c r="Q77" s="3383">
        <f t="shared" si="15"/>
        <v>0</v>
      </c>
      <c r="R77" s="3386"/>
      <c r="S77" s="3387"/>
      <c r="T77" s="3383">
        <f t="shared" si="16"/>
        <v>0</v>
      </c>
      <c r="U77" s="3388"/>
      <c r="V77" s="3389"/>
      <c r="W77" s="3383">
        <f t="shared" si="17"/>
        <v>0</v>
      </c>
      <c r="X77" s="3384"/>
      <c r="Y77" s="3386"/>
      <c r="Z77" s="3386"/>
      <c r="AA77" s="3391"/>
    </row>
    <row r="78" spans="2:27" ht="31.5">
      <c r="B78" s="3350"/>
      <c r="C78" s="3351" t="s">
        <v>3906</v>
      </c>
      <c r="D78" s="3350"/>
      <c r="E78" s="3352">
        <v>10304</v>
      </c>
      <c r="F78" s="3381"/>
      <c r="G78" s="3382"/>
      <c r="H78" s="3383">
        <f t="shared" si="12"/>
        <v>0</v>
      </c>
      <c r="I78" s="3388"/>
      <c r="J78" s="3389"/>
      <c r="K78" s="3383">
        <f t="shared" si="13"/>
        <v>0</v>
      </c>
      <c r="L78" s="3390"/>
      <c r="M78" s="3382"/>
      <c r="N78" s="3383">
        <f t="shared" si="14"/>
        <v>0</v>
      </c>
      <c r="O78" s="3388"/>
      <c r="P78" s="3389"/>
      <c r="Q78" s="3383">
        <f t="shared" si="15"/>
        <v>0</v>
      </c>
      <c r="R78" s="3390"/>
      <c r="S78" s="3382"/>
      <c r="T78" s="3383">
        <f t="shared" si="16"/>
        <v>0</v>
      </c>
      <c r="U78" s="3388"/>
      <c r="V78" s="3389"/>
      <c r="W78" s="3383">
        <f t="shared" si="17"/>
        <v>0</v>
      </c>
      <c r="X78" s="3388"/>
      <c r="Y78" s="3386"/>
      <c r="Z78" s="3386"/>
      <c r="AA78" s="3391"/>
    </row>
    <row r="79" spans="2:27" ht="18">
      <c r="B79" s="3350"/>
      <c r="C79" s="3351" t="s">
        <v>3907</v>
      </c>
      <c r="D79" s="3350"/>
      <c r="E79" s="3352"/>
      <c r="F79" s="3377"/>
      <c r="G79" s="3378"/>
      <c r="H79" s="3378"/>
      <c r="I79" s="3379"/>
      <c r="J79" s="3378"/>
      <c r="K79" s="3378"/>
      <c r="L79" s="3379"/>
      <c r="M79" s="3378"/>
      <c r="N79" s="3378"/>
      <c r="O79" s="3379"/>
      <c r="P79" s="3378"/>
      <c r="Q79" s="3378"/>
      <c r="R79" s="3379"/>
      <c r="S79" s="3378"/>
      <c r="T79" s="3378"/>
      <c r="U79" s="3379"/>
      <c r="V79" s="3378"/>
      <c r="W79" s="3378"/>
      <c r="X79" s="3379"/>
      <c r="Y79" s="3379"/>
      <c r="Z79" s="3379"/>
      <c r="AA79" s="3380"/>
    </row>
    <row r="80" spans="2:27" ht="31.5">
      <c r="B80" s="3350"/>
      <c r="C80" s="3351" t="s">
        <v>3908</v>
      </c>
      <c r="D80" s="3350"/>
      <c r="E80" s="3352">
        <v>10311</v>
      </c>
      <c r="F80" s="3381"/>
      <c r="G80" s="3382"/>
      <c r="H80" s="3383">
        <f t="shared" ref="H80:H86" si="18">IF(F80=0,0,G80/F80)</f>
        <v>0</v>
      </c>
      <c r="I80" s="3388"/>
      <c r="J80" s="3389"/>
      <c r="K80" s="3383">
        <f t="shared" ref="K80:K86" si="19">IF(I80=0,0,J80/I80)</f>
        <v>0</v>
      </c>
      <c r="L80" s="3386"/>
      <c r="M80" s="3387"/>
      <c r="N80" s="3383">
        <f t="shared" ref="N80:N86" si="20">IF(L80=0,0,M80/L80)</f>
        <v>0</v>
      </c>
      <c r="O80" s="3388"/>
      <c r="P80" s="3389"/>
      <c r="Q80" s="3383">
        <f t="shared" ref="Q80:Q86" si="21">IF(O80=0,0,P80/O80)</f>
        <v>0</v>
      </c>
      <c r="R80" s="3386"/>
      <c r="S80" s="3387"/>
      <c r="T80" s="3383">
        <f t="shared" ref="T80:T86" si="22">IF(R80=0,0,S80/R80)</f>
        <v>0</v>
      </c>
      <c r="U80" s="3388"/>
      <c r="V80" s="3389"/>
      <c r="W80" s="3383">
        <f t="shared" ref="W80:W86" si="23">IF(U80=0,0,V80/U80)</f>
        <v>0</v>
      </c>
      <c r="X80" s="3388"/>
      <c r="Y80" s="3386"/>
      <c r="Z80" s="3386"/>
      <c r="AA80" s="3391"/>
    </row>
    <row r="81" spans="2:27" ht="47.25">
      <c r="B81" s="3350"/>
      <c r="C81" s="3351" t="s">
        <v>3909</v>
      </c>
      <c r="D81" s="3350"/>
      <c r="E81" s="3352">
        <v>10312</v>
      </c>
      <c r="F81" s="3381"/>
      <c r="G81" s="3382"/>
      <c r="H81" s="3383">
        <f t="shared" si="18"/>
        <v>0</v>
      </c>
      <c r="I81" s="3388"/>
      <c r="J81" s="3389"/>
      <c r="K81" s="3383">
        <f t="shared" si="19"/>
        <v>0</v>
      </c>
      <c r="L81" s="3386"/>
      <c r="M81" s="3387"/>
      <c r="N81" s="3383">
        <f t="shared" si="20"/>
        <v>0</v>
      </c>
      <c r="O81" s="3388"/>
      <c r="P81" s="3389"/>
      <c r="Q81" s="3383">
        <f t="shared" si="21"/>
        <v>0</v>
      </c>
      <c r="R81" s="3386"/>
      <c r="S81" s="3387"/>
      <c r="T81" s="3383">
        <f t="shared" si="22"/>
        <v>0</v>
      </c>
      <c r="U81" s="3388"/>
      <c r="V81" s="3389"/>
      <c r="W81" s="3383">
        <f t="shared" si="23"/>
        <v>0</v>
      </c>
      <c r="X81" s="3388"/>
      <c r="Y81" s="3386"/>
      <c r="Z81" s="3386"/>
      <c r="AA81" s="3391"/>
    </row>
    <row r="82" spans="2:27" ht="18">
      <c r="B82" s="3350"/>
      <c r="C82" s="3351" t="s">
        <v>3910</v>
      </c>
      <c r="D82" s="3350"/>
      <c r="E82" s="3352">
        <v>10305</v>
      </c>
      <c r="F82" s="3381"/>
      <c r="G82" s="3382"/>
      <c r="H82" s="3383">
        <f t="shared" si="18"/>
        <v>0</v>
      </c>
      <c r="I82" s="3388"/>
      <c r="J82" s="3389"/>
      <c r="K82" s="3383">
        <f t="shared" si="19"/>
        <v>0</v>
      </c>
      <c r="L82" s="3386"/>
      <c r="M82" s="3387"/>
      <c r="N82" s="3383">
        <f t="shared" si="20"/>
        <v>0</v>
      </c>
      <c r="O82" s="3388"/>
      <c r="P82" s="3389"/>
      <c r="Q82" s="3383">
        <f t="shared" si="21"/>
        <v>0</v>
      </c>
      <c r="R82" s="3386"/>
      <c r="S82" s="3387"/>
      <c r="T82" s="3383">
        <f t="shared" si="22"/>
        <v>0</v>
      </c>
      <c r="U82" s="3388"/>
      <c r="V82" s="3389"/>
      <c r="W82" s="3383">
        <f t="shared" si="23"/>
        <v>0</v>
      </c>
      <c r="X82" s="3388"/>
      <c r="Y82" s="3386"/>
      <c r="Z82" s="3386"/>
      <c r="AA82" s="3391"/>
    </row>
    <row r="83" spans="2:27" ht="47.25">
      <c r="B83" s="3350"/>
      <c r="C83" s="3351" t="s">
        <v>3911</v>
      </c>
      <c r="D83" s="3350"/>
      <c r="E83" s="3352">
        <v>10306</v>
      </c>
      <c r="F83" s="3381"/>
      <c r="G83" s="3382"/>
      <c r="H83" s="3383">
        <f t="shared" si="18"/>
        <v>0</v>
      </c>
      <c r="I83" s="3384"/>
      <c r="J83" s="3385"/>
      <c r="K83" s="3383">
        <f t="shared" si="19"/>
        <v>0</v>
      </c>
      <c r="L83" s="3386"/>
      <c r="M83" s="3387"/>
      <c r="N83" s="3383">
        <f t="shared" si="20"/>
        <v>0</v>
      </c>
      <c r="O83" s="3388"/>
      <c r="P83" s="3389"/>
      <c r="Q83" s="3383">
        <f t="shared" si="21"/>
        <v>0</v>
      </c>
      <c r="R83" s="3386"/>
      <c r="S83" s="3387"/>
      <c r="T83" s="3383">
        <f t="shared" si="22"/>
        <v>0</v>
      </c>
      <c r="U83" s="3388"/>
      <c r="V83" s="3389"/>
      <c r="W83" s="3383">
        <f t="shared" si="23"/>
        <v>0</v>
      </c>
      <c r="X83" s="3384"/>
      <c r="Y83" s="3386"/>
      <c r="Z83" s="3386"/>
      <c r="AA83" s="3391"/>
    </row>
    <row r="84" spans="2:27" ht="47.25">
      <c r="B84" s="3350"/>
      <c r="C84" s="3351" t="s">
        <v>3912</v>
      </c>
      <c r="D84" s="3350"/>
      <c r="E84" s="3352">
        <v>10307</v>
      </c>
      <c r="F84" s="3381"/>
      <c r="G84" s="3382"/>
      <c r="H84" s="3383">
        <f t="shared" si="18"/>
        <v>0</v>
      </c>
      <c r="I84" s="3384"/>
      <c r="J84" s="3385"/>
      <c r="K84" s="3383">
        <f t="shared" si="19"/>
        <v>0</v>
      </c>
      <c r="L84" s="3386"/>
      <c r="M84" s="3387"/>
      <c r="N84" s="3383">
        <f t="shared" si="20"/>
        <v>0</v>
      </c>
      <c r="O84" s="3388"/>
      <c r="P84" s="3389"/>
      <c r="Q84" s="3383">
        <f t="shared" si="21"/>
        <v>0</v>
      </c>
      <c r="R84" s="3386"/>
      <c r="S84" s="3387"/>
      <c r="T84" s="3383">
        <f t="shared" si="22"/>
        <v>0</v>
      </c>
      <c r="U84" s="3384"/>
      <c r="V84" s="3385"/>
      <c r="W84" s="3383">
        <f t="shared" si="23"/>
        <v>0</v>
      </c>
      <c r="X84" s="3384"/>
      <c r="Y84" s="3386"/>
      <c r="Z84" s="3386"/>
      <c r="AA84" s="3391"/>
    </row>
    <row r="85" spans="2:27" ht="47.25">
      <c r="B85" s="3350"/>
      <c r="C85" s="3351" t="s">
        <v>3913</v>
      </c>
      <c r="D85" s="3350"/>
      <c r="E85" s="3352">
        <v>10308</v>
      </c>
      <c r="F85" s="3381"/>
      <c r="G85" s="3382"/>
      <c r="H85" s="3383">
        <f t="shared" si="18"/>
        <v>0</v>
      </c>
      <c r="I85" s="3388"/>
      <c r="J85" s="3389"/>
      <c r="K85" s="3383">
        <f t="shared" si="19"/>
        <v>0</v>
      </c>
      <c r="L85" s="3386"/>
      <c r="M85" s="3387"/>
      <c r="N85" s="3383">
        <f t="shared" si="20"/>
        <v>0</v>
      </c>
      <c r="O85" s="3388"/>
      <c r="P85" s="3389"/>
      <c r="Q85" s="3383">
        <f t="shared" si="21"/>
        <v>0</v>
      </c>
      <c r="R85" s="3386"/>
      <c r="S85" s="3387"/>
      <c r="T85" s="3383">
        <f t="shared" si="22"/>
        <v>0</v>
      </c>
      <c r="U85" s="3388"/>
      <c r="V85" s="3389"/>
      <c r="W85" s="3383">
        <f t="shared" si="23"/>
        <v>0</v>
      </c>
      <c r="X85" s="3388"/>
      <c r="Y85" s="3386"/>
      <c r="Z85" s="3386"/>
      <c r="AA85" s="3391"/>
    </row>
    <row r="86" spans="2:27" ht="63">
      <c r="B86" s="3350"/>
      <c r="C86" s="3351" t="s">
        <v>3914</v>
      </c>
      <c r="D86" s="3350"/>
      <c r="E86" s="3352">
        <v>10400</v>
      </c>
      <c r="F86" s="3392">
        <f t="shared" ref="F86:G86" si="24">F88+F95+F96</f>
        <v>1451.1590000000001</v>
      </c>
      <c r="G86" s="3383">
        <f t="shared" si="24"/>
        <v>11429.76</v>
      </c>
      <c r="H86" s="3383">
        <f t="shared" si="18"/>
        <v>7.8762974973796807</v>
      </c>
      <c r="I86" s="3393">
        <f t="shared" ref="I86:J86" si="25">I88+I95+I96</f>
        <v>0</v>
      </c>
      <c r="J86" s="3383">
        <f t="shared" si="25"/>
        <v>0</v>
      </c>
      <c r="K86" s="3383">
        <f t="shared" si="19"/>
        <v>0</v>
      </c>
      <c r="L86" s="3393">
        <f t="shared" ref="L86:M86" si="26">L88+L95+L96</f>
        <v>0</v>
      </c>
      <c r="M86" s="3383">
        <f t="shared" si="26"/>
        <v>0</v>
      </c>
      <c r="N86" s="3383">
        <f t="shared" si="20"/>
        <v>0</v>
      </c>
      <c r="O86" s="3393">
        <f t="shared" ref="O86:P86" si="27">O88+O95+O96</f>
        <v>0</v>
      </c>
      <c r="P86" s="3383">
        <f t="shared" si="27"/>
        <v>0</v>
      </c>
      <c r="Q86" s="3383">
        <f t="shared" si="21"/>
        <v>0</v>
      </c>
      <c r="R86" s="3393">
        <f t="shared" ref="R86:S86" si="28">R88+R95+R96</f>
        <v>0</v>
      </c>
      <c r="S86" s="3383">
        <f t="shared" si="28"/>
        <v>0</v>
      </c>
      <c r="T86" s="3383">
        <f t="shared" si="22"/>
        <v>0</v>
      </c>
      <c r="U86" s="3393">
        <f t="shared" ref="U86:V86" si="29">U88+U95+U96</f>
        <v>0</v>
      </c>
      <c r="V86" s="3383">
        <f t="shared" si="29"/>
        <v>0</v>
      </c>
      <c r="W86" s="3383">
        <f t="shared" si="23"/>
        <v>0</v>
      </c>
      <c r="X86" s="3393">
        <f t="shared" ref="X86:AA86" si="30">X88+X95+X96</f>
        <v>0</v>
      </c>
      <c r="Y86" s="3393">
        <f t="shared" si="30"/>
        <v>0</v>
      </c>
      <c r="Z86" s="3393">
        <f t="shared" si="30"/>
        <v>0</v>
      </c>
      <c r="AA86" s="3394">
        <f t="shared" si="30"/>
        <v>0</v>
      </c>
    </row>
    <row r="87" spans="2:27" ht="18">
      <c r="B87" s="3350"/>
      <c r="C87" s="3351" t="s">
        <v>512</v>
      </c>
      <c r="D87" s="3350"/>
      <c r="E87" s="3352"/>
      <c r="F87" s="3377"/>
      <c r="G87" s="3378"/>
      <c r="H87" s="3378"/>
      <c r="I87" s="3379"/>
      <c r="J87" s="3378"/>
      <c r="K87" s="3378"/>
      <c r="L87" s="3379"/>
      <c r="M87" s="3378"/>
      <c r="N87" s="3378"/>
      <c r="O87" s="3379"/>
      <c r="P87" s="3378"/>
      <c r="Q87" s="3378"/>
      <c r="R87" s="3379"/>
      <c r="S87" s="3378"/>
      <c r="T87" s="3378"/>
      <c r="U87" s="3379"/>
      <c r="V87" s="3378"/>
      <c r="W87" s="3378"/>
      <c r="X87" s="3379"/>
      <c r="Y87" s="3379"/>
      <c r="Z87" s="3379"/>
      <c r="AA87" s="3380"/>
    </row>
    <row r="88" spans="2:27" ht="47.25">
      <c r="B88" s="3350"/>
      <c r="C88" s="3351" t="s">
        <v>3915</v>
      </c>
      <c r="D88" s="3350"/>
      <c r="E88" s="3352">
        <v>10401</v>
      </c>
      <c r="F88" s="3392">
        <f t="shared" ref="F88:G88" si="31">F90+F91+F92</f>
        <v>1451.1590000000001</v>
      </c>
      <c r="G88" s="3383">
        <f t="shared" si="31"/>
        <v>11429.76</v>
      </c>
      <c r="H88" s="3383">
        <f>IF(F88=0,0,G88/F88)</f>
        <v>7.8762974973796807</v>
      </c>
      <c r="I88" s="3393">
        <f t="shared" ref="I88:J88" si="32">I90+I91+I92</f>
        <v>0</v>
      </c>
      <c r="J88" s="3383">
        <f t="shared" si="32"/>
        <v>0</v>
      </c>
      <c r="K88" s="3383">
        <f>IF(I88=0,0,J88/I88)</f>
        <v>0</v>
      </c>
      <c r="L88" s="3393">
        <f t="shared" ref="L88:M88" si="33">L90+L91+L92</f>
        <v>0</v>
      </c>
      <c r="M88" s="3383">
        <f t="shared" si="33"/>
        <v>0</v>
      </c>
      <c r="N88" s="3383">
        <f>IF(L88=0,0,M88/L88)</f>
        <v>0</v>
      </c>
      <c r="O88" s="3393">
        <f t="shared" ref="O88:P88" si="34">O90+O91+O92</f>
        <v>0</v>
      </c>
      <c r="P88" s="3383">
        <f t="shared" si="34"/>
        <v>0</v>
      </c>
      <c r="Q88" s="3383">
        <f>IF(O88=0,0,P88/O88)</f>
        <v>0</v>
      </c>
      <c r="R88" s="3393">
        <f t="shared" ref="R88:S88" si="35">R90+R91+R92</f>
        <v>0</v>
      </c>
      <c r="S88" s="3383">
        <f t="shared" si="35"/>
        <v>0</v>
      </c>
      <c r="T88" s="3383">
        <f>IF(R88=0,0,S88/R88)</f>
        <v>0</v>
      </c>
      <c r="U88" s="3393">
        <f t="shared" ref="U88:V88" si="36">U90+U91+U92</f>
        <v>0</v>
      </c>
      <c r="V88" s="3383">
        <f t="shared" si="36"/>
        <v>0</v>
      </c>
      <c r="W88" s="3383">
        <f>IF(U88=0,0,V88/U88)</f>
        <v>0</v>
      </c>
      <c r="X88" s="3393">
        <f t="shared" ref="X88:AA88" si="37">X90+X91+X92</f>
        <v>0</v>
      </c>
      <c r="Y88" s="3393">
        <f t="shared" si="37"/>
        <v>0</v>
      </c>
      <c r="Z88" s="3393">
        <f t="shared" si="37"/>
        <v>0</v>
      </c>
      <c r="AA88" s="3394">
        <f t="shared" si="37"/>
        <v>0</v>
      </c>
    </row>
    <row r="89" spans="2:27" ht="18">
      <c r="B89" s="3350"/>
      <c r="C89" s="3351" t="s">
        <v>3907</v>
      </c>
      <c r="D89" s="3350"/>
      <c r="E89" s="3352"/>
      <c r="F89" s="3377"/>
      <c r="G89" s="3378"/>
      <c r="H89" s="3378"/>
      <c r="I89" s="3379"/>
      <c r="J89" s="3378"/>
      <c r="K89" s="3378"/>
      <c r="L89" s="3379"/>
      <c r="M89" s="3378"/>
      <c r="N89" s="3378"/>
      <c r="O89" s="3379"/>
      <c r="P89" s="3378"/>
      <c r="Q89" s="3378"/>
      <c r="R89" s="3379"/>
      <c r="S89" s="3378"/>
      <c r="T89" s="3378"/>
      <c r="U89" s="3379"/>
      <c r="V89" s="3378"/>
      <c r="W89" s="3378"/>
      <c r="X89" s="3379"/>
      <c r="Y89" s="3379"/>
      <c r="Z89" s="3379"/>
      <c r="AA89" s="3380"/>
    </row>
    <row r="90" spans="2:27" ht="31.5">
      <c r="B90" s="3350"/>
      <c r="C90" s="3351" t="s">
        <v>3916</v>
      </c>
      <c r="D90" s="3350"/>
      <c r="E90" s="3352">
        <v>10411</v>
      </c>
      <c r="F90" s="3381"/>
      <c r="G90" s="3382"/>
      <c r="H90" s="3383">
        <f t="shared" ref="H90:H92" si="38">IF(F90=0,0,G90/F90)</f>
        <v>0</v>
      </c>
      <c r="I90" s="3388"/>
      <c r="J90" s="3389"/>
      <c r="K90" s="3383">
        <f t="shared" ref="K90:K92" si="39">IF(I90=0,0,J90/I90)</f>
        <v>0</v>
      </c>
      <c r="L90" s="3386"/>
      <c r="M90" s="3387"/>
      <c r="N90" s="3383">
        <f t="shared" ref="N90:N92" si="40">IF(L90=0,0,M90/L90)</f>
        <v>0</v>
      </c>
      <c r="O90" s="3388"/>
      <c r="P90" s="3389"/>
      <c r="Q90" s="3383">
        <f t="shared" ref="Q90:Q92" si="41">IF(O90=0,0,P90/O90)</f>
        <v>0</v>
      </c>
      <c r="R90" s="3386"/>
      <c r="S90" s="3387"/>
      <c r="T90" s="3383">
        <f t="shared" ref="T90:T92" si="42">IF(R90=0,0,S90/R90)</f>
        <v>0</v>
      </c>
      <c r="U90" s="3388"/>
      <c r="V90" s="3389"/>
      <c r="W90" s="3383">
        <f t="shared" ref="W90:W92" si="43">IF(U90=0,0,V90/U90)</f>
        <v>0</v>
      </c>
      <c r="X90" s="3388"/>
      <c r="Y90" s="3386"/>
      <c r="Z90" s="3386"/>
      <c r="AA90" s="3391"/>
    </row>
    <row r="91" spans="2:27" ht="78.75">
      <c r="B91" s="3350"/>
      <c r="C91" s="3351" t="s">
        <v>3917</v>
      </c>
      <c r="D91" s="3350"/>
      <c r="E91" s="3352">
        <v>10412</v>
      </c>
      <c r="F91" s="3381"/>
      <c r="G91" s="3382"/>
      <c r="H91" s="3383">
        <f t="shared" si="38"/>
        <v>0</v>
      </c>
      <c r="I91" s="3384"/>
      <c r="J91" s="3385"/>
      <c r="K91" s="3383">
        <f t="shared" si="39"/>
        <v>0</v>
      </c>
      <c r="L91" s="3386"/>
      <c r="M91" s="3387"/>
      <c r="N91" s="3383">
        <f t="shared" si="40"/>
        <v>0</v>
      </c>
      <c r="O91" s="3388"/>
      <c r="P91" s="3389"/>
      <c r="Q91" s="3383">
        <f t="shared" si="41"/>
        <v>0</v>
      </c>
      <c r="R91" s="3386"/>
      <c r="S91" s="3387"/>
      <c r="T91" s="3383">
        <f t="shared" si="42"/>
        <v>0</v>
      </c>
      <c r="U91" s="3384"/>
      <c r="V91" s="3385"/>
      <c r="W91" s="3383">
        <f t="shared" si="43"/>
        <v>0</v>
      </c>
      <c r="X91" s="3384"/>
      <c r="Y91" s="3386"/>
      <c r="Z91" s="3386"/>
      <c r="AA91" s="3391"/>
    </row>
    <row r="92" spans="2:27" ht="31.5">
      <c r="B92" s="3350"/>
      <c r="C92" s="3351" t="s">
        <v>3918</v>
      </c>
      <c r="D92" s="3350"/>
      <c r="E92" s="3352">
        <v>10414</v>
      </c>
      <c r="F92" s="3381">
        <f>'Раздел 2А'!F48</f>
        <v>1451.1590000000001</v>
      </c>
      <c r="G92" s="3382">
        <f>ROUND('Раздел 2А'!M48/1.2,5)</f>
        <v>11429.76</v>
      </c>
      <c r="H92" s="3383">
        <f t="shared" si="38"/>
        <v>7.8762974973796807</v>
      </c>
      <c r="I92" s="3384"/>
      <c r="J92" s="3385"/>
      <c r="K92" s="3383">
        <f t="shared" si="39"/>
        <v>0</v>
      </c>
      <c r="L92" s="3386"/>
      <c r="M92" s="3387"/>
      <c r="N92" s="3383">
        <f t="shared" si="40"/>
        <v>0</v>
      </c>
      <c r="O92" s="3388"/>
      <c r="P92" s="3389"/>
      <c r="Q92" s="3383">
        <f t="shared" si="41"/>
        <v>0</v>
      </c>
      <c r="R92" s="3386"/>
      <c r="S92" s="3387"/>
      <c r="T92" s="3383">
        <f t="shared" si="42"/>
        <v>0</v>
      </c>
      <c r="U92" s="3384"/>
      <c r="V92" s="3385"/>
      <c r="W92" s="3383">
        <f t="shared" si="43"/>
        <v>0</v>
      </c>
      <c r="X92" s="3388"/>
      <c r="Y92" s="3390"/>
      <c r="Z92" s="3386"/>
      <c r="AA92" s="3391"/>
    </row>
    <row r="93" spans="2:27" ht="18">
      <c r="B93" s="3350"/>
      <c r="C93" s="3351" t="s">
        <v>512</v>
      </c>
      <c r="D93" s="3350"/>
      <c r="E93" s="3352"/>
      <c r="F93" s="3377"/>
      <c r="G93" s="3378"/>
      <c r="H93" s="3378"/>
      <c r="I93" s="3379"/>
      <c r="J93" s="3378"/>
      <c r="K93" s="3378"/>
      <c r="L93" s="3379"/>
      <c r="M93" s="3378"/>
      <c r="N93" s="3378"/>
      <c r="O93" s="3379"/>
      <c r="P93" s="3378"/>
      <c r="Q93" s="3378"/>
      <c r="R93" s="3379"/>
      <c r="S93" s="3378"/>
      <c r="T93" s="3378"/>
      <c r="U93" s="3379"/>
      <c r="V93" s="3378"/>
      <c r="W93" s="3378"/>
      <c r="X93" s="3379"/>
      <c r="Y93" s="3379"/>
      <c r="Z93" s="3379"/>
      <c r="AA93" s="3380"/>
    </row>
    <row r="94" spans="2:27" ht="78.75">
      <c r="B94" s="3350"/>
      <c r="C94" s="3351" t="s">
        <v>3919</v>
      </c>
      <c r="D94" s="3350"/>
      <c r="E94" s="3352">
        <v>10415</v>
      </c>
      <c r="F94" s="3381"/>
      <c r="G94" s="3382"/>
      <c r="H94" s="3383">
        <f t="shared" ref="H94:H97" si="44">IF(F94=0,0,G94/F94)</f>
        <v>0</v>
      </c>
      <c r="I94" s="3388"/>
      <c r="J94" s="3389"/>
      <c r="K94" s="3383">
        <f t="shared" ref="K94:K97" si="45">IF(I94=0,0,J94/I94)</f>
        <v>0</v>
      </c>
      <c r="L94" s="3386"/>
      <c r="M94" s="3387"/>
      <c r="N94" s="3383">
        <f t="shared" ref="N94:N97" si="46">IF(L94=0,0,M94/L94)</f>
        <v>0</v>
      </c>
      <c r="O94" s="3388"/>
      <c r="P94" s="3389"/>
      <c r="Q94" s="3383">
        <f t="shared" ref="Q94:Q97" si="47">IF(O94=0,0,P94/O94)</f>
        <v>0</v>
      </c>
      <c r="R94" s="3386"/>
      <c r="S94" s="3387"/>
      <c r="T94" s="3383">
        <f t="shared" ref="T94:T97" si="48">IF(R94=0,0,S94/R94)</f>
        <v>0</v>
      </c>
      <c r="U94" s="3388"/>
      <c r="V94" s="3389"/>
      <c r="W94" s="3383">
        <f t="shared" ref="W94:W97" si="49">IF(U94=0,0,V94/U94)</f>
        <v>0</v>
      </c>
      <c r="X94" s="3388"/>
      <c r="Y94" s="3386"/>
      <c r="Z94" s="3386"/>
      <c r="AA94" s="3391"/>
    </row>
    <row r="95" spans="2:27" ht="31.5">
      <c r="B95" s="3350"/>
      <c r="C95" s="3351" t="s">
        <v>3920</v>
      </c>
      <c r="D95" s="3350"/>
      <c r="E95" s="3352">
        <v>10420</v>
      </c>
      <c r="F95" s="3381"/>
      <c r="G95" s="3382"/>
      <c r="H95" s="3383">
        <f t="shared" si="44"/>
        <v>0</v>
      </c>
      <c r="I95" s="3384"/>
      <c r="J95" s="3385"/>
      <c r="K95" s="3383">
        <f t="shared" si="45"/>
        <v>0</v>
      </c>
      <c r="L95" s="3386"/>
      <c r="M95" s="3387"/>
      <c r="N95" s="3383">
        <f t="shared" si="46"/>
        <v>0</v>
      </c>
      <c r="O95" s="3388"/>
      <c r="P95" s="3389"/>
      <c r="Q95" s="3383">
        <f t="shared" si="47"/>
        <v>0</v>
      </c>
      <c r="R95" s="3386"/>
      <c r="S95" s="3387"/>
      <c r="T95" s="3383">
        <f t="shared" si="48"/>
        <v>0</v>
      </c>
      <c r="U95" s="3384"/>
      <c r="V95" s="3385"/>
      <c r="W95" s="3383">
        <f t="shared" si="49"/>
        <v>0</v>
      </c>
      <c r="X95" s="3384"/>
      <c r="Y95" s="3386"/>
      <c r="Z95" s="3386"/>
      <c r="AA95" s="3391"/>
    </row>
    <row r="96" spans="2:27" ht="63">
      <c r="B96" s="3350"/>
      <c r="C96" s="3351" t="s">
        <v>3921</v>
      </c>
      <c r="D96" s="3350"/>
      <c r="E96" s="3352">
        <v>10430</v>
      </c>
      <c r="F96" s="3381"/>
      <c r="G96" s="3382"/>
      <c r="H96" s="3383">
        <f t="shared" si="44"/>
        <v>0</v>
      </c>
      <c r="I96" s="3384"/>
      <c r="J96" s="3385"/>
      <c r="K96" s="3383">
        <f t="shared" si="45"/>
        <v>0</v>
      </c>
      <c r="L96" s="3386"/>
      <c r="M96" s="3387"/>
      <c r="N96" s="3383">
        <f t="shared" si="46"/>
        <v>0</v>
      </c>
      <c r="O96" s="3388"/>
      <c r="P96" s="3389"/>
      <c r="Q96" s="3383">
        <f t="shared" si="47"/>
        <v>0</v>
      </c>
      <c r="R96" s="3386"/>
      <c r="S96" s="3387"/>
      <c r="T96" s="3383">
        <f t="shared" si="48"/>
        <v>0</v>
      </c>
      <c r="U96" s="3384"/>
      <c r="V96" s="3385"/>
      <c r="W96" s="3383">
        <f t="shared" si="49"/>
        <v>0</v>
      </c>
      <c r="X96" s="3384"/>
      <c r="Y96" s="3386"/>
      <c r="Z96" s="3386"/>
      <c r="AA96" s="3391"/>
    </row>
    <row r="97" spans="2:27" ht="78.75">
      <c r="B97" s="3350"/>
      <c r="C97" s="3351" t="s">
        <v>3922</v>
      </c>
      <c r="D97" s="3350"/>
      <c r="E97" s="3352">
        <v>10440</v>
      </c>
      <c r="F97" s="3381"/>
      <c r="G97" s="3382"/>
      <c r="H97" s="3383">
        <f t="shared" si="44"/>
        <v>0</v>
      </c>
      <c r="I97" s="3384"/>
      <c r="J97" s="3385"/>
      <c r="K97" s="3383">
        <f t="shared" si="45"/>
        <v>0</v>
      </c>
      <c r="L97" s="3390"/>
      <c r="M97" s="3382"/>
      <c r="N97" s="3383">
        <f t="shared" si="46"/>
        <v>0</v>
      </c>
      <c r="O97" s="3388"/>
      <c r="P97" s="3389"/>
      <c r="Q97" s="3383">
        <f t="shared" si="47"/>
        <v>0</v>
      </c>
      <c r="R97" s="3390"/>
      <c r="S97" s="3382"/>
      <c r="T97" s="3383">
        <f t="shared" si="48"/>
        <v>0</v>
      </c>
      <c r="U97" s="3384"/>
      <c r="V97" s="3385"/>
      <c r="W97" s="3383">
        <f t="shared" si="49"/>
        <v>0</v>
      </c>
      <c r="X97" s="3384"/>
      <c r="Y97" s="3386"/>
      <c r="Z97" s="3386"/>
      <c r="AA97" s="3391"/>
    </row>
    <row r="98" spans="2:27" ht="18">
      <c r="B98" s="3350"/>
      <c r="C98" s="3351" t="s">
        <v>512</v>
      </c>
      <c r="D98" s="3350"/>
      <c r="E98" s="3352"/>
      <c r="F98" s="3377"/>
      <c r="G98" s="3378"/>
      <c r="H98" s="3378"/>
      <c r="I98" s="3379"/>
      <c r="J98" s="3378"/>
      <c r="K98" s="3378"/>
      <c r="L98" s="3379"/>
      <c r="M98" s="3378"/>
      <c r="N98" s="3378"/>
      <c r="O98" s="3379"/>
      <c r="P98" s="3378"/>
      <c r="Q98" s="3378"/>
      <c r="R98" s="3379"/>
      <c r="S98" s="3378"/>
      <c r="T98" s="3378"/>
      <c r="U98" s="3379"/>
      <c r="V98" s="3378"/>
      <c r="W98" s="3378"/>
      <c r="X98" s="3379"/>
      <c r="Y98" s="3379"/>
      <c r="Z98" s="3379"/>
      <c r="AA98" s="3380"/>
    </row>
    <row r="99" spans="2:27" ht="47.25">
      <c r="B99" s="3350"/>
      <c r="C99" s="3351" t="s">
        <v>3923</v>
      </c>
      <c r="D99" s="3350"/>
      <c r="E99" s="3352">
        <v>10441</v>
      </c>
      <c r="F99" s="3381"/>
      <c r="G99" s="3382"/>
      <c r="H99" s="3383">
        <f t="shared" ref="H99:H102" si="50">IF(F99=0,0,G99/F99)</f>
        <v>0</v>
      </c>
      <c r="I99" s="3388"/>
      <c r="J99" s="3389"/>
      <c r="K99" s="3383">
        <f t="shared" ref="K99:K102" si="51">IF(I99=0,0,J99/I99)</f>
        <v>0</v>
      </c>
      <c r="L99" s="3386"/>
      <c r="M99" s="3387"/>
      <c r="N99" s="3383">
        <f t="shared" ref="N99:N102" si="52">IF(L99=0,0,M99/L99)</f>
        <v>0</v>
      </c>
      <c r="O99" s="3388"/>
      <c r="P99" s="3389"/>
      <c r="Q99" s="3383">
        <f t="shared" ref="Q99:Q102" si="53">IF(O99=0,0,P99/O99)</f>
        <v>0</v>
      </c>
      <c r="R99" s="3386"/>
      <c r="S99" s="3387"/>
      <c r="T99" s="3383">
        <f t="shared" ref="T99:T102" si="54">IF(R99=0,0,S99/R99)</f>
        <v>0</v>
      </c>
      <c r="U99" s="3388"/>
      <c r="V99" s="3389"/>
      <c r="W99" s="3383">
        <f t="shared" ref="W99:W102" si="55">IF(U99=0,0,V99/U99)</f>
        <v>0</v>
      </c>
      <c r="X99" s="3384"/>
      <c r="Y99" s="3386"/>
      <c r="Z99" s="3386"/>
      <c r="AA99" s="3391"/>
    </row>
    <row r="100" spans="2:27" ht="31.5">
      <c r="B100" s="3350"/>
      <c r="C100" s="3351" t="s">
        <v>3924</v>
      </c>
      <c r="D100" s="3350"/>
      <c r="E100" s="3352">
        <v>10500</v>
      </c>
      <c r="F100" s="3381"/>
      <c r="G100" s="3382"/>
      <c r="H100" s="3383">
        <f t="shared" si="50"/>
        <v>0</v>
      </c>
      <c r="I100" s="3384"/>
      <c r="J100" s="3385"/>
      <c r="K100" s="3383">
        <f t="shared" si="51"/>
        <v>0</v>
      </c>
      <c r="L100" s="3386"/>
      <c r="M100" s="3387"/>
      <c r="N100" s="3383">
        <f t="shared" si="52"/>
        <v>0</v>
      </c>
      <c r="O100" s="3388"/>
      <c r="P100" s="3389"/>
      <c r="Q100" s="3383">
        <f t="shared" si="53"/>
        <v>0</v>
      </c>
      <c r="R100" s="3386"/>
      <c r="S100" s="3387"/>
      <c r="T100" s="3383">
        <f t="shared" si="54"/>
        <v>0</v>
      </c>
      <c r="U100" s="3384"/>
      <c r="V100" s="3385"/>
      <c r="W100" s="3383">
        <f t="shared" si="55"/>
        <v>0</v>
      </c>
      <c r="X100" s="3384"/>
      <c r="Y100" s="3386"/>
      <c r="Z100" s="3386"/>
      <c r="AA100" s="3391"/>
    </row>
    <row r="101" spans="2:27" ht="63">
      <c r="B101" s="3350"/>
      <c r="C101" s="3351" t="s">
        <v>3925</v>
      </c>
      <c r="D101" s="3350"/>
      <c r="E101" s="3352">
        <v>10510</v>
      </c>
      <c r="F101" s="3381"/>
      <c r="G101" s="3382"/>
      <c r="H101" s="3383">
        <f t="shared" si="50"/>
        <v>0</v>
      </c>
      <c r="I101" s="3384"/>
      <c r="J101" s="3385"/>
      <c r="K101" s="3383">
        <f t="shared" si="51"/>
        <v>0</v>
      </c>
      <c r="L101" s="3386"/>
      <c r="M101" s="3387"/>
      <c r="N101" s="3383">
        <f t="shared" si="52"/>
        <v>0</v>
      </c>
      <c r="O101" s="3388"/>
      <c r="P101" s="3389"/>
      <c r="Q101" s="3383">
        <f t="shared" si="53"/>
        <v>0</v>
      </c>
      <c r="R101" s="3386"/>
      <c r="S101" s="3387"/>
      <c r="T101" s="3383">
        <f t="shared" si="54"/>
        <v>0</v>
      </c>
      <c r="U101" s="3384"/>
      <c r="V101" s="3385"/>
      <c r="W101" s="3383">
        <f t="shared" si="55"/>
        <v>0</v>
      </c>
      <c r="X101" s="3384"/>
      <c r="Y101" s="3386"/>
      <c r="Z101" s="3386"/>
      <c r="AA101" s="3391"/>
    </row>
    <row r="102" spans="2:27" ht="31.5">
      <c r="B102" s="3350"/>
      <c r="C102" s="3351" t="s">
        <v>3926</v>
      </c>
      <c r="D102" s="3350"/>
      <c r="E102" s="3352">
        <v>10610</v>
      </c>
      <c r="F102" s="3381"/>
      <c r="G102" s="3382"/>
      <c r="H102" s="3383">
        <f t="shared" si="50"/>
        <v>0</v>
      </c>
      <c r="I102" s="3384"/>
      <c r="J102" s="3385"/>
      <c r="K102" s="3383">
        <f t="shared" si="51"/>
        <v>0</v>
      </c>
      <c r="L102" s="3390"/>
      <c r="M102" s="3382"/>
      <c r="N102" s="3383">
        <f t="shared" si="52"/>
        <v>0</v>
      </c>
      <c r="O102" s="3388"/>
      <c r="P102" s="3389"/>
      <c r="Q102" s="3383">
        <f t="shared" si="53"/>
        <v>0</v>
      </c>
      <c r="R102" s="3390"/>
      <c r="S102" s="3382"/>
      <c r="T102" s="3383">
        <f t="shared" si="54"/>
        <v>0</v>
      </c>
      <c r="U102" s="3384"/>
      <c r="V102" s="3385"/>
      <c r="W102" s="3383">
        <f t="shared" si="55"/>
        <v>0</v>
      </c>
      <c r="X102" s="3384"/>
      <c r="Y102" s="3386"/>
      <c r="Z102" s="3386"/>
      <c r="AA102" s="3391"/>
    </row>
    <row r="103" spans="2:27" ht="18">
      <c r="B103" s="3350"/>
      <c r="C103" s="3351" t="s">
        <v>512</v>
      </c>
      <c r="D103" s="3350"/>
      <c r="E103" s="3352"/>
      <c r="F103" s="3377"/>
      <c r="G103" s="3378"/>
      <c r="H103" s="3378"/>
      <c r="I103" s="3379"/>
      <c r="J103" s="3378"/>
      <c r="K103" s="3378"/>
      <c r="L103" s="3379"/>
      <c r="M103" s="3378"/>
      <c r="N103" s="3378"/>
      <c r="O103" s="3379"/>
      <c r="P103" s="3378"/>
      <c r="Q103" s="3378"/>
      <c r="R103" s="3379"/>
      <c r="S103" s="3378"/>
      <c r="T103" s="3378"/>
      <c r="U103" s="3379"/>
      <c r="V103" s="3378"/>
      <c r="W103" s="3378"/>
      <c r="X103" s="3379"/>
      <c r="Y103" s="3379"/>
      <c r="Z103" s="3379"/>
      <c r="AA103" s="3380"/>
    </row>
    <row r="104" spans="2:27" ht="31.5">
      <c r="B104" s="3350"/>
      <c r="C104" s="3351" t="s">
        <v>3927</v>
      </c>
      <c r="D104" s="3350"/>
      <c r="E104" s="3352">
        <v>10601</v>
      </c>
      <c r="F104" s="3381"/>
      <c r="G104" s="3382"/>
      <c r="H104" s="3383">
        <f t="shared" ref="H104:H107" si="56">IF(F104=0,0,G104/F104)</f>
        <v>0</v>
      </c>
      <c r="I104" s="3388"/>
      <c r="J104" s="3389"/>
      <c r="K104" s="3383">
        <f t="shared" ref="K104:K107" si="57">IF(I104=0,0,J104/I104)</f>
        <v>0</v>
      </c>
      <c r="L104" s="3386"/>
      <c r="M104" s="3387"/>
      <c r="N104" s="3383">
        <f t="shared" ref="N104:N107" si="58">IF(L104=0,0,M104/L104)</f>
        <v>0</v>
      </c>
      <c r="O104" s="3388"/>
      <c r="P104" s="3389"/>
      <c r="Q104" s="3383">
        <f t="shared" ref="Q104:Q107" si="59">IF(O104=0,0,P104/O104)</f>
        <v>0</v>
      </c>
      <c r="R104" s="3386"/>
      <c r="S104" s="3387"/>
      <c r="T104" s="3383">
        <f t="shared" ref="T104:T107" si="60">IF(R104=0,0,S104/R104)</f>
        <v>0</v>
      </c>
      <c r="U104" s="3388"/>
      <c r="V104" s="3389"/>
      <c r="W104" s="3383">
        <f t="shared" ref="W104:W107" si="61">IF(U104=0,0,V104/U104)</f>
        <v>0</v>
      </c>
      <c r="X104" s="3388"/>
      <c r="Y104" s="3386"/>
      <c r="Z104" s="3386"/>
      <c r="AA104" s="3391"/>
    </row>
    <row r="105" spans="2:27" ht="63">
      <c r="B105" s="3350"/>
      <c r="C105" s="3351" t="s">
        <v>3928</v>
      </c>
      <c r="D105" s="3350"/>
      <c r="E105" s="3352">
        <v>10602</v>
      </c>
      <c r="F105" s="3381"/>
      <c r="G105" s="3382"/>
      <c r="H105" s="3383">
        <f t="shared" si="56"/>
        <v>0</v>
      </c>
      <c r="I105" s="3388"/>
      <c r="J105" s="3389"/>
      <c r="K105" s="3383">
        <f t="shared" si="57"/>
        <v>0</v>
      </c>
      <c r="L105" s="3386"/>
      <c r="M105" s="3387"/>
      <c r="N105" s="3383">
        <f t="shared" si="58"/>
        <v>0</v>
      </c>
      <c r="O105" s="3388"/>
      <c r="P105" s="3389"/>
      <c r="Q105" s="3383">
        <f t="shared" si="59"/>
        <v>0</v>
      </c>
      <c r="R105" s="3386"/>
      <c r="S105" s="3387"/>
      <c r="T105" s="3383">
        <f t="shared" si="60"/>
        <v>0</v>
      </c>
      <c r="U105" s="3388"/>
      <c r="V105" s="3389"/>
      <c r="W105" s="3383">
        <f t="shared" si="61"/>
        <v>0</v>
      </c>
      <c r="X105" s="3388"/>
      <c r="Y105" s="3386"/>
      <c r="Z105" s="3386"/>
      <c r="AA105" s="3391"/>
    </row>
    <row r="106" spans="2:27" ht="31.5">
      <c r="B106" s="3350"/>
      <c r="C106" s="3351" t="s">
        <v>3929</v>
      </c>
      <c r="D106" s="3350"/>
      <c r="E106" s="3352">
        <v>10604</v>
      </c>
      <c r="F106" s="3381"/>
      <c r="G106" s="3382"/>
      <c r="H106" s="3383">
        <f t="shared" si="56"/>
        <v>0</v>
      </c>
      <c r="I106" s="3388"/>
      <c r="J106" s="3389"/>
      <c r="K106" s="3383">
        <f t="shared" si="57"/>
        <v>0</v>
      </c>
      <c r="L106" s="3386"/>
      <c r="M106" s="3387"/>
      <c r="N106" s="3383">
        <f t="shared" si="58"/>
        <v>0</v>
      </c>
      <c r="O106" s="3388"/>
      <c r="P106" s="3389"/>
      <c r="Q106" s="3383">
        <f t="shared" si="59"/>
        <v>0</v>
      </c>
      <c r="R106" s="3386"/>
      <c r="S106" s="3387"/>
      <c r="T106" s="3383">
        <f t="shared" si="60"/>
        <v>0</v>
      </c>
      <c r="U106" s="3388"/>
      <c r="V106" s="3389"/>
      <c r="W106" s="3383">
        <f t="shared" si="61"/>
        <v>0</v>
      </c>
      <c r="X106" s="3388"/>
      <c r="Y106" s="3386"/>
      <c r="Z106" s="3386"/>
      <c r="AA106" s="3391"/>
    </row>
    <row r="107" spans="2:27" ht="47.25">
      <c r="B107" s="3350"/>
      <c r="C107" s="3351" t="s">
        <v>3930</v>
      </c>
      <c r="D107" s="3350"/>
      <c r="E107" s="3352">
        <v>10620</v>
      </c>
      <c r="F107" s="3381"/>
      <c r="G107" s="3382"/>
      <c r="H107" s="3383">
        <f t="shared" si="56"/>
        <v>0</v>
      </c>
      <c r="I107" s="3384"/>
      <c r="J107" s="3385"/>
      <c r="K107" s="3383">
        <f t="shared" si="57"/>
        <v>0</v>
      </c>
      <c r="L107" s="3390"/>
      <c r="M107" s="3382"/>
      <c r="N107" s="3383">
        <f t="shared" si="58"/>
        <v>0</v>
      </c>
      <c r="O107" s="3384"/>
      <c r="P107" s="3385"/>
      <c r="Q107" s="3383">
        <f t="shared" si="59"/>
        <v>0</v>
      </c>
      <c r="R107" s="3390"/>
      <c r="S107" s="3382"/>
      <c r="T107" s="3383">
        <f t="shared" si="60"/>
        <v>0</v>
      </c>
      <c r="U107" s="3384"/>
      <c r="V107" s="3385"/>
      <c r="W107" s="3383">
        <f t="shared" si="61"/>
        <v>0</v>
      </c>
      <c r="X107" s="3384"/>
      <c r="Y107" s="3386"/>
      <c r="Z107" s="3386"/>
      <c r="AA107" s="3391"/>
    </row>
    <row r="108" spans="2:27" ht="18">
      <c r="B108" s="3350"/>
      <c r="C108" s="3351" t="s">
        <v>512</v>
      </c>
      <c r="D108" s="3350"/>
      <c r="E108" s="3352"/>
      <c r="F108" s="3377"/>
      <c r="G108" s="3378"/>
      <c r="H108" s="3378"/>
      <c r="I108" s="3379"/>
      <c r="J108" s="3378"/>
      <c r="K108" s="3378"/>
      <c r="L108" s="3379"/>
      <c r="M108" s="3378"/>
      <c r="N108" s="3378"/>
      <c r="O108" s="3379"/>
      <c r="P108" s="3378"/>
      <c r="Q108" s="3378"/>
      <c r="R108" s="3379"/>
      <c r="S108" s="3378"/>
      <c r="T108" s="3378"/>
      <c r="U108" s="3379"/>
      <c r="V108" s="3378"/>
      <c r="W108" s="3378"/>
      <c r="X108" s="3379"/>
      <c r="Y108" s="3379"/>
      <c r="Z108" s="3379"/>
      <c r="AA108" s="3380"/>
    </row>
    <row r="109" spans="2:27" ht="31.5">
      <c r="B109" s="3350"/>
      <c r="C109" s="3351" t="s">
        <v>3931</v>
      </c>
      <c r="D109" s="3350"/>
      <c r="E109" s="3352">
        <v>10621</v>
      </c>
      <c r="F109" s="3381"/>
      <c r="G109" s="3382"/>
      <c r="H109" s="3383">
        <f t="shared" ref="H109:H111" si="62">IF(F109=0,0,G109/F109)</f>
        <v>0</v>
      </c>
      <c r="I109" s="3384"/>
      <c r="J109" s="3385"/>
      <c r="K109" s="3383">
        <f t="shared" ref="K109:K111" si="63">IF(I109=0,0,J109/I109)</f>
        <v>0</v>
      </c>
      <c r="L109" s="3386"/>
      <c r="M109" s="3387"/>
      <c r="N109" s="3383">
        <f t="shared" ref="N109:N111" si="64">IF(L109=0,0,M109/L109)</f>
        <v>0</v>
      </c>
      <c r="O109" s="3388"/>
      <c r="P109" s="3389"/>
      <c r="Q109" s="3383">
        <f t="shared" ref="Q109:Q111" si="65">IF(O109=0,0,P109/O109)</f>
        <v>0</v>
      </c>
      <c r="R109" s="3386"/>
      <c r="S109" s="3387"/>
      <c r="T109" s="3383">
        <f t="shared" ref="T109:T111" si="66">IF(R109=0,0,S109/R109)</f>
        <v>0</v>
      </c>
      <c r="U109" s="3384"/>
      <c r="V109" s="3385"/>
      <c r="W109" s="3383">
        <f t="shared" ref="W109:W111" si="67">IF(U109=0,0,V109/U109)</f>
        <v>0</v>
      </c>
      <c r="X109" s="3384"/>
      <c r="Y109" s="3386"/>
      <c r="Z109" s="3386"/>
      <c r="AA109" s="3391"/>
    </row>
    <row r="110" spans="2:27" ht="63">
      <c r="B110" s="3350"/>
      <c r="C110" s="3351" t="s">
        <v>3932</v>
      </c>
      <c r="D110" s="3350"/>
      <c r="E110" s="3352">
        <v>10700</v>
      </c>
      <c r="F110" s="3381">
        <f>F116-F63-F86-F111</f>
        <v>28987.540999999997</v>
      </c>
      <c r="G110" s="3382">
        <f>G116-G63-G86-G111</f>
        <v>241139.39182999998</v>
      </c>
      <c r="H110" s="3383">
        <f t="shared" si="62"/>
        <v>8.3187253389309568</v>
      </c>
      <c r="I110" s="3384"/>
      <c r="J110" s="3385"/>
      <c r="K110" s="3383">
        <f t="shared" si="63"/>
        <v>0</v>
      </c>
      <c r="L110" s="3386">
        <f>'Раздел 2А'!F47</f>
        <v>4162.308</v>
      </c>
      <c r="M110" s="3387">
        <f>ROUND('Раздел 2А'!M47/1.2,5)</f>
        <v>33179.400829999999</v>
      </c>
      <c r="N110" s="3383">
        <f t="shared" si="64"/>
        <v>7.9713949159937227</v>
      </c>
      <c r="O110" s="3384"/>
      <c r="P110" s="3385"/>
      <c r="Q110" s="3383">
        <f t="shared" si="65"/>
        <v>0</v>
      </c>
      <c r="R110" s="3386">
        <f>'Раздел 2А'!F45</f>
        <v>14113.965</v>
      </c>
      <c r="S110" s="3387">
        <f>ROUND('Раздел 2А'!M45/1.2,5)</f>
        <v>100196.94648</v>
      </c>
      <c r="T110" s="3383">
        <f t="shared" si="66"/>
        <v>7.0991352522129674</v>
      </c>
      <c r="U110" s="3384"/>
      <c r="V110" s="3385"/>
      <c r="W110" s="3383">
        <f t="shared" si="67"/>
        <v>0</v>
      </c>
      <c r="X110" s="3384"/>
      <c r="Y110" s="3390"/>
      <c r="Z110" s="3386"/>
      <c r="AA110" s="3391"/>
    </row>
    <row r="111" spans="2:27" ht="47.25">
      <c r="B111" s="3350"/>
      <c r="C111" s="3351" t="s">
        <v>3933</v>
      </c>
      <c r="D111" s="3350"/>
      <c r="E111" s="3352">
        <v>10800</v>
      </c>
      <c r="F111" s="3381">
        <f>'Шаблон 46 ГП'!C27/1000</f>
        <v>24830.239000000001</v>
      </c>
      <c r="G111" s="3382">
        <f>ROUND('Шаблон 46 ГП'!L27/1000*1.2,5)</f>
        <v>68444.663709999993</v>
      </c>
      <c r="H111" s="3383">
        <f t="shared" si="62"/>
        <v>2.7565044263166372</v>
      </c>
      <c r="I111" s="3384"/>
      <c r="J111" s="3385"/>
      <c r="K111" s="3383">
        <f t="shared" si="63"/>
        <v>0</v>
      </c>
      <c r="L111" s="3390"/>
      <c r="M111" s="3382"/>
      <c r="N111" s="3383">
        <f t="shared" si="64"/>
        <v>0</v>
      </c>
      <c r="O111" s="3388"/>
      <c r="P111" s="3389"/>
      <c r="Q111" s="3383">
        <f t="shared" si="65"/>
        <v>0</v>
      </c>
      <c r="R111" s="3390"/>
      <c r="S111" s="3382"/>
      <c r="T111" s="3383">
        <f t="shared" si="66"/>
        <v>0</v>
      </c>
      <c r="U111" s="3388"/>
      <c r="V111" s="3389"/>
      <c r="W111" s="3383">
        <f t="shared" si="67"/>
        <v>0</v>
      </c>
      <c r="X111" s="3384"/>
      <c r="Y111" s="3390"/>
      <c r="Z111" s="3386"/>
      <c r="AA111" s="3391"/>
    </row>
    <row r="112" spans="2:27" ht="18">
      <c r="B112" s="3350"/>
      <c r="C112" s="3351" t="s">
        <v>512</v>
      </c>
      <c r="D112" s="3350"/>
      <c r="E112" s="3352"/>
      <c r="F112" s="3377"/>
      <c r="G112" s="3378"/>
      <c r="H112" s="3378"/>
      <c r="I112" s="3379"/>
      <c r="J112" s="3378"/>
      <c r="K112" s="3378"/>
      <c r="L112" s="3379"/>
      <c r="M112" s="3378"/>
      <c r="N112" s="3378"/>
      <c r="O112" s="3379"/>
      <c r="P112" s="3378"/>
      <c r="Q112" s="3378"/>
      <c r="R112" s="3379"/>
      <c r="S112" s="3378"/>
      <c r="T112" s="3378"/>
      <c r="U112" s="3379"/>
      <c r="V112" s="3378"/>
      <c r="W112" s="3378"/>
      <c r="X112" s="3379"/>
      <c r="Y112" s="3379"/>
      <c r="Z112" s="3379"/>
      <c r="AA112" s="3380"/>
    </row>
    <row r="113" spans="2:27" ht="18">
      <c r="B113" s="3350"/>
      <c r="C113" s="3351" t="s">
        <v>3934</v>
      </c>
      <c r="D113" s="3350"/>
      <c r="E113" s="3352">
        <v>10810</v>
      </c>
      <c r="F113" s="3381">
        <f>('Шаблон 46 ГП'!C28+'Шаблон 46 ГП'!C31+'Шаблон 46 ГП'!C34+'Шаблон 46 ГП'!C37+'Шаблон 46 ГП'!C38+'Шаблон 46 ГП'!C39+'Шаблон 46 ГП'!C40+'Шаблон 46 ГП'!C43+'Шаблон 46 ГП'!C46)/1000</f>
        <v>22684.329000000002</v>
      </c>
      <c r="G113" s="3382">
        <f>ROUND(('Шаблон 46 ГП'!L28+'Шаблон 46 ГП'!L31+'Шаблон 46 ГП'!L34+'Шаблон 46 ГП'!L37+'Шаблон 46 ГП'!L38+'Шаблон 46 ГП'!L39+'Шаблон 46 ГП'!L40+'Шаблон 46 ГП'!L43+'Шаблон 46 ГП'!L46)/1000*1.2,5)</f>
        <v>60836.04868</v>
      </c>
      <c r="H113" s="3383">
        <f t="shared" ref="H113:H116" si="68">IF(F113=0,0,G113/F113)</f>
        <v>2.6818535686023597</v>
      </c>
      <c r="I113" s="3384"/>
      <c r="J113" s="3385"/>
      <c r="K113" s="3383">
        <f t="shared" ref="K113:K116" si="69">IF(I113=0,0,J113/I113)</f>
        <v>0</v>
      </c>
      <c r="L113" s="3395">
        <f t="shared" ref="L113:W115" si="70">(0)</f>
        <v>0</v>
      </c>
      <c r="M113" s="3396">
        <f t="shared" si="70"/>
        <v>0</v>
      </c>
      <c r="N113" s="3396">
        <f t="shared" si="70"/>
        <v>0</v>
      </c>
      <c r="O113" s="3395">
        <f t="shared" si="70"/>
        <v>0</v>
      </c>
      <c r="P113" s="3396">
        <f t="shared" si="70"/>
        <v>0</v>
      </c>
      <c r="Q113" s="3396">
        <f t="shared" si="70"/>
        <v>0</v>
      </c>
      <c r="R113" s="3395">
        <f t="shared" si="70"/>
        <v>0</v>
      </c>
      <c r="S113" s="3396">
        <f t="shared" si="70"/>
        <v>0</v>
      </c>
      <c r="T113" s="3396">
        <f t="shared" si="70"/>
        <v>0</v>
      </c>
      <c r="U113" s="3395">
        <f t="shared" si="70"/>
        <v>0</v>
      </c>
      <c r="V113" s="3396">
        <f t="shared" si="70"/>
        <v>0</v>
      </c>
      <c r="W113" s="3396">
        <f t="shared" si="70"/>
        <v>0</v>
      </c>
      <c r="X113" s="3388"/>
      <c r="Y113" s="3390"/>
      <c r="Z113" s="3386"/>
      <c r="AA113" s="3397">
        <f t="shared" ref="AA113:AA115" si="71">(0)</f>
        <v>0</v>
      </c>
    </row>
    <row r="114" spans="2:27" ht="47.25">
      <c r="B114" s="3350"/>
      <c r="C114" s="3351" t="s">
        <v>3935</v>
      </c>
      <c r="D114" s="3350"/>
      <c r="E114" s="3352">
        <v>10811</v>
      </c>
      <c r="F114" s="3381">
        <f>('Шаблон 46 ГП'!C28+'Шаблон 46 ГП'!C31+'Шаблон 46 ГП'!C34+'Шаблон 46 ГП'!C37+'Шаблон 46 ГП'!C38+'Шаблон 46 ГП'!C39)/1000</f>
        <v>21179.48</v>
      </c>
      <c r="G114" s="3382">
        <f>ROUND(('Шаблон 46 ГП'!L28+'Шаблон 46 ГП'!L31+'Шаблон 46 ГП'!L34+'Шаблон 46 ГП'!L37+'Шаблон 46 ГП'!L38+'Шаблон 46 ГП'!L39)/1000*1.2,5)</f>
        <v>55624.828690000002</v>
      </c>
      <c r="H114" s="3383">
        <f t="shared" si="68"/>
        <v>2.6263547872752309</v>
      </c>
      <c r="I114" s="3384"/>
      <c r="J114" s="3385"/>
      <c r="K114" s="3383">
        <f t="shared" si="69"/>
        <v>0</v>
      </c>
      <c r="L114" s="3395">
        <f t="shared" si="70"/>
        <v>0</v>
      </c>
      <c r="M114" s="3396">
        <f t="shared" si="70"/>
        <v>0</v>
      </c>
      <c r="N114" s="3396">
        <f t="shared" si="70"/>
        <v>0</v>
      </c>
      <c r="O114" s="3395">
        <f t="shared" si="70"/>
        <v>0</v>
      </c>
      <c r="P114" s="3396">
        <f t="shared" si="70"/>
        <v>0</v>
      </c>
      <c r="Q114" s="3396">
        <f t="shared" si="70"/>
        <v>0</v>
      </c>
      <c r="R114" s="3395">
        <f t="shared" si="70"/>
        <v>0</v>
      </c>
      <c r="S114" s="3396">
        <f t="shared" si="70"/>
        <v>0</v>
      </c>
      <c r="T114" s="3396">
        <f t="shared" si="70"/>
        <v>0</v>
      </c>
      <c r="U114" s="3395">
        <f t="shared" si="70"/>
        <v>0</v>
      </c>
      <c r="V114" s="3396">
        <f t="shared" si="70"/>
        <v>0</v>
      </c>
      <c r="W114" s="3396">
        <f t="shared" si="70"/>
        <v>0</v>
      </c>
      <c r="X114" s="3388"/>
      <c r="Y114" s="3390"/>
      <c r="Z114" s="3386"/>
      <c r="AA114" s="3397">
        <f t="shared" si="71"/>
        <v>0</v>
      </c>
    </row>
    <row r="115" spans="2:27" ht="18">
      <c r="B115" s="3350"/>
      <c r="C115" s="3351" t="s">
        <v>3936</v>
      </c>
      <c r="D115" s="3350"/>
      <c r="E115" s="3352">
        <v>10820</v>
      </c>
      <c r="F115" s="3381"/>
      <c r="G115" s="3382"/>
      <c r="H115" s="3383">
        <f t="shared" si="68"/>
        <v>0</v>
      </c>
      <c r="I115" s="3384"/>
      <c r="J115" s="3385"/>
      <c r="K115" s="3383">
        <f t="shared" si="69"/>
        <v>0</v>
      </c>
      <c r="L115" s="3395">
        <f t="shared" si="70"/>
        <v>0</v>
      </c>
      <c r="M115" s="3396">
        <f t="shared" si="70"/>
        <v>0</v>
      </c>
      <c r="N115" s="3396">
        <f t="shared" si="70"/>
        <v>0</v>
      </c>
      <c r="O115" s="3395">
        <f t="shared" si="70"/>
        <v>0</v>
      </c>
      <c r="P115" s="3396">
        <f t="shared" si="70"/>
        <v>0</v>
      </c>
      <c r="Q115" s="3396">
        <f t="shared" si="70"/>
        <v>0</v>
      </c>
      <c r="R115" s="3395">
        <f t="shared" si="70"/>
        <v>0</v>
      </c>
      <c r="S115" s="3396">
        <f t="shared" si="70"/>
        <v>0</v>
      </c>
      <c r="T115" s="3396">
        <f t="shared" si="70"/>
        <v>0</v>
      </c>
      <c r="U115" s="3395">
        <f t="shared" si="70"/>
        <v>0</v>
      </c>
      <c r="V115" s="3396">
        <f t="shared" si="70"/>
        <v>0</v>
      </c>
      <c r="W115" s="3396">
        <f t="shared" si="70"/>
        <v>0</v>
      </c>
      <c r="X115" s="3388"/>
      <c r="Y115" s="3386"/>
      <c r="Z115" s="3386"/>
      <c r="AA115" s="3397">
        <f t="shared" si="71"/>
        <v>0</v>
      </c>
    </row>
    <row r="116" spans="2:27" ht="31.5">
      <c r="B116" s="3350"/>
      <c r="C116" s="3351" t="s">
        <v>3937</v>
      </c>
      <c r="D116" s="3350"/>
      <c r="E116" s="3352">
        <v>10900</v>
      </c>
      <c r="F116" s="3392">
        <f>'Шаблон 46 ГП'!C277/1000</f>
        <v>55391.792000000001</v>
      </c>
      <c r="G116" s="3383">
        <f>ROUND('Шаблон 46 ГП'!L277/1000,5)</f>
        <v>322071.08970999997</v>
      </c>
      <c r="H116" s="3383">
        <f t="shared" si="68"/>
        <v>5.814419033599779</v>
      </c>
      <c r="I116" s="3393">
        <f t="shared" ref="I116:J116" si="72">I63+I67+I72+I86+I97+I100+I101+I102+I107+I110+I111</f>
        <v>0</v>
      </c>
      <c r="J116" s="3383">
        <f t="shared" si="72"/>
        <v>0</v>
      </c>
      <c r="K116" s="3383">
        <f t="shared" si="69"/>
        <v>0</v>
      </c>
      <c r="L116" s="3393">
        <f t="shared" ref="L116:M116" si="73">L63+L67+L72+L86+L97+L100+L101+L102+L107+L110+L111</f>
        <v>4162.308</v>
      </c>
      <c r="M116" s="3383">
        <f t="shared" si="73"/>
        <v>33179.400829999999</v>
      </c>
      <c r="N116" s="3383">
        <f>IF(L116=0,0,M116/L116)</f>
        <v>7.9713949159937227</v>
      </c>
      <c r="O116" s="3393">
        <f t="shared" ref="O116:P116" si="74">O63+O67+O72+O86+O97+O100+O101+O102+O107+O110+O111</f>
        <v>0</v>
      </c>
      <c r="P116" s="3383">
        <f t="shared" si="74"/>
        <v>0</v>
      </c>
      <c r="Q116" s="3383">
        <f>IF(O116=0,0,P116/O116)</f>
        <v>0</v>
      </c>
      <c r="R116" s="3393">
        <f t="shared" ref="R116:S116" si="75">R63+R67+R72+R86+R97+R100+R101+R102+R107+R110+R111</f>
        <v>14113.965</v>
      </c>
      <c r="S116" s="3383">
        <f t="shared" si="75"/>
        <v>100196.94648</v>
      </c>
      <c r="T116" s="3383">
        <f>IF(R116=0,0,S116/R116)</f>
        <v>7.0991352522129674</v>
      </c>
      <c r="U116" s="3393">
        <f t="shared" ref="U116:V116" si="76">U63+U67+U72+U86+U97+U100+U101+U102+U107+U110+U111</f>
        <v>0</v>
      </c>
      <c r="V116" s="3383">
        <f t="shared" si="76"/>
        <v>0</v>
      </c>
      <c r="W116" s="3383">
        <f>IF(U116=0,0,V116/U116)</f>
        <v>0</v>
      </c>
      <c r="X116" s="3393">
        <f t="shared" ref="X116:AA116" si="77">X63+X67+X72+X86+X97+X100+X101+X102+X107+X110+X111</f>
        <v>0</v>
      </c>
      <c r="Y116" s="3393">
        <f t="shared" si="77"/>
        <v>0</v>
      </c>
      <c r="Z116" s="3393">
        <f t="shared" si="77"/>
        <v>0</v>
      </c>
      <c r="AA116" s="3394">
        <f t="shared" si="77"/>
        <v>0</v>
      </c>
    </row>
    <row r="117" spans="2:27" ht="18">
      <c r="B117" s="3350"/>
      <c r="C117" s="3351" t="s">
        <v>512</v>
      </c>
      <c r="D117" s="3350"/>
      <c r="E117" s="3352"/>
      <c r="F117" s="3377"/>
      <c r="G117" s="3378"/>
      <c r="H117" s="3378"/>
      <c r="I117" s="3379"/>
      <c r="J117" s="3378"/>
      <c r="K117" s="3378"/>
      <c r="L117" s="3379"/>
      <c r="M117" s="3378"/>
      <c r="N117" s="3378"/>
      <c r="O117" s="3379"/>
      <c r="P117" s="3378"/>
      <c r="Q117" s="3378"/>
      <c r="R117" s="3379"/>
      <c r="S117" s="3378"/>
      <c r="T117" s="3378"/>
      <c r="U117" s="3379"/>
      <c r="V117" s="3378"/>
      <c r="W117" s="3378"/>
      <c r="X117" s="3379"/>
      <c r="Y117" s="3379"/>
      <c r="Z117" s="3379"/>
      <c r="AA117" s="3380"/>
    </row>
    <row r="118" spans="2:27" ht="18">
      <c r="B118" s="3350"/>
      <c r="C118" s="3351" t="s">
        <v>3938</v>
      </c>
      <c r="D118" s="3350"/>
      <c r="E118" s="3352">
        <v>10901</v>
      </c>
      <c r="F118" s="3381">
        <f>F116</f>
        <v>55391.792000000001</v>
      </c>
      <c r="G118" s="3382">
        <f>G116</f>
        <v>322071.08970999997</v>
      </c>
      <c r="H118" s="3383">
        <f t="shared" ref="H118:H119" si="78">IF(F118=0,0,G118/F118)</f>
        <v>5.814419033599779</v>
      </c>
      <c r="I118" s="3384"/>
      <c r="J118" s="3385"/>
      <c r="K118" s="3383">
        <f t="shared" ref="K118:K119" si="79">IF(I118=0,0,J118/I118)</f>
        <v>0</v>
      </c>
      <c r="L118" s="3395">
        <f t="shared" ref="L118:W119" si="80">(0)</f>
        <v>0</v>
      </c>
      <c r="M118" s="3396">
        <f t="shared" si="80"/>
        <v>0</v>
      </c>
      <c r="N118" s="3396">
        <f t="shared" si="80"/>
        <v>0</v>
      </c>
      <c r="O118" s="3395">
        <f t="shared" si="80"/>
        <v>0</v>
      </c>
      <c r="P118" s="3396">
        <f t="shared" si="80"/>
        <v>0</v>
      </c>
      <c r="Q118" s="3396">
        <f t="shared" si="80"/>
        <v>0</v>
      </c>
      <c r="R118" s="3395">
        <f t="shared" si="80"/>
        <v>0</v>
      </c>
      <c r="S118" s="3396">
        <f t="shared" si="80"/>
        <v>0</v>
      </c>
      <c r="T118" s="3396">
        <f t="shared" si="80"/>
        <v>0</v>
      </c>
      <c r="U118" s="3395">
        <f t="shared" si="80"/>
        <v>0</v>
      </c>
      <c r="V118" s="3396">
        <f t="shared" si="80"/>
        <v>0</v>
      </c>
      <c r="W118" s="3396">
        <f t="shared" si="80"/>
        <v>0</v>
      </c>
      <c r="X118" s="3384"/>
      <c r="Y118" s="3386">
        <f>Y116</f>
        <v>0</v>
      </c>
      <c r="Z118" s="3386"/>
      <c r="AA118" s="3391"/>
    </row>
    <row r="119" spans="2:27" ht="31.5">
      <c r="B119" s="3350"/>
      <c r="C119" s="3351" t="s">
        <v>3939</v>
      </c>
      <c r="D119" s="3350"/>
      <c r="E119" s="3352">
        <v>10902</v>
      </c>
      <c r="F119" s="3381"/>
      <c r="G119" s="3382"/>
      <c r="H119" s="3383">
        <f t="shared" si="78"/>
        <v>0</v>
      </c>
      <c r="I119" s="3384"/>
      <c r="J119" s="3385"/>
      <c r="K119" s="3383">
        <f t="shared" si="79"/>
        <v>0</v>
      </c>
      <c r="L119" s="3395">
        <f t="shared" si="80"/>
        <v>0</v>
      </c>
      <c r="M119" s="3396">
        <f t="shared" si="80"/>
        <v>0</v>
      </c>
      <c r="N119" s="3396">
        <f t="shared" si="80"/>
        <v>0</v>
      </c>
      <c r="O119" s="3395">
        <f t="shared" si="80"/>
        <v>0</v>
      </c>
      <c r="P119" s="3396">
        <f t="shared" si="80"/>
        <v>0</v>
      </c>
      <c r="Q119" s="3396">
        <f t="shared" si="80"/>
        <v>0</v>
      </c>
      <c r="R119" s="3395">
        <f t="shared" si="80"/>
        <v>0</v>
      </c>
      <c r="S119" s="3396">
        <f t="shared" si="80"/>
        <v>0</v>
      </c>
      <c r="T119" s="3396">
        <f t="shared" si="80"/>
        <v>0</v>
      </c>
      <c r="U119" s="3395">
        <f t="shared" si="80"/>
        <v>0</v>
      </c>
      <c r="V119" s="3396">
        <f t="shared" si="80"/>
        <v>0</v>
      </c>
      <c r="W119" s="3396">
        <f t="shared" si="80"/>
        <v>0</v>
      </c>
      <c r="X119" s="3384"/>
      <c r="Y119" s="3386"/>
      <c r="Z119" s="3386"/>
      <c r="AA119" s="3391"/>
    </row>
    <row r="120" spans="2:27" ht="18">
      <c r="B120" s="3350"/>
      <c r="C120" s="3351" t="s">
        <v>3940</v>
      </c>
      <c r="D120" s="3350"/>
      <c r="E120" s="3352"/>
      <c r="F120" s="3377"/>
      <c r="G120" s="3378"/>
      <c r="H120" s="3378"/>
      <c r="I120" s="3379"/>
      <c r="J120" s="3378"/>
      <c r="K120" s="3378"/>
      <c r="L120" s="3379"/>
      <c r="M120" s="3378"/>
      <c r="N120" s="3378"/>
      <c r="O120" s="3379"/>
      <c r="P120" s="3378"/>
      <c r="Q120" s="3378"/>
      <c r="R120" s="3379"/>
      <c r="S120" s="3378"/>
      <c r="T120" s="3378"/>
      <c r="U120" s="3379"/>
      <c r="V120" s="3378"/>
      <c r="W120" s="3378"/>
      <c r="X120" s="3379"/>
      <c r="Y120" s="3379"/>
      <c r="Z120" s="3379"/>
      <c r="AA120" s="3380"/>
    </row>
    <row r="121" spans="2:27" ht="63">
      <c r="B121" s="3350"/>
      <c r="C121" s="3351" t="s">
        <v>3941</v>
      </c>
      <c r="D121" s="3350"/>
      <c r="E121" s="3352">
        <v>10920</v>
      </c>
      <c r="F121" s="3392">
        <f t="shared" ref="F121:G121" si="81">F123+F124</f>
        <v>1788.328</v>
      </c>
      <c r="G121" s="3383">
        <f t="shared" si="81"/>
        <v>7063.84195</v>
      </c>
      <c r="H121" s="3383">
        <f>IF(F121=0,0,G121/F121)</f>
        <v>3.9499699999105311</v>
      </c>
      <c r="I121" s="3393">
        <f t="shared" ref="I121:J121" si="82">I123+I124</f>
        <v>0</v>
      </c>
      <c r="J121" s="3383">
        <f t="shared" si="82"/>
        <v>0</v>
      </c>
      <c r="K121" s="3383">
        <f>IF(I121=0,0,J121/I121)</f>
        <v>0</v>
      </c>
      <c r="L121" s="3395">
        <f t="shared" ref="L121:W121" si="83">(0)</f>
        <v>0</v>
      </c>
      <c r="M121" s="3396">
        <f t="shared" si="83"/>
        <v>0</v>
      </c>
      <c r="N121" s="3396">
        <f t="shared" si="83"/>
        <v>0</v>
      </c>
      <c r="O121" s="3395">
        <f t="shared" si="83"/>
        <v>0</v>
      </c>
      <c r="P121" s="3396">
        <f t="shared" si="83"/>
        <v>0</v>
      </c>
      <c r="Q121" s="3396">
        <f t="shared" si="83"/>
        <v>0</v>
      </c>
      <c r="R121" s="3395">
        <f t="shared" si="83"/>
        <v>0</v>
      </c>
      <c r="S121" s="3396">
        <f t="shared" si="83"/>
        <v>0</v>
      </c>
      <c r="T121" s="3396">
        <f t="shared" si="83"/>
        <v>0</v>
      </c>
      <c r="U121" s="3395">
        <f t="shared" si="83"/>
        <v>0</v>
      </c>
      <c r="V121" s="3396">
        <f t="shared" si="83"/>
        <v>0</v>
      </c>
      <c r="W121" s="3396">
        <f t="shared" si="83"/>
        <v>0</v>
      </c>
      <c r="X121" s="3393">
        <f t="shared" ref="X121:AA121" si="84">X123+X124</f>
        <v>0</v>
      </c>
      <c r="Y121" s="3393">
        <f t="shared" si="84"/>
        <v>0</v>
      </c>
      <c r="Z121" s="3393">
        <f t="shared" si="84"/>
        <v>0</v>
      </c>
      <c r="AA121" s="3394">
        <f t="shared" si="84"/>
        <v>0</v>
      </c>
    </row>
    <row r="122" spans="2:27" ht="18">
      <c r="B122" s="3350"/>
      <c r="C122" s="3351" t="s">
        <v>512</v>
      </c>
      <c r="D122" s="3350"/>
      <c r="E122" s="3352"/>
      <c r="F122" s="3377"/>
      <c r="G122" s="3378"/>
      <c r="H122" s="3378"/>
      <c r="I122" s="3379"/>
      <c r="J122" s="3378"/>
      <c r="K122" s="3378"/>
      <c r="L122" s="3379"/>
      <c r="M122" s="3378"/>
      <c r="N122" s="3378"/>
      <c r="O122" s="3379"/>
      <c r="P122" s="3378"/>
      <c r="Q122" s="3378"/>
      <c r="R122" s="3379"/>
      <c r="S122" s="3378"/>
      <c r="T122" s="3378"/>
      <c r="U122" s="3379"/>
      <c r="V122" s="3378"/>
      <c r="W122" s="3378"/>
      <c r="X122" s="3379"/>
      <c r="Y122" s="3379"/>
      <c r="Z122" s="3379"/>
      <c r="AA122" s="3380"/>
    </row>
    <row r="123" spans="2:27" ht="47.25">
      <c r="B123" s="3350"/>
      <c r="C123" s="3351" t="s">
        <v>3942</v>
      </c>
      <c r="D123" s="3350"/>
      <c r="E123" s="3352">
        <v>10921</v>
      </c>
      <c r="F123" s="3381"/>
      <c r="G123" s="3382"/>
      <c r="H123" s="3383">
        <f t="shared" ref="H123:H124" si="85">IF(F123=0,0,G123/F123)</f>
        <v>0</v>
      </c>
      <c r="I123" s="3388"/>
      <c r="J123" s="3389"/>
      <c r="K123" s="3383">
        <f t="shared" ref="K123:K124" si="86">IF(I123=0,0,J123/I123)</f>
        <v>0</v>
      </c>
      <c r="L123" s="3395">
        <f t="shared" ref="L123:W124" si="87">(0)</f>
        <v>0</v>
      </c>
      <c r="M123" s="3396">
        <f t="shared" si="87"/>
        <v>0</v>
      </c>
      <c r="N123" s="3396">
        <f t="shared" si="87"/>
        <v>0</v>
      </c>
      <c r="O123" s="3395">
        <f t="shared" si="87"/>
        <v>0</v>
      </c>
      <c r="P123" s="3396">
        <f t="shared" si="87"/>
        <v>0</v>
      </c>
      <c r="Q123" s="3396">
        <f t="shared" si="87"/>
        <v>0</v>
      </c>
      <c r="R123" s="3395">
        <f t="shared" si="87"/>
        <v>0</v>
      </c>
      <c r="S123" s="3396">
        <f t="shared" si="87"/>
        <v>0</v>
      </c>
      <c r="T123" s="3396">
        <f t="shared" si="87"/>
        <v>0</v>
      </c>
      <c r="U123" s="3395">
        <f t="shared" si="87"/>
        <v>0</v>
      </c>
      <c r="V123" s="3396">
        <f t="shared" si="87"/>
        <v>0</v>
      </c>
      <c r="W123" s="3396">
        <f t="shared" si="87"/>
        <v>0</v>
      </c>
      <c r="X123" s="3388"/>
      <c r="Y123" s="3386"/>
      <c r="Z123" s="3386"/>
      <c r="AA123" s="3391"/>
    </row>
    <row r="124" spans="2:27" ht="18">
      <c r="B124" s="3350"/>
      <c r="C124" s="3351" t="s">
        <v>3943</v>
      </c>
      <c r="D124" s="3350"/>
      <c r="E124" s="3352">
        <v>10922</v>
      </c>
      <c r="F124" s="3381">
        <f>'Шаблон 46 ГП'!C268/1000</f>
        <v>1788.328</v>
      </c>
      <c r="G124" s="3382">
        <f>ROUND('Шаблон 46 ГП'!L268/1000,5)</f>
        <v>7063.84195</v>
      </c>
      <c r="H124" s="3383">
        <f t="shared" si="85"/>
        <v>3.9499699999105311</v>
      </c>
      <c r="I124" s="3384"/>
      <c r="J124" s="3385"/>
      <c r="K124" s="3383">
        <f t="shared" si="86"/>
        <v>0</v>
      </c>
      <c r="L124" s="3395">
        <f t="shared" si="87"/>
        <v>0</v>
      </c>
      <c r="M124" s="3396">
        <f t="shared" si="87"/>
        <v>0</v>
      </c>
      <c r="N124" s="3396">
        <f t="shared" si="87"/>
        <v>0</v>
      </c>
      <c r="O124" s="3395">
        <f t="shared" si="87"/>
        <v>0</v>
      </c>
      <c r="P124" s="3396">
        <f t="shared" si="87"/>
        <v>0</v>
      </c>
      <c r="Q124" s="3396">
        <f t="shared" si="87"/>
        <v>0</v>
      </c>
      <c r="R124" s="3395">
        <f t="shared" si="87"/>
        <v>0</v>
      </c>
      <c r="S124" s="3396">
        <f t="shared" si="87"/>
        <v>0</v>
      </c>
      <c r="T124" s="3396">
        <f t="shared" si="87"/>
        <v>0</v>
      </c>
      <c r="U124" s="3395">
        <f t="shared" si="87"/>
        <v>0</v>
      </c>
      <c r="V124" s="3396">
        <f t="shared" si="87"/>
        <v>0</v>
      </c>
      <c r="W124" s="3396">
        <f t="shared" si="87"/>
        <v>0</v>
      </c>
      <c r="X124" s="3388"/>
      <c r="Y124" s="3386"/>
      <c r="Z124" s="3386"/>
      <c r="AA124" s="3391"/>
    </row>
    <row r="125" spans="2:27" ht="18">
      <c r="B125" s="3350"/>
      <c r="C125" s="3351" t="s">
        <v>3944</v>
      </c>
      <c r="D125" s="3350"/>
      <c r="E125" s="3352"/>
      <c r="F125" s="3377"/>
      <c r="G125" s="3378"/>
      <c r="H125" s="3378"/>
      <c r="I125" s="3379"/>
      <c r="J125" s="3378"/>
      <c r="K125" s="3378"/>
      <c r="L125" s="3379"/>
      <c r="M125" s="3378"/>
      <c r="N125" s="3378"/>
      <c r="O125" s="3379"/>
      <c r="P125" s="3378"/>
      <c r="Q125" s="3378"/>
      <c r="R125" s="3379"/>
      <c r="S125" s="3378"/>
      <c r="T125" s="3378"/>
      <c r="U125" s="3379"/>
      <c r="V125" s="3378"/>
      <c r="W125" s="3378"/>
      <c r="X125" s="3379"/>
      <c r="Y125" s="3379"/>
      <c r="Z125" s="3379"/>
      <c r="AA125" s="3380"/>
    </row>
    <row r="126" spans="2:27" ht="63">
      <c r="B126" s="3350"/>
      <c r="C126" s="3398" t="s">
        <v>3945</v>
      </c>
      <c r="D126" s="3350"/>
      <c r="E126" s="3352">
        <v>10910</v>
      </c>
      <c r="F126" s="3399">
        <f>F92</f>
        <v>1451.1590000000001</v>
      </c>
      <c r="G126" s="3400">
        <f>G92</f>
        <v>11429.76</v>
      </c>
      <c r="H126" s="3383">
        <f t="shared" ref="H126:H380" si="88">IF(F126=0,0,G126/F126)</f>
        <v>7.8762974973796807</v>
      </c>
      <c r="I126" s="3384"/>
      <c r="J126" s="3385"/>
      <c r="K126" s="3383">
        <f t="shared" ref="K126:K380" si="89">IF(I126=0,0,J126/I126)</f>
        <v>0</v>
      </c>
      <c r="L126" s="3395">
        <f t="shared" ref="L126:W147" si="90">(0)</f>
        <v>0</v>
      </c>
      <c r="M126" s="3396">
        <f t="shared" si="90"/>
        <v>0</v>
      </c>
      <c r="N126" s="3396">
        <f t="shared" si="90"/>
        <v>0</v>
      </c>
      <c r="O126" s="3395">
        <f t="shared" si="90"/>
        <v>0</v>
      </c>
      <c r="P126" s="3396">
        <f t="shared" si="90"/>
        <v>0</v>
      </c>
      <c r="Q126" s="3396">
        <f t="shared" si="90"/>
        <v>0</v>
      </c>
      <c r="R126" s="3395">
        <f t="shared" si="90"/>
        <v>0</v>
      </c>
      <c r="S126" s="3396">
        <f t="shared" si="90"/>
        <v>0</v>
      </c>
      <c r="T126" s="3396">
        <f t="shared" si="90"/>
        <v>0</v>
      </c>
      <c r="U126" s="3395">
        <f t="shared" si="90"/>
        <v>0</v>
      </c>
      <c r="V126" s="3396">
        <f t="shared" si="90"/>
        <v>0</v>
      </c>
      <c r="W126" s="3396">
        <f t="shared" si="90"/>
        <v>0</v>
      </c>
      <c r="X126" s="3384"/>
      <c r="Y126" s="3401"/>
      <c r="Z126" s="3401"/>
      <c r="AA126" s="3402"/>
    </row>
    <row r="127" spans="2:27" ht="18">
      <c r="B127" s="3350"/>
      <c r="C127" s="3403" t="s">
        <v>3946</v>
      </c>
      <c r="D127" s="3350"/>
      <c r="E127" s="3404">
        <v>1091000001</v>
      </c>
      <c r="F127" s="3405">
        <f>F126-F128-F129-F130-F131-F132-F133-F134-F135-F136</f>
        <v>1451.1590000000001</v>
      </c>
      <c r="G127" s="3387">
        <f>G126-G128-G129-G130-G131-G132-G133-G134-G135-G136</f>
        <v>11429.76</v>
      </c>
      <c r="H127" s="3383">
        <f t="shared" si="88"/>
        <v>7.8762974973796807</v>
      </c>
      <c r="I127" s="3386"/>
      <c r="J127" s="3387"/>
      <c r="K127" s="3383">
        <f t="shared" si="89"/>
        <v>0</v>
      </c>
      <c r="L127" s="3395">
        <f t="shared" si="90"/>
        <v>0</v>
      </c>
      <c r="M127" s="3396">
        <f t="shared" si="90"/>
        <v>0</v>
      </c>
      <c r="N127" s="3396">
        <f t="shared" si="90"/>
        <v>0</v>
      </c>
      <c r="O127" s="3395">
        <f t="shared" si="90"/>
        <v>0</v>
      </c>
      <c r="P127" s="3396">
        <f t="shared" si="90"/>
        <v>0</v>
      </c>
      <c r="Q127" s="3396">
        <f t="shared" si="90"/>
        <v>0</v>
      </c>
      <c r="R127" s="3395">
        <f t="shared" si="90"/>
        <v>0</v>
      </c>
      <c r="S127" s="3396">
        <f t="shared" si="90"/>
        <v>0</v>
      </c>
      <c r="T127" s="3396">
        <f t="shared" si="90"/>
        <v>0</v>
      </c>
      <c r="U127" s="3395">
        <f t="shared" si="90"/>
        <v>0</v>
      </c>
      <c r="V127" s="3396">
        <f t="shared" si="90"/>
        <v>0</v>
      </c>
      <c r="W127" s="3396">
        <f t="shared" si="90"/>
        <v>0</v>
      </c>
      <c r="X127" s="3386"/>
      <c r="Y127" s="3386"/>
      <c r="Z127" s="3386"/>
      <c r="AA127" s="3391"/>
    </row>
    <row r="128" spans="2:27" ht="18">
      <c r="B128" s="3350"/>
      <c r="C128" s="3403" t="s">
        <v>3947</v>
      </c>
      <c r="D128" s="3350"/>
      <c r="E128" s="3404">
        <v>1091000002</v>
      </c>
      <c r="F128" s="3406"/>
      <c r="G128" s="3387"/>
      <c r="H128" s="3383">
        <f t="shared" si="88"/>
        <v>0</v>
      </c>
      <c r="I128" s="3386"/>
      <c r="J128" s="3387"/>
      <c r="K128" s="3383">
        <f t="shared" si="89"/>
        <v>0</v>
      </c>
      <c r="L128" s="3395">
        <f t="shared" si="90"/>
        <v>0</v>
      </c>
      <c r="M128" s="3396">
        <f t="shared" si="90"/>
        <v>0</v>
      </c>
      <c r="N128" s="3396">
        <f t="shared" si="90"/>
        <v>0</v>
      </c>
      <c r="O128" s="3395">
        <f t="shared" si="90"/>
        <v>0</v>
      </c>
      <c r="P128" s="3396">
        <f t="shared" si="90"/>
        <v>0</v>
      </c>
      <c r="Q128" s="3396">
        <f t="shared" si="90"/>
        <v>0</v>
      </c>
      <c r="R128" s="3395">
        <f t="shared" si="90"/>
        <v>0</v>
      </c>
      <c r="S128" s="3396">
        <f t="shared" si="90"/>
        <v>0</v>
      </c>
      <c r="T128" s="3396">
        <f t="shared" si="90"/>
        <v>0</v>
      </c>
      <c r="U128" s="3395">
        <f t="shared" si="90"/>
        <v>0</v>
      </c>
      <c r="V128" s="3396">
        <f t="shared" si="90"/>
        <v>0</v>
      </c>
      <c r="W128" s="3396">
        <f t="shared" si="90"/>
        <v>0</v>
      </c>
      <c r="X128" s="3386"/>
      <c r="Y128" s="3386"/>
      <c r="Z128" s="3386"/>
      <c r="AA128" s="3391"/>
    </row>
    <row r="129" spans="2:27" ht="18">
      <c r="B129" s="3350"/>
      <c r="C129" s="3403" t="s">
        <v>3948</v>
      </c>
      <c r="D129" s="3350"/>
      <c r="E129" s="3404">
        <v>1091000003</v>
      </c>
      <c r="F129" s="3406"/>
      <c r="G129" s="3387"/>
      <c r="H129" s="3383">
        <f t="shared" si="88"/>
        <v>0</v>
      </c>
      <c r="I129" s="3386"/>
      <c r="J129" s="3387"/>
      <c r="K129" s="3383">
        <f t="shared" si="89"/>
        <v>0</v>
      </c>
      <c r="L129" s="3395">
        <f t="shared" si="90"/>
        <v>0</v>
      </c>
      <c r="M129" s="3396">
        <f t="shared" si="90"/>
        <v>0</v>
      </c>
      <c r="N129" s="3396">
        <f t="shared" si="90"/>
        <v>0</v>
      </c>
      <c r="O129" s="3395">
        <f t="shared" si="90"/>
        <v>0</v>
      </c>
      <c r="P129" s="3396">
        <f t="shared" si="90"/>
        <v>0</v>
      </c>
      <c r="Q129" s="3396">
        <f t="shared" si="90"/>
        <v>0</v>
      </c>
      <c r="R129" s="3395">
        <f t="shared" si="90"/>
        <v>0</v>
      </c>
      <c r="S129" s="3396">
        <f t="shared" si="90"/>
        <v>0</v>
      </c>
      <c r="T129" s="3396">
        <f t="shared" si="90"/>
        <v>0</v>
      </c>
      <c r="U129" s="3395">
        <f t="shared" si="90"/>
        <v>0</v>
      </c>
      <c r="V129" s="3396">
        <f t="shared" si="90"/>
        <v>0</v>
      </c>
      <c r="W129" s="3396">
        <f t="shared" si="90"/>
        <v>0</v>
      </c>
      <c r="X129" s="3386"/>
      <c r="Y129" s="3386"/>
      <c r="Z129" s="3386"/>
      <c r="AA129" s="3391"/>
    </row>
    <row r="130" spans="2:27" ht="18">
      <c r="B130" s="3350"/>
      <c r="C130" s="3403" t="s">
        <v>3949</v>
      </c>
      <c r="D130" s="3350"/>
      <c r="E130" s="3404">
        <v>1091000004</v>
      </c>
      <c r="F130" s="3406"/>
      <c r="G130" s="3387"/>
      <c r="H130" s="3383">
        <f t="shared" si="88"/>
        <v>0</v>
      </c>
      <c r="I130" s="3386"/>
      <c r="J130" s="3387"/>
      <c r="K130" s="3383">
        <f t="shared" si="89"/>
        <v>0</v>
      </c>
      <c r="L130" s="3395">
        <f t="shared" si="90"/>
        <v>0</v>
      </c>
      <c r="M130" s="3396">
        <f t="shared" si="90"/>
        <v>0</v>
      </c>
      <c r="N130" s="3396">
        <f t="shared" si="90"/>
        <v>0</v>
      </c>
      <c r="O130" s="3395">
        <f t="shared" si="90"/>
        <v>0</v>
      </c>
      <c r="P130" s="3396">
        <f t="shared" si="90"/>
        <v>0</v>
      </c>
      <c r="Q130" s="3396">
        <f t="shared" si="90"/>
        <v>0</v>
      </c>
      <c r="R130" s="3395">
        <f t="shared" si="90"/>
        <v>0</v>
      </c>
      <c r="S130" s="3396">
        <f t="shared" si="90"/>
        <v>0</v>
      </c>
      <c r="T130" s="3396">
        <f t="shared" si="90"/>
        <v>0</v>
      </c>
      <c r="U130" s="3395">
        <f t="shared" si="90"/>
        <v>0</v>
      </c>
      <c r="V130" s="3396">
        <f t="shared" si="90"/>
        <v>0</v>
      </c>
      <c r="W130" s="3396">
        <f t="shared" si="90"/>
        <v>0</v>
      </c>
      <c r="X130" s="3386"/>
      <c r="Y130" s="3386"/>
      <c r="Z130" s="3386"/>
      <c r="AA130" s="3391"/>
    </row>
    <row r="131" spans="2:27" ht="18">
      <c r="B131" s="3350"/>
      <c r="C131" s="3403" t="s">
        <v>3950</v>
      </c>
      <c r="D131" s="3350"/>
      <c r="E131" s="3404">
        <v>1091000005</v>
      </c>
      <c r="F131" s="3406"/>
      <c r="G131" s="3387"/>
      <c r="H131" s="3383">
        <f t="shared" si="88"/>
        <v>0</v>
      </c>
      <c r="I131" s="3386"/>
      <c r="J131" s="3387"/>
      <c r="K131" s="3383">
        <f t="shared" si="89"/>
        <v>0</v>
      </c>
      <c r="L131" s="3395">
        <f t="shared" si="90"/>
        <v>0</v>
      </c>
      <c r="M131" s="3396">
        <f t="shared" si="90"/>
        <v>0</v>
      </c>
      <c r="N131" s="3396">
        <f t="shared" si="90"/>
        <v>0</v>
      </c>
      <c r="O131" s="3395">
        <f t="shared" si="90"/>
        <v>0</v>
      </c>
      <c r="P131" s="3396">
        <f t="shared" si="90"/>
        <v>0</v>
      </c>
      <c r="Q131" s="3396">
        <f t="shared" si="90"/>
        <v>0</v>
      </c>
      <c r="R131" s="3395">
        <f t="shared" si="90"/>
        <v>0</v>
      </c>
      <c r="S131" s="3396">
        <f t="shared" si="90"/>
        <v>0</v>
      </c>
      <c r="T131" s="3396">
        <f t="shared" si="90"/>
        <v>0</v>
      </c>
      <c r="U131" s="3395">
        <f t="shared" si="90"/>
        <v>0</v>
      </c>
      <c r="V131" s="3396">
        <f t="shared" si="90"/>
        <v>0</v>
      </c>
      <c r="W131" s="3396">
        <f t="shared" si="90"/>
        <v>0</v>
      </c>
      <c r="X131" s="3386"/>
      <c r="Y131" s="3386"/>
      <c r="Z131" s="3386"/>
      <c r="AA131" s="3391"/>
    </row>
    <row r="132" spans="2:27" ht="18">
      <c r="B132" s="3350"/>
      <c r="C132" s="3403" t="s">
        <v>3951</v>
      </c>
      <c r="D132" s="3350"/>
      <c r="E132" s="3404">
        <v>1091000006</v>
      </c>
      <c r="F132" s="3406"/>
      <c r="G132" s="3387"/>
      <c r="H132" s="3383">
        <f t="shared" si="88"/>
        <v>0</v>
      </c>
      <c r="I132" s="3386"/>
      <c r="J132" s="3387"/>
      <c r="K132" s="3383">
        <f t="shared" si="89"/>
        <v>0</v>
      </c>
      <c r="L132" s="3395">
        <f t="shared" si="90"/>
        <v>0</v>
      </c>
      <c r="M132" s="3396">
        <f t="shared" si="90"/>
        <v>0</v>
      </c>
      <c r="N132" s="3396">
        <f t="shared" si="90"/>
        <v>0</v>
      </c>
      <c r="O132" s="3395">
        <f t="shared" si="90"/>
        <v>0</v>
      </c>
      <c r="P132" s="3396">
        <f t="shared" si="90"/>
        <v>0</v>
      </c>
      <c r="Q132" s="3396">
        <f t="shared" si="90"/>
        <v>0</v>
      </c>
      <c r="R132" s="3395">
        <f t="shared" si="90"/>
        <v>0</v>
      </c>
      <c r="S132" s="3396">
        <f t="shared" si="90"/>
        <v>0</v>
      </c>
      <c r="T132" s="3396">
        <f t="shared" si="90"/>
        <v>0</v>
      </c>
      <c r="U132" s="3395">
        <f t="shared" si="90"/>
        <v>0</v>
      </c>
      <c r="V132" s="3396">
        <f t="shared" si="90"/>
        <v>0</v>
      </c>
      <c r="W132" s="3396">
        <f t="shared" si="90"/>
        <v>0</v>
      </c>
      <c r="X132" s="3386"/>
      <c r="Y132" s="3386"/>
      <c r="Z132" s="3386"/>
      <c r="AA132" s="3391"/>
    </row>
    <row r="133" spans="2:27" ht="18">
      <c r="B133" s="3350"/>
      <c r="C133" s="3403" t="s">
        <v>3952</v>
      </c>
      <c r="D133" s="3350"/>
      <c r="E133" s="3404">
        <v>1091000007</v>
      </c>
      <c r="F133" s="3406"/>
      <c r="G133" s="3387"/>
      <c r="H133" s="3383">
        <f t="shared" si="88"/>
        <v>0</v>
      </c>
      <c r="I133" s="3386"/>
      <c r="J133" s="3387"/>
      <c r="K133" s="3383">
        <f t="shared" si="89"/>
        <v>0</v>
      </c>
      <c r="L133" s="3395">
        <f t="shared" si="90"/>
        <v>0</v>
      </c>
      <c r="M133" s="3396">
        <f t="shared" si="90"/>
        <v>0</v>
      </c>
      <c r="N133" s="3396">
        <f t="shared" si="90"/>
        <v>0</v>
      </c>
      <c r="O133" s="3395">
        <f t="shared" si="90"/>
        <v>0</v>
      </c>
      <c r="P133" s="3396">
        <f t="shared" si="90"/>
        <v>0</v>
      </c>
      <c r="Q133" s="3396">
        <f t="shared" si="90"/>
        <v>0</v>
      </c>
      <c r="R133" s="3395">
        <f t="shared" si="90"/>
        <v>0</v>
      </c>
      <c r="S133" s="3396">
        <f t="shared" si="90"/>
        <v>0</v>
      </c>
      <c r="T133" s="3396">
        <f t="shared" si="90"/>
        <v>0</v>
      </c>
      <c r="U133" s="3395">
        <f t="shared" si="90"/>
        <v>0</v>
      </c>
      <c r="V133" s="3396">
        <f t="shared" si="90"/>
        <v>0</v>
      </c>
      <c r="W133" s="3396">
        <f t="shared" si="90"/>
        <v>0</v>
      </c>
      <c r="X133" s="3386"/>
      <c r="Y133" s="3386"/>
      <c r="Z133" s="3386"/>
      <c r="AA133" s="3391"/>
    </row>
    <row r="134" spans="2:27" ht="18">
      <c r="B134" s="3350"/>
      <c r="C134" s="3403" t="s">
        <v>3953</v>
      </c>
      <c r="D134" s="3350"/>
      <c r="E134" s="3404">
        <v>1091000008</v>
      </c>
      <c r="F134" s="3406"/>
      <c r="G134" s="3387"/>
      <c r="H134" s="3383">
        <f t="shared" si="88"/>
        <v>0</v>
      </c>
      <c r="I134" s="3386"/>
      <c r="J134" s="3387"/>
      <c r="K134" s="3383">
        <f t="shared" si="89"/>
        <v>0</v>
      </c>
      <c r="L134" s="3395">
        <f t="shared" si="90"/>
        <v>0</v>
      </c>
      <c r="M134" s="3396">
        <f t="shared" si="90"/>
        <v>0</v>
      </c>
      <c r="N134" s="3396">
        <f t="shared" si="90"/>
        <v>0</v>
      </c>
      <c r="O134" s="3395">
        <f t="shared" si="90"/>
        <v>0</v>
      </c>
      <c r="P134" s="3396">
        <f t="shared" si="90"/>
        <v>0</v>
      </c>
      <c r="Q134" s="3396">
        <f t="shared" si="90"/>
        <v>0</v>
      </c>
      <c r="R134" s="3395">
        <f t="shared" si="90"/>
        <v>0</v>
      </c>
      <c r="S134" s="3396">
        <f t="shared" si="90"/>
        <v>0</v>
      </c>
      <c r="T134" s="3396">
        <f t="shared" si="90"/>
        <v>0</v>
      </c>
      <c r="U134" s="3395">
        <f t="shared" si="90"/>
        <v>0</v>
      </c>
      <c r="V134" s="3396">
        <f t="shared" si="90"/>
        <v>0</v>
      </c>
      <c r="W134" s="3396">
        <f t="shared" si="90"/>
        <v>0</v>
      </c>
      <c r="X134" s="3386"/>
      <c r="Y134" s="3386"/>
      <c r="Z134" s="3386"/>
      <c r="AA134" s="3391"/>
    </row>
    <row r="135" spans="2:27" ht="18">
      <c r="B135" s="3350"/>
      <c r="C135" s="3403" t="s">
        <v>3954</v>
      </c>
      <c r="D135" s="3350"/>
      <c r="E135" s="3404">
        <v>1091000009</v>
      </c>
      <c r="F135" s="3406"/>
      <c r="G135" s="3387"/>
      <c r="H135" s="3383">
        <f t="shared" si="88"/>
        <v>0</v>
      </c>
      <c r="I135" s="3386"/>
      <c r="J135" s="3387"/>
      <c r="K135" s="3383">
        <f t="shared" si="89"/>
        <v>0</v>
      </c>
      <c r="L135" s="3395">
        <f t="shared" si="90"/>
        <v>0</v>
      </c>
      <c r="M135" s="3396">
        <f t="shared" si="90"/>
        <v>0</v>
      </c>
      <c r="N135" s="3396">
        <f t="shared" si="90"/>
        <v>0</v>
      </c>
      <c r="O135" s="3395">
        <f t="shared" si="90"/>
        <v>0</v>
      </c>
      <c r="P135" s="3396">
        <f t="shared" si="90"/>
        <v>0</v>
      </c>
      <c r="Q135" s="3396">
        <f t="shared" si="90"/>
        <v>0</v>
      </c>
      <c r="R135" s="3395">
        <f t="shared" si="90"/>
        <v>0</v>
      </c>
      <c r="S135" s="3396">
        <f t="shared" si="90"/>
        <v>0</v>
      </c>
      <c r="T135" s="3396">
        <f t="shared" si="90"/>
        <v>0</v>
      </c>
      <c r="U135" s="3395">
        <f t="shared" si="90"/>
        <v>0</v>
      </c>
      <c r="V135" s="3396">
        <f t="shared" si="90"/>
        <v>0</v>
      </c>
      <c r="W135" s="3396">
        <f t="shared" si="90"/>
        <v>0</v>
      </c>
      <c r="X135" s="3386"/>
      <c r="Y135" s="3386"/>
      <c r="Z135" s="3386"/>
      <c r="AA135" s="3391"/>
    </row>
    <row r="136" spans="2:27" ht="18">
      <c r="B136" s="3350"/>
      <c r="C136" s="3403" t="s">
        <v>3955</v>
      </c>
      <c r="D136" s="3350"/>
      <c r="E136" s="3404">
        <v>1091000010</v>
      </c>
      <c r="F136" s="3406"/>
      <c r="G136" s="3387"/>
      <c r="H136" s="3383">
        <f t="shared" si="88"/>
        <v>0</v>
      </c>
      <c r="I136" s="3386"/>
      <c r="J136" s="3387"/>
      <c r="K136" s="3383">
        <f t="shared" si="89"/>
        <v>0</v>
      </c>
      <c r="L136" s="3395">
        <f t="shared" si="90"/>
        <v>0</v>
      </c>
      <c r="M136" s="3396">
        <f t="shared" si="90"/>
        <v>0</v>
      </c>
      <c r="N136" s="3396">
        <f t="shared" si="90"/>
        <v>0</v>
      </c>
      <c r="O136" s="3395">
        <f t="shared" si="90"/>
        <v>0</v>
      </c>
      <c r="P136" s="3396">
        <f t="shared" si="90"/>
        <v>0</v>
      </c>
      <c r="Q136" s="3396">
        <f t="shared" si="90"/>
        <v>0</v>
      </c>
      <c r="R136" s="3395">
        <f t="shared" si="90"/>
        <v>0</v>
      </c>
      <c r="S136" s="3396">
        <f t="shared" si="90"/>
        <v>0</v>
      </c>
      <c r="T136" s="3396">
        <f t="shared" si="90"/>
        <v>0</v>
      </c>
      <c r="U136" s="3395">
        <f t="shared" si="90"/>
        <v>0</v>
      </c>
      <c r="V136" s="3396">
        <f t="shared" si="90"/>
        <v>0</v>
      </c>
      <c r="W136" s="3396">
        <f t="shared" si="90"/>
        <v>0</v>
      </c>
      <c r="X136" s="3386"/>
      <c r="Y136" s="3386"/>
      <c r="Z136" s="3386"/>
      <c r="AA136" s="3391"/>
    </row>
    <row r="137" spans="2:27" ht="18" hidden="1">
      <c r="B137" s="3350"/>
      <c r="C137" s="3403"/>
      <c r="D137" s="3350"/>
      <c r="E137" s="3404">
        <v>1091000011</v>
      </c>
      <c r="F137" s="3406"/>
      <c r="G137" s="3387"/>
      <c r="H137" s="3383">
        <f t="shared" si="88"/>
        <v>0</v>
      </c>
      <c r="I137" s="3386"/>
      <c r="J137" s="3387"/>
      <c r="K137" s="3383">
        <f t="shared" si="89"/>
        <v>0</v>
      </c>
      <c r="L137" s="3395">
        <f t="shared" si="90"/>
        <v>0</v>
      </c>
      <c r="M137" s="3396">
        <f t="shared" si="90"/>
        <v>0</v>
      </c>
      <c r="N137" s="3396">
        <f t="shared" si="90"/>
        <v>0</v>
      </c>
      <c r="O137" s="3395">
        <f t="shared" si="90"/>
        <v>0</v>
      </c>
      <c r="P137" s="3396">
        <f t="shared" si="90"/>
        <v>0</v>
      </c>
      <c r="Q137" s="3396">
        <f t="shared" si="90"/>
        <v>0</v>
      </c>
      <c r="R137" s="3395">
        <f t="shared" si="90"/>
        <v>0</v>
      </c>
      <c r="S137" s="3396">
        <f t="shared" si="90"/>
        <v>0</v>
      </c>
      <c r="T137" s="3396">
        <f t="shared" si="90"/>
        <v>0</v>
      </c>
      <c r="U137" s="3395">
        <f t="shared" si="90"/>
        <v>0</v>
      </c>
      <c r="V137" s="3396">
        <f t="shared" si="90"/>
        <v>0</v>
      </c>
      <c r="W137" s="3396">
        <f t="shared" si="90"/>
        <v>0</v>
      </c>
      <c r="X137" s="3386"/>
      <c r="Y137" s="3386"/>
      <c r="Z137" s="3386"/>
      <c r="AA137" s="3391"/>
    </row>
    <row r="138" spans="2:27" ht="18" hidden="1">
      <c r="B138" s="3350"/>
      <c r="C138" s="3407"/>
      <c r="D138" s="3350"/>
      <c r="E138" s="3404">
        <v>1091000012</v>
      </c>
      <c r="F138" s="3406"/>
      <c r="G138" s="3387"/>
      <c r="H138" s="3383">
        <f t="shared" si="88"/>
        <v>0</v>
      </c>
      <c r="I138" s="3386"/>
      <c r="J138" s="3387"/>
      <c r="K138" s="3383">
        <f t="shared" si="89"/>
        <v>0</v>
      </c>
      <c r="L138" s="3395">
        <f t="shared" si="90"/>
        <v>0</v>
      </c>
      <c r="M138" s="3396">
        <f t="shared" si="90"/>
        <v>0</v>
      </c>
      <c r="N138" s="3396">
        <f t="shared" si="90"/>
        <v>0</v>
      </c>
      <c r="O138" s="3395">
        <f t="shared" si="90"/>
        <v>0</v>
      </c>
      <c r="P138" s="3396">
        <f t="shared" si="90"/>
        <v>0</v>
      </c>
      <c r="Q138" s="3396">
        <f t="shared" si="90"/>
        <v>0</v>
      </c>
      <c r="R138" s="3395">
        <f t="shared" si="90"/>
        <v>0</v>
      </c>
      <c r="S138" s="3396">
        <f t="shared" si="90"/>
        <v>0</v>
      </c>
      <c r="T138" s="3396">
        <f t="shared" si="90"/>
        <v>0</v>
      </c>
      <c r="U138" s="3395">
        <f t="shared" si="90"/>
        <v>0</v>
      </c>
      <c r="V138" s="3396">
        <f t="shared" si="90"/>
        <v>0</v>
      </c>
      <c r="W138" s="3396">
        <f t="shared" si="90"/>
        <v>0</v>
      </c>
      <c r="X138" s="3386"/>
      <c r="Y138" s="3386"/>
      <c r="Z138" s="3386"/>
      <c r="AA138" s="3391"/>
    </row>
    <row r="139" spans="2:27" ht="18" hidden="1">
      <c r="B139" s="3350"/>
      <c r="C139" s="3407"/>
      <c r="D139" s="3350"/>
      <c r="E139" s="3404">
        <v>1091000013</v>
      </c>
      <c r="F139" s="3406"/>
      <c r="G139" s="3387"/>
      <c r="H139" s="3383">
        <f t="shared" si="88"/>
        <v>0</v>
      </c>
      <c r="I139" s="3386"/>
      <c r="J139" s="3387"/>
      <c r="K139" s="3383">
        <f t="shared" si="89"/>
        <v>0</v>
      </c>
      <c r="L139" s="3395">
        <f t="shared" si="90"/>
        <v>0</v>
      </c>
      <c r="M139" s="3396">
        <f t="shared" si="90"/>
        <v>0</v>
      </c>
      <c r="N139" s="3396">
        <f t="shared" si="90"/>
        <v>0</v>
      </c>
      <c r="O139" s="3395">
        <f t="shared" si="90"/>
        <v>0</v>
      </c>
      <c r="P139" s="3396">
        <f t="shared" si="90"/>
        <v>0</v>
      </c>
      <c r="Q139" s="3396">
        <f t="shared" si="90"/>
        <v>0</v>
      </c>
      <c r="R139" s="3395">
        <f t="shared" si="90"/>
        <v>0</v>
      </c>
      <c r="S139" s="3396">
        <f t="shared" si="90"/>
        <v>0</v>
      </c>
      <c r="T139" s="3396">
        <f t="shared" si="90"/>
        <v>0</v>
      </c>
      <c r="U139" s="3395">
        <f t="shared" si="90"/>
        <v>0</v>
      </c>
      <c r="V139" s="3396">
        <f t="shared" si="90"/>
        <v>0</v>
      </c>
      <c r="W139" s="3396">
        <f t="shared" si="90"/>
        <v>0</v>
      </c>
      <c r="X139" s="3386"/>
      <c r="Y139" s="3386"/>
      <c r="Z139" s="3386"/>
      <c r="AA139" s="3391"/>
    </row>
    <row r="140" spans="2:27" ht="18" hidden="1">
      <c r="B140" s="3350"/>
      <c r="C140" s="3407"/>
      <c r="D140" s="3350"/>
      <c r="E140" s="3404">
        <v>1091000014</v>
      </c>
      <c r="F140" s="3406"/>
      <c r="G140" s="3387"/>
      <c r="H140" s="3383">
        <f t="shared" si="88"/>
        <v>0</v>
      </c>
      <c r="I140" s="3386"/>
      <c r="J140" s="3387"/>
      <c r="K140" s="3383">
        <f t="shared" si="89"/>
        <v>0</v>
      </c>
      <c r="L140" s="3395">
        <f t="shared" si="90"/>
        <v>0</v>
      </c>
      <c r="M140" s="3396">
        <f t="shared" si="90"/>
        <v>0</v>
      </c>
      <c r="N140" s="3396">
        <f t="shared" si="90"/>
        <v>0</v>
      </c>
      <c r="O140" s="3395">
        <f t="shared" si="90"/>
        <v>0</v>
      </c>
      <c r="P140" s="3396">
        <f t="shared" si="90"/>
        <v>0</v>
      </c>
      <c r="Q140" s="3396">
        <f t="shared" si="90"/>
        <v>0</v>
      </c>
      <c r="R140" s="3395">
        <f t="shared" si="90"/>
        <v>0</v>
      </c>
      <c r="S140" s="3396">
        <f t="shared" si="90"/>
        <v>0</v>
      </c>
      <c r="T140" s="3396">
        <f t="shared" si="90"/>
        <v>0</v>
      </c>
      <c r="U140" s="3395">
        <f t="shared" si="90"/>
        <v>0</v>
      </c>
      <c r="V140" s="3396">
        <f t="shared" si="90"/>
        <v>0</v>
      </c>
      <c r="W140" s="3396">
        <f t="shared" si="90"/>
        <v>0</v>
      </c>
      <c r="X140" s="3386"/>
      <c r="Y140" s="3386"/>
      <c r="Z140" s="3386"/>
      <c r="AA140" s="3391"/>
    </row>
    <row r="141" spans="2:27" ht="18" hidden="1">
      <c r="B141" s="3350"/>
      <c r="C141" s="3407"/>
      <c r="D141" s="3350"/>
      <c r="E141" s="3404">
        <v>1091000015</v>
      </c>
      <c r="F141" s="3406"/>
      <c r="G141" s="3387"/>
      <c r="H141" s="3383">
        <f t="shared" si="88"/>
        <v>0</v>
      </c>
      <c r="I141" s="3386"/>
      <c r="J141" s="3387"/>
      <c r="K141" s="3383">
        <f t="shared" si="89"/>
        <v>0</v>
      </c>
      <c r="L141" s="3395">
        <f t="shared" si="90"/>
        <v>0</v>
      </c>
      <c r="M141" s="3396">
        <f t="shared" si="90"/>
        <v>0</v>
      </c>
      <c r="N141" s="3396">
        <f t="shared" si="90"/>
        <v>0</v>
      </c>
      <c r="O141" s="3395">
        <f t="shared" si="90"/>
        <v>0</v>
      </c>
      <c r="P141" s="3396">
        <f t="shared" si="90"/>
        <v>0</v>
      </c>
      <c r="Q141" s="3396">
        <f t="shared" si="90"/>
        <v>0</v>
      </c>
      <c r="R141" s="3395">
        <f t="shared" si="90"/>
        <v>0</v>
      </c>
      <c r="S141" s="3396">
        <f t="shared" si="90"/>
        <v>0</v>
      </c>
      <c r="T141" s="3396">
        <f t="shared" si="90"/>
        <v>0</v>
      </c>
      <c r="U141" s="3395">
        <f t="shared" si="90"/>
        <v>0</v>
      </c>
      <c r="V141" s="3396">
        <f t="shared" si="90"/>
        <v>0</v>
      </c>
      <c r="W141" s="3396">
        <f t="shared" si="90"/>
        <v>0</v>
      </c>
      <c r="X141" s="3386"/>
      <c r="Y141" s="3386"/>
      <c r="Z141" s="3386"/>
      <c r="AA141" s="3391"/>
    </row>
    <row r="142" spans="2:27" ht="18" hidden="1">
      <c r="B142" s="3350"/>
      <c r="C142" s="3407"/>
      <c r="D142" s="3350"/>
      <c r="E142" s="3404">
        <v>1091000016</v>
      </c>
      <c r="F142" s="3406"/>
      <c r="G142" s="3387"/>
      <c r="H142" s="3383">
        <f t="shared" si="88"/>
        <v>0</v>
      </c>
      <c r="I142" s="3386"/>
      <c r="J142" s="3387"/>
      <c r="K142" s="3383">
        <f t="shared" si="89"/>
        <v>0</v>
      </c>
      <c r="L142" s="3395">
        <f t="shared" si="90"/>
        <v>0</v>
      </c>
      <c r="M142" s="3396">
        <f t="shared" si="90"/>
        <v>0</v>
      </c>
      <c r="N142" s="3396">
        <f t="shared" si="90"/>
        <v>0</v>
      </c>
      <c r="O142" s="3395">
        <f t="shared" si="90"/>
        <v>0</v>
      </c>
      <c r="P142" s="3396">
        <f t="shared" si="90"/>
        <v>0</v>
      </c>
      <c r="Q142" s="3396">
        <f t="shared" si="90"/>
        <v>0</v>
      </c>
      <c r="R142" s="3395">
        <f t="shared" si="90"/>
        <v>0</v>
      </c>
      <c r="S142" s="3396">
        <f t="shared" si="90"/>
        <v>0</v>
      </c>
      <c r="T142" s="3396">
        <f t="shared" si="90"/>
        <v>0</v>
      </c>
      <c r="U142" s="3395">
        <f t="shared" si="90"/>
        <v>0</v>
      </c>
      <c r="V142" s="3396">
        <f t="shared" si="90"/>
        <v>0</v>
      </c>
      <c r="W142" s="3396">
        <f t="shared" si="90"/>
        <v>0</v>
      </c>
      <c r="X142" s="3386"/>
      <c r="Y142" s="3386"/>
      <c r="Z142" s="3386"/>
      <c r="AA142" s="3391"/>
    </row>
    <row r="143" spans="2:27" ht="18" hidden="1">
      <c r="B143" s="3350"/>
      <c r="C143" s="3407"/>
      <c r="D143" s="3350"/>
      <c r="E143" s="3404">
        <v>1091000017</v>
      </c>
      <c r="F143" s="3406"/>
      <c r="G143" s="3387"/>
      <c r="H143" s="3383">
        <f t="shared" si="88"/>
        <v>0</v>
      </c>
      <c r="I143" s="3386"/>
      <c r="J143" s="3387"/>
      <c r="K143" s="3383">
        <f t="shared" si="89"/>
        <v>0</v>
      </c>
      <c r="L143" s="3395">
        <f t="shared" si="90"/>
        <v>0</v>
      </c>
      <c r="M143" s="3396">
        <f t="shared" si="90"/>
        <v>0</v>
      </c>
      <c r="N143" s="3396">
        <f t="shared" si="90"/>
        <v>0</v>
      </c>
      <c r="O143" s="3395">
        <f t="shared" si="90"/>
        <v>0</v>
      </c>
      <c r="P143" s="3396">
        <f t="shared" si="90"/>
        <v>0</v>
      </c>
      <c r="Q143" s="3396">
        <f t="shared" si="90"/>
        <v>0</v>
      </c>
      <c r="R143" s="3395">
        <f t="shared" si="90"/>
        <v>0</v>
      </c>
      <c r="S143" s="3396">
        <f t="shared" si="90"/>
        <v>0</v>
      </c>
      <c r="T143" s="3396">
        <f t="shared" si="90"/>
        <v>0</v>
      </c>
      <c r="U143" s="3395">
        <f t="shared" si="90"/>
        <v>0</v>
      </c>
      <c r="V143" s="3396">
        <f t="shared" si="90"/>
        <v>0</v>
      </c>
      <c r="W143" s="3396">
        <f t="shared" si="90"/>
        <v>0</v>
      </c>
      <c r="X143" s="3386"/>
      <c r="Y143" s="3386"/>
      <c r="Z143" s="3386"/>
      <c r="AA143" s="3391"/>
    </row>
    <row r="144" spans="2:27" ht="18" hidden="1">
      <c r="B144" s="3350"/>
      <c r="C144" s="3407"/>
      <c r="D144" s="3350"/>
      <c r="E144" s="3404">
        <v>1091000018</v>
      </c>
      <c r="F144" s="3406"/>
      <c r="G144" s="3387"/>
      <c r="H144" s="3383">
        <f t="shared" si="88"/>
        <v>0</v>
      </c>
      <c r="I144" s="3386"/>
      <c r="J144" s="3387"/>
      <c r="K144" s="3383">
        <f t="shared" si="89"/>
        <v>0</v>
      </c>
      <c r="L144" s="3395">
        <f t="shared" si="90"/>
        <v>0</v>
      </c>
      <c r="M144" s="3396">
        <f t="shared" si="90"/>
        <v>0</v>
      </c>
      <c r="N144" s="3396">
        <f t="shared" si="90"/>
        <v>0</v>
      </c>
      <c r="O144" s="3395">
        <f t="shared" si="90"/>
        <v>0</v>
      </c>
      <c r="P144" s="3396">
        <f t="shared" si="90"/>
        <v>0</v>
      </c>
      <c r="Q144" s="3396">
        <f t="shared" si="90"/>
        <v>0</v>
      </c>
      <c r="R144" s="3395">
        <f t="shared" si="90"/>
        <v>0</v>
      </c>
      <c r="S144" s="3396">
        <f t="shared" si="90"/>
        <v>0</v>
      </c>
      <c r="T144" s="3396">
        <f t="shared" si="90"/>
        <v>0</v>
      </c>
      <c r="U144" s="3395">
        <f t="shared" si="90"/>
        <v>0</v>
      </c>
      <c r="V144" s="3396">
        <f t="shared" si="90"/>
        <v>0</v>
      </c>
      <c r="W144" s="3396">
        <f t="shared" si="90"/>
        <v>0</v>
      </c>
      <c r="X144" s="3386"/>
      <c r="Y144" s="3386"/>
      <c r="Z144" s="3386"/>
      <c r="AA144" s="3391"/>
    </row>
    <row r="145" spans="2:27" ht="18" hidden="1">
      <c r="B145" s="3350"/>
      <c r="C145" s="3407"/>
      <c r="D145" s="3350"/>
      <c r="E145" s="3404">
        <v>1091000019</v>
      </c>
      <c r="F145" s="3406"/>
      <c r="G145" s="3387"/>
      <c r="H145" s="3383">
        <f t="shared" si="88"/>
        <v>0</v>
      </c>
      <c r="I145" s="3386"/>
      <c r="J145" s="3387"/>
      <c r="K145" s="3383">
        <f t="shared" si="89"/>
        <v>0</v>
      </c>
      <c r="L145" s="3395">
        <f t="shared" si="90"/>
        <v>0</v>
      </c>
      <c r="M145" s="3396">
        <f t="shared" si="90"/>
        <v>0</v>
      </c>
      <c r="N145" s="3396">
        <f t="shared" si="90"/>
        <v>0</v>
      </c>
      <c r="O145" s="3395">
        <f t="shared" si="90"/>
        <v>0</v>
      </c>
      <c r="P145" s="3396">
        <f t="shared" si="90"/>
        <v>0</v>
      </c>
      <c r="Q145" s="3396">
        <f t="shared" si="90"/>
        <v>0</v>
      </c>
      <c r="R145" s="3395">
        <f t="shared" si="90"/>
        <v>0</v>
      </c>
      <c r="S145" s="3396">
        <f t="shared" si="90"/>
        <v>0</v>
      </c>
      <c r="T145" s="3396">
        <f t="shared" si="90"/>
        <v>0</v>
      </c>
      <c r="U145" s="3395">
        <f t="shared" si="90"/>
        <v>0</v>
      </c>
      <c r="V145" s="3396">
        <f t="shared" si="90"/>
        <v>0</v>
      </c>
      <c r="W145" s="3396">
        <f t="shared" si="90"/>
        <v>0</v>
      </c>
      <c r="X145" s="3386"/>
      <c r="Y145" s="3386"/>
      <c r="Z145" s="3386"/>
      <c r="AA145" s="3391"/>
    </row>
    <row r="146" spans="2:27" ht="18" hidden="1">
      <c r="B146" s="3350"/>
      <c r="C146" s="3407"/>
      <c r="D146" s="3350"/>
      <c r="E146" s="3404">
        <v>1091000020</v>
      </c>
      <c r="F146" s="3406"/>
      <c r="G146" s="3387"/>
      <c r="H146" s="3383">
        <f t="shared" si="88"/>
        <v>0</v>
      </c>
      <c r="I146" s="3386"/>
      <c r="J146" s="3387"/>
      <c r="K146" s="3383">
        <f t="shared" si="89"/>
        <v>0</v>
      </c>
      <c r="L146" s="3395">
        <f t="shared" si="90"/>
        <v>0</v>
      </c>
      <c r="M146" s="3396">
        <f t="shared" si="90"/>
        <v>0</v>
      </c>
      <c r="N146" s="3396">
        <f t="shared" si="90"/>
        <v>0</v>
      </c>
      <c r="O146" s="3395">
        <f t="shared" si="90"/>
        <v>0</v>
      </c>
      <c r="P146" s="3396">
        <f t="shared" si="90"/>
        <v>0</v>
      </c>
      <c r="Q146" s="3396">
        <f t="shared" si="90"/>
        <v>0</v>
      </c>
      <c r="R146" s="3395">
        <f t="shared" si="90"/>
        <v>0</v>
      </c>
      <c r="S146" s="3396">
        <f t="shared" si="90"/>
        <v>0</v>
      </c>
      <c r="T146" s="3396">
        <f t="shared" si="90"/>
        <v>0</v>
      </c>
      <c r="U146" s="3395">
        <f t="shared" si="90"/>
        <v>0</v>
      </c>
      <c r="V146" s="3396">
        <f t="shared" si="90"/>
        <v>0</v>
      </c>
      <c r="W146" s="3396">
        <f t="shared" si="90"/>
        <v>0</v>
      </c>
      <c r="X146" s="3386"/>
      <c r="Y146" s="3386"/>
      <c r="Z146" s="3386"/>
      <c r="AA146" s="3391"/>
    </row>
    <row r="147" spans="2:27" ht="18" hidden="1">
      <c r="B147" s="3350"/>
      <c r="C147" s="3407"/>
      <c r="D147" s="3350"/>
      <c r="E147" s="3404">
        <v>1091000021</v>
      </c>
      <c r="F147" s="3406"/>
      <c r="G147" s="3387"/>
      <c r="H147" s="3383">
        <f t="shared" si="88"/>
        <v>0</v>
      </c>
      <c r="I147" s="3386"/>
      <c r="J147" s="3387"/>
      <c r="K147" s="3383">
        <f t="shared" si="89"/>
        <v>0</v>
      </c>
      <c r="L147" s="3395">
        <f t="shared" si="90"/>
        <v>0</v>
      </c>
      <c r="M147" s="3396">
        <f t="shared" si="90"/>
        <v>0</v>
      </c>
      <c r="N147" s="3396">
        <f t="shared" si="90"/>
        <v>0</v>
      </c>
      <c r="O147" s="3395">
        <f t="shared" ref="O147:W175" si="91">(0)</f>
        <v>0</v>
      </c>
      <c r="P147" s="3396">
        <f t="shared" si="91"/>
        <v>0</v>
      </c>
      <c r="Q147" s="3396">
        <f t="shared" si="91"/>
        <v>0</v>
      </c>
      <c r="R147" s="3395">
        <f t="shared" si="91"/>
        <v>0</v>
      </c>
      <c r="S147" s="3396">
        <f t="shared" si="91"/>
        <v>0</v>
      </c>
      <c r="T147" s="3396">
        <f t="shared" si="91"/>
        <v>0</v>
      </c>
      <c r="U147" s="3395">
        <f t="shared" si="91"/>
        <v>0</v>
      </c>
      <c r="V147" s="3396">
        <f t="shared" si="91"/>
        <v>0</v>
      </c>
      <c r="W147" s="3396">
        <f t="shared" si="91"/>
        <v>0</v>
      </c>
      <c r="X147" s="3386"/>
      <c r="Y147" s="3386"/>
      <c r="Z147" s="3386"/>
      <c r="AA147" s="3391"/>
    </row>
    <row r="148" spans="2:27" ht="18" hidden="1">
      <c r="B148" s="3350"/>
      <c r="C148" s="3407"/>
      <c r="D148" s="3350"/>
      <c r="E148" s="3404">
        <v>1091000022</v>
      </c>
      <c r="F148" s="3406"/>
      <c r="G148" s="3387"/>
      <c r="H148" s="3383">
        <f t="shared" si="88"/>
        <v>0</v>
      </c>
      <c r="I148" s="3386"/>
      <c r="J148" s="3387"/>
      <c r="K148" s="3383">
        <f t="shared" si="89"/>
        <v>0</v>
      </c>
      <c r="L148" s="3395">
        <f t="shared" ref="L148:Q204" si="92">(0)</f>
        <v>0</v>
      </c>
      <c r="M148" s="3396">
        <f t="shared" si="92"/>
        <v>0</v>
      </c>
      <c r="N148" s="3396">
        <f t="shared" si="92"/>
        <v>0</v>
      </c>
      <c r="O148" s="3395">
        <f t="shared" si="91"/>
        <v>0</v>
      </c>
      <c r="P148" s="3396">
        <f t="shared" si="91"/>
        <v>0</v>
      </c>
      <c r="Q148" s="3396">
        <f t="shared" si="91"/>
        <v>0</v>
      </c>
      <c r="R148" s="3395">
        <f t="shared" si="91"/>
        <v>0</v>
      </c>
      <c r="S148" s="3396">
        <f t="shared" si="91"/>
        <v>0</v>
      </c>
      <c r="T148" s="3396">
        <f t="shared" si="91"/>
        <v>0</v>
      </c>
      <c r="U148" s="3395">
        <f t="shared" si="91"/>
        <v>0</v>
      </c>
      <c r="V148" s="3396">
        <f t="shared" si="91"/>
        <v>0</v>
      </c>
      <c r="W148" s="3396">
        <f t="shared" si="91"/>
        <v>0</v>
      </c>
      <c r="X148" s="3386"/>
      <c r="Y148" s="3386"/>
      <c r="Z148" s="3386"/>
      <c r="AA148" s="3391"/>
    </row>
    <row r="149" spans="2:27" ht="18" hidden="1">
      <c r="B149" s="3350"/>
      <c r="C149" s="3407"/>
      <c r="D149" s="3350"/>
      <c r="E149" s="3404">
        <v>1091000023</v>
      </c>
      <c r="F149" s="3406"/>
      <c r="G149" s="3387"/>
      <c r="H149" s="3383">
        <f t="shared" si="88"/>
        <v>0</v>
      </c>
      <c r="I149" s="3386"/>
      <c r="J149" s="3387"/>
      <c r="K149" s="3383">
        <f t="shared" si="89"/>
        <v>0</v>
      </c>
      <c r="L149" s="3395">
        <f t="shared" si="92"/>
        <v>0</v>
      </c>
      <c r="M149" s="3396">
        <f t="shared" si="92"/>
        <v>0</v>
      </c>
      <c r="N149" s="3396">
        <f t="shared" si="92"/>
        <v>0</v>
      </c>
      <c r="O149" s="3395">
        <f t="shared" si="91"/>
        <v>0</v>
      </c>
      <c r="P149" s="3396">
        <f t="shared" si="91"/>
        <v>0</v>
      </c>
      <c r="Q149" s="3396">
        <f t="shared" si="91"/>
        <v>0</v>
      </c>
      <c r="R149" s="3395">
        <f t="shared" si="91"/>
        <v>0</v>
      </c>
      <c r="S149" s="3396">
        <f t="shared" si="91"/>
        <v>0</v>
      </c>
      <c r="T149" s="3396">
        <f t="shared" si="91"/>
        <v>0</v>
      </c>
      <c r="U149" s="3395">
        <f t="shared" si="91"/>
        <v>0</v>
      </c>
      <c r="V149" s="3396">
        <f t="shared" si="91"/>
        <v>0</v>
      </c>
      <c r="W149" s="3396">
        <f t="shared" si="91"/>
        <v>0</v>
      </c>
      <c r="X149" s="3386"/>
      <c r="Y149" s="3386"/>
      <c r="Z149" s="3386"/>
      <c r="AA149" s="3391"/>
    </row>
    <row r="150" spans="2:27" ht="18" hidden="1">
      <c r="B150" s="3350"/>
      <c r="C150" s="3407"/>
      <c r="D150" s="3350"/>
      <c r="E150" s="3404">
        <v>1091000024</v>
      </c>
      <c r="F150" s="3406"/>
      <c r="G150" s="3387"/>
      <c r="H150" s="3383">
        <f t="shared" si="88"/>
        <v>0</v>
      </c>
      <c r="I150" s="3386"/>
      <c r="J150" s="3387"/>
      <c r="K150" s="3383">
        <f t="shared" si="89"/>
        <v>0</v>
      </c>
      <c r="L150" s="3395">
        <f t="shared" si="92"/>
        <v>0</v>
      </c>
      <c r="M150" s="3396">
        <f t="shared" si="92"/>
        <v>0</v>
      </c>
      <c r="N150" s="3396">
        <f t="shared" si="92"/>
        <v>0</v>
      </c>
      <c r="O150" s="3395">
        <f t="shared" si="91"/>
        <v>0</v>
      </c>
      <c r="P150" s="3396">
        <f t="shared" si="91"/>
        <v>0</v>
      </c>
      <c r="Q150" s="3396">
        <f t="shared" si="91"/>
        <v>0</v>
      </c>
      <c r="R150" s="3395">
        <f t="shared" si="91"/>
        <v>0</v>
      </c>
      <c r="S150" s="3396">
        <f t="shared" si="91"/>
        <v>0</v>
      </c>
      <c r="T150" s="3396">
        <f t="shared" si="91"/>
        <v>0</v>
      </c>
      <c r="U150" s="3395">
        <f t="shared" si="91"/>
        <v>0</v>
      </c>
      <c r="V150" s="3396">
        <f t="shared" si="91"/>
        <v>0</v>
      </c>
      <c r="W150" s="3396">
        <f t="shared" si="91"/>
        <v>0</v>
      </c>
      <c r="X150" s="3386"/>
      <c r="Y150" s="3386"/>
      <c r="Z150" s="3386"/>
      <c r="AA150" s="3391"/>
    </row>
    <row r="151" spans="2:27" ht="18" hidden="1">
      <c r="B151" s="3350"/>
      <c r="C151" s="3407"/>
      <c r="D151" s="3350"/>
      <c r="E151" s="3404">
        <v>1091000025</v>
      </c>
      <c r="F151" s="3406"/>
      <c r="G151" s="3387"/>
      <c r="H151" s="3383">
        <f t="shared" si="88"/>
        <v>0</v>
      </c>
      <c r="I151" s="3386"/>
      <c r="J151" s="3387"/>
      <c r="K151" s="3383">
        <f t="shared" si="89"/>
        <v>0</v>
      </c>
      <c r="L151" s="3395">
        <f t="shared" si="92"/>
        <v>0</v>
      </c>
      <c r="M151" s="3396">
        <f t="shared" si="92"/>
        <v>0</v>
      </c>
      <c r="N151" s="3396">
        <f t="shared" si="92"/>
        <v>0</v>
      </c>
      <c r="O151" s="3395">
        <f t="shared" si="91"/>
        <v>0</v>
      </c>
      <c r="P151" s="3396">
        <f t="shared" si="91"/>
        <v>0</v>
      </c>
      <c r="Q151" s="3396">
        <f t="shared" si="91"/>
        <v>0</v>
      </c>
      <c r="R151" s="3395">
        <f t="shared" si="91"/>
        <v>0</v>
      </c>
      <c r="S151" s="3396">
        <f t="shared" si="91"/>
        <v>0</v>
      </c>
      <c r="T151" s="3396">
        <f t="shared" si="91"/>
        <v>0</v>
      </c>
      <c r="U151" s="3395">
        <f t="shared" si="91"/>
        <v>0</v>
      </c>
      <c r="V151" s="3396">
        <f t="shared" si="91"/>
        <v>0</v>
      </c>
      <c r="W151" s="3396">
        <f t="shared" si="91"/>
        <v>0</v>
      </c>
      <c r="X151" s="3386"/>
      <c r="Y151" s="3386"/>
      <c r="Z151" s="3386"/>
      <c r="AA151" s="3391"/>
    </row>
    <row r="152" spans="2:27" ht="18" hidden="1">
      <c r="B152" s="3350"/>
      <c r="C152" s="3407"/>
      <c r="D152" s="3350"/>
      <c r="E152" s="3404">
        <v>1091000026</v>
      </c>
      <c r="F152" s="3406"/>
      <c r="G152" s="3387"/>
      <c r="H152" s="3383">
        <f t="shared" si="88"/>
        <v>0</v>
      </c>
      <c r="I152" s="3386"/>
      <c r="J152" s="3387"/>
      <c r="K152" s="3383">
        <f t="shared" si="89"/>
        <v>0</v>
      </c>
      <c r="L152" s="3395">
        <f t="shared" si="92"/>
        <v>0</v>
      </c>
      <c r="M152" s="3396">
        <f t="shared" si="92"/>
        <v>0</v>
      </c>
      <c r="N152" s="3396">
        <f t="shared" si="92"/>
        <v>0</v>
      </c>
      <c r="O152" s="3395">
        <f t="shared" si="91"/>
        <v>0</v>
      </c>
      <c r="P152" s="3396">
        <f t="shared" si="91"/>
        <v>0</v>
      </c>
      <c r="Q152" s="3396">
        <f t="shared" si="91"/>
        <v>0</v>
      </c>
      <c r="R152" s="3395">
        <f t="shared" si="91"/>
        <v>0</v>
      </c>
      <c r="S152" s="3396">
        <f t="shared" si="91"/>
        <v>0</v>
      </c>
      <c r="T152" s="3396">
        <f t="shared" si="91"/>
        <v>0</v>
      </c>
      <c r="U152" s="3395">
        <f t="shared" si="91"/>
        <v>0</v>
      </c>
      <c r="V152" s="3396">
        <f t="shared" si="91"/>
        <v>0</v>
      </c>
      <c r="W152" s="3396">
        <f t="shared" si="91"/>
        <v>0</v>
      </c>
      <c r="X152" s="3386"/>
      <c r="Y152" s="3386"/>
      <c r="Z152" s="3386"/>
      <c r="AA152" s="3391"/>
    </row>
    <row r="153" spans="2:27" ht="18" hidden="1">
      <c r="B153" s="3350"/>
      <c r="C153" s="3407"/>
      <c r="D153" s="3350"/>
      <c r="E153" s="3404">
        <v>1091000027</v>
      </c>
      <c r="F153" s="3406"/>
      <c r="G153" s="3387"/>
      <c r="H153" s="3383">
        <f t="shared" si="88"/>
        <v>0</v>
      </c>
      <c r="I153" s="3386"/>
      <c r="J153" s="3387"/>
      <c r="K153" s="3383">
        <f t="shared" si="89"/>
        <v>0</v>
      </c>
      <c r="L153" s="3395">
        <f t="shared" si="92"/>
        <v>0</v>
      </c>
      <c r="M153" s="3396">
        <f t="shared" si="92"/>
        <v>0</v>
      </c>
      <c r="N153" s="3396">
        <f t="shared" si="92"/>
        <v>0</v>
      </c>
      <c r="O153" s="3395">
        <f t="shared" si="91"/>
        <v>0</v>
      </c>
      <c r="P153" s="3396">
        <f t="shared" si="91"/>
        <v>0</v>
      </c>
      <c r="Q153" s="3396">
        <f t="shared" si="91"/>
        <v>0</v>
      </c>
      <c r="R153" s="3395">
        <f t="shared" si="91"/>
        <v>0</v>
      </c>
      <c r="S153" s="3396">
        <f t="shared" si="91"/>
        <v>0</v>
      </c>
      <c r="T153" s="3396">
        <f t="shared" si="91"/>
        <v>0</v>
      </c>
      <c r="U153" s="3395">
        <f t="shared" si="91"/>
        <v>0</v>
      </c>
      <c r="V153" s="3396">
        <f t="shared" si="91"/>
        <v>0</v>
      </c>
      <c r="W153" s="3396">
        <f t="shared" si="91"/>
        <v>0</v>
      </c>
      <c r="X153" s="3386"/>
      <c r="Y153" s="3386"/>
      <c r="Z153" s="3386"/>
      <c r="AA153" s="3391"/>
    </row>
    <row r="154" spans="2:27" ht="18" hidden="1">
      <c r="B154" s="3350"/>
      <c r="C154" s="3407"/>
      <c r="D154" s="3350"/>
      <c r="E154" s="3404">
        <v>1091000028</v>
      </c>
      <c r="F154" s="3406"/>
      <c r="G154" s="3387"/>
      <c r="H154" s="3383">
        <f t="shared" si="88"/>
        <v>0</v>
      </c>
      <c r="I154" s="3386"/>
      <c r="J154" s="3387"/>
      <c r="K154" s="3383">
        <f t="shared" si="89"/>
        <v>0</v>
      </c>
      <c r="L154" s="3395">
        <f t="shared" si="92"/>
        <v>0</v>
      </c>
      <c r="M154" s="3396">
        <f t="shared" si="92"/>
        <v>0</v>
      </c>
      <c r="N154" s="3396">
        <f t="shared" si="92"/>
        <v>0</v>
      </c>
      <c r="O154" s="3395">
        <f t="shared" si="91"/>
        <v>0</v>
      </c>
      <c r="P154" s="3396">
        <f t="shared" si="91"/>
        <v>0</v>
      </c>
      <c r="Q154" s="3396">
        <f t="shared" si="91"/>
        <v>0</v>
      </c>
      <c r="R154" s="3395">
        <f t="shared" si="91"/>
        <v>0</v>
      </c>
      <c r="S154" s="3396">
        <f t="shared" si="91"/>
        <v>0</v>
      </c>
      <c r="T154" s="3396">
        <f t="shared" si="91"/>
        <v>0</v>
      </c>
      <c r="U154" s="3395">
        <f t="shared" si="91"/>
        <v>0</v>
      </c>
      <c r="V154" s="3396">
        <f t="shared" si="91"/>
        <v>0</v>
      </c>
      <c r="W154" s="3396">
        <f t="shared" si="91"/>
        <v>0</v>
      </c>
      <c r="X154" s="3386"/>
      <c r="Y154" s="3386"/>
      <c r="Z154" s="3386"/>
      <c r="AA154" s="3391"/>
    </row>
    <row r="155" spans="2:27" ht="18" hidden="1">
      <c r="B155" s="3350"/>
      <c r="C155" s="3407"/>
      <c r="D155" s="3350"/>
      <c r="E155" s="3404">
        <v>1091000029</v>
      </c>
      <c r="F155" s="3406"/>
      <c r="G155" s="3387"/>
      <c r="H155" s="3383">
        <f t="shared" si="88"/>
        <v>0</v>
      </c>
      <c r="I155" s="3386"/>
      <c r="J155" s="3387"/>
      <c r="K155" s="3383">
        <f t="shared" si="89"/>
        <v>0</v>
      </c>
      <c r="L155" s="3395">
        <f t="shared" si="92"/>
        <v>0</v>
      </c>
      <c r="M155" s="3396">
        <f t="shared" si="92"/>
        <v>0</v>
      </c>
      <c r="N155" s="3396">
        <f t="shared" si="92"/>
        <v>0</v>
      </c>
      <c r="O155" s="3395">
        <f t="shared" si="91"/>
        <v>0</v>
      </c>
      <c r="P155" s="3396">
        <f t="shared" si="91"/>
        <v>0</v>
      </c>
      <c r="Q155" s="3396">
        <f t="shared" si="91"/>
        <v>0</v>
      </c>
      <c r="R155" s="3395">
        <f t="shared" si="91"/>
        <v>0</v>
      </c>
      <c r="S155" s="3396">
        <f t="shared" si="91"/>
        <v>0</v>
      </c>
      <c r="T155" s="3396">
        <f t="shared" si="91"/>
        <v>0</v>
      </c>
      <c r="U155" s="3395">
        <f t="shared" si="91"/>
        <v>0</v>
      </c>
      <c r="V155" s="3396">
        <f t="shared" si="91"/>
        <v>0</v>
      </c>
      <c r="W155" s="3396">
        <f t="shared" si="91"/>
        <v>0</v>
      </c>
      <c r="X155" s="3386"/>
      <c r="Y155" s="3386"/>
      <c r="Z155" s="3386"/>
      <c r="AA155" s="3391"/>
    </row>
    <row r="156" spans="2:27" ht="18" hidden="1">
      <c r="B156" s="3350"/>
      <c r="C156" s="3407"/>
      <c r="D156" s="3350"/>
      <c r="E156" s="3404">
        <v>1091000030</v>
      </c>
      <c r="F156" s="3406"/>
      <c r="G156" s="3387"/>
      <c r="H156" s="3383">
        <f t="shared" si="88"/>
        <v>0</v>
      </c>
      <c r="I156" s="3386"/>
      <c r="J156" s="3387"/>
      <c r="K156" s="3383">
        <f t="shared" si="89"/>
        <v>0</v>
      </c>
      <c r="L156" s="3395">
        <f t="shared" si="92"/>
        <v>0</v>
      </c>
      <c r="M156" s="3396">
        <f t="shared" si="92"/>
        <v>0</v>
      </c>
      <c r="N156" s="3396">
        <f t="shared" si="92"/>
        <v>0</v>
      </c>
      <c r="O156" s="3395">
        <f t="shared" si="91"/>
        <v>0</v>
      </c>
      <c r="P156" s="3396">
        <f t="shared" si="91"/>
        <v>0</v>
      </c>
      <c r="Q156" s="3396">
        <f t="shared" si="91"/>
        <v>0</v>
      </c>
      <c r="R156" s="3395">
        <f t="shared" si="91"/>
        <v>0</v>
      </c>
      <c r="S156" s="3396">
        <f t="shared" si="91"/>
        <v>0</v>
      </c>
      <c r="T156" s="3396">
        <f t="shared" si="91"/>
        <v>0</v>
      </c>
      <c r="U156" s="3395">
        <f t="shared" si="91"/>
        <v>0</v>
      </c>
      <c r="V156" s="3396">
        <f t="shared" si="91"/>
        <v>0</v>
      </c>
      <c r="W156" s="3396">
        <f t="shared" si="91"/>
        <v>0</v>
      </c>
      <c r="X156" s="3386"/>
      <c r="Y156" s="3386"/>
      <c r="Z156" s="3386"/>
      <c r="AA156" s="3391"/>
    </row>
    <row r="157" spans="2:27" ht="18" hidden="1">
      <c r="B157" s="3350"/>
      <c r="C157" s="3407"/>
      <c r="D157" s="3350"/>
      <c r="E157" s="3404">
        <v>1091000031</v>
      </c>
      <c r="F157" s="3406"/>
      <c r="G157" s="3387"/>
      <c r="H157" s="3383">
        <f t="shared" si="88"/>
        <v>0</v>
      </c>
      <c r="I157" s="3386"/>
      <c r="J157" s="3387"/>
      <c r="K157" s="3383">
        <f t="shared" si="89"/>
        <v>0</v>
      </c>
      <c r="L157" s="3395">
        <f t="shared" si="92"/>
        <v>0</v>
      </c>
      <c r="M157" s="3396">
        <f t="shared" si="92"/>
        <v>0</v>
      </c>
      <c r="N157" s="3396">
        <f t="shared" si="92"/>
        <v>0</v>
      </c>
      <c r="O157" s="3395">
        <f t="shared" si="91"/>
        <v>0</v>
      </c>
      <c r="P157" s="3396">
        <f t="shared" si="91"/>
        <v>0</v>
      </c>
      <c r="Q157" s="3396">
        <f t="shared" si="91"/>
        <v>0</v>
      </c>
      <c r="R157" s="3395">
        <f t="shared" si="91"/>
        <v>0</v>
      </c>
      <c r="S157" s="3396">
        <f t="shared" si="91"/>
        <v>0</v>
      </c>
      <c r="T157" s="3396">
        <f t="shared" si="91"/>
        <v>0</v>
      </c>
      <c r="U157" s="3395">
        <f t="shared" si="91"/>
        <v>0</v>
      </c>
      <c r="V157" s="3396">
        <f t="shared" si="91"/>
        <v>0</v>
      </c>
      <c r="W157" s="3396">
        <f t="shared" si="91"/>
        <v>0</v>
      </c>
      <c r="X157" s="3386"/>
      <c r="Y157" s="3386"/>
      <c r="Z157" s="3386"/>
      <c r="AA157" s="3391"/>
    </row>
    <row r="158" spans="2:27" ht="18" hidden="1">
      <c r="B158" s="3350"/>
      <c r="C158" s="3407"/>
      <c r="D158" s="3350"/>
      <c r="E158" s="3404">
        <v>1091000032</v>
      </c>
      <c r="F158" s="3406"/>
      <c r="G158" s="3387"/>
      <c r="H158" s="3383">
        <f t="shared" si="88"/>
        <v>0</v>
      </c>
      <c r="I158" s="3386"/>
      <c r="J158" s="3387"/>
      <c r="K158" s="3383">
        <f t="shared" si="89"/>
        <v>0</v>
      </c>
      <c r="L158" s="3395">
        <f t="shared" si="92"/>
        <v>0</v>
      </c>
      <c r="M158" s="3396">
        <f t="shared" si="92"/>
        <v>0</v>
      </c>
      <c r="N158" s="3396">
        <f t="shared" si="92"/>
        <v>0</v>
      </c>
      <c r="O158" s="3395">
        <f t="shared" si="91"/>
        <v>0</v>
      </c>
      <c r="P158" s="3396">
        <f t="shared" si="91"/>
        <v>0</v>
      </c>
      <c r="Q158" s="3396">
        <f t="shared" si="91"/>
        <v>0</v>
      </c>
      <c r="R158" s="3395">
        <f t="shared" si="91"/>
        <v>0</v>
      </c>
      <c r="S158" s="3396">
        <f t="shared" si="91"/>
        <v>0</v>
      </c>
      <c r="T158" s="3396">
        <f t="shared" si="91"/>
        <v>0</v>
      </c>
      <c r="U158" s="3395">
        <f t="shared" si="91"/>
        <v>0</v>
      </c>
      <c r="V158" s="3396">
        <f t="shared" si="91"/>
        <v>0</v>
      </c>
      <c r="W158" s="3396">
        <f t="shared" si="91"/>
        <v>0</v>
      </c>
      <c r="X158" s="3386"/>
      <c r="Y158" s="3386"/>
      <c r="Z158" s="3386"/>
      <c r="AA158" s="3391"/>
    </row>
    <row r="159" spans="2:27" ht="18" hidden="1">
      <c r="B159" s="3350"/>
      <c r="C159" s="3407"/>
      <c r="D159" s="3350"/>
      <c r="E159" s="3404">
        <v>1091000033</v>
      </c>
      <c r="F159" s="3406"/>
      <c r="G159" s="3387"/>
      <c r="H159" s="3383">
        <f t="shared" si="88"/>
        <v>0</v>
      </c>
      <c r="I159" s="3386"/>
      <c r="J159" s="3387"/>
      <c r="K159" s="3383">
        <f t="shared" si="89"/>
        <v>0</v>
      </c>
      <c r="L159" s="3395">
        <f t="shared" si="92"/>
        <v>0</v>
      </c>
      <c r="M159" s="3396">
        <f t="shared" si="92"/>
        <v>0</v>
      </c>
      <c r="N159" s="3396">
        <f t="shared" si="92"/>
        <v>0</v>
      </c>
      <c r="O159" s="3395">
        <f t="shared" si="91"/>
        <v>0</v>
      </c>
      <c r="P159" s="3396">
        <f t="shared" si="91"/>
        <v>0</v>
      </c>
      <c r="Q159" s="3396">
        <f t="shared" si="91"/>
        <v>0</v>
      </c>
      <c r="R159" s="3395">
        <f t="shared" si="91"/>
        <v>0</v>
      </c>
      <c r="S159" s="3396">
        <f t="shared" si="91"/>
        <v>0</v>
      </c>
      <c r="T159" s="3396">
        <f t="shared" si="91"/>
        <v>0</v>
      </c>
      <c r="U159" s="3395">
        <f t="shared" si="91"/>
        <v>0</v>
      </c>
      <c r="V159" s="3396">
        <f t="shared" si="91"/>
        <v>0</v>
      </c>
      <c r="W159" s="3396">
        <f t="shared" si="91"/>
        <v>0</v>
      </c>
      <c r="X159" s="3386"/>
      <c r="Y159" s="3386"/>
      <c r="Z159" s="3386"/>
      <c r="AA159" s="3391"/>
    </row>
    <row r="160" spans="2:27" ht="18" hidden="1">
      <c r="B160" s="3350"/>
      <c r="C160" s="3407"/>
      <c r="D160" s="3350"/>
      <c r="E160" s="3404">
        <v>1091000034</v>
      </c>
      <c r="F160" s="3406"/>
      <c r="G160" s="3387"/>
      <c r="H160" s="3383">
        <f t="shared" si="88"/>
        <v>0</v>
      </c>
      <c r="I160" s="3386"/>
      <c r="J160" s="3387"/>
      <c r="K160" s="3383">
        <f t="shared" si="89"/>
        <v>0</v>
      </c>
      <c r="L160" s="3395">
        <f t="shared" si="92"/>
        <v>0</v>
      </c>
      <c r="M160" s="3396">
        <f t="shared" si="92"/>
        <v>0</v>
      </c>
      <c r="N160" s="3396">
        <f t="shared" si="92"/>
        <v>0</v>
      </c>
      <c r="O160" s="3395">
        <f t="shared" si="91"/>
        <v>0</v>
      </c>
      <c r="P160" s="3396">
        <f t="shared" si="91"/>
        <v>0</v>
      </c>
      <c r="Q160" s="3396">
        <f t="shared" si="91"/>
        <v>0</v>
      </c>
      <c r="R160" s="3395">
        <f t="shared" si="91"/>
        <v>0</v>
      </c>
      <c r="S160" s="3396">
        <f t="shared" si="91"/>
        <v>0</v>
      </c>
      <c r="T160" s="3396">
        <f t="shared" si="91"/>
        <v>0</v>
      </c>
      <c r="U160" s="3395">
        <f t="shared" si="91"/>
        <v>0</v>
      </c>
      <c r="V160" s="3396">
        <f t="shared" si="91"/>
        <v>0</v>
      </c>
      <c r="W160" s="3396">
        <f t="shared" si="91"/>
        <v>0</v>
      </c>
      <c r="X160" s="3386"/>
      <c r="Y160" s="3386"/>
      <c r="Z160" s="3386"/>
      <c r="AA160" s="3391"/>
    </row>
    <row r="161" spans="2:27" ht="18" hidden="1">
      <c r="B161" s="3350"/>
      <c r="C161" s="3407"/>
      <c r="D161" s="3350"/>
      <c r="E161" s="3404">
        <v>1091000035</v>
      </c>
      <c r="F161" s="3406"/>
      <c r="G161" s="3387"/>
      <c r="H161" s="3383">
        <f t="shared" si="88"/>
        <v>0</v>
      </c>
      <c r="I161" s="3386"/>
      <c r="J161" s="3387"/>
      <c r="K161" s="3383">
        <f t="shared" si="89"/>
        <v>0</v>
      </c>
      <c r="L161" s="3395">
        <f t="shared" si="92"/>
        <v>0</v>
      </c>
      <c r="M161" s="3396">
        <f t="shared" si="92"/>
        <v>0</v>
      </c>
      <c r="N161" s="3396">
        <f t="shared" si="92"/>
        <v>0</v>
      </c>
      <c r="O161" s="3395">
        <f t="shared" si="91"/>
        <v>0</v>
      </c>
      <c r="P161" s="3396">
        <f t="shared" si="91"/>
        <v>0</v>
      </c>
      <c r="Q161" s="3396">
        <f t="shared" si="91"/>
        <v>0</v>
      </c>
      <c r="R161" s="3395">
        <f t="shared" si="91"/>
        <v>0</v>
      </c>
      <c r="S161" s="3396">
        <f t="shared" si="91"/>
        <v>0</v>
      </c>
      <c r="T161" s="3396">
        <f t="shared" si="91"/>
        <v>0</v>
      </c>
      <c r="U161" s="3395">
        <f t="shared" si="91"/>
        <v>0</v>
      </c>
      <c r="V161" s="3396">
        <f t="shared" si="91"/>
        <v>0</v>
      </c>
      <c r="W161" s="3396">
        <f t="shared" si="91"/>
        <v>0</v>
      </c>
      <c r="X161" s="3386"/>
      <c r="Y161" s="3386"/>
      <c r="Z161" s="3386"/>
      <c r="AA161" s="3391"/>
    </row>
    <row r="162" spans="2:27" ht="18" hidden="1">
      <c r="B162" s="3350"/>
      <c r="C162" s="3407"/>
      <c r="D162" s="3350"/>
      <c r="E162" s="3404">
        <v>1091000036</v>
      </c>
      <c r="F162" s="3406"/>
      <c r="G162" s="3387"/>
      <c r="H162" s="3383">
        <f t="shared" si="88"/>
        <v>0</v>
      </c>
      <c r="I162" s="3386"/>
      <c r="J162" s="3387"/>
      <c r="K162" s="3383">
        <f t="shared" si="89"/>
        <v>0</v>
      </c>
      <c r="L162" s="3395">
        <f t="shared" si="92"/>
        <v>0</v>
      </c>
      <c r="M162" s="3396">
        <f t="shared" si="92"/>
        <v>0</v>
      </c>
      <c r="N162" s="3396">
        <f t="shared" si="92"/>
        <v>0</v>
      </c>
      <c r="O162" s="3395">
        <f t="shared" si="91"/>
        <v>0</v>
      </c>
      <c r="P162" s="3396">
        <f t="shared" si="91"/>
        <v>0</v>
      </c>
      <c r="Q162" s="3396">
        <f t="shared" si="91"/>
        <v>0</v>
      </c>
      <c r="R162" s="3395">
        <f t="shared" si="91"/>
        <v>0</v>
      </c>
      <c r="S162" s="3396">
        <f t="shared" si="91"/>
        <v>0</v>
      </c>
      <c r="T162" s="3396">
        <f t="shared" si="91"/>
        <v>0</v>
      </c>
      <c r="U162" s="3395">
        <f t="shared" si="91"/>
        <v>0</v>
      </c>
      <c r="V162" s="3396">
        <f t="shared" si="91"/>
        <v>0</v>
      </c>
      <c r="W162" s="3396">
        <f t="shared" si="91"/>
        <v>0</v>
      </c>
      <c r="X162" s="3386"/>
      <c r="Y162" s="3386"/>
      <c r="Z162" s="3386"/>
      <c r="AA162" s="3391"/>
    </row>
    <row r="163" spans="2:27" ht="18" hidden="1">
      <c r="B163" s="3350"/>
      <c r="C163" s="3407"/>
      <c r="D163" s="3350"/>
      <c r="E163" s="3404">
        <v>1091000037</v>
      </c>
      <c r="F163" s="3406"/>
      <c r="G163" s="3387"/>
      <c r="H163" s="3383">
        <f t="shared" si="88"/>
        <v>0</v>
      </c>
      <c r="I163" s="3386"/>
      <c r="J163" s="3387"/>
      <c r="K163" s="3383">
        <f t="shared" si="89"/>
        <v>0</v>
      </c>
      <c r="L163" s="3395">
        <f t="shared" si="92"/>
        <v>0</v>
      </c>
      <c r="M163" s="3396">
        <f t="shared" si="92"/>
        <v>0</v>
      </c>
      <c r="N163" s="3396">
        <f t="shared" si="92"/>
        <v>0</v>
      </c>
      <c r="O163" s="3395">
        <f t="shared" si="91"/>
        <v>0</v>
      </c>
      <c r="P163" s="3396">
        <f t="shared" si="91"/>
        <v>0</v>
      </c>
      <c r="Q163" s="3396">
        <f t="shared" si="91"/>
        <v>0</v>
      </c>
      <c r="R163" s="3395">
        <f t="shared" si="91"/>
        <v>0</v>
      </c>
      <c r="S163" s="3396">
        <f t="shared" si="91"/>
        <v>0</v>
      </c>
      <c r="T163" s="3396">
        <f t="shared" si="91"/>
        <v>0</v>
      </c>
      <c r="U163" s="3395">
        <f t="shared" si="91"/>
        <v>0</v>
      </c>
      <c r="V163" s="3396">
        <f t="shared" si="91"/>
        <v>0</v>
      </c>
      <c r="W163" s="3396">
        <f t="shared" si="91"/>
        <v>0</v>
      </c>
      <c r="X163" s="3386"/>
      <c r="Y163" s="3386"/>
      <c r="Z163" s="3386"/>
      <c r="AA163" s="3391"/>
    </row>
    <row r="164" spans="2:27" ht="18" hidden="1">
      <c r="B164" s="3350"/>
      <c r="C164" s="3407"/>
      <c r="D164" s="3350"/>
      <c r="E164" s="3404">
        <v>1091000038</v>
      </c>
      <c r="F164" s="3406"/>
      <c r="G164" s="3387"/>
      <c r="H164" s="3383">
        <f t="shared" si="88"/>
        <v>0</v>
      </c>
      <c r="I164" s="3386"/>
      <c r="J164" s="3387"/>
      <c r="K164" s="3383">
        <f t="shared" si="89"/>
        <v>0</v>
      </c>
      <c r="L164" s="3395">
        <f t="shared" si="92"/>
        <v>0</v>
      </c>
      <c r="M164" s="3396">
        <f t="shared" si="92"/>
        <v>0</v>
      </c>
      <c r="N164" s="3396">
        <f t="shared" si="92"/>
        <v>0</v>
      </c>
      <c r="O164" s="3395">
        <f t="shared" si="91"/>
        <v>0</v>
      </c>
      <c r="P164" s="3396">
        <f t="shared" si="91"/>
        <v>0</v>
      </c>
      <c r="Q164" s="3396">
        <f t="shared" si="91"/>
        <v>0</v>
      </c>
      <c r="R164" s="3395">
        <f t="shared" si="91"/>
        <v>0</v>
      </c>
      <c r="S164" s="3396">
        <f t="shared" si="91"/>
        <v>0</v>
      </c>
      <c r="T164" s="3396">
        <f t="shared" si="91"/>
        <v>0</v>
      </c>
      <c r="U164" s="3395">
        <f t="shared" si="91"/>
        <v>0</v>
      </c>
      <c r="V164" s="3396">
        <f t="shared" si="91"/>
        <v>0</v>
      </c>
      <c r="W164" s="3396">
        <f t="shared" si="91"/>
        <v>0</v>
      </c>
      <c r="X164" s="3386"/>
      <c r="Y164" s="3386"/>
      <c r="Z164" s="3386"/>
      <c r="AA164" s="3391"/>
    </row>
    <row r="165" spans="2:27" ht="18" hidden="1">
      <c r="B165" s="3350"/>
      <c r="C165" s="3407"/>
      <c r="D165" s="3350"/>
      <c r="E165" s="3404">
        <v>1091000039</v>
      </c>
      <c r="F165" s="3406"/>
      <c r="G165" s="3387"/>
      <c r="H165" s="3383">
        <f t="shared" si="88"/>
        <v>0</v>
      </c>
      <c r="I165" s="3386"/>
      <c r="J165" s="3387"/>
      <c r="K165" s="3383">
        <f t="shared" si="89"/>
        <v>0</v>
      </c>
      <c r="L165" s="3395">
        <f t="shared" si="92"/>
        <v>0</v>
      </c>
      <c r="M165" s="3396">
        <f t="shared" si="92"/>
        <v>0</v>
      </c>
      <c r="N165" s="3396">
        <f t="shared" si="92"/>
        <v>0</v>
      </c>
      <c r="O165" s="3395">
        <f t="shared" si="91"/>
        <v>0</v>
      </c>
      <c r="P165" s="3396">
        <f t="shared" si="91"/>
        <v>0</v>
      </c>
      <c r="Q165" s="3396">
        <f t="shared" si="91"/>
        <v>0</v>
      </c>
      <c r="R165" s="3395">
        <f t="shared" si="91"/>
        <v>0</v>
      </c>
      <c r="S165" s="3396">
        <f t="shared" si="91"/>
        <v>0</v>
      </c>
      <c r="T165" s="3396">
        <f t="shared" si="91"/>
        <v>0</v>
      </c>
      <c r="U165" s="3395">
        <f t="shared" si="91"/>
        <v>0</v>
      </c>
      <c r="V165" s="3396">
        <f t="shared" si="91"/>
        <v>0</v>
      </c>
      <c r="W165" s="3396">
        <f t="shared" si="91"/>
        <v>0</v>
      </c>
      <c r="X165" s="3386"/>
      <c r="Y165" s="3386"/>
      <c r="Z165" s="3386"/>
      <c r="AA165" s="3391"/>
    </row>
    <row r="166" spans="2:27" ht="18" hidden="1">
      <c r="B166" s="3350"/>
      <c r="C166" s="3407"/>
      <c r="D166" s="3350"/>
      <c r="E166" s="3404">
        <v>1091000040</v>
      </c>
      <c r="F166" s="3406"/>
      <c r="G166" s="3387"/>
      <c r="H166" s="3383">
        <f t="shared" si="88"/>
        <v>0</v>
      </c>
      <c r="I166" s="3386"/>
      <c r="J166" s="3387"/>
      <c r="K166" s="3383">
        <f t="shared" si="89"/>
        <v>0</v>
      </c>
      <c r="L166" s="3395">
        <f t="shared" si="92"/>
        <v>0</v>
      </c>
      <c r="M166" s="3396">
        <f t="shared" si="92"/>
        <v>0</v>
      </c>
      <c r="N166" s="3396">
        <f t="shared" si="92"/>
        <v>0</v>
      </c>
      <c r="O166" s="3395">
        <f t="shared" si="91"/>
        <v>0</v>
      </c>
      <c r="P166" s="3396">
        <f t="shared" si="91"/>
        <v>0</v>
      </c>
      <c r="Q166" s="3396">
        <f t="shared" si="91"/>
        <v>0</v>
      </c>
      <c r="R166" s="3395">
        <f t="shared" si="91"/>
        <v>0</v>
      </c>
      <c r="S166" s="3396">
        <f t="shared" si="91"/>
        <v>0</v>
      </c>
      <c r="T166" s="3396">
        <f t="shared" si="91"/>
        <v>0</v>
      </c>
      <c r="U166" s="3395">
        <f t="shared" si="91"/>
        <v>0</v>
      </c>
      <c r="V166" s="3396">
        <f t="shared" si="91"/>
        <v>0</v>
      </c>
      <c r="W166" s="3396">
        <f t="shared" si="91"/>
        <v>0</v>
      </c>
      <c r="X166" s="3386"/>
      <c r="Y166" s="3386"/>
      <c r="Z166" s="3386"/>
      <c r="AA166" s="3391"/>
    </row>
    <row r="167" spans="2:27" ht="18" hidden="1">
      <c r="B167" s="3350"/>
      <c r="C167" s="3407"/>
      <c r="D167" s="3350"/>
      <c r="E167" s="3404">
        <v>1091000041</v>
      </c>
      <c r="F167" s="3406"/>
      <c r="G167" s="3387"/>
      <c r="H167" s="3383">
        <f t="shared" si="88"/>
        <v>0</v>
      </c>
      <c r="I167" s="3386"/>
      <c r="J167" s="3387"/>
      <c r="K167" s="3383">
        <f t="shared" si="89"/>
        <v>0</v>
      </c>
      <c r="L167" s="3395">
        <f t="shared" si="92"/>
        <v>0</v>
      </c>
      <c r="M167" s="3396">
        <f t="shared" si="92"/>
        <v>0</v>
      </c>
      <c r="N167" s="3396">
        <f t="shared" si="92"/>
        <v>0</v>
      </c>
      <c r="O167" s="3395">
        <f t="shared" si="91"/>
        <v>0</v>
      </c>
      <c r="P167" s="3396">
        <f t="shared" si="91"/>
        <v>0</v>
      </c>
      <c r="Q167" s="3396">
        <f t="shared" si="91"/>
        <v>0</v>
      </c>
      <c r="R167" s="3395">
        <f t="shared" si="91"/>
        <v>0</v>
      </c>
      <c r="S167" s="3396">
        <f t="shared" si="91"/>
        <v>0</v>
      </c>
      <c r="T167" s="3396">
        <f t="shared" si="91"/>
        <v>0</v>
      </c>
      <c r="U167" s="3395">
        <f t="shared" si="91"/>
        <v>0</v>
      </c>
      <c r="V167" s="3396">
        <f t="shared" si="91"/>
        <v>0</v>
      </c>
      <c r="W167" s="3396">
        <f t="shared" si="91"/>
        <v>0</v>
      </c>
      <c r="X167" s="3386"/>
      <c r="Y167" s="3386"/>
      <c r="Z167" s="3386"/>
      <c r="AA167" s="3391"/>
    </row>
    <row r="168" spans="2:27" ht="18" hidden="1">
      <c r="B168" s="3350"/>
      <c r="C168" s="3407"/>
      <c r="D168" s="3350"/>
      <c r="E168" s="3404">
        <v>1091000042</v>
      </c>
      <c r="F168" s="3406"/>
      <c r="G168" s="3387"/>
      <c r="H168" s="3383">
        <f t="shared" si="88"/>
        <v>0</v>
      </c>
      <c r="I168" s="3386"/>
      <c r="J168" s="3387"/>
      <c r="K168" s="3383">
        <f t="shared" si="89"/>
        <v>0</v>
      </c>
      <c r="L168" s="3395">
        <f t="shared" si="92"/>
        <v>0</v>
      </c>
      <c r="M168" s="3396">
        <f t="shared" si="92"/>
        <v>0</v>
      </c>
      <c r="N168" s="3396">
        <f t="shared" si="92"/>
        <v>0</v>
      </c>
      <c r="O168" s="3395">
        <f t="shared" si="91"/>
        <v>0</v>
      </c>
      <c r="P168" s="3396">
        <f t="shared" si="91"/>
        <v>0</v>
      </c>
      <c r="Q168" s="3396">
        <f t="shared" si="91"/>
        <v>0</v>
      </c>
      <c r="R168" s="3395">
        <f t="shared" si="91"/>
        <v>0</v>
      </c>
      <c r="S168" s="3396">
        <f t="shared" si="91"/>
        <v>0</v>
      </c>
      <c r="T168" s="3396">
        <f t="shared" si="91"/>
        <v>0</v>
      </c>
      <c r="U168" s="3395">
        <f t="shared" si="91"/>
        <v>0</v>
      </c>
      <c r="V168" s="3396">
        <f t="shared" si="91"/>
        <v>0</v>
      </c>
      <c r="W168" s="3396">
        <f t="shared" si="91"/>
        <v>0</v>
      </c>
      <c r="X168" s="3386"/>
      <c r="Y168" s="3386"/>
      <c r="Z168" s="3386"/>
      <c r="AA168" s="3391"/>
    </row>
    <row r="169" spans="2:27" ht="18" hidden="1">
      <c r="B169" s="3350"/>
      <c r="C169" s="3407"/>
      <c r="D169" s="3350"/>
      <c r="E169" s="3404">
        <v>1091000043</v>
      </c>
      <c r="F169" s="3406"/>
      <c r="G169" s="3387"/>
      <c r="H169" s="3383">
        <f t="shared" si="88"/>
        <v>0</v>
      </c>
      <c r="I169" s="3386"/>
      <c r="J169" s="3387"/>
      <c r="K169" s="3383">
        <f t="shared" si="89"/>
        <v>0</v>
      </c>
      <c r="L169" s="3395">
        <f t="shared" si="92"/>
        <v>0</v>
      </c>
      <c r="M169" s="3396">
        <f t="shared" si="92"/>
        <v>0</v>
      </c>
      <c r="N169" s="3396">
        <f t="shared" si="92"/>
        <v>0</v>
      </c>
      <c r="O169" s="3395">
        <f t="shared" si="91"/>
        <v>0</v>
      </c>
      <c r="P169" s="3396">
        <f t="shared" si="91"/>
        <v>0</v>
      </c>
      <c r="Q169" s="3396">
        <f t="shared" si="91"/>
        <v>0</v>
      </c>
      <c r="R169" s="3395">
        <f t="shared" si="91"/>
        <v>0</v>
      </c>
      <c r="S169" s="3396">
        <f t="shared" si="91"/>
        <v>0</v>
      </c>
      <c r="T169" s="3396">
        <f t="shared" si="91"/>
        <v>0</v>
      </c>
      <c r="U169" s="3395">
        <f t="shared" si="91"/>
        <v>0</v>
      </c>
      <c r="V169" s="3396">
        <f t="shared" si="91"/>
        <v>0</v>
      </c>
      <c r="W169" s="3396">
        <f t="shared" si="91"/>
        <v>0</v>
      </c>
      <c r="X169" s="3386"/>
      <c r="Y169" s="3386"/>
      <c r="Z169" s="3386"/>
      <c r="AA169" s="3391"/>
    </row>
    <row r="170" spans="2:27" ht="18" hidden="1">
      <c r="B170" s="3350"/>
      <c r="C170" s="3407"/>
      <c r="D170" s="3350"/>
      <c r="E170" s="3404">
        <v>1091000044</v>
      </c>
      <c r="F170" s="3406"/>
      <c r="G170" s="3387"/>
      <c r="H170" s="3383">
        <f t="shared" si="88"/>
        <v>0</v>
      </c>
      <c r="I170" s="3386"/>
      <c r="J170" s="3387"/>
      <c r="K170" s="3383">
        <f t="shared" si="89"/>
        <v>0</v>
      </c>
      <c r="L170" s="3395">
        <f t="shared" si="92"/>
        <v>0</v>
      </c>
      <c r="M170" s="3396">
        <f t="shared" si="92"/>
        <v>0</v>
      </c>
      <c r="N170" s="3396">
        <f t="shared" si="92"/>
        <v>0</v>
      </c>
      <c r="O170" s="3395">
        <f t="shared" si="91"/>
        <v>0</v>
      </c>
      <c r="P170" s="3396">
        <f t="shared" si="91"/>
        <v>0</v>
      </c>
      <c r="Q170" s="3396">
        <f t="shared" si="91"/>
        <v>0</v>
      </c>
      <c r="R170" s="3395">
        <f t="shared" si="91"/>
        <v>0</v>
      </c>
      <c r="S170" s="3396">
        <f t="shared" si="91"/>
        <v>0</v>
      </c>
      <c r="T170" s="3396">
        <f t="shared" si="91"/>
        <v>0</v>
      </c>
      <c r="U170" s="3395">
        <f t="shared" si="91"/>
        <v>0</v>
      </c>
      <c r="V170" s="3396">
        <f t="shared" si="91"/>
        <v>0</v>
      </c>
      <c r="W170" s="3396">
        <f t="shared" si="91"/>
        <v>0</v>
      </c>
      <c r="X170" s="3386"/>
      <c r="Y170" s="3386"/>
      <c r="Z170" s="3386"/>
      <c r="AA170" s="3391"/>
    </row>
    <row r="171" spans="2:27" ht="18" hidden="1">
      <c r="B171" s="3350"/>
      <c r="C171" s="3407"/>
      <c r="D171" s="3350"/>
      <c r="E171" s="3404">
        <v>1091000045</v>
      </c>
      <c r="F171" s="3406"/>
      <c r="G171" s="3387"/>
      <c r="H171" s="3383">
        <f t="shared" si="88"/>
        <v>0</v>
      </c>
      <c r="I171" s="3386"/>
      <c r="J171" s="3387"/>
      <c r="K171" s="3383">
        <f t="shared" si="89"/>
        <v>0</v>
      </c>
      <c r="L171" s="3395">
        <f t="shared" si="92"/>
        <v>0</v>
      </c>
      <c r="M171" s="3396">
        <f t="shared" si="92"/>
        <v>0</v>
      </c>
      <c r="N171" s="3396">
        <f t="shared" si="92"/>
        <v>0</v>
      </c>
      <c r="O171" s="3395">
        <f t="shared" si="91"/>
        <v>0</v>
      </c>
      <c r="P171" s="3396">
        <f t="shared" si="91"/>
        <v>0</v>
      </c>
      <c r="Q171" s="3396">
        <f t="shared" si="91"/>
        <v>0</v>
      </c>
      <c r="R171" s="3395">
        <f t="shared" si="91"/>
        <v>0</v>
      </c>
      <c r="S171" s="3396">
        <f t="shared" si="91"/>
        <v>0</v>
      </c>
      <c r="T171" s="3396">
        <f t="shared" si="91"/>
        <v>0</v>
      </c>
      <c r="U171" s="3395">
        <f t="shared" si="91"/>
        <v>0</v>
      </c>
      <c r="V171" s="3396">
        <f t="shared" si="91"/>
        <v>0</v>
      </c>
      <c r="W171" s="3396">
        <f t="shared" si="91"/>
        <v>0</v>
      </c>
      <c r="X171" s="3386"/>
      <c r="Y171" s="3386"/>
      <c r="Z171" s="3386"/>
      <c r="AA171" s="3391"/>
    </row>
    <row r="172" spans="2:27" ht="18" hidden="1">
      <c r="B172" s="3350"/>
      <c r="C172" s="3407"/>
      <c r="D172" s="3350"/>
      <c r="E172" s="3404">
        <v>1091000046</v>
      </c>
      <c r="F172" s="3406"/>
      <c r="G172" s="3387"/>
      <c r="H172" s="3383">
        <f t="shared" si="88"/>
        <v>0</v>
      </c>
      <c r="I172" s="3386"/>
      <c r="J172" s="3387"/>
      <c r="K172" s="3383">
        <f t="shared" si="89"/>
        <v>0</v>
      </c>
      <c r="L172" s="3395">
        <f t="shared" si="92"/>
        <v>0</v>
      </c>
      <c r="M172" s="3396">
        <f t="shared" si="92"/>
        <v>0</v>
      </c>
      <c r="N172" s="3396">
        <f t="shared" si="92"/>
        <v>0</v>
      </c>
      <c r="O172" s="3395">
        <f t="shared" si="91"/>
        <v>0</v>
      </c>
      <c r="P172" s="3396">
        <f t="shared" si="91"/>
        <v>0</v>
      </c>
      <c r="Q172" s="3396">
        <f t="shared" si="91"/>
        <v>0</v>
      </c>
      <c r="R172" s="3395">
        <f t="shared" si="91"/>
        <v>0</v>
      </c>
      <c r="S172" s="3396">
        <f t="shared" si="91"/>
        <v>0</v>
      </c>
      <c r="T172" s="3396">
        <f t="shared" si="91"/>
        <v>0</v>
      </c>
      <c r="U172" s="3395">
        <f t="shared" si="91"/>
        <v>0</v>
      </c>
      <c r="V172" s="3396">
        <f t="shared" si="91"/>
        <v>0</v>
      </c>
      <c r="W172" s="3396">
        <f t="shared" si="91"/>
        <v>0</v>
      </c>
      <c r="X172" s="3386"/>
      <c r="Y172" s="3386"/>
      <c r="Z172" s="3386"/>
      <c r="AA172" s="3391"/>
    </row>
    <row r="173" spans="2:27" ht="18" hidden="1">
      <c r="B173" s="3350"/>
      <c r="C173" s="3407"/>
      <c r="D173" s="3350"/>
      <c r="E173" s="3404">
        <v>1091000047</v>
      </c>
      <c r="F173" s="3406"/>
      <c r="G173" s="3387"/>
      <c r="H173" s="3383">
        <f t="shared" si="88"/>
        <v>0</v>
      </c>
      <c r="I173" s="3386"/>
      <c r="J173" s="3387"/>
      <c r="K173" s="3383">
        <f t="shared" si="89"/>
        <v>0</v>
      </c>
      <c r="L173" s="3395">
        <f t="shared" si="92"/>
        <v>0</v>
      </c>
      <c r="M173" s="3396">
        <f t="shared" si="92"/>
        <v>0</v>
      </c>
      <c r="N173" s="3396">
        <f t="shared" si="92"/>
        <v>0</v>
      </c>
      <c r="O173" s="3395">
        <f t="shared" si="91"/>
        <v>0</v>
      </c>
      <c r="P173" s="3396">
        <f t="shared" si="91"/>
        <v>0</v>
      </c>
      <c r="Q173" s="3396">
        <f t="shared" si="91"/>
        <v>0</v>
      </c>
      <c r="R173" s="3395">
        <f t="shared" si="91"/>
        <v>0</v>
      </c>
      <c r="S173" s="3396">
        <f t="shared" si="91"/>
        <v>0</v>
      </c>
      <c r="T173" s="3396">
        <f t="shared" si="91"/>
        <v>0</v>
      </c>
      <c r="U173" s="3395">
        <f t="shared" si="91"/>
        <v>0</v>
      </c>
      <c r="V173" s="3396">
        <f t="shared" si="91"/>
        <v>0</v>
      </c>
      <c r="W173" s="3396">
        <f t="shared" si="91"/>
        <v>0</v>
      </c>
      <c r="X173" s="3386"/>
      <c r="Y173" s="3386"/>
      <c r="Z173" s="3386"/>
      <c r="AA173" s="3391"/>
    </row>
    <row r="174" spans="2:27" ht="18" hidden="1">
      <c r="B174" s="3350"/>
      <c r="C174" s="3407"/>
      <c r="D174" s="3350"/>
      <c r="E174" s="3404">
        <v>1091000048</v>
      </c>
      <c r="F174" s="3406"/>
      <c r="G174" s="3387"/>
      <c r="H174" s="3383">
        <f t="shared" si="88"/>
        <v>0</v>
      </c>
      <c r="I174" s="3386"/>
      <c r="J174" s="3387"/>
      <c r="K174" s="3383">
        <f t="shared" si="89"/>
        <v>0</v>
      </c>
      <c r="L174" s="3395">
        <f t="shared" si="92"/>
        <v>0</v>
      </c>
      <c r="M174" s="3396">
        <f t="shared" si="92"/>
        <v>0</v>
      </c>
      <c r="N174" s="3396">
        <f t="shared" si="92"/>
        <v>0</v>
      </c>
      <c r="O174" s="3395">
        <f t="shared" si="91"/>
        <v>0</v>
      </c>
      <c r="P174" s="3396">
        <f t="shared" si="91"/>
        <v>0</v>
      </c>
      <c r="Q174" s="3396">
        <f t="shared" si="91"/>
        <v>0</v>
      </c>
      <c r="R174" s="3395">
        <f t="shared" si="91"/>
        <v>0</v>
      </c>
      <c r="S174" s="3396">
        <f t="shared" si="91"/>
        <v>0</v>
      </c>
      <c r="T174" s="3396">
        <f t="shared" si="91"/>
        <v>0</v>
      </c>
      <c r="U174" s="3395">
        <f t="shared" si="91"/>
        <v>0</v>
      </c>
      <c r="V174" s="3396">
        <f t="shared" si="91"/>
        <v>0</v>
      </c>
      <c r="W174" s="3396">
        <f t="shared" si="91"/>
        <v>0</v>
      </c>
      <c r="X174" s="3386"/>
      <c r="Y174" s="3386"/>
      <c r="Z174" s="3386"/>
      <c r="AA174" s="3391"/>
    </row>
    <row r="175" spans="2:27" ht="18" hidden="1">
      <c r="B175" s="3350"/>
      <c r="C175" s="3407"/>
      <c r="D175" s="3350"/>
      <c r="E175" s="3404">
        <v>1091000049</v>
      </c>
      <c r="F175" s="3406"/>
      <c r="G175" s="3387"/>
      <c r="H175" s="3383">
        <f t="shared" si="88"/>
        <v>0</v>
      </c>
      <c r="I175" s="3386"/>
      <c r="J175" s="3387"/>
      <c r="K175" s="3383">
        <f t="shared" si="89"/>
        <v>0</v>
      </c>
      <c r="L175" s="3395">
        <f t="shared" si="92"/>
        <v>0</v>
      </c>
      <c r="M175" s="3396">
        <f t="shared" si="92"/>
        <v>0</v>
      </c>
      <c r="N175" s="3396">
        <f t="shared" si="92"/>
        <v>0</v>
      </c>
      <c r="O175" s="3395">
        <f t="shared" si="91"/>
        <v>0</v>
      </c>
      <c r="P175" s="3396">
        <f t="shared" si="91"/>
        <v>0</v>
      </c>
      <c r="Q175" s="3396">
        <f t="shared" si="91"/>
        <v>0</v>
      </c>
      <c r="R175" s="3395">
        <f t="shared" ref="R175:W217" si="93">(0)</f>
        <v>0</v>
      </c>
      <c r="S175" s="3396">
        <f t="shared" si="93"/>
        <v>0</v>
      </c>
      <c r="T175" s="3396">
        <f t="shared" si="93"/>
        <v>0</v>
      </c>
      <c r="U175" s="3395">
        <f t="shared" si="93"/>
        <v>0</v>
      </c>
      <c r="V175" s="3396">
        <f t="shared" si="93"/>
        <v>0</v>
      </c>
      <c r="W175" s="3396">
        <f t="shared" si="93"/>
        <v>0</v>
      </c>
      <c r="X175" s="3386"/>
      <c r="Y175" s="3386"/>
      <c r="Z175" s="3386"/>
      <c r="AA175" s="3391"/>
    </row>
    <row r="176" spans="2:27" ht="18" hidden="1">
      <c r="B176" s="3350"/>
      <c r="C176" s="3407"/>
      <c r="D176" s="3350"/>
      <c r="E176" s="3404">
        <v>1091000050</v>
      </c>
      <c r="F176" s="3406"/>
      <c r="G176" s="3387"/>
      <c r="H176" s="3383">
        <f t="shared" si="88"/>
        <v>0</v>
      </c>
      <c r="I176" s="3386"/>
      <c r="J176" s="3387"/>
      <c r="K176" s="3383">
        <f t="shared" si="89"/>
        <v>0</v>
      </c>
      <c r="L176" s="3395">
        <f t="shared" si="92"/>
        <v>0</v>
      </c>
      <c r="M176" s="3396">
        <f t="shared" si="92"/>
        <v>0</v>
      </c>
      <c r="N176" s="3396">
        <f t="shared" si="92"/>
        <v>0</v>
      </c>
      <c r="O176" s="3395">
        <f t="shared" si="92"/>
        <v>0</v>
      </c>
      <c r="P176" s="3396">
        <f t="shared" si="92"/>
        <v>0</v>
      </c>
      <c r="Q176" s="3396">
        <f t="shared" si="92"/>
        <v>0</v>
      </c>
      <c r="R176" s="3395">
        <f t="shared" si="93"/>
        <v>0</v>
      </c>
      <c r="S176" s="3396">
        <f t="shared" si="93"/>
        <v>0</v>
      </c>
      <c r="T176" s="3396">
        <f t="shared" si="93"/>
        <v>0</v>
      </c>
      <c r="U176" s="3395">
        <f t="shared" si="93"/>
        <v>0</v>
      </c>
      <c r="V176" s="3396">
        <f t="shared" si="93"/>
        <v>0</v>
      </c>
      <c r="W176" s="3396">
        <f t="shared" si="93"/>
        <v>0</v>
      </c>
      <c r="X176" s="3386"/>
      <c r="Y176" s="3386"/>
      <c r="Z176" s="3386"/>
      <c r="AA176" s="3391"/>
    </row>
    <row r="177" spans="2:27" ht="18" hidden="1">
      <c r="B177" s="3350"/>
      <c r="C177" s="3407"/>
      <c r="D177" s="3350"/>
      <c r="E177" s="3404">
        <v>1091000051</v>
      </c>
      <c r="F177" s="3406"/>
      <c r="G177" s="3387"/>
      <c r="H177" s="3383">
        <f t="shared" si="88"/>
        <v>0</v>
      </c>
      <c r="I177" s="3386"/>
      <c r="J177" s="3387"/>
      <c r="K177" s="3383">
        <f t="shared" si="89"/>
        <v>0</v>
      </c>
      <c r="L177" s="3395">
        <f t="shared" si="92"/>
        <v>0</v>
      </c>
      <c r="M177" s="3396">
        <f t="shared" si="92"/>
        <v>0</v>
      </c>
      <c r="N177" s="3396">
        <f t="shared" si="92"/>
        <v>0</v>
      </c>
      <c r="O177" s="3395">
        <f t="shared" si="92"/>
        <v>0</v>
      </c>
      <c r="P177" s="3396">
        <f t="shared" si="92"/>
        <v>0</v>
      </c>
      <c r="Q177" s="3396">
        <f t="shared" si="92"/>
        <v>0</v>
      </c>
      <c r="R177" s="3395">
        <f t="shared" si="93"/>
        <v>0</v>
      </c>
      <c r="S177" s="3396">
        <f t="shared" si="93"/>
        <v>0</v>
      </c>
      <c r="T177" s="3396">
        <f t="shared" si="93"/>
        <v>0</v>
      </c>
      <c r="U177" s="3395">
        <f t="shared" si="93"/>
        <v>0</v>
      </c>
      <c r="V177" s="3396">
        <f t="shared" si="93"/>
        <v>0</v>
      </c>
      <c r="W177" s="3396">
        <f t="shared" si="93"/>
        <v>0</v>
      </c>
      <c r="X177" s="3386"/>
      <c r="Y177" s="3386"/>
      <c r="Z177" s="3386"/>
      <c r="AA177" s="3391"/>
    </row>
    <row r="178" spans="2:27" ht="18" hidden="1">
      <c r="B178" s="3350"/>
      <c r="C178" s="3407"/>
      <c r="D178" s="3350"/>
      <c r="E178" s="3404">
        <v>1091000052</v>
      </c>
      <c r="F178" s="3406"/>
      <c r="G178" s="3387"/>
      <c r="H178" s="3383">
        <f t="shared" si="88"/>
        <v>0</v>
      </c>
      <c r="I178" s="3386"/>
      <c r="J178" s="3387"/>
      <c r="K178" s="3383">
        <f t="shared" si="89"/>
        <v>0</v>
      </c>
      <c r="L178" s="3395">
        <f t="shared" si="92"/>
        <v>0</v>
      </c>
      <c r="M178" s="3396">
        <f t="shared" si="92"/>
        <v>0</v>
      </c>
      <c r="N178" s="3396">
        <f t="shared" si="92"/>
        <v>0</v>
      </c>
      <c r="O178" s="3395">
        <f t="shared" si="92"/>
        <v>0</v>
      </c>
      <c r="P178" s="3396">
        <f t="shared" si="92"/>
        <v>0</v>
      </c>
      <c r="Q178" s="3396">
        <f t="shared" si="92"/>
        <v>0</v>
      </c>
      <c r="R178" s="3395">
        <f t="shared" si="93"/>
        <v>0</v>
      </c>
      <c r="S178" s="3396">
        <f t="shared" si="93"/>
        <v>0</v>
      </c>
      <c r="T178" s="3396">
        <f t="shared" si="93"/>
        <v>0</v>
      </c>
      <c r="U178" s="3395">
        <f t="shared" si="93"/>
        <v>0</v>
      </c>
      <c r="V178" s="3396">
        <f t="shared" si="93"/>
        <v>0</v>
      </c>
      <c r="W178" s="3396">
        <f t="shared" si="93"/>
        <v>0</v>
      </c>
      <c r="X178" s="3386"/>
      <c r="Y178" s="3386"/>
      <c r="Z178" s="3386"/>
      <c r="AA178" s="3391"/>
    </row>
    <row r="179" spans="2:27" ht="18" hidden="1">
      <c r="B179" s="3350"/>
      <c r="C179" s="3407"/>
      <c r="D179" s="3350"/>
      <c r="E179" s="3404">
        <v>1091000053</v>
      </c>
      <c r="F179" s="3406"/>
      <c r="G179" s="3387"/>
      <c r="H179" s="3383">
        <f t="shared" si="88"/>
        <v>0</v>
      </c>
      <c r="I179" s="3386"/>
      <c r="J179" s="3387"/>
      <c r="K179" s="3383">
        <f t="shared" si="89"/>
        <v>0</v>
      </c>
      <c r="L179" s="3395">
        <f t="shared" si="92"/>
        <v>0</v>
      </c>
      <c r="M179" s="3396">
        <f t="shared" si="92"/>
        <v>0</v>
      </c>
      <c r="N179" s="3396">
        <f t="shared" si="92"/>
        <v>0</v>
      </c>
      <c r="O179" s="3395">
        <f t="shared" si="92"/>
        <v>0</v>
      </c>
      <c r="P179" s="3396">
        <f t="shared" si="92"/>
        <v>0</v>
      </c>
      <c r="Q179" s="3396">
        <f t="shared" si="92"/>
        <v>0</v>
      </c>
      <c r="R179" s="3395">
        <f t="shared" si="93"/>
        <v>0</v>
      </c>
      <c r="S179" s="3396">
        <f t="shared" si="93"/>
        <v>0</v>
      </c>
      <c r="T179" s="3396">
        <f t="shared" si="93"/>
        <v>0</v>
      </c>
      <c r="U179" s="3395">
        <f t="shared" si="93"/>
        <v>0</v>
      </c>
      <c r="V179" s="3396">
        <f t="shared" si="93"/>
        <v>0</v>
      </c>
      <c r="W179" s="3396">
        <f t="shared" si="93"/>
        <v>0</v>
      </c>
      <c r="X179" s="3386"/>
      <c r="Y179" s="3386"/>
      <c r="Z179" s="3386"/>
      <c r="AA179" s="3391"/>
    </row>
    <row r="180" spans="2:27" ht="18" hidden="1">
      <c r="B180" s="3350"/>
      <c r="C180" s="3407"/>
      <c r="D180" s="3350"/>
      <c r="E180" s="3404">
        <v>1091000054</v>
      </c>
      <c r="F180" s="3406"/>
      <c r="G180" s="3387"/>
      <c r="H180" s="3383">
        <f t="shared" si="88"/>
        <v>0</v>
      </c>
      <c r="I180" s="3386"/>
      <c r="J180" s="3387"/>
      <c r="K180" s="3383">
        <f t="shared" si="89"/>
        <v>0</v>
      </c>
      <c r="L180" s="3395">
        <f t="shared" si="92"/>
        <v>0</v>
      </c>
      <c r="M180" s="3396">
        <f t="shared" si="92"/>
        <v>0</v>
      </c>
      <c r="N180" s="3396">
        <f t="shared" si="92"/>
        <v>0</v>
      </c>
      <c r="O180" s="3395">
        <f t="shared" si="92"/>
        <v>0</v>
      </c>
      <c r="P180" s="3396">
        <f t="shared" si="92"/>
        <v>0</v>
      </c>
      <c r="Q180" s="3396">
        <f t="shared" si="92"/>
        <v>0</v>
      </c>
      <c r="R180" s="3395">
        <f t="shared" si="93"/>
        <v>0</v>
      </c>
      <c r="S180" s="3396">
        <f t="shared" si="93"/>
        <v>0</v>
      </c>
      <c r="T180" s="3396">
        <f t="shared" si="93"/>
        <v>0</v>
      </c>
      <c r="U180" s="3395">
        <f t="shared" si="93"/>
        <v>0</v>
      </c>
      <c r="V180" s="3396">
        <f t="shared" si="93"/>
        <v>0</v>
      </c>
      <c r="W180" s="3396">
        <f t="shared" si="93"/>
        <v>0</v>
      </c>
      <c r="X180" s="3386"/>
      <c r="Y180" s="3386"/>
      <c r="Z180" s="3386"/>
      <c r="AA180" s="3391"/>
    </row>
    <row r="181" spans="2:27" ht="18" hidden="1">
      <c r="B181" s="3350"/>
      <c r="C181" s="3407"/>
      <c r="D181" s="3350"/>
      <c r="E181" s="3404">
        <v>1091000055</v>
      </c>
      <c r="F181" s="3406"/>
      <c r="G181" s="3387"/>
      <c r="H181" s="3383">
        <f t="shared" si="88"/>
        <v>0</v>
      </c>
      <c r="I181" s="3386"/>
      <c r="J181" s="3387"/>
      <c r="K181" s="3383">
        <f t="shared" si="89"/>
        <v>0</v>
      </c>
      <c r="L181" s="3395">
        <f t="shared" si="92"/>
        <v>0</v>
      </c>
      <c r="M181" s="3396">
        <f t="shared" si="92"/>
        <v>0</v>
      </c>
      <c r="N181" s="3396">
        <f t="shared" si="92"/>
        <v>0</v>
      </c>
      <c r="O181" s="3395">
        <f t="shared" si="92"/>
        <v>0</v>
      </c>
      <c r="P181" s="3396">
        <f t="shared" si="92"/>
        <v>0</v>
      </c>
      <c r="Q181" s="3396">
        <f t="shared" si="92"/>
        <v>0</v>
      </c>
      <c r="R181" s="3395">
        <f t="shared" si="93"/>
        <v>0</v>
      </c>
      <c r="S181" s="3396">
        <f t="shared" si="93"/>
        <v>0</v>
      </c>
      <c r="T181" s="3396">
        <f t="shared" si="93"/>
        <v>0</v>
      </c>
      <c r="U181" s="3395">
        <f t="shared" si="93"/>
        <v>0</v>
      </c>
      <c r="V181" s="3396">
        <f t="shared" si="93"/>
        <v>0</v>
      </c>
      <c r="W181" s="3396">
        <f t="shared" si="93"/>
        <v>0</v>
      </c>
      <c r="X181" s="3386"/>
      <c r="Y181" s="3386"/>
      <c r="Z181" s="3386"/>
      <c r="AA181" s="3391"/>
    </row>
    <row r="182" spans="2:27" ht="18" hidden="1">
      <c r="B182" s="3350"/>
      <c r="C182" s="3407"/>
      <c r="D182" s="3350"/>
      <c r="E182" s="3404">
        <v>1091000056</v>
      </c>
      <c r="F182" s="3406"/>
      <c r="G182" s="3387"/>
      <c r="H182" s="3383">
        <f t="shared" si="88"/>
        <v>0</v>
      </c>
      <c r="I182" s="3386"/>
      <c r="J182" s="3387"/>
      <c r="K182" s="3383">
        <f t="shared" si="89"/>
        <v>0</v>
      </c>
      <c r="L182" s="3395">
        <f t="shared" si="92"/>
        <v>0</v>
      </c>
      <c r="M182" s="3396">
        <f t="shared" si="92"/>
        <v>0</v>
      </c>
      <c r="N182" s="3396">
        <f t="shared" si="92"/>
        <v>0</v>
      </c>
      <c r="O182" s="3395">
        <f t="shared" si="92"/>
        <v>0</v>
      </c>
      <c r="P182" s="3396">
        <f t="shared" si="92"/>
        <v>0</v>
      </c>
      <c r="Q182" s="3396">
        <f t="shared" si="92"/>
        <v>0</v>
      </c>
      <c r="R182" s="3395">
        <f t="shared" si="93"/>
        <v>0</v>
      </c>
      <c r="S182" s="3396">
        <f t="shared" si="93"/>
        <v>0</v>
      </c>
      <c r="T182" s="3396">
        <f t="shared" si="93"/>
        <v>0</v>
      </c>
      <c r="U182" s="3395">
        <f t="shared" si="93"/>
        <v>0</v>
      </c>
      <c r="V182" s="3396">
        <f t="shared" si="93"/>
        <v>0</v>
      </c>
      <c r="W182" s="3396">
        <f t="shared" si="93"/>
        <v>0</v>
      </c>
      <c r="X182" s="3386"/>
      <c r="Y182" s="3386"/>
      <c r="Z182" s="3386"/>
      <c r="AA182" s="3391"/>
    </row>
    <row r="183" spans="2:27" ht="18" hidden="1">
      <c r="B183" s="3350"/>
      <c r="C183" s="3407"/>
      <c r="D183" s="3350"/>
      <c r="E183" s="3404">
        <v>1091000057</v>
      </c>
      <c r="F183" s="3406"/>
      <c r="G183" s="3387"/>
      <c r="H183" s="3383">
        <f t="shared" si="88"/>
        <v>0</v>
      </c>
      <c r="I183" s="3386"/>
      <c r="J183" s="3387"/>
      <c r="K183" s="3383">
        <f t="shared" si="89"/>
        <v>0</v>
      </c>
      <c r="L183" s="3395">
        <f t="shared" si="92"/>
        <v>0</v>
      </c>
      <c r="M183" s="3396">
        <f t="shared" si="92"/>
        <v>0</v>
      </c>
      <c r="N183" s="3396">
        <f t="shared" si="92"/>
        <v>0</v>
      </c>
      <c r="O183" s="3395">
        <f t="shared" si="92"/>
        <v>0</v>
      </c>
      <c r="P183" s="3396">
        <f t="shared" si="92"/>
        <v>0</v>
      </c>
      <c r="Q183" s="3396">
        <f t="shared" si="92"/>
        <v>0</v>
      </c>
      <c r="R183" s="3395">
        <f t="shared" si="93"/>
        <v>0</v>
      </c>
      <c r="S183" s="3396">
        <f t="shared" si="93"/>
        <v>0</v>
      </c>
      <c r="T183" s="3396">
        <f t="shared" si="93"/>
        <v>0</v>
      </c>
      <c r="U183" s="3395">
        <f t="shared" si="93"/>
        <v>0</v>
      </c>
      <c r="V183" s="3396">
        <f t="shared" si="93"/>
        <v>0</v>
      </c>
      <c r="W183" s="3396">
        <f t="shared" si="93"/>
        <v>0</v>
      </c>
      <c r="X183" s="3386"/>
      <c r="Y183" s="3386"/>
      <c r="Z183" s="3386"/>
      <c r="AA183" s="3391"/>
    </row>
    <row r="184" spans="2:27" ht="18" hidden="1">
      <c r="B184" s="3350"/>
      <c r="C184" s="3407"/>
      <c r="D184" s="3350"/>
      <c r="E184" s="3404">
        <v>1091000058</v>
      </c>
      <c r="F184" s="3406"/>
      <c r="G184" s="3387"/>
      <c r="H184" s="3383">
        <f t="shared" si="88"/>
        <v>0</v>
      </c>
      <c r="I184" s="3386"/>
      <c r="J184" s="3387"/>
      <c r="K184" s="3383">
        <f t="shared" si="89"/>
        <v>0</v>
      </c>
      <c r="L184" s="3395">
        <f t="shared" si="92"/>
        <v>0</v>
      </c>
      <c r="M184" s="3396">
        <f t="shared" si="92"/>
        <v>0</v>
      </c>
      <c r="N184" s="3396">
        <f t="shared" si="92"/>
        <v>0</v>
      </c>
      <c r="O184" s="3395">
        <f t="shared" si="92"/>
        <v>0</v>
      </c>
      <c r="P184" s="3396">
        <f t="shared" si="92"/>
        <v>0</v>
      </c>
      <c r="Q184" s="3396">
        <f t="shared" si="92"/>
        <v>0</v>
      </c>
      <c r="R184" s="3395">
        <f t="shared" si="93"/>
        <v>0</v>
      </c>
      <c r="S184" s="3396">
        <f t="shared" si="93"/>
        <v>0</v>
      </c>
      <c r="T184" s="3396">
        <f t="shared" si="93"/>
        <v>0</v>
      </c>
      <c r="U184" s="3395">
        <f t="shared" si="93"/>
        <v>0</v>
      </c>
      <c r="V184" s="3396">
        <f t="shared" si="93"/>
        <v>0</v>
      </c>
      <c r="W184" s="3396">
        <f t="shared" si="93"/>
        <v>0</v>
      </c>
      <c r="X184" s="3386"/>
      <c r="Y184" s="3386"/>
      <c r="Z184" s="3386"/>
      <c r="AA184" s="3391"/>
    </row>
    <row r="185" spans="2:27" ht="18" hidden="1">
      <c r="B185" s="3350"/>
      <c r="C185" s="3407"/>
      <c r="D185" s="3350"/>
      <c r="E185" s="3404">
        <v>1091000059</v>
      </c>
      <c r="F185" s="3406"/>
      <c r="G185" s="3387"/>
      <c r="H185" s="3383">
        <f t="shared" si="88"/>
        <v>0</v>
      </c>
      <c r="I185" s="3386"/>
      <c r="J185" s="3387"/>
      <c r="K185" s="3383">
        <f t="shared" si="89"/>
        <v>0</v>
      </c>
      <c r="L185" s="3395">
        <f t="shared" si="92"/>
        <v>0</v>
      </c>
      <c r="M185" s="3396">
        <f t="shared" si="92"/>
        <v>0</v>
      </c>
      <c r="N185" s="3396">
        <f t="shared" si="92"/>
        <v>0</v>
      </c>
      <c r="O185" s="3395">
        <f t="shared" si="92"/>
        <v>0</v>
      </c>
      <c r="P185" s="3396">
        <f t="shared" si="92"/>
        <v>0</v>
      </c>
      <c r="Q185" s="3396">
        <f t="shared" si="92"/>
        <v>0</v>
      </c>
      <c r="R185" s="3395">
        <f t="shared" si="93"/>
        <v>0</v>
      </c>
      <c r="S185" s="3396">
        <f t="shared" si="93"/>
        <v>0</v>
      </c>
      <c r="T185" s="3396">
        <f t="shared" si="93"/>
        <v>0</v>
      </c>
      <c r="U185" s="3395">
        <f t="shared" si="93"/>
        <v>0</v>
      </c>
      <c r="V185" s="3396">
        <f t="shared" si="93"/>
        <v>0</v>
      </c>
      <c r="W185" s="3396">
        <f t="shared" si="93"/>
        <v>0</v>
      </c>
      <c r="X185" s="3386"/>
      <c r="Y185" s="3386"/>
      <c r="Z185" s="3386"/>
      <c r="AA185" s="3391"/>
    </row>
    <row r="186" spans="2:27" ht="18" hidden="1">
      <c r="B186" s="3350"/>
      <c r="C186" s="3407"/>
      <c r="D186" s="3350"/>
      <c r="E186" s="3404">
        <v>1091000060</v>
      </c>
      <c r="F186" s="3406"/>
      <c r="G186" s="3387"/>
      <c r="H186" s="3383">
        <f t="shared" si="88"/>
        <v>0</v>
      </c>
      <c r="I186" s="3386"/>
      <c r="J186" s="3387"/>
      <c r="K186" s="3383">
        <f t="shared" si="89"/>
        <v>0</v>
      </c>
      <c r="L186" s="3395">
        <f t="shared" si="92"/>
        <v>0</v>
      </c>
      <c r="M186" s="3396">
        <f t="shared" si="92"/>
        <v>0</v>
      </c>
      <c r="N186" s="3396">
        <f t="shared" si="92"/>
        <v>0</v>
      </c>
      <c r="O186" s="3395">
        <f t="shared" si="92"/>
        <v>0</v>
      </c>
      <c r="P186" s="3396">
        <f t="shared" si="92"/>
        <v>0</v>
      </c>
      <c r="Q186" s="3396">
        <f t="shared" si="92"/>
        <v>0</v>
      </c>
      <c r="R186" s="3395">
        <f t="shared" si="93"/>
        <v>0</v>
      </c>
      <c r="S186" s="3396">
        <f t="shared" si="93"/>
        <v>0</v>
      </c>
      <c r="T186" s="3396">
        <f t="shared" si="93"/>
        <v>0</v>
      </c>
      <c r="U186" s="3395">
        <f t="shared" si="93"/>
        <v>0</v>
      </c>
      <c r="V186" s="3396">
        <f t="shared" si="93"/>
        <v>0</v>
      </c>
      <c r="W186" s="3396">
        <f t="shared" si="93"/>
        <v>0</v>
      </c>
      <c r="X186" s="3386"/>
      <c r="Y186" s="3386"/>
      <c r="Z186" s="3386"/>
      <c r="AA186" s="3391"/>
    </row>
    <row r="187" spans="2:27" ht="18" hidden="1">
      <c r="B187" s="3350"/>
      <c r="C187" s="3407"/>
      <c r="D187" s="3350"/>
      <c r="E187" s="3404">
        <v>1091000061</v>
      </c>
      <c r="F187" s="3406"/>
      <c r="G187" s="3387"/>
      <c r="H187" s="3383">
        <f t="shared" si="88"/>
        <v>0</v>
      </c>
      <c r="I187" s="3386"/>
      <c r="J187" s="3387"/>
      <c r="K187" s="3383">
        <f t="shared" si="89"/>
        <v>0</v>
      </c>
      <c r="L187" s="3395">
        <f t="shared" si="92"/>
        <v>0</v>
      </c>
      <c r="M187" s="3396">
        <f t="shared" si="92"/>
        <v>0</v>
      </c>
      <c r="N187" s="3396">
        <f t="shared" si="92"/>
        <v>0</v>
      </c>
      <c r="O187" s="3395">
        <f t="shared" si="92"/>
        <v>0</v>
      </c>
      <c r="P187" s="3396">
        <f t="shared" si="92"/>
        <v>0</v>
      </c>
      <c r="Q187" s="3396">
        <f t="shared" si="92"/>
        <v>0</v>
      </c>
      <c r="R187" s="3395">
        <f t="shared" si="93"/>
        <v>0</v>
      </c>
      <c r="S187" s="3396">
        <f t="shared" si="93"/>
        <v>0</v>
      </c>
      <c r="T187" s="3396">
        <f t="shared" si="93"/>
        <v>0</v>
      </c>
      <c r="U187" s="3395">
        <f t="shared" si="93"/>
        <v>0</v>
      </c>
      <c r="V187" s="3396">
        <f t="shared" si="93"/>
        <v>0</v>
      </c>
      <c r="W187" s="3396">
        <f t="shared" si="93"/>
        <v>0</v>
      </c>
      <c r="X187" s="3386"/>
      <c r="Y187" s="3386"/>
      <c r="Z187" s="3386"/>
      <c r="AA187" s="3391"/>
    </row>
    <row r="188" spans="2:27" ht="18" hidden="1">
      <c r="B188" s="3350"/>
      <c r="C188" s="3407"/>
      <c r="D188" s="3350"/>
      <c r="E188" s="3404">
        <v>1091000062</v>
      </c>
      <c r="F188" s="3406"/>
      <c r="G188" s="3387"/>
      <c r="H188" s="3383">
        <f t="shared" si="88"/>
        <v>0</v>
      </c>
      <c r="I188" s="3386"/>
      <c r="J188" s="3387"/>
      <c r="K188" s="3383">
        <f t="shared" si="89"/>
        <v>0</v>
      </c>
      <c r="L188" s="3395">
        <f t="shared" si="92"/>
        <v>0</v>
      </c>
      <c r="M188" s="3396">
        <f t="shared" si="92"/>
        <v>0</v>
      </c>
      <c r="N188" s="3396">
        <f t="shared" si="92"/>
        <v>0</v>
      </c>
      <c r="O188" s="3395">
        <f t="shared" si="92"/>
        <v>0</v>
      </c>
      <c r="P188" s="3396">
        <f t="shared" si="92"/>
        <v>0</v>
      </c>
      <c r="Q188" s="3396">
        <f t="shared" si="92"/>
        <v>0</v>
      </c>
      <c r="R188" s="3395">
        <f t="shared" si="93"/>
        <v>0</v>
      </c>
      <c r="S188" s="3396">
        <f t="shared" si="93"/>
        <v>0</v>
      </c>
      <c r="T188" s="3396">
        <f t="shared" si="93"/>
        <v>0</v>
      </c>
      <c r="U188" s="3395">
        <f t="shared" si="93"/>
        <v>0</v>
      </c>
      <c r="V188" s="3396">
        <f t="shared" si="93"/>
        <v>0</v>
      </c>
      <c r="W188" s="3396">
        <f t="shared" si="93"/>
        <v>0</v>
      </c>
      <c r="X188" s="3386"/>
      <c r="Y188" s="3386"/>
      <c r="Z188" s="3386"/>
      <c r="AA188" s="3391"/>
    </row>
    <row r="189" spans="2:27" ht="18" hidden="1">
      <c r="B189" s="3350"/>
      <c r="C189" s="3407"/>
      <c r="D189" s="3350"/>
      <c r="E189" s="3404">
        <v>1091000063</v>
      </c>
      <c r="F189" s="3406"/>
      <c r="G189" s="3387"/>
      <c r="H189" s="3383">
        <f t="shared" si="88"/>
        <v>0</v>
      </c>
      <c r="I189" s="3386"/>
      <c r="J189" s="3387"/>
      <c r="K189" s="3383">
        <f t="shared" si="89"/>
        <v>0</v>
      </c>
      <c r="L189" s="3395">
        <f t="shared" si="92"/>
        <v>0</v>
      </c>
      <c r="M189" s="3396">
        <f t="shared" si="92"/>
        <v>0</v>
      </c>
      <c r="N189" s="3396">
        <f t="shared" si="92"/>
        <v>0</v>
      </c>
      <c r="O189" s="3395">
        <f t="shared" si="92"/>
        <v>0</v>
      </c>
      <c r="P189" s="3396">
        <f t="shared" si="92"/>
        <v>0</v>
      </c>
      <c r="Q189" s="3396">
        <f t="shared" si="92"/>
        <v>0</v>
      </c>
      <c r="R189" s="3395">
        <f t="shared" si="93"/>
        <v>0</v>
      </c>
      <c r="S189" s="3396">
        <f t="shared" si="93"/>
        <v>0</v>
      </c>
      <c r="T189" s="3396">
        <f t="shared" si="93"/>
        <v>0</v>
      </c>
      <c r="U189" s="3395">
        <f t="shared" si="93"/>
        <v>0</v>
      </c>
      <c r="V189" s="3396">
        <f t="shared" si="93"/>
        <v>0</v>
      </c>
      <c r="W189" s="3396">
        <f t="shared" si="93"/>
        <v>0</v>
      </c>
      <c r="X189" s="3386"/>
      <c r="Y189" s="3386"/>
      <c r="Z189" s="3386"/>
      <c r="AA189" s="3391"/>
    </row>
    <row r="190" spans="2:27" ht="18" hidden="1">
      <c r="B190" s="3350"/>
      <c r="C190" s="3407"/>
      <c r="D190" s="3350"/>
      <c r="E190" s="3404">
        <v>1091000064</v>
      </c>
      <c r="F190" s="3406"/>
      <c r="G190" s="3387"/>
      <c r="H190" s="3383">
        <f t="shared" si="88"/>
        <v>0</v>
      </c>
      <c r="I190" s="3386"/>
      <c r="J190" s="3387"/>
      <c r="K190" s="3383">
        <f t="shared" si="89"/>
        <v>0</v>
      </c>
      <c r="L190" s="3395">
        <f t="shared" si="92"/>
        <v>0</v>
      </c>
      <c r="M190" s="3396">
        <f t="shared" si="92"/>
        <v>0</v>
      </c>
      <c r="N190" s="3396">
        <f t="shared" si="92"/>
        <v>0</v>
      </c>
      <c r="O190" s="3395">
        <f t="shared" si="92"/>
        <v>0</v>
      </c>
      <c r="P190" s="3396">
        <f t="shared" si="92"/>
        <v>0</v>
      </c>
      <c r="Q190" s="3396">
        <f t="shared" si="92"/>
        <v>0</v>
      </c>
      <c r="R190" s="3395">
        <f t="shared" si="93"/>
        <v>0</v>
      </c>
      <c r="S190" s="3396">
        <f t="shared" si="93"/>
        <v>0</v>
      </c>
      <c r="T190" s="3396">
        <f t="shared" si="93"/>
        <v>0</v>
      </c>
      <c r="U190" s="3395">
        <f t="shared" si="93"/>
        <v>0</v>
      </c>
      <c r="V190" s="3396">
        <f t="shared" si="93"/>
        <v>0</v>
      </c>
      <c r="W190" s="3396">
        <f t="shared" si="93"/>
        <v>0</v>
      </c>
      <c r="X190" s="3386"/>
      <c r="Y190" s="3386"/>
      <c r="Z190" s="3386"/>
      <c r="AA190" s="3391"/>
    </row>
    <row r="191" spans="2:27" ht="18" hidden="1">
      <c r="B191" s="3350"/>
      <c r="C191" s="3407"/>
      <c r="D191" s="3350"/>
      <c r="E191" s="3404">
        <v>1091000065</v>
      </c>
      <c r="F191" s="3406"/>
      <c r="G191" s="3387"/>
      <c r="H191" s="3383">
        <f t="shared" si="88"/>
        <v>0</v>
      </c>
      <c r="I191" s="3386"/>
      <c r="J191" s="3387"/>
      <c r="K191" s="3383">
        <f t="shared" si="89"/>
        <v>0</v>
      </c>
      <c r="L191" s="3395">
        <f t="shared" si="92"/>
        <v>0</v>
      </c>
      <c r="M191" s="3396">
        <f t="shared" si="92"/>
        <v>0</v>
      </c>
      <c r="N191" s="3396">
        <f t="shared" si="92"/>
        <v>0</v>
      </c>
      <c r="O191" s="3395">
        <f t="shared" si="92"/>
        <v>0</v>
      </c>
      <c r="P191" s="3396">
        <f t="shared" si="92"/>
        <v>0</v>
      </c>
      <c r="Q191" s="3396">
        <f t="shared" si="92"/>
        <v>0</v>
      </c>
      <c r="R191" s="3395">
        <f t="shared" si="93"/>
        <v>0</v>
      </c>
      <c r="S191" s="3396">
        <f t="shared" si="93"/>
        <v>0</v>
      </c>
      <c r="T191" s="3396">
        <f t="shared" si="93"/>
        <v>0</v>
      </c>
      <c r="U191" s="3395">
        <f t="shared" si="93"/>
        <v>0</v>
      </c>
      <c r="V191" s="3396">
        <f t="shared" si="93"/>
        <v>0</v>
      </c>
      <c r="W191" s="3396">
        <f t="shared" si="93"/>
        <v>0</v>
      </c>
      <c r="X191" s="3386"/>
      <c r="Y191" s="3386"/>
      <c r="Z191" s="3386"/>
      <c r="AA191" s="3391"/>
    </row>
    <row r="192" spans="2:27" ht="18" hidden="1">
      <c r="B192" s="3350"/>
      <c r="C192" s="3407"/>
      <c r="D192" s="3350"/>
      <c r="E192" s="3404">
        <v>1091000066</v>
      </c>
      <c r="F192" s="3406"/>
      <c r="G192" s="3387"/>
      <c r="H192" s="3383">
        <f t="shared" si="88"/>
        <v>0</v>
      </c>
      <c r="I192" s="3386"/>
      <c r="J192" s="3387"/>
      <c r="K192" s="3383">
        <f t="shared" si="89"/>
        <v>0</v>
      </c>
      <c r="L192" s="3395">
        <f t="shared" si="92"/>
        <v>0</v>
      </c>
      <c r="M192" s="3396">
        <f t="shared" si="92"/>
        <v>0</v>
      </c>
      <c r="N192" s="3396">
        <f t="shared" si="92"/>
        <v>0</v>
      </c>
      <c r="O192" s="3395">
        <f t="shared" si="92"/>
        <v>0</v>
      </c>
      <c r="P192" s="3396">
        <f t="shared" si="92"/>
        <v>0</v>
      </c>
      <c r="Q192" s="3396">
        <f t="shared" si="92"/>
        <v>0</v>
      </c>
      <c r="R192" s="3395">
        <f t="shared" si="93"/>
        <v>0</v>
      </c>
      <c r="S192" s="3396">
        <f t="shared" si="93"/>
        <v>0</v>
      </c>
      <c r="T192" s="3396">
        <f t="shared" si="93"/>
        <v>0</v>
      </c>
      <c r="U192" s="3395">
        <f t="shared" si="93"/>
        <v>0</v>
      </c>
      <c r="V192" s="3396">
        <f t="shared" si="93"/>
        <v>0</v>
      </c>
      <c r="W192" s="3396">
        <f t="shared" si="93"/>
        <v>0</v>
      </c>
      <c r="X192" s="3386"/>
      <c r="Y192" s="3386"/>
      <c r="Z192" s="3386"/>
      <c r="AA192" s="3391"/>
    </row>
    <row r="193" spans="2:27" ht="18" hidden="1">
      <c r="B193" s="3350"/>
      <c r="C193" s="3407"/>
      <c r="D193" s="3350"/>
      <c r="E193" s="3404">
        <v>1091000067</v>
      </c>
      <c r="F193" s="3406"/>
      <c r="G193" s="3387"/>
      <c r="H193" s="3383">
        <f t="shared" si="88"/>
        <v>0</v>
      </c>
      <c r="I193" s="3386"/>
      <c r="J193" s="3387"/>
      <c r="K193" s="3383">
        <f t="shared" si="89"/>
        <v>0</v>
      </c>
      <c r="L193" s="3395">
        <f t="shared" si="92"/>
        <v>0</v>
      </c>
      <c r="M193" s="3396">
        <f t="shared" si="92"/>
        <v>0</v>
      </c>
      <c r="N193" s="3396">
        <f t="shared" si="92"/>
        <v>0</v>
      </c>
      <c r="O193" s="3395">
        <f t="shared" si="92"/>
        <v>0</v>
      </c>
      <c r="P193" s="3396">
        <f t="shared" si="92"/>
        <v>0</v>
      </c>
      <c r="Q193" s="3396">
        <f t="shared" si="92"/>
        <v>0</v>
      </c>
      <c r="R193" s="3395">
        <f t="shared" si="93"/>
        <v>0</v>
      </c>
      <c r="S193" s="3396">
        <f t="shared" si="93"/>
        <v>0</v>
      </c>
      <c r="T193" s="3396">
        <f t="shared" si="93"/>
        <v>0</v>
      </c>
      <c r="U193" s="3395">
        <f t="shared" si="93"/>
        <v>0</v>
      </c>
      <c r="V193" s="3396">
        <f t="shared" si="93"/>
        <v>0</v>
      </c>
      <c r="W193" s="3396">
        <f t="shared" si="93"/>
        <v>0</v>
      </c>
      <c r="X193" s="3386"/>
      <c r="Y193" s="3386"/>
      <c r="Z193" s="3386"/>
      <c r="AA193" s="3391"/>
    </row>
    <row r="194" spans="2:27" ht="18" hidden="1">
      <c r="B194" s="3350"/>
      <c r="C194" s="3407"/>
      <c r="D194" s="3350"/>
      <c r="E194" s="3404">
        <v>1091000068</v>
      </c>
      <c r="F194" s="3406"/>
      <c r="G194" s="3387"/>
      <c r="H194" s="3383">
        <f t="shared" si="88"/>
        <v>0</v>
      </c>
      <c r="I194" s="3386"/>
      <c r="J194" s="3387"/>
      <c r="K194" s="3383">
        <f t="shared" si="89"/>
        <v>0</v>
      </c>
      <c r="L194" s="3395">
        <f t="shared" si="92"/>
        <v>0</v>
      </c>
      <c r="M194" s="3396">
        <f t="shared" si="92"/>
        <v>0</v>
      </c>
      <c r="N194" s="3396">
        <f t="shared" si="92"/>
        <v>0</v>
      </c>
      <c r="O194" s="3395">
        <f t="shared" si="92"/>
        <v>0</v>
      </c>
      <c r="P194" s="3396">
        <f t="shared" si="92"/>
        <v>0</v>
      </c>
      <c r="Q194" s="3396">
        <f t="shared" si="92"/>
        <v>0</v>
      </c>
      <c r="R194" s="3395">
        <f t="shared" si="93"/>
        <v>0</v>
      </c>
      <c r="S194" s="3396">
        <f t="shared" si="93"/>
        <v>0</v>
      </c>
      <c r="T194" s="3396">
        <f t="shared" si="93"/>
        <v>0</v>
      </c>
      <c r="U194" s="3395">
        <f t="shared" si="93"/>
        <v>0</v>
      </c>
      <c r="V194" s="3396">
        <f t="shared" si="93"/>
        <v>0</v>
      </c>
      <c r="W194" s="3396">
        <f t="shared" si="93"/>
        <v>0</v>
      </c>
      <c r="X194" s="3386"/>
      <c r="Y194" s="3386"/>
      <c r="Z194" s="3386"/>
      <c r="AA194" s="3391"/>
    </row>
    <row r="195" spans="2:27" ht="18" hidden="1">
      <c r="B195" s="3350"/>
      <c r="C195" s="3407"/>
      <c r="D195" s="3350"/>
      <c r="E195" s="3404">
        <v>1091000069</v>
      </c>
      <c r="F195" s="3406"/>
      <c r="G195" s="3387"/>
      <c r="H195" s="3383">
        <f t="shared" si="88"/>
        <v>0</v>
      </c>
      <c r="I195" s="3386"/>
      <c r="J195" s="3387"/>
      <c r="K195" s="3383">
        <f t="shared" si="89"/>
        <v>0</v>
      </c>
      <c r="L195" s="3395">
        <f t="shared" si="92"/>
        <v>0</v>
      </c>
      <c r="M195" s="3396">
        <f t="shared" si="92"/>
        <v>0</v>
      </c>
      <c r="N195" s="3396">
        <f t="shared" si="92"/>
        <v>0</v>
      </c>
      <c r="O195" s="3395">
        <f t="shared" si="92"/>
        <v>0</v>
      </c>
      <c r="P195" s="3396">
        <f t="shared" si="92"/>
        <v>0</v>
      </c>
      <c r="Q195" s="3396">
        <f t="shared" si="92"/>
        <v>0</v>
      </c>
      <c r="R195" s="3395">
        <f t="shared" si="93"/>
        <v>0</v>
      </c>
      <c r="S195" s="3396">
        <f t="shared" si="93"/>
        <v>0</v>
      </c>
      <c r="T195" s="3396">
        <f t="shared" si="93"/>
        <v>0</v>
      </c>
      <c r="U195" s="3395">
        <f t="shared" si="93"/>
        <v>0</v>
      </c>
      <c r="V195" s="3396">
        <f t="shared" si="93"/>
        <v>0</v>
      </c>
      <c r="W195" s="3396">
        <f t="shared" si="93"/>
        <v>0</v>
      </c>
      <c r="X195" s="3386"/>
      <c r="Y195" s="3386"/>
      <c r="Z195" s="3386"/>
      <c r="AA195" s="3391"/>
    </row>
    <row r="196" spans="2:27" ht="18" hidden="1">
      <c r="B196" s="3350"/>
      <c r="C196" s="3407"/>
      <c r="D196" s="3350"/>
      <c r="E196" s="3404">
        <v>1091000070</v>
      </c>
      <c r="F196" s="3406"/>
      <c r="G196" s="3387"/>
      <c r="H196" s="3383">
        <f t="shared" si="88"/>
        <v>0</v>
      </c>
      <c r="I196" s="3386"/>
      <c r="J196" s="3387"/>
      <c r="K196" s="3383">
        <f t="shared" si="89"/>
        <v>0</v>
      </c>
      <c r="L196" s="3395">
        <f t="shared" si="92"/>
        <v>0</v>
      </c>
      <c r="M196" s="3396">
        <f t="shared" si="92"/>
        <v>0</v>
      </c>
      <c r="N196" s="3396">
        <f t="shared" si="92"/>
        <v>0</v>
      </c>
      <c r="O196" s="3395">
        <f t="shared" si="92"/>
        <v>0</v>
      </c>
      <c r="P196" s="3396">
        <f t="shared" si="92"/>
        <v>0</v>
      </c>
      <c r="Q196" s="3396">
        <f t="shared" si="92"/>
        <v>0</v>
      </c>
      <c r="R196" s="3395">
        <f t="shared" si="93"/>
        <v>0</v>
      </c>
      <c r="S196" s="3396">
        <f t="shared" si="93"/>
        <v>0</v>
      </c>
      <c r="T196" s="3396">
        <f t="shared" si="93"/>
        <v>0</v>
      </c>
      <c r="U196" s="3395">
        <f t="shared" si="93"/>
        <v>0</v>
      </c>
      <c r="V196" s="3396">
        <f t="shared" si="93"/>
        <v>0</v>
      </c>
      <c r="W196" s="3396">
        <f t="shared" si="93"/>
        <v>0</v>
      </c>
      <c r="X196" s="3386"/>
      <c r="Y196" s="3386"/>
      <c r="Z196" s="3386"/>
      <c r="AA196" s="3391"/>
    </row>
    <row r="197" spans="2:27" ht="18" hidden="1">
      <c r="B197" s="3350"/>
      <c r="C197" s="3407"/>
      <c r="D197" s="3350"/>
      <c r="E197" s="3404">
        <v>1091000071</v>
      </c>
      <c r="F197" s="3406"/>
      <c r="G197" s="3387"/>
      <c r="H197" s="3383">
        <f t="shared" si="88"/>
        <v>0</v>
      </c>
      <c r="I197" s="3386"/>
      <c r="J197" s="3387"/>
      <c r="K197" s="3383">
        <f t="shared" si="89"/>
        <v>0</v>
      </c>
      <c r="L197" s="3395">
        <f t="shared" si="92"/>
        <v>0</v>
      </c>
      <c r="M197" s="3396">
        <f t="shared" si="92"/>
        <v>0</v>
      </c>
      <c r="N197" s="3396">
        <f t="shared" si="92"/>
        <v>0</v>
      </c>
      <c r="O197" s="3395">
        <f t="shared" si="92"/>
        <v>0</v>
      </c>
      <c r="P197" s="3396">
        <f t="shared" si="92"/>
        <v>0</v>
      </c>
      <c r="Q197" s="3396">
        <f t="shared" si="92"/>
        <v>0</v>
      </c>
      <c r="R197" s="3395">
        <f t="shared" si="93"/>
        <v>0</v>
      </c>
      <c r="S197" s="3396">
        <f t="shared" si="93"/>
        <v>0</v>
      </c>
      <c r="T197" s="3396">
        <f t="shared" si="93"/>
        <v>0</v>
      </c>
      <c r="U197" s="3395">
        <f t="shared" si="93"/>
        <v>0</v>
      </c>
      <c r="V197" s="3396">
        <f t="shared" si="93"/>
        <v>0</v>
      </c>
      <c r="W197" s="3396">
        <f t="shared" si="93"/>
        <v>0</v>
      </c>
      <c r="X197" s="3386"/>
      <c r="Y197" s="3386"/>
      <c r="Z197" s="3386"/>
      <c r="AA197" s="3391"/>
    </row>
    <row r="198" spans="2:27" ht="18" hidden="1">
      <c r="B198" s="3350"/>
      <c r="C198" s="3407"/>
      <c r="D198" s="3350"/>
      <c r="E198" s="3404">
        <v>1091000072</v>
      </c>
      <c r="F198" s="3406"/>
      <c r="G198" s="3387"/>
      <c r="H198" s="3383">
        <f t="shared" si="88"/>
        <v>0</v>
      </c>
      <c r="I198" s="3386"/>
      <c r="J198" s="3387"/>
      <c r="K198" s="3383">
        <f t="shared" si="89"/>
        <v>0</v>
      </c>
      <c r="L198" s="3395">
        <f t="shared" si="92"/>
        <v>0</v>
      </c>
      <c r="M198" s="3396">
        <f t="shared" si="92"/>
        <v>0</v>
      </c>
      <c r="N198" s="3396">
        <f t="shared" si="92"/>
        <v>0</v>
      </c>
      <c r="O198" s="3395">
        <f t="shared" si="92"/>
        <v>0</v>
      </c>
      <c r="P198" s="3396">
        <f t="shared" si="92"/>
        <v>0</v>
      </c>
      <c r="Q198" s="3396">
        <f t="shared" si="92"/>
        <v>0</v>
      </c>
      <c r="R198" s="3395">
        <f t="shared" si="93"/>
        <v>0</v>
      </c>
      <c r="S198" s="3396">
        <f t="shared" si="93"/>
        <v>0</v>
      </c>
      <c r="T198" s="3396">
        <f t="shared" si="93"/>
        <v>0</v>
      </c>
      <c r="U198" s="3395">
        <f t="shared" si="93"/>
        <v>0</v>
      </c>
      <c r="V198" s="3396">
        <f t="shared" si="93"/>
        <v>0</v>
      </c>
      <c r="W198" s="3396">
        <f t="shared" si="93"/>
        <v>0</v>
      </c>
      <c r="X198" s="3386"/>
      <c r="Y198" s="3386"/>
      <c r="Z198" s="3386"/>
      <c r="AA198" s="3391"/>
    </row>
    <row r="199" spans="2:27" ht="18" hidden="1">
      <c r="B199" s="3350"/>
      <c r="C199" s="3407"/>
      <c r="D199" s="3350"/>
      <c r="E199" s="3404">
        <v>1091000073</v>
      </c>
      <c r="F199" s="3406"/>
      <c r="G199" s="3387"/>
      <c r="H199" s="3383">
        <f t="shared" si="88"/>
        <v>0</v>
      </c>
      <c r="I199" s="3386"/>
      <c r="J199" s="3387"/>
      <c r="K199" s="3383">
        <f t="shared" si="89"/>
        <v>0</v>
      </c>
      <c r="L199" s="3395">
        <f t="shared" si="92"/>
        <v>0</v>
      </c>
      <c r="M199" s="3396">
        <f t="shared" si="92"/>
        <v>0</v>
      </c>
      <c r="N199" s="3396">
        <f t="shared" si="92"/>
        <v>0</v>
      </c>
      <c r="O199" s="3395">
        <f t="shared" si="92"/>
        <v>0</v>
      </c>
      <c r="P199" s="3396">
        <f t="shared" si="92"/>
        <v>0</v>
      </c>
      <c r="Q199" s="3396">
        <f t="shared" si="92"/>
        <v>0</v>
      </c>
      <c r="R199" s="3395">
        <f t="shared" si="93"/>
        <v>0</v>
      </c>
      <c r="S199" s="3396">
        <f t="shared" si="93"/>
        <v>0</v>
      </c>
      <c r="T199" s="3396">
        <f t="shared" si="93"/>
        <v>0</v>
      </c>
      <c r="U199" s="3395">
        <f t="shared" si="93"/>
        <v>0</v>
      </c>
      <c r="V199" s="3396">
        <f t="shared" si="93"/>
        <v>0</v>
      </c>
      <c r="W199" s="3396">
        <f t="shared" si="93"/>
        <v>0</v>
      </c>
      <c r="X199" s="3386"/>
      <c r="Y199" s="3386"/>
      <c r="Z199" s="3386"/>
      <c r="AA199" s="3391"/>
    </row>
    <row r="200" spans="2:27" ht="18" hidden="1">
      <c r="B200" s="3350"/>
      <c r="C200" s="3407"/>
      <c r="D200" s="3350"/>
      <c r="E200" s="3404">
        <v>1091000074</v>
      </c>
      <c r="F200" s="3406"/>
      <c r="G200" s="3387"/>
      <c r="H200" s="3383">
        <f t="shared" si="88"/>
        <v>0</v>
      </c>
      <c r="I200" s="3386"/>
      <c r="J200" s="3387"/>
      <c r="K200" s="3383">
        <f t="shared" si="89"/>
        <v>0</v>
      </c>
      <c r="L200" s="3395">
        <f t="shared" si="92"/>
        <v>0</v>
      </c>
      <c r="M200" s="3396">
        <f t="shared" si="92"/>
        <v>0</v>
      </c>
      <c r="N200" s="3396">
        <f t="shared" si="92"/>
        <v>0</v>
      </c>
      <c r="O200" s="3395">
        <f t="shared" si="92"/>
        <v>0</v>
      </c>
      <c r="P200" s="3396">
        <f t="shared" si="92"/>
        <v>0</v>
      </c>
      <c r="Q200" s="3396">
        <f t="shared" si="92"/>
        <v>0</v>
      </c>
      <c r="R200" s="3395">
        <f t="shared" si="93"/>
        <v>0</v>
      </c>
      <c r="S200" s="3396">
        <f t="shared" si="93"/>
        <v>0</v>
      </c>
      <c r="T200" s="3396">
        <f t="shared" si="93"/>
        <v>0</v>
      </c>
      <c r="U200" s="3395">
        <f t="shared" si="93"/>
        <v>0</v>
      </c>
      <c r="V200" s="3396">
        <f t="shared" si="93"/>
        <v>0</v>
      </c>
      <c r="W200" s="3396">
        <f t="shared" si="93"/>
        <v>0</v>
      </c>
      <c r="X200" s="3386"/>
      <c r="Y200" s="3386"/>
      <c r="Z200" s="3386"/>
      <c r="AA200" s="3391"/>
    </row>
    <row r="201" spans="2:27" ht="18" hidden="1">
      <c r="B201" s="3350"/>
      <c r="C201" s="3407"/>
      <c r="D201" s="3350"/>
      <c r="E201" s="3404">
        <v>1091000075</v>
      </c>
      <c r="F201" s="3406"/>
      <c r="G201" s="3387"/>
      <c r="H201" s="3383">
        <f t="shared" si="88"/>
        <v>0</v>
      </c>
      <c r="I201" s="3386"/>
      <c r="J201" s="3387"/>
      <c r="K201" s="3383">
        <f t="shared" si="89"/>
        <v>0</v>
      </c>
      <c r="L201" s="3395">
        <f t="shared" si="92"/>
        <v>0</v>
      </c>
      <c r="M201" s="3396">
        <f t="shared" si="92"/>
        <v>0</v>
      </c>
      <c r="N201" s="3396">
        <f t="shared" si="92"/>
        <v>0</v>
      </c>
      <c r="O201" s="3395">
        <f t="shared" si="92"/>
        <v>0</v>
      </c>
      <c r="P201" s="3396">
        <f t="shared" si="92"/>
        <v>0</v>
      </c>
      <c r="Q201" s="3396">
        <f t="shared" si="92"/>
        <v>0</v>
      </c>
      <c r="R201" s="3395">
        <f t="shared" si="93"/>
        <v>0</v>
      </c>
      <c r="S201" s="3396">
        <f t="shared" si="93"/>
        <v>0</v>
      </c>
      <c r="T201" s="3396">
        <f t="shared" si="93"/>
        <v>0</v>
      </c>
      <c r="U201" s="3395">
        <f t="shared" si="93"/>
        <v>0</v>
      </c>
      <c r="V201" s="3396">
        <f t="shared" si="93"/>
        <v>0</v>
      </c>
      <c r="W201" s="3396">
        <f t="shared" si="93"/>
        <v>0</v>
      </c>
      <c r="X201" s="3386"/>
      <c r="Y201" s="3386"/>
      <c r="Z201" s="3386"/>
      <c r="AA201" s="3391"/>
    </row>
    <row r="202" spans="2:27" ht="18" hidden="1">
      <c r="B202" s="3350"/>
      <c r="C202" s="3407"/>
      <c r="D202" s="3350"/>
      <c r="E202" s="3404">
        <v>1091000076</v>
      </c>
      <c r="F202" s="3406"/>
      <c r="G202" s="3387"/>
      <c r="H202" s="3383">
        <f t="shared" si="88"/>
        <v>0</v>
      </c>
      <c r="I202" s="3386"/>
      <c r="J202" s="3387"/>
      <c r="K202" s="3383">
        <f t="shared" si="89"/>
        <v>0</v>
      </c>
      <c r="L202" s="3395">
        <f t="shared" si="92"/>
        <v>0</v>
      </c>
      <c r="M202" s="3396">
        <f t="shared" si="92"/>
        <v>0</v>
      </c>
      <c r="N202" s="3396">
        <f t="shared" si="92"/>
        <v>0</v>
      </c>
      <c r="O202" s="3395">
        <f t="shared" si="92"/>
        <v>0</v>
      </c>
      <c r="P202" s="3396">
        <f t="shared" si="92"/>
        <v>0</v>
      </c>
      <c r="Q202" s="3396">
        <f t="shared" si="92"/>
        <v>0</v>
      </c>
      <c r="R202" s="3395">
        <f t="shared" si="93"/>
        <v>0</v>
      </c>
      <c r="S202" s="3396">
        <f t="shared" si="93"/>
        <v>0</v>
      </c>
      <c r="T202" s="3396">
        <f t="shared" si="93"/>
        <v>0</v>
      </c>
      <c r="U202" s="3395">
        <f t="shared" si="93"/>
        <v>0</v>
      </c>
      <c r="V202" s="3396">
        <f t="shared" si="93"/>
        <v>0</v>
      </c>
      <c r="W202" s="3396">
        <f t="shared" si="93"/>
        <v>0</v>
      </c>
      <c r="X202" s="3386"/>
      <c r="Y202" s="3386"/>
      <c r="Z202" s="3386"/>
      <c r="AA202" s="3391"/>
    </row>
    <row r="203" spans="2:27" ht="18" hidden="1">
      <c r="B203" s="3350"/>
      <c r="C203" s="3407"/>
      <c r="D203" s="3350"/>
      <c r="E203" s="3404">
        <v>1091000077</v>
      </c>
      <c r="F203" s="3406"/>
      <c r="G203" s="3387"/>
      <c r="H203" s="3383">
        <f t="shared" si="88"/>
        <v>0</v>
      </c>
      <c r="I203" s="3386"/>
      <c r="J203" s="3387"/>
      <c r="K203" s="3383">
        <f t="shared" si="89"/>
        <v>0</v>
      </c>
      <c r="L203" s="3395">
        <f t="shared" si="92"/>
        <v>0</v>
      </c>
      <c r="M203" s="3396">
        <f t="shared" si="92"/>
        <v>0</v>
      </c>
      <c r="N203" s="3396">
        <f t="shared" si="92"/>
        <v>0</v>
      </c>
      <c r="O203" s="3395">
        <f t="shared" si="92"/>
        <v>0</v>
      </c>
      <c r="P203" s="3396">
        <f t="shared" si="92"/>
        <v>0</v>
      </c>
      <c r="Q203" s="3396">
        <f t="shared" si="92"/>
        <v>0</v>
      </c>
      <c r="R203" s="3395">
        <f t="shared" si="93"/>
        <v>0</v>
      </c>
      <c r="S203" s="3396">
        <f t="shared" si="93"/>
        <v>0</v>
      </c>
      <c r="T203" s="3396">
        <f t="shared" si="93"/>
        <v>0</v>
      </c>
      <c r="U203" s="3395">
        <f t="shared" si="93"/>
        <v>0</v>
      </c>
      <c r="V203" s="3396">
        <f t="shared" si="93"/>
        <v>0</v>
      </c>
      <c r="W203" s="3396">
        <f t="shared" si="93"/>
        <v>0</v>
      </c>
      <c r="X203" s="3386"/>
      <c r="Y203" s="3386"/>
      <c r="Z203" s="3386"/>
      <c r="AA203" s="3391"/>
    </row>
    <row r="204" spans="2:27" ht="18" hidden="1">
      <c r="B204" s="3350"/>
      <c r="C204" s="3407"/>
      <c r="D204" s="3350"/>
      <c r="E204" s="3404">
        <v>1091000078</v>
      </c>
      <c r="F204" s="3406"/>
      <c r="G204" s="3387"/>
      <c r="H204" s="3383">
        <f t="shared" si="88"/>
        <v>0</v>
      </c>
      <c r="I204" s="3386"/>
      <c r="J204" s="3387"/>
      <c r="K204" s="3383">
        <f t="shared" si="89"/>
        <v>0</v>
      </c>
      <c r="L204" s="3395">
        <f t="shared" si="92"/>
        <v>0</v>
      </c>
      <c r="M204" s="3396">
        <f t="shared" si="92"/>
        <v>0</v>
      </c>
      <c r="N204" s="3396">
        <f t="shared" si="92"/>
        <v>0</v>
      </c>
      <c r="O204" s="3395">
        <f t="shared" ref="O204:T253" si="94">(0)</f>
        <v>0</v>
      </c>
      <c r="P204" s="3396">
        <f t="shared" si="94"/>
        <v>0</v>
      </c>
      <c r="Q204" s="3396">
        <f t="shared" si="94"/>
        <v>0</v>
      </c>
      <c r="R204" s="3395">
        <f t="shared" si="93"/>
        <v>0</v>
      </c>
      <c r="S204" s="3396">
        <f t="shared" si="93"/>
        <v>0</v>
      </c>
      <c r="T204" s="3396">
        <f t="shared" si="93"/>
        <v>0</v>
      </c>
      <c r="U204" s="3395">
        <f t="shared" si="93"/>
        <v>0</v>
      </c>
      <c r="V204" s="3396">
        <f t="shared" si="93"/>
        <v>0</v>
      </c>
      <c r="W204" s="3396">
        <f t="shared" si="93"/>
        <v>0</v>
      </c>
      <c r="X204" s="3386"/>
      <c r="Y204" s="3386"/>
      <c r="Z204" s="3386"/>
      <c r="AA204" s="3391"/>
    </row>
    <row r="205" spans="2:27" ht="18" hidden="1">
      <c r="B205" s="3350"/>
      <c r="C205" s="3407"/>
      <c r="D205" s="3350"/>
      <c r="E205" s="3404">
        <v>1091000079</v>
      </c>
      <c r="F205" s="3406"/>
      <c r="G205" s="3387"/>
      <c r="H205" s="3383">
        <f t="shared" si="88"/>
        <v>0</v>
      </c>
      <c r="I205" s="3386"/>
      <c r="J205" s="3387"/>
      <c r="K205" s="3383">
        <f t="shared" si="89"/>
        <v>0</v>
      </c>
      <c r="L205" s="3395">
        <f t="shared" ref="L205:Q271" si="95">(0)</f>
        <v>0</v>
      </c>
      <c r="M205" s="3396">
        <f t="shared" si="95"/>
        <v>0</v>
      </c>
      <c r="N205" s="3396">
        <f t="shared" si="95"/>
        <v>0</v>
      </c>
      <c r="O205" s="3395">
        <f t="shared" si="94"/>
        <v>0</v>
      </c>
      <c r="P205" s="3396">
        <f t="shared" si="94"/>
        <v>0</v>
      </c>
      <c r="Q205" s="3396">
        <f t="shared" si="94"/>
        <v>0</v>
      </c>
      <c r="R205" s="3395">
        <f t="shared" si="93"/>
        <v>0</v>
      </c>
      <c r="S205" s="3396">
        <f t="shared" si="93"/>
        <v>0</v>
      </c>
      <c r="T205" s="3396">
        <f t="shared" si="93"/>
        <v>0</v>
      </c>
      <c r="U205" s="3395">
        <f t="shared" si="93"/>
        <v>0</v>
      </c>
      <c r="V205" s="3396">
        <f t="shared" si="93"/>
        <v>0</v>
      </c>
      <c r="W205" s="3396">
        <f t="shared" si="93"/>
        <v>0</v>
      </c>
      <c r="X205" s="3386"/>
      <c r="Y205" s="3386"/>
      <c r="Z205" s="3386"/>
      <c r="AA205" s="3391"/>
    </row>
    <row r="206" spans="2:27" ht="18" hidden="1">
      <c r="B206" s="3350"/>
      <c r="C206" s="3407"/>
      <c r="D206" s="3350"/>
      <c r="E206" s="3404">
        <v>1091000080</v>
      </c>
      <c r="F206" s="3406"/>
      <c r="G206" s="3387"/>
      <c r="H206" s="3383">
        <f t="shared" si="88"/>
        <v>0</v>
      </c>
      <c r="I206" s="3386"/>
      <c r="J206" s="3387"/>
      <c r="K206" s="3383">
        <f t="shared" si="89"/>
        <v>0</v>
      </c>
      <c r="L206" s="3395">
        <f t="shared" si="95"/>
        <v>0</v>
      </c>
      <c r="M206" s="3396">
        <f t="shared" si="95"/>
        <v>0</v>
      </c>
      <c r="N206" s="3396">
        <f t="shared" si="95"/>
        <v>0</v>
      </c>
      <c r="O206" s="3395">
        <f t="shared" si="94"/>
        <v>0</v>
      </c>
      <c r="P206" s="3396">
        <f t="shared" si="94"/>
        <v>0</v>
      </c>
      <c r="Q206" s="3396">
        <f t="shared" si="94"/>
        <v>0</v>
      </c>
      <c r="R206" s="3395">
        <f t="shared" si="93"/>
        <v>0</v>
      </c>
      <c r="S206" s="3396">
        <f t="shared" si="93"/>
        <v>0</v>
      </c>
      <c r="T206" s="3396">
        <f t="shared" si="93"/>
        <v>0</v>
      </c>
      <c r="U206" s="3395">
        <f t="shared" si="93"/>
        <v>0</v>
      </c>
      <c r="V206" s="3396">
        <f t="shared" si="93"/>
        <v>0</v>
      </c>
      <c r="W206" s="3396">
        <f t="shared" si="93"/>
        <v>0</v>
      </c>
      <c r="X206" s="3386"/>
      <c r="Y206" s="3386"/>
      <c r="Z206" s="3386"/>
      <c r="AA206" s="3391"/>
    </row>
    <row r="207" spans="2:27" ht="18" hidden="1">
      <c r="B207" s="3350"/>
      <c r="C207" s="3407"/>
      <c r="D207" s="3350"/>
      <c r="E207" s="3404">
        <v>1091000081</v>
      </c>
      <c r="F207" s="3406"/>
      <c r="G207" s="3387"/>
      <c r="H207" s="3383">
        <f t="shared" si="88"/>
        <v>0</v>
      </c>
      <c r="I207" s="3386"/>
      <c r="J207" s="3387"/>
      <c r="K207" s="3383">
        <f t="shared" si="89"/>
        <v>0</v>
      </c>
      <c r="L207" s="3395">
        <f t="shared" si="95"/>
        <v>0</v>
      </c>
      <c r="M207" s="3396">
        <f t="shared" si="95"/>
        <v>0</v>
      </c>
      <c r="N207" s="3396">
        <f t="shared" si="95"/>
        <v>0</v>
      </c>
      <c r="O207" s="3395">
        <f t="shared" si="94"/>
        <v>0</v>
      </c>
      <c r="P207" s="3396">
        <f t="shared" si="94"/>
        <v>0</v>
      </c>
      <c r="Q207" s="3396">
        <f t="shared" si="94"/>
        <v>0</v>
      </c>
      <c r="R207" s="3395">
        <f t="shared" si="93"/>
        <v>0</v>
      </c>
      <c r="S207" s="3396">
        <f t="shared" si="93"/>
        <v>0</v>
      </c>
      <c r="T207" s="3396">
        <f t="shared" si="93"/>
        <v>0</v>
      </c>
      <c r="U207" s="3395">
        <f t="shared" si="93"/>
        <v>0</v>
      </c>
      <c r="V207" s="3396">
        <f t="shared" si="93"/>
        <v>0</v>
      </c>
      <c r="W207" s="3396">
        <f t="shared" si="93"/>
        <v>0</v>
      </c>
      <c r="X207" s="3386"/>
      <c r="Y207" s="3386"/>
      <c r="Z207" s="3386"/>
      <c r="AA207" s="3391"/>
    </row>
    <row r="208" spans="2:27" ht="18" hidden="1">
      <c r="B208" s="3350"/>
      <c r="C208" s="3407"/>
      <c r="D208" s="3350"/>
      <c r="E208" s="3404">
        <v>1091000082</v>
      </c>
      <c r="F208" s="3406"/>
      <c r="G208" s="3387"/>
      <c r="H208" s="3383">
        <f t="shared" si="88"/>
        <v>0</v>
      </c>
      <c r="I208" s="3386"/>
      <c r="J208" s="3387"/>
      <c r="K208" s="3383">
        <f t="shared" si="89"/>
        <v>0</v>
      </c>
      <c r="L208" s="3395">
        <f t="shared" si="95"/>
        <v>0</v>
      </c>
      <c r="M208" s="3396">
        <f t="shared" si="95"/>
        <v>0</v>
      </c>
      <c r="N208" s="3396">
        <f t="shared" si="95"/>
        <v>0</v>
      </c>
      <c r="O208" s="3395">
        <f t="shared" si="94"/>
        <v>0</v>
      </c>
      <c r="P208" s="3396">
        <f t="shared" si="94"/>
        <v>0</v>
      </c>
      <c r="Q208" s="3396">
        <f t="shared" si="94"/>
        <v>0</v>
      </c>
      <c r="R208" s="3395">
        <f t="shared" si="93"/>
        <v>0</v>
      </c>
      <c r="S208" s="3396">
        <f t="shared" si="93"/>
        <v>0</v>
      </c>
      <c r="T208" s="3396">
        <f t="shared" si="93"/>
        <v>0</v>
      </c>
      <c r="U208" s="3395">
        <f t="shared" si="93"/>
        <v>0</v>
      </c>
      <c r="V208" s="3396">
        <f t="shared" si="93"/>
        <v>0</v>
      </c>
      <c r="W208" s="3396">
        <f t="shared" si="93"/>
        <v>0</v>
      </c>
      <c r="X208" s="3386"/>
      <c r="Y208" s="3386"/>
      <c r="Z208" s="3386"/>
      <c r="AA208" s="3391"/>
    </row>
    <row r="209" spans="2:27" ht="18" hidden="1">
      <c r="B209" s="3350"/>
      <c r="C209" s="3407"/>
      <c r="D209" s="3350"/>
      <c r="E209" s="3404">
        <v>1091000083</v>
      </c>
      <c r="F209" s="3406"/>
      <c r="G209" s="3387"/>
      <c r="H209" s="3383">
        <f t="shared" si="88"/>
        <v>0</v>
      </c>
      <c r="I209" s="3386"/>
      <c r="J209" s="3387"/>
      <c r="K209" s="3383">
        <f t="shared" si="89"/>
        <v>0</v>
      </c>
      <c r="L209" s="3395">
        <f t="shared" si="95"/>
        <v>0</v>
      </c>
      <c r="M209" s="3396">
        <f t="shared" si="95"/>
        <v>0</v>
      </c>
      <c r="N209" s="3396">
        <f t="shared" si="95"/>
        <v>0</v>
      </c>
      <c r="O209" s="3395">
        <f t="shared" si="94"/>
        <v>0</v>
      </c>
      <c r="P209" s="3396">
        <f t="shared" si="94"/>
        <v>0</v>
      </c>
      <c r="Q209" s="3396">
        <f t="shared" si="94"/>
        <v>0</v>
      </c>
      <c r="R209" s="3395">
        <f t="shared" si="93"/>
        <v>0</v>
      </c>
      <c r="S209" s="3396">
        <f t="shared" si="93"/>
        <v>0</v>
      </c>
      <c r="T209" s="3396">
        <f t="shared" si="93"/>
        <v>0</v>
      </c>
      <c r="U209" s="3395">
        <f t="shared" si="93"/>
        <v>0</v>
      </c>
      <c r="V209" s="3396">
        <f t="shared" si="93"/>
        <v>0</v>
      </c>
      <c r="W209" s="3396">
        <f t="shared" si="93"/>
        <v>0</v>
      </c>
      <c r="X209" s="3386"/>
      <c r="Y209" s="3386"/>
      <c r="Z209" s="3386"/>
      <c r="AA209" s="3391"/>
    </row>
    <row r="210" spans="2:27" ht="18" hidden="1">
      <c r="B210" s="3350"/>
      <c r="C210" s="3407"/>
      <c r="D210" s="3350"/>
      <c r="E210" s="3404">
        <v>1091000084</v>
      </c>
      <c r="F210" s="3406"/>
      <c r="G210" s="3387"/>
      <c r="H210" s="3383">
        <f t="shared" si="88"/>
        <v>0</v>
      </c>
      <c r="I210" s="3386"/>
      <c r="J210" s="3387"/>
      <c r="K210" s="3383">
        <f t="shared" si="89"/>
        <v>0</v>
      </c>
      <c r="L210" s="3395">
        <f t="shared" si="95"/>
        <v>0</v>
      </c>
      <c r="M210" s="3396">
        <f t="shared" si="95"/>
        <v>0</v>
      </c>
      <c r="N210" s="3396">
        <f t="shared" si="95"/>
        <v>0</v>
      </c>
      <c r="O210" s="3395">
        <f t="shared" si="94"/>
        <v>0</v>
      </c>
      <c r="P210" s="3396">
        <f t="shared" si="94"/>
        <v>0</v>
      </c>
      <c r="Q210" s="3396">
        <f t="shared" si="94"/>
        <v>0</v>
      </c>
      <c r="R210" s="3395">
        <f t="shared" si="93"/>
        <v>0</v>
      </c>
      <c r="S210" s="3396">
        <f t="shared" si="93"/>
        <v>0</v>
      </c>
      <c r="T210" s="3396">
        <f t="shared" si="93"/>
        <v>0</v>
      </c>
      <c r="U210" s="3395">
        <f t="shared" si="93"/>
        <v>0</v>
      </c>
      <c r="V210" s="3396">
        <f t="shared" si="93"/>
        <v>0</v>
      </c>
      <c r="W210" s="3396">
        <f t="shared" si="93"/>
        <v>0</v>
      </c>
      <c r="X210" s="3386"/>
      <c r="Y210" s="3386"/>
      <c r="Z210" s="3386"/>
      <c r="AA210" s="3391"/>
    </row>
    <row r="211" spans="2:27" ht="18" hidden="1">
      <c r="B211" s="3350"/>
      <c r="C211" s="3407"/>
      <c r="D211" s="3350"/>
      <c r="E211" s="3404">
        <v>1091000085</v>
      </c>
      <c r="F211" s="3406"/>
      <c r="G211" s="3387"/>
      <c r="H211" s="3383">
        <f t="shared" si="88"/>
        <v>0</v>
      </c>
      <c r="I211" s="3386"/>
      <c r="J211" s="3387"/>
      <c r="K211" s="3383">
        <f t="shared" si="89"/>
        <v>0</v>
      </c>
      <c r="L211" s="3395">
        <f t="shared" si="95"/>
        <v>0</v>
      </c>
      <c r="M211" s="3396">
        <f t="shared" si="95"/>
        <v>0</v>
      </c>
      <c r="N211" s="3396">
        <f t="shared" si="95"/>
        <v>0</v>
      </c>
      <c r="O211" s="3395">
        <f t="shared" si="94"/>
        <v>0</v>
      </c>
      <c r="P211" s="3396">
        <f t="shared" si="94"/>
        <v>0</v>
      </c>
      <c r="Q211" s="3396">
        <f t="shared" si="94"/>
        <v>0</v>
      </c>
      <c r="R211" s="3395">
        <f t="shared" si="93"/>
        <v>0</v>
      </c>
      <c r="S211" s="3396">
        <f t="shared" si="93"/>
        <v>0</v>
      </c>
      <c r="T211" s="3396">
        <f t="shared" si="93"/>
        <v>0</v>
      </c>
      <c r="U211" s="3395">
        <f t="shared" si="93"/>
        <v>0</v>
      </c>
      <c r="V211" s="3396">
        <f t="shared" si="93"/>
        <v>0</v>
      </c>
      <c r="W211" s="3396">
        <f t="shared" si="93"/>
        <v>0</v>
      </c>
      <c r="X211" s="3386"/>
      <c r="Y211" s="3386"/>
      <c r="Z211" s="3386"/>
      <c r="AA211" s="3391"/>
    </row>
    <row r="212" spans="2:27" ht="18" hidden="1">
      <c r="B212" s="3350"/>
      <c r="C212" s="3407"/>
      <c r="D212" s="3350"/>
      <c r="E212" s="3404">
        <v>1091000086</v>
      </c>
      <c r="F212" s="3406"/>
      <c r="G212" s="3387"/>
      <c r="H212" s="3383">
        <f t="shared" si="88"/>
        <v>0</v>
      </c>
      <c r="I212" s="3386"/>
      <c r="J212" s="3387"/>
      <c r="K212" s="3383">
        <f t="shared" si="89"/>
        <v>0</v>
      </c>
      <c r="L212" s="3395">
        <f t="shared" si="95"/>
        <v>0</v>
      </c>
      <c r="M212" s="3396">
        <f t="shared" si="95"/>
        <v>0</v>
      </c>
      <c r="N212" s="3396">
        <f t="shared" si="95"/>
        <v>0</v>
      </c>
      <c r="O212" s="3395">
        <f t="shared" si="94"/>
        <v>0</v>
      </c>
      <c r="P212" s="3396">
        <f t="shared" si="94"/>
        <v>0</v>
      </c>
      <c r="Q212" s="3396">
        <f t="shared" si="94"/>
        <v>0</v>
      </c>
      <c r="R212" s="3395">
        <f t="shared" si="93"/>
        <v>0</v>
      </c>
      <c r="S212" s="3396">
        <f t="shared" si="93"/>
        <v>0</v>
      </c>
      <c r="T212" s="3396">
        <f t="shared" si="93"/>
        <v>0</v>
      </c>
      <c r="U212" s="3395">
        <f t="shared" si="93"/>
        <v>0</v>
      </c>
      <c r="V212" s="3396">
        <f t="shared" si="93"/>
        <v>0</v>
      </c>
      <c r="W212" s="3396">
        <f t="shared" si="93"/>
        <v>0</v>
      </c>
      <c r="X212" s="3386"/>
      <c r="Y212" s="3386"/>
      <c r="Z212" s="3386"/>
      <c r="AA212" s="3391"/>
    </row>
    <row r="213" spans="2:27" ht="18" hidden="1">
      <c r="B213" s="3350"/>
      <c r="C213" s="3407"/>
      <c r="D213" s="3350"/>
      <c r="E213" s="3404">
        <v>1091000087</v>
      </c>
      <c r="F213" s="3406"/>
      <c r="G213" s="3387"/>
      <c r="H213" s="3383">
        <f t="shared" si="88"/>
        <v>0</v>
      </c>
      <c r="I213" s="3386"/>
      <c r="J213" s="3387"/>
      <c r="K213" s="3383">
        <f t="shared" si="89"/>
        <v>0</v>
      </c>
      <c r="L213" s="3395">
        <f t="shared" si="95"/>
        <v>0</v>
      </c>
      <c r="M213" s="3396">
        <f t="shared" si="95"/>
        <v>0</v>
      </c>
      <c r="N213" s="3396">
        <f t="shared" si="95"/>
        <v>0</v>
      </c>
      <c r="O213" s="3395">
        <f t="shared" si="94"/>
        <v>0</v>
      </c>
      <c r="P213" s="3396">
        <f t="shared" si="94"/>
        <v>0</v>
      </c>
      <c r="Q213" s="3396">
        <f t="shared" si="94"/>
        <v>0</v>
      </c>
      <c r="R213" s="3395">
        <f t="shared" si="93"/>
        <v>0</v>
      </c>
      <c r="S213" s="3396">
        <f t="shared" si="93"/>
        <v>0</v>
      </c>
      <c r="T213" s="3396">
        <f t="shared" si="93"/>
        <v>0</v>
      </c>
      <c r="U213" s="3395">
        <f t="shared" si="93"/>
        <v>0</v>
      </c>
      <c r="V213" s="3396">
        <f t="shared" si="93"/>
        <v>0</v>
      </c>
      <c r="W213" s="3396">
        <f t="shared" si="93"/>
        <v>0</v>
      </c>
      <c r="X213" s="3386"/>
      <c r="Y213" s="3386"/>
      <c r="Z213" s="3386"/>
      <c r="AA213" s="3391"/>
    </row>
    <row r="214" spans="2:27" ht="18" hidden="1">
      <c r="B214" s="3350"/>
      <c r="C214" s="3407"/>
      <c r="D214" s="3350"/>
      <c r="E214" s="3404">
        <v>1091000088</v>
      </c>
      <c r="F214" s="3406"/>
      <c r="G214" s="3387"/>
      <c r="H214" s="3383">
        <f t="shared" si="88"/>
        <v>0</v>
      </c>
      <c r="I214" s="3386"/>
      <c r="J214" s="3387"/>
      <c r="K214" s="3383">
        <f t="shared" si="89"/>
        <v>0</v>
      </c>
      <c r="L214" s="3395">
        <f t="shared" si="95"/>
        <v>0</v>
      </c>
      <c r="M214" s="3396">
        <f t="shared" si="95"/>
        <v>0</v>
      </c>
      <c r="N214" s="3396">
        <f t="shared" si="95"/>
        <v>0</v>
      </c>
      <c r="O214" s="3395">
        <f t="shared" si="94"/>
        <v>0</v>
      </c>
      <c r="P214" s="3396">
        <f t="shared" si="94"/>
        <v>0</v>
      </c>
      <c r="Q214" s="3396">
        <f t="shared" si="94"/>
        <v>0</v>
      </c>
      <c r="R214" s="3395">
        <f t="shared" si="93"/>
        <v>0</v>
      </c>
      <c r="S214" s="3396">
        <f t="shared" si="93"/>
        <v>0</v>
      </c>
      <c r="T214" s="3396">
        <f t="shared" si="93"/>
        <v>0</v>
      </c>
      <c r="U214" s="3395">
        <f t="shared" si="93"/>
        <v>0</v>
      </c>
      <c r="V214" s="3396">
        <f t="shared" si="93"/>
        <v>0</v>
      </c>
      <c r="W214" s="3396">
        <f t="shared" si="93"/>
        <v>0</v>
      </c>
      <c r="X214" s="3386"/>
      <c r="Y214" s="3386"/>
      <c r="Z214" s="3386"/>
      <c r="AA214" s="3391"/>
    </row>
    <row r="215" spans="2:27" ht="18" hidden="1">
      <c r="B215" s="3350"/>
      <c r="C215" s="3407"/>
      <c r="D215" s="3350"/>
      <c r="E215" s="3404">
        <v>1091000089</v>
      </c>
      <c r="F215" s="3406"/>
      <c r="G215" s="3387"/>
      <c r="H215" s="3383">
        <f t="shared" si="88"/>
        <v>0</v>
      </c>
      <c r="I215" s="3386"/>
      <c r="J215" s="3387"/>
      <c r="K215" s="3383">
        <f t="shared" si="89"/>
        <v>0</v>
      </c>
      <c r="L215" s="3395">
        <f t="shared" si="95"/>
        <v>0</v>
      </c>
      <c r="M215" s="3396">
        <f t="shared" si="95"/>
        <v>0</v>
      </c>
      <c r="N215" s="3396">
        <f t="shared" si="95"/>
        <v>0</v>
      </c>
      <c r="O215" s="3395">
        <f t="shared" si="94"/>
        <v>0</v>
      </c>
      <c r="P215" s="3396">
        <f t="shared" si="94"/>
        <v>0</v>
      </c>
      <c r="Q215" s="3396">
        <f t="shared" si="94"/>
        <v>0</v>
      </c>
      <c r="R215" s="3395">
        <f t="shared" si="93"/>
        <v>0</v>
      </c>
      <c r="S215" s="3396">
        <f t="shared" si="93"/>
        <v>0</v>
      </c>
      <c r="T215" s="3396">
        <f t="shared" si="93"/>
        <v>0</v>
      </c>
      <c r="U215" s="3395">
        <f t="shared" si="93"/>
        <v>0</v>
      </c>
      <c r="V215" s="3396">
        <f t="shared" si="93"/>
        <v>0</v>
      </c>
      <c r="W215" s="3396">
        <f t="shared" si="93"/>
        <v>0</v>
      </c>
      <c r="X215" s="3386"/>
      <c r="Y215" s="3386"/>
      <c r="Z215" s="3386"/>
      <c r="AA215" s="3391"/>
    </row>
    <row r="216" spans="2:27" ht="18" hidden="1">
      <c r="B216" s="3350"/>
      <c r="C216" s="3407"/>
      <c r="D216" s="3350"/>
      <c r="E216" s="3404">
        <v>1091000090</v>
      </c>
      <c r="F216" s="3406"/>
      <c r="G216" s="3387"/>
      <c r="H216" s="3383">
        <f t="shared" si="88"/>
        <v>0</v>
      </c>
      <c r="I216" s="3386"/>
      <c r="J216" s="3387"/>
      <c r="K216" s="3383">
        <f t="shared" si="89"/>
        <v>0</v>
      </c>
      <c r="L216" s="3395">
        <f t="shared" si="95"/>
        <v>0</v>
      </c>
      <c r="M216" s="3396">
        <f t="shared" si="95"/>
        <v>0</v>
      </c>
      <c r="N216" s="3396">
        <f t="shared" si="95"/>
        <v>0</v>
      </c>
      <c r="O216" s="3395">
        <f t="shared" si="94"/>
        <v>0</v>
      </c>
      <c r="P216" s="3396">
        <f t="shared" si="94"/>
        <v>0</v>
      </c>
      <c r="Q216" s="3396">
        <f t="shared" si="94"/>
        <v>0</v>
      </c>
      <c r="R216" s="3395">
        <f t="shared" si="93"/>
        <v>0</v>
      </c>
      <c r="S216" s="3396">
        <f t="shared" si="93"/>
        <v>0</v>
      </c>
      <c r="T216" s="3396">
        <f t="shared" si="93"/>
        <v>0</v>
      </c>
      <c r="U216" s="3395">
        <f t="shared" si="93"/>
        <v>0</v>
      </c>
      <c r="V216" s="3396">
        <f t="shared" si="93"/>
        <v>0</v>
      </c>
      <c r="W216" s="3396">
        <f t="shared" si="93"/>
        <v>0</v>
      </c>
      <c r="X216" s="3386"/>
      <c r="Y216" s="3386"/>
      <c r="Z216" s="3386"/>
      <c r="AA216" s="3391"/>
    </row>
    <row r="217" spans="2:27" ht="18" hidden="1">
      <c r="B217" s="3350"/>
      <c r="C217" s="3407"/>
      <c r="D217" s="3350"/>
      <c r="E217" s="3404">
        <v>1091000091</v>
      </c>
      <c r="F217" s="3406"/>
      <c r="G217" s="3387"/>
      <c r="H217" s="3383">
        <f t="shared" si="88"/>
        <v>0</v>
      </c>
      <c r="I217" s="3386"/>
      <c r="J217" s="3387"/>
      <c r="K217" s="3383">
        <f t="shared" si="89"/>
        <v>0</v>
      </c>
      <c r="L217" s="3395">
        <f t="shared" si="95"/>
        <v>0</v>
      </c>
      <c r="M217" s="3396">
        <f t="shared" si="95"/>
        <v>0</v>
      </c>
      <c r="N217" s="3396">
        <f t="shared" si="95"/>
        <v>0</v>
      </c>
      <c r="O217" s="3395">
        <f t="shared" si="94"/>
        <v>0</v>
      </c>
      <c r="P217" s="3396">
        <f t="shared" si="94"/>
        <v>0</v>
      </c>
      <c r="Q217" s="3396">
        <f t="shared" si="94"/>
        <v>0</v>
      </c>
      <c r="R217" s="3395">
        <f t="shared" si="93"/>
        <v>0</v>
      </c>
      <c r="S217" s="3396">
        <f t="shared" si="93"/>
        <v>0</v>
      </c>
      <c r="T217" s="3396">
        <f t="shared" si="93"/>
        <v>0</v>
      </c>
      <c r="U217" s="3395">
        <f t="shared" ref="U217:W301" si="96">(0)</f>
        <v>0</v>
      </c>
      <c r="V217" s="3396">
        <f t="shared" si="96"/>
        <v>0</v>
      </c>
      <c r="W217" s="3396">
        <f t="shared" si="96"/>
        <v>0</v>
      </c>
      <c r="X217" s="3386"/>
      <c r="Y217" s="3386"/>
      <c r="Z217" s="3386"/>
      <c r="AA217" s="3391"/>
    </row>
    <row r="218" spans="2:27" ht="18" hidden="1">
      <c r="B218" s="3350"/>
      <c r="C218" s="3407"/>
      <c r="D218" s="3350"/>
      <c r="E218" s="3404">
        <v>1091000092</v>
      </c>
      <c r="F218" s="3406"/>
      <c r="G218" s="3387"/>
      <c r="H218" s="3383">
        <f t="shared" si="88"/>
        <v>0</v>
      </c>
      <c r="I218" s="3386"/>
      <c r="J218" s="3387"/>
      <c r="K218" s="3383">
        <f t="shared" si="89"/>
        <v>0</v>
      </c>
      <c r="L218" s="3395">
        <f t="shared" si="95"/>
        <v>0</v>
      </c>
      <c r="M218" s="3396">
        <f t="shared" si="95"/>
        <v>0</v>
      </c>
      <c r="N218" s="3396">
        <f t="shared" si="95"/>
        <v>0</v>
      </c>
      <c r="O218" s="3395">
        <f t="shared" si="94"/>
        <v>0</v>
      </c>
      <c r="P218" s="3396">
        <f t="shared" si="94"/>
        <v>0</v>
      </c>
      <c r="Q218" s="3396">
        <f t="shared" si="94"/>
        <v>0</v>
      </c>
      <c r="R218" s="3395">
        <f t="shared" si="94"/>
        <v>0</v>
      </c>
      <c r="S218" s="3396">
        <f t="shared" si="94"/>
        <v>0</v>
      </c>
      <c r="T218" s="3396">
        <f t="shared" si="94"/>
        <v>0</v>
      </c>
      <c r="U218" s="3395">
        <f t="shared" si="96"/>
        <v>0</v>
      </c>
      <c r="V218" s="3396">
        <f t="shared" si="96"/>
        <v>0</v>
      </c>
      <c r="W218" s="3396">
        <f t="shared" si="96"/>
        <v>0</v>
      </c>
      <c r="X218" s="3386"/>
      <c r="Y218" s="3386"/>
      <c r="Z218" s="3386"/>
      <c r="AA218" s="3391"/>
    </row>
    <row r="219" spans="2:27" ht="18" hidden="1">
      <c r="B219" s="3350"/>
      <c r="C219" s="3407"/>
      <c r="D219" s="3350"/>
      <c r="E219" s="3404">
        <v>1091000093</v>
      </c>
      <c r="F219" s="3406"/>
      <c r="G219" s="3387"/>
      <c r="H219" s="3383">
        <f t="shared" si="88"/>
        <v>0</v>
      </c>
      <c r="I219" s="3386"/>
      <c r="J219" s="3387"/>
      <c r="K219" s="3383">
        <f t="shared" si="89"/>
        <v>0</v>
      </c>
      <c r="L219" s="3395">
        <f t="shared" si="95"/>
        <v>0</v>
      </c>
      <c r="M219" s="3396">
        <f t="shared" si="95"/>
        <v>0</v>
      </c>
      <c r="N219" s="3396">
        <f t="shared" si="95"/>
        <v>0</v>
      </c>
      <c r="O219" s="3395">
        <f t="shared" si="94"/>
        <v>0</v>
      </c>
      <c r="P219" s="3396">
        <f t="shared" si="94"/>
        <v>0</v>
      </c>
      <c r="Q219" s="3396">
        <f t="shared" si="94"/>
        <v>0</v>
      </c>
      <c r="R219" s="3395">
        <f t="shared" si="94"/>
        <v>0</v>
      </c>
      <c r="S219" s="3396">
        <f t="shared" si="94"/>
        <v>0</v>
      </c>
      <c r="T219" s="3396">
        <f t="shared" si="94"/>
        <v>0</v>
      </c>
      <c r="U219" s="3395">
        <f t="shared" si="96"/>
        <v>0</v>
      </c>
      <c r="V219" s="3396">
        <f t="shared" si="96"/>
        <v>0</v>
      </c>
      <c r="W219" s="3396">
        <f t="shared" si="96"/>
        <v>0</v>
      </c>
      <c r="X219" s="3386"/>
      <c r="Y219" s="3386"/>
      <c r="Z219" s="3386"/>
      <c r="AA219" s="3391"/>
    </row>
    <row r="220" spans="2:27" ht="18" hidden="1">
      <c r="B220" s="3350"/>
      <c r="C220" s="3407"/>
      <c r="D220" s="3350"/>
      <c r="E220" s="3404">
        <v>1091000094</v>
      </c>
      <c r="F220" s="3406"/>
      <c r="G220" s="3387"/>
      <c r="H220" s="3383">
        <f t="shared" si="88"/>
        <v>0</v>
      </c>
      <c r="I220" s="3386"/>
      <c r="J220" s="3387"/>
      <c r="K220" s="3383">
        <f t="shared" si="89"/>
        <v>0</v>
      </c>
      <c r="L220" s="3395">
        <f t="shared" si="95"/>
        <v>0</v>
      </c>
      <c r="M220" s="3396">
        <f t="shared" si="95"/>
        <v>0</v>
      </c>
      <c r="N220" s="3396">
        <f t="shared" si="95"/>
        <v>0</v>
      </c>
      <c r="O220" s="3395">
        <f t="shared" si="94"/>
        <v>0</v>
      </c>
      <c r="P220" s="3396">
        <f t="shared" si="94"/>
        <v>0</v>
      </c>
      <c r="Q220" s="3396">
        <f t="shared" si="94"/>
        <v>0</v>
      </c>
      <c r="R220" s="3395">
        <f t="shared" si="94"/>
        <v>0</v>
      </c>
      <c r="S220" s="3396">
        <f t="shared" si="94"/>
        <v>0</v>
      </c>
      <c r="T220" s="3396">
        <f t="shared" si="94"/>
        <v>0</v>
      </c>
      <c r="U220" s="3395">
        <f t="shared" si="96"/>
        <v>0</v>
      </c>
      <c r="V220" s="3396">
        <f t="shared" si="96"/>
        <v>0</v>
      </c>
      <c r="W220" s="3396">
        <f t="shared" si="96"/>
        <v>0</v>
      </c>
      <c r="X220" s="3386"/>
      <c r="Y220" s="3386"/>
      <c r="Z220" s="3386"/>
      <c r="AA220" s="3391"/>
    </row>
    <row r="221" spans="2:27" ht="18" hidden="1">
      <c r="B221" s="3350"/>
      <c r="C221" s="3407"/>
      <c r="D221" s="3350"/>
      <c r="E221" s="3404">
        <v>1091000095</v>
      </c>
      <c r="F221" s="3406"/>
      <c r="G221" s="3387"/>
      <c r="H221" s="3383">
        <f t="shared" si="88"/>
        <v>0</v>
      </c>
      <c r="I221" s="3386"/>
      <c r="J221" s="3387"/>
      <c r="K221" s="3383">
        <f t="shared" si="89"/>
        <v>0</v>
      </c>
      <c r="L221" s="3395">
        <f t="shared" si="95"/>
        <v>0</v>
      </c>
      <c r="M221" s="3396">
        <f t="shared" si="95"/>
        <v>0</v>
      </c>
      <c r="N221" s="3396">
        <f t="shared" si="95"/>
        <v>0</v>
      </c>
      <c r="O221" s="3395">
        <f t="shared" si="94"/>
        <v>0</v>
      </c>
      <c r="P221" s="3396">
        <f t="shared" si="94"/>
        <v>0</v>
      </c>
      <c r="Q221" s="3396">
        <f t="shared" si="94"/>
        <v>0</v>
      </c>
      <c r="R221" s="3395">
        <f t="shared" si="94"/>
        <v>0</v>
      </c>
      <c r="S221" s="3396">
        <f t="shared" si="94"/>
        <v>0</v>
      </c>
      <c r="T221" s="3396">
        <f t="shared" si="94"/>
        <v>0</v>
      </c>
      <c r="U221" s="3395">
        <f t="shared" si="96"/>
        <v>0</v>
      </c>
      <c r="V221" s="3396">
        <f t="shared" si="96"/>
        <v>0</v>
      </c>
      <c r="W221" s="3396">
        <f t="shared" si="96"/>
        <v>0</v>
      </c>
      <c r="X221" s="3386"/>
      <c r="Y221" s="3386"/>
      <c r="Z221" s="3386"/>
      <c r="AA221" s="3391"/>
    </row>
    <row r="222" spans="2:27" ht="18" hidden="1">
      <c r="B222" s="3350"/>
      <c r="C222" s="3407"/>
      <c r="D222" s="3350"/>
      <c r="E222" s="3404">
        <v>1091000096</v>
      </c>
      <c r="F222" s="3406"/>
      <c r="G222" s="3387"/>
      <c r="H222" s="3383">
        <f t="shared" si="88"/>
        <v>0</v>
      </c>
      <c r="I222" s="3386"/>
      <c r="J222" s="3387"/>
      <c r="K222" s="3383">
        <f t="shared" si="89"/>
        <v>0</v>
      </c>
      <c r="L222" s="3395">
        <f t="shared" si="95"/>
        <v>0</v>
      </c>
      <c r="M222" s="3396">
        <f t="shared" si="95"/>
        <v>0</v>
      </c>
      <c r="N222" s="3396">
        <f t="shared" si="95"/>
        <v>0</v>
      </c>
      <c r="O222" s="3395">
        <f t="shared" si="94"/>
        <v>0</v>
      </c>
      <c r="P222" s="3396">
        <f t="shared" si="94"/>
        <v>0</v>
      </c>
      <c r="Q222" s="3396">
        <f t="shared" si="94"/>
        <v>0</v>
      </c>
      <c r="R222" s="3395">
        <f t="shared" si="94"/>
        <v>0</v>
      </c>
      <c r="S222" s="3396">
        <f t="shared" si="94"/>
        <v>0</v>
      </c>
      <c r="T222" s="3396">
        <f t="shared" si="94"/>
        <v>0</v>
      </c>
      <c r="U222" s="3395">
        <f t="shared" si="96"/>
        <v>0</v>
      </c>
      <c r="V222" s="3396">
        <f t="shared" si="96"/>
        <v>0</v>
      </c>
      <c r="W222" s="3396">
        <f t="shared" si="96"/>
        <v>0</v>
      </c>
      <c r="X222" s="3386"/>
      <c r="Y222" s="3386"/>
      <c r="Z222" s="3386"/>
      <c r="AA222" s="3391"/>
    </row>
    <row r="223" spans="2:27" ht="18" hidden="1">
      <c r="B223" s="3350"/>
      <c r="C223" s="3407"/>
      <c r="D223" s="3350"/>
      <c r="E223" s="3404">
        <v>1091000097</v>
      </c>
      <c r="F223" s="3406"/>
      <c r="G223" s="3387"/>
      <c r="H223" s="3383">
        <f t="shared" si="88"/>
        <v>0</v>
      </c>
      <c r="I223" s="3386"/>
      <c r="J223" s="3387"/>
      <c r="K223" s="3383">
        <f t="shared" si="89"/>
        <v>0</v>
      </c>
      <c r="L223" s="3395">
        <f t="shared" si="95"/>
        <v>0</v>
      </c>
      <c r="M223" s="3396">
        <f t="shared" si="95"/>
        <v>0</v>
      </c>
      <c r="N223" s="3396">
        <f t="shared" si="95"/>
        <v>0</v>
      </c>
      <c r="O223" s="3395">
        <f t="shared" si="94"/>
        <v>0</v>
      </c>
      <c r="P223" s="3396">
        <f t="shared" si="94"/>
        <v>0</v>
      </c>
      <c r="Q223" s="3396">
        <f t="shared" si="94"/>
        <v>0</v>
      </c>
      <c r="R223" s="3395">
        <f t="shared" si="94"/>
        <v>0</v>
      </c>
      <c r="S223" s="3396">
        <f t="shared" si="94"/>
        <v>0</v>
      </c>
      <c r="T223" s="3396">
        <f t="shared" si="94"/>
        <v>0</v>
      </c>
      <c r="U223" s="3395">
        <f t="shared" si="96"/>
        <v>0</v>
      </c>
      <c r="V223" s="3396">
        <f t="shared" si="96"/>
        <v>0</v>
      </c>
      <c r="W223" s="3396">
        <f t="shared" si="96"/>
        <v>0</v>
      </c>
      <c r="X223" s="3386"/>
      <c r="Y223" s="3386"/>
      <c r="Z223" s="3386"/>
      <c r="AA223" s="3391"/>
    </row>
    <row r="224" spans="2:27" ht="18" hidden="1">
      <c r="B224" s="3350"/>
      <c r="C224" s="3407"/>
      <c r="D224" s="3350"/>
      <c r="E224" s="3404">
        <v>1091000098</v>
      </c>
      <c r="F224" s="3406"/>
      <c r="G224" s="3387"/>
      <c r="H224" s="3383">
        <f t="shared" si="88"/>
        <v>0</v>
      </c>
      <c r="I224" s="3386"/>
      <c r="J224" s="3387"/>
      <c r="K224" s="3383">
        <f t="shared" si="89"/>
        <v>0</v>
      </c>
      <c r="L224" s="3395">
        <f t="shared" si="95"/>
        <v>0</v>
      </c>
      <c r="M224" s="3396">
        <f t="shared" si="95"/>
        <v>0</v>
      </c>
      <c r="N224" s="3396">
        <f t="shared" si="95"/>
        <v>0</v>
      </c>
      <c r="O224" s="3395">
        <f t="shared" si="94"/>
        <v>0</v>
      </c>
      <c r="P224" s="3396">
        <f t="shared" si="94"/>
        <v>0</v>
      </c>
      <c r="Q224" s="3396">
        <f t="shared" si="94"/>
        <v>0</v>
      </c>
      <c r="R224" s="3395">
        <f t="shared" si="94"/>
        <v>0</v>
      </c>
      <c r="S224" s="3396">
        <f t="shared" si="94"/>
        <v>0</v>
      </c>
      <c r="T224" s="3396">
        <f t="shared" si="94"/>
        <v>0</v>
      </c>
      <c r="U224" s="3395">
        <f t="shared" si="96"/>
        <v>0</v>
      </c>
      <c r="V224" s="3396">
        <f t="shared" si="96"/>
        <v>0</v>
      </c>
      <c r="W224" s="3396">
        <f t="shared" si="96"/>
        <v>0</v>
      </c>
      <c r="X224" s="3386"/>
      <c r="Y224" s="3386"/>
      <c r="Z224" s="3386"/>
      <c r="AA224" s="3391"/>
    </row>
    <row r="225" spans="2:27" ht="18" hidden="1">
      <c r="B225" s="3350"/>
      <c r="C225" s="3407"/>
      <c r="D225" s="3350"/>
      <c r="E225" s="3404">
        <v>1091000099</v>
      </c>
      <c r="F225" s="3406"/>
      <c r="G225" s="3387"/>
      <c r="H225" s="3383">
        <f t="shared" si="88"/>
        <v>0</v>
      </c>
      <c r="I225" s="3386"/>
      <c r="J225" s="3387"/>
      <c r="K225" s="3383">
        <f t="shared" si="89"/>
        <v>0</v>
      </c>
      <c r="L225" s="3395">
        <f t="shared" si="95"/>
        <v>0</v>
      </c>
      <c r="M225" s="3396">
        <f t="shared" si="95"/>
        <v>0</v>
      </c>
      <c r="N225" s="3396">
        <f t="shared" si="95"/>
        <v>0</v>
      </c>
      <c r="O225" s="3395">
        <f t="shared" si="94"/>
        <v>0</v>
      </c>
      <c r="P225" s="3396">
        <f t="shared" si="94"/>
        <v>0</v>
      </c>
      <c r="Q225" s="3396">
        <f t="shared" si="94"/>
        <v>0</v>
      </c>
      <c r="R225" s="3395">
        <f t="shared" si="94"/>
        <v>0</v>
      </c>
      <c r="S225" s="3396">
        <f t="shared" si="94"/>
        <v>0</v>
      </c>
      <c r="T225" s="3396">
        <f t="shared" si="94"/>
        <v>0</v>
      </c>
      <c r="U225" s="3395">
        <f t="shared" si="96"/>
        <v>0</v>
      </c>
      <c r="V225" s="3396">
        <f t="shared" si="96"/>
        <v>0</v>
      </c>
      <c r="W225" s="3396">
        <f t="shared" si="96"/>
        <v>0</v>
      </c>
      <c r="X225" s="3386"/>
      <c r="Y225" s="3386"/>
      <c r="Z225" s="3386"/>
      <c r="AA225" s="3391"/>
    </row>
    <row r="226" spans="2:27" ht="18" hidden="1">
      <c r="B226" s="3350"/>
      <c r="C226" s="3407"/>
      <c r="D226" s="3350"/>
      <c r="E226" s="3404">
        <v>1091000100</v>
      </c>
      <c r="F226" s="3406"/>
      <c r="G226" s="3387"/>
      <c r="H226" s="3383">
        <f t="shared" si="88"/>
        <v>0</v>
      </c>
      <c r="I226" s="3386"/>
      <c r="J226" s="3387"/>
      <c r="K226" s="3383">
        <f t="shared" si="89"/>
        <v>0</v>
      </c>
      <c r="L226" s="3395">
        <f t="shared" si="95"/>
        <v>0</v>
      </c>
      <c r="M226" s="3396">
        <f t="shared" si="95"/>
        <v>0</v>
      </c>
      <c r="N226" s="3396">
        <f t="shared" si="95"/>
        <v>0</v>
      </c>
      <c r="O226" s="3395">
        <f t="shared" si="94"/>
        <v>0</v>
      </c>
      <c r="P226" s="3396">
        <f t="shared" si="94"/>
        <v>0</v>
      </c>
      <c r="Q226" s="3396">
        <f t="shared" si="94"/>
        <v>0</v>
      </c>
      <c r="R226" s="3395">
        <f t="shared" si="94"/>
        <v>0</v>
      </c>
      <c r="S226" s="3396">
        <f t="shared" si="94"/>
        <v>0</v>
      </c>
      <c r="T226" s="3396">
        <f t="shared" si="94"/>
        <v>0</v>
      </c>
      <c r="U226" s="3395">
        <f t="shared" si="96"/>
        <v>0</v>
      </c>
      <c r="V226" s="3396">
        <f t="shared" si="96"/>
        <v>0</v>
      </c>
      <c r="W226" s="3396">
        <f t="shared" si="96"/>
        <v>0</v>
      </c>
      <c r="X226" s="3386"/>
      <c r="Y226" s="3386"/>
      <c r="Z226" s="3386"/>
      <c r="AA226" s="3391"/>
    </row>
    <row r="227" spans="2:27" ht="18">
      <c r="B227" s="3350"/>
      <c r="C227" s="3408" t="s">
        <v>3956</v>
      </c>
      <c r="D227" s="3350"/>
      <c r="E227" s="3404">
        <v>1091000101</v>
      </c>
      <c r="F227" s="3406"/>
      <c r="G227" s="3387"/>
      <c r="H227" s="3383">
        <f t="shared" si="88"/>
        <v>0</v>
      </c>
      <c r="I227" s="3386"/>
      <c r="J227" s="3387"/>
      <c r="K227" s="3383">
        <f t="shared" si="89"/>
        <v>0</v>
      </c>
      <c r="L227" s="3395">
        <f t="shared" si="95"/>
        <v>0</v>
      </c>
      <c r="M227" s="3396">
        <f t="shared" si="95"/>
        <v>0</v>
      </c>
      <c r="N227" s="3396">
        <f t="shared" si="95"/>
        <v>0</v>
      </c>
      <c r="O227" s="3395">
        <f t="shared" si="94"/>
        <v>0</v>
      </c>
      <c r="P227" s="3396">
        <f t="shared" si="94"/>
        <v>0</v>
      </c>
      <c r="Q227" s="3396">
        <f t="shared" si="94"/>
        <v>0</v>
      </c>
      <c r="R227" s="3395">
        <f t="shared" si="94"/>
        <v>0</v>
      </c>
      <c r="S227" s="3396">
        <f t="shared" si="94"/>
        <v>0</v>
      </c>
      <c r="T227" s="3396">
        <f t="shared" si="94"/>
        <v>0</v>
      </c>
      <c r="U227" s="3395">
        <f t="shared" si="96"/>
        <v>0</v>
      </c>
      <c r="V227" s="3396">
        <f t="shared" si="96"/>
        <v>0</v>
      </c>
      <c r="W227" s="3396">
        <f t="shared" si="96"/>
        <v>0</v>
      </c>
      <c r="X227" s="3386"/>
      <c r="Y227" s="3386"/>
      <c r="Z227" s="3386"/>
      <c r="AA227" s="3391"/>
    </row>
    <row r="228" spans="2:27" ht="94.5">
      <c r="B228" s="3350"/>
      <c r="C228" s="3398" t="s">
        <v>3957</v>
      </c>
      <c r="D228" s="3350"/>
      <c r="E228" s="3352">
        <v>10930</v>
      </c>
      <c r="F228" s="3409"/>
      <c r="G228" s="3400"/>
      <c r="H228" s="3383">
        <f t="shared" si="88"/>
        <v>0</v>
      </c>
      <c r="I228" s="3388"/>
      <c r="J228" s="3389"/>
      <c r="K228" s="3383">
        <f t="shared" si="89"/>
        <v>0</v>
      </c>
      <c r="L228" s="3395">
        <f t="shared" si="95"/>
        <v>0</v>
      </c>
      <c r="M228" s="3396">
        <f t="shared" si="95"/>
        <v>0</v>
      </c>
      <c r="N228" s="3396">
        <f t="shared" si="95"/>
        <v>0</v>
      </c>
      <c r="O228" s="3395">
        <f t="shared" si="94"/>
        <v>0</v>
      </c>
      <c r="P228" s="3396">
        <f t="shared" si="94"/>
        <v>0</v>
      </c>
      <c r="Q228" s="3396">
        <f t="shared" si="94"/>
        <v>0</v>
      </c>
      <c r="R228" s="3395">
        <f t="shared" si="94"/>
        <v>0</v>
      </c>
      <c r="S228" s="3396">
        <f t="shared" si="94"/>
        <v>0</v>
      </c>
      <c r="T228" s="3396">
        <f t="shared" si="94"/>
        <v>0</v>
      </c>
      <c r="U228" s="3395">
        <f t="shared" si="96"/>
        <v>0</v>
      </c>
      <c r="V228" s="3396">
        <f t="shared" si="96"/>
        <v>0</v>
      </c>
      <c r="W228" s="3396">
        <f t="shared" si="96"/>
        <v>0</v>
      </c>
      <c r="X228" s="3388"/>
      <c r="Y228" s="3401"/>
      <c r="Z228" s="3401"/>
      <c r="AA228" s="3402"/>
    </row>
    <row r="229" spans="2:27" ht="18" hidden="1">
      <c r="B229" s="3350"/>
      <c r="C229" s="3407"/>
      <c r="D229" s="3350"/>
      <c r="E229" s="3404">
        <v>1093000001</v>
      </c>
      <c r="F229" s="3406"/>
      <c r="G229" s="3387"/>
      <c r="H229" s="3383">
        <f t="shared" si="88"/>
        <v>0</v>
      </c>
      <c r="I229" s="3386"/>
      <c r="J229" s="3387"/>
      <c r="K229" s="3383">
        <f t="shared" si="89"/>
        <v>0</v>
      </c>
      <c r="L229" s="3395">
        <f t="shared" si="95"/>
        <v>0</v>
      </c>
      <c r="M229" s="3396">
        <f t="shared" si="95"/>
        <v>0</v>
      </c>
      <c r="N229" s="3396">
        <f t="shared" si="95"/>
        <v>0</v>
      </c>
      <c r="O229" s="3395">
        <f t="shared" si="94"/>
        <v>0</v>
      </c>
      <c r="P229" s="3396">
        <f t="shared" si="94"/>
        <v>0</v>
      </c>
      <c r="Q229" s="3396">
        <f t="shared" si="94"/>
        <v>0</v>
      </c>
      <c r="R229" s="3395">
        <f t="shared" si="94"/>
        <v>0</v>
      </c>
      <c r="S229" s="3396">
        <f t="shared" si="94"/>
        <v>0</v>
      </c>
      <c r="T229" s="3396">
        <f t="shared" si="94"/>
        <v>0</v>
      </c>
      <c r="U229" s="3395">
        <f t="shared" si="96"/>
        <v>0</v>
      </c>
      <c r="V229" s="3396">
        <f t="shared" si="96"/>
        <v>0</v>
      </c>
      <c r="W229" s="3396">
        <f t="shared" si="96"/>
        <v>0</v>
      </c>
      <c r="X229" s="3386"/>
      <c r="Y229" s="3386"/>
      <c r="Z229" s="3386"/>
      <c r="AA229" s="3391"/>
    </row>
    <row r="230" spans="2:27" ht="18" hidden="1">
      <c r="B230" s="3350"/>
      <c r="C230" s="3407"/>
      <c r="D230" s="3350"/>
      <c r="E230" s="3404">
        <v>1093000002</v>
      </c>
      <c r="F230" s="3406"/>
      <c r="G230" s="3387"/>
      <c r="H230" s="3383">
        <f t="shared" si="88"/>
        <v>0</v>
      </c>
      <c r="I230" s="3386"/>
      <c r="J230" s="3387"/>
      <c r="K230" s="3383">
        <f t="shared" si="89"/>
        <v>0</v>
      </c>
      <c r="L230" s="3395">
        <f t="shared" si="95"/>
        <v>0</v>
      </c>
      <c r="M230" s="3396">
        <f t="shared" si="95"/>
        <v>0</v>
      </c>
      <c r="N230" s="3396">
        <f t="shared" si="95"/>
        <v>0</v>
      </c>
      <c r="O230" s="3395">
        <f t="shared" si="94"/>
        <v>0</v>
      </c>
      <c r="P230" s="3396">
        <f t="shared" si="94"/>
        <v>0</v>
      </c>
      <c r="Q230" s="3396">
        <f t="shared" si="94"/>
        <v>0</v>
      </c>
      <c r="R230" s="3395">
        <f t="shared" si="94"/>
        <v>0</v>
      </c>
      <c r="S230" s="3396">
        <f t="shared" si="94"/>
        <v>0</v>
      </c>
      <c r="T230" s="3396">
        <f t="shared" si="94"/>
        <v>0</v>
      </c>
      <c r="U230" s="3395">
        <f t="shared" si="96"/>
        <v>0</v>
      </c>
      <c r="V230" s="3396">
        <f t="shared" si="96"/>
        <v>0</v>
      </c>
      <c r="W230" s="3396">
        <f t="shared" si="96"/>
        <v>0</v>
      </c>
      <c r="X230" s="3386"/>
      <c r="Y230" s="3386"/>
      <c r="Z230" s="3386"/>
      <c r="AA230" s="3391"/>
    </row>
    <row r="231" spans="2:27" ht="18" hidden="1">
      <c r="B231" s="3350"/>
      <c r="C231" s="3407"/>
      <c r="D231" s="3350"/>
      <c r="E231" s="3404">
        <v>1093000003</v>
      </c>
      <c r="F231" s="3406"/>
      <c r="G231" s="3387"/>
      <c r="H231" s="3383">
        <f t="shared" si="88"/>
        <v>0</v>
      </c>
      <c r="I231" s="3386"/>
      <c r="J231" s="3387"/>
      <c r="K231" s="3383">
        <f t="shared" si="89"/>
        <v>0</v>
      </c>
      <c r="L231" s="3395">
        <f t="shared" si="95"/>
        <v>0</v>
      </c>
      <c r="M231" s="3396">
        <f t="shared" si="95"/>
        <v>0</v>
      </c>
      <c r="N231" s="3396">
        <f t="shared" si="95"/>
        <v>0</v>
      </c>
      <c r="O231" s="3395">
        <f t="shared" si="94"/>
        <v>0</v>
      </c>
      <c r="P231" s="3396">
        <f t="shared" si="94"/>
        <v>0</v>
      </c>
      <c r="Q231" s="3396">
        <f t="shared" si="94"/>
        <v>0</v>
      </c>
      <c r="R231" s="3395">
        <f t="shared" si="94"/>
        <v>0</v>
      </c>
      <c r="S231" s="3396">
        <f t="shared" si="94"/>
        <v>0</v>
      </c>
      <c r="T231" s="3396">
        <f t="shared" si="94"/>
        <v>0</v>
      </c>
      <c r="U231" s="3395">
        <f t="shared" si="96"/>
        <v>0</v>
      </c>
      <c r="V231" s="3396">
        <f t="shared" si="96"/>
        <v>0</v>
      </c>
      <c r="W231" s="3396">
        <f t="shared" si="96"/>
        <v>0</v>
      </c>
      <c r="X231" s="3386"/>
      <c r="Y231" s="3386"/>
      <c r="Z231" s="3386"/>
      <c r="AA231" s="3391"/>
    </row>
    <row r="232" spans="2:27" ht="18" hidden="1">
      <c r="B232" s="3350"/>
      <c r="C232" s="3407"/>
      <c r="D232" s="3350"/>
      <c r="E232" s="3404">
        <v>1093000004</v>
      </c>
      <c r="F232" s="3406"/>
      <c r="G232" s="3387"/>
      <c r="H232" s="3383">
        <f t="shared" si="88"/>
        <v>0</v>
      </c>
      <c r="I232" s="3386"/>
      <c r="J232" s="3387"/>
      <c r="K232" s="3383">
        <f t="shared" si="89"/>
        <v>0</v>
      </c>
      <c r="L232" s="3395">
        <f t="shared" si="95"/>
        <v>0</v>
      </c>
      <c r="M232" s="3396">
        <f t="shared" si="95"/>
        <v>0</v>
      </c>
      <c r="N232" s="3396">
        <f t="shared" si="95"/>
        <v>0</v>
      </c>
      <c r="O232" s="3395">
        <f t="shared" si="94"/>
        <v>0</v>
      </c>
      <c r="P232" s="3396">
        <f t="shared" si="94"/>
        <v>0</v>
      </c>
      <c r="Q232" s="3396">
        <f t="shared" si="94"/>
        <v>0</v>
      </c>
      <c r="R232" s="3395">
        <f t="shared" si="94"/>
        <v>0</v>
      </c>
      <c r="S232" s="3396">
        <f t="shared" si="94"/>
        <v>0</v>
      </c>
      <c r="T232" s="3396">
        <f t="shared" si="94"/>
        <v>0</v>
      </c>
      <c r="U232" s="3395">
        <f t="shared" si="96"/>
        <v>0</v>
      </c>
      <c r="V232" s="3396">
        <f t="shared" si="96"/>
        <v>0</v>
      </c>
      <c r="W232" s="3396">
        <f t="shared" si="96"/>
        <v>0</v>
      </c>
      <c r="X232" s="3386"/>
      <c r="Y232" s="3386"/>
      <c r="Z232" s="3386"/>
      <c r="AA232" s="3391"/>
    </row>
    <row r="233" spans="2:27" ht="18" hidden="1">
      <c r="B233" s="3350"/>
      <c r="C233" s="3407"/>
      <c r="D233" s="3350"/>
      <c r="E233" s="3404">
        <v>1093000005</v>
      </c>
      <c r="F233" s="3406"/>
      <c r="G233" s="3387"/>
      <c r="H233" s="3383">
        <f t="shared" si="88"/>
        <v>0</v>
      </c>
      <c r="I233" s="3386"/>
      <c r="J233" s="3387"/>
      <c r="K233" s="3383">
        <f t="shared" si="89"/>
        <v>0</v>
      </c>
      <c r="L233" s="3395">
        <f t="shared" si="95"/>
        <v>0</v>
      </c>
      <c r="M233" s="3396">
        <f t="shared" si="95"/>
        <v>0</v>
      </c>
      <c r="N233" s="3396">
        <f t="shared" si="95"/>
        <v>0</v>
      </c>
      <c r="O233" s="3395">
        <f t="shared" si="94"/>
        <v>0</v>
      </c>
      <c r="P233" s="3396">
        <f t="shared" si="94"/>
        <v>0</v>
      </c>
      <c r="Q233" s="3396">
        <f t="shared" si="94"/>
        <v>0</v>
      </c>
      <c r="R233" s="3395">
        <f t="shared" si="94"/>
        <v>0</v>
      </c>
      <c r="S233" s="3396">
        <f t="shared" si="94"/>
        <v>0</v>
      </c>
      <c r="T233" s="3396">
        <f t="shared" si="94"/>
        <v>0</v>
      </c>
      <c r="U233" s="3395">
        <f t="shared" si="96"/>
        <v>0</v>
      </c>
      <c r="V233" s="3396">
        <f t="shared" si="96"/>
        <v>0</v>
      </c>
      <c r="W233" s="3396">
        <f t="shared" si="96"/>
        <v>0</v>
      </c>
      <c r="X233" s="3386"/>
      <c r="Y233" s="3386"/>
      <c r="Z233" s="3386"/>
      <c r="AA233" s="3391"/>
    </row>
    <row r="234" spans="2:27" ht="18" hidden="1">
      <c r="B234" s="3350"/>
      <c r="C234" s="3407"/>
      <c r="D234" s="3350"/>
      <c r="E234" s="3404">
        <v>1093000006</v>
      </c>
      <c r="F234" s="3406"/>
      <c r="G234" s="3387"/>
      <c r="H234" s="3383">
        <f t="shared" si="88"/>
        <v>0</v>
      </c>
      <c r="I234" s="3386"/>
      <c r="J234" s="3387"/>
      <c r="K234" s="3383">
        <f t="shared" si="89"/>
        <v>0</v>
      </c>
      <c r="L234" s="3395">
        <f t="shared" si="95"/>
        <v>0</v>
      </c>
      <c r="M234" s="3396">
        <f t="shared" si="95"/>
        <v>0</v>
      </c>
      <c r="N234" s="3396">
        <f t="shared" si="95"/>
        <v>0</v>
      </c>
      <c r="O234" s="3395">
        <f t="shared" si="94"/>
        <v>0</v>
      </c>
      <c r="P234" s="3396">
        <f t="shared" si="94"/>
        <v>0</v>
      </c>
      <c r="Q234" s="3396">
        <f t="shared" si="94"/>
        <v>0</v>
      </c>
      <c r="R234" s="3395">
        <f t="shared" si="94"/>
        <v>0</v>
      </c>
      <c r="S234" s="3396">
        <f t="shared" si="94"/>
        <v>0</v>
      </c>
      <c r="T234" s="3396">
        <f t="shared" si="94"/>
        <v>0</v>
      </c>
      <c r="U234" s="3395">
        <f t="shared" si="96"/>
        <v>0</v>
      </c>
      <c r="V234" s="3396">
        <f t="shared" si="96"/>
        <v>0</v>
      </c>
      <c r="W234" s="3396">
        <f t="shared" si="96"/>
        <v>0</v>
      </c>
      <c r="X234" s="3386"/>
      <c r="Y234" s="3386"/>
      <c r="Z234" s="3386"/>
      <c r="AA234" s="3391"/>
    </row>
    <row r="235" spans="2:27" ht="18" hidden="1">
      <c r="B235" s="3350"/>
      <c r="C235" s="3407"/>
      <c r="D235" s="3350"/>
      <c r="E235" s="3404">
        <v>1093000007</v>
      </c>
      <c r="F235" s="3406"/>
      <c r="G235" s="3387"/>
      <c r="H235" s="3383">
        <f t="shared" si="88"/>
        <v>0</v>
      </c>
      <c r="I235" s="3386"/>
      <c r="J235" s="3387"/>
      <c r="K235" s="3383">
        <f t="shared" si="89"/>
        <v>0</v>
      </c>
      <c r="L235" s="3395">
        <f t="shared" si="95"/>
        <v>0</v>
      </c>
      <c r="M235" s="3396">
        <f t="shared" si="95"/>
        <v>0</v>
      </c>
      <c r="N235" s="3396">
        <f t="shared" si="95"/>
        <v>0</v>
      </c>
      <c r="O235" s="3395">
        <f t="shared" si="94"/>
        <v>0</v>
      </c>
      <c r="P235" s="3396">
        <f t="shared" si="94"/>
        <v>0</v>
      </c>
      <c r="Q235" s="3396">
        <f t="shared" si="94"/>
        <v>0</v>
      </c>
      <c r="R235" s="3395">
        <f t="shared" si="94"/>
        <v>0</v>
      </c>
      <c r="S235" s="3396">
        <f t="shared" si="94"/>
        <v>0</v>
      </c>
      <c r="T235" s="3396">
        <f t="shared" si="94"/>
        <v>0</v>
      </c>
      <c r="U235" s="3395">
        <f t="shared" si="96"/>
        <v>0</v>
      </c>
      <c r="V235" s="3396">
        <f t="shared" si="96"/>
        <v>0</v>
      </c>
      <c r="W235" s="3396">
        <f t="shared" si="96"/>
        <v>0</v>
      </c>
      <c r="X235" s="3386"/>
      <c r="Y235" s="3386"/>
      <c r="Z235" s="3386"/>
      <c r="AA235" s="3391"/>
    </row>
    <row r="236" spans="2:27" ht="18" hidden="1">
      <c r="B236" s="3350"/>
      <c r="C236" s="3407"/>
      <c r="D236" s="3350"/>
      <c r="E236" s="3404">
        <v>1093000008</v>
      </c>
      <c r="F236" s="3406"/>
      <c r="G236" s="3387"/>
      <c r="H236" s="3383">
        <f t="shared" si="88"/>
        <v>0</v>
      </c>
      <c r="I236" s="3386"/>
      <c r="J236" s="3387"/>
      <c r="K236" s="3383">
        <f t="shared" si="89"/>
        <v>0</v>
      </c>
      <c r="L236" s="3395">
        <f t="shared" si="95"/>
        <v>0</v>
      </c>
      <c r="M236" s="3396">
        <f t="shared" si="95"/>
        <v>0</v>
      </c>
      <c r="N236" s="3396">
        <f t="shared" si="95"/>
        <v>0</v>
      </c>
      <c r="O236" s="3395">
        <f t="shared" si="94"/>
        <v>0</v>
      </c>
      <c r="P236" s="3396">
        <f t="shared" si="94"/>
        <v>0</v>
      </c>
      <c r="Q236" s="3396">
        <f t="shared" si="94"/>
        <v>0</v>
      </c>
      <c r="R236" s="3395">
        <f t="shared" si="94"/>
        <v>0</v>
      </c>
      <c r="S236" s="3396">
        <f t="shared" si="94"/>
        <v>0</v>
      </c>
      <c r="T236" s="3396">
        <f t="shared" si="94"/>
        <v>0</v>
      </c>
      <c r="U236" s="3395">
        <f t="shared" si="96"/>
        <v>0</v>
      </c>
      <c r="V236" s="3396">
        <f t="shared" si="96"/>
        <v>0</v>
      </c>
      <c r="W236" s="3396">
        <f t="shared" si="96"/>
        <v>0</v>
      </c>
      <c r="X236" s="3386"/>
      <c r="Y236" s="3386"/>
      <c r="Z236" s="3386"/>
      <c r="AA236" s="3391"/>
    </row>
    <row r="237" spans="2:27" ht="18" hidden="1">
      <c r="B237" s="3350"/>
      <c r="C237" s="3407"/>
      <c r="D237" s="3350"/>
      <c r="E237" s="3404">
        <v>1093000009</v>
      </c>
      <c r="F237" s="3406"/>
      <c r="G237" s="3387"/>
      <c r="H237" s="3383">
        <f t="shared" si="88"/>
        <v>0</v>
      </c>
      <c r="I237" s="3386"/>
      <c r="J237" s="3387"/>
      <c r="K237" s="3383">
        <f t="shared" si="89"/>
        <v>0</v>
      </c>
      <c r="L237" s="3395">
        <f t="shared" si="95"/>
        <v>0</v>
      </c>
      <c r="M237" s="3396">
        <f t="shared" si="95"/>
        <v>0</v>
      </c>
      <c r="N237" s="3396">
        <f t="shared" si="95"/>
        <v>0</v>
      </c>
      <c r="O237" s="3395">
        <f t="shared" si="94"/>
        <v>0</v>
      </c>
      <c r="P237" s="3396">
        <f t="shared" si="94"/>
        <v>0</v>
      </c>
      <c r="Q237" s="3396">
        <f t="shared" si="94"/>
        <v>0</v>
      </c>
      <c r="R237" s="3395">
        <f t="shared" si="94"/>
        <v>0</v>
      </c>
      <c r="S237" s="3396">
        <f t="shared" si="94"/>
        <v>0</v>
      </c>
      <c r="T237" s="3396">
        <f t="shared" si="94"/>
        <v>0</v>
      </c>
      <c r="U237" s="3395">
        <f t="shared" si="96"/>
        <v>0</v>
      </c>
      <c r="V237" s="3396">
        <f t="shared" si="96"/>
        <v>0</v>
      </c>
      <c r="W237" s="3396">
        <f t="shared" si="96"/>
        <v>0</v>
      </c>
      <c r="X237" s="3386"/>
      <c r="Y237" s="3386"/>
      <c r="Z237" s="3386"/>
      <c r="AA237" s="3391"/>
    </row>
    <row r="238" spans="2:27" ht="18" hidden="1">
      <c r="B238" s="3350"/>
      <c r="C238" s="3407"/>
      <c r="D238" s="3350"/>
      <c r="E238" s="3404">
        <v>1093000010</v>
      </c>
      <c r="F238" s="3406"/>
      <c r="G238" s="3387"/>
      <c r="H238" s="3383">
        <f t="shared" si="88"/>
        <v>0</v>
      </c>
      <c r="I238" s="3386"/>
      <c r="J238" s="3387"/>
      <c r="K238" s="3383">
        <f t="shared" si="89"/>
        <v>0</v>
      </c>
      <c r="L238" s="3395">
        <f t="shared" si="95"/>
        <v>0</v>
      </c>
      <c r="M238" s="3396">
        <f t="shared" si="95"/>
        <v>0</v>
      </c>
      <c r="N238" s="3396">
        <f t="shared" si="95"/>
        <v>0</v>
      </c>
      <c r="O238" s="3395">
        <f t="shared" si="94"/>
        <v>0</v>
      </c>
      <c r="P238" s="3396">
        <f t="shared" si="94"/>
        <v>0</v>
      </c>
      <c r="Q238" s="3396">
        <f t="shared" si="94"/>
        <v>0</v>
      </c>
      <c r="R238" s="3395">
        <f t="shared" si="94"/>
        <v>0</v>
      </c>
      <c r="S238" s="3396">
        <f t="shared" si="94"/>
        <v>0</v>
      </c>
      <c r="T238" s="3396">
        <f t="shared" si="94"/>
        <v>0</v>
      </c>
      <c r="U238" s="3395">
        <f t="shared" si="96"/>
        <v>0</v>
      </c>
      <c r="V238" s="3396">
        <f t="shared" si="96"/>
        <v>0</v>
      </c>
      <c r="W238" s="3396">
        <f t="shared" si="96"/>
        <v>0</v>
      </c>
      <c r="X238" s="3386"/>
      <c r="Y238" s="3386"/>
      <c r="Z238" s="3386"/>
      <c r="AA238" s="3391"/>
    </row>
    <row r="239" spans="2:27" ht="18" hidden="1">
      <c r="B239" s="3350"/>
      <c r="C239" s="3407"/>
      <c r="D239" s="3350"/>
      <c r="E239" s="3404">
        <v>1093000011</v>
      </c>
      <c r="F239" s="3406"/>
      <c r="G239" s="3387"/>
      <c r="H239" s="3383">
        <f t="shared" si="88"/>
        <v>0</v>
      </c>
      <c r="I239" s="3386"/>
      <c r="J239" s="3387"/>
      <c r="K239" s="3383">
        <f t="shared" si="89"/>
        <v>0</v>
      </c>
      <c r="L239" s="3395">
        <f t="shared" si="95"/>
        <v>0</v>
      </c>
      <c r="M239" s="3396">
        <f t="shared" si="95"/>
        <v>0</v>
      </c>
      <c r="N239" s="3396">
        <f t="shared" si="95"/>
        <v>0</v>
      </c>
      <c r="O239" s="3395">
        <f t="shared" si="94"/>
        <v>0</v>
      </c>
      <c r="P239" s="3396">
        <f t="shared" si="94"/>
        <v>0</v>
      </c>
      <c r="Q239" s="3396">
        <f t="shared" si="94"/>
        <v>0</v>
      </c>
      <c r="R239" s="3395">
        <f t="shared" si="94"/>
        <v>0</v>
      </c>
      <c r="S239" s="3396">
        <f t="shared" si="94"/>
        <v>0</v>
      </c>
      <c r="T239" s="3396">
        <f t="shared" si="94"/>
        <v>0</v>
      </c>
      <c r="U239" s="3395">
        <f t="shared" si="96"/>
        <v>0</v>
      </c>
      <c r="V239" s="3396">
        <f t="shared" si="96"/>
        <v>0</v>
      </c>
      <c r="W239" s="3396">
        <f t="shared" si="96"/>
        <v>0</v>
      </c>
      <c r="X239" s="3386"/>
      <c r="Y239" s="3386"/>
      <c r="Z239" s="3386"/>
      <c r="AA239" s="3391"/>
    </row>
    <row r="240" spans="2:27" ht="18" hidden="1">
      <c r="B240" s="3350"/>
      <c r="C240" s="3407"/>
      <c r="D240" s="3350"/>
      <c r="E240" s="3404">
        <v>1093000012</v>
      </c>
      <c r="F240" s="3406"/>
      <c r="G240" s="3387"/>
      <c r="H240" s="3383">
        <f t="shared" si="88"/>
        <v>0</v>
      </c>
      <c r="I240" s="3386"/>
      <c r="J240" s="3387"/>
      <c r="K240" s="3383">
        <f t="shared" si="89"/>
        <v>0</v>
      </c>
      <c r="L240" s="3395">
        <f t="shared" si="95"/>
        <v>0</v>
      </c>
      <c r="M240" s="3396">
        <f t="shared" si="95"/>
        <v>0</v>
      </c>
      <c r="N240" s="3396">
        <f t="shared" si="95"/>
        <v>0</v>
      </c>
      <c r="O240" s="3395">
        <f t="shared" si="94"/>
        <v>0</v>
      </c>
      <c r="P240" s="3396">
        <f t="shared" si="94"/>
        <v>0</v>
      </c>
      <c r="Q240" s="3396">
        <f t="shared" si="94"/>
        <v>0</v>
      </c>
      <c r="R240" s="3395">
        <f t="shared" si="94"/>
        <v>0</v>
      </c>
      <c r="S240" s="3396">
        <f t="shared" si="94"/>
        <v>0</v>
      </c>
      <c r="T240" s="3396">
        <f t="shared" si="94"/>
        <v>0</v>
      </c>
      <c r="U240" s="3395">
        <f t="shared" si="96"/>
        <v>0</v>
      </c>
      <c r="V240" s="3396">
        <f t="shared" si="96"/>
        <v>0</v>
      </c>
      <c r="W240" s="3396">
        <f t="shared" si="96"/>
        <v>0</v>
      </c>
      <c r="X240" s="3386"/>
      <c r="Y240" s="3386"/>
      <c r="Z240" s="3386"/>
      <c r="AA240" s="3391"/>
    </row>
    <row r="241" spans="2:27" ht="18" hidden="1">
      <c r="B241" s="3350"/>
      <c r="C241" s="3407"/>
      <c r="D241" s="3350"/>
      <c r="E241" s="3404">
        <v>1093000013</v>
      </c>
      <c r="F241" s="3406"/>
      <c r="G241" s="3387"/>
      <c r="H241" s="3383">
        <f t="shared" si="88"/>
        <v>0</v>
      </c>
      <c r="I241" s="3386"/>
      <c r="J241" s="3387"/>
      <c r="K241" s="3383">
        <f t="shared" si="89"/>
        <v>0</v>
      </c>
      <c r="L241" s="3395">
        <f t="shared" si="95"/>
        <v>0</v>
      </c>
      <c r="M241" s="3396">
        <f t="shared" si="95"/>
        <v>0</v>
      </c>
      <c r="N241" s="3396">
        <f t="shared" si="95"/>
        <v>0</v>
      </c>
      <c r="O241" s="3395">
        <f t="shared" si="94"/>
        <v>0</v>
      </c>
      <c r="P241" s="3396">
        <f t="shared" si="94"/>
        <v>0</v>
      </c>
      <c r="Q241" s="3396">
        <f t="shared" si="94"/>
        <v>0</v>
      </c>
      <c r="R241" s="3395">
        <f t="shared" si="94"/>
        <v>0</v>
      </c>
      <c r="S241" s="3396">
        <f t="shared" si="94"/>
        <v>0</v>
      </c>
      <c r="T241" s="3396">
        <f t="shared" si="94"/>
        <v>0</v>
      </c>
      <c r="U241" s="3395">
        <f t="shared" si="96"/>
        <v>0</v>
      </c>
      <c r="V241" s="3396">
        <f t="shared" si="96"/>
        <v>0</v>
      </c>
      <c r="W241" s="3396">
        <f t="shared" si="96"/>
        <v>0</v>
      </c>
      <c r="X241" s="3386"/>
      <c r="Y241" s="3386"/>
      <c r="Z241" s="3386"/>
      <c r="AA241" s="3391"/>
    </row>
    <row r="242" spans="2:27" ht="18" hidden="1">
      <c r="B242" s="3350"/>
      <c r="C242" s="3407"/>
      <c r="D242" s="3350"/>
      <c r="E242" s="3404">
        <v>1093000014</v>
      </c>
      <c r="F242" s="3406"/>
      <c r="G242" s="3387"/>
      <c r="H242" s="3383">
        <f t="shared" si="88"/>
        <v>0</v>
      </c>
      <c r="I242" s="3386"/>
      <c r="J242" s="3387"/>
      <c r="K242" s="3383">
        <f t="shared" si="89"/>
        <v>0</v>
      </c>
      <c r="L242" s="3395">
        <f t="shared" si="95"/>
        <v>0</v>
      </c>
      <c r="M242" s="3396">
        <f t="shared" si="95"/>
        <v>0</v>
      </c>
      <c r="N242" s="3396">
        <f t="shared" si="95"/>
        <v>0</v>
      </c>
      <c r="O242" s="3395">
        <f t="shared" si="94"/>
        <v>0</v>
      </c>
      <c r="P242" s="3396">
        <f t="shared" si="94"/>
        <v>0</v>
      </c>
      <c r="Q242" s="3396">
        <f t="shared" si="94"/>
        <v>0</v>
      </c>
      <c r="R242" s="3395">
        <f t="shared" si="94"/>
        <v>0</v>
      </c>
      <c r="S242" s="3396">
        <f t="shared" si="94"/>
        <v>0</v>
      </c>
      <c r="T242" s="3396">
        <f t="shared" si="94"/>
        <v>0</v>
      </c>
      <c r="U242" s="3395">
        <f t="shared" si="96"/>
        <v>0</v>
      </c>
      <c r="V242" s="3396">
        <f t="shared" si="96"/>
        <v>0</v>
      </c>
      <c r="W242" s="3396">
        <f t="shared" si="96"/>
        <v>0</v>
      </c>
      <c r="X242" s="3386"/>
      <c r="Y242" s="3386"/>
      <c r="Z242" s="3386"/>
      <c r="AA242" s="3391"/>
    </row>
    <row r="243" spans="2:27" ht="18" hidden="1">
      <c r="B243" s="3350"/>
      <c r="C243" s="3407"/>
      <c r="D243" s="3350"/>
      <c r="E243" s="3404">
        <v>1093000015</v>
      </c>
      <c r="F243" s="3406"/>
      <c r="G243" s="3387"/>
      <c r="H243" s="3383">
        <f t="shared" si="88"/>
        <v>0</v>
      </c>
      <c r="I243" s="3386"/>
      <c r="J243" s="3387"/>
      <c r="K243" s="3383">
        <f t="shared" si="89"/>
        <v>0</v>
      </c>
      <c r="L243" s="3395">
        <f t="shared" si="95"/>
        <v>0</v>
      </c>
      <c r="M243" s="3396">
        <f t="shared" si="95"/>
        <v>0</v>
      </c>
      <c r="N243" s="3396">
        <f t="shared" si="95"/>
        <v>0</v>
      </c>
      <c r="O243" s="3395">
        <f t="shared" si="94"/>
        <v>0</v>
      </c>
      <c r="P243" s="3396">
        <f t="shared" si="94"/>
        <v>0</v>
      </c>
      <c r="Q243" s="3396">
        <f t="shared" si="94"/>
        <v>0</v>
      </c>
      <c r="R243" s="3395">
        <f t="shared" si="94"/>
        <v>0</v>
      </c>
      <c r="S243" s="3396">
        <f t="shared" si="94"/>
        <v>0</v>
      </c>
      <c r="T243" s="3396">
        <f t="shared" si="94"/>
        <v>0</v>
      </c>
      <c r="U243" s="3395">
        <f t="shared" si="96"/>
        <v>0</v>
      </c>
      <c r="V243" s="3396">
        <f t="shared" si="96"/>
        <v>0</v>
      </c>
      <c r="W243" s="3396">
        <f t="shared" si="96"/>
        <v>0</v>
      </c>
      <c r="X243" s="3386"/>
      <c r="Y243" s="3386"/>
      <c r="Z243" s="3386"/>
      <c r="AA243" s="3391"/>
    </row>
    <row r="244" spans="2:27" ht="18" hidden="1">
      <c r="B244" s="3350"/>
      <c r="C244" s="3407"/>
      <c r="D244" s="3350"/>
      <c r="E244" s="3404">
        <v>1093000016</v>
      </c>
      <c r="F244" s="3406"/>
      <c r="G244" s="3387"/>
      <c r="H244" s="3383">
        <f t="shared" si="88"/>
        <v>0</v>
      </c>
      <c r="I244" s="3386"/>
      <c r="J244" s="3387"/>
      <c r="K244" s="3383">
        <f t="shared" si="89"/>
        <v>0</v>
      </c>
      <c r="L244" s="3395">
        <f t="shared" si="95"/>
        <v>0</v>
      </c>
      <c r="M244" s="3396">
        <f t="shared" si="95"/>
        <v>0</v>
      </c>
      <c r="N244" s="3396">
        <f t="shared" si="95"/>
        <v>0</v>
      </c>
      <c r="O244" s="3395">
        <f t="shared" si="94"/>
        <v>0</v>
      </c>
      <c r="P244" s="3396">
        <f t="shared" si="94"/>
        <v>0</v>
      </c>
      <c r="Q244" s="3396">
        <f t="shared" si="94"/>
        <v>0</v>
      </c>
      <c r="R244" s="3395">
        <f t="shared" si="94"/>
        <v>0</v>
      </c>
      <c r="S244" s="3396">
        <f t="shared" si="94"/>
        <v>0</v>
      </c>
      <c r="T244" s="3396">
        <f t="shared" si="94"/>
        <v>0</v>
      </c>
      <c r="U244" s="3395">
        <f t="shared" si="96"/>
        <v>0</v>
      </c>
      <c r="V244" s="3396">
        <f t="shared" si="96"/>
        <v>0</v>
      </c>
      <c r="W244" s="3396">
        <f t="shared" si="96"/>
        <v>0</v>
      </c>
      <c r="X244" s="3386"/>
      <c r="Y244" s="3386"/>
      <c r="Z244" s="3386"/>
      <c r="AA244" s="3391"/>
    </row>
    <row r="245" spans="2:27" ht="18" hidden="1">
      <c r="B245" s="3350"/>
      <c r="C245" s="3407"/>
      <c r="D245" s="3350"/>
      <c r="E245" s="3404">
        <v>1093000017</v>
      </c>
      <c r="F245" s="3406"/>
      <c r="G245" s="3387"/>
      <c r="H245" s="3383">
        <f t="shared" si="88"/>
        <v>0</v>
      </c>
      <c r="I245" s="3386"/>
      <c r="J245" s="3387"/>
      <c r="K245" s="3383">
        <f t="shared" si="89"/>
        <v>0</v>
      </c>
      <c r="L245" s="3395">
        <f t="shared" si="95"/>
        <v>0</v>
      </c>
      <c r="M245" s="3396">
        <f t="shared" si="95"/>
        <v>0</v>
      </c>
      <c r="N245" s="3396">
        <f t="shared" si="95"/>
        <v>0</v>
      </c>
      <c r="O245" s="3395">
        <f t="shared" si="94"/>
        <v>0</v>
      </c>
      <c r="P245" s="3396">
        <f t="shared" si="94"/>
        <v>0</v>
      </c>
      <c r="Q245" s="3396">
        <f t="shared" si="94"/>
        <v>0</v>
      </c>
      <c r="R245" s="3395">
        <f t="shared" si="94"/>
        <v>0</v>
      </c>
      <c r="S245" s="3396">
        <f t="shared" si="94"/>
        <v>0</v>
      </c>
      <c r="T245" s="3396">
        <f t="shared" si="94"/>
        <v>0</v>
      </c>
      <c r="U245" s="3395">
        <f t="shared" si="96"/>
        <v>0</v>
      </c>
      <c r="V245" s="3396">
        <f t="shared" si="96"/>
        <v>0</v>
      </c>
      <c r="W245" s="3396">
        <f t="shared" si="96"/>
        <v>0</v>
      </c>
      <c r="X245" s="3386"/>
      <c r="Y245" s="3386"/>
      <c r="Z245" s="3386"/>
      <c r="AA245" s="3391"/>
    </row>
    <row r="246" spans="2:27" ht="18" hidden="1">
      <c r="B246" s="3350"/>
      <c r="C246" s="3407"/>
      <c r="D246" s="3350"/>
      <c r="E246" s="3404">
        <v>1093000018</v>
      </c>
      <c r="F246" s="3406"/>
      <c r="G246" s="3387"/>
      <c r="H246" s="3383">
        <f t="shared" si="88"/>
        <v>0</v>
      </c>
      <c r="I246" s="3386"/>
      <c r="J246" s="3387"/>
      <c r="K246" s="3383">
        <f t="shared" si="89"/>
        <v>0</v>
      </c>
      <c r="L246" s="3395">
        <f t="shared" si="95"/>
        <v>0</v>
      </c>
      <c r="M246" s="3396">
        <f t="shared" si="95"/>
        <v>0</v>
      </c>
      <c r="N246" s="3396">
        <f t="shared" si="95"/>
        <v>0</v>
      </c>
      <c r="O246" s="3395">
        <f t="shared" si="94"/>
        <v>0</v>
      </c>
      <c r="P246" s="3396">
        <f t="shared" si="94"/>
        <v>0</v>
      </c>
      <c r="Q246" s="3396">
        <f t="shared" si="94"/>
        <v>0</v>
      </c>
      <c r="R246" s="3395">
        <f t="shared" si="94"/>
        <v>0</v>
      </c>
      <c r="S246" s="3396">
        <f t="shared" si="94"/>
        <v>0</v>
      </c>
      <c r="T246" s="3396">
        <f t="shared" si="94"/>
        <v>0</v>
      </c>
      <c r="U246" s="3395">
        <f t="shared" si="96"/>
        <v>0</v>
      </c>
      <c r="V246" s="3396">
        <f t="shared" si="96"/>
        <v>0</v>
      </c>
      <c r="W246" s="3396">
        <f t="shared" si="96"/>
        <v>0</v>
      </c>
      <c r="X246" s="3386"/>
      <c r="Y246" s="3386"/>
      <c r="Z246" s="3386"/>
      <c r="AA246" s="3391"/>
    </row>
    <row r="247" spans="2:27" ht="18" hidden="1">
      <c r="B247" s="3350"/>
      <c r="C247" s="3407"/>
      <c r="D247" s="3350"/>
      <c r="E247" s="3404">
        <v>1093000019</v>
      </c>
      <c r="F247" s="3406"/>
      <c r="G247" s="3387"/>
      <c r="H247" s="3383">
        <f t="shared" si="88"/>
        <v>0</v>
      </c>
      <c r="I247" s="3386"/>
      <c r="J247" s="3387"/>
      <c r="K247" s="3383">
        <f t="shared" si="89"/>
        <v>0</v>
      </c>
      <c r="L247" s="3395">
        <f t="shared" si="95"/>
        <v>0</v>
      </c>
      <c r="M247" s="3396">
        <f t="shared" si="95"/>
        <v>0</v>
      </c>
      <c r="N247" s="3396">
        <f t="shared" si="95"/>
        <v>0</v>
      </c>
      <c r="O247" s="3395">
        <f t="shared" si="94"/>
        <v>0</v>
      </c>
      <c r="P247" s="3396">
        <f t="shared" si="94"/>
        <v>0</v>
      </c>
      <c r="Q247" s="3396">
        <f t="shared" si="94"/>
        <v>0</v>
      </c>
      <c r="R247" s="3395">
        <f t="shared" si="94"/>
        <v>0</v>
      </c>
      <c r="S247" s="3396">
        <f t="shared" si="94"/>
        <v>0</v>
      </c>
      <c r="T247" s="3396">
        <f t="shared" si="94"/>
        <v>0</v>
      </c>
      <c r="U247" s="3395">
        <f t="shared" si="96"/>
        <v>0</v>
      </c>
      <c r="V247" s="3396">
        <f t="shared" si="96"/>
        <v>0</v>
      </c>
      <c r="W247" s="3396">
        <f t="shared" si="96"/>
        <v>0</v>
      </c>
      <c r="X247" s="3386"/>
      <c r="Y247" s="3386"/>
      <c r="Z247" s="3386"/>
      <c r="AA247" s="3391"/>
    </row>
    <row r="248" spans="2:27" ht="18" hidden="1">
      <c r="B248" s="3350"/>
      <c r="C248" s="3407"/>
      <c r="D248" s="3350"/>
      <c r="E248" s="3404">
        <v>1093000020</v>
      </c>
      <c r="F248" s="3406"/>
      <c r="G248" s="3387"/>
      <c r="H248" s="3383">
        <f t="shared" si="88"/>
        <v>0</v>
      </c>
      <c r="I248" s="3386"/>
      <c r="J248" s="3387"/>
      <c r="K248" s="3383">
        <f t="shared" si="89"/>
        <v>0</v>
      </c>
      <c r="L248" s="3395">
        <f t="shared" si="95"/>
        <v>0</v>
      </c>
      <c r="M248" s="3396">
        <f t="shared" si="95"/>
        <v>0</v>
      </c>
      <c r="N248" s="3396">
        <f t="shared" si="95"/>
        <v>0</v>
      </c>
      <c r="O248" s="3395">
        <f t="shared" si="94"/>
        <v>0</v>
      </c>
      <c r="P248" s="3396">
        <f t="shared" si="94"/>
        <v>0</v>
      </c>
      <c r="Q248" s="3396">
        <f t="shared" si="94"/>
        <v>0</v>
      </c>
      <c r="R248" s="3395">
        <f t="shared" si="94"/>
        <v>0</v>
      </c>
      <c r="S248" s="3396">
        <f t="shared" si="94"/>
        <v>0</v>
      </c>
      <c r="T248" s="3396">
        <f t="shared" si="94"/>
        <v>0</v>
      </c>
      <c r="U248" s="3395">
        <f t="shared" si="96"/>
        <v>0</v>
      </c>
      <c r="V248" s="3396">
        <f t="shared" si="96"/>
        <v>0</v>
      </c>
      <c r="W248" s="3396">
        <f t="shared" si="96"/>
        <v>0</v>
      </c>
      <c r="X248" s="3386"/>
      <c r="Y248" s="3386"/>
      <c r="Z248" s="3386"/>
      <c r="AA248" s="3391"/>
    </row>
    <row r="249" spans="2:27" ht="18" hidden="1">
      <c r="B249" s="3350"/>
      <c r="C249" s="3407"/>
      <c r="D249" s="3350"/>
      <c r="E249" s="3404">
        <v>1093000021</v>
      </c>
      <c r="F249" s="3406"/>
      <c r="G249" s="3387"/>
      <c r="H249" s="3383">
        <f t="shared" si="88"/>
        <v>0</v>
      </c>
      <c r="I249" s="3386"/>
      <c r="J249" s="3387"/>
      <c r="K249" s="3383">
        <f t="shared" si="89"/>
        <v>0</v>
      </c>
      <c r="L249" s="3395">
        <f t="shared" si="95"/>
        <v>0</v>
      </c>
      <c r="M249" s="3396">
        <f t="shared" si="95"/>
        <v>0</v>
      </c>
      <c r="N249" s="3396">
        <f t="shared" si="95"/>
        <v>0</v>
      </c>
      <c r="O249" s="3395">
        <f t="shared" si="94"/>
        <v>0</v>
      </c>
      <c r="P249" s="3396">
        <f t="shared" si="94"/>
        <v>0</v>
      </c>
      <c r="Q249" s="3396">
        <f t="shared" si="94"/>
        <v>0</v>
      </c>
      <c r="R249" s="3395">
        <f t="shared" si="94"/>
        <v>0</v>
      </c>
      <c r="S249" s="3396">
        <f t="shared" si="94"/>
        <v>0</v>
      </c>
      <c r="T249" s="3396">
        <f t="shared" si="94"/>
        <v>0</v>
      </c>
      <c r="U249" s="3395">
        <f t="shared" si="96"/>
        <v>0</v>
      </c>
      <c r="V249" s="3396">
        <f t="shared" si="96"/>
        <v>0</v>
      </c>
      <c r="W249" s="3396">
        <f t="shared" si="96"/>
        <v>0</v>
      </c>
      <c r="X249" s="3386"/>
      <c r="Y249" s="3386"/>
      <c r="Z249" s="3386"/>
      <c r="AA249" s="3391"/>
    </row>
    <row r="250" spans="2:27" ht="18" hidden="1">
      <c r="B250" s="3350"/>
      <c r="C250" s="3407"/>
      <c r="D250" s="3350"/>
      <c r="E250" s="3404">
        <v>1093000022</v>
      </c>
      <c r="F250" s="3406"/>
      <c r="G250" s="3387"/>
      <c r="H250" s="3383">
        <f t="shared" si="88"/>
        <v>0</v>
      </c>
      <c r="I250" s="3386"/>
      <c r="J250" s="3387"/>
      <c r="K250" s="3383">
        <f t="shared" si="89"/>
        <v>0</v>
      </c>
      <c r="L250" s="3395">
        <f t="shared" si="95"/>
        <v>0</v>
      </c>
      <c r="M250" s="3396">
        <f t="shared" si="95"/>
        <v>0</v>
      </c>
      <c r="N250" s="3396">
        <f t="shared" si="95"/>
        <v>0</v>
      </c>
      <c r="O250" s="3395">
        <f t="shared" si="94"/>
        <v>0</v>
      </c>
      <c r="P250" s="3396">
        <f t="shared" si="94"/>
        <v>0</v>
      </c>
      <c r="Q250" s="3396">
        <f t="shared" si="94"/>
        <v>0</v>
      </c>
      <c r="R250" s="3395">
        <f t="shared" si="94"/>
        <v>0</v>
      </c>
      <c r="S250" s="3396">
        <f t="shared" si="94"/>
        <v>0</v>
      </c>
      <c r="T250" s="3396">
        <f t="shared" si="94"/>
        <v>0</v>
      </c>
      <c r="U250" s="3395">
        <f t="shared" si="96"/>
        <v>0</v>
      </c>
      <c r="V250" s="3396">
        <f t="shared" si="96"/>
        <v>0</v>
      </c>
      <c r="W250" s="3396">
        <f t="shared" si="96"/>
        <v>0</v>
      </c>
      <c r="X250" s="3386"/>
      <c r="Y250" s="3386"/>
      <c r="Z250" s="3386"/>
      <c r="AA250" s="3391"/>
    </row>
    <row r="251" spans="2:27" ht="18" hidden="1">
      <c r="B251" s="3350"/>
      <c r="C251" s="3407"/>
      <c r="D251" s="3350"/>
      <c r="E251" s="3404">
        <v>1093000023</v>
      </c>
      <c r="F251" s="3406"/>
      <c r="G251" s="3387"/>
      <c r="H251" s="3383">
        <f t="shared" si="88"/>
        <v>0</v>
      </c>
      <c r="I251" s="3386"/>
      <c r="J251" s="3387"/>
      <c r="K251" s="3383">
        <f t="shared" si="89"/>
        <v>0</v>
      </c>
      <c r="L251" s="3395">
        <f t="shared" si="95"/>
        <v>0</v>
      </c>
      <c r="M251" s="3396">
        <f t="shared" si="95"/>
        <v>0</v>
      </c>
      <c r="N251" s="3396">
        <f t="shared" si="95"/>
        <v>0</v>
      </c>
      <c r="O251" s="3395">
        <f t="shared" si="94"/>
        <v>0</v>
      </c>
      <c r="P251" s="3396">
        <f t="shared" si="94"/>
        <v>0</v>
      </c>
      <c r="Q251" s="3396">
        <f t="shared" si="94"/>
        <v>0</v>
      </c>
      <c r="R251" s="3395">
        <f t="shared" si="94"/>
        <v>0</v>
      </c>
      <c r="S251" s="3396">
        <f t="shared" si="94"/>
        <v>0</v>
      </c>
      <c r="T251" s="3396">
        <f t="shared" si="94"/>
        <v>0</v>
      </c>
      <c r="U251" s="3395">
        <f t="shared" si="96"/>
        <v>0</v>
      </c>
      <c r="V251" s="3396">
        <f t="shared" si="96"/>
        <v>0</v>
      </c>
      <c r="W251" s="3396">
        <f t="shared" si="96"/>
        <v>0</v>
      </c>
      <c r="X251" s="3386"/>
      <c r="Y251" s="3386"/>
      <c r="Z251" s="3386"/>
      <c r="AA251" s="3391"/>
    </row>
    <row r="252" spans="2:27" ht="18" hidden="1">
      <c r="B252" s="3350"/>
      <c r="C252" s="3407"/>
      <c r="D252" s="3350"/>
      <c r="E252" s="3404">
        <v>1093000024</v>
      </c>
      <c r="F252" s="3406"/>
      <c r="G252" s="3387"/>
      <c r="H252" s="3383">
        <f t="shared" si="88"/>
        <v>0</v>
      </c>
      <c r="I252" s="3386"/>
      <c r="J252" s="3387"/>
      <c r="K252" s="3383">
        <f t="shared" si="89"/>
        <v>0</v>
      </c>
      <c r="L252" s="3395">
        <f t="shared" si="95"/>
        <v>0</v>
      </c>
      <c r="M252" s="3396">
        <f t="shared" si="95"/>
        <v>0</v>
      </c>
      <c r="N252" s="3396">
        <f t="shared" si="95"/>
        <v>0</v>
      </c>
      <c r="O252" s="3395">
        <f t="shared" si="94"/>
        <v>0</v>
      </c>
      <c r="P252" s="3396">
        <f t="shared" si="94"/>
        <v>0</v>
      </c>
      <c r="Q252" s="3396">
        <f t="shared" si="94"/>
        <v>0</v>
      </c>
      <c r="R252" s="3395">
        <f t="shared" si="94"/>
        <v>0</v>
      </c>
      <c r="S252" s="3396">
        <f t="shared" si="94"/>
        <v>0</v>
      </c>
      <c r="T252" s="3396">
        <f t="shared" si="94"/>
        <v>0</v>
      </c>
      <c r="U252" s="3395">
        <f t="shared" si="96"/>
        <v>0</v>
      </c>
      <c r="V252" s="3396">
        <f t="shared" si="96"/>
        <v>0</v>
      </c>
      <c r="W252" s="3396">
        <f t="shared" si="96"/>
        <v>0</v>
      </c>
      <c r="X252" s="3386"/>
      <c r="Y252" s="3386"/>
      <c r="Z252" s="3386"/>
      <c r="AA252" s="3391"/>
    </row>
    <row r="253" spans="2:27" ht="18" hidden="1">
      <c r="B253" s="3350"/>
      <c r="C253" s="3407"/>
      <c r="D253" s="3350"/>
      <c r="E253" s="3404">
        <v>1093000025</v>
      </c>
      <c r="F253" s="3406"/>
      <c r="G253" s="3387"/>
      <c r="H253" s="3383">
        <f t="shared" si="88"/>
        <v>0</v>
      </c>
      <c r="I253" s="3386"/>
      <c r="J253" s="3387"/>
      <c r="K253" s="3383">
        <f t="shared" si="89"/>
        <v>0</v>
      </c>
      <c r="L253" s="3395">
        <f t="shared" si="95"/>
        <v>0</v>
      </c>
      <c r="M253" s="3396">
        <f t="shared" si="95"/>
        <v>0</v>
      </c>
      <c r="N253" s="3396">
        <f t="shared" si="95"/>
        <v>0</v>
      </c>
      <c r="O253" s="3395">
        <f t="shared" si="94"/>
        <v>0</v>
      </c>
      <c r="P253" s="3396">
        <f t="shared" si="94"/>
        <v>0</v>
      </c>
      <c r="Q253" s="3396">
        <f t="shared" si="94"/>
        <v>0</v>
      </c>
      <c r="R253" s="3395">
        <f t="shared" ref="R253:W319" si="97">(0)</f>
        <v>0</v>
      </c>
      <c r="S253" s="3396">
        <f t="shared" si="97"/>
        <v>0</v>
      </c>
      <c r="T253" s="3396">
        <f t="shared" si="97"/>
        <v>0</v>
      </c>
      <c r="U253" s="3395">
        <f t="shared" si="96"/>
        <v>0</v>
      </c>
      <c r="V253" s="3396">
        <f t="shared" si="96"/>
        <v>0</v>
      </c>
      <c r="W253" s="3396">
        <f t="shared" si="96"/>
        <v>0</v>
      </c>
      <c r="X253" s="3386"/>
      <c r="Y253" s="3386"/>
      <c r="Z253" s="3386"/>
      <c r="AA253" s="3391"/>
    </row>
    <row r="254" spans="2:27" ht="18" hidden="1">
      <c r="B254" s="3350"/>
      <c r="C254" s="3407"/>
      <c r="D254" s="3350"/>
      <c r="E254" s="3404">
        <v>1093000026</v>
      </c>
      <c r="F254" s="3406"/>
      <c r="G254" s="3387"/>
      <c r="H254" s="3383">
        <f t="shared" si="88"/>
        <v>0</v>
      </c>
      <c r="I254" s="3386"/>
      <c r="J254" s="3387"/>
      <c r="K254" s="3383">
        <f t="shared" si="89"/>
        <v>0</v>
      </c>
      <c r="L254" s="3395">
        <f t="shared" si="95"/>
        <v>0</v>
      </c>
      <c r="M254" s="3396">
        <f t="shared" si="95"/>
        <v>0</v>
      </c>
      <c r="N254" s="3396">
        <f t="shared" si="95"/>
        <v>0</v>
      </c>
      <c r="O254" s="3395">
        <f t="shared" si="95"/>
        <v>0</v>
      </c>
      <c r="P254" s="3396">
        <f t="shared" si="95"/>
        <v>0</v>
      </c>
      <c r="Q254" s="3396">
        <f t="shared" si="95"/>
        <v>0</v>
      </c>
      <c r="R254" s="3395">
        <f t="shared" si="97"/>
        <v>0</v>
      </c>
      <c r="S254" s="3396">
        <f t="shared" si="97"/>
        <v>0</v>
      </c>
      <c r="T254" s="3396">
        <f t="shared" si="97"/>
        <v>0</v>
      </c>
      <c r="U254" s="3395">
        <f t="shared" si="96"/>
        <v>0</v>
      </c>
      <c r="V254" s="3396">
        <f t="shared" si="96"/>
        <v>0</v>
      </c>
      <c r="W254" s="3396">
        <f t="shared" si="96"/>
        <v>0</v>
      </c>
      <c r="X254" s="3386"/>
      <c r="Y254" s="3386"/>
      <c r="Z254" s="3386"/>
      <c r="AA254" s="3391"/>
    </row>
    <row r="255" spans="2:27" ht="18" hidden="1">
      <c r="B255" s="3350"/>
      <c r="C255" s="3407"/>
      <c r="D255" s="3350"/>
      <c r="E255" s="3404">
        <v>1093000027</v>
      </c>
      <c r="F255" s="3406"/>
      <c r="G255" s="3387"/>
      <c r="H255" s="3383">
        <f t="shared" si="88"/>
        <v>0</v>
      </c>
      <c r="I255" s="3386"/>
      <c r="J255" s="3387"/>
      <c r="K255" s="3383">
        <f t="shared" si="89"/>
        <v>0</v>
      </c>
      <c r="L255" s="3395">
        <f t="shared" si="95"/>
        <v>0</v>
      </c>
      <c r="M255" s="3396">
        <f t="shared" si="95"/>
        <v>0</v>
      </c>
      <c r="N255" s="3396">
        <f t="shared" si="95"/>
        <v>0</v>
      </c>
      <c r="O255" s="3395">
        <f t="shared" si="95"/>
        <v>0</v>
      </c>
      <c r="P255" s="3396">
        <f t="shared" si="95"/>
        <v>0</v>
      </c>
      <c r="Q255" s="3396">
        <f t="shared" si="95"/>
        <v>0</v>
      </c>
      <c r="R255" s="3395">
        <f t="shared" si="97"/>
        <v>0</v>
      </c>
      <c r="S255" s="3396">
        <f t="shared" si="97"/>
        <v>0</v>
      </c>
      <c r="T255" s="3396">
        <f t="shared" si="97"/>
        <v>0</v>
      </c>
      <c r="U255" s="3395">
        <f t="shared" si="96"/>
        <v>0</v>
      </c>
      <c r="V255" s="3396">
        <f t="shared" si="96"/>
        <v>0</v>
      </c>
      <c r="W255" s="3396">
        <f t="shared" si="96"/>
        <v>0</v>
      </c>
      <c r="X255" s="3386"/>
      <c r="Y255" s="3386"/>
      <c r="Z255" s="3386"/>
      <c r="AA255" s="3391"/>
    </row>
    <row r="256" spans="2:27" ht="18" hidden="1">
      <c r="B256" s="3350"/>
      <c r="C256" s="3407"/>
      <c r="D256" s="3350"/>
      <c r="E256" s="3404">
        <v>1093000028</v>
      </c>
      <c r="F256" s="3406"/>
      <c r="G256" s="3387"/>
      <c r="H256" s="3383">
        <f t="shared" si="88"/>
        <v>0</v>
      </c>
      <c r="I256" s="3386"/>
      <c r="J256" s="3387"/>
      <c r="K256" s="3383">
        <f t="shared" si="89"/>
        <v>0</v>
      </c>
      <c r="L256" s="3395">
        <f t="shared" si="95"/>
        <v>0</v>
      </c>
      <c r="M256" s="3396">
        <f t="shared" si="95"/>
        <v>0</v>
      </c>
      <c r="N256" s="3396">
        <f t="shared" si="95"/>
        <v>0</v>
      </c>
      <c r="O256" s="3395">
        <f t="shared" si="95"/>
        <v>0</v>
      </c>
      <c r="P256" s="3396">
        <f t="shared" si="95"/>
        <v>0</v>
      </c>
      <c r="Q256" s="3396">
        <f t="shared" si="95"/>
        <v>0</v>
      </c>
      <c r="R256" s="3395">
        <f t="shared" si="97"/>
        <v>0</v>
      </c>
      <c r="S256" s="3396">
        <f t="shared" si="97"/>
        <v>0</v>
      </c>
      <c r="T256" s="3396">
        <f t="shared" si="97"/>
        <v>0</v>
      </c>
      <c r="U256" s="3395">
        <f t="shared" si="96"/>
        <v>0</v>
      </c>
      <c r="V256" s="3396">
        <f t="shared" si="96"/>
        <v>0</v>
      </c>
      <c r="W256" s="3396">
        <f t="shared" si="96"/>
        <v>0</v>
      </c>
      <c r="X256" s="3386"/>
      <c r="Y256" s="3386"/>
      <c r="Z256" s="3386"/>
      <c r="AA256" s="3391"/>
    </row>
    <row r="257" spans="2:27" ht="18" hidden="1">
      <c r="B257" s="3350"/>
      <c r="C257" s="3407"/>
      <c r="D257" s="3350"/>
      <c r="E257" s="3404">
        <v>1093000029</v>
      </c>
      <c r="F257" s="3406"/>
      <c r="G257" s="3387"/>
      <c r="H257" s="3383">
        <f t="shared" si="88"/>
        <v>0</v>
      </c>
      <c r="I257" s="3386"/>
      <c r="J257" s="3387"/>
      <c r="K257" s="3383">
        <f t="shared" si="89"/>
        <v>0</v>
      </c>
      <c r="L257" s="3395">
        <f t="shared" si="95"/>
        <v>0</v>
      </c>
      <c r="M257" s="3396">
        <f t="shared" si="95"/>
        <v>0</v>
      </c>
      <c r="N257" s="3396">
        <f t="shared" si="95"/>
        <v>0</v>
      </c>
      <c r="O257" s="3395">
        <f t="shared" si="95"/>
        <v>0</v>
      </c>
      <c r="P257" s="3396">
        <f t="shared" si="95"/>
        <v>0</v>
      </c>
      <c r="Q257" s="3396">
        <f t="shared" si="95"/>
        <v>0</v>
      </c>
      <c r="R257" s="3395">
        <f t="shared" si="97"/>
        <v>0</v>
      </c>
      <c r="S257" s="3396">
        <f t="shared" si="97"/>
        <v>0</v>
      </c>
      <c r="T257" s="3396">
        <f t="shared" si="97"/>
        <v>0</v>
      </c>
      <c r="U257" s="3395">
        <f t="shared" si="96"/>
        <v>0</v>
      </c>
      <c r="V257" s="3396">
        <f t="shared" si="96"/>
        <v>0</v>
      </c>
      <c r="W257" s="3396">
        <f t="shared" si="96"/>
        <v>0</v>
      </c>
      <c r="X257" s="3386"/>
      <c r="Y257" s="3386"/>
      <c r="Z257" s="3386"/>
      <c r="AA257" s="3391"/>
    </row>
    <row r="258" spans="2:27" ht="18" hidden="1">
      <c r="B258" s="3350"/>
      <c r="C258" s="3407"/>
      <c r="D258" s="3350"/>
      <c r="E258" s="3404">
        <v>1093000030</v>
      </c>
      <c r="F258" s="3406"/>
      <c r="G258" s="3387"/>
      <c r="H258" s="3383">
        <f t="shared" si="88"/>
        <v>0</v>
      </c>
      <c r="I258" s="3386"/>
      <c r="J258" s="3387"/>
      <c r="K258" s="3383">
        <f t="shared" si="89"/>
        <v>0</v>
      </c>
      <c r="L258" s="3395">
        <f t="shared" si="95"/>
        <v>0</v>
      </c>
      <c r="M258" s="3396">
        <f t="shared" si="95"/>
        <v>0</v>
      </c>
      <c r="N258" s="3396">
        <f t="shared" si="95"/>
        <v>0</v>
      </c>
      <c r="O258" s="3395">
        <f t="shared" si="95"/>
        <v>0</v>
      </c>
      <c r="P258" s="3396">
        <f t="shared" si="95"/>
        <v>0</v>
      </c>
      <c r="Q258" s="3396">
        <f t="shared" si="95"/>
        <v>0</v>
      </c>
      <c r="R258" s="3395">
        <f t="shared" si="97"/>
        <v>0</v>
      </c>
      <c r="S258" s="3396">
        <f t="shared" si="97"/>
        <v>0</v>
      </c>
      <c r="T258" s="3396">
        <f t="shared" si="97"/>
        <v>0</v>
      </c>
      <c r="U258" s="3395">
        <f t="shared" si="96"/>
        <v>0</v>
      </c>
      <c r="V258" s="3396">
        <f t="shared" si="96"/>
        <v>0</v>
      </c>
      <c r="W258" s="3396">
        <f t="shared" si="96"/>
        <v>0</v>
      </c>
      <c r="X258" s="3386"/>
      <c r="Y258" s="3386"/>
      <c r="Z258" s="3386"/>
      <c r="AA258" s="3391"/>
    </row>
    <row r="259" spans="2:27" ht="18" hidden="1">
      <c r="B259" s="3350"/>
      <c r="C259" s="3407"/>
      <c r="D259" s="3350"/>
      <c r="E259" s="3404">
        <v>1093000031</v>
      </c>
      <c r="F259" s="3406"/>
      <c r="G259" s="3387"/>
      <c r="H259" s="3383">
        <f t="shared" si="88"/>
        <v>0</v>
      </c>
      <c r="I259" s="3386"/>
      <c r="J259" s="3387"/>
      <c r="K259" s="3383">
        <f t="shared" si="89"/>
        <v>0</v>
      </c>
      <c r="L259" s="3395">
        <f t="shared" si="95"/>
        <v>0</v>
      </c>
      <c r="M259" s="3396">
        <f t="shared" si="95"/>
        <v>0</v>
      </c>
      <c r="N259" s="3396">
        <f t="shared" si="95"/>
        <v>0</v>
      </c>
      <c r="O259" s="3395">
        <f t="shared" si="95"/>
        <v>0</v>
      </c>
      <c r="P259" s="3396">
        <f t="shared" si="95"/>
        <v>0</v>
      </c>
      <c r="Q259" s="3396">
        <f t="shared" si="95"/>
        <v>0</v>
      </c>
      <c r="R259" s="3395">
        <f t="shared" si="97"/>
        <v>0</v>
      </c>
      <c r="S259" s="3396">
        <f t="shared" si="97"/>
        <v>0</v>
      </c>
      <c r="T259" s="3396">
        <f t="shared" si="97"/>
        <v>0</v>
      </c>
      <c r="U259" s="3395">
        <f t="shared" si="96"/>
        <v>0</v>
      </c>
      <c r="V259" s="3396">
        <f t="shared" si="96"/>
        <v>0</v>
      </c>
      <c r="W259" s="3396">
        <f t="shared" si="96"/>
        <v>0</v>
      </c>
      <c r="X259" s="3386"/>
      <c r="Y259" s="3386"/>
      <c r="Z259" s="3386"/>
      <c r="AA259" s="3391"/>
    </row>
    <row r="260" spans="2:27" ht="18" hidden="1">
      <c r="B260" s="3350"/>
      <c r="C260" s="3407"/>
      <c r="D260" s="3350"/>
      <c r="E260" s="3404">
        <v>1093000032</v>
      </c>
      <c r="F260" s="3406"/>
      <c r="G260" s="3387"/>
      <c r="H260" s="3383">
        <f t="shared" si="88"/>
        <v>0</v>
      </c>
      <c r="I260" s="3386"/>
      <c r="J260" s="3387"/>
      <c r="K260" s="3383">
        <f t="shared" si="89"/>
        <v>0</v>
      </c>
      <c r="L260" s="3395">
        <f t="shared" si="95"/>
        <v>0</v>
      </c>
      <c r="M260" s="3396">
        <f t="shared" si="95"/>
        <v>0</v>
      </c>
      <c r="N260" s="3396">
        <f t="shared" si="95"/>
        <v>0</v>
      </c>
      <c r="O260" s="3395">
        <f t="shared" si="95"/>
        <v>0</v>
      </c>
      <c r="P260" s="3396">
        <f t="shared" si="95"/>
        <v>0</v>
      </c>
      <c r="Q260" s="3396">
        <f t="shared" si="95"/>
        <v>0</v>
      </c>
      <c r="R260" s="3395">
        <f t="shared" si="97"/>
        <v>0</v>
      </c>
      <c r="S260" s="3396">
        <f t="shared" si="97"/>
        <v>0</v>
      </c>
      <c r="T260" s="3396">
        <f t="shared" si="97"/>
        <v>0</v>
      </c>
      <c r="U260" s="3395">
        <f t="shared" si="96"/>
        <v>0</v>
      </c>
      <c r="V260" s="3396">
        <f t="shared" si="96"/>
        <v>0</v>
      </c>
      <c r="W260" s="3396">
        <f t="shared" si="96"/>
        <v>0</v>
      </c>
      <c r="X260" s="3386"/>
      <c r="Y260" s="3386"/>
      <c r="Z260" s="3386"/>
      <c r="AA260" s="3391"/>
    </row>
    <row r="261" spans="2:27" ht="18" hidden="1">
      <c r="B261" s="3350"/>
      <c r="C261" s="3407"/>
      <c r="D261" s="3350"/>
      <c r="E261" s="3404">
        <v>1093000033</v>
      </c>
      <c r="F261" s="3406"/>
      <c r="G261" s="3387"/>
      <c r="H261" s="3383">
        <f t="shared" si="88"/>
        <v>0</v>
      </c>
      <c r="I261" s="3386"/>
      <c r="J261" s="3387"/>
      <c r="K261" s="3383">
        <f t="shared" si="89"/>
        <v>0</v>
      </c>
      <c r="L261" s="3395">
        <f t="shared" si="95"/>
        <v>0</v>
      </c>
      <c r="M261" s="3396">
        <f t="shared" si="95"/>
        <v>0</v>
      </c>
      <c r="N261" s="3396">
        <f t="shared" si="95"/>
        <v>0</v>
      </c>
      <c r="O261" s="3395">
        <f t="shared" si="95"/>
        <v>0</v>
      </c>
      <c r="P261" s="3396">
        <f t="shared" si="95"/>
        <v>0</v>
      </c>
      <c r="Q261" s="3396">
        <f t="shared" si="95"/>
        <v>0</v>
      </c>
      <c r="R261" s="3395">
        <f t="shared" si="97"/>
        <v>0</v>
      </c>
      <c r="S261" s="3396">
        <f t="shared" si="97"/>
        <v>0</v>
      </c>
      <c r="T261" s="3396">
        <f t="shared" si="97"/>
        <v>0</v>
      </c>
      <c r="U261" s="3395">
        <f t="shared" si="96"/>
        <v>0</v>
      </c>
      <c r="V261" s="3396">
        <f t="shared" si="96"/>
        <v>0</v>
      </c>
      <c r="W261" s="3396">
        <f t="shared" si="96"/>
        <v>0</v>
      </c>
      <c r="X261" s="3386"/>
      <c r="Y261" s="3386"/>
      <c r="Z261" s="3386"/>
      <c r="AA261" s="3391"/>
    </row>
    <row r="262" spans="2:27" ht="18" hidden="1">
      <c r="B262" s="3350"/>
      <c r="C262" s="3407"/>
      <c r="D262" s="3350"/>
      <c r="E262" s="3404">
        <v>1093000034</v>
      </c>
      <c r="F262" s="3406"/>
      <c r="G262" s="3387"/>
      <c r="H262" s="3383">
        <f t="shared" si="88"/>
        <v>0</v>
      </c>
      <c r="I262" s="3386"/>
      <c r="J262" s="3387"/>
      <c r="K262" s="3383">
        <f t="shared" si="89"/>
        <v>0</v>
      </c>
      <c r="L262" s="3395">
        <f t="shared" si="95"/>
        <v>0</v>
      </c>
      <c r="M262" s="3396">
        <f t="shared" si="95"/>
        <v>0</v>
      </c>
      <c r="N262" s="3396">
        <f t="shared" si="95"/>
        <v>0</v>
      </c>
      <c r="O262" s="3395">
        <f t="shared" si="95"/>
        <v>0</v>
      </c>
      <c r="P262" s="3396">
        <f t="shared" si="95"/>
        <v>0</v>
      </c>
      <c r="Q262" s="3396">
        <f t="shared" si="95"/>
        <v>0</v>
      </c>
      <c r="R262" s="3395">
        <f t="shared" si="97"/>
        <v>0</v>
      </c>
      <c r="S262" s="3396">
        <f t="shared" si="97"/>
        <v>0</v>
      </c>
      <c r="T262" s="3396">
        <f t="shared" si="97"/>
        <v>0</v>
      </c>
      <c r="U262" s="3395">
        <f t="shared" si="96"/>
        <v>0</v>
      </c>
      <c r="V262" s="3396">
        <f t="shared" si="96"/>
        <v>0</v>
      </c>
      <c r="W262" s="3396">
        <f t="shared" si="96"/>
        <v>0</v>
      </c>
      <c r="X262" s="3386"/>
      <c r="Y262" s="3386"/>
      <c r="Z262" s="3386"/>
      <c r="AA262" s="3391"/>
    </row>
    <row r="263" spans="2:27" ht="18" hidden="1">
      <c r="B263" s="3350"/>
      <c r="C263" s="3407"/>
      <c r="D263" s="3350"/>
      <c r="E263" s="3404">
        <v>1093000035</v>
      </c>
      <c r="F263" s="3406"/>
      <c r="G263" s="3387"/>
      <c r="H263" s="3383">
        <f t="shared" si="88"/>
        <v>0</v>
      </c>
      <c r="I263" s="3386"/>
      <c r="J263" s="3387"/>
      <c r="K263" s="3383">
        <f t="shared" si="89"/>
        <v>0</v>
      </c>
      <c r="L263" s="3395">
        <f t="shared" si="95"/>
        <v>0</v>
      </c>
      <c r="M263" s="3396">
        <f t="shared" si="95"/>
        <v>0</v>
      </c>
      <c r="N263" s="3396">
        <f t="shared" si="95"/>
        <v>0</v>
      </c>
      <c r="O263" s="3395">
        <f t="shared" si="95"/>
        <v>0</v>
      </c>
      <c r="P263" s="3396">
        <f t="shared" si="95"/>
        <v>0</v>
      </c>
      <c r="Q263" s="3396">
        <f t="shared" si="95"/>
        <v>0</v>
      </c>
      <c r="R263" s="3395">
        <f t="shared" si="97"/>
        <v>0</v>
      </c>
      <c r="S263" s="3396">
        <f t="shared" si="97"/>
        <v>0</v>
      </c>
      <c r="T263" s="3396">
        <f t="shared" si="97"/>
        <v>0</v>
      </c>
      <c r="U263" s="3395">
        <f t="shared" si="96"/>
        <v>0</v>
      </c>
      <c r="V263" s="3396">
        <f t="shared" si="96"/>
        <v>0</v>
      </c>
      <c r="W263" s="3396">
        <f t="shared" si="96"/>
        <v>0</v>
      </c>
      <c r="X263" s="3386"/>
      <c r="Y263" s="3386"/>
      <c r="Z263" s="3386"/>
      <c r="AA263" s="3391"/>
    </row>
    <row r="264" spans="2:27" ht="18" hidden="1">
      <c r="B264" s="3350"/>
      <c r="C264" s="3407"/>
      <c r="D264" s="3350"/>
      <c r="E264" s="3404">
        <v>1093000036</v>
      </c>
      <c r="F264" s="3406"/>
      <c r="G264" s="3387"/>
      <c r="H264" s="3383">
        <f t="shared" si="88"/>
        <v>0</v>
      </c>
      <c r="I264" s="3386"/>
      <c r="J264" s="3387"/>
      <c r="K264" s="3383">
        <f t="shared" si="89"/>
        <v>0</v>
      </c>
      <c r="L264" s="3395">
        <f t="shared" si="95"/>
        <v>0</v>
      </c>
      <c r="M264" s="3396">
        <f t="shared" si="95"/>
        <v>0</v>
      </c>
      <c r="N264" s="3396">
        <f t="shared" si="95"/>
        <v>0</v>
      </c>
      <c r="O264" s="3395">
        <f t="shared" si="95"/>
        <v>0</v>
      </c>
      <c r="P264" s="3396">
        <f t="shared" si="95"/>
        <v>0</v>
      </c>
      <c r="Q264" s="3396">
        <f t="shared" si="95"/>
        <v>0</v>
      </c>
      <c r="R264" s="3395">
        <f t="shared" si="97"/>
        <v>0</v>
      </c>
      <c r="S264" s="3396">
        <f t="shared" si="97"/>
        <v>0</v>
      </c>
      <c r="T264" s="3396">
        <f t="shared" si="97"/>
        <v>0</v>
      </c>
      <c r="U264" s="3395">
        <f t="shared" si="96"/>
        <v>0</v>
      </c>
      <c r="V264" s="3396">
        <f t="shared" si="96"/>
        <v>0</v>
      </c>
      <c r="W264" s="3396">
        <f t="shared" si="96"/>
        <v>0</v>
      </c>
      <c r="X264" s="3386"/>
      <c r="Y264" s="3386"/>
      <c r="Z264" s="3386"/>
      <c r="AA264" s="3391"/>
    </row>
    <row r="265" spans="2:27" ht="18" hidden="1">
      <c r="B265" s="3350"/>
      <c r="C265" s="3407"/>
      <c r="D265" s="3350"/>
      <c r="E265" s="3404">
        <v>1093000037</v>
      </c>
      <c r="F265" s="3406"/>
      <c r="G265" s="3387"/>
      <c r="H265" s="3383">
        <f t="shared" si="88"/>
        <v>0</v>
      </c>
      <c r="I265" s="3386"/>
      <c r="J265" s="3387"/>
      <c r="K265" s="3383">
        <f t="shared" si="89"/>
        <v>0</v>
      </c>
      <c r="L265" s="3395">
        <f t="shared" si="95"/>
        <v>0</v>
      </c>
      <c r="M265" s="3396">
        <f t="shared" si="95"/>
        <v>0</v>
      </c>
      <c r="N265" s="3396">
        <f t="shared" si="95"/>
        <v>0</v>
      </c>
      <c r="O265" s="3395">
        <f t="shared" si="95"/>
        <v>0</v>
      </c>
      <c r="P265" s="3396">
        <f t="shared" si="95"/>
        <v>0</v>
      </c>
      <c r="Q265" s="3396">
        <f t="shared" si="95"/>
        <v>0</v>
      </c>
      <c r="R265" s="3395">
        <f t="shared" si="97"/>
        <v>0</v>
      </c>
      <c r="S265" s="3396">
        <f t="shared" si="97"/>
        <v>0</v>
      </c>
      <c r="T265" s="3396">
        <f t="shared" si="97"/>
        <v>0</v>
      </c>
      <c r="U265" s="3395">
        <f t="shared" si="96"/>
        <v>0</v>
      </c>
      <c r="V265" s="3396">
        <f t="shared" si="96"/>
        <v>0</v>
      </c>
      <c r="W265" s="3396">
        <f t="shared" si="96"/>
        <v>0</v>
      </c>
      <c r="X265" s="3386"/>
      <c r="Y265" s="3386"/>
      <c r="Z265" s="3386"/>
      <c r="AA265" s="3391"/>
    </row>
    <row r="266" spans="2:27" ht="18" hidden="1">
      <c r="B266" s="3350"/>
      <c r="C266" s="3407"/>
      <c r="D266" s="3350"/>
      <c r="E266" s="3404">
        <v>1093000038</v>
      </c>
      <c r="F266" s="3406"/>
      <c r="G266" s="3387"/>
      <c r="H266" s="3383">
        <f t="shared" si="88"/>
        <v>0</v>
      </c>
      <c r="I266" s="3386"/>
      <c r="J266" s="3387"/>
      <c r="K266" s="3383">
        <f t="shared" si="89"/>
        <v>0</v>
      </c>
      <c r="L266" s="3395">
        <f t="shared" si="95"/>
        <v>0</v>
      </c>
      <c r="M266" s="3396">
        <f t="shared" si="95"/>
        <v>0</v>
      </c>
      <c r="N266" s="3396">
        <f t="shared" si="95"/>
        <v>0</v>
      </c>
      <c r="O266" s="3395">
        <f t="shared" si="95"/>
        <v>0</v>
      </c>
      <c r="P266" s="3396">
        <f t="shared" si="95"/>
        <v>0</v>
      </c>
      <c r="Q266" s="3396">
        <f t="shared" si="95"/>
        <v>0</v>
      </c>
      <c r="R266" s="3395">
        <f t="shared" si="97"/>
        <v>0</v>
      </c>
      <c r="S266" s="3396">
        <f t="shared" si="97"/>
        <v>0</v>
      </c>
      <c r="T266" s="3396">
        <f t="shared" si="97"/>
        <v>0</v>
      </c>
      <c r="U266" s="3395">
        <f t="shared" si="96"/>
        <v>0</v>
      </c>
      <c r="V266" s="3396">
        <f t="shared" si="96"/>
        <v>0</v>
      </c>
      <c r="W266" s="3396">
        <f t="shared" si="96"/>
        <v>0</v>
      </c>
      <c r="X266" s="3386"/>
      <c r="Y266" s="3386"/>
      <c r="Z266" s="3386"/>
      <c r="AA266" s="3391"/>
    </row>
    <row r="267" spans="2:27" ht="18" hidden="1">
      <c r="B267" s="3350"/>
      <c r="C267" s="3407"/>
      <c r="D267" s="3350"/>
      <c r="E267" s="3404">
        <v>1093000039</v>
      </c>
      <c r="F267" s="3406"/>
      <c r="G267" s="3387"/>
      <c r="H267" s="3383">
        <f t="shared" si="88"/>
        <v>0</v>
      </c>
      <c r="I267" s="3386"/>
      <c r="J267" s="3387"/>
      <c r="K267" s="3383">
        <f t="shared" si="89"/>
        <v>0</v>
      </c>
      <c r="L267" s="3395">
        <f t="shared" si="95"/>
        <v>0</v>
      </c>
      <c r="M267" s="3396">
        <f t="shared" si="95"/>
        <v>0</v>
      </c>
      <c r="N267" s="3396">
        <f t="shared" si="95"/>
        <v>0</v>
      </c>
      <c r="O267" s="3395">
        <f t="shared" si="95"/>
        <v>0</v>
      </c>
      <c r="P267" s="3396">
        <f t="shared" si="95"/>
        <v>0</v>
      </c>
      <c r="Q267" s="3396">
        <f t="shared" si="95"/>
        <v>0</v>
      </c>
      <c r="R267" s="3395">
        <f t="shared" si="97"/>
        <v>0</v>
      </c>
      <c r="S267" s="3396">
        <f t="shared" si="97"/>
        <v>0</v>
      </c>
      <c r="T267" s="3396">
        <f t="shared" si="97"/>
        <v>0</v>
      </c>
      <c r="U267" s="3395">
        <f t="shared" si="96"/>
        <v>0</v>
      </c>
      <c r="V267" s="3396">
        <f t="shared" si="96"/>
        <v>0</v>
      </c>
      <c r="W267" s="3396">
        <f t="shared" si="96"/>
        <v>0</v>
      </c>
      <c r="X267" s="3386"/>
      <c r="Y267" s="3386"/>
      <c r="Z267" s="3386"/>
      <c r="AA267" s="3391"/>
    </row>
    <row r="268" spans="2:27" ht="18" hidden="1">
      <c r="B268" s="3350"/>
      <c r="C268" s="3407"/>
      <c r="D268" s="3350"/>
      <c r="E268" s="3404">
        <v>1093000040</v>
      </c>
      <c r="F268" s="3406"/>
      <c r="G268" s="3387"/>
      <c r="H268" s="3383">
        <f t="shared" si="88"/>
        <v>0</v>
      </c>
      <c r="I268" s="3386"/>
      <c r="J268" s="3387"/>
      <c r="K268" s="3383">
        <f t="shared" si="89"/>
        <v>0</v>
      </c>
      <c r="L268" s="3395">
        <f t="shared" si="95"/>
        <v>0</v>
      </c>
      <c r="M268" s="3396">
        <f t="shared" si="95"/>
        <v>0</v>
      </c>
      <c r="N268" s="3396">
        <f t="shared" si="95"/>
        <v>0</v>
      </c>
      <c r="O268" s="3395">
        <f t="shared" si="95"/>
        <v>0</v>
      </c>
      <c r="P268" s="3396">
        <f t="shared" si="95"/>
        <v>0</v>
      </c>
      <c r="Q268" s="3396">
        <f t="shared" si="95"/>
        <v>0</v>
      </c>
      <c r="R268" s="3395">
        <f t="shared" si="97"/>
        <v>0</v>
      </c>
      <c r="S268" s="3396">
        <f t="shared" si="97"/>
        <v>0</v>
      </c>
      <c r="T268" s="3396">
        <f t="shared" si="97"/>
        <v>0</v>
      </c>
      <c r="U268" s="3395">
        <f t="shared" si="96"/>
        <v>0</v>
      </c>
      <c r="V268" s="3396">
        <f t="shared" si="96"/>
        <v>0</v>
      </c>
      <c r="W268" s="3396">
        <f t="shared" si="96"/>
        <v>0</v>
      </c>
      <c r="X268" s="3386"/>
      <c r="Y268" s="3386"/>
      <c r="Z268" s="3386"/>
      <c r="AA268" s="3391"/>
    </row>
    <row r="269" spans="2:27" ht="18" hidden="1">
      <c r="B269" s="3350"/>
      <c r="C269" s="3407"/>
      <c r="D269" s="3350"/>
      <c r="E269" s="3404">
        <v>1093000041</v>
      </c>
      <c r="F269" s="3406"/>
      <c r="G269" s="3387"/>
      <c r="H269" s="3383">
        <f t="shared" si="88"/>
        <v>0</v>
      </c>
      <c r="I269" s="3386"/>
      <c r="J269" s="3387"/>
      <c r="K269" s="3383">
        <f t="shared" si="89"/>
        <v>0</v>
      </c>
      <c r="L269" s="3395">
        <f t="shared" si="95"/>
        <v>0</v>
      </c>
      <c r="M269" s="3396">
        <f t="shared" si="95"/>
        <v>0</v>
      </c>
      <c r="N269" s="3396">
        <f t="shared" si="95"/>
        <v>0</v>
      </c>
      <c r="O269" s="3395">
        <f t="shared" si="95"/>
        <v>0</v>
      </c>
      <c r="P269" s="3396">
        <f t="shared" si="95"/>
        <v>0</v>
      </c>
      <c r="Q269" s="3396">
        <f t="shared" si="95"/>
        <v>0</v>
      </c>
      <c r="R269" s="3395">
        <f t="shared" si="97"/>
        <v>0</v>
      </c>
      <c r="S269" s="3396">
        <f t="shared" si="97"/>
        <v>0</v>
      </c>
      <c r="T269" s="3396">
        <f t="shared" si="97"/>
        <v>0</v>
      </c>
      <c r="U269" s="3395">
        <f t="shared" si="96"/>
        <v>0</v>
      </c>
      <c r="V269" s="3396">
        <f t="shared" si="96"/>
        <v>0</v>
      </c>
      <c r="W269" s="3396">
        <f t="shared" si="96"/>
        <v>0</v>
      </c>
      <c r="X269" s="3386"/>
      <c r="Y269" s="3386"/>
      <c r="Z269" s="3386"/>
      <c r="AA269" s="3391"/>
    </row>
    <row r="270" spans="2:27" ht="18" hidden="1">
      <c r="B270" s="3350"/>
      <c r="C270" s="3407"/>
      <c r="D270" s="3350"/>
      <c r="E270" s="3404">
        <v>1093000042</v>
      </c>
      <c r="F270" s="3406"/>
      <c r="G270" s="3387"/>
      <c r="H270" s="3383">
        <f t="shared" si="88"/>
        <v>0</v>
      </c>
      <c r="I270" s="3386"/>
      <c r="J270" s="3387"/>
      <c r="K270" s="3383">
        <f t="shared" si="89"/>
        <v>0</v>
      </c>
      <c r="L270" s="3395">
        <f t="shared" si="95"/>
        <v>0</v>
      </c>
      <c r="M270" s="3396">
        <f t="shared" si="95"/>
        <v>0</v>
      </c>
      <c r="N270" s="3396">
        <f t="shared" si="95"/>
        <v>0</v>
      </c>
      <c r="O270" s="3395">
        <f t="shared" si="95"/>
        <v>0</v>
      </c>
      <c r="P270" s="3396">
        <f t="shared" si="95"/>
        <v>0</v>
      </c>
      <c r="Q270" s="3396">
        <f t="shared" si="95"/>
        <v>0</v>
      </c>
      <c r="R270" s="3395">
        <f t="shared" si="97"/>
        <v>0</v>
      </c>
      <c r="S270" s="3396">
        <f t="shared" si="97"/>
        <v>0</v>
      </c>
      <c r="T270" s="3396">
        <f t="shared" si="97"/>
        <v>0</v>
      </c>
      <c r="U270" s="3395">
        <f t="shared" si="96"/>
        <v>0</v>
      </c>
      <c r="V270" s="3396">
        <f t="shared" si="96"/>
        <v>0</v>
      </c>
      <c r="W270" s="3396">
        <f t="shared" si="96"/>
        <v>0</v>
      </c>
      <c r="X270" s="3386"/>
      <c r="Y270" s="3386"/>
      <c r="Z270" s="3386"/>
      <c r="AA270" s="3391"/>
    </row>
    <row r="271" spans="2:27" ht="18" hidden="1">
      <c r="B271" s="3350"/>
      <c r="C271" s="3407"/>
      <c r="D271" s="3350"/>
      <c r="E271" s="3404">
        <v>1093000043</v>
      </c>
      <c r="F271" s="3406"/>
      <c r="G271" s="3387"/>
      <c r="H271" s="3383">
        <f t="shared" si="88"/>
        <v>0</v>
      </c>
      <c r="I271" s="3386"/>
      <c r="J271" s="3387"/>
      <c r="K271" s="3383">
        <f t="shared" si="89"/>
        <v>0</v>
      </c>
      <c r="L271" s="3395">
        <f t="shared" si="95"/>
        <v>0</v>
      </c>
      <c r="M271" s="3396">
        <f t="shared" si="95"/>
        <v>0</v>
      </c>
      <c r="N271" s="3396">
        <f t="shared" si="95"/>
        <v>0</v>
      </c>
      <c r="O271" s="3395">
        <f t="shared" si="95"/>
        <v>0</v>
      </c>
      <c r="P271" s="3396">
        <f t="shared" si="95"/>
        <v>0</v>
      </c>
      <c r="Q271" s="3396">
        <f t="shared" si="95"/>
        <v>0</v>
      </c>
      <c r="R271" s="3395">
        <f t="shared" si="97"/>
        <v>0</v>
      </c>
      <c r="S271" s="3396">
        <f t="shared" si="97"/>
        <v>0</v>
      </c>
      <c r="T271" s="3396">
        <f t="shared" si="97"/>
        <v>0</v>
      </c>
      <c r="U271" s="3395">
        <f t="shared" si="96"/>
        <v>0</v>
      </c>
      <c r="V271" s="3396">
        <f t="shared" si="96"/>
        <v>0</v>
      </c>
      <c r="W271" s="3396">
        <f t="shared" si="96"/>
        <v>0</v>
      </c>
      <c r="X271" s="3386"/>
      <c r="Y271" s="3386"/>
      <c r="Z271" s="3386"/>
      <c r="AA271" s="3391"/>
    </row>
    <row r="272" spans="2:27" ht="18" hidden="1">
      <c r="B272" s="3350"/>
      <c r="C272" s="3407"/>
      <c r="D272" s="3350"/>
      <c r="E272" s="3404">
        <v>1093000044</v>
      </c>
      <c r="F272" s="3406"/>
      <c r="G272" s="3387"/>
      <c r="H272" s="3383">
        <f t="shared" si="88"/>
        <v>0</v>
      </c>
      <c r="I272" s="3386"/>
      <c r="J272" s="3387"/>
      <c r="K272" s="3383">
        <f t="shared" si="89"/>
        <v>0</v>
      </c>
      <c r="L272" s="3395">
        <f t="shared" ref="L272:Q314" si="98">(0)</f>
        <v>0</v>
      </c>
      <c r="M272" s="3396">
        <f t="shared" si="98"/>
        <v>0</v>
      </c>
      <c r="N272" s="3396">
        <f t="shared" si="98"/>
        <v>0</v>
      </c>
      <c r="O272" s="3395">
        <f t="shared" si="98"/>
        <v>0</v>
      </c>
      <c r="P272" s="3396">
        <f t="shared" si="98"/>
        <v>0</v>
      </c>
      <c r="Q272" s="3396">
        <f t="shared" si="98"/>
        <v>0</v>
      </c>
      <c r="R272" s="3395">
        <f t="shared" si="97"/>
        <v>0</v>
      </c>
      <c r="S272" s="3396">
        <f t="shared" si="97"/>
        <v>0</v>
      </c>
      <c r="T272" s="3396">
        <f t="shared" si="97"/>
        <v>0</v>
      </c>
      <c r="U272" s="3395">
        <f t="shared" si="96"/>
        <v>0</v>
      </c>
      <c r="V272" s="3396">
        <f t="shared" si="96"/>
        <v>0</v>
      </c>
      <c r="W272" s="3396">
        <f t="shared" si="96"/>
        <v>0</v>
      </c>
      <c r="X272" s="3386"/>
      <c r="Y272" s="3386"/>
      <c r="Z272" s="3386"/>
      <c r="AA272" s="3391"/>
    </row>
    <row r="273" spans="2:27" ht="18" hidden="1">
      <c r="B273" s="3350"/>
      <c r="C273" s="3407"/>
      <c r="D273" s="3350"/>
      <c r="E273" s="3404">
        <v>1093000045</v>
      </c>
      <c r="F273" s="3406"/>
      <c r="G273" s="3387"/>
      <c r="H273" s="3383">
        <f t="shared" si="88"/>
        <v>0</v>
      </c>
      <c r="I273" s="3386"/>
      <c r="J273" s="3387"/>
      <c r="K273" s="3383">
        <f t="shared" si="89"/>
        <v>0</v>
      </c>
      <c r="L273" s="3395">
        <f t="shared" si="98"/>
        <v>0</v>
      </c>
      <c r="M273" s="3396">
        <f t="shared" si="98"/>
        <v>0</v>
      </c>
      <c r="N273" s="3396">
        <f t="shared" si="98"/>
        <v>0</v>
      </c>
      <c r="O273" s="3395">
        <f t="shared" si="98"/>
        <v>0</v>
      </c>
      <c r="P273" s="3396">
        <f t="shared" si="98"/>
        <v>0</v>
      </c>
      <c r="Q273" s="3396">
        <f t="shared" si="98"/>
        <v>0</v>
      </c>
      <c r="R273" s="3395">
        <f t="shared" si="97"/>
        <v>0</v>
      </c>
      <c r="S273" s="3396">
        <f t="shared" si="97"/>
        <v>0</v>
      </c>
      <c r="T273" s="3396">
        <f t="shared" si="97"/>
        <v>0</v>
      </c>
      <c r="U273" s="3395">
        <f t="shared" si="96"/>
        <v>0</v>
      </c>
      <c r="V273" s="3396">
        <f t="shared" si="96"/>
        <v>0</v>
      </c>
      <c r="W273" s="3396">
        <f t="shared" si="96"/>
        <v>0</v>
      </c>
      <c r="X273" s="3386"/>
      <c r="Y273" s="3386"/>
      <c r="Z273" s="3386"/>
      <c r="AA273" s="3391"/>
    </row>
    <row r="274" spans="2:27" ht="18" hidden="1">
      <c r="B274" s="3350"/>
      <c r="C274" s="3407"/>
      <c r="D274" s="3350"/>
      <c r="E274" s="3404">
        <v>1093000046</v>
      </c>
      <c r="F274" s="3406"/>
      <c r="G274" s="3387"/>
      <c r="H274" s="3383">
        <f t="shared" si="88"/>
        <v>0</v>
      </c>
      <c r="I274" s="3386"/>
      <c r="J274" s="3387"/>
      <c r="K274" s="3383">
        <f t="shared" si="89"/>
        <v>0</v>
      </c>
      <c r="L274" s="3395">
        <f t="shared" si="98"/>
        <v>0</v>
      </c>
      <c r="M274" s="3396">
        <f t="shared" si="98"/>
        <v>0</v>
      </c>
      <c r="N274" s="3396">
        <f t="shared" si="98"/>
        <v>0</v>
      </c>
      <c r="O274" s="3395">
        <f t="shared" si="98"/>
        <v>0</v>
      </c>
      <c r="P274" s="3396">
        <f t="shared" si="98"/>
        <v>0</v>
      </c>
      <c r="Q274" s="3396">
        <f t="shared" si="98"/>
        <v>0</v>
      </c>
      <c r="R274" s="3395">
        <f t="shared" si="97"/>
        <v>0</v>
      </c>
      <c r="S274" s="3396">
        <f t="shared" si="97"/>
        <v>0</v>
      </c>
      <c r="T274" s="3396">
        <f t="shared" si="97"/>
        <v>0</v>
      </c>
      <c r="U274" s="3395">
        <f t="shared" si="96"/>
        <v>0</v>
      </c>
      <c r="V274" s="3396">
        <f t="shared" si="96"/>
        <v>0</v>
      </c>
      <c r="W274" s="3396">
        <f t="shared" si="96"/>
        <v>0</v>
      </c>
      <c r="X274" s="3386"/>
      <c r="Y274" s="3386"/>
      <c r="Z274" s="3386"/>
      <c r="AA274" s="3391"/>
    </row>
    <row r="275" spans="2:27" ht="18" hidden="1">
      <c r="B275" s="3350"/>
      <c r="C275" s="3407"/>
      <c r="D275" s="3350"/>
      <c r="E275" s="3404">
        <v>1093000047</v>
      </c>
      <c r="F275" s="3406"/>
      <c r="G275" s="3387"/>
      <c r="H275" s="3383">
        <f t="shared" si="88"/>
        <v>0</v>
      </c>
      <c r="I275" s="3386"/>
      <c r="J275" s="3387"/>
      <c r="K275" s="3383">
        <f t="shared" si="89"/>
        <v>0</v>
      </c>
      <c r="L275" s="3395">
        <f t="shared" si="98"/>
        <v>0</v>
      </c>
      <c r="M275" s="3396">
        <f t="shared" si="98"/>
        <v>0</v>
      </c>
      <c r="N275" s="3396">
        <f t="shared" si="98"/>
        <v>0</v>
      </c>
      <c r="O275" s="3395">
        <f t="shared" si="98"/>
        <v>0</v>
      </c>
      <c r="P275" s="3396">
        <f t="shared" si="98"/>
        <v>0</v>
      </c>
      <c r="Q275" s="3396">
        <f t="shared" si="98"/>
        <v>0</v>
      </c>
      <c r="R275" s="3395">
        <f t="shared" si="97"/>
        <v>0</v>
      </c>
      <c r="S275" s="3396">
        <f t="shared" si="97"/>
        <v>0</v>
      </c>
      <c r="T275" s="3396">
        <f t="shared" si="97"/>
        <v>0</v>
      </c>
      <c r="U275" s="3395">
        <f t="shared" si="96"/>
        <v>0</v>
      </c>
      <c r="V275" s="3396">
        <f t="shared" si="96"/>
        <v>0</v>
      </c>
      <c r="W275" s="3396">
        <f t="shared" si="96"/>
        <v>0</v>
      </c>
      <c r="X275" s="3386"/>
      <c r="Y275" s="3386"/>
      <c r="Z275" s="3386"/>
      <c r="AA275" s="3391"/>
    </row>
    <row r="276" spans="2:27" ht="18" hidden="1">
      <c r="B276" s="3350"/>
      <c r="C276" s="3407"/>
      <c r="D276" s="3350"/>
      <c r="E276" s="3404">
        <v>1093000048</v>
      </c>
      <c r="F276" s="3406"/>
      <c r="G276" s="3387"/>
      <c r="H276" s="3383">
        <f t="shared" si="88"/>
        <v>0</v>
      </c>
      <c r="I276" s="3386"/>
      <c r="J276" s="3387"/>
      <c r="K276" s="3383">
        <f t="shared" si="89"/>
        <v>0</v>
      </c>
      <c r="L276" s="3395">
        <f t="shared" si="98"/>
        <v>0</v>
      </c>
      <c r="M276" s="3396">
        <f t="shared" si="98"/>
        <v>0</v>
      </c>
      <c r="N276" s="3396">
        <f t="shared" si="98"/>
        <v>0</v>
      </c>
      <c r="O276" s="3395">
        <f t="shared" si="98"/>
        <v>0</v>
      </c>
      <c r="P276" s="3396">
        <f t="shared" si="98"/>
        <v>0</v>
      </c>
      <c r="Q276" s="3396">
        <f t="shared" si="98"/>
        <v>0</v>
      </c>
      <c r="R276" s="3395">
        <f t="shared" si="97"/>
        <v>0</v>
      </c>
      <c r="S276" s="3396">
        <f t="shared" si="97"/>
        <v>0</v>
      </c>
      <c r="T276" s="3396">
        <f t="shared" si="97"/>
        <v>0</v>
      </c>
      <c r="U276" s="3395">
        <f t="shared" si="96"/>
        <v>0</v>
      </c>
      <c r="V276" s="3396">
        <f t="shared" si="96"/>
        <v>0</v>
      </c>
      <c r="W276" s="3396">
        <f t="shared" si="96"/>
        <v>0</v>
      </c>
      <c r="X276" s="3386"/>
      <c r="Y276" s="3386"/>
      <c r="Z276" s="3386"/>
      <c r="AA276" s="3391"/>
    </row>
    <row r="277" spans="2:27" ht="18" hidden="1">
      <c r="B277" s="3350"/>
      <c r="C277" s="3407"/>
      <c r="D277" s="3350"/>
      <c r="E277" s="3404">
        <v>1093000049</v>
      </c>
      <c r="F277" s="3406"/>
      <c r="G277" s="3387"/>
      <c r="H277" s="3383">
        <f t="shared" si="88"/>
        <v>0</v>
      </c>
      <c r="I277" s="3386"/>
      <c r="J277" s="3387"/>
      <c r="K277" s="3383">
        <f t="shared" si="89"/>
        <v>0</v>
      </c>
      <c r="L277" s="3395">
        <f t="shared" si="98"/>
        <v>0</v>
      </c>
      <c r="M277" s="3396">
        <f t="shared" si="98"/>
        <v>0</v>
      </c>
      <c r="N277" s="3396">
        <f t="shared" si="98"/>
        <v>0</v>
      </c>
      <c r="O277" s="3395">
        <f t="shared" si="98"/>
        <v>0</v>
      </c>
      <c r="P277" s="3396">
        <f t="shared" si="98"/>
        <v>0</v>
      </c>
      <c r="Q277" s="3396">
        <f t="shared" si="98"/>
        <v>0</v>
      </c>
      <c r="R277" s="3395">
        <f t="shared" si="97"/>
        <v>0</v>
      </c>
      <c r="S277" s="3396">
        <f t="shared" si="97"/>
        <v>0</v>
      </c>
      <c r="T277" s="3396">
        <f t="shared" si="97"/>
        <v>0</v>
      </c>
      <c r="U277" s="3395">
        <f t="shared" si="96"/>
        <v>0</v>
      </c>
      <c r="V277" s="3396">
        <f t="shared" si="96"/>
        <v>0</v>
      </c>
      <c r="W277" s="3396">
        <f t="shared" si="96"/>
        <v>0</v>
      </c>
      <c r="X277" s="3386"/>
      <c r="Y277" s="3386"/>
      <c r="Z277" s="3386"/>
      <c r="AA277" s="3391"/>
    </row>
    <row r="278" spans="2:27" ht="18" hidden="1">
      <c r="B278" s="3350"/>
      <c r="C278" s="3407"/>
      <c r="D278" s="3350"/>
      <c r="E278" s="3404">
        <v>1093000050</v>
      </c>
      <c r="F278" s="3406"/>
      <c r="G278" s="3387"/>
      <c r="H278" s="3383">
        <f t="shared" si="88"/>
        <v>0</v>
      </c>
      <c r="I278" s="3386"/>
      <c r="J278" s="3387"/>
      <c r="K278" s="3383">
        <f t="shared" si="89"/>
        <v>0</v>
      </c>
      <c r="L278" s="3395">
        <f t="shared" si="98"/>
        <v>0</v>
      </c>
      <c r="M278" s="3396">
        <f t="shared" si="98"/>
        <v>0</v>
      </c>
      <c r="N278" s="3396">
        <f t="shared" si="98"/>
        <v>0</v>
      </c>
      <c r="O278" s="3395">
        <f t="shared" si="98"/>
        <v>0</v>
      </c>
      <c r="P278" s="3396">
        <f t="shared" si="98"/>
        <v>0</v>
      </c>
      <c r="Q278" s="3396">
        <f t="shared" si="98"/>
        <v>0</v>
      </c>
      <c r="R278" s="3395">
        <f t="shared" si="97"/>
        <v>0</v>
      </c>
      <c r="S278" s="3396">
        <f t="shared" si="97"/>
        <v>0</v>
      </c>
      <c r="T278" s="3396">
        <f t="shared" si="97"/>
        <v>0</v>
      </c>
      <c r="U278" s="3395">
        <f t="shared" si="96"/>
        <v>0</v>
      </c>
      <c r="V278" s="3396">
        <f t="shared" si="96"/>
        <v>0</v>
      </c>
      <c r="W278" s="3396">
        <f t="shared" si="96"/>
        <v>0</v>
      </c>
      <c r="X278" s="3386"/>
      <c r="Y278" s="3386"/>
      <c r="Z278" s="3386"/>
      <c r="AA278" s="3391"/>
    </row>
    <row r="279" spans="2:27" ht="18" hidden="1">
      <c r="B279" s="3350"/>
      <c r="C279" s="3407"/>
      <c r="D279" s="3350"/>
      <c r="E279" s="3404">
        <v>1093000051</v>
      </c>
      <c r="F279" s="3406"/>
      <c r="G279" s="3387"/>
      <c r="H279" s="3383">
        <f t="shared" si="88"/>
        <v>0</v>
      </c>
      <c r="I279" s="3386"/>
      <c r="J279" s="3387"/>
      <c r="K279" s="3383">
        <f t="shared" si="89"/>
        <v>0</v>
      </c>
      <c r="L279" s="3395">
        <f t="shared" si="98"/>
        <v>0</v>
      </c>
      <c r="M279" s="3396">
        <f t="shared" si="98"/>
        <v>0</v>
      </c>
      <c r="N279" s="3396">
        <f t="shared" si="98"/>
        <v>0</v>
      </c>
      <c r="O279" s="3395">
        <f t="shared" si="98"/>
        <v>0</v>
      </c>
      <c r="P279" s="3396">
        <f t="shared" si="98"/>
        <v>0</v>
      </c>
      <c r="Q279" s="3396">
        <f t="shared" si="98"/>
        <v>0</v>
      </c>
      <c r="R279" s="3395">
        <f t="shared" si="97"/>
        <v>0</v>
      </c>
      <c r="S279" s="3396">
        <f t="shared" si="97"/>
        <v>0</v>
      </c>
      <c r="T279" s="3396">
        <f t="shared" si="97"/>
        <v>0</v>
      </c>
      <c r="U279" s="3395">
        <f t="shared" si="96"/>
        <v>0</v>
      </c>
      <c r="V279" s="3396">
        <f t="shared" si="96"/>
        <v>0</v>
      </c>
      <c r="W279" s="3396">
        <f t="shared" si="96"/>
        <v>0</v>
      </c>
      <c r="X279" s="3386"/>
      <c r="Y279" s="3386"/>
      <c r="Z279" s="3386"/>
      <c r="AA279" s="3391"/>
    </row>
    <row r="280" spans="2:27" ht="18" hidden="1">
      <c r="B280" s="3350"/>
      <c r="C280" s="3407"/>
      <c r="D280" s="3350"/>
      <c r="E280" s="3404">
        <v>1093000052</v>
      </c>
      <c r="F280" s="3406"/>
      <c r="G280" s="3387"/>
      <c r="H280" s="3383">
        <f t="shared" si="88"/>
        <v>0</v>
      </c>
      <c r="I280" s="3386"/>
      <c r="J280" s="3387"/>
      <c r="K280" s="3383">
        <f t="shared" si="89"/>
        <v>0</v>
      </c>
      <c r="L280" s="3395">
        <f t="shared" si="98"/>
        <v>0</v>
      </c>
      <c r="M280" s="3396">
        <f t="shared" si="98"/>
        <v>0</v>
      </c>
      <c r="N280" s="3396">
        <f t="shared" si="98"/>
        <v>0</v>
      </c>
      <c r="O280" s="3395">
        <f t="shared" si="98"/>
        <v>0</v>
      </c>
      <c r="P280" s="3396">
        <f t="shared" si="98"/>
        <v>0</v>
      </c>
      <c r="Q280" s="3396">
        <f t="shared" si="98"/>
        <v>0</v>
      </c>
      <c r="R280" s="3395">
        <f t="shared" si="97"/>
        <v>0</v>
      </c>
      <c r="S280" s="3396">
        <f t="shared" si="97"/>
        <v>0</v>
      </c>
      <c r="T280" s="3396">
        <f t="shared" si="97"/>
        <v>0</v>
      </c>
      <c r="U280" s="3395">
        <f t="shared" si="96"/>
        <v>0</v>
      </c>
      <c r="V280" s="3396">
        <f t="shared" si="96"/>
        <v>0</v>
      </c>
      <c r="W280" s="3396">
        <f t="shared" si="96"/>
        <v>0</v>
      </c>
      <c r="X280" s="3386"/>
      <c r="Y280" s="3386"/>
      <c r="Z280" s="3386"/>
      <c r="AA280" s="3391"/>
    </row>
    <row r="281" spans="2:27" ht="18" hidden="1">
      <c r="B281" s="3350"/>
      <c r="C281" s="3407"/>
      <c r="D281" s="3350"/>
      <c r="E281" s="3404">
        <v>1093000053</v>
      </c>
      <c r="F281" s="3406"/>
      <c r="G281" s="3387"/>
      <c r="H281" s="3383">
        <f t="shared" si="88"/>
        <v>0</v>
      </c>
      <c r="I281" s="3386"/>
      <c r="J281" s="3387"/>
      <c r="K281" s="3383">
        <f t="shared" si="89"/>
        <v>0</v>
      </c>
      <c r="L281" s="3395">
        <f t="shared" si="98"/>
        <v>0</v>
      </c>
      <c r="M281" s="3396">
        <f t="shared" si="98"/>
        <v>0</v>
      </c>
      <c r="N281" s="3396">
        <f t="shared" si="98"/>
        <v>0</v>
      </c>
      <c r="O281" s="3395">
        <f t="shared" si="98"/>
        <v>0</v>
      </c>
      <c r="P281" s="3396">
        <f t="shared" si="98"/>
        <v>0</v>
      </c>
      <c r="Q281" s="3396">
        <f t="shared" si="98"/>
        <v>0</v>
      </c>
      <c r="R281" s="3395">
        <f t="shared" si="97"/>
        <v>0</v>
      </c>
      <c r="S281" s="3396">
        <f t="shared" si="97"/>
        <v>0</v>
      </c>
      <c r="T281" s="3396">
        <f t="shared" si="97"/>
        <v>0</v>
      </c>
      <c r="U281" s="3395">
        <f t="shared" si="96"/>
        <v>0</v>
      </c>
      <c r="V281" s="3396">
        <f t="shared" si="96"/>
        <v>0</v>
      </c>
      <c r="W281" s="3396">
        <f t="shared" si="96"/>
        <v>0</v>
      </c>
      <c r="X281" s="3386"/>
      <c r="Y281" s="3386"/>
      <c r="Z281" s="3386"/>
      <c r="AA281" s="3391"/>
    </row>
    <row r="282" spans="2:27" ht="18" hidden="1">
      <c r="B282" s="3350"/>
      <c r="C282" s="3407"/>
      <c r="D282" s="3350"/>
      <c r="E282" s="3404">
        <v>1093000054</v>
      </c>
      <c r="F282" s="3406"/>
      <c r="G282" s="3387"/>
      <c r="H282" s="3383">
        <f t="shared" si="88"/>
        <v>0</v>
      </c>
      <c r="I282" s="3386"/>
      <c r="J282" s="3387"/>
      <c r="K282" s="3383">
        <f t="shared" si="89"/>
        <v>0</v>
      </c>
      <c r="L282" s="3395">
        <f t="shared" si="98"/>
        <v>0</v>
      </c>
      <c r="M282" s="3396">
        <f t="shared" si="98"/>
        <v>0</v>
      </c>
      <c r="N282" s="3396">
        <f t="shared" si="98"/>
        <v>0</v>
      </c>
      <c r="O282" s="3395">
        <f t="shared" si="98"/>
        <v>0</v>
      </c>
      <c r="P282" s="3396">
        <f t="shared" si="98"/>
        <v>0</v>
      </c>
      <c r="Q282" s="3396">
        <f t="shared" si="98"/>
        <v>0</v>
      </c>
      <c r="R282" s="3395">
        <f t="shared" si="97"/>
        <v>0</v>
      </c>
      <c r="S282" s="3396">
        <f t="shared" si="97"/>
        <v>0</v>
      </c>
      <c r="T282" s="3396">
        <f t="shared" si="97"/>
        <v>0</v>
      </c>
      <c r="U282" s="3395">
        <f t="shared" si="96"/>
        <v>0</v>
      </c>
      <c r="V282" s="3396">
        <f t="shared" si="96"/>
        <v>0</v>
      </c>
      <c r="W282" s="3396">
        <f t="shared" si="96"/>
        <v>0</v>
      </c>
      <c r="X282" s="3386"/>
      <c r="Y282" s="3386"/>
      <c r="Z282" s="3386"/>
      <c r="AA282" s="3391"/>
    </row>
    <row r="283" spans="2:27" ht="18" hidden="1">
      <c r="B283" s="3350"/>
      <c r="C283" s="3407"/>
      <c r="D283" s="3350"/>
      <c r="E283" s="3404">
        <v>1093000055</v>
      </c>
      <c r="F283" s="3406"/>
      <c r="G283" s="3387"/>
      <c r="H283" s="3383">
        <f t="shared" si="88"/>
        <v>0</v>
      </c>
      <c r="I283" s="3386"/>
      <c r="J283" s="3387"/>
      <c r="K283" s="3383">
        <f t="shared" si="89"/>
        <v>0</v>
      </c>
      <c r="L283" s="3395">
        <f t="shared" si="98"/>
        <v>0</v>
      </c>
      <c r="M283" s="3396">
        <f t="shared" si="98"/>
        <v>0</v>
      </c>
      <c r="N283" s="3396">
        <f t="shared" si="98"/>
        <v>0</v>
      </c>
      <c r="O283" s="3395">
        <f t="shared" si="98"/>
        <v>0</v>
      </c>
      <c r="P283" s="3396">
        <f t="shared" si="98"/>
        <v>0</v>
      </c>
      <c r="Q283" s="3396">
        <f t="shared" si="98"/>
        <v>0</v>
      </c>
      <c r="R283" s="3395">
        <f t="shared" si="97"/>
        <v>0</v>
      </c>
      <c r="S283" s="3396">
        <f t="shared" si="97"/>
        <v>0</v>
      </c>
      <c r="T283" s="3396">
        <f t="shared" si="97"/>
        <v>0</v>
      </c>
      <c r="U283" s="3395">
        <f t="shared" si="96"/>
        <v>0</v>
      </c>
      <c r="V283" s="3396">
        <f t="shared" si="96"/>
        <v>0</v>
      </c>
      <c r="W283" s="3396">
        <f t="shared" si="96"/>
        <v>0</v>
      </c>
      <c r="X283" s="3386"/>
      <c r="Y283" s="3386"/>
      <c r="Z283" s="3386"/>
      <c r="AA283" s="3391"/>
    </row>
    <row r="284" spans="2:27" ht="18" hidden="1">
      <c r="B284" s="3350"/>
      <c r="C284" s="3407"/>
      <c r="D284" s="3350"/>
      <c r="E284" s="3404">
        <v>1093000056</v>
      </c>
      <c r="F284" s="3406"/>
      <c r="G284" s="3387"/>
      <c r="H284" s="3383">
        <f t="shared" si="88"/>
        <v>0</v>
      </c>
      <c r="I284" s="3386"/>
      <c r="J284" s="3387"/>
      <c r="K284" s="3383">
        <f t="shared" si="89"/>
        <v>0</v>
      </c>
      <c r="L284" s="3395">
        <f t="shared" si="98"/>
        <v>0</v>
      </c>
      <c r="M284" s="3396">
        <f t="shared" si="98"/>
        <v>0</v>
      </c>
      <c r="N284" s="3396">
        <f t="shared" si="98"/>
        <v>0</v>
      </c>
      <c r="O284" s="3395">
        <f t="shared" si="98"/>
        <v>0</v>
      </c>
      <c r="P284" s="3396">
        <f t="shared" si="98"/>
        <v>0</v>
      </c>
      <c r="Q284" s="3396">
        <f t="shared" si="98"/>
        <v>0</v>
      </c>
      <c r="R284" s="3395">
        <f t="shared" si="97"/>
        <v>0</v>
      </c>
      <c r="S284" s="3396">
        <f t="shared" si="97"/>
        <v>0</v>
      </c>
      <c r="T284" s="3396">
        <f t="shared" si="97"/>
        <v>0</v>
      </c>
      <c r="U284" s="3395">
        <f t="shared" si="96"/>
        <v>0</v>
      </c>
      <c r="V284" s="3396">
        <f t="shared" si="96"/>
        <v>0</v>
      </c>
      <c r="W284" s="3396">
        <f t="shared" si="96"/>
        <v>0</v>
      </c>
      <c r="X284" s="3386"/>
      <c r="Y284" s="3386"/>
      <c r="Z284" s="3386"/>
      <c r="AA284" s="3391"/>
    </row>
    <row r="285" spans="2:27" ht="18" hidden="1">
      <c r="B285" s="3350"/>
      <c r="C285" s="3407"/>
      <c r="D285" s="3350"/>
      <c r="E285" s="3404">
        <v>1093000057</v>
      </c>
      <c r="F285" s="3406"/>
      <c r="G285" s="3387"/>
      <c r="H285" s="3383">
        <f t="shared" si="88"/>
        <v>0</v>
      </c>
      <c r="I285" s="3386"/>
      <c r="J285" s="3387"/>
      <c r="K285" s="3383">
        <f t="shared" si="89"/>
        <v>0</v>
      </c>
      <c r="L285" s="3395">
        <f t="shared" si="98"/>
        <v>0</v>
      </c>
      <c r="M285" s="3396">
        <f t="shared" si="98"/>
        <v>0</v>
      </c>
      <c r="N285" s="3396">
        <f t="shared" si="98"/>
        <v>0</v>
      </c>
      <c r="O285" s="3395">
        <f t="shared" si="98"/>
        <v>0</v>
      </c>
      <c r="P285" s="3396">
        <f t="shared" si="98"/>
        <v>0</v>
      </c>
      <c r="Q285" s="3396">
        <f t="shared" si="98"/>
        <v>0</v>
      </c>
      <c r="R285" s="3395">
        <f t="shared" si="97"/>
        <v>0</v>
      </c>
      <c r="S285" s="3396">
        <f t="shared" si="97"/>
        <v>0</v>
      </c>
      <c r="T285" s="3396">
        <f t="shared" si="97"/>
        <v>0</v>
      </c>
      <c r="U285" s="3395">
        <f t="shared" si="96"/>
        <v>0</v>
      </c>
      <c r="V285" s="3396">
        <f t="shared" si="96"/>
        <v>0</v>
      </c>
      <c r="W285" s="3396">
        <f t="shared" si="96"/>
        <v>0</v>
      </c>
      <c r="X285" s="3386"/>
      <c r="Y285" s="3386"/>
      <c r="Z285" s="3386"/>
      <c r="AA285" s="3391"/>
    </row>
    <row r="286" spans="2:27" ht="18" hidden="1">
      <c r="B286" s="3350"/>
      <c r="C286" s="3407"/>
      <c r="D286" s="3350"/>
      <c r="E286" s="3404">
        <v>1093000058</v>
      </c>
      <c r="F286" s="3406"/>
      <c r="G286" s="3387"/>
      <c r="H286" s="3383">
        <f t="shared" si="88"/>
        <v>0</v>
      </c>
      <c r="I286" s="3386"/>
      <c r="J286" s="3387"/>
      <c r="K286" s="3383">
        <f t="shared" si="89"/>
        <v>0</v>
      </c>
      <c r="L286" s="3395">
        <f t="shared" si="98"/>
        <v>0</v>
      </c>
      <c r="M286" s="3396">
        <f t="shared" si="98"/>
        <v>0</v>
      </c>
      <c r="N286" s="3396">
        <f t="shared" si="98"/>
        <v>0</v>
      </c>
      <c r="O286" s="3395">
        <f t="shared" si="98"/>
        <v>0</v>
      </c>
      <c r="P286" s="3396">
        <f t="shared" si="98"/>
        <v>0</v>
      </c>
      <c r="Q286" s="3396">
        <f t="shared" si="98"/>
        <v>0</v>
      </c>
      <c r="R286" s="3395">
        <f t="shared" si="97"/>
        <v>0</v>
      </c>
      <c r="S286" s="3396">
        <f t="shared" si="97"/>
        <v>0</v>
      </c>
      <c r="T286" s="3396">
        <f t="shared" si="97"/>
        <v>0</v>
      </c>
      <c r="U286" s="3395">
        <f t="shared" si="96"/>
        <v>0</v>
      </c>
      <c r="V286" s="3396">
        <f t="shared" si="96"/>
        <v>0</v>
      </c>
      <c r="W286" s="3396">
        <f t="shared" si="96"/>
        <v>0</v>
      </c>
      <c r="X286" s="3386"/>
      <c r="Y286" s="3386"/>
      <c r="Z286" s="3386"/>
      <c r="AA286" s="3391"/>
    </row>
    <row r="287" spans="2:27" ht="18" hidden="1">
      <c r="B287" s="3350"/>
      <c r="C287" s="3407"/>
      <c r="D287" s="3350"/>
      <c r="E287" s="3404">
        <v>1093000059</v>
      </c>
      <c r="F287" s="3406"/>
      <c r="G287" s="3387"/>
      <c r="H287" s="3383">
        <f t="shared" si="88"/>
        <v>0</v>
      </c>
      <c r="I287" s="3386"/>
      <c r="J287" s="3387"/>
      <c r="K287" s="3383">
        <f t="shared" si="89"/>
        <v>0</v>
      </c>
      <c r="L287" s="3395">
        <f t="shared" si="98"/>
        <v>0</v>
      </c>
      <c r="M287" s="3396">
        <f t="shared" si="98"/>
        <v>0</v>
      </c>
      <c r="N287" s="3396">
        <f t="shared" si="98"/>
        <v>0</v>
      </c>
      <c r="O287" s="3395">
        <f t="shared" si="98"/>
        <v>0</v>
      </c>
      <c r="P287" s="3396">
        <f t="shared" si="98"/>
        <v>0</v>
      </c>
      <c r="Q287" s="3396">
        <f t="shared" si="98"/>
        <v>0</v>
      </c>
      <c r="R287" s="3395">
        <f t="shared" si="97"/>
        <v>0</v>
      </c>
      <c r="S287" s="3396">
        <f t="shared" si="97"/>
        <v>0</v>
      </c>
      <c r="T287" s="3396">
        <f t="shared" si="97"/>
        <v>0</v>
      </c>
      <c r="U287" s="3395">
        <f t="shared" si="96"/>
        <v>0</v>
      </c>
      <c r="V287" s="3396">
        <f t="shared" si="96"/>
        <v>0</v>
      </c>
      <c r="W287" s="3396">
        <f t="shared" si="96"/>
        <v>0</v>
      </c>
      <c r="X287" s="3386"/>
      <c r="Y287" s="3386"/>
      <c r="Z287" s="3386"/>
      <c r="AA287" s="3391"/>
    </row>
    <row r="288" spans="2:27" ht="18" hidden="1">
      <c r="B288" s="3350"/>
      <c r="C288" s="3407"/>
      <c r="D288" s="3350"/>
      <c r="E288" s="3404">
        <v>1093000060</v>
      </c>
      <c r="F288" s="3406"/>
      <c r="G288" s="3387"/>
      <c r="H288" s="3383">
        <f t="shared" si="88"/>
        <v>0</v>
      </c>
      <c r="I288" s="3386"/>
      <c r="J288" s="3387"/>
      <c r="K288" s="3383">
        <f t="shared" si="89"/>
        <v>0</v>
      </c>
      <c r="L288" s="3395">
        <f t="shared" si="98"/>
        <v>0</v>
      </c>
      <c r="M288" s="3396">
        <f t="shared" si="98"/>
        <v>0</v>
      </c>
      <c r="N288" s="3396">
        <f t="shared" si="98"/>
        <v>0</v>
      </c>
      <c r="O288" s="3395">
        <f t="shared" si="98"/>
        <v>0</v>
      </c>
      <c r="P288" s="3396">
        <f t="shared" si="98"/>
        <v>0</v>
      </c>
      <c r="Q288" s="3396">
        <f t="shared" si="98"/>
        <v>0</v>
      </c>
      <c r="R288" s="3395">
        <f t="shared" si="97"/>
        <v>0</v>
      </c>
      <c r="S288" s="3396">
        <f t="shared" si="97"/>
        <v>0</v>
      </c>
      <c r="T288" s="3396">
        <f t="shared" si="97"/>
        <v>0</v>
      </c>
      <c r="U288" s="3395">
        <f t="shared" si="96"/>
        <v>0</v>
      </c>
      <c r="V288" s="3396">
        <f t="shared" si="96"/>
        <v>0</v>
      </c>
      <c r="W288" s="3396">
        <f t="shared" si="96"/>
        <v>0</v>
      </c>
      <c r="X288" s="3386"/>
      <c r="Y288" s="3386"/>
      <c r="Z288" s="3386"/>
      <c r="AA288" s="3391"/>
    </row>
    <row r="289" spans="2:27" ht="18" hidden="1">
      <c r="B289" s="3350"/>
      <c r="C289" s="3407"/>
      <c r="D289" s="3350"/>
      <c r="E289" s="3404">
        <v>1093000061</v>
      </c>
      <c r="F289" s="3406"/>
      <c r="G289" s="3387"/>
      <c r="H289" s="3383">
        <f t="shared" si="88"/>
        <v>0</v>
      </c>
      <c r="I289" s="3386"/>
      <c r="J289" s="3387"/>
      <c r="K289" s="3383">
        <f t="shared" si="89"/>
        <v>0</v>
      </c>
      <c r="L289" s="3395">
        <f t="shared" si="98"/>
        <v>0</v>
      </c>
      <c r="M289" s="3396">
        <f t="shared" si="98"/>
        <v>0</v>
      </c>
      <c r="N289" s="3396">
        <f t="shared" si="98"/>
        <v>0</v>
      </c>
      <c r="O289" s="3395">
        <f t="shared" si="98"/>
        <v>0</v>
      </c>
      <c r="P289" s="3396">
        <f t="shared" si="98"/>
        <v>0</v>
      </c>
      <c r="Q289" s="3396">
        <f t="shared" si="98"/>
        <v>0</v>
      </c>
      <c r="R289" s="3395">
        <f t="shared" si="97"/>
        <v>0</v>
      </c>
      <c r="S289" s="3396">
        <f t="shared" si="97"/>
        <v>0</v>
      </c>
      <c r="T289" s="3396">
        <f t="shared" si="97"/>
        <v>0</v>
      </c>
      <c r="U289" s="3395">
        <f t="shared" si="96"/>
        <v>0</v>
      </c>
      <c r="V289" s="3396">
        <f t="shared" si="96"/>
        <v>0</v>
      </c>
      <c r="W289" s="3396">
        <f t="shared" si="96"/>
        <v>0</v>
      </c>
      <c r="X289" s="3386"/>
      <c r="Y289" s="3386"/>
      <c r="Z289" s="3386"/>
      <c r="AA289" s="3391"/>
    </row>
    <row r="290" spans="2:27" ht="18" hidden="1">
      <c r="B290" s="3350"/>
      <c r="C290" s="3407"/>
      <c r="D290" s="3350"/>
      <c r="E290" s="3404">
        <v>1093000062</v>
      </c>
      <c r="F290" s="3406"/>
      <c r="G290" s="3387"/>
      <c r="H290" s="3383">
        <f t="shared" si="88"/>
        <v>0</v>
      </c>
      <c r="I290" s="3386"/>
      <c r="J290" s="3387"/>
      <c r="K290" s="3383">
        <f t="shared" si="89"/>
        <v>0</v>
      </c>
      <c r="L290" s="3395">
        <f t="shared" si="98"/>
        <v>0</v>
      </c>
      <c r="M290" s="3396">
        <f t="shared" si="98"/>
        <v>0</v>
      </c>
      <c r="N290" s="3396">
        <f t="shared" si="98"/>
        <v>0</v>
      </c>
      <c r="O290" s="3395">
        <f t="shared" si="98"/>
        <v>0</v>
      </c>
      <c r="P290" s="3396">
        <f t="shared" si="98"/>
        <v>0</v>
      </c>
      <c r="Q290" s="3396">
        <f t="shared" si="98"/>
        <v>0</v>
      </c>
      <c r="R290" s="3395">
        <f t="shared" si="97"/>
        <v>0</v>
      </c>
      <c r="S290" s="3396">
        <f t="shared" si="97"/>
        <v>0</v>
      </c>
      <c r="T290" s="3396">
        <f t="shared" si="97"/>
        <v>0</v>
      </c>
      <c r="U290" s="3395">
        <f t="shared" si="96"/>
        <v>0</v>
      </c>
      <c r="V290" s="3396">
        <f t="shared" si="96"/>
        <v>0</v>
      </c>
      <c r="W290" s="3396">
        <f t="shared" si="96"/>
        <v>0</v>
      </c>
      <c r="X290" s="3386"/>
      <c r="Y290" s="3386"/>
      <c r="Z290" s="3386"/>
      <c r="AA290" s="3391"/>
    </row>
    <row r="291" spans="2:27" ht="18" hidden="1">
      <c r="B291" s="3350"/>
      <c r="C291" s="3407"/>
      <c r="D291" s="3350"/>
      <c r="E291" s="3404">
        <v>1093000063</v>
      </c>
      <c r="F291" s="3406"/>
      <c r="G291" s="3387"/>
      <c r="H291" s="3383">
        <f t="shared" si="88"/>
        <v>0</v>
      </c>
      <c r="I291" s="3386"/>
      <c r="J291" s="3387"/>
      <c r="K291" s="3383">
        <f t="shared" si="89"/>
        <v>0</v>
      </c>
      <c r="L291" s="3395">
        <f t="shared" si="98"/>
        <v>0</v>
      </c>
      <c r="M291" s="3396">
        <f t="shared" si="98"/>
        <v>0</v>
      </c>
      <c r="N291" s="3396">
        <f t="shared" si="98"/>
        <v>0</v>
      </c>
      <c r="O291" s="3395">
        <f t="shared" si="98"/>
        <v>0</v>
      </c>
      <c r="P291" s="3396">
        <f t="shared" si="98"/>
        <v>0</v>
      </c>
      <c r="Q291" s="3396">
        <f t="shared" si="98"/>
        <v>0</v>
      </c>
      <c r="R291" s="3395">
        <f t="shared" si="97"/>
        <v>0</v>
      </c>
      <c r="S291" s="3396">
        <f t="shared" si="97"/>
        <v>0</v>
      </c>
      <c r="T291" s="3396">
        <f t="shared" si="97"/>
        <v>0</v>
      </c>
      <c r="U291" s="3395">
        <f t="shared" si="96"/>
        <v>0</v>
      </c>
      <c r="V291" s="3396">
        <f t="shared" si="96"/>
        <v>0</v>
      </c>
      <c r="W291" s="3396">
        <f t="shared" si="96"/>
        <v>0</v>
      </c>
      <c r="X291" s="3386"/>
      <c r="Y291" s="3386"/>
      <c r="Z291" s="3386"/>
      <c r="AA291" s="3391"/>
    </row>
    <row r="292" spans="2:27" ht="18" hidden="1">
      <c r="B292" s="3350"/>
      <c r="C292" s="3407"/>
      <c r="D292" s="3350"/>
      <c r="E292" s="3404">
        <v>1093000064</v>
      </c>
      <c r="F292" s="3406"/>
      <c r="G292" s="3387"/>
      <c r="H292" s="3383">
        <f t="shared" si="88"/>
        <v>0</v>
      </c>
      <c r="I292" s="3386"/>
      <c r="J292" s="3387"/>
      <c r="K292" s="3383">
        <f t="shared" si="89"/>
        <v>0</v>
      </c>
      <c r="L292" s="3395">
        <f t="shared" si="98"/>
        <v>0</v>
      </c>
      <c r="M292" s="3396">
        <f t="shared" si="98"/>
        <v>0</v>
      </c>
      <c r="N292" s="3396">
        <f t="shared" si="98"/>
        <v>0</v>
      </c>
      <c r="O292" s="3395">
        <f t="shared" si="98"/>
        <v>0</v>
      </c>
      <c r="P292" s="3396">
        <f t="shared" si="98"/>
        <v>0</v>
      </c>
      <c r="Q292" s="3396">
        <f t="shared" si="98"/>
        <v>0</v>
      </c>
      <c r="R292" s="3395">
        <f t="shared" si="97"/>
        <v>0</v>
      </c>
      <c r="S292" s="3396">
        <f t="shared" si="97"/>
        <v>0</v>
      </c>
      <c r="T292" s="3396">
        <f t="shared" si="97"/>
        <v>0</v>
      </c>
      <c r="U292" s="3395">
        <f t="shared" si="96"/>
        <v>0</v>
      </c>
      <c r="V292" s="3396">
        <f t="shared" si="96"/>
        <v>0</v>
      </c>
      <c r="W292" s="3396">
        <f t="shared" si="96"/>
        <v>0</v>
      </c>
      <c r="X292" s="3386"/>
      <c r="Y292" s="3386"/>
      <c r="Z292" s="3386"/>
      <c r="AA292" s="3391"/>
    </row>
    <row r="293" spans="2:27" ht="18" hidden="1">
      <c r="B293" s="3350"/>
      <c r="C293" s="3407"/>
      <c r="D293" s="3350"/>
      <c r="E293" s="3404">
        <v>1093000065</v>
      </c>
      <c r="F293" s="3406"/>
      <c r="G293" s="3387"/>
      <c r="H293" s="3383">
        <f t="shared" si="88"/>
        <v>0</v>
      </c>
      <c r="I293" s="3386"/>
      <c r="J293" s="3387"/>
      <c r="K293" s="3383">
        <f t="shared" si="89"/>
        <v>0</v>
      </c>
      <c r="L293" s="3395">
        <f t="shared" si="98"/>
        <v>0</v>
      </c>
      <c r="M293" s="3396">
        <f t="shared" si="98"/>
        <v>0</v>
      </c>
      <c r="N293" s="3396">
        <f t="shared" si="98"/>
        <v>0</v>
      </c>
      <c r="O293" s="3395">
        <f t="shared" si="98"/>
        <v>0</v>
      </c>
      <c r="P293" s="3396">
        <f t="shared" si="98"/>
        <v>0</v>
      </c>
      <c r="Q293" s="3396">
        <f t="shared" si="98"/>
        <v>0</v>
      </c>
      <c r="R293" s="3395">
        <f t="shared" si="97"/>
        <v>0</v>
      </c>
      <c r="S293" s="3396">
        <f t="shared" si="97"/>
        <v>0</v>
      </c>
      <c r="T293" s="3396">
        <f t="shared" si="97"/>
        <v>0</v>
      </c>
      <c r="U293" s="3395">
        <f t="shared" si="96"/>
        <v>0</v>
      </c>
      <c r="V293" s="3396">
        <f t="shared" si="96"/>
        <v>0</v>
      </c>
      <c r="W293" s="3396">
        <f t="shared" si="96"/>
        <v>0</v>
      </c>
      <c r="X293" s="3386"/>
      <c r="Y293" s="3386"/>
      <c r="Z293" s="3386"/>
      <c r="AA293" s="3391"/>
    </row>
    <row r="294" spans="2:27" ht="18" hidden="1">
      <c r="B294" s="3350"/>
      <c r="C294" s="3407"/>
      <c r="D294" s="3350"/>
      <c r="E294" s="3404">
        <v>1093000066</v>
      </c>
      <c r="F294" s="3406"/>
      <c r="G294" s="3387"/>
      <c r="H294" s="3383">
        <f t="shared" si="88"/>
        <v>0</v>
      </c>
      <c r="I294" s="3386"/>
      <c r="J294" s="3387"/>
      <c r="K294" s="3383">
        <f t="shared" si="89"/>
        <v>0</v>
      </c>
      <c r="L294" s="3395">
        <f t="shared" si="98"/>
        <v>0</v>
      </c>
      <c r="M294" s="3396">
        <f t="shared" si="98"/>
        <v>0</v>
      </c>
      <c r="N294" s="3396">
        <f t="shared" si="98"/>
        <v>0</v>
      </c>
      <c r="O294" s="3395">
        <f t="shared" si="98"/>
        <v>0</v>
      </c>
      <c r="P294" s="3396">
        <f t="shared" si="98"/>
        <v>0</v>
      </c>
      <c r="Q294" s="3396">
        <f t="shared" si="98"/>
        <v>0</v>
      </c>
      <c r="R294" s="3395">
        <f t="shared" si="97"/>
        <v>0</v>
      </c>
      <c r="S294" s="3396">
        <f t="shared" si="97"/>
        <v>0</v>
      </c>
      <c r="T294" s="3396">
        <f t="shared" si="97"/>
        <v>0</v>
      </c>
      <c r="U294" s="3395">
        <f t="shared" si="96"/>
        <v>0</v>
      </c>
      <c r="V294" s="3396">
        <f t="shared" si="96"/>
        <v>0</v>
      </c>
      <c r="W294" s="3396">
        <f t="shared" si="96"/>
        <v>0</v>
      </c>
      <c r="X294" s="3386"/>
      <c r="Y294" s="3386"/>
      <c r="Z294" s="3386"/>
      <c r="AA294" s="3391"/>
    </row>
    <row r="295" spans="2:27" ht="18" hidden="1">
      <c r="B295" s="3350"/>
      <c r="C295" s="3407"/>
      <c r="D295" s="3350"/>
      <c r="E295" s="3404">
        <v>1093000067</v>
      </c>
      <c r="F295" s="3406"/>
      <c r="G295" s="3387"/>
      <c r="H295" s="3383">
        <f t="shared" si="88"/>
        <v>0</v>
      </c>
      <c r="I295" s="3386"/>
      <c r="J295" s="3387"/>
      <c r="K295" s="3383">
        <f t="shared" si="89"/>
        <v>0</v>
      </c>
      <c r="L295" s="3395">
        <f t="shared" si="98"/>
        <v>0</v>
      </c>
      <c r="M295" s="3396">
        <f t="shared" si="98"/>
        <v>0</v>
      </c>
      <c r="N295" s="3396">
        <f t="shared" si="98"/>
        <v>0</v>
      </c>
      <c r="O295" s="3395">
        <f t="shared" si="98"/>
        <v>0</v>
      </c>
      <c r="P295" s="3396">
        <f t="shared" si="98"/>
        <v>0</v>
      </c>
      <c r="Q295" s="3396">
        <f t="shared" si="98"/>
        <v>0</v>
      </c>
      <c r="R295" s="3395">
        <f t="shared" si="97"/>
        <v>0</v>
      </c>
      <c r="S295" s="3396">
        <f t="shared" si="97"/>
        <v>0</v>
      </c>
      <c r="T295" s="3396">
        <f t="shared" si="97"/>
        <v>0</v>
      </c>
      <c r="U295" s="3395">
        <f t="shared" si="96"/>
        <v>0</v>
      </c>
      <c r="V295" s="3396">
        <f t="shared" si="96"/>
        <v>0</v>
      </c>
      <c r="W295" s="3396">
        <f t="shared" si="96"/>
        <v>0</v>
      </c>
      <c r="X295" s="3386"/>
      <c r="Y295" s="3386"/>
      <c r="Z295" s="3386"/>
      <c r="AA295" s="3391"/>
    </row>
    <row r="296" spans="2:27" ht="18" hidden="1">
      <c r="B296" s="3350"/>
      <c r="C296" s="3407"/>
      <c r="D296" s="3350"/>
      <c r="E296" s="3404">
        <v>1093000068</v>
      </c>
      <c r="F296" s="3406"/>
      <c r="G296" s="3387"/>
      <c r="H296" s="3383">
        <f t="shared" si="88"/>
        <v>0</v>
      </c>
      <c r="I296" s="3386"/>
      <c r="J296" s="3387"/>
      <c r="K296" s="3383">
        <f t="shared" si="89"/>
        <v>0</v>
      </c>
      <c r="L296" s="3395">
        <f t="shared" si="98"/>
        <v>0</v>
      </c>
      <c r="M296" s="3396">
        <f t="shared" si="98"/>
        <v>0</v>
      </c>
      <c r="N296" s="3396">
        <f t="shared" si="98"/>
        <v>0</v>
      </c>
      <c r="O296" s="3395">
        <f t="shared" si="98"/>
        <v>0</v>
      </c>
      <c r="P296" s="3396">
        <f t="shared" si="98"/>
        <v>0</v>
      </c>
      <c r="Q296" s="3396">
        <f t="shared" si="98"/>
        <v>0</v>
      </c>
      <c r="R296" s="3395">
        <f t="shared" si="97"/>
        <v>0</v>
      </c>
      <c r="S296" s="3396">
        <f t="shared" si="97"/>
        <v>0</v>
      </c>
      <c r="T296" s="3396">
        <f t="shared" si="97"/>
        <v>0</v>
      </c>
      <c r="U296" s="3395">
        <f t="shared" si="96"/>
        <v>0</v>
      </c>
      <c r="V296" s="3396">
        <f t="shared" si="96"/>
        <v>0</v>
      </c>
      <c r="W296" s="3396">
        <f t="shared" si="96"/>
        <v>0</v>
      </c>
      <c r="X296" s="3386"/>
      <c r="Y296" s="3386"/>
      <c r="Z296" s="3386"/>
      <c r="AA296" s="3391"/>
    </row>
    <row r="297" spans="2:27" ht="18" hidden="1">
      <c r="B297" s="3350"/>
      <c r="C297" s="3407"/>
      <c r="D297" s="3350"/>
      <c r="E297" s="3404">
        <v>1093000069</v>
      </c>
      <c r="F297" s="3406"/>
      <c r="G297" s="3387"/>
      <c r="H297" s="3383">
        <f t="shared" si="88"/>
        <v>0</v>
      </c>
      <c r="I297" s="3386"/>
      <c r="J297" s="3387"/>
      <c r="K297" s="3383">
        <f t="shared" si="89"/>
        <v>0</v>
      </c>
      <c r="L297" s="3395">
        <f t="shared" si="98"/>
        <v>0</v>
      </c>
      <c r="M297" s="3396">
        <f t="shared" si="98"/>
        <v>0</v>
      </c>
      <c r="N297" s="3396">
        <f t="shared" si="98"/>
        <v>0</v>
      </c>
      <c r="O297" s="3395">
        <f t="shared" si="98"/>
        <v>0</v>
      </c>
      <c r="P297" s="3396">
        <f t="shared" si="98"/>
        <v>0</v>
      </c>
      <c r="Q297" s="3396">
        <f t="shared" si="98"/>
        <v>0</v>
      </c>
      <c r="R297" s="3395">
        <f t="shared" si="97"/>
        <v>0</v>
      </c>
      <c r="S297" s="3396">
        <f t="shared" si="97"/>
        <v>0</v>
      </c>
      <c r="T297" s="3396">
        <f t="shared" si="97"/>
        <v>0</v>
      </c>
      <c r="U297" s="3395">
        <f t="shared" si="96"/>
        <v>0</v>
      </c>
      <c r="V297" s="3396">
        <f t="shared" si="96"/>
        <v>0</v>
      </c>
      <c r="W297" s="3396">
        <f t="shared" si="96"/>
        <v>0</v>
      </c>
      <c r="X297" s="3386"/>
      <c r="Y297" s="3386"/>
      <c r="Z297" s="3386"/>
      <c r="AA297" s="3391"/>
    </row>
    <row r="298" spans="2:27" ht="18" hidden="1">
      <c r="B298" s="3350"/>
      <c r="C298" s="3407"/>
      <c r="D298" s="3350"/>
      <c r="E298" s="3404">
        <v>1093000070</v>
      </c>
      <c r="F298" s="3406"/>
      <c r="G298" s="3387"/>
      <c r="H298" s="3383">
        <f t="shared" si="88"/>
        <v>0</v>
      </c>
      <c r="I298" s="3386"/>
      <c r="J298" s="3387"/>
      <c r="K298" s="3383">
        <f t="shared" si="89"/>
        <v>0</v>
      </c>
      <c r="L298" s="3395">
        <f t="shared" si="98"/>
        <v>0</v>
      </c>
      <c r="M298" s="3396">
        <f t="shared" si="98"/>
        <v>0</v>
      </c>
      <c r="N298" s="3396">
        <f t="shared" si="98"/>
        <v>0</v>
      </c>
      <c r="O298" s="3395">
        <f t="shared" si="98"/>
        <v>0</v>
      </c>
      <c r="P298" s="3396">
        <f t="shared" si="98"/>
        <v>0</v>
      </c>
      <c r="Q298" s="3396">
        <f t="shared" si="98"/>
        <v>0</v>
      </c>
      <c r="R298" s="3395">
        <f t="shared" si="97"/>
        <v>0</v>
      </c>
      <c r="S298" s="3396">
        <f t="shared" si="97"/>
        <v>0</v>
      </c>
      <c r="T298" s="3396">
        <f t="shared" si="97"/>
        <v>0</v>
      </c>
      <c r="U298" s="3395">
        <f t="shared" si="96"/>
        <v>0</v>
      </c>
      <c r="V298" s="3396">
        <f t="shared" si="96"/>
        <v>0</v>
      </c>
      <c r="W298" s="3396">
        <f t="shared" si="96"/>
        <v>0</v>
      </c>
      <c r="X298" s="3386"/>
      <c r="Y298" s="3386"/>
      <c r="Z298" s="3386"/>
      <c r="AA298" s="3391"/>
    </row>
    <row r="299" spans="2:27" ht="18" hidden="1">
      <c r="B299" s="3350"/>
      <c r="C299" s="3407"/>
      <c r="D299" s="3350"/>
      <c r="E299" s="3404">
        <v>1093000071</v>
      </c>
      <c r="F299" s="3406"/>
      <c r="G299" s="3387"/>
      <c r="H299" s="3383">
        <f t="shared" si="88"/>
        <v>0</v>
      </c>
      <c r="I299" s="3386"/>
      <c r="J299" s="3387"/>
      <c r="K299" s="3383">
        <f t="shared" si="89"/>
        <v>0</v>
      </c>
      <c r="L299" s="3395">
        <f t="shared" si="98"/>
        <v>0</v>
      </c>
      <c r="M299" s="3396">
        <f t="shared" si="98"/>
        <v>0</v>
      </c>
      <c r="N299" s="3396">
        <f t="shared" si="98"/>
        <v>0</v>
      </c>
      <c r="O299" s="3395">
        <f t="shared" si="98"/>
        <v>0</v>
      </c>
      <c r="P299" s="3396">
        <f t="shared" si="98"/>
        <v>0</v>
      </c>
      <c r="Q299" s="3396">
        <f t="shared" si="98"/>
        <v>0</v>
      </c>
      <c r="R299" s="3395">
        <f t="shared" si="97"/>
        <v>0</v>
      </c>
      <c r="S299" s="3396">
        <f t="shared" si="97"/>
        <v>0</v>
      </c>
      <c r="T299" s="3396">
        <f t="shared" si="97"/>
        <v>0</v>
      </c>
      <c r="U299" s="3395">
        <f t="shared" si="96"/>
        <v>0</v>
      </c>
      <c r="V299" s="3396">
        <f t="shared" si="96"/>
        <v>0</v>
      </c>
      <c r="W299" s="3396">
        <f t="shared" si="96"/>
        <v>0</v>
      </c>
      <c r="X299" s="3386"/>
      <c r="Y299" s="3386"/>
      <c r="Z299" s="3386"/>
      <c r="AA299" s="3391"/>
    </row>
    <row r="300" spans="2:27" ht="18" hidden="1">
      <c r="B300" s="3350"/>
      <c r="C300" s="3407"/>
      <c r="D300" s="3350"/>
      <c r="E300" s="3404">
        <v>1093000072</v>
      </c>
      <c r="F300" s="3406"/>
      <c r="G300" s="3387"/>
      <c r="H300" s="3383">
        <f t="shared" si="88"/>
        <v>0</v>
      </c>
      <c r="I300" s="3386"/>
      <c r="J300" s="3387"/>
      <c r="K300" s="3383">
        <f t="shared" si="89"/>
        <v>0</v>
      </c>
      <c r="L300" s="3395">
        <f t="shared" si="98"/>
        <v>0</v>
      </c>
      <c r="M300" s="3396">
        <f t="shared" si="98"/>
        <v>0</v>
      </c>
      <c r="N300" s="3396">
        <f t="shared" si="98"/>
        <v>0</v>
      </c>
      <c r="O300" s="3395">
        <f t="shared" si="98"/>
        <v>0</v>
      </c>
      <c r="P300" s="3396">
        <f t="shared" si="98"/>
        <v>0</v>
      </c>
      <c r="Q300" s="3396">
        <f t="shared" si="98"/>
        <v>0</v>
      </c>
      <c r="R300" s="3395">
        <f t="shared" si="97"/>
        <v>0</v>
      </c>
      <c r="S300" s="3396">
        <f t="shared" si="97"/>
        <v>0</v>
      </c>
      <c r="T300" s="3396">
        <f t="shared" si="97"/>
        <v>0</v>
      </c>
      <c r="U300" s="3395">
        <f t="shared" si="96"/>
        <v>0</v>
      </c>
      <c r="V300" s="3396">
        <f t="shared" si="96"/>
        <v>0</v>
      </c>
      <c r="W300" s="3396">
        <f t="shared" si="96"/>
        <v>0</v>
      </c>
      <c r="X300" s="3386"/>
      <c r="Y300" s="3386"/>
      <c r="Z300" s="3386"/>
      <c r="AA300" s="3391"/>
    </row>
    <row r="301" spans="2:27" ht="18" hidden="1">
      <c r="B301" s="3350"/>
      <c r="C301" s="3407"/>
      <c r="D301" s="3350"/>
      <c r="E301" s="3404">
        <v>1093000073</v>
      </c>
      <c r="F301" s="3406"/>
      <c r="G301" s="3387"/>
      <c r="H301" s="3383">
        <f t="shared" si="88"/>
        <v>0</v>
      </c>
      <c r="I301" s="3386"/>
      <c r="J301" s="3387"/>
      <c r="K301" s="3383">
        <f t="shared" si="89"/>
        <v>0</v>
      </c>
      <c r="L301" s="3395">
        <f t="shared" si="98"/>
        <v>0</v>
      </c>
      <c r="M301" s="3396">
        <f t="shared" si="98"/>
        <v>0</v>
      </c>
      <c r="N301" s="3396">
        <f t="shared" si="98"/>
        <v>0</v>
      </c>
      <c r="O301" s="3395">
        <f t="shared" si="98"/>
        <v>0</v>
      </c>
      <c r="P301" s="3396">
        <f t="shared" si="98"/>
        <v>0</v>
      </c>
      <c r="Q301" s="3396">
        <f t="shared" si="98"/>
        <v>0</v>
      </c>
      <c r="R301" s="3395">
        <f t="shared" si="97"/>
        <v>0</v>
      </c>
      <c r="S301" s="3396">
        <f t="shared" si="97"/>
        <v>0</v>
      </c>
      <c r="T301" s="3396">
        <f t="shared" si="97"/>
        <v>0</v>
      </c>
      <c r="U301" s="3395">
        <f t="shared" si="96"/>
        <v>0</v>
      </c>
      <c r="V301" s="3396">
        <f t="shared" si="96"/>
        <v>0</v>
      </c>
      <c r="W301" s="3396">
        <f t="shared" si="96"/>
        <v>0</v>
      </c>
      <c r="X301" s="3386"/>
      <c r="Y301" s="3386"/>
      <c r="Z301" s="3386"/>
      <c r="AA301" s="3391"/>
    </row>
    <row r="302" spans="2:27" ht="18" hidden="1">
      <c r="B302" s="3350"/>
      <c r="C302" s="3407"/>
      <c r="D302" s="3350"/>
      <c r="E302" s="3404">
        <v>1093000074</v>
      </c>
      <c r="F302" s="3406"/>
      <c r="G302" s="3387"/>
      <c r="H302" s="3383">
        <f t="shared" si="88"/>
        <v>0</v>
      </c>
      <c r="I302" s="3386"/>
      <c r="J302" s="3387"/>
      <c r="K302" s="3383">
        <f t="shared" si="89"/>
        <v>0</v>
      </c>
      <c r="L302" s="3395">
        <f t="shared" si="98"/>
        <v>0</v>
      </c>
      <c r="M302" s="3396">
        <f t="shared" si="98"/>
        <v>0</v>
      </c>
      <c r="N302" s="3396">
        <f t="shared" si="98"/>
        <v>0</v>
      </c>
      <c r="O302" s="3395">
        <f t="shared" si="98"/>
        <v>0</v>
      </c>
      <c r="P302" s="3396">
        <f t="shared" si="98"/>
        <v>0</v>
      </c>
      <c r="Q302" s="3396">
        <f t="shared" si="98"/>
        <v>0</v>
      </c>
      <c r="R302" s="3395">
        <f t="shared" si="97"/>
        <v>0</v>
      </c>
      <c r="S302" s="3396">
        <f t="shared" si="97"/>
        <v>0</v>
      </c>
      <c r="T302" s="3396">
        <f t="shared" si="97"/>
        <v>0</v>
      </c>
      <c r="U302" s="3395">
        <f t="shared" si="97"/>
        <v>0</v>
      </c>
      <c r="V302" s="3396">
        <f t="shared" si="97"/>
        <v>0</v>
      </c>
      <c r="W302" s="3396">
        <f t="shared" si="97"/>
        <v>0</v>
      </c>
      <c r="X302" s="3386"/>
      <c r="Y302" s="3386"/>
      <c r="Z302" s="3386"/>
      <c r="AA302" s="3391"/>
    </row>
    <row r="303" spans="2:27" ht="18" hidden="1">
      <c r="B303" s="3350"/>
      <c r="C303" s="3407"/>
      <c r="D303" s="3350"/>
      <c r="E303" s="3404">
        <v>1093000075</v>
      </c>
      <c r="F303" s="3406"/>
      <c r="G303" s="3387"/>
      <c r="H303" s="3383">
        <f t="shared" si="88"/>
        <v>0</v>
      </c>
      <c r="I303" s="3386"/>
      <c r="J303" s="3387"/>
      <c r="K303" s="3383">
        <f t="shared" si="89"/>
        <v>0</v>
      </c>
      <c r="L303" s="3395">
        <f t="shared" si="98"/>
        <v>0</v>
      </c>
      <c r="M303" s="3396">
        <f t="shared" si="98"/>
        <v>0</v>
      </c>
      <c r="N303" s="3396">
        <f t="shared" si="98"/>
        <v>0</v>
      </c>
      <c r="O303" s="3395">
        <f t="shared" si="98"/>
        <v>0</v>
      </c>
      <c r="P303" s="3396">
        <f t="shared" si="98"/>
        <v>0</v>
      </c>
      <c r="Q303" s="3396">
        <f t="shared" si="98"/>
        <v>0</v>
      </c>
      <c r="R303" s="3395">
        <f t="shared" si="97"/>
        <v>0</v>
      </c>
      <c r="S303" s="3396">
        <f t="shared" si="97"/>
        <v>0</v>
      </c>
      <c r="T303" s="3396">
        <f t="shared" si="97"/>
        <v>0</v>
      </c>
      <c r="U303" s="3395">
        <f t="shared" si="97"/>
        <v>0</v>
      </c>
      <c r="V303" s="3396">
        <f t="shared" si="97"/>
        <v>0</v>
      </c>
      <c r="W303" s="3396">
        <f t="shared" si="97"/>
        <v>0</v>
      </c>
      <c r="X303" s="3386"/>
      <c r="Y303" s="3386"/>
      <c r="Z303" s="3386"/>
      <c r="AA303" s="3391"/>
    </row>
    <row r="304" spans="2:27" ht="18" hidden="1">
      <c r="B304" s="3350"/>
      <c r="C304" s="3407"/>
      <c r="D304" s="3350"/>
      <c r="E304" s="3404">
        <v>1093000076</v>
      </c>
      <c r="F304" s="3406"/>
      <c r="G304" s="3387"/>
      <c r="H304" s="3383">
        <f t="shared" si="88"/>
        <v>0</v>
      </c>
      <c r="I304" s="3386"/>
      <c r="J304" s="3387"/>
      <c r="K304" s="3383">
        <f t="shared" si="89"/>
        <v>0</v>
      </c>
      <c r="L304" s="3395">
        <f t="shared" si="98"/>
        <v>0</v>
      </c>
      <c r="M304" s="3396">
        <f t="shared" si="98"/>
        <v>0</v>
      </c>
      <c r="N304" s="3396">
        <f t="shared" si="98"/>
        <v>0</v>
      </c>
      <c r="O304" s="3395">
        <f t="shared" si="98"/>
        <v>0</v>
      </c>
      <c r="P304" s="3396">
        <f t="shared" si="98"/>
        <v>0</v>
      </c>
      <c r="Q304" s="3396">
        <f t="shared" si="98"/>
        <v>0</v>
      </c>
      <c r="R304" s="3395">
        <f t="shared" si="97"/>
        <v>0</v>
      </c>
      <c r="S304" s="3396">
        <f t="shared" si="97"/>
        <v>0</v>
      </c>
      <c r="T304" s="3396">
        <f t="shared" si="97"/>
        <v>0</v>
      </c>
      <c r="U304" s="3395">
        <f t="shared" si="97"/>
        <v>0</v>
      </c>
      <c r="V304" s="3396">
        <f t="shared" si="97"/>
        <v>0</v>
      </c>
      <c r="W304" s="3396">
        <f t="shared" si="97"/>
        <v>0</v>
      </c>
      <c r="X304" s="3386"/>
      <c r="Y304" s="3386"/>
      <c r="Z304" s="3386"/>
      <c r="AA304" s="3391"/>
    </row>
    <row r="305" spans="2:27" ht="18" hidden="1">
      <c r="B305" s="3350"/>
      <c r="C305" s="3407"/>
      <c r="D305" s="3350"/>
      <c r="E305" s="3404">
        <v>1093000077</v>
      </c>
      <c r="F305" s="3406"/>
      <c r="G305" s="3387"/>
      <c r="H305" s="3383">
        <f t="shared" si="88"/>
        <v>0</v>
      </c>
      <c r="I305" s="3386"/>
      <c r="J305" s="3387"/>
      <c r="K305" s="3383">
        <f t="shared" si="89"/>
        <v>0</v>
      </c>
      <c r="L305" s="3395">
        <f t="shared" si="98"/>
        <v>0</v>
      </c>
      <c r="M305" s="3396">
        <f t="shared" si="98"/>
        <v>0</v>
      </c>
      <c r="N305" s="3396">
        <f t="shared" si="98"/>
        <v>0</v>
      </c>
      <c r="O305" s="3395">
        <f t="shared" si="98"/>
        <v>0</v>
      </c>
      <c r="P305" s="3396">
        <f t="shared" si="98"/>
        <v>0</v>
      </c>
      <c r="Q305" s="3396">
        <f t="shared" si="98"/>
        <v>0</v>
      </c>
      <c r="R305" s="3395">
        <f t="shared" si="97"/>
        <v>0</v>
      </c>
      <c r="S305" s="3396">
        <f t="shared" si="97"/>
        <v>0</v>
      </c>
      <c r="T305" s="3396">
        <f t="shared" si="97"/>
        <v>0</v>
      </c>
      <c r="U305" s="3395">
        <f t="shared" si="97"/>
        <v>0</v>
      </c>
      <c r="V305" s="3396">
        <f t="shared" si="97"/>
        <v>0</v>
      </c>
      <c r="W305" s="3396">
        <f t="shared" si="97"/>
        <v>0</v>
      </c>
      <c r="X305" s="3386"/>
      <c r="Y305" s="3386"/>
      <c r="Z305" s="3386"/>
      <c r="AA305" s="3391"/>
    </row>
    <row r="306" spans="2:27" ht="18" hidden="1">
      <c r="B306" s="3350"/>
      <c r="C306" s="3407"/>
      <c r="D306" s="3350"/>
      <c r="E306" s="3404">
        <v>1093000078</v>
      </c>
      <c r="F306" s="3406"/>
      <c r="G306" s="3387"/>
      <c r="H306" s="3383">
        <f t="shared" si="88"/>
        <v>0</v>
      </c>
      <c r="I306" s="3386"/>
      <c r="J306" s="3387"/>
      <c r="K306" s="3383">
        <f t="shared" si="89"/>
        <v>0</v>
      </c>
      <c r="L306" s="3395">
        <f t="shared" si="98"/>
        <v>0</v>
      </c>
      <c r="M306" s="3396">
        <f t="shared" si="98"/>
        <v>0</v>
      </c>
      <c r="N306" s="3396">
        <f t="shared" si="98"/>
        <v>0</v>
      </c>
      <c r="O306" s="3395">
        <f t="shared" si="98"/>
        <v>0</v>
      </c>
      <c r="P306" s="3396">
        <f t="shared" si="98"/>
        <v>0</v>
      </c>
      <c r="Q306" s="3396">
        <f t="shared" si="98"/>
        <v>0</v>
      </c>
      <c r="R306" s="3395">
        <f t="shared" si="97"/>
        <v>0</v>
      </c>
      <c r="S306" s="3396">
        <f t="shared" si="97"/>
        <v>0</v>
      </c>
      <c r="T306" s="3396">
        <f t="shared" si="97"/>
        <v>0</v>
      </c>
      <c r="U306" s="3395">
        <f t="shared" si="97"/>
        <v>0</v>
      </c>
      <c r="V306" s="3396">
        <f t="shared" si="97"/>
        <v>0</v>
      </c>
      <c r="W306" s="3396">
        <f t="shared" si="97"/>
        <v>0</v>
      </c>
      <c r="X306" s="3386"/>
      <c r="Y306" s="3386"/>
      <c r="Z306" s="3386"/>
      <c r="AA306" s="3391"/>
    </row>
    <row r="307" spans="2:27" ht="18" hidden="1">
      <c r="B307" s="3350"/>
      <c r="C307" s="3407"/>
      <c r="D307" s="3350"/>
      <c r="E307" s="3404">
        <v>1093000079</v>
      </c>
      <c r="F307" s="3406"/>
      <c r="G307" s="3387"/>
      <c r="H307" s="3383">
        <f t="shared" si="88"/>
        <v>0</v>
      </c>
      <c r="I307" s="3386"/>
      <c r="J307" s="3387"/>
      <c r="K307" s="3383">
        <f t="shared" si="89"/>
        <v>0</v>
      </c>
      <c r="L307" s="3395">
        <f t="shared" si="98"/>
        <v>0</v>
      </c>
      <c r="M307" s="3396">
        <f t="shared" si="98"/>
        <v>0</v>
      </c>
      <c r="N307" s="3396">
        <f t="shared" si="98"/>
        <v>0</v>
      </c>
      <c r="O307" s="3395">
        <f t="shared" si="98"/>
        <v>0</v>
      </c>
      <c r="P307" s="3396">
        <f t="shared" si="98"/>
        <v>0</v>
      </c>
      <c r="Q307" s="3396">
        <f t="shared" si="98"/>
        <v>0</v>
      </c>
      <c r="R307" s="3395">
        <f t="shared" si="97"/>
        <v>0</v>
      </c>
      <c r="S307" s="3396">
        <f t="shared" si="97"/>
        <v>0</v>
      </c>
      <c r="T307" s="3396">
        <f t="shared" si="97"/>
        <v>0</v>
      </c>
      <c r="U307" s="3395">
        <f t="shared" si="97"/>
        <v>0</v>
      </c>
      <c r="V307" s="3396">
        <f t="shared" si="97"/>
        <v>0</v>
      </c>
      <c r="W307" s="3396">
        <f t="shared" si="97"/>
        <v>0</v>
      </c>
      <c r="X307" s="3386"/>
      <c r="Y307" s="3386"/>
      <c r="Z307" s="3386"/>
      <c r="AA307" s="3391"/>
    </row>
    <row r="308" spans="2:27" ht="18" hidden="1">
      <c r="B308" s="3350"/>
      <c r="C308" s="3407"/>
      <c r="D308" s="3350"/>
      <c r="E308" s="3404">
        <v>1093000080</v>
      </c>
      <c r="F308" s="3406"/>
      <c r="G308" s="3387"/>
      <c r="H308" s="3383">
        <f t="shared" si="88"/>
        <v>0</v>
      </c>
      <c r="I308" s="3386"/>
      <c r="J308" s="3387"/>
      <c r="K308" s="3383">
        <f t="shared" si="89"/>
        <v>0</v>
      </c>
      <c r="L308" s="3395">
        <f t="shared" si="98"/>
        <v>0</v>
      </c>
      <c r="M308" s="3396">
        <f t="shared" si="98"/>
        <v>0</v>
      </c>
      <c r="N308" s="3396">
        <f t="shared" si="98"/>
        <v>0</v>
      </c>
      <c r="O308" s="3395">
        <f t="shared" si="98"/>
        <v>0</v>
      </c>
      <c r="P308" s="3396">
        <f t="shared" si="98"/>
        <v>0</v>
      </c>
      <c r="Q308" s="3396">
        <f t="shared" si="98"/>
        <v>0</v>
      </c>
      <c r="R308" s="3395">
        <f t="shared" si="97"/>
        <v>0</v>
      </c>
      <c r="S308" s="3396">
        <f t="shared" si="97"/>
        <v>0</v>
      </c>
      <c r="T308" s="3396">
        <f t="shared" si="97"/>
        <v>0</v>
      </c>
      <c r="U308" s="3395">
        <f t="shared" si="97"/>
        <v>0</v>
      </c>
      <c r="V308" s="3396">
        <f t="shared" si="97"/>
        <v>0</v>
      </c>
      <c r="W308" s="3396">
        <f t="shared" si="97"/>
        <v>0</v>
      </c>
      <c r="X308" s="3386"/>
      <c r="Y308" s="3386"/>
      <c r="Z308" s="3386"/>
      <c r="AA308" s="3391"/>
    </row>
    <row r="309" spans="2:27" ht="18" hidden="1">
      <c r="B309" s="3350"/>
      <c r="C309" s="3407"/>
      <c r="D309" s="3350"/>
      <c r="E309" s="3404">
        <v>1093000081</v>
      </c>
      <c r="F309" s="3406"/>
      <c r="G309" s="3387"/>
      <c r="H309" s="3383">
        <f t="shared" si="88"/>
        <v>0</v>
      </c>
      <c r="I309" s="3386"/>
      <c r="J309" s="3387"/>
      <c r="K309" s="3383">
        <f t="shared" si="89"/>
        <v>0</v>
      </c>
      <c r="L309" s="3395">
        <f t="shared" si="98"/>
        <v>0</v>
      </c>
      <c r="M309" s="3396">
        <f t="shared" si="98"/>
        <v>0</v>
      </c>
      <c r="N309" s="3396">
        <f t="shared" si="98"/>
        <v>0</v>
      </c>
      <c r="O309" s="3395">
        <f t="shared" si="98"/>
        <v>0</v>
      </c>
      <c r="P309" s="3396">
        <f t="shared" si="98"/>
        <v>0</v>
      </c>
      <c r="Q309" s="3396">
        <f t="shared" si="98"/>
        <v>0</v>
      </c>
      <c r="R309" s="3395">
        <f t="shared" si="97"/>
        <v>0</v>
      </c>
      <c r="S309" s="3396">
        <f t="shared" si="97"/>
        <v>0</v>
      </c>
      <c r="T309" s="3396">
        <f t="shared" si="97"/>
        <v>0</v>
      </c>
      <c r="U309" s="3395">
        <f t="shared" si="97"/>
        <v>0</v>
      </c>
      <c r="V309" s="3396">
        <f t="shared" si="97"/>
        <v>0</v>
      </c>
      <c r="W309" s="3396">
        <f t="shared" si="97"/>
        <v>0</v>
      </c>
      <c r="X309" s="3386"/>
      <c r="Y309" s="3386"/>
      <c r="Z309" s="3386"/>
      <c r="AA309" s="3391"/>
    </row>
    <row r="310" spans="2:27" ht="18" hidden="1">
      <c r="B310" s="3350"/>
      <c r="C310" s="3407"/>
      <c r="D310" s="3350"/>
      <c r="E310" s="3404">
        <v>1093000082</v>
      </c>
      <c r="F310" s="3406"/>
      <c r="G310" s="3387"/>
      <c r="H310" s="3383">
        <f t="shared" si="88"/>
        <v>0</v>
      </c>
      <c r="I310" s="3386"/>
      <c r="J310" s="3387"/>
      <c r="K310" s="3383">
        <f t="shared" si="89"/>
        <v>0</v>
      </c>
      <c r="L310" s="3395">
        <f t="shared" si="98"/>
        <v>0</v>
      </c>
      <c r="M310" s="3396">
        <f t="shared" si="98"/>
        <v>0</v>
      </c>
      <c r="N310" s="3396">
        <f t="shared" si="98"/>
        <v>0</v>
      </c>
      <c r="O310" s="3395">
        <f t="shared" si="98"/>
        <v>0</v>
      </c>
      <c r="P310" s="3396">
        <f t="shared" si="98"/>
        <v>0</v>
      </c>
      <c r="Q310" s="3396">
        <f t="shared" si="98"/>
        <v>0</v>
      </c>
      <c r="R310" s="3395">
        <f t="shared" si="97"/>
        <v>0</v>
      </c>
      <c r="S310" s="3396">
        <f t="shared" si="97"/>
        <v>0</v>
      </c>
      <c r="T310" s="3396">
        <f t="shared" si="97"/>
        <v>0</v>
      </c>
      <c r="U310" s="3395">
        <f t="shared" si="97"/>
        <v>0</v>
      </c>
      <c r="V310" s="3396">
        <f t="shared" si="97"/>
        <v>0</v>
      </c>
      <c r="W310" s="3396">
        <f t="shared" si="97"/>
        <v>0</v>
      </c>
      <c r="X310" s="3386"/>
      <c r="Y310" s="3386"/>
      <c r="Z310" s="3386"/>
      <c r="AA310" s="3391"/>
    </row>
    <row r="311" spans="2:27" ht="18" hidden="1">
      <c r="B311" s="3350"/>
      <c r="C311" s="3407"/>
      <c r="D311" s="3350"/>
      <c r="E311" s="3404">
        <v>1093000083</v>
      </c>
      <c r="F311" s="3406"/>
      <c r="G311" s="3387"/>
      <c r="H311" s="3383">
        <f t="shared" si="88"/>
        <v>0</v>
      </c>
      <c r="I311" s="3386"/>
      <c r="J311" s="3387"/>
      <c r="K311" s="3383">
        <f t="shared" si="89"/>
        <v>0</v>
      </c>
      <c r="L311" s="3395">
        <f t="shared" si="98"/>
        <v>0</v>
      </c>
      <c r="M311" s="3396">
        <f t="shared" si="98"/>
        <v>0</v>
      </c>
      <c r="N311" s="3396">
        <f t="shared" si="98"/>
        <v>0</v>
      </c>
      <c r="O311" s="3395">
        <f t="shared" si="98"/>
        <v>0</v>
      </c>
      <c r="P311" s="3396">
        <f t="shared" si="98"/>
        <v>0</v>
      </c>
      <c r="Q311" s="3396">
        <f t="shared" si="98"/>
        <v>0</v>
      </c>
      <c r="R311" s="3395">
        <f t="shared" si="97"/>
        <v>0</v>
      </c>
      <c r="S311" s="3396">
        <f t="shared" si="97"/>
        <v>0</v>
      </c>
      <c r="T311" s="3396">
        <f t="shared" si="97"/>
        <v>0</v>
      </c>
      <c r="U311" s="3395">
        <f t="shared" si="97"/>
        <v>0</v>
      </c>
      <c r="V311" s="3396">
        <f t="shared" si="97"/>
        <v>0</v>
      </c>
      <c r="W311" s="3396">
        <f t="shared" si="97"/>
        <v>0</v>
      </c>
      <c r="X311" s="3386"/>
      <c r="Y311" s="3386"/>
      <c r="Z311" s="3386"/>
      <c r="AA311" s="3391"/>
    </row>
    <row r="312" spans="2:27" ht="18" hidden="1">
      <c r="B312" s="3350"/>
      <c r="C312" s="3407"/>
      <c r="D312" s="3350"/>
      <c r="E312" s="3404">
        <v>1093000084</v>
      </c>
      <c r="F312" s="3406"/>
      <c r="G312" s="3387"/>
      <c r="H312" s="3383">
        <f t="shared" si="88"/>
        <v>0</v>
      </c>
      <c r="I312" s="3386"/>
      <c r="J312" s="3387"/>
      <c r="K312" s="3383">
        <f t="shared" si="89"/>
        <v>0</v>
      </c>
      <c r="L312" s="3395">
        <f t="shared" si="98"/>
        <v>0</v>
      </c>
      <c r="M312" s="3396">
        <f t="shared" si="98"/>
        <v>0</v>
      </c>
      <c r="N312" s="3396">
        <f t="shared" si="98"/>
        <v>0</v>
      </c>
      <c r="O312" s="3395">
        <f t="shared" si="98"/>
        <v>0</v>
      </c>
      <c r="P312" s="3396">
        <f t="shared" si="98"/>
        <v>0</v>
      </c>
      <c r="Q312" s="3396">
        <f t="shared" si="98"/>
        <v>0</v>
      </c>
      <c r="R312" s="3395">
        <f t="shared" si="97"/>
        <v>0</v>
      </c>
      <c r="S312" s="3396">
        <f t="shared" si="97"/>
        <v>0</v>
      </c>
      <c r="T312" s="3396">
        <f t="shared" si="97"/>
        <v>0</v>
      </c>
      <c r="U312" s="3395">
        <f t="shared" si="97"/>
        <v>0</v>
      </c>
      <c r="V312" s="3396">
        <f t="shared" si="97"/>
        <v>0</v>
      </c>
      <c r="W312" s="3396">
        <f t="shared" si="97"/>
        <v>0</v>
      </c>
      <c r="X312" s="3386"/>
      <c r="Y312" s="3386"/>
      <c r="Z312" s="3386"/>
      <c r="AA312" s="3391"/>
    </row>
    <row r="313" spans="2:27" ht="18" hidden="1">
      <c r="B313" s="3350"/>
      <c r="C313" s="3407"/>
      <c r="D313" s="3350"/>
      <c r="E313" s="3404">
        <v>1093000085</v>
      </c>
      <c r="F313" s="3406"/>
      <c r="G313" s="3387"/>
      <c r="H313" s="3383">
        <f t="shared" si="88"/>
        <v>0</v>
      </c>
      <c r="I313" s="3386"/>
      <c r="J313" s="3387"/>
      <c r="K313" s="3383">
        <f t="shared" si="89"/>
        <v>0</v>
      </c>
      <c r="L313" s="3395">
        <f t="shared" si="98"/>
        <v>0</v>
      </c>
      <c r="M313" s="3396">
        <f t="shared" si="98"/>
        <v>0</v>
      </c>
      <c r="N313" s="3396">
        <f t="shared" si="98"/>
        <v>0</v>
      </c>
      <c r="O313" s="3395">
        <f t="shared" si="98"/>
        <v>0</v>
      </c>
      <c r="P313" s="3396">
        <f t="shared" si="98"/>
        <v>0</v>
      </c>
      <c r="Q313" s="3396">
        <f t="shared" si="98"/>
        <v>0</v>
      </c>
      <c r="R313" s="3395">
        <f t="shared" si="97"/>
        <v>0</v>
      </c>
      <c r="S313" s="3396">
        <f t="shared" si="97"/>
        <v>0</v>
      </c>
      <c r="T313" s="3396">
        <f t="shared" si="97"/>
        <v>0</v>
      </c>
      <c r="U313" s="3395">
        <f t="shared" si="97"/>
        <v>0</v>
      </c>
      <c r="V313" s="3396">
        <f t="shared" si="97"/>
        <v>0</v>
      </c>
      <c r="W313" s="3396">
        <f t="shared" si="97"/>
        <v>0</v>
      </c>
      <c r="X313" s="3386"/>
      <c r="Y313" s="3386"/>
      <c r="Z313" s="3386"/>
      <c r="AA313" s="3391"/>
    </row>
    <row r="314" spans="2:27" ht="18" hidden="1">
      <c r="B314" s="3350"/>
      <c r="C314" s="3407"/>
      <c r="D314" s="3350"/>
      <c r="E314" s="3404">
        <v>1093000086</v>
      </c>
      <c r="F314" s="3406"/>
      <c r="G314" s="3387"/>
      <c r="H314" s="3383">
        <f t="shared" si="88"/>
        <v>0</v>
      </c>
      <c r="I314" s="3386"/>
      <c r="J314" s="3387"/>
      <c r="K314" s="3383">
        <f t="shared" si="89"/>
        <v>0</v>
      </c>
      <c r="L314" s="3395">
        <f t="shared" si="98"/>
        <v>0</v>
      </c>
      <c r="M314" s="3396">
        <f t="shared" si="98"/>
        <v>0</v>
      </c>
      <c r="N314" s="3396">
        <f t="shared" si="98"/>
        <v>0</v>
      </c>
      <c r="O314" s="3395">
        <f t="shared" ref="O314:W346" si="99">(0)</f>
        <v>0</v>
      </c>
      <c r="P314" s="3396">
        <f t="shared" si="99"/>
        <v>0</v>
      </c>
      <c r="Q314" s="3396">
        <f t="shared" si="99"/>
        <v>0</v>
      </c>
      <c r="R314" s="3395">
        <f t="shared" si="97"/>
        <v>0</v>
      </c>
      <c r="S314" s="3396">
        <f t="shared" si="97"/>
        <v>0</v>
      </c>
      <c r="T314" s="3396">
        <f t="shared" si="97"/>
        <v>0</v>
      </c>
      <c r="U314" s="3395">
        <f t="shared" si="97"/>
        <v>0</v>
      </c>
      <c r="V314" s="3396">
        <f t="shared" si="97"/>
        <v>0</v>
      </c>
      <c r="W314" s="3396">
        <f t="shared" si="97"/>
        <v>0</v>
      </c>
      <c r="X314" s="3386"/>
      <c r="Y314" s="3386"/>
      <c r="Z314" s="3386"/>
      <c r="AA314" s="3391"/>
    </row>
    <row r="315" spans="2:27" ht="18" hidden="1">
      <c r="B315" s="3350"/>
      <c r="C315" s="3407"/>
      <c r="D315" s="3350"/>
      <c r="E315" s="3404">
        <v>1093000087</v>
      </c>
      <c r="F315" s="3406"/>
      <c r="G315" s="3387"/>
      <c r="H315" s="3383">
        <f t="shared" si="88"/>
        <v>0</v>
      </c>
      <c r="I315" s="3386"/>
      <c r="J315" s="3387"/>
      <c r="K315" s="3383">
        <f t="shared" si="89"/>
        <v>0</v>
      </c>
      <c r="L315" s="3395">
        <f t="shared" ref="L315:Q373" si="100">(0)</f>
        <v>0</v>
      </c>
      <c r="M315" s="3396">
        <f t="shared" si="100"/>
        <v>0</v>
      </c>
      <c r="N315" s="3396">
        <f t="shared" si="100"/>
        <v>0</v>
      </c>
      <c r="O315" s="3395">
        <f t="shared" si="99"/>
        <v>0</v>
      </c>
      <c r="P315" s="3396">
        <f t="shared" si="99"/>
        <v>0</v>
      </c>
      <c r="Q315" s="3396">
        <f t="shared" si="99"/>
        <v>0</v>
      </c>
      <c r="R315" s="3395">
        <f t="shared" si="97"/>
        <v>0</v>
      </c>
      <c r="S315" s="3396">
        <f t="shared" si="97"/>
        <v>0</v>
      </c>
      <c r="T315" s="3396">
        <f t="shared" si="97"/>
        <v>0</v>
      </c>
      <c r="U315" s="3395">
        <f t="shared" si="97"/>
        <v>0</v>
      </c>
      <c r="V315" s="3396">
        <f t="shared" si="97"/>
        <v>0</v>
      </c>
      <c r="W315" s="3396">
        <f t="shared" si="97"/>
        <v>0</v>
      </c>
      <c r="X315" s="3386"/>
      <c r="Y315" s="3386"/>
      <c r="Z315" s="3386"/>
      <c r="AA315" s="3391"/>
    </row>
    <row r="316" spans="2:27" ht="18" hidden="1">
      <c r="B316" s="3350"/>
      <c r="C316" s="3407"/>
      <c r="D316" s="3350"/>
      <c r="E316" s="3404">
        <v>1093000088</v>
      </c>
      <c r="F316" s="3406"/>
      <c r="G316" s="3387"/>
      <c r="H316" s="3383">
        <f t="shared" si="88"/>
        <v>0</v>
      </c>
      <c r="I316" s="3386"/>
      <c r="J316" s="3387"/>
      <c r="K316" s="3383">
        <f t="shared" si="89"/>
        <v>0</v>
      </c>
      <c r="L316" s="3395">
        <f t="shared" si="100"/>
        <v>0</v>
      </c>
      <c r="M316" s="3396">
        <f t="shared" si="100"/>
        <v>0</v>
      </c>
      <c r="N316" s="3396">
        <f t="shared" si="100"/>
        <v>0</v>
      </c>
      <c r="O316" s="3395">
        <f t="shared" si="99"/>
        <v>0</v>
      </c>
      <c r="P316" s="3396">
        <f t="shared" si="99"/>
        <v>0</v>
      </c>
      <c r="Q316" s="3396">
        <f t="shared" si="99"/>
        <v>0</v>
      </c>
      <c r="R316" s="3395">
        <f t="shared" si="97"/>
        <v>0</v>
      </c>
      <c r="S316" s="3396">
        <f t="shared" si="97"/>
        <v>0</v>
      </c>
      <c r="T316" s="3396">
        <f t="shared" si="97"/>
        <v>0</v>
      </c>
      <c r="U316" s="3395">
        <f t="shared" si="97"/>
        <v>0</v>
      </c>
      <c r="V316" s="3396">
        <f t="shared" si="97"/>
        <v>0</v>
      </c>
      <c r="W316" s="3396">
        <f t="shared" si="97"/>
        <v>0</v>
      </c>
      <c r="X316" s="3386"/>
      <c r="Y316" s="3386"/>
      <c r="Z316" s="3386"/>
      <c r="AA316" s="3391"/>
    </row>
    <row r="317" spans="2:27" ht="18" hidden="1">
      <c r="B317" s="3350"/>
      <c r="C317" s="3407"/>
      <c r="D317" s="3350"/>
      <c r="E317" s="3404">
        <v>1093000089</v>
      </c>
      <c r="F317" s="3406"/>
      <c r="G317" s="3387"/>
      <c r="H317" s="3383">
        <f t="shared" si="88"/>
        <v>0</v>
      </c>
      <c r="I317" s="3386"/>
      <c r="J317" s="3387"/>
      <c r="K317" s="3383">
        <f t="shared" si="89"/>
        <v>0</v>
      </c>
      <c r="L317" s="3395">
        <f t="shared" si="100"/>
        <v>0</v>
      </c>
      <c r="M317" s="3396">
        <f t="shared" si="100"/>
        <v>0</v>
      </c>
      <c r="N317" s="3396">
        <f t="shared" si="100"/>
        <v>0</v>
      </c>
      <c r="O317" s="3395">
        <f t="shared" si="99"/>
        <v>0</v>
      </c>
      <c r="P317" s="3396">
        <f t="shared" si="99"/>
        <v>0</v>
      </c>
      <c r="Q317" s="3396">
        <f t="shared" si="99"/>
        <v>0</v>
      </c>
      <c r="R317" s="3395">
        <f t="shared" si="97"/>
        <v>0</v>
      </c>
      <c r="S317" s="3396">
        <f t="shared" si="97"/>
        <v>0</v>
      </c>
      <c r="T317" s="3396">
        <f t="shared" si="97"/>
        <v>0</v>
      </c>
      <c r="U317" s="3395">
        <f t="shared" si="97"/>
        <v>0</v>
      </c>
      <c r="V317" s="3396">
        <f t="shared" si="97"/>
        <v>0</v>
      </c>
      <c r="W317" s="3396">
        <f t="shared" si="97"/>
        <v>0</v>
      </c>
      <c r="X317" s="3386"/>
      <c r="Y317" s="3386"/>
      <c r="Z317" s="3386"/>
      <c r="AA317" s="3391"/>
    </row>
    <row r="318" spans="2:27" ht="18" hidden="1">
      <c r="B318" s="3350"/>
      <c r="C318" s="3407"/>
      <c r="D318" s="3350"/>
      <c r="E318" s="3404">
        <v>1093000090</v>
      </c>
      <c r="F318" s="3406"/>
      <c r="G318" s="3387"/>
      <c r="H318" s="3383">
        <f t="shared" si="88"/>
        <v>0</v>
      </c>
      <c r="I318" s="3386"/>
      <c r="J318" s="3387"/>
      <c r="K318" s="3383">
        <f t="shared" si="89"/>
        <v>0</v>
      </c>
      <c r="L318" s="3395">
        <f t="shared" si="100"/>
        <v>0</v>
      </c>
      <c r="M318" s="3396">
        <f t="shared" si="100"/>
        <v>0</v>
      </c>
      <c r="N318" s="3396">
        <f t="shared" si="100"/>
        <v>0</v>
      </c>
      <c r="O318" s="3395">
        <f t="shared" si="99"/>
        <v>0</v>
      </c>
      <c r="P318" s="3396">
        <f t="shared" si="99"/>
        <v>0</v>
      </c>
      <c r="Q318" s="3396">
        <f t="shared" si="99"/>
        <v>0</v>
      </c>
      <c r="R318" s="3395">
        <f t="shared" si="97"/>
        <v>0</v>
      </c>
      <c r="S318" s="3396">
        <f t="shared" si="97"/>
        <v>0</v>
      </c>
      <c r="T318" s="3396">
        <f t="shared" si="97"/>
        <v>0</v>
      </c>
      <c r="U318" s="3395">
        <f t="shared" si="97"/>
        <v>0</v>
      </c>
      <c r="V318" s="3396">
        <f t="shared" si="97"/>
        <v>0</v>
      </c>
      <c r="W318" s="3396">
        <f t="shared" si="97"/>
        <v>0</v>
      </c>
      <c r="X318" s="3386"/>
      <c r="Y318" s="3386"/>
      <c r="Z318" s="3386"/>
      <c r="AA318" s="3391"/>
    </row>
    <row r="319" spans="2:27" ht="18" hidden="1">
      <c r="B319" s="3350"/>
      <c r="C319" s="3407"/>
      <c r="D319" s="3350"/>
      <c r="E319" s="3404">
        <v>1093000091</v>
      </c>
      <c r="F319" s="3406"/>
      <c r="G319" s="3387"/>
      <c r="H319" s="3383">
        <f t="shared" si="88"/>
        <v>0</v>
      </c>
      <c r="I319" s="3386"/>
      <c r="J319" s="3387"/>
      <c r="K319" s="3383">
        <f t="shared" si="89"/>
        <v>0</v>
      </c>
      <c r="L319" s="3395">
        <f t="shared" si="100"/>
        <v>0</v>
      </c>
      <c r="M319" s="3396">
        <f t="shared" si="100"/>
        <v>0</v>
      </c>
      <c r="N319" s="3396">
        <f t="shared" si="100"/>
        <v>0</v>
      </c>
      <c r="O319" s="3395">
        <f t="shared" si="99"/>
        <v>0</v>
      </c>
      <c r="P319" s="3396">
        <f t="shared" si="99"/>
        <v>0</v>
      </c>
      <c r="Q319" s="3396">
        <f t="shared" si="99"/>
        <v>0</v>
      </c>
      <c r="R319" s="3395">
        <f t="shared" si="97"/>
        <v>0</v>
      </c>
      <c r="S319" s="3396">
        <f t="shared" si="97"/>
        <v>0</v>
      </c>
      <c r="T319" s="3396">
        <f t="shared" si="97"/>
        <v>0</v>
      </c>
      <c r="U319" s="3395">
        <f t="shared" si="97"/>
        <v>0</v>
      </c>
      <c r="V319" s="3396">
        <f t="shared" si="97"/>
        <v>0</v>
      </c>
      <c r="W319" s="3396">
        <f t="shared" si="97"/>
        <v>0</v>
      </c>
      <c r="X319" s="3386"/>
      <c r="Y319" s="3386"/>
      <c r="Z319" s="3386"/>
      <c r="AA319" s="3391"/>
    </row>
    <row r="320" spans="2:27" ht="18" hidden="1">
      <c r="B320" s="3350"/>
      <c r="C320" s="3407"/>
      <c r="D320" s="3350"/>
      <c r="E320" s="3404">
        <v>1093000092</v>
      </c>
      <c r="F320" s="3406"/>
      <c r="G320" s="3387"/>
      <c r="H320" s="3383">
        <f t="shared" si="88"/>
        <v>0</v>
      </c>
      <c r="I320" s="3386"/>
      <c r="J320" s="3387"/>
      <c r="K320" s="3383">
        <f t="shared" si="89"/>
        <v>0</v>
      </c>
      <c r="L320" s="3395">
        <f t="shared" si="100"/>
        <v>0</v>
      </c>
      <c r="M320" s="3396">
        <f t="shared" si="100"/>
        <v>0</v>
      </c>
      <c r="N320" s="3396">
        <f t="shared" si="100"/>
        <v>0</v>
      </c>
      <c r="O320" s="3395">
        <f t="shared" si="99"/>
        <v>0</v>
      </c>
      <c r="P320" s="3396">
        <f t="shared" si="99"/>
        <v>0</v>
      </c>
      <c r="Q320" s="3396">
        <f t="shared" si="99"/>
        <v>0</v>
      </c>
      <c r="R320" s="3395">
        <f t="shared" si="99"/>
        <v>0</v>
      </c>
      <c r="S320" s="3396">
        <f t="shared" si="99"/>
        <v>0</v>
      </c>
      <c r="T320" s="3396">
        <f t="shared" si="99"/>
        <v>0</v>
      </c>
      <c r="U320" s="3395">
        <f t="shared" si="99"/>
        <v>0</v>
      </c>
      <c r="V320" s="3396">
        <f t="shared" si="99"/>
        <v>0</v>
      </c>
      <c r="W320" s="3396">
        <f t="shared" si="99"/>
        <v>0</v>
      </c>
      <c r="X320" s="3386"/>
      <c r="Y320" s="3386"/>
      <c r="Z320" s="3386"/>
      <c r="AA320" s="3391"/>
    </row>
    <row r="321" spans="2:27" ht="18" hidden="1">
      <c r="B321" s="3350"/>
      <c r="C321" s="3407"/>
      <c r="D321" s="3350"/>
      <c r="E321" s="3404">
        <v>1093000093</v>
      </c>
      <c r="F321" s="3406"/>
      <c r="G321" s="3387"/>
      <c r="H321" s="3383">
        <f t="shared" si="88"/>
        <v>0</v>
      </c>
      <c r="I321" s="3386"/>
      <c r="J321" s="3387"/>
      <c r="K321" s="3383">
        <f t="shared" si="89"/>
        <v>0</v>
      </c>
      <c r="L321" s="3395">
        <f t="shared" si="100"/>
        <v>0</v>
      </c>
      <c r="M321" s="3396">
        <f t="shared" si="100"/>
        <v>0</v>
      </c>
      <c r="N321" s="3396">
        <f t="shared" si="100"/>
        <v>0</v>
      </c>
      <c r="O321" s="3395">
        <f t="shared" si="99"/>
        <v>0</v>
      </c>
      <c r="P321" s="3396">
        <f t="shared" si="99"/>
        <v>0</v>
      </c>
      <c r="Q321" s="3396">
        <f t="shared" si="99"/>
        <v>0</v>
      </c>
      <c r="R321" s="3395">
        <f t="shared" si="99"/>
        <v>0</v>
      </c>
      <c r="S321" s="3396">
        <f t="shared" si="99"/>
        <v>0</v>
      </c>
      <c r="T321" s="3396">
        <f t="shared" si="99"/>
        <v>0</v>
      </c>
      <c r="U321" s="3395">
        <f t="shared" si="99"/>
        <v>0</v>
      </c>
      <c r="V321" s="3396">
        <f t="shared" si="99"/>
        <v>0</v>
      </c>
      <c r="W321" s="3396">
        <f t="shared" si="99"/>
        <v>0</v>
      </c>
      <c r="X321" s="3386"/>
      <c r="Y321" s="3386"/>
      <c r="Z321" s="3386"/>
      <c r="AA321" s="3391"/>
    </row>
    <row r="322" spans="2:27" ht="18" hidden="1">
      <c r="B322" s="3350"/>
      <c r="C322" s="3407"/>
      <c r="D322" s="3350"/>
      <c r="E322" s="3404">
        <v>1093000094</v>
      </c>
      <c r="F322" s="3406"/>
      <c r="G322" s="3387"/>
      <c r="H322" s="3383">
        <f t="shared" si="88"/>
        <v>0</v>
      </c>
      <c r="I322" s="3386"/>
      <c r="J322" s="3387"/>
      <c r="K322" s="3383">
        <f t="shared" si="89"/>
        <v>0</v>
      </c>
      <c r="L322" s="3395">
        <f t="shared" si="100"/>
        <v>0</v>
      </c>
      <c r="M322" s="3396">
        <f t="shared" si="100"/>
        <v>0</v>
      </c>
      <c r="N322" s="3396">
        <f t="shared" si="100"/>
        <v>0</v>
      </c>
      <c r="O322" s="3395">
        <f t="shared" si="99"/>
        <v>0</v>
      </c>
      <c r="P322" s="3396">
        <f t="shared" si="99"/>
        <v>0</v>
      </c>
      <c r="Q322" s="3396">
        <f t="shared" si="99"/>
        <v>0</v>
      </c>
      <c r="R322" s="3395">
        <f t="shared" si="99"/>
        <v>0</v>
      </c>
      <c r="S322" s="3396">
        <f t="shared" si="99"/>
        <v>0</v>
      </c>
      <c r="T322" s="3396">
        <f t="shared" si="99"/>
        <v>0</v>
      </c>
      <c r="U322" s="3395">
        <f t="shared" si="99"/>
        <v>0</v>
      </c>
      <c r="V322" s="3396">
        <f t="shared" si="99"/>
        <v>0</v>
      </c>
      <c r="W322" s="3396">
        <f t="shared" si="99"/>
        <v>0</v>
      </c>
      <c r="X322" s="3386"/>
      <c r="Y322" s="3386"/>
      <c r="Z322" s="3386"/>
      <c r="AA322" s="3391"/>
    </row>
    <row r="323" spans="2:27" ht="18" hidden="1">
      <c r="B323" s="3350"/>
      <c r="C323" s="3407"/>
      <c r="D323" s="3350"/>
      <c r="E323" s="3404">
        <v>1093000095</v>
      </c>
      <c r="F323" s="3406"/>
      <c r="G323" s="3387"/>
      <c r="H323" s="3383">
        <f t="shared" si="88"/>
        <v>0</v>
      </c>
      <c r="I323" s="3386"/>
      <c r="J323" s="3387"/>
      <c r="K323" s="3383">
        <f t="shared" si="89"/>
        <v>0</v>
      </c>
      <c r="L323" s="3395">
        <f t="shared" si="100"/>
        <v>0</v>
      </c>
      <c r="M323" s="3396">
        <f t="shared" si="100"/>
        <v>0</v>
      </c>
      <c r="N323" s="3396">
        <f t="shared" si="100"/>
        <v>0</v>
      </c>
      <c r="O323" s="3395">
        <f t="shared" si="99"/>
        <v>0</v>
      </c>
      <c r="P323" s="3396">
        <f t="shared" si="99"/>
        <v>0</v>
      </c>
      <c r="Q323" s="3396">
        <f t="shared" si="99"/>
        <v>0</v>
      </c>
      <c r="R323" s="3395">
        <f t="shared" si="99"/>
        <v>0</v>
      </c>
      <c r="S323" s="3396">
        <f t="shared" si="99"/>
        <v>0</v>
      </c>
      <c r="T323" s="3396">
        <f t="shared" si="99"/>
        <v>0</v>
      </c>
      <c r="U323" s="3395">
        <f t="shared" si="99"/>
        <v>0</v>
      </c>
      <c r="V323" s="3396">
        <f t="shared" si="99"/>
        <v>0</v>
      </c>
      <c r="W323" s="3396">
        <f t="shared" si="99"/>
        <v>0</v>
      </c>
      <c r="X323" s="3386"/>
      <c r="Y323" s="3386"/>
      <c r="Z323" s="3386"/>
      <c r="AA323" s="3391"/>
    </row>
    <row r="324" spans="2:27" ht="18" hidden="1">
      <c r="B324" s="3350"/>
      <c r="C324" s="3407"/>
      <c r="D324" s="3350"/>
      <c r="E324" s="3404">
        <v>1093000096</v>
      </c>
      <c r="F324" s="3406"/>
      <c r="G324" s="3387"/>
      <c r="H324" s="3383">
        <f t="shared" si="88"/>
        <v>0</v>
      </c>
      <c r="I324" s="3386"/>
      <c r="J324" s="3387"/>
      <c r="K324" s="3383">
        <f t="shared" si="89"/>
        <v>0</v>
      </c>
      <c r="L324" s="3395">
        <f t="shared" si="100"/>
        <v>0</v>
      </c>
      <c r="M324" s="3396">
        <f t="shared" si="100"/>
        <v>0</v>
      </c>
      <c r="N324" s="3396">
        <f t="shared" si="100"/>
        <v>0</v>
      </c>
      <c r="O324" s="3395">
        <f t="shared" si="99"/>
        <v>0</v>
      </c>
      <c r="P324" s="3396">
        <f t="shared" si="99"/>
        <v>0</v>
      </c>
      <c r="Q324" s="3396">
        <f t="shared" si="99"/>
        <v>0</v>
      </c>
      <c r="R324" s="3395">
        <f t="shared" si="99"/>
        <v>0</v>
      </c>
      <c r="S324" s="3396">
        <f t="shared" si="99"/>
        <v>0</v>
      </c>
      <c r="T324" s="3396">
        <f t="shared" si="99"/>
        <v>0</v>
      </c>
      <c r="U324" s="3395">
        <f t="shared" si="99"/>
        <v>0</v>
      </c>
      <c r="V324" s="3396">
        <f t="shared" si="99"/>
        <v>0</v>
      </c>
      <c r="W324" s="3396">
        <f t="shared" si="99"/>
        <v>0</v>
      </c>
      <c r="X324" s="3386"/>
      <c r="Y324" s="3386"/>
      <c r="Z324" s="3386"/>
      <c r="AA324" s="3391"/>
    </row>
    <row r="325" spans="2:27" ht="18" hidden="1">
      <c r="B325" s="3350"/>
      <c r="C325" s="3407"/>
      <c r="D325" s="3350"/>
      <c r="E325" s="3404">
        <v>1093000097</v>
      </c>
      <c r="F325" s="3406"/>
      <c r="G325" s="3387"/>
      <c r="H325" s="3383">
        <f t="shared" si="88"/>
        <v>0</v>
      </c>
      <c r="I325" s="3386"/>
      <c r="J325" s="3387"/>
      <c r="K325" s="3383">
        <f t="shared" si="89"/>
        <v>0</v>
      </c>
      <c r="L325" s="3395">
        <f t="shared" si="100"/>
        <v>0</v>
      </c>
      <c r="M325" s="3396">
        <f t="shared" si="100"/>
        <v>0</v>
      </c>
      <c r="N325" s="3396">
        <f t="shared" si="100"/>
        <v>0</v>
      </c>
      <c r="O325" s="3395">
        <f t="shared" si="99"/>
        <v>0</v>
      </c>
      <c r="P325" s="3396">
        <f t="shared" si="99"/>
        <v>0</v>
      </c>
      <c r="Q325" s="3396">
        <f t="shared" si="99"/>
        <v>0</v>
      </c>
      <c r="R325" s="3395">
        <f t="shared" si="99"/>
        <v>0</v>
      </c>
      <c r="S325" s="3396">
        <f t="shared" si="99"/>
        <v>0</v>
      </c>
      <c r="T325" s="3396">
        <f t="shared" si="99"/>
        <v>0</v>
      </c>
      <c r="U325" s="3395">
        <f t="shared" si="99"/>
        <v>0</v>
      </c>
      <c r="V325" s="3396">
        <f t="shared" si="99"/>
        <v>0</v>
      </c>
      <c r="W325" s="3396">
        <f t="shared" si="99"/>
        <v>0</v>
      </c>
      <c r="X325" s="3386"/>
      <c r="Y325" s="3386"/>
      <c r="Z325" s="3386"/>
      <c r="AA325" s="3391"/>
    </row>
    <row r="326" spans="2:27" ht="18" hidden="1">
      <c r="B326" s="3350"/>
      <c r="C326" s="3407"/>
      <c r="D326" s="3350"/>
      <c r="E326" s="3404">
        <v>1093000098</v>
      </c>
      <c r="F326" s="3406"/>
      <c r="G326" s="3387"/>
      <c r="H326" s="3383">
        <f t="shared" si="88"/>
        <v>0</v>
      </c>
      <c r="I326" s="3386"/>
      <c r="J326" s="3387"/>
      <c r="K326" s="3383">
        <f t="shared" si="89"/>
        <v>0</v>
      </c>
      <c r="L326" s="3395">
        <f t="shared" si="100"/>
        <v>0</v>
      </c>
      <c r="M326" s="3396">
        <f t="shared" si="100"/>
        <v>0</v>
      </c>
      <c r="N326" s="3396">
        <f t="shared" si="100"/>
        <v>0</v>
      </c>
      <c r="O326" s="3395">
        <f t="shared" si="99"/>
        <v>0</v>
      </c>
      <c r="P326" s="3396">
        <f t="shared" si="99"/>
        <v>0</v>
      </c>
      <c r="Q326" s="3396">
        <f t="shared" si="99"/>
        <v>0</v>
      </c>
      <c r="R326" s="3395">
        <f t="shared" si="99"/>
        <v>0</v>
      </c>
      <c r="S326" s="3396">
        <f t="shared" si="99"/>
        <v>0</v>
      </c>
      <c r="T326" s="3396">
        <f t="shared" si="99"/>
        <v>0</v>
      </c>
      <c r="U326" s="3395">
        <f t="shared" si="99"/>
        <v>0</v>
      </c>
      <c r="V326" s="3396">
        <f t="shared" si="99"/>
        <v>0</v>
      </c>
      <c r="W326" s="3396">
        <f t="shared" si="99"/>
        <v>0</v>
      </c>
      <c r="X326" s="3386"/>
      <c r="Y326" s="3386"/>
      <c r="Z326" s="3386"/>
      <c r="AA326" s="3391"/>
    </row>
    <row r="327" spans="2:27" ht="18" hidden="1">
      <c r="B327" s="3350"/>
      <c r="C327" s="3407"/>
      <c r="D327" s="3350"/>
      <c r="E327" s="3404">
        <v>1093000099</v>
      </c>
      <c r="F327" s="3406"/>
      <c r="G327" s="3387"/>
      <c r="H327" s="3383">
        <f t="shared" si="88"/>
        <v>0</v>
      </c>
      <c r="I327" s="3386"/>
      <c r="J327" s="3387"/>
      <c r="K327" s="3383">
        <f t="shared" si="89"/>
        <v>0</v>
      </c>
      <c r="L327" s="3395">
        <f t="shared" si="100"/>
        <v>0</v>
      </c>
      <c r="M327" s="3396">
        <f t="shared" si="100"/>
        <v>0</v>
      </c>
      <c r="N327" s="3396">
        <f t="shared" si="100"/>
        <v>0</v>
      </c>
      <c r="O327" s="3395">
        <f t="shared" si="99"/>
        <v>0</v>
      </c>
      <c r="P327" s="3396">
        <f t="shared" si="99"/>
        <v>0</v>
      </c>
      <c r="Q327" s="3396">
        <f t="shared" si="99"/>
        <v>0</v>
      </c>
      <c r="R327" s="3395">
        <f t="shared" si="99"/>
        <v>0</v>
      </c>
      <c r="S327" s="3396">
        <f t="shared" si="99"/>
        <v>0</v>
      </c>
      <c r="T327" s="3396">
        <f t="shared" si="99"/>
        <v>0</v>
      </c>
      <c r="U327" s="3395">
        <f t="shared" si="99"/>
        <v>0</v>
      </c>
      <c r="V327" s="3396">
        <f t="shared" si="99"/>
        <v>0</v>
      </c>
      <c r="W327" s="3396">
        <f t="shared" si="99"/>
        <v>0</v>
      </c>
      <c r="X327" s="3386"/>
      <c r="Y327" s="3386"/>
      <c r="Z327" s="3386"/>
      <c r="AA327" s="3391"/>
    </row>
    <row r="328" spans="2:27" ht="18" hidden="1">
      <c r="B328" s="3350"/>
      <c r="C328" s="3407"/>
      <c r="D328" s="3350"/>
      <c r="E328" s="3404">
        <v>1093000100</v>
      </c>
      <c r="F328" s="3406"/>
      <c r="G328" s="3387"/>
      <c r="H328" s="3383">
        <f t="shared" si="88"/>
        <v>0</v>
      </c>
      <c r="I328" s="3386"/>
      <c r="J328" s="3387"/>
      <c r="K328" s="3383">
        <f t="shared" si="89"/>
        <v>0</v>
      </c>
      <c r="L328" s="3395">
        <f t="shared" si="100"/>
        <v>0</v>
      </c>
      <c r="M328" s="3396">
        <f t="shared" si="100"/>
        <v>0</v>
      </c>
      <c r="N328" s="3396">
        <f t="shared" si="100"/>
        <v>0</v>
      </c>
      <c r="O328" s="3395">
        <f t="shared" si="99"/>
        <v>0</v>
      </c>
      <c r="P328" s="3396">
        <f t="shared" si="99"/>
        <v>0</v>
      </c>
      <c r="Q328" s="3396">
        <f t="shared" si="99"/>
        <v>0</v>
      </c>
      <c r="R328" s="3395">
        <f t="shared" si="99"/>
        <v>0</v>
      </c>
      <c r="S328" s="3396">
        <f t="shared" si="99"/>
        <v>0</v>
      </c>
      <c r="T328" s="3396">
        <f t="shared" si="99"/>
        <v>0</v>
      </c>
      <c r="U328" s="3395">
        <f t="shared" si="99"/>
        <v>0</v>
      </c>
      <c r="V328" s="3396">
        <f t="shared" si="99"/>
        <v>0</v>
      </c>
      <c r="W328" s="3396">
        <f t="shared" si="99"/>
        <v>0</v>
      </c>
      <c r="X328" s="3386"/>
      <c r="Y328" s="3386"/>
      <c r="Z328" s="3386"/>
      <c r="AA328" s="3391"/>
    </row>
    <row r="329" spans="2:27" ht="18" hidden="1">
      <c r="B329" s="3350"/>
      <c r="C329" s="3407"/>
      <c r="D329" s="3350"/>
      <c r="E329" s="3404">
        <v>1093000101</v>
      </c>
      <c r="F329" s="3406"/>
      <c r="G329" s="3387"/>
      <c r="H329" s="3383">
        <f t="shared" si="88"/>
        <v>0</v>
      </c>
      <c r="I329" s="3386"/>
      <c r="J329" s="3387"/>
      <c r="K329" s="3383">
        <f t="shared" si="89"/>
        <v>0</v>
      </c>
      <c r="L329" s="3395">
        <f t="shared" si="100"/>
        <v>0</v>
      </c>
      <c r="M329" s="3396">
        <f t="shared" si="100"/>
        <v>0</v>
      </c>
      <c r="N329" s="3396">
        <f t="shared" si="100"/>
        <v>0</v>
      </c>
      <c r="O329" s="3395">
        <f t="shared" si="99"/>
        <v>0</v>
      </c>
      <c r="P329" s="3396">
        <f t="shared" si="99"/>
        <v>0</v>
      </c>
      <c r="Q329" s="3396">
        <f t="shared" si="99"/>
        <v>0</v>
      </c>
      <c r="R329" s="3395">
        <f t="shared" si="99"/>
        <v>0</v>
      </c>
      <c r="S329" s="3396">
        <f t="shared" si="99"/>
        <v>0</v>
      </c>
      <c r="T329" s="3396">
        <f t="shared" si="99"/>
        <v>0</v>
      </c>
      <c r="U329" s="3395">
        <f t="shared" si="99"/>
        <v>0</v>
      </c>
      <c r="V329" s="3396">
        <f t="shared" si="99"/>
        <v>0</v>
      </c>
      <c r="W329" s="3396">
        <f t="shared" si="99"/>
        <v>0</v>
      </c>
      <c r="X329" s="3386"/>
      <c r="Y329" s="3386"/>
      <c r="Z329" s="3386"/>
      <c r="AA329" s="3391"/>
    </row>
    <row r="330" spans="2:27" ht="18" hidden="1">
      <c r="B330" s="3350"/>
      <c r="C330" s="3407"/>
      <c r="D330" s="3350"/>
      <c r="E330" s="3404">
        <v>1093000102</v>
      </c>
      <c r="F330" s="3406"/>
      <c r="G330" s="3387"/>
      <c r="H330" s="3383">
        <f t="shared" si="88"/>
        <v>0</v>
      </c>
      <c r="I330" s="3386"/>
      <c r="J330" s="3387"/>
      <c r="K330" s="3383">
        <f t="shared" si="89"/>
        <v>0</v>
      </c>
      <c r="L330" s="3395">
        <f t="shared" si="100"/>
        <v>0</v>
      </c>
      <c r="M330" s="3396">
        <f t="shared" si="100"/>
        <v>0</v>
      </c>
      <c r="N330" s="3396">
        <f t="shared" si="100"/>
        <v>0</v>
      </c>
      <c r="O330" s="3395">
        <f t="shared" si="99"/>
        <v>0</v>
      </c>
      <c r="P330" s="3396">
        <f t="shared" si="99"/>
        <v>0</v>
      </c>
      <c r="Q330" s="3396">
        <f t="shared" si="99"/>
        <v>0</v>
      </c>
      <c r="R330" s="3395">
        <f t="shared" si="99"/>
        <v>0</v>
      </c>
      <c r="S330" s="3396">
        <f t="shared" si="99"/>
        <v>0</v>
      </c>
      <c r="T330" s="3396">
        <f t="shared" si="99"/>
        <v>0</v>
      </c>
      <c r="U330" s="3395">
        <f t="shared" si="99"/>
        <v>0</v>
      </c>
      <c r="V330" s="3396">
        <f t="shared" si="99"/>
        <v>0</v>
      </c>
      <c r="W330" s="3396">
        <f t="shared" si="99"/>
        <v>0</v>
      </c>
      <c r="X330" s="3386"/>
      <c r="Y330" s="3386"/>
      <c r="Z330" s="3386"/>
      <c r="AA330" s="3391"/>
    </row>
    <row r="331" spans="2:27" ht="18" hidden="1">
      <c r="B331" s="3350"/>
      <c r="C331" s="3407"/>
      <c r="D331" s="3350"/>
      <c r="E331" s="3404">
        <v>1093000103</v>
      </c>
      <c r="F331" s="3406"/>
      <c r="G331" s="3387"/>
      <c r="H331" s="3383">
        <f t="shared" si="88"/>
        <v>0</v>
      </c>
      <c r="I331" s="3386"/>
      <c r="J331" s="3387"/>
      <c r="K331" s="3383">
        <f t="shared" si="89"/>
        <v>0</v>
      </c>
      <c r="L331" s="3395">
        <f t="shared" si="100"/>
        <v>0</v>
      </c>
      <c r="M331" s="3396">
        <f t="shared" si="100"/>
        <v>0</v>
      </c>
      <c r="N331" s="3396">
        <f t="shared" si="100"/>
        <v>0</v>
      </c>
      <c r="O331" s="3395">
        <f t="shared" si="99"/>
        <v>0</v>
      </c>
      <c r="P331" s="3396">
        <f t="shared" si="99"/>
        <v>0</v>
      </c>
      <c r="Q331" s="3396">
        <f t="shared" si="99"/>
        <v>0</v>
      </c>
      <c r="R331" s="3395">
        <f t="shared" si="99"/>
        <v>0</v>
      </c>
      <c r="S331" s="3396">
        <f t="shared" si="99"/>
        <v>0</v>
      </c>
      <c r="T331" s="3396">
        <f t="shared" si="99"/>
        <v>0</v>
      </c>
      <c r="U331" s="3395">
        <f t="shared" si="99"/>
        <v>0</v>
      </c>
      <c r="V331" s="3396">
        <f t="shared" si="99"/>
        <v>0</v>
      </c>
      <c r="W331" s="3396">
        <f t="shared" si="99"/>
        <v>0</v>
      </c>
      <c r="X331" s="3386"/>
      <c r="Y331" s="3386"/>
      <c r="Z331" s="3386"/>
      <c r="AA331" s="3391"/>
    </row>
    <row r="332" spans="2:27" ht="18" hidden="1">
      <c r="B332" s="3350"/>
      <c r="C332" s="3407"/>
      <c r="D332" s="3350"/>
      <c r="E332" s="3404">
        <v>1093000104</v>
      </c>
      <c r="F332" s="3406"/>
      <c r="G332" s="3387"/>
      <c r="H332" s="3383">
        <f t="shared" si="88"/>
        <v>0</v>
      </c>
      <c r="I332" s="3386"/>
      <c r="J332" s="3387"/>
      <c r="K332" s="3383">
        <f t="shared" si="89"/>
        <v>0</v>
      </c>
      <c r="L332" s="3395">
        <f t="shared" si="100"/>
        <v>0</v>
      </c>
      <c r="M332" s="3396">
        <f t="shared" si="100"/>
        <v>0</v>
      </c>
      <c r="N332" s="3396">
        <f t="shared" si="100"/>
        <v>0</v>
      </c>
      <c r="O332" s="3395">
        <f t="shared" si="99"/>
        <v>0</v>
      </c>
      <c r="P332" s="3396">
        <f t="shared" si="99"/>
        <v>0</v>
      </c>
      <c r="Q332" s="3396">
        <f t="shared" si="99"/>
        <v>0</v>
      </c>
      <c r="R332" s="3395">
        <f t="shared" si="99"/>
        <v>0</v>
      </c>
      <c r="S332" s="3396">
        <f t="shared" si="99"/>
        <v>0</v>
      </c>
      <c r="T332" s="3396">
        <f t="shared" si="99"/>
        <v>0</v>
      </c>
      <c r="U332" s="3395">
        <f t="shared" si="99"/>
        <v>0</v>
      </c>
      <c r="V332" s="3396">
        <f t="shared" si="99"/>
        <v>0</v>
      </c>
      <c r="W332" s="3396">
        <f t="shared" si="99"/>
        <v>0</v>
      </c>
      <c r="X332" s="3386"/>
      <c r="Y332" s="3386"/>
      <c r="Z332" s="3386"/>
      <c r="AA332" s="3391"/>
    </row>
    <row r="333" spans="2:27" ht="18" hidden="1">
      <c r="B333" s="3350"/>
      <c r="C333" s="3407"/>
      <c r="D333" s="3350"/>
      <c r="E333" s="3404">
        <v>1093000105</v>
      </c>
      <c r="F333" s="3406"/>
      <c r="G333" s="3387"/>
      <c r="H333" s="3383">
        <f t="shared" si="88"/>
        <v>0</v>
      </c>
      <c r="I333" s="3386"/>
      <c r="J333" s="3387"/>
      <c r="K333" s="3383">
        <f t="shared" si="89"/>
        <v>0</v>
      </c>
      <c r="L333" s="3395">
        <f t="shared" si="100"/>
        <v>0</v>
      </c>
      <c r="M333" s="3396">
        <f t="shared" si="100"/>
        <v>0</v>
      </c>
      <c r="N333" s="3396">
        <f t="shared" si="100"/>
        <v>0</v>
      </c>
      <c r="O333" s="3395">
        <f t="shared" si="99"/>
        <v>0</v>
      </c>
      <c r="P333" s="3396">
        <f t="shared" si="99"/>
        <v>0</v>
      </c>
      <c r="Q333" s="3396">
        <f t="shared" si="99"/>
        <v>0</v>
      </c>
      <c r="R333" s="3395">
        <f t="shared" si="99"/>
        <v>0</v>
      </c>
      <c r="S333" s="3396">
        <f t="shared" si="99"/>
        <v>0</v>
      </c>
      <c r="T333" s="3396">
        <f t="shared" si="99"/>
        <v>0</v>
      </c>
      <c r="U333" s="3395">
        <f t="shared" si="99"/>
        <v>0</v>
      </c>
      <c r="V333" s="3396">
        <f t="shared" si="99"/>
        <v>0</v>
      </c>
      <c r="W333" s="3396">
        <f t="shared" si="99"/>
        <v>0</v>
      </c>
      <c r="X333" s="3386"/>
      <c r="Y333" s="3386"/>
      <c r="Z333" s="3386"/>
      <c r="AA333" s="3391"/>
    </row>
    <row r="334" spans="2:27" ht="18" hidden="1">
      <c r="B334" s="3350"/>
      <c r="C334" s="3407"/>
      <c r="D334" s="3350"/>
      <c r="E334" s="3404">
        <v>1093000106</v>
      </c>
      <c r="F334" s="3406"/>
      <c r="G334" s="3387"/>
      <c r="H334" s="3383">
        <f t="shared" si="88"/>
        <v>0</v>
      </c>
      <c r="I334" s="3386"/>
      <c r="J334" s="3387"/>
      <c r="K334" s="3383">
        <f t="shared" si="89"/>
        <v>0</v>
      </c>
      <c r="L334" s="3395">
        <f t="shared" si="100"/>
        <v>0</v>
      </c>
      <c r="M334" s="3396">
        <f t="shared" si="100"/>
        <v>0</v>
      </c>
      <c r="N334" s="3396">
        <f t="shared" si="100"/>
        <v>0</v>
      </c>
      <c r="O334" s="3395">
        <f t="shared" si="99"/>
        <v>0</v>
      </c>
      <c r="P334" s="3396">
        <f t="shared" si="99"/>
        <v>0</v>
      </c>
      <c r="Q334" s="3396">
        <f t="shared" si="99"/>
        <v>0</v>
      </c>
      <c r="R334" s="3395">
        <f t="shared" si="99"/>
        <v>0</v>
      </c>
      <c r="S334" s="3396">
        <f t="shared" si="99"/>
        <v>0</v>
      </c>
      <c r="T334" s="3396">
        <f t="shared" si="99"/>
        <v>0</v>
      </c>
      <c r="U334" s="3395">
        <f t="shared" si="99"/>
        <v>0</v>
      </c>
      <c r="V334" s="3396">
        <f t="shared" si="99"/>
        <v>0</v>
      </c>
      <c r="W334" s="3396">
        <f t="shared" si="99"/>
        <v>0</v>
      </c>
      <c r="X334" s="3386"/>
      <c r="Y334" s="3386"/>
      <c r="Z334" s="3386"/>
      <c r="AA334" s="3391"/>
    </row>
    <row r="335" spans="2:27" ht="18" hidden="1">
      <c r="B335" s="3350"/>
      <c r="C335" s="3407"/>
      <c r="D335" s="3350"/>
      <c r="E335" s="3404">
        <v>1093000107</v>
      </c>
      <c r="F335" s="3406"/>
      <c r="G335" s="3387"/>
      <c r="H335" s="3383">
        <f t="shared" si="88"/>
        <v>0</v>
      </c>
      <c r="I335" s="3386"/>
      <c r="J335" s="3387"/>
      <c r="K335" s="3383">
        <f t="shared" si="89"/>
        <v>0</v>
      </c>
      <c r="L335" s="3395">
        <f t="shared" si="100"/>
        <v>0</v>
      </c>
      <c r="M335" s="3396">
        <f t="shared" si="100"/>
        <v>0</v>
      </c>
      <c r="N335" s="3396">
        <f t="shared" si="100"/>
        <v>0</v>
      </c>
      <c r="O335" s="3395">
        <f t="shared" si="99"/>
        <v>0</v>
      </c>
      <c r="P335" s="3396">
        <f t="shared" si="99"/>
        <v>0</v>
      </c>
      <c r="Q335" s="3396">
        <f t="shared" si="99"/>
        <v>0</v>
      </c>
      <c r="R335" s="3395">
        <f t="shared" si="99"/>
        <v>0</v>
      </c>
      <c r="S335" s="3396">
        <f t="shared" si="99"/>
        <v>0</v>
      </c>
      <c r="T335" s="3396">
        <f t="shared" si="99"/>
        <v>0</v>
      </c>
      <c r="U335" s="3395">
        <f t="shared" si="99"/>
        <v>0</v>
      </c>
      <c r="V335" s="3396">
        <f t="shared" si="99"/>
        <v>0</v>
      </c>
      <c r="W335" s="3396">
        <f t="shared" si="99"/>
        <v>0</v>
      </c>
      <c r="X335" s="3386"/>
      <c r="Y335" s="3386"/>
      <c r="Z335" s="3386"/>
      <c r="AA335" s="3391"/>
    </row>
    <row r="336" spans="2:27" ht="18" hidden="1">
      <c r="B336" s="3350"/>
      <c r="C336" s="3407"/>
      <c r="D336" s="3350"/>
      <c r="E336" s="3404">
        <v>1093000108</v>
      </c>
      <c r="F336" s="3406"/>
      <c r="G336" s="3387"/>
      <c r="H336" s="3383">
        <f t="shared" si="88"/>
        <v>0</v>
      </c>
      <c r="I336" s="3386"/>
      <c r="J336" s="3387"/>
      <c r="K336" s="3383">
        <f t="shared" si="89"/>
        <v>0</v>
      </c>
      <c r="L336" s="3395">
        <f t="shared" si="100"/>
        <v>0</v>
      </c>
      <c r="M336" s="3396">
        <f t="shared" si="100"/>
        <v>0</v>
      </c>
      <c r="N336" s="3396">
        <f t="shared" si="100"/>
        <v>0</v>
      </c>
      <c r="O336" s="3395">
        <f t="shared" si="99"/>
        <v>0</v>
      </c>
      <c r="P336" s="3396">
        <f t="shared" si="99"/>
        <v>0</v>
      </c>
      <c r="Q336" s="3396">
        <f t="shared" si="99"/>
        <v>0</v>
      </c>
      <c r="R336" s="3395">
        <f t="shared" si="99"/>
        <v>0</v>
      </c>
      <c r="S336" s="3396">
        <f t="shared" si="99"/>
        <v>0</v>
      </c>
      <c r="T336" s="3396">
        <f t="shared" si="99"/>
        <v>0</v>
      </c>
      <c r="U336" s="3395">
        <f t="shared" si="99"/>
        <v>0</v>
      </c>
      <c r="V336" s="3396">
        <f t="shared" si="99"/>
        <v>0</v>
      </c>
      <c r="W336" s="3396">
        <f t="shared" si="99"/>
        <v>0</v>
      </c>
      <c r="X336" s="3386"/>
      <c r="Y336" s="3386"/>
      <c r="Z336" s="3386"/>
      <c r="AA336" s="3391"/>
    </row>
    <row r="337" spans="2:27" ht="18" hidden="1">
      <c r="B337" s="3350"/>
      <c r="C337" s="3407"/>
      <c r="D337" s="3350"/>
      <c r="E337" s="3404">
        <v>1093000109</v>
      </c>
      <c r="F337" s="3406"/>
      <c r="G337" s="3387"/>
      <c r="H337" s="3383">
        <f t="shared" si="88"/>
        <v>0</v>
      </c>
      <c r="I337" s="3386"/>
      <c r="J337" s="3387"/>
      <c r="K337" s="3383">
        <f t="shared" si="89"/>
        <v>0</v>
      </c>
      <c r="L337" s="3395">
        <f t="shared" si="100"/>
        <v>0</v>
      </c>
      <c r="M337" s="3396">
        <f t="shared" si="100"/>
        <v>0</v>
      </c>
      <c r="N337" s="3396">
        <f t="shared" si="100"/>
        <v>0</v>
      </c>
      <c r="O337" s="3395">
        <f t="shared" si="99"/>
        <v>0</v>
      </c>
      <c r="P337" s="3396">
        <f t="shared" si="99"/>
        <v>0</v>
      </c>
      <c r="Q337" s="3396">
        <f t="shared" si="99"/>
        <v>0</v>
      </c>
      <c r="R337" s="3395">
        <f t="shared" si="99"/>
        <v>0</v>
      </c>
      <c r="S337" s="3396">
        <f t="shared" si="99"/>
        <v>0</v>
      </c>
      <c r="T337" s="3396">
        <f t="shared" si="99"/>
        <v>0</v>
      </c>
      <c r="U337" s="3395">
        <f t="shared" si="99"/>
        <v>0</v>
      </c>
      <c r="V337" s="3396">
        <f t="shared" si="99"/>
        <v>0</v>
      </c>
      <c r="W337" s="3396">
        <f t="shared" si="99"/>
        <v>0</v>
      </c>
      <c r="X337" s="3386"/>
      <c r="Y337" s="3386"/>
      <c r="Z337" s="3386"/>
      <c r="AA337" s="3391"/>
    </row>
    <row r="338" spans="2:27" ht="18" hidden="1">
      <c r="B338" s="3350"/>
      <c r="C338" s="3407"/>
      <c r="D338" s="3350"/>
      <c r="E338" s="3404">
        <v>1093000110</v>
      </c>
      <c r="F338" s="3406"/>
      <c r="G338" s="3387"/>
      <c r="H338" s="3383">
        <f t="shared" si="88"/>
        <v>0</v>
      </c>
      <c r="I338" s="3386"/>
      <c r="J338" s="3387"/>
      <c r="K338" s="3383">
        <f t="shared" si="89"/>
        <v>0</v>
      </c>
      <c r="L338" s="3395">
        <f t="shared" si="100"/>
        <v>0</v>
      </c>
      <c r="M338" s="3396">
        <f t="shared" si="100"/>
        <v>0</v>
      </c>
      <c r="N338" s="3396">
        <f t="shared" si="100"/>
        <v>0</v>
      </c>
      <c r="O338" s="3395">
        <f t="shared" si="99"/>
        <v>0</v>
      </c>
      <c r="P338" s="3396">
        <f t="shared" si="99"/>
        <v>0</v>
      </c>
      <c r="Q338" s="3396">
        <f t="shared" si="99"/>
        <v>0</v>
      </c>
      <c r="R338" s="3395">
        <f t="shared" si="99"/>
        <v>0</v>
      </c>
      <c r="S338" s="3396">
        <f t="shared" si="99"/>
        <v>0</v>
      </c>
      <c r="T338" s="3396">
        <f t="shared" si="99"/>
        <v>0</v>
      </c>
      <c r="U338" s="3395">
        <f t="shared" si="99"/>
        <v>0</v>
      </c>
      <c r="V338" s="3396">
        <f t="shared" si="99"/>
        <v>0</v>
      </c>
      <c r="W338" s="3396">
        <f t="shared" si="99"/>
        <v>0</v>
      </c>
      <c r="X338" s="3386"/>
      <c r="Y338" s="3386"/>
      <c r="Z338" s="3386"/>
      <c r="AA338" s="3391"/>
    </row>
    <row r="339" spans="2:27" ht="18" hidden="1">
      <c r="B339" s="3350"/>
      <c r="C339" s="3407"/>
      <c r="D339" s="3350"/>
      <c r="E339" s="3404">
        <v>1093000111</v>
      </c>
      <c r="F339" s="3406"/>
      <c r="G339" s="3387"/>
      <c r="H339" s="3383">
        <f t="shared" si="88"/>
        <v>0</v>
      </c>
      <c r="I339" s="3386"/>
      <c r="J339" s="3387"/>
      <c r="K339" s="3383">
        <f t="shared" si="89"/>
        <v>0</v>
      </c>
      <c r="L339" s="3395">
        <f t="shared" si="100"/>
        <v>0</v>
      </c>
      <c r="M339" s="3396">
        <f t="shared" si="100"/>
        <v>0</v>
      </c>
      <c r="N339" s="3396">
        <f t="shared" si="100"/>
        <v>0</v>
      </c>
      <c r="O339" s="3395">
        <f t="shared" si="99"/>
        <v>0</v>
      </c>
      <c r="P339" s="3396">
        <f t="shared" si="99"/>
        <v>0</v>
      </c>
      <c r="Q339" s="3396">
        <f t="shared" si="99"/>
        <v>0</v>
      </c>
      <c r="R339" s="3395">
        <f t="shared" si="99"/>
        <v>0</v>
      </c>
      <c r="S339" s="3396">
        <f t="shared" si="99"/>
        <v>0</v>
      </c>
      <c r="T339" s="3396">
        <f t="shared" si="99"/>
        <v>0</v>
      </c>
      <c r="U339" s="3395">
        <f t="shared" si="99"/>
        <v>0</v>
      </c>
      <c r="V339" s="3396">
        <f t="shared" si="99"/>
        <v>0</v>
      </c>
      <c r="W339" s="3396">
        <f t="shared" si="99"/>
        <v>0</v>
      </c>
      <c r="X339" s="3386"/>
      <c r="Y339" s="3386"/>
      <c r="Z339" s="3386"/>
      <c r="AA339" s="3391"/>
    </row>
    <row r="340" spans="2:27" ht="18" hidden="1">
      <c r="B340" s="3350"/>
      <c r="C340" s="3407"/>
      <c r="D340" s="3350"/>
      <c r="E340" s="3404">
        <v>1093000112</v>
      </c>
      <c r="F340" s="3406"/>
      <c r="G340" s="3387"/>
      <c r="H340" s="3383">
        <f t="shared" si="88"/>
        <v>0</v>
      </c>
      <c r="I340" s="3386"/>
      <c r="J340" s="3387"/>
      <c r="K340" s="3383">
        <f t="shared" si="89"/>
        <v>0</v>
      </c>
      <c r="L340" s="3395">
        <f t="shared" si="100"/>
        <v>0</v>
      </c>
      <c r="M340" s="3396">
        <f t="shared" si="100"/>
        <v>0</v>
      </c>
      <c r="N340" s="3396">
        <f t="shared" si="100"/>
        <v>0</v>
      </c>
      <c r="O340" s="3395">
        <f t="shared" si="99"/>
        <v>0</v>
      </c>
      <c r="P340" s="3396">
        <f t="shared" si="99"/>
        <v>0</v>
      </c>
      <c r="Q340" s="3396">
        <f t="shared" si="99"/>
        <v>0</v>
      </c>
      <c r="R340" s="3395">
        <f t="shared" si="99"/>
        <v>0</v>
      </c>
      <c r="S340" s="3396">
        <f t="shared" si="99"/>
        <v>0</v>
      </c>
      <c r="T340" s="3396">
        <f t="shared" si="99"/>
        <v>0</v>
      </c>
      <c r="U340" s="3395">
        <f t="shared" si="99"/>
        <v>0</v>
      </c>
      <c r="V340" s="3396">
        <f t="shared" si="99"/>
        <v>0</v>
      </c>
      <c r="W340" s="3396">
        <f t="shared" si="99"/>
        <v>0</v>
      </c>
      <c r="X340" s="3386"/>
      <c r="Y340" s="3386"/>
      <c r="Z340" s="3386"/>
      <c r="AA340" s="3391"/>
    </row>
    <row r="341" spans="2:27" ht="18" hidden="1">
      <c r="B341" s="3350"/>
      <c r="C341" s="3407"/>
      <c r="D341" s="3350"/>
      <c r="E341" s="3404">
        <v>1093000113</v>
      </c>
      <c r="F341" s="3406"/>
      <c r="G341" s="3387"/>
      <c r="H341" s="3383">
        <f t="shared" si="88"/>
        <v>0</v>
      </c>
      <c r="I341" s="3386"/>
      <c r="J341" s="3387"/>
      <c r="K341" s="3383">
        <f t="shared" si="89"/>
        <v>0</v>
      </c>
      <c r="L341" s="3395">
        <f t="shared" si="100"/>
        <v>0</v>
      </c>
      <c r="M341" s="3396">
        <f t="shared" si="100"/>
        <v>0</v>
      </c>
      <c r="N341" s="3396">
        <f t="shared" si="100"/>
        <v>0</v>
      </c>
      <c r="O341" s="3395">
        <f t="shared" si="99"/>
        <v>0</v>
      </c>
      <c r="P341" s="3396">
        <f t="shared" si="99"/>
        <v>0</v>
      </c>
      <c r="Q341" s="3396">
        <f t="shared" si="99"/>
        <v>0</v>
      </c>
      <c r="R341" s="3395">
        <f t="shared" si="99"/>
        <v>0</v>
      </c>
      <c r="S341" s="3396">
        <f t="shared" si="99"/>
        <v>0</v>
      </c>
      <c r="T341" s="3396">
        <f t="shared" si="99"/>
        <v>0</v>
      </c>
      <c r="U341" s="3395">
        <f t="shared" si="99"/>
        <v>0</v>
      </c>
      <c r="V341" s="3396">
        <f t="shared" si="99"/>
        <v>0</v>
      </c>
      <c r="W341" s="3396">
        <f t="shared" si="99"/>
        <v>0</v>
      </c>
      <c r="X341" s="3386"/>
      <c r="Y341" s="3386"/>
      <c r="Z341" s="3386"/>
      <c r="AA341" s="3391"/>
    </row>
    <row r="342" spans="2:27" ht="18" hidden="1">
      <c r="B342" s="3350"/>
      <c r="C342" s="3407"/>
      <c r="D342" s="3350"/>
      <c r="E342" s="3404">
        <v>1093000114</v>
      </c>
      <c r="F342" s="3406"/>
      <c r="G342" s="3387"/>
      <c r="H342" s="3383">
        <f t="shared" si="88"/>
        <v>0</v>
      </c>
      <c r="I342" s="3386"/>
      <c r="J342" s="3387"/>
      <c r="K342" s="3383">
        <f t="shared" si="89"/>
        <v>0</v>
      </c>
      <c r="L342" s="3395">
        <f t="shared" si="100"/>
        <v>0</v>
      </c>
      <c r="M342" s="3396">
        <f t="shared" si="100"/>
        <v>0</v>
      </c>
      <c r="N342" s="3396">
        <f t="shared" si="100"/>
        <v>0</v>
      </c>
      <c r="O342" s="3395">
        <f t="shared" si="99"/>
        <v>0</v>
      </c>
      <c r="P342" s="3396">
        <f t="shared" si="99"/>
        <v>0</v>
      </c>
      <c r="Q342" s="3396">
        <f t="shared" si="99"/>
        <v>0</v>
      </c>
      <c r="R342" s="3395">
        <f t="shared" si="99"/>
        <v>0</v>
      </c>
      <c r="S342" s="3396">
        <f t="shared" si="99"/>
        <v>0</v>
      </c>
      <c r="T342" s="3396">
        <f t="shared" si="99"/>
        <v>0</v>
      </c>
      <c r="U342" s="3395">
        <f t="shared" si="99"/>
        <v>0</v>
      </c>
      <c r="V342" s="3396">
        <f t="shared" si="99"/>
        <v>0</v>
      </c>
      <c r="W342" s="3396">
        <f t="shared" si="99"/>
        <v>0</v>
      </c>
      <c r="X342" s="3386"/>
      <c r="Y342" s="3386"/>
      <c r="Z342" s="3386"/>
      <c r="AA342" s="3391"/>
    </row>
    <row r="343" spans="2:27" ht="18" hidden="1">
      <c r="B343" s="3350"/>
      <c r="C343" s="3407"/>
      <c r="D343" s="3350"/>
      <c r="E343" s="3404">
        <v>1093000115</v>
      </c>
      <c r="F343" s="3406"/>
      <c r="G343" s="3387"/>
      <c r="H343" s="3383">
        <f t="shared" si="88"/>
        <v>0</v>
      </c>
      <c r="I343" s="3386"/>
      <c r="J343" s="3387"/>
      <c r="K343" s="3383">
        <f t="shared" si="89"/>
        <v>0</v>
      </c>
      <c r="L343" s="3395">
        <f t="shared" si="100"/>
        <v>0</v>
      </c>
      <c r="M343" s="3396">
        <f t="shared" si="100"/>
        <v>0</v>
      </c>
      <c r="N343" s="3396">
        <f t="shared" si="100"/>
        <v>0</v>
      </c>
      <c r="O343" s="3395">
        <f t="shared" si="99"/>
        <v>0</v>
      </c>
      <c r="P343" s="3396">
        <f t="shared" si="99"/>
        <v>0</v>
      </c>
      <c r="Q343" s="3396">
        <f t="shared" si="99"/>
        <v>0</v>
      </c>
      <c r="R343" s="3395">
        <f t="shared" si="99"/>
        <v>0</v>
      </c>
      <c r="S343" s="3396">
        <f t="shared" si="99"/>
        <v>0</v>
      </c>
      <c r="T343" s="3396">
        <f t="shared" si="99"/>
        <v>0</v>
      </c>
      <c r="U343" s="3395">
        <f t="shared" si="99"/>
        <v>0</v>
      </c>
      <c r="V343" s="3396">
        <f t="shared" si="99"/>
        <v>0</v>
      </c>
      <c r="W343" s="3396">
        <f t="shared" si="99"/>
        <v>0</v>
      </c>
      <c r="X343" s="3386"/>
      <c r="Y343" s="3386"/>
      <c r="Z343" s="3386"/>
      <c r="AA343" s="3391"/>
    </row>
    <row r="344" spans="2:27" ht="18" hidden="1">
      <c r="B344" s="3350"/>
      <c r="C344" s="3407"/>
      <c r="D344" s="3350"/>
      <c r="E344" s="3404">
        <v>1093000116</v>
      </c>
      <c r="F344" s="3406"/>
      <c r="G344" s="3387"/>
      <c r="H344" s="3383">
        <f t="shared" si="88"/>
        <v>0</v>
      </c>
      <c r="I344" s="3386"/>
      <c r="J344" s="3387"/>
      <c r="K344" s="3383">
        <f t="shared" si="89"/>
        <v>0</v>
      </c>
      <c r="L344" s="3395">
        <f t="shared" si="100"/>
        <v>0</v>
      </c>
      <c r="M344" s="3396">
        <f t="shared" si="100"/>
        <v>0</v>
      </c>
      <c r="N344" s="3396">
        <f t="shared" si="100"/>
        <v>0</v>
      </c>
      <c r="O344" s="3395">
        <f t="shared" si="99"/>
        <v>0</v>
      </c>
      <c r="P344" s="3396">
        <f t="shared" si="99"/>
        <v>0</v>
      </c>
      <c r="Q344" s="3396">
        <f t="shared" si="99"/>
        <v>0</v>
      </c>
      <c r="R344" s="3395">
        <f t="shared" si="99"/>
        <v>0</v>
      </c>
      <c r="S344" s="3396">
        <f t="shared" si="99"/>
        <v>0</v>
      </c>
      <c r="T344" s="3396">
        <f t="shared" si="99"/>
        <v>0</v>
      </c>
      <c r="U344" s="3395">
        <f t="shared" si="99"/>
        <v>0</v>
      </c>
      <c r="V344" s="3396">
        <f t="shared" si="99"/>
        <v>0</v>
      </c>
      <c r="W344" s="3396">
        <f t="shared" si="99"/>
        <v>0</v>
      </c>
      <c r="X344" s="3386"/>
      <c r="Y344" s="3386"/>
      <c r="Z344" s="3386"/>
      <c r="AA344" s="3391"/>
    </row>
    <row r="345" spans="2:27" ht="18" hidden="1">
      <c r="B345" s="3350"/>
      <c r="C345" s="3407"/>
      <c r="D345" s="3350"/>
      <c r="E345" s="3404">
        <v>1093000117</v>
      </c>
      <c r="F345" s="3406"/>
      <c r="G345" s="3387"/>
      <c r="H345" s="3383">
        <f t="shared" si="88"/>
        <v>0</v>
      </c>
      <c r="I345" s="3386"/>
      <c r="J345" s="3387"/>
      <c r="K345" s="3383">
        <f t="shared" si="89"/>
        <v>0</v>
      </c>
      <c r="L345" s="3395">
        <f t="shared" si="100"/>
        <v>0</v>
      </c>
      <c r="M345" s="3396">
        <f t="shared" si="100"/>
        <v>0</v>
      </c>
      <c r="N345" s="3396">
        <f t="shared" si="100"/>
        <v>0</v>
      </c>
      <c r="O345" s="3395">
        <f t="shared" si="99"/>
        <v>0</v>
      </c>
      <c r="P345" s="3396">
        <f t="shared" si="99"/>
        <v>0</v>
      </c>
      <c r="Q345" s="3396">
        <f t="shared" si="99"/>
        <v>0</v>
      </c>
      <c r="R345" s="3395">
        <f t="shared" si="99"/>
        <v>0</v>
      </c>
      <c r="S345" s="3396">
        <f t="shared" si="99"/>
        <v>0</v>
      </c>
      <c r="T345" s="3396">
        <f t="shared" si="99"/>
        <v>0</v>
      </c>
      <c r="U345" s="3395">
        <f t="shared" si="99"/>
        <v>0</v>
      </c>
      <c r="V345" s="3396">
        <f t="shared" si="99"/>
        <v>0</v>
      </c>
      <c r="W345" s="3396">
        <f t="shared" si="99"/>
        <v>0</v>
      </c>
      <c r="X345" s="3386"/>
      <c r="Y345" s="3386"/>
      <c r="Z345" s="3386"/>
      <c r="AA345" s="3391"/>
    </row>
    <row r="346" spans="2:27" ht="18" hidden="1">
      <c r="B346" s="3350"/>
      <c r="C346" s="3407"/>
      <c r="D346" s="3350"/>
      <c r="E346" s="3404">
        <v>1093000118</v>
      </c>
      <c r="F346" s="3406"/>
      <c r="G346" s="3387"/>
      <c r="H346" s="3383">
        <f t="shared" si="88"/>
        <v>0</v>
      </c>
      <c r="I346" s="3386"/>
      <c r="J346" s="3387"/>
      <c r="K346" s="3383">
        <f t="shared" si="89"/>
        <v>0</v>
      </c>
      <c r="L346" s="3395">
        <f t="shared" si="100"/>
        <v>0</v>
      </c>
      <c r="M346" s="3396">
        <f t="shared" si="100"/>
        <v>0</v>
      </c>
      <c r="N346" s="3396">
        <f t="shared" si="100"/>
        <v>0</v>
      </c>
      <c r="O346" s="3395">
        <f t="shared" si="99"/>
        <v>0</v>
      </c>
      <c r="P346" s="3396">
        <f t="shared" si="99"/>
        <v>0</v>
      </c>
      <c r="Q346" s="3396">
        <f t="shared" si="99"/>
        <v>0</v>
      </c>
      <c r="R346" s="3395">
        <f t="shared" ref="R346:W388" si="101">(0)</f>
        <v>0</v>
      </c>
      <c r="S346" s="3396">
        <f t="shared" si="101"/>
        <v>0</v>
      </c>
      <c r="T346" s="3396">
        <f t="shared" si="101"/>
        <v>0</v>
      </c>
      <c r="U346" s="3395">
        <f t="shared" si="101"/>
        <v>0</v>
      </c>
      <c r="V346" s="3396">
        <f t="shared" si="101"/>
        <v>0</v>
      </c>
      <c r="W346" s="3396">
        <f t="shared" si="101"/>
        <v>0</v>
      </c>
      <c r="X346" s="3386"/>
      <c r="Y346" s="3386"/>
      <c r="Z346" s="3386"/>
      <c r="AA346" s="3391"/>
    </row>
    <row r="347" spans="2:27" ht="18" hidden="1">
      <c r="B347" s="3350"/>
      <c r="C347" s="3407"/>
      <c r="D347" s="3350"/>
      <c r="E347" s="3404">
        <v>1093000119</v>
      </c>
      <c r="F347" s="3406"/>
      <c r="G347" s="3387"/>
      <c r="H347" s="3383">
        <f t="shared" si="88"/>
        <v>0</v>
      </c>
      <c r="I347" s="3386"/>
      <c r="J347" s="3387"/>
      <c r="K347" s="3383">
        <f t="shared" si="89"/>
        <v>0</v>
      </c>
      <c r="L347" s="3395">
        <f t="shared" si="100"/>
        <v>0</v>
      </c>
      <c r="M347" s="3396">
        <f t="shared" si="100"/>
        <v>0</v>
      </c>
      <c r="N347" s="3396">
        <f t="shared" si="100"/>
        <v>0</v>
      </c>
      <c r="O347" s="3395">
        <f t="shared" si="100"/>
        <v>0</v>
      </c>
      <c r="P347" s="3396">
        <f t="shared" si="100"/>
        <v>0</v>
      </c>
      <c r="Q347" s="3396">
        <f t="shared" si="100"/>
        <v>0</v>
      </c>
      <c r="R347" s="3395">
        <f t="shared" si="101"/>
        <v>0</v>
      </c>
      <c r="S347" s="3396">
        <f t="shared" si="101"/>
        <v>0</v>
      </c>
      <c r="T347" s="3396">
        <f t="shared" si="101"/>
        <v>0</v>
      </c>
      <c r="U347" s="3395">
        <f t="shared" si="101"/>
        <v>0</v>
      </c>
      <c r="V347" s="3396">
        <f t="shared" si="101"/>
        <v>0</v>
      </c>
      <c r="W347" s="3396">
        <f t="shared" si="101"/>
        <v>0</v>
      </c>
      <c r="X347" s="3386"/>
      <c r="Y347" s="3386"/>
      <c r="Z347" s="3386"/>
      <c r="AA347" s="3391"/>
    </row>
    <row r="348" spans="2:27" ht="18" hidden="1">
      <c r="B348" s="3350"/>
      <c r="C348" s="3407"/>
      <c r="D348" s="3350"/>
      <c r="E348" s="3404">
        <v>1093000120</v>
      </c>
      <c r="F348" s="3406"/>
      <c r="G348" s="3387"/>
      <c r="H348" s="3383">
        <f t="shared" si="88"/>
        <v>0</v>
      </c>
      <c r="I348" s="3386"/>
      <c r="J348" s="3387"/>
      <c r="K348" s="3383">
        <f t="shared" si="89"/>
        <v>0</v>
      </c>
      <c r="L348" s="3395">
        <f t="shared" si="100"/>
        <v>0</v>
      </c>
      <c r="M348" s="3396">
        <f t="shared" si="100"/>
        <v>0</v>
      </c>
      <c r="N348" s="3396">
        <f t="shared" si="100"/>
        <v>0</v>
      </c>
      <c r="O348" s="3395">
        <f t="shared" si="100"/>
        <v>0</v>
      </c>
      <c r="P348" s="3396">
        <f t="shared" si="100"/>
        <v>0</v>
      </c>
      <c r="Q348" s="3396">
        <f t="shared" si="100"/>
        <v>0</v>
      </c>
      <c r="R348" s="3395">
        <f t="shared" si="101"/>
        <v>0</v>
      </c>
      <c r="S348" s="3396">
        <f t="shared" si="101"/>
        <v>0</v>
      </c>
      <c r="T348" s="3396">
        <f t="shared" si="101"/>
        <v>0</v>
      </c>
      <c r="U348" s="3395">
        <f t="shared" si="101"/>
        <v>0</v>
      </c>
      <c r="V348" s="3396">
        <f t="shared" si="101"/>
        <v>0</v>
      </c>
      <c r="W348" s="3396">
        <f t="shared" si="101"/>
        <v>0</v>
      </c>
      <c r="X348" s="3386"/>
      <c r="Y348" s="3386"/>
      <c r="Z348" s="3386"/>
      <c r="AA348" s="3391"/>
    </row>
    <row r="349" spans="2:27" ht="18" hidden="1">
      <c r="B349" s="3350"/>
      <c r="C349" s="3407"/>
      <c r="D349" s="3350"/>
      <c r="E349" s="3404">
        <v>1093000121</v>
      </c>
      <c r="F349" s="3406"/>
      <c r="G349" s="3387"/>
      <c r="H349" s="3383">
        <f t="shared" si="88"/>
        <v>0</v>
      </c>
      <c r="I349" s="3386"/>
      <c r="J349" s="3387"/>
      <c r="K349" s="3383">
        <f t="shared" si="89"/>
        <v>0</v>
      </c>
      <c r="L349" s="3395">
        <f t="shared" si="100"/>
        <v>0</v>
      </c>
      <c r="M349" s="3396">
        <f t="shared" si="100"/>
        <v>0</v>
      </c>
      <c r="N349" s="3396">
        <f t="shared" si="100"/>
        <v>0</v>
      </c>
      <c r="O349" s="3395">
        <f t="shared" si="100"/>
        <v>0</v>
      </c>
      <c r="P349" s="3396">
        <f t="shared" si="100"/>
        <v>0</v>
      </c>
      <c r="Q349" s="3396">
        <f t="shared" si="100"/>
        <v>0</v>
      </c>
      <c r="R349" s="3395">
        <f t="shared" si="101"/>
        <v>0</v>
      </c>
      <c r="S349" s="3396">
        <f t="shared" si="101"/>
        <v>0</v>
      </c>
      <c r="T349" s="3396">
        <f t="shared" si="101"/>
        <v>0</v>
      </c>
      <c r="U349" s="3395">
        <f t="shared" si="101"/>
        <v>0</v>
      </c>
      <c r="V349" s="3396">
        <f t="shared" si="101"/>
        <v>0</v>
      </c>
      <c r="W349" s="3396">
        <f t="shared" si="101"/>
        <v>0</v>
      </c>
      <c r="X349" s="3386"/>
      <c r="Y349" s="3386"/>
      <c r="Z349" s="3386"/>
      <c r="AA349" s="3391"/>
    </row>
    <row r="350" spans="2:27" ht="18" hidden="1">
      <c r="B350" s="3350"/>
      <c r="C350" s="3407"/>
      <c r="D350" s="3350"/>
      <c r="E350" s="3404">
        <v>1093000122</v>
      </c>
      <c r="F350" s="3406"/>
      <c r="G350" s="3387"/>
      <c r="H350" s="3383">
        <f t="shared" si="88"/>
        <v>0</v>
      </c>
      <c r="I350" s="3386"/>
      <c r="J350" s="3387"/>
      <c r="K350" s="3383">
        <f t="shared" si="89"/>
        <v>0</v>
      </c>
      <c r="L350" s="3395">
        <f t="shared" si="100"/>
        <v>0</v>
      </c>
      <c r="M350" s="3396">
        <f t="shared" si="100"/>
        <v>0</v>
      </c>
      <c r="N350" s="3396">
        <f t="shared" si="100"/>
        <v>0</v>
      </c>
      <c r="O350" s="3395">
        <f t="shared" si="100"/>
        <v>0</v>
      </c>
      <c r="P350" s="3396">
        <f t="shared" si="100"/>
        <v>0</v>
      </c>
      <c r="Q350" s="3396">
        <f t="shared" si="100"/>
        <v>0</v>
      </c>
      <c r="R350" s="3395">
        <f t="shared" si="101"/>
        <v>0</v>
      </c>
      <c r="S350" s="3396">
        <f t="shared" si="101"/>
        <v>0</v>
      </c>
      <c r="T350" s="3396">
        <f t="shared" si="101"/>
        <v>0</v>
      </c>
      <c r="U350" s="3395">
        <f t="shared" si="101"/>
        <v>0</v>
      </c>
      <c r="V350" s="3396">
        <f t="shared" si="101"/>
        <v>0</v>
      </c>
      <c r="W350" s="3396">
        <f t="shared" si="101"/>
        <v>0</v>
      </c>
      <c r="X350" s="3386"/>
      <c r="Y350" s="3386"/>
      <c r="Z350" s="3386"/>
      <c r="AA350" s="3391"/>
    </row>
    <row r="351" spans="2:27" ht="18" hidden="1">
      <c r="B351" s="3350"/>
      <c r="C351" s="3407"/>
      <c r="D351" s="3350"/>
      <c r="E351" s="3404">
        <v>1093000123</v>
      </c>
      <c r="F351" s="3406"/>
      <c r="G351" s="3387"/>
      <c r="H351" s="3383">
        <f t="shared" si="88"/>
        <v>0</v>
      </c>
      <c r="I351" s="3386"/>
      <c r="J351" s="3387"/>
      <c r="K351" s="3383">
        <f t="shared" si="89"/>
        <v>0</v>
      </c>
      <c r="L351" s="3395">
        <f t="shared" si="100"/>
        <v>0</v>
      </c>
      <c r="M351" s="3396">
        <f t="shared" si="100"/>
        <v>0</v>
      </c>
      <c r="N351" s="3396">
        <f t="shared" si="100"/>
        <v>0</v>
      </c>
      <c r="O351" s="3395">
        <f t="shared" si="100"/>
        <v>0</v>
      </c>
      <c r="P351" s="3396">
        <f t="shared" si="100"/>
        <v>0</v>
      </c>
      <c r="Q351" s="3396">
        <f t="shared" si="100"/>
        <v>0</v>
      </c>
      <c r="R351" s="3395">
        <f t="shared" si="101"/>
        <v>0</v>
      </c>
      <c r="S351" s="3396">
        <f t="shared" si="101"/>
        <v>0</v>
      </c>
      <c r="T351" s="3396">
        <f t="shared" si="101"/>
        <v>0</v>
      </c>
      <c r="U351" s="3395">
        <f t="shared" si="101"/>
        <v>0</v>
      </c>
      <c r="V351" s="3396">
        <f t="shared" si="101"/>
        <v>0</v>
      </c>
      <c r="W351" s="3396">
        <f t="shared" si="101"/>
        <v>0</v>
      </c>
      <c r="X351" s="3386"/>
      <c r="Y351" s="3386"/>
      <c r="Z351" s="3386"/>
      <c r="AA351" s="3391"/>
    </row>
    <row r="352" spans="2:27" ht="18" hidden="1">
      <c r="B352" s="3350"/>
      <c r="C352" s="3407"/>
      <c r="D352" s="3350"/>
      <c r="E352" s="3404">
        <v>1093000124</v>
      </c>
      <c r="F352" s="3406"/>
      <c r="G352" s="3387"/>
      <c r="H352" s="3383">
        <f t="shared" si="88"/>
        <v>0</v>
      </c>
      <c r="I352" s="3386"/>
      <c r="J352" s="3387"/>
      <c r="K352" s="3383">
        <f t="shared" si="89"/>
        <v>0</v>
      </c>
      <c r="L352" s="3395">
        <f t="shared" si="100"/>
        <v>0</v>
      </c>
      <c r="M352" s="3396">
        <f t="shared" si="100"/>
        <v>0</v>
      </c>
      <c r="N352" s="3396">
        <f t="shared" si="100"/>
        <v>0</v>
      </c>
      <c r="O352" s="3395">
        <f t="shared" si="100"/>
        <v>0</v>
      </c>
      <c r="P352" s="3396">
        <f t="shared" si="100"/>
        <v>0</v>
      </c>
      <c r="Q352" s="3396">
        <f t="shared" si="100"/>
        <v>0</v>
      </c>
      <c r="R352" s="3395">
        <f t="shared" si="101"/>
        <v>0</v>
      </c>
      <c r="S352" s="3396">
        <f t="shared" si="101"/>
        <v>0</v>
      </c>
      <c r="T352" s="3396">
        <f t="shared" si="101"/>
        <v>0</v>
      </c>
      <c r="U352" s="3395">
        <f t="shared" si="101"/>
        <v>0</v>
      </c>
      <c r="V352" s="3396">
        <f t="shared" si="101"/>
        <v>0</v>
      </c>
      <c r="W352" s="3396">
        <f t="shared" si="101"/>
        <v>0</v>
      </c>
      <c r="X352" s="3386"/>
      <c r="Y352" s="3386"/>
      <c r="Z352" s="3386"/>
      <c r="AA352" s="3391"/>
    </row>
    <row r="353" spans="2:27" ht="18" hidden="1">
      <c r="B353" s="3350"/>
      <c r="C353" s="3407"/>
      <c r="D353" s="3350"/>
      <c r="E353" s="3404">
        <v>1093000125</v>
      </c>
      <c r="F353" s="3406"/>
      <c r="G353" s="3387"/>
      <c r="H353" s="3383">
        <f t="shared" si="88"/>
        <v>0</v>
      </c>
      <c r="I353" s="3386"/>
      <c r="J353" s="3387"/>
      <c r="K353" s="3383">
        <f t="shared" si="89"/>
        <v>0</v>
      </c>
      <c r="L353" s="3395">
        <f t="shared" si="100"/>
        <v>0</v>
      </c>
      <c r="M353" s="3396">
        <f t="shared" si="100"/>
        <v>0</v>
      </c>
      <c r="N353" s="3396">
        <f t="shared" si="100"/>
        <v>0</v>
      </c>
      <c r="O353" s="3395">
        <f t="shared" si="100"/>
        <v>0</v>
      </c>
      <c r="P353" s="3396">
        <f t="shared" si="100"/>
        <v>0</v>
      </c>
      <c r="Q353" s="3396">
        <f t="shared" si="100"/>
        <v>0</v>
      </c>
      <c r="R353" s="3395">
        <f t="shared" si="101"/>
        <v>0</v>
      </c>
      <c r="S353" s="3396">
        <f t="shared" si="101"/>
        <v>0</v>
      </c>
      <c r="T353" s="3396">
        <f t="shared" si="101"/>
        <v>0</v>
      </c>
      <c r="U353" s="3395">
        <f t="shared" si="101"/>
        <v>0</v>
      </c>
      <c r="V353" s="3396">
        <f t="shared" si="101"/>
        <v>0</v>
      </c>
      <c r="W353" s="3396">
        <f t="shared" si="101"/>
        <v>0</v>
      </c>
      <c r="X353" s="3386"/>
      <c r="Y353" s="3386"/>
      <c r="Z353" s="3386"/>
      <c r="AA353" s="3391"/>
    </row>
    <row r="354" spans="2:27" ht="18" hidden="1">
      <c r="B354" s="3350"/>
      <c r="C354" s="3407"/>
      <c r="D354" s="3350"/>
      <c r="E354" s="3404">
        <v>1093000126</v>
      </c>
      <c r="F354" s="3406"/>
      <c r="G354" s="3387"/>
      <c r="H354" s="3383">
        <f t="shared" si="88"/>
        <v>0</v>
      </c>
      <c r="I354" s="3386"/>
      <c r="J354" s="3387"/>
      <c r="K354" s="3383">
        <f t="shared" si="89"/>
        <v>0</v>
      </c>
      <c r="L354" s="3395">
        <f t="shared" si="100"/>
        <v>0</v>
      </c>
      <c r="M354" s="3396">
        <f t="shared" si="100"/>
        <v>0</v>
      </c>
      <c r="N354" s="3396">
        <f t="shared" si="100"/>
        <v>0</v>
      </c>
      <c r="O354" s="3395">
        <f t="shared" si="100"/>
        <v>0</v>
      </c>
      <c r="P354" s="3396">
        <f t="shared" si="100"/>
        <v>0</v>
      </c>
      <c r="Q354" s="3396">
        <f t="shared" si="100"/>
        <v>0</v>
      </c>
      <c r="R354" s="3395">
        <f t="shared" si="101"/>
        <v>0</v>
      </c>
      <c r="S354" s="3396">
        <f t="shared" si="101"/>
        <v>0</v>
      </c>
      <c r="T354" s="3396">
        <f t="shared" si="101"/>
        <v>0</v>
      </c>
      <c r="U354" s="3395">
        <f t="shared" si="101"/>
        <v>0</v>
      </c>
      <c r="V354" s="3396">
        <f t="shared" si="101"/>
        <v>0</v>
      </c>
      <c r="W354" s="3396">
        <f t="shared" si="101"/>
        <v>0</v>
      </c>
      <c r="X354" s="3386"/>
      <c r="Y354" s="3386"/>
      <c r="Z354" s="3386"/>
      <c r="AA354" s="3391"/>
    </row>
    <row r="355" spans="2:27" ht="18" hidden="1">
      <c r="B355" s="3350"/>
      <c r="C355" s="3407"/>
      <c r="D355" s="3350"/>
      <c r="E355" s="3404">
        <v>1093000127</v>
      </c>
      <c r="F355" s="3406"/>
      <c r="G355" s="3387"/>
      <c r="H355" s="3383">
        <f t="shared" si="88"/>
        <v>0</v>
      </c>
      <c r="I355" s="3386"/>
      <c r="J355" s="3387"/>
      <c r="K355" s="3383">
        <f t="shared" si="89"/>
        <v>0</v>
      </c>
      <c r="L355" s="3395">
        <f t="shared" si="100"/>
        <v>0</v>
      </c>
      <c r="M355" s="3396">
        <f t="shared" si="100"/>
        <v>0</v>
      </c>
      <c r="N355" s="3396">
        <f t="shared" si="100"/>
        <v>0</v>
      </c>
      <c r="O355" s="3395">
        <f t="shared" si="100"/>
        <v>0</v>
      </c>
      <c r="P355" s="3396">
        <f t="shared" si="100"/>
        <v>0</v>
      </c>
      <c r="Q355" s="3396">
        <f t="shared" si="100"/>
        <v>0</v>
      </c>
      <c r="R355" s="3395">
        <f t="shared" si="101"/>
        <v>0</v>
      </c>
      <c r="S355" s="3396">
        <f t="shared" si="101"/>
        <v>0</v>
      </c>
      <c r="T355" s="3396">
        <f t="shared" si="101"/>
        <v>0</v>
      </c>
      <c r="U355" s="3395">
        <f t="shared" si="101"/>
        <v>0</v>
      </c>
      <c r="V355" s="3396">
        <f t="shared" si="101"/>
        <v>0</v>
      </c>
      <c r="W355" s="3396">
        <f t="shared" si="101"/>
        <v>0</v>
      </c>
      <c r="X355" s="3386"/>
      <c r="Y355" s="3386"/>
      <c r="Z355" s="3386"/>
      <c r="AA355" s="3391"/>
    </row>
    <row r="356" spans="2:27" ht="18" hidden="1">
      <c r="B356" s="3350"/>
      <c r="C356" s="3407"/>
      <c r="D356" s="3350"/>
      <c r="E356" s="3404">
        <v>1093000128</v>
      </c>
      <c r="F356" s="3406"/>
      <c r="G356" s="3387"/>
      <c r="H356" s="3383">
        <f t="shared" si="88"/>
        <v>0</v>
      </c>
      <c r="I356" s="3386"/>
      <c r="J356" s="3387"/>
      <c r="K356" s="3383">
        <f t="shared" si="89"/>
        <v>0</v>
      </c>
      <c r="L356" s="3395">
        <f t="shared" si="100"/>
        <v>0</v>
      </c>
      <c r="M356" s="3396">
        <f t="shared" si="100"/>
        <v>0</v>
      </c>
      <c r="N356" s="3396">
        <f t="shared" si="100"/>
        <v>0</v>
      </c>
      <c r="O356" s="3395">
        <f t="shared" si="100"/>
        <v>0</v>
      </c>
      <c r="P356" s="3396">
        <f t="shared" si="100"/>
        <v>0</v>
      </c>
      <c r="Q356" s="3396">
        <f t="shared" si="100"/>
        <v>0</v>
      </c>
      <c r="R356" s="3395">
        <f t="shared" si="101"/>
        <v>0</v>
      </c>
      <c r="S356" s="3396">
        <f t="shared" si="101"/>
        <v>0</v>
      </c>
      <c r="T356" s="3396">
        <f t="shared" si="101"/>
        <v>0</v>
      </c>
      <c r="U356" s="3395">
        <f t="shared" si="101"/>
        <v>0</v>
      </c>
      <c r="V356" s="3396">
        <f t="shared" si="101"/>
        <v>0</v>
      </c>
      <c r="W356" s="3396">
        <f t="shared" si="101"/>
        <v>0</v>
      </c>
      <c r="X356" s="3386"/>
      <c r="Y356" s="3386"/>
      <c r="Z356" s="3386"/>
      <c r="AA356" s="3391"/>
    </row>
    <row r="357" spans="2:27" ht="18" hidden="1">
      <c r="B357" s="3350"/>
      <c r="C357" s="3407"/>
      <c r="D357" s="3350"/>
      <c r="E357" s="3404">
        <v>1093000129</v>
      </c>
      <c r="F357" s="3406"/>
      <c r="G357" s="3387"/>
      <c r="H357" s="3383">
        <f t="shared" si="88"/>
        <v>0</v>
      </c>
      <c r="I357" s="3386"/>
      <c r="J357" s="3387"/>
      <c r="K357" s="3383">
        <f t="shared" si="89"/>
        <v>0</v>
      </c>
      <c r="L357" s="3395">
        <f t="shared" si="100"/>
        <v>0</v>
      </c>
      <c r="M357" s="3396">
        <f t="shared" si="100"/>
        <v>0</v>
      </c>
      <c r="N357" s="3396">
        <f t="shared" si="100"/>
        <v>0</v>
      </c>
      <c r="O357" s="3395">
        <f t="shared" si="100"/>
        <v>0</v>
      </c>
      <c r="P357" s="3396">
        <f t="shared" si="100"/>
        <v>0</v>
      </c>
      <c r="Q357" s="3396">
        <f t="shared" si="100"/>
        <v>0</v>
      </c>
      <c r="R357" s="3395">
        <f t="shared" si="101"/>
        <v>0</v>
      </c>
      <c r="S357" s="3396">
        <f t="shared" si="101"/>
        <v>0</v>
      </c>
      <c r="T357" s="3396">
        <f t="shared" si="101"/>
        <v>0</v>
      </c>
      <c r="U357" s="3395">
        <f t="shared" si="101"/>
        <v>0</v>
      </c>
      <c r="V357" s="3396">
        <f t="shared" si="101"/>
        <v>0</v>
      </c>
      <c r="W357" s="3396">
        <f t="shared" si="101"/>
        <v>0</v>
      </c>
      <c r="X357" s="3386"/>
      <c r="Y357" s="3386"/>
      <c r="Z357" s="3386"/>
      <c r="AA357" s="3391"/>
    </row>
    <row r="358" spans="2:27" ht="18" hidden="1">
      <c r="B358" s="3350"/>
      <c r="C358" s="3407"/>
      <c r="D358" s="3350"/>
      <c r="E358" s="3404">
        <v>1093000130</v>
      </c>
      <c r="F358" s="3406"/>
      <c r="G358" s="3387"/>
      <c r="H358" s="3383">
        <f t="shared" si="88"/>
        <v>0</v>
      </c>
      <c r="I358" s="3386"/>
      <c r="J358" s="3387"/>
      <c r="K358" s="3383">
        <f t="shared" si="89"/>
        <v>0</v>
      </c>
      <c r="L358" s="3395">
        <f t="shared" si="100"/>
        <v>0</v>
      </c>
      <c r="M358" s="3396">
        <f t="shared" si="100"/>
        <v>0</v>
      </c>
      <c r="N358" s="3396">
        <f t="shared" si="100"/>
        <v>0</v>
      </c>
      <c r="O358" s="3395">
        <f t="shared" si="100"/>
        <v>0</v>
      </c>
      <c r="P358" s="3396">
        <f t="shared" si="100"/>
        <v>0</v>
      </c>
      <c r="Q358" s="3396">
        <f t="shared" si="100"/>
        <v>0</v>
      </c>
      <c r="R358" s="3395">
        <f t="shared" si="101"/>
        <v>0</v>
      </c>
      <c r="S358" s="3396">
        <f t="shared" si="101"/>
        <v>0</v>
      </c>
      <c r="T358" s="3396">
        <f t="shared" si="101"/>
        <v>0</v>
      </c>
      <c r="U358" s="3395">
        <f t="shared" si="101"/>
        <v>0</v>
      </c>
      <c r="V358" s="3396">
        <f t="shared" si="101"/>
        <v>0</v>
      </c>
      <c r="W358" s="3396">
        <f t="shared" si="101"/>
        <v>0</v>
      </c>
      <c r="X358" s="3386"/>
      <c r="Y358" s="3386"/>
      <c r="Z358" s="3386"/>
      <c r="AA358" s="3391"/>
    </row>
    <row r="359" spans="2:27" ht="18" hidden="1">
      <c r="B359" s="3350"/>
      <c r="C359" s="3407"/>
      <c r="D359" s="3350"/>
      <c r="E359" s="3404">
        <v>1093000131</v>
      </c>
      <c r="F359" s="3406"/>
      <c r="G359" s="3387"/>
      <c r="H359" s="3383">
        <f t="shared" si="88"/>
        <v>0</v>
      </c>
      <c r="I359" s="3386"/>
      <c r="J359" s="3387"/>
      <c r="K359" s="3383">
        <f t="shared" si="89"/>
        <v>0</v>
      </c>
      <c r="L359" s="3395">
        <f t="shared" si="100"/>
        <v>0</v>
      </c>
      <c r="M359" s="3396">
        <f t="shared" si="100"/>
        <v>0</v>
      </c>
      <c r="N359" s="3396">
        <f t="shared" si="100"/>
        <v>0</v>
      </c>
      <c r="O359" s="3395">
        <f t="shared" si="100"/>
        <v>0</v>
      </c>
      <c r="P359" s="3396">
        <f t="shared" si="100"/>
        <v>0</v>
      </c>
      <c r="Q359" s="3396">
        <f t="shared" si="100"/>
        <v>0</v>
      </c>
      <c r="R359" s="3395">
        <f t="shared" si="101"/>
        <v>0</v>
      </c>
      <c r="S359" s="3396">
        <f t="shared" si="101"/>
        <v>0</v>
      </c>
      <c r="T359" s="3396">
        <f t="shared" si="101"/>
        <v>0</v>
      </c>
      <c r="U359" s="3395">
        <f t="shared" si="101"/>
        <v>0</v>
      </c>
      <c r="V359" s="3396">
        <f t="shared" si="101"/>
        <v>0</v>
      </c>
      <c r="W359" s="3396">
        <f t="shared" si="101"/>
        <v>0</v>
      </c>
      <c r="X359" s="3386"/>
      <c r="Y359" s="3386"/>
      <c r="Z359" s="3386"/>
      <c r="AA359" s="3391"/>
    </row>
    <row r="360" spans="2:27" ht="18" hidden="1">
      <c r="B360" s="3350"/>
      <c r="C360" s="3407"/>
      <c r="D360" s="3350"/>
      <c r="E360" s="3404">
        <v>1093000132</v>
      </c>
      <c r="F360" s="3406"/>
      <c r="G360" s="3387"/>
      <c r="H360" s="3383">
        <f t="shared" si="88"/>
        <v>0</v>
      </c>
      <c r="I360" s="3386"/>
      <c r="J360" s="3387"/>
      <c r="K360" s="3383">
        <f t="shared" si="89"/>
        <v>0</v>
      </c>
      <c r="L360" s="3395">
        <f t="shared" si="100"/>
        <v>0</v>
      </c>
      <c r="M360" s="3396">
        <f t="shared" si="100"/>
        <v>0</v>
      </c>
      <c r="N360" s="3396">
        <f t="shared" si="100"/>
        <v>0</v>
      </c>
      <c r="O360" s="3395">
        <f t="shared" si="100"/>
        <v>0</v>
      </c>
      <c r="P360" s="3396">
        <f t="shared" si="100"/>
        <v>0</v>
      </c>
      <c r="Q360" s="3396">
        <f t="shared" si="100"/>
        <v>0</v>
      </c>
      <c r="R360" s="3395">
        <f t="shared" si="101"/>
        <v>0</v>
      </c>
      <c r="S360" s="3396">
        <f t="shared" si="101"/>
        <v>0</v>
      </c>
      <c r="T360" s="3396">
        <f t="shared" si="101"/>
        <v>0</v>
      </c>
      <c r="U360" s="3395">
        <f t="shared" si="101"/>
        <v>0</v>
      </c>
      <c r="V360" s="3396">
        <f t="shared" si="101"/>
        <v>0</v>
      </c>
      <c r="W360" s="3396">
        <f t="shared" si="101"/>
        <v>0</v>
      </c>
      <c r="X360" s="3386"/>
      <c r="Y360" s="3386"/>
      <c r="Z360" s="3386"/>
      <c r="AA360" s="3391"/>
    </row>
    <row r="361" spans="2:27" ht="18" hidden="1">
      <c r="B361" s="3350"/>
      <c r="C361" s="3407"/>
      <c r="D361" s="3350"/>
      <c r="E361" s="3404">
        <v>1093000133</v>
      </c>
      <c r="F361" s="3406"/>
      <c r="G361" s="3387"/>
      <c r="H361" s="3383">
        <f t="shared" si="88"/>
        <v>0</v>
      </c>
      <c r="I361" s="3386"/>
      <c r="J361" s="3387"/>
      <c r="K361" s="3383">
        <f t="shared" si="89"/>
        <v>0</v>
      </c>
      <c r="L361" s="3395">
        <f t="shared" si="100"/>
        <v>0</v>
      </c>
      <c r="M361" s="3396">
        <f t="shared" si="100"/>
        <v>0</v>
      </c>
      <c r="N361" s="3396">
        <f t="shared" si="100"/>
        <v>0</v>
      </c>
      <c r="O361" s="3395">
        <f t="shared" si="100"/>
        <v>0</v>
      </c>
      <c r="P361" s="3396">
        <f t="shared" si="100"/>
        <v>0</v>
      </c>
      <c r="Q361" s="3396">
        <f t="shared" si="100"/>
        <v>0</v>
      </c>
      <c r="R361" s="3395">
        <f t="shared" si="101"/>
        <v>0</v>
      </c>
      <c r="S361" s="3396">
        <f t="shared" si="101"/>
        <v>0</v>
      </c>
      <c r="T361" s="3396">
        <f t="shared" si="101"/>
        <v>0</v>
      </c>
      <c r="U361" s="3395">
        <f t="shared" si="101"/>
        <v>0</v>
      </c>
      <c r="V361" s="3396">
        <f t="shared" si="101"/>
        <v>0</v>
      </c>
      <c r="W361" s="3396">
        <f t="shared" si="101"/>
        <v>0</v>
      </c>
      <c r="X361" s="3386"/>
      <c r="Y361" s="3386"/>
      <c r="Z361" s="3386"/>
      <c r="AA361" s="3391"/>
    </row>
    <row r="362" spans="2:27" ht="18" hidden="1">
      <c r="B362" s="3350"/>
      <c r="C362" s="3407"/>
      <c r="D362" s="3350"/>
      <c r="E362" s="3404">
        <v>1093000134</v>
      </c>
      <c r="F362" s="3406"/>
      <c r="G362" s="3387"/>
      <c r="H362" s="3383">
        <f t="shared" si="88"/>
        <v>0</v>
      </c>
      <c r="I362" s="3386"/>
      <c r="J362" s="3387"/>
      <c r="K362" s="3383">
        <f t="shared" si="89"/>
        <v>0</v>
      </c>
      <c r="L362" s="3395">
        <f t="shared" si="100"/>
        <v>0</v>
      </c>
      <c r="M362" s="3396">
        <f t="shared" si="100"/>
        <v>0</v>
      </c>
      <c r="N362" s="3396">
        <f t="shared" si="100"/>
        <v>0</v>
      </c>
      <c r="O362" s="3395">
        <f t="shared" si="100"/>
        <v>0</v>
      </c>
      <c r="P362" s="3396">
        <f t="shared" si="100"/>
        <v>0</v>
      </c>
      <c r="Q362" s="3396">
        <f t="shared" si="100"/>
        <v>0</v>
      </c>
      <c r="R362" s="3395">
        <f t="shared" si="101"/>
        <v>0</v>
      </c>
      <c r="S362" s="3396">
        <f t="shared" si="101"/>
        <v>0</v>
      </c>
      <c r="T362" s="3396">
        <f t="shared" si="101"/>
        <v>0</v>
      </c>
      <c r="U362" s="3395">
        <f t="shared" si="101"/>
        <v>0</v>
      </c>
      <c r="V362" s="3396">
        <f t="shared" si="101"/>
        <v>0</v>
      </c>
      <c r="W362" s="3396">
        <f t="shared" si="101"/>
        <v>0</v>
      </c>
      <c r="X362" s="3386"/>
      <c r="Y362" s="3386"/>
      <c r="Z362" s="3386"/>
      <c r="AA362" s="3391"/>
    </row>
    <row r="363" spans="2:27" ht="18" hidden="1">
      <c r="B363" s="3350"/>
      <c r="C363" s="3407"/>
      <c r="D363" s="3350"/>
      <c r="E363" s="3404">
        <v>1093000135</v>
      </c>
      <c r="F363" s="3406"/>
      <c r="G363" s="3387"/>
      <c r="H363" s="3383">
        <f t="shared" si="88"/>
        <v>0</v>
      </c>
      <c r="I363" s="3386"/>
      <c r="J363" s="3387"/>
      <c r="K363" s="3383">
        <f t="shared" si="89"/>
        <v>0</v>
      </c>
      <c r="L363" s="3395">
        <f t="shared" si="100"/>
        <v>0</v>
      </c>
      <c r="M363" s="3396">
        <f t="shared" si="100"/>
        <v>0</v>
      </c>
      <c r="N363" s="3396">
        <f t="shared" si="100"/>
        <v>0</v>
      </c>
      <c r="O363" s="3395">
        <f t="shared" si="100"/>
        <v>0</v>
      </c>
      <c r="P363" s="3396">
        <f t="shared" si="100"/>
        <v>0</v>
      </c>
      <c r="Q363" s="3396">
        <f t="shared" si="100"/>
        <v>0</v>
      </c>
      <c r="R363" s="3395">
        <f t="shared" si="101"/>
        <v>0</v>
      </c>
      <c r="S363" s="3396">
        <f t="shared" si="101"/>
        <v>0</v>
      </c>
      <c r="T363" s="3396">
        <f t="shared" si="101"/>
        <v>0</v>
      </c>
      <c r="U363" s="3395">
        <f t="shared" si="101"/>
        <v>0</v>
      </c>
      <c r="V363" s="3396">
        <f t="shared" si="101"/>
        <v>0</v>
      </c>
      <c r="W363" s="3396">
        <f t="shared" si="101"/>
        <v>0</v>
      </c>
      <c r="X363" s="3386"/>
      <c r="Y363" s="3386"/>
      <c r="Z363" s="3386"/>
      <c r="AA363" s="3391"/>
    </row>
    <row r="364" spans="2:27" ht="18" hidden="1">
      <c r="B364" s="3350"/>
      <c r="C364" s="3407"/>
      <c r="D364" s="3350"/>
      <c r="E364" s="3404">
        <v>1093000136</v>
      </c>
      <c r="F364" s="3406"/>
      <c r="G364" s="3387"/>
      <c r="H364" s="3383">
        <f t="shared" si="88"/>
        <v>0</v>
      </c>
      <c r="I364" s="3386"/>
      <c r="J364" s="3387"/>
      <c r="K364" s="3383">
        <f t="shared" si="89"/>
        <v>0</v>
      </c>
      <c r="L364" s="3395">
        <f t="shared" si="100"/>
        <v>0</v>
      </c>
      <c r="M364" s="3396">
        <f t="shared" si="100"/>
        <v>0</v>
      </c>
      <c r="N364" s="3396">
        <f t="shared" si="100"/>
        <v>0</v>
      </c>
      <c r="O364" s="3395">
        <f t="shared" si="100"/>
        <v>0</v>
      </c>
      <c r="P364" s="3396">
        <f t="shared" si="100"/>
        <v>0</v>
      </c>
      <c r="Q364" s="3396">
        <f t="shared" si="100"/>
        <v>0</v>
      </c>
      <c r="R364" s="3395">
        <f t="shared" si="101"/>
        <v>0</v>
      </c>
      <c r="S364" s="3396">
        <f t="shared" si="101"/>
        <v>0</v>
      </c>
      <c r="T364" s="3396">
        <f t="shared" si="101"/>
        <v>0</v>
      </c>
      <c r="U364" s="3395">
        <f t="shared" si="101"/>
        <v>0</v>
      </c>
      <c r="V364" s="3396">
        <f t="shared" si="101"/>
        <v>0</v>
      </c>
      <c r="W364" s="3396">
        <f t="shared" si="101"/>
        <v>0</v>
      </c>
      <c r="X364" s="3386"/>
      <c r="Y364" s="3386"/>
      <c r="Z364" s="3386"/>
      <c r="AA364" s="3391"/>
    </row>
    <row r="365" spans="2:27" ht="18" hidden="1">
      <c r="B365" s="3350"/>
      <c r="C365" s="3407"/>
      <c r="D365" s="3350"/>
      <c r="E365" s="3404">
        <v>1093000137</v>
      </c>
      <c r="F365" s="3406"/>
      <c r="G365" s="3387"/>
      <c r="H365" s="3383">
        <f t="shared" si="88"/>
        <v>0</v>
      </c>
      <c r="I365" s="3386"/>
      <c r="J365" s="3387"/>
      <c r="K365" s="3383">
        <f t="shared" si="89"/>
        <v>0</v>
      </c>
      <c r="L365" s="3395">
        <f t="shared" si="100"/>
        <v>0</v>
      </c>
      <c r="M365" s="3396">
        <f t="shared" si="100"/>
        <v>0</v>
      </c>
      <c r="N365" s="3396">
        <f t="shared" si="100"/>
        <v>0</v>
      </c>
      <c r="O365" s="3395">
        <f t="shared" si="100"/>
        <v>0</v>
      </c>
      <c r="P365" s="3396">
        <f t="shared" si="100"/>
        <v>0</v>
      </c>
      <c r="Q365" s="3396">
        <f t="shared" si="100"/>
        <v>0</v>
      </c>
      <c r="R365" s="3395">
        <f t="shared" si="101"/>
        <v>0</v>
      </c>
      <c r="S365" s="3396">
        <f t="shared" si="101"/>
        <v>0</v>
      </c>
      <c r="T365" s="3396">
        <f t="shared" si="101"/>
        <v>0</v>
      </c>
      <c r="U365" s="3395">
        <f t="shared" si="101"/>
        <v>0</v>
      </c>
      <c r="V365" s="3396">
        <f t="shared" si="101"/>
        <v>0</v>
      </c>
      <c r="W365" s="3396">
        <f t="shared" si="101"/>
        <v>0</v>
      </c>
      <c r="X365" s="3386"/>
      <c r="Y365" s="3386"/>
      <c r="Z365" s="3386"/>
      <c r="AA365" s="3391"/>
    </row>
    <row r="366" spans="2:27" ht="18" hidden="1">
      <c r="B366" s="3350"/>
      <c r="C366" s="3407"/>
      <c r="D366" s="3350"/>
      <c r="E366" s="3404">
        <v>1093000138</v>
      </c>
      <c r="F366" s="3406"/>
      <c r="G366" s="3387"/>
      <c r="H366" s="3383">
        <f t="shared" si="88"/>
        <v>0</v>
      </c>
      <c r="I366" s="3386"/>
      <c r="J366" s="3387"/>
      <c r="K366" s="3383">
        <f t="shared" si="89"/>
        <v>0</v>
      </c>
      <c r="L366" s="3395">
        <f t="shared" si="100"/>
        <v>0</v>
      </c>
      <c r="M366" s="3396">
        <f t="shared" si="100"/>
        <v>0</v>
      </c>
      <c r="N366" s="3396">
        <f t="shared" si="100"/>
        <v>0</v>
      </c>
      <c r="O366" s="3395">
        <f t="shared" si="100"/>
        <v>0</v>
      </c>
      <c r="P366" s="3396">
        <f t="shared" si="100"/>
        <v>0</v>
      </c>
      <c r="Q366" s="3396">
        <f t="shared" si="100"/>
        <v>0</v>
      </c>
      <c r="R366" s="3395">
        <f t="shared" si="101"/>
        <v>0</v>
      </c>
      <c r="S366" s="3396">
        <f t="shared" si="101"/>
        <v>0</v>
      </c>
      <c r="T366" s="3396">
        <f t="shared" si="101"/>
        <v>0</v>
      </c>
      <c r="U366" s="3395">
        <f t="shared" si="101"/>
        <v>0</v>
      </c>
      <c r="V366" s="3396">
        <f t="shared" si="101"/>
        <v>0</v>
      </c>
      <c r="W366" s="3396">
        <f t="shared" si="101"/>
        <v>0</v>
      </c>
      <c r="X366" s="3386"/>
      <c r="Y366" s="3386"/>
      <c r="Z366" s="3386"/>
      <c r="AA366" s="3391"/>
    </row>
    <row r="367" spans="2:27" ht="18" hidden="1">
      <c r="B367" s="3350"/>
      <c r="C367" s="3407"/>
      <c r="D367" s="3350"/>
      <c r="E367" s="3404">
        <v>1093000139</v>
      </c>
      <c r="F367" s="3406"/>
      <c r="G367" s="3387"/>
      <c r="H367" s="3383">
        <f t="shared" si="88"/>
        <v>0</v>
      </c>
      <c r="I367" s="3386"/>
      <c r="J367" s="3387"/>
      <c r="K367" s="3383">
        <f t="shared" si="89"/>
        <v>0</v>
      </c>
      <c r="L367" s="3395">
        <f t="shared" si="100"/>
        <v>0</v>
      </c>
      <c r="M367" s="3396">
        <f t="shared" si="100"/>
        <v>0</v>
      </c>
      <c r="N367" s="3396">
        <f t="shared" si="100"/>
        <v>0</v>
      </c>
      <c r="O367" s="3395">
        <f t="shared" si="100"/>
        <v>0</v>
      </c>
      <c r="P367" s="3396">
        <f t="shared" si="100"/>
        <v>0</v>
      </c>
      <c r="Q367" s="3396">
        <f t="shared" si="100"/>
        <v>0</v>
      </c>
      <c r="R367" s="3395">
        <f t="shared" si="101"/>
        <v>0</v>
      </c>
      <c r="S367" s="3396">
        <f t="shared" si="101"/>
        <v>0</v>
      </c>
      <c r="T367" s="3396">
        <f t="shared" si="101"/>
        <v>0</v>
      </c>
      <c r="U367" s="3395">
        <f t="shared" si="101"/>
        <v>0</v>
      </c>
      <c r="V367" s="3396">
        <f t="shared" si="101"/>
        <v>0</v>
      </c>
      <c r="W367" s="3396">
        <f t="shared" si="101"/>
        <v>0</v>
      </c>
      <c r="X367" s="3386"/>
      <c r="Y367" s="3386"/>
      <c r="Z367" s="3386"/>
      <c r="AA367" s="3391"/>
    </row>
    <row r="368" spans="2:27" ht="18" hidden="1">
      <c r="B368" s="3350"/>
      <c r="C368" s="3407"/>
      <c r="D368" s="3350"/>
      <c r="E368" s="3404">
        <v>1093000140</v>
      </c>
      <c r="F368" s="3406"/>
      <c r="G368" s="3387"/>
      <c r="H368" s="3383">
        <f t="shared" si="88"/>
        <v>0</v>
      </c>
      <c r="I368" s="3386"/>
      <c r="J368" s="3387"/>
      <c r="K368" s="3383">
        <f t="shared" si="89"/>
        <v>0</v>
      </c>
      <c r="L368" s="3395">
        <f t="shared" si="100"/>
        <v>0</v>
      </c>
      <c r="M368" s="3396">
        <f t="shared" si="100"/>
        <v>0</v>
      </c>
      <c r="N368" s="3396">
        <f t="shared" si="100"/>
        <v>0</v>
      </c>
      <c r="O368" s="3395">
        <f t="shared" si="100"/>
        <v>0</v>
      </c>
      <c r="P368" s="3396">
        <f t="shared" si="100"/>
        <v>0</v>
      </c>
      <c r="Q368" s="3396">
        <f t="shared" si="100"/>
        <v>0</v>
      </c>
      <c r="R368" s="3395">
        <f t="shared" si="101"/>
        <v>0</v>
      </c>
      <c r="S368" s="3396">
        <f t="shared" si="101"/>
        <v>0</v>
      </c>
      <c r="T368" s="3396">
        <f t="shared" si="101"/>
        <v>0</v>
      </c>
      <c r="U368" s="3395">
        <f t="shared" si="101"/>
        <v>0</v>
      </c>
      <c r="V368" s="3396">
        <f t="shared" si="101"/>
        <v>0</v>
      </c>
      <c r="W368" s="3396">
        <f t="shared" si="101"/>
        <v>0</v>
      </c>
      <c r="X368" s="3386"/>
      <c r="Y368" s="3386"/>
      <c r="Z368" s="3386"/>
      <c r="AA368" s="3391"/>
    </row>
    <row r="369" spans="2:27" ht="18" hidden="1">
      <c r="B369" s="3350"/>
      <c r="C369" s="3407"/>
      <c r="D369" s="3350"/>
      <c r="E369" s="3404">
        <v>1093000141</v>
      </c>
      <c r="F369" s="3406"/>
      <c r="G369" s="3387"/>
      <c r="H369" s="3383">
        <f t="shared" si="88"/>
        <v>0</v>
      </c>
      <c r="I369" s="3386"/>
      <c r="J369" s="3387"/>
      <c r="K369" s="3383">
        <f t="shared" si="89"/>
        <v>0</v>
      </c>
      <c r="L369" s="3395">
        <f t="shared" si="100"/>
        <v>0</v>
      </c>
      <c r="M369" s="3396">
        <f t="shared" si="100"/>
        <v>0</v>
      </c>
      <c r="N369" s="3396">
        <f t="shared" si="100"/>
        <v>0</v>
      </c>
      <c r="O369" s="3395">
        <f t="shared" si="100"/>
        <v>0</v>
      </c>
      <c r="P369" s="3396">
        <f t="shared" si="100"/>
        <v>0</v>
      </c>
      <c r="Q369" s="3396">
        <f t="shared" si="100"/>
        <v>0</v>
      </c>
      <c r="R369" s="3395">
        <f t="shared" si="101"/>
        <v>0</v>
      </c>
      <c r="S369" s="3396">
        <f t="shared" si="101"/>
        <v>0</v>
      </c>
      <c r="T369" s="3396">
        <f t="shared" si="101"/>
        <v>0</v>
      </c>
      <c r="U369" s="3395">
        <f t="shared" si="101"/>
        <v>0</v>
      </c>
      <c r="V369" s="3396">
        <f t="shared" si="101"/>
        <v>0</v>
      </c>
      <c r="W369" s="3396">
        <f t="shared" si="101"/>
        <v>0</v>
      </c>
      <c r="X369" s="3386"/>
      <c r="Y369" s="3386"/>
      <c r="Z369" s="3386"/>
      <c r="AA369" s="3391"/>
    </row>
    <row r="370" spans="2:27" ht="18" hidden="1">
      <c r="B370" s="3350"/>
      <c r="C370" s="3407"/>
      <c r="D370" s="3350"/>
      <c r="E370" s="3404">
        <v>1093000142</v>
      </c>
      <c r="F370" s="3406"/>
      <c r="G370" s="3387"/>
      <c r="H370" s="3383">
        <f t="shared" si="88"/>
        <v>0</v>
      </c>
      <c r="I370" s="3386"/>
      <c r="J370" s="3387"/>
      <c r="K370" s="3383">
        <f t="shared" si="89"/>
        <v>0</v>
      </c>
      <c r="L370" s="3395">
        <f t="shared" si="100"/>
        <v>0</v>
      </c>
      <c r="M370" s="3396">
        <f t="shared" si="100"/>
        <v>0</v>
      </c>
      <c r="N370" s="3396">
        <f t="shared" si="100"/>
        <v>0</v>
      </c>
      <c r="O370" s="3395">
        <f t="shared" si="100"/>
        <v>0</v>
      </c>
      <c r="P370" s="3396">
        <f t="shared" si="100"/>
        <v>0</v>
      </c>
      <c r="Q370" s="3396">
        <f t="shared" si="100"/>
        <v>0</v>
      </c>
      <c r="R370" s="3395">
        <f t="shared" si="101"/>
        <v>0</v>
      </c>
      <c r="S370" s="3396">
        <f t="shared" si="101"/>
        <v>0</v>
      </c>
      <c r="T370" s="3396">
        <f t="shared" si="101"/>
        <v>0</v>
      </c>
      <c r="U370" s="3395">
        <f t="shared" si="101"/>
        <v>0</v>
      </c>
      <c r="V370" s="3396">
        <f t="shared" si="101"/>
        <v>0</v>
      </c>
      <c r="W370" s="3396">
        <f t="shared" si="101"/>
        <v>0</v>
      </c>
      <c r="X370" s="3386"/>
      <c r="Y370" s="3386"/>
      <c r="Z370" s="3386"/>
      <c r="AA370" s="3391"/>
    </row>
    <row r="371" spans="2:27" ht="18" hidden="1">
      <c r="B371" s="3350"/>
      <c r="C371" s="3407"/>
      <c r="D371" s="3350"/>
      <c r="E371" s="3404">
        <v>1093000143</v>
      </c>
      <c r="F371" s="3406"/>
      <c r="G371" s="3387"/>
      <c r="H371" s="3383">
        <f t="shared" si="88"/>
        <v>0</v>
      </c>
      <c r="I371" s="3386"/>
      <c r="J371" s="3387"/>
      <c r="K371" s="3383">
        <f t="shared" si="89"/>
        <v>0</v>
      </c>
      <c r="L371" s="3395">
        <f t="shared" si="100"/>
        <v>0</v>
      </c>
      <c r="M371" s="3396">
        <f t="shared" si="100"/>
        <v>0</v>
      </c>
      <c r="N371" s="3396">
        <f t="shared" si="100"/>
        <v>0</v>
      </c>
      <c r="O371" s="3395">
        <f t="shared" si="100"/>
        <v>0</v>
      </c>
      <c r="P371" s="3396">
        <f t="shared" si="100"/>
        <v>0</v>
      </c>
      <c r="Q371" s="3396">
        <f t="shared" si="100"/>
        <v>0</v>
      </c>
      <c r="R371" s="3395">
        <f t="shared" si="101"/>
        <v>0</v>
      </c>
      <c r="S371" s="3396">
        <f t="shared" si="101"/>
        <v>0</v>
      </c>
      <c r="T371" s="3396">
        <f t="shared" si="101"/>
        <v>0</v>
      </c>
      <c r="U371" s="3395">
        <f t="shared" si="101"/>
        <v>0</v>
      </c>
      <c r="V371" s="3396">
        <f t="shared" si="101"/>
        <v>0</v>
      </c>
      <c r="W371" s="3396">
        <f t="shared" si="101"/>
        <v>0</v>
      </c>
      <c r="X371" s="3386"/>
      <c r="Y371" s="3386"/>
      <c r="Z371" s="3386"/>
      <c r="AA371" s="3391"/>
    </row>
    <row r="372" spans="2:27" ht="18" hidden="1">
      <c r="B372" s="3350"/>
      <c r="C372" s="3407"/>
      <c r="D372" s="3350"/>
      <c r="E372" s="3404">
        <v>1093000144</v>
      </c>
      <c r="F372" s="3406"/>
      <c r="G372" s="3387"/>
      <c r="H372" s="3383">
        <f t="shared" si="88"/>
        <v>0</v>
      </c>
      <c r="I372" s="3386"/>
      <c r="J372" s="3387"/>
      <c r="K372" s="3383">
        <f t="shared" si="89"/>
        <v>0</v>
      </c>
      <c r="L372" s="3395">
        <f t="shared" si="100"/>
        <v>0</v>
      </c>
      <c r="M372" s="3396">
        <f t="shared" si="100"/>
        <v>0</v>
      </c>
      <c r="N372" s="3396">
        <f t="shared" si="100"/>
        <v>0</v>
      </c>
      <c r="O372" s="3395">
        <f t="shared" si="100"/>
        <v>0</v>
      </c>
      <c r="P372" s="3396">
        <f t="shared" si="100"/>
        <v>0</v>
      </c>
      <c r="Q372" s="3396">
        <f t="shared" si="100"/>
        <v>0</v>
      </c>
      <c r="R372" s="3395">
        <f t="shared" si="101"/>
        <v>0</v>
      </c>
      <c r="S372" s="3396">
        <f t="shared" si="101"/>
        <v>0</v>
      </c>
      <c r="T372" s="3396">
        <f t="shared" si="101"/>
        <v>0</v>
      </c>
      <c r="U372" s="3395">
        <f t="shared" si="101"/>
        <v>0</v>
      </c>
      <c r="V372" s="3396">
        <f t="shared" si="101"/>
        <v>0</v>
      </c>
      <c r="W372" s="3396">
        <f t="shared" si="101"/>
        <v>0</v>
      </c>
      <c r="X372" s="3386"/>
      <c r="Y372" s="3386"/>
      <c r="Z372" s="3386"/>
      <c r="AA372" s="3391"/>
    </row>
    <row r="373" spans="2:27" ht="18" hidden="1">
      <c r="B373" s="3350"/>
      <c r="C373" s="3407"/>
      <c r="D373" s="3350"/>
      <c r="E373" s="3404">
        <v>1093000145</v>
      </c>
      <c r="F373" s="3406"/>
      <c r="G373" s="3387"/>
      <c r="H373" s="3383">
        <f t="shared" si="88"/>
        <v>0</v>
      </c>
      <c r="I373" s="3386"/>
      <c r="J373" s="3387"/>
      <c r="K373" s="3383">
        <f t="shared" si="89"/>
        <v>0</v>
      </c>
      <c r="L373" s="3395">
        <f t="shared" si="100"/>
        <v>0</v>
      </c>
      <c r="M373" s="3396">
        <f t="shared" si="100"/>
        <v>0</v>
      </c>
      <c r="N373" s="3396">
        <f t="shared" si="100"/>
        <v>0</v>
      </c>
      <c r="O373" s="3395">
        <f t="shared" ref="O373:T423" si="102">(0)</f>
        <v>0</v>
      </c>
      <c r="P373" s="3396">
        <f t="shared" si="102"/>
        <v>0</v>
      </c>
      <c r="Q373" s="3396">
        <f t="shared" si="102"/>
        <v>0</v>
      </c>
      <c r="R373" s="3395">
        <f t="shared" si="101"/>
        <v>0</v>
      </c>
      <c r="S373" s="3396">
        <f t="shared" si="101"/>
        <v>0</v>
      </c>
      <c r="T373" s="3396">
        <f t="shared" si="101"/>
        <v>0</v>
      </c>
      <c r="U373" s="3395">
        <f t="shared" si="101"/>
        <v>0</v>
      </c>
      <c r="V373" s="3396">
        <f t="shared" si="101"/>
        <v>0</v>
      </c>
      <c r="W373" s="3396">
        <f t="shared" si="101"/>
        <v>0</v>
      </c>
      <c r="X373" s="3386"/>
      <c r="Y373" s="3386"/>
      <c r="Z373" s="3386"/>
      <c r="AA373" s="3391"/>
    </row>
    <row r="374" spans="2:27" ht="18" hidden="1">
      <c r="B374" s="3350"/>
      <c r="C374" s="3407"/>
      <c r="D374" s="3350"/>
      <c r="E374" s="3404">
        <v>1093000146</v>
      </c>
      <c r="F374" s="3406"/>
      <c r="G374" s="3387"/>
      <c r="H374" s="3383">
        <f t="shared" si="88"/>
        <v>0</v>
      </c>
      <c r="I374" s="3386"/>
      <c r="J374" s="3387"/>
      <c r="K374" s="3383">
        <f t="shared" si="89"/>
        <v>0</v>
      </c>
      <c r="L374" s="3395">
        <f t="shared" ref="L374:Q441" si="103">(0)</f>
        <v>0</v>
      </c>
      <c r="M374" s="3396">
        <f t="shared" si="103"/>
        <v>0</v>
      </c>
      <c r="N374" s="3396">
        <f t="shared" si="103"/>
        <v>0</v>
      </c>
      <c r="O374" s="3395">
        <f t="shared" si="102"/>
        <v>0</v>
      </c>
      <c r="P374" s="3396">
        <f t="shared" si="102"/>
        <v>0</v>
      </c>
      <c r="Q374" s="3396">
        <f t="shared" si="102"/>
        <v>0</v>
      </c>
      <c r="R374" s="3395">
        <f t="shared" si="101"/>
        <v>0</v>
      </c>
      <c r="S374" s="3396">
        <f t="shared" si="101"/>
        <v>0</v>
      </c>
      <c r="T374" s="3396">
        <f t="shared" si="101"/>
        <v>0</v>
      </c>
      <c r="U374" s="3395">
        <f t="shared" si="101"/>
        <v>0</v>
      </c>
      <c r="V374" s="3396">
        <f t="shared" si="101"/>
        <v>0</v>
      </c>
      <c r="W374" s="3396">
        <f t="shared" si="101"/>
        <v>0</v>
      </c>
      <c r="X374" s="3386"/>
      <c r="Y374" s="3386"/>
      <c r="Z374" s="3386"/>
      <c r="AA374" s="3391"/>
    </row>
    <row r="375" spans="2:27" ht="18" hidden="1">
      <c r="B375" s="3350"/>
      <c r="C375" s="3407"/>
      <c r="D375" s="3350"/>
      <c r="E375" s="3404">
        <v>1093000147</v>
      </c>
      <c r="F375" s="3406"/>
      <c r="G375" s="3387"/>
      <c r="H375" s="3383">
        <f t="shared" si="88"/>
        <v>0</v>
      </c>
      <c r="I375" s="3386"/>
      <c r="J375" s="3387"/>
      <c r="K375" s="3383">
        <f t="shared" si="89"/>
        <v>0</v>
      </c>
      <c r="L375" s="3395">
        <f t="shared" si="103"/>
        <v>0</v>
      </c>
      <c r="M375" s="3396">
        <f t="shared" si="103"/>
        <v>0</v>
      </c>
      <c r="N375" s="3396">
        <f t="shared" si="103"/>
        <v>0</v>
      </c>
      <c r="O375" s="3395">
        <f t="shared" si="102"/>
        <v>0</v>
      </c>
      <c r="P375" s="3396">
        <f t="shared" si="102"/>
        <v>0</v>
      </c>
      <c r="Q375" s="3396">
        <f t="shared" si="102"/>
        <v>0</v>
      </c>
      <c r="R375" s="3395">
        <f t="shared" si="101"/>
        <v>0</v>
      </c>
      <c r="S375" s="3396">
        <f t="shared" si="101"/>
        <v>0</v>
      </c>
      <c r="T375" s="3396">
        <f t="shared" si="101"/>
        <v>0</v>
      </c>
      <c r="U375" s="3395">
        <f t="shared" si="101"/>
        <v>0</v>
      </c>
      <c r="V375" s="3396">
        <f t="shared" si="101"/>
        <v>0</v>
      </c>
      <c r="W375" s="3396">
        <f t="shared" si="101"/>
        <v>0</v>
      </c>
      <c r="X375" s="3386"/>
      <c r="Y375" s="3386"/>
      <c r="Z375" s="3386"/>
      <c r="AA375" s="3391"/>
    </row>
    <row r="376" spans="2:27" ht="18" hidden="1">
      <c r="B376" s="3350"/>
      <c r="C376" s="3407"/>
      <c r="D376" s="3350"/>
      <c r="E376" s="3404">
        <v>1093000148</v>
      </c>
      <c r="F376" s="3406"/>
      <c r="G376" s="3387"/>
      <c r="H376" s="3383">
        <f t="shared" si="88"/>
        <v>0</v>
      </c>
      <c r="I376" s="3386"/>
      <c r="J376" s="3387"/>
      <c r="K376" s="3383">
        <f t="shared" si="89"/>
        <v>0</v>
      </c>
      <c r="L376" s="3395">
        <f t="shared" si="103"/>
        <v>0</v>
      </c>
      <c r="M376" s="3396">
        <f t="shared" si="103"/>
        <v>0</v>
      </c>
      <c r="N376" s="3396">
        <f t="shared" si="103"/>
        <v>0</v>
      </c>
      <c r="O376" s="3395">
        <f t="shared" si="102"/>
        <v>0</v>
      </c>
      <c r="P376" s="3396">
        <f t="shared" si="102"/>
        <v>0</v>
      </c>
      <c r="Q376" s="3396">
        <f t="shared" si="102"/>
        <v>0</v>
      </c>
      <c r="R376" s="3395">
        <f t="shared" si="101"/>
        <v>0</v>
      </c>
      <c r="S376" s="3396">
        <f t="shared" si="101"/>
        <v>0</v>
      </c>
      <c r="T376" s="3396">
        <f t="shared" si="101"/>
        <v>0</v>
      </c>
      <c r="U376" s="3395">
        <f t="shared" si="101"/>
        <v>0</v>
      </c>
      <c r="V376" s="3396">
        <f t="shared" si="101"/>
        <v>0</v>
      </c>
      <c r="W376" s="3396">
        <f t="shared" si="101"/>
        <v>0</v>
      </c>
      <c r="X376" s="3386"/>
      <c r="Y376" s="3386"/>
      <c r="Z376" s="3386"/>
      <c r="AA376" s="3391"/>
    </row>
    <row r="377" spans="2:27" ht="18" hidden="1">
      <c r="B377" s="3350"/>
      <c r="C377" s="3407"/>
      <c r="D377" s="3350"/>
      <c r="E377" s="3404">
        <v>1093000149</v>
      </c>
      <c r="F377" s="3406"/>
      <c r="G377" s="3387"/>
      <c r="H377" s="3383">
        <f t="shared" si="88"/>
        <v>0</v>
      </c>
      <c r="I377" s="3386"/>
      <c r="J377" s="3387"/>
      <c r="K377" s="3383">
        <f t="shared" si="89"/>
        <v>0</v>
      </c>
      <c r="L377" s="3395">
        <f t="shared" si="103"/>
        <v>0</v>
      </c>
      <c r="M377" s="3396">
        <f t="shared" si="103"/>
        <v>0</v>
      </c>
      <c r="N377" s="3396">
        <f t="shared" si="103"/>
        <v>0</v>
      </c>
      <c r="O377" s="3395">
        <f t="shared" si="102"/>
        <v>0</v>
      </c>
      <c r="P377" s="3396">
        <f t="shared" si="102"/>
        <v>0</v>
      </c>
      <c r="Q377" s="3396">
        <f t="shared" si="102"/>
        <v>0</v>
      </c>
      <c r="R377" s="3395">
        <f t="shared" si="101"/>
        <v>0</v>
      </c>
      <c r="S377" s="3396">
        <f t="shared" si="101"/>
        <v>0</v>
      </c>
      <c r="T377" s="3396">
        <f t="shared" si="101"/>
        <v>0</v>
      </c>
      <c r="U377" s="3395">
        <f t="shared" si="101"/>
        <v>0</v>
      </c>
      <c r="V377" s="3396">
        <f t="shared" si="101"/>
        <v>0</v>
      </c>
      <c r="W377" s="3396">
        <f t="shared" si="101"/>
        <v>0</v>
      </c>
      <c r="X377" s="3386"/>
      <c r="Y377" s="3386"/>
      <c r="Z377" s="3386"/>
      <c r="AA377" s="3391"/>
    </row>
    <row r="378" spans="2:27" ht="18" hidden="1">
      <c r="B378" s="3350"/>
      <c r="C378" s="3407"/>
      <c r="D378" s="3350"/>
      <c r="E378" s="3404">
        <v>1093000150</v>
      </c>
      <c r="F378" s="3406"/>
      <c r="G378" s="3387"/>
      <c r="H378" s="3383">
        <f t="shared" si="88"/>
        <v>0</v>
      </c>
      <c r="I378" s="3386"/>
      <c r="J378" s="3387"/>
      <c r="K378" s="3383">
        <f t="shared" si="89"/>
        <v>0</v>
      </c>
      <c r="L378" s="3395">
        <f t="shared" si="103"/>
        <v>0</v>
      </c>
      <c r="M378" s="3396">
        <f t="shared" si="103"/>
        <v>0</v>
      </c>
      <c r="N378" s="3396">
        <f t="shared" si="103"/>
        <v>0</v>
      </c>
      <c r="O378" s="3395">
        <f t="shared" si="102"/>
        <v>0</v>
      </c>
      <c r="P378" s="3396">
        <f t="shared" si="102"/>
        <v>0</v>
      </c>
      <c r="Q378" s="3396">
        <f t="shared" si="102"/>
        <v>0</v>
      </c>
      <c r="R378" s="3395">
        <f t="shared" si="101"/>
        <v>0</v>
      </c>
      <c r="S378" s="3396">
        <f t="shared" si="101"/>
        <v>0</v>
      </c>
      <c r="T378" s="3396">
        <f t="shared" si="101"/>
        <v>0</v>
      </c>
      <c r="U378" s="3395">
        <f t="shared" si="101"/>
        <v>0</v>
      </c>
      <c r="V378" s="3396">
        <f t="shared" si="101"/>
        <v>0</v>
      </c>
      <c r="W378" s="3396">
        <f t="shared" si="101"/>
        <v>0</v>
      </c>
      <c r="X378" s="3386"/>
      <c r="Y378" s="3386"/>
      <c r="Z378" s="3386"/>
      <c r="AA378" s="3391"/>
    </row>
    <row r="379" spans="2:27" ht="18" hidden="1">
      <c r="B379" s="3350"/>
      <c r="C379" s="3407"/>
      <c r="D379" s="3350"/>
      <c r="E379" s="3404">
        <v>1093000151</v>
      </c>
      <c r="F379" s="3406"/>
      <c r="G379" s="3387"/>
      <c r="H379" s="3383">
        <f t="shared" si="88"/>
        <v>0</v>
      </c>
      <c r="I379" s="3386"/>
      <c r="J379" s="3387"/>
      <c r="K379" s="3383">
        <f t="shared" si="89"/>
        <v>0</v>
      </c>
      <c r="L379" s="3395">
        <f t="shared" si="103"/>
        <v>0</v>
      </c>
      <c r="M379" s="3396">
        <f t="shared" si="103"/>
        <v>0</v>
      </c>
      <c r="N379" s="3396">
        <f t="shared" si="103"/>
        <v>0</v>
      </c>
      <c r="O379" s="3395">
        <f t="shared" si="102"/>
        <v>0</v>
      </c>
      <c r="P379" s="3396">
        <f t="shared" si="102"/>
        <v>0</v>
      </c>
      <c r="Q379" s="3396">
        <f t="shared" si="102"/>
        <v>0</v>
      </c>
      <c r="R379" s="3395">
        <f t="shared" si="101"/>
        <v>0</v>
      </c>
      <c r="S379" s="3396">
        <f t="shared" si="101"/>
        <v>0</v>
      </c>
      <c r="T379" s="3396">
        <f t="shared" si="101"/>
        <v>0</v>
      </c>
      <c r="U379" s="3395">
        <f t="shared" si="101"/>
        <v>0</v>
      </c>
      <c r="V379" s="3396">
        <f t="shared" si="101"/>
        <v>0</v>
      </c>
      <c r="W379" s="3396">
        <f t="shared" si="101"/>
        <v>0</v>
      </c>
      <c r="X379" s="3386"/>
      <c r="Y379" s="3386"/>
      <c r="Z379" s="3386"/>
      <c r="AA379" s="3391"/>
    </row>
    <row r="380" spans="2:27" ht="18" hidden="1">
      <c r="B380" s="3350"/>
      <c r="C380" s="3407"/>
      <c r="D380" s="3350"/>
      <c r="E380" s="3404">
        <v>1093000152</v>
      </c>
      <c r="F380" s="3406"/>
      <c r="G380" s="3387"/>
      <c r="H380" s="3383">
        <f t="shared" si="88"/>
        <v>0</v>
      </c>
      <c r="I380" s="3386"/>
      <c r="J380" s="3387"/>
      <c r="K380" s="3383">
        <f t="shared" si="89"/>
        <v>0</v>
      </c>
      <c r="L380" s="3395">
        <f t="shared" si="103"/>
        <v>0</v>
      </c>
      <c r="M380" s="3396">
        <f t="shared" si="103"/>
        <v>0</v>
      </c>
      <c r="N380" s="3396">
        <f t="shared" si="103"/>
        <v>0</v>
      </c>
      <c r="O380" s="3395">
        <f t="shared" si="102"/>
        <v>0</v>
      </c>
      <c r="P380" s="3396">
        <f t="shared" si="102"/>
        <v>0</v>
      </c>
      <c r="Q380" s="3396">
        <f t="shared" si="102"/>
        <v>0</v>
      </c>
      <c r="R380" s="3395">
        <f t="shared" si="101"/>
        <v>0</v>
      </c>
      <c r="S380" s="3396">
        <f t="shared" si="101"/>
        <v>0</v>
      </c>
      <c r="T380" s="3396">
        <f t="shared" si="101"/>
        <v>0</v>
      </c>
      <c r="U380" s="3395">
        <f t="shared" si="101"/>
        <v>0</v>
      </c>
      <c r="V380" s="3396">
        <f t="shared" si="101"/>
        <v>0</v>
      </c>
      <c r="W380" s="3396">
        <f t="shared" si="101"/>
        <v>0</v>
      </c>
      <c r="X380" s="3386"/>
      <c r="Y380" s="3386"/>
      <c r="Z380" s="3386"/>
      <c r="AA380" s="3391"/>
    </row>
    <row r="381" spans="2:27" ht="18" hidden="1">
      <c r="B381" s="3350"/>
      <c r="C381" s="3407"/>
      <c r="D381" s="3350"/>
      <c r="E381" s="3404">
        <v>1093000153</v>
      </c>
      <c r="F381" s="3406"/>
      <c r="G381" s="3387"/>
      <c r="H381" s="3383">
        <f t="shared" ref="H381:H629" si="104">IF(F381=0,0,G381/F381)</f>
        <v>0</v>
      </c>
      <c r="I381" s="3386"/>
      <c r="J381" s="3387"/>
      <c r="K381" s="3383">
        <f t="shared" ref="K381:K629" si="105">IF(I381=0,0,J381/I381)</f>
        <v>0</v>
      </c>
      <c r="L381" s="3395">
        <f t="shared" si="103"/>
        <v>0</v>
      </c>
      <c r="M381" s="3396">
        <f t="shared" si="103"/>
        <v>0</v>
      </c>
      <c r="N381" s="3396">
        <f t="shared" si="103"/>
        <v>0</v>
      </c>
      <c r="O381" s="3395">
        <f t="shared" si="102"/>
        <v>0</v>
      </c>
      <c r="P381" s="3396">
        <f t="shared" si="102"/>
        <v>0</v>
      </c>
      <c r="Q381" s="3396">
        <f t="shared" si="102"/>
        <v>0</v>
      </c>
      <c r="R381" s="3395">
        <f t="shared" si="101"/>
        <v>0</v>
      </c>
      <c r="S381" s="3396">
        <f t="shared" si="101"/>
        <v>0</v>
      </c>
      <c r="T381" s="3396">
        <f t="shared" si="101"/>
        <v>0</v>
      </c>
      <c r="U381" s="3395">
        <f t="shared" si="101"/>
        <v>0</v>
      </c>
      <c r="V381" s="3396">
        <f t="shared" si="101"/>
        <v>0</v>
      </c>
      <c r="W381" s="3396">
        <f t="shared" si="101"/>
        <v>0</v>
      </c>
      <c r="X381" s="3386"/>
      <c r="Y381" s="3386"/>
      <c r="Z381" s="3386"/>
      <c r="AA381" s="3391"/>
    </row>
    <row r="382" spans="2:27" ht="18" hidden="1">
      <c r="B382" s="3350"/>
      <c r="C382" s="3407"/>
      <c r="D382" s="3350"/>
      <c r="E382" s="3404">
        <v>1093000154</v>
      </c>
      <c r="F382" s="3406"/>
      <c r="G382" s="3387"/>
      <c r="H382" s="3383">
        <f t="shared" si="104"/>
        <v>0</v>
      </c>
      <c r="I382" s="3386"/>
      <c r="J382" s="3387"/>
      <c r="K382" s="3383">
        <f t="shared" si="105"/>
        <v>0</v>
      </c>
      <c r="L382" s="3395">
        <f t="shared" si="103"/>
        <v>0</v>
      </c>
      <c r="M382" s="3396">
        <f t="shared" si="103"/>
        <v>0</v>
      </c>
      <c r="N382" s="3396">
        <f t="shared" si="103"/>
        <v>0</v>
      </c>
      <c r="O382" s="3395">
        <f t="shared" si="102"/>
        <v>0</v>
      </c>
      <c r="P382" s="3396">
        <f t="shared" si="102"/>
        <v>0</v>
      </c>
      <c r="Q382" s="3396">
        <f t="shared" si="102"/>
        <v>0</v>
      </c>
      <c r="R382" s="3395">
        <f t="shared" si="101"/>
        <v>0</v>
      </c>
      <c r="S382" s="3396">
        <f t="shared" si="101"/>
        <v>0</v>
      </c>
      <c r="T382" s="3396">
        <f t="shared" si="101"/>
        <v>0</v>
      </c>
      <c r="U382" s="3395">
        <f t="shared" si="101"/>
        <v>0</v>
      </c>
      <c r="V382" s="3396">
        <f t="shared" si="101"/>
        <v>0</v>
      </c>
      <c r="W382" s="3396">
        <f t="shared" si="101"/>
        <v>0</v>
      </c>
      <c r="X382" s="3386"/>
      <c r="Y382" s="3386"/>
      <c r="Z382" s="3386"/>
      <c r="AA382" s="3391"/>
    </row>
    <row r="383" spans="2:27" ht="18" hidden="1">
      <c r="B383" s="3350"/>
      <c r="C383" s="3407"/>
      <c r="D383" s="3350"/>
      <c r="E383" s="3404">
        <v>1093000155</v>
      </c>
      <c r="F383" s="3406"/>
      <c r="G383" s="3387"/>
      <c r="H383" s="3383">
        <f t="shared" si="104"/>
        <v>0</v>
      </c>
      <c r="I383" s="3386"/>
      <c r="J383" s="3387"/>
      <c r="K383" s="3383">
        <f t="shared" si="105"/>
        <v>0</v>
      </c>
      <c r="L383" s="3395">
        <f t="shared" si="103"/>
        <v>0</v>
      </c>
      <c r="M383" s="3396">
        <f t="shared" si="103"/>
        <v>0</v>
      </c>
      <c r="N383" s="3396">
        <f t="shared" si="103"/>
        <v>0</v>
      </c>
      <c r="O383" s="3395">
        <f t="shared" si="102"/>
        <v>0</v>
      </c>
      <c r="P383" s="3396">
        <f t="shared" si="102"/>
        <v>0</v>
      </c>
      <c r="Q383" s="3396">
        <f t="shared" si="102"/>
        <v>0</v>
      </c>
      <c r="R383" s="3395">
        <f t="shared" si="101"/>
        <v>0</v>
      </c>
      <c r="S383" s="3396">
        <f t="shared" si="101"/>
        <v>0</v>
      </c>
      <c r="T383" s="3396">
        <f t="shared" si="101"/>
        <v>0</v>
      </c>
      <c r="U383" s="3395">
        <f t="shared" si="101"/>
        <v>0</v>
      </c>
      <c r="V383" s="3396">
        <f t="shared" si="101"/>
        <v>0</v>
      </c>
      <c r="W383" s="3396">
        <f t="shared" si="101"/>
        <v>0</v>
      </c>
      <c r="X383" s="3386"/>
      <c r="Y383" s="3386"/>
      <c r="Z383" s="3386"/>
      <c r="AA383" s="3391"/>
    </row>
    <row r="384" spans="2:27" ht="18" hidden="1">
      <c r="B384" s="3350"/>
      <c r="C384" s="3407"/>
      <c r="D384" s="3350"/>
      <c r="E384" s="3404">
        <v>1093000156</v>
      </c>
      <c r="F384" s="3406"/>
      <c r="G384" s="3387"/>
      <c r="H384" s="3383">
        <f t="shared" si="104"/>
        <v>0</v>
      </c>
      <c r="I384" s="3386"/>
      <c r="J384" s="3387"/>
      <c r="K384" s="3383">
        <f t="shared" si="105"/>
        <v>0</v>
      </c>
      <c r="L384" s="3395">
        <f t="shared" si="103"/>
        <v>0</v>
      </c>
      <c r="M384" s="3396">
        <f t="shared" si="103"/>
        <v>0</v>
      </c>
      <c r="N384" s="3396">
        <f t="shared" si="103"/>
        <v>0</v>
      </c>
      <c r="O384" s="3395">
        <f t="shared" si="102"/>
        <v>0</v>
      </c>
      <c r="P384" s="3396">
        <f t="shared" si="102"/>
        <v>0</v>
      </c>
      <c r="Q384" s="3396">
        <f t="shared" si="102"/>
        <v>0</v>
      </c>
      <c r="R384" s="3395">
        <f t="shared" si="101"/>
        <v>0</v>
      </c>
      <c r="S384" s="3396">
        <f t="shared" si="101"/>
        <v>0</v>
      </c>
      <c r="T384" s="3396">
        <f t="shared" si="101"/>
        <v>0</v>
      </c>
      <c r="U384" s="3395">
        <f t="shared" si="101"/>
        <v>0</v>
      </c>
      <c r="V384" s="3396">
        <f t="shared" si="101"/>
        <v>0</v>
      </c>
      <c r="W384" s="3396">
        <f t="shared" si="101"/>
        <v>0</v>
      </c>
      <c r="X384" s="3386"/>
      <c r="Y384" s="3386"/>
      <c r="Z384" s="3386"/>
      <c r="AA384" s="3391"/>
    </row>
    <row r="385" spans="2:27" ht="18" hidden="1">
      <c r="B385" s="3350"/>
      <c r="C385" s="3407"/>
      <c r="D385" s="3350"/>
      <c r="E385" s="3404">
        <v>1093000157</v>
      </c>
      <c r="F385" s="3406"/>
      <c r="G385" s="3387"/>
      <c r="H385" s="3383">
        <f t="shared" si="104"/>
        <v>0</v>
      </c>
      <c r="I385" s="3386"/>
      <c r="J385" s="3387"/>
      <c r="K385" s="3383">
        <f t="shared" si="105"/>
        <v>0</v>
      </c>
      <c r="L385" s="3395">
        <f t="shared" si="103"/>
        <v>0</v>
      </c>
      <c r="M385" s="3396">
        <f t="shared" si="103"/>
        <v>0</v>
      </c>
      <c r="N385" s="3396">
        <f t="shared" si="103"/>
        <v>0</v>
      </c>
      <c r="O385" s="3395">
        <f t="shared" si="102"/>
        <v>0</v>
      </c>
      <c r="P385" s="3396">
        <f t="shared" si="102"/>
        <v>0</v>
      </c>
      <c r="Q385" s="3396">
        <f t="shared" si="102"/>
        <v>0</v>
      </c>
      <c r="R385" s="3395">
        <f t="shared" si="101"/>
        <v>0</v>
      </c>
      <c r="S385" s="3396">
        <f t="shared" si="101"/>
        <v>0</v>
      </c>
      <c r="T385" s="3396">
        <f t="shared" si="101"/>
        <v>0</v>
      </c>
      <c r="U385" s="3395">
        <f t="shared" si="101"/>
        <v>0</v>
      </c>
      <c r="V385" s="3396">
        <f t="shared" si="101"/>
        <v>0</v>
      </c>
      <c r="W385" s="3396">
        <f t="shared" si="101"/>
        <v>0</v>
      </c>
      <c r="X385" s="3386"/>
      <c r="Y385" s="3386"/>
      <c r="Z385" s="3386"/>
      <c r="AA385" s="3391"/>
    </row>
    <row r="386" spans="2:27" ht="18" hidden="1">
      <c r="B386" s="3350"/>
      <c r="C386" s="3407"/>
      <c r="D386" s="3350"/>
      <c r="E386" s="3404">
        <v>1093000158</v>
      </c>
      <c r="F386" s="3406"/>
      <c r="G386" s="3387"/>
      <c r="H386" s="3383">
        <f t="shared" si="104"/>
        <v>0</v>
      </c>
      <c r="I386" s="3386"/>
      <c r="J386" s="3387"/>
      <c r="K386" s="3383">
        <f t="shared" si="105"/>
        <v>0</v>
      </c>
      <c r="L386" s="3395">
        <f t="shared" si="103"/>
        <v>0</v>
      </c>
      <c r="M386" s="3396">
        <f t="shared" si="103"/>
        <v>0</v>
      </c>
      <c r="N386" s="3396">
        <f t="shared" si="103"/>
        <v>0</v>
      </c>
      <c r="O386" s="3395">
        <f t="shared" si="102"/>
        <v>0</v>
      </c>
      <c r="P386" s="3396">
        <f t="shared" si="102"/>
        <v>0</v>
      </c>
      <c r="Q386" s="3396">
        <f t="shared" si="102"/>
        <v>0</v>
      </c>
      <c r="R386" s="3395">
        <f t="shared" si="101"/>
        <v>0</v>
      </c>
      <c r="S386" s="3396">
        <f t="shared" si="101"/>
        <v>0</v>
      </c>
      <c r="T386" s="3396">
        <f t="shared" si="101"/>
        <v>0</v>
      </c>
      <c r="U386" s="3395">
        <f t="shared" si="101"/>
        <v>0</v>
      </c>
      <c r="V386" s="3396">
        <f t="shared" si="101"/>
        <v>0</v>
      </c>
      <c r="W386" s="3396">
        <f t="shared" si="101"/>
        <v>0</v>
      </c>
      <c r="X386" s="3386"/>
      <c r="Y386" s="3386"/>
      <c r="Z386" s="3386"/>
      <c r="AA386" s="3391"/>
    </row>
    <row r="387" spans="2:27" ht="18" hidden="1">
      <c r="B387" s="3350"/>
      <c r="C387" s="3407"/>
      <c r="D387" s="3350"/>
      <c r="E387" s="3404">
        <v>1093000159</v>
      </c>
      <c r="F387" s="3406"/>
      <c r="G387" s="3387"/>
      <c r="H387" s="3383">
        <f t="shared" si="104"/>
        <v>0</v>
      </c>
      <c r="I387" s="3386"/>
      <c r="J387" s="3387"/>
      <c r="K387" s="3383">
        <f t="shared" si="105"/>
        <v>0</v>
      </c>
      <c r="L387" s="3395">
        <f t="shared" si="103"/>
        <v>0</v>
      </c>
      <c r="M387" s="3396">
        <f t="shared" si="103"/>
        <v>0</v>
      </c>
      <c r="N387" s="3396">
        <f t="shared" si="103"/>
        <v>0</v>
      </c>
      <c r="O387" s="3395">
        <f t="shared" si="102"/>
        <v>0</v>
      </c>
      <c r="P387" s="3396">
        <f t="shared" si="102"/>
        <v>0</v>
      </c>
      <c r="Q387" s="3396">
        <f t="shared" si="102"/>
        <v>0</v>
      </c>
      <c r="R387" s="3395">
        <f t="shared" si="101"/>
        <v>0</v>
      </c>
      <c r="S387" s="3396">
        <f t="shared" si="101"/>
        <v>0</v>
      </c>
      <c r="T387" s="3396">
        <f t="shared" si="101"/>
        <v>0</v>
      </c>
      <c r="U387" s="3395">
        <f t="shared" si="101"/>
        <v>0</v>
      </c>
      <c r="V387" s="3396">
        <f t="shared" si="101"/>
        <v>0</v>
      </c>
      <c r="W387" s="3396">
        <f t="shared" si="101"/>
        <v>0</v>
      </c>
      <c r="X387" s="3386"/>
      <c r="Y387" s="3386"/>
      <c r="Z387" s="3386"/>
      <c r="AA387" s="3391"/>
    </row>
    <row r="388" spans="2:27" ht="18" hidden="1">
      <c r="B388" s="3350"/>
      <c r="C388" s="3407"/>
      <c r="D388" s="3350"/>
      <c r="E388" s="3404">
        <v>1093000160</v>
      </c>
      <c r="F388" s="3406"/>
      <c r="G388" s="3387"/>
      <c r="H388" s="3383">
        <f t="shared" si="104"/>
        <v>0</v>
      </c>
      <c r="I388" s="3386"/>
      <c r="J388" s="3387"/>
      <c r="K388" s="3383">
        <f t="shared" si="105"/>
        <v>0</v>
      </c>
      <c r="L388" s="3395">
        <f t="shared" si="103"/>
        <v>0</v>
      </c>
      <c r="M388" s="3396">
        <f t="shared" si="103"/>
        <v>0</v>
      </c>
      <c r="N388" s="3396">
        <f t="shared" si="103"/>
        <v>0</v>
      </c>
      <c r="O388" s="3395">
        <f t="shared" si="102"/>
        <v>0</v>
      </c>
      <c r="P388" s="3396">
        <f t="shared" si="102"/>
        <v>0</v>
      </c>
      <c r="Q388" s="3396">
        <f t="shared" si="102"/>
        <v>0</v>
      </c>
      <c r="R388" s="3395">
        <f t="shared" si="101"/>
        <v>0</v>
      </c>
      <c r="S388" s="3396">
        <f t="shared" si="101"/>
        <v>0</v>
      </c>
      <c r="T388" s="3396">
        <f t="shared" si="101"/>
        <v>0</v>
      </c>
      <c r="U388" s="3395">
        <f t="shared" ref="U388:W472" si="106">(0)</f>
        <v>0</v>
      </c>
      <c r="V388" s="3396">
        <f t="shared" si="106"/>
        <v>0</v>
      </c>
      <c r="W388" s="3396">
        <f t="shared" si="106"/>
        <v>0</v>
      </c>
      <c r="X388" s="3386"/>
      <c r="Y388" s="3386"/>
      <c r="Z388" s="3386"/>
      <c r="AA388" s="3391"/>
    </row>
    <row r="389" spans="2:27" ht="18" hidden="1">
      <c r="B389" s="3350"/>
      <c r="C389" s="3407"/>
      <c r="D389" s="3350"/>
      <c r="E389" s="3404">
        <v>1093000161</v>
      </c>
      <c r="F389" s="3406"/>
      <c r="G389" s="3387"/>
      <c r="H389" s="3383">
        <f t="shared" si="104"/>
        <v>0</v>
      </c>
      <c r="I389" s="3386"/>
      <c r="J389" s="3387"/>
      <c r="K389" s="3383">
        <f t="shared" si="105"/>
        <v>0</v>
      </c>
      <c r="L389" s="3395">
        <f t="shared" si="103"/>
        <v>0</v>
      </c>
      <c r="M389" s="3396">
        <f t="shared" si="103"/>
        <v>0</v>
      </c>
      <c r="N389" s="3396">
        <f t="shared" si="103"/>
        <v>0</v>
      </c>
      <c r="O389" s="3395">
        <f t="shared" si="102"/>
        <v>0</v>
      </c>
      <c r="P389" s="3396">
        <f t="shared" si="102"/>
        <v>0</v>
      </c>
      <c r="Q389" s="3396">
        <f t="shared" si="102"/>
        <v>0</v>
      </c>
      <c r="R389" s="3395">
        <f t="shared" si="102"/>
        <v>0</v>
      </c>
      <c r="S389" s="3396">
        <f t="shared" si="102"/>
        <v>0</v>
      </c>
      <c r="T389" s="3396">
        <f t="shared" si="102"/>
        <v>0</v>
      </c>
      <c r="U389" s="3395">
        <f t="shared" si="106"/>
        <v>0</v>
      </c>
      <c r="V389" s="3396">
        <f t="shared" si="106"/>
        <v>0</v>
      </c>
      <c r="W389" s="3396">
        <f t="shared" si="106"/>
        <v>0</v>
      </c>
      <c r="X389" s="3386"/>
      <c r="Y389" s="3386"/>
      <c r="Z389" s="3386"/>
      <c r="AA389" s="3391"/>
    </row>
    <row r="390" spans="2:27" ht="18" hidden="1">
      <c r="B390" s="3350"/>
      <c r="C390" s="3407"/>
      <c r="D390" s="3350"/>
      <c r="E390" s="3404">
        <v>1093000162</v>
      </c>
      <c r="F390" s="3406"/>
      <c r="G390" s="3387"/>
      <c r="H390" s="3383">
        <f t="shared" si="104"/>
        <v>0</v>
      </c>
      <c r="I390" s="3386"/>
      <c r="J390" s="3387"/>
      <c r="K390" s="3383">
        <f t="shared" si="105"/>
        <v>0</v>
      </c>
      <c r="L390" s="3395">
        <f t="shared" si="103"/>
        <v>0</v>
      </c>
      <c r="M390" s="3396">
        <f t="shared" si="103"/>
        <v>0</v>
      </c>
      <c r="N390" s="3396">
        <f t="shared" si="103"/>
        <v>0</v>
      </c>
      <c r="O390" s="3395">
        <f t="shared" si="102"/>
        <v>0</v>
      </c>
      <c r="P390" s="3396">
        <f t="shared" si="102"/>
        <v>0</v>
      </c>
      <c r="Q390" s="3396">
        <f t="shared" si="102"/>
        <v>0</v>
      </c>
      <c r="R390" s="3395">
        <f t="shared" si="102"/>
        <v>0</v>
      </c>
      <c r="S390" s="3396">
        <f t="shared" si="102"/>
        <v>0</v>
      </c>
      <c r="T390" s="3396">
        <f t="shared" si="102"/>
        <v>0</v>
      </c>
      <c r="U390" s="3395">
        <f t="shared" si="106"/>
        <v>0</v>
      </c>
      <c r="V390" s="3396">
        <f t="shared" si="106"/>
        <v>0</v>
      </c>
      <c r="W390" s="3396">
        <f t="shared" si="106"/>
        <v>0</v>
      </c>
      <c r="X390" s="3386"/>
      <c r="Y390" s="3386"/>
      <c r="Z390" s="3386"/>
      <c r="AA390" s="3391"/>
    </row>
    <row r="391" spans="2:27" ht="18" hidden="1">
      <c r="B391" s="3350"/>
      <c r="C391" s="3407"/>
      <c r="D391" s="3350"/>
      <c r="E391" s="3404">
        <v>1093000163</v>
      </c>
      <c r="F391" s="3406"/>
      <c r="G391" s="3387"/>
      <c r="H391" s="3383">
        <f t="shared" si="104"/>
        <v>0</v>
      </c>
      <c r="I391" s="3386"/>
      <c r="J391" s="3387"/>
      <c r="K391" s="3383">
        <f t="shared" si="105"/>
        <v>0</v>
      </c>
      <c r="L391" s="3395">
        <f t="shared" si="103"/>
        <v>0</v>
      </c>
      <c r="M391" s="3396">
        <f t="shared" si="103"/>
        <v>0</v>
      </c>
      <c r="N391" s="3396">
        <f t="shared" si="103"/>
        <v>0</v>
      </c>
      <c r="O391" s="3395">
        <f t="shared" si="102"/>
        <v>0</v>
      </c>
      <c r="P391" s="3396">
        <f t="shared" si="102"/>
        <v>0</v>
      </c>
      <c r="Q391" s="3396">
        <f t="shared" si="102"/>
        <v>0</v>
      </c>
      <c r="R391" s="3395">
        <f t="shared" si="102"/>
        <v>0</v>
      </c>
      <c r="S391" s="3396">
        <f t="shared" si="102"/>
        <v>0</v>
      </c>
      <c r="T391" s="3396">
        <f t="shared" si="102"/>
        <v>0</v>
      </c>
      <c r="U391" s="3395">
        <f t="shared" si="106"/>
        <v>0</v>
      </c>
      <c r="V391" s="3396">
        <f t="shared" si="106"/>
        <v>0</v>
      </c>
      <c r="W391" s="3396">
        <f t="shared" si="106"/>
        <v>0</v>
      </c>
      <c r="X391" s="3386"/>
      <c r="Y391" s="3386"/>
      <c r="Z391" s="3386"/>
      <c r="AA391" s="3391"/>
    </row>
    <row r="392" spans="2:27" ht="18" hidden="1">
      <c r="B392" s="3350"/>
      <c r="C392" s="3407"/>
      <c r="D392" s="3350"/>
      <c r="E392" s="3404">
        <v>1093000164</v>
      </c>
      <c r="F392" s="3406"/>
      <c r="G392" s="3387"/>
      <c r="H392" s="3383">
        <f t="shared" si="104"/>
        <v>0</v>
      </c>
      <c r="I392" s="3386"/>
      <c r="J392" s="3387"/>
      <c r="K392" s="3383">
        <f t="shared" si="105"/>
        <v>0</v>
      </c>
      <c r="L392" s="3395">
        <f t="shared" si="103"/>
        <v>0</v>
      </c>
      <c r="M392" s="3396">
        <f t="shared" si="103"/>
        <v>0</v>
      </c>
      <c r="N392" s="3396">
        <f t="shared" si="103"/>
        <v>0</v>
      </c>
      <c r="O392" s="3395">
        <f t="shared" si="102"/>
        <v>0</v>
      </c>
      <c r="P392" s="3396">
        <f t="shared" si="102"/>
        <v>0</v>
      </c>
      <c r="Q392" s="3396">
        <f t="shared" si="102"/>
        <v>0</v>
      </c>
      <c r="R392" s="3395">
        <f t="shared" si="102"/>
        <v>0</v>
      </c>
      <c r="S392" s="3396">
        <f t="shared" si="102"/>
        <v>0</v>
      </c>
      <c r="T392" s="3396">
        <f t="shared" si="102"/>
        <v>0</v>
      </c>
      <c r="U392" s="3395">
        <f t="shared" si="106"/>
        <v>0</v>
      </c>
      <c r="V392" s="3396">
        <f t="shared" si="106"/>
        <v>0</v>
      </c>
      <c r="W392" s="3396">
        <f t="shared" si="106"/>
        <v>0</v>
      </c>
      <c r="X392" s="3386"/>
      <c r="Y392" s="3386"/>
      <c r="Z392" s="3386"/>
      <c r="AA392" s="3391"/>
    </row>
    <row r="393" spans="2:27" ht="18" hidden="1">
      <c r="B393" s="3350"/>
      <c r="C393" s="3407"/>
      <c r="D393" s="3350"/>
      <c r="E393" s="3404">
        <v>1093000165</v>
      </c>
      <c r="F393" s="3406"/>
      <c r="G393" s="3387"/>
      <c r="H393" s="3383">
        <f t="shared" si="104"/>
        <v>0</v>
      </c>
      <c r="I393" s="3386"/>
      <c r="J393" s="3387"/>
      <c r="K393" s="3383">
        <f t="shared" si="105"/>
        <v>0</v>
      </c>
      <c r="L393" s="3395">
        <f t="shared" si="103"/>
        <v>0</v>
      </c>
      <c r="M393" s="3396">
        <f t="shared" si="103"/>
        <v>0</v>
      </c>
      <c r="N393" s="3396">
        <f t="shared" si="103"/>
        <v>0</v>
      </c>
      <c r="O393" s="3395">
        <f t="shared" si="102"/>
        <v>0</v>
      </c>
      <c r="P393" s="3396">
        <f t="shared" si="102"/>
        <v>0</v>
      </c>
      <c r="Q393" s="3396">
        <f t="shared" si="102"/>
        <v>0</v>
      </c>
      <c r="R393" s="3395">
        <f t="shared" si="102"/>
        <v>0</v>
      </c>
      <c r="S393" s="3396">
        <f t="shared" si="102"/>
        <v>0</v>
      </c>
      <c r="T393" s="3396">
        <f t="shared" si="102"/>
        <v>0</v>
      </c>
      <c r="U393" s="3395">
        <f t="shared" si="106"/>
        <v>0</v>
      </c>
      <c r="V393" s="3396">
        <f t="shared" si="106"/>
        <v>0</v>
      </c>
      <c r="W393" s="3396">
        <f t="shared" si="106"/>
        <v>0</v>
      </c>
      <c r="X393" s="3386"/>
      <c r="Y393" s="3386"/>
      <c r="Z393" s="3386"/>
      <c r="AA393" s="3391"/>
    </row>
    <row r="394" spans="2:27" ht="18" hidden="1">
      <c r="B394" s="3350"/>
      <c r="C394" s="3407"/>
      <c r="D394" s="3350"/>
      <c r="E394" s="3404">
        <v>1093000166</v>
      </c>
      <c r="F394" s="3406"/>
      <c r="G394" s="3387"/>
      <c r="H394" s="3383">
        <f t="shared" si="104"/>
        <v>0</v>
      </c>
      <c r="I394" s="3386"/>
      <c r="J394" s="3387"/>
      <c r="K394" s="3383">
        <f t="shared" si="105"/>
        <v>0</v>
      </c>
      <c r="L394" s="3395">
        <f t="shared" si="103"/>
        <v>0</v>
      </c>
      <c r="M394" s="3396">
        <f t="shared" si="103"/>
        <v>0</v>
      </c>
      <c r="N394" s="3396">
        <f t="shared" si="103"/>
        <v>0</v>
      </c>
      <c r="O394" s="3395">
        <f t="shared" si="102"/>
        <v>0</v>
      </c>
      <c r="P394" s="3396">
        <f t="shared" si="102"/>
        <v>0</v>
      </c>
      <c r="Q394" s="3396">
        <f t="shared" si="102"/>
        <v>0</v>
      </c>
      <c r="R394" s="3395">
        <f t="shared" si="102"/>
        <v>0</v>
      </c>
      <c r="S394" s="3396">
        <f t="shared" si="102"/>
        <v>0</v>
      </c>
      <c r="T394" s="3396">
        <f t="shared" si="102"/>
        <v>0</v>
      </c>
      <c r="U394" s="3395">
        <f t="shared" si="106"/>
        <v>0</v>
      </c>
      <c r="V394" s="3396">
        <f t="shared" si="106"/>
        <v>0</v>
      </c>
      <c r="W394" s="3396">
        <f t="shared" si="106"/>
        <v>0</v>
      </c>
      <c r="X394" s="3386"/>
      <c r="Y394" s="3386"/>
      <c r="Z394" s="3386"/>
      <c r="AA394" s="3391"/>
    </row>
    <row r="395" spans="2:27" ht="18" hidden="1">
      <c r="B395" s="3350"/>
      <c r="C395" s="3407"/>
      <c r="D395" s="3350"/>
      <c r="E395" s="3404">
        <v>1093000167</v>
      </c>
      <c r="F395" s="3406"/>
      <c r="G395" s="3387"/>
      <c r="H395" s="3383">
        <f t="shared" si="104"/>
        <v>0</v>
      </c>
      <c r="I395" s="3386"/>
      <c r="J395" s="3387"/>
      <c r="K395" s="3383">
        <f t="shared" si="105"/>
        <v>0</v>
      </c>
      <c r="L395" s="3395">
        <f t="shared" si="103"/>
        <v>0</v>
      </c>
      <c r="M395" s="3396">
        <f t="shared" si="103"/>
        <v>0</v>
      </c>
      <c r="N395" s="3396">
        <f t="shared" si="103"/>
        <v>0</v>
      </c>
      <c r="O395" s="3395">
        <f t="shared" si="102"/>
        <v>0</v>
      </c>
      <c r="P395" s="3396">
        <f t="shared" si="102"/>
        <v>0</v>
      </c>
      <c r="Q395" s="3396">
        <f t="shared" si="102"/>
        <v>0</v>
      </c>
      <c r="R395" s="3395">
        <f t="shared" si="102"/>
        <v>0</v>
      </c>
      <c r="S395" s="3396">
        <f t="shared" si="102"/>
        <v>0</v>
      </c>
      <c r="T395" s="3396">
        <f t="shared" si="102"/>
        <v>0</v>
      </c>
      <c r="U395" s="3395">
        <f t="shared" si="106"/>
        <v>0</v>
      </c>
      <c r="V395" s="3396">
        <f t="shared" si="106"/>
        <v>0</v>
      </c>
      <c r="W395" s="3396">
        <f t="shared" si="106"/>
        <v>0</v>
      </c>
      <c r="X395" s="3386"/>
      <c r="Y395" s="3386"/>
      <c r="Z395" s="3386"/>
      <c r="AA395" s="3391"/>
    </row>
    <row r="396" spans="2:27" ht="18" hidden="1">
      <c r="B396" s="3350"/>
      <c r="C396" s="3407"/>
      <c r="D396" s="3350"/>
      <c r="E396" s="3404">
        <v>1093000168</v>
      </c>
      <c r="F396" s="3406"/>
      <c r="G396" s="3387"/>
      <c r="H396" s="3383">
        <f t="shared" si="104"/>
        <v>0</v>
      </c>
      <c r="I396" s="3386"/>
      <c r="J396" s="3387"/>
      <c r="K396" s="3383">
        <f t="shared" si="105"/>
        <v>0</v>
      </c>
      <c r="L396" s="3395">
        <f t="shared" si="103"/>
        <v>0</v>
      </c>
      <c r="M396" s="3396">
        <f t="shared" si="103"/>
        <v>0</v>
      </c>
      <c r="N396" s="3396">
        <f t="shared" si="103"/>
        <v>0</v>
      </c>
      <c r="O396" s="3395">
        <f t="shared" si="102"/>
        <v>0</v>
      </c>
      <c r="P396" s="3396">
        <f t="shared" si="102"/>
        <v>0</v>
      </c>
      <c r="Q396" s="3396">
        <f t="shared" si="102"/>
        <v>0</v>
      </c>
      <c r="R396" s="3395">
        <f t="shared" si="102"/>
        <v>0</v>
      </c>
      <c r="S396" s="3396">
        <f t="shared" si="102"/>
        <v>0</v>
      </c>
      <c r="T396" s="3396">
        <f t="shared" si="102"/>
        <v>0</v>
      </c>
      <c r="U396" s="3395">
        <f t="shared" si="106"/>
        <v>0</v>
      </c>
      <c r="V396" s="3396">
        <f t="shared" si="106"/>
        <v>0</v>
      </c>
      <c r="W396" s="3396">
        <f t="shared" si="106"/>
        <v>0</v>
      </c>
      <c r="X396" s="3386"/>
      <c r="Y396" s="3386"/>
      <c r="Z396" s="3386"/>
      <c r="AA396" s="3391"/>
    </row>
    <row r="397" spans="2:27" ht="18" hidden="1">
      <c r="B397" s="3350"/>
      <c r="C397" s="3407"/>
      <c r="D397" s="3350"/>
      <c r="E397" s="3404">
        <v>1093000169</v>
      </c>
      <c r="F397" s="3406"/>
      <c r="G397" s="3387"/>
      <c r="H397" s="3383">
        <f t="shared" si="104"/>
        <v>0</v>
      </c>
      <c r="I397" s="3386"/>
      <c r="J397" s="3387"/>
      <c r="K397" s="3383">
        <f t="shared" si="105"/>
        <v>0</v>
      </c>
      <c r="L397" s="3395">
        <f t="shared" si="103"/>
        <v>0</v>
      </c>
      <c r="M397" s="3396">
        <f t="shared" si="103"/>
        <v>0</v>
      </c>
      <c r="N397" s="3396">
        <f t="shared" si="103"/>
        <v>0</v>
      </c>
      <c r="O397" s="3395">
        <f t="shared" si="102"/>
        <v>0</v>
      </c>
      <c r="P397" s="3396">
        <f t="shared" si="102"/>
        <v>0</v>
      </c>
      <c r="Q397" s="3396">
        <f t="shared" si="102"/>
        <v>0</v>
      </c>
      <c r="R397" s="3395">
        <f t="shared" si="102"/>
        <v>0</v>
      </c>
      <c r="S397" s="3396">
        <f t="shared" si="102"/>
        <v>0</v>
      </c>
      <c r="T397" s="3396">
        <f t="shared" si="102"/>
        <v>0</v>
      </c>
      <c r="U397" s="3395">
        <f t="shared" si="106"/>
        <v>0</v>
      </c>
      <c r="V397" s="3396">
        <f t="shared" si="106"/>
        <v>0</v>
      </c>
      <c r="W397" s="3396">
        <f t="shared" si="106"/>
        <v>0</v>
      </c>
      <c r="X397" s="3386"/>
      <c r="Y397" s="3386"/>
      <c r="Z397" s="3386"/>
      <c r="AA397" s="3391"/>
    </row>
    <row r="398" spans="2:27" ht="18" hidden="1">
      <c r="B398" s="3350"/>
      <c r="C398" s="3407"/>
      <c r="D398" s="3350"/>
      <c r="E398" s="3404">
        <v>1093000170</v>
      </c>
      <c r="F398" s="3406"/>
      <c r="G398" s="3387"/>
      <c r="H398" s="3383">
        <f t="shared" si="104"/>
        <v>0</v>
      </c>
      <c r="I398" s="3386"/>
      <c r="J398" s="3387"/>
      <c r="K398" s="3383">
        <f t="shared" si="105"/>
        <v>0</v>
      </c>
      <c r="L398" s="3395">
        <f t="shared" si="103"/>
        <v>0</v>
      </c>
      <c r="M398" s="3396">
        <f t="shared" si="103"/>
        <v>0</v>
      </c>
      <c r="N398" s="3396">
        <f t="shared" si="103"/>
        <v>0</v>
      </c>
      <c r="O398" s="3395">
        <f t="shared" si="102"/>
        <v>0</v>
      </c>
      <c r="P398" s="3396">
        <f t="shared" si="102"/>
        <v>0</v>
      </c>
      <c r="Q398" s="3396">
        <f t="shared" si="102"/>
        <v>0</v>
      </c>
      <c r="R398" s="3395">
        <f t="shared" si="102"/>
        <v>0</v>
      </c>
      <c r="S398" s="3396">
        <f t="shared" si="102"/>
        <v>0</v>
      </c>
      <c r="T398" s="3396">
        <f t="shared" si="102"/>
        <v>0</v>
      </c>
      <c r="U398" s="3395">
        <f t="shared" si="106"/>
        <v>0</v>
      </c>
      <c r="V398" s="3396">
        <f t="shared" si="106"/>
        <v>0</v>
      </c>
      <c r="W398" s="3396">
        <f t="shared" si="106"/>
        <v>0</v>
      </c>
      <c r="X398" s="3386"/>
      <c r="Y398" s="3386"/>
      <c r="Z398" s="3386"/>
      <c r="AA398" s="3391"/>
    </row>
    <row r="399" spans="2:27" ht="18" hidden="1">
      <c r="B399" s="3350"/>
      <c r="C399" s="3407"/>
      <c r="D399" s="3350"/>
      <c r="E399" s="3404">
        <v>1093000171</v>
      </c>
      <c r="F399" s="3406"/>
      <c r="G399" s="3387"/>
      <c r="H399" s="3383">
        <f t="shared" si="104"/>
        <v>0</v>
      </c>
      <c r="I399" s="3386"/>
      <c r="J399" s="3387"/>
      <c r="K399" s="3383">
        <f t="shared" si="105"/>
        <v>0</v>
      </c>
      <c r="L399" s="3395">
        <f t="shared" si="103"/>
        <v>0</v>
      </c>
      <c r="M399" s="3396">
        <f t="shared" si="103"/>
        <v>0</v>
      </c>
      <c r="N399" s="3396">
        <f t="shared" si="103"/>
        <v>0</v>
      </c>
      <c r="O399" s="3395">
        <f t="shared" si="102"/>
        <v>0</v>
      </c>
      <c r="P399" s="3396">
        <f t="shared" si="102"/>
        <v>0</v>
      </c>
      <c r="Q399" s="3396">
        <f t="shared" si="102"/>
        <v>0</v>
      </c>
      <c r="R399" s="3395">
        <f t="shared" si="102"/>
        <v>0</v>
      </c>
      <c r="S399" s="3396">
        <f t="shared" si="102"/>
        <v>0</v>
      </c>
      <c r="T399" s="3396">
        <f t="shared" si="102"/>
        <v>0</v>
      </c>
      <c r="U399" s="3395">
        <f t="shared" si="106"/>
        <v>0</v>
      </c>
      <c r="V399" s="3396">
        <f t="shared" si="106"/>
        <v>0</v>
      </c>
      <c r="W399" s="3396">
        <f t="shared" si="106"/>
        <v>0</v>
      </c>
      <c r="X399" s="3386"/>
      <c r="Y399" s="3386"/>
      <c r="Z399" s="3386"/>
      <c r="AA399" s="3391"/>
    </row>
    <row r="400" spans="2:27" ht="18" hidden="1">
      <c r="B400" s="3350"/>
      <c r="C400" s="3407"/>
      <c r="D400" s="3350"/>
      <c r="E400" s="3404">
        <v>1093000172</v>
      </c>
      <c r="F400" s="3406"/>
      <c r="G400" s="3387"/>
      <c r="H400" s="3383">
        <f t="shared" si="104"/>
        <v>0</v>
      </c>
      <c r="I400" s="3386"/>
      <c r="J400" s="3387"/>
      <c r="K400" s="3383">
        <f t="shared" si="105"/>
        <v>0</v>
      </c>
      <c r="L400" s="3395">
        <f t="shared" si="103"/>
        <v>0</v>
      </c>
      <c r="M400" s="3396">
        <f t="shared" si="103"/>
        <v>0</v>
      </c>
      <c r="N400" s="3396">
        <f t="shared" si="103"/>
        <v>0</v>
      </c>
      <c r="O400" s="3395">
        <f t="shared" si="102"/>
        <v>0</v>
      </c>
      <c r="P400" s="3396">
        <f t="shared" si="102"/>
        <v>0</v>
      </c>
      <c r="Q400" s="3396">
        <f t="shared" si="102"/>
        <v>0</v>
      </c>
      <c r="R400" s="3395">
        <f t="shared" si="102"/>
        <v>0</v>
      </c>
      <c r="S400" s="3396">
        <f t="shared" si="102"/>
        <v>0</v>
      </c>
      <c r="T400" s="3396">
        <f t="shared" si="102"/>
        <v>0</v>
      </c>
      <c r="U400" s="3395">
        <f t="shared" si="106"/>
        <v>0</v>
      </c>
      <c r="V400" s="3396">
        <f t="shared" si="106"/>
        <v>0</v>
      </c>
      <c r="W400" s="3396">
        <f t="shared" si="106"/>
        <v>0</v>
      </c>
      <c r="X400" s="3386"/>
      <c r="Y400" s="3386"/>
      <c r="Z400" s="3386"/>
      <c r="AA400" s="3391"/>
    </row>
    <row r="401" spans="2:27" ht="18" hidden="1">
      <c r="B401" s="3350"/>
      <c r="C401" s="3407"/>
      <c r="D401" s="3350"/>
      <c r="E401" s="3404">
        <v>1093000173</v>
      </c>
      <c r="F401" s="3406"/>
      <c r="G401" s="3387"/>
      <c r="H401" s="3383">
        <f t="shared" si="104"/>
        <v>0</v>
      </c>
      <c r="I401" s="3386"/>
      <c r="J401" s="3387"/>
      <c r="K401" s="3383">
        <f t="shared" si="105"/>
        <v>0</v>
      </c>
      <c r="L401" s="3395">
        <f t="shared" si="103"/>
        <v>0</v>
      </c>
      <c r="M401" s="3396">
        <f t="shared" si="103"/>
        <v>0</v>
      </c>
      <c r="N401" s="3396">
        <f t="shared" si="103"/>
        <v>0</v>
      </c>
      <c r="O401" s="3395">
        <f t="shared" si="102"/>
        <v>0</v>
      </c>
      <c r="P401" s="3396">
        <f t="shared" si="102"/>
        <v>0</v>
      </c>
      <c r="Q401" s="3396">
        <f t="shared" si="102"/>
        <v>0</v>
      </c>
      <c r="R401" s="3395">
        <f t="shared" si="102"/>
        <v>0</v>
      </c>
      <c r="S401" s="3396">
        <f t="shared" si="102"/>
        <v>0</v>
      </c>
      <c r="T401" s="3396">
        <f t="shared" si="102"/>
        <v>0</v>
      </c>
      <c r="U401" s="3395">
        <f t="shared" si="106"/>
        <v>0</v>
      </c>
      <c r="V401" s="3396">
        <f t="shared" si="106"/>
        <v>0</v>
      </c>
      <c r="W401" s="3396">
        <f t="shared" si="106"/>
        <v>0</v>
      </c>
      <c r="X401" s="3386"/>
      <c r="Y401" s="3386"/>
      <c r="Z401" s="3386"/>
      <c r="AA401" s="3391"/>
    </row>
    <row r="402" spans="2:27" ht="18" hidden="1">
      <c r="B402" s="3350"/>
      <c r="C402" s="3407"/>
      <c r="D402" s="3350"/>
      <c r="E402" s="3404">
        <v>1093000174</v>
      </c>
      <c r="F402" s="3406"/>
      <c r="G402" s="3387"/>
      <c r="H402" s="3383">
        <f t="shared" si="104"/>
        <v>0</v>
      </c>
      <c r="I402" s="3386"/>
      <c r="J402" s="3387"/>
      <c r="K402" s="3383">
        <f t="shared" si="105"/>
        <v>0</v>
      </c>
      <c r="L402" s="3395">
        <f t="shared" si="103"/>
        <v>0</v>
      </c>
      <c r="M402" s="3396">
        <f t="shared" si="103"/>
        <v>0</v>
      </c>
      <c r="N402" s="3396">
        <f t="shared" si="103"/>
        <v>0</v>
      </c>
      <c r="O402" s="3395">
        <f t="shared" si="102"/>
        <v>0</v>
      </c>
      <c r="P402" s="3396">
        <f t="shared" si="102"/>
        <v>0</v>
      </c>
      <c r="Q402" s="3396">
        <f t="shared" si="102"/>
        <v>0</v>
      </c>
      <c r="R402" s="3395">
        <f t="shared" si="102"/>
        <v>0</v>
      </c>
      <c r="S402" s="3396">
        <f t="shared" si="102"/>
        <v>0</v>
      </c>
      <c r="T402" s="3396">
        <f t="shared" si="102"/>
        <v>0</v>
      </c>
      <c r="U402" s="3395">
        <f t="shared" si="106"/>
        <v>0</v>
      </c>
      <c r="V402" s="3396">
        <f t="shared" si="106"/>
        <v>0</v>
      </c>
      <c r="W402" s="3396">
        <f t="shared" si="106"/>
        <v>0</v>
      </c>
      <c r="X402" s="3386"/>
      <c r="Y402" s="3386"/>
      <c r="Z402" s="3386"/>
      <c r="AA402" s="3391"/>
    </row>
    <row r="403" spans="2:27" ht="18" hidden="1">
      <c r="B403" s="3350"/>
      <c r="C403" s="3407"/>
      <c r="D403" s="3350"/>
      <c r="E403" s="3404">
        <v>1093000175</v>
      </c>
      <c r="F403" s="3406"/>
      <c r="G403" s="3387"/>
      <c r="H403" s="3383">
        <f t="shared" si="104"/>
        <v>0</v>
      </c>
      <c r="I403" s="3386"/>
      <c r="J403" s="3387"/>
      <c r="K403" s="3383">
        <f t="shared" si="105"/>
        <v>0</v>
      </c>
      <c r="L403" s="3395">
        <f t="shared" si="103"/>
        <v>0</v>
      </c>
      <c r="M403" s="3396">
        <f t="shared" si="103"/>
        <v>0</v>
      </c>
      <c r="N403" s="3396">
        <f t="shared" si="103"/>
        <v>0</v>
      </c>
      <c r="O403" s="3395">
        <f t="shared" si="102"/>
        <v>0</v>
      </c>
      <c r="P403" s="3396">
        <f t="shared" si="102"/>
        <v>0</v>
      </c>
      <c r="Q403" s="3396">
        <f t="shared" si="102"/>
        <v>0</v>
      </c>
      <c r="R403" s="3395">
        <f t="shared" si="102"/>
        <v>0</v>
      </c>
      <c r="S403" s="3396">
        <f t="shared" si="102"/>
        <v>0</v>
      </c>
      <c r="T403" s="3396">
        <f t="shared" si="102"/>
        <v>0</v>
      </c>
      <c r="U403" s="3395">
        <f t="shared" si="106"/>
        <v>0</v>
      </c>
      <c r="V403" s="3396">
        <f t="shared" si="106"/>
        <v>0</v>
      </c>
      <c r="W403" s="3396">
        <f t="shared" si="106"/>
        <v>0</v>
      </c>
      <c r="X403" s="3386"/>
      <c r="Y403" s="3386"/>
      <c r="Z403" s="3386"/>
      <c r="AA403" s="3391"/>
    </row>
    <row r="404" spans="2:27" ht="18" hidden="1">
      <c r="B404" s="3350"/>
      <c r="C404" s="3407"/>
      <c r="D404" s="3350"/>
      <c r="E404" s="3404">
        <v>1093000176</v>
      </c>
      <c r="F404" s="3406"/>
      <c r="G404" s="3387"/>
      <c r="H404" s="3383">
        <f t="shared" si="104"/>
        <v>0</v>
      </c>
      <c r="I404" s="3386"/>
      <c r="J404" s="3387"/>
      <c r="K404" s="3383">
        <f t="shared" si="105"/>
        <v>0</v>
      </c>
      <c r="L404" s="3395">
        <f t="shared" si="103"/>
        <v>0</v>
      </c>
      <c r="M404" s="3396">
        <f t="shared" si="103"/>
        <v>0</v>
      </c>
      <c r="N404" s="3396">
        <f t="shared" si="103"/>
        <v>0</v>
      </c>
      <c r="O404" s="3395">
        <f t="shared" si="102"/>
        <v>0</v>
      </c>
      <c r="P404" s="3396">
        <f t="shared" si="102"/>
        <v>0</v>
      </c>
      <c r="Q404" s="3396">
        <f t="shared" si="102"/>
        <v>0</v>
      </c>
      <c r="R404" s="3395">
        <f t="shared" si="102"/>
        <v>0</v>
      </c>
      <c r="S404" s="3396">
        <f t="shared" si="102"/>
        <v>0</v>
      </c>
      <c r="T404" s="3396">
        <f t="shared" si="102"/>
        <v>0</v>
      </c>
      <c r="U404" s="3395">
        <f t="shared" si="106"/>
        <v>0</v>
      </c>
      <c r="V404" s="3396">
        <f t="shared" si="106"/>
        <v>0</v>
      </c>
      <c r="W404" s="3396">
        <f t="shared" si="106"/>
        <v>0</v>
      </c>
      <c r="X404" s="3386"/>
      <c r="Y404" s="3386"/>
      <c r="Z404" s="3386"/>
      <c r="AA404" s="3391"/>
    </row>
    <row r="405" spans="2:27" ht="18" hidden="1">
      <c r="B405" s="3350"/>
      <c r="C405" s="3407"/>
      <c r="D405" s="3350"/>
      <c r="E405" s="3404">
        <v>1093000177</v>
      </c>
      <c r="F405" s="3406"/>
      <c r="G405" s="3387"/>
      <c r="H405" s="3383">
        <f t="shared" si="104"/>
        <v>0</v>
      </c>
      <c r="I405" s="3386"/>
      <c r="J405" s="3387"/>
      <c r="K405" s="3383">
        <f t="shared" si="105"/>
        <v>0</v>
      </c>
      <c r="L405" s="3395">
        <f t="shared" si="103"/>
        <v>0</v>
      </c>
      <c r="M405" s="3396">
        <f t="shared" si="103"/>
        <v>0</v>
      </c>
      <c r="N405" s="3396">
        <f t="shared" si="103"/>
        <v>0</v>
      </c>
      <c r="O405" s="3395">
        <f t="shared" si="102"/>
        <v>0</v>
      </c>
      <c r="P405" s="3396">
        <f t="shared" si="102"/>
        <v>0</v>
      </c>
      <c r="Q405" s="3396">
        <f t="shared" si="102"/>
        <v>0</v>
      </c>
      <c r="R405" s="3395">
        <f t="shared" si="102"/>
        <v>0</v>
      </c>
      <c r="S405" s="3396">
        <f t="shared" si="102"/>
        <v>0</v>
      </c>
      <c r="T405" s="3396">
        <f t="shared" si="102"/>
        <v>0</v>
      </c>
      <c r="U405" s="3395">
        <f t="shared" si="106"/>
        <v>0</v>
      </c>
      <c r="V405" s="3396">
        <f t="shared" si="106"/>
        <v>0</v>
      </c>
      <c r="W405" s="3396">
        <f t="shared" si="106"/>
        <v>0</v>
      </c>
      <c r="X405" s="3386"/>
      <c r="Y405" s="3386"/>
      <c r="Z405" s="3386"/>
      <c r="AA405" s="3391"/>
    </row>
    <row r="406" spans="2:27" ht="18" hidden="1">
      <c r="B406" s="3350"/>
      <c r="C406" s="3407"/>
      <c r="D406" s="3350"/>
      <c r="E406" s="3404">
        <v>1093000178</v>
      </c>
      <c r="F406" s="3406"/>
      <c r="G406" s="3387"/>
      <c r="H406" s="3383">
        <f t="shared" si="104"/>
        <v>0</v>
      </c>
      <c r="I406" s="3386"/>
      <c r="J406" s="3387"/>
      <c r="K406" s="3383">
        <f t="shared" si="105"/>
        <v>0</v>
      </c>
      <c r="L406" s="3395">
        <f t="shared" si="103"/>
        <v>0</v>
      </c>
      <c r="M406" s="3396">
        <f t="shared" si="103"/>
        <v>0</v>
      </c>
      <c r="N406" s="3396">
        <f t="shared" si="103"/>
        <v>0</v>
      </c>
      <c r="O406" s="3395">
        <f t="shared" si="102"/>
        <v>0</v>
      </c>
      <c r="P406" s="3396">
        <f t="shared" si="102"/>
        <v>0</v>
      </c>
      <c r="Q406" s="3396">
        <f t="shared" si="102"/>
        <v>0</v>
      </c>
      <c r="R406" s="3395">
        <f t="shared" si="102"/>
        <v>0</v>
      </c>
      <c r="S406" s="3396">
        <f t="shared" si="102"/>
        <v>0</v>
      </c>
      <c r="T406" s="3396">
        <f t="shared" si="102"/>
        <v>0</v>
      </c>
      <c r="U406" s="3395">
        <f t="shared" si="106"/>
        <v>0</v>
      </c>
      <c r="V406" s="3396">
        <f t="shared" si="106"/>
        <v>0</v>
      </c>
      <c r="W406" s="3396">
        <f t="shared" si="106"/>
        <v>0</v>
      </c>
      <c r="X406" s="3386"/>
      <c r="Y406" s="3386"/>
      <c r="Z406" s="3386"/>
      <c r="AA406" s="3391"/>
    </row>
    <row r="407" spans="2:27" ht="18" hidden="1">
      <c r="B407" s="3350"/>
      <c r="C407" s="3407"/>
      <c r="D407" s="3350"/>
      <c r="E407" s="3404">
        <v>1093000179</v>
      </c>
      <c r="F407" s="3406"/>
      <c r="G407" s="3387"/>
      <c r="H407" s="3383">
        <f t="shared" si="104"/>
        <v>0</v>
      </c>
      <c r="I407" s="3386"/>
      <c r="J407" s="3387"/>
      <c r="K407" s="3383">
        <f t="shared" si="105"/>
        <v>0</v>
      </c>
      <c r="L407" s="3395">
        <f t="shared" si="103"/>
        <v>0</v>
      </c>
      <c r="M407" s="3396">
        <f t="shared" si="103"/>
        <v>0</v>
      </c>
      <c r="N407" s="3396">
        <f t="shared" si="103"/>
        <v>0</v>
      </c>
      <c r="O407" s="3395">
        <f t="shared" si="102"/>
        <v>0</v>
      </c>
      <c r="P407" s="3396">
        <f t="shared" si="102"/>
        <v>0</v>
      </c>
      <c r="Q407" s="3396">
        <f t="shared" si="102"/>
        <v>0</v>
      </c>
      <c r="R407" s="3395">
        <f t="shared" si="102"/>
        <v>0</v>
      </c>
      <c r="S407" s="3396">
        <f t="shared" si="102"/>
        <v>0</v>
      </c>
      <c r="T407" s="3396">
        <f t="shared" si="102"/>
        <v>0</v>
      </c>
      <c r="U407" s="3395">
        <f t="shared" si="106"/>
        <v>0</v>
      </c>
      <c r="V407" s="3396">
        <f t="shared" si="106"/>
        <v>0</v>
      </c>
      <c r="W407" s="3396">
        <f t="shared" si="106"/>
        <v>0</v>
      </c>
      <c r="X407" s="3386"/>
      <c r="Y407" s="3386"/>
      <c r="Z407" s="3386"/>
      <c r="AA407" s="3391"/>
    </row>
    <row r="408" spans="2:27" ht="18" hidden="1">
      <c r="B408" s="3350"/>
      <c r="C408" s="3407"/>
      <c r="D408" s="3350"/>
      <c r="E408" s="3404">
        <v>1093000180</v>
      </c>
      <c r="F408" s="3406"/>
      <c r="G408" s="3387"/>
      <c r="H408" s="3383">
        <f t="shared" si="104"/>
        <v>0</v>
      </c>
      <c r="I408" s="3386"/>
      <c r="J408" s="3387"/>
      <c r="K408" s="3383">
        <f t="shared" si="105"/>
        <v>0</v>
      </c>
      <c r="L408" s="3395">
        <f t="shared" si="103"/>
        <v>0</v>
      </c>
      <c r="M408" s="3396">
        <f t="shared" si="103"/>
        <v>0</v>
      </c>
      <c r="N408" s="3396">
        <f t="shared" si="103"/>
        <v>0</v>
      </c>
      <c r="O408" s="3395">
        <f t="shared" si="102"/>
        <v>0</v>
      </c>
      <c r="P408" s="3396">
        <f t="shared" si="102"/>
        <v>0</v>
      </c>
      <c r="Q408" s="3396">
        <f t="shared" si="102"/>
        <v>0</v>
      </c>
      <c r="R408" s="3395">
        <f t="shared" si="102"/>
        <v>0</v>
      </c>
      <c r="S408" s="3396">
        <f t="shared" si="102"/>
        <v>0</v>
      </c>
      <c r="T408" s="3396">
        <f t="shared" si="102"/>
        <v>0</v>
      </c>
      <c r="U408" s="3395">
        <f t="shared" si="106"/>
        <v>0</v>
      </c>
      <c r="V408" s="3396">
        <f t="shared" si="106"/>
        <v>0</v>
      </c>
      <c r="W408" s="3396">
        <f t="shared" si="106"/>
        <v>0</v>
      </c>
      <c r="X408" s="3386"/>
      <c r="Y408" s="3386"/>
      <c r="Z408" s="3386"/>
      <c r="AA408" s="3391"/>
    </row>
    <row r="409" spans="2:27" ht="18" hidden="1">
      <c r="B409" s="3350"/>
      <c r="C409" s="3407"/>
      <c r="D409" s="3350"/>
      <c r="E409" s="3404">
        <v>1093000181</v>
      </c>
      <c r="F409" s="3406"/>
      <c r="G409" s="3387"/>
      <c r="H409" s="3383">
        <f t="shared" si="104"/>
        <v>0</v>
      </c>
      <c r="I409" s="3386"/>
      <c r="J409" s="3387"/>
      <c r="K409" s="3383">
        <f t="shared" si="105"/>
        <v>0</v>
      </c>
      <c r="L409" s="3395">
        <f t="shared" si="103"/>
        <v>0</v>
      </c>
      <c r="M409" s="3396">
        <f t="shared" si="103"/>
        <v>0</v>
      </c>
      <c r="N409" s="3396">
        <f t="shared" si="103"/>
        <v>0</v>
      </c>
      <c r="O409" s="3395">
        <f t="shared" si="102"/>
        <v>0</v>
      </c>
      <c r="P409" s="3396">
        <f t="shared" si="102"/>
        <v>0</v>
      </c>
      <c r="Q409" s="3396">
        <f t="shared" si="102"/>
        <v>0</v>
      </c>
      <c r="R409" s="3395">
        <f t="shared" si="102"/>
        <v>0</v>
      </c>
      <c r="S409" s="3396">
        <f t="shared" si="102"/>
        <v>0</v>
      </c>
      <c r="T409" s="3396">
        <f t="shared" si="102"/>
        <v>0</v>
      </c>
      <c r="U409" s="3395">
        <f t="shared" si="106"/>
        <v>0</v>
      </c>
      <c r="V409" s="3396">
        <f t="shared" si="106"/>
        <v>0</v>
      </c>
      <c r="W409" s="3396">
        <f t="shared" si="106"/>
        <v>0</v>
      </c>
      <c r="X409" s="3386"/>
      <c r="Y409" s="3386"/>
      <c r="Z409" s="3386"/>
      <c r="AA409" s="3391"/>
    </row>
    <row r="410" spans="2:27" ht="18" hidden="1">
      <c r="B410" s="3350"/>
      <c r="C410" s="3407"/>
      <c r="D410" s="3350"/>
      <c r="E410" s="3404">
        <v>1093000182</v>
      </c>
      <c r="F410" s="3406"/>
      <c r="G410" s="3387"/>
      <c r="H410" s="3383">
        <f t="shared" si="104"/>
        <v>0</v>
      </c>
      <c r="I410" s="3386"/>
      <c r="J410" s="3387"/>
      <c r="K410" s="3383">
        <f t="shared" si="105"/>
        <v>0</v>
      </c>
      <c r="L410" s="3395">
        <f t="shared" si="103"/>
        <v>0</v>
      </c>
      <c r="M410" s="3396">
        <f t="shared" si="103"/>
        <v>0</v>
      </c>
      <c r="N410" s="3396">
        <f t="shared" si="103"/>
        <v>0</v>
      </c>
      <c r="O410" s="3395">
        <f t="shared" si="102"/>
        <v>0</v>
      </c>
      <c r="P410" s="3396">
        <f t="shared" si="102"/>
        <v>0</v>
      </c>
      <c r="Q410" s="3396">
        <f t="shared" si="102"/>
        <v>0</v>
      </c>
      <c r="R410" s="3395">
        <f t="shared" si="102"/>
        <v>0</v>
      </c>
      <c r="S410" s="3396">
        <f t="shared" si="102"/>
        <v>0</v>
      </c>
      <c r="T410" s="3396">
        <f t="shared" si="102"/>
        <v>0</v>
      </c>
      <c r="U410" s="3395">
        <f t="shared" si="106"/>
        <v>0</v>
      </c>
      <c r="V410" s="3396">
        <f t="shared" si="106"/>
        <v>0</v>
      </c>
      <c r="W410" s="3396">
        <f t="shared" si="106"/>
        <v>0</v>
      </c>
      <c r="X410" s="3386"/>
      <c r="Y410" s="3386"/>
      <c r="Z410" s="3386"/>
      <c r="AA410" s="3391"/>
    </row>
    <row r="411" spans="2:27" ht="18" hidden="1">
      <c r="B411" s="3350"/>
      <c r="C411" s="3407"/>
      <c r="D411" s="3350"/>
      <c r="E411" s="3404">
        <v>1093000183</v>
      </c>
      <c r="F411" s="3406"/>
      <c r="G411" s="3387"/>
      <c r="H411" s="3383">
        <f t="shared" si="104"/>
        <v>0</v>
      </c>
      <c r="I411" s="3386"/>
      <c r="J411" s="3387"/>
      <c r="K411" s="3383">
        <f t="shared" si="105"/>
        <v>0</v>
      </c>
      <c r="L411" s="3395">
        <f t="shared" si="103"/>
        <v>0</v>
      </c>
      <c r="M411" s="3396">
        <f t="shared" si="103"/>
        <v>0</v>
      </c>
      <c r="N411" s="3396">
        <f t="shared" si="103"/>
        <v>0</v>
      </c>
      <c r="O411" s="3395">
        <f t="shared" si="102"/>
        <v>0</v>
      </c>
      <c r="P411" s="3396">
        <f t="shared" si="102"/>
        <v>0</v>
      </c>
      <c r="Q411" s="3396">
        <f t="shared" si="102"/>
        <v>0</v>
      </c>
      <c r="R411" s="3395">
        <f t="shared" si="102"/>
        <v>0</v>
      </c>
      <c r="S411" s="3396">
        <f t="shared" si="102"/>
        <v>0</v>
      </c>
      <c r="T411" s="3396">
        <f t="shared" si="102"/>
        <v>0</v>
      </c>
      <c r="U411" s="3395">
        <f t="shared" si="106"/>
        <v>0</v>
      </c>
      <c r="V411" s="3396">
        <f t="shared" si="106"/>
        <v>0</v>
      </c>
      <c r="W411" s="3396">
        <f t="shared" si="106"/>
        <v>0</v>
      </c>
      <c r="X411" s="3386"/>
      <c r="Y411" s="3386"/>
      <c r="Z411" s="3386"/>
      <c r="AA411" s="3391"/>
    </row>
    <row r="412" spans="2:27" ht="18" hidden="1">
      <c r="B412" s="3350"/>
      <c r="C412" s="3407"/>
      <c r="D412" s="3350"/>
      <c r="E412" s="3404">
        <v>1093000184</v>
      </c>
      <c r="F412" s="3406"/>
      <c r="G412" s="3387"/>
      <c r="H412" s="3383">
        <f t="shared" si="104"/>
        <v>0</v>
      </c>
      <c r="I412" s="3386"/>
      <c r="J412" s="3387"/>
      <c r="K412" s="3383">
        <f t="shared" si="105"/>
        <v>0</v>
      </c>
      <c r="L412" s="3395">
        <f t="shared" si="103"/>
        <v>0</v>
      </c>
      <c r="M412" s="3396">
        <f t="shared" si="103"/>
        <v>0</v>
      </c>
      <c r="N412" s="3396">
        <f t="shared" si="103"/>
        <v>0</v>
      </c>
      <c r="O412" s="3395">
        <f t="shared" si="102"/>
        <v>0</v>
      </c>
      <c r="P412" s="3396">
        <f t="shared" si="102"/>
        <v>0</v>
      </c>
      <c r="Q412" s="3396">
        <f t="shared" si="102"/>
        <v>0</v>
      </c>
      <c r="R412" s="3395">
        <f t="shared" si="102"/>
        <v>0</v>
      </c>
      <c r="S412" s="3396">
        <f t="shared" si="102"/>
        <v>0</v>
      </c>
      <c r="T412" s="3396">
        <f t="shared" si="102"/>
        <v>0</v>
      </c>
      <c r="U412" s="3395">
        <f t="shared" si="106"/>
        <v>0</v>
      </c>
      <c r="V412" s="3396">
        <f t="shared" si="106"/>
        <v>0</v>
      </c>
      <c r="W412" s="3396">
        <f t="shared" si="106"/>
        <v>0</v>
      </c>
      <c r="X412" s="3386"/>
      <c r="Y412" s="3386"/>
      <c r="Z412" s="3386"/>
      <c r="AA412" s="3391"/>
    </row>
    <row r="413" spans="2:27" ht="18" hidden="1">
      <c r="B413" s="3350"/>
      <c r="C413" s="3407"/>
      <c r="D413" s="3350"/>
      <c r="E413" s="3404">
        <v>1093000185</v>
      </c>
      <c r="F413" s="3406"/>
      <c r="G413" s="3387"/>
      <c r="H413" s="3383">
        <f t="shared" si="104"/>
        <v>0</v>
      </c>
      <c r="I413" s="3386"/>
      <c r="J413" s="3387"/>
      <c r="K413" s="3383">
        <f t="shared" si="105"/>
        <v>0</v>
      </c>
      <c r="L413" s="3395">
        <f t="shared" si="103"/>
        <v>0</v>
      </c>
      <c r="M413" s="3396">
        <f t="shared" si="103"/>
        <v>0</v>
      </c>
      <c r="N413" s="3396">
        <f t="shared" si="103"/>
        <v>0</v>
      </c>
      <c r="O413" s="3395">
        <f t="shared" si="102"/>
        <v>0</v>
      </c>
      <c r="P413" s="3396">
        <f t="shared" si="102"/>
        <v>0</v>
      </c>
      <c r="Q413" s="3396">
        <f t="shared" si="102"/>
        <v>0</v>
      </c>
      <c r="R413" s="3395">
        <f t="shared" si="102"/>
        <v>0</v>
      </c>
      <c r="S413" s="3396">
        <f t="shared" si="102"/>
        <v>0</v>
      </c>
      <c r="T413" s="3396">
        <f t="shared" si="102"/>
        <v>0</v>
      </c>
      <c r="U413" s="3395">
        <f t="shared" si="106"/>
        <v>0</v>
      </c>
      <c r="V413" s="3396">
        <f t="shared" si="106"/>
        <v>0</v>
      </c>
      <c r="W413" s="3396">
        <f t="shared" si="106"/>
        <v>0</v>
      </c>
      <c r="X413" s="3386"/>
      <c r="Y413" s="3386"/>
      <c r="Z413" s="3386"/>
      <c r="AA413" s="3391"/>
    </row>
    <row r="414" spans="2:27" ht="18" hidden="1">
      <c r="B414" s="3350"/>
      <c r="C414" s="3407"/>
      <c r="D414" s="3350"/>
      <c r="E414" s="3404">
        <v>1093000186</v>
      </c>
      <c r="F414" s="3406"/>
      <c r="G414" s="3387"/>
      <c r="H414" s="3383">
        <f t="shared" si="104"/>
        <v>0</v>
      </c>
      <c r="I414" s="3386"/>
      <c r="J414" s="3387"/>
      <c r="K414" s="3383">
        <f t="shared" si="105"/>
        <v>0</v>
      </c>
      <c r="L414" s="3395">
        <f t="shared" si="103"/>
        <v>0</v>
      </c>
      <c r="M414" s="3396">
        <f t="shared" si="103"/>
        <v>0</v>
      </c>
      <c r="N414" s="3396">
        <f t="shared" si="103"/>
        <v>0</v>
      </c>
      <c r="O414" s="3395">
        <f t="shared" si="102"/>
        <v>0</v>
      </c>
      <c r="P414" s="3396">
        <f t="shared" si="102"/>
        <v>0</v>
      </c>
      <c r="Q414" s="3396">
        <f t="shared" si="102"/>
        <v>0</v>
      </c>
      <c r="R414" s="3395">
        <f t="shared" si="102"/>
        <v>0</v>
      </c>
      <c r="S414" s="3396">
        <f t="shared" si="102"/>
        <v>0</v>
      </c>
      <c r="T414" s="3396">
        <f t="shared" si="102"/>
        <v>0</v>
      </c>
      <c r="U414" s="3395">
        <f t="shared" si="106"/>
        <v>0</v>
      </c>
      <c r="V414" s="3396">
        <f t="shared" si="106"/>
        <v>0</v>
      </c>
      <c r="W414" s="3396">
        <f t="shared" si="106"/>
        <v>0</v>
      </c>
      <c r="X414" s="3386"/>
      <c r="Y414" s="3386"/>
      <c r="Z414" s="3386"/>
      <c r="AA414" s="3391"/>
    </row>
    <row r="415" spans="2:27" ht="18" hidden="1">
      <c r="B415" s="3350"/>
      <c r="C415" s="3407"/>
      <c r="D415" s="3350"/>
      <c r="E415" s="3404">
        <v>1093000187</v>
      </c>
      <c r="F415" s="3406"/>
      <c r="G415" s="3387"/>
      <c r="H415" s="3383">
        <f t="shared" si="104"/>
        <v>0</v>
      </c>
      <c r="I415" s="3386"/>
      <c r="J415" s="3387"/>
      <c r="K415" s="3383">
        <f t="shared" si="105"/>
        <v>0</v>
      </c>
      <c r="L415" s="3395">
        <f t="shared" si="103"/>
        <v>0</v>
      </c>
      <c r="M415" s="3396">
        <f t="shared" si="103"/>
        <v>0</v>
      </c>
      <c r="N415" s="3396">
        <f t="shared" si="103"/>
        <v>0</v>
      </c>
      <c r="O415" s="3395">
        <f t="shared" si="102"/>
        <v>0</v>
      </c>
      <c r="P415" s="3396">
        <f t="shared" si="102"/>
        <v>0</v>
      </c>
      <c r="Q415" s="3396">
        <f t="shared" si="102"/>
        <v>0</v>
      </c>
      <c r="R415" s="3395">
        <f t="shared" si="102"/>
        <v>0</v>
      </c>
      <c r="S415" s="3396">
        <f t="shared" si="102"/>
        <v>0</v>
      </c>
      <c r="T415" s="3396">
        <f t="shared" si="102"/>
        <v>0</v>
      </c>
      <c r="U415" s="3395">
        <f t="shared" si="106"/>
        <v>0</v>
      </c>
      <c r="V415" s="3396">
        <f t="shared" si="106"/>
        <v>0</v>
      </c>
      <c r="W415" s="3396">
        <f t="shared" si="106"/>
        <v>0</v>
      </c>
      <c r="X415" s="3386"/>
      <c r="Y415" s="3386"/>
      <c r="Z415" s="3386"/>
      <c r="AA415" s="3391"/>
    </row>
    <row r="416" spans="2:27" ht="18" hidden="1">
      <c r="B416" s="3350"/>
      <c r="C416" s="3407"/>
      <c r="D416" s="3350"/>
      <c r="E416" s="3404">
        <v>1093000188</v>
      </c>
      <c r="F416" s="3406"/>
      <c r="G416" s="3387"/>
      <c r="H416" s="3383">
        <f t="shared" si="104"/>
        <v>0</v>
      </c>
      <c r="I416" s="3386"/>
      <c r="J416" s="3387"/>
      <c r="K416" s="3383">
        <f t="shared" si="105"/>
        <v>0</v>
      </c>
      <c r="L416" s="3395">
        <f t="shared" si="103"/>
        <v>0</v>
      </c>
      <c r="M416" s="3396">
        <f t="shared" si="103"/>
        <v>0</v>
      </c>
      <c r="N416" s="3396">
        <f t="shared" si="103"/>
        <v>0</v>
      </c>
      <c r="O416" s="3395">
        <f t="shared" si="102"/>
        <v>0</v>
      </c>
      <c r="P416" s="3396">
        <f t="shared" si="102"/>
        <v>0</v>
      </c>
      <c r="Q416" s="3396">
        <f t="shared" si="102"/>
        <v>0</v>
      </c>
      <c r="R416" s="3395">
        <f t="shared" si="102"/>
        <v>0</v>
      </c>
      <c r="S416" s="3396">
        <f t="shared" si="102"/>
        <v>0</v>
      </c>
      <c r="T416" s="3396">
        <f t="shared" si="102"/>
        <v>0</v>
      </c>
      <c r="U416" s="3395">
        <f t="shared" si="106"/>
        <v>0</v>
      </c>
      <c r="V416" s="3396">
        <f t="shared" si="106"/>
        <v>0</v>
      </c>
      <c r="W416" s="3396">
        <f t="shared" si="106"/>
        <v>0</v>
      </c>
      <c r="X416" s="3386"/>
      <c r="Y416" s="3386"/>
      <c r="Z416" s="3386"/>
      <c r="AA416" s="3391"/>
    </row>
    <row r="417" spans="2:27" ht="18" hidden="1">
      <c r="B417" s="3350"/>
      <c r="C417" s="3407"/>
      <c r="D417" s="3350"/>
      <c r="E417" s="3404">
        <v>1093000189</v>
      </c>
      <c r="F417" s="3406"/>
      <c r="G417" s="3387"/>
      <c r="H417" s="3383">
        <f t="shared" si="104"/>
        <v>0</v>
      </c>
      <c r="I417" s="3386"/>
      <c r="J417" s="3387"/>
      <c r="K417" s="3383">
        <f t="shared" si="105"/>
        <v>0</v>
      </c>
      <c r="L417" s="3395">
        <f t="shared" si="103"/>
        <v>0</v>
      </c>
      <c r="M417" s="3396">
        <f t="shared" si="103"/>
        <v>0</v>
      </c>
      <c r="N417" s="3396">
        <f t="shared" si="103"/>
        <v>0</v>
      </c>
      <c r="O417" s="3395">
        <f t="shared" si="102"/>
        <v>0</v>
      </c>
      <c r="P417" s="3396">
        <f t="shared" si="102"/>
        <v>0</v>
      </c>
      <c r="Q417" s="3396">
        <f t="shared" si="102"/>
        <v>0</v>
      </c>
      <c r="R417" s="3395">
        <f t="shared" si="102"/>
        <v>0</v>
      </c>
      <c r="S417" s="3396">
        <f t="shared" si="102"/>
        <v>0</v>
      </c>
      <c r="T417" s="3396">
        <f t="shared" si="102"/>
        <v>0</v>
      </c>
      <c r="U417" s="3395">
        <f t="shared" si="106"/>
        <v>0</v>
      </c>
      <c r="V417" s="3396">
        <f t="shared" si="106"/>
        <v>0</v>
      </c>
      <c r="W417" s="3396">
        <f t="shared" si="106"/>
        <v>0</v>
      </c>
      <c r="X417" s="3386"/>
      <c r="Y417" s="3386"/>
      <c r="Z417" s="3386"/>
      <c r="AA417" s="3391"/>
    </row>
    <row r="418" spans="2:27" ht="18" hidden="1">
      <c r="B418" s="3350"/>
      <c r="C418" s="3407"/>
      <c r="D418" s="3350"/>
      <c r="E418" s="3404">
        <v>1093000190</v>
      </c>
      <c r="F418" s="3406"/>
      <c r="G418" s="3387"/>
      <c r="H418" s="3383">
        <f t="shared" si="104"/>
        <v>0</v>
      </c>
      <c r="I418" s="3386"/>
      <c r="J418" s="3387"/>
      <c r="K418" s="3383">
        <f t="shared" si="105"/>
        <v>0</v>
      </c>
      <c r="L418" s="3395">
        <f t="shared" si="103"/>
        <v>0</v>
      </c>
      <c r="M418" s="3396">
        <f t="shared" si="103"/>
        <v>0</v>
      </c>
      <c r="N418" s="3396">
        <f t="shared" si="103"/>
        <v>0</v>
      </c>
      <c r="O418" s="3395">
        <f t="shared" si="102"/>
        <v>0</v>
      </c>
      <c r="P418" s="3396">
        <f t="shared" si="102"/>
        <v>0</v>
      </c>
      <c r="Q418" s="3396">
        <f t="shared" si="102"/>
        <v>0</v>
      </c>
      <c r="R418" s="3395">
        <f t="shared" si="102"/>
        <v>0</v>
      </c>
      <c r="S418" s="3396">
        <f t="shared" si="102"/>
        <v>0</v>
      </c>
      <c r="T418" s="3396">
        <f t="shared" si="102"/>
        <v>0</v>
      </c>
      <c r="U418" s="3395">
        <f t="shared" si="106"/>
        <v>0</v>
      </c>
      <c r="V418" s="3396">
        <f t="shared" si="106"/>
        <v>0</v>
      </c>
      <c r="W418" s="3396">
        <f t="shared" si="106"/>
        <v>0</v>
      </c>
      <c r="X418" s="3386"/>
      <c r="Y418" s="3386"/>
      <c r="Z418" s="3386"/>
      <c r="AA418" s="3391"/>
    </row>
    <row r="419" spans="2:27" ht="18" hidden="1">
      <c r="B419" s="3350"/>
      <c r="C419" s="3407"/>
      <c r="D419" s="3350"/>
      <c r="E419" s="3404">
        <v>1093000191</v>
      </c>
      <c r="F419" s="3406"/>
      <c r="G419" s="3387"/>
      <c r="H419" s="3383">
        <f t="shared" si="104"/>
        <v>0</v>
      </c>
      <c r="I419" s="3386"/>
      <c r="J419" s="3387"/>
      <c r="K419" s="3383">
        <f t="shared" si="105"/>
        <v>0</v>
      </c>
      <c r="L419" s="3395">
        <f t="shared" si="103"/>
        <v>0</v>
      </c>
      <c r="M419" s="3396">
        <f t="shared" si="103"/>
        <v>0</v>
      </c>
      <c r="N419" s="3396">
        <f t="shared" si="103"/>
        <v>0</v>
      </c>
      <c r="O419" s="3395">
        <f t="shared" si="102"/>
        <v>0</v>
      </c>
      <c r="P419" s="3396">
        <f t="shared" si="102"/>
        <v>0</v>
      </c>
      <c r="Q419" s="3396">
        <f t="shared" si="102"/>
        <v>0</v>
      </c>
      <c r="R419" s="3395">
        <f t="shared" si="102"/>
        <v>0</v>
      </c>
      <c r="S419" s="3396">
        <f t="shared" si="102"/>
        <v>0</v>
      </c>
      <c r="T419" s="3396">
        <f t="shared" si="102"/>
        <v>0</v>
      </c>
      <c r="U419" s="3395">
        <f t="shared" si="106"/>
        <v>0</v>
      </c>
      <c r="V419" s="3396">
        <f t="shared" si="106"/>
        <v>0</v>
      </c>
      <c r="W419" s="3396">
        <f t="shared" si="106"/>
        <v>0</v>
      </c>
      <c r="X419" s="3386"/>
      <c r="Y419" s="3386"/>
      <c r="Z419" s="3386"/>
      <c r="AA419" s="3391"/>
    </row>
    <row r="420" spans="2:27" ht="18" hidden="1">
      <c r="B420" s="3350"/>
      <c r="C420" s="3407"/>
      <c r="D420" s="3350"/>
      <c r="E420" s="3404">
        <v>1093000192</v>
      </c>
      <c r="F420" s="3406"/>
      <c r="G420" s="3387"/>
      <c r="H420" s="3383">
        <f t="shared" si="104"/>
        <v>0</v>
      </c>
      <c r="I420" s="3386"/>
      <c r="J420" s="3387"/>
      <c r="K420" s="3383">
        <f t="shared" si="105"/>
        <v>0</v>
      </c>
      <c r="L420" s="3395">
        <f t="shared" si="103"/>
        <v>0</v>
      </c>
      <c r="M420" s="3396">
        <f t="shared" si="103"/>
        <v>0</v>
      </c>
      <c r="N420" s="3396">
        <f t="shared" si="103"/>
        <v>0</v>
      </c>
      <c r="O420" s="3395">
        <f t="shared" si="102"/>
        <v>0</v>
      </c>
      <c r="P420" s="3396">
        <f t="shared" si="102"/>
        <v>0</v>
      </c>
      <c r="Q420" s="3396">
        <f t="shared" si="102"/>
        <v>0</v>
      </c>
      <c r="R420" s="3395">
        <f t="shared" si="102"/>
        <v>0</v>
      </c>
      <c r="S420" s="3396">
        <f t="shared" si="102"/>
        <v>0</v>
      </c>
      <c r="T420" s="3396">
        <f t="shared" si="102"/>
        <v>0</v>
      </c>
      <c r="U420" s="3395">
        <f t="shared" si="106"/>
        <v>0</v>
      </c>
      <c r="V420" s="3396">
        <f t="shared" si="106"/>
        <v>0</v>
      </c>
      <c r="W420" s="3396">
        <f t="shared" si="106"/>
        <v>0</v>
      </c>
      <c r="X420" s="3386"/>
      <c r="Y420" s="3386"/>
      <c r="Z420" s="3386"/>
      <c r="AA420" s="3391"/>
    </row>
    <row r="421" spans="2:27" ht="18" hidden="1">
      <c r="B421" s="3350"/>
      <c r="C421" s="3407"/>
      <c r="D421" s="3350"/>
      <c r="E421" s="3404">
        <v>1093000193</v>
      </c>
      <c r="F421" s="3406"/>
      <c r="G421" s="3387"/>
      <c r="H421" s="3383">
        <f t="shared" si="104"/>
        <v>0</v>
      </c>
      <c r="I421" s="3386"/>
      <c r="J421" s="3387"/>
      <c r="K421" s="3383">
        <f t="shared" si="105"/>
        <v>0</v>
      </c>
      <c r="L421" s="3395">
        <f t="shared" si="103"/>
        <v>0</v>
      </c>
      <c r="M421" s="3396">
        <f t="shared" si="103"/>
        <v>0</v>
      </c>
      <c r="N421" s="3396">
        <f t="shared" si="103"/>
        <v>0</v>
      </c>
      <c r="O421" s="3395">
        <f t="shared" si="102"/>
        <v>0</v>
      </c>
      <c r="P421" s="3396">
        <f t="shared" si="102"/>
        <v>0</v>
      </c>
      <c r="Q421" s="3396">
        <f t="shared" si="102"/>
        <v>0</v>
      </c>
      <c r="R421" s="3395">
        <f t="shared" si="102"/>
        <v>0</v>
      </c>
      <c r="S421" s="3396">
        <f t="shared" si="102"/>
        <v>0</v>
      </c>
      <c r="T421" s="3396">
        <f t="shared" si="102"/>
        <v>0</v>
      </c>
      <c r="U421" s="3395">
        <f t="shared" si="106"/>
        <v>0</v>
      </c>
      <c r="V421" s="3396">
        <f t="shared" si="106"/>
        <v>0</v>
      </c>
      <c r="W421" s="3396">
        <f t="shared" si="106"/>
        <v>0</v>
      </c>
      <c r="X421" s="3386"/>
      <c r="Y421" s="3386"/>
      <c r="Z421" s="3386"/>
      <c r="AA421" s="3391"/>
    </row>
    <row r="422" spans="2:27" ht="18" hidden="1">
      <c r="B422" s="3350"/>
      <c r="C422" s="3407"/>
      <c r="D422" s="3350"/>
      <c r="E422" s="3404">
        <v>1093000194</v>
      </c>
      <c r="F422" s="3406"/>
      <c r="G422" s="3387"/>
      <c r="H422" s="3383">
        <f t="shared" si="104"/>
        <v>0</v>
      </c>
      <c r="I422" s="3386"/>
      <c r="J422" s="3387"/>
      <c r="K422" s="3383">
        <f t="shared" si="105"/>
        <v>0</v>
      </c>
      <c r="L422" s="3395">
        <f t="shared" si="103"/>
        <v>0</v>
      </c>
      <c r="M422" s="3396">
        <f t="shared" si="103"/>
        <v>0</v>
      </c>
      <c r="N422" s="3396">
        <f t="shared" si="103"/>
        <v>0</v>
      </c>
      <c r="O422" s="3395">
        <f t="shared" si="102"/>
        <v>0</v>
      </c>
      <c r="P422" s="3396">
        <f t="shared" si="102"/>
        <v>0</v>
      </c>
      <c r="Q422" s="3396">
        <f t="shared" si="102"/>
        <v>0</v>
      </c>
      <c r="R422" s="3395">
        <f t="shared" si="102"/>
        <v>0</v>
      </c>
      <c r="S422" s="3396">
        <f t="shared" si="102"/>
        <v>0</v>
      </c>
      <c r="T422" s="3396">
        <f t="shared" si="102"/>
        <v>0</v>
      </c>
      <c r="U422" s="3395">
        <f t="shared" si="106"/>
        <v>0</v>
      </c>
      <c r="V422" s="3396">
        <f t="shared" si="106"/>
        <v>0</v>
      </c>
      <c r="W422" s="3396">
        <f t="shared" si="106"/>
        <v>0</v>
      </c>
      <c r="X422" s="3386"/>
      <c r="Y422" s="3386"/>
      <c r="Z422" s="3386"/>
      <c r="AA422" s="3391"/>
    </row>
    <row r="423" spans="2:27" ht="18" hidden="1">
      <c r="B423" s="3350"/>
      <c r="C423" s="3407"/>
      <c r="D423" s="3350"/>
      <c r="E423" s="3404">
        <v>1093000195</v>
      </c>
      <c r="F423" s="3406"/>
      <c r="G423" s="3387"/>
      <c r="H423" s="3383">
        <f t="shared" si="104"/>
        <v>0</v>
      </c>
      <c r="I423" s="3386"/>
      <c r="J423" s="3387"/>
      <c r="K423" s="3383">
        <f t="shared" si="105"/>
        <v>0</v>
      </c>
      <c r="L423" s="3395">
        <f t="shared" si="103"/>
        <v>0</v>
      </c>
      <c r="M423" s="3396">
        <f t="shared" si="103"/>
        <v>0</v>
      </c>
      <c r="N423" s="3396">
        <f t="shared" si="103"/>
        <v>0</v>
      </c>
      <c r="O423" s="3395">
        <f t="shared" si="102"/>
        <v>0</v>
      </c>
      <c r="P423" s="3396">
        <f t="shared" si="102"/>
        <v>0</v>
      </c>
      <c r="Q423" s="3396">
        <f t="shared" si="102"/>
        <v>0</v>
      </c>
      <c r="R423" s="3395">
        <f t="shared" ref="R423:W490" si="107">(0)</f>
        <v>0</v>
      </c>
      <c r="S423" s="3396">
        <f t="shared" si="107"/>
        <v>0</v>
      </c>
      <c r="T423" s="3396">
        <f t="shared" si="107"/>
        <v>0</v>
      </c>
      <c r="U423" s="3395">
        <f t="shared" si="106"/>
        <v>0</v>
      </c>
      <c r="V423" s="3396">
        <f t="shared" si="106"/>
        <v>0</v>
      </c>
      <c r="W423" s="3396">
        <f t="shared" si="106"/>
        <v>0</v>
      </c>
      <c r="X423" s="3386"/>
      <c r="Y423" s="3386"/>
      <c r="Z423" s="3386"/>
      <c r="AA423" s="3391"/>
    </row>
    <row r="424" spans="2:27" ht="18" hidden="1">
      <c r="B424" s="3350"/>
      <c r="C424" s="3407"/>
      <c r="D424" s="3350"/>
      <c r="E424" s="3404">
        <v>1093000196</v>
      </c>
      <c r="F424" s="3406"/>
      <c r="G424" s="3387"/>
      <c r="H424" s="3383">
        <f t="shared" si="104"/>
        <v>0</v>
      </c>
      <c r="I424" s="3386"/>
      <c r="J424" s="3387"/>
      <c r="K424" s="3383">
        <f t="shared" si="105"/>
        <v>0</v>
      </c>
      <c r="L424" s="3395">
        <f t="shared" si="103"/>
        <v>0</v>
      </c>
      <c r="M424" s="3396">
        <f t="shared" si="103"/>
        <v>0</v>
      </c>
      <c r="N424" s="3396">
        <f t="shared" si="103"/>
        <v>0</v>
      </c>
      <c r="O424" s="3395">
        <f t="shared" si="103"/>
        <v>0</v>
      </c>
      <c r="P424" s="3396">
        <f t="shared" si="103"/>
        <v>0</v>
      </c>
      <c r="Q424" s="3396">
        <f t="shared" si="103"/>
        <v>0</v>
      </c>
      <c r="R424" s="3395">
        <f t="shared" si="107"/>
        <v>0</v>
      </c>
      <c r="S424" s="3396">
        <f t="shared" si="107"/>
        <v>0</v>
      </c>
      <c r="T424" s="3396">
        <f t="shared" si="107"/>
        <v>0</v>
      </c>
      <c r="U424" s="3395">
        <f t="shared" si="106"/>
        <v>0</v>
      </c>
      <c r="V424" s="3396">
        <f t="shared" si="106"/>
        <v>0</v>
      </c>
      <c r="W424" s="3396">
        <f t="shared" si="106"/>
        <v>0</v>
      </c>
      <c r="X424" s="3386"/>
      <c r="Y424" s="3386"/>
      <c r="Z424" s="3386"/>
      <c r="AA424" s="3391"/>
    </row>
    <row r="425" spans="2:27" ht="18" hidden="1">
      <c r="B425" s="3350"/>
      <c r="C425" s="3407"/>
      <c r="D425" s="3350"/>
      <c r="E425" s="3404">
        <v>1093000197</v>
      </c>
      <c r="F425" s="3406"/>
      <c r="G425" s="3387"/>
      <c r="H425" s="3383">
        <f t="shared" si="104"/>
        <v>0</v>
      </c>
      <c r="I425" s="3386"/>
      <c r="J425" s="3387"/>
      <c r="K425" s="3383">
        <f t="shared" si="105"/>
        <v>0</v>
      </c>
      <c r="L425" s="3395">
        <f t="shared" si="103"/>
        <v>0</v>
      </c>
      <c r="M425" s="3396">
        <f t="shared" si="103"/>
        <v>0</v>
      </c>
      <c r="N425" s="3396">
        <f t="shared" si="103"/>
        <v>0</v>
      </c>
      <c r="O425" s="3395">
        <f t="shared" si="103"/>
        <v>0</v>
      </c>
      <c r="P425" s="3396">
        <f t="shared" si="103"/>
        <v>0</v>
      </c>
      <c r="Q425" s="3396">
        <f t="shared" si="103"/>
        <v>0</v>
      </c>
      <c r="R425" s="3395">
        <f t="shared" si="107"/>
        <v>0</v>
      </c>
      <c r="S425" s="3396">
        <f t="shared" si="107"/>
        <v>0</v>
      </c>
      <c r="T425" s="3396">
        <f t="shared" si="107"/>
        <v>0</v>
      </c>
      <c r="U425" s="3395">
        <f t="shared" si="106"/>
        <v>0</v>
      </c>
      <c r="V425" s="3396">
        <f t="shared" si="106"/>
        <v>0</v>
      </c>
      <c r="W425" s="3396">
        <f t="shared" si="106"/>
        <v>0</v>
      </c>
      <c r="X425" s="3386"/>
      <c r="Y425" s="3386"/>
      <c r="Z425" s="3386"/>
      <c r="AA425" s="3391"/>
    </row>
    <row r="426" spans="2:27" ht="18" hidden="1">
      <c r="B426" s="3350"/>
      <c r="C426" s="3407"/>
      <c r="D426" s="3350"/>
      <c r="E426" s="3404">
        <v>1093000198</v>
      </c>
      <c r="F426" s="3406"/>
      <c r="G426" s="3387"/>
      <c r="H426" s="3383">
        <f t="shared" si="104"/>
        <v>0</v>
      </c>
      <c r="I426" s="3386"/>
      <c r="J426" s="3387"/>
      <c r="K426" s="3383">
        <f t="shared" si="105"/>
        <v>0</v>
      </c>
      <c r="L426" s="3395">
        <f t="shared" si="103"/>
        <v>0</v>
      </c>
      <c r="M426" s="3396">
        <f t="shared" si="103"/>
        <v>0</v>
      </c>
      <c r="N426" s="3396">
        <f t="shared" si="103"/>
        <v>0</v>
      </c>
      <c r="O426" s="3395">
        <f t="shared" si="103"/>
        <v>0</v>
      </c>
      <c r="P426" s="3396">
        <f t="shared" si="103"/>
        <v>0</v>
      </c>
      <c r="Q426" s="3396">
        <f t="shared" si="103"/>
        <v>0</v>
      </c>
      <c r="R426" s="3395">
        <f t="shared" si="107"/>
        <v>0</v>
      </c>
      <c r="S426" s="3396">
        <f t="shared" si="107"/>
        <v>0</v>
      </c>
      <c r="T426" s="3396">
        <f t="shared" si="107"/>
        <v>0</v>
      </c>
      <c r="U426" s="3395">
        <f t="shared" si="106"/>
        <v>0</v>
      </c>
      <c r="V426" s="3396">
        <f t="shared" si="106"/>
        <v>0</v>
      </c>
      <c r="W426" s="3396">
        <f t="shared" si="106"/>
        <v>0</v>
      </c>
      <c r="X426" s="3386"/>
      <c r="Y426" s="3386"/>
      <c r="Z426" s="3386"/>
      <c r="AA426" s="3391"/>
    </row>
    <row r="427" spans="2:27" ht="18" hidden="1">
      <c r="B427" s="3350"/>
      <c r="C427" s="3407"/>
      <c r="D427" s="3350"/>
      <c r="E427" s="3404">
        <v>1093000199</v>
      </c>
      <c r="F427" s="3406"/>
      <c r="G427" s="3387"/>
      <c r="H427" s="3383">
        <f t="shared" si="104"/>
        <v>0</v>
      </c>
      <c r="I427" s="3386"/>
      <c r="J427" s="3387"/>
      <c r="K427" s="3383">
        <f t="shared" si="105"/>
        <v>0</v>
      </c>
      <c r="L427" s="3395">
        <f t="shared" si="103"/>
        <v>0</v>
      </c>
      <c r="M427" s="3396">
        <f t="shared" si="103"/>
        <v>0</v>
      </c>
      <c r="N427" s="3396">
        <f t="shared" si="103"/>
        <v>0</v>
      </c>
      <c r="O427" s="3395">
        <f t="shared" si="103"/>
        <v>0</v>
      </c>
      <c r="P427" s="3396">
        <f t="shared" si="103"/>
        <v>0</v>
      </c>
      <c r="Q427" s="3396">
        <f t="shared" si="103"/>
        <v>0</v>
      </c>
      <c r="R427" s="3395">
        <f t="shared" si="107"/>
        <v>0</v>
      </c>
      <c r="S427" s="3396">
        <f t="shared" si="107"/>
        <v>0</v>
      </c>
      <c r="T427" s="3396">
        <f t="shared" si="107"/>
        <v>0</v>
      </c>
      <c r="U427" s="3395">
        <f t="shared" si="106"/>
        <v>0</v>
      </c>
      <c r="V427" s="3396">
        <f t="shared" si="106"/>
        <v>0</v>
      </c>
      <c r="W427" s="3396">
        <f t="shared" si="106"/>
        <v>0</v>
      </c>
      <c r="X427" s="3386"/>
      <c r="Y427" s="3386"/>
      <c r="Z427" s="3386"/>
      <c r="AA427" s="3391"/>
    </row>
    <row r="428" spans="2:27" ht="18" hidden="1">
      <c r="B428" s="3350"/>
      <c r="C428" s="3407"/>
      <c r="D428" s="3350"/>
      <c r="E428" s="3404">
        <v>1093000200</v>
      </c>
      <c r="F428" s="3406"/>
      <c r="G428" s="3387"/>
      <c r="H428" s="3383">
        <f t="shared" si="104"/>
        <v>0</v>
      </c>
      <c r="I428" s="3386"/>
      <c r="J428" s="3387"/>
      <c r="K428" s="3383">
        <f t="shared" si="105"/>
        <v>0</v>
      </c>
      <c r="L428" s="3395">
        <f t="shared" si="103"/>
        <v>0</v>
      </c>
      <c r="M428" s="3396">
        <f t="shared" si="103"/>
        <v>0</v>
      </c>
      <c r="N428" s="3396">
        <f t="shared" si="103"/>
        <v>0</v>
      </c>
      <c r="O428" s="3395">
        <f t="shared" si="103"/>
        <v>0</v>
      </c>
      <c r="P428" s="3396">
        <f t="shared" si="103"/>
        <v>0</v>
      </c>
      <c r="Q428" s="3396">
        <f t="shared" si="103"/>
        <v>0</v>
      </c>
      <c r="R428" s="3395">
        <f t="shared" si="107"/>
        <v>0</v>
      </c>
      <c r="S428" s="3396">
        <f t="shared" si="107"/>
        <v>0</v>
      </c>
      <c r="T428" s="3396">
        <f t="shared" si="107"/>
        <v>0</v>
      </c>
      <c r="U428" s="3395">
        <f t="shared" si="106"/>
        <v>0</v>
      </c>
      <c r="V428" s="3396">
        <f t="shared" si="106"/>
        <v>0</v>
      </c>
      <c r="W428" s="3396">
        <f t="shared" si="106"/>
        <v>0</v>
      </c>
      <c r="X428" s="3386"/>
      <c r="Y428" s="3386"/>
      <c r="Z428" s="3386"/>
      <c r="AA428" s="3391"/>
    </row>
    <row r="429" spans="2:27" ht="18" hidden="1">
      <c r="B429" s="3350"/>
      <c r="C429" s="3407"/>
      <c r="D429" s="3350"/>
      <c r="E429" s="3404">
        <v>1093000201</v>
      </c>
      <c r="F429" s="3406"/>
      <c r="G429" s="3387"/>
      <c r="H429" s="3383">
        <f t="shared" si="104"/>
        <v>0</v>
      </c>
      <c r="I429" s="3386"/>
      <c r="J429" s="3387"/>
      <c r="K429" s="3383">
        <f t="shared" si="105"/>
        <v>0</v>
      </c>
      <c r="L429" s="3395">
        <f t="shared" si="103"/>
        <v>0</v>
      </c>
      <c r="M429" s="3396">
        <f t="shared" si="103"/>
        <v>0</v>
      </c>
      <c r="N429" s="3396">
        <f t="shared" si="103"/>
        <v>0</v>
      </c>
      <c r="O429" s="3395">
        <f t="shared" si="103"/>
        <v>0</v>
      </c>
      <c r="P429" s="3396">
        <f t="shared" si="103"/>
        <v>0</v>
      </c>
      <c r="Q429" s="3396">
        <f t="shared" si="103"/>
        <v>0</v>
      </c>
      <c r="R429" s="3395">
        <f t="shared" si="107"/>
        <v>0</v>
      </c>
      <c r="S429" s="3396">
        <f t="shared" si="107"/>
        <v>0</v>
      </c>
      <c r="T429" s="3396">
        <f t="shared" si="107"/>
        <v>0</v>
      </c>
      <c r="U429" s="3395">
        <f t="shared" si="106"/>
        <v>0</v>
      </c>
      <c r="V429" s="3396">
        <f t="shared" si="106"/>
        <v>0</v>
      </c>
      <c r="W429" s="3396">
        <f t="shared" si="106"/>
        <v>0</v>
      </c>
      <c r="X429" s="3386"/>
      <c r="Y429" s="3386"/>
      <c r="Z429" s="3386"/>
      <c r="AA429" s="3391"/>
    </row>
    <row r="430" spans="2:27" ht="18" hidden="1">
      <c r="B430" s="3350"/>
      <c r="C430" s="3407"/>
      <c r="D430" s="3350"/>
      <c r="E430" s="3404">
        <v>1093000202</v>
      </c>
      <c r="F430" s="3406"/>
      <c r="G430" s="3387"/>
      <c r="H430" s="3383">
        <f t="shared" si="104"/>
        <v>0</v>
      </c>
      <c r="I430" s="3386"/>
      <c r="J430" s="3387"/>
      <c r="K430" s="3383">
        <f t="shared" si="105"/>
        <v>0</v>
      </c>
      <c r="L430" s="3395">
        <f t="shared" si="103"/>
        <v>0</v>
      </c>
      <c r="M430" s="3396">
        <f t="shared" si="103"/>
        <v>0</v>
      </c>
      <c r="N430" s="3396">
        <f t="shared" si="103"/>
        <v>0</v>
      </c>
      <c r="O430" s="3395">
        <f t="shared" si="103"/>
        <v>0</v>
      </c>
      <c r="P430" s="3396">
        <f t="shared" si="103"/>
        <v>0</v>
      </c>
      <c r="Q430" s="3396">
        <f t="shared" si="103"/>
        <v>0</v>
      </c>
      <c r="R430" s="3395">
        <f t="shared" si="107"/>
        <v>0</v>
      </c>
      <c r="S430" s="3396">
        <f t="shared" si="107"/>
        <v>0</v>
      </c>
      <c r="T430" s="3396">
        <f t="shared" si="107"/>
        <v>0</v>
      </c>
      <c r="U430" s="3395">
        <f t="shared" si="106"/>
        <v>0</v>
      </c>
      <c r="V430" s="3396">
        <f t="shared" si="106"/>
        <v>0</v>
      </c>
      <c r="W430" s="3396">
        <f t="shared" si="106"/>
        <v>0</v>
      </c>
      <c r="X430" s="3386"/>
      <c r="Y430" s="3386"/>
      <c r="Z430" s="3386"/>
      <c r="AA430" s="3391"/>
    </row>
    <row r="431" spans="2:27" ht="18" hidden="1">
      <c r="B431" s="3350"/>
      <c r="C431" s="3407"/>
      <c r="D431" s="3350"/>
      <c r="E431" s="3404">
        <v>1093000203</v>
      </c>
      <c r="F431" s="3406"/>
      <c r="G431" s="3387"/>
      <c r="H431" s="3383">
        <f t="shared" si="104"/>
        <v>0</v>
      </c>
      <c r="I431" s="3386"/>
      <c r="J431" s="3387"/>
      <c r="K431" s="3383">
        <f t="shared" si="105"/>
        <v>0</v>
      </c>
      <c r="L431" s="3395">
        <f t="shared" si="103"/>
        <v>0</v>
      </c>
      <c r="M431" s="3396">
        <f t="shared" si="103"/>
        <v>0</v>
      </c>
      <c r="N431" s="3396">
        <f t="shared" si="103"/>
        <v>0</v>
      </c>
      <c r="O431" s="3395">
        <f t="shared" si="103"/>
        <v>0</v>
      </c>
      <c r="P431" s="3396">
        <f t="shared" si="103"/>
        <v>0</v>
      </c>
      <c r="Q431" s="3396">
        <f t="shared" si="103"/>
        <v>0</v>
      </c>
      <c r="R431" s="3395">
        <f t="shared" si="107"/>
        <v>0</v>
      </c>
      <c r="S431" s="3396">
        <f t="shared" si="107"/>
        <v>0</v>
      </c>
      <c r="T431" s="3396">
        <f t="shared" si="107"/>
        <v>0</v>
      </c>
      <c r="U431" s="3395">
        <f t="shared" si="106"/>
        <v>0</v>
      </c>
      <c r="V431" s="3396">
        <f t="shared" si="106"/>
        <v>0</v>
      </c>
      <c r="W431" s="3396">
        <f t="shared" si="106"/>
        <v>0</v>
      </c>
      <c r="X431" s="3386"/>
      <c r="Y431" s="3386"/>
      <c r="Z431" s="3386"/>
      <c r="AA431" s="3391"/>
    </row>
    <row r="432" spans="2:27" ht="18" hidden="1">
      <c r="B432" s="3350"/>
      <c r="C432" s="3407"/>
      <c r="D432" s="3350"/>
      <c r="E432" s="3404">
        <v>1093000204</v>
      </c>
      <c r="F432" s="3406"/>
      <c r="G432" s="3387"/>
      <c r="H432" s="3383">
        <f t="shared" si="104"/>
        <v>0</v>
      </c>
      <c r="I432" s="3386"/>
      <c r="J432" s="3387"/>
      <c r="K432" s="3383">
        <f t="shared" si="105"/>
        <v>0</v>
      </c>
      <c r="L432" s="3395">
        <f t="shared" si="103"/>
        <v>0</v>
      </c>
      <c r="M432" s="3396">
        <f t="shared" si="103"/>
        <v>0</v>
      </c>
      <c r="N432" s="3396">
        <f t="shared" si="103"/>
        <v>0</v>
      </c>
      <c r="O432" s="3395">
        <f t="shared" si="103"/>
        <v>0</v>
      </c>
      <c r="P432" s="3396">
        <f t="shared" si="103"/>
        <v>0</v>
      </c>
      <c r="Q432" s="3396">
        <f t="shared" si="103"/>
        <v>0</v>
      </c>
      <c r="R432" s="3395">
        <f t="shared" si="107"/>
        <v>0</v>
      </c>
      <c r="S432" s="3396">
        <f t="shared" si="107"/>
        <v>0</v>
      </c>
      <c r="T432" s="3396">
        <f t="shared" si="107"/>
        <v>0</v>
      </c>
      <c r="U432" s="3395">
        <f t="shared" si="106"/>
        <v>0</v>
      </c>
      <c r="V432" s="3396">
        <f t="shared" si="106"/>
        <v>0</v>
      </c>
      <c r="W432" s="3396">
        <f t="shared" si="106"/>
        <v>0</v>
      </c>
      <c r="X432" s="3386"/>
      <c r="Y432" s="3386"/>
      <c r="Z432" s="3386"/>
      <c r="AA432" s="3391"/>
    </row>
    <row r="433" spans="2:27" ht="18" hidden="1">
      <c r="B433" s="3350"/>
      <c r="C433" s="3407"/>
      <c r="D433" s="3350"/>
      <c r="E433" s="3404">
        <v>1093000205</v>
      </c>
      <c r="F433" s="3406"/>
      <c r="G433" s="3387"/>
      <c r="H433" s="3383">
        <f t="shared" si="104"/>
        <v>0</v>
      </c>
      <c r="I433" s="3386"/>
      <c r="J433" s="3387"/>
      <c r="K433" s="3383">
        <f t="shared" si="105"/>
        <v>0</v>
      </c>
      <c r="L433" s="3395">
        <f t="shared" si="103"/>
        <v>0</v>
      </c>
      <c r="M433" s="3396">
        <f t="shared" si="103"/>
        <v>0</v>
      </c>
      <c r="N433" s="3396">
        <f t="shared" si="103"/>
        <v>0</v>
      </c>
      <c r="O433" s="3395">
        <f t="shared" si="103"/>
        <v>0</v>
      </c>
      <c r="P433" s="3396">
        <f t="shared" si="103"/>
        <v>0</v>
      </c>
      <c r="Q433" s="3396">
        <f t="shared" si="103"/>
        <v>0</v>
      </c>
      <c r="R433" s="3395">
        <f t="shared" si="107"/>
        <v>0</v>
      </c>
      <c r="S433" s="3396">
        <f t="shared" si="107"/>
        <v>0</v>
      </c>
      <c r="T433" s="3396">
        <f t="shared" si="107"/>
        <v>0</v>
      </c>
      <c r="U433" s="3395">
        <f t="shared" si="106"/>
        <v>0</v>
      </c>
      <c r="V433" s="3396">
        <f t="shared" si="106"/>
        <v>0</v>
      </c>
      <c r="W433" s="3396">
        <f t="shared" si="106"/>
        <v>0</v>
      </c>
      <c r="X433" s="3386"/>
      <c r="Y433" s="3386"/>
      <c r="Z433" s="3386"/>
      <c r="AA433" s="3391"/>
    </row>
    <row r="434" spans="2:27" ht="18" hidden="1">
      <c r="B434" s="3350"/>
      <c r="C434" s="3407"/>
      <c r="D434" s="3350"/>
      <c r="E434" s="3404">
        <v>1093000206</v>
      </c>
      <c r="F434" s="3406"/>
      <c r="G434" s="3387"/>
      <c r="H434" s="3383">
        <f t="shared" si="104"/>
        <v>0</v>
      </c>
      <c r="I434" s="3386"/>
      <c r="J434" s="3387"/>
      <c r="K434" s="3383">
        <f t="shared" si="105"/>
        <v>0</v>
      </c>
      <c r="L434" s="3395">
        <f t="shared" si="103"/>
        <v>0</v>
      </c>
      <c r="M434" s="3396">
        <f t="shared" si="103"/>
        <v>0</v>
      </c>
      <c r="N434" s="3396">
        <f t="shared" si="103"/>
        <v>0</v>
      </c>
      <c r="O434" s="3395">
        <f t="shared" si="103"/>
        <v>0</v>
      </c>
      <c r="P434" s="3396">
        <f t="shared" si="103"/>
        <v>0</v>
      </c>
      <c r="Q434" s="3396">
        <f t="shared" si="103"/>
        <v>0</v>
      </c>
      <c r="R434" s="3395">
        <f t="shared" si="107"/>
        <v>0</v>
      </c>
      <c r="S434" s="3396">
        <f t="shared" si="107"/>
        <v>0</v>
      </c>
      <c r="T434" s="3396">
        <f t="shared" si="107"/>
        <v>0</v>
      </c>
      <c r="U434" s="3395">
        <f t="shared" si="106"/>
        <v>0</v>
      </c>
      <c r="V434" s="3396">
        <f t="shared" si="106"/>
        <v>0</v>
      </c>
      <c r="W434" s="3396">
        <f t="shared" si="106"/>
        <v>0</v>
      </c>
      <c r="X434" s="3386"/>
      <c r="Y434" s="3386"/>
      <c r="Z434" s="3386"/>
      <c r="AA434" s="3391"/>
    </row>
    <row r="435" spans="2:27" ht="18" hidden="1">
      <c r="B435" s="3350"/>
      <c r="C435" s="3407"/>
      <c r="D435" s="3350"/>
      <c r="E435" s="3404">
        <v>1093000207</v>
      </c>
      <c r="F435" s="3406"/>
      <c r="G435" s="3387"/>
      <c r="H435" s="3383">
        <f t="shared" si="104"/>
        <v>0</v>
      </c>
      <c r="I435" s="3386"/>
      <c r="J435" s="3387"/>
      <c r="K435" s="3383">
        <f t="shared" si="105"/>
        <v>0</v>
      </c>
      <c r="L435" s="3395">
        <f t="shared" si="103"/>
        <v>0</v>
      </c>
      <c r="M435" s="3396">
        <f t="shared" si="103"/>
        <v>0</v>
      </c>
      <c r="N435" s="3396">
        <f t="shared" si="103"/>
        <v>0</v>
      </c>
      <c r="O435" s="3395">
        <f t="shared" si="103"/>
        <v>0</v>
      </c>
      <c r="P435" s="3396">
        <f t="shared" si="103"/>
        <v>0</v>
      </c>
      <c r="Q435" s="3396">
        <f t="shared" si="103"/>
        <v>0</v>
      </c>
      <c r="R435" s="3395">
        <f t="shared" si="107"/>
        <v>0</v>
      </c>
      <c r="S435" s="3396">
        <f t="shared" si="107"/>
        <v>0</v>
      </c>
      <c r="T435" s="3396">
        <f t="shared" si="107"/>
        <v>0</v>
      </c>
      <c r="U435" s="3395">
        <f t="shared" si="106"/>
        <v>0</v>
      </c>
      <c r="V435" s="3396">
        <f t="shared" si="106"/>
        <v>0</v>
      </c>
      <c r="W435" s="3396">
        <f t="shared" si="106"/>
        <v>0</v>
      </c>
      <c r="X435" s="3386"/>
      <c r="Y435" s="3386"/>
      <c r="Z435" s="3386"/>
      <c r="AA435" s="3391"/>
    </row>
    <row r="436" spans="2:27" ht="18" hidden="1">
      <c r="B436" s="3350"/>
      <c r="C436" s="3407"/>
      <c r="D436" s="3350"/>
      <c r="E436" s="3404">
        <v>1093000208</v>
      </c>
      <c r="F436" s="3406"/>
      <c r="G436" s="3387"/>
      <c r="H436" s="3383">
        <f t="shared" si="104"/>
        <v>0</v>
      </c>
      <c r="I436" s="3386"/>
      <c r="J436" s="3387"/>
      <c r="K436" s="3383">
        <f t="shared" si="105"/>
        <v>0</v>
      </c>
      <c r="L436" s="3395">
        <f t="shared" si="103"/>
        <v>0</v>
      </c>
      <c r="M436" s="3396">
        <f t="shared" si="103"/>
        <v>0</v>
      </c>
      <c r="N436" s="3396">
        <f t="shared" si="103"/>
        <v>0</v>
      </c>
      <c r="O436" s="3395">
        <f t="shared" si="103"/>
        <v>0</v>
      </c>
      <c r="P436" s="3396">
        <f t="shared" si="103"/>
        <v>0</v>
      </c>
      <c r="Q436" s="3396">
        <f t="shared" si="103"/>
        <v>0</v>
      </c>
      <c r="R436" s="3395">
        <f t="shared" si="107"/>
        <v>0</v>
      </c>
      <c r="S436" s="3396">
        <f t="shared" si="107"/>
        <v>0</v>
      </c>
      <c r="T436" s="3396">
        <f t="shared" si="107"/>
        <v>0</v>
      </c>
      <c r="U436" s="3395">
        <f t="shared" si="106"/>
        <v>0</v>
      </c>
      <c r="V436" s="3396">
        <f t="shared" si="106"/>
        <v>0</v>
      </c>
      <c r="W436" s="3396">
        <f t="shared" si="106"/>
        <v>0</v>
      </c>
      <c r="X436" s="3386"/>
      <c r="Y436" s="3386"/>
      <c r="Z436" s="3386"/>
      <c r="AA436" s="3391"/>
    </row>
    <row r="437" spans="2:27" ht="18" hidden="1">
      <c r="B437" s="3350"/>
      <c r="C437" s="3407"/>
      <c r="D437" s="3350"/>
      <c r="E437" s="3404">
        <v>1093000209</v>
      </c>
      <c r="F437" s="3406"/>
      <c r="G437" s="3387"/>
      <c r="H437" s="3383">
        <f t="shared" si="104"/>
        <v>0</v>
      </c>
      <c r="I437" s="3386"/>
      <c r="J437" s="3387"/>
      <c r="K437" s="3383">
        <f t="shared" si="105"/>
        <v>0</v>
      </c>
      <c r="L437" s="3395">
        <f t="shared" si="103"/>
        <v>0</v>
      </c>
      <c r="M437" s="3396">
        <f t="shared" si="103"/>
        <v>0</v>
      </c>
      <c r="N437" s="3396">
        <f t="shared" si="103"/>
        <v>0</v>
      </c>
      <c r="O437" s="3395">
        <f t="shared" si="103"/>
        <v>0</v>
      </c>
      <c r="P437" s="3396">
        <f t="shared" si="103"/>
        <v>0</v>
      </c>
      <c r="Q437" s="3396">
        <f t="shared" si="103"/>
        <v>0</v>
      </c>
      <c r="R437" s="3395">
        <f t="shared" si="107"/>
        <v>0</v>
      </c>
      <c r="S437" s="3396">
        <f t="shared" si="107"/>
        <v>0</v>
      </c>
      <c r="T437" s="3396">
        <f t="shared" si="107"/>
        <v>0</v>
      </c>
      <c r="U437" s="3395">
        <f t="shared" si="106"/>
        <v>0</v>
      </c>
      <c r="V437" s="3396">
        <f t="shared" si="106"/>
        <v>0</v>
      </c>
      <c r="W437" s="3396">
        <f t="shared" si="106"/>
        <v>0</v>
      </c>
      <c r="X437" s="3386"/>
      <c r="Y437" s="3386"/>
      <c r="Z437" s="3386"/>
      <c r="AA437" s="3391"/>
    </row>
    <row r="438" spans="2:27" ht="18" hidden="1">
      <c r="B438" s="3350"/>
      <c r="C438" s="3407"/>
      <c r="D438" s="3350"/>
      <c r="E438" s="3404">
        <v>1093000210</v>
      </c>
      <c r="F438" s="3406"/>
      <c r="G438" s="3387"/>
      <c r="H438" s="3383">
        <f t="shared" si="104"/>
        <v>0</v>
      </c>
      <c r="I438" s="3386"/>
      <c r="J438" s="3387"/>
      <c r="K438" s="3383">
        <f t="shared" si="105"/>
        <v>0</v>
      </c>
      <c r="L438" s="3395">
        <f t="shared" si="103"/>
        <v>0</v>
      </c>
      <c r="M438" s="3396">
        <f t="shared" si="103"/>
        <v>0</v>
      </c>
      <c r="N438" s="3396">
        <f t="shared" si="103"/>
        <v>0</v>
      </c>
      <c r="O438" s="3395">
        <f t="shared" si="103"/>
        <v>0</v>
      </c>
      <c r="P438" s="3396">
        <f t="shared" si="103"/>
        <v>0</v>
      </c>
      <c r="Q438" s="3396">
        <f t="shared" si="103"/>
        <v>0</v>
      </c>
      <c r="R438" s="3395">
        <f t="shared" si="107"/>
        <v>0</v>
      </c>
      <c r="S438" s="3396">
        <f t="shared" si="107"/>
        <v>0</v>
      </c>
      <c r="T438" s="3396">
        <f t="shared" si="107"/>
        <v>0</v>
      </c>
      <c r="U438" s="3395">
        <f t="shared" si="106"/>
        <v>0</v>
      </c>
      <c r="V438" s="3396">
        <f t="shared" si="106"/>
        <v>0</v>
      </c>
      <c r="W438" s="3396">
        <f t="shared" si="106"/>
        <v>0</v>
      </c>
      <c r="X438" s="3386"/>
      <c r="Y438" s="3386"/>
      <c r="Z438" s="3386"/>
      <c r="AA438" s="3391"/>
    </row>
    <row r="439" spans="2:27" ht="18" hidden="1">
      <c r="B439" s="3350"/>
      <c r="C439" s="3407"/>
      <c r="D439" s="3350"/>
      <c r="E439" s="3404">
        <v>1093000211</v>
      </c>
      <c r="F439" s="3406"/>
      <c r="G439" s="3387"/>
      <c r="H439" s="3383">
        <f t="shared" si="104"/>
        <v>0</v>
      </c>
      <c r="I439" s="3386"/>
      <c r="J439" s="3387"/>
      <c r="K439" s="3383">
        <f t="shared" si="105"/>
        <v>0</v>
      </c>
      <c r="L439" s="3395">
        <f t="shared" si="103"/>
        <v>0</v>
      </c>
      <c r="M439" s="3396">
        <f t="shared" si="103"/>
        <v>0</v>
      </c>
      <c r="N439" s="3396">
        <f t="shared" si="103"/>
        <v>0</v>
      </c>
      <c r="O439" s="3395">
        <f t="shared" si="103"/>
        <v>0</v>
      </c>
      <c r="P439" s="3396">
        <f t="shared" si="103"/>
        <v>0</v>
      </c>
      <c r="Q439" s="3396">
        <f t="shared" si="103"/>
        <v>0</v>
      </c>
      <c r="R439" s="3395">
        <f t="shared" si="107"/>
        <v>0</v>
      </c>
      <c r="S439" s="3396">
        <f t="shared" si="107"/>
        <v>0</v>
      </c>
      <c r="T439" s="3396">
        <f t="shared" si="107"/>
        <v>0</v>
      </c>
      <c r="U439" s="3395">
        <f t="shared" si="106"/>
        <v>0</v>
      </c>
      <c r="V439" s="3396">
        <f t="shared" si="106"/>
        <v>0</v>
      </c>
      <c r="W439" s="3396">
        <f t="shared" si="106"/>
        <v>0</v>
      </c>
      <c r="X439" s="3386"/>
      <c r="Y439" s="3386"/>
      <c r="Z439" s="3386"/>
      <c r="AA439" s="3391"/>
    </row>
    <row r="440" spans="2:27" ht="18" hidden="1">
      <c r="B440" s="3350"/>
      <c r="C440" s="3407"/>
      <c r="D440" s="3350"/>
      <c r="E440" s="3404">
        <v>1093000212</v>
      </c>
      <c r="F440" s="3406"/>
      <c r="G440" s="3387"/>
      <c r="H440" s="3383">
        <f t="shared" si="104"/>
        <v>0</v>
      </c>
      <c r="I440" s="3386"/>
      <c r="J440" s="3387"/>
      <c r="K440" s="3383">
        <f t="shared" si="105"/>
        <v>0</v>
      </c>
      <c r="L440" s="3395">
        <f t="shared" si="103"/>
        <v>0</v>
      </c>
      <c r="M440" s="3396">
        <f t="shared" si="103"/>
        <v>0</v>
      </c>
      <c r="N440" s="3396">
        <f t="shared" si="103"/>
        <v>0</v>
      </c>
      <c r="O440" s="3395">
        <f t="shared" si="103"/>
        <v>0</v>
      </c>
      <c r="P440" s="3396">
        <f t="shared" si="103"/>
        <v>0</v>
      </c>
      <c r="Q440" s="3396">
        <f t="shared" si="103"/>
        <v>0</v>
      </c>
      <c r="R440" s="3395">
        <f t="shared" si="107"/>
        <v>0</v>
      </c>
      <c r="S440" s="3396">
        <f t="shared" si="107"/>
        <v>0</v>
      </c>
      <c r="T440" s="3396">
        <f t="shared" si="107"/>
        <v>0</v>
      </c>
      <c r="U440" s="3395">
        <f t="shared" si="106"/>
        <v>0</v>
      </c>
      <c r="V440" s="3396">
        <f t="shared" si="106"/>
        <v>0</v>
      </c>
      <c r="W440" s="3396">
        <f t="shared" si="106"/>
        <v>0</v>
      </c>
      <c r="X440" s="3386"/>
      <c r="Y440" s="3386"/>
      <c r="Z440" s="3386"/>
      <c r="AA440" s="3391"/>
    </row>
    <row r="441" spans="2:27" ht="18" hidden="1">
      <c r="B441" s="3350"/>
      <c r="C441" s="3407"/>
      <c r="D441" s="3350"/>
      <c r="E441" s="3404">
        <v>1093000213</v>
      </c>
      <c r="F441" s="3406"/>
      <c r="G441" s="3387"/>
      <c r="H441" s="3383">
        <f t="shared" si="104"/>
        <v>0</v>
      </c>
      <c r="I441" s="3386"/>
      <c r="J441" s="3387"/>
      <c r="K441" s="3383">
        <f t="shared" si="105"/>
        <v>0</v>
      </c>
      <c r="L441" s="3395">
        <f t="shared" si="103"/>
        <v>0</v>
      </c>
      <c r="M441" s="3396">
        <f t="shared" si="103"/>
        <v>0</v>
      </c>
      <c r="N441" s="3396">
        <f t="shared" si="103"/>
        <v>0</v>
      </c>
      <c r="O441" s="3395">
        <f t="shared" ref="O441:T508" si="108">(0)</f>
        <v>0</v>
      </c>
      <c r="P441" s="3396">
        <f t="shared" si="108"/>
        <v>0</v>
      </c>
      <c r="Q441" s="3396">
        <f t="shared" si="108"/>
        <v>0</v>
      </c>
      <c r="R441" s="3395">
        <f t="shared" si="107"/>
        <v>0</v>
      </c>
      <c r="S441" s="3396">
        <f t="shared" si="107"/>
        <v>0</v>
      </c>
      <c r="T441" s="3396">
        <f t="shared" si="107"/>
        <v>0</v>
      </c>
      <c r="U441" s="3395">
        <f t="shared" si="106"/>
        <v>0</v>
      </c>
      <c r="V441" s="3396">
        <f t="shared" si="106"/>
        <v>0</v>
      </c>
      <c r="W441" s="3396">
        <f t="shared" si="106"/>
        <v>0</v>
      </c>
      <c r="X441" s="3386"/>
      <c r="Y441" s="3386"/>
      <c r="Z441" s="3386"/>
      <c r="AA441" s="3391"/>
    </row>
    <row r="442" spans="2:27" ht="18" hidden="1">
      <c r="B442" s="3350"/>
      <c r="C442" s="3407"/>
      <c r="D442" s="3350"/>
      <c r="E442" s="3404">
        <v>1093000214</v>
      </c>
      <c r="F442" s="3406"/>
      <c r="G442" s="3387"/>
      <c r="H442" s="3383">
        <f t="shared" si="104"/>
        <v>0</v>
      </c>
      <c r="I442" s="3386"/>
      <c r="J442" s="3387"/>
      <c r="K442" s="3383">
        <f t="shared" si="105"/>
        <v>0</v>
      </c>
      <c r="L442" s="3395">
        <f t="shared" ref="L442:Q517" si="109">(0)</f>
        <v>0</v>
      </c>
      <c r="M442" s="3396">
        <f t="shared" si="109"/>
        <v>0</v>
      </c>
      <c r="N442" s="3396">
        <f t="shared" si="109"/>
        <v>0</v>
      </c>
      <c r="O442" s="3395">
        <f t="shared" si="108"/>
        <v>0</v>
      </c>
      <c r="P442" s="3396">
        <f t="shared" si="108"/>
        <v>0</v>
      </c>
      <c r="Q442" s="3396">
        <f t="shared" si="108"/>
        <v>0</v>
      </c>
      <c r="R442" s="3395">
        <f t="shared" si="107"/>
        <v>0</v>
      </c>
      <c r="S442" s="3396">
        <f t="shared" si="107"/>
        <v>0</v>
      </c>
      <c r="T442" s="3396">
        <f t="shared" si="107"/>
        <v>0</v>
      </c>
      <c r="U442" s="3395">
        <f t="shared" si="106"/>
        <v>0</v>
      </c>
      <c r="V442" s="3396">
        <f t="shared" si="106"/>
        <v>0</v>
      </c>
      <c r="W442" s="3396">
        <f t="shared" si="106"/>
        <v>0</v>
      </c>
      <c r="X442" s="3386"/>
      <c r="Y442" s="3386"/>
      <c r="Z442" s="3386"/>
      <c r="AA442" s="3391"/>
    </row>
    <row r="443" spans="2:27" ht="18" hidden="1">
      <c r="B443" s="3350"/>
      <c r="C443" s="3407"/>
      <c r="D443" s="3350"/>
      <c r="E443" s="3404">
        <v>1093000215</v>
      </c>
      <c r="F443" s="3406"/>
      <c r="G443" s="3387"/>
      <c r="H443" s="3383">
        <f t="shared" si="104"/>
        <v>0</v>
      </c>
      <c r="I443" s="3386"/>
      <c r="J443" s="3387"/>
      <c r="K443" s="3383">
        <f t="shared" si="105"/>
        <v>0</v>
      </c>
      <c r="L443" s="3395">
        <f t="shared" si="109"/>
        <v>0</v>
      </c>
      <c r="M443" s="3396">
        <f t="shared" si="109"/>
        <v>0</v>
      </c>
      <c r="N443" s="3396">
        <f t="shared" si="109"/>
        <v>0</v>
      </c>
      <c r="O443" s="3395">
        <f t="shared" si="108"/>
        <v>0</v>
      </c>
      <c r="P443" s="3396">
        <f t="shared" si="108"/>
        <v>0</v>
      </c>
      <c r="Q443" s="3396">
        <f t="shared" si="108"/>
        <v>0</v>
      </c>
      <c r="R443" s="3395">
        <f t="shared" si="107"/>
        <v>0</v>
      </c>
      <c r="S443" s="3396">
        <f t="shared" si="107"/>
        <v>0</v>
      </c>
      <c r="T443" s="3396">
        <f t="shared" si="107"/>
        <v>0</v>
      </c>
      <c r="U443" s="3395">
        <f t="shared" si="106"/>
        <v>0</v>
      </c>
      <c r="V443" s="3396">
        <f t="shared" si="106"/>
        <v>0</v>
      </c>
      <c r="W443" s="3396">
        <f t="shared" si="106"/>
        <v>0</v>
      </c>
      <c r="X443" s="3386"/>
      <c r="Y443" s="3386"/>
      <c r="Z443" s="3386"/>
      <c r="AA443" s="3391"/>
    </row>
    <row r="444" spans="2:27" ht="18" hidden="1">
      <c r="B444" s="3350"/>
      <c r="C444" s="3407"/>
      <c r="D444" s="3350"/>
      <c r="E444" s="3404">
        <v>1093000216</v>
      </c>
      <c r="F444" s="3406"/>
      <c r="G444" s="3387"/>
      <c r="H444" s="3383">
        <f t="shared" si="104"/>
        <v>0</v>
      </c>
      <c r="I444" s="3386"/>
      <c r="J444" s="3387"/>
      <c r="K444" s="3383">
        <f t="shared" si="105"/>
        <v>0</v>
      </c>
      <c r="L444" s="3395">
        <f t="shared" si="109"/>
        <v>0</v>
      </c>
      <c r="M444" s="3396">
        <f t="shared" si="109"/>
        <v>0</v>
      </c>
      <c r="N444" s="3396">
        <f t="shared" si="109"/>
        <v>0</v>
      </c>
      <c r="O444" s="3395">
        <f t="shared" si="108"/>
        <v>0</v>
      </c>
      <c r="P444" s="3396">
        <f t="shared" si="108"/>
        <v>0</v>
      </c>
      <c r="Q444" s="3396">
        <f t="shared" si="108"/>
        <v>0</v>
      </c>
      <c r="R444" s="3395">
        <f t="shared" si="107"/>
        <v>0</v>
      </c>
      <c r="S444" s="3396">
        <f t="shared" si="107"/>
        <v>0</v>
      </c>
      <c r="T444" s="3396">
        <f t="shared" si="107"/>
        <v>0</v>
      </c>
      <c r="U444" s="3395">
        <f t="shared" si="106"/>
        <v>0</v>
      </c>
      <c r="V444" s="3396">
        <f t="shared" si="106"/>
        <v>0</v>
      </c>
      <c r="W444" s="3396">
        <f t="shared" si="106"/>
        <v>0</v>
      </c>
      <c r="X444" s="3386"/>
      <c r="Y444" s="3386"/>
      <c r="Z444" s="3386"/>
      <c r="AA444" s="3391"/>
    </row>
    <row r="445" spans="2:27" ht="18" hidden="1">
      <c r="B445" s="3350"/>
      <c r="C445" s="3407"/>
      <c r="D445" s="3350"/>
      <c r="E445" s="3404">
        <v>1093000217</v>
      </c>
      <c r="F445" s="3406"/>
      <c r="G445" s="3387"/>
      <c r="H445" s="3383">
        <f t="shared" si="104"/>
        <v>0</v>
      </c>
      <c r="I445" s="3386"/>
      <c r="J445" s="3387"/>
      <c r="K445" s="3383">
        <f t="shared" si="105"/>
        <v>0</v>
      </c>
      <c r="L445" s="3395">
        <f t="shared" si="109"/>
        <v>0</v>
      </c>
      <c r="M445" s="3396">
        <f t="shared" si="109"/>
        <v>0</v>
      </c>
      <c r="N445" s="3396">
        <f t="shared" si="109"/>
        <v>0</v>
      </c>
      <c r="O445" s="3395">
        <f t="shared" si="108"/>
        <v>0</v>
      </c>
      <c r="P445" s="3396">
        <f t="shared" si="108"/>
        <v>0</v>
      </c>
      <c r="Q445" s="3396">
        <f t="shared" si="108"/>
        <v>0</v>
      </c>
      <c r="R445" s="3395">
        <f t="shared" si="107"/>
        <v>0</v>
      </c>
      <c r="S445" s="3396">
        <f t="shared" si="107"/>
        <v>0</v>
      </c>
      <c r="T445" s="3396">
        <f t="shared" si="107"/>
        <v>0</v>
      </c>
      <c r="U445" s="3395">
        <f t="shared" si="106"/>
        <v>0</v>
      </c>
      <c r="V445" s="3396">
        <f t="shared" si="106"/>
        <v>0</v>
      </c>
      <c r="W445" s="3396">
        <f t="shared" si="106"/>
        <v>0</v>
      </c>
      <c r="X445" s="3386"/>
      <c r="Y445" s="3386"/>
      <c r="Z445" s="3386"/>
      <c r="AA445" s="3391"/>
    </row>
    <row r="446" spans="2:27" ht="18" hidden="1">
      <c r="B446" s="3350"/>
      <c r="C446" s="3407"/>
      <c r="D446" s="3350"/>
      <c r="E446" s="3404">
        <v>1093000218</v>
      </c>
      <c r="F446" s="3406"/>
      <c r="G446" s="3387"/>
      <c r="H446" s="3383">
        <f t="shared" si="104"/>
        <v>0</v>
      </c>
      <c r="I446" s="3386"/>
      <c r="J446" s="3387"/>
      <c r="K446" s="3383">
        <f t="shared" si="105"/>
        <v>0</v>
      </c>
      <c r="L446" s="3395">
        <f t="shared" si="109"/>
        <v>0</v>
      </c>
      <c r="M446" s="3396">
        <f t="shared" si="109"/>
        <v>0</v>
      </c>
      <c r="N446" s="3396">
        <f t="shared" si="109"/>
        <v>0</v>
      </c>
      <c r="O446" s="3395">
        <f t="shared" si="108"/>
        <v>0</v>
      </c>
      <c r="P446" s="3396">
        <f t="shared" si="108"/>
        <v>0</v>
      </c>
      <c r="Q446" s="3396">
        <f t="shared" si="108"/>
        <v>0</v>
      </c>
      <c r="R446" s="3395">
        <f t="shared" si="107"/>
        <v>0</v>
      </c>
      <c r="S446" s="3396">
        <f t="shared" si="107"/>
        <v>0</v>
      </c>
      <c r="T446" s="3396">
        <f t="shared" si="107"/>
        <v>0</v>
      </c>
      <c r="U446" s="3395">
        <f t="shared" si="106"/>
        <v>0</v>
      </c>
      <c r="V446" s="3396">
        <f t="shared" si="106"/>
        <v>0</v>
      </c>
      <c r="W446" s="3396">
        <f t="shared" si="106"/>
        <v>0</v>
      </c>
      <c r="X446" s="3386"/>
      <c r="Y446" s="3386"/>
      <c r="Z446" s="3386"/>
      <c r="AA446" s="3391"/>
    </row>
    <row r="447" spans="2:27" ht="18" hidden="1">
      <c r="B447" s="3350"/>
      <c r="C447" s="3407"/>
      <c r="D447" s="3350"/>
      <c r="E447" s="3404">
        <v>1093000219</v>
      </c>
      <c r="F447" s="3406"/>
      <c r="G447" s="3387"/>
      <c r="H447" s="3383">
        <f t="shared" si="104"/>
        <v>0</v>
      </c>
      <c r="I447" s="3386"/>
      <c r="J447" s="3387"/>
      <c r="K447" s="3383">
        <f t="shared" si="105"/>
        <v>0</v>
      </c>
      <c r="L447" s="3395">
        <f t="shared" si="109"/>
        <v>0</v>
      </c>
      <c r="M447" s="3396">
        <f t="shared" si="109"/>
        <v>0</v>
      </c>
      <c r="N447" s="3396">
        <f t="shared" si="109"/>
        <v>0</v>
      </c>
      <c r="O447" s="3395">
        <f t="shared" si="108"/>
        <v>0</v>
      </c>
      <c r="P447" s="3396">
        <f t="shared" si="108"/>
        <v>0</v>
      </c>
      <c r="Q447" s="3396">
        <f t="shared" si="108"/>
        <v>0</v>
      </c>
      <c r="R447" s="3395">
        <f t="shared" si="107"/>
        <v>0</v>
      </c>
      <c r="S447" s="3396">
        <f t="shared" si="107"/>
        <v>0</v>
      </c>
      <c r="T447" s="3396">
        <f t="shared" si="107"/>
        <v>0</v>
      </c>
      <c r="U447" s="3395">
        <f t="shared" si="106"/>
        <v>0</v>
      </c>
      <c r="V447" s="3396">
        <f t="shared" si="106"/>
        <v>0</v>
      </c>
      <c r="W447" s="3396">
        <f t="shared" si="106"/>
        <v>0</v>
      </c>
      <c r="X447" s="3386"/>
      <c r="Y447" s="3386"/>
      <c r="Z447" s="3386"/>
      <c r="AA447" s="3391"/>
    </row>
    <row r="448" spans="2:27" ht="18" hidden="1">
      <c r="B448" s="3350"/>
      <c r="C448" s="3407"/>
      <c r="D448" s="3350"/>
      <c r="E448" s="3404">
        <v>1093000220</v>
      </c>
      <c r="F448" s="3406"/>
      <c r="G448" s="3387"/>
      <c r="H448" s="3383">
        <f t="shared" si="104"/>
        <v>0</v>
      </c>
      <c r="I448" s="3386"/>
      <c r="J448" s="3387"/>
      <c r="K448" s="3383">
        <f t="shared" si="105"/>
        <v>0</v>
      </c>
      <c r="L448" s="3395">
        <f t="shared" si="109"/>
        <v>0</v>
      </c>
      <c r="M448" s="3396">
        <f t="shared" si="109"/>
        <v>0</v>
      </c>
      <c r="N448" s="3396">
        <f t="shared" si="109"/>
        <v>0</v>
      </c>
      <c r="O448" s="3395">
        <f t="shared" si="108"/>
        <v>0</v>
      </c>
      <c r="P448" s="3396">
        <f t="shared" si="108"/>
        <v>0</v>
      </c>
      <c r="Q448" s="3396">
        <f t="shared" si="108"/>
        <v>0</v>
      </c>
      <c r="R448" s="3395">
        <f t="shared" si="107"/>
        <v>0</v>
      </c>
      <c r="S448" s="3396">
        <f t="shared" si="107"/>
        <v>0</v>
      </c>
      <c r="T448" s="3396">
        <f t="shared" si="107"/>
        <v>0</v>
      </c>
      <c r="U448" s="3395">
        <f t="shared" si="106"/>
        <v>0</v>
      </c>
      <c r="V448" s="3396">
        <f t="shared" si="106"/>
        <v>0</v>
      </c>
      <c r="W448" s="3396">
        <f t="shared" si="106"/>
        <v>0</v>
      </c>
      <c r="X448" s="3386"/>
      <c r="Y448" s="3386"/>
      <c r="Z448" s="3386"/>
      <c r="AA448" s="3391"/>
    </row>
    <row r="449" spans="2:27" ht="18" hidden="1">
      <c r="B449" s="3350"/>
      <c r="C449" s="3407"/>
      <c r="D449" s="3350"/>
      <c r="E449" s="3404">
        <v>1093000221</v>
      </c>
      <c r="F449" s="3406"/>
      <c r="G449" s="3387"/>
      <c r="H449" s="3383">
        <f t="shared" si="104"/>
        <v>0</v>
      </c>
      <c r="I449" s="3386"/>
      <c r="J449" s="3387"/>
      <c r="K449" s="3383">
        <f t="shared" si="105"/>
        <v>0</v>
      </c>
      <c r="L449" s="3395">
        <f t="shared" si="109"/>
        <v>0</v>
      </c>
      <c r="M449" s="3396">
        <f t="shared" si="109"/>
        <v>0</v>
      </c>
      <c r="N449" s="3396">
        <f t="shared" si="109"/>
        <v>0</v>
      </c>
      <c r="O449" s="3395">
        <f t="shared" si="108"/>
        <v>0</v>
      </c>
      <c r="P449" s="3396">
        <f t="shared" si="108"/>
        <v>0</v>
      </c>
      <c r="Q449" s="3396">
        <f t="shared" si="108"/>
        <v>0</v>
      </c>
      <c r="R449" s="3395">
        <f t="shared" si="107"/>
        <v>0</v>
      </c>
      <c r="S449" s="3396">
        <f t="shared" si="107"/>
        <v>0</v>
      </c>
      <c r="T449" s="3396">
        <f t="shared" si="107"/>
        <v>0</v>
      </c>
      <c r="U449" s="3395">
        <f t="shared" si="106"/>
        <v>0</v>
      </c>
      <c r="V449" s="3396">
        <f t="shared" si="106"/>
        <v>0</v>
      </c>
      <c r="W449" s="3396">
        <f t="shared" si="106"/>
        <v>0</v>
      </c>
      <c r="X449" s="3386"/>
      <c r="Y449" s="3386"/>
      <c r="Z449" s="3386"/>
      <c r="AA449" s="3391"/>
    </row>
    <row r="450" spans="2:27" ht="18" hidden="1">
      <c r="B450" s="3350"/>
      <c r="C450" s="3407"/>
      <c r="D450" s="3350"/>
      <c r="E450" s="3404">
        <v>1093000222</v>
      </c>
      <c r="F450" s="3406"/>
      <c r="G450" s="3387"/>
      <c r="H450" s="3383">
        <f t="shared" si="104"/>
        <v>0</v>
      </c>
      <c r="I450" s="3386"/>
      <c r="J450" s="3387"/>
      <c r="K450" s="3383">
        <f t="shared" si="105"/>
        <v>0</v>
      </c>
      <c r="L450" s="3395">
        <f t="shared" si="109"/>
        <v>0</v>
      </c>
      <c r="M450" s="3396">
        <f t="shared" si="109"/>
        <v>0</v>
      </c>
      <c r="N450" s="3396">
        <f t="shared" si="109"/>
        <v>0</v>
      </c>
      <c r="O450" s="3395">
        <f t="shared" si="108"/>
        <v>0</v>
      </c>
      <c r="P450" s="3396">
        <f t="shared" si="108"/>
        <v>0</v>
      </c>
      <c r="Q450" s="3396">
        <f t="shared" si="108"/>
        <v>0</v>
      </c>
      <c r="R450" s="3395">
        <f t="shared" si="107"/>
        <v>0</v>
      </c>
      <c r="S450" s="3396">
        <f t="shared" si="107"/>
        <v>0</v>
      </c>
      <c r="T450" s="3396">
        <f t="shared" si="107"/>
        <v>0</v>
      </c>
      <c r="U450" s="3395">
        <f t="shared" si="106"/>
        <v>0</v>
      </c>
      <c r="V450" s="3396">
        <f t="shared" si="106"/>
        <v>0</v>
      </c>
      <c r="W450" s="3396">
        <f t="shared" si="106"/>
        <v>0</v>
      </c>
      <c r="X450" s="3386"/>
      <c r="Y450" s="3386"/>
      <c r="Z450" s="3386"/>
      <c r="AA450" s="3391"/>
    </row>
    <row r="451" spans="2:27" ht="18" hidden="1">
      <c r="B451" s="3350"/>
      <c r="C451" s="3407"/>
      <c r="D451" s="3350"/>
      <c r="E451" s="3404">
        <v>1093000223</v>
      </c>
      <c r="F451" s="3406"/>
      <c r="G451" s="3387"/>
      <c r="H451" s="3383">
        <f t="shared" si="104"/>
        <v>0</v>
      </c>
      <c r="I451" s="3386"/>
      <c r="J451" s="3387"/>
      <c r="K451" s="3383">
        <f t="shared" si="105"/>
        <v>0</v>
      </c>
      <c r="L451" s="3395">
        <f t="shared" si="109"/>
        <v>0</v>
      </c>
      <c r="M451" s="3396">
        <f t="shared" si="109"/>
        <v>0</v>
      </c>
      <c r="N451" s="3396">
        <f t="shared" si="109"/>
        <v>0</v>
      </c>
      <c r="O451" s="3395">
        <f t="shared" si="108"/>
        <v>0</v>
      </c>
      <c r="P451" s="3396">
        <f t="shared" si="108"/>
        <v>0</v>
      </c>
      <c r="Q451" s="3396">
        <f t="shared" si="108"/>
        <v>0</v>
      </c>
      <c r="R451" s="3395">
        <f t="shared" si="107"/>
        <v>0</v>
      </c>
      <c r="S451" s="3396">
        <f t="shared" si="107"/>
        <v>0</v>
      </c>
      <c r="T451" s="3396">
        <f t="shared" si="107"/>
        <v>0</v>
      </c>
      <c r="U451" s="3395">
        <f t="shared" si="106"/>
        <v>0</v>
      </c>
      <c r="V451" s="3396">
        <f t="shared" si="106"/>
        <v>0</v>
      </c>
      <c r="W451" s="3396">
        <f t="shared" si="106"/>
        <v>0</v>
      </c>
      <c r="X451" s="3386"/>
      <c r="Y451" s="3386"/>
      <c r="Z451" s="3386"/>
      <c r="AA451" s="3391"/>
    </row>
    <row r="452" spans="2:27" ht="18" hidden="1">
      <c r="B452" s="3350"/>
      <c r="C452" s="3407"/>
      <c r="D452" s="3350"/>
      <c r="E452" s="3404">
        <v>1093000224</v>
      </c>
      <c r="F452" s="3406"/>
      <c r="G452" s="3387"/>
      <c r="H452" s="3383">
        <f t="shared" si="104"/>
        <v>0</v>
      </c>
      <c r="I452" s="3386"/>
      <c r="J452" s="3387"/>
      <c r="K452" s="3383">
        <f t="shared" si="105"/>
        <v>0</v>
      </c>
      <c r="L452" s="3395">
        <f t="shared" si="109"/>
        <v>0</v>
      </c>
      <c r="M452" s="3396">
        <f t="shared" si="109"/>
        <v>0</v>
      </c>
      <c r="N452" s="3396">
        <f t="shared" si="109"/>
        <v>0</v>
      </c>
      <c r="O452" s="3395">
        <f t="shared" si="108"/>
        <v>0</v>
      </c>
      <c r="P452" s="3396">
        <f t="shared" si="108"/>
        <v>0</v>
      </c>
      <c r="Q452" s="3396">
        <f t="shared" si="108"/>
        <v>0</v>
      </c>
      <c r="R452" s="3395">
        <f t="shared" si="107"/>
        <v>0</v>
      </c>
      <c r="S452" s="3396">
        <f t="shared" si="107"/>
        <v>0</v>
      </c>
      <c r="T452" s="3396">
        <f t="shared" si="107"/>
        <v>0</v>
      </c>
      <c r="U452" s="3395">
        <f t="shared" si="106"/>
        <v>0</v>
      </c>
      <c r="V452" s="3396">
        <f t="shared" si="106"/>
        <v>0</v>
      </c>
      <c r="W452" s="3396">
        <f t="shared" si="106"/>
        <v>0</v>
      </c>
      <c r="X452" s="3386"/>
      <c r="Y452" s="3386"/>
      <c r="Z452" s="3386"/>
      <c r="AA452" s="3391"/>
    </row>
    <row r="453" spans="2:27" ht="18" hidden="1">
      <c r="B453" s="3350"/>
      <c r="C453" s="3407"/>
      <c r="D453" s="3350"/>
      <c r="E453" s="3404">
        <v>1093000225</v>
      </c>
      <c r="F453" s="3406"/>
      <c r="G453" s="3387"/>
      <c r="H453" s="3383">
        <f t="shared" si="104"/>
        <v>0</v>
      </c>
      <c r="I453" s="3386"/>
      <c r="J453" s="3387"/>
      <c r="K453" s="3383">
        <f t="shared" si="105"/>
        <v>0</v>
      </c>
      <c r="L453" s="3395">
        <f t="shared" si="109"/>
        <v>0</v>
      </c>
      <c r="M453" s="3396">
        <f t="shared" si="109"/>
        <v>0</v>
      </c>
      <c r="N453" s="3396">
        <f t="shared" si="109"/>
        <v>0</v>
      </c>
      <c r="O453" s="3395">
        <f t="shared" si="108"/>
        <v>0</v>
      </c>
      <c r="P453" s="3396">
        <f t="shared" si="108"/>
        <v>0</v>
      </c>
      <c r="Q453" s="3396">
        <f t="shared" si="108"/>
        <v>0</v>
      </c>
      <c r="R453" s="3395">
        <f t="shared" si="107"/>
        <v>0</v>
      </c>
      <c r="S453" s="3396">
        <f t="shared" si="107"/>
        <v>0</v>
      </c>
      <c r="T453" s="3396">
        <f t="shared" si="107"/>
        <v>0</v>
      </c>
      <c r="U453" s="3395">
        <f t="shared" si="106"/>
        <v>0</v>
      </c>
      <c r="V453" s="3396">
        <f t="shared" si="106"/>
        <v>0</v>
      </c>
      <c r="W453" s="3396">
        <f t="shared" si="106"/>
        <v>0</v>
      </c>
      <c r="X453" s="3386"/>
      <c r="Y453" s="3386"/>
      <c r="Z453" s="3386"/>
      <c r="AA453" s="3391"/>
    </row>
    <row r="454" spans="2:27" ht="18" hidden="1">
      <c r="B454" s="3350"/>
      <c r="C454" s="3407"/>
      <c r="D454" s="3350"/>
      <c r="E454" s="3404">
        <v>1093000226</v>
      </c>
      <c r="F454" s="3406"/>
      <c r="G454" s="3387"/>
      <c r="H454" s="3383">
        <f t="shared" si="104"/>
        <v>0</v>
      </c>
      <c r="I454" s="3386"/>
      <c r="J454" s="3387"/>
      <c r="K454" s="3383">
        <f t="shared" si="105"/>
        <v>0</v>
      </c>
      <c r="L454" s="3395">
        <f t="shared" si="109"/>
        <v>0</v>
      </c>
      <c r="M454" s="3396">
        <f t="shared" si="109"/>
        <v>0</v>
      </c>
      <c r="N454" s="3396">
        <f t="shared" si="109"/>
        <v>0</v>
      </c>
      <c r="O454" s="3395">
        <f t="shared" si="108"/>
        <v>0</v>
      </c>
      <c r="P454" s="3396">
        <f t="shared" si="108"/>
        <v>0</v>
      </c>
      <c r="Q454" s="3396">
        <f t="shared" si="108"/>
        <v>0</v>
      </c>
      <c r="R454" s="3395">
        <f t="shared" si="107"/>
        <v>0</v>
      </c>
      <c r="S454" s="3396">
        <f t="shared" si="107"/>
        <v>0</v>
      </c>
      <c r="T454" s="3396">
        <f t="shared" si="107"/>
        <v>0</v>
      </c>
      <c r="U454" s="3395">
        <f t="shared" si="106"/>
        <v>0</v>
      </c>
      <c r="V454" s="3396">
        <f t="shared" si="106"/>
        <v>0</v>
      </c>
      <c r="W454" s="3396">
        <f t="shared" si="106"/>
        <v>0</v>
      </c>
      <c r="X454" s="3386"/>
      <c r="Y454" s="3386"/>
      <c r="Z454" s="3386"/>
      <c r="AA454" s="3391"/>
    </row>
    <row r="455" spans="2:27" ht="18" hidden="1">
      <c r="B455" s="3350"/>
      <c r="C455" s="3407"/>
      <c r="D455" s="3350"/>
      <c r="E455" s="3404">
        <v>1093000227</v>
      </c>
      <c r="F455" s="3406"/>
      <c r="G455" s="3387"/>
      <c r="H455" s="3383">
        <f t="shared" si="104"/>
        <v>0</v>
      </c>
      <c r="I455" s="3386"/>
      <c r="J455" s="3387"/>
      <c r="K455" s="3383">
        <f t="shared" si="105"/>
        <v>0</v>
      </c>
      <c r="L455" s="3395">
        <f t="shared" si="109"/>
        <v>0</v>
      </c>
      <c r="M455" s="3396">
        <f t="shared" si="109"/>
        <v>0</v>
      </c>
      <c r="N455" s="3396">
        <f t="shared" si="109"/>
        <v>0</v>
      </c>
      <c r="O455" s="3395">
        <f t="shared" si="108"/>
        <v>0</v>
      </c>
      <c r="P455" s="3396">
        <f t="shared" si="108"/>
        <v>0</v>
      </c>
      <c r="Q455" s="3396">
        <f t="shared" si="108"/>
        <v>0</v>
      </c>
      <c r="R455" s="3395">
        <f t="shared" si="107"/>
        <v>0</v>
      </c>
      <c r="S455" s="3396">
        <f t="shared" si="107"/>
        <v>0</v>
      </c>
      <c r="T455" s="3396">
        <f t="shared" si="107"/>
        <v>0</v>
      </c>
      <c r="U455" s="3395">
        <f t="shared" si="106"/>
        <v>0</v>
      </c>
      <c r="V455" s="3396">
        <f t="shared" si="106"/>
        <v>0</v>
      </c>
      <c r="W455" s="3396">
        <f t="shared" si="106"/>
        <v>0</v>
      </c>
      <c r="X455" s="3386"/>
      <c r="Y455" s="3386"/>
      <c r="Z455" s="3386"/>
      <c r="AA455" s="3391"/>
    </row>
    <row r="456" spans="2:27" ht="18" hidden="1">
      <c r="B456" s="3350"/>
      <c r="C456" s="3407"/>
      <c r="D456" s="3350"/>
      <c r="E456" s="3404">
        <v>1093000228</v>
      </c>
      <c r="F456" s="3406"/>
      <c r="G456" s="3387"/>
      <c r="H456" s="3383">
        <f t="shared" si="104"/>
        <v>0</v>
      </c>
      <c r="I456" s="3386"/>
      <c r="J456" s="3387"/>
      <c r="K456" s="3383">
        <f t="shared" si="105"/>
        <v>0</v>
      </c>
      <c r="L456" s="3395">
        <f t="shared" si="109"/>
        <v>0</v>
      </c>
      <c r="M456" s="3396">
        <f t="shared" si="109"/>
        <v>0</v>
      </c>
      <c r="N456" s="3396">
        <f t="shared" si="109"/>
        <v>0</v>
      </c>
      <c r="O456" s="3395">
        <f t="shared" si="108"/>
        <v>0</v>
      </c>
      <c r="P456" s="3396">
        <f t="shared" si="108"/>
        <v>0</v>
      </c>
      <c r="Q456" s="3396">
        <f t="shared" si="108"/>
        <v>0</v>
      </c>
      <c r="R456" s="3395">
        <f t="shared" si="107"/>
        <v>0</v>
      </c>
      <c r="S456" s="3396">
        <f t="shared" si="107"/>
        <v>0</v>
      </c>
      <c r="T456" s="3396">
        <f t="shared" si="107"/>
        <v>0</v>
      </c>
      <c r="U456" s="3395">
        <f t="shared" si="106"/>
        <v>0</v>
      </c>
      <c r="V456" s="3396">
        <f t="shared" si="106"/>
        <v>0</v>
      </c>
      <c r="W456" s="3396">
        <f t="shared" si="106"/>
        <v>0</v>
      </c>
      <c r="X456" s="3386"/>
      <c r="Y456" s="3386"/>
      <c r="Z456" s="3386"/>
      <c r="AA456" s="3391"/>
    </row>
    <row r="457" spans="2:27" ht="18" hidden="1">
      <c r="B457" s="3350"/>
      <c r="C457" s="3407"/>
      <c r="D457" s="3350"/>
      <c r="E457" s="3404">
        <v>1093000229</v>
      </c>
      <c r="F457" s="3406"/>
      <c r="G457" s="3387"/>
      <c r="H457" s="3383">
        <f t="shared" si="104"/>
        <v>0</v>
      </c>
      <c r="I457" s="3386"/>
      <c r="J457" s="3387"/>
      <c r="K457" s="3383">
        <f t="shared" si="105"/>
        <v>0</v>
      </c>
      <c r="L457" s="3395">
        <f t="shared" si="109"/>
        <v>0</v>
      </c>
      <c r="M457" s="3396">
        <f t="shared" si="109"/>
        <v>0</v>
      </c>
      <c r="N457" s="3396">
        <f t="shared" si="109"/>
        <v>0</v>
      </c>
      <c r="O457" s="3395">
        <f t="shared" si="108"/>
        <v>0</v>
      </c>
      <c r="P457" s="3396">
        <f t="shared" si="108"/>
        <v>0</v>
      </c>
      <c r="Q457" s="3396">
        <f t="shared" si="108"/>
        <v>0</v>
      </c>
      <c r="R457" s="3395">
        <f t="shared" si="107"/>
        <v>0</v>
      </c>
      <c r="S457" s="3396">
        <f t="shared" si="107"/>
        <v>0</v>
      </c>
      <c r="T457" s="3396">
        <f t="shared" si="107"/>
        <v>0</v>
      </c>
      <c r="U457" s="3395">
        <f t="shared" si="106"/>
        <v>0</v>
      </c>
      <c r="V457" s="3396">
        <f t="shared" si="106"/>
        <v>0</v>
      </c>
      <c r="W457" s="3396">
        <f t="shared" si="106"/>
        <v>0</v>
      </c>
      <c r="X457" s="3386"/>
      <c r="Y457" s="3386"/>
      <c r="Z457" s="3386"/>
      <c r="AA457" s="3391"/>
    </row>
    <row r="458" spans="2:27" ht="18" hidden="1">
      <c r="B458" s="3350"/>
      <c r="C458" s="3407"/>
      <c r="D458" s="3350"/>
      <c r="E458" s="3404">
        <v>1093000230</v>
      </c>
      <c r="F458" s="3406"/>
      <c r="G458" s="3387"/>
      <c r="H458" s="3383">
        <f t="shared" si="104"/>
        <v>0</v>
      </c>
      <c r="I458" s="3386"/>
      <c r="J458" s="3387"/>
      <c r="K458" s="3383">
        <f t="shared" si="105"/>
        <v>0</v>
      </c>
      <c r="L458" s="3395">
        <f t="shared" si="109"/>
        <v>0</v>
      </c>
      <c r="M458" s="3396">
        <f t="shared" si="109"/>
        <v>0</v>
      </c>
      <c r="N458" s="3396">
        <f t="shared" si="109"/>
        <v>0</v>
      </c>
      <c r="O458" s="3395">
        <f t="shared" si="108"/>
        <v>0</v>
      </c>
      <c r="P458" s="3396">
        <f t="shared" si="108"/>
        <v>0</v>
      </c>
      <c r="Q458" s="3396">
        <f t="shared" si="108"/>
        <v>0</v>
      </c>
      <c r="R458" s="3395">
        <f t="shared" si="107"/>
        <v>0</v>
      </c>
      <c r="S458" s="3396">
        <f t="shared" si="107"/>
        <v>0</v>
      </c>
      <c r="T458" s="3396">
        <f t="shared" si="107"/>
        <v>0</v>
      </c>
      <c r="U458" s="3395">
        <f t="shared" si="106"/>
        <v>0</v>
      </c>
      <c r="V458" s="3396">
        <f t="shared" si="106"/>
        <v>0</v>
      </c>
      <c r="W458" s="3396">
        <f t="shared" si="106"/>
        <v>0</v>
      </c>
      <c r="X458" s="3386"/>
      <c r="Y458" s="3386"/>
      <c r="Z458" s="3386"/>
      <c r="AA458" s="3391"/>
    </row>
    <row r="459" spans="2:27" ht="18" hidden="1">
      <c r="B459" s="3350"/>
      <c r="C459" s="3407"/>
      <c r="D459" s="3350"/>
      <c r="E459" s="3404">
        <v>1093000231</v>
      </c>
      <c r="F459" s="3406"/>
      <c r="G459" s="3387"/>
      <c r="H459" s="3383">
        <f t="shared" si="104"/>
        <v>0</v>
      </c>
      <c r="I459" s="3386"/>
      <c r="J459" s="3387"/>
      <c r="K459" s="3383">
        <f t="shared" si="105"/>
        <v>0</v>
      </c>
      <c r="L459" s="3395">
        <f t="shared" si="109"/>
        <v>0</v>
      </c>
      <c r="M459" s="3396">
        <f t="shared" si="109"/>
        <v>0</v>
      </c>
      <c r="N459" s="3396">
        <f t="shared" si="109"/>
        <v>0</v>
      </c>
      <c r="O459" s="3395">
        <f t="shared" si="108"/>
        <v>0</v>
      </c>
      <c r="P459" s="3396">
        <f t="shared" si="108"/>
        <v>0</v>
      </c>
      <c r="Q459" s="3396">
        <f t="shared" si="108"/>
        <v>0</v>
      </c>
      <c r="R459" s="3395">
        <f t="shared" si="107"/>
        <v>0</v>
      </c>
      <c r="S459" s="3396">
        <f t="shared" si="107"/>
        <v>0</v>
      </c>
      <c r="T459" s="3396">
        <f t="shared" si="107"/>
        <v>0</v>
      </c>
      <c r="U459" s="3395">
        <f t="shared" si="106"/>
        <v>0</v>
      </c>
      <c r="V459" s="3396">
        <f t="shared" si="106"/>
        <v>0</v>
      </c>
      <c r="W459" s="3396">
        <f t="shared" si="106"/>
        <v>0</v>
      </c>
      <c r="X459" s="3386"/>
      <c r="Y459" s="3386"/>
      <c r="Z459" s="3386"/>
      <c r="AA459" s="3391"/>
    </row>
    <row r="460" spans="2:27" ht="18" hidden="1">
      <c r="B460" s="3350"/>
      <c r="C460" s="3407"/>
      <c r="D460" s="3350"/>
      <c r="E460" s="3404">
        <v>1093000232</v>
      </c>
      <c r="F460" s="3406"/>
      <c r="G460" s="3387"/>
      <c r="H460" s="3383">
        <f t="shared" si="104"/>
        <v>0</v>
      </c>
      <c r="I460" s="3386"/>
      <c r="J460" s="3387"/>
      <c r="K460" s="3383">
        <f t="shared" si="105"/>
        <v>0</v>
      </c>
      <c r="L460" s="3395">
        <f t="shared" si="109"/>
        <v>0</v>
      </c>
      <c r="M460" s="3396">
        <f t="shared" si="109"/>
        <v>0</v>
      </c>
      <c r="N460" s="3396">
        <f t="shared" si="109"/>
        <v>0</v>
      </c>
      <c r="O460" s="3395">
        <f t="shared" si="108"/>
        <v>0</v>
      </c>
      <c r="P460" s="3396">
        <f t="shared" si="108"/>
        <v>0</v>
      </c>
      <c r="Q460" s="3396">
        <f t="shared" si="108"/>
        <v>0</v>
      </c>
      <c r="R460" s="3395">
        <f t="shared" si="107"/>
        <v>0</v>
      </c>
      <c r="S460" s="3396">
        <f t="shared" si="107"/>
        <v>0</v>
      </c>
      <c r="T460" s="3396">
        <f t="shared" si="107"/>
        <v>0</v>
      </c>
      <c r="U460" s="3395">
        <f t="shared" si="106"/>
        <v>0</v>
      </c>
      <c r="V460" s="3396">
        <f t="shared" si="106"/>
        <v>0</v>
      </c>
      <c r="W460" s="3396">
        <f t="shared" si="106"/>
        <v>0</v>
      </c>
      <c r="X460" s="3386"/>
      <c r="Y460" s="3386"/>
      <c r="Z460" s="3386"/>
      <c r="AA460" s="3391"/>
    </row>
    <row r="461" spans="2:27" ht="18" hidden="1">
      <c r="B461" s="3350"/>
      <c r="C461" s="3407"/>
      <c r="D461" s="3350"/>
      <c r="E461" s="3404">
        <v>1093000233</v>
      </c>
      <c r="F461" s="3406"/>
      <c r="G461" s="3387"/>
      <c r="H461" s="3383">
        <f t="shared" si="104"/>
        <v>0</v>
      </c>
      <c r="I461" s="3386"/>
      <c r="J461" s="3387"/>
      <c r="K461" s="3383">
        <f t="shared" si="105"/>
        <v>0</v>
      </c>
      <c r="L461" s="3395">
        <f t="shared" si="109"/>
        <v>0</v>
      </c>
      <c r="M461" s="3396">
        <f t="shared" si="109"/>
        <v>0</v>
      </c>
      <c r="N461" s="3396">
        <f t="shared" si="109"/>
        <v>0</v>
      </c>
      <c r="O461" s="3395">
        <f t="shared" si="108"/>
        <v>0</v>
      </c>
      <c r="P461" s="3396">
        <f t="shared" si="108"/>
        <v>0</v>
      </c>
      <c r="Q461" s="3396">
        <f t="shared" si="108"/>
        <v>0</v>
      </c>
      <c r="R461" s="3395">
        <f t="shared" si="107"/>
        <v>0</v>
      </c>
      <c r="S461" s="3396">
        <f t="shared" si="107"/>
        <v>0</v>
      </c>
      <c r="T461" s="3396">
        <f t="shared" si="107"/>
        <v>0</v>
      </c>
      <c r="U461" s="3395">
        <f t="shared" si="106"/>
        <v>0</v>
      </c>
      <c r="V461" s="3396">
        <f t="shared" si="106"/>
        <v>0</v>
      </c>
      <c r="W461" s="3396">
        <f t="shared" si="106"/>
        <v>0</v>
      </c>
      <c r="X461" s="3386"/>
      <c r="Y461" s="3386"/>
      <c r="Z461" s="3386"/>
      <c r="AA461" s="3391"/>
    </row>
    <row r="462" spans="2:27" ht="18" hidden="1">
      <c r="B462" s="3350"/>
      <c r="C462" s="3407"/>
      <c r="D462" s="3350"/>
      <c r="E462" s="3404">
        <v>1093000234</v>
      </c>
      <c r="F462" s="3406"/>
      <c r="G462" s="3387"/>
      <c r="H462" s="3383">
        <f t="shared" si="104"/>
        <v>0</v>
      </c>
      <c r="I462" s="3386"/>
      <c r="J462" s="3387"/>
      <c r="K462" s="3383">
        <f t="shared" si="105"/>
        <v>0</v>
      </c>
      <c r="L462" s="3395">
        <f t="shared" si="109"/>
        <v>0</v>
      </c>
      <c r="M462" s="3396">
        <f t="shared" si="109"/>
        <v>0</v>
      </c>
      <c r="N462" s="3396">
        <f t="shared" si="109"/>
        <v>0</v>
      </c>
      <c r="O462" s="3395">
        <f t="shared" si="108"/>
        <v>0</v>
      </c>
      <c r="P462" s="3396">
        <f t="shared" si="108"/>
        <v>0</v>
      </c>
      <c r="Q462" s="3396">
        <f t="shared" si="108"/>
        <v>0</v>
      </c>
      <c r="R462" s="3395">
        <f t="shared" si="107"/>
        <v>0</v>
      </c>
      <c r="S462" s="3396">
        <f t="shared" si="107"/>
        <v>0</v>
      </c>
      <c r="T462" s="3396">
        <f t="shared" si="107"/>
        <v>0</v>
      </c>
      <c r="U462" s="3395">
        <f t="shared" si="106"/>
        <v>0</v>
      </c>
      <c r="V462" s="3396">
        <f t="shared" si="106"/>
        <v>0</v>
      </c>
      <c r="W462" s="3396">
        <f t="shared" si="106"/>
        <v>0</v>
      </c>
      <c r="X462" s="3386"/>
      <c r="Y462" s="3386"/>
      <c r="Z462" s="3386"/>
      <c r="AA462" s="3391"/>
    </row>
    <row r="463" spans="2:27" ht="18" hidden="1">
      <c r="B463" s="3350"/>
      <c r="C463" s="3407"/>
      <c r="D463" s="3350"/>
      <c r="E463" s="3404">
        <v>1093000235</v>
      </c>
      <c r="F463" s="3406"/>
      <c r="G463" s="3387"/>
      <c r="H463" s="3383">
        <f t="shared" si="104"/>
        <v>0</v>
      </c>
      <c r="I463" s="3386"/>
      <c r="J463" s="3387"/>
      <c r="K463" s="3383">
        <f t="shared" si="105"/>
        <v>0</v>
      </c>
      <c r="L463" s="3395">
        <f t="shared" si="109"/>
        <v>0</v>
      </c>
      <c r="M463" s="3396">
        <f t="shared" si="109"/>
        <v>0</v>
      </c>
      <c r="N463" s="3396">
        <f t="shared" si="109"/>
        <v>0</v>
      </c>
      <c r="O463" s="3395">
        <f t="shared" si="108"/>
        <v>0</v>
      </c>
      <c r="P463" s="3396">
        <f t="shared" si="108"/>
        <v>0</v>
      </c>
      <c r="Q463" s="3396">
        <f t="shared" si="108"/>
        <v>0</v>
      </c>
      <c r="R463" s="3395">
        <f t="shared" si="107"/>
        <v>0</v>
      </c>
      <c r="S463" s="3396">
        <f t="shared" si="107"/>
        <v>0</v>
      </c>
      <c r="T463" s="3396">
        <f t="shared" si="107"/>
        <v>0</v>
      </c>
      <c r="U463" s="3395">
        <f t="shared" si="106"/>
        <v>0</v>
      </c>
      <c r="V463" s="3396">
        <f t="shared" si="106"/>
        <v>0</v>
      </c>
      <c r="W463" s="3396">
        <f t="shared" si="106"/>
        <v>0</v>
      </c>
      <c r="X463" s="3386"/>
      <c r="Y463" s="3386"/>
      <c r="Z463" s="3386"/>
      <c r="AA463" s="3391"/>
    </row>
    <row r="464" spans="2:27" ht="18" hidden="1">
      <c r="B464" s="3350"/>
      <c r="C464" s="3407"/>
      <c r="D464" s="3350"/>
      <c r="E464" s="3404">
        <v>1093000236</v>
      </c>
      <c r="F464" s="3406"/>
      <c r="G464" s="3387"/>
      <c r="H464" s="3383">
        <f t="shared" si="104"/>
        <v>0</v>
      </c>
      <c r="I464" s="3386"/>
      <c r="J464" s="3387"/>
      <c r="K464" s="3383">
        <f t="shared" si="105"/>
        <v>0</v>
      </c>
      <c r="L464" s="3395">
        <f t="shared" si="109"/>
        <v>0</v>
      </c>
      <c r="M464" s="3396">
        <f t="shared" si="109"/>
        <v>0</v>
      </c>
      <c r="N464" s="3396">
        <f t="shared" si="109"/>
        <v>0</v>
      </c>
      <c r="O464" s="3395">
        <f t="shared" si="108"/>
        <v>0</v>
      </c>
      <c r="P464" s="3396">
        <f t="shared" si="108"/>
        <v>0</v>
      </c>
      <c r="Q464" s="3396">
        <f t="shared" si="108"/>
        <v>0</v>
      </c>
      <c r="R464" s="3395">
        <f t="shared" si="107"/>
        <v>0</v>
      </c>
      <c r="S464" s="3396">
        <f t="shared" si="107"/>
        <v>0</v>
      </c>
      <c r="T464" s="3396">
        <f t="shared" si="107"/>
        <v>0</v>
      </c>
      <c r="U464" s="3395">
        <f t="shared" si="106"/>
        <v>0</v>
      </c>
      <c r="V464" s="3396">
        <f t="shared" si="106"/>
        <v>0</v>
      </c>
      <c r="W464" s="3396">
        <f t="shared" si="106"/>
        <v>0</v>
      </c>
      <c r="X464" s="3386"/>
      <c r="Y464" s="3386"/>
      <c r="Z464" s="3386"/>
      <c r="AA464" s="3391"/>
    </row>
    <row r="465" spans="2:27" ht="18" hidden="1">
      <c r="B465" s="3350"/>
      <c r="C465" s="3407"/>
      <c r="D465" s="3350"/>
      <c r="E465" s="3404">
        <v>1093000237</v>
      </c>
      <c r="F465" s="3406"/>
      <c r="G465" s="3387"/>
      <c r="H465" s="3383">
        <f t="shared" si="104"/>
        <v>0</v>
      </c>
      <c r="I465" s="3386"/>
      <c r="J465" s="3387"/>
      <c r="K465" s="3383">
        <f t="shared" si="105"/>
        <v>0</v>
      </c>
      <c r="L465" s="3395">
        <f t="shared" si="109"/>
        <v>0</v>
      </c>
      <c r="M465" s="3396">
        <f t="shared" si="109"/>
        <v>0</v>
      </c>
      <c r="N465" s="3396">
        <f t="shared" si="109"/>
        <v>0</v>
      </c>
      <c r="O465" s="3395">
        <f t="shared" si="108"/>
        <v>0</v>
      </c>
      <c r="P465" s="3396">
        <f t="shared" si="108"/>
        <v>0</v>
      </c>
      <c r="Q465" s="3396">
        <f t="shared" si="108"/>
        <v>0</v>
      </c>
      <c r="R465" s="3395">
        <f t="shared" si="107"/>
        <v>0</v>
      </c>
      <c r="S465" s="3396">
        <f t="shared" si="107"/>
        <v>0</v>
      </c>
      <c r="T465" s="3396">
        <f t="shared" si="107"/>
        <v>0</v>
      </c>
      <c r="U465" s="3395">
        <f t="shared" si="106"/>
        <v>0</v>
      </c>
      <c r="V465" s="3396">
        <f t="shared" si="106"/>
        <v>0</v>
      </c>
      <c r="W465" s="3396">
        <f t="shared" si="106"/>
        <v>0</v>
      </c>
      <c r="X465" s="3386"/>
      <c r="Y465" s="3386"/>
      <c r="Z465" s="3386"/>
      <c r="AA465" s="3391"/>
    </row>
    <row r="466" spans="2:27" ht="18" hidden="1">
      <c r="B466" s="3350"/>
      <c r="C466" s="3407"/>
      <c r="D466" s="3350"/>
      <c r="E466" s="3404">
        <v>1093000238</v>
      </c>
      <c r="F466" s="3406"/>
      <c r="G466" s="3387"/>
      <c r="H466" s="3383">
        <f t="shared" si="104"/>
        <v>0</v>
      </c>
      <c r="I466" s="3386"/>
      <c r="J466" s="3387"/>
      <c r="K466" s="3383">
        <f t="shared" si="105"/>
        <v>0</v>
      </c>
      <c r="L466" s="3395">
        <f t="shared" si="109"/>
        <v>0</v>
      </c>
      <c r="M466" s="3396">
        <f t="shared" si="109"/>
        <v>0</v>
      </c>
      <c r="N466" s="3396">
        <f t="shared" si="109"/>
        <v>0</v>
      </c>
      <c r="O466" s="3395">
        <f t="shared" si="108"/>
        <v>0</v>
      </c>
      <c r="P466" s="3396">
        <f t="shared" si="108"/>
        <v>0</v>
      </c>
      <c r="Q466" s="3396">
        <f t="shared" si="108"/>
        <v>0</v>
      </c>
      <c r="R466" s="3395">
        <f t="shared" si="107"/>
        <v>0</v>
      </c>
      <c r="S466" s="3396">
        <f t="shared" si="107"/>
        <v>0</v>
      </c>
      <c r="T466" s="3396">
        <f t="shared" si="107"/>
        <v>0</v>
      </c>
      <c r="U466" s="3395">
        <f t="shared" si="106"/>
        <v>0</v>
      </c>
      <c r="V466" s="3396">
        <f t="shared" si="106"/>
        <v>0</v>
      </c>
      <c r="W466" s="3396">
        <f t="shared" si="106"/>
        <v>0</v>
      </c>
      <c r="X466" s="3386"/>
      <c r="Y466" s="3386"/>
      <c r="Z466" s="3386"/>
      <c r="AA466" s="3391"/>
    </row>
    <row r="467" spans="2:27" ht="18" hidden="1">
      <c r="B467" s="3350"/>
      <c r="C467" s="3407"/>
      <c r="D467" s="3350"/>
      <c r="E467" s="3404">
        <v>1093000239</v>
      </c>
      <c r="F467" s="3406"/>
      <c r="G467" s="3387"/>
      <c r="H467" s="3383">
        <f t="shared" si="104"/>
        <v>0</v>
      </c>
      <c r="I467" s="3386"/>
      <c r="J467" s="3387"/>
      <c r="K467" s="3383">
        <f t="shared" si="105"/>
        <v>0</v>
      </c>
      <c r="L467" s="3395">
        <f t="shared" si="109"/>
        <v>0</v>
      </c>
      <c r="M467" s="3396">
        <f t="shared" si="109"/>
        <v>0</v>
      </c>
      <c r="N467" s="3396">
        <f t="shared" si="109"/>
        <v>0</v>
      </c>
      <c r="O467" s="3395">
        <f t="shared" si="108"/>
        <v>0</v>
      </c>
      <c r="P467" s="3396">
        <f t="shared" si="108"/>
        <v>0</v>
      </c>
      <c r="Q467" s="3396">
        <f t="shared" si="108"/>
        <v>0</v>
      </c>
      <c r="R467" s="3395">
        <f t="shared" si="107"/>
        <v>0</v>
      </c>
      <c r="S467" s="3396">
        <f t="shared" si="107"/>
        <v>0</v>
      </c>
      <c r="T467" s="3396">
        <f t="shared" si="107"/>
        <v>0</v>
      </c>
      <c r="U467" s="3395">
        <f t="shared" si="106"/>
        <v>0</v>
      </c>
      <c r="V467" s="3396">
        <f t="shared" si="106"/>
        <v>0</v>
      </c>
      <c r="W467" s="3396">
        <f t="shared" si="106"/>
        <v>0</v>
      </c>
      <c r="X467" s="3386"/>
      <c r="Y467" s="3386"/>
      <c r="Z467" s="3386"/>
      <c r="AA467" s="3391"/>
    </row>
    <row r="468" spans="2:27" ht="18" hidden="1">
      <c r="B468" s="3350"/>
      <c r="C468" s="3407"/>
      <c r="D468" s="3350"/>
      <c r="E468" s="3404">
        <v>1093000240</v>
      </c>
      <c r="F468" s="3406"/>
      <c r="G468" s="3387"/>
      <c r="H468" s="3383">
        <f t="shared" si="104"/>
        <v>0</v>
      </c>
      <c r="I468" s="3386"/>
      <c r="J468" s="3387"/>
      <c r="K468" s="3383">
        <f t="shared" si="105"/>
        <v>0</v>
      </c>
      <c r="L468" s="3395">
        <f t="shared" si="109"/>
        <v>0</v>
      </c>
      <c r="M468" s="3396">
        <f t="shared" si="109"/>
        <v>0</v>
      </c>
      <c r="N468" s="3396">
        <f t="shared" si="109"/>
        <v>0</v>
      </c>
      <c r="O468" s="3395">
        <f t="shared" si="108"/>
        <v>0</v>
      </c>
      <c r="P468" s="3396">
        <f t="shared" si="108"/>
        <v>0</v>
      </c>
      <c r="Q468" s="3396">
        <f t="shared" si="108"/>
        <v>0</v>
      </c>
      <c r="R468" s="3395">
        <f t="shared" si="107"/>
        <v>0</v>
      </c>
      <c r="S468" s="3396">
        <f t="shared" si="107"/>
        <v>0</v>
      </c>
      <c r="T468" s="3396">
        <f t="shared" si="107"/>
        <v>0</v>
      </c>
      <c r="U468" s="3395">
        <f t="shared" si="106"/>
        <v>0</v>
      </c>
      <c r="V468" s="3396">
        <f t="shared" si="106"/>
        <v>0</v>
      </c>
      <c r="W468" s="3396">
        <f t="shared" si="106"/>
        <v>0</v>
      </c>
      <c r="X468" s="3386"/>
      <c r="Y468" s="3386"/>
      <c r="Z468" s="3386"/>
      <c r="AA468" s="3391"/>
    </row>
    <row r="469" spans="2:27" ht="18" hidden="1">
      <c r="B469" s="3350"/>
      <c r="C469" s="3407"/>
      <c r="D469" s="3350"/>
      <c r="E469" s="3404">
        <v>1093000241</v>
      </c>
      <c r="F469" s="3406"/>
      <c r="G469" s="3387"/>
      <c r="H469" s="3383">
        <f t="shared" si="104"/>
        <v>0</v>
      </c>
      <c r="I469" s="3386"/>
      <c r="J469" s="3387"/>
      <c r="K469" s="3383">
        <f t="shared" si="105"/>
        <v>0</v>
      </c>
      <c r="L469" s="3395">
        <f t="shared" si="109"/>
        <v>0</v>
      </c>
      <c r="M469" s="3396">
        <f t="shared" si="109"/>
        <v>0</v>
      </c>
      <c r="N469" s="3396">
        <f t="shared" si="109"/>
        <v>0</v>
      </c>
      <c r="O469" s="3395">
        <f t="shared" si="108"/>
        <v>0</v>
      </c>
      <c r="P469" s="3396">
        <f t="shared" si="108"/>
        <v>0</v>
      </c>
      <c r="Q469" s="3396">
        <f t="shared" si="108"/>
        <v>0</v>
      </c>
      <c r="R469" s="3395">
        <f t="shared" si="107"/>
        <v>0</v>
      </c>
      <c r="S469" s="3396">
        <f t="shared" si="107"/>
        <v>0</v>
      </c>
      <c r="T469" s="3396">
        <f t="shared" si="107"/>
        <v>0</v>
      </c>
      <c r="U469" s="3395">
        <f t="shared" si="106"/>
        <v>0</v>
      </c>
      <c r="V469" s="3396">
        <f t="shared" si="106"/>
        <v>0</v>
      </c>
      <c r="W469" s="3396">
        <f t="shared" si="106"/>
        <v>0</v>
      </c>
      <c r="X469" s="3386"/>
      <c r="Y469" s="3386"/>
      <c r="Z469" s="3386"/>
      <c r="AA469" s="3391"/>
    </row>
    <row r="470" spans="2:27" ht="18" hidden="1">
      <c r="B470" s="3350"/>
      <c r="C470" s="3407"/>
      <c r="D470" s="3350"/>
      <c r="E470" s="3404">
        <v>1093000242</v>
      </c>
      <c r="F470" s="3406"/>
      <c r="G470" s="3387"/>
      <c r="H470" s="3383">
        <f t="shared" si="104"/>
        <v>0</v>
      </c>
      <c r="I470" s="3386"/>
      <c r="J470" s="3387"/>
      <c r="K470" s="3383">
        <f t="shared" si="105"/>
        <v>0</v>
      </c>
      <c r="L470" s="3395">
        <f t="shared" si="109"/>
        <v>0</v>
      </c>
      <c r="M470" s="3396">
        <f t="shared" si="109"/>
        <v>0</v>
      </c>
      <c r="N470" s="3396">
        <f t="shared" si="109"/>
        <v>0</v>
      </c>
      <c r="O470" s="3395">
        <f t="shared" si="108"/>
        <v>0</v>
      </c>
      <c r="P470" s="3396">
        <f t="shared" si="108"/>
        <v>0</v>
      </c>
      <c r="Q470" s="3396">
        <f t="shared" si="108"/>
        <v>0</v>
      </c>
      <c r="R470" s="3395">
        <f t="shared" si="107"/>
        <v>0</v>
      </c>
      <c r="S470" s="3396">
        <f t="shared" si="107"/>
        <v>0</v>
      </c>
      <c r="T470" s="3396">
        <f t="shared" si="107"/>
        <v>0</v>
      </c>
      <c r="U470" s="3395">
        <f t="shared" si="106"/>
        <v>0</v>
      </c>
      <c r="V470" s="3396">
        <f t="shared" si="106"/>
        <v>0</v>
      </c>
      <c r="W470" s="3396">
        <f t="shared" si="106"/>
        <v>0</v>
      </c>
      <c r="X470" s="3386"/>
      <c r="Y470" s="3386"/>
      <c r="Z470" s="3386"/>
      <c r="AA470" s="3391"/>
    </row>
    <row r="471" spans="2:27" ht="18" hidden="1">
      <c r="B471" s="3350"/>
      <c r="C471" s="3407"/>
      <c r="D471" s="3350"/>
      <c r="E471" s="3404">
        <v>1093000243</v>
      </c>
      <c r="F471" s="3406"/>
      <c r="G471" s="3387"/>
      <c r="H471" s="3383">
        <f t="shared" si="104"/>
        <v>0</v>
      </c>
      <c r="I471" s="3386"/>
      <c r="J471" s="3387"/>
      <c r="K471" s="3383">
        <f t="shared" si="105"/>
        <v>0</v>
      </c>
      <c r="L471" s="3395">
        <f t="shared" si="109"/>
        <v>0</v>
      </c>
      <c r="M471" s="3396">
        <f t="shared" si="109"/>
        <v>0</v>
      </c>
      <c r="N471" s="3396">
        <f t="shared" si="109"/>
        <v>0</v>
      </c>
      <c r="O471" s="3395">
        <f t="shared" si="108"/>
        <v>0</v>
      </c>
      <c r="P471" s="3396">
        <f t="shared" si="108"/>
        <v>0</v>
      </c>
      <c r="Q471" s="3396">
        <f t="shared" si="108"/>
        <v>0</v>
      </c>
      <c r="R471" s="3395">
        <f t="shared" si="107"/>
        <v>0</v>
      </c>
      <c r="S471" s="3396">
        <f t="shared" si="107"/>
        <v>0</v>
      </c>
      <c r="T471" s="3396">
        <f t="shared" si="107"/>
        <v>0</v>
      </c>
      <c r="U471" s="3395">
        <f t="shared" si="106"/>
        <v>0</v>
      </c>
      <c r="V471" s="3396">
        <f t="shared" si="106"/>
        <v>0</v>
      </c>
      <c r="W471" s="3396">
        <f t="shared" si="106"/>
        <v>0</v>
      </c>
      <c r="X471" s="3386"/>
      <c r="Y471" s="3386"/>
      <c r="Z471" s="3386"/>
      <c r="AA471" s="3391"/>
    </row>
    <row r="472" spans="2:27" ht="18" hidden="1">
      <c r="B472" s="3350"/>
      <c r="C472" s="3407"/>
      <c r="D472" s="3350"/>
      <c r="E472" s="3404">
        <v>1093000244</v>
      </c>
      <c r="F472" s="3406"/>
      <c r="G472" s="3387"/>
      <c r="H472" s="3383">
        <f t="shared" si="104"/>
        <v>0</v>
      </c>
      <c r="I472" s="3386"/>
      <c r="J472" s="3387"/>
      <c r="K472" s="3383">
        <f t="shared" si="105"/>
        <v>0</v>
      </c>
      <c r="L472" s="3395">
        <f t="shared" si="109"/>
        <v>0</v>
      </c>
      <c r="M472" s="3396">
        <f t="shared" si="109"/>
        <v>0</v>
      </c>
      <c r="N472" s="3396">
        <f t="shared" si="109"/>
        <v>0</v>
      </c>
      <c r="O472" s="3395">
        <f t="shared" si="108"/>
        <v>0</v>
      </c>
      <c r="P472" s="3396">
        <f t="shared" si="108"/>
        <v>0</v>
      </c>
      <c r="Q472" s="3396">
        <f t="shared" si="108"/>
        <v>0</v>
      </c>
      <c r="R472" s="3395">
        <f t="shared" si="107"/>
        <v>0</v>
      </c>
      <c r="S472" s="3396">
        <f t="shared" si="107"/>
        <v>0</v>
      </c>
      <c r="T472" s="3396">
        <f t="shared" si="107"/>
        <v>0</v>
      </c>
      <c r="U472" s="3395">
        <f t="shared" si="106"/>
        <v>0</v>
      </c>
      <c r="V472" s="3396">
        <f t="shared" si="106"/>
        <v>0</v>
      </c>
      <c r="W472" s="3396">
        <f t="shared" si="106"/>
        <v>0</v>
      </c>
      <c r="X472" s="3386"/>
      <c r="Y472" s="3386"/>
      <c r="Z472" s="3386"/>
      <c r="AA472" s="3391"/>
    </row>
    <row r="473" spans="2:27" ht="18" hidden="1">
      <c r="B473" s="3350"/>
      <c r="C473" s="3407"/>
      <c r="D473" s="3350"/>
      <c r="E473" s="3404">
        <v>1093000245</v>
      </c>
      <c r="F473" s="3406"/>
      <c r="G473" s="3387"/>
      <c r="H473" s="3383">
        <f t="shared" si="104"/>
        <v>0</v>
      </c>
      <c r="I473" s="3386"/>
      <c r="J473" s="3387"/>
      <c r="K473" s="3383">
        <f t="shared" si="105"/>
        <v>0</v>
      </c>
      <c r="L473" s="3395">
        <f t="shared" si="109"/>
        <v>0</v>
      </c>
      <c r="M473" s="3396">
        <f t="shared" si="109"/>
        <v>0</v>
      </c>
      <c r="N473" s="3396">
        <f t="shared" si="109"/>
        <v>0</v>
      </c>
      <c r="O473" s="3395">
        <f t="shared" si="108"/>
        <v>0</v>
      </c>
      <c r="P473" s="3396">
        <f t="shared" si="108"/>
        <v>0</v>
      </c>
      <c r="Q473" s="3396">
        <f t="shared" si="108"/>
        <v>0</v>
      </c>
      <c r="R473" s="3395">
        <f t="shared" si="107"/>
        <v>0</v>
      </c>
      <c r="S473" s="3396">
        <f t="shared" si="107"/>
        <v>0</v>
      </c>
      <c r="T473" s="3396">
        <f t="shared" si="107"/>
        <v>0</v>
      </c>
      <c r="U473" s="3395">
        <f t="shared" si="107"/>
        <v>0</v>
      </c>
      <c r="V473" s="3396">
        <f t="shared" si="107"/>
        <v>0</v>
      </c>
      <c r="W473" s="3396">
        <f t="shared" si="107"/>
        <v>0</v>
      </c>
      <c r="X473" s="3386"/>
      <c r="Y473" s="3386"/>
      <c r="Z473" s="3386"/>
      <c r="AA473" s="3391"/>
    </row>
    <row r="474" spans="2:27" ht="18" hidden="1">
      <c r="B474" s="3350"/>
      <c r="C474" s="3407"/>
      <c r="D474" s="3350"/>
      <c r="E474" s="3404">
        <v>1093000246</v>
      </c>
      <c r="F474" s="3406"/>
      <c r="G474" s="3387"/>
      <c r="H474" s="3383">
        <f t="shared" si="104"/>
        <v>0</v>
      </c>
      <c r="I474" s="3386"/>
      <c r="J474" s="3387"/>
      <c r="K474" s="3383">
        <f t="shared" si="105"/>
        <v>0</v>
      </c>
      <c r="L474" s="3395">
        <f t="shared" si="109"/>
        <v>0</v>
      </c>
      <c r="M474" s="3396">
        <f t="shared" si="109"/>
        <v>0</v>
      </c>
      <c r="N474" s="3396">
        <f t="shared" si="109"/>
        <v>0</v>
      </c>
      <c r="O474" s="3395">
        <f t="shared" si="108"/>
        <v>0</v>
      </c>
      <c r="P474" s="3396">
        <f t="shared" si="108"/>
        <v>0</v>
      </c>
      <c r="Q474" s="3396">
        <f t="shared" si="108"/>
        <v>0</v>
      </c>
      <c r="R474" s="3395">
        <f t="shared" si="107"/>
        <v>0</v>
      </c>
      <c r="S474" s="3396">
        <f t="shared" si="107"/>
        <v>0</v>
      </c>
      <c r="T474" s="3396">
        <f t="shared" si="107"/>
        <v>0</v>
      </c>
      <c r="U474" s="3395">
        <f t="shared" si="107"/>
        <v>0</v>
      </c>
      <c r="V474" s="3396">
        <f t="shared" si="107"/>
        <v>0</v>
      </c>
      <c r="W474" s="3396">
        <f t="shared" si="107"/>
        <v>0</v>
      </c>
      <c r="X474" s="3386"/>
      <c r="Y474" s="3386"/>
      <c r="Z474" s="3386"/>
      <c r="AA474" s="3391"/>
    </row>
    <row r="475" spans="2:27" ht="18" hidden="1">
      <c r="B475" s="3350"/>
      <c r="C475" s="3407"/>
      <c r="D475" s="3350"/>
      <c r="E475" s="3404">
        <v>1093000247</v>
      </c>
      <c r="F475" s="3406"/>
      <c r="G475" s="3387"/>
      <c r="H475" s="3383">
        <f t="shared" si="104"/>
        <v>0</v>
      </c>
      <c r="I475" s="3386"/>
      <c r="J475" s="3387"/>
      <c r="K475" s="3383">
        <f t="shared" si="105"/>
        <v>0</v>
      </c>
      <c r="L475" s="3395">
        <f t="shared" si="109"/>
        <v>0</v>
      </c>
      <c r="M475" s="3396">
        <f t="shared" si="109"/>
        <v>0</v>
      </c>
      <c r="N475" s="3396">
        <f t="shared" si="109"/>
        <v>0</v>
      </c>
      <c r="O475" s="3395">
        <f t="shared" si="108"/>
        <v>0</v>
      </c>
      <c r="P475" s="3396">
        <f t="shared" si="108"/>
        <v>0</v>
      </c>
      <c r="Q475" s="3396">
        <f t="shared" si="108"/>
        <v>0</v>
      </c>
      <c r="R475" s="3395">
        <f t="shared" si="107"/>
        <v>0</v>
      </c>
      <c r="S475" s="3396">
        <f t="shared" si="107"/>
        <v>0</v>
      </c>
      <c r="T475" s="3396">
        <f t="shared" si="107"/>
        <v>0</v>
      </c>
      <c r="U475" s="3395">
        <f t="shared" si="107"/>
        <v>0</v>
      </c>
      <c r="V475" s="3396">
        <f t="shared" si="107"/>
        <v>0</v>
      </c>
      <c r="W475" s="3396">
        <f t="shared" si="107"/>
        <v>0</v>
      </c>
      <c r="X475" s="3386"/>
      <c r="Y475" s="3386"/>
      <c r="Z475" s="3386"/>
      <c r="AA475" s="3391"/>
    </row>
    <row r="476" spans="2:27" ht="18" hidden="1">
      <c r="B476" s="3350"/>
      <c r="C476" s="3407"/>
      <c r="D476" s="3350"/>
      <c r="E476" s="3404">
        <v>1093000248</v>
      </c>
      <c r="F476" s="3406"/>
      <c r="G476" s="3387"/>
      <c r="H476" s="3383">
        <f t="shared" si="104"/>
        <v>0</v>
      </c>
      <c r="I476" s="3386"/>
      <c r="J476" s="3387"/>
      <c r="K476" s="3383">
        <f t="shared" si="105"/>
        <v>0</v>
      </c>
      <c r="L476" s="3395">
        <f t="shared" si="109"/>
        <v>0</v>
      </c>
      <c r="M476" s="3396">
        <f t="shared" si="109"/>
        <v>0</v>
      </c>
      <c r="N476" s="3396">
        <f t="shared" si="109"/>
        <v>0</v>
      </c>
      <c r="O476" s="3395">
        <f t="shared" si="108"/>
        <v>0</v>
      </c>
      <c r="P476" s="3396">
        <f t="shared" si="108"/>
        <v>0</v>
      </c>
      <c r="Q476" s="3396">
        <f t="shared" si="108"/>
        <v>0</v>
      </c>
      <c r="R476" s="3395">
        <f t="shared" si="107"/>
        <v>0</v>
      </c>
      <c r="S476" s="3396">
        <f t="shared" si="107"/>
        <v>0</v>
      </c>
      <c r="T476" s="3396">
        <f t="shared" si="107"/>
        <v>0</v>
      </c>
      <c r="U476" s="3395">
        <f t="shared" si="107"/>
        <v>0</v>
      </c>
      <c r="V476" s="3396">
        <f t="shared" si="107"/>
        <v>0</v>
      </c>
      <c r="W476" s="3396">
        <f t="shared" si="107"/>
        <v>0</v>
      </c>
      <c r="X476" s="3386"/>
      <c r="Y476" s="3386"/>
      <c r="Z476" s="3386"/>
      <c r="AA476" s="3391"/>
    </row>
    <row r="477" spans="2:27" ht="18" hidden="1">
      <c r="B477" s="3350"/>
      <c r="C477" s="3407"/>
      <c r="D477" s="3350"/>
      <c r="E477" s="3404">
        <v>1093000249</v>
      </c>
      <c r="F477" s="3406"/>
      <c r="G477" s="3387"/>
      <c r="H477" s="3383">
        <f t="shared" si="104"/>
        <v>0</v>
      </c>
      <c r="I477" s="3386"/>
      <c r="J477" s="3387"/>
      <c r="K477" s="3383">
        <f t="shared" si="105"/>
        <v>0</v>
      </c>
      <c r="L477" s="3395">
        <f t="shared" si="109"/>
        <v>0</v>
      </c>
      <c r="M477" s="3396">
        <f t="shared" si="109"/>
        <v>0</v>
      </c>
      <c r="N477" s="3396">
        <f t="shared" si="109"/>
        <v>0</v>
      </c>
      <c r="O477" s="3395">
        <f t="shared" si="108"/>
        <v>0</v>
      </c>
      <c r="P477" s="3396">
        <f t="shared" si="108"/>
        <v>0</v>
      </c>
      <c r="Q477" s="3396">
        <f t="shared" si="108"/>
        <v>0</v>
      </c>
      <c r="R477" s="3395">
        <f t="shared" si="107"/>
        <v>0</v>
      </c>
      <c r="S477" s="3396">
        <f t="shared" si="107"/>
        <v>0</v>
      </c>
      <c r="T477" s="3396">
        <f t="shared" si="107"/>
        <v>0</v>
      </c>
      <c r="U477" s="3395">
        <f t="shared" si="107"/>
        <v>0</v>
      </c>
      <c r="V477" s="3396">
        <f t="shared" si="107"/>
        <v>0</v>
      </c>
      <c r="W477" s="3396">
        <f t="shared" si="107"/>
        <v>0</v>
      </c>
      <c r="X477" s="3386"/>
      <c r="Y477" s="3386"/>
      <c r="Z477" s="3386"/>
      <c r="AA477" s="3391"/>
    </row>
    <row r="478" spans="2:27" ht="18" hidden="1">
      <c r="B478" s="3350"/>
      <c r="C478" s="3407"/>
      <c r="D478" s="3350"/>
      <c r="E478" s="3404">
        <v>1093000250</v>
      </c>
      <c r="F478" s="3406"/>
      <c r="G478" s="3387"/>
      <c r="H478" s="3383">
        <f t="shared" si="104"/>
        <v>0</v>
      </c>
      <c r="I478" s="3386"/>
      <c r="J478" s="3387"/>
      <c r="K478" s="3383">
        <f t="shared" si="105"/>
        <v>0</v>
      </c>
      <c r="L478" s="3395">
        <f t="shared" si="109"/>
        <v>0</v>
      </c>
      <c r="M478" s="3396">
        <f t="shared" si="109"/>
        <v>0</v>
      </c>
      <c r="N478" s="3396">
        <f t="shared" si="109"/>
        <v>0</v>
      </c>
      <c r="O478" s="3395">
        <f t="shared" si="108"/>
        <v>0</v>
      </c>
      <c r="P478" s="3396">
        <f t="shared" si="108"/>
        <v>0</v>
      </c>
      <c r="Q478" s="3396">
        <f t="shared" si="108"/>
        <v>0</v>
      </c>
      <c r="R478" s="3395">
        <f t="shared" si="107"/>
        <v>0</v>
      </c>
      <c r="S478" s="3396">
        <f t="shared" si="107"/>
        <v>0</v>
      </c>
      <c r="T478" s="3396">
        <f t="shared" si="107"/>
        <v>0</v>
      </c>
      <c r="U478" s="3395">
        <f t="shared" si="107"/>
        <v>0</v>
      </c>
      <c r="V478" s="3396">
        <f t="shared" si="107"/>
        <v>0</v>
      </c>
      <c r="W478" s="3396">
        <f t="shared" si="107"/>
        <v>0</v>
      </c>
      <c r="X478" s="3386"/>
      <c r="Y478" s="3386"/>
      <c r="Z478" s="3386"/>
      <c r="AA478" s="3391"/>
    </row>
    <row r="479" spans="2:27" ht="18" hidden="1">
      <c r="B479" s="3350"/>
      <c r="C479" s="3407"/>
      <c r="D479" s="3350"/>
      <c r="E479" s="3404">
        <v>1093000251</v>
      </c>
      <c r="F479" s="3406"/>
      <c r="G479" s="3387"/>
      <c r="H479" s="3383">
        <f t="shared" si="104"/>
        <v>0</v>
      </c>
      <c r="I479" s="3386"/>
      <c r="J479" s="3387"/>
      <c r="K479" s="3383">
        <f t="shared" si="105"/>
        <v>0</v>
      </c>
      <c r="L479" s="3395">
        <f t="shared" si="109"/>
        <v>0</v>
      </c>
      <c r="M479" s="3396">
        <f t="shared" si="109"/>
        <v>0</v>
      </c>
      <c r="N479" s="3396">
        <f t="shared" si="109"/>
        <v>0</v>
      </c>
      <c r="O479" s="3395">
        <f t="shared" si="108"/>
        <v>0</v>
      </c>
      <c r="P479" s="3396">
        <f t="shared" si="108"/>
        <v>0</v>
      </c>
      <c r="Q479" s="3396">
        <f t="shared" si="108"/>
        <v>0</v>
      </c>
      <c r="R479" s="3395">
        <f t="shared" si="107"/>
        <v>0</v>
      </c>
      <c r="S479" s="3396">
        <f t="shared" si="107"/>
        <v>0</v>
      </c>
      <c r="T479" s="3396">
        <f t="shared" si="107"/>
        <v>0</v>
      </c>
      <c r="U479" s="3395">
        <f t="shared" si="107"/>
        <v>0</v>
      </c>
      <c r="V479" s="3396">
        <f t="shared" si="107"/>
        <v>0</v>
      </c>
      <c r="W479" s="3396">
        <f t="shared" si="107"/>
        <v>0</v>
      </c>
      <c r="X479" s="3386"/>
      <c r="Y479" s="3386"/>
      <c r="Z479" s="3386"/>
      <c r="AA479" s="3391"/>
    </row>
    <row r="480" spans="2:27" ht="18" hidden="1">
      <c r="B480" s="3350"/>
      <c r="C480" s="3407"/>
      <c r="D480" s="3350"/>
      <c r="E480" s="3404">
        <v>1093000252</v>
      </c>
      <c r="F480" s="3406"/>
      <c r="G480" s="3387"/>
      <c r="H480" s="3383">
        <f t="shared" si="104"/>
        <v>0</v>
      </c>
      <c r="I480" s="3386"/>
      <c r="J480" s="3387"/>
      <c r="K480" s="3383">
        <f t="shared" si="105"/>
        <v>0</v>
      </c>
      <c r="L480" s="3395">
        <f t="shared" si="109"/>
        <v>0</v>
      </c>
      <c r="M480" s="3396">
        <f t="shared" si="109"/>
        <v>0</v>
      </c>
      <c r="N480" s="3396">
        <f t="shared" si="109"/>
        <v>0</v>
      </c>
      <c r="O480" s="3395">
        <f t="shared" si="108"/>
        <v>0</v>
      </c>
      <c r="P480" s="3396">
        <f t="shared" si="108"/>
        <v>0</v>
      </c>
      <c r="Q480" s="3396">
        <f t="shared" si="108"/>
        <v>0</v>
      </c>
      <c r="R480" s="3395">
        <f t="shared" si="107"/>
        <v>0</v>
      </c>
      <c r="S480" s="3396">
        <f t="shared" si="107"/>
        <v>0</v>
      </c>
      <c r="T480" s="3396">
        <f t="shared" si="107"/>
        <v>0</v>
      </c>
      <c r="U480" s="3395">
        <f t="shared" si="107"/>
        <v>0</v>
      </c>
      <c r="V480" s="3396">
        <f t="shared" si="107"/>
        <v>0</v>
      </c>
      <c r="W480" s="3396">
        <f t="shared" si="107"/>
        <v>0</v>
      </c>
      <c r="X480" s="3386"/>
      <c r="Y480" s="3386"/>
      <c r="Z480" s="3386"/>
      <c r="AA480" s="3391"/>
    </row>
    <row r="481" spans="2:27" ht="18" hidden="1">
      <c r="B481" s="3350"/>
      <c r="C481" s="3407"/>
      <c r="D481" s="3350"/>
      <c r="E481" s="3404">
        <v>1093000253</v>
      </c>
      <c r="F481" s="3406"/>
      <c r="G481" s="3387"/>
      <c r="H481" s="3383">
        <f t="shared" si="104"/>
        <v>0</v>
      </c>
      <c r="I481" s="3386"/>
      <c r="J481" s="3387"/>
      <c r="K481" s="3383">
        <f t="shared" si="105"/>
        <v>0</v>
      </c>
      <c r="L481" s="3395">
        <f t="shared" si="109"/>
        <v>0</v>
      </c>
      <c r="M481" s="3396">
        <f t="shared" si="109"/>
        <v>0</v>
      </c>
      <c r="N481" s="3396">
        <f t="shared" si="109"/>
        <v>0</v>
      </c>
      <c r="O481" s="3395">
        <f t="shared" si="108"/>
        <v>0</v>
      </c>
      <c r="P481" s="3396">
        <f t="shared" si="108"/>
        <v>0</v>
      </c>
      <c r="Q481" s="3396">
        <f t="shared" si="108"/>
        <v>0</v>
      </c>
      <c r="R481" s="3395">
        <f t="shared" si="107"/>
        <v>0</v>
      </c>
      <c r="S481" s="3396">
        <f t="shared" si="107"/>
        <v>0</v>
      </c>
      <c r="T481" s="3396">
        <f t="shared" si="107"/>
        <v>0</v>
      </c>
      <c r="U481" s="3395">
        <f t="shared" si="107"/>
        <v>0</v>
      </c>
      <c r="V481" s="3396">
        <f t="shared" si="107"/>
        <v>0</v>
      </c>
      <c r="W481" s="3396">
        <f t="shared" si="107"/>
        <v>0</v>
      </c>
      <c r="X481" s="3386"/>
      <c r="Y481" s="3386"/>
      <c r="Z481" s="3386"/>
      <c r="AA481" s="3391"/>
    </row>
    <row r="482" spans="2:27" ht="18" hidden="1">
      <c r="B482" s="3350"/>
      <c r="C482" s="3407"/>
      <c r="D482" s="3350"/>
      <c r="E482" s="3404">
        <v>1093000254</v>
      </c>
      <c r="F482" s="3406"/>
      <c r="G482" s="3387"/>
      <c r="H482" s="3383">
        <f t="shared" si="104"/>
        <v>0</v>
      </c>
      <c r="I482" s="3386"/>
      <c r="J482" s="3387"/>
      <c r="K482" s="3383">
        <f t="shared" si="105"/>
        <v>0</v>
      </c>
      <c r="L482" s="3395">
        <f t="shared" si="109"/>
        <v>0</v>
      </c>
      <c r="M482" s="3396">
        <f t="shared" si="109"/>
        <v>0</v>
      </c>
      <c r="N482" s="3396">
        <f t="shared" si="109"/>
        <v>0</v>
      </c>
      <c r="O482" s="3395">
        <f t="shared" si="108"/>
        <v>0</v>
      </c>
      <c r="P482" s="3396">
        <f t="shared" si="108"/>
        <v>0</v>
      </c>
      <c r="Q482" s="3396">
        <f t="shared" si="108"/>
        <v>0</v>
      </c>
      <c r="R482" s="3395">
        <f t="shared" si="107"/>
        <v>0</v>
      </c>
      <c r="S482" s="3396">
        <f t="shared" si="107"/>
        <v>0</v>
      </c>
      <c r="T482" s="3396">
        <f t="shared" si="107"/>
        <v>0</v>
      </c>
      <c r="U482" s="3395">
        <f t="shared" si="107"/>
        <v>0</v>
      </c>
      <c r="V482" s="3396">
        <f t="shared" si="107"/>
        <v>0</v>
      </c>
      <c r="W482" s="3396">
        <f t="shared" si="107"/>
        <v>0</v>
      </c>
      <c r="X482" s="3386"/>
      <c r="Y482" s="3386"/>
      <c r="Z482" s="3386"/>
      <c r="AA482" s="3391"/>
    </row>
    <row r="483" spans="2:27" ht="18" hidden="1">
      <c r="B483" s="3350"/>
      <c r="C483" s="3407"/>
      <c r="D483" s="3350"/>
      <c r="E483" s="3404">
        <v>1093000255</v>
      </c>
      <c r="F483" s="3406"/>
      <c r="G483" s="3387"/>
      <c r="H483" s="3383">
        <f t="shared" si="104"/>
        <v>0</v>
      </c>
      <c r="I483" s="3386"/>
      <c r="J483" s="3387"/>
      <c r="K483" s="3383">
        <f t="shared" si="105"/>
        <v>0</v>
      </c>
      <c r="L483" s="3395">
        <f t="shared" si="109"/>
        <v>0</v>
      </c>
      <c r="M483" s="3396">
        <f t="shared" si="109"/>
        <v>0</v>
      </c>
      <c r="N483" s="3396">
        <f t="shared" si="109"/>
        <v>0</v>
      </c>
      <c r="O483" s="3395">
        <f t="shared" si="108"/>
        <v>0</v>
      </c>
      <c r="P483" s="3396">
        <f t="shared" si="108"/>
        <v>0</v>
      </c>
      <c r="Q483" s="3396">
        <f t="shared" si="108"/>
        <v>0</v>
      </c>
      <c r="R483" s="3395">
        <f t="shared" si="107"/>
        <v>0</v>
      </c>
      <c r="S483" s="3396">
        <f t="shared" si="107"/>
        <v>0</v>
      </c>
      <c r="T483" s="3396">
        <f t="shared" si="107"/>
        <v>0</v>
      </c>
      <c r="U483" s="3395">
        <f t="shared" si="107"/>
        <v>0</v>
      </c>
      <c r="V483" s="3396">
        <f t="shared" si="107"/>
        <v>0</v>
      </c>
      <c r="W483" s="3396">
        <f t="shared" si="107"/>
        <v>0</v>
      </c>
      <c r="X483" s="3386"/>
      <c r="Y483" s="3386"/>
      <c r="Z483" s="3386"/>
      <c r="AA483" s="3391"/>
    </row>
    <row r="484" spans="2:27" ht="18" hidden="1">
      <c r="B484" s="3350"/>
      <c r="C484" s="3407"/>
      <c r="D484" s="3350"/>
      <c r="E484" s="3404">
        <v>1093000256</v>
      </c>
      <c r="F484" s="3406"/>
      <c r="G484" s="3387"/>
      <c r="H484" s="3383">
        <f t="shared" si="104"/>
        <v>0</v>
      </c>
      <c r="I484" s="3386"/>
      <c r="J484" s="3387"/>
      <c r="K484" s="3383">
        <f t="shared" si="105"/>
        <v>0</v>
      </c>
      <c r="L484" s="3395">
        <f t="shared" si="109"/>
        <v>0</v>
      </c>
      <c r="M484" s="3396">
        <f t="shared" si="109"/>
        <v>0</v>
      </c>
      <c r="N484" s="3396">
        <f t="shared" si="109"/>
        <v>0</v>
      </c>
      <c r="O484" s="3395">
        <f t="shared" si="108"/>
        <v>0</v>
      </c>
      <c r="P484" s="3396">
        <f t="shared" si="108"/>
        <v>0</v>
      </c>
      <c r="Q484" s="3396">
        <f t="shared" si="108"/>
        <v>0</v>
      </c>
      <c r="R484" s="3395">
        <f t="shared" si="107"/>
        <v>0</v>
      </c>
      <c r="S484" s="3396">
        <f t="shared" si="107"/>
        <v>0</v>
      </c>
      <c r="T484" s="3396">
        <f t="shared" si="107"/>
        <v>0</v>
      </c>
      <c r="U484" s="3395">
        <f t="shared" si="107"/>
        <v>0</v>
      </c>
      <c r="V484" s="3396">
        <f t="shared" si="107"/>
        <v>0</v>
      </c>
      <c r="W484" s="3396">
        <f t="shared" si="107"/>
        <v>0</v>
      </c>
      <c r="X484" s="3386"/>
      <c r="Y484" s="3386"/>
      <c r="Z484" s="3386"/>
      <c r="AA484" s="3391"/>
    </row>
    <row r="485" spans="2:27" ht="18" hidden="1">
      <c r="B485" s="3350"/>
      <c r="C485" s="3407"/>
      <c r="D485" s="3350"/>
      <c r="E485" s="3404">
        <v>1093000257</v>
      </c>
      <c r="F485" s="3406"/>
      <c r="G485" s="3387"/>
      <c r="H485" s="3383">
        <f t="shared" si="104"/>
        <v>0</v>
      </c>
      <c r="I485" s="3386"/>
      <c r="J485" s="3387"/>
      <c r="K485" s="3383">
        <f t="shared" si="105"/>
        <v>0</v>
      </c>
      <c r="L485" s="3395">
        <f t="shared" si="109"/>
        <v>0</v>
      </c>
      <c r="M485" s="3396">
        <f t="shared" si="109"/>
        <v>0</v>
      </c>
      <c r="N485" s="3396">
        <f t="shared" si="109"/>
        <v>0</v>
      </c>
      <c r="O485" s="3395">
        <f t="shared" si="108"/>
        <v>0</v>
      </c>
      <c r="P485" s="3396">
        <f t="shared" si="108"/>
        <v>0</v>
      </c>
      <c r="Q485" s="3396">
        <f t="shared" si="108"/>
        <v>0</v>
      </c>
      <c r="R485" s="3395">
        <f t="shared" si="107"/>
        <v>0</v>
      </c>
      <c r="S485" s="3396">
        <f t="shared" si="107"/>
        <v>0</v>
      </c>
      <c r="T485" s="3396">
        <f t="shared" si="107"/>
        <v>0</v>
      </c>
      <c r="U485" s="3395">
        <f t="shared" si="107"/>
        <v>0</v>
      </c>
      <c r="V485" s="3396">
        <f t="shared" si="107"/>
        <v>0</v>
      </c>
      <c r="W485" s="3396">
        <f t="shared" si="107"/>
        <v>0</v>
      </c>
      <c r="X485" s="3386"/>
      <c r="Y485" s="3386"/>
      <c r="Z485" s="3386"/>
      <c r="AA485" s="3391"/>
    </row>
    <row r="486" spans="2:27" ht="18" hidden="1">
      <c r="B486" s="3350"/>
      <c r="C486" s="3407"/>
      <c r="D486" s="3350"/>
      <c r="E486" s="3404">
        <v>1093000258</v>
      </c>
      <c r="F486" s="3406"/>
      <c r="G486" s="3387"/>
      <c r="H486" s="3383">
        <f t="shared" si="104"/>
        <v>0</v>
      </c>
      <c r="I486" s="3386"/>
      <c r="J486" s="3387"/>
      <c r="K486" s="3383">
        <f t="shared" si="105"/>
        <v>0</v>
      </c>
      <c r="L486" s="3395">
        <f t="shared" si="109"/>
        <v>0</v>
      </c>
      <c r="M486" s="3396">
        <f t="shared" si="109"/>
        <v>0</v>
      </c>
      <c r="N486" s="3396">
        <f t="shared" si="109"/>
        <v>0</v>
      </c>
      <c r="O486" s="3395">
        <f t="shared" si="108"/>
        <v>0</v>
      </c>
      <c r="P486" s="3396">
        <f t="shared" si="108"/>
        <v>0</v>
      </c>
      <c r="Q486" s="3396">
        <f t="shared" si="108"/>
        <v>0</v>
      </c>
      <c r="R486" s="3395">
        <f t="shared" si="107"/>
        <v>0</v>
      </c>
      <c r="S486" s="3396">
        <f t="shared" si="107"/>
        <v>0</v>
      </c>
      <c r="T486" s="3396">
        <f t="shared" si="107"/>
        <v>0</v>
      </c>
      <c r="U486" s="3395">
        <f t="shared" si="107"/>
        <v>0</v>
      </c>
      <c r="V486" s="3396">
        <f t="shared" si="107"/>
        <v>0</v>
      </c>
      <c r="W486" s="3396">
        <f t="shared" si="107"/>
        <v>0</v>
      </c>
      <c r="X486" s="3386"/>
      <c r="Y486" s="3386"/>
      <c r="Z486" s="3386"/>
      <c r="AA486" s="3391"/>
    </row>
    <row r="487" spans="2:27" ht="18" hidden="1">
      <c r="B487" s="3350"/>
      <c r="C487" s="3407"/>
      <c r="D487" s="3350"/>
      <c r="E487" s="3404">
        <v>1093000259</v>
      </c>
      <c r="F487" s="3406"/>
      <c r="G487" s="3387"/>
      <c r="H487" s="3383">
        <f t="shared" si="104"/>
        <v>0</v>
      </c>
      <c r="I487" s="3386"/>
      <c r="J487" s="3387"/>
      <c r="K487" s="3383">
        <f t="shared" si="105"/>
        <v>0</v>
      </c>
      <c r="L487" s="3395">
        <f t="shared" si="109"/>
        <v>0</v>
      </c>
      <c r="M487" s="3396">
        <f t="shared" si="109"/>
        <v>0</v>
      </c>
      <c r="N487" s="3396">
        <f t="shared" si="109"/>
        <v>0</v>
      </c>
      <c r="O487" s="3395">
        <f t="shared" si="108"/>
        <v>0</v>
      </c>
      <c r="P487" s="3396">
        <f t="shared" si="108"/>
        <v>0</v>
      </c>
      <c r="Q487" s="3396">
        <f t="shared" si="108"/>
        <v>0</v>
      </c>
      <c r="R487" s="3395">
        <f t="shared" si="107"/>
        <v>0</v>
      </c>
      <c r="S487" s="3396">
        <f t="shared" si="107"/>
        <v>0</v>
      </c>
      <c r="T487" s="3396">
        <f t="shared" si="107"/>
        <v>0</v>
      </c>
      <c r="U487" s="3395">
        <f t="shared" si="107"/>
        <v>0</v>
      </c>
      <c r="V487" s="3396">
        <f t="shared" si="107"/>
        <v>0</v>
      </c>
      <c r="W487" s="3396">
        <f t="shared" si="107"/>
        <v>0</v>
      </c>
      <c r="X487" s="3386"/>
      <c r="Y487" s="3386"/>
      <c r="Z487" s="3386"/>
      <c r="AA487" s="3391"/>
    </row>
    <row r="488" spans="2:27" ht="18" hidden="1">
      <c r="B488" s="3350"/>
      <c r="C488" s="3407"/>
      <c r="D488" s="3350"/>
      <c r="E488" s="3404">
        <v>1093000260</v>
      </c>
      <c r="F488" s="3406"/>
      <c r="G488" s="3387"/>
      <c r="H488" s="3383">
        <f t="shared" si="104"/>
        <v>0</v>
      </c>
      <c r="I488" s="3386"/>
      <c r="J488" s="3387"/>
      <c r="K488" s="3383">
        <f t="shared" si="105"/>
        <v>0</v>
      </c>
      <c r="L488" s="3395">
        <f t="shared" si="109"/>
        <v>0</v>
      </c>
      <c r="M488" s="3396">
        <f t="shared" si="109"/>
        <v>0</v>
      </c>
      <c r="N488" s="3396">
        <f t="shared" si="109"/>
        <v>0</v>
      </c>
      <c r="O488" s="3395">
        <f t="shared" si="108"/>
        <v>0</v>
      </c>
      <c r="P488" s="3396">
        <f t="shared" si="108"/>
        <v>0</v>
      </c>
      <c r="Q488" s="3396">
        <f t="shared" si="108"/>
        <v>0</v>
      </c>
      <c r="R488" s="3395">
        <f t="shared" si="107"/>
        <v>0</v>
      </c>
      <c r="S488" s="3396">
        <f t="shared" si="107"/>
        <v>0</v>
      </c>
      <c r="T488" s="3396">
        <f t="shared" si="107"/>
        <v>0</v>
      </c>
      <c r="U488" s="3395">
        <f t="shared" si="107"/>
        <v>0</v>
      </c>
      <c r="V488" s="3396">
        <f t="shared" si="107"/>
        <v>0</v>
      </c>
      <c r="W488" s="3396">
        <f t="shared" si="107"/>
        <v>0</v>
      </c>
      <c r="X488" s="3386"/>
      <c r="Y488" s="3386"/>
      <c r="Z488" s="3386"/>
      <c r="AA488" s="3391"/>
    </row>
    <row r="489" spans="2:27" ht="18" hidden="1">
      <c r="B489" s="3350"/>
      <c r="C489" s="3407"/>
      <c r="D489" s="3350"/>
      <c r="E489" s="3404">
        <v>1093000261</v>
      </c>
      <c r="F489" s="3406"/>
      <c r="G489" s="3387"/>
      <c r="H489" s="3383">
        <f t="shared" si="104"/>
        <v>0</v>
      </c>
      <c r="I489" s="3386"/>
      <c r="J489" s="3387"/>
      <c r="K489" s="3383">
        <f t="shared" si="105"/>
        <v>0</v>
      </c>
      <c r="L489" s="3395">
        <f t="shared" si="109"/>
        <v>0</v>
      </c>
      <c r="M489" s="3396">
        <f t="shared" si="109"/>
        <v>0</v>
      </c>
      <c r="N489" s="3396">
        <f t="shared" si="109"/>
        <v>0</v>
      </c>
      <c r="O489" s="3395">
        <f t="shared" si="108"/>
        <v>0</v>
      </c>
      <c r="P489" s="3396">
        <f t="shared" si="108"/>
        <v>0</v>
      </c>
      <c r="Q489" s="3396">
        <f t="shared" si="108"/>
        <v>0</v>
      </c>
      <c r="R489" s="3395">
        <f t="shared" si="107"/>
        <v>0</v>
      </c>
      <c r="S489" s="3396">
        <f t="shared" si="107"/>
        <v>0</v>
      </c>
      <c r="T489" s="3396">
        <f t="shared" si="107"/>
        <v>0</v>
      </c>
      <c r="U489" s="3395">
        <f t="shared" si="107"/>
        <v>0</v>
      </c>
      <c r="V489" s="3396">
        <f t="shared" si="107"/>
        <v>0</v>
      </c>
      <c r="W489" s="3396">
        <f t="shared" si="107"/>
        <v>0</v>
      </c>
      <c r="X489" s="3386"/>
      <c r="Y489" s="3386"/>
      <c r="Z489" s="3386"/>
      <c r="AA489" s="3391"/>
    </row>
    <row r="490" spans="2:27" ht="18" hidden="1">
      <c r="B490" s="3350"/>
      <c r="C490" s="3407"/>
      <c r="D490" s="3350"/>
      <c r="E490" s="3404">
        <v>1093000262</v>
      </c>
      <c r="F490" s="3406"/>
      <c r="G490" s="3387"/>
      <c r="H490" s="3383">
        <f t="shared" si="104"/>
        <v>0</v>
      </c>
      <c r="I490" s="3386"/>
      <c r="J490" s="3387"/>
      <c r="K490" s="3383">
        <f t="shared" si="105"/>
        <v>0</v>
      </c>
      <c r="L490" s="3395">
        <f t="shared" si="109"/>
        <v>0</v>
      </c>
      <c r="M490" s="3396">
        <f t="shared" si="109"/>
        <v>0</v>
      </c>
      <c r="N490" s="3396">
        <f t="shared" si="109"/>
        <v>0</v>
      </c>
      <c r="O490" s="3395">
        <f t="shared" si="108"/>
        <v>0</v>
      </c>
      <c r="P490" s="3396">
        <f t="shared" si="108"/>
        <v>0</v>
      </c>
      <c r="Q490" s="3396">
        <f t="shared" si="108"/>
        <v>0</v>
      </c>
      <c r="R490" s="3395">
        <f t="shared" si="107"/>
        <v>0</v>
      </c>
      <c r="S490" s="3396">
        <f t="shared" si="107"/>
        <v>0</v>
      </c>
      <c r="T490" s="3396">
        <f t="shared" si="107"/>
        <v>0</v>
      </c>
      <c r="U490" s="3395">
        <f t="shared" ref="U490:W574" si="110">(0)</f>
        <v>0</v>
      </c>
      <c r="V490" s="3396">
        <f t="shared" si="110"/>
        <v>0</v>
      </c>
      <c r="W490" s="3396">
        <f t="shared" si="110"/>
        <v>0</v>
      </c>
      <c r="X490" s="3386"/>
      <c r="Y490" s="3386"/>
      <c r="Z490" s="3386"/>
      <c r="AA490" s="3391"/>
    </row>
    <row r="491" spans="2:27" ht="18" hidden="1">
      <c r="B491" s="3350"/>
      <c r="C491" s="3407"/>
      <c r="D491" s="3350"/>
      <c r="E491" s="3404">
        <v>1093000263</v>
      </c>
      <c r="F491" s="3406"/>
      <c r="G491" s="3387"/>
      <c r="H491" s="3383">
        <f t="shared" si="104"/>
        <v>0</v>
      </c>
      <c r="I491" s="3386"/>
      <c r="J491" s="3387"/>
      <c r="K491" s="3383">
        <f t="shared" si="105"/>
        <v>0</v>
      </c>
      <c r="L491" s="3395">
        <f t="shared" si="109"/>
        <v>0</v>
      </c>
      <c r="M491" s="3396">
        <f t="shared" si="109"/>
        <v>0</v>
      </c>
      <c r="N491" s="3396">
        <f t="shared" si="109"/>
        <v>0</v>
      </c>
      <c r="O491" s="3395">
        <f t="shared" si="108"/>
        <v>0</v>
      </c>
      <c r="P491" s="3396">
        <f t="shared" si="108"/>
        <v>0</v>
      </c>
      <c r="Q491" s="3396">
        <f t="shared" si="108"/>
        <v>0</v>
      </c>
      <c r="R491" s="3395">
        <f t="shared" si="108"/>
        <v>0</v>
      </c>
      <c r="S491" s="3396">
        <f t="shared" si="108"/>
        <v>0</v>
      </c>
      <c r="T491" s="3396">
        <f t="shared" si="108"/>
        <v>0</v>
      </c>
      <c r="U491" s="3395">
        <f t="shared" si="110"/>
        <v>0</v>
      </c>
      <c r="V491" s="3396">
        <f t="shared" si="110"/>
        <v>0</v>
      </c>
      <c r="W491" s="3396">
        <f t="shared" si="110"/>
        <v>0</v>
      </c>
      <c r="X491" s="3386"/>
      <c r="Y491" s="3386"/>
      <c r="Z491" s="3386"/>
      <c r="AA491" s="3391"/>
    </row>
    <row r="492" spans="2:27" ht="18" hidden="1">
      <c r="B492" s="3350"/>
      <c r="C492" s="3407"/>
      <c r="D492" s="3350"/>
      <c r="E492" s="3404">
        <v>1093000264</v>
      </c>
      <c r="F492" s="3406"/>
      <c r="G492" s="3387"/>
      <c r="H492" s="3383">
        <f t="shared" si="104"/>
        <v>0</v>
      </c>
      <c r="I492" s="3386"/>
      <c r="J492" s="3387"/>
      <c r="K492" s="3383">
        <f t="shared" si="105"/>
        <v>0</v>
      </c>
      <c r="L492" s="3395">
        <f t="shared" si="109"/>
        <v>0</v>
      </c>
      <c r="M492" s="3396">
        <f t="shared" si="109"/>
        <v>0</v>
      </c>
      <c r="N492" s="3396">
        <f t="shared" si="109"/>
        <v>0</v>
      </c>
      <c r="O492" s="3395">
        <f t="shared" si="108"/>
        <v>0</v>
      </c>
      <c r="P492" s="3396">
        <f t="shared" si="108"/>
        <v>0</v>
      </c>
      <c r="Q492" s="3396">
        <f t="shared" si="108"/>
        <v>0</v>
      </c>
      <c r="R492" s="3395">
        <f t="shared" si="108"/>
        <v>0</v>
      </c>
      <c r="S492" s="3396">
        <f t="shared" si="108"/>
        <v>0</v>
      </c>
      <c r="T492" s="3396">
        <f t="shared" si="108"/>
        <v>0</v>
      </c>
      <c r="U492" s="3395">
        <f t="shared" si="110"/>
        <v>0</v>
      </c>
      <c r="V492" s="3396">
        <f t="shared" si="110"/>
        <v>0</v>
      </c>
      <c r="W492" s="3396">
        <f t="shared" si="110"/>
        <v>0</v>
      </c>
      <c r="X492" s="3386"/>
      <c r="Y492" s="3386"/>
      <c r="Z492" s="3386"/>
      <c r="AA492" s="3391"/>
    </row>
    <row r="493" spans="2:27" ht="18" hidden="1">
      <c r="B493" s="3350"/>
      <c r="C493" s="3407"/>
      <c r="D493" s="3350"/>
      <c r="E493" s="3404">
        <v>1093000265</v>
      </c>
      <c r="F493" s="3406"/>
      <c r="G493" s="3387"/>
      <c r="H493" s="3383">
        <f t="shared" si="104"/>
        <v>0</v>
      </c>
      <c r="I493" s="3386"/>
      <c r="J493" s="3387"/>
      <c r="K493" s="3383">
        <f t="shared" si="105"/>
        <v>0</v>
      </c>
      <c r="L493" s="3395">
        <f t="shared" si="109"/>
        <v>0</v>
      </c>
      <c r="M493" s="3396">
        <f t="shared" si="109"/>
        <v>0</v>
      </c>
      <c r="N493" s="3396">
        <f t="shared" si="109"/>
        <v>0</v>
      </c>
      <c r="O493" s="3395">
        <f t="shared" si="108"/>
        <v>0</v>
      </c>
      <c r="P493" s="3396">
        <f t="shared" si="108"/>
        <v>0</v>
      </c>
      <c r="Q493" s="3396">
        <f t="shared" si="108"/>
        <v>0</v>
      </c>
      <c r="R493" s="3395">
        <f t="shared" si="108"/>
        <v>0</v>
      </c>
      <c r="S493" s="3396">
        <f t="shared" si="108"/>
        <v>0</v>
      </c>
      <c r="T493" s="3396">
        <f t="shared" si="108"/>
        <v>0</v>
      </c>
      <c r="U493" s="3395">
        <f t="shared" si="110"/>
        <v>0</v>
      </c>
      <c r="V493" s="3396">
        <f t="shared" si="110"/>
        <v>0</v>
      </c>
      <c r="W493" s="3396">
        <f t="shared" si="110"/>
        <v>0</v>
      </c>
      <c r="X493" s="3386"/>
      <c r="Y493" s="3386"/>
      <c r="Z493" s="3386"/>
      <c r="AA493" s="3391"/>
    </row>
    <row r="494" spans="2:27" ht="18" hidden="1">
      <c r="B494" s="3350"/>
      <c r="C494" s="3407"/>
      <c r="D494" s="3350"/>
      <c r="E494" s="3404">
        <v>1093000266</v>
      </c>
      <c r="F494" s="3406"/>
      <c r="G494" s="3387"/>
      <c r="H494" s="3383">
        <f t="shared" si="104"/>
        <v>0</v>
      </c>
      <c r="I494" s="3386"/>
      <c r="J494" s="3387"/>
      <c r="K494" s="3383">
        <f t="shared" si="105"/>
        <v>0</v>
      </c>
      <c r="L494" s="3395">
        <f t="shared" si="109"/>
        <v>0</v>
      </c>
      <c r="M494" s="3396">
        <f t="shared" si="109"/>
        <v>0</v>
      </c>
      <c r="N494" s="3396">
        <f t="shared" si="109"/>
        <v>0</v>
      </c>
      <c r="O494" s="3395">
        <f t="shared" si="108"/>
        <v>0</v>
      </c>
      <c r="P494" s="3396">
        <f t="shared" si="108"/>
        <v>0</v>
      </c>
      <c r="Q494" s="3396">
        <f t="shared" si="108"/>
        <v>0</v>
      </c>
      <c r="R494" s="3395">
        <f t="shared" si="108"/>
        <v>0</v>
      </c>
      <c r="S494" s="3396">
        <f t="shared" si="108"/>
        <v>0</v>
      </c>
      <c r="T494" s="3396">
        <f t="shared" si="108"/>
        <v>0</v>
      </c>
      <c r="U494" s="3395">
        <f t="shared" si="110"/>
        <v>0</v>
      </c>
      <c r="V494" s="3396">
        <f t="shared" si="110"/>
        <v>0</v>
      </c>
      <c r="W494" s="3396">
        <f t="shared" si="110"/>
        <v>0</v>
      </c>
      <c r="X494" s="3386"/>
      <c r="Y494" s="3386"/>
      <c r="Z494" s="3386"/>
      <c r="AA494" s="3391"/>
    </row>
    <row r="495" spans="2:27" ht="18" hidden="1">
      <c r="B495" s="3350"/>
      <c r="C495" s="3407"/>
      <c r="D495" s="3350"/>
      <c r="E495" s="3404">
        <v>1093000267</v>
      </c>
      <c r="F495" s="3406"/>
      <c r="G495" s="3387"/>
      <c r="H495" s="3383">
        <f t="shared" si="104"/>
        <v>0</v>
      </c>
      <c r="I495" s="3386"/>
      <c r="J495" s="3387"/>
      <c r="K495" s="3383">
        <f t="shared" si="105"/>
        <v>0</v>
      </c>
      <c r="L495" s="3395">
        <f t="shared" si="109"/>
        <v>0</v>
      </c>
      <c r="M495" s="3396">
        <f t="shared" si="109"/>
        <v>0</v>
      </c>
      <c r="N495" s="3396">
        <f t="shared" si="109"/>
        <v>0</v>
      </c>
      <c r="O495" s="3395">
        <f t="shared" si="108"/>
        <v>0</v>
      </c>
      <c r="P495" s="3396">
        <f t="shared" si="108"/>
        <v>0</v>
      </c>
      <c r="Q495" s="3396">
        <f t="shared" si="108"/>
        <v>0</v>
      </c>
      <c r="R495" s="3395">
        <f t="shared" si="108"/>
        <v>0</v>
      </c>
      <c r="S495" s="3396">
        <f t="shared" si="108"/>
        <v>0</v>
      </c>
      <c r="T495" s="3396">
        <f t="shared" si="108"/>
        <v>0</v>
      </c>
      <c r="U495" s="3395">
        <f t="shared" si="110"/>
        <v>0</v>
      </c>
      <c r="V495" s="3396">
        <f t="shared" si="110"/>
        <v>0</v>
      </c>
      <c r="W495" s="3396">
        <f t="shared" si="110"/>
        <v>0</v>
      </c>
      <c r="X495" s="3386"/>
      <c r="Y495" s="3386"/>
      <c r="Z495" s="3386"/>
      <c r="AA495" s="3391"/>
    </row>
    <row r="496" spans="2:27" ht="18" hidden="1">
      <c r="B496" s="3350"/>
      <c r="C496" s="3407"/>
      <c r="D496" s="3350"/>
      <c r="E496" s="3404">
        <v>1093000268</v>
      </c>
      <c r="F496" s="3406"/>
      <c r="G496" s="3387"/>
      <c r="H496" s="3383">
        <f t="shared" si="104"/>
        <v>0</v>
      </c>
      <c r="I496" s="3386"/>
      <c r="J496" s="3387"/>
      <c r="K496" s="3383">
        <f t="shared" si="105"/>
        <v>0</v>
      </c>
      <c r="L496" s="3395">
        <f t="shared" si="109"/>
        <v>0</v>
      </c>
      <c r="M496" s="3396">
        <f t="shared" si="109"/>
        <v>0</v>
      </c>
      <c r="N496" s="3396">
        <f t="shared" si="109"/>
        <v>0</v>
      </c>
      <c r="O496" s="3395">
        <f t="shared" si="108"/>
        <v>0</v>
      </c>
      <c r="P496" s="3396">
        <f t="shared" si="108"/>
        <v>0</v>
      </c>
      <c r="Q496" s="3396">
        <f t="shared" si="108"/>
        <v>0</v>
      </c>
      <c r="R496" s="3395">
        <f t="shared" si="108"/>
        <v>0</v>
      </c>
      <c r="S496" s="3396">
        <f t="shared" si="108"/>
        <v>0</v>
      </c>
      <c r="T496" s="3396">
        <f t="shared" si="108"/>
        <v>0</v>
      </c>
      <c r="U496" s="3395">
        <f t="shared" si="110"/>
        <v>0</v>
      </c>
      <c r="V496" s="3396">
        <f t="shared" si="110"/>
        <v>0</v>
      </c>
      <c r="W496" s="3396">
        <f t="shared" si="110"/>
        <v>0</v>
      </c>
      <c r="X496" s="3386"/>
      <c r="Y496" s="3386"/>
      <c r="Z496" s="3386"/>
      <c r="AA496" s="3391"/>
    </row>
    <row r="497" spans="2:27" ht="18" hidden="1">
      <c r="B497" s="3350"/>
      <c r="C497" s="3407"/>
      <c r="D497" s="3350"/>
      <c r="E497" s="3404">
        <v>1093000269</v>
      </c>
      <c r="F497" s="3406"/>
      <c r="G497" s="3387"/>
      <c r="H497" s="3383">
        <f t="shared" si="104"/>
        <v>0</v>
      </c>
      <c r="I497" s="3386"/>
      <c r="J497" s="3387"/>
      <c r="K497" s="3383">
        <f t="shared" si="105"/>
        <v>0</v>
      </c>
      <c r="L497" s="3395">
        <f t="shared" si="109"/>
        <v>0</v>
      </c>
      <c r="M497" s="3396">
        <f t="shared" si="109"/>
        <v>0</v>
      </c>
      <c r="N497" s="3396">
        <f t="shared" si="109"/>
        <v>0</v>
      </c>
      <c r="O497" s="3395">
        <f t="shared" si="108"/>
        <v>0</v>
      </c>
      <c r="P497" s="3396">
        <f t="shared" si="108"/>
        <v>0</v>
      </c>
      <c r="Q497" s="3396">
        <f t="shared" si="108"/>
        <v>0</v>
      </c>
      <c r="R497" s="3395">
        <f t="shared" si="108"/>
        <v>0</v>
      </c>
      <c r="S497" s="3396">
        <f t="shared" si="108"/>
        <v>0</v>
      </c>
      <c r="T497" s="3396">
        <f t="shared" si="108"/>
        <v>0</v>
      </c>
      <c r="U497" s="3395">
        <f t="shared" si="110"/>
        <v>0</v>
      </c>
      <c r="V497" s="3396">
        <f t="shared" si="110"/>
        <v>0</v>
      </c>
      <c r="W497" s="3396">
        <f t="shared" si="110"/>
        <v>0</v>
      </c>
      <c r="X497" s="3386"/>
      <c r="Y497" s="3386"/>
      <c r="Z497" s="3386"/>
      <c r="AA497" s="3391"/>
    </row>
    <row r="498" spans="2:27" ht="18" hidden="1">
      <c r="B498" s="3350"/>
      <c r="C498" s="3407"/>
      <c r="D498" s="3350"/>
      <c r="E498" s="3404">
        <v>1093000270</v>
      </c>
      <c r="F498" s="3406"/>
      <c r="G498" s="3387"/>
      <c r="H498" s="3383">
        <f t="shared" si="104"/>
        <v>0</v>
      </c>
      <c r="I498" s="3386"/>
      <c r="J498" s="3387"/>
      <c r="K498" s="3383">
        <f t="shared" si="105"/>
        <v>0</v>
      </c>
      <c r="L498" s="3395">
        <f t="shared" si="109"/>
        <v>0</v>
      </c>
      <c r="M498" s="3396">
        <f t="shared" si="109"/>
        <v>0</v>
      </c>
      <c r="N498" s="3396">
        <f t="shared" si="109"/>
        <v>0</v>
      </c>
      <c r="O498" s="3395">
        <f t="shared" si="108"/>
        <v>0</v>
      </c>
      <c r="P498" s="3396">
        <f t="shared" si="108"/>
        <v>0</v>
      </c>
      <c r="Q498" s="3396">
        <f t="shared" si="108"/>
        <v>0</v>
      </c>
      <c r="R498" s="3395">
        <f t="shared" si="108"/>
        <v>0</v>
      </c>
      <c r="S498" s="3396">
        <f t="shared" si="108"/>
        <v>0</v>
      </c>
      <c r="T498" s="3396">
        <f t="shared" si="108"/>
        <v>0</v>
      </c>
      <c r="U498" s="3395">
        <f t="shared" si="110"/>
        <v>0</v>
      </c>
      <c r="V498" s="3396">
        <f t="shared" si="110"/>
        <v>0</v>
      </c>
      <c r="W498" s="3396">
        <f t="shared" si="110"/>
        <v>0</v>
      </c>
      <c r="X498" s="3386"/>
      <c r="Y498" s="3386"/>
      <c r="Z498" s="3386"/>
      <c r="AA498" s="3391"/>
    </row>
    <row r="499" spans="2:27" ht="18" hidden="1">
      <c r="B499" s="3350"/>
      <c r="C499" s="3407"/>
      <c r="D499" s="3350"/>
      <c r="E499" s="3404">
        <v>1093000271</v>
      </c>
      <c r="F499" s="3406"/>
      <c r="G499" s="3387"/>
      <c r="H499" s="3383">
        <f t="shared" si="104"/>
        <v>0</v>
      </c>
      <c r="I499" s="3386"/>
      <c r="J499" s="3387"/>
      <c r="K499" s="3383">
        <f t="shared" si="105"/>
        <v>0</v>
      </c>
      <c r="L499" s="3395">
        <f t="shared" si="109"/>
        <v>0</v>
      </c>
      <c r="M499" s="3396">
        <f t="shared" si="109"/>
        <v>0</v>
      </c>
      <c r="N499" s="3396">
        <f t="shared" si="109"/>
        <v>0</v>
      </c>
      <c r="O499" s="3395">
        <f t="shared" si="108"/>
        <v>0</v>
      </c>
      <c r="P499" s="3396">
        <f t="shared" si="108"/>
        <v>0</v>
      </c>
      <c r="Q499" s="3396">
        <f t="shared" si="108"/>
        <v>0</v>
      </c>
      <c r="R499" s="3395">
        <f t="shared" si="108"/>
        <v>0</v>
      </c>
      <c r="S499" s="3396">
        <f t="shared" si="108"/>
        <v>0</v>
      </c>
      <c r="T499" s="3396">
        <f t="shared" si="108"/>
        <v>0</v>
      </c>
      <c r="U499" s="3395">
        <f t="shared" si="110"/>
        <v>0</v>
      </c>
      <c r="V499" s="3396">
        <f t="shared" si="110"/>
        <v>0</v>
      </c>
      <c r="W499" s="3396">
        <f t="shared" si="110"/>
        <v>0</v>
      </c>
      <c r="X499" s="3386"/>
      <c r="Y499" s="3386"/>
      <c r="Z499" s="3386"/>
      <c r="AA499" s="3391"/>
    </row>
    <row r="500" spans="2:27" ht="18" hidden="1">
      <c r="B500" s="3350"/>
      <c r="C500" s="3407"/>
      <c r="D500" s="3350"/>
      <c r="E500" s="3404">
        <v>1093000272</v>
      </c>
      <c r="F500" s="3406"/>
      <c r="G500" s="3387"/>
      <c r="H500" s="3383">
        <f t="shared" si="104"/>
        <v>0</v>
      </c>
      <c r="I500" s="3386"/>
      <c r="J500" s="3387"/>
      <c r="K500" s="3383">
        <f t="shared" si="105"/>
        <v>0</v>
      </c>
      <c r="L500" s="3395">
        <f t="shared" si="109"/>
        <v>0</v>
      </c>
      <c r="M500" s="3396">
        <f t="shared" si="109"/>
        <v>0</v>
      </c>
      <c r="N500" s="3396">
        <f t="shared" si="109"/>
        <v>0</v>
      </c>
      <c r="O500" s="3395">
        <f t="shared" si="108"/>
        <v>0</v>
      </c>
      <c r="P500" s="3396">
        <f t="shared" si="108"/>
        <v>0</v>
      </c>
      <c r="Q500" s="3396">
        <f t="shared" si="108"/>
        <v>0</v>
      </c>
      <c r="R500" s="3395">
        <f t="shared" si="108"/>
        <v>0</v>
      </c>
      <c r="S500" s="3396">
        <f t="shared" si="108"/>
        <v>0</v>
      </c>
      <c r="T500" s="3396">
        <f t="shared" si="108"/>
        <v>0</v>
      </c>
      <c r="U500" s="3395">
        <f t="shared" si="110"/>
        <v>0</v>
      </c>
      <c r="V500" s="3396">
        <f t="shared" si="110"/>
        <v>0</v>
      </c>
      <c r="W500" s="3396">
        <f t="shared" si="110"/>
        <v>0</v>
      </c>
      <c r="X500" s="3386"/>
      <c r="Y500" s="3386"/>
      <c r="Z500" s="3386"/>
      <c r="AA500" s="3391"/>
    </row>
    <row r="501" spans="2:27" ht="18" hidden="1">
      <c r="B501" s="3350"/>
      <c r="C501" s="3407"/>
      <c r="D501" s="3350"/>
      <c r="E501" s="3404">
        <v>1093000273</v>
      </c>
      <c r="F501" s="3406"/>
      <c r="G501" s="3387"/>
      <c r="H501" s="3383">
        <f t="shared" si="104"/>
        <v>0</v>
      </c>
      <c r="I501" s="3386"/>
      <c r="J501" s="3387"/>
      <c r="K501" s="3383">
        <f t="shared" si="105"/>
        <v>0</v>
      </c>
      <c r="L501" s="3395">
        <f t="shared" si="109"/>
        <v>0</v>
      </c>
      <c r="M501" s="3396">
        <f t="shared" si="109"/>
        <v>0</v>
      </c>
      <c r="N501" s="3396">
        <f t="shared" si="109"/>
        <v>0</v>
      </c>
      <c r="O501" s="3395">
        <f t="shared" si="108"/>
        <v>0</v>
      </c>
      <c r="P501" s="3396">
        <f t="shared" si="108"/>
        <v>0</v>
      </c>
      <c r="Q501" s="3396">
        <f t="shared" si="108"/>
        <v>0</v>
      </c>
      <c r="R501" s="3395">
        <f t="shared" si="108"/>
        <v>0</v>
      </c>
      <c r="S501" s="3396">
        <f t="shared" si="108"/>
        <v>0</v>
      </c>
      <c r="T501" s="3396">
        <f t="shared" si="108"/>
        <v>0</v>
      </c>
      <c r="U501" s="3395">
        <f t="shared" si="110"/>
        <v>0</v>
      </c>
      <c r="V501" s="3396">
        <f t="shared" si="110"/>
        <v>0</v>
      </c>
      <c r="W501" s="3396">
        <f t="shared" si="110"/>
        <v>0</v>
      </c>
      <c r="X501" s="3386"/>
      <c r="Y501" s="3386"/>
      <c r="Z501" s="3386"/>
      <c r="AA501" s="3391"/>
    </row>
    <row r="502" spans="2:27" ht="18" hidden="1">
      <c r="B502" s="3350"/>
      <c r="C502" s="3407"/>
      <c r="D502" s="3350"/>
      <c r="E502" s="3404">
        <v>1093000274</v>
      </c>
      <c r="F502" s="3406"/>
      <c r="G502" s="3387"/>
      <c r="H502" s="3383">
        <f t="shared" si="104"/>
        <v>0</v>
      </c>
      <c r="I502" s="3386"/>
      <c r="J502" s="3387"/>
      <c r="K502" s="3383">
        <f t="shared" si="105"/>
        <v>0</v>
      </c>
      <c r="L502" s="3395">
        <f t="shared" si="109"/>
        <v>0</v>
      </c>
      <c r="M502" s="3396">
        <f t="shared" si="109"/>
        <v>0</v>
      </c>
      <c r="N502" s="3396">
        <f t="shared" si="109"/>
        <v>0</v>
      </c>
      <c r="O502" s="3395">
        <f t="shared" si="108"/>
        <v>0</v>
      </c>
      <c r="P502" s="3396">
        <f t="shared" si="108"/>
        <v>0</v>
      </c>
      <c r="Q502" s="3396">
        <f t="shared" si="108"/>
        <v>0</v>
      </c>
      <c r="R502" s="3395">
        <f t="shared" si="108"/>
        <v>0</v>
      </c>
      <c r="S502" s="3396">
        <f t="shared" si="108"/>
        <v>0</v>
      </c>
      <c r="T502" s="3396">
        <f t="shared" si="108"/>
        <v>0</v>
      </c>
      <c r="U502" s="3395">
        <f t="shared" si="110"/>
        <v>0</v>
      </c>
      <c r="V502" s="3396">
        <f t="shared" si="110"/>
        <v>0</v>
      </c>
      <c r="W502" s="3396">
        <f t="shared" si="110"/>
        <v>0</v>
      </c>
      <c r="X502" s="3386"/>
      <c r="Y502" s="3386"/>
      <c r="Z502" s="3386"/>
      <c r="AA502" s="3391"/>
    </row>
    <row r="503" spans="2:27" ht="18" hidden="1">
      <c r="B503" s="3350"/>
      <c r="C503" s="3407"/>
      <c r="D503" s="3350"/>
      <c r="E503" s="3404">
        <v>1093000275</v>
      </c>
      <c r="F503" s="3406"/>
      <c r="G503" s="3387"/>
      <c r="H503" s="3383">
        <f t="shared" si="104"/>
        <v>0</v>
      </c>
      <c r="I503" s="3386"/>
      <c r="J503" s="3387"/>
      <c r="K503" s="3383">
        <f t="shared" si="105"/>
        <v>0</v>
      </c>
      <c r="L503" s="3395">
        <f t="shared" si="109"/>
        <v>0</v>
      </c>
      <c r="M503" s="3396">
        <f t="shared" si="109"/>
        <v>0</v>
      </c>
      <c r="N503" s="3396">
        <f t="shared" si="109"/>
        <v>0</v>
      </c>
      <c r="O503" s="3395">
        <f t="shared" si="108"/>
        <v>0</v>
      </c>
      <c r="P503" s="3396">
        <f t="shared" si="108"/>
        <v>0</v>
      </c>
      <c r="Q503" s="3396">
        <f t="shared" si="108"/>
        <v>0</v>
      </c>
      <c r="R503" s="3395">
        <f t="shared" si="108"/>
        <v>0</v>
      </c>
      <c r="S503" s="3396">
        <f t="shared" si="108"/>
        <v>0</v>
      </c>
      <c r="T503" s="3396">
        <f t="shared" si="108"/>
        <v>0</v>
      </c>
      <c r="U503" s="3395">
        <f t="shared" si="110"/>
        <v>0</v>
      </c>
      <c r="V503" s="3396">
        <f t="shared" si="110"/>
        <v>0</v>
      </c>
      <c r="W503" s="3396">
        <f t="shared" si="110"/>
        <v>0</v>
      </c>
      <c r="X503" s="3386"/>
      <c r="Y503" s="3386"/>
      <c r="Z503" s="3386"/>
      <c r="AA503" s="3391"/>
    </row>
    <row r="504" spans="2:27" ht="18" hidden="1">
      <c r="B504" s="3350"/>
      <c r="C504" s="3407"/>
      <c r="D504" s="3350"/>
      <c r="E504" s="3404">
        <v>1093000276</v>
      </c>
      <c r="F504" s="3406"/>
      <c r="G504" s="3387"/>
      <c r="H504" s="3383">
        <f t="shared" si="104"/>
        <v>0</v>
      </c>
      <c r="I504" s="3386"/>
      <c r="J504" s="3387"/>
      <c r="K504" s="3383">
        <f t="shared" si="105"/>
        <v>0</v>
      </c>
      <c r="L504" s="3395">
        <f t="shared" si="109"/>
        <v>0</v>
      </c>
      <c r="M504" s="3396">
        <f t="shared" si="109"/>
        <v>0</v>
      </c>
      <c r="N504" s="3396">
        <f t="shared" si="109"/>
        <v>0</v>
      </c>
      <c r="O504" s="3395">
        <f t="shared" si="108"/>
        <v>0</v>
      </c>
      <c r="P504" s="3396">
        <f t="shared" si="108"/>
        <v>0</v>
      </c>
      <c r="Q504" s="3396">
        <f t="shared" si="108"/>
        <v>0</v>
      </c>
      <c r="R504" s="3395">
        <f t="shared" si="108"/>
        <v>0</v>
      </c>
      <c r="S504" s="3396">
        <f t="shared" si="108"/>
        <v>0</v>
      </c>
      <c r="T504" s="3396">
        <f t="shared" si="108"/>
        <v>0</v>
      </c>
      <c r="U504" s="3395">
        <f t="shared" si="110"/>
        <v>0</v>
      </c>
      <c r="V504" s="3396">
        <f t="shared" si="110"/>
        <v>0</v>
      </c>
      <c r="W504" s="3396">
        <f t="shared" si="110"/>
        <v>0</v>
      </c>
      <c r="X504" s="3386"/>
      <c r="Y504" s="3386"/>
      <c r="Z504" s="3386"/>
      <c r="AA504" s="3391"/>
    </row>
    <row r="505" spans="2:27" ht="18" hidden="1">
      <c r="B505" s="3350"/>
      <c r="C505" s="3407"/>
      <c r="D505" s="3350"/>
      <c r="E505" s="3404">
        <v>1093000277</v>
      </c>
      <c r="F505" s="3406"/>
      <c r="G505" s="3387"/>
      <c r="H505" s="3383">
        <f t="shared" si="104"/>
        <v>0</v>
      </c>
      <c r="I505" s="3386"/>
      <c r="J505" s="3387"/>
      <c r="K505" s="3383">
        <f t="shared" si="105"/>
        <v>0</v>
      </c>
      <c r="L505" s="3395">
        <f t="shared" si="109"/>
        <v>0</v>
      </c>
      <c r="M505" s="3396">
        <f t="shared" si="109"/>
        <v>0</v>
      </c>
      <c r="N505" s="3396">
        <f t="shared" si="109"/>
        <v>0</v>
      </c>
      <c r="O505" s="3395">
        <f t="shared" si="108"/>
        <v>0</v>
      </c>
      <c r="P505" s="3396">
        <f t="shared" si="108"/>
        <v>0</v>
      </c>
      <c r="Q505" s="3396">
        <f t="shared" si="108"/>
        <v>0</v>
      </c>
      <c r="R505" s="3395">
        <f t="shared" si="108"/>
        <v>0</v>
      </c>
      <c r="S505" s="3396">
        <f t="shared" si="108"/>
        <v>0</v>
      </c>
      <c r="T505" s="3396">
        <f t="shared" si="108"/>
        <v>0</v>
      </c>
      <c r="U505" s="3395">
        <f t="shared" si="110"/>
        <v>0</v>
      </c>
      <c r="V505" s="3396">
        <f t="shared" si="110"/>
        <v>0</v>
      </c>
      <c r="W505" s="3396">
        <f t="shared" si="110"/>
        <v>0</v>
      </c>
      <c r="X505" s="3386"/>
      <c r="Y505" s="3386"/>
      <c r="Z505" s="3386"/>
      <c r="AA505" s="3391"/>
    </row>
    <row r="506" spans="2:27" ht="18" hidden="1">
      <c r="B506" s="3350"/>
      <c r="C506" s="3407"/>
      <c r="D506" s="3350"/>
      <c r="E506" s="3404">
        <v>1093000278</v>
      </c>
      <c r="F506" s="3406"/>
      <c r="G506" s="3387"/>
      <c r="H506" s="3383">
        <f t="shared" si="104"/>
        <v>0</v>
      </c>
      <c r="I506" s="3386"/>
      <c r="J506" s="3387"/>
      <c r="K506" s="3383">
        <f t="shared" si="105"/>
        <v>0</v>
      </c>
      <c r="L506" s="3395">
        <f t="shared" si="109"/>
        <v>0</v>
      </c>
      <c r="M506" s="3396">
        <f t="shared" si="109"/>
        <v>0</v>
      </c>
      <c r="N506" s="3396">
        <f t="shared" si="109"/>
        <v>0</v>
      </c>
      <c r="O506" s="3395">
        <f t="shared" si="108"/>
        <v>0</v>
      </c>
      <c r="P506" s="3396">
        <f t="shared" si="108"/>
        <v>0</v>
      </c>
      <c r="Q506" s="3396">
        <f t="shared" si="108"/>
        <v>0</v>
      </c>
      <c r="R506" s="3395">
        <f t="shared" si="108"/>
        <v>0</v>
      </c>
      <c r="S506" s="3396">
        <f t="shared" si="108"/>
        <v>0</v>
      </c>
      <c r="T506" s="3396">
        <f t="shared" si="108"/>
        <v>0</v>
      </c>
      <c r="U506" s="3395">
        <f t="shared" si="110"/>
        <v>0</v>
      </c>
      <c r="V506" s="3396">
        <f t="shared" si="110"/>
        <v>0</v>
      </c>
      <c r="W506" s="3396">
        <f t="shared" si="110"/>
        <v>0</v>
      </c>
      <c r="X506" s="3386"/>
      <c r="Y506" s="3386"/>
      <c r="Z506" s="3386"/>
      <c r="AA506" s="3391"/>
    </row>
    <row r="507" spans="2:27" ht="18" hidden="1">
      <c r="B507" s="3350"/>
      <c r="C507" s="3407"/>
      <c r="D507" s="3350"/>
      <c r="E507" s="3404">
        <v>1093000279</v>
      </c>
      <c r="F507" s="3406"/>
      <c r="G507" s="3387"/>
      <c r="H507" s="3383">
        <f t="shared" si="104"/>
        <v>0</v>
      </c>
      <c r="I507" s="3386"/>
      <c r="J507" s="3387"/>
      <c r="K507" s="3383">
        <f t="shared" si="105"/>
        <v>0</v>
      </c>
      <c r="L507" s="3395">
        <f t="shared" si="109"/>
        <v>0</v>
      </c>
      <c r="M507" s="3396">
        <f t="shared" si="109"/>
        <v>0</v>
      </c>
      <c r="N507" s="3396">
        <f t="shared" si="109"/>
        <v>0</v>
      </c>
      <c r="O507" s="3395">
        <f t="shared" si="108"/>
        <v>0</v>
      </c>
      <c r="P507" s="3396">
        <f t="shared" si="108"/>
        <v>0</v>
      </c>
      <c r="Q507" s="3396">
        <f t="shared" si="108"/>
        <v>0</v>
      </c>
      <c r="R507" s="3395">
        <f t="shared" si="108"/>
        <v>0</v>
      </c>
      <c r="S507" s="3396">
        <f t="shared" si="108"/>
        <v>0</v>
      </c>
      <c r="T507" s="3396">
        <f t="shared" si="108"/>
        <v>0</v>
      </c>
      <c r="U507" s="3395">
        <f t="shared" si="110"/>
        <v>0</v>
      </c>
      <c r="V507" s="3396">
        <f t="shared" si="110"/>
        <v>0</v>
      </c>
      <c r="W507" s="3396">
        <f t="shared" si="110"/>
        <v>0</v>
      </c>
      <c r="X507" s="3386"/>
      <c r="Y507" s="3386"/>
      <c r="Z507" s="3386"/>
      <c r="AA507" s="3391"/>
    </row>
    <row r="508" spans="2:27" ht="18" hidden="1">
      <c r="B508" s="3350"/>
      <c r="C508" s="3407"/>
      <c r="D508" s="3350"/>
      <c r="E508" s="3404">
        <v>1093000280</v>
      </c>
      <c r="F508" s="3406"/>
      <c r="G508" s="3387"/>
      <c r="H508" s="3383">
        <f t="shared" si="104"/>
        <v>0</v>
      </c>
      <c r="I508" s="3386"/>
      <c r="J508" s="3387"/>
      <c r="K508" s="3383">
        <f t="shared" si="105"/>
        <v>0</v>
      </c>
      <c r="L508" s="3395">
        <f t="shared" si="109"/>
        <v>0</v>
      </c>
      <c r="M508" s="3396">
        <f t="shared" si="109"/>
        <v>0</v>
      </c>
      <c r="N508" s="3396">
        <f t="shared" si="109"/>
        <v>0</v>
      </c>
      <c r="O508" s="3395">
        <f t="shared" si="108"/>
        <v>0</v>
      </c>
      <c r="P508" s="3396">
        <f t="shared" si="108"/>
        <v>0</v>
      </c>
      <c r="Q508" s="3396">
        <f t="shared" si="108"/>
        <v>0</v>
      </c>
      <c r="R508" s="3395">
        <f t="shared" ref="R508:W583" si="111">(0)</f>
        <v>0</v>
      </c>
      <c r="S508" s="3396">
        <f t="shared" si="111"/>
        <v>0</v>
      </c>
      <c r="T508" s="3396">
        <f t="shared" si="111"/>
        <v>0</v>
      </c>
      <c r="U508" s="3395">
        <f t="shared" si="110"/>
        <v>0</v>
      </c>
      <c r="V508" s="3396">
        <f t="shared" si="110"/>
        <v>0</v>
      </c>
      <c r="W508" s="3396">
        <f t="shared" si="110"/>
        <v>0</v>
      </c>
      <c r="X508" s="3386"/>
      <c r="Y508" s="3386"/>
      <c r="Z508" s="3386"/>
      <c r="AA508" s="3391"/>
    </row>
    <row r="509" spans="2:27" ht="18" hidden="1">
      <c r="B509" s="3350"/>
      <c r="C509" s="3407"/>
      <c r="D509" s="3350"/>
      <c r="E509" s="3404">
        <v>1093000281</v>
      </c>
      <c r="F509" s="3406"/>
      <c r="G509" s="3387"/>
      <c r="H509" s="3383">
        <f t="shared" si="104"/>
        <v>0</v>
      </c>
      <c r="I509" s="3386"/>
      <c r="J509" s="3387"/>
      <c r="K509" s="3383">
        <f t="shared" si="105"/>
        <v>0</v>
      </c>
      <c r="L509" s="3395">
        <f t="shared" si="109"/>
        <v>0</v>
      </c>
      <c r="M509" s="3396">
        <f t="shared" si="109"/>
        <v>0</v>
      </c>
      <c r="N509" s="3396">
        <f t="shared" si="109"/>
        <v>0</v>
      </c>
      <c r="O509" s="3395">
        <f t="shared" si="109"/>
        <v>0</v>
      </c>
      <c r="P509" s="3396">
        <f t="shared" si="109"/>
        <v>0</v>
      </c>
      <c r="Q509" s="3396">
        <f t="shared" si="109"/>
        <v>0</v>
      </c>
      <c r="R509" s="3395">
        <f t="shared" si="111"/>
        <v>0</v>
      </c>
      <c r="S509" s="3396">
        <f t="shared" si="111"/>
        <v>0</v>
      </c>
      <c r="T509" s="3396">
        <f t="shared" si="111"/>
        <v>0</v>
      </c>
      <c r="U509" s="3395">
        <f t="shared" si="110"/>
        <v>0</v>
      </c>
      <c r="V509" s="3396">
        <f t="shared" si="110"/>
        <v>0</v>
      </c>
      <c r="W509" s="3396">
        <f t="shared" si="110"/>
        <v>0</v>
      </c>
      <c r="X509" s="3386"/>
      <c r="Y509" s="3386"/>
      <c r="Z509" s="3386"/>
      <c r="AA509" s="3391"/>
    </row>
    <row r="510" spans="2:27" ht="18" hidden="1">
      <c r="B510" s="3350"/>
      <c r="C510" s="3407"/>
      <c r="D510" s="3350"/>
      <c r="E510" s="3404">
        <v>1093000282</v>
      </c>
      <c r="F510" s="3406"/>
      <c r="G510" s="3387"/>
      <c r="H510" s="3383">
        <f t="shared" si="104"/>
        <v>0</v>
      </c>
      <c r="I510" s="3386"/>
      <c r="J510" s="3387"/>
      <c r="K510" s="3383">
        <f t="shared" si="105"/>
        <v>0</v>
      </c>
      <c r="L510" s="3395">
        <f t="shared" si="109"/>
        <v>0</v>
      </c>
      <c r="M510" s="3396">
        <f t="shared" si="109"/>
        <v>0</v>
      </c>
      <c r="N510" s="3396">
        <f t="shared" si="109"/>
        <v>0</v>
      </c>
      <c r="O510" s="3395">
        <f t="shared" si="109"/>
        <v>0</v>
      </c>
      <c r="P510" s="3396">
        <f t="shared" si="109"/>
        <v>0</v>
      </c>
      <c r="Q510" s="3396">
        <f t="shared" si="109"/>
        <v>0</v>
      </c>
      <c r="R510" s="3395">
        <f t="shared" si="111"/>
        <v>0</v>
      </c>
      <c r="S510" s="3396">
        <f t="shared" si="111"/>
        <v>0</v>
      </c>
      <c r="T510" s="3396">
        <f t="shared" si="111"/>
        <v>0</v>
      </c>
      <c r="U510" s="3395">
        <f t="shared" si="110"/>
        <v>0</v>
      </c>
      <c r="V510" s="3396">
        <f t="shared" si="110"/>
        <v>0</v>
      </c>
      <c r="W510" s="3396">
        <f t="shared" si="110"/>
        <v>0</v>
      </c>
      <c r="X510" s="3386"/>
      <c r="Y510" s="3386"/>
      <c r="Z510" s="3386"/>
      <c r="AA510" s="3391"/>
    </row>
    <row r="511" spans="2:27" ht="18" hidden="1">
      <c r="B511" s="3350"/>
      <c r="C511" s="3407"/>
      <c r="D511" s="3350"/>
      <c r="E511" s="3404">
        <v>1093000283</v>
      </c>
      <c r="F511" s="3406"/>
      <c r="G511" s="3387"/>
      <c r="H511" s="3383">
        <f t="shared" si="104"/>
        <v>0</v>
      </c>
      <c r="I511" s="3386"/>
      <c r="J511" s="3387"/>
      <c r="K511" s="3383">
        <f t="shared" si="105"/>
        <v>0</v>
      </c>
      <c r="L511" s="3395">
        <f t="shared" si="109"/>
        <v>0</v>
      </c>
      <c r="M511" s="3396">
        <f t="shared" si="109"/>
        <v>0</v>
      </c>
      <c r="N511" s="3396">
        <f t="shared" si="109"/>
        <v>0</v>
      </c>
      <c r="O511" s="3395">
        <f t="shared" si="109"/>
        <v>0</v>
      </c>
      <c r="P511" s="3396">
        <f t="shared" si="109"/>
        <v>0</v>
      </c>
      <c r="Q511" s="3396">
        <f t="shared" si="109"/>
        <v>0</v>
      </c>
      <c r="R511" s="3395">
        <f t="shared" si="111"/>
        <v>0</v>
      </c>
      <c r="S511" s="3396">
        <f t="shared" si="111"/>
        <v>0</v>
      </c>
      <c r="T511" s="3396">
        <f t="shared" si="111"/>
        <v>0</v>
      </c>
      <c r="U511" s="3395">
        <f t="shared" si="110"/>
        <v>0</v>
      </c>
      <c r="V511" s="3396">
        <f t="shared" si="110"/>
        <v>0</v>
      </c>
      <c r="W511" s="3396">
        <f t="shared" si="110"/>
        <v>0</v>
      </c>
      <c r="X511" s="3386"/>
      <c r="Y511" s="3386"/>
      <c r="Z511" s="3386"/>
      <c r="AA511" s="3391"/>
    </row>
    <row r="512" spans="2:27" ht="18" hidden="1">
      <c r="B512" s="3350"/>
      <c r="C512" s="3407"/>
      <c r="D512" s="3350"/>
      <c r="E512" s="3404">
        <v>1093000284</v>
      </c>
      <c r="F512" s="3406"/>
      <c r="G512" s="3387"/>
      <c r="H512" s="3383">
        <f t="shared" si="104"/>
        <v>0</v>
      </c>
      <c r="I512" s="3386"/>
      <c r="J512" s="3387"/>
      <c r="K512" s="3383">
        <f t="shared" si="105"/>
        <v>0</v>
      </c>
      <c r="L512" s="3395">
        <f t="shared" si="109"/>
        <v>0</v>
      </c>
      <c r="M512" s="3396">
        <f t="shared" si="109"/>
        <v>0</v>
      </c>
      <c r="N512" s="3396">
        <f t="shared" si="109"/>
        <v>0</v>
      </c>
      <c r="O512" s="3395">
        <f t="shared" si="109"/>
        <v>0</v>
      </c>
      <c r="P512" s="3396">
        <f t="shared" si="109"/>
        <v>0</v>
      </c>
      <c r="Q512" s="3396">
        <f t="shared" si="109"/>
        <v>0</v>
      </c>
      <c r="R512" s="3395">
        <f t="shared" si="111"/>
        <v>0</v>
      </c>
      <c r="S512" s="3396">
        <f t="shared" si="111"/>
        <v>0</v>
      </c>
      <c r="T512" s="3396">
        <f t="shared" si="111"/>
        <v>0</v>
      </c>
      <c r="U512" s="3395">
        <f t="shared" si="110"/>
        <v>0</v>
      </c>
      <c r="V512" s="3396">
        <f t="shared" si="110"/>
        <v>0</v>
      </c>
      <c r="W512" s="3396">
        <f t="shared" si="110"/>
        <v>0</v>
      </c>
      <c r="X512" s="3386"/>
      <c r="Y512" s="3386"/>
      <c r="Z512" s="3386"/>
      <c r="AA512" s="3391"/>
    </row>
    <row r="513" spans="2:27" ht="18" hidden="1">
      <c r="B513" s="3350"/>
      <c r="C513" s="3407"/>
      <c r="D513" s="3350"/>
      <c r="E513" s="3404">
        <v>1093000285</v>
      </c>
      <c r="F513" s="3406"/>
      <c r="G513" s="3387"/>
      <c r="H513" s="3383">
        <f t="shared" si="104"/>
        <v>0</v>
      </c>
      <c r="I513" s="3386"/>
      <c r="J513" s="3387"/>
      <c r="K513" s="3383">
        <f t="shared" si="105"/>
        <v>0</v>
      </c>
      <c r="L513" s="3395">
        <f t="shared" si="109"/>
        <v>0</v>
      </c>
      <c r="M513" s="3396">
        <f t="shared" si="109"/>
        <v>0</v>
      </c>
      <c r="N513" s="3396">
        <f t="shared" si="109"/>
        <v>0</v>
      </c>
      <c r="O513" s="3395">
        <f t="shared" si="109"/>
        <v>0</v>
      </c>
      <c r="P513" s="3396">
        <f t="shared" si="109"/>
        <v>0</v>
      </c>
      <c r="Q513" s="3396">
        <f t="shared" si="109"/>
        <v>0</v>
      </c>
      <c r="R513" s="3395">
        <f t="shared" si="111"/>
        <v>0</v>
      </c>
      <c r="S513" s="3396">
        <f t="shared" si="111"/>
        <v>0</v>
      </c>
      <c r="T513" s="3396">
        <f t="shared" si="111"/>
        <v>0</v>
      </c>
      <c r="U513" s="3395">
        <f t="shared" si="110"/>
        <v>0</v>
      </c>
      <c r="V513" s="3396">
        <f t="shared" si="110"/>
        <v>0</v>
      </c>
      <c r="W513" s="3396">
        <f t="shared" si="110"/>
        <v>0</v>
      </c>
      <c r="X513" s="3386"/>
      <c r="Y513" s="3386"/>
      <c r="Z513" s="3386"/>
      <c r="AA513" s="3391"/>
    </row>
    <row r="514" spans="2:27" ht="18" hidden="1">
      <c r="B514" s="3350"/>
      <c r="C514" s="3407"/>
      <c r="D514" s="3350"/>
      <c r="E514" s="3404">
        <v>1093000286</v>
      </c>
      <c r="F514" s="3406"/>
      <c r="G514" s="3387"/>
      <c r="H514" s="3383">
        <f t="shared" si="104"/>
        <v>0</v>
      </c>
      <c r="I514" s="3386"/>
      <c r="J514" s="3387"/>
      <c r="K514" s="3383">
        <f t="shared" si="105"/>
        <v>0</v>
      </c>
      <c r="L514" s="3395">
        <f t="shared" si="109"/>
        <v>0</v>
      </c>
      <c r="M514" s="3396">
        <f t="shared" si="109"/>
        <v>0</v>
      </c>
      <c r="N514" s="3396">
        <f t="shared" si="109"/>
        <v>0</v>
      </c>
      <c r="O514" s="3395">
        <f t="shared" si="109"/>
        <v>0</v>
      </c>
      <c r="P514" s="3396">
        <f t="shared" si="109"/>
        <v>0</v>
      </c>
      <c r="Q514" s="3396">
        <f t="shared" si="109"/>
        <v>0</v>
      </c>
      <c r="R514" s="3395">
        <f t="shared" si="111"/>
        <v>0</v>
      </c>
      <c r="S514" s="3396">
        <f t="shared" si="111"/>
        <v>0</v>
      </c>
      <c r="T514" s="3396">
        <f t="shared" si="111"/>
        <v>0</v>
      </c>
      <c r="U514" s="3395">
        <f t="shared" si="110"/>
        <v>0</v>
      </c>
      <c r="V514" s="3396">
        <f t="shared" si="110"/>
        <v>0</v>
      </c>
      <c r="W514" s="3396">
        <f t="shared" si="110"/>
        <v>0</v>
      </c>
      <c r="X514" s="3386"/>
      <c r="Y514" s="3386"/>
      <c r="Z514" s="3386"/>
      <c r="AA514" s="3391"/>
    </row>
    <row r="515" spans="2:27" ht="18" hidden="1">
      <c r="B515" s="3350"/>
      <c r="C515" s="3407"/>
      <c r="D515" s="3350"/>
      <c r="E515" s="3404">
        <v>1093000287</v>
      </c>
      <c r="F515" s="3406"/>
      <c r="G515" s="3387"/>
      <c r="H515" s="3383">
        <f t="shared" si="104"/>
        <v>0</v>
      </c>
      <c r="I515" s="3386"/>
      <c r="J515" s="3387"/>
      <c r="K515" s="3383">
        <f t="shared" si="105"/>
        <v>0</v>
      </c>
      <c r="L515" s="3395">
        <f t="shared" si="109"/>
        <v>0</v>
      </c>
      <c r="M515" s="3396">
        <f t="shared" si="109"/>
        <v>0</v>
      </c>
      <c r="N515" s="3396">
        <f t="shared" si="109"/>
        <v>0</v>
      </c>
      <c r="O515" s="3395">
        <f t="shared" si="109"/>
        <v>0</v>
      </c>
      <c r="P515" s="3396">
        <f t="shared" si="109"/>
        <v>0</v>
      </c>
      <c r="Q515" s="3396">
        <f t="shared" si="109"/>
        <v>0</v>
      </c>
      <c r="R515" s="3395">
        <f t="shared" si="111"/>
        <v>0</v>
      </c>
      <c r="S515" s="3396">
        <f t="shared" si="111"/>
        <v>0</v>
      </c>
      <c r="T515" s="3396">
        <f t="shared" si="111"/>
        <v>0</v>
      </c>
      <c r="U515" s="3395">
        <f t="shared" si="110"/>
        <v>0</v>
      </c>
      <c r="V515" s="3396">
        <f t="shared" si="110"/>
        <v>0</v>
      </c>
      <c r="W515" s="3396">
        <f t="shared" si="110"/>
        <v>0</v>
      </c>
      <c r="X515" s="3386"/>
      <c r="Y515" s="3386"/>
      <c r="Z515" s="3386"/>
      <c r="AA515" s="3391"/>
    </row>
    <row r="516" spans="2:27" ht="18" hidden="1">
      <c r="B516" s="3350"/>
      <c r="C516" s="3407"/>
      <c r="D516" s="3350"/>
      <c r="E516" s="3404">
        <v>1093000288</v>
      </c>
      <c r="F516" s="3406"/>
      <c r="G516" s="3387"/>
      <c r="H516" s="3383">
        <f t="shared" si="104"/>
        <v>0</v>
      </c>
      <c r="I516" s="3386"/>
      <c r="J516" s="3387"/>
      <c r="K516" s="3383">
        <f t="shared" si="105"/>
        <v>0</v>
      </c>
      <c r="L516" s="3395">
        <f t="shared" si="109"/>
        <v>0</v>
      </c>
      <c r="M516" s="3396">
        <f t="shared" si="109"/>
        <v>0</v>
      </c>
      <c r="N516" s="3396">
        <f t="shared" si="109"/>
        <v>0</v>
      </c>
      <c r="O516" s="3395">
        <f t="shared" si="109"/>
        <v>0</v>
      </c>
      <c r="P516" s="3396">
        <f t="shared" si="109"/>
        <v>0</v>
      </c>
      <c r="Q516" s="3396">
        <f t="shared" si="109"/>
        <v>0</v>
      </c>
      <c r="R516" s="3395">
        <f t="shared" si="111"/>
        <v>0</v>
      </c>
      <c r="S516" s="3396">
        <f t="shared" si="111"/>
        <v>0</v>
      </c>
      <c r="T516" s="3396">
        <f t="shared" si="111"/>
        <v>0</v>
      </c>
      <c r="U516" s="3395">
        <f t="shared" si="110"/>
        <v>0</v>
      </c>
      <c r="V516" s="3396">
        <f t="shared" si="110"/>
        <v>0</v>
      </c>
      <c r="W516" s="3396">
        <f t="shared" si="110"/>
        <v>0</v>
      </c>
      <c r="X516" s="3386"/>
      <c r="Y516" s="3386"/>
      <c r="Z516" s="3386"/>
      <c r="AA516" s="3391"/>
    </row>
    <row r="517" spans="2:27" ht="18" hidden="1">
      <c r="B517" s="3350"/>
      <c r="C517" s="3407"/>
      <c r="D517" s="3350"/>
      <c r="E517" s="3404">
        <v>1093000289</v>
      </c>
      <c r="F517" s="3406"/>
      <c r="G517" s="3387"/>
      <c r="H517" s="3383">
        <f t="shared" si="104"/>
        <v>0</v>
      </c>
      <c r="I517" s="3386"/>
      <c r="J517" s="3387"/>
      <c r="K517" s="3383">
        <f t="shared" si="105"/>
        <v>0</v>
      </c>
      <c r="L517" s="3395">
        <f t="shared" si="109"/>
        <v>0</v>
      </c>
      <c r="M517" s="3396">
        <f t="shared" si="109"/>
        <v>0</v>
      </c>
      <c r="N517" s="3396">
        <f t="shared" si="109"/>
        <v>0</v>
      </c>
      <c r="O517" s="3395">
        <f t="shared" si="109"/>
        <v>0</v>
      </c>
      <c r="P517" s="3396">
        <f t="shared" si="109"/>
        <v>0</v>
      </c>
      <c r="Q517" s="3396">
        <f t="shared" si="109"/>
        <v>0</v>
      </c>
      <c r="R517" s="3395">
        <f t="shared" si="111"/>
        <v>0</v>
      </c>
      <c r="S517" s="3396">
        <f t="shared" si="111"/>
        <v>0</v>
      </c>
      <c r="T517" s="3396">
        <f t="shared" si="111"/>
        <v>0</v>
      </c>
      <c r="U517" s="3395">
        <f t="shared" si="110"/>
        <v>0</v>
      </c>
      <c r="V517" s="3396">
        <f t="shared" si="110"/>
        <v>0</v>
      </c>
      <c r="W517" s="3396">
        <f t="shared" si="110"/>
        <v>0</v>
      </c>
      <c r="X517" s="3386"/>
      <c r="Y517" s="3386"/>
      <c r="Z517" s="3386"/>
      <c r="AA517" s="3391"/>
    </row>
    <row r="518" spans="2:27" ht="18" hidden="1">
      <c r="B518" s="3350"/>
      <c r="C518" s="3407"/>
      <c r="D518" s="3350"/>
      <c r="E518" s="3404">
        <v>1093000290</v>
      </c>
      <c r="F518" s="3406"/>
      <c r="G518" s="3387"/>
      <c r="H518" s="3383">
        <f t="shared" si="104"/>
        <v>0</v>
      </c>
      <c r="I518" s="3386"/>
      <c r="J518" s="3387"/>
      <c r="K518" s="3383">
        <f t="shared" si="105"/>
        <v>0</v>
      </c>
      <c r="L518" s="3395">
        <f t="shared" ref="L518:Q560" si="112">(0)</f>
        <v>0</v>
      </c>
      <c r="M518" s="3396">
        <f t="shared" si="112"/>
        <v>0</v>
      </c>
      <c r="N518" s="3396">
        <f t="shared" si="112"/>
        <v>0</v>
      </c>
      <c r="O518" s="3395">
        <f t="shared" si="112"/>
        <v>0</v>
      </c>
      <c r="P518" s="3396">
        <f t="shared" si="112"/>
        <v>0</v>
      </c>
      <c r="Q518" s="3396">
        <f t="shared" si="112"/>
        <v>0</v>
      </c>
      <c r="R518" s="3395">
        <f t="shared" si="111"/>
        <v>0</v>
      </c>
      <c r="S518" s="3396">
        <f t="shared" si="111"/>
        <v>0</v>
      </c>
      <c r="T518" s="3396">
        <f t="shared" si="111"/>
        <v>0</v>
      </c>
      <c r="U518" s="3395">
        <f t="shared" si="110"/>
        <v>0</v>
      </c>
      <c r="V518" s="3396">
        <f t="shared" si="110"/>
        <v>0</v>
      </c>
      <c r="W518" s="3396">
        <f t="shared" si="110"/>
        <v>0</v>
      </c>
      <c r="X518" s="3386"/>
      <c r="Y518" s="3386"/>
      <c r="Z518" s="3386"/>
      <c r="AA518" s="3391"/>
    </row>
    <row r="519" spans="2:27" ht="18" hidden="1">
      <c r="B519" s="3350"/>
      <c r="C519" s="3407"/>
      <c r="D519" s="3350"/>
      <c r="E519" s="3404">
        <v>1093000291</v>
      </c>
      <c r="F519" s="3406"/>
      <c r="G519" s="3387"/>
      <c r="H519" s="3383">
        <f t="shared" si="104"/>
        <v>0</v>
      </c>
      <c r="I519" s="3386"/>
      <c r="J519" s="3387"/>
      <c r="K519" s="3383">
        <f t="shared" si="105"/>
        <v>0</v>
      </c>
      <c r="L519" s="3395">
        <f t="shared" si="112"/>
        <v>0</v>
      </c>
      <c r="M519" s="3396">
        <f t="shared" si="112"/>
        <v>0</v>
      </c>
      <c r="N519" s="3396">
        <f t="shared" si="112"/>
        <v>0</v>
      </c>
      <c r="O519" s="3395">
        <f t="shared" si="112"/>
        <v>0</v>
      </c>
      <c r="P519" s="3396">
        <f t="shared" si="112"/>
        <v>0</v>
      </c>
      <c r="Q519" s="3396">
        <f t="shared" si="112"/>
        <v>0</v>
      </c>
      <c r="R519" s="3395">
        <f t="shared" si="111"/>
        <v>0</v>
      </c>
      <c r="S519" s="3396">
        <f t="shared" si="111"/>
        <v>0</v>
      </c>
      <c r="T519" s="3396">
        <f t="shared" si="111"/>
        <v>0</v>
      </c>
      <c r="U519" s="3395">
        <f t="shared" si="110"/>
        <v>0</v>
      </c>
      <c r="V519" s="3396">
        <f t="shared" si="110"/>
        <v>0</v>
      </c>
      <c r="W519" s="3396">
        <f t="shared" si="110"/>
        <v>0</v>
      </c>
      <c r="X519" s="3386"/>
      <c r="Y519" s="3386"/>
      <c r="Z519" s="3386"/>
      <c r="AA519" s="3391"/>
    </row>
    <row r="520" spans="2:27" ht="18" hidden="1">
      <c r="B520" s="3350"/>
      <c r="C520" s="3407"/>
      <c r="D520" s="3350"/>
      <c r="E520" s="3404">
        <v>1093000292</v>
      </c>
      <c r="F520" s="3406"/>
      <c r="G520" s="3387"/>
      <c r="H520" s="3383">
        <f t="shared" si="104"/>
        <v>0</v>
      </c>
      <c r="I520" s="3386"/>
      <c r="J520" s="3387"/>
      <c r="K520" s="3383">
        <f t="shared" si="105"/>
        <v>0</v>
      </c>
      <c r="L520" s="3395">
        <f t="shared" si="112"/>
        <v>0</v>
      </c>
      <c r="M520" s="3396">
        <f t="shared" si="112"/>
        <v>0</v>
      </c>
      <c r="N520" s="3396">
        <f t="shared" si="112"/>
        <v>0</v>
      </c>
      <c r="O520" s="3395">
        <f t="shared" si="112"/>
        <v>0</v>
      </c>
      <c r="P520" s="3396">
        <f t="shared" si="112"/>
        <v>0</v>
      </c>
      <c r="Q520" s="3396">
        <f t="shared" si="112"/>
        <v>0</v>
      </c>
      <c r="R520" s="3395">
        <f t="shared" si="111"/>
        <v>0</v>
      </c>
      <c r="S520" s="3396">
        <f t="shared" si="111"/>
        <v>0</v>
      </c>
      <c r="T520" s="3396">
        <f t="shared" si="111"/>
        <v>0</v>
      </c>
      <c r="U520" s="3395">
        <f t="shared" si="110"/>
        <v>0</v>
      </c>
      <c r="V520" s="3396">
        <f t="shared" si="110"/>
        <v>0</v>
      </c>
      <c r="W520" s="3396">
        <f t="shared" si="110"/>
        <v>0</v>
      </c>
      <c r="X520" s="3386"/>
      <c r="Y520" s="3386"/>
      <c r="Z520" s="3386"/>
      <c r="AA520" s="3391"/>
    </row>
    <row r="521" spans="2:27" ht="18" hidden="1">
      <c r="B521" s="3350"/>
      <c r="C521" s="3407"/>
      <c r="D521" s="3350"/>
      <c r="E521" s="3404">
        <v>1093000293</v>
      </c>
      <c r="F521" s="3406"/>
      <c r="G521" s="3387"/>
      <c r="H521" s="3383">
        <f t="shared" si="104"/>
        <v>0</v>
      </c>
      <c r="I521" s="3386"/>
      <c r="J521" s="3387"/>
      <c r="K521" s="3383">
        <f t="shared" si="105"/>
        <v>0</v>
      </c>
      <c r="L521" s="3395">
        <f t="shared" si="112"/>
        <v>0</v>
      </c>
      <c r="M521" s="3396">
        <f t="shared" si="112"/>
        <v>0</v>
      </c>
      <c r="N521" s="3396">
        <f t="shared" si="112"/>
        <v>0</v>
      </c>
      <c r="O521" s="3395">
        <f t="shared" si="112"/>
        <v>0</v>
      </c>
      <c r="P521" s="3396">
        <f t="shared" si="112"/>
        <v>0</v>
      </c>
      <c r="Q521" s="3396">
        <f t="shared" si="112"/>
        <v>0</v>
      </c>
      <c r="R521" s="3395">
        <f t="shared" si="111"/>
        <v>0</v>
      </c>
      <c r="S521" s="3396">
        <f t="shared" si="111"/>
        <v>0</v>
      </c>
      <c r="T521" s="3396">
        <f t="shared" si="111"/>
        <v>0</v>
      </c>
      <c r="U521" s="3395">
        <f t="shared" si="110"/>
        <v>0</v>
      </c>
      <c r="V521" s="3396">
        <f t="shared" si="110"/>
        <v>0</v>
      </c>
      <c r="W521" s="3396">
        <f t="shared" si="110"/>
        <v>0</v>
      </c>
      <c r="X521" s="3386"/>
      <c r="Y521" s="3386"/>
      <c r="Z521" s="3386"/>
      <c r="AA521" s="3391"/>
    </row>
    <row r="522" spans="2:27" ht="18" hidden="1">
      <c r="B522" s="3350"/>
      <c r="C522" s="3407"/>
      <c r="D522" s="3350"/>
      <c r="E522" s="3404">
        <v>1093000294</v>
      </c>
      <c r="F522" s="3406"/>
      <c r="G522" s="3387"/>
      <c r="H522" s="3383">
        <f t="shared" si="104"/>
        <v>0</v>
      </c>
      <c r="I522" s="3386"/>
      <c r="J522" s="3387"/>
      <c r="K522" s="3383">
        <f t="shared" si="105"/>
        <v>0</v>
      </c>
      <c r="L522" s="3395">
        <f t="shared" si="112"/>
        <v>0</v>
      </c>
      <c r="M522" s="3396">
        <f t="shared" si="112"/>
        <v>0</v>
      </c>
      <c r="N522" s="3396">
        <f t="shared" si="112"/>
        <v>0</v>
      </c>
      <c r="O522" s="3395">
        <f t="shared" si="112"/>
        <v>0</v>
      </c>
      <c r="P522" s="3396">
        <f t="shared" si="112"/>
        <v>0</v>
      </c>
      <c r="Q522" s="3396">
        <f t="shared" si="112"/>
        <v>0</v>
      </c>
      <c r="R522" s="3395">
        <f t="shared" si="111"/>
        <v>0</v>
      </c>
      <c r="S522" s="3396">
        <f t="shared" si="111"/>
        <v>0</v>
      </c>
      <c r="T522" s="3396">
        <f t="shared" si="111"/>
        <v>0</v>
      </c>
      <c r="U522" s="3395">
        <f t="shared" si="110"/>
        <v>0</v>
      </c>
      <c r="V522" s="3396">
        <f t="shared" si="110"/>
        <v>0</v>
      </c>
      <c r="W522" s="3396">
        <f t="shared" si="110"/>
        <v>0</v>
      </c>
      <c r="X522" s="3386"/>
      <c r="Y522" s="3386"/>
      <c r="Z522" s="3386"/>
      <c r="AA522" s="3391"/>
    </row>
    <row r="523" spans="2:27" ht="18" hidden="1">
      <c r="B523" s="3350"/>
      <c r="C523" s="3407"/>
      <c r="D523" s="3350"/>
      <c r="E523" s="3404">
        <v>1093000295</v>
      </c>
      <c r="F523" s="3406"/>
      <c r="G523" s="3387"/>
      <c r="H523" s="3383">
        <f t="shared" si="104"/>
        <v>0</v>
      </c>
      <c r="I523" s="3386"/>
      <c r="J523" s="3387"/>
      <c r="K523" s="3383">
        <f t="shared" si="105"/>
        <v>0</v>
      </c>
      <c r="L523" s="3395">
        <f t="shared" si="112"/>
        <v>0</v>
      </c>
      <c r="M523" s="3396">
        <f t="shared" si="112"/>
        <v>0</v>
      </c>
      <c r="N523" s="3396">
        <f t="shared" si="112"/>
        <v>0</v>
      </c>
      <c r="O523" s="3395">
        <f t="shared" si="112"/>
        <v>0</v>
      </c>
      <c r="P523" s="3396">
        <f t="shared" si="112"/>
        <v>0</v>
      </c>
      <c r="Q523" s="3396">
        <f t="shared" si="112"/>
        <v>0</v>
      </c>
      <c r="R523" s="3395">
        <f t="shared" si="111"/>
        <v>0</v>
      </c>
      <c r="S523" s="3396">
        <f t="shared" si="111"/>
        <v>0</v>
      </c>
      <c r="T523" s="3396">
        <f t="shared" si="111"/>
        <v>0</v>
      </c>
      <c r="U523" s="3395">
        <f t="shared" si="110"/>
        <v>0</v>
      </c>
      <c r="V523" s="3396">
        <f t="shared" si="110"/>
        <v>0</v>
      </c>
      <c r="W523" s="3396">
        <f t="shared" si="110"/>
        <v>0</v>
      </c>
      <c r="X523" s="3386"/>
      <c r="Y523" s="3386"/>
      <c r="Z523" s="3386"/>
      <c r="AA523" s="3391"/>
    </row>
    <row r="524" spans="2:27" ht="18" hidden="1">
      <c r="B524" s="3350"/>
      <c r="C524" s="3407"/>
      <c r="D524" s="3350"/>
      <c r="E524" s="3404">
        <v>1093000296</v>
      </c>
      <c r="F524" s="3406"/>
      <c r="G524" s="3387"/>
      <c r="H524" s="3383">
        <f t="shared" si="104"/>
        <v>0</v>
      </c>
      <c r="I524" s="3386"/>
      <c r="J524" s="3387"/>
      <c r="K524" s="3383">
        <f t="shared" si="105"/>
        <v>0</v>
      </c>
      <c r="L524" s="3395">
        <f t="shared" si="112"/>
        <v>0</v>
      </c>
      <c r="M524" s="3396">
        <f t="shared" si="112"/>
        <v>0</v>
      </c>
      <c r="N524" s="3396">
        <f t="shared" si="112"/>
        <v>0</v>
      </c>
      <c r="O524" s="3395">
        <f t="shared" si="112"/>
        <v>0</v>
      </c>
      <c r="P524" s="3396">
        <f t="shared" si="112"/>
        <v>0</v>
      </c>
      <c r="Q524" s="3396">
        <f t="shared" si="112"/>
        <v>0</v>
      </c>
      <c r="R524" s="3395">
        <f t="shared" si="111"/>
        <v>0</v>
      </c>
      <c r="S524" s="3396">
        <f t="shared" si="111"/>
        <v>0</v>
      </c>
      <c r="T524" s="3396">
        <f t="shared" si="111"/>
        <v>0</v>
      </c>
      <c r="U524" s="3395">
        <f t="shared" si="110"/>
        <v>0</v>
      </c>
      <c r="V524" s="3396">
        <f t="shared" si="110"/>
        <v>0</v>
      </c>
      <c r="W524" s="3396">
        <f t="shared" si="110"/>
        <v>0</v>
      </c>
      <c r="X524" s="3386"/>
      <c r="Y524" s="3386"/>
      <c r="Z524" s="3386"/>
      <c r="AA524" s="3391"/>
    </row>
    <row r="525" spans="2:27" ht="18" hidden="1">
      <c r="B525" s="3350"/>
      <c r="C525" s="3407"/>
      <c r="D525" s="3350"/>
      <c r="E525" s="3404">
        <v>1093000297</v>
      </c>
      <c r="F525" s="3406"/>
      <c r="G525" s="3387"/>
      <c r="H525" s="3383">
        <f t="shared" si="104"/>
        <v>0</v>
      </c>
      <c r="I525" s="3386"/>
      <c r="J525" s="3387"/>
      <c r="K525" s="3383">
        <f t="shared" si="105"/>
        <v>0</v>
      </c>
      <c r="L525" s="3395">
        <f t="shared" si="112"/>
        <v>0</v>
      </c>
      <c r="M525" s="3396">
        <f t="shared" si="112"/>
        <v>0</v>
      </c>
      <c r="N525" s="3396">
        <f t="shared" si="112"/>
        <v>0</v>
      </c>
      <c r="O525" s="3395">
        <f t="shared" si="112"/>
        <v>0</v>
      </c>
      <c r="P525" s="3396">
        <f t="shared" si="112"/>
        <v>0</v>
      </c>
      <c r="Q525" s="3396">
        <f t="shared" si="112"/>
        <v>0</v>
      </c>
      <c r="R525" s="3395">
        <f t="shared" si="111"/>
        <v>0</v>
      </c>
      <c r="S525" s="3396">
        <f t="shared" si="111"/>
        <v>0</v>
      </c>
      <c r="T525" s="3396">
        <f t="shared" si="111"/>
        <v>0</v>
      </c>
      <c r="U525" s="3395">
        <f t="shared" si="110"/>
        <v>0</v>
      </c>
      <c r="V525" s="3396">
        <f t="shared" si="110"/>
        <v>0</v>
      </c>
      <c r="W525" s="3396">
        <f t="shared" si="110"/>
        <v>0</v>
      </c>
      <c r="X525" s="3386"/>
      <c r="Y525" s="3386"/>
      <c r="Z525" s="3386"/>
      <c r="AA525" s="3391"/>
    </row>
    <row r="526" spans="2:27" ht="18" hidden="1">
      <c r="B526" s="3350"/>
      <c r="C526" s="3407"/>
      <c r="D526" s="3350"/>
      <c r="E526" s="3404">
        <v>1093000298</v>
      </c>
      <c r="F526" s="3406"/>
      <c r="G526" s="3387"/>
      <c r="H526" s="3383">
        <f t="shared" si="104"/>
        <v>0</v>
      </c>
      <c r="I526" s="3386"/>
      <c r="J526" s="3387"/>
      <c r="K526" s="3383">
        <f t="shared" si="105"/>
        <v>0</v>
      </c>
      <c r="L526" s="3395">
        <f t="shared" si="112"/>
        <v>0</v>
      </c>
      <c r="M526" s="3396">
        <f t="shared" si="112"/>
        <v>0</v>
      </c>
      <c r="N526" s="3396">
        <f t="shared" si="112"/>
        <v>0</v>
      </c>
      <c r="O526" s="3395">
        <f t="shared" si="112"/>
        <v>0</v>
      </c>
      <c r="P526" s="3396">
        <f t="shared" si="112"/>
        <v>0</v>
      </c>
      <c r="Q526" s="3396">
        <f t="shared" si="112"/>
        <v>0</v>
      </c>
      <c r="R526" s="3395">
        <f t="shared" si="111"/>
        <v>0</v>
      </c>
      <c r="S526" s="3396">
        <f t="shared" si="111"/>
        <v>0</v>
      </c>
      <c r="T526" s="3396">
        <f t="shared" si="111"/>
        <v>0</v>
      </c>
      <c r="U526" s="3395">
        <f t="shared" si="110"/>
        <v>0</v>
      </c>
      <c r="V526" s="3396">
        <f t="shared" si="110"/>
        <v>0</v>
      </c>
      <c r="W526" s="3396">
        <f t="shared" si="110"/>
        <v>0</v>
      </c>
      <c r="X526" s="3386"/>
      <c r="Y526" s="3386"/>
      <c r="Z526" s="3386"/>
      <c r="AA526" s="3391"/>
    </row>
    <row r="527" spans="2:27" ht="18" hidden="1">
      <c r="B527" s="3350"/>
      <c r="C527" s="3407"/>
      <c r="D527" s="3350"/>
      <c r="E527" s="3404">
        <v>1093000299</v>
      </c>
      <c r="F527" s="3406"/>
      <c r="G527" s="3387"/>
      <c r="H527" s="3383">
        <f t="shared" si="104"/>
        <v>0</v>
      </c>
      <c r="I527" s="3386"/>
      <c r="J527" s="3387"/>
      <c r="K527" s="3383">
        <f t="shared" si="105"/>
        <v>0</v>
      </c>
      <c r="L527" s="3395">
        <f t="shared" si="112"/>
        <v>0</v>
      </c>
      <c r="M527" s="3396">
        <f t="shared" si="112"/>
        <v>0</v>
      </c>
      <c r="N527" s="3396">
        <f t="shared" si="112"/>
        <v>0</v>
      </c>
      <c r="O527" s="3395">
        <f t="shared" si="112"/>
        <v>0</v>
      </c>
      <c r="P527" s="3396">
        <f t="shared" si="112"/>
        <v>0</v>
      </c>
      <c r="Q527" s="3396">
        <f t="shared" si="112"/>
        <v>0</v>
      </c>
      <c r="R527" s="3395">
        <f t="shared" si="111"/>
        <v>0</v>
      </c>
      <c r="S527" s="3396">
        <f t="shared" si="111"/>
        <v>0</v>
      </c>
      <c r="T527" s="3396">
        <f t="shared" si="111"/>
        <v>0</v>
      </c>
      <c r="U527" s="3395">
        <f t="shared" si="110"/>
        <v>0</v>
      </c>
      <c r="V527" s="3396">
        <f t="shared" si="110"/>
        <v>0</v>
      </c>
      <c r="W527" s="3396">
        <f t="shared" si="110"/>
        <v>0</v>
      </c>
      <c r="X527" s="3386"/>
      <c r="Y527" s="3386"/>
      <c r="Z527" s="3386"/>
      <c r="AA527" s="3391"/>
    </row>
    <row r="528" spans="2:27" ht="18" hidden="1">
      <c r="B528" s="3350"/>
      <c r="C528" s="3407"/>
      <c r="D528" s="3350"/>
      <c r="E528" s="3404">
        <v>1093000300</v>
      </c>
      <c r="F528" s="3406"/>
      <c r="G528" s="3387"/>
      <c r="H528" s="3383">
        <f t="shared" si="104"/>
        <v>0</v>
      </c>
      <c r="I528" s="3386"/>
      <c r="J528" s="3387"/>
      <c r="K528" s="3383">
        <f t="shared" si="105"/>
        <v>0</v>
      </c>
      <c r="L528" s="3395">
        <f t="shared" si="112"/>
        <v>0</v>
      </c>
      <c r="M528" s="3396">
        <f t="shared" si="112"/>
        <v>0</v>
      </c>
      <c r="N528" s="3396">
        <f t="shared" si="112"/>
        <v>0</v>
      </c>
      <c r="O528" s="3395">
        <f t="shared" si="112"/>
        <v>0</v>
      </c>
      <c r="P528" s="3396">
        <f t="shared" si="112"/>
        <v>0</v>
      </c>
      <c r="Q528" s="3396">
        <f t="shared" si="112"/>
        <v>0</v>
      </c>
      <c r="R528" s="3395">
        <f t="shared" si="111"/>
        <v>0</v>
      </c>
      <c r="S528" s="3396">
        <f t="shared" si="111"/>
        <v>0</v>
      </c>
      <c r="T528" s="3396">
        <f t="shared" si="111"/>
        <v>0</v>
      </c>
      <c r="U528" s="3395">
        <f t="shared" si="110"/>
        <v>0</v>
      </c>
      <c r="V528" s="3396">
        <f t="shared" si="110"/>
        <v>0</v>
      </c>
      <c r="W528" s="3396">
        <f t="shared" si="110"/>
        <v>0</v>
      </c>
      <c r="X528" s="3386"/>
      <c r="Y528" s="3386"/>
      <c r="Z528" s="3386"/>
      <c r="AA528" s="3391"/>
    </row>
    <row r="529" spans="2:27" ht="18" hidden="1">
      <c r="B529" s="3350"/>
      <c r="C529" s="3407"/>
      <c r="D529" s="3350"/>
      <c r="E529" s="3404">
        <v>1093000301</v>
      </c>
      <c r="F529" s="3406"/>
      <c r="G529" s="3387"/>
      <c r="H529" s="3383">
        <f t="shared" si="104"/>
        <v>0</v>
      </c>
      <c r="I529" s="3386"/>
      <c r="J529" s="3387"/>
      <c r="K529" s="3383">
        <f t="shared" si="105"/>
        <v>0</v>
      </c>
      <c r="L529" s="3395">
        <f t="shared" si="112"/>
        <v>0</v>
      </c>
      <c r="M529" s="3396">
        <f t="shared" si="112"/>
        <v>0</v>
      </c>
      <c r="N529" s="3396">
        <f t="shared" si="112"/>
        <v>0</v>
      </c>
      <c r="O529" s="3395">
        <f t="shared" si="112"/>
        <v>0</v>
      </c>
      <c r="P529" s="3396">
        <f t="shared" si="112"/>
        <v>0</v>
      </c>
      <c r="Q529" s="3396">
        <f t="shared" si="112"/>
        <v>0</v>
      </c>
      <c r="R529" s="3395">
        <f t="shared" si="111"/>
        <v>0</v>
      </c>
      <c r="S529" s="3396">
        <f t="shared" si="111"/>
        <v>0</v>
      </c>
      <c r="T529" s="3396">
        <f t="shared" si="111"/>
        <v>0</v>
      </c>
      <c r="U529" s="3395">
        <f t="shared" si="110"/>
        <v>0</v>
      </c>
      <c r="V529" s="3396">
        <f t="shared" si="110"/>
        <v>0</v>
      </c>
      <c r="W529" s="3396">
        <f t="shared" si="110"/>
        <v>0</v>
      </c>
      <c r="X529" s="3386"/>
      <c r="Y529" s="3386"/>
      <c r="Z529" s="3386"/>
      <c r="AA529" s="3391"/>
    </row>
    <row r="530" spans="2:27" ht="18" hidden="1">
      <c r="B530" s="3350"/>
      <c r="C530" s="3407"/>
      <c r="D530" s="3350"/>
      <c r="E530" s="3404">
        <v>1093000302</v>
      </c>
      <c r="F530" s="3406"/>
      <c r="G530" s="3387"/>
      <c r="H530" s="3383">
        <f t="shared" si="104"/>
        <v>0</v>
      </c>
      <c r="I530" s="3386"/>
      <c r="J530" s="3387"/>
      <c r="K530" s="3383">
        <f t="shared" si="105"/>
        <v>0</v>
      </c>
      <c r="L530" s="3395">
        <f t="shared" si="112"/>
        <v>0</v>
      </c>
      <c r="M530" s="3396">
        <f t="shared" si="112"/>
        <v>0</v>
      </c>
      <c r="N530" s="3396">
        <f t="shared" si="112"/>
        <v>0</v>
      </c>
      <c r="O530" s="3395">
        <f t="shared" si="112"/>
        <v>0</v>
      </c>
      <c r="P530" s="3396">
        <f t="shared" si="112"/>
        <v>0</v>
      </c>
      <c r="Q530" s="3396">
        <f t="shared" si="112"/>
        <v>0</v>
      </c>
      <c r="R530" s="3395">
        <f t="shared" si="111"/>
        <v>0</v>
      </c>
      <c r="S530" s="3396">
        <f t="shared" si="111"/>
        <v>0</v>
      </c>
      <c r="T530" s="3396">
        <f t="shared" si="111"/>
        <v>0</v>
      </c>
      <c r="U530" s="3395">
        <f t="shared" si="110"/>
        <v>0</v>
      </c>
      <c r="V530" s="3396">
        <f t="shared" si="110"/>
        <v>0</v>
      </c>
      <c r="W530" s="3396">
        <f t="shared" si="110"/>
        <v>0</v>
      </c>
      <c r="X530" s="3386"/>
      <c r="Y530" s="3386"/>
      <c r="Z530" s="3386"/>
      <c r="AA530" s="3391"/>
    </row>
    <row r="531" spans="2:27" ht="18" hidden="1">
      <c r="B531" s="3350"/>
      <c r="C531" s="3407"/>
      <c r="D531" s="3350"/>
      <c r="E531" s="3404">
        <v>1093000303</v>
      </c>
      <c r="F531" s="3406"/>
      <c r="G531" s="3387"/>
      <c r="H531" s="3383">
        <f t="shared" si="104"/>
        <v>0</v>
      </c>
      <c r="I531" s="3386"/>
      <c r="J531" s="3387"/>
      <c r="K531" s="3383">
        <f t="shared" si="105"/>
        <v>0</v>
      </c>
      <c r="L531" s="3395">
        <f t="shared" si="112"/>
        <v>0</v>
      </c>
      <c r="M531" s="3396">
        <f t="shared" si="112"/>
        <v>0</v>
      </c>
      <c r="N531" s="3396">
        <f t="shared" si="112"/>
        <v>0</v>
      </c>
      <c r="O531" s="3395">
        <f t="shared" si="112"/>
        <v>0</v>
      </c>
      <c r="P531" s="3396">
        <f t="shared" si="112"/>
        <v>0</v>
      </c>
      <c r="Q531" s="3396">
        <f t="shared" si="112"/>
        <v>0</v>
      </c>
      <c r="R531" s="3395">
        <f t="shared" si="111"/>
        <v>0</v>
      </c>
      <c r="S531" s="3396">
        <f t="shared" si="111"/>
        <v>0</v>
      </c>
      <c r="T531" s="3396">
        <f t="shared" si="111"/>
        <v>0</v>
      </c>
      <c r="U531" s="3395">
        <f t="shared" si="110"/>
        <v>0</v>
      </c>
      <c r="V531" s="3396">
        <f t="shared" si="110"/>
        <v>0</v>
      </c>
      <c r="W531" s="3396">
        <f t="shared" si="110"/>
        <v>0</v>
      </c>
      <c r="X531" s="3386"/>
      <c r="Y531" s="3386"/>
      <c r="Z531" s="3386"/>
      <c r="AA531" s="3391"/>
    </row>
    <row r="532" spans="2:27" ht="18" hidden="1">
      <c r="B532" s="3350"/>
      <c r="C532" s="3407"/>
      <c r="D532" s="3350"/>
      <c r="E532" s="3404">
        <v>1093000304</v>
      </c>
      <c r="F532" s="3406"/>
      <c r="G532" s="3387"/>
      <c r="H532" s="3383">
        <f t="shared" si="104"/>
        <v>0</v>
      </c>
      <c r="I532" s="3386"/>
      <c r="J532" s="3387"/>
      <c r="K532" s="3383">
        <f t="shared" si="105"/>
        <v>0</v>
      </c>
      <c r="L532" s="3395">
        <f t="shared" si="112"/>
        <v>0</v>
      </c>
      <c r="M532" s="3396">
        <f t="shared" si="112"/>
        <v>0</v>
      </c>
      <c r="N532" s="3396">
        <f t="shared" si="112"/>
        <v>0</v>
      </c>
      <c r="O532" s="3395">
        <f t="shared" si="112"/>
        <v>0</v>
      </c>
      <c r="P532" s="3396">
        <f t="shared" si="112"/>
        <v>0</v>
      </c>
      <c r="Q532" s="3396">
        <f t="shared" si="112"/>
        <v>0</v>
      </c>
      <c r="R532" s="3395">
        <f t="shared" si="111"/>
        <v>0</v>
      </c>
      <c r="S532" s="3396">
        <f t="shared" si="111"/>
        <v>0</v>
      </c>
      <c r="T532" s="3396">
        <f t="shared" si="111"/>
        <v>0</v>
      </c>
      <c r="U532" s="3395">
        <f t="shared" si="110"/>
        <v>0</v>
      </c>
      <c r="V532" s="3396">
        <f t="shared" si="110"/>
        <v>0</v>
      </c>
      <c r="W532" s="3396">
        <f t="shared" si="110"/>
        <v>0</v>
      </c>
      <c r="X532" s="3386"/>
      <c r="Y532" s="3386"/>
      <c r="Z532" s="3386"/>
      <c r="AA532" s="3391"/>
    </row>
    <row r="533" spans="2:27" ht="18" hidden="1">
      <c r="B533" s="3350"/>
      <c r="C533" s="3407"/>
      <c r="D533" s="3350"/>
      <c r="E533" s="3404">
        <v>1093000305</v>
      </c>
      <c r="F533" s="3406"/>
      <c r="G533" s="3387"/>
      <c r="H533" s="3383">
        <f t="shared" si="104"/>
        <v>0</v>
      </c>
      <c r="I533" s="3386"/>
      <c r="J533" s="3387"/>
      <c r="K533" s="3383">
        <f t="shared" si="105"/>
        <v>0</v>
      </c>
      <c r="L533" s="3395">
        <f t="shared" si="112"/>
        <v>0</v>
      </c>
      <c r="M533" s="3396">
        <f t="shared" si="112"/>
        <v>0</v>
      </c>
      <c r="N533" s="3396">
        <f t="shared" si="112"/>
        <v>0</v>
      </c>
      <c r="O533" s="3395">
        <f t="shared" si="112"/>
        <v>0</v>
      </c>
      <c r="P533" s="3396">
        <f t="shared" si="112"/>
        <v>0</v>
      </c>
      <c r="Q533" s="3396">
        <f t="shared" si="112"/>
        <v>0</v>
      </c>
      <c r="R533" s="3395">
        <f t="shared" si="111"/>
        <v>0</v>
      </c>
      <c r="S533" s="3396">
        <f t="shared" si="111"/>
        <v>0</v>
      </c>
      <c r="T533" s="3396">
        <f t="shared" si="111"/>
        <v>0</v>
      </c>
      <c r="U533" s="3395">
        <f t="shared" si="110"/>
        <v>0</v>
      </c>
      <c r="V533" s="3396">
        <f t="shared" si="110"/>
        <v>0</v>
      </c>
      <c r="W533" s="3396">
        <f t="shared" si="110"/>
        <v>0</v>
      </c>
      <c r="X533" s="3386"/>
      <c r="Y533" s="3386"/>
      <c r="Z533" s="3386"/>
      <c r="AA533" s="3391"/>
    </row>
    <row r="534" spans="2:27" ht="18" hidden="1">
      <c r="B534" s="3350"/>
      <c r="C534" s="3407"/>
      <c r="D534" s="3350"/>
      <c r="E534" s="3404">
        <v>1093000306</v>
      </c>
      <c r="F534" s="3406"/>
      <c r="G534" s="3387"/>
      <c r="H534" s="3383">
        <f t="shared" si="104"/>
        <v>0</v>
      </c>
      <c r="I534" s="3386"/>
      <c r="J534" s="3387"/>
      <c r="K534" s="3383">
        <f t="shared" si="105"/>
        <v>0</v>
      </c>
      <c r="L534" s="3395">
        <f t="shared" si="112"/>
        <v>0</v>
      </c>
      <c r="M534" s="3396">
        <f t="shared" si="112"/>
        <v>0</v>
      </c>
      <c r="N534" s="3396">
        <f t="shared" si="112"/>
        <v>0</v>
      </c>
      <c r="O534" s="3395">
        <f t="shared" si="112"/>
        <v>0</v>
      </c>
      <c r="P534" s="3396">
        <f t="shared" si="112"/>
        <v>0</v>
      </c>
      <c r="Q534" s="3396">
        <f t="shared" si="112"/>
        <v>0</v>
      </c>
      <c r="R534" s="3395">
        <f t="shared" si="111"/>
        <v>0</v>
      </c>
      <c r="S534" s="3396">
        <f t="shared" si="111"/>
        <v>0</v>
      </c>
      <c r="T534" s="3396">
        <f t="shared" si="111"/>
        <v>0</v>
      </c>
      <c r="U534" s="3395">
        <f t="shared" si="110"/>
        <v>0</v>
      </c>
      <c r="V534" s="3396">
        <f t="shared" si="110"/>
        <v>0</v>
      </c>
      <c r="W534" s="3396">
        <f t="shared" si="110"/>
        <v>0</v>
      </c>
      <c r="X534" s="3386"/>
      <c r="Y534" s="3386"/>
      <c r="Z534" s="3386"/>
      <c r="AA534" s="3391"/>
    </row>
    <row r="535" spans="2:27" ht="18" hidden="1">
      <c r="B535" s="3350"/>
      <c r="C535" s="3407"/>
      <c r="D535" s="3350"/>
      <c r="E535" s="3404">
        <v>1093000307</v>
      </c>
      <c r="F535" s="3406"/>
      <c r="G535" s="3387"/>
      <c r="H535" s="3383">
        <f t="shared" si="104"/>
        <v>0</v>
      </c>
      <c r="I535" s="3386"/>
      <c r="J535" s="3387"/>
      <c r="K535" s="3383">
        <f t="shared" si="105"/>
        <v>0</v>
      </c>
      <c r="L535" s="3395">
        <f t="shared" si="112"/>
        <v>0</v>
      </c>
      <c r="M535" s="3396">
        <f t="shared" si="112"/>
        <v>0</v>
      </c>
      <c r="N535" s="3396">
        <f t="shared" si="112"/>
        <v>0</v>
      </c>
      <c r="O535" s="3395">
        <f t="shared" si="112"/>
        <v>0</v>
      </c>
      <c r="P535" s="3396">
        <f t="shared" si="112"/>
        <v>0</v>
      </c>
      <c r="Q535" s="3396">
        <f t="shared" si="112"/>
        <v>0</v>
      </c>
      <c r="R535" s="3395">
        <f t="shared" si="111"/>
        <v>0</v>
      </c>
      <c r="S535" s="3396">
        <f t="shared" si="111"/>
        <v>0</v>
      </c>
      <c r="T535" s="3396">
        <f t="shared" si="111"/>
        <v>0</v>
      </c>
      <c r="U535" s="3395">
        <f t="shared" si="110"/>
        <v>0</v>
      </c>
      <c r="V535" s="3396">
        <f t="shared" si="110"/>
        <v>0</v>
      </c>
      <c r="W535" s="3396">
        <f t="shared" si="110"/>
        <v>0</v>
      </c>
      <c r="X535" s="3386"/>
      <c r="Y535" s="3386"/>
      <c r="Z535" s="3386"/>
      <c r="AA535" s="3391"/>
    </row>
    <row r="536" spans="2:27" ht="18" hidden="1">
      <c r="B536" s="3350"/>
      <c r="C536" s="3407"/>
      <c r="D536" s="3350"/>
      <c r="E536" s="3404">
        <v>1093000308</v>
      </c>
      <c r="F536" s="3406"/>
      <c r="G536" s="3387"/>
      <c r="H536" s="3383">
        <f t="shared" si="104"/>
        <v>0</v>
      </c>
      <c r="I536" s="3386"/>
      <c r="J536" s="3387"/>
      <c r="K536" s="3383">
        <f t="shared" si="105"/>
        <v>0</v>
      </c>
      <c r="L536" s="3395">
        <f t="shared" si="112"/>
        <v>0</v>
      </c>
      <c r="M536" s="3396">
        <f t="shared" si="112"/>
        <v>0</v>
      </c>
      <c r="N536" s="3396">
        <f t="shared" si="112"/>
        <v>0</v>
      </c>
      <c r="O536" s="3395">
        <f t="shared" si="112"/>
        <v>0</v>
      </c>
      <c r="P536" s="3396">
        <f t="shared" si="112"/>
        <v>0</v>
      </c>
      <c r="Q536" s="3396">
        <f t="shared" si="112"/>
        <v>0</v>
      </c>
      <c r="R536" s="3395">
        <f t="shared" si="111"/>
        <v>0</v>
      </c>
      <c r="S536" s="3396">
        <f t="shared" si="111"/>
        <v>0</v>
      </c>
      <c r="T536" s="3396">
        <f t="shared" si="111"/>
        <v>0</v>
      </c>
      <c r="U536" s="3395">
        <f t="shared" si="110"/>
        <v>0</v>
      </c>
      <c r="V536" s="3396">
        <f t="shared" si="110"/>
        <v>0</v>
      </c>
      <c r="W536" s="3396">
        <f t="shared" si="110"/>
        <v>0</v>
      </c>
      <c r="X536" s="3386"/>
      <c r="Y536" s="3386"/>
      <c r="Z536" s="3386"/>
      <c r="AA536" s="3391"/>
    </row>
    <row r="537" spans="2:27" ht="18" hidden="1">
      <c r="B537" s="3350"/>
      <c r="C537" s="3407"/>
      <c r="D537" s="3350"/>
      <c r="E537" s="3404">
        <v>1093000309</v>
      </c>
      <c r="F537" s="3406"/>
      <c r="G537" s="3387"/>
      <c r="H537" s="3383">
        <f t="shared" si="104"/>
        <v>0</v>
      </c>
      <c r="I537" s="3386"/>
      <c r="J537" s="3387"/>
      <c r="K537" s="3383">
        <f t="shared" si="105"/>
        <v>0</v>
      </c>
      <c r="L537" s="3395">
        <f t="shared" si="112"/>
        <v>0</v>
      </c>
      <c r="M537" s="3396">
        <f t="shared" si="112"/>
        <v>0</v>
      </c>
      <c r="N537" s="3396">
        <f t="shared" si="112"/>
        <v>0</v>
      </c>
      <c r="O537" s="3395">
        <f t="shared" si="112"/>
        <v>0</v>
      </c>
      <c r="P537" s="3396">
        <f t="shared" si="112"/>
        <v>0</v>
      </c>
      <c r="Q537" s="3396">
        <f t="shared" si="112"/>
        <v>0</v>
      </c>
      <c r="R537" s="3395">
        <f t="shared" si="111"/>
        <v>0</v>
      </c>
      <c r="S537" s="3396">
        <f t="shared" si="111"/>
        <v>0</v>
      </c>
      <c r="T537" s="3396">
        <f t="shared" si="111"/>
        <v>0</v>
      </c>
      <c r="U537" s="3395">
        <f t="shared" si="110"/>
        <v>0</v>
      </c>
      <c r="V537" s="3396">
        <f t="shared" si="110"/>
        <v>0</v>
      </c>
      <c r="W537" s="3396">
        <f t="shared" si="110"/>
        <v>0</v>
      </c>
      <c r="X537" s="3386"/>
      <c r="Y537" s="3386"/>
      <c r="Z537" s="3386"/>
      <c r="AA537" s="3391"/>
    </row>
    <row r="538" spans="2:27" ht="18" hidden="1">
      <c r="B538" s="3350"/>
      <c r="C538" s="3407"/>
      <c r="D538" s="3350"/>
      <c r="E538" s="3404">
        <v>1093000310</v>
      </c>
      <c r="F538" s="3406"/>
      <c r="G538" s="3387"/>
      <c r="H538" s="3383">
        <f t="shared" si="104"/>
        <v>0</v>
      </c>
      <c r="I538" s="3386"/>
      <c r="J538" s="3387"/>
      <c r="K538" s="3383">
        <f t="shared" si="105"/>
        <v>0</v>
      </c>
      <c r="L538" s="3395">
        <f t="shared" si="112"/>
        <v>0</v>
      </c>
      <c r="M538" s="3396">
        <f t="shared" si="112"/>
        <v>0</v>
      </c>
      <c r="N538" s="3396">
        <f t="shared" si="112"/>
        <v>0</v>
      </c>
      <c r="O538" s="3395">
        <f t="shared" si="112"/>
        <v>0</v>
      </c>
      <c r="P538" s="3396">
        <f t="shared" si="112"/>
        <v>0</v>
      </c>
      <c r="Q538" s="3396">
        <f t="shared" si="112"/>
        <v>0</v>
      </c>
      <c r="R538" s="3395">
        <f t="shared" si="111"/>
        <v>0</v>
      </c>
      <c r="S538" s="3396">
        <f t="shared" si="111"/>
        <v>0</v>
      </c>
      <c r="T538" s="3396">
        <f t="shared" si="111"/>
        <v>0</v>
      </c>
      <c r="U538" s="3395">
        <f t="shared" si="110"/>
        <v>0</v>
      </c>
      <c r="V538" s="3396">
        <f t="shared" si="110"/>
        <v>0</v>
      </c>
      <c r="W538" s="3396">
        <f t="shared" si="110"/>
        <v>0</v>
      </c>
      <c r="X538" s="3386"/>
      <c r="Y538" s="3386"/>
      <c r="Z538" s="3386"/>
      <c r="AA538" s="3391"/>
    </row>
    <row r="539" spans="2:27" ht="18" hidden="1">
      <c r="B539" s="3350"/>
      <c r="C539" s="3407"/>
      <c r="D539" s="3350"/>
      <c r="E539" s="3404">
        <v>1093000311</v>
      </c>
      <c r="F539" s="3406"/>
      <c r="G539" s="3387"/>
      <c r="H539" s="3383">
        <f t="shared" si="104"/>
        <v>0</v>
      </c>
      <c r="I539" s="3386"/>
      <c r="J539" s="3387"/>
      <c r="K539" s="3383">
        <f t="shared" si="105"/>
        <v>0</v>
      </c>
      <c r="L539" s="3395">
        <f t="shared" si="112"/>
        <v>0</v>
      </c>
      <c r="M539" s="3396">
        <f t="shared" si="112"/>
        <v>0</v>
      </c>
      <c r="N539" s="3396">
        <f t="shared" si="112"/>
        <v>0</v>
      </c>
      <c r="O539" s="3395">
        <f t="shared" si="112"/>
        <v>0</v>
      </c>
      <c r="P539" s="3396">
        <f t="shared" si="112"/>
        <v>0</v>
      </c>
      <c r="Q539" s="3396">
        <f t="shared" si="112"/>
        <v>0</v>
      </c>
      <c r="R539" s="3395">
        <f t="shared" si="111"/>
        <v>0</v>
      </c>
      <c r="S539" s="3396">
        <f t="shared" si="111"/>
        <v>0</v>
      </c>
      <c r="T539" s="3396">
        <f t="shared" si="111"/>
        <v>0</v>
      </c>
      <c r="U539" s="3395">
        <f t="shared" si="110"/>
        <v>0</v>
      </c>
      <c r="V539" s="3396">
        <f t="shared" si="110"/>
        <v>0</v>
      </c>
      <c r="W539" s="3396">
        <f t="shared" si="110"/>
        <v>0</v>
      </c>
      <c r="X539" s="3386"/>
      <c r="Y539" s="3386"/>
      <c r="Z539" s="3386"/>
      <c r="AA539" s="3391"/>
    </row>
    <row r="540" spans="2:27" ht="18" hidden="1">
      <c r="B540" s="3350"/>
      <c r="C540" s="3407"/>
      <c r="D540" s="3350"/>
      <c r="E540" s="3404">
        <v>1093000312</v>
      </c>
      <c r="F540" s="3406"/>
      <c r="G540" s="3387"/>
      <c r="H540" s="3383">
        <f t="shared" si="104"/>
        <v>0</v>
      </c>
      <c r="I540" s="3386"/>
      <c r="J540" s="3387"/>
      <c r="K540" s="3383">
        <f t="shared" si="105"/>
        <v>0</v>
      </c>
      <c r="L540" s="3395">
        <f t="shared" si="112"/>
        <v>0</v>
      </c>
      <c r="M540" s="3396">
        <f t="shared" si="112"/>
        <v>0</v>
      </c>
      <c r="N540" s="3396">
        <f t="shared" si="112"/>
        <v>0</v>
      </c>
      <c r="O540" s="3395">
        <f t="shared" si="112"/>
        <v>0</v>
      </c>
      <c r="P540" s="3396">
        <f t="shared" si="112"/>
        <v>0</v>
      </c>
      <c r="Q540" s="3396">
        <f t="shared" si="112"/>
        <v>0</v>
      </c>
      <c r="R540" s="3395">
        <f t="shared" si="111"/>
        <v>0</v>
      </c>
      <c r="S540" s="3396">
        <f t="shared" si="111"/>
        <v>0</v>
      </c>
      <c r="T540" s="3396">
        <f t="shared" si="111"/>
        <v>0</v>
      </c>
      <c r="U540" s="3395">
        <f t="shared" si="110"/>
        <v>0</v>
      </c>
      <c r="V540" s="3396">
        <f t="shared" si="110"/>
        <v>0</v>
      </c>
      <c r="W540" s="3396">
        <f t="shared" si="110"/>
        <v>0</v>
      </c>
      <c r="X540" s="3386"/>
      <c r="Y540" s="3386"/>
      <c r="Z540" s="3386"/>
      <c r="AA540" s="3391"/>
    </row>
    <row r="541" spans="2:27" ht="18" hidden="1">
      <c r="B541" s="3350"/>
      <c r="C541" s="3407"/>
      <c r="D541" s="3350"/>
      <c r="E541" s="3404">
        <v>1093000313</v>
      </c>
      <c r="F541" s="3406"/>
      <c r="G541" s="3387"/>
      <c r="H541" s="3383">
        <f t="shared" si="104"/>
        <v>0</v>
      </c>
      <c r="I541" s="3386"/>
      <c r="J541" s="3387"/>
      <c r="K541" s="3383">
        <f t="shared" si="105"/>
        <v>0</v>
      </c>
      <c r="L541" s="3395">
        <f t="shared" si="112"/>
        <v>0</v>
      </c>
      <c r="M541" s="3396">
        <f t="shared" si="112"/>
        <v>0</v>
      </c>
      <c r="N541" s="3396">
        <f t="shared" si="112"/>
        <v>0</v>
      </c>
      <c r="O541" s="3395">
        <f t="shared" si="112"/>
        <v>0</v>
      </c>
      <c r="P541" s="3396">
        <f t="shared" si="112"/>
        <v>0</v>
      </c>
      <c r="Q541" s="3396">
        <f t="shared" si="112"/>
        <v>0</v>
      </c>
      <c r="R541" s="3395">
        <f t="shared" si="111"/>
        <v>0</v>
      </c>
      <c r="S541" s="3396">
        <f t="shared" si="111"/>
        <v>0</v>
      </c>
      <c r="T541" s="3396">
        <f t="shared" si="111"/>
        <v>0</v>
      </c>
      <c r="U541" s="3395">
        <f t="shared" si="110"/>
        <v>0</v>
      </c>
      <c r="V541" s="3396">
        <f t="shared" si="110"/>
        <v>0</v>
      </c>
      <c r="W541" s="3396">
        <f t="shared" si="110"/>
        <v>0</v>
      </c>
      <c r="X541" s="3386"/>
      <c r="Y541" s="3386"/>
      <c r="Z541" s="3386"/>
      <c r="AA541" s="3391"/>
    </row>
    <row r="542" spans="2:27" ht="18" hidden="1">
      <c r="B542" s="3350"/>
      <c r="C542" s="3407"/>
      <c r="D542" s="3350"/>
      <c r="E542" s="3404">
        <v>1093000314</v>
      </c>
      <c r="F542" s="3406"/>
      <c r="G542" s="3387"/>
      <c r="H542" s="3383">
        <f t="shared" si="104"/>
        <v>0</v>
      </c>
      <c r="I542" s="3386"/>
      <c r="J542" s="3387"/>
      <c r="K542" s="3383">
        <f t="shared" si="105"/>
        <v>0</v>
      </c>
      <c r="L542" s="3395">
        <f t="shared" si="112"/>
        <v>0</v>
      </c>
      <c r="M542" s="3396">
        <f t="shared" si="112"/>
        <v>0</v>
      </c>
      <c r="N542" s="3396">
        <f t="shared" si="112"/>
        <v>0</v>
      </c>
      <c r="O542" s="3395">
        <f t="shared" si="112"/>
        <v>0</v>
      </c>
      <c r="P542" s="3396">
        <f t="shared" si="112"/>
        <v>0</v>
      </c>
      <c r="Q542" s="3396">
        <f t="shared" si="112"/>
        <v>0</v>
      </c>
      <c r="R542" s="3395">
        <f t="shared" si="111"/>
        <v>0</v>
      </c>
      <c r="S542" s="3396">
        <f t="shared" si="111"/>
        <v>0</v>
      </c>
      <c r="T542" s="3396">
        <f t="shared" si="111"/>
        <v>0</v>
      </c>
      <c r="U542" s="3395">
        <f t="shared" si="110"/>
        <v>0</v>
      </c>
      <c r="V542" s="3396">
        <f t="shared" si="110"/>
        <v>0</v>
      </c>
      <c r="W542" s="3396">
        <f t="shared" si="110"/>
        <v>0</v>
      </c>
      <c r="X542" s="3386"/>
      <c r="Y542" s="3386"/>
      <c r="Z542" s="3386"/>
      <c r="AA542" s="3391"/>
    </row>
    <row r="543" spans="2:27" ht="18" hidden="1">
      <c r="B543" s="3350"/>
      <c r="C543" s="3407"/>
      <c r="D543" s="3350"/>
      <c r="E543" s="3404">
        <v>1093000315</v>
      </c>
      <c r="F543" s="3406"/>
      <c r="G543" s="3387"/>
      <c r="H543" s="3383">
        <f t="shared" si="104"/>
        <v>0</v>
      </c>
      <c r="I543" s="3386"/>
      <c r="J543" s="3387"/>
      <c r="K543" s="3383">
        <f t="shared" si="105"/>
        <v>0</v>
      </c>
      <c r="L543" s="3395">
        <f t="shared" si="112"/>
        <v>0</v>
      </c>
      <c r="M543" s="3396">
        <f t="shared" si="112"/>
        <v>0</v>
      </c>
      <c r="N543" s="3396">
        <f t="shared" si="112"/>
        <v>0</v>
      </c>
      <c r="O543" s="3395">
        <f t="shared" si="112"/>
        <v>0</v>
      </c>
      <c r="P543" s="3396">
        <f t="shared" si="112"/>
        <v>0</v>
      </c>
      <c r="Q543" s="3396">
        <f t="shared" si="112"/>
        <v>0</v>
      </c>
      <c r="R543" s="3395">
        <f t="shared" si="111"/>
        <v>0</v>
      </c>
      <c r="S543" s="3396">
        <f t="shared" si="111"/>
        <v>0</v>
      </c>
      <c r="T543" s="3396">
        <f t="shared" si="111"/>
        <v>0</v>
      </c>
      <c r="U543" s="3395">
        <f t="shared" si="110"/>
        <v>0</v>
      </c>
      <c r="V543" s="3396">
        <f t="shared" si="110"/>
        <v>0</v>
      </c>
      <c r="W543" s="3396">
        <f t="shared" si="110"/>
        <v>0</v>
      </c>
      <c r="X543" s="3386"/>
      <c r="Y543" s="3386"/>
      <c r="Z543" s="3386"/>
      <c r="AA543" s="3391"/>
    </row>
    <row r="544" spans="2:27" ht="18" hidden="1">
      <c r="B544" s="3350"/>
      <c r="C544" s="3407"/>
      <c r="D544" s="3350"/>
      <c r="E544" s="3404">
        <v>1093000316</v>
      </c>
      <c r="F544" s="3406"/>
      <c r="G544" s="3387"/>
      <c r="H544" s="3383">
        <f t="shared" si="104"/>
        <v>0</v>
      </c>
      <c r="I544" s="3386"/>
      <c r="J544" s="3387"/>
      <c r="K544" s="3383">
        <f t="shared" si="105"/>
        <v>0</v>
      </c>
      <c r="L544" s="3395">
        <f t="shared" si="112"/>
        <v>0</v>
      </c>
      <c r="M544" s="3396">
        <f t="shared" si="112"/>
        <v>0</v>
      </c>
      <c r="N544" s="3396">
        <f t="shared" si="112"/>
        <v>0</v>
      </c>
      <c r="O544" s="3395">
        <f t="shared" si="112"/>
        <v>0</v>
      </c>
      <c r="P544" s="3396">
        <f t="shared" si="112"/>
        <v>0</v>
      </c>
      <c r="Q544" s="3396">
        <f t="shared" si="112"/>
        <v>0</v>
      </c>
      <c r="R544" s="3395">
        <f t="shared" si="111"/>
        <v>0</v>
      </c>
      <c r="S544" s="3396">
        <f t="shared" si="111"/>
        <v>0</v>
      </c>
      <c r="T544" s="3396">
        <f t="shared" si="111"/>
        <v>0</v>
      </c>
      <c r="U544" s="3395">
        <f t="shared" si="110"/>
        <v>0</v>
      </c>
      <c r="V544" s="3396">
        <f t="shared" si="110"/>
        <v>0</v>
      </c>
      <c r="W544" s="3396">
        <f t="shared" si="110"/>
        <v>0</v>
      </c>
      <c r="X544" s="3386"/>
      <c r="Y544" s="3386"/>
      <c r="Z544" s="3386"/>
      <c r="AA544" s="3391"/>
    </row>
    <row r="545" spans="2:27" ht="18" hidden="1">
      <c r="B545" s="3350"/>
      <c r="C545" s="3407"/>
      <c r="D545" s="3350"/>
      <c r="E545" s="3404">
        <v>1093000317</v>
      </c>
      <c r="F545" s="3406"/>
      <c r="G545" s="3387"/>
      <c r="H545" s="3383">
        <f t="shared" si="104"/>
        <v>0</v>
      </c>
      <c r="I545" s="3386"/>
      <c r="J545" s="3387"/>
      <c r="K545" s="3383">
        <f t="shared" si="105"/>
        <v>0</v>
      </c>
      <c r="L545" s="3395">
        <f t="shared" si="112"/>
        <v>0</v>
      </c>
      <c r="M545" s="3396">
        <f t="shared" si="112"/>
        <v>0</v>
      </c>
      <c r="N545" s="3396">
        <f t="shared" si="112"/>
        <v>0</v>
      </c>
      <c r="O545" s="3395">
        <f t="shared" si="112"/>
        <v>0</v>
      </c>
      <c r="P545" s="3396">
        <f t="shared" si="112"/>
        <v>0</v>
      </c>
      <c r="Q545" s="3396">
        <f t="shared" si="112"/>
        <v>0</v>
      </c>
      <c r="R545" s="3395">
        <f t="shared" si="111"/>
        <v>0</v>
      </c>
      <c r="S545" s="3396">
        <f t="shared" si="111"/>
        <v>0</v>
      </c>
      <c r="T545" s="3396">
        <f t="shared" si="111"/>
        <v>0</v>
      </c>
      <c r="U545" s="3395">
        <f t="shared" si="110"/>
        <v>0</v>
      </c>
      <c r="V545" s="3396">
        <f t="shared" si="110"/>
        <v>0</v>
      </c>
      <c r="W545" s="3396">
        <f t="shared" si="110"/>
        <v>0</v>
      </c>
      <c r="X545" s="3386"/>
      <c r="Y545" s="3386"/>
      <c r="Z545" s="3386"/>
      <c r="AA545" s="3391"/>
    </row>
    <row r="546" spans="2:27" ht="18" hidden="1">
      <c r="B546" s="3350"/>
      <c r="C546" s="3407"/>
      <c r="D546" s="3350"/>
      <c r="E546" s="3404">
        <v>1093000318</v>
      </c>
      <c r="F546" s="3406"/>
      <c r="G546" s="3387"/>
      <c r="H546" s="3383">
        <f t="shared" si="104"/>
        <v>0</v>
      </c>
      <c r="I546" s="3386"/>
      <c r="J546" s="3387"/>
      <c r="K546" s="3383">
        <f t="shared" si="105"/>
        <v>0</v>
      </c>
      <c r="L546" s="3395">
        <f t="shared" si="112"/>
        <v>0</v>
      </c>
      <c r="M546" s="3396">
        <f t="shared" si="112"/>
        <v>0</v>
      </c>
      <c r="N546" s="3396">
        <f t="shared" si="112"/>
        <v>0</v>
      </c>
      <c r="O546" s="3395">
        <f t="shared" si="112"/>
        <v>0</v>
      </c>
      <c r="P546" s="3396">
        <f t="shared" si="112"/>
        <v>0</v>
      </c>
      <c r="Q546" s="3396">
        <f t="shared" si="112"/>
        <v>0</v>
      </c>
      <c r="R546" s="3395">
        <f t="shared" si="111"/>
        <v>0</v>
      </c>
      <c r="S546" s="3396">
        <f t="shared" si="111"/>
        <v>0</v>
      </c>
      <c r="T546" s="3396">
        <f t="shared" si="111"/>
        <v>0</v>
      </c>
      <c r="U546" s="3395">
        <f t="shared" si="110"/>
        <v>0</v>
      </c>
      <c r="V546" s="3396">
        <f t="shared" si="110"/>
        <v>0</v>
      </c>
      <c r="W546" s="3396">
        <f t="shared" si="110"/>
        <v>0</v>
      </c>
      <c r="X546" s="3386"/>
      <c r="Y546" s="3386"/>
      <c r="Z546" s="3386"/>
      <c r="AA546" s="3391"/>
    </row>
    <row r="547" spans="2:27" ht="18" hidden="1">
      <c r="B547" s="3350"/>
      <c r="C547" s="3407"/>
      <c r="D547" s="3350"/>
      <c r="E547" s="3404">
        <v>1093000319</v>
      </c>
      <c r="F547" s="3406"/>
      <c r="G547" s="3387"/>
      <c r="H547" s="3383">
        <f t="shared" si="104"/>
        <v>0</v>
      </c>
      <c r="I547" s="3386"/>
      <c r="J547" s="3387"/>
      <c r="K547" s="3383">
        <f t="shared" si="105"/>
        <v>0</v>
      </c>
      <c r="L547" s="3395">
        <f t="shared" si="112"/>
        <v>0</v>
      </c>
      <c r="M547" s="3396">
        <f t="shared" si="112"/>
        <v>0</v>
      </c>
      <c r="N547" s="3396">
        <f t="shared" si="112"/>
        <v>0</v>
      </c>
      <c r="O547" s="3395">
        <f t="shared" si="112"/>
        <v>0</v>
      </c>
      <c r="P547" s="3396">
        <f t="shared" si="112"/>
        <v>0</v>
      </c>
      <c r="Q547" s="3396">
        <f t="shared" si="112"/>
        <v>0</v>
      </c>
      <c r="R547" s="3395">
        <f t="shared" si="111"/>
        <v>0</v>
      </c>
      <c r="S547" s="3396">
        <f t="shared" si="111"/>
        <v>0</v>
      </c>
      <c r="T547" s="3396">
        <f t="shared" si="111"/>
        <v>0</v>
      </c>
      <c r="U547" s="3395">
        <f t="shared" si="110"/>
        <v>0</v>
      </c>
      <c r="V547" s="3396">
        <f t="shared" si="110"/>
        <v>0</v>
      </c>
      <c r="W547" s="3396">
        <f t="shared" si="110"/>
        <v>0</v>
      </c>
      <c r="X547" s="3386"/>
      <c r="Y547" s="3386"/>
      <c r="Z547" s="3386"/>
      <c r="AA547" s="3391"/>
    </row>
    <row r="548" spans="2:27" ht="18" hidden="1">
      <c r="B548" s="3350"/>
      <c r="C548" s="3407"/>
      <c r="D548" s="3350"/>
      <c r="E548" s="3404">
        <v>1093000320</v>
      </c>
      <c r="F548" s="3406"/>
      <c r="G548" s="3387"/>
      <c r="H548" s="3383">
        <f t="shared" si="104"/>
        <v>0</v>
      </c>
      <c r="I548" s="3386"/>
      <c r="J548" s="3387"/>
      <c r="K548" s="3383">
        <f t="shared" si="105"/>
        <v>0</v>
      </c>
      <c r="L548" s="3395">
        <f t="shared" si="112"/>
        <v>0</v>
      </c>
      <c r="M548" s="3396">
        <f t="shared" si="112"/>
        <v>0</v>
      </c>
      <c r="N548" s="3396">
        <f t="shared" si="112"/>
        <v>0</v>
      </c>
      <c r="O548" s="3395">
        <f t="shared" si="112"/>
        <v>0</v>
      </c>
      <c r="P548" s="3396">
        <f t="shared" si="112"/>
        <v>0</v>
      </c>
      <c r="Q548" s="3396">
        <f t="shared" si="112"/>
        <v>0</v>
      </c>
      <c r="R548" s="3395">
        <f t="shared" si="111"/>
        <v>0</v>
      </c>
      <c r="S548" s="3396">
        <f t="shared" si="111"/>
        <v>0</v>
      </c>
      <c r="T548" s="3396">
        <f t="shared" si="111"/>
        <v>0</v>
      </c>
      <c r="U548" s="3395">
        <f t="shared" si="110"/>
        <v>0</v>
      </c>
      <c r="V548" s="3396">
        <f t="shared" si="110"/>
        <v>0</v>
      </c>
      <c r="W548" s="3396">
        <f t="shared" si="110"/>
        <v>0</v>
      </c>
      <c r="X548" s="3386"/>
      <c r="Y548" s="3386"/>
      <c r="Z548" s="3386"/>
      <c r="AA548" s="3391"/>
    </row>
    <row r="549" spans="2:27" ht="18" hidden="1">
      <c r="B549" s="3350"/>
      <c r="C549" s="3407"/>
      <c r="D549" s="3350"/>
      <c r="E549" s="3404">
        <v>1093000321</v>
      </c>
      <c r="F549" s="3406"/>
      <c r="G549" s="3387"/>
      <c r="H549" s="3383">
        <f t="shared" si="104"/>
        <v>0</v>
      </c>
      <c r="I549" s="3386"/>
      <c r="J549" s="3387"/>
      <c r="K549" s="3383">
        <f t="shared" si="105"/>
        <v>0</v>
      </c>
      <c r="L549" s="3395">
        <f t="shared" si="112"/>
        <v>0</v>
      </c>
      <c r="M549" s="3396">
        <f t="shared" si="112"/>
        <v>0</v>
      </c>
      <c r="N549" s="3396">
        <f t="shared" si="112"/>
        <v>0</v>
      </c>
      <c r="O549" s="3395">
        <f t="shared" si="112"/>
        <v>0</v>
      </c>
      <c r="P549" s="3396">
        <f t="shared" si="112"/>
        <v>0</v>
      </c>
      <c r="Q549" s="3396">
        <f t="shared" si="112"/>
        <v>0</v>
      </c>
      <c r="R549" s="3395">
        <f t="shared" si="111"/>
        <v>0</v>
      </c>
      <c r="S549" s="3396">
        <f t="shared" si="111"/>
        <v>0</v>
      </c>
      <c r="T549" s="3396">
        <f t="shared" si="111"/>
        <v>0</v>
      </c>
      <c r="U549" s="3395">
        <f t="shared" si="110"/>
        <v>0</v>
      </c>
      <c r="V549" s="3396">
        <f t="shared" si="110"/>
        <v>0</v>
      </c>
      <c r="W549" s="3396">
        <f t="shared" si="110"/>
        <v>0</v>
      </c>
      <c r="X549" s="3386"/>
      <c r="Y549" s="3386"/>
      <c r="Z549" s="3386"/>
      <c r="AA549" s="3391"/>
    </row>
    <row r="550" spans="2:27" ht="18" hidden="1">
      <c r="B550" s="3350"/>
      <c r="C550" s="3407"/>
      <c r="D550" s="3350"/>
      <c r="E550" s="3404">
        <v>1093000322</v>
      </c>
      <c r="F550" s="3406"/>
      <c r="G550" s="3387"/>
      <c r="H550" s="3383">
        <f t="shared" si="104"/>
        <v>0</v>
      </c>
      <c r="I550" s="3386"/>
      <c r="J550" s="3387"/>
      <c r="K550" s="3383">
        <f t="shared" si="105"/>
        <v>0</v>
      </c>
      <c r="L550" s="3395">
        <f t="shared" si="112"/>
        <v>0</v>
      </c>
      <c r="M550" s="3396">
        <f t="shared" si="112"/>
        <v>0</v>
      </c>
      <c r="N550" s="3396">
        <f t="shared" si="112"/>
        <v>0</v>
      </c>
      <c r="O550" s="3395">
        <f t="shared" si="112"/>
        <v>0</v>
      </c>
      <c r="P550" s="3396">
        <f t="shared" si="112"/>
        <v>0</v>
      </c>
      <c r="Q550" s="3396">
        <f t="shared" si="112"/>
        <v>0</v>
      </c>
      <c r="R550" s="3395">
        <f t="shared" si="111"/>
        <v>0</v>
      </c>
      <c r="S550" s="3396">
        <f t="shared" si="111"/>
        <v>0</v>
      </c>
      <c r="T550" s="3396">
        <f t="shared" si="111"/>
        <v>0</v>
      </c>
      <c r="U550" s="3395">
        <f t="shared" si="110"/>
        <v>0</v>
      </c>
      <c r="V550" s="3396">
        <f t="shared" si="110"/>
        <v>0</v>
      </c>
      <c r="W550" s="3396">
        <f t="shared" si="110"/>
        <v>0</v>
      </c>
      <c r="X550" s="3386"/>
      <c r="Y550" s="3386"/>
      <c r="Z550" s="3386"/>
      <c r="AA550" s="3391"/>
    </row>
    <row r="551" spans="2:27" ht="18" hidden="1">
      <c r="B551" s="3350"/>
      <c r="C551" s="3407"/>
      <c r="D551" s="3350"/>
      <c r="E551" s="3404">
        <v>1093000323</v>
      </c>
      <c r="F551" s="3406"/>
      <c r="G551" s="3387"/>
      <c r="H551" s="3383">
        <f t="shared" si="104"/>
        <v>0</v>
      </c>
      <c r="I551" s="3386"/>
      <c r="J551" s="3387"/>
      <c r="K551" s="3383">
        <f t="shared" si="105"/>
        <v>0</v>
      </c>
      <c r="L551" s="3395">
        <f t="shared" si="112"/>
        <v>0</v>
      </c>
      <c r="M551" s="3396">
        <f t="shared" si="112"/>
        <v>0</v>
      </c>
      <c r="N551" s="3396">
        <f t="shared" si="112"/>
        <v>0</v>
      </c>
      <c r="O551" s="3395">
        <f t="shared" si="112"/>
        <v>0</v>
      </c>
      <c r="P551" s="3396">
        <f t="shared" si="112"/>
        <v>0</v>
      </c>
      <c r="Q551" s="3396">
        <f t="shared" si="112"/>
        <v>0</v>
      </c>
      <c r="R551" s="3395">
        <f t="shared" si="111"/>
        <v>0</v>
      </c>
      <c r="S551" s="3396">
        <f t="shared" si="111"/>
        <v>0</v>
      </c>
      <c r="T551" s="3396">
        <f t="shared" si="111"/>
        <v>0</v>
      </c>
      <c r="U551" s="3395">
        <f t="shared" si="110"/>
        <v>0</v>
      </c>
      <c r="V551" s="3396">
        <f t="shared" si="110"/>
        <v>0</v>
      </c>
      <c r="W551" s="3396">
        <f t="shared" si="110"/>
        <v>0</v>
      </c>
      <c r="X551" s="3386"/>
      <c r="Y551" s="3386"/>
      <c r="Z551" s="3386"/>
      <c r="AA551" s="3391"/>
    </row>
    <row r="552" spans="2:27" ht="18" hidden="1">
      <c r="B552" s="3350"/>
      <c r="C552" s="3407"/>
      <c r="D552" s="3350"/>
      <c r="E552" s="3404">
        <v>1093000324</v>
      </c>
      <c r="F552" s="3406"/>
      <c r="G552" s="3387"/>
      <c r="H552" s="3383">
        <f t="shared" si="104"/>
        <v>0</v>
      </c>
      <c r="I552" s="3386"/>
      <c r="J552" s="3387"/>
      <c r="K552" s="3383">
        <f t="shared" si="105"/>
        <v>0</v>
      </c>
      <c r="L552" s="3395">
        <f t="shared" si="112"/>
        <v>0</v>
      </c>
      <c r="M552" s="3396">
        <f t="shared" si="112"/>
        <v>0</v>
      </c>
      <c r="N552" s="3396">
        <f t="shared" si="112"/>
        <v>0</v>
      </c>
      <c r="O552" s="3395">
        <f t="shared" si="112"/>
        <v>0</v>
      </c>
      <c r="P552" s="3396">
        <f t="shared" si="112"/>
        <v>0</v>
      </c>
      <c r="Q552" s="3396">
        <f t="shared" si="112"/>
        <v>0</v>
      </c>
      <c r="R552" s="3395">
        <f t="shared" si="111"/>
        <v>0</v>
      </c>
      <c r="S552" s="3396">
        <f t="shared" si="111"/>
        <v>0</v>
      </c>
      <c r="T552" s="3396">
        <f t="shared" si="111"/>
        <v>0</v>
      </c>
      <c r="U552" s="3395">
        <f t="shared" si="110"/>
        <v>0</v>
      </c>
      <c r="V552" s="3396">
        <f t="shared" si="110"/>
        <v>0</v>
      </c>
      <c r="W552" s="3396">
        <f t="shared" si="110"/>
        <v>0</v>
      </c>
      <c r="X552" s="3386"/>
      <c r="Y552" s="3386"/>
      <c r="Z552" s="3386"/>
      <c r="AA552" s="3391"/>
    </row>
    <row r="553" spans="2:27" ht="18" hidden="1">
      <c r="B553" s="3350"/>
      <c r="C553" s="3407"/>
      <c r="D553" s="3350"/>
      <c r="E553" s="3404">
        <v>1093000325</v>
      </c>
      <c r="F553" s="3406"/>
      <c r="G553" s="3387"/>
      <c r="H553" s="3383">
        <f t="shared" si="104"/>
        <v>0</v>
      </c>
      <c r="I553" s="3386"/>
      <c r="J553" s="3387"/>
      <c r="K553" s="3383">
        <f t="shared" si="105"/>
        <v>0</v>
      </c>
      <c r="L553" s="3395">
        <f t="shared" si="112"/>
        <v>0</v>
      </c>
      <c r="M553" s="3396">
        <f t="shared" si="112"/>
        <v>0</v>
      </c>
      <c r="N553" s="3396">
        <f t="shared" si="112"/>
        <v>0</v>
      </c>
      <c r="O553" s="3395">
        <f t="shared" si="112"/>
        <v>0</v>
      </c>
      <c r="P553" s="3396">
        <f t="shared" si="112"/>
        <v>0</v>
      </c>
      <c r="Q553" s="3396">
        <f t="shared" si="112"/>
        <v>0</v>
      </c>
      <c r="R553" s="3395">
        <f t="shared" si="111"/>
        <v>0</v>
      </c>
      <c r="S553" s="3396">
        <f t="shared" si="111"/>
        <v>0</v>
      </c>
      <c r="T553" s="3396">
        <f t="shared" si="111"/>
        <v>0</v>
      </c>
      <c r="U553" s="3395">
        <f t="shared" si="110"/>
        <v>0</v>
      </c>
      <c r="V553" s="3396">
        <f t="shared" si="110"/>
        <v>0</v>
      </c>
      <c r="W553" s="3396">
        <f t="shared" si="110"/>
        <v>0</v>
      </c>
      <c r="X553" s="3386"/>
      <c r="Y553" s="3386"/>
      <c r="Z553" s="3386"/>
      <c r="AA553" s="3391"/>
    </row>
    <row r="554" spans="2:27" ht="18" hidden="1">
      <c r="B554" s="3350"/>
      <c r="C554" s="3407"/>
      <c r="D554" s="3350"/>
      <c r="E554" s="3404">
        <v>1093000326</v>
      </c>
      <c r="F554" s="3406"/>
      <c r="G554" s="3387"/>
      <c r="H554" s="3383">
        <f t="shared" si="104"/>
        <v>0</v>
      </c>
      <c r="I554" s="3386"/>
      <c r="J554" s="3387"/>
      <c r="K554" s="3383">
        <f t="shared" si="105"/>
        <v>0</v>
      </c>
      <c r="L554" s="3395">
        <f t="shared" si="112"/>
        <v>0</v>
      </c>
      <c r="M554" s="3396">
        <f t="shared" si="112"/>
        <v>0</v>
      </c>
      <c r="N554" s="3396">
        <f t="shared" si="112"/>
        <v>0</v>
      </c>
      <c r="O554" s="3395">
        <f t="shared" si="112"/>
        <v>0</v>
      </c>
      <c r="P554" s="3396">
        <f t="shared" si="112"/>
        <v>0</v>
      </c>
      <c r="Q554" s="3396">
        <f t="shared" si="112"/>
        <v>0</v>
      </c>
      <c r="R554" s="3395">
        <f t="shared" si="111"/>
        <v>0</v>
      </c>
      <c r="S554" s="3396">
        <f t="shared" si="111"/>
        <v>0</v>
      </c>
      <c r="T554" s="3396">
        <f t="shared" si="111"/>
        <v>0</v>
      </c>
      <c r="U554" s="3395">
        <f t="shared" si="110"/>
        <v>0</v>
      </c>
      <c r="V554" s="3396">
        <f t="shared" si="110"/>
        <v>0</v>
      </c>
      <c r="W554" s="3396">
        <f t="shared" si="110"/>
        <v>0</v>
      </c>
      <c r="X554" s="3386"/>
      <c r="Y554" s="3386"/>
      <c r="Z554" s="3386"/>
      <c r="AA554" s="3391"/>
    </row>
    <row r="555" spans="2:27" ht="18" hidden="1">
      <c r="B555" s="3350"/>
      <c r="C555" s="3407"/>
      <c r="D555" s="3350"/>
      <c r="E555" s="3404">
        <v>1093000327</v>
      </c>
      <c r="F555" s="3406"/>
      <c r="G555" s="3387"/>
      <c r="H555" s="3383">
        <f t="shared" si="104"/>
        <v>0</v>
      </c>
      <c r="I555" s="3386"/>
      <c r="J555" s="3387"/>
      <c r="K555" s="3383">
        <f t="shared" si="105"/>
        <v>0</v>
      </c>
      <c r="L555" s="3395">
        <f t="shared" si="112"/>
        <v>0</v>
      </c>
      <c r="M555" s="3396">
        <f t="shared" si="112"/>
        <v>0</v>
      </c>
      <c r="N555" s="3396">
        <f t="shared" si="112"/>
        <v>0</v>
      </c>
      <c r="O555" s="3395">
        <f t="shared" si="112"/>
        <v>0</v>
      </c>
      <c r="P555" s="3396">
        <f t="shared" si="112"/>
        <v>0</v>
      </c>
      <c r="Q555" s="3396">
        <f t="shared" si="112"/>
        <v>0</v>
      </c>
      <c r="R555" s="3395">
        <f t="shared" si="111"/>
        <v>0</v>
      </c>
      <c r="S555" s="3396">
        <f t="shared" si="111"/>
        <v>0</v>
      </c>
      <c r="T555" s="3396">
        <f t="shared" si="111"/>
        <v>0</v>
      </c>
      <c r="U555" s="3395">
        <f t="shared" si="110"/>
        <v>0</v>
      </c>
      <c r="V555" s="3396">
        <f t="shared" si="110"/>
        <v>0</v>
      </c>
      <c r="W555" s="3396">
        <f t="shared" si="110"/>
        <v>0</v>
      </c>
      <c r="X555" s="3386"/>
      <c r="Y555" s="3386"/>
      <c r="Z555" s="3386"/>
      <c r="AA555" s="3391"/>
    </row>
    <row r="556" spans="2:27" ht="18" hidden="1">
      <c r="B556" s="3350"/>
      <c r="C556" s="3407"/>
      <c r="D556" s="3350"/>
      <c r="E556" s="3404">
        <v>1093000328</v>
      </c>
      <c r="F556" s="3406"/>
      <c r="G556" s="3387"/>
      <c r="H556" s="3383">
        <f t="shared" si="104"/>
        <v>0</v>
      </c>
      <c r="I556" s="3386"/>
      <c r="J556" s="3387"/>
      <c r="K556" s="3383">
        <f t="shared" si="105"/>
        <v>0</v>
      </c>
      <c r="L556" s="3395">
        <f t="shared" si="112"/>
        <v>0</v>
      </c>
      <c r="M556" s="3396">
        <f t="shared" si="112"/>
        <v>0</v>
      </c>
      <c r="N556" s="3396">
        <f t="shared" si="112"/>
        <v>0</v>
      </c>
      <c r="O556" s="3395">
        <f t="shared" si="112"/>
        <v>0</v>
      </c>
      <c r="P556" s="3396">
        <f t="shared" si="112"/>
        <v>0</v>
      </c>
      <c r="Q556" s="3396">
        <f t="shared" si="112"/>
        <v>0</v>
      </c>
      <c r="R556" s="3395">
        <f t="shared" si="111"/>
        <v>0</v>
      </c>
      <c r="S556" s="3396">
        <f t="shared" si="111"/>
        <v>0</v>
      </c>
      <c r="T556" s="3396">
        <f t="shared" si="111"/>
        <v>0</v>
      </c>
      <c r="U556" s="3395">
        <f t="shared" si="110"/>
        <v>0</v>
      </c>
      <c r="V556" s="3396">
        <f t="shared" si="110"/>
        <v>0</v>
      </c>
      <c r="W556" s="3396">
        <f t="shared" si="110"/>
        <v>0</v>
      </c>
      <c r="X556" s="3386"/>
      <c r="Y556" s="3386"/>
      <c r="Z556" s="3386"/>
      <c r="AA556" s="3391"/>
    </row>
    <row r="557" spans="2:27" ht="18" hidden="1">
      <c r="B557" s="3350"/>
      <c r="C557" s="3407"/>
      <c r="D557" s="3350"/>
      <c r="E557" s="3404">
        <v>1093000329</v>
      </c>
      <c r="F557" s="3406"/>
      <c r="G557" s="3387"/>
      <c r="H557" s="3383">
        <f t="shared" si="104"/>
        <v>0</v>
      </c>
      <c r="I557" s="3386"/>
      <c r="J557" s="3387"/>
      <c r="K557" s="3383">
        <f t="shared" si="105"/>
        <v>0</v>
      </c>
      <c r="L557" s="3395">
        <f t="shared" si="112"/>
        <v>0</v>
      </c>
      <c r="M557" s="3396">
        <f t="shared" si="112"/>
        <v>0</v>
      </c>
      <c r="N557" s="3396">
        <f t="shared" si="112"/>
        <v>0</v>
      </c>
      <c r="O557" s="3395">
        <f t="shared" si="112"/>
        <v>0</v>
      </c>
      <c r="P557" s="3396">
        <f t="shared" si="112"/>
        <v>0</v>
      </c>
      <c r="Q557" s="3396">
        <f t="shared" si="112"/>
        <v>0</v>
      </c>
      <c r="R557" s="3395">
        <f t="shared" si="111"/>
        <v>0</v>
      </c>
      <c r="S557" s="3396">
        <f t="shared" si="111"/>
        <v>0</v>
      </c>
      <c r="T557" s="3396">
        <f t="shared" si="111"/>
        <v>0</v>
      </c>
      <c r="U557" s="3395">
        <f t="shared" si="110"/>
        <v>0</v>
      </c>
      <c r="V557" s="3396">
        <f t="shared" si="110"/>
        <v>0</v>
      </c>
      <c r="W557" s="3396">
        <f t="shared" si="110"/>
        <v>0</v>
      </c>
      <c r="X557" s="3386"/>
      <c r="Y557" s="3386"/>
      <c r="Z557" s="3386"/>
      <c r="AA557" s="3391"/>
    </row>
    <row r="558" spans="2:27" ht="18" hidden="1">
      <c r="B558" s="3350"/>
      <c r="C558" s="3407"/>
      <c r="D558" s="3350"/>
      <c r="E558" s="3404">
        <v>1093000330</v>
      </c>
      <c r="F558" s="3406"/>
      <c r="G558" s="3387"/>
      <c r="H558" s="3383">
        <f t="shared" si="104"/>
        <v>0</v>
      </c>
      <c r="I558" s="3386"/>
      <c r="J558" s="3387"/>
      <c r="K558" s="3383">
        <f t="shared" si="105"/>
        <v>0</v>
      </c>
      <c r="L558" s="3395">
        <f t="shared" si="112"/>
        <v>0</v>
      </c>
      <c r="M558" s="3396">
        <f t="shared" si="112"/>
        <v>0</v>
      </c>
      <c r="N558" s="3396">
        <f t="shared" si="112"/>
        <v>0</v>
      </c>
      <c r="O558" s="3395">
        <f t="shared" si="112"/>
        <v>0</v>
      </c>
      <c r="P558" s="3396">
        <f t="shared" si="112"/>
        <v>0</v>
      </c>
      <c r="Q558" s="3396">
        <f t="shared" si="112"/>
        <v>0</v>
      </c>
      <c r="R558" s="3395">
        <f t="shared" si="111"/>
        <v>0</v>
      </c>
      <c r="S558" s="3396">
        <f t="shared" si="111"/>
        <v>0</v>
      </c>
      <c r="T558" s="3396">
        <f t="shared" si="111"/>
        <v>0</v>
      </c>
      <c r="U558" s="3395">
        <f t="shared" si="110"/>
        <v>0</v>
      </c>
      <c r="V558" s="3396">
        <f t="shared" si="110"/>
        <v>0</v>
      </c>
      <c r="W558" s="3396">
        <f t="shared" si="110"/>
        <v>0</v>
      </c>
      <c r="X558" s="3386"/>
      <c r="Y558" s="3386"/>
      <c r="Z558" s="3386"/>
      <c r="AA558" s="3391"/>
    </row>
    <row r="559" spans="2:27" ht="18" hidden="1">
      <c r="B559" s="3350"/>
      <c r="C559" s="3407"/>
      <c r="D559" s="3350"/>
      <c r="E559" s="3404">
        <v>1093000331</v>
      </c>
      <c r="F559" s="3406"/>
      <c r="G559" s="3387"/>
      <c r="H559" s="3383">
        <f t="shared" si="104"/>
        <v>0</v>
      </c>
      <c r="I559" s="3386"/>
      <c r="J559" s="3387"/>
      <c r="K559" s="3383">
        <f t="shared" si="105"/>
        <v>0</v>
      </c>
      <c r="L559" s="3395">
        <f t="shared" si="112"/>
        <v>0</v>
      </c>
      <c r="M559" s="3396">
        <f t="shared" si="112"/>
        <v>0</v>
      </c>
      <c r="N559" s="3396">
        <f t="shared" si="112"/>
        <v>0</v>
      </c>
      <c r="O559" s="3395">
        <f t="shared" si="112"/>
        <v>0</v>
      </c>
      <c r="P559" s="3396">
        <f t="shared" si="112"/>
        <v>0</v>
      </c>
      <c r="Q559" s="3396">
        <f t="shared" si="112"/>
        <v>0</v>
      </c>
      <c r="R559" s="3395">
        <f t="shared" si="111"/>
        <v>0</v>
      </c>
      <c r="S559" s="3396">
        <f t="shared" si="111"/>
        <v>0</v>
      </c>
      <c r="T559" s="3396">
        <f t="shared" si="111"/>
        <v>0</v>
      </c>
      <c r="U559" s="3395">
        <f t="shared" si="110"/>
        <v>0</v>
      </c>
      <c r="V559" s="3396">
        <f t="shared" si="110"/>
        <v>0</v>
      </c>
      <c r="W559" s="3396">
        <f t="shared" si="110"/>
        <v>0</v>
      </c>
      <c r="X559" s="3386"/>
      <c r="Y559" s="3386"/>
      <c r="Z559" s="3386"/>
      <c r="AA559" s="3391"/>
    </row>
    <row r="560" spans="2:27" ht="18" hidden="1">
      <c r="B560" s="3350"/>
      <c r="C560" s="3407"/>
      <c r="D560" s="3350"/>
      <c r="E560" s="3404">
        <v>1093000332</v>
      </c>
      <c r="F560" s="3406"/>
      <c r="G560" s="3387"/>
      <c r="H560" s="3383">
        <f t="shared" si="104"/>
        <v>0</v>
      </c>
      <c r="I560" s="3386"/>
      <c r="J560" s="3387"/>
      <c r="K560" s="3383">
        <f t="shared" si="105"/>
        <v>0</v>
      </c>
      <c r="L560" s="3395">
        <f t="shared" si="112"/>
        <v>0</v>
      </c>
      <c r="M560" s="3396">
        <f t="shared" si="112"/>
        <v>0</v>
      </c>
      <c r="N560" s="3396">
        <f t="shared" si="112"/>
        <v>0</v>
      </c>
      <c r="O560" s="3395">
        <f t="shared" ref="O560:W604" si="113">(0)</f>
        <v>0</v>
      </c>
      <c r="P560" s="3396">
        <f t="shared" si="113"/>
        <v>0</v>
      </c>
      <c r="Q560" s="3396">
        <f t="shared" si="113"/>
        <v>0</v>
      </c>
      <c r="R560" s="3395">
        <f t="shared" si="111"/>
        <v>0</v>
      </c>
      <c r="S560" s="3396">
        <f t="shared" si="111"/>
        <v>0</v>
      </c>
      <c r="T560" s="3396">
        <f t="shared" si="111"/>
        <v>0</v>
      </c>
      <c r="U560" s="3395">
        <f t="shared" si="110"/>
        <v>0</v>
      </c>
      <c r="V560" s="3396">
        <f t="shared" si="110"/>
        <v>0</v>
      </c>
      <c r="W560" s="3396">
        <f t="shared" si="110"/>
        <v>0</v>
      </c>
      <c r="X560" s="3386"/>
      <c r="Y560" s="3386"/>
      <c r="Z560" s="3386"/>
      <c r="AA560" s="3391"/>
    </row>
    <row r="561" spans="2:27" ht="18" hidden="1">
      <c r="B561" s="3350"/>
      <c r="C561" s="3407"/>
      <c r="D561" s="3350"/>
      <c r="E561" s="3404">
        <v>1093000333</v>
      </c>
      <c r="F561" s="3406"/>
      <c r="G561" s="3387"/>
      <c r="H561" s="3383">
        <f t="shared" si="104"/>
        <v>0</v>
      </c>
      <c r="I561" s="3386"/>
      <c r="J561" s="3387"/>
      <c r="K561" s="3383">
        <f t="shared" si="105"/>
        <v>0</v>
      </c>
      <c r="L561" s="3395">
        <f t="shared" ref="L561:Q625" si="114">(0)</f>
        <v>0</v>
      </c>
      <c r="M561" s="3396">
        <f t="shared" si="114"/>
        <v>0</v>
      </c>
      <c r="N561" s="3396">
        <f t="shared" si="114"/>
        <v>0</v>
      </c>
      <c r="O561" s="3395">
        <f t="shared" si="113"/>
        <v>0</v>
      </c>
      <c r="P561" s="3396">
        <f t="shared" si="113"/>
        <v>0</v>
      </c>
      <c r="Q561" s="3396">
        <f t="shared" si="113"/>
        <v>0</v>
      </c>
      <c r="R561" s="3395">
        <f t="shared" si="111"/>
        <v>0</v>
      </c>
      <c r="S561" s="3396">
        <f t="shared" si="111"/>
        <v>0</v>
      </c>
      <c r="T561" s="3396">
        <f t="shared" si="111"/>
        <v>0</v>
      </c>
      <c r="U561" s="3395">
        <f t="shared" si="110"/>
        <v>0</v>
      </c>
      <c r="V561" s="3396">
        <f t="shared" si="110"/>
        <v>0</v>
      </c>
      <c r="W561" s="3396">
        <f t="shared" si="110"/>
        <v>0</v>
      </c>
      <c r="X561" s="3386"/>
      <c r="Y561" s="3386"/>
      <c r="Z561" s="3386"/>
      <c r="AA561" s="3391"/>
    </row>
    <row r="562" spans="2:27" ht="18" hidden="1">
      <c r="B562" s="3350"/>
      <c r="C562" s="3407"/>
      <c r="D562" s="3350"/>
      <c r="E562" s="3404">
        <v>1093000334</v>
      </c>
      <c r="F562" s="3406"/>
      <c r="G562" s="3387"/>
      <c r="H562" s="3383">
        <f t="shared" si="104"/>
        <v>0</v>
      </c>
      <c r="I562" s="3386"/>
      <c r="J562" s="3387"/>
      <c r="K562" s="3383">
        <f t="shared" si="105"/>
        <v>0</v>
      </c>
      <c r="L562" s="3395">
        <f t="shared" si="114"/>
        <v>0</v>
      </c>
      <c r="M562" s="3396">
        <f t="shared" si="114"/>
        <v>0</v>
      </c>
      <c r="N562" s="3396">
        <f t="shared" si="114"/>
        <v>0</v>
      </c>
      <c r="O562" s="3395">
        <f t="shared" si="113"/>
        <v>0</v>
      </c>
      <c r="P562" s="3396">
        <f t="shared" si="113"/>
        <v>0</v>
      </c>
      <c r="Q562" s="3396">
        <f t="shared" si="113"/>
        <v>0</v>
      </c>
      <c r="R562" s="3395">
        <f t="shared" si="111"/>
        <v>0</v>
      </c>
      <c r="S562" s="3396">
        <f t="shared" si="111"/>
        <v>0</v>
      </c>
      <c r="T562" s="3396">
        <f t="shared" si="111"/>
        <v>0</v>
      </c>
      <c r="U562" s="3395">
        <f t="shared" si="110"/>
        <v>0</v>
      </c>
      <c r="V562" s="3396">
        <f t="shared" si="110"/>
        <v>0</v>
      </c>
      <c r="W562" s="3396">
        <f t="shared" si="110"/>
        <v>0</v>
      </c>
      <c r="X562" s="3386"/>
      <c r="Y562" s="3386"/>
      <c r="Z562" s="3386"/>
      <c r="AA562" s="3391"/>
    </row>
    <row r="563" spans="2:27" ht="18" hidden="1">
      <c r="B563" s="3350"/>
      <c r="C563" s="3407"/>
      <c r="D563" s="3350"/>
      <c r="E563" s="3404">
        <v>1093000335</v>
      </c>
      <c r="F563" s="3406"/>
      <c r="G563" s="3387"/>
      <c r="H563" s="3383">
        <f t="shared" si="104"/>
        <v>0</v>
      </c>
      <c r="I563" s="3386"/>
      <c r="J563" s="3387"/>
      <c r="K563" s="3383">
        <f t="shared" si="105"/>
        <v>0</v>
      </c>
      <c r="L563" s="3395">
        <f t="shared" si="114"/>
        <v>0</v>
      </c>
      <c r="M563" s="3396">
        <f t="shared" si="114"/>
        <v>0</v>
      </c>
      <c r="N563" s="3396">
        <f t="shared" si="114"/>
        <v>0</v>
      </c>
      <c r="O563" s="3395">
        <f t="shared" si="113"/>
        <v>0</v>
      </c>
      <c r="P563" s="3396">
        <f t="shared" si="113"/>
        <v>0</v>
      </c>
      <c r="Q563" s="3396">
        <f t="shared" si="113"/>
        <v>0</v>
      </c>
      <c r="R563" s="3395">
        <f t="shared" si="111"/>
        <v>0</v>
      </c>
      <c r="S563" s="3396">
        <f t="shared" si="111"/>
        <v>0</v>
      </c>
      <c r="T563" s="3396">
        <f t="shared" si="111"/>
        <v>0</v>
      </c>
      <c r="U563" s="3395">
        <f t="shared" si="110"/>
        <v>0</v>
      </c>
      <c r="V563" s="3396">
        <f t="shared" si="110"/>
        <v>0</v>
      </c>
      <c r="W563" s="3396">
        <f t="shared" si="110"/>
        <v>0</v>
      </c>
      <c r="X563" s="3386"/>
      <c r="Y563" s="3386"/>
      <c r="Z563" s="3386"/>
      <c r="AA563" s="3391"/>
    </row>
    <row r="564" spans="2:27" ht="18" hidden="1">
      <c r="B564" s="3350"/>
      <c r="C564" s="3407"/>
      <c r="D564" s="3350"/>
      <c r="E564" s="3404">
        <v>1093000336</v>
      </c>
      <c r="F564" s="3406"/>
      <c r="G564" s="3387"/>
      <c r="H564" s="3383">
        <f t="shared" si="104"/>
        <v>0</v>
      </c>
      <c r="I564" s="3386"/>
      <c r="J564" s="3387"/>
      <c r="K564" s="3383">
        <f t="shared" si="105"/>
        <v>0</v>
      </c>
      <c r="L564" s="3395">
        <f t="shared" si="114"/>
        <v>0</v>
      </c>
      <c r="M564" s="3396">
        <f t="shared" si="114"/>
        <v>0</v>
      </c>
      <c r="N564" s="3396">
        <f t="shared" si="114"/>
        <v>0</v>
      </c>
      <c r="O564" s="3395">
        <f t="shared" si="113"/>
        <v>0</v>
      </c>
      <c r="P564" s="3396">
        <f t="shared" si="113"/>
        <v>0</v>
      </c>
      <c r="Q564" s="3396">
        <f t="shared" si="113"/>
        <v>0</v>
      </c>
      <c r="R564" s="3395">
        <f t="shared" si="111"/>
        <v>0</v>
      </c>
      <c r="S564" s="3396">
        <f t="shared" si="111"/>
        <v>0</v>
      </c>
      <c r="T564" s="3396">
        <f t="shared" si="111"/>
        <v>0</v>
      </c>
      <c r="U564" s="3395">
        <f t="shared" si="110"/>
        <v>0</v>
      </c>
      <c r="V564" s="3396">
        <f t="shared" si="110"/>
        <v>0</v>
      </c>
      <c r="W564" s="3396">
        <f t="shared" si="110"/>
        <v>0</v>
      </c>
      <c r="X564" s="3386"/>
      <c r="Y564" s="3386"/>
      <c r="Z564" s="3386"/>
      <c r="AA564" s="3391"/>
    </row>
    <row r="565" spans="2:27" ht="18" hidden="1">
      <c r="B565" s="3350"/>
      <c r="C565" s="3407"/>
      <c r="D565" s="3350"/>
      <c r="E565" s="3404">
        <v>1093000337</v>
      </c>
      <c r="F565" s="3406"/>
      <c r="G565" s="3387"/>
      <c r="H565" s="3383">
        <f t="shared" si="104"/>
        <v>0</v>
      </c>
      <c r="I565" s="3386"/>
      <c r="J565" s="3387"/>
      <c r="K565" s="3383">
        <f t="shared" si="105"/>
        <v>0</v>
      </c>
      <c r="L565" s="3395">
        <f t="shared" si="114"/>
        <v>0</v>
      </c>
      <c r="M565" s="3396">
        <f t="shared" si="114"/>
        <v>0</v>
      </c>
      <c r="N565" s="3396">
        <f t="shared" si="114"/>
        <v>0</v>
      </c>
      <c r="O565" s="3395">
        <f t="shared" si="113"/>
        <v>0</v>
      </c>
      <c r="P565" s="3396">
        <f t="shared" si="113"/>
        <v>0</v>
      </c>
      <c r="Q565" s="3396">
        <f t="shared" si="113"/>
        <v>0</v>
      </c>
      <c r="R565" s="3395">
        <f t="shared" si="111"/>
        <v>0</v>
      </c>
      <c r="S565" s="3396">
        <f t="shared" si="111"/>
        <v>0</v>
      </c>
      <c r="T565" s="3396">
        <f t="shared" si="111"/>
        <v>0</v>
      </c>
      <c r="U565" s="3395">
        <f t="shared" si="110"/>
        <v>0</v>
      </c>
      <c r="V565" s="3396">
        <f t="shared" si="110"/>
        <v>0</v>
      </c>
      <c r="W565" s="3396">
        <f t="shared" si="110"/>
        <v>0</v>
      </c>
      <c r="X565" s="3386"/>
      <c r="Y565" s="3386"/>
      <c r="Z565" s="3386"/>
      <c r="AA565" s="3391"/>
    </row>
    <row r="566" spans="2:27" ht="18" hidden="1">
      <c r="B566" s="3350"/>
      <c r="C566" s="3407"/>
      <c r="D566" s="3350"/>
      <c r="E566" s="3404">
        <v>1093000338</v>
      </c>
      <c r="F566" s="3406"/>
      <c r="G566" s="3387"/>
      <c r="H566" s="3383">
        <f t="shared" si="104"/>
        <v>0</v>
      </c>
      <c r="I566" s="3386"/>
      <c r="J566" s="3387"/>
      <c r="K566" s="3383">
        <f t="shared" si="105"/>
        <v>0</v>
      </c>
      <c r="L566" s="3395">
        <f t="shared" si="114"/>
        <v>0</v>
      </c>
      <c r="M566" s="3396">
        <f t="shared" si="114"/>
        <v>0</v>
      </c>
      <c r="N566" s="3396">
        <f t="shared" si="114"/>
        <v>0</v>
      </c>
      <c r="O566" s="3395">
        <f t="shared" si="113"/>
        <v>0</v>
      </c>
      <c r="P566" s="3396">
        <f t="shared" si="113"/>
        <v>0</v>
      </c>
      <c r="Q566" s="3396">
        <f t="shared" si="113"/>
        <v>0</v>
      </c>
      <c r="R566" s="3395">
        <f t="shared" si="111"/>
        <v>0</v>
      </c>
      <c r="S566" s="3396">
        <f t="shared" si="111"/>
        <v>0</v>
      </c>
      <c r="T566" s="3396">
        <f t="shared" si="111"/>
        <v>0</v>
      </c>
      <c r="U566" s="3395">
        <f t="shared" si="110"/>
        <v>0</v>
      </c>
      <c r="V566" s="3396">
        <f t="shared" si="110"/>
        <v>0</v>
      </c>
      <c r="W566" s="3396">
        <f t="shared" si="110"/>
        <v>0</v>
      </c>
      <c r="X566" s="3386"/>
      <c r="Y566" s="3386"/>
      <c r="Z566" s="3386"/>
      <c r="AA566" s="3391"/>
    </row>
    <row r="567" spans="2:27" ht="18" hidden="1">
      <c r="B567" s="3350"/>
      <c r="C567" s="3407"/>
      <c r="D567" s="3350"/>
      <c r="E567" s="3404">
        <v>1093000339</v>
      </c>
      <c r="F567" s="3406"/>
      <c r="G567" s="3387"/>
      <c r="H567" s="3383">
        <f t="shared" si="104"/>
        <v>0</v>
      </c>
      <c r="I567" s="3386"/>
      <c r="J567" s="3387"/>
      <c r="K567" s="3383">
        <f t="shared" si="105"/>
        <v>0</v>
      </c>
      <c r="L567" s="3395">
        <f t="shared" si="114"/>
        <v>0</v>
      </c>
      <c r="M567" s="3396">
        <f t="shared" si="114"/>
        <v>0</v>
      </c>
      <c r="N567" s="3396">
        <f t="shared" si="114"/>
        <v>0</v>
      </c>
      <c r="O567" s="3395">
        <f t="shared" si="113"/>
        <v>0</v>
      </c>
      <c r="P567" s="3396">
        <f t="shared" si="113"/>
        <v>0</v>
      </c>
      <c r="Q567" s="3396">
        <f t="shared" si="113"/>
        <v>0</v>
      </c>
      <c r="R567" s="3395">
        <f t="shared" si="111"/>
        <v>0</v>
      </c>
      <c r="S567" s="3396">
        <f t="shared" si="111"/>
        <v>0</v>
      </c>
      <c r="T567" s="3396">
        <f t="shared" si="111"/>
        <v>0</v>
      </c>
      <c r="U567" s="3395">
        <f t="shared" si="110"/>
        <v>0</v>
      </c>
      <c r="V567" s="3396">
        <f t="shared" si="110"/>
        <v>0</v>
      </c>
      <c r="W567" s="3396">
        <f t="shared" si="110"/>
        <v>0</v>
      </c>
      <c r="X567" s="3386"/>
      <c r="Y567" s="3386"/>
      <c r="Z567" s="3386"/>
      <c r="AA567" s="3391"/>
    </row>
    <row r="568" spans="2:27" ht="18" hidden="1">
      <c r="B568" s="3350"/>
      <c r="C568" s="3407"/>
      <c r="D568" s="3350"/>
      <c r="E568" s="3404">
        <v>1093000340</v>
      </c>
      <c r="F568" s="3406"/>
      <c r="G568" s="3387"/>
      <c r="H568" s="3383">
        <f t="shared" si="104"/>
        <v>0</v>
      </c>
      <c r="I568" s="3386"/>
      <c r="J568" s="3387"/>
      <c r="K568" s="3383">
        <f t="shared" si="105"/>
        <v>0</v>
      </c>
      <c r="L568" s="3395">
        <f t="shared" si="114"/>
        <v>0</v>
      </c>
      <c r="M568" s="3396">
        <f t="shared" si="114"/>
        <v>0</v>
      </c>
      <c r="N568" s="3396">
        <f t="shared" si="114"/>
        <v>0</v>
      </c>
      <c r="O568" s="3395">
        <f t="shared" si="113"/>
        <v>0</v>
      </c>
      <c r="P568" s="3396">
        <f t="shared" si="113"/>
        <v>0</v>
      </c>
      <c r="Q568" s="3396">
        <f t="shared" si="113"/>
        <v>0</v>
      </c>
      <c r="R568" s="3395">
        <f t="shared" si="111"/>
        <v>0</v>
      </c>
      <c r="S568" s="3396">
        <f t="shared" si="111"/>
        <v>0</v>
      </c>
      <c r="T568" s="3396">
        <f t="shared" si="111"/>
        <v>0</v>
      </c>
      <c r="U568" s="3395">
        <f t="shared" si="110"/>
        <v>0</v>
      </c>
      <c r="V568" s="3396">
        <f t="shared" si="110"/>
        <v>0</v>
      </c>
      <c r="W568" s="3396">
        <f t="shared" si="110"/>
        <v>0</v>
      </c>
      <c r="X568" s="3386"/>
      <c r="Y568" s="3386"/>
      <c r="Z568" s="3386"/>
      <c r="AA568" s="3391"/>
    </row>
    <row r="569" spans="2:27" ht="18" hidden="1">
      <c r="B569" s="3350"/>
      <c r="C569" s="3407"/>
      <c r="D569" s="3350"/>
      <c r="E569" s="3404">
        <v>1093000341</v>
      </c>
      <c r="F569" s="3406"/>
      <c r="G569" s="3387"/>
      <c r="H569" s="3383">
        <f t="shared" si="104"/>
        <v>0</v>
      </c>
      <c r="I569" s="3386"/>
      <c r="J569" s="3387"/>
      <c r="K569" s="3383">
        <f t="shared" si="105"/>
        <v>0</v>
      </c>
      <c r="L569" s="3395">
        <f t="shared" si="114"/>
        <v>0</v>
      </c>
      <c r="M569" s="3396">
        <f t="shared" si="114"/>
        <v>0</v>
      </c>
      <c r="N569" s="3396">
        <f t="shared" si="114"/>
        <v>0</v>
      </c>
      <c r="O569" s="3395">
        <f t="shared" si="113"/>
        <v>0</v>
      </c>
      <c r="P569" s="3396">
        <f t="shared" si="113"/>
        <v>0</v>
      </c>
      <c r="Q569" s="3396">
        <f t="shared" si="113"/>
        <v>0</v>
      </c>
      <c r="R569" s="3395">
        <f t="shared" si="111"/>
        <v>0</v>
      </c>
      <c r="S569" s="3396">
        <f t="shared" si="111"/>
        <v>0</v>
      </c>
      <c r="T569" s="3396">
        <f t="shared" si="111"/>
        <v>0</v>
      </c>
      <c r="U569" s="3395">
        <f t="shared" si="110"/>
        <v>0</v>
      </c>
      <c r="V569" s="3396">
        <f t="shared" si="110"/>
        <v>0</v>
      </c>
      <c r="W569" s="3396">
        <f t="shared" si="110"/>
        <v>0</v>
      </c>
      <c r="X569" s="3386"/>
      <c r="Y569" s="3386"/>
      <c r="Z569" s="3386"/>
      <c r="AA569" s="3391"/>
    </row>
    <row r="570" spans="2:27" ht="18" hidden="1">
      <c r="B570" s="3350"/>
      <c r="C570" s="3407"/>
      <c r="D570" s="3350"/>
      <c r="E570" s="3404">
        <v>1093000342</v>
      </c>
      <c r="F570" s="3406"/>
      <c r="G570" s="3387"/>
      <c r="H570" s="3383">
        <f t="shared" si="104"/>
        <v>0</v>
      </c>
      <c r="I570" s="3386"/>
      <c r="J570" s="3387"/>
      <c r="K570" s="3383">
        <f t="shared" si="105"/>
        <v>0</v>
      </c>
      <c r="L570" s="3395">
        <f t="shared" si="114"/>
        <v>0</v>
      </c>
      <c r="M570" s="3396">
        <f t="shared" si="114"/>
        <v>0</v>
      </c>
      <c r="N570" s="3396">
        <f t="shared" si="114"/>
        <v>0</v>
      </c>
      <c r="O570" s="3395">
        <f t="shared" si="113"/>
        <v>0</v>
      </c>
      <c r="P570" s="3396">
        <f t="shared" si="113"/>
        <v>0</v>
      </c>
      <c r="Q570" s="3396">
        <f t="shared" si="113"/>
        <v>0</v>
      </c>
      <c r="R570" s="3395">
        <f t="shared" si="111"/>
        <v>0</v>
      </c>
      <c r="S570" s="3396">
        <f t="shared" si="111"/>
        <v>0</v>
      </c>
      <c r="T570" s="3396">
        <f t="shared" si="111"/>
        <v>0</v>
      </c>
      <c r="U570" s="3395">
        <f t="shared" si="110"/>
        <v>0</v>
      </c>
      <c r="V570" s="3396">
        <f t="shared" si="110"/>
        <v>0</v>
      </c>
      <c r="W570" s="3396">
        <f t="shared" si="110"/>
        <v>0</v>
      </c>
      <c r="X570" s="3386"/>
      <c r="Y570" s="3386"/>
      <c r="Z570" s="3386"/>
      <c r="AA570" s="3391"/>
    </row>
    <row r="571" spans="2:27" ht="18" hidden="1">
      <c r="B571" s="3350"/>
      <c r="C571" s="3407"/>
      <c r="D571" s="3350"/>
      <c r="E571" s="3404">
        <v>1093000343</v>
      </c>
      <c r="F571" s="3406"/>
      <c r="G571" s="3387"/>
      <c r="H571" s="3383">
        <f t="shared" si="104"/>
        <v>0</v>
      </c>
      <c r="I571" s="3386"/>
      <c r="J571" s="3387"/>
      <c r="K571" s="3383">
        <f t="shared" si="105"/>
        <v>0</v>
      </c>
      <c r="L571" s="3395">
        <f t="shared" si="114"/>
        <v>0</v>
      </c>
      <c r="M571" s="3396">
        <f t="shared" si="114"/>
        <v>0</v>
      </c>
      <c r="N571" s="3396">
        <f t="shared" si="114"/>
        <v>0</v>
      </c>
      <c r="O571" s="3395">
        <f t="shared" si="113"/>
        <v>0</v>
      </c>
      <c r="P571" s="3396">
        <f t="shared" si="113"/>
        <v>0</v>
      </c>
      <c r="Q571" s="3396">
        <f t="shared" si="113"/>
        <v>0</v>
      </c>
      <c r="R571" s="3395">
        <f t="shared" si="111"/>
        <v>0</v>
      </c>
      <c r="S571" s="3396">
        <f t="shared" si="111"/>
        <v>0</v>
      </c>
      <c r="T571" s="3396">
        <f t="shared" si="111"/>
        <v>0</v>
      </c>
      <c r="U571" s="3395">
        <f t="shared" si="110"/>
        <v>0</v>
      </c>
      <c r="V571" s="3396">
        <f t="shared" si="110"/>
        <v>0</v>
      </c>
      <c r="W571" s="3396">
        <f t="shared" si="110"/>
        <v>0</v>
      </c>
      <c r="X571" s="3386"/>
      <c r="Y571" s="3386"/>
      <c r="Z571" s="3386"/>
      <c r="AA571" s="3391"/>
    </row>
    <row r="572" spans="2:27" ht="18" hidden="1">
      <c r="B572" s="3350"/>
      <c r="C572" s="3407"/>
      <c r="D572" s="3350"/>
      <c r="E572" s="3404">
        <v>1093000344</v>
      </c>
      <c r="F572" s="3406"/>
      <c r="G572" s="3387"/>
      <c r="H572" s="3383">
        <f t="shared" si="104"/>
        <v>0</v>
      </c>
      <c r="I572" s="3386"/>
      <c r="J572" s="3387"/>
      <c r="K572" s="3383">
        <f t="shared" si="105"/>
        <v>0</v>
      </c>
      <c r="L572" s="3395">
        <f t="shared" si="114"/>
        <v>0</v>
      </c>
      <c r="M572" s="3396">
        <f t="shared" si="114"/>
        <v>0</v>
      </c>
      <c r="N572" s="3396">
        <f t="shared" si="114"/>
        <v>0</v>
      </c>
      <c r="O572" s="3395">
        <f t="shared" si="113"/>
        <v>0</v>
      </c>
      <c r="P572" s="3396">
        <f t="shared" si="113"/>
        <v>0</v>
      </c>
      <c r="Q572" s="3396">
        <f t="shared" si="113"/>
        <v>0</v>
      </c>
      <c r="R572" s="3395">
        <f t="shared" si="111"/>
        <v>0</v>
      </c>
      <c r="S572" s="3396">
        <f t="shared" si="111"/>
        <v>0</v>
      </c>
      <c r="T572" s="3396">
        <f t="shared" si="111"/>
        <v>0</v>
      </c>
      <c r="U572" s="3395">
        <f t="shared" si="110"/>
        <v>0</v>
      </c>
      <c r="V572" s="3396">
        <f t="shared" si="110"/>
        <v>0</v>
      </c>
      <c r="W572" s="3396">
        <f t="shared" si="110"/>
        <v>0</v>
      </c>
      <c r="X572" s="3386"/>
      <c r="Y572" s="3386"/>
      <c r="Z572" s="3386"/>
      <c r="AA572" s="3391"/>
    </row>
    <row r="573" spans="2:27" ht="18" hidden="1">
      <c r="B573" s="3350"/>
      <c r="C573" s="3407"/>
      <c r="D573" s="3350"/>
      <c r="E573" s="3404">
        <v>1093000345</v>
      </c>
      <c r="F573" s="3406"/>
      <c r="G573" s="3387"/>
      <c r="H573" s="3383">
        <f t="shared" si="104"/>
        <v>0</v>
      </c>
      <c r="I573" s="3386"/>
      <c r="J573" s="3387"/>
      <c r="K573" s="3383">
        <f t="shared" si="105"/>
        <v>0</v>
      </c>
      <c r="L573" s="3395">
        <f t="shared" si="114"/>
        <v>0</v>
      </c>
      <c r="M573" s="3396">
        <f t="shared" si="114"/>
        <v>0</v>
      </c>
      <c r="N573" s="3396">
        <f t="shared" si="114"/>
        <v>0</v>
      </c>
      <c r="O573" s="3395">
        <f t="shared" si="113"/>
        <v>0</v>
      </c>
      <c r="P573" s="3396">
        <f t="shared" si="113"/>
        <v>0</v>
      </c>
      <c r="Q573" s="3396">
        <f t="shared" si="113"/>
        <v>0</v>
      </c>
      <c r="R573" s="3395">
        <f t="shared" si="111"/>
        <v>0</v>
      </c>
      <c r="S573" s="3396">
        <f t="shared" si="111"/>
        <v>0</v>
      </c>
      <c r="T573" s="3396">
        <f t="shared" si="111"/>
        <v>0</v>
      </c>
      <c r="U573" s="3395">
        <f t="shared" si="110"/>
        <v>0</v>
      </c>
      <c r="V573" s="3396">
        <f t="shared" si="110"/>
        <v>0</v>
      </c>
      <c r="W573" s="3396">
        <f t="shared" si="110"/>
        <v>0</v>
      </c>
      <c r="X573" s="3386"/>
      <c r="Y573" s="3386"/>
      <c r="Z573" s="3386"/>
      <c r="AA573" s="3391"/>
    </row>
    <row r="574" spans="2:27" ht="18" hidden="1">
      <c r="B574" s="3350"/>
      <c r="C574" s="3407"/>
      <c r="D574" s="3350"/>
      <c r="E574" s="3404">
        <v>1093000346</v>
      </c>
      <c r="F574" s="3406"/>
      <c r="G574" s="3387"/>
      <c r="H574" s="3383">
        <f t="shared" si="104"/>
        <v>0</v>
      </c>
      <c r="I574" s="3386"/>
      <c r="J574" s="3387"/>
      <c r="K574" s="3383">
        <f t="shared" si="105"/>
        <v>0</v>
      </c>
      <c r="L574" s="3395">
        <f t="shared" si="114"/>
        <v>0</v>
      </c>
      <c r="M574" s="3396">
        <f t="shared" si="114"/>
        <v>0</v>
      </c>
      <c r="N574" s="3396">
        <f t="shared" si="114"/>
        <v>0</v>
      </c>
      <c r="O574" s="3395">
        <f t="shared" si="113"/>
        <v>0</v>
      </c>
      <c r="P574" s="3396">
        <f t="shared" si="113"/>
        <v>0</v>
      </c>
      <c r="Q574" s="3396">
        <f t="shared" si="113"/>
        <v>0</v>
      </c>
      <c r="R574" s="3395">
        <f t="shared" si="111"/>
        <v>0</v>
      </c>
      <c r="S574" s="3396">
        <f t="shared" si="111"/>
        <v>0</v>
      </c>
      <c r="T574" s="3396">
        <f t="shared" si="111"/>
        <v>0</v>
      </c>
      <c r="U574" s="3395">
        <f t="shared" si="110"/>
        <v>0</v>
      </c>
      <c r="V574" s="3396">
        <f t="shared" si="110"/>
        <v>0</v>
      </c>
      <c r="W574" s="3396">
        <f t="shared" si="110"/>
        <v>0</v>
      </c>
      <c r="X574" s="3386"/>
      <c r="Y574" s="3386"/>
      <c r="Z574" s="3386"/>
      <c r="AA574" s="3391"/>
    </row>
    <row r="575" spans="2:27" ht="18" hidden="1">
      <c r="B575" s="3350"/>
      <c r="C575" s="3407"/>
      <c r="D575" s="3350"/>
      <c r="E575" s="3404">
        <v>1093000347</v>
      </c>
      <c r="F575" s="3406"/>
      <c r="G575" s="3387"/>
      <c r="H575" s="3383">
        <f t="shared" si="104"/>
        <v>0</v>
      </c>
      <c r="I575" s="3386"/>
      <c r="J575" s="3387"/>
      <c r="K575" s="3383">
        <f t="shared" si="105"/>
        <v>0</v>
      </c>
      <c r="L575" s="3395">
        <f t="shared" si="114"/>
        <v>0</v>
      </c>
      <c r="M575" s="3396">
        <f t="shared" si="114"/>
        <v>0</v>
      </c>
      <c r="N575" s="3396">
        <f t="shared" si="114"/>
        <v>0</v>
      </c>
      <c r="O575" s="3395">
        <f t="shared" si="113"/>
        <v>0</v>
      </c>
      <c r="P575" s="3396">
        <f t="shared" si="113"/>
        <v>0</v>
      </c>
      <c r="Q575" s="3396">
        <f t="shared" si="113"/>
        <v>0</v>
      </c>
      <c r="R575" s="3395">
        <f t="shared" si="111"/>
        <v>0</v>
      </c>
      <c r="S575" s="3396">
        <f t="shared" si="111"/>
        <v>0</v>
      </c>
      <c r="T575" s="3396">
        <f t="shared" si="111"/>
        <v>0</v>
      </c>
      <c r="U575" s="3395">
        <f t="shared" si="111"/>
        <v>0</v>
      </c>
      <c r="V575" s="3396">
        <f t="shared" si="111"/>
        <v>0</v>
      </c>
      <c r="W575" s="3396">
        <f t="shared" si="111"/>
        <v>0</v>
      </c>
      <c r="X575" s="3386"/>
      <c r="Y575" s="3386"/>
      <c r="Z575" s="3386"/>
      <c r="AA575" s="3391"/>
    </row>
    <row r="576" spans="2:27" ht="18" hidden="1">
      <c r="B576" s="3350"/>
      <c r="C576" s="3407"/>
      <c r="D576" s="3350"/>
      <c r="E576" s="3404">
        <v>1093000348</v>
      </c>
      <c r="F576" s="3406"/>
      <c r="G576" s="3387"/>
      <c r="H576" s="3383">
        <f t="shared" si="104"/>
        <v>0</v>
      </c>
      <c r="I576" s="3386"/>
      <c r="J576" s="3387"/>
      <c r="K576" s="3383">
        <f t="shared" si="105"/>
        <v>0</v>
      </c>
      <c r="L576" s="3395">
        <f t="shared" si="114"/>
        <v>0</v>
      </c>
      <c r="M576" s="3396">
        <f t="shared" si="114"/>
        <v>0</v>
      </c>
      <c r="N576" s="3396">
        <f t="shared" si="114"/>
        <v>0</v>
      </c>
      <c r="O576" s="3395">
        <f t="shared" si="113"/>
        <v>0</v>
      </c>
      <c r="P576" s="3396">
        <f t="shared" si="113"/>
        <v>0</v>
      </c>
      <c r="Q576" s="3396">
        <f t="shared" si="113"/>
        <v>0</v>
      </c>
      <c r="R576" s="3395">
        <f t="shared" si="111"/>
        <v>0</v>
      </c>
      <c r="S576" s="3396">
        <f t="shared" si="111"/>
        <v>0</v>
      </c>
      <c r="T576" s="3396">
        <f t="shared" si="111"/>
        <v>0</v>
      </c>
      <c r="U576" s="3395">
        <f t="shared" si="111"/>
        <v>0</v>
      </c>
      <c r="V576" s="3396">
        <f t="shared" si="111"/>
        <v>0</v>
      </c>
      <c r="W576" s="3396">
        <f t="shared" si="111"/>
        <v>0</v>
      </c>
      <c r="X576" s="3386"/>
      <c r="Y576" s="3386"/>
      <c r="Z576" s="3386"/>
      <c r="AA576" s="3391"/>
    </row>
    <row r="577" spans="2:27" ht="18" hidden="1">
      <c r="B577" s="3350"/>
      <c r="C577" s="3407"/>
      <c r="D577" s="3350"/>
      <c r="E577" s="3404">
        <v>1093000349</v>
      </c>
      <c r="F577" s="3406"/>
      <c r="G577" s="3387"/>
      <c r="H577" s="3383">
        <f t="shared" si="104"/>
        <v>0</v>
      </c>
      <c r="I577" s="3386"/>
      <c r="J577" s="3387"/>
      <c r="K577" s="3383">
        <f t="shared" si="105"/>
        <v>0</v>
      </c>
      <c r="L577" s="3395">
        <f t="shared" si="114"/>
        <v>0</v>
      </c>
      <c r="M577" s="3396">
        <f t="shared" si="114"/>
        <v>0</v>
      </c>
      <c r="N577" s="3396">
        <f t="shared" si="114"/>
        <v>0</v>
      </c>
      <c r="O577" s="3395">
        <f t="shared" si="113"/>
        <v>0</v>
      </c>
      <c r="P577" s="3396">
        <f t="shared" si="113"/>
        <v>0</v>
      </c>
      <c r="Q577" s="3396">
        <f t="shared" si="113"/>
        <v>0</v>
      </c>
      <c r="R577" s="3395">
        <f t="shared" si="111"/>
        <v>0</v>
      </c>
      <c r="S577" s="3396">
        <f t="shared" si="111"/>
        <v>0</v>
      </c>
      <c r="T577" s="3396">
        <f t="shared" si="111"/>
        <v>0</v>
      </c>
      <c r="U577" s="3395">
        <f t="shared" si="111"/>
        <v>0</v>
      </c>
      <c r="V577" s="3396">
        <f t="shared" si="111"/>
        <v>0</v>
      </c>
      <c r="W577" s="3396">
        <f t="shared" si="111"/>
        <v>0</v>
      </c>
      <c r="X577" s="3386"/>
      <c r="Y577" s="3386"/>
      <c r="Z577" s="3386"/>
      <c r="AA577" s="3391"/>
    </row>
    <row r="578" spans="2:27" ht="18" hidden="1">
      <c r="B578" s="3350"/>
      <c r="C578" s="3407"/>
      <c r="D578" s="3350"/>
      <c r="E578" s="3404">
        <v>1093000350</v>
      </c>
      <c r="F578" s="3406"/>
      <c r="G578" s="3387"/>
      <c r="H578" s="3383">
        <f t="shared" si="104"/>
        <v>0</v>
      </c>
      <c r="I578" s="3386"/>
      <c r="J578" s="3387"/>
      <c r="K578" s="3383">
        <f t="shared" si="105"/>
        <v>0</v>
      </c>
      <c r="L578" s="3395">
        <f t="shared" si="114"/>
        <v>0</v>
      </c>
      <c r="M578" s="3396">
        <f t="shared" si="114"/>
        <v>0</v>
      </c>
      <c r="N578" s="3396">
        <f t="shared" si="114"/>
        <v>0</v>
      </c>
      <c r="O578" s="3395">
        <f t="shared" si="113"/>
        <v>0</v>
      </c>
      <c r="P578" s="3396">
        <f t="shared" si="113"/>
        <v>0</v>
      </c>
      <c r="Q578" s="3396">
        <f t="shared" si="113"/>
        <v>0</v>
      </c>
      <c r="R578" s="3395">
        <f t="shared" si="111"/>
        <v>0</v>
      </c>
      <c r="S578" s="3396">
        <f t="shared" si="111"/>
        <v>0</v>
      </c>
      <c r="T578" s="3396">
        <f t="shared" si="111"/>
        <v>0</v>
      </c>
      <c r="U578" s="3395">
        <f t="shared" si="111"/>
        <v>0</v>
      </c>
      <c r="V578" s="3396">
        <f t="shared" si="111"/>
        <v>0</v>
      </c>
      <c r="W578" s="3396">
        <f t="shared" si="111"/>
        <v>0</v>
      </c>
      <c r="X578" s="3386"/>
      <c r="Y578" s="3386"/>
      <c r="Z578" s="3386"/>
      <c r="AA578" s="3391"/>
    </row>
    <row r="579" spans="2:27" ht="18" hidden="1">
      <c r="B579" s="3350"/>
      <c r="C579" s="3407"/>
      <c r="D579" s="3350"/>
      <c r="E579" s="3404">
        <v>1093000351</v>
      </c>
      <c r="F579" s="3406"/>
      <c r="G579" s="3387"/>
      <c r="H579" s="3383">
        <f t="shared" si="104"/>
        <v>0</v>
      </c>
      <c r="I579" s="3386"/>
      <c r="J579" s="3387"/>
      <c r="K579" s="3383">
        <f t="shared" si="105"/>
        <v>0</v>
      </c>
      <c r="L579" s="3395">
        <f t="shared" si="114"/>
        <v>0</v>
      </c>
      <c r="M579" s="3396">
        <f t="shared" si="114"/>
        <v>0</v>
      </c>
      <c r="N579" s="3396">
        <f t="shared" si="114"/>
        <v>0</v>
      </c>
      <c r="O579" s="3395">
        <f t="shared" si="113"/>
        <v>0</v>
      </c>
      <c r="P579" s="3396">
        <f t="shared" si="113"/>
        <v>0</v>
      </c>
      <c r="Q579" s="3396">
        <f t="shared" si="113"/>
        <v>0</v>
      </c>
      <c r="R579" s="3395">
        <f t="shared" si="111"/>
        <v>0</v>
      </c>
      <c r="S579" s="3396">
        <f t="shared" si="111"/>
        <v>0</v>
      </c>
      <c r="T579" s="3396">
        <f t="shared" si="111"/>
        <v>0</v>
      </c>
      <c r="U579" s="3395">
        <f t="shared" si="111"/>
        <v>0</v>
      </c>
      <c r="V579" s="3396">
        <f t="shared" si="111"/>
        <v>0</v>
      </c>
      <c r="W579" s="3396">
        <f t="shared" si="111"/>
        <v>0</v>
      </c>
      <c r="X579" s="3386"/>
      <c r="Y579" s="3386"/>
      <c r="Z579" s="3386"/>
      <c r="AA579" s="3391"/>
    </row>
    <row r="580" spans="2:27" ht="18" hidden="1">
      <c r="B580" s="3350"/>
      <c r="C580" s="3407"/>
      <c r="D580" s="3350"/>
      <c r="E580" s="3404">
        <v>1093000352</v>
      </c>
      <c r="F580" s="3406"/>
      <c r="G580" s="3387"/>
      <c r="H580" s="3383">
        <f t="shared" si="104"/>
        <v>0</v>
      </c>
      <c r="I580" s="3386"/>
      <c r="J580" s="3387"/>
      <c r="K580" s="3383">
        <f t="shared" si="105"/>
        <v>0</v>
      </c>
      <c r="L580" s="3395">
        <f t="shared" si="114"/>
        <v>0</v>
      </c>
      <c r="M580" s="3396">
        <f t="shared" si="114"/>
        <v>0</v>
      </c>
      <c r="N580" s="3396">
        <f t="shared" si="114"/>
        <v>0</v>
      </c>
      <c r="O580" s="3395">
        <f t="shared" si="113"/>
        <v>0</v>
      </c>
      <c r="P580" s="3396">
        <f t="shared" si="113"/>
        <v>0</v>
      </c>
      <c r="Q580" s="3396">
        <f t="shared" si="113"/>
        <v>0</v>
      </c>
      <c r="R580" s="3395">
        <f t="shared" si="111"/>
        <v>0</v>
      </c>
      <c r="S580" s="3396">
        <f t="shared" si="111"/>
        <v>0</v>
      </c>
      <c r="T580" s="3396">
        <f t="shared" si="111"/>
        <v>0</v>
      </c>
      <c r="U580" s="3395">
        <f t="shared" si="111"/>
        <v>0</v>
      </c>
      <c r="V580" s="3396">
        <f t="shared" si="111"/>
        <v>0</v>
      </c>
      <c r="W580" s="3396">
        <f t="shared" si="111"/>
        <v>0</v>
      </c>
      <c r="X580" s="3386"/>
      <c r="Y580" s="3386"/>
      <c r="Z580" s="3386"/>
      <c r="AA580" s="3391"/>
    </row>
    <row r="581" spans="2:27" ht="18" hidden="1">
      <c r="B581" s="3350"/>
      <c r="C581" s="3407"/>
      <c r="D581" s="3350"/>
      <c r="E581" s="3404">
        <v>1093000353</v>
      </c>
      <c r="F581" s="3406"/>
      <c r="G581" s="3387"/>
      <c r="H581" s="3383">
        <f t="shared" si="104"/>
        <v>0</v>
      </c>
      <c r="I581" s="3386"/>
      <c r="J581" s="3387"/>
      <c r="K581" s="3383">
        <f t="shared" si="105"/>
        <v>0</v>
      </c>
      <c r="L581" s="3395">
        <f t="shared" si="114"/>
        <v>0</v>
      </c>
      <c r="M581" s="3396">
        <f t="shared" si="114"/>
        <v>0</v>
      </c>
      <c r="N581" s="3396">
        <f t="shared" si="114"/>
        <v>0</v>
      </c>
      <c r="O581" s="3395">
        <f t="shared" si="113"/>
        <v>0</v>
      </c>
      <c r="P581" s="3396">
        <f t="shared" si="113"/>
        <v>0</v>
      </c>
      <c r="Q581" s="3396">
        <f t="shared" si="113"/>
        <v>0</v>
      </c>
      <c r="R581" s="3395">
        <f t="shared" si="111"/>
        <v>0</v>
      </c>
      <c r="S581" s="3396">
        <f t="shared" si="111"/>
        <v>0</v>
      </c>
      <c r="T581" s="3396">
        <f t="shared" si="111"/>
        <v>0</v>
      </c>
      <c r="U581" s="3395">
        <f t="shared" si="111"/>
        <v>0</v>
      </c>
      <c r="V581" s="3396">
        <f t="shared" si="111"/>
        <v>0</v>
      </c>
      <c r="W581" s="3396">
        <f t="shared" si="111"/>
        <v>0</v>
      </c>
      <c r="X581" s="3386"/>
      <c r="Y581" s="3386"/>
      <c r="Z581" s="3386"/>
      <c r="AA581" s="3391"/>
    </row>
    <row r="582" spans="2:27" ht="18" hidden="1">
      <c r="B582" s="3350"/>
      <c r="C582" s="3407"/>
      <c r="D582" s="3350"/>
      <c r="E582" s="3404">
        <v>1093000354</v>
      </c>
      <c r="F582" s="3406"/>
      <c r="G582" s="3387"/>
      <c r="H582" s="3383">
        <f t="shared" si="104"/>
        <v>0</v>
      </c>
      <c r="I582" s="3386"/>
      <c r="J582" s="3387"/>
      <c r="K582" s="3383">
        <f t="shared" si="105"/>
        <v>0</v>
      </c>
      <c r="L582" s="3395">
        <f t="shared" si="114"/>
        <v>0</v>
      </c>
      <c r="M582" s="3396">
        <f t="shared" si="114"/>
        <v>0</v>
      </c>
      <c r="N582" s="3396">
        <f t="shared" si="114"/>
        <v>0</v>
      </c>
      <c r="O582" s="3395">
        <f t="shared" si="113"/>
        <v>0</v>
      </c>
      <c r="P582" s="3396">
        <f t="shared" si="113"/>
        <v>0</v>
      </c>
      <c r="Q582" s="3396">
        <f t="shared" si="113"/>
        <v>0</v>
      </c>
      <c r="R582" s="3395">
        <f t="shared" si="111"/>
        <v>0</v>
      </c>
      <c r="S582" s="3396">
        <f t="shared" si="111"/>
        <v>0</v>
      </c>
      <c r="T582" s="3396">
        <f t="shared" si="111"/>
        <v>0</v>
      </c>
      <c r="U582" s="3395">
        <f t="shared" si="111"/>
        <v>0</v>
      </c>
      <c r="V582" s="3396">
        <f t="shared" si="111"/>
        <v>0</v>
      </c>
      <c r="W582" s="3396">
        <f t="shared" si="111"/>
        <v>0</v>
      </c>
      <c r="X582" s="3386"/>
      <c r="Y582" s="3386"/>
      <c r="Z582" s="3386"/>
      <c r="AA582" s="3391"/>
    </row>
    <row r="583" spans="2:27" ht="18" hidden="1">
      <c r="B583" s="3350"/>
      <c r="C583" s="3407"/>
      <c r="D583" s="3350"/>
      <c r="E583" s="3404">
        <v>1093000355</v>
      </c>
      <c r="F583" s="3406"/>
      <c r="G583" s="3387"/>
      <c r="H583" s="3383">
        <f t="shared" si="104"/>
        <v>0</v>
      </c>
      <c r="I583" s="3386"/>
      <c r="J583" s="3387"/>
      <c r="K583" s="3383">
        <f t="shared" si="105"/>
        <v>0</v>
      </c>
      <c r="L583" s="3395">
        <f t="shared" si="114"/>
        <v>0</v>
      </c>
      <c r="M583" s="3396">
        <f t="shared" si="114"/>
        <v>0</v>
      </c>
      <c r="N583" s="3396">
        <f t="shared" si="114"/>
        <v>0</v>
      </c>
      <c r="O583" s="3395">
        <f t="shared" si="113"/>
        <v>0</v>
      </c>
      <c r="P583" s="3396">
        <f t="shared" si="113"/>
        <v>0</v>
      </c>
      <c r="Q583" s="3396">
        <f t="shared" si="113"/>
        <v>0</v>
      </c>
      <c r="R583" s="3395">
        <f t="shared" si="111"/>
        <v>0</v>
      </c>
      <c r="S583" s="3396">
        <f t="shared" si="111"/>
        <v>0</v>
      </c>
      <c r="T583" s="3396">
        <f t="shared" si="111"/>
        <v>0</v>
      </c>
      <c r="U583" s="3395">
        <f t="shared" si="111"/>
        <v>0</v>
      </c>
      <c r="V583" s="3396">
        <f t="shared" si="111"/>
        <v>0</v>
      </c>
      <c r="W583" s="3396">
        <f t="shared" si="111"/>
        <v>0</v>
      </c>
      <c r="X583" s="3386"/>
      <c r="Y583" s="3386"/>
      <c r="Z583" s="3386"/>
      <c r="AA583" s="3391"/>
    </row>
    <row r="584" spans="2:27" ht="18" hidden="1">
      <c r="B584" s="3350"/>
      <c r="C584" s="3407"/>
      <c r="D584" s="3350"/>
      <c r="E584" s="3404">
        <v>1093000356</v>
      </c>
      <c r="F584" s="3406"/>
      <c r="G584" s="3387"/>
      <c r="H584" s="3383">
        <f t="shared" si="104"/>
        <v>0</v>
      </c>
      <c r="I584" s="3386"/>
      <c r="J584" s="3387"/>
      <c r="K584" s="3383">
        <f t="shared" si="105"/>
        <v>0</v>
      </c>
      <c r="L584" s="3395">
        <f t="shared" si="114"/>
        <v>0</v>
      </c>
      <c r="M584" s="3396">
        <f t="shared" si="114"/>
        <v>0</v>
      </c>
      <c r="N584" s="3396">
        <f t="shared" si="114"/>
        <v>0</v>
      </c>
      <c r="O584" s="3395">
        <f t="shared" si="113"/>
        <v>0</v>
      </c>
      <c r="P584" s="3396">
        <f t="shared" si="113"/>
        <v>0</v>
      </c>
      <c r="Q584" s="3396">
        <f t="shared" si="113"/>
        <v>0</v>
      </c>
      <c r="R584" s="3395">
        <f t="shared" si="113"/>
        <v>0</v>
      </c>
      <c r="S584" s="3396">
        <f t="shared" si="113"/>
        <v>0</v>
      </c>
      <c r="T584" s="3396">
        <f t="shared" si="113"/>
        <v>0</v>
      </c>
      <c r="U584" s="3395">
        <f t="shared" si="113"/>
        <v>0</v>
      </c>
      <c r="V584" s="3396">
        <f t="shared" si="113"/>
        <v>0</v>
      </c>
      <c r="W584" s="3396">
        <f t="shared" si="113"/>
        <v>0</v>
      </c>
      <c r="X584" s="3386"/>
      <c r="Y584" s="3386"/>
      <c r="Z584" s="3386"/>
      <c r="AA584" s="3391"/>
    </row>
    <row r="585" spans="2:27" ht="18" hidden="1">
      <c r="B585" s="3350"/>
      <c r="C585" s="3407"/>
      <c r="D585" s="3350"/>
      <c r="E585" s="3404">
        <v>1093000357</v>
      </c>
      <c r="F585" s="3406"/>
      <c r="G585" s="3387"/>
      <c r="H585" s="3383">
        <f t="shared" si="104"/>
        <v>0</v>
      </c>
      <c r="I585" s="3386"/>
      <c r="J585" s="3387"/>
      <c r="K585" s="3383">
        <f t="shared" si="105"/>
        <v>0</v>
      </c>
      <c r="L585" s="3395">
        <f t="shared" si="114"/>
        <v>0</v>
      </c>
      <c r="M585" s="3396">
        <f t="shared" si="114"/>
        <v>0</v>
      </c>
      <c r="N585" s="3396">
        <f t="shared" si="114"/>
        <v>0</v>
      </c>
      <c r="O585" s="3395">
        <f t="shared" si="113"/>
        <v>0</v>
      </c>
      <c r="P585" s="3396">
        <f t="shared" si="113"/>
        <v>0</v>
      </c>
      <c r="Q585" s="3396">
        <f t="shared" si="113"/>
        <v>0</v>
      </c>
      <c r="R585" s="3395">
        <f t="shared" si="113"/>
        <v>0</v>
      </c>
      <c r="S585" s="3396">
        <f t="shared" si="113"/>
        <v>0</v>
      </c>
      <c r="T585" s="3396">
        <f t="shared" si="113"/>
        <v>0</v>
      </c>
      <c r="U585" s="3395">
        <f t="shared" si="113"/>
        <v>0</v>
      </c>
      <c r="V585" s="3396">
        <f t="shared" si="113"/>
        <v>0</v>
      </c>
      <c r="W585" s="3396">
        <f t="shared" si="113"/>
        <v>0</v>
      </c>
      <c r="X585" s="3386"/>
      <c r="Y585" s="3386"/>
      <c r="Z585" s="3386"/>
      <c r="AA585" s="3391"/>
    </row>
    <row r="586" spans="2:27" ht="18" hidden="1">
      <c r="B586" s="3350"/>
      <c r="C586" s="3407"/>
      <c r="D586" s="3350"/>
      <c r="E586" s="3404">
        <v>1093000358</v>
      </c>
      <c r="F586" s="3406"/>
      <c r="G586" s="3387"/>
      <c r="H586" s="3383">
        <f t="shared" si="104"/>
        <v>0</v>
      </c>
      <c r="I586" s="3386"/>
      <c r="J586" s="3387"/>
      <c r="K586" s="3383">
        <f t="shared" si="105"/>
        <v>0</v>
      </c>
      <c r="L586" s="3395">
        <f t="shared" si="114"/>
        <v>0</v>
      </c>
      <c r="M586" s="3396">
        <f t="shared" si="114"/>
        <v>0</v>
      </c>
      <c r="N586" s="3396">
        <f t="shared" si="114"/>
        <v>0</v>
      </c>
      <c r="O586" s="3395">
        <f t="shared" si="113"/>
        <v>0</v>
      </c>
      <c r="P586" s="3396">
        <f t="shared" si="113"/>
        <v>0</v>
      </c>
      <c r="Q586" s="3396">
        <f t="shared" si="113"/>
        <v>0</v>
      </c>
      <c r="R586" s="3395">
        <f t="shared" si="113"/>
        <v>0</v>
      </c>
      <c r="S586" s="3396">
        <f t="shared" si="113"/>
        <v>0</v>
      </c>
      <c r="T586" s="3396">
        <f t="shared" si="113"/>
        <v>0</v>
      </c>
      <c r="U586" s="3395">
        <f t="shared" si="113"/>
        <v>0</v>
      </c>
      <c r="V586" s="3396">
        <f t="shared" si="113"/>
        <v>0</v>
      </c>
      <c r="W586" s="3396">
        <f t="shared" si="113"/>
        <v>0</v>
      </c>
      <c r="X586" s="3386"/>
      <c r="Y586" s="3386"/>
      <c r="Z586" s="3386"/>
      <c r="AA586" s="3391"/>
    </row>
    <row r="587" spans="2:27" ht="18" hidden="1">
      <c r="B587" s="3350"/>
      <c r="C587" s="3407"/>
      <c r="D587" s="3350"/>
      <c r="E587" s="3404">
        <v>1093000359</v>
      </c>
      <c r="F587" s="3406"/>
      <c r="G587" s="3387"/>
      <c r="H587" s="3383">
        <f t="shared" si="104"/>
        <v>0</v>
      </c>
      <c r="I587" s="3386"/>
      <c r="J587" s="3387"/>
      <c r="K587" s="3383">
        <f t="shared" si="105"/>
        <v>0</v>
      </c>
      <c r="L587" s="3395">
        <f t="shared" si="114"/>
        <v>0</v>
      </c>
      <c r="M587" s="3396">
        <f t="shared" si="114"/>
        <v>0</v>
      </c>
      <c r="N587" s="3396">
        <f t="shared" si="114"/>
        <v>0</v>
      </c>
      <c r="O587" s="3395">
        <f t="shared" si="113"/>
        <v>0</v>
      </c>
      <c r="P587" s="3396">
        <f t="shared" si="113"/>
        <v>0</v>
      </c>
      <c r="Q587" s="3396">
        <f t="shared" si="113"/>
        <v>0</v>
      </c>
      <c r="R587" s="3395">
        <f t="shared" si="113"/>
        <v>0</v>
      </c>
      <c r="S587" s="3396">
        <f t="shared" si="113"/>
        <v>0</v>
      </c>
      <c r="T587" s="3396">
        <f t="shared" si="113"/>
        <v>0</v>
      </c>
      <c r="U587" s="3395">
        <f t="shared" si="113"/>
        <v>0</v>
      </c>
      <c r="V587" s="3396">
        <f t="shared" si="113"/>
        <v>0</v>
      </c>
      <c r="W587" s="3396">
        <f t="shared" si="113"/>
        <v>0</v>
      </c>
      <c r="X587" s="3386"/>
      <c r="Y587" s="3386"/>
      <c r="Z587" s="3386"/>
      <c r="AA587" s="3391"/>
    </row>
    <row r="588" spans="2:27" ht="18" hidden="1">
      <c r="B588" s="3350"/>
      <c r="C588" s="3407"/>
      <c r="D588" s="3350"/>
      <c r="E588" s="3404">
        <v>1093000360</v>
      </c>
      <c r="F588" s="3406"/>
      <c r="G588" s="3387"/>
      <c r="H588" s="3383">
        <f t="shared" si="104"/>
        <v>0</v>
      </c>
      <c r="I588" s="3386"/>
      <c r="J588" s="3387"/>
      <c r="K588" s="3383">
        <f t="shared" si="105"/>
        <v>0</v>
      </c>
      <c r="L588" s="3395">
        <f t="shared" si="114"/>
        <v>0</v>
      </c>
      <c r="M588" s="3396">
        <f t="shared" si="114"/>
        <v>0</v>
      </c>
      <c r="N588" s="3396">
        <f t="shared" si="114"/>
        <v>0</v>
      </c>
      <c r="O588" s="3395">
        <f t="shared" si="113"/>
        <v>0</v>
      </c>
      <c r="P588" s="3396">
        <f t="shared" si="113"/>
        <v>0</v>
      </c>
      <c r="Q588" s="3396">
        <f t="shared" si="113"/>
        <v>0</v>
      </c>
      <c r="R588" s="3395">
        <f t="shared" si="113"/>
        <v>0</v>
      </c>
      <c r="S588" s="3396">
        <f t="shared" si="113"/>
        <v>0</v>
      </c>
      <c r="T588" s="3396">
        <f t="shared" si="113"/>
        <v>0</v>
      </c>
      <c r="U588" s="3395">
        <f t="shared" si="113"/>
        <v>0</v>
      </c>
      <c r="V588" s="3396">
        <f t="shared" si="113"/>
        <v>0</v>
      </c>
      <c r="W588" s="3396">
        <f t="shared" si="113"/>
        <v>0</v>
      </c>
      <c r="X588" s="3386"/>
      <c r="Y588" s="3386"/>
      <c r="Z588" s="3386"/>
      <c r="AA588" s="3391"/>
    </row>
    <row r="589" spans="2:27" ht="18" hidden="1">
      <c r="B589" s="3350"/>
      <c r="C589" s="3407"/>
      <c r="D589" s="3350"/>
      <c r="E589" s="3404">
        <v>1093000361</v>
      </c>
      <c r="F589" s="3406"/>
      <c r="G589" s="3387"/>
      <c r="H589" s="3383">
        <f t="shared" si="104"/>
        <v>0</v>
      </c>
      <c r="I589" s="3386"/>
      <c r="J589" s="3387"/>
      <c r="K589" s="3383">
        <f t="shared" si="105"/>
        <v>0</v>
      </c>
      <c r="L589" s="3395">
        <f t="shared" si="114"/>
        <v>0</v>
      </c>
      <c r="M589" s="3396">
        <f t="shared" si="114"/>
        <v>0</v>
      </c>
      <c r="N589" s="3396">
        <f t="shared" si="114"/>
        <v>0</v>
      </c>
      <c r="O589" s="3395">
        <f t="shared" si="113"/>
        <v>0</v>
      </c>
      <c r="P589" s="3396">
        <f t="shared" si="113"/>
        <v>0</v>
      </c>
      <c r="Q589" s="3396">
        <f t="shared" si="113"/>
        <v>0</v>
      </c>
      <c r="R589" s="3395">
        <f t="shared" si="113"/>
        <v>0</v>
      </c>
      <c r="S589" s="3396">
        <f t="shared" si="113"/>
        <v>0</v>
      </c>
      <c r="T589" s="3396">
        <f t="shared" si="113"/>
        <v>0</v>
      </c>
      <c r="U589" s="3395">
        <f t="shared" si="113"/>
        <v>0</v>
      </c>
      <c r="V589" s="3396">
        <f t="shared" si="113"/>
        <v>0</v>
      </c>
      <c r="W589" s="3396">
        <f t="shared" si="113"/>
        <v>0</v>
      </c>
      <c r="X589" s="3386"/>
      <c r="Y589" s="3386"/>
      <c r="Z589" s="3386"/>
      <c r="AA589" s="3391"/>
    </row>
    <row r="590" spans="2:27" ht="18" hidden="1">
      <c r="B590" s="3350"/>
      <c r="C590" s="3407"/>
      <c r="D590" s="3350"/>
      <c r="E590" s="3404">
        <v>1093000362</v>
      </c>
      <c r="F590" s="3406"/>
      <c r="G590" s="3387"/>
      <c r="H590" s="3383">
        <f t="shared" si="104"/>
        <v>0</v>
      </c>
      <c r="I590" s="3386"/>
      <c r="J590" s="3387"/>
      <c r="K590" s="3383">
        <f t="shared" si="105"/>
        <v>0</v>
      </c>
      <c r="L590" s="3395">
        <f t="shared" si="114"/>
        <v>0</v>
      </c>
      <c r="M590" s="3396">
        <f t="shared" si="114"/>
        <v>0</v>
      </c>
      <c r="N590" s="3396">
        <f t="shared" si="114"/>
        <v>0</v>
      </c>
      <c r="O590" s="3395">
        <f t="shared" si="113"/>
        <v>0</v>
      </c>
      <c r="P590" s="3396">
        <f t="shared" si="113"/>
        <v>0</v>
      </c>
      <c r="Q590" s="3396">
        <f t="shared" si="113"/>
        <v>0</v>
      </c>
      <c r="R590" s="3395">
        <f t="shared" si="113"/>
        <v>0</v>
      </c>
      <c r="S590" s="3396">
        <f t="shared" si="113"/>
        <v>0</v>
      </c>
      <c r="T590" s="3396">
        <f t="shared" si="113"/>
        <v>0</v>
      </c>
      <c r="U590" s="3395">
        <f t="shared" si="113"/>
        <v>0</v>
      </c>
      <c r="V590" s="3396">
        <f t="shared" si="113"/>
        <v>0</v>
      </c>
      <c r="W590" s="3396">
        <f t="shared" si="113"/>
        <v>0</v>
      </c>
      <c r="X590" s="3386"/>
      <c r="Y590" s="3386"/>
      <c r="Z590" s="3386"/>
      <c r="AA590" s="3391"/>
    </row>
    <row r="591" spans="2:27" ht="18" hidden="1">
      <c r="B591" s="3350"/>
      <c r="C591" s="3407"/>
      <c r="D591" s="3350"/>
      <c r="E591" s="3404">
        <v>1093000363</v>
      </c>
      <c r="F591" s="3406"/>
      <c r="G591" s="3387"/>
      <c r="H591" s="3383">
        <f t="shared" si="104"/>
        <v>0</v>
      </c>
      <c r="I591" s="3386"/>
      <c r="J591" s="3387"/>
      <c r="K591" s="3383">
        <f t="shared" si="105"/>
        <v>0</v>
      </c>
      <c r="L591" s="3395">
        <f t="shared" si="114"/>
        <v>0</v>
      </c>
      <c r="M591" s="3396">
        <f t="shared" si="114"/>
        <v>0</v>
      </c>
      <c r="N591" s="3396">
        <f t="shared" si="114"/>
        <v>0</v>
      </c>
      <c r="O591" s="3395">
        <f t="shared" si="113"/>
        <v>0</v>
      </c>
      <c r="P591" s="3396">
        <f t="shared" si="113"/>
        <v>0</v>
      </c>
      <c r="Q591" s="3396">
        <f t="shared" si="113"/>
        <v>0</v>
      </c>
      <c r="R591" s="3395">
        <f t="shared" si="113"/>
        <v>0</v>
      </c>
      <c r="S591" s="3396">
        <f t="shared" si="113"/>
        <v>0</v>
      </c>
      <c r="T591" s="3396">
        <f t="shared" si="113"/>
        <v>0</v>
      </c>
      <c r="U591" s="3395">
        <f t="shared" si="113"/>
        <v>0</v>
      </c>
      <c r="V591" s="3396">
        <f t="shared" si="113"/>
        <v>0</v>
      </c>
      <c r="W591" s="3396">
        <f t="shared" si="113"/>
        <v>0</v>
      </c>
      <c r="X591" s="3386"/>
      <c r="Y591" s="3386"/>
      <c r="Z591" s="3386"/>
      <c r="AA591" s="3391"/>
    </row>
    <row r="592" spans="2:27" ht="18" hidden="1">
      <c r="B592" s="3350"/>
      <c r="C592" s="3407"/>
      <c r="D592" s="3350"/>
      <c r="E592" s="3404">
        <v>1093000364</v>
      </c>
      <c r="F592" s="3406"/>
      <c r="G592" s="3387"/>
      <c r="H592" s="3383">
        <f t="shared" si="104"/>
        <v>0</v>
      </c>
      <c r="I592" s="3386"/>
      <c r="J592" s="3387"/>
      <c r="K592" s="3383">
        <f t="shared" si="105"/>
        <v>0</v>
      </c>
      <c r="L592" s="3395">
        <f t="shared" si="114"/>
        <v>0</v>
      </c>
      <c r="M592" s="3396">
        <f t="shared" si="114"/>
        <v>0</v>
      </c>
      <c r="N592" s="3396">
        <f t="shared" si="114"/>
        <v>0</v>
      </c>
      <c r="O592" s="3395">
        <f t="shared" si="113"/>
        <v>0</v>
      </c>
      <c r="P592" s="3396">
        <f t="shared" si="113"/>
        <v>0</v>
      </c>
      <c r="Q592" s="3396">
        <f t="shared" si="113"/>
        <v>0</v>
      </c>
      <c r="R592" s="3395">
        <f t="shared" si="113"/>
        <v>0</v>
      </c>
      <c r="S592" s="3396">
        <f t="shared" si="113"/>
        <v>0</v>
      </c>
      <c r="T592" s="3396">
        <f t="shared" si="113"/>
        <v>0</v>
      </c>
      <c r="U592" s="3395">
        <f t="shared" si="113"/>
        <v>0</v>
      </c>
      <c r="V592" s="3396">
        <f t="shared" si="113"/>
        <v>0</v>
      </c>
      <c r="W592" s="3396">
        <f t="shared" si="113"/>
        <v>0</v>
      </c>
      <c r="X592" s="3386"/>
      <c r="Y592" s="3386"/>
      <c r="Z592" s="3386"/>
      <c r="AA592" s="3391"/>
    </row>
    <row r="593" spans="2:27" ht="18" hidden="1">
      <c r="B593" s="3350"/>
      <c r="C593" s="3407"/>
      <c r="D593" s="3350"/>
      <c r="E593" s="3404">
        <v>1093000365</v>
      </c>
      <c r="F593" s="3406"/>
      <c r="G593" s="3387"/>
      <c r="H593" s="3383">
        <f t="shared" si="104"/>
        <v>0</v>
      </c>
      <c r="I593" s="3386"/>
      <c r="J593" s="3387"/>
      <c r="K593" s="3383">
        <f t="shared" si="105"/>
        <v>0</v>
      </c>
      <c r="L593" s="3395">
        <f t="shared" si="114"/>
        <v>0</v>
      </c>
      <c r="M593" s="3396">
        <f t="shared" si="114"/>
        <v>0</v>
      </c>
      <c r="N593" s="3396">
        <f t="shared" si="114"/>
        <v>0</v>
      </c>
      <c r="O593" s="3395">
        <f t="shared" si="113"/>
        <v>0</v>
      </c>
      <c r="P593" s="3396">
        <f t="shared" si="113"/>
        <v>0</v>
      </c>
      <c r="Q593" s="3396">
        <f t="shared" si="113"/>
        <v>0</v>
      </c>
      <c r="R593" s="3395">
        <f t="shared" si="113"/>
        <v>0</v>
      </c>
      <c r="S593" s="3396">
        <f t="shared" si="113"/>
        <v>0</v>
      </c>
      <c r="T593" s="3396">
        <f t="shared" si="113"/>
        <v>0</v>
      </c>
      <c r="U593" s="3395">
        <f t="shared" si="113"/>
        <v>0</v>
      </c>
      <c r="V593" s="3396">
        <f t="shared" si="113"/>
        <v>0</v>
      </c>
      <c r="W593" s="3396">
        <f t="shared" si="113"/>
        <v>0</v>
      </c>
      <c r="X593" s="3386"/>
      <c r="Y593" s="3386"/>
      <c r="Z593" s="3386"/>
      <c r="AA593" s="3391"/>
    </row>
    <row r="594" spans="2:27" ht="18" hidden="1">
      <c r="B594" s="3350"/>
      <c r="C594" s="3407"/>
      <c r="D594" s="3350"/>
      <c r="E594" s="3404">
        <v>1093000366</v>
      </c>
      <c r="F594" s="3406"/>
      <c r="G594" s="3387"/>
      <c r="H594" s="3383">
        <f t="shared" si="104"/>
        <v>0</v>
      </c>
      <c r="I594" s="3386"/>
      <c r="J594" s="3387"/>
      <c r="K594" s="3383">
        <f t="shared" si="105"/>
        <v>0</v>
      </c>
      <c r="L594" s="3395">
        <f t="shared" si="114"/>
        <v>0</v>
      </c>
      <c r="M594" s="3396">
        <f t="shared" si="114"/>
        <v>0</v>
      </c>
      <c r="N594" s="3396">
        <f t="shared" si="114"/>
        <v>0</v>
      </c>
      <c r="O594" s="3395">
        <f t="shared" si="113"/>
        <v>0</v>
      </c>
      <c r="P594" s="3396">
        <f t="shared" si="113"/>
        <v>0</v>
      </c>
      <c r="Q594" s="3396">
        <f t="shared" si="113"/>
        <v>0</v>
      </c>
      <c r="R594" s="3395">
        <f t="shared" si="113"/>
        <v>0</v>
      </c>
      <c r="S594" s="3396">
        <f t="shared" si="113"/>
        <v>0</v>
      </c>
      <c r="T594" s="3396">
        <f t="shared" si="113"/>
        <v>0</v>
      </c>
      <c r="U594" s="3395">
        <f t="shared" si="113"/>
        <v>0</v>
      </c>
      <c r="V594" s="3396">
        <f t="shared" si="113"/>
        <v>0</v>
      </c>
      <c r="W594" s="3396">
        <f t="shared" si="113"/>
        <v>0</v>
      </c>
      <c r="X594" s="3386"/>
      <c r="Y594" s="3386"/>
      <c r="Z594" s="3386"/>
      <c r="AA594" s="3391"/>
    </row>
    <row r="595" spans="2:27" ht="18" hidden="1">
      <c r="B595" s="3350"/>
      <c r="C595" s="3407"/>
      <c r="D595" s="3350"/>
      <c r="E595" s="3404">
        <v>1093000367</v>
      </c>
      <c r="F595" s="3406"/>
      <c r="G595" s="3387"/>
      <c r="H595" s="3383">
        <f t="shared" si="104"/>
        <v>0</v>
      </c>
      <c r="I595" s="3386"/>
      <c r="J595" s="3387"/>
      <c r="K595" s="3383">
        <f t="shared" si="105"/>
        <v>0</v>
      </c>
      <c r="L595" s="3395">
        <f t="shared" si="114"/>
        <v>0</v>
      </c>
      <c r="M595" s="3396">
        <f t="shared" si="114"/>
        <v>0</v>
      </c>
      <c r="N595" s="3396">
        <f t="shared" si="114"/>
        <v>0</v>
      </c>
      <c r="O595" s="3395">
        <f t="shared" si="113"/>
        <v>0</v>
      </c>
      <c r="P595" s="3396">
        <f t="shared" si="113"/>
        <v>0</v>
      </c>
      <c r="Q595" s="3396">
        <f t="shared" si="113"/>
        <v>0</v>
      </c>
      <c r="R595" s="3395">
        <f t="shared" si="113"/>
        <v>0</v>
      </c>
      <c r="S595" s="3396">
        <f t="shared" si="113"/>
        <v>0</v>
      </c>
      <c r="T595" s="3396">
        <f t="shared" si="113"/>
        <v>0</v>
      </c>
      <c r="U595" s="3395">
        <f t="shared" si="113"/>
        <v>0</v>
      </c>
      <c r="V595" s="3396">
        <f t="shared" si="113"/>
        <v>0</v>
      </c>
      <c r="W595" s="3396">
        <f t="shared" si="113"/>
        <v>0</v>
      </c>
      <c r="X595" s="3386"/>
      <c r="Y595" s="3386"/>
      <c r="Z595" s="3386"/>
      <c r="AA595" s="3391"/>
    </row>
    <row r="596" spans="2:27" ht="18" hidden="1">
      <c r="B596" s="3350"/>
      <c r="C596" s="3407"/>
      <c r="D596" s="3350"/>
      <c r="E596" s="3404">
        <v>1093000368</v>
      </c>
      <c r="F596" s="3406"/>
      <c r="G596" s="3387"/>
      <c r="H596" s="3383">
        <f t="shared" si="104"/>
        <v>0</v>
      </c>
      <c r="I596" s="3386"/>
      <c r="J596" s="3387"/>
      <c r="K596" s="3383">
        <f t="shared" si="105"/>
        <v>0</v>
      </c>
      <c r="L596" s="3395">
        <f t="shared" si="114"/>
        <v>0</v>
      </c>
      <c r="M596" s="3396">
        <f t="shared" si="114"/>
        <v>0</v>
      </c>
      <c r="N596" s="3396">
        <f t="shared" si="114"/>
        <v>0</v>
      </c>
      <c r="O596" s="3395">
        <f t="shared" si="113"/>
        <v>0</v>
      </c>
      <c r="P596" s="3396">
        <f t="shared" si="113"/>
        <v>0</v>
      </c>
      <c r="Q596" s="3396">
        <f t="shared" si="113"/>
        <v>0</v>
      </c>
      <c r="R596" s="3395">
        <f t="shared" si="113"/>
        <v>0</v>
      </c>
      <c r="S596" s="3396">
        <f t="shared" si="113"/>
        <v>0</v>
      </c>
      <c r="T596" s="3396">
        <f t="shared" si="113"/>
        <v>0</v>
      </c>
      <c r="U596" s="3395">
        <f t="shared" si="113"/>
        <v>0</v>
      </c>
      <c r="V596" s="3396">
        <f t="shared" si="113"/>
        <v>0</v>
      </c>
      <c r="W596" s="3396">
        <f t="shared" si="113"/>
        <v>0</v>
      </c>
      <c r="X596" s="3386"/>
      <c r="Y596" s="3386"/>
      <c r="Z596" s="3386"/>
      <c r="AA596" s="3391"/>
    </row>
    <row r="597" spans="2:27" ht="18" hidden="1">
      <c r="B597" s="3350"/>
      <c r="C597" s="3407"/>
      <c r="D597" s="3350"/>
      <c r="E597" s="3404">
        <v>1093000369</v>
      </c>
      <c r="F597" s="3406"/>
      <c r="G597" s="3387"/>
      <c r="H597" s="3383">
        <f t="shared" si="104"/>
        <v>0</v>
      </c>
      <c r="I597" s="3386"/>
      <c r="J597" s="3387"/>
      <c r="K597" s="3383">
        <f t="shared" si="105"/>
        <v>0</v>
      </c>
      <c r="L597" s="3395">
        <f t="shared" si="114"/>
        <v>0</v>
      </c>
      <c r="M597" s="3396">
        <f t="shared" si="114"/>
        <v>0</v>
      </c>
      <c r="N597" s="3396">
        <f t="shared" si="114"/>
        <v>0</v>
      </c>
      <c r="O597" s="3395">
        <f t="shared" si="113"/>
        <v>0</v>
      </c>
      <c r="P597" s="3396">
        <f t="shared" si="113"/>
        <v>0</v>
      </c>
      <c r="Q597" s="3396">
        <f t="shared" si="113"/>
        <v>0</v>
      </c>
      <c r="R597" s="3395">
        <f t="shared" si="113"/>
        <v>0</v>
      </c>
      <c r="S597" s="3396">
        <f t="shared" si="113"/>
        <v>0</v>
      </c>
      <c r="T597" s="3396">
        <f t="shared" si="113"/>
        <v>0</v>
      </c>
      <c r="U597" s="3395">
        <f t="shared" si="113"/>
        <v>0</v>
      </c>
      <c r="V597" s="3396">
        <f t="shared" si="113"/>
        <v>0</v>
      </c>
      <c r="W597" s="3396">
        <f t="shared" si="113"/>
        <v>0</v>
      </c>
      <c r="X597" s="3386"/>
      <c r="Y597" s="3386"/>
      <c r="Z597" s="3386"/>
      <c r="AA597" s="3391"/>
    </row>
    <row r="598" spans="2:27" ht="18" hidden="1">
      <c r="B598" s="3350"/>
      <c r="C598" s="3407"/>
      <c r="D598" s="3350"/>
      <c r="E598" s="3404">
        <v>1093000370</v>
      </c>
      <c r="F598" s="3406"/>
      <c r="G598" s="3387"/>
      <c r="H598" s="3383">
        <f t="shared" si="104"/>
        <v>0</v>
      </c>
      <c r="I598" s="3386"/>
      <c r="J598" s="3387"/>
      <c r="K598" s="3383">
        <f t="shared" si="105"/>
        <v>0</v>
      </c>
      <c r="L598" s="3395">
        <f t="shared" si="114"/>
        <v>0</v>
      </c>
      <c r="M598" s="3396">
        <f t="shared" si="114"/>
        <v>0</v>
      </c>
      <c r="N598" s="3396">
        <f t="shared" si="114"/>
        <v>0</v>
      </c>
      <c r="O598" s="3395">
        <f t="shared" si="113"/>
        <v>0</v>
      </c>
      <c r="P598" s="3396">
        <f t="shared" si="113"/>
        <v>0</v>
      </c>
      <c r="Q598" s="3396">
        <f t="shared" si="113"/>
        <v>0</v>
      </c>
      <c r="R598" s="3395">
        <f t="shared" si="113"/>
        <v>0</v>
      </c>
      <c r="S598" s="3396">
        <f t="shared" si="113"/>
        <v>0</v>
      </c>
      <c r="T598" s="3396">
        <f t="shared" si="113"/>
        <v>0</v>
      </c>
      <c r="U598" s="3395">
        <f t="shared" si="113"/>
        <v>0</v>
      </c>
      <c r="V598" s="3396">
        <f t="shared" si="113"/>
        <v>0</v>
      </c>
      <c r="W598" s="3396">
        <f t="shared" si="113"/>
        <v>0</v>
      </c>
      <c r="X598" s="3386"/>
      <c r="Y598" s="3386"/>
      <c r="Z598" s="3386"/>
      <c r="AA598" s="3391"/>
    </row>
    <row r="599" spans="2:27" ht="18" hidden="1">
      <c r="B599" s="3350"/>
      <c r="C599" s="3407"/>
      <c r="D599" s="3350"/>
      <c r="E599" s="3404">
        <v>1093000371</v>
      </c>
      <c r="F599" s="3406"/>
      <c r="G599" s="3387"/>
      <c r="H599" s="3383">
        <f t="shared" si="104"/>
        <v>0</v>
      </c>
      <c r="I599" s="3386"/>
      <c r="J599" s="3387"/>
      <c r="K599" s="3383">
        <f t="shared" si="105"/>
        <v>0</v>
      </c>
      <c r="L599" s="3395">
        <f t="shared" si="114"/>
        <v>0</v>
      </c>
      <c r="M599" s="3396">
        <f t="shared" si="114"/>
        <v>0</v>
      </c>
      <c r="N599" s="3396">
        <f t="shared" si="114"/>
        <v>0</v>
      </c>
      <c r="O599" s="3395">
        <f t="shared" si="113"/>
        <v>0</v>
      </c>
      <c r="P599" s="3396">
        <f t="shared" si="113"/>
        <v>0</v>
      </c>
      <c r="Q599" s="3396">
        <f t="shared" si="113"/>
        <v>0</v>
      </c>
      <c r="R599" s="3395">
        <f t="shared" si="113"/>
        <v>0</v>
      </c>
      <c r="S599" s="3396">
        <f t="shared" si="113"/>
        <v>0</v>
      </c>
      <c r="T599" s="3396">
        <f t="shared" si="113"/>
        <v>0</v>
      </c>
      <c r="U599" s="3395">
        <f t="shared" si="113"/>
        <v>0</v>
      </c>
      <c r="V599" s="3396">
        <f t="shared" si="113"/>
        <v>0</v>
      </c>
      <c r="W599" s="3396">
        <f t="shared" si="113"/>
        <v>0</v>
      </c>
      <c r="X599" s="3386"/>
      <c r="Y599" s="3386"/>
      <c r="Z599" s="3386"/>
      <c r="AA599" s="3391"/>
    </row>
    <row r="600" spans="2:27" ht="18" hidden="1">
      <c r="B600" s="3350"/>
      <c r="C600" s="3407"/>
      <c r="D600" s="3350"/>
      <c r="E600" s="3404">
        <v>1093000372</v>
      </c>
      <c r="F600" s="3406"/>
      <c r="G600" s="3387"/>
      <c r="H600" s="3383">
        <f t="shared" si="104"/>
        <v>0</v>
      </c>
      <c r="I600" s="3386"/>
      <c r="J600" s="3387"/>
      <c r="K600" s="3383">
        <f t="shared" si="105"/>
        <v>0</v>
      </c>
      <c r="L600" s="3395">
        <f t="shared" si="114"/>
        <v>0</v>
      </c>
      <c r="M600" s="3396">
        <f t="shared" si="114"/>
        <v>0</v>
      </c>
      <c r="N600" s="3396">
        <f t="shared" si="114"/>
        <v>0</v>
      </c>
      <c r="O600" s="3395">
        <f t="shared" si="113"/>
        <v>0</v>
      </c>
      <c r="P600" s="3396">
        <f t="shared" si="113"/>
        <v>0</v>
      </c>
      <c r="Q600" s="3396">
        <f t="shared" si="113"/>
        <v>0</v>
      </c>
      <c r="R600" s="3395">
        <f t="shared" si="113"/>
        <v>0</v>
      </c>
      <c r="S600" s="3396">
        <f t="shared" si="113"/>
        <v>0</v>
      </c>
      <c r="T600" s="3396">
        <f t="shared" si="113"/>
        <v>0</v>
      </c>
      <c r="U600" s="3395">
        <f t="shared" si="113"/>
        <v>0</v>
      </c>
      <c r="V600" s="3396">
        <f t="shared" si="113"/>
        <v>0</v>
      </c>
      <c r="W600" s="3396">
        <f t="shared" si="113"/>
        <v>0</v>
      </c>
      <c r="X600" s="3386"/>
      <c r="Y600" s="3386"/>
      <c r="Z600" s="3386"/>
      <c r="AA600" s="3391"/>
    </row>
    <row r="601" spans="2:27" ht="18" hidden="1">
      <c r="B601" s="3350"/>
      <c r="C601" s="3407"/>
      <c r="D601" s="3350"/>
      <c r="E601" s="3404">
        <v>1093000373</v>
      </c>
      <c r="F601" s="3406"/>
      <c r="G601" s="3387"/>
      <c r="H601" s="3383">
        <f t="shared" si="104"/>
        <v>0</v>
      </c>
      <c r="I601" s="3386"/>
      <c r="J601" s="3387"/>
      <c r="K601" s="3383">
        <f t="shared" si="105"/>
        <v>0</v>
      </c>
      <c r="L601" s="3395">
        <f t="shared" si="114"/>
        <v>0</v>
      </c>
      <c r="M601" s="3396">
        <f t="shared" si="114"/>
        <v>0</v>
      </c>
      <c r="N601" s="3396">
        <f t="shared" si="114"/>
        <v>0</v>
      </c>
      <c r="O601" s="3395">
        <f t="shared" si="113"/>
        <v>0</v>
      </c>
      <c r="P601" s="3396">
        <f t="shared" si="113"/>
        <v>0</v>
      </c>
      <c r="Q601" s="3396">
        <f t="shared" si="113"/>
        <v>0</v>
      </c>
      <c r="R601" s="3395">
        <f t="shared" si="113"/>
        <v>0</v>
      </c>
      <c r="S601" s="3396">
        <f t="shared" si="113"/>
        <v>0</v>
      </c>
      <c r="T601" s="3396">
        <f t="shared" si="113"/>
        <v>0</v>
      </c>
      <c r="U601" s="3395">
        <f t="shared" si="113"/>
        <v>0</v>
      </c>
      <c r="V601" s="3396">
        <f t="shared" si="113"/>
        <v>0</v>
      </c>
      <c r="W601" s="3396">
        <f t="shared" si="113"/>
        <v>0</v>
      </c>
      <c r="X601" s="3386"/>
      <c r="Y601" s="3386"/>
      <c r="Z601" s="3386"/>
      <c r="AA601" s="3391"/>
    </row>
    <row r="602" spans="2:27" ht="18" hidden="1">
      <c r="B602" s="3350"/>
      <c r="C602" s="3407"/>
      <c r="D602" s="3350"/>
      <c r="E602" s="3404">
        <v>1093000374</v>
      </c>
      <c r="F602" s="3406"/>
      <c r="G602" s="3387"/>
      <c r="H602" s="3383">
        <f t="shared" si="104"/>
        <v>0</v>
      </c>
      <c r="I602" s="3386"/>
      <c r="J602" s="3387"/>
      <c r="K602" s="3383">
        <f t="shared" si="105"/>
        <v>0</v>
      </c>
      <c r="L602" s="3395">
        <f t="shared" si="114"/>
        <v>0</v>
      </c>
      <c r="M602" s="3396">
        <f t="shared" si="114"/>
        <v>0</v>
      </c>
      <c r="N602" s="3396">
        <f t="shared" si="114"/>
        <v>0</v>
      </c>
      <c r="O602" s="3395">
        <f t="shared" si="113"/>
        <v>0</v>
      </c>
      <c r="P602" s="3396">
        <f t="shared" si="113"/>
        <v>0</v>
      </c>
      <c r="Q602" s="3396">
        <f t="shared" si="113"/>
        <v>0</v>
      </c>
      <c r="R602" s="3395">
        <f t="shared" si="113"/>
        <v>0</v>
      </c>
      <c r="S602" s="3396">
        <f t="shared" si="113"/>
        <v>0</v>
      </c>
      <c r="T602" s="3396">
        <f t="shared" si="113"/>
        <v>0</v>
      </c>
      <c r="U602" s="3395">
        <f t="shared" si="113"/>
        <v>0</v>
      </c>
      <c r="V602" s="3396">
        <f t="shared" si="113"/>
        <v>0</v>
      </c>
      <c r="W602" s="3396">
        <f t="shared" si="113"/>
        <v>0</v>
      </c>
      <c r="X602" s="3386"/>
      <c r="Y602" s="3386"/>
      <c r="Z602" s="3386"/>
      <c r="AA602" s="3391"/>
    </row>
    <row r="603" spans="2:27" ht="18" hidden="1">
      <c r="B603" s="3350"/>
      <c r="C603" s="3407"/>
      <c r="D603" s="3350"/>
      <c r="E603" s="3404">
        <v>1093000375</v>
      </c>
      <c r="F603" s="3406"/>
      <c r="G603" s="3387"/>
      <c r="H603" s="3383">
        <f t="shared" si="104"/>
        <v>0</v>
      </c>
      <c r="I603" s="3386"/>
      <c r="J603" s="3387"/>
      <c r="K603" s="3383">
        <f t="shared" si="105"/>
        <v>0</v>
      </c>
      <c r="L603" s="3395">
        <f t="shared" si="114"/>
        <v>0</v>
      </c>
      <c r="M603" s="3396">
        <f t="shared" si="114"/>
        <v>0</v>
      </c>
      <c r="N603" s="3396">
        <f t="shared" si="114"/>
        <v>0</v>
      </c>
      <c r="O603" s="3395">
        <f t="shared" si="113"/>
        <v>0</v>
      </c>
      <c r="P603" s="3396">
        <f t="shared" si="113"/>
        <v>0</v>
      </c>
      <c r="Q603" s="3396">
        <f t="shared" si="113"/>
        <v>0</v>
      </c>
      <c r="R603" s="3395">
        <f t="shared" si="113"/>
        <v>0</v>
      </c>
      <c r="S603" s="3396">
        <f t="shared" si="113"/>
        <v>0</v>
      </c>
      <c r="T603" s="3396">
        <f t="shared" si="113"/>
        <v>0</v>
      </c>
      <c r="U603" s="3395">
        <f t="shared" si="113"/>
        <v>0</v>
      </c>
      <c r="V603" s="3396">
        <f t="shared" si="113"/>
        <v>0</v>
      </c>
      <c r="W603" s="3396">
        <f t="shared" si="113"/>
        <v>0</v>
      </c>
      <c r="X603" s="3386"/>
      <c r="Y603" s="3386"/>
      <c r="Z603" s="3386"/>
      <c r="AA603" s="3391"/>
    </row>
    <row r="604" spans="2:27" ht="18" hidden="1">
      <c r="B604" s="3350"/>
      <c r="C604" s="3407"/>
      <c r="D604" s="3350"/>
      <c r="E604" s="3404">
        <v>1093000376</v>
      </c>
      <c r="F604" s="3406"/>
      <c r="G604" s="3387"/>
      <c r="H604" s="3383">
        <f t="shared" si="104"/>
        <v>0</v>
      </c>
      <c r="I604" s="3386"/>
      <c r="J604" s="3387"/>
      <c r="K604" s="3383">
        <f t="shared" si="105"/>
        <v>0</v>
      </c>
      <c r="L604" s="3395">
        <f t="shared" si="114"/>
        <v>0</v>
      </c>
      <c r="M604" s="3396">
        <f t="shared" si="114"/>
        <v>0</v>
      </c>
      <c r="N604" s="3396">
        <f t="shared" si="114"/>
        <v>0</v>
      </c>
      <c r="O604" s="3395">
        <f t="shared" si="113"/>
        <v>0</v>
      </c>
      <c r="P604" s="3396">
        <f t="shared" si="113"/>
        <v>0</v>
      </c>
      <c r="Q604" s="3396">
        <f t="shared" si="113"/>
        <v>0</v>
      </c>
      <c r="R604" s="3395">
        <f t="shared" ref="R604:W629" si="115">(0)</f>
        <v>0</v>
      </c>
      <c r="S604" s="3396">
        <f t="shared" si="115"/>
        <v>0</v>
      </c>
      <c r="T604" s="3396">
        <f t="shared" si="115"/>
        <v>0</v>
      </c>
      <c r="U604" s="3395">
        <f t="shared" si="115"/>
        <v>0</v>
      </c>
      <c r="V604" s="3396">
        <f t="shared" si="115"/>
        <v>0</v>
      </c>
      <c r="W604" s="3396">
        <f t="shared" si="115"/>
        <v>0</v>
      </c>
      <c r="X604" s="3386"/>
      <c r="Y604" s="3386"/>
      <c r="Z604" s="3386"/>
      <c r="AA604" s="3391"/>
    </row>
    <row r="605" spans="2:27" ht="18" hidden="1">
      <c r="B605" s="3350"/>
      <c r="C605" s="3407"/>
      <c r="D605" s="3350"/>
      <c r="E605" s="3404">
        <v>1093000377</v>
      </c>
      <c r="F605" s="3406"/>
      <c r="G605" s="3387"/>
      <c r="H605" s="3383">
        <f t="shared" si="104"/>
        <v>0</v>
      </c>
      <c r="I605" s="3386"/>
      <c r="J605" s="3387"/>
      <c r="K605" s="3383">
        <f t="shared" si="105"/>
        <v>0</v>
      </c>
      <c r="L605" s="3395">
        <f t="shared" si="114"/>
        <v>0</v>
      </c>
      <c r="M605" s="3396">
        <f t="shared" si="114"/>
        <v>0</v>
      </c>
      <c r="N605" s="3396">
        <f t="shared" si="114"/>
        <v>0</v>
      </c>
      <c r="O605" s="3395">
        <f t="shared" si="114"/>
        <v>0</v>
      </c>
      <c r="P605" s="3396">
        <f t="shared" si="114"/>
        <v>0</v>
      </c>
      <c r="Q605" s="3396">
        <f t="shared" si="114"/>
        <v>0</v>
      </c>
      <c r="R605" s="3395">
        <f t="shared" si="115"/>
        <v>0</v>
      </c>
      <c r="S605" s="3396">
        <f t="shared" si="115"/>
        <v>0</v>
      </c>
      <c r="T605" s="3396">
        <f t="shared" si="115"/>
        <v>0</v>
      </c>
      <c r="U605" s="3395">
        <f t="shared" si="115"/>
        <v>0</v>
      </c>
      <c r="V605" s="3396">
        <f t="shared" si="115"/>
        <v>0</v>
      </c>
      <c r="W605" s="3396">
        <f t="shared" si="115"/>
        <v>0</v>
      </c>
      <c r="X605" s="3386"/>
      <c r="Y605" s="3386"/>
      <c r="Z605" s="3386"/>
      <c r="AA605" s="3391"/>
    </row>
    <row r="606" spans="2:27" ht="18" hidden="1">
      <c r="B606" s="3350"/>
      <c r="C606" s="3407"/>
      <c r="D606" s="3350"/>
      <c r="E606" s="3404">
        <v>1093000378</v>
      </c>
      <c r="F606" s="3406"/>
      <c r="G606" s="3387"/>
      <c r="H606" s="3383">
        <f t="shared" si="104"/>
        <v>0</v>
      </c>
      <c r="I606" s="3386"/>
      <c r="J606" s="3387"/>
      <c r="K606" s="3383">
        <f t="shared" si="105"/>
        <v>0</v>
      </c>
      <c r="L606" s="3395">
        <f t="shared" si="114"/>
        <v>0</v>
      </c>
      <c r="M606" s="3396">
        <f t="shared" si="114"/>
        <v>0</v>
      </c>
      <c r="N606" s="3396">
        <f t="shared" si="114"/>
        <v>0</v>
      </c>
      <c r="O606" s="3395">
        <f t="shared" si="114"/>
        <v>0</v>
      </c>
      <c r="P606" s="3396">
        <f t="shared" si="114"/>
        <v>0</v>
      </c>
      <c r="Q606" s="3396">
        <f t="shared" si="114"/>
        <v>0</v>
      </c>
      <c r="R606" s="3395">
        <f t="shared" si="115"/>
        <v>0</v>
      </c>
      <c r="S606" s="3396">
        <f t="shared" si="115"/>
        <v>0</v>
      </c>
      <c r="T606" s="3396">
        <f t="shared" si="115"/>
        <v>0</v>
      </c>
      <c r="U606" s="3395">
        <f t="shared" si="115"/>
        <v>0</v>
      </c>
      <c r="V606" s="3396">
        <f t="shared" si="115"/>
        <v>0</v>
      </c>
      <c r="W606" s="3396">
        <f t="shared" si="115"/>
        <v>0</v>
      </c>
      <c r="X606" s="3386"/>
      <c r="Y606" s="3386"/>
      <c r="Z606" s="3386"/>
      <c r="AA606" s="3391"/>
    </row>
    <row r="607" spans="2:27" ht="18" hidden="1">
      <c r="B607" s="3350"/>
      <c r="C607" s="3407"/>
      <c r="D607" s="3350"/>
      <c r="E607" s="3404">
        <v>1093000379</v>
      </c>
      <c r="F607" s="3406"/>
      <c r="G607" s="3387"/>
      <c r="H607" s="3383">
        <f t="shared" si="104"/>
        <v>0</v>
      </c>
      <c r="I607" s="3386"/>
      <c r="J607" s="3387"/>
      <c r="K607" s="3383">
        <f t="shared" si="105"/>
        <v>0</v>
      </c>
      <c r="L607" s="3395">
        <f t="shared" si="114"/>
        <v>0</v>
      </c>
      <c r="M607" s="3396">
        <f t="shared" si="114"/>
        <v>0</v>
      </c>
      <c r="N607" s="3396">
        <f t="shared" si="114"/>
        <v>0</v>
      </c>
      <c r="O607" s="3395">
        <f t="shared" si="114"/>
        <v>0</v>
      </c>
      <c r="P607" s="3396">
        <f t="shared" si="114"/>
        <v>0</v>
      </c>
      <c r="Q607" s="3396">
        <f t="shared" si="114"/>
        <v>0</v>
      </c>
      <c r="R607" s="3395">
        <f t="shared" si="115"/>
        <v>0</v>
      </c>
      <c r="S607" s="3396">
        <f t="shared" si="115"/>
        <v>0</v>
      </c>
      <c r="T607" s="3396">
        <f t="shared" si="115"/>
        <v>0</v>
      </c>
      <c r="U607" s="3395">
        <f t="shared" si="115"/>
        <v>0</v>
      </c>
      <c r="V607" s="3396">
        <f t="shared" si="115"/>
        <v>0</v>
      </c>
      <c r="W607" s="3396">
        <f t="shared" si="115"/>
        <v>0</v>
      </c>
      <c r="X607" s="3386"/>
      <c r="Y607" s="3386"/>
      <c r="Z607" s="3386"/>
      <c r="AA607" s="3391"/>
    </row>
    <row r="608" spans="2:27" ht="18" hidden="1">
      <c r="B608" s="3350"/>
      <c r="C608" s="3407"/>
      <c r="D608" s="3350"/>
      <c r="E608" s="3404">
        <v>1093000380</v>
      </c>
      <c r="F608" s="3406"/>
      <c r="G608" s="3387"/>
      <c r="H608" s="3383">
        <f t="shared" si="104"/>
        <v>0</v>
      </c>
      <c r="I608" s="3386"/>
      <c r="J608" s="3387"/>
      <c r="K608" s="3383">
        <f t="shared" si="105"/>
        <v>0</v>
      </c>
      <c r="L608" s="3395">
        <f t="shared" si="114"/>
        <v>0</v>
      </c>
      <c r="M608" s="3396">
        <f t="shared" si="114"/>
        <v>0</v>
      </c>
      <c r="N608" s="3396">
        <f t="shared" si="114"/>
        <v>0</v>
      </c>
      <c r="O608" s="3395">
        <f t="shared" si="114"/>
        <v>0</v>
      </c>
      <c r="P608" s="3396">
        <f t="shared" si="114"/>
        <v>0</v>
      </c>
      <c r="Q608" s="3396">
        <f t="shared" si="114"/>
        <v>0</v>
      </c>
      <c r="R608" s="3395">
        <f t="shared" si="115"/>
        <v>0</v>
      </c>
      <c r="S608" s="3396">
        <f t="shared" si="115"/>
        <v>0</v>
      </c>
      <c r="T608" s="3396">
        <f t="shared" si="115"/>
        <v>0</v>
      </c>
      <c r="U608" s="3395">
        <f t="shared" si="115"/>
        <v>0</v>
      </c>
      <c r="V608" s="3396">
        <f t="shared" si="115"/>
        <v>0</v>
      </c>
      <c r="W608" s="3396">
        <f t="shared" si="115"/>
        <v>0</v>
      </c>
      <c r="X608" s="3386"/>
      <c r="Y608" s="3386"/>
      <c r="Z608" s="3386"/>
      <c r="AA608" s="3391"/>
    </row>
    <row r="609" spans="2:27" ht="18" hidden="1">
      <c r="B609" s="3350"/>
      <c r="C609" s="3407"/>
      <c r="D609" s="3350"/>
      <c r="E609" s="3404">
        <v>1093000381</v>
      </c>
      <c r="F609" s="3406"/>
      <c r="G609" s="3387"/>
      <c r="H609" s="3383">
        <f t="shared" si="104"/>
        <v>0</v>
      </c>
      <c r="I609" s="3386"/>
      <c r="J609" s="3387"/>
      <c r="K609" s="3383">
        <f t="shared" si="105"/>
        <v>0</v>
      </c>
      <c r="L609" s="3395">
        <f t="shared" si="114"/>
        <v>0</v>
      </c>
      <c r="M609" s="3396">
        <f t="shared" si="114"/>
        <v>0</v>
      </c>
      <c r="N609" s="3396">
        <f t="shared" si="114"/>
        <v>0</v>
      </c>
      <c r="O609" s="3395">
        <f t="shared" si="114"/>
        <v>0</v>
      </c>
      <c r="P609" s="3396">
        <f t="shared" si="114"/>
        <v>0</v>
      </c>
      <c r="Q609" s="3396">
        <f t="shared" si="114"/>
        <v>0</v>
      </c>
      <c r="R609" s="3395">
        <f t="shared" si="115"/>
        <v>0</v>
      </c>
      <c r="S609" s="3396">
        <f t="shared" si="115"/>
        <v>0</v>
      </c>
      <c r="T609" s="3396">
        <f t="shared" si="115"/>
        <v>0</v>
      </c>
      <c r="U609" s="3395">
        <f t="shared" si="115"/>
        <v>0</v>
      </c>
      <c r="V609" s="3396">
        <f t="shared" si="115"/>
        <v>0</v>
      </c>
      <c r="W609" s="3396">
        <f t="shared" si="115"/>
        <v>0</v>
      </c>
      <c r="X609" s="3386"/>
      <c r="Y609" s="3386"/>
      <c r="Z609" s="3386"/>
      <c r="AA609" s="3391"/>
    </row>
    <row r="610" spans="2:27" ht="18" hidden="1">
      <c r="B610" s="3350"/>
      <c r="C610" s="3407"/>
      <c r="D610" s="3350"/>
      <c r="E610" s="3404">
        <v>1093000382</v>
      </c>
      <c r="F610" s="3406"/>
      <c r="G610" s="3387"/>
      <c r="H610" s="3383">
        <f t="shared" si="104"/>
        <v>0</v>
      </c>
      <c r="I610" s="3386"/>
      <c r="J610" s="3387"/>
      <c r="K610" s="3383">
        <f t="shared" si="105"/>
        <v>0</v>
      </c>
      <c r="L610" s="3395">
        <f t="shared" si="114"/>
        <v>0</v>
      </c>
      <c r="M610" s="3396">
        <f t="shared" si="114"/>
        <v>0</v>
      </c>
      <c r="N610" s="3396">
        <f t="shared" si="114"/>
        <v>0</v>
      </c>
      <c r="O610" s="3395">
        <f t="shared" si="114"/>
        <v>0</v>
      </c>
      <c r="P610" s="3396">
        <f t="shared" si="114"/>
        <v>0</v>
      </c>
      <c r="Q610" s="3396">
        <f t="shared" si="114"/>
        <v>0</v>
      </c>
      <c r="R610" s="3395">
        <f t="shared" si="115"/>
        <v>0</v>
      </c>
      <c r="S610" s="3396">
        <f t="shared" si="115"/>
        <v>0</v>
      </c>
      <c r="T610" s="3396">
        <f t="shared" si="115"/>
        <v>0</v>
      </c>
      <c r="U610" s="3395">
        <f t="shared" si="115"/>
        <v>0</v>
      </c>
      <c r="V610" s="3396">
        <f t="shared" si="115"/>
        <v>0</v>
      </c>
      <c r="W610" s="3396">
        <f t="shared" si="115"/>
        <v>0</v>
      </c>
      <c r="X610" s="3386"/>
      <c r="Y610" s="3386"/>
      <c r="Z610" s="3386"/>
      <c r="AA610" s="3391"/>
    </row>
    <row r="611" spans="2:27" ht="18" hidden="1">
      <c r="B611" s="3350"/>
      <c r="C611" s="3407"/>
      <c r="D611" s="3350"/>
      <c r="E611" s="3404">
        <v>1093000383</v>
      </c>
      <c r="F611" s="3406"/>
      <c r="G611" s="3387"/>
      <c r="H611" s="3383">
        <f t="shared" si="104"/>
        <v>0</v>
      </c>
      <c r="I611" s="3386"/>
      <c r="J611" s="3387"/>
      <c r="K611" s="3383">
        <f t="shared" si="105"/>
        <v>0</v>
      </c>
      <c r="L611" s="3395">
        <f t="shared" si="114"/>
        <v>0</v>
      </c>
      <c r="M611" s="3396">
        <f t="shared" si="114"/>
        <v>0</v>
      </c>
      <c r="N611" s="3396">
        <f t="shared" si="114"/>
        <v>0</v>
      </c>
      <c r="O611" s="3395">
        <f t="shared" si="114"/>
        <v>0</v>
      </c>
      <c r="P611" s="3396">
        <f t="shared" si="114"/>
        <v>0</v>
      </c>
      <c r="Q611" s="3396">
        <f t="shared" si="114"/>
        <v>0</v>
      </c>
      <c r="R611" s="3395">
        <f t="shared" si="115"/>
        <v>0</v>
      </c>
      <c r="S611" s="3396">
        <f t="shared" si="115"/>
        <v>0</v>
      </c>
      <c r="T611" s="3396">
        <f t="shared" si="115"/>
        <v>0</v>
      </c>
      <c r="U611" s="3395">
        <f t="shared" si="115"/>
        <v>0</v>
      </c>
      <c r="V611" s="3396">
        <f t="shared" si="115"/>
        <v>0</v>
      </c>
      <c r="W611" s="3396">
        <f t="shared" si="115"/>
        <v>0</v>
      </c>
      <c r="X611" s="3386"/>
      <c r="Y611" s="3386"/>
      <c r="Z611" s="3386"/>
      <c r="AA611" s="3391"/>
    </row>
    <row r="612" spans="2:27" ht="18" hidden="1">
      <c r="B612" s="3350"/>
      <c r="C612" s="3407"/>
      <c r="D612" s="3350"/>
      <c r="E612" s="3404">
        <v>1093000384</v>
      </c>
      <c r="F612" s="3406"/>
      <c r="G612" s="3387"/>
      <c r="H612" s="3383">
        <f t="shared" si="104"/>
        <v>0</v>
      </c>
      <c r="I612" s="3386"/>
      <c r="J612" s="3387"/>
      <c r="K612" s="3383">
        <f t="shared" si="105"/>
        <v>0</v>
      </c>
      <c r="L612" s="3395">
        <f t="shared" si="114"/>
        <v>0</v>
      </c>
      <c r="M612" s="3396">
        <f t="shared" si="114"/>
        <v>0</v>
      </c>
      <c r="N612" s="3396">
        <f t="shared" si="114"/>
        <v>0</v>
      </c>
      <c r="O612" s="3395">
        <f t="shared" si="114"/>
        <v>0</v>
      </c>
      <c r="P612" s="3396">
        <f t="shared" si="114"/>
        <v>0</v>
      </c>
      <c r="Q612" s="3396">
        <f t="shared" si="114"/>
        <v>0</v>
      </c>
      <c r="R612" s="3395">
        <f t="shared" si="115"/>
        <v>0</v>
      </c>
      <c r="S612" s="3396">
        <f t="shared" si="115"/>
        <v>0</v>
      </c>
      <c r="T612" s="3396">
        <f t="shared" si="115"/>
        <v>0</v>
      </c>
      <c r="U612" s="3395">
        <f t="shared" si="115"/>
        <v>0</v>
      </c>
      <c r="V612" s="3396">
        <f t="shared" si="115"/>
        <v>0</v>
      </c>
      <c r="W612" s="3396">
        <f t="shared" si="115"/>
        <v>0</v>
      </c>
      <c r="X612" s="3386"/>
      <c r="Y612" s="3386"/>
      <c r="Z612" s="3386"/>
      <c r="AA612" s="3391"/>
    </row>
    <row r="613" spans="2:27" ht="18" hidden="1">
      <c r="B613" s="3350"/>
      <c r="C613" s="3407"/>
      <c r="D613" s="3350"/>
      <c r="E613" s="3404">
        <v>1093000385</v>
      </c>
      <c r="F613" s="3406"/>
      <c r="G613" s="3387"/>
      <c r="H613" s="3383">
        <f t="shared" si="104"/>
        <v>0</v>
      </c>
      <c r="I613" s="3386"/>
      <c r="J613" s="3387"/>
      <c r="K613" s="3383">
        <f t="shared" si="105"/>
        <v>0</v>
      </c>
      <c r="L613" s="3395">
        <f t="shared" si="114"/>
        <v>0</v>
      </c>
      <c r="M613" s="3396">
        <f t="shared" si="114"/>
        <v>0</v>
      </c>
      <c r="N613" s="3396">
        <f t="shared" si="114"/>
        <v>0</v>
      </c>
      <c r="O613" s="3395">
        <f t="shared" si="114"/>
        <v>0</v>
      </c>
      <c r="P613" s="3396">
        <f t="shared" si="114"/>
        <v>0</v>
      </c>
      <c r="Q613" s="3396">
        <f t="shared" si="114"/>
        <v>0</v>
      </c>
      <c r="R613" s="3395">
        <f t="shared" si="115"/>
        <v>0</v>
      </c>
      <c r="S613" s="3396">
        <f t="shared" si="115"/>
        <v>0</v>
      </c>
      <c r="T613" s="3396">
        <f t="shared" si="115"/>
        <v>0</v>
      </c>
      <c r="U613" s="3395">
        <f t="shared" si="115"/>
        <v>0</v>
      </c>
      <c r="V613" s="3396">
        <f t="shared" si="115"/>
        <v>0</v>
      </c>
      <c r="W613" s="3396">
        <f t="shared" si="115"/>
        <v>0</v>
      </c>
      <c r="X613" s="3386"/>
      <c r="Y613" s="3386"/>
      <c r="Z613" s="3386"/>
      <c r="AA613" s="3391"/>
    </row>
    <row r="614" spans="2:27" ht="18" hidden="1">
      <c r="B614" s="3350"/>
      <c r="C614" s="3407"/>
      <c r="D614" s="3350"/>
      <c r="E614" s="3404">
        <v>1093000386</v>
      </c>
      <c r="F614" s="3406"/>
      <c r="G614" s="3387"/>
      <c r="H614" s="3383">
        <f t="shared" si="104"/>
        <v>0</v>
      </c>
      <c r="I614" s="3386"/>
      <c r="J614" s="3387"/>
      <c r="K614" s="3383">
        <f t="shared" si="105"/>
        <v>0</v>
      </c>
      <c r="L614" s="3395">
        <f t="shared" si="114"/>
        <v>0</v>
      </c>
      <c r="M614" s="3396">
        <f t="shared" si="114"/>
        <v>0</v>
      </c>
      <c r="N614" s="3396">
        <f t="shared" si="114"/>
        <v>0</v>
      </c>
      <c r="O614" s="3395">
        <f t="shared" si="114"/>
        <v>0</v>
      </c>
      <c r="P614" s="3396">
        <f t="shared" si="114"/>
        <v>0</v>
      </c>
      <c r="Q614" s="3396">
        <f t="shared" si="114"/>
        <v>0</v>
      </c>
      <c r="R614" s="3395">
        <f t="shared" si="115"/>
        <v>0</v>
      </c>
      <c r="S614" s="3396">
        <f t="shared" si="115"/>
        <v>0</v>
      </c>
      <c r="T614" s="3396">
        <f t="shared" si="115"/>
        <v>0</v>
      </c>
      <c r="U614" s="3395">
        <f t="shared" si="115"/>
        <v>0</v>
      </c>
      <c r="V614" s="3396">
        <f t="shared" si="115"/>
        <v>0</v>
      </c>
      <c r="W614" s="3396">
        <f t="shared" si="115"/>
        <v>0</v>
      </c>
      <c r="X614" s="3386"/>
      <c r="Y614" s="3386"/>
      <c r="Z614" s="3386"/>
      <c r="AA614" s="3391"/>
    </row>
    <row r="615" spans="2:27" ht="18" hidden="1">
      <c r="B615" s="3350"/>
      <c r="C615" s="3407"/>
      <c r="D615" s="3350"/>
      <c r="E615" s="3404">
        <v>1093000387</v>
      </c>
      <c r="F615" s="3406"/>
      <c r="G615" s="3387"/>
      <c r="H615" s="3383">
        <f t="shared" si="104"/>
        <v>0</v>
      </c>
      <c r="I615" s="3386"/>
      <c r="J615" s="3387"/>
      <c r="K615" s="3383">
        <f t="shared" si="105"/>
        <v>0</v>
      </c>
      <c r="L615" s="3395">
        <f t="shared" si="114"/>
        <v>0</v>
      </c>
      <c r="M615" s="3396">
        <f t="shared" si="114"/>
        <v>0</v>
      </c>
      <c r="N615" s="3396">
        <f t="shared" si="114"/>
        <v>0</v>
      </c>
      <c r="O615" s="3395">
        <f t="shared" si="114"/>
        <v>0</v>
      </c>
      <c r="P615" s="3396">
        <f t="shared" si="114"/>
        <v>0</v>
      </c>
      <c r="Q615" s="3396">
        <f t="shared" si="114"/>
        <v>0</v>
      </c>
      <c r="R615" s="3395">
        <f t="shared" si="115"/>
        <v>0</v>
      </c>
      <c r="S615" s="3396">
        <f t="shared" si="115"/>
        <v>0</v>
      </c>
      <c r="T615" s="3396">
        <f t="shared" si="115"/>
        <v>0</v>
      </c>
      <c r="U615" s="3395">
        <f t="shared" si="115"/>
        <v>0</v>
      </c>
      <c r="V615" s="3396">
        <f t="shared" si="115"/>
        <v>0</v>
      </c>
      <c r="W615" s="3396">
        <f t="shared" si="115"/>
        <v>0</v>
      </c>
      <c r="X615" s="3386"/>
      <c r="Y615" s="3386"/>
      <c r="Z615" s="3386"/>
      <c r="AA615" s="3391"/>
    </row>
    <row r="616" spans="2:27" ht="18" hidden="1">
      <c r="B616" s="3350"/>
      <c r="C616" s="3407"/>
      <c r="D616" s="3350"/>
      <c r="E616" s="3404">
        <v>1093000388</v>
      </c>
      <c r="F616" s="3406"/>
      <c r="G616" s="3387"/>
      <c r="H616" s="3383">
        <f t="shared" si="104"/>
        <v>0</v>
      </c>
      <c r="I616" s="3386"/>
      <c r="J616" s="3387"/>
      <c r="K616" s="3383">
        <f t="shared" si="105"/>
        <v>0</v>
      </c>
      <c r="L616" s="3395">
        <f t="shared" si="114"/>
        <v>0</v>
      </c>
      <c r="M616" s="3396">
        <f t="shared" si="114"/>
        <v>0</v>
      </c>
      <c r="N616" s="3396">
        <f t="shared" si="114"/>
        <v>0</v>
      </c>
      <c r="O616" s="3395">
        <f t="shared" si="114"/>
        <v>0</v>
      </c>
      <c r="P616" s="3396">
        <f t="shared" si="114"/>
        <v>0</v>
      </c>
      <c r="Q616" s="3396">
        <f t="shared" si="114"/>
        <v>0</v>
      </c>
      <c r="R616" s="3395">
        <f t="shared" si="115"/>
        <v>0</v>
      </c>
      <c r="S616" s="3396">
        <f t="shared" si="115"/>
        <v>0</v>
      </c>
      <c r="T616" s="3396">
        <f t="shared" si="115"/>
        <v>0</v>
      </c>
      <c r="U616" s="3395">
        <f t="shared" si="115"/>
        <v>0</v>
      </c>
      <c r="V616" s="3396">
        <f t="shared" si="115"/>
        <v>0</v>
      </c>
      <c r="W616" s="3396">
        <f t="shared" si="115"/>
        <v>0</v>
      </c>
      <c r="X616" s="3386"/>
      <c r="Y616" s="3386"/>
      <c r="Z616" s="3386"/>
      <c r="AA616" s="3391"/>
    </row>
    <row r="617" spans="2:27" ht="18" hidden="1">
      <c r="B617" s="3350"/>
      <c r="C617" s="3407"/>
      <c r="D617" s="3350"/>
      <c r="E617" s="3404">
        <v>1093000389</v>
      </c>
      <c r="F617" s="3406"/>
      <c r="G617" s="3387"/>
      <c r="H617" s="3383">
        <f t="shared" si="104"/>
        <v>0</v>
      </c>
      <c r="I617" s="3386"/>
      <c r="J617" s="3387"/>
      <c r="K617" s="3383">
        <f t="shared" si="105"/>
        <v>0</v>
      </c>
      <c r="L617" s="3395">
        <f t="shared" si="114"/>
        <v>0</v>
      </c>
      <c r="M617" s="3396">
        <f t="shared" si="114"/>
        <v>0</v>
      </c>
      <c r="N617" s="3396">
        <f t="shared" si="114"/>
        <v>0</v>
      </c>
      <c r="O617" s="3395">
        <f t="shared" si="114"/>
        <v>0</v>
      </c>
      <c r="P617" s="3396">
        <f t="shared" si="114"/>
        <v>0</v>
      </c>
      <c r="Q617" s="3396">
        <f t="shared" si="114"/>
        <v>0</v>
      </c>
      <c r="R617" s="3395">
        <f t="shared" si="115"/>
        <v>0</v>
      </c>
      <c r="S617" s="3396">
        <f t="shared" si="115"/>
        <v>0</v>
      </c>
      <c r="T617" s="3396">
        <f t="shared" si="115"/>
        <v>0</v>
      </c>
      <c r="U617" s="3395">
        <f t="shared" si="115"/>
        <v>0</v>
      </c>
      <c r="V617" s="3396">
        <f t="shared" si="115"/>
        <v>0</v>
      </c>
      <c r="W617" s="3396">
        <f t="shared" si="115"/>
        <v>0</v>
      </c>
      <c r="X617" s="3386"/>
      <c r="Y617" s="3386"/>
      <c r="Z617" s="3386"/>
      <c r="AA617" s="3391"/>
    </row>
    <row r="618" spans="2:27" ht="18" hidden="1">
      <c r="B618" s="3350"/>
      <c r="C618" s="3407"/>
      <c r="D618" s="3350"/>
      <c r="E618" s="3404">
        <v>1093000390</v>
      </c>
      <c r="F618" s="3406"/>
      <c r="G618" s="3387"/>
      <c r="H618" s="3383">
        <f t="shared" si="104"/>
        <v>0</v>
      </c>
      <c r="I618" s="3386"/>
      <c r="J618" s="3387"/>
      <c r="K618" s="3383">
        <f t="shared" si="105"/>
        <v>0</v>
      </c>
      <c r="L618" s="3395">
        <f t="shared" si="114"/>
        <v>0</v>
      </c>
      <c r="M618" s="3396">
        <f t="shared" si="114"/>
        <v>0</v>
      </c>
      <c r="N618" s="3396">
        <f t="shared" si="114"/>
        <v>0</v>
      </c>
      <c r="O618" s="3395">
        <f t="shared" si="114"/>
        <v>0</v>
      </c>
      <c r="P618" s="3396">
        <f t="shared" si="114"/>
        <v>0</v>
      </c>
      <c r="Q618" s="3396">
        <f t="shared" si="114"/>
        <v>0</v>
      </c>
      <c r="R618" s="3395">
        <f t="shared" si="115"/>
        <v>0</v>
      </c>
      <c r="S618" s="3396">
        <f t="shared" si="115"/>
        <v>0</v>
      </c>
      <c r="T618" s="3396">
        <f t="shared" si="115"/>
        <v>0</v>
      </c>
      <c r="U618" s="3395">
        <f t="shared" si="115"/>
        <v>0</v>
      </c>
      <c r="V618" s="3396">
        <f t="shared" si="115"/>
        <v>0</v>
      </c>
      <c r="W618" s="3396">
        <f t="shared" si="115"/>
        <v>0</v>
      </c>
      <c r="X618" s="3386"/>
      <c r="Y618" s="3386"/>
      <c r="Z618" s="3386"/>
      <c r="AA618" s="3391"/>
    </row>
    <row r="619" spans="2:27" ht="18" hidden="1">
      <c r="B619" s="3350"/>
      <c r="C619" s="3407"/>
      <c r="D619" s="3350"/>
      <c r="E619" s="3404">
        <v>1093000391</v>
      </c>
      <c r="F619" s="3406"/>
      <c r="G619" s="3387"/>
      <c r="H619" s="3383">
        <f t="shared" si="104"/>
        <v>0</v>
      </c>
      <c r="I619" s="3386"/>
      <c r="J619" s="3387"/>
      <c r="K619" s="3383">
        <f t="shared" si="105"/>
        <v>0</v>
      </c>
      <c r="L619" s="3395">
        <f t="shared" si="114"/>
        <v>0</v>
      </c>
      <c r="M619" s="3396">
        <f t="shared" si="114"/>
        <v>0</v>
      </c>
      <c r="N619" s="3396">
        <f t="shared" si="114"/>
        <v>0</v>
      </c>
      <c r="O619" s="3395">
        <f t="shared" si="114"/>
        <v>0</v>
      </c>
      <c r="P619" s="3396">
        <f t="shared" si="114"/>
        <v>0</v>
      </c>
      <c r="Q619" s="3396">
        <f t="shared" si="114"/>
        <v>0</v>
      </c>
      <c r="R619" s="3395">
        <f t="shared" si="115"/>
        <v>0</v>
      </c>
      <c r="S619" s="3396">
        <f t="shared" si="115"/>
        <v>0</v>
      </c>
      <c r="T619" s="3396">
        <f t="shared" si="115"/>
        <v>0</v>
      </c>
      <c r="U619" s="3395">
        <f t="shared" si="115"/>
        <v>0</v>
      </c>
      <c r="V619" s="3396">
        <f t="shared" si="115"/>
        <v>0</v>
      </c>
      <c r="W619" s="3396">
        <f t="shared" si="115"/>
        <v>0</v>
      </c>
      <c r="X619" s="3386"/>
      <c r="Y619" s="3386"/>
      <c r="Z619" s="3386"/>
      <c r="AA619" s="3391"/>
    </row>
    <row r="620" spans="2:27" ht="18" hidden="1">
      <c r="B620" s="3350"/>
      <c r="C620" s="3407"/>
      <c r="D620" s="3350"/>
      <c r="E620" s="3404">
        <v>1093000392</v>
      </c>
      <c r="F620" s="3406"/>
      <c r="G620" s="3387"/>
      <c r="H620" s="3383">
        <f t="shared" si="104"/>
        <v>0</v>
      </c>
      <c r="I620" s="3386"/>
      <c r="J620" s="3387"/>
      <c r="K620" s="3383">
        <f t="shared" si="105"/>
        <v>0</v>
      </c>
      <c r="L620" s="3395">
        <f t="shared" si="114"/>
        <v>0</v>
      </c>
      <c r="M620" s="3396">
        <f t="shared" si="114"/>
        <v>0</v>
      </c>
      <c r="N620" s="3396">
        <f t="shared" si="114"/>
        <v>0</v>
      </c>
      <c r="O620" s="3395">
        <f t="shared" si="114"/>
        <v>0</v>
      </c>
      <c r="P620" s="3396">
        <f t="shared" si="114"/>
        <v>0</v>
      </c>
      <c r="Q620" s="3396">
        <f t="shared" si="114"/>
        <v>0</v>
      </c>
      <c r="R620" s="3395">
        <f t="shared" si="115"/>
        <v>0</v>
      </c>
      <c r="S620" s="3396">
        <f t="shared" si="115"/>
        <v>0</v>
      </c>
      <c r="T620" s="3396">
        <f t="shared" si="115"/>
        <v>0</v>
      </c>
      <c r="U620" s="3395">
        <f t="shared" si="115"/>
        <v>0</v>
      </c>
      <c r="V620" s="3396">
        <f t="shared" si="115"/>
        <v>0</v>
      </c>
      <c r="W620" s="3396">
        <f t="shared" si="115"/>
        <v>0</v>
      </c>
      <c r="X620" s="3386"/>
      <c r="Y620" s="3386"/>
      <c r="Z620" s="3386"/>
      <c r="AA620" s="3391"/>
    </row>
    <row r="621" spans="2:27" ht="18" hidden="1">
      <c r="B621" s="3350"/>
      <c r="C621" s="3407"/>
      <c r="D621" s="3350"/>
      <c r="E621" s="3404">
        <v>1093000393</v>
      </c>
      <c r="F621" s="3406"/>
      <c r="G621" s="3387"/>
      <c r="H621" s="3383">
        <f t="shared" si="104"/>
        <v>0</v>
      </c>
      <c r="I621" s="3386"/>
      <c r="J621" s="3387"/>
      <c r="K621" s="3383">
        <f t="shared" si="105"/>
        <v>0</v>
      </c>
      <c r="L621" s="3395">
        <f t="shared" si="114"/>
        <v>0</v>
      </c>
      <c r="M621" s="3396">
        <f t="shared" si="114"/>
        <v>0</v>
      </c>
      <c r="N621" s="3396">
        <f t="shared" si="114"/>
        <v>0</v>
      </c>
      <c r="O621" s="3395">
        <f t="shared" si="114"/>
        <v>0</v>
      </c>
      <c r="P621" s="3396">
        <f t="shared" si="114"/>
        <v>0</v>
      </c>
      <c r="Q621" s="3396">
        <f t="shared" si="114"/>
        <v>0</v>
      </c>
      <c r="R621" s="3395">
        <f t="shared" si="115"/>
        <v>0</v>
      </c>
      <c r="S621" s="3396">
        <f t="shared" si="115"/>
        <v>0</v>
      </c>
      <c r="T621" s="3396">
        <f t="shared" si="115"/>
        <v>0</v>
      </c>
      <c r="U621" s="3395">
        <f t="shared" si="115"/>
        <v>0</v>
      </c>
      <c r="V621" s="3396">
        <f t="shared" si="115"/>
        <v>0</v>
      </c>
      <c r="W621" s="3396">
        <f t="shared" si="115"/>
        <v>0</v>
      </c>
      <c r="X621" s="3386"/>
      <c r="Y621" s="3386"/>
      <c r="Z621" s="3386"/>
      <c r="AA621" s="3391"/>
    </row>
    <row r="622" spans="2:27" ht="18" hidden="1">
      <c r="B622" s="3350"/>
      <c r="C622" s="3407"/>
      <c r="D622" s="3350"/>
      <c r="E622" s="3404">
        <v>1093000394</v>
      </c>
      <c r="F622" s="3406"/>
      <c r="G622" s="3387"/>
      <c r="H622" s="3383">
        <f t="shared" si="104"/>
        <v>0</v>
      </c>
      <c r="I622" s="3386"/>
      <c r="J622" s="3387"/>
      <c r="K622" s="3383">
        <f t="shared" si="105"/>
        <v>0</v>
      </c>
      <c r="L622" s="3395">
        <f t="shared" si="114"/>
        <v>0</v>
      </c>
      <c r="M622" s="3396">
        <f t="shared" si="114"/>
        <v>0</v>
      </c>
      <c r="N622" s="3396">
        <f t="shared" si="114"/>
        <v>0</v>
      </c>
      <c r="O622" s="3395">
        <f t="shared" si="114"/>
        <v>0</v>
      </c>
      <c r="P622" s="3396">
        <f t="shared" si="114"/>
        <v>0</v>
      </c>
      <c r="Q622" s="3396">
        <f t="shared" si="114"/>
        <v>0</v>
      </c>
      <c r="R622" s="3395">
        <f t="shared" si="115"/>
        <v>0</v>
      </c>
      <c r="S622" s="3396">
        <f t="shared" si="115"/>
        <v>0</v>
      </c>
      <c r="T622" s="3396">
        <f t="shared" si="115"/>
        <v>0</v>
      </c>
      <c r="U622" s="3395">
        <f t="shared" si="115"/>
        <v>0</v>
      </c>
      <c r="V622" s="3396">
        <f t="shared" si="115"/>
        <v>0</v>
      </c>
      <c r="W622" s="3396">
        <f t="shared" si="115"/>
        <v>0</v>
      </c>
      <c r="X622" s="3386"/>
      <c r="Y622" s="3386"/>
      <c r="Z622" s="3386"/>
      <c r="AA622" s="3391"/>
    </row>
    <row r="623" spans="2:27" ht="18" hidden="1">
      <c r="B623" s="3350"/>
      <c r="C623" s="3407"/>
      <c r="D623" s="3350"/>
      <c r="E623" s="3404">
        <v>1093000395</v>
      </c>
      <c r="F623" s="3406"/>
      <c r="G623" s="3387"/>
      <c r="H623" s="3383">
        <f t="shared" si="104"/>
        <v>0</v>
      </c>
      <c r="I623" s="3386"/>
      <c r="J623" s="3387"/>
      <c r="K623" s="3383">
        <f t="shared" si="105"/>
        <v>0</v>
      </c>
      <c r="L623" s="3395">
        <f t="shared" si="114"/>
        <v>0</v>
      </c>
      <c r="M623" s="3396">
        <f t="shared" si="114"/>
        <v>0</v>
      </c>
      <c r="N623" s="3396">
        <f t="shared" si="114"/>
        <v>0</v>
      </c>
      <c r="O623" s="3395">
        <f t="shared" si="114"/>
        <v>0</v>
      </c>
      <c r="P623" s="3396">
        <f t="shared" si="114"/>
        <v>0</v>
      </c>
      <c r="Q623" s="3396">
        <f t="shared" si="114"/>
        <v>0</v>
      </c>
      <c r="R623" s="3395">
        <f t="shared" si="115"/>
        <v>0</v>
      </c>
      <c r="S623" s="3396">
        <f t="shared" si="115"/>
        <v>0</v>
      </c>
      <c r="T623" s="3396">
        <f t="shared" si="115"/>
        <v>0</v>
      </c>
      <c r="U623" s="3395">
        <f t="shared" si="115"/>
        <v>0</v>
      </c>
      <c r="V623" s="3396">
        <f t="shared" si="115"/>
        <v>0</v>
      </c>
      <c r="W623" s="3396">
        <f t="shared" si="115"/>
        <v>0</v>
      </c>
      <c r="X623" s="3386"/>
      <c r="Y623" s="3386"/>
      <c r="Z623" s="3386"/>
      <c r="AA623" s="3391"/>
    </row>
    <row r="624" spans="2:27" ht="18" hidden="1">
      <c r="B624" s="3350"/>
      <c r="C624" s="3407"/>
      <c r="D624" s="3350"/>
      <c r="E624" s="3404">
        <v>1093000396</v>
      </c>
      <c r="F624" s="3406"/>
      <c r="G624" s="3387"/>
      <c r="H624" s="3383">
        <f t="shared" si="104"/>
        <v>0</v>
      </c>
      <c r="I624" s="3386"/>
      <c r="J624" s="3387"/>
      <c r="K624" s="3383">
        <f t="shared" si="105"/>
        <v>0</v>
      </c>
      <c r="L624" s="3395">
        <f t="shared" si="114"/>
        <v>0</v>
      </c>
      <c r="M624" s="3396">
        <f t="shared" si="114"/>
        <v>0</v>
      </c>
      <c r="N624" s="3396">
        <f t="shared" si="114"/>
        <v>0</v>
      </c>
      <c r="O624" s="3395">
        <f t="shared" si="114"/>
        <v>0</v>
      </c>
      <c r="P624" s="3396">
        <f t="shared" si="114"/>
        <v>0</v>
      </c>
      <c r="Q624" s="3396">
        <f t="shared" si="114"/>
        <v>0</v>
      </c>
      <c r="R624" s="3395">
        <f t="shared" si="115"/>
        <v>0</v>
      </c>
      <c r="S624" s="3396">
        <f t="shared" si="115"/>
        <v>0</v>
      </c>
      <c r="T624" s="3396">
        <f t="shared" si="115"/>
        <v>0</v>
      </c>
      <c r="U624" s="3395">
        <f t="shared" si="115"/>
        <v>0</v>
      </c>
      <c r="V624" s="3396">
        <f t="shared" si="115"/>
        <v>0</v>
      </c>
      <c r="W624" s="3396">
        <f t="shared" si="115"/>
        <v>0</v>
      </c>
      <c r="X624" s="3386"/>
      <c r="Y624" s="3386"/>
      <c r="Z624" s="3386"/>
      <c r="AA624" s="3391"/>
    </row>
    <row r="625" spans="2:27" ht="18" hidden="1">
      <c r="B625" s="3350"/>
      <c r="C625" s="3407"/>
      <c r="D625" s="3350"/>
      <c r="E625" s="3404">
        <v>1093000397</v>
      </c>
      <c r="F625" s="3406"/>
      <c r="G625" s="3387"/>
      <c r="H625" s="3383">
        <f t="shared" si="104"/>
        <v>0</v>
      </c>
      <c r="I625" s="3386"/>
      <c r="J625" s="3387"/>
      <c r="K625" s="3383">
        <f t="shared" si="105"/>
        <v>0</v>
      </c>
      <c r="L625" s="3395">
        <f t="shared" si="114"/>
        <v>0</v>
      </c>
      <c r="M625" s="3396">
        <f t="shared" si="114"/>
        <v>0</v>
      </c>
      <c r="N625" s="3396">
        <f t="shared" si="114"/>
        <v>0</v>
      </c>
      <c r="O625" s="3395">
        <f t="shared" ref="O625:Q629" si="116">(0)</f>
        <v>0</v>
      </c>
      <c r="P625" s="3396">
        <f t="shared" si="116"/>
        <v>0</v>
      </c>
      <c r="Q625" s="3396">
        <f t="shared" si="116"/>
        <v>0</v>
      </c>
      <c r="R625" s="3395">
        <f t="shared" si="115"/>
        <v>0</v>
      </c>
      <c r="S625" s="3396">
        <f t="shared" si="115"/>
        <v>0</v>
      </c>
      <c r="T625" s="3396">
        <f t="shared" si="115"/>
        <v>0</v>
      </c>
      <c r="U625" s="3395">
        <f t="shared" si="115"/>
        <v>0</v>
      </c>
      <c r="V625" s="3396">
        <f t="shared" si="115"/>
        <v>0</v>
      </c>
      <c r="W625" s="3396">
        <f t="shared" si="115"/>
        <v>0</v>
      </c>
      <c r="X625" s="3386"/>
      <c r="Y625" s="3386"/>
      <c r="Z625" s="3386"/>
      <c r="AA625" s="3391"/>
    </row>
    <row r="626" spans="2:27" ht="18" hidden="1">
      <c r="B626" s="3350"/>
      <c r="C626" s="3407"/>
      <c r="D626" s="3350"/>
      <c r="E626" s="3404">
        <v>1093000398</v>
      </c>
      <c r="F626" s="3406"/>
      <c r="G626" s="3387"/>
      <c r="H626" s="3383">
        <f t="shared" si="104"/>
        <v>0</v>
      </c>
      <c r="I626" s="3386"/>
      <c r="J626" s="3387"/>
      <c r="K626" s="3383">
        <f t="shared" si="105"/>
        <v>0</v>
      </c>
      <c r="L626" s="3395">
        <f t="shared" ref="L626:N629" si="117">(0)</f>
        <v>0</v>
      </c>
      <c r="M626" s="3396">
        <f t="shared" si="117"/>
        <v>0</v>
      </c>
      <c r="N626" s="3396">
        <f t="shared" si="117"/>
        <v>0</v>
      </c>
      <c r="O626" s="3395">
        <f t="shared" si="116"/>
        <v>0</v>
      </c>
      <c r="P626" s="3396">
        <f t="shared" si="116"/>
        <v>0</v>
      </c>
      <c r="Q626" s="3396">
        <f t="shared" si="116"/>
        <v>0</v>
      </c>
      <c r="R626" s="3395">
        <f t="shared" si="115"/>
        <v>0</v>
      </c>
      <c r="S626" s="3396">
        <f t="shared" si="115"/>
        <v>0</v>
      </c>
      <c r="T626" s="3396">
        <f t="shared" si="115"/>
        <v>0</v>
      </c>
      <c r="U626" s="3395">
        <f t="shared" si="115"/>
        <v>0</v>
      </c>
      <c r="V626" s="3396">
        <f t="shared" si="115"/>
        <v>0</v>
      </c>
      <c r="W626" s="3396">
        <f t="shared" si="115"/>
        <v>0</v>
      </c>
      <c r="X626" s="3386"/>
      <c r="Y626" s="3386"/>
      <c r="Z626" s="3386"/>
      <c r="AA626" s="3391"/>
    </row>
    <row r="627" spans="2:27" ht="18" hidden="1">
      <c r="B627" s="3350"/>
      <c r="C627" s="3407"/>
      <c r="D627" s="3350"/>
      <c r="E627" s="3404">
        <v>1093000399</v>
      </c>
      <c r="F627" s="3406"/>
      <c r="G627" s="3387"/>
      <c r="H627" s="3383">
        <f t="shared" si="104"/>
        <v>0</v>
      </c>
      <c r="I627" s="3386"/>
      <c r="J627" s="3387"/>
      <c r="K627" s="3383">
        <f t="shared" si="105"/>
        <v>0</v>
      </c>
      <c r="L627" s="3395">
        <f t="shared" si="117"/>
        <v>0</v>
      </c>
      <c r="M627" s="3396">
        <f t="shared" si="117"/>
        <v>0</v>
      </c>
      <c r="N627" s="3396">
        <f t="shared" si="117"/>
        <v>0</v>
      </c>
      <c r="O627" s="3395">
        <f t="shared" si="116"/>
        <v>0</v>
      </c>
      <c r="P627" s="3396">
        <f t="shared" si="116"/>
        <v>0</v>
      </c>
      <c r="Q627" s="3396">
        <f t="shared" si="116"/>
        <v>0</v>
      </c>
      <c r="R627" s="3395">
        <f t="shared" si="115"/>
        <v>0</v>
      </c>
      <c r="S627" s="3396">
        <f t="shared" si="115"/>
        <v>0</v>
      </c>
      <c r="T627" s="3396">
        <f t="shared" si="115"/>
        <v>0</v>
      </c>
      <c r="U627" s="3395">
        <f t="shared" si="115"/>
        <v>0</v>
      </c>
      <c r="V627" s="3396">
        <f t="shared" si="115"/>
        <v>0</v>
      </c>
      <c r="W627" s="3396">
        <f t="shared" si="115"/>
        <v>0</v>
      </c>
      <c r="X627" s="3386"/>
      <c r="Y627" s="3386"/>
      <c r="Z627" s="3386"/>
      <c r="AA627" s="3391"/>
    </row>
    <row r="628" spans="2:27" ht="18" hidden="1">
      <c r="B628" s="3350"/>
      <c r="C628" s="3407"/>
      <c r="D628" s="3350"/>
      <c r="E628" s="3404">
        <v>1093000400</v>
      </c>
      <c r="F628" s="3406"/>
      <c r="G628" s="3387"/>
      <c r="H628" s="3383">
        <f t="shared" si="104"/>
        <v>0</v>
      </c>
      <c r="I628" s="3386"/>
      <c r="J628" s="3387"/>
      <c r="K628" s="3383">
        <f t="shared" si="105"/>
        <v>0</v>
      </c>
      <c r="L628" s="3395">
        <f t="shared" si="117"/>
        <v>0</v>
      </c>
      <c r="M628" s="3396">
        <f t="shared" si="117"/>
        <v>0</v>
      </c>
      <c r="N628" s="3396">
        <f t="shared" si="117"/>
        <v>0</v>
      </c>
      <c r="O628" s="3395">
        <f t="shared" si="116"/>
        <v>0</v>
      </c>
      <c r="P628" s="3396">
        <f t="shared" si="116"/>
        <v>0</v>
      </c>
      <c r="Q628" s="3396">
        <f t="shared" si="116"/>
        <v>0</v>
      </c>
      <c r="R628" s="3395">
        <f t="shared" si="115"/>
        <v>0</v>
      </c>
      <c r="S628" s="3396">
        <f t="shared" si="115"/>
        <v>0</v>
      </c>
      <c r="T628" s="3396">
        <f t="shared" si="115"/>
        <v>0</v>
      </c>
      <c r="U628" s="3395">
        <f t="shared" si="115"/>
        <v>0</v>
      </c>
      <c r="V628" s="3396">
        <f t="shared" si="115"/>
        <v>0</v>
      </c>
      <c r="W628" s="3396">
        <f t="shared" si="115"/>
        <v>0</v>
      </c>
      <c r="X628" s="3386"/>
      <c r="Y628" s="3386"/>
      <c r="Z628" s="3386"/>
      <c r="AA628" s="3391"/>
    </row>
    <row r="629" spans="2:27" ht="18" hidden="1">
      <c r="B629" s="3350"/>
      <c r="C629" s="3408" t="s">
        <v>3956</v>
      </c>
      <c r="D629" s="3350"/>
      <c r="E629" s="3404">
        <v>1093000401</v>
      </c>
      <c r="F629" s="3406"/>
      <c r="G629" s="3387"/>
      <c r="H629" s="3383">
        <f t="shared" si="104"/>
        <v>0</v>
      </c>
      <c r="I629" s="3386"/>
      <c r="J629" s="3387"/>
      <c r="K629" s="3383">
        <f t="shared" si="105"/>
        <v>0</v>
      </c>
      <c r="L629" s="3395">
        <f t="shared" si="117"/>
        <v>0</v>
      </c>
      <c r="M629" s="3396">
        <f t="shared" si="117"/>
        <v>0</v>
      </c>
      <c r="N629" s="3396">
        <f t="shared" si="117"/>
        <v>0</v>
      </c>
      <c r="O629" s="3395">
        <f t="shared" si="116"/>
        <v>0</v>
      </c>
      <c r="P629" s="3396">
        <f t="shared" si="116"/>
        <v>0</v>
      </c>
      <c r="Q629" s="3396">
        <f t="shared" si="116"/>
        <v>0</v>
      </c>
      <c r="R629" s="3395">
        <f t="shared" si="115"/>
        <v>0</v>
      </c>
      <c r="S629" s="3396">
        <f t="shared" si="115"/>
        <v>0</v>
      </c>
      <c r="T629" s="3396">
        <f t="shared" si="115"/>
        <v>0</v>
      </c>
      <c r="U629" s="3395">
        <f t="shared" si="115"/>
        <v>0</v>
      </c>
      <c r="V629" s="3396">
        <f t="shared" si="115"/>
        <v>0</v>
      </c>
      <c r="W629" s="3396">
        <f t="shared" si="115"/>
        <v>0</v>
      </c>
      <c r="X629" s="3386"/>
      <c r="Y629" s="3386"/>
      <c r="Z629" s="3386"/>
      <c r="AA629" s="3391"/>
    </row>
    <row r="630" spans="2:27" ht="18">
      <c r="B630" s="3350"/>
      <c r="C630" s="3351" t="s">
        <v>512</v>
      </c>
      <c r="D630" s="3350"/>
      <c r="E630" s="3352"/>
      <c r="F630" s="3377"/>
      <c r="G630" s="3378"/>
      <c r="H630" s="3378"/>
      <c r="I630" s="3379"/>
      <c r="J630" s="3378"/>
      <c r="K630" s="3378"/>
      <c r="L630" s="3379"/>
      <c r="M630" s="3378"/>
      <c r="N630" s="3378"/>
      <c r="O630" s="3379"/>
      <c r="P630" s="3378"/>
      <c r="Q630" s="3378"/>
      <c r="R630" s="3379"/>
      <c r="S630" s="3378"/>
      <c r="T630" s="3378"/>
      <c r="U630" s="3379"/>
      <c r="V630" s="3378"/>
      <c r="W630" s="3378"/>
      <c r="X630" s="3379"/>
      <c r="Y630" s="3379"/>
      <c r="Z630" s="3379"/>
      <c r="AA630" s="3380"/>
    </row>
    <row r="631" spans="2:27" ht="18">
      <c r="B631" s="3350"/>
      <c r="C631" s="3351" t="s">
        <v>3938</v>
      </c>
      <c r="D631" s="3350"/>
      <c r="E631" s="3352">
        <v>10931</v>
      </c>
      <c r="F631" s="3381"/>
      <c r="G631" s="3382"/>
      <c r="H631" s="3383">
        <f t="shared" ref="H631:H633" si="118">IF(F631=0,0,G631/F631)</f>
        <v>0</v>
      </c>
      <c r="I631" s="3388"/>
      <c r="J631" s="3389"/>
      <c r="K631" s="3383">
        <f t="shared" ref="K631:K633" si="119">IF(I631=0,0,J631/I631)</f>
        <v>0</v>
      </c>
      <c r="L631" s="3386"/>
      <c r="M631" s="3387"/>
      <c r="N631" s="3383">
        <f t="shared" ref="N631:N632" si="120">IF(L631=0,0,M631/L631)</f>
        <v>0</v>
      </c>
      <c r="O631" s="3388"/>
      <c r="P631" s="3389"/>
      <c r="Q631" s="3387"/>
      <c r="R631" s="3386"/>
      <c r="S631" s="3387"/>
      <c r="T631" s="3383">
        <f t="shared" ref="T631:T632" si="121">IF(R631=0,0,S631/R631)</f>
        <v>0</v>
      </c>
      <c r="U631" s="3388"/>
      <c r="V631" s="3389"/>
      <c r="W631" s="3383">
        <f t="shared" ref="W631:W632" si="122">IF(U631=0,0,V631/U631)</f>
        <v>0</v>
      </c>
      <c r="X631" s="3388"/>
      <c r="Y631" s="3386"/>
      <c r="Z631" s="3386"/>
      <c r="AA631" s="3391"/>
    </row>
    <row r="632" spans="2:27" ht="31.5">
      <c r="B632" s="3350"/>
      <c r="C632" s="3351" t="s">
        <v>3939</v>
      </c>
      <c r="D632" s="3350"/>
      <c r="E632" s="3352">
        <v>10932</v>
      </c>
      <c r="F632" s="3381"/>
      <c r="G632" s="3382"/>
      <c r="H632" s="3383">
        <f t="shared" si="118"/>
        <v>0</v>
      </c>
      <c r="I632" s="3388"/>
      <c r="J632" s="3389"/>
      <c r="K632" s="3383">
        <f t="shared" si="119"/>
        <v>0</v>
      </c>
      <c r="L632" s="3386"/>
      <c r="M632" s="3387"/>
      <c r="N632" s="3383">
        <f t="shared" si="120"/>
        <v>0</v>
      </c>
      <c r="O632" s="3388"/>
      <c r="P632" s="3389"/>
      <c r="Q632" s="3387"/>
      <c r="R632" s="3386"/>
      <c r="S632" s="3387"/>
      <c r="T632" s="3383">
        <f t="shared" si="121"/>
        <v>0</v>
      </c>
      <c r="U632" s="3388"/>
      <c r="V632" s="3389"/>
      <c r="W632" s="3383">
        <f t="shared" si="122"/>
        <v>0</v>
      </c>
      <c r="X632" s="3388"/>
      <c r="Y632" s="3386"/>
      <c r="Z632" s="3386"/>
      <c r="AA632" s="3391"/>
    </row>
    <row r="633" spans="2:27" ht="63">
      <c r="B633" s="3350"/>
      <c r="C633" s="3351" t="s">
        <v>3958</v>
      </c>
      <c r="D633" s="3350"/>
      <c r="E633" s="3352">
        <v>10940</v>
      </c>
      <c r="F633" s="3381"/>
      <c r="G633" s="3382"/>
      <c r="H633" s="3383">
        <f t="shared" si="118"/>
        <v>0</v>
      </c>
      <c r="I633" s="3388"/>
      <c r="J633" s="3389"/>
      <c r="K633" s="3383">
        <f t="shared" si="119"/>
        <v>0</v>
      </c>
      <c r="L633" s="3395">
        <f t="shared" ref="L633:P633" si="123">(0)</f>
        <v>0</v>
      </c>
      <c r="M633" s="3396">
        <f t="shared" si="123"/>
        <v>0</v>
      </c>
      <c r="N633" s="3396">
        <f t="shared" si="123"/>
        <v>0</v>
      </c>
      <c r="O633" s="3395">
        <f t="shared" si="123"/>
        <v>0</v>
      </c>
      <c r="P633" s="3396">
        <f t="shared" si="123"/>
        <v>0</v>
      </c>
      <c r="Q633" s="3383">
        <f>IF(O633=0,0,P633/O633)</f>
        <v>0</v>
      </c>
      <c r="R633" s="3395">
        <f t="shared" ref="R633:W633" si="124">(0)</f>
        <v>0</v>
      </c>
      <c r="S633" s="3396">
        <f t="shared" si="124"/>
        <v>0</v>
      </c>
      <c r="T633" s="3396">
        <f t="shared" si="124"/>
        <v>0</v>
      </c>
      <c r="U633" s="3395">
        <f t="shared" si="124"/>
        <v>0</v>
      </c>
      <c r="V633" s="3396">
        <f t="shared" si="124"/>
        <v>0</v>
      </c>
      <c r="W633" s="3396">
        <f t="shared" si="124"/>
        <v>0</v>
      </c>
      <c r="X633" s="3388"/>
      <c r="Y633" s="3386"/>
      <c r="Z633" s="3386"/>
      <c r="AA633" s="3391"/>
    </row>
    <row r="634" spans="2:27" ht="18">
      <c r="B634" s="3350"/>
      <c r="C634" s="3351" t="s">
        <v>512</v>
      </c>
      <c r="D634" s="3350"/>
      <c r="E634" s="3352"/>
      <c r="F634" s="3377"/>
      <c r="G634" s="3378"/>
      <c r="H634" s="3378"/>
      <c r="I634" s="3379"/>
      <c r="J634" s="3378"/>
      <c r="K634" s="3378"/>
      <c r="L634" s="3379"/>
      <c r="M634" s="3378"/>
      <c r="N634" s="3378"/>
      <c r="O634" s="3379"/>
      <c r="P634" s="3378"/>
      <c r="Q634" s="3378"/>
      <c r="R634" s="3379"/>
      <c r="S634" s="3378"/>
      <c r="T634" s="3378"/>
      <c r="U634" s="3379"/>
      <c r="V634" s="3378"/>
      <c r="W634" s="3378"/>
      <c r="X634" s="3379"/>
      <c r="Y634" s="3379"/>
      <c r="Z634" s="3379"/>
      <c r="AA634" s="3380"/>
    </row>
    <row r="635" spans="2:27" ht="18">
      <c r="B635" s="3350"/>
      <c r="C635" s="3351" t="s">
        <v>3938</v>
      </c>
      <c r="D635" s="3350"/>
      <c r="E635" s="3352">
        <v>10941</v>
      </c>
      <c r="F635" s="3381"/>
      <c r="G635" s="3382"/>
      <c r="H635" s="3383">
        <f t="shared" ref="H635:H636" si="125">IF(F635=0,0,G635/F635)</f>
        <v>0</v>
      </c>
      <c r="I635" s="3388"/>
      <c r="J635" s="3389"/>
      <c r="K635" s="3383">
        <f t="shared" ref="K635:K636" si="126">IF(I635=0,0,J635/I635)</f>
        <v>0</v>
      </c>
      <c r="L635" s="3386"/>
      <c r="M635" s="3387"/>
      <c r="N635" s="3383">
        <f t="shared" ref="N635:N636" si="127">IF(L635=0,0,M635/L635)</f>
        <v>0</v>
      </c>
      <c r="O635" s="3388"/>
      <c r="P635" s="3389"/>
      <c r="Q635" s="3387"/>
      <c r="R635" s="3386"/>
      <c r="S635" s="3387"/>
      <c r="T635" s="3383">
        <f t="shared" ref="T635:T636" si="128">IF(R635=0,0,S635/R635)</f>
        <v>0</v>
      </c>
      <c r="U635" s="3388"/>
      <c r="V635" s="3389"/>
      <c r="W635" s="3383">
        <f t="shared" ref="W635:W636" si="129">IF(U635=0,0,V635/U635)</f>
        <v>0</v>
      </c>
      <c r="X635" s="3388"/>
      <c r="Y635" s="3386"/>
      <c r="Z635" s="3386"/>
      <c r="AA635" s="3391"/>
    </row>
    <row r="636" spans="2:27" ht="31.5">
      <c r="B636" s="3350"/>
      <c r="C636" s="3351" t="s">
        <v>3939</v>
      </c>
      <c r="D636" s="3350"/>
      <c r="E636" s="3352">
        <v>10942</v>
      </c>
      <c r="F636" s="3381"/>
      <c r="G636" s="3382"/>
      <c r="H636" s="3383">
        <f t="shared" si="125"/>
        <v>0</v>
      </c>
      <c r="I636" s="3388"/>
      <c r="J636" s="3389"/>
      <c r="K636" s="3383">
        <f t="shared" si="126"/>
        <v>0</v>
      </c>
      <c r="L636" s="3386"/>
      <c r="M636" s="3387"/>
      <c r="N636" s="3383">
        <f t="shared" si="127"/>
        <v>0</v>
      </c>
      <c r="O636" s="3388"/>
      <c r="P636" s="3389"/>
      <c r="Q636" s="3387"/>
      <c r="R636" s="3386"/>
      <c r="S636" s="3387"/>
      <c r="T636" s="3383">
        <f t="shared" si="128"/>
        <v>0</v>
      </c>
      <c r="U636" s="3388"/>
      <c r="V636" s="3389"/>
      <c r="W636" s="3383">
        <f t="shared" si="129"/>
        <v>0</v>
      </c>
      <c r="X636" s="3388"/>
      <c r="Y636" s="3386"/>
      <c r="Z636" s="3386"/>
      <c r="AA636" s="3391"/>
    </row>
    <row r="637" spans="2:27" ht="18">
      <c r="B637" s="3350"/>
      <c r="C637" s="3351"/>
      <c r="D637" s="3350"/>
      <c r="E637" s="3352"/>
      <c r="F637" s="3377"/>
      <c r="G637" s="3378"/>
      <c r="H637" s="3378"/>
      <c r="I637" s="3379"/>
      <c r="J637" s="3378"/>
      <c r="K637" s="3378"/>
      <c r="L637" s="3379"/>
      <c r="M637" s="3378"/>
      <c r="N637" s="3378"/>
      <c r="O637" s="3379"/>
      <c r="P637" s="3378"/>
      <c r="Q637" s="3378"/>
      <c r="R637" s="3379"/>
      <c r="S637" s="3378"/>
      <c r="T637" s="3378"/>
      <c r="U637" s="3379"/>
      <c r="V637" s="3378"/>
      <c r="W637" s="3378"/>
      <c r="X637" s="3379"/>
      <c r="Y637" s="3379"/>
      <c r="Z637" s="3379"/>
      <c r="AA637" s="3380"/>
    </row>
    <row r="638" spans="2:27" ht="18">
      <c r="B638" s="3350"/>
      <c r="C638" s="3351" t="s">
        <v>3959</v>
      </c>
      <c r="D638" s="3350"/>
      <c r="E638" s="3352"/>
      <c r="F638" s="3377"/>
      <c r="G638" s="3378"/>
      <c r="H638" s="3378"/>
      <c r="I638" s="3379"/>
      <c r="J638" s="3378"/>
      <c r="K638" s="3378"/>
      <c r="L638" s="3379"/>
      <c r="M638" s="3378"/>
      <c r="N638" s="3378"/>
      <c r="O638" s="3379"/>
      <c r="P638" s="3378"/>
      <c r="Q638" s="3378"/>
      <c r="R638" s="3379"/>
      <c r="S638" s="3378"/>
      <c r="T638" s="3378"/>
      <c r="U638" s="3379"/>
      <c r="V638" s="3378"/>
      <c r="W638" s="3378"/>
      <c r="X638" s="3379"/>
      <c r="Y638" s="3379"/>
      <c r="Z638" s="3379"/>
      <c r="AA638" s="3380"/>
    </row>
    <row r="639" spans="2:27" ht="78.75">
      <c r="B639" s="3350"/>
      <c r="C639" s="3351" t="s">
        <v>3960</v>
      </c>
      <c r="D639" s="3350"/>
      <c r="E639" s="3352">
        <v>10950</v>
      </c>
      <c r="F639" s="3381"/>
      <c r="G639" s="3382"/>
      <c r="H639" s="3383">
        <f>IF(F639=0,0,G639/F639)</f>
        <v>0</v>
      </c>
      <c r="I639" s="3388"/>
      <c r="J639" s="3389"/>
      <c r="K639" s="3383">
        <f>IF(I639=0,0,J639/I639)</f>
        <v>0</v>
      </c>
      <c r="L639" s="3386"/>
      <c r="M639" s="3387"/>
      <c r="N639" s="3383">
        <f>IF(L639=0,0,M639/L639)</f>
        <v>0</v>
      </c>
      <c r="O639" s="3388"/>
      <c r="P639" s="3389"/>
      <c r="Q639" s="3383">
        <f>IF(O639=0,0,P639/O639)</f>
        <v>0</v>
      </c>
      <c r="R639" s="3386"/>
      <c r="S639" s="3387"/>
      <c r="T639" s="3383">
        <f>IF(R639=0,0,S639/R639)</f>
        <v>0</v>
      </c>
      <c r="U639" s="3388"/>
      <c r="V639" s="3389"/>
      <c r="W639" s="3383">
        <f>IF(U639=0,0,V639/U639)</f>
        <v>0</v>
      </c>
      <c r="X639" s="3388"/>
      <c r="Y639" s="3386"/>
      <c r="Z639" s="3386"/>
      <c r="AA639" s="3391"/>
    </row>
    <row r="640" spans="2:27" ht="18">
      <c r="B640" s="3350"/>
      <c r="C640" s="3351" t="s">
        <v>512</v>
      </c>
      <c r="D640" s="3350"/>
      <c r="E640" s="3352"/>
      <c r="F640" s="3377"/>
      <c r="G640" s="3378"/>
      <c r="H640" s="3378"/>
      <c r="I640" s="3379"/>
      <c r="J640" s="3378"/>
      <c r="K640" s="3378"/>
      <c r="L640" s="3379"/>
      <c r="M640" s="3378"/>
      <c r="N640" s="3378"/>
      <c r="O640" s="3379"/>
      <c r="P640" s="3378"/>
      <c r="Q640" s="3378"/>
      <c r="R640" s="3379"/>
      <c r="S640" s="3378"/>
      <c r="T640" s="3378"/>
      <c r="U640" s="3379"/>
      <c r="V640" s="3378"/>
      <c r="W640" s="3378"/>
      <c r="X640" s="3379"/>
      <c r="Y640" s="3379"/>
      <c r="Z640" s="3379"/>
      <c r="AA640" s="3380"/>
    </row>
    <row r="641" spans="2:27" ht="32.25" thickBot="1">
      <c r="B641" s="3354"/>
      <c r="C641" s="3355" t="s">
        <v>3961</v>
      </c>
      <c r="D641" s="3354"/>
      <c r="E641" s="3356">
        <v>10951</v>
      </c>
      <c r="F641" s="3410"/>
      <c r="G641" s="3411"/>
      <c r="H641" s="3412">
        <f>IF(F641=0,0,G641/F641)</f>
        <v>0</v>
      </c>
      <c r="I641" s="3413"/>
      <c r="J641" s="3414"/>
      <c r="K641" s="3412">
        <f>IF(I641=0,0,J641/I641)</f>
        <v>0</v>
      </c>
      <c r="L641" s="3415"/>
      <c r="M641" s="3416"/>
      <c r="N641" s="3412">
        <f>IF(L641=0,0,M641/L641)</f>
        <v>0</v>
      </c>
      <c r="O641" s="3413"/>
      <c r="P641" s="3414"/>
      <c r="Q641" s="3416"/>
      <c r="R641" s="3415"/>
      <c r="S641" s="3416"/>
      <c r="T641" s="3412">
        <f>IF(R641=0,0,S641/R641)</f>
        <v>0</v>
      </c>
      <c r="U641" s="3413"/>
      <c r="V641" s="3414"/>
      <c r="W641" s="3412">
        <f>IF(U641=0,0,V641/U641)</f>
        <v>0</v>
      </c>
      <c r="X641" s="3413"/>
      <c r="Y641" s="3415"/>
      <c r="Z641" s="3415"/>
      <c r="AA641" s="3417"/>
    </row>
    <row r="642" spans="2:27" ht="14.25">
      <c r="B642" s="3345"/>
      <c r="C642" s="3345"/>
      <c r="D642" s="3345"/>
      <c r="E642" s="3345"/>
      <c r="F642" s="3345"/>
      <c r="G642" s="3345"/>
      <c r="H642" s="3345"/>
      <c r="I642" s="3345"/>
      <c r="J642" s="3345"/>
      <c r="K642" s="3345"/>
      <c r="L642" s="3345"/>
      <c r="M642" s="3345"/>
      <c r="N642" s="3345"/>
      <c r="O642" s="3345"/>
      <c r="P642" s="3345"/>
      <c r="Q642" s="3345"/>
      <c r="R642" s="3345"/>
      <c r="S642" s="3345"/>
      <c r="T642" s="3345"/>
      <c r="U642" s="3345"/>
      <c r="V642" s="3345"/>
      <c r="W642" s="3345"/>
      <c r="X642" s="3345"/>
      <c r="Y642" s="3345"/>
      <c r="Z642" s="3345"/>
      <c r="AA642" s="3345"/>
    </row>
    <row r="645" spans="2:27" ht="26.1" customHeight="1">
      <c r="B645" s="3331"/>
      <c r="C645" s="4686" t="s">
        <v>3962</v>
      </c>
      <c r="D645" s="4686"/>
      <c r="E645" s="4686"/>
      <c r="F645" s="4686"/>
      <c r="G645" s="4686"/>
      <c r="H645" s="4686"/>
      <c r="I645" s="4686"/>
      <c r="J645" s="4686"/>
      <c r="K645" s="4686"/>
      <c r="L645" s="4686"/>
      <c r="M645" s="4686"/>
      <c r="N645" s="4686"/>
      <c r="O645" s="4686"/>
      <c r="P645" s="4686"/>
      <c r="Q645" s="4686"/>
      <c r="R645" s="4686"/>
      <c r="S645" s="4686"/>
      <c r="T645" s="4686"/>
      <c r="U645" s="4686"/>
      <c r="V645" s="4686"/>
      <c r="W645" s="4686"/>
      <c r="X645" s="4686"/>
      <c r="Y645" s="4686"/>
      <c r="Z645" s="4686"/>
      <c r="AA645" s="4686"/>
    </row>
    <row r="646" spans="2:27" s="3336" customFormat="1" ht="8.25"/>
    <row r="647" spans="2:27" s="3336" customFormat="1" ht="8.25"/>
    <row r="648" spans="2:27" s="3336" customFormat="1" ht="9" thickBot="1"/>
    <row r="649" spans="2:27" s="3338" customFormat="1" ht="111" thickBot="1">
      <c r="B649" s="3337"/>
      <c r="C649" s="3337" t="s">
        <v>3850</v>
      </c>
      <c r="D649" s="3337"/>
      <c r="E649" s="3337" t="s">
        <v>3829</v>
      </c>
      <c r="F649" s="3337" t="s">
        <v>3963</v>
      </c>
      <c r="G649" s="3337" t="s">
        <v>3964</v>
      </c>
      <c r="H649" s="3337" t="s">
        <v>3965</v>
      </c>
      <c r="I649" s="3337" t="s">
        <v>3966</v>
      </c>
      <c r="J649" s="3337" t="s">
        <v>3967</v>
      </c>
      <c r="K649" s="3337" t="s">
        <v>3968</v>
      </c>
    </row>
    <row r="650" spans="2:27" s="3340" customFormat="1" thickBot="1">
      <c r="B650" s="3339"/>
      <c r="C650" s="3339"/>
      <c r="D650" s="3339"/>
      <c r="E650" s="3339"/>
      <c r="F650" s="3339" t="s">
        <v>3831</v>
      </c>
      <c r="G650" s="3339" t="s">
        <v>3873</v>
      </c>
      <c r="H650" s="3339" t="s">
        <v>3874</v>
      </c>
      <c r="I650" s="3339" t="s">
        <v>3875</v>
      </c>
      <c r="J650" s="3339" t="s">
        <v>3876</v>
      </c>
      <c r="K650" s="3339" t="s">
        <v>3877</v>
      </c>
    </row>
    <row r="651" spans="2:27" ht="47.25">
      <c r="B651" s="3346"/>
      <c r="C651" s="3347" t="s">
        <v>3894</v>
      </c>
      <c r="D651" s="3346"/>
      <c r="E651" s="3348">
        <v>30100</v>
      </c>
      <c r="F651" s="3367"/>
      <c r="G651" s="3368"/>
      <c r="H651" s="3369">
        <f>IF(F651=0,0,G651/F651)</f>
        <v>0</v>
      </c>
      <c r="I651" s="3373"/>
      <c r="J651" s="3374"/>
      <c r="K651" s="3418">
        <f>IF(I651=0,0,J651/I651)</f>
        <v>0</v>
      </c>
      <c r="L651" s="3331"/>
      <c r="M651" s="3331"/>
      <c r="N651" s="3331"/>
      <c r="O651" s="3331"/>
      <c r="P651" s="3331"/>
      <c r="Q651" s="3331"/>
      <c r="R651" s="3331"/>
      <c r="S651" s="3331"/>
      <c r="T651" s="3331"/>
      <c r="U651" s="3331"/>
      <c r="V651" s="3331"/>
      <c r="W651" s="3331"/>
      <c r="X651" s="3331"/>
      <c r="Y651" s="3331"/>
      <c r="Z651" s="3331"/>
      <c r="AA651" s="3331"/>
    </row>
    <row r="652" spans="2:27" ht="18">
      <c r="B652" s="3350"/>
      <c r="C652" s="3351" t="s">
        <v>512</v>
      </c>
      <c r="D652" s="3350"/>
      <c r="E652" s="3352"/>
      <c r="F652" s="3377"/>
      <c r="G652" s="3378"/>
      <c r="H652" s="3378"/>
      <c r="I652" s="3379"/>
      <c r="J652" s="3378"/>
      <c r="K652" s="3419"/>
      <c r="L652" s="3331"/>
      <c r="M652" s="3331"/>
      <c r="N652" s="3331"/>
      <c r="O652" s="3331"/>
      <c r="P652" s="3331"/>
      <c r="Q652" s="3331"/>
      <c r="R652" s="3331"/>
      <c r="S652" s="3331"/>
      <c r="T652" s="3331"/>
      <c r="U652" s="3331"/>
      <c r="V652" s="3331"/>
      <c r="W652" s="3331"/>
      <c r="X652" s="3331"/>
      <c r="Y652" s="3331"/>
      <c r="Z652" s="3331"/>
      <c r="AA652" s="3331"/>
    </row>
    <row r="653" spans="2:27" ht="18">
      <c r="B653" s="3350"/>
      <c r="C653" s="3351" t="s">
        <v>3895</v>
      </c>
      <c r="D653" s="3350"/>
      <c r="E653" s="3352">
        <v>30101</v>
      </c>
      <c r="F653" s="3406"/>
      <c r="G653" s="3387"/>
      <c r="H653" s="3383">
        <f t="shared" ref="H653:H655" si="130">IF(F653=0,0,G653/F653)</f>
        <v>0</v>
      </c>
      <c r="I653" s="3388"/>
      <c r="J653" s="3389"/>
      <c r="K653" s="3420">
        <f t="shared" ref="K653:K655" si="131">IF(I653=0,0,J653/I653)</f>
        <v>0</v>
      </c>
      <c r="L653" s="3331"/>
      <c r="M653" s="3331"/>
      <c r="N653" s="3331"/>
      <c r="O653" s="3331"/>
      <c r="P653" s="3331"/>
      <c r="Q653" s="3331"/>
      <c r="R653" s="3331"/>
      <c r="S653" s="3331"/>
      <c r="T653" s="3331"/>
      <c r="U653" s="3331"/>
      <c r="V653" s="3331"/>
      <c r="W653" s="3331"/>
      <c r="X653" s="3331"/>
      <c r="Y653" s="3331"/>
      <c r="Z653" s="3331"/>
      <c r="AA653" s="3331"/>
    </row>
    <row r="654" spans="2:27" ht="18">
      <c r="B654" s="3350"/>
      <c r="C654" s="3351" t="s">
        <v>3896</v>
      </c>
      <c r="D654" s="3350"/>
      <c r="E654" s="3352">
        <v>30150</v>
      </c>
      <c r="F654" s="3406"/>
      <c r="G654" s="3387"/>
      <c r="H654" s="3383">
        <f t="shared" si="130"/>
        <v>0</v>
      </c>
      <c r="I654" s="3388"/>
      <c r="J654" s="3389"/>
      <c r="K654" s="3420">
        <f t="shared" si="131"/>
        <v>0</v>
      </c>
      <c r="L654" s="3331"/>
      <c r="M654" s="3331"/>
      <c r="N654" s="3331"/>
      <c r="O654" s="3331"/>
      <c r="P654" s="3331"/>
      <c r="Q654" s="3331"/>
      <c r="R654" s="3331"/>
      <c r="S654" s="3331"/>
      <c r="T654" s="3331"/>
      <c r="U654" s="3331"/>
      <c r="V654" s="3331"/>
      <c r="W654" s="3331"/>
      <c r="X654" s="3331"/>
      <c r="Y654" s="3331"/>
      <c r="Z654" s="3331"/>
      <c r="AA654" s="3331"/>
    </row>
    <row r="655" spans="2:27" ht="31.5">
      <c r="B655" s="3350"/>
      <c r="C655" s="3351" t="s">
        <v>3897</v>
      </c>
      <c r="D655" s="3350"/>
      <c r="E655" s="3352">
        <v>30200</v>
      </c>
      <c r="F655" s="3381"/>
      <c r="G655" s="3382"/>
      <c r="H655" s="3383">
        <f t="shared" si="130"/>
        <v>0</v>
      </c>
      <c r="I655" s="3388"/>
      <c r="J655" s="3389"/>
      <c r="K655" s="3420">
        <f t="shared" si="131"/>
        <v>0</v>
      </c>
      <c r="L655" s="3331"/>
      <c r="M655" s="3331"/>
      <c r="N655" s="3331"/>
      <c r="O655" s="3331"/>
      <c r="P655" s="3331"/>
      <c r="Q655" s="3331"/>
      <c r="R655" s="3331"/>
      <c r="S655" s="3331"/>
      <c r="T655" s="3331"/>
      <c r="U655" s="3331"/>
      <c r="V655" s="3331"/>
      <c r="W655" s="3331"/>
      <c r="X655" s="3331"/>
      <c r="Y655" s="3331"/>
      <c r="Z655" s="3331"/>
      <c r="AA655" s="3331"/>
    </row>
    <row r="656" spans="2:27" ht="18">
      <c r="B656" s="3350"/>
      <c r="C656" s="3351" t="s">
        <v>512</v>
      </c>
      <c r="D656" s="3350"/>
      <c r="E656" s="3352"/>
      <c r="F656" s="3377"/>
      <c r="G656" s="3378"/>
      <c r="H656" s="3378"/>
      <c r="I656" s="3379"/>
      <c r="J656" s="3378"/>
      <c r="K656" s="3419"/>
      <c r="L656" s="3331"/>
      <c r="M656" s="3331"/>
      <c r="N656" s="3331"/>
      <c r="O656" s="3331"/>
      <c r="P656" s="3331"/>
      <c r="Q656" s="3331"/>
      <c r="R656" s="3331"/>
      <c r="S656" s="3331"/>
      <c r="T656" s="3331"/>
      <c r="U656" s="3331"/>
      <c r="V656" s="3331"/>
      <c r="W656" s="3331"/>
      <c r="X656" s="3331"/>
      <c r="Y656" s="3331"/>
      <c r="Z656" s="3331"/>
      <c r="AA656" s="3331"/>
    </row>
    <row r="657" spans="2:11" ht="18">
      <c r="B657" s="3350"/>
      <c r="C657" s="3351" t="s">
        <v>3898</v>
      </c>
      <c r="D657" s="3350"/>
      <c r="E657" s="3352">
        <v>30201</v>
      </c>
      <c r="F657" s="3406"/>
      <c r="G657" s="3387"/>
      <c r="H657" s="3383">
        <f t="shared" ref="H657:H660" si="132">IF(F657=0,0,G657/F657)</f>
        <v>0</v>
      </c>
      <c r="I657" s="3388"/>
      <c r="J657" s="3389"/>
      <c r="K657" s="3420">
        <f t="shared" ref="K657:K660" si="133">IF(I657=0,0,J657/I657)</f>
        <v>0</v>
      </c>
    </row>
    <row r="658" spans="2:11" ht="31.5">
      <c r="B658" s="3350"/>
      <c r="C658" s="3351" t="s">
        <v>3899</v>
      </c>
      <c r="D658" s="3350"/>
      <c r="E658" s="3352">
        <v>30202</v>
      </c>
      <c r="F658" s="3406"/>
      <c r="G658" s="3387"/>
      <c r="H658" s="3383">
        <f t="shared" si="132"/>
        <v>0</v>
      </c>
      <c r="I658" s="3388"/>
      <c r="J658" s="3389"/>
      <c r="K658" s="3420">
        <f t="shared" si="133"/>
        <v>0</v>
      </c>
    </row>
    <row r="659" spans="2:11" ht="31.5">
      <c r="B659" s="3350"/>
      <c r="C659" s="3351" t="s">
        <v>3900</v>
      </c>
      <c r="D659" s="3350"/>
      <c r="E659" s="3352">
        <v>30203</v>
      </c>
      <c r="F659" s="3406"/>
      <c r="G659" s="3387"/>
      <c r="H659" s="3383">
        <f t="shared" si="132"/>
        <v>0</v>
      </c>
      <c r="I659" s="3388"/>
      <c r="J659" s="3389"/>
      <c r="K659" s="3420">
        <f t="shared" si="133"/>
        <v>0</v>
      </c>
    </row>
    <row r="660" spans="2:11" ht="31.5">
      <c r="B660" s="3350"/>
      <c r="C660" s="3351" t="s">
        <v>3901</v>
      </c>
      <c r="D660" s="3350"/>
      <c r="E660" s="3352">
        <v>30300</v>
      </c>
      <c r="F660" s="3381"/>
      <c r="G660" s="3382"/>
      <c r="H660" s="3383">
        <f t="shared" si="132"/>
        <v>0</v>
      </c>
      <c r="I660" s="3388"/>
      <c r="J660" s="3389"/>
      <c r="K660" s="3420">
        <f t="shared" si="133"/>
        <v>0</v>
      </c>
    </row>
    <row r="661" spans="2:11" ht="18">
      <c r="B661" s="3350"/>
      <c r="C661" s="3351" t="s">
        <v>512</v>
      </c>
      <c r="D661" s="3350"/>
      <c r="E661" s="3352"/>
      <c r="F661" s="3377"/>
      <c r="G661" s="3378"/>
      <c r="H661" s="3378"/>
      <c r="I661" s="3379"/>
      <c r="J661" s="3378"/>
      <c r="K661" s="3419"/>
    </row>
    <row r="662" spans="2:11" ht="31.5">
      <c r="B662" s="3350"/>
      <c r="C662" s="3351" t="s">
        <v>3902</v>
      </c>
      <c r="D662" s="3350"/>
      <c r="E662" s="3352">
        <v>30301</v>
      </c>
      <c r="F662" s="3406"/>
      <c r="G662" s="3387"/>
      <c r="H662" s="3383">
        <f t="shared" ref="H662:H666" si="134">IF(F662=0,0,G662/F662)</f>
        <v>0</v>
      </c>
      <c r="I662" s="3388"/>
      <c r="J662" s="3389"/>
      <c r="K662" s="3420">
        <f t="shared" ref="K662:K666" si="135">IF(I662=0,0,J662/I662)</f>
        <v>0</v>
      </c>
    </row>
    <row r="663" spans="2:11" ht="31.5">
      <c r="B663" s="3350"/>
      <c r="C663" s="3351" t="s">
        <v>3903</v>
      </c>
      <c r="D663" s="3350"/>
      <c r="E663" s="3352">
        <v>30302</v>
      </c>
      <c r="F663" s="3406"/>
      <c r="G663" s="3387"/>
      <c r="H663" s="3383">
        <f t="shared" si="134"/>
        <v>0</v>
      </c>
      <c r="I663" s="3388"/>
      <c r="J663" s="3389"/>
      <c r="K663" s="3420">
        <f t="shared" si="135"/>
        <v>0</v>
      </c>
    </row>
    <row r="664" spans="2:11" ht="47.25">
      <c r="B664" s="3350"/>
      <c r="C664" s="3351" t="s">
        <v>3904</v>
      </c>
      <c r="D664" s="3350"/>
      <c r="E664" s="3352">
        <v>30303</v>
      </c>
      <c r="F664" s="3406"/>
      <c r="G664" s="3387"/>
      <c r="H664" s="3383">
        <f t="shared" si="134"/>
        <v>0</v>
      </c>
      <c r="I664" s="3388"/>
      <c r="J664" s="3389"/>
      <c r="K664" s="3420">
        <f t="shared" si="135"/>
        <v>0</v>
      </c>
    </row>
    <row r="665" spans="2:11" ht="47.25">
      <c r="B665" s="3350"/>
      <c r="C665" s="3351" t="s">
        <v>3905</v>
      </c>
      <c r="D665" s="3350"/>
      <c r="E665" s="3352">
        <v>30310</v>
      </c>
      <c r="F665" s="3406"/>
      <c r="G665" s="3387"/>
      <c r="H665" s="3383">
        <f t="shared" si="134"/>
        <v>0</v>
      </c>
      <c r="I665" s="3388"/>
      <c r="J665" s="3389"/>
      <c r="K665" s="3420">
        <f t="shared" si="135"/>
        <v>0</v>
      </c>
    </row>
    <row r="666" spans="2:11" ht="31.5">
      <c r="B666" s="3350"/>
      <c r="C666" s="3351" t="s">
        <v>3906</v>
      </c>
      <c r="D666" s="3350"/>
      <c r="E666" s="3352">
        <v>30304</v>
      </c>
      <c r="F666" s="3381"/>
      <c r="G666" s="3382"/>
      <c r="H666" s="3383">
        <f t="shared" si="134"/>
        <v>0</v>
      </c>
      <c r="I666" s="3388"/>
      <c r="J666" s="3389"/>
      <c r="K666" s="3420">
        <f t="shared" si="135"/>
        <v>0</v>
      </c>
    </row>
    <row r="667" spans="2:11" ht="18">
      <c r="B667" s="3350"/>
      <c r="C667" s="3351" t="s">
        <v>3907</v>
      </c>
      <c r="D667" s="3350"/>
      <c r="E667" s="3352"/>
      <c r="F667" s="3377"/>
      <c r="G667" s="3378"/>
      <c r="H667" s="3378"/>
      <c r="I667" s="3379"/>
      <c r="J667" s="3378"/>
      <c r="K667" s="3419"/>
    </row>
    <row r="668" spans="2:11" ht="31.5">
      <c r="B668" s="3350"/>
      <c r="C668" s="3351" t="s">
        <v>3908</v>
      </c>
      <c r="D668" s="3350"/>
      <c r="E668" s="3352">
        <v>30311</v>
      </c>
      <c r="F668" s="3406"/>
      <c r="G668" s="3387"/>
      <c r="H668" s="3383">
        <f t="shared" ref="H668:H674" si="136">IF(F668=0,0,G668/F668)</f>
        <v>0</v>
      </c>
      <c r="I668" s="3388"/>
      <c r="J668" s="3389"/>
      <c r="K668" s="3420">
        <f t="shared" ref="K668:K674" si="137">IF(I668=0,0,J668/I668)</f>
        <v>0</v>
      </c>
    </row>
    <row r="669" spans="2:11" ht="47.25">
      <c r="B669" s="3350"/>
      <c r="C669" s="3351" t="s">
        <v>3909</v>
      </c>
      <c r="D669" s="3350"/>
      <c r="E669" s="3352">
        <v>30312</v>
      </c>
      <c r="F669" s="3406"/>
      <c r="G669" s="3387"/>
      <c r="H669" s="3383">
        <f t="shared" si="136"/>
        <v>0</v>
      </c>
      <c r="I669" s="3388"/>
      <c r="J669" s="3389"/>
      <c r="K669" s="3420">
        <f t="shared" si="137"/>
        <v>0</v>
      </c>
    </row>
    <row r="670" spans="2:11" ht="18">
      <c r="B670" s="3350"/>
      <c r="C670" s="3351" t="s">
        <v>3910</v>
      </c>
      <c r="D670" s="3350"/>
      <c r="E670" s="3352">
        <v>30305</v>
      </c>
      <c r="F670" s="3406"/>
      <c r="G670" s="3387"/>
      <c r="H670" s="3383">
        <f t="shared" si="136"/>
        <v>0</v>
      </c>
      <c r="I670" s="3388"/>
      <c r="J670" s="3389"/>
      <c r="K670" s="3420">
        <f t="shared" si="137"/>
        <v>0</v>
      </c>
    </row>
    <row r="671" spans="2:11" ht="47.25">
      <c r="B671" s="3350"/>
      <c r="C671" s="3351" t="s">
        <v>3911</v>
      </c>
      <c r="D671" s="3350"/>
      <c r="E671" s="3352">
        <v>30306</v>
      </c>
      <c r="F671" s="3406"/>
      <c r="G671" s="3387"/>
      <c r="H671" s="3383">
        <f t="shared" si="136"/>
        <v>0</v>
      </c>
      <c r="I671" s="3388"/>
      <c r="J671" s="3389"/>
      <c r="K671" s="3420">
        <f t="shared" si="137"/>
        <v>0</v>
      </c>
    </row>
    <row r="672" spans="2:11" ht="47.25">
      <c r="B672" s="3350"/>
      <c r="C672" s="3351" t="s">
        <v>3912</v>
      </c>
      <c r="D672" s="3350"/>
      <c r="E672" s="3352">
        <v>30307</v>
      </c>
      <c r="F672" s="3406"/>
      <c r="G672" s="3387"/>
      <c r="H672" s="3383">
        <f t="shared" si="136"/>
        <v>0</v>
      </c>
      <c r="I672" s="3388"/>
      <c r="J672" s="3389"/>
      <c r="K672" s="3420">
        <f t="shared" si="137"/>
        <v>0</v>
      </c>
    </row>
    <row r="673" spans="2:11" ht="47.25">
      <c r="B673" s="3350"/>
      <c r="C673" s="3351" t="s">
        <v>3913</v>
      </c>
      <c r="D673" s="3350"/>
      <c r="E673" s="3352">
        <v>30308</v>
      </c>
      <c r="F673" s="3406"/>
      <c r="G673" s="3387"/>
      <c r="H673" s="3383">
        <f t="shared" si="136"/>
        <v>0</v>
      </c>
      <c r="I673" s="3388"/>
      <c r="J673" s="3389"/>
      <c r="K673" s="3420">
        <f t="shared" si="137"/>
        <v>0</v>
      </c>
    </row>
    <row r="674" spans="2:11" ht="63">
      <c r="B674" s="3350"/>
      <c r="C674" s="3351" t="s">
        <v>3914</v>
      </c>
      <c r="D674" s="3350"/>
      <c r="E674" s="3352">
        <v>30400</v>
      </c>
      <c r="F674" s="3392">
        <f t="shared" ref="F674:G674" si="138">F676+F681+F682</f>
        <v>0</v>
      </c>
      <c r="G674" s="3383">
        <f t="shared" si="138"/>
        <v>0</v>
      </c>
      <c r="H674" s="3383">
        <f t="shared" si="136"/>
        <v>0</v>
      </c>
      <c r="I674" s="3393">
        <f t="shared" ref="I674:J674" si="139">I676+I681+I682</f>
        <v>0</v>
      </c>
      <c r="J674" s="3383">
        <f t="shared" si="139"/>
        <v>0</v>
      </c>
      <c r="K674" s="3420">
        <f t="shared" si="137"/>
        <v>0</v>
      </c>
    </row>
    <row r="675" spans="2:11" ht="18">
      <c r="B675" s="3350"/>
      <c r="C675" s="3351" t="s">
        <v>512</v>
      </c>
      <c r="D675" s="3350"/>
      <c r="E675" s="3352"/>
      <c r="F675" s="3377"/>
      <c r="G675" s="3378"/>
      <c r="H675" s="3378"/>
      <c r="I675" s="3379"/>
      <c r="J675" s="3378"/>
      <c r="K675" s="3419"/>
    </row>
    <row r="676" spans="2:11" ht="47.25">
      <c r="B676" s="3350"/>
      <c r="C676" s="3351" t="s">
        <v>3915</v>
      </c>
      <c r="D676" s="3350"/>
      <c r="E676" s="3352">
        <v>30401</v>
      </c>
      <c r="F676" s="3392">
        <f t="shared" ref="F676:G676" si="140">F678+F679+F680</f>
        <v>0</v>
      </c>
      <c r="G676" s="3383">
        <f t="shared" si="140"/>
        <v>0</v>
      </c>
      <c r="H676" s="3383">
        <f>IF(F676=0,0,G676/F676)</f>
        <v>0</v>
      </c>
      <c r="I676" s="3393">
        <f t="shared" ref="I676:J676" si="141">I678+I679+I680</f>
        <v>0</v>
      </c>
      <c r="J676" s="3383">
        <f t="shared" si="141"/>
        <v>0</v>
      </c>
      <c r="K676" s="3420">
        <f>IF(I676=0,0,J676/I676)</f>
        <v>0</v>
      </c>
    </row>
    <row r="677" spans="2:11" ht="18">
      <c r="B677" s="3350"/>
      <c r="C677" s="3351" t="s">
        <v>3907</v>
      </c>
      <c r="D677" s="3350"/>
      <c r="E677" s="3352"/>
      <c r="F677" s="3377"/>
      <c r="G677" s="3378"/>
      <c r="H677" s="3378"/>
      <c r="I677" s="3379"/>
      <c r="J677" s="3378"/>
      <c r="K677" s="3419"/>
    </row>
    <row r="678" spans="2:11" ht="31.5">
      <c r="B678" s="3350"/>
      <c r="C678" s="3351" t="s">
        <v>3916</v>
      </c>
      <c r="D678" s="3350"/>
      <c r="E678" s="3352">
        <v>30411</v>
      </c>
      <c r="F678" s="3406"/>
      <c r="G678" s="3387"/>
      <c r="H678" s="3383">
        <f t="shared" ref="H678:H683" si="142">IF(F678=0,0,G678/F678)</f>
        <v>0</v>
      </c>
      <c r="I678" s="3388"/>
      <c r="J678" s="3389"/>
      <c r="K678" s="3420">
        <f t="shared" ref="K678:K683" si="143">IF(I678=0,0,J678/I678)</f>
        <v>0</v>
      </c>
    </row>
    <row r="679" spans="2:11" ht="78.75">
      <c r="B679" s="3350"/>
      <c r="C679" s="3351" t="s">
        <v>3969</v>
      </c>
      <c r="D679" s="3350"/>
      <c r="E679" s="3352">
        <v>30412</v>
      </c>
      <c r="F679" s="3406"/>
      <c r="G679" s="3387"/>
      <c r="H679" s="3383">
        <f t="shared" si="142"/>
        <v>0</v>
      </c>
      <c r="I679" s="3388"/>
      <c r="J679" s="3389"/>
      <c r="K679" s="3420">
        <f t="shared" si="143"/>
        <v>0</v>
      </c>
    </row>
    <row r="680" spans="2:11" ht="31.5">
      <c r="B680" s="3350"/>
      <c r="C680" s="3351" t="s">
        <v>3918</v>
      </c>
      <c r="D680" s="3350"/>
      <c r="E680" s="3352">
        <v>30414</v>
      </c>
      <c r="F680" s="3406"/>
      <c r="G680" s="3387"/>
      <c r="H680" s="3383">
        <f t="shared" si="142"/>
        <v>0</v>
      </c>
      <c r="I680" s="3388"/>
      <c r="J680" s="3389"/>
      <c r="K680" s="3420">
        <f t="shared" si="143"/>
        <v>0</v>
      </c>
    </row>
    <row r="681" spans="2:11" ht="31.5">
      <c r="B681" s="3350"/>
      <c r="C681" s="3351" t="s">
        <v>3920</v>
      </c>
      <c r="D681" s="3350"/>
      <c r="E681" s="3352">
        <v>30420</v>
      </c>
      <c r="F681" s="3406"/>
      <c r="G681" s="3387"/>
      <c r="H681" s="3383">
        <f t="shared" si="142"/>
        <v>0</v>
      </c>
      <c r="I681" s="3388"/>
      <c r="J681" s="3389"/>
      <c r="K681" s="3420">
        <f t="shared" si="143"/>
        <v>0</v>
      </c>
    </row>
    <row r="682" spans="2:11" ht="63">
      <c r="B682" s="3350"/>
      <c r="C682" s="3351" t="s">
        <v>3921</v>
      </c>
      <c r="D682" s="3350"/>
      <c r="E682" s="3352">
        <v>30430</v>
      </c>
      <c r="F682" s="3406"/>
      <c r="G682" s="3387"/>
      <c r="H682" s="3383">
        <f t="shared" si="142"/>
        <v>0</v>
      </c>
      <c r="I682" s="3388"/>
      <c r="J682" s="3389"/>
      <c r="K682" s="3420">
        <f t="shared" si="143"/>
        <v>0</v>
      </c>
    </row>
    <row r="683" spans="2:11" ht="78.75">
      <c r="B683" s="3350"/>
      <c r="C683" s="3351" t="s">
        <v>3922</v>
      </c>
      <c r="D683" s="3350"/>
      <c r="E683" s="3352">
        <v>30440</v>
      </c>
      <c r="F683" s="3381"/>
      <c r="G683" s="3382"/>
      <c r="H683" s="3383">
        <f t="shared" si="142"/>
        <v>0</v>
      </c>
      <c r="I683" s="3388"/>
      <c r="J683" s="3389"/>
      <c r="K683" s="3420">
        <f t="shared" si="143"/>
        <v>0</v>
      </c>
    </row>
    <row r="684" spans="2:11" ht="18">
      <c r="B684" s="3350"/>
      <c r="C684" s="3351" t="s">
        <v>512</v>
      </c>
      <c r="D684" s="3350"/>
      <c r="E684" s="3352"/>
      <c r="F684" s="3377"/>
      <c r="G684" s="3378"/>
      <c r="H684" s="3378"/>
      <c r="I684" s="3379"/>
      <c r="J684" s="3378"/>
      <c r="K684" s="3419"/>
    </row>
    <row r="685" spans="2:11" ht="47.25">
      <c r="B685" s="3350"/>
      <c r="C685" s="3351" t="s">
        <v>3923</v>
      </c>
      <c r="D685" s="3350"/>
      <c r="E685" s="3352">
        <v>30441</v>
      </c>
      <c r="F685" s="3406"/>
      <c r="G685" s="3387"/>
      <c r="H685" s="3383">
        <f t="shared" ref="H685:H688" si="144">IF(F685=0,0,G685/F685)</f>
        <v>0</v>
      </c>
      <c r="I685" s="3388"/>
      <c r="J685" s="3389"/>
      <c r="K685" s="3420">
        <f t="shared" ref="K685:K688" si="145">IF(I685=0,0,J685/I685)</f>
        <v>0</v>
      </c>
    </row>
    <row r="686" spans="2:11" ht="31.5">
      <c r="B686" s="3350"/>
      <c r="C686" s="3351" t="s">
        <v>3924</v>
      </c>
      <c r="D686" s="3350"/>
      <c r="E686" s="3352">
        <v>30500</v>
      </c>
      <c r="F686" s="3406"/>
      <c r="G686" s="3387"/>
      <c r="H686" s="3383">
        <f t="shared" si="144"/>
        <v>0</v>
      </c>
      <c r="I686" s="3388"/>
      <c r="J686" s="3389"/>
      <c r="K686" s="3420">
        <f t="shared" si="145"/>
        <v>0</v>
      </c>
    </row>
    <row r="687" spans="2:11" ht="63">
      <c r="B687" s="3350"/>
      <c r="C687" s="3351" t="s">
        <v>3970</v>
      </c>
      <c r="D687" s="3350"/>
      <c r="E687" s="3352">
        <v>30510</v>
      </c>
      <c r="F687" s="3406"/>
      <c r="G687" s="3387"/>
      <c r="H687" s="3383">
        <f t="shared" si="144"/>
        <v>0</v>
      </c>
      <c r="I687" s="3388"/>
      <c r="J687" s="3389"/>
      <c r="K687" s="3420">
        <f t="shared" si="145"/>
        <v>0</v>
      </c>
    </row>
    <row r="688" spans="2:11" ht="31.5">
      <c r="B688" s="3350"/>
      <c r="C688" s="3351" t="s">
        <v>3926</v>
      </c>
      <c r="D688" s="3350"/>
      <c r="E688" s="3352">
        <v>30610</v>
      </c>
      <c r="F688" s="3381"/>
      <c r="G688" s="3382"/>
      <c r="H688" s="3383">
        <f t="shared" si="144"/>
        <v>0</v>
      </c>
      <c r="I688" s="3388"/>
      <c r="J688" s="3389"/>
      <c r="K688" s="3420">
        <f t="shared" si="145"/>
        <v>0</v>
      </c>
    </row>
    <row r="689" spans="2:27" ht="18">
      <c r="B689" s="3350"/>
      <c r="C689" s="3351" t="s">
        <v>512</v>
      </c>
      <c r="D689" s="3350"/>
      <c r="E689" s="3352"/>
      <c r="F689" s="3377"/>
      <c r="G689" s="3378"/>
      <c r="H689" s="3378"/>
      <c r="I689" s="3379"/>
      <c r="J689" s="3378"/>
      <c r="K689" s="3419"/>
      <c r="L689" s="3331"/>
      <c r="M689" s="3331"/>
      <c r="N689" s="3331"/>
      <c r="O689" s="3331"/>
      <c r="P689" s="3331"/>
      <c r="Q689" s="3331"/>
      <c r="R689" s="3331"/>
      <c r="S689" s="3331"/>
      <c r="T689" s="3331"/>
      <c r="U689" s="3331"/>
      <c r="V689" s="3331"/>
      <c r="W689" s="3331"/>
      <c r="X689" s="3331"/>
      <c r="Y689" s="3331"/>
      <c r="Z689" s="3331"/>
      <c r="AA689" s="3331"/>
    </row>
    <row r="690" spans="2:27" ht="31.5">
      <c r="B690" s="3350"/>
      <c r="C690" s="3351" t="s">
        <v>3927</v>
      </c>
      <c r="D690" s="3350"/>
      <c r="E690" s="3352">
        <v>30601</v>
      </c>
      <c r="F690" s="3406"/>
      <c r="G690" s="3387"/>
      <c r="H690" s="3383">
        <f t="shared" ref="H690:H693" si="146">IF(F690=0,0,G690/F690)</f>
        <v>0</v>
      </c>
      <c r="I690" s="3388"/>
      <c r="J690" s="3389"/>
      <c r="K690" s="3420">
        <f t="shared" ref="K690:K693" si="147">IF(I690=0,0,J690/I690)</f>
        <v>0</v>
      </c>
      <c r="L690" s="3331"/>
      <c r="M690" s="3331"/>
      <c r="N690" s="3331"/>
      <c r="O690" s="3331"/>
      <c r="P690" s="3331"/>
      <c r="Q690" s="3331"/>
      <c r="R690" s="3331"/>
      <c r="S690" s="3331"/>
      <c r="T690" s="3331"/>
      <c r="U690" s="3331"/>
      <c r="V690" s="3331"/>
      <c r="W690" s="3331"/>
      <c r="X690" s="3331"/>
      <c r="Y690" s="3331"/>
      <c r="Z690" s="3331"/>
      <c r="AA690" s="3331"/>
    </row>
    <row r="691" spans="2:27" ht="63">
      <c r="B691" s="3350"/>
      <c r="C691" s="3351" t="s">
        <v>3928</v>
      </c>
      <c r="D691" s="3350"/>
      <c r="E691" s="3352">
        <v>30602</v>
      </c>
      <c r="F691" s="3406"/>
      <c r="G691" s="3387"/>
      <c r="H691" s="3383">
        <f t="shared" si="146"/>
        <v>0</v>
      </c>
      <c r="I691" s="3388"/>
      <c r="J691" s="3389"/>
      <c r="K691" s="3420">
        <f t="shared" si="147"/>
        <v>0</v>
      </c>
      <c r="L691" s="3331"/>
      <c r="M691" s="3331"/>
      <c r="N691" s="3331"/>
      <c r="O691" s="3331"/>
      <c r="P691" s="3331"/>
      <c r="Q691" s="3331"/>
      <c r="R691" s="3331"/>
      <c r="S691" s="3331"/>
      <c r="T691" s="3331"/>
      <c r="U691" s="3331"/>
      <c r="V691" s="3331"/>
      <c r="W691" s="3331"/>
      <c r="X691" s="3331"/>
      <c r="Y691" s="3331"/>
      <c r="Z691" s="3331"/>
      <c r="AA691" s="3331"/>
    </row>
    <row r="692" spans="2:27" ht="31.5">
      <c r="B692" s="3350"/>
      <c r="C692" s="3351" t="s">
        <v>3929</v>
      </c>
      <c r="D692" s="3350"/>
      <c r="E692" s="3352">
        <v>30604</v>
      </c>
      <c r="F692" s="3406"/>
      <c r="G692" s="3387"/>
      <c r="H692" s="3383">
        <f t="shared" si="146"/>
        <v>0</v>
      </c>
      <c r="I692" s="3388"/>
      <c r="J692" s="3389"/>
      <c r="K692" s="3420">
        <f t="shared" si="147"/>
        <v>0</v>
      </c>
      <c r="L692" s="3331"/>
      <c r="M692" s="3331"/>
      <c r="N692" s="3331"/>
      <c r="O692" s="3331"/>
      <c r="P692" s="3331"/>
      <c r="Q692" s="3331"/>
      <c r="R692" s="3331"/>
      <c r="S692" s="3331"/>
      <c r="T692" s="3331"/>
      <c r="U692" s="3331"/>
      <c r="V692" s="3331"/>
      <c r="W692" s="3331"/>
      <c r="X692" s="3331"/>
      <c r="Y692" s="3331"/>
      <c r="Z692" s="3331"/>
      <c r="AA692" s="3331"/>
    </row>
    <row r="693" spans="2:27" ht="47.25">
      <c r="B693" s="3350"/>
      <c r="C693" s="3351" t="s">
        <v>3930</v>
      </c>
      <c r="D693" s="3350"/>
      <c r="E693" s="3352">
        <v>30620</v>
      </c>
      <c r="F693" s="3381"/>
      <c r="G693" s="3382"/>
      <c r="H693" s="3383">
        <f t="shared" si="146"/>
        <v>0</v>
      </c>
      <c r="I693" s="3388"/>
      <c r="J693" s="3389"/>
      <c r="K693" s="3420">
        <f t="shared" si="147"/>
        <v>0</v>
      </c>
      <c r="L693" s="3331"/>
      <c r="M693" s="3331"/>
      <c r="N693" s="3331"/>
      <c r="O693" s="3331"/>
      <c r="P693" s="3331"/>
      <c r="Q693" s="3331"/>
      <c r="R693" s="3331"/>
      <c r="S693" s="3331"/>
      <c r="T693" s="3331"/>
      <c r="U693" s="3331"/>
      <c r="V693" s="3331"/>
      <c r="W693" s="3331"/>
      <c r="X693" s="3331"/>
      <c r="Y693" s="3331"/>
      <c r="Z693" s="3331"/>
      <c r="AA693" s="3331"/>
    </row>
    <row r="694" spans="2:27" ht="18">
      <c r="B694" s="3350"/>
      <c r="C694" s="3351" t="s">
        <v>512</v>
      </c>
      <c r="D694" s="3350"/>
      <c r="E694" s="3352"/>
      <c r="F694" s="3377"/>
      <c r="G694" s="3378"/>
      <c r="H694" s="3378"/>
      <c r="I694" s="3379"/>
      <c r="J694" s="3378"/>
      <c r="K694" s="3419"/>
      <c r="L694" s="3331"/>
      <c r="M694" s="3331"/>
      <c r="N694" s="3331"/>
      <c r="O694" s="3331"/>
      <c r="P694" s="3331"/>
      <c r="Q694" s="3331"/>
      <c r="R694" s="3331"/>
      <c r="S694" s="3331"/>
      <c r="T694" s="3331"/>
      <c r="U694" s="3331"/>
      <c r="V694" s="3331"/>
      <c r="W694" s="3331"/>
      <c r="X694" s="3331"/>
      <c r="Y694" s="3331"/>
      <c r="Z694" s="3331"/>
      <c r="AA694" s="3331"/>
    </row>
    <row r="695" spans="2:27" ht="31.5">
      <c r="B695" s="3350"/>
      <c r="C695" s="3351" t="s">
        <v>3931</v>
      </c>
      <c r="D695" s="3350"/>
      <c r="E695" s="3352">
        <v>30621</v>
      </c>
      <c r="F695" s="3406"/>
      <c r="G695" s="3387"/>
      <c r="H695" s="3383">
        <f t="shared" ref="H695:H697" si="148">IF(F695=0,0,G695/F695)</f>
        <v>0</v>
      </c>
      <c r="I695" s="3388"/>
      <c r="J695" s="3389"/>
      <c r="K695" s="3420">
        <f t="shared" ref="K695:K697" si="149">IF(I695=0,0,J695/I695)</f>
        <v>0</v>
      </c>
      <c r="L695" s="3331"/>
      <c r="M695" s="3331"/>
      <c r="N695" s="3331"/>
      <c r="O695" s="3331"/>
      <c r="P695" s="3331"/>
      <c r="Q695" s="3331"/>
      <c r="R695" s="3331"/>
      <c r="S695" s="3331"/>
      <c r="T695" s="3331"/>
      <c r="U695" s="3331"/>
      <c r="V695" s="3331"/>
      <c r="W695" s="3331"/>
      <c r="X695" s="3331"/>
      <c r="Y695" s="3331"/>
      <c r="Z695" s="3331"/>
      <c r="AA695" s="3331"/>
    </row>
    <row r="696" spans="2:27" ht="63">
      <c r="B696" s="3350"/>
      <c r="C696" s="3351" t="s">
        <v>3932</v>
      </c>
      <c r="D696" s="3350"/>
      <c r="E696" s="3352">
        <v>30700</v>
      </c>
      <c r="F696" s="3406"/>
      <c r="G696" s="3387"/>
      <c r="H696" s="3383">
        <f t="shared" si="148"/>
        <v>0</v>
      </c>
      <c r="I696" s="3388"/>
      <c r="J696" s="3389"/>
      <c r="K696" s="3420">
        <f t="shared" si="149"/>
        <v>0</v>
      </c>
      <c r="L696" s="3331"/>
      <c r="M696" s="3331"/>
      <c r="N696" s="3331"/>
      <c r="O696" s="3331"/>
      <c r="P696" s="3331"/>
      <c r="Q696" s="3331"/>
      <c r="R696" s="3331"/>
      <c r="S696" s="3331"/>
      <c r="T696" s="3331"/>
      <c r="U696" s="3331"/>
      <c r="V696" s="3331"/>
      <c r="W696" s="3331"/>
      <c r="X696" s="3331"/>
      <c r="Y696" s="3331"/>
      <c r="Z696" s="3331"/>
      <c r="AA696" s="3331"/>
    </row>
    <row r="697" spans="2:27" ht="18.75" thickBot="1">
      <c r="B697" s="3354"/>
      <c r="C697" s="3355" t="s">
        <v>693</v>
      </c>
      <c r="D697" s="3354"/>
      <c r="E697" s="3356">
        <v>30900</v>
      </c>
      <c r="F697" s="3421">
        <f t="shared" ref="F697:G697" si="150">F651+F655+F660+F674+F683+F686+F687+F688+F693+F696</f>
        <v>0</v>
      </c>
      <c r="G697" s="3412">
        <f t="shared" si="150"/>
        <v>0</v>
      </c>
      <c r="H697" s="3412">
        <f t="shared" si="148"/>
        <v>0</v>
      </c>
      <c r="I697" s="3422">
        <f t="shared" ref="I697:J697" si="151">I651+I655+I660+I674+I683+I686+I687+I688+I693+I696</f>
        <v>0</v>
      </c>
      <c r="J697" s="3412">
        <f t="shared" si="151"/>
        <v>0</v>
      </c>
      <c r="K697" s="3423">
        <f t="shared" si="149"/>
        <v>0</v>
      </c>
      <c r="L697" s="3331"/>
      <c r="M697" s="3331"/>
      <c r="N697" s="3331"/>
      <c r="O697" s="3331"/>
      <c r="P697" s="3331"/>
      <c r="Q697" s="3331"/>
      <c r="R697" s="3331"/>
      <c r="S697" s="3331"/>
      <c r="T697" s="3331"/>
      <c r="U697" s="3331"/>
      <c r="V697" s="3331"/>
      <c r="W697" s="3331"/>
      <c r="X697" s="3331"/>
      <c r="Y697" s="3331"/>
      <c r="Z697" s="3331"/>
      <c r="AA697" s="3331"/>
    </row>
    <row r="698" spans="2:27" ht="14.25">
      <c r="B698" s="3345"/>
      <c r="C698" s="3345"/>
      <c r="D698" s="3345"/>
      <c r="E698" s="3345"/>
      <c r="F698" s="3345"/>
      <c r="G698" s="3345"/>
      <c r="H698" s="3345"/>
      <c r="I698" s="3345"/>
      <c r="J698" s="3345"/>
      <c r="K698" s="3345"/>
      <c r="L698" s="3331"/>
      <c r="M698" s="3331"/>
      <c r="N698" s="3331"/>
      <c r="O698" s="3331"/>
      <c r="P698" s="3331"/>
      <c r="Q698" s="3331"/>
      <c r="R698" s="3331"/>
      <c r="S698" s="3331"/>
      <c r="T698" s="3331"/>
      <c r="U698" s="3331"/>
      <c r="V698" s="3331"/>
      <c r="W698" s="3331"/>
      <c r="X698" s="3331"/>
      <c r="Y698" s="3331"/>
      <c r="Z698" s="3331"/>
      <c r="AA698" s="3331"/>
    </row>
    <row r="701" spans="2:27" ht="26.1" customHeight="1">
      <c r="B701" s="3331"/>
      <c r="C701" s="4686" t="s">
        <v>3971</v>
      </c>
      <c r="D701" s="4686"/>
      <c r="E701" s="4686"/>
      <c r="F701" s="4686"/>
      <c r="G701" s="4686"/>
      <c r="H701" s="4686"/>
      <c r="I701" s="4686"/>
      <c r="J701" s="4686"/>
      <c r="K701" s="4686"/>
      <c r="L701" s="4686"/>
      <c r="M701" s="4686"/>
      <c r="N701" s="4686"/>
      <c r="O701" s="4686"/>
      <c r="P701" s="4686"/>
      <c r="Q701" s="4686"/>
      <c r="R701" s="4686"/>
      <c r="S701" s="4686"/>
      <c r="T701" s="4686"/>
      <c r="U701" s="4686"/>
      <c r="V701" s="4686"/>
      <c r="W701" s="4686"/>
      <c r="X701" s="4686"/>
      <c r="Y701" s="4686"/>
      <c r="Z701" s="4686"/>
      <c r="AA701" s="4686"/>
    </row>
    <row r="702" spans="2:27" s="3336" customFormat="1" ht="8.25"/>
    <row r="703" spans="2:27" s="3336" customFormat="1" ht="8.25"/>
    <row r="704" spans="2:27" s="3336" customFormat="1" ht="9" thickBot="1"/>
    <row r="705" spans="2:19" s="3338" customFormat="1" ht="126.75" thickBot="1">
      <c r="B705" s="3337"/>
      <c r="C705" s="3337" t="s">
        <v>209</v>
      </c>
      <c r="D705" s="3337"/>
      <c r="E705" s="3337" t="s">
        <v>3829</v>
      </c>
      <c r="F705" s="3337" t="s">
        <v>3972</v>
      </c>
      <c r="G705" s="3337" t="s">
        <v>3973</v>
      </c>
      <c r="H705" s="3337" t="s">
        <v>3974</v>
      </c>
      <c r="I705" s="3337" t="s">
        <v>3975</v>
      </c>
      <c r="J705" s="3337" t="s">
        <v>3976</v>
      </c>
      <c r="K705" s="3337" t="s">
        <v>3977</v>
      </c>
      <c r="L705" s="3337" t="s">
        <v>3964</v>
      </c>
      <c r="M705" s="3337" t="s">
        <v>3853</v>
      </c>
      <c r="N705" s="3337" t="s">
        <v>3966</v>
      </c>
      <c r="O705" s="3337" t="s">
        <v>3967</v>
      </c>
      <c r="P705" s="3337" t="s">
        <v>3856</v>
      </c>
      <c r="Q705" s="3337" t="s">
        <v>3978</v>
      </c>
      <c r="R705" s="3337" t="s">
        <v>3979</v>
      </c>
      <c r="S705" s="3337" t="s">
        <v>3872</v>
      </c>
    </row>
    <row r="706" spans="2:19" s="3340" customFormat="1" thickBot="1">
      <c r="B706" s="3339"/>
      <c r="C706" s="3339"/>
      <c r="D706" s="3339"/>
      <c r="E706" s="3339"/>
      <c r="F706" s="3339" t="s">
        <v>3831</v>
      </c>
      <c r="G706" s="3339" t="s">
        <v>3873</v>
      </c>
      <c r="H706" s="3339" t="s">
        <v>3874</v>
      </c>
      <c r="I706" s="3339" t="s">
        <v>3875</v>
      </c>
      <c r="J706" s="3339" t="s">
        <v>3876</v>
      </c>
      <c r="K706" s="3339" t="s">
        <v>3877</v>
      </c>
      <c r="L706" s="3339" t="s">
        <v>3878</v>
      </c>
      <c r="M706" s="3339" t="s">
        <v>3879</v>
      </c>
      <c r="N706" s="3339" t="s">
        <v>3880</v>
      </c>
      <c r="O706" s="3339" t="s">
        <v>3881</v>
      </c>
      <c r="P706" s="3339" t="s">
        <v>3882</v>
      </c>
      <c r="Q706" s="3339" t="s">
        <v>3883</v>
      </c>
      <c r="R706" s="3339" t="s">
        <v>3884</v>
      </c>
      <c r="S706" s="3339" t="s">
        <v>3885</v>
      </c>
    </row>
    <row r="707" spans="2:19" ht="31.5">
      <c r="B707" s="3346"/>
      <c r="C707" s="3347" t="s">
        <v>3980</v>
      </c>
      <c r="D707" s="3346"/>
      <c r="E707" s="3348">
        <v>50010</v>
      </c>
      <c r="F707" s="3424">
        <f>ОРЭМ!C15</f>
        <v>57965.807000000212</v>
      </c>
      <c r="G707" s="3425">
        <f>ROUND(ОРЭМ!C34/1000,5)</f>
        <v>53818.308530000002</v>
      </c>
      <c r="H707" s="3369">
        <f t="shared" ref="H707:H709" si="152">IF(F707=0,0,G707/F707)</f>
        <v>0.92844922403995522</v>
      </c>
      <c r="I707" s="3375">
        <f>ОРЭМ!C22</f>
        <v>0</v>
      </c>
      <c r="J707" s="3425">
        <f>ROUND(ОРЭМ!C39/1000,5)</f>
        <v>0</v>
      </c>
      <c r="K707" s="3369">
        <f t="shared" ref="K707:K709" si="153">(1000)*IF(I707=0,0,J707/I707)</f>
        <v>0</v>
      </c>
      <c r="L707" s="3369">
        <f t="shared" ref="L707:L709" si="154">G707+J707</f>
        <v>53818.308530000002</v>
      </c>
      <c r="M707" s="3369">
        <f t="shared" ref="M707:M709" si="155">IF(F707=0,0,L707/F707)</f>
        <v>0.92844922403995522</v>
      </c>
      <c r="N707" s="3370"/>
      <c r="O707" s="3371"/>
      <c r="P707" s="3369">
        <f t="shared" ref="P707:P709" si="156">IF(N707=0,0,O707/N707)</f>
        <v>0</v>
      </c>
      <c r="Q707" s="3373"/>
      <c r="R707" s="3375"/>
      <c r="S707" s="3376"/>
    </row>
    <row r="708" spans="2:19" ht="31.5">
      <c r="B708" s="3350"/>
      <c r="C708" s="3351" t="s">
        <v>3981</v>
      </c>
      <c r="D708" s="3350"/>
      <c r="E708" s="3352">
        <v>50020</v>
      </c>
      <c r="F708" s="3406">
        <f>ОРЭМ!C16</f>
        <v>785.6869999999999</v>
      </c>
      <c r="G708" s="3426">
        <f>ROUND(ОРЭМ!C35/1000,5)</f>
        <v>158.10037</v>
      </c>
      <c r="H708" s="3383">
        <f t="shared" si="152"/>
        <v>0.20122564074497862</v>
      </c>
      <c r="I708" s="3386"/>
      <c r="J708" s="3387"/>
      <c r="K708" s="3383">
        <f t="shared" si="153"/>
        <v>0</v>
      </c>
      <c r="L708" s="3383">
        <f t="shared" si="154"/>
        <v>158.10037</v>
      </c>
      <c r="M708" s="3383">
        <f t="shared" si="155"/>
        <v>0.20122564074497862</v>
      </c>
      <c r="N708" s="3384"/>
      <c r="O708" s="3385"/>
      <c r="P708" s="3383">
        <f t="shared" si="156"/>
        <v>0</v>
      </c>
      <c r="Q708" s="3388"/>
      <c r="R708" s="3386"/>
      <c r="S708" s="3391"/>
    </row>
    <row r="709" spans="2:19" ht="48" thickBot="1">
      <c r="B709" s="3354"/>
      <c r="C709" s="3355" t="s">
        <v>3982</v>
      </c>
      <c r="D709" s="3354"/>
      <c r="E709" s="3356">
        <v>50100</v>
      </c>
      <c r="F709" s="3421">
        <f t="shared" ref="F709:G709" si="157">F707-F708</f>
        <v>57180.120000000214</v>
      </c>
      <c r="G709" s="3412">
        <f t="shared" si="157"/>
        <v>53660.208160000002</v>
      </c>
      <c r="H709" s="3412">
        <f t="shared" si="152"/>
        <v>0.93844168497722291</v>
      </c>
      <c r="I709" s="3422">
        <f t="shared" ref="I709:J709" si="158">I707-I708</f>
        <v>0</v>
      </c>
      <c r="J709" s="3412">
        <f t="shared" si="158"/>
        <v>0</v>
      </c>
      <c r="K709" s="3412">
        <f t="shared" si="153"/>
        <v>0</v>
      </c>
      <c r="L709" s="3412">
        <f t="shared" si="154"/>
        <v>53660.208160000002</v>
      </c>
      <c r="M709" s="3412">
        <f t="shared" si="155"/>
        <v>0.93844168497722291</v>
      </c>
      <c r="N709" s="3422">
        <f t="shared" ref="N709:O709" si="159">N707-N708</f>
        <v>0</v>
      </c>
      <c r="O709" s="3412">
        <f t="shared" si="159"/>
        <v>0</v>
      </c>
      <c r="P709" s="3412">
        <f t="shared" si="156"/>
        <v>0</v>
      </c>
      <c r="Q709" s="3422">
        <f t="shared" ref="Q709:S709" si="160">Q707-Q708</f>
        <v>0</v>
      </c>
      <c r="R709" s="3422">
        <f t="shared" si="160"/>
        <v>0</v>
      </c>
      <c r="S709" s="3427">
        <f t="shared" si="160"/>
        <v>0</v>
      </c>
    </row>
    <row r="710" spans="2:19" s="3359" customFormat="1" ht="15" hidden="1" customHeight="1">
      <c r="B710" s="3358"/>
      <c r="C710" s="3358"/>
      <c r="D710" s="3358"/>
      <c r="E710" s="3358"/>
      <c r="F710" s="3358"/>
      <c r="G710" s="3358"/>
      <c r="H710" s="3358"/>
      <c r="I710" s="3358"/>
      <c r="J710" s="3358"/>
      <c r="K710" s="3358"/>
      <c r="L710" s="3358"/>
      <c r="M710" s="3358"/>
      <c r="N710" s="3358"/>
      <c r="O710" s="3358"/>
      <c r="P710" s="3358"/>
      <c r="Q710" s="3358"/>
      <c r="R710" s="3358"/>
      <c r="S710" s="3358"/>
    </row>
    <row r="711" spans="2:19" s="3359" customFormat="1" ht="15" hidden="1" customHeight="1"/>
    <row r="712" spans="2:19" s="3359" customFormat="1" ht="15" hidden="1" customHeight="1"/>
    <row r="713" spans="2:19" s="3359" customFormat="1" ht="17.649999999999999" hidden="1" customHeight="1">
      <c r="C713" s="3360" t="s">
        <v>3983</v>
      </c>
    </row>
    <row r="714" spans="2:19" s="3361" customFormat="1" ht="15" hidden="1" customHeight="1"/>
    <row r="715" spans="2:19" s="3361" customFormat="1" ht="15" hidden="1" customHeight="1"/>
    <row r="716" spans="2:19" s="3361" customFormat="1" ht="15" hidden="1" customHeight="1"/>
    <row r="717" spans="2:19" s="3363" customFormat="1" ht="15" hidden="1" customHeight="1">
      <c r="B717" s="3362"/>
      <c r="C717" s="3362" t="s">
        <v>3984</v>
      </c>
      <c r="D717" s="3362"/>
      <c r="E717" s="3362" t="s">
        <v>3829</v>
      </c>
      <c r="F717" s="3362" t="s">
        <v>3972</v>
      </c>
      <c r="G717" s="3362" t="s">
        <v>3985</v>
      </c>
      <c r="H717" s="3362" t="s">
        <v>3974</v>
      </c>
      <c r="I717" s="3362" t="s">
        <v>3975</v>
      </c>
      <c r="J717" s="3362" t="s">
        <v>3976</v>
      </c>
      <c r="K717" s="3362" t="s">
        <v>3977</v>
      </c>
      <c r="L717" s="3362" t="s">
        <v>3964</v>
      </c>
      <c r="M717" s="3362" t="s">
        <v>3853</v>
      </c>
      <c r="N717" s="3362" t="s">
        <v>3966</v>
      </c>
      <c r="O717" s="3362" t="s">
        <v>3967</v>
      </c>
      <c r="P717" s="3362" t="s">
        <v>3986</v>
      </c>
      <c r="Q717" s="3362" t="s">
        <v>3978</v>
      </c>
      <c r="R717" s="3362" t="s">
        <v>3979</v>
      </c>
      <c r="S717" s="3362" t="s">
        <v>3872</v>
      </c>
    </row>
    <row r="718" spans="2:19" s="3365" customFormat="1" ht="15" hidden="1" customHeight="1">
      <c r="B718" s="3364"/>
      <c r="C718" s="3364"/>
      <c r="D718" s="3364"/>
      <c r="E718" s="3364"/>
      <c r="F718" s="3364" t="s">
        <v>3831</v>
      </c>
      <c r="G718" s="3364" t="s">
        <v>3873</v>
      </c>
      <c r="H718" s="3364" t="s">
        <v>3874</v>
      </c>
      <c r="I718" s="3364" t="s">
        <v>3875</v>
      </c>
      <c r="J718" s="3364" t="s">
        <v>3876</v>
      </c>
      <c r="K718" s="3364" t="s">
        <v>3877</v>
      </c>
      <c r="L718" s="3364" t="s">
        <v>3878</v>
      </c>
      <c r="M718" s="3364" t="s">
        <v>3879</v>
      </c>
      <c r="N718" s="3364" t="s">
        <v>3880</v>
      </c>
      <c r="O718" s="3364" t="s">
        <v>3881</v>
      </c>
      <c r="P718" s="3364" t="s">
        <v>3882</v>
      </c>
      <c r="Q718" s="3364" t="s">
        <v>3883</v>
      </c>
      <c r="R718" s="3364" t="s">
        <v>3884</v>
      </c>
      <c r="S718" s="3364" t="s">
        <v>3885</v>
      </c>
    </row>
    <row r="719" spans="2:19" ht="31.5">
      <c r="B719" s="3346"/>
      <c r="C719" s="3347" t="s">
        <v>3987</v>
      </c>
      <c r="D719" s="3346"/>
      <c r="E719" s="3348">
        <v>50330</v>
      </c>
      <c r="F719" s="3428">
        <f t="shared" ref="F719:G719" si="161">F721+F722</f>
        <v>55391.792000000001</v>
      </c>
      <c r="G719" s="3429">
        <f t="shared" si="161"/>
        <v>133329.5073</v>
      </c>
      <c r="H719" s="3429">
        <f>IF(F719=0,0,G719/F719)</f>
        <v>2.4070264291142629</v>
      </c>
      <c r="I719" s="3429">
        <f t="shared" ref="I719:J719" si="162">I721+I722</f>
        <v>6.7130000000000001</v>
      </c>
      <c r="J719" s="3369">
        <f t="shared" si="162"/>
        <v>7164.60437</v>
      </c>
      <c r="K719" s="3429">
        <f>IF(I719=0,0,J719/I719)*(1000)</f>
        <v>1067273.1074035452</v>
      </c>
      <c r="L719" s="3429">
        <f>G719+J719</f>
        <v>140494.11166999998</v>
      </c>
      <c r="M719" s="3429">
        <f>IF(F719=0,0,L719/F719)</f>
        <v>2.5363705812225752</v>
      </c>
      <c r="N719" s="3429">
        <f t="shared" ref="N719:O719" si="163">N721+N722</f>
        <v>0</v>
      </c>
      <c r="O719" s="3429">
        <f t="shared" si="163"/>
        <v>0</v>
      </c>
      <c r="P719" s="3429">
        <f>IF(N719=0,0,O719/N719)</f>
        <v>0</v>
      </c>
      <c r="Q719" s="3429">
        <f t="shared" ref="Q719:S719" si="164">Q721+Q722</f>
        <v>0</v>
      </c>
      <c r="R719" s="3429">
        <f t="shared" si="164"/>
        <v>0</v>
      </c>
      <c r="S719" s="3430">
        <f t="shared" si="164"/>
        <v>0</v>
      </c>
    </row>
    <row r="720" spans="2:19" ht="18">
      <c r="B720" s="3350"/>
      <c r="C720" s="3351" t="s">
        <v>512</v>
      </c>
      <c r="D720" s="3350"/>
      <c r="E720" s="3352"/>
      <c r="F720" s="3377"/>
      <c r="G720" s="3379"/>
      <c r="H720" s="3379"/>
      <c r="I720" s="3379"/>
      <c r="J720" s="3378"/>
      <c r="K720" s="3379"/>
      <c r="L720" s="3379"/>
      <c r="M720" s="3379"/>
      <c r="N720" s="3379"/>
      <c r="O720" s="3379"/>
      <c r="P720" s="3379"/>
      <c r="Q720" s="3379"/>
      <c r="R720" s="3379"/>
      <c r="S720" s="3380"/>
    </row>
    <row r="721" spans="2:27" ht="31.5">
      <c r="B721" s="3350"/>
      <c r="C721" s="3351" t="s">
        <v>3988</v>
      </c>
      <c r="D721" s="3350"/>
      <c r="E721" s="3352">
        <v>50301</v>
      </c>
      <c r="F721" s="3406"/>
      <c r="G721" s="3386"/>
      <c r="H721" s="3393">
        <f t="shared" ref="H721:H722" si="165">IF(F721=0,0,G721/F721)</f>
        <v>0</v>
      </c>
      <c r="I721" s="3386"/>
      <c r="J721" s="3387"/>
      <c r="K721" s="3393">
        <f t="shared" ref="K721:K722" si="166">IF(I721=0,0,J721/I721)*(1000)</f>
        <v>0</v>
      </c>
      <c r="L721" s="3393">
        <f t="shared" ref="L721:L722" si="167">G721+J721</f>
        <v>0</v>
      </c>
      <c r="M721" s="3393">
        <f t="shared" ref="M721:M722" si="168">IF(F721=0,0,L721/F721)</f>
        <v>0</v>
      </c>
      <c r="N721" s="3388"/>
      <c r="O721" s="3388"/>
      <c r="P721" s="3393">
        <f t="shared" ref="P721:P722" si="169">IF(N721=0,0,O721/N721)</f>
        <v>0</v>
      </c>
      <c r="Q721" s="3388"/>
      <c r="R721" s="3386"/>
      <c r="S721" s="3391"/>
      <c r="T721" s="3331"/>
      <c r="U721" s="3331"/>
      <c r="V721" s="3331"/>
      <c r="W721" s="3331"/>
      <c r="X721" s="3331"/>
      <c r="Y721" s="3331"/>
      <c r="Z721" s="3331"/>
      <c r="AA721" s="3331"/>
    </row>
    <row r="722" spans="2:27" ht="94.5">
      <c r="B722" s="3350"/>
      <c r="C722" s="3351" t="s">
        <v>3989</v>
      </c>
      <c r="D722" s="3350"/>
      <c r="E722" s="3352">
        <v>50302</v>
      </c>
      <c r="F722" s="3392">
        <f>'Отчёт АПБЭ Макет'!F116</f>
        <v>55391.792000000001</v>
      </c>
      <c r="G722" s="3393">
        <f>ROUND('Шаблон 46 ГП'!H357/1000,4)</f>
        <v>133329.5073</v>
      </c>
      <c r="H722" s="3393">
        <f t="shared" si="165"/>
        <v>2.4070264291142629</v>
      </c>
      <c r="I722" s="3393">
        <f t="shared" ref="I722:J722" si="170">I724+I725</f>
        <v>6.7130000000000001</v>
      </c>
      <c r="J722" s="3383">
        <f t="shared" si="170"/>
        <v>7164.60437</v>
      </c>
      <c r="K722" s="3393">
        <f t="shared" si="166"/>
        <v>1067273.1074035452</v>
      </c>
      <c r="L722" s="3393">
        <f t="shared" si="167"/>
        <v>140494.11166999998</v>
      </c>
      <c r="M722" s="3393">
        <f t="shared" si="168"/>
        <v>2.5363705812225752</v>
      </c>
      <c r="N722" s="3393">
        <f t="shared" ref="N722:O722" si="171">N724+N725</f>
        <v>0</v>
      </c>
      <c r="O722" s="3393">
        <f t="shared" si="171"/>
        <v>0</v>
      </c>
      <c r="P722" s="3393">
        <f t="shared" si="169"/>
        <v>0</v>
      </c>
      <c r="Q722" s="3393">
        <f t="shared" ref="Q722:S722" si="172">Q724+Q725</f>
        <v>0</v>
      </c>
      <c r="R722" s="3393">
        <f t="shared" si="172"/>
        <v>0</v>
      </c>
      <c r="S722" s="3394">
        <f t="shared" si="172"/>
        <v>0</v>
      </c>
      <c r="T722" s="3331"/>
      <c r="U722" s="3331"/>
      <c r="V722" s="3331"/>
      <c r="W722" s="3331"/>
      <c r="X722" s="3331"/>
      <c r="Y722" s="3331"/>
      <c r="Z722" s="3331"/>
      <c r="AA722" s="3331"/>
    </row>
    <row r="723" spans="2:27" ht="18">
      <c r="B723" s="3350"/>
      <c r="C723" s="3351" t="s">
        <v>3907</v>
      </c>
      <c r="D723" s="3350"/>
      <c r="E723" s="3352"/>
      <c r="F723" s="3377"/>
      <c r="G723" s="3379"/>
      <c r="H723" s="3379"/>
      <c r="I723" s="3379"/>
      <c r="J723" s="3378"/>
      <c r="K723" s="3379"/>
      <c r="L723" s="3379"/>
      <c r="M723" s="3379"/>
      <c r="N723" s="3379"/>
      <c r="O723" s="3379"/>
      <c r="P723" s="3379"/>
      <c r="Q723" s="3379"/>
      <c r="R723" s="3379"/>
      <c r="S723" s="3380"/>
      <c r="T723" s="3331"/>
      <c r="U723" s="3331"/>
      <c r="V723" s="3331"/>
      <c r="W723" s="3331"/>
      <c r="X723" s="3331"/>
      <c r="Y723" s="3331"/>
      <c r="Z723" s="3331"/>
      <c r="AA723" s="3331"/>
    </row>
    <row r="724" spans="2:27" ht="18">
      <c r="B724" s="3350"/>
      <c r="C724" s="3351" t="s">
        <v>3990</v>
      </c>
      <c r="D724" s="3350"/>
      <c r="E724" s="3352">
        <v>50323</v>
      </c>
      <c r="F724" s="3406">
        <f>F722-F725</f>
        <v>51708.544000000002</v>
      </c>
      <c r="G724" s="3386">
        <f>G722-G725</f>
        <v>130768.51454</v>
      </c>
      <c r="H724" s="3393">
        <f t="shared" ref="H724:H725" si="173">IF(F724=0,0,G724/F724)</f>
        <v>2.5289537168170892</v>
      </c>
      <c r="I724" s="3395">
        <f t="shared" ref="I724:J724" si="174">(0)</f>
        <v>0</v>
      </c>
      <c r="J724" s="3396">
        <f t="shared" si="174"/>
        <v>0</v>
      </c>
      <c r="K724" s="3393">
        <f t="shared" ref="K724:K725" si="175">IF(I724=0,0,J724/I724)*(1000)</f>
        <v>0</v>
      </c>
      <c r="L724" s="3393">
        <f t="shared" ref="L724:L725" si="176">G724+J724</f>
        <v>130768.51454</v>
      </c>
      <c r="M724" s="3393">
        <f t="shared" ref="M724:M726" si="177">IF(F724=0,0,L724/F724)</f>
        <v>2.5289537168170892</v>
      </c>
      <c r="N724" s="3384"/>
      <c r="O724" s="3384"/>
      <c r="P724" s="3393">
        <f t="shared" ref="P724:P726" si="178">IF(N724=0,0,O724/N724)</f>
        <v>0</v>
      </c>
      <c r="Q724" s="3388"/>
      <c r="R724" s="3386"/>
      <c r="S724" s="3391"/>
      <c r="T724" s="3331"/>
      <c r="U724" s="3331"/>
      <c r="V724" s="3331"/>
      <c r="W724" s="3331"/>
      <c r="X724" s="3331"/>
      <c r="Y724" s="3331"/>
      <c r="Z724" s="3331"/>
      <c r="AA724" s="3331"/>
    </row>
    <row r="725" spans="2:27" ht="18">
      <c r="B725" s="3350"/>
      <c r="C725" s="3351" t="s">
        <v>3991</v>
      </c>
      <c r="D725" s="3350"/>
      <c r="E725" s="3352">
        <v>50324</v>
      </c>
      <c r="F725" s="3406">
        <f>'Шаблон 46 ГП'!F340+'Шаблон 46 ГП'!F341</f>
        <v>3683.2480000000005</v>
      </c>
      <c r="G725" s="3386">
        <f>ROUND('Шаблон 46 ГП'!H340/1000+'Шаблон 46 ГП'!H341/1000,5)</f>
        <v>2560.9927600000001</v>
      </c>
      <c r="H725" s="3393">
        <f t="shared" si="173"/>
        <v>0.69530826053526662</v>
      </c>
      <c r="I725" s="3386">
        <f>'Шаблон 46 ГП'!F337+'Шаблон 46 ГП'!F338</f>
        <v>6.7130000000000001</v>
      </c>
      <c r="J725" s="3387">
        <f>ROUND('Шаблон 46 ГП'!H337/1000+'Шаблон 46 ГП'!H338/1000,5)</f>
        <v>7164.60437</v>
      </c>
      <c r="K725" s="3393">
        <f t="shared" si="175"/>
        <v>1067273.1074035452</v>
      </c>
      <c r="L725" s="3393">
        <f t="shared" si="176"/>
        <v>9725.5971300000001</v>
      </c>
      <c r="M725" s="3393">
        <f t="shared" si="177"/>
        <v>2.6404947834085566</v>
      </c>
      <c r="N725" s="3384"/>
      <c r="O725" s="3384"/>
      <c r="P725" s="3393">
        <f t="shared" si="178"/>
        <v>0</v>
      </c>
      <c r="Q725" s="3388"/>
      <c r="R725" s="3386"/>
      <c r="S725" s="3391"/>
      <c r="T725" s="3331"/>
      <c r="U725" s="3331"/>
      <c r="V725" s="3331"/>
      <c r="W725" s="3331"/>
      <c r="X725" s="3331"/>
      <c r="Y725" s="3331"/>
      <c r="Z725" s="3331"/>
      <c r="AA725" s="3331"/>
    </row>
    <row r="726" spans="2:27" ht="47.25">
      <c r="B726" s="3350"/>
      <c r="C726" s="3351" t="s">
        <v>3992</v>
      </c>
      <c r="D726" s="3350"/>
      <c r="E726" s="3352">
        <v>50500</v>
      </c>
      <c r="F726" s="3392">
        <f>F709</f>
        <v>57180.120000000214</v>
      </c>
      <c r="G726" s="3395">
        <f t="shared" ref="G726:K726" si="179">(0)</f>
        <v>0</v>
      </c>
      <c r="H726" s="3395">
        <f t="shared" si="179"/>
        <v>0</v>
      </c>
      <c r="I726" s="3395">
        <f t="shared" si="179"/>
        <v>0</v>
      </c>
      <c r="J726" s="3396">
        <f t="shared" si="179"/>
        <v>0</v>
      </c>
      <c r="K726" s="3395">
        <f t="shared" si="179"/>
        <v>0</v>
      </c>
      <c r="L726" s="3393">
        <f>L728+L729+L730</f>
        <v>28840.114115000131</v>
      </c>
      <c r="M726" s="3393">
        <f t="shared" si="177"/>
        <v>0.50437309531704422</v>
      </c>
      <c r="N726" s="3393">
        <f t="shared" ref="N726:O726" si="180">N728+N729+N730</f>
        <v>0</v>
      </c>
      <c r="O726" s="3393">
        <f t="shared" si="180"/>
        <v>0</v>
      </c>
      <c r="P726" s="3393">
        <f t="shared" si="178"/>
        <v>0</v>
      </c>
      <c r="Q726" s="3395">
        <f t="shared" ref="Q726:S726" si="181">(0)</f>
        <v>0</v>
      </c>
      <c r="R726" s="3395">
        <f t="shared" si="181"/>
        <v>0</v>
      </c>
      <c r="S726" s="3397">
        <f t="shared" si="181"/>
        <v>0</v>
      </c>
      <c r="T726" s="3331"/>
      <c r="U726" s="3331"/>
      <c r="V726" s="3331"/>
      <c r="W726" s="3331"/>
      <c r="X726" s="3331"/>
      <c r="Y726" s="3331"/>
      <c r="Z726" s="3331"/>
      <c r="AA726" s="3331"/>
    </row>
    <row r="727" spans="2:27" ht="18">
      <c r="B727" s="3350"/>
      <c r="C727" s="3351" t="s">
        <v>512</v>
      </c>
      <c r="D727" s="3350"/>
      <c r="E727" s="3352"/>
      <c r="F727" s="3377"/>
      <c r="G727" s="3379"/>
      <c r="H727" s="3379"/>
      <c r="I727" s="3379"/>
      <c r="J727" s="3378"/>
      <c r="K727" s="3379"/>
      <c r="L727" s="3379"/>
      <c r="M727" s="3379"/>
      <c r="N727" s="3379"/>
      <c r="O727" s="3379"/>
      <c r="P727" s="3379"/>
      <c r="Q727" s="3379"/>
      <c r="R727" s="3379"/>
      <c r="S727" s="3380"/>
      <c r="T727" s="3331"/>
      <c r="U727" s="3331"/>
      <c r="V727" s="3331"/>
      <c r="W727" s="3331"/>
      <c r="X727" s="3331"/>
      <c r="Y727" s="3331"/>
      <c r="Z727" s="3331"/>
      <c r="AA727" s="3331"/>
    </row>
    <row r="728" spans="2:27" ht="47.25">
      <c r="B728" s="3350"/>
      <c r="C728" s="3351" t="s">
        <v>3993</v>
      </c>
      <c r="D728" s="3350"/>
      <c r="E728" s="3352">
        <v>50501</v>
      </c>
      <c r="F728" s="3431">
        <f>F111</f>
        <v>24830.239000000001</v>
      </c>
      <c r="G728" s="3395">
        <f t="shared" ref="G728:K732" si="182">(0)</f>
        <v>0</v>
      </c>
      <c r="H728" s="3395">
        <f t="shared" si="182"/>
        <v>0</v>
      </c>
      <c r="I728" s="3395">
        <f t="shared" si="182"/>
        <v>0</v>
      </c>
      <c r="J728" s="3396">
        <f t="shared" si="182"/>
        <v>0</v>
      </c>
      <c r="K728" s="3395">
        <f t="shared" si="182"/>
        <v>0</v>
      </c>
      <c r="L728" s="3386">
        <f>ROUND(F728*0.36928,5)</f>
        <v>9169.3106599999992</v>
      </c>
      <c r="M728" s="3393">
        <f t="shared" ref="M728:M730" si="183">IF(F728=0,0,L728/F728)</f>
        <v>0.36928000008376877</v>
      </c>
      <c r="N728" s="3384"/>
      <c r="O728" s="3384"/>
      <c r="P728" s="3393">
        <f t="shared" ref="P728:P730" si="184">IF(N728=0,0,O728/N728)</f>
        <v>0</v>
      </c>
      <c r="Q728" s="3395">
        <f t="shared" ref="Q728:S730" si="185">(0)</f>
        <v>0</v>
      </c>
      <c r="R728" s="3395">
        <f t="shared" si="185"/>
        <v>0</v>
      </c>
      <c r="S728" s="3397">
        <f t="shared" si="185"/>
        <v>0</v>
      </c>
      <c r="T728" s="3331"/>
      <c r="U728" s="3331"/>
      <c r="V728" s="3331"/>
      <c r="W728" s="3331"/>
      <c r="X728" s="3331"/>
      <c r="Y728" s="3331"/>
      <c r="Z728" s="3331"/>
      <c r="AA728" s="3331"/>
    </row>
    <row r="729" spans="2:27" ht="63">
      <c r="B729" s="3350"/>
      <c r="C729" s="3351" t="s">
        <v>3994</v>
      </c>
      <c r="D729" s="3350"/>
      <c r="E729" s="3352">
        <v>50502</v>
      </c>
      <c r="F729" s="3431">
        <f>F124</f>
        <v>1788.328</v>
      </c>
      <c r="G729" s="3395">
        <f t="shared" si="182"/>
        <v>0</v>
      </c>
      <c r="H729" s="3395">
        <f t="shared" si="182"/>
        <v>0</v>
      </c>
      <c r="I729" s="3395">
        <f t="shared" si="182"/>
        <v>0</v>
      </c>
      <c r="J729" s="3396">
        <f t="shared" si="182"/>
        <v>0</v>
      </c>
      <c r="K729" s="3395">
        <f t="shared" si="182"/>
        <v>0</v>
      </c>
      <c r="L729" s="3386">
        <f>ROUND(F729*0.31864,5)</f>
        <v>569.83282999999994</v>
      </c>
      <c r="M729" s="3393">
        <f t="shared" si="183"/>
        <v>0.31863999780800834</v>
      </c>
      <c r="N729" s="3384"/>
      <c r="O729" s="3384"/>
      <c r="P729" s="3393">
        <f t="shared" si="184"/>
        <v>0</v>
      </c>
      <c r="Q729" s="3395">
        <f t="shared" si="185"/>
        <v>0</v>
      </c>
      <c r="R729" s="3395">
        <f t="shared" si="185"/>
        <v>0</v>
      </c>
      <c r="S729" s="3397">
        <f t="shared" si="185"/>
        <v>0</v>
      </c>
      <c r="T729" s="3331"/>
      <c r="U729" s="3331"/>
      <c r="V729" s="3331"/>
      <c r="W729" s="3331"/>
      <c r="X729" s="3331"/>
      <c r="Y729" s="3331"/>
      <c r="Z729" s="3331"/>
      <c r="AA729" s="3331"/>
    </row>
    <row r="730" spans="2:27" ht="18">
      <c r="B730" s="3350"/>
      <c r="C730" s="3351" t="s">
        <v>3995</v>
      </c>
      <c r="D730" s="3350"/>
      <c r="E730" s="3352">
        <v>50503</v>
      </c>
      <c r="F730" s="3431">
        <f>F726-F728-F729</f>
        <v>30561.553000000211</v>
      </c>
      <c r="G730" s="3395">
        <f t="shared" si="182"/>
        <v>0</v>
      </c>
      <c r="H730" s="3395">
        <f t="shared" si="182"/>
        <v>0</v>
      </c>
      <c r="I730" s="3395">
        <f t="shared" si="182"/>
        <v>0</v>
      </c>
      <c r="J730" s="3396">
        <f t="shared" si="182"/>
        <v>0</v>
      </c>
      <c r="K730" s="3395">
        <f t="shared" si="182"/>
        <v>0</v>
      </c>
      <c r="L730" s="3386">
        <f>F730*0.625</f>
        <v>19100.970625000133</v>
      </c>
      <c r="M730" s="3393">
        <f t="shared" si="183"/>
        <v>0.625</v>
      </c>
      <c r="N730" s="3384"/>
      <c r="O730" s="3384"/>
      <c r="P730" s="3393">
        <f t="shared" si="184"/>
        <v>0</v>
      </c>
      <c r="Q730" s="3395">
        <f t="shared" si="185"/>
        <v>0</v>
      </c>
      <c r="R730" s="3395">
        <f t="shared" si="185"/>
        <v>0</v>
      </c>
      <c r="S730" s="3397">
        <f t="shared" si="185"/>
        <v>0</v>
      </c>
      <c r="T730" s="3331"/>
      <c r="U730" s="3331"/>
      <c r="V730" s="3331"/>
      <c r="W730" s="3331"/>
      <c r="X730" s="3331"/>
      <c r="Y730" s="3331"/>
      <c r="Z730" s="3331"/>
      <c r="AA730" s="3331"/>
    </row>
    <row r="731" spans="2:27" ht="47.25">
      <c r="B731" s="3350"/>
      <c r="C731" s="3351" t="s">
        <v>3996</v>
      </c>
      <c r="D731" s="3350"/>
      <c r="E731" s="3352">
        <v>50400</v>
      </c>
      <c r="F731" s="3432">
        <f t="shared" ref="F731:F732" si="186">(0)</f>
        <v>0</v>
      </c>
      <c r="G731" s="3395">
        <f t="shared" si="182"/>
        <v>0</v>
      </c>
      <c r="H731" s="3395">
        <f t="shared" si="182"/>
        <v>0</v>
      </c>
      <c r="I731" s="3395">
        <f t="shared" si="182"/>
        <v>0</v>
      </c>
      <c r="J731" s="3396">
        <f t="shared" si="182"/>
        <v>0</v>
      </c>
      <c r="K731" s="3395">
        <f t="shared" si="182"/>
        <v>0</v>
      </c>
      <c r="L731" s="3386">
        <f>ROUND(ОРЭМ!C296/1000,5)</f>
        <v>57.180120000000002</v>
      </c>
      <c r="M731" s="3395">
        <f t="shared" ref="M731:N732" si="187">(0)</f>
        <v>0</v>
      </c>
      <c r="N731" s="3395">
        <f t="shared" si="187"/>
        <v>0</v>
      </c>
      <c r="O731" s="3384"/>
      <c r="P731" s="3395">
        <f t="shared" ref="P731:P732" si="188">(0)</f>
        <v>0</v>
      </c>
      <c r="Q731" s="3388"/>
      <c r="R731" s="3386"/>
      <c r="S731" s="3391"/>
      <c r="T731" s="3331"/>
      <c r="U731" s="3331"/>
      <c r="V731" s="3331"/>
      <c r="W731" s="3331"/>
      <c r="X731" s="3331"/>
      <c r="Y731" s="3331"/>
      <c r="Z731" s="3331"/>
      <c r="AA731" s="3331"/>
    </row>
    <row r="732" spans="2:27" ht="48" thickBot="1">
      <c r="B732" s="3354"/>
      <c r="C732" s="3355" t="s">
        <v>3997</v>
      </c>
      <c r="D732" s="3354"/>
      <c r="E732" s="3356">
        <v>50450</v>
      </c>
      <c r="F732" s="3433">
        <f t="shared" si="186"/>
        <v>0</v>
      </c>
      <c r="G732" s="3434">
        <f t="shared" si="182"/>
        <v>0</v>
      </c>
      <c r="H732" s="3434">
        <f t="shared" si="182"/>
        <v>0</v>
      </c>
      <c r="I732" s="3434">
        <f t="shared" si="182"/>
        <v>0</v>
      </c>
      <c r="J732" s="3435">
        <f t="shared" si="182"/>
        <v>0</v>
      </c>
      <c r="K732" s="3434">
        <f t="shared" si="182"/>
        <v>0</v>
      </c>
      <c r="L732" s="3415">
        <f>ROUND(ОРЭМ!C278/1000+ОРЭМ!C290/1000,5)</f>
        <v>57.180120000000002</v>
      </c>
      <c r="M732" s="3434">
        <f t="shared" si="187"/>
        <v>0</v>
      </c>
      <c r="N732" s="3434">
        <f t="shared" si="187"/>
        <v>0</v>
      </c>
      <c r="O732" s="3436"/>
      <c r="P732" s="3434">
        <f t="shared" si="188"/>
        <v>0</v>
      </c>
      <c r="Q732" s="3413"/>
      <c r="R732" s="3415"/>
      <c r="S732" s="3417"/>
      <c r="T732" s="3331"/>
      <c r="U732" s="3331"/>
      <c r="V732" s="3331"/>
      <c r="W732" s="3331"/>
      <c r="X732" s="3331"/>
      <c r="Y732" s="3331"/>
      <c r="Z732" s="3331"/>
      <c r="AA732" s="3331"/>
    </row>
    <row r="733" spans="2:27" ht="14.25">
      <c r="B733" s="3345"/>
      <c r="C733" s="3345"/>
      <c r="D733" s="3345"/>
      <c r="E733" s="3345"/>
      <c r="F733" s="3345"/>
      <c r="G733" s="3345"/>
      <c r="H733" s="3345"/>
      <c r="I733" s="3345"/>
      <c r="J733" s="3345"/>
      <c r="K733" s="3345"/>
      <c r="L733" s="3345"/>
      <c r="M733" s="3345"/>
      <c r="N733" s="3345"/>
      <c r="O733" s="3345"/>
      <c r="P733" s="3345"/>
      <c r="Q733" s="3345"/>
      <c r="R733" s="3345"/>
      <c r="S733" s="3345"/>
      <c r="T733" s="3331"/>
      <c r="U733" s="3331"/>
      <c r="V733" s="3331"/>
      <c r="W733" s="3331"/>
      <c r="X733" s="3331"/>
      <c r="Y733" s="3331"/>
      <c r="Z733" s="3331"/>
      <c r="AA733" s="3331"/>
    </row>
    <row r="736" spans="2:27" ht="26.1" customHeight="1">
      <c r="B736" s="3331"/>
      <c r="C736" s="4686" t="s">
        <v>3998</v>
      </c>
      <c r="D736" s="4686"/>
      <c r="E736" s="4686"/>
      <c r="F736" s="4686"/>
      <c r="G736" s="4686"/>
      <c r="H736" s="4686"/>
      <c r="I736" s="4686"/>
      <c r="J736" s="4686"/>
      <c r="K736" s="4686"/>
      <c r="L736" s="4686"/>
      <c r="M736" s="4686"/>
      <c r="N736" s="4686"/>
      <c r="O736" s="4686"/>
      <c r="P736" s="4686"/>
      <c r="Q736" s="4686"/>
      <c r="R736" s="4686"/>
      <c r="S736" s="4686"/>
      <c r="T736" s="4686"/>
      <c r="U736" s="4686"/>
      <c r="V736" s="4686"/>
      <c r="W736" s="4686"/>
      <c r="X736" s="4686"/>
      <c r="Y736" s="4686"/>
      <c r="Z736" s="4686"/>
      <c r="AA736" s="4686"/>
    </row>
    <row r="737" spans="2:27" s="3336" customFormat="1" ht="8.25"/>
    <row r="738" spans="2:27" s="3336" customFormat="1" ht="8.25"/>
    <row r="739" spans="2:27" s="3336" customFormat="1" ht="9" thickBot="1"/>
    <row r="740" spans="2:27" s="3338" customFormat="1" ht="48" thickBot="1">
      <c r="B740" s="3337"/>
      <c r="C740" s="3337" t="s">
        <v>746</v>
      </c>
      <c r="D740" s="3337"/>
      <c r="E740" s="3337" t="s">
        <v>3829</v>
      </c>
      <c r="F740" s="3337" t="s">
        <v>3999</v>
      </c>
      <c r="G740" s="3337" t="s">
        <v>4000</v>
      </c>
      <c r="H740" s="3337" t="s">
        <v>4001</v>
      </c>
    </row>
    <row r="741" spans="2:27" s="3340" customFormat="1" thickBot="1">
      <c r="B741" s="3339"/>
      <c r="C741" s="3339"/>
      <c r="D741" s="3339"/>
      <c r="E741" s="3339"/>
      <c r="F741" s="3339" t="s">
        <v>3831</v>
      </c>
      <c r="G741" s="3339" t="s">
        <v>3873</v>
      </c>
      <c r="H741" s="3339" t="s">
        <v>3874</v>
      </c>
    </row>
    <row r="742" spans="2:27" ht="31.5">
      <c r="B742" s="3346"/>
      <c r="C742" s="3347" t="s">
        <v>4002</v>
      </c>
      <c r="D742" s="3346"/>
      <c r="E742" s="3348">
        <v>60100</v>
      </c>
      <c r="F742" s="3428">
        <f>F116+F121+F697</f>
        <v>57180.12</v>
      </c>
      <c r="G742" s="3429">
        <f>I116+I121+I697</f>
        <v>0</v>
      </c>
      <c r="H742" s="3437" t="s">
        <v>1541</v>
      </c>
      <c r="I742" s="3331"/>
      <c r="J742" s="3331"/>
      <c r="K742" s="3331"/>
      <c r="L742" s="3331"/>
      <c r="M742" s="3331"/>
      <c r="N742" s="3331"/>
      <c r="O742" s="3331"/>
      <c r="P742" s="3331"/>
      <c r="Q742" s="3331"/>
      <c r="R742" s="3331"/>
      <c r="S742" s="3331"/>
      <c r="T742" s="3331"/>
      <c r="U742" s="3331"/>
      <c r="V742" s="3331"/>
      <c r="W742" s="3331"/>
      <c r="X742" s="3331"/>
      <c r="Y742" s="3331"/>
      <c r="Z742" s="3331"/>
      <c r="AA742" s="3331"/>
    </row>
    <row r="743" spans="2:27" ht="31.5">
      <c r="B743" s="3350"/>
      <c r="C743" s="3351" t="s">
        <v>4003</v>
      </c>
      <c r="D743" s="3350"/>
      <c r="E743" s="3352">
        <v>60200</v>
      </c>
      <c r="F743" s="3392">
        <f>F228+F633+F639+F709</f>
        <v>57180.120000000214</v>
      </c>
      <c r="G743" s="3393">
        <f>I228+I633+I639+N709</f>
        <v>0</v>
      </c>
      <c r="H743" s="3438" t="s">
        <v>1541</v>
      </c>
      <c r="I743" s="3331"/>
      <c r="J743" s="3331"/>
      <c r="K743" s="3331"/>
      <c r="L743" s="3331"/>
      <c r="M743" s="3331"/>
      <c r="N743" s="3331"/>
      <c r="O743" s="3331"/>
      <c r="P743" s="3331"/>
      <c r="Q743" s="3331"/>
      <c r="R743" s="3331"/>
      <c r="S743" s="3331"/>
      <c r="T743" s="3331"/>
      <c r="U743" s="3331"/>
      <c r="V743" s="3331"/>
      <c r="W743" s="3331"/>
      <c r="X743" s="3331"/>
      <c r="Y743" s="3331"/>
      <c r="Z743" s="3331"/>
      <c r="AA743" s="3331"/>
    </row>
    <row r="744" spans="2:27" ht="18.75" thickBot="1">
      <c r="B744" s="3354"/>
      <c r="C744" s="3355" t="s">
        <v>4004</v>
      </c>
      <c r="D744" s="3354"/>
      <c r="E744" s="3356">
        <v>60300</v>
      </c>
      <c r="F744" s="3421">
        <f t="shared" ref="F744:G744" si="189">F742-F743</f>
        <v>-2.1100277081131935E-10</v>
      </c>
      <c r="G744" s="3422">
        <f t="shared" si="189"/>
        <v>0</v>
      </c>
      <c r="H744" s="3439"/>
      <c r="I744" s="3331"/>
      <c r="J744" s="3331"/>
      <c r="K744" s="3331"/>
      <c r="L744" s="3331"/>
      <c r="M744" s="3331"/>
      <c r="N744" s="3331"/>
      <c r="O744" s="3331"/>
      <c r="P744" s="3331"/>
      <c r="Q744" s="3331"/>
      <c r="R744" s="3331"/>
      <c r="S744" s="3331"/>
      <c r="T744" s="3331"/>
      <c r="U744" s="3331"/>
      <c r="V744" s="3331"/>
      <c r="W744" s="3331"/>
      <c r="X744" s="3331"/>
      <c r="Y744" s="3331"/>
      <c r="Z744" s="3331"/>
      <c r="AA744" s="3331"/>
    </row>
    <row r="745" spans="2:27" ht="14.25">
      <c r="B745" s="3345"/>
      <c r="C745" s="3345"/>
      <c r="D745" s="3345"/>
      <c r="E745" s="3345"/>
      <c r="F745" s="3345"/>
      <c r="G745" s="3345"/>
      <c r="H745" s="3345"/>
      <c r="I745" s="3331"/>
      <c r="J745" s="3331"/>
      <c r="K745" s="3331"/>
      <c r="L745" s="3331"/>
      <c r="M745" s="3331"/>
      <c r="N745" s="3331"/>
      <c r="O745" s="3331"/>
      <c r="P745" s="3331"/>
      <c r="Q745" s="3331"/>
      <c r="R745" s="3331"/>
      <c r="S745" s="3331"/>
      <c r="T745" s="3331"/>
      <c r="U745" s="3331"/>
      <c r="V745" s="3331"/>
      <c r="W745" s="3331"/>
      <c r="X745" s="3331"/>
      <c r="Y745" s="3331"/>
      <c r="Z745" s="3331"/>
      <c r="AA745" s="3331"/>
    </row>
    <row r="748" spans="2:27" ht="26.1" customHeight="1">
      <c r="B748" s="3331"/>
      <c r="C748" s="4686" t="s">
        <v>4005</v>
      </c>
      <c r="D748" s="4686"/>
      <c r="E748" s="4686"/>
      <c r="F748" s="4686"/>
      <c r="G748" s="4686"/>
      <c r="H748" s="4686"/>
      <c r="I748" s="4686"/>
      <c r="J748" s="4686"/>
      <c r="K748" s="4686"/>
      <c r="L748" s="4686"/>
      <c r="M748" s="4686"/>
      <c r="N748" s="4686"/>
      <c r="O748" s="4686"/>
      <c r="P748" s="4686"/>
      <c r="Q748" s="4686"/>
      <c r="R748" s="4686"/>
      <c r="S748" s="4686"/>
      <c r="T748" s="4686"/>
      <c r="U748" s="4686"/>
      <c r="V748" s="4686"/>
      <c r="W748" s="4686"/>
      <c r="X748" s="4686"/>
      <c r="Y748" s="4686"/>
      <c r="Z748" s="4686"/>
      <c r="AA748" s="4686"/>
    </row>
    <row r="749" spans="2:27" s="3336" customFormat="1" ht="8.25"/>
    <row r="750" spans="2:27" s="3336" customFormat="1" ht="8.25"/>
    <row r="751" spans="2:27" s="3336" customFormat="1" ht="9" thickBot="1"/>
    <row r="752" spans="2:27" s="3338" customFormat="1" ht="48" thickBot="1">
      <c r="B752" s="3337"/>
      <c r="C752" s="3337" t="s">
        <v>4006</v>
      </c>
      <c r="D752" s="3337"/>
      <c r="E752" s="3337" t="s">
        <v>3829</v>
      </c>
      <c r="F752" s="3337" t="s">
        <v>4007</v>
      </c>
      <c r="G752" s="3337" t="s">
        <v>485</v>
      </c>
      <c r="H752" s="3337" t="s">
        <v>4008</v>
      </c>
      <c r="I752" s="3337" t="s">
        <v>4009</v>
      </c>
    </row>
    <row r="753" spans="2:28" s="3340" customFormat="1" thickBot="1">
      <c r="B753" s="3339"/>
      <c r="C753" s="3339"/>
      <c r="D753" s="3339"/>
      <c r="E753" s="3339"/>
      <c r="F753" s="3339" t="s">
        <v>3831</v>
      </c>
      <c r="G753" s="3339" t="s">
        <v>3873</v>
      </c>
      <c r="H753" s="3339" t="s">
        <v>3874</v>
      </c>
      <c r="I753" s="3339" t="s">
        <v>3875</v>
      </c>
    </row>
    <row r="754" spans="2:28" ht="54.75" thickBot="1">
      <c r="B754" s="3346"/>
      <c r="C754" s="3347" t="s">
        <v>528</v>
      </c>
      <c r="D754" s="3346"/>
      <c r="E754" s="3348">
        <v>21</v>
      </c>
      <c r="F754" s="3440" t="s">
        <v>477</v>
      </c>
      <c r="G754" s="3441" t="s">
        <v>1781</v>
      </c>
      <c r="H754" s="3441" t="s">
        <v>4010</v>
      </c>
      <c r="I754" s="3442" t="s">
        <v>4011</v>
      </c>
      <c r="J754" s="3331"/>
      <c r="K754" s="3331"/>
      <c r="L754" s="3331"/>
      <c r="M754" s="3331"/>
      <c r="N754" s="3331"/>
      <c r="O754" s="3331"/>
      <c r="P754" s="3331"/>
      <c r="Q754" s="3331"/>
      <c r="R754" s="3331"/>
      <c r="S754" s="3331"/>
      <c r="T754" s="3331"/>
      <c r="U754" s="3331"/>
      <c r="V754" s="3331"/>
      <c r="W754" s="3331"/>
      <c r="X754" s="3331"/>
      <c r="Y754" s="3331"/>
      <c r="Z754" s="3331"/>
      <c r="AA754" s="3331"/>
      <c r="AB754" s="3331"/>
    </row>
    <row r="755" spans="2:28" ht="54.75" thickBot="1">
      <c r="B755" s="3354"/>
      <c r="C755" s="3355" t="s">
        <v>4012</v>
      </c>
      <c r="D755" s="3354"/>
      <c r="E755" s="3356">
        <v>22</v>
      </c>
      <c r="F755" s="3443" t="s">
        <v>5125</v>
      </c>
      <c r="G755" s="3444" t="s">
        <v>4013</v>
      </c>
      <c r="H755" s="3444" t="s">
        <v>4010</v>
      </c>
      <c r="I755" s="3442" t="s">
        <v>5126</v>
      </c>
      <c r="J755" s="3331"/>
      <c r="K755" s="3331"/>
      <c r="L755" s="3331"/>
      <c r="M755" s="3331"/>
      <c r="N755" s="3331"/>
      <c r="O755" s="3331"/>
      <c r="P755" s="3331"/>
      <c r="Q755" s="3331"/>
      <c r="R755" s="3331"/>
      <c r="S755" s="3331"/>
      <c r="T755" s="3331"/>
      <c r="U755" s="3331"/>
      <c r="V755" s="3331"/>
      <c r="W755" s="3331"/>
      <c r="X755" s="3331"/>
      <c r="Y755" s="3331"/>
      <c r="Z755" s="3331"/>
      <c r="AA755" s="3331"/>
      <c r="AB755" s="3331"/>
    </row>
    <row r="756" spans="2:28" ht="14.25">
      <c r="B756" s="3345"/>
      <c r="C756" s="3345"/>
      <c r="D756" s="3345"/>
      <c r="E756" s="3345"/>
      <c r="F756" s="3345"/>
      <c r="G756" s="3345"/>
      <c r="H756" s="3345"/>
      <c r="I756" s="3345"/>
      <c r="J756" s="3331"/>
      <c r="K756" s="3331"/>
      <c r="L756" s="3331"/>
      <c r="M756" s="3331"/>
      <c r="N756" s="3331"/>
      <c r="O756" s="3331"/>
      <c r="P756" s="3331"/>
      <c r="Q756" s="3331"/>
      <c r="R756" s="3331"/>
      <c r="S756" s="3331"/>
      <c r="T756" s="3331"/>
      <c r="U756" s="3331"/>
      <c r="V756" s="3331"/>
      <c r="W756" s="3331"/>
      <c r="X756" s="3331"/>
      <c r="Y756" s="3331"/>
      <c r="Z756" s="3331"/>
      <c r="AA756" s="3331"/>
      <c r="AB756" s="3331"/>
    </row>
    <row r="757" spans="2:28" ht="15" thickBot="1">
      <c r="B757" s="3331"/>
      <c r="C757" s="3331"/>
      <c r="D757" s="3331"/>
      <c r="E757" s="3331"/>
      <c r="F757" s="3331"/>
      <c r="G757" s="3331"/>
      <c r="H757" s="3331"/>
      <c r="I757" s="3331"/>
      <c r="J757" s="3331"/>
      <c r="K757" s="3331"/>
      <c r="L757" s="3331"/>
      <c r="M757" s="3331"/>
      <c r="N757" s="3331"/>
      <c r="O757" s="3331"/>
      <c r="P757" s="3331"/>
      <c r="Q757" s="3331"/>
      <c r="R757" s="3331"/>
      <c r="S757" s="3331"/>
      <c r="T757" s="3331"/>
      <c r="U757" s="3331"/>
      <c r="V757" s="3331"/>
      <c r="W757" s="3331"/>
      <c r="X757" s="3331"/>
      <c r="Y757" s="3331"/>
      <c r="Z757" s="3331"/>
      <c r="AA757" s="3331"/>
      <c r="AB757" s="3331"/>
    </row>
    <row r="758" spans="2:28" s="3704" customFormat="1" ht="14.25">
      <c r="B758" s="3705"/>
      <c r="C758" s="3706" t="s">
        <v>4730</v>
      </c>
      <c r="D758" s="3706"/>
      <c r="E758" s="3706"/>
      <c r="F758" s="3706"/>
      <c r="G758" s="3706"/>
      <c r="H758" s="3706"/>
      <c r="I758" s="3706"/>
      <c r="J758" s="3706"/>
      <c r="K758" s="3706"/>
      <c r="L758" s="3706"/>
      <c r="M758" s="3706"/>
      <c r="N758" s="3706"/>
      <c r="O758" s="3706"/>
      <c r="P758" s="3706"/>
      <c r="Q758" s="3706"/>
      <c r="R758" s="3706"/>
      <c r="S758" s="3706"/>
      <c r="T758" s="3706"/>
      <c r="U758" s="3706"/>
      <c r="V758" s="3706"/>
      <c r="W758" s="3706"/>
      <c r="X758" s="3706"/>
      <c r="Y758" s="3706"/>
      <c r="Z758" s="3706"/>
      <c r="AA758" s="3707"/>
    </row>
    <row r="759" spans="2:28" s="3704" customFormat="1" ht="14.25">
      <c r="B759" s="3708"/>
      <c r="AA759" s="3709"/>
    </row>
    <row r="760" spans="2:28" s="3704" customFormat="1" ht="14.25">
      <c r="B760" s="3708"/>
      <c r="C760" s="3704" t="s">
        <v>4740</v>
      </c>
      <c r="AA760" s="3709"/>
    </row>
    <row r="761" spans="2:28" s="3704" customFormat="1" ht="15" thickBot="1">
      <c r="B761" s="3710"/>
      <c r="C761" s="3711" t="s">
        <v>4741</v>
      </c>
      <c r="D761" s="3711"/>
      <c r="E761" s="3711"/>
      <c r="F761" s="3711"/>
      <c r="G761" s="3711"/>
      <c r="H761" s="3711"/>
      <c r="I761" s="3711"/>
      <c r="J761" s="3711"/>
      <c r="K761" s="3711"/>
      <c r="L761" s="3711"/>
      <c r="M761" s="3711"/>
      <c r="N761" s="3711"/>
      <c r="O761" s="3711"/>
      <c r="P761" s="3711"/>
      <c r="Q761" s="3711"/>
      <c r="R761" s="3711"/>
      <c r="S761" s="3711"/>
      <c r="T761" s="3711"/>
      <c r="U761" s="3711"/>
      <c r="V761" s="3711"/>
      <c r="W761" s="3711"/>
      <c r="X761" s="3711"/>
      <c r="Y761" s="3711"/>
      <c r="Z761" s="3711"/>
      <c r="AA761" s="3712"/>
    </row>
    <row r="762" spans="2:28" ht="14.25">
      <c r="B762" s="3331"/>
      <c r="C762" s="3331"/>
      <c r="D762" s="3331"/>
      <c r="E762" s="3331"/>
      <c r="F762" s="3331"/>
      <c r="G762" s="3331"/>
      <c r="H762" s="3331"/>
      <c r="I762" s="3331"/>
      <c r="J762" s="3331"/>
      <c r="K762" s="3331"/>
      <c r="L762" s="3331"/>
      <c r="M762" s="3331"/>
      <c r="N762" s="3331"/>
      <c r="O762" s="3331"/>
      <c r="P762" s="3331"/>
      <c r="Q762" s="3331"/>
      <c r="R762" s="3331"/>
      <c r="S762" s="3331"/>
      <c r="T762" s="3331"/>
      <c r="U762" s="3331"/>
      <c r="V762" s="3331"/>
      <c r="W762" s="3331"/>
      <c r="X762" s="3331"/>
      <c r="Y762" s="3331"/>
      <c r="Z762" s="3331"/>
      <c r="AA762" s="3331"/>
      <c r="AB762" s="1845"/>
    </row>
    <row r="772" spans="8:9" ht="14.25" hidden="1">
      <c r="H772" s="3331" t="s">
        <v>4014</v>
      </c>
      <c r="I772" s="3331"/>
    </row>
    <row r="773" spans="8:9" ht="14.25" hidden="1">
      <c r="H773" s="3331"/>
      <c r="I773" s="3445" t="s">
        <v>3833</v>
      </c>
    </row>
    <row r="774" spans="8:9" ht="14.25" hidden="1">
      <c r="H774" s="3331"/>
      <c r="I774" s="3445" t="s">
        <v>1776</v>
      </c>
    </row>
    <row r="775" spans="8:9" ht="14.25">
      <c r="H775" s="3331"/>
      <c r="I775" s="3331"/>
    </row>
  </sheetData>
  <mergeCells count="8">
    <mergeCell ref="C736:AA736"/>
    <mergeCell ref="C748:AA748"/>
    <mergeCell ref="C2:AA2"/>
    <mergeCell ref="C5:AA5"/>
    <mergeCell ref="C15:AA15"/>
    <mergeCell ref="C57:AA57"/>
    <mergeCell ref="C645:AA645"/>
    <mergeCell ref="C701:AA701"/>
  </mergeCells>
  <dataValidations xWindow="675" yWindow="898" count="11">
    <dataValidation type="list" allowBlank="1" showInputMessage="1" showErrorMessage="1" sqref="F11">
      <formula1>I773:I774</formula1>
    </dataValidation>
    <dataValidation type="decimal" allowBlank="1" showErrorMessage="1" errorTitle="Ошибка ввода." error="В ячейку можно записать только ЧИСЛО." prompt="Введите число." sqref="H86:K86 H88:K88 H116:K116 H121:K121 H674:K674 H676:K676 H697:K697 H719 H721:H722 H724:H726 K719:S719 K722:S722 K726:S726 N86:Q86 N88:Q88 N121:Q121 T86:AA86 T88:AA88 T116:AA116 T121:AA121 H63 H65:H67 H69:H72 H74:H78 H80:H85 H90:H92 H94:H97 H99:H102 H104:H107 H109:H111 H113:H115 H118:H119 H123:H124 H126:H629 H631:H633 H635:H636 H639 H641 K63 K65:K67 K69:K72 K74:K78 K80:K85 K90:K92 K94:K97 K99:K102 K104:K107 K109:K111 K113:K115 K118:K119 K123:K124 K126:K629 K631:K633 K635:K636 K639 P728:P732 M728:M732 K728:K732 H728:H732 K709:S709 H707:H709 K695:K696 H695:H696 W641 T641 N641 F742:G744 H651 H653:H655 H657:H660 H662:H666 H668:H673 H678:H683 H685:H688 H690:H693 K641 K651 K653:K655 K657:K660 K662:K666 K668:K673 K678:K683 K685:K688 K690:K693 K707:M708 K721:M721 K724:M725 N63 N65:N67 N69:N72 N74:N78 N80:N85 N90:N92 N94:N97 N99:N102 N104:N107 N109:N111 N113:Q116 N118:Q119 N123:Q124 N126:Q629 N631:N633 N635:N636 N639 N731:N732 O633:Q633 P707:P708 P721 P724:P725 Q63 Q65:Q67 Q69:Q72 Q74:Q78 Q80:Q85 Q90:Q92 Q94:Q97 Q99:Q102 Q104:Q107 Q109:Q111 Q639 Q728:S730 T63 T65:T67 T69:T72 T74:T78 T80:T85 T90:T92 T94:T97 T99:T102 T104:T107 T109:T111 T113:W115 T118:W119 T123:W124 T126:W629 T631:T633 T635:T636 T639 U633:V633 W63 W65:W67 W69:W72 W74:W78 W80:W85 W90:W92 W94:W97 W99:W102 W104:W107 W109:W111 W631:W633 W635:W636 W639 AA113:AA115">
      <formula1>-7.92281625142643E+28</formula1>
      <formula2>7.92281625142643E+28</formula2>
    </dataValidation>
    <dataValidation type="decimal" allowBlank="1" showErrorMessage="1" errorTitle="Ошибка ввода." error="В ячейку можно записать только ЧИСЛО в интервале [0; 9999999999]." prompt="Введите число в интервале [0; 9999999999]." sqref="F86:G86 F88:G88 F116:G116 F121:G121 F674:G674 F676:G676 F697:G697 F719:G719 F722:G722 F726:G726 F731:F732 F709:G709 G728:G732 I709:J709 I719:J719 I722:J722 I726:J726 I728:J732 L86:M86 L88:M88 L113:M116 L121:M121 L633:M633 R86:S86 R88:S88 R113:S116 R121:S121 R633:S633 I724:J724 L118:M119 L123:M124 L126:M629 R118:S119 R123:S124 R126:S629">
      <formula1>0</formula1>
      <formula2>9999999999</formula2>
    </dataValidation>
    <dataValidation type="textLength" allowBlank="1" showErrorMessage="1" errorTitle="Ошибка ввода." error="Разрешенная длина строки в ячейке составляет  не более 1000 знаков." sqref="H742:H743">
      <formula1>0</formula1>
      <formula2>1000</formula2>
    </dataValidation>
    <dataValidation type="textLength" allowBlank="1" showInputMessage="1" showErrorMessage="1" errorTitle="Ошибка ввода." error="Разрешенная длина строки в ячейке составляет 500 знаков." sqref="C1:C757 C762:C1048576">
      <formula1>0</formula1>
      <formula2>500</formula2>
    </dataValidation>
    <dataValidation type="textLength" allowBlank="1" showInputMessage="1" showErrorMessage="1" errorTitle="Ошибка ввода." error="Разрешенная длина строки в ячейке составляет  не более 500 знаков." sqref="F21:F23 F754:I755">
      <formula1>0</formula1>
      <formula2>500</formula2>
    </dataValidation>
    <dataValidation type="textLength" allowBlank="1" showInputMessage="1" showErrorMessage="1" errorTitle="Ошибка ввода." error="Разрешенная длина строки в ячейке составляет  не более 1000 знаков." sqref="H744">
      <formula1>0</formula1>
      <formula2>1000</formula2>
    </dataValidation>
    <dataValidation type="decimal" allowBlank="1" showInputMessage="1" showErrorMessage="1" errorTitle="Ошибка ввода." error="В ячейку можно записать только ЧИСЛО." prompt="Введите число." sqref="Q721:S721 Q724:S725 Q731:S732 N721:O721 N724:O725 O728:O732 N728:N730 L728:L732 Q707:S708 N707:O708 I651:J651 I653:J655 I657:J660 I662:J666 I668:J673 I678:J683 I685:J688 I690:J693 I695:J696 X63:AA63 X65:AA67 X69:AA72 X74:AA78 X80:AA85 X90:AA92 X94:AA97 X99:AA102 X104:AA107 X109:AA111 X118:AA119 X123:AA124 X126:AA629 X631:AA633 X635:AA636 X639:AA639 X641:AA641 X113:Z115 U63:V63 U65:V67 U69:V72 U74:V78 U80:V85 U90:V92 U94:V97 U99:V102 U104:V107 U109:V111 U631:V632 U635:V636 U639:V639 U641:V641 O631:Q632 O635:Q636 O641:Q641 O63:P63 O65:P67 O69:P72 O74:P78 O80:P85 O90:P92 O94:P97 O99:P102 O104:P107 O109:P111 O639:P639 I63:J63 I65:J67 I69:J72 I74:J78 I80:J85 I90:J92 I94:J97 I99:J102 I104:J107 I109:J111 I113:J115 I118:J119 I123:J124 I126:J629 I631:J633 I635:J636 I639:J639 I641:J641">
      <formula1>-7.92281625142643E+28</formula1>
      <formula2>7.92281625142643E+28</formula2>
    </dataValidation>
    <dataValidation type="decimal" allowBlank="1" showInputMessage="1" showErrorMessage="1" errorTitle="Ошибка ввода." error="В ячейку можно записать только ЧИСЛО в интервале [0; 9999999999]." prompt="Введите число в интервале [0; 9999999999]." sqref="I721:J721 I725:J725 F721:G721 F724:G725 F728:F730 I707:J708 F707:G708 F651:G651 F653:G655 F657:G660 F662:G666 F668:G673 F678:G683 F685:G688 F690:G693 F695:G696 R63:S63 R65:S67 R69:S72 R74:S78 R80:S85 R90:S92 R94:S97 R99:S102 R104:S107 R109:S111 R631:S632 R635:S636 R639:S639 R641:S641 L63:M63 L65:M67 L69:M72 L74:M78 L80:M85 L90:M92 L94:M97 L99:M102 L104:M107 L109:M111 L631:M632 L635:M636 L639:M639 L641:M641 F63:G63 F65:G67 F69:G72 F74:G78 F80:G85 F90:G92 F94:G97 F99:G102 F104:G107 F109:G111 F113:G115 F118:G119 F123:G124 F126:G629 F631:G633 F635:G636 F639:G639 F641:G641">
      <formula1>0</formula1>
      <formula2>9999999999</formula2>
    </dataValidation>
    <dataValidation type="textLength" allowBlank="1" showInputMessage="1" showErrorMessage="1" errorTitle="Ошибка ввода." error="Разрешенная длина строки в ячейке составляет  не более 10 знаков." prompt="Введите число не более 10 знаков." sqref="F53">
      <formula1>0</formula1>
      <formula2>10</formula2>
    </dataValidation>
    <dataValidation type="textLength" allowBlank="1" showInputMessage="1" showErrorMessage="1" errorTitle="Ошибка ввода." error="Разрешенная длина строки в ячейке составляет  не более 13 знаков." prompt="Введите число не более 13 знаков." sqref="F43 F33">
      <formula1>0</formula1>
      <formula2>13</formula2>
    </dataValidation>
  </dataValidations>
  <hyperlinks>
    <hyperlink ref="I755" r:id="rId1"/>
  </hyperlinks>
  <pageMargins left="0.7" right="0.7" top="0.75" bottom="0.75" header="0.3" footer="0.3"/>
  <pageSetup paperSize="9" orientation="portrait"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0"/>
  <sheetViews>
    <sheetView workbookViewId="0">
      <selection activeCell="BS9" sqref="BS9:CC9"/>
    </sheetView>
  </sheetViews>
  <sheetFormatPr defaultColWidth="1.42578125" defaultRowHeight="12.75"/>
  <cols>
    <col min="1" max="38" width="1.42578125" style="3694" customWidth="1"/>
    <col min="39" max="39" width="9.42578125" style="3694" customWidth="1"/>
    <col min="40" max="43" width="1.42578125" style="3694" customWidth="1"/>
    <col min="44" max="45" width="1.42578125" style="3695" customWidth="1"/>
    <col min="46" max="48" width="1.42578125" style="3694" customWidth="1"/>
    <col min="49" max="52" width="1.42578125" style="3695" customWidth="1"/>
    <col min="53" max="57" width="1.42578125" style="3694" customWidth="1"/>
    <col min="58" max="63" width="1.42578125" style="3695" customWidth="1"/>
    <col min="64" max="66" width="1.42578125" style="3694" customWidth="1"/>
    <col min="67" max="67" width="1.42578125" style="3695" customWidth="1"/>
    <col min="68" max="16384" width="1.42578125" style="3694"/>
  </cols>
  <sheetData>
    <row r="1" spans="1:99" s="3693" customFormat="1" ht="15.75">
      <c r="A1" s="4723" t="s">
        <v>4016</v>
      </c>
      <c r="B1" s="4723"/>
      <c r="C1" s="4723"/>
      <c r="D1" s="4723"/>
      <c r="E1" s="4723"/>
      <c r="F1" s="4723"/>
      <c r="G1" s="4723"/>
      <c r="H1" s="4723"/>
      <c r="I1" s="4723"/>
      <c r="J1" s="4723"/>
      <c r="K1" s="4723"/>
      <c r="L1" s="4723"/>
      <c r="M1" s="4723"/>
      <c r="N1" s="4723"/>
      <c r="O1" s="4723"/>
      <c r="P1" s="4723"/>
      <c r="Q1" s="4723"/>
      <c r="R1" s="4723"/>
      <c r="S1" s="4723"/>
      <c r="T1" s="4723"/>
      <c r="U1" s="4723"/>
      <c r="V1" s="4723"/>
      <c r="W1" s="4723"/>
      <c r="X1" s="4723"/>
      <c r="Y1" s="4723"/>
      <c r="Z1" s="4723"/>
      <c r="AA1" s="4723"/>
      <c r="AB1" s="4723"/>
      <c r="AC1" s="4723"/>
      <c r="AD1" s="4723"/>
      <c r="AE1" s="4723"/>
      <c r="AF1" s="4723"/>
      <c r="AG1" s="4723"/>
      <c r="AH1" s="4723"/>
      <c r="AI1" s="4723"/>
      <c r="AJ1" s="4723"/>
      <c r="AK1" s="4723"/>
      <c r="AL1" s="4723"/>
      <c r="AM1" s="4723"/>
      <c r="AN1" s="4723"/>
      <c r="AO1" s="4723"/>
      <c r="AP1" s="4723"/>
      <c r="AQ1" s="4723"/>
      <c r="AR1" s="4723"/>
      <c r="AS1" s="4723"/>
      <c r="AT1" s="4723"/>
      <c r="AU1" s="4723"/>
      <c r="AV1" s="4723"/>
      <c r="AW1" s="4723"/>
      <c r="AX1" s="4723"/>
      <c r="AY1" s="4723"/>
      <c r="AZ1" s="4723"/>
      <c r="BA1" s="4723"/>
      <c r="BB1" s="4723"/>
      <c r="BC1" s="4723"/>
      <c r="BD1" s="4723"/>
      <c r="BE1" s="4723"/>
      <c r="BF1" s="4723"/>
      <c r="BG1" s="4723"/>
      <c r="BH1" s="4723"/>
      <c r="BI1" s="4723"/>
      <c r="BJ1" s="4723"/>
      <c r="BK1" s="4723"/>
      <c r="BL1" s="4723"/>
      <c r="BM1" s="4723"/>
      <c r="BN1" s="4723"/>
      <c r="BO1" s="4723"/>
      <c r="BP1" s="4723"/>
      <c r="BQ1" s="4723"/>
      <c r="BR1" s="4723"/>
      <c r="BS1" s="4723"/>
      <c r="BT1" s="4723"/>
      <c r="BU1" s="4723"/>
      <c r="BV1" s="4723"/>
      <c r="BW1" s="4723"/>
      <c r="BX1" s="4723"/>
      <c r="BY1" s="4723"/>
      <c r="BZ1" s="4723"/>
      <c r="CA1" s="4723"/>
      <c r="CB1" s="4723"/>
      <c r="CC1" s="4723"/>
      <c r="CD1" s="4723"/>
      <c r="CE1" s="4723"/>
      <c r="CF1" s="4723"/>
      <c r="CG1" s="4723"/>
      <c r="CH1" s="4723"/>
      <c r="CI1" s="4723"/>
      <c r="CJ1" s="4723"/>
      <c r="CK1" s="4723"/>
      <c r="CL1" s="4723"/>
      <c r="CM1" s="4723"/>
      <c r="CN1" s="4723"/>
      <c r="CO1" s="4723"/>
      <c r="CP1" s="4723"/>
      <c r="CQ1" s="4723"/>
      <c r="CR1" s="4723"/>
      <c r="CS1" s="4723"/>
      <c r="CT1" s="4723"/>
      <c r="CU1" s="4723"/>
    </row>
    <row r="3" spans="1:99" s="3696" customFormat="1" ht="12" customHeight="1">
      <c r="A3" s="4724" t="s">
        <v>4684</v>
      </c>
      <c r="B3" s="4725"/>
      <c r="C3" s="4725"/>
      <c r="D3" s="4725"/>
      <c r="E3" s="4725"/>
      <c r="F3" s="4725"/>
      <c r="G3" s="4725"/>
      <c r="H3" s="4725"/>
      <c r="I3" s="4725"/>
      <c r="J3" s="4725"/>
      <c r="K3" s="4725"/>
      <c r="L3" s="4725"/>
      <c r="M3" s="4725"/>
      <c r="N3" s="4725"/>
      <c r="O3" s="4725"/>
      <c r="P3" s="4725"/>
      <c r="Q3" s="4725"/>
      <c r="R3" s="4725"/>
      <c r="S3" s="4725"/>
      <c r="T3" s="4725"/>
      <c r="U3" s="4725"/>
      <c r="V3" s="4725"/>
      <c r="W3" s="4725"/>
      <c r="X3" s="4725"/>
      <c r="Y3" s="4726"/>
      <c r="Z3" s="4727" t="s">
        <v>3</v>
      </c>
      <c r="AA3" s="4728"/>
      <c r="AB3" s="4728"/>
      <c r="AC3" s="4728"/>
      <c r="AD3" s="4728"/>
      <c r="AE3" s="4728"/>
      <c r="AF3" s="4728"/>
      <c r="AG3" s="4727" t="s">
        <v>1196</v>
      </c>
      <c r="AH3" s="4728"/>
      <c r="AI3" s="4728"/>
      <c r="AJ3" s="4728"/>
      <c r="AK3" s="4728"/>
      <c r="AL3" s="4728"/>
      <c r="AM3" s="4728"/>
      <c r="AN3" s="4729" t="s">
        <v>1196</v>
      </c>
      <c r="AO3" s="4725"/>
      <c r="AP3" s="4725"/>
      <c r="AQ3" s="4725"/>
      <c r="AR3" s="4725"/>
      <c r="AS3" s="4725"/>
      <c r="AT3" s="4726"/>
      <c r="AU3" s="4727" t="s">
        <v>4685</v>
      </c>
      <c r="AV3" s="4728"/>
      <c r="AW3" s="4728"/>
      <c r="AX3" s="4728"/>
      <c r="AY3" s="4728"/>
      <c r="AZ3" s="4728"/>
      <c r="BA3" s="4728"/>
      <c r="BB3" s="4727" t="s">
        <v>1196</v>
      </c>
      <c r="BC3" s="4728"/>
      <c r="BD3" s="4728"/>
      <c r="BE3" s="4728"/>
      <c r="BF3" s="4728"/>
      <c r="BG3" s="4728"/>
      <c r="BH3" s="4728"/>
      <c r="BI3" s="4730" t="s">
        <v>4686</v>
      </c>
      <c r="BJ3" s="4731"/>
      <c r="BK3" s="4731"/>
      <c r="BL3" s="4731"/>
      <c r="BM3" s="4731"/>
      <c r="BN3" s="4731"/>
      <c r="BO3" s="4731"/>
      <c r="BP3" s="4731"/>
      <c r="BQ3" s="4731"/>
      <c r="BR3" s="4732"/>
      <c r="BS3" s="4730" t="s">
        <v>4687</v>
      </c>
      <c r="BT3" s="4731"/>
      <c r="BU3" s="4731"/>
      <c r="BV3" s="4731"/>
      <c r="BW3" s="4731"/>
      <c r="BX3" s="4731"/>
      <c r="BY3" s="4731"/>
      <c r="BZ3" s="4731"/>
      <c r="CA3" s="4731"/>
      <c r="CB3" s="4731"/>
      <c r="CC3" s="4732"/>
      <c r="CD3" s="4730" t="s">
        <v>4688</v>
      </c>
      <c r="CE3" s="4731"/>
      <c r="CF3" s="4731"/>
      <c r="CG3" s="4731"/>
      <c r="CH3" s="4731"/>
      <c r="CI3" s="4731"/>
      <c r="CJ3" s="4731"/>
      <c r="CK3" s="4731"/>
      <c r="CL3" s="4732"/>
      <c r="CM3" s="4730" t="s">
        <v>4688</v>
      </c>
      <c r="CN3" s="4731"/>
      <c r="CO3" s="4731"/>
      <c r="CP3" s="4731"/>
      <c r="CQ3" s="4731"/>
      <c r="CR3" s="4731"/>
      <c r="CS3" s="4731"/>
      <c r="CT3" s="4731"/>
      <c r="CU3" s="4732"/>
    </row>
    <row r="4" spans="1:99" s="3696" customFormat="1" ht="12" customHeight="1">
      <c r="A4" s="4714" t="s">
        <v>4689</v>
      </c>
      <c r="B4" s="4715"/>
      <c r="C4" s="4715"/>
      <c r="D4" s="4715"/>
      <c r="E4" s="4715"/>
      <c r="F4" s="4715"/>
      <c r="G4" s="4715"/>
      <c r="H4" s="4715"/>
      <c r="I4" s="4715"/>
      <c r="J4" s="4715"/>
      <c r="K4" s="4715"/>
      <c r="L4" s="4715"/>
      <c r="M4" s="4715"/>
      <c r="N4" s="4715"/>
      <c r="O4" s="4715"/>
      <c r="P4" s="4715"/>
      <c r="Q4" s="4715"/>
      <c r="R4" s="4715"/>
      <c r="S4" s="4715"/>
      <c r="T4" s="4715"/>
      <c r="U4" s="4715"/>
      <c r="V4" s="4715"/>
      <c r="W4" s="4715"/>
      <c r="X4" s="4715"/>
      <c r="Y4" s="4716"/>
      <c r="Z4" s="4717" t="s">
        <v>4690</v>
      </c>
      <c r="AA4" s="4718"/>
      <c r="AB4" s="4718"/>
      <c r="AC4" s="4718"/>
      <c r="AD4" s="4718"/>
      <c r="AE4" s="4718"/>
      <c r="AF4" s="4718"/>
      <c r="AG4" s="4717" t="s">
        <v>4691</v>
      </c>
      <c r="AH4" s="4718"/>
      <c r="AI4" s="4718"/>
      <c r="AJ4" s="4718"/>
      <c r="AK4" s="4718"/>
      <c r="AL4" s="4718"/>
      <c r="AM4" s="4718"/>
      <c r="AN4" s="4714" t="s">
        <v>4692</v>
      </c>
      <c r="AO4" s="4715"/>
      <c r="AP4" s="4715"/>
      <c r="AQ4" s="4715"/>
      <c r="AR4" s="4715"/>
      <c r="AS4" s="4715"/>
      <c r="AT4" s="4716"/>
      <c r="AU4" s="4717" t="s">
        <v>4693</v>
      </c>
      <c r="AV4" s="4718"/>
      <c r="AW4" s="4718"/>
      <c r="AX4" s="4718"/>
      <c r="AY4" s="4718"/>
      <c r="AZ4" s="4718"/>
      <c r="BA4" s="4718"/>
      <c r="BB4" s="4717" t="s">
        <v>4694</v>
      </c>
      <c r="BC4" s="4718"/>
      <c r="BD4" s="4718"/>
      <c r="BE4" s="4718"/>
      <c r="BF4" s="4718"/>
      <c r="BG4" s="4718"/>
      <c r="BH4" s="4718"/>
      <c r="BI4" s="4711" t="s">
        <v>4695</v>
      </c>
      <c r="BJ4" s="4712"/>
      <c r="BK4" s="4712"/>
      <c r="BL4" s="4712"/>
      <c r="BM4" s="4712"/>
      <c r="BN4" s="4712"/>
      <c r="BO4" s="4712"/>
      <c r="BP4" s="4712"/>
      <c r="BQ4" s="4712"/>
      <c r="BR4" s="4713"/>
      <c r="BS4" s="4711" t="s">
        <v>4696</v>
      </c>
      <c r="BT4" s="4712"/>
      <c r="BU4" s="4712"/>
      <c r="BV4" s="4712"/>
      <c r="BW4" s="4712"/>
      <c r="BX4" s="4712"/>
      <c r="BY4" s="4712"/>
      <c r="BZ4" s="4712"/>
      <c r="CA4" s="4712"/>
      <c r="CB4" s="4712"/>
      <c r="CC4" s="4713"/>
      <c r="CD4" s="4711" t="s">
        <v>4697</v>
      </c>
      <c r="CE4" s="4712"/>
      <c r="CF4" s="4712"/>
      <c r="CG4" s="4712"/>
      <c r="CH4" s="4712"/>
      <c r="CI4" s="4712"/>
      <c r="CJ4" s="4712"/>
      <c r="CK4" s="4712"/>
      <c r="CL4" s="4713"/>
      <c r="CM4" s="4711" t="s">
        <v>4697</v>
      </c>
      <c r="CN4" s="4712"/>
      <c r="CO4" s="4712"/>
      <c r="CP4" s="4712"/>
      <c r="CQ4" s="4712"/>
      <c r="CR4" s="4712"/>
      <c r="CS4" s="4712"/>
      <c r="CT4" s="4712"/>
      <c r="CU4" s="4713"/>
    </row>
    <row r="5" spans="1:99" s="3696" customFormat="1" ht="12" customHeight="1">
      <c r="A5" s="4714" t="s">
        <v>4698</v>
      </c>
      <c r="B5" s="4715"/>
      <c r="C5" s="4715"/>
      <c r="D5" s="4715"/>
      <c r="E5" s="4715"/>
      <c r="F5" s="4715"/>
      <c r="G5" s="4715"/>
      <c r="H5" s="4715"/>
      <c r="I5" s="4715"/>
      <c r="J5" s="4715"/>
      <c r="K5" s="4715"/>
      <c r="L5" s="4715"/>
      <c r="M5" s="4715"/>
      <c r="N5" s="4715"/>
      <c r="O5" s="4715"/>
      <c r="P5" s="4715"/>
      <c r="Q5" s="4715"/>
      <c r="R5" s="4715"/>
      <c r="S5" s="4715"/>
      <c r="T5" s="4715"/>
      <c r="U5" s="4715"/>
      <c r="V5" s="4715"/>
      <c r="W5" s="4715"/>
      <c r="X5" s="4715"/>
      <c r="Y5" s="4716"/>
      <c r="Z5" s="4717"/>
      <c r="AA5" s="4718"/>
      <c r="AB5" s="4718"/>
      <c r="AC5" s="4718"/>
      <c r="AD5" s="4718"/>
      <c r="AE5" s="4718"/>
      <c r="AF5" s="4718"/>
      <c r="AG5" s="4717" t="s">
        <v>4699</v>
      </c>
      <c r="AH5" s="4718"/>
      <c r="AI5" s="4718"/>
      <c r="AJ5" s="4718"/>
      <c r="AK5" s="4718"/>
      <c r="AL5" s="4718"/>
      <c r="AM5" s="4718"/>
      <c r="AN5" s="4714" t="s">
        <v>4691</v>
      </c>
      <c r="AO5" s="4715"/>
      <c r="AP5" s="4715"/>
      <c r="AQ5" s="4715"/>
      <c r="AR5" s="4715"/>
      <c r="AS5" s="4715"/>
      <c r="AT5" s="4716"/>
      <c r="AU5" s="4717" t="s">
        <v>4700</v>
      </c>
      <c r="AV5" s="4718"/>
      <c r="AW5" s="4718"/>
      <c r="AX5" s="4718"/>
      <c r="AY5" s="4718"/>
      <c r="AZ5" s="4718"/>
      <c r="BA5" s="4718"/>
      <c r="BB5" s="4717" t="s">
        <v>4701</v>
      </c>
      <c r="BC5" s="4718"/>
      <c r="BD5" s="4718"/>
      <c r="BE5" s="4718"/>
      <c r="BF5" s="4718"/>
      <c r="BG5" s="4718"/>
      <c r="BH5" s="4718"/>
      <c r="BI5" s="4711" t="s">
        <v>4702</v>
      </c>
      <c r="BJ5" s="4712"/>
      <c r="BK5" s="4712"/>
      <c r="BL5" s="4712"/>
      <c r="BM5" s="4712"/>
      <c r="BN5" s="4712"/>
      <c r="BO5" s="4712"/>
      <c r="BP5" s="4712"/>
      <c r="BQ5" s="4712"/>
      <c r="BR5" s="4713"/>
      <c r="BS5" s="4711" t="s">
        <v>4703</v>
      </c>
      <c r="BT5" s="4712"/>
      <c r="BU5" s="4712"/>
      <c r="BV5" s="4712"/>
      <c r="BW5" s="4712"/>
      <c r="BX5" s="4712"/>
      <c r="BY5" s="4712"/>
      <c r="BZ5" s="4712"/>
      <c r="CA5" s="4712"/>
      <c r="CB5" s="4712"/>
      <c r="CC5" s="4713"/>
      <c r="CD5" s="4711" t="s">
        <v>4704</v>
      </c>
      <c r="CE5" s="4712"/>
      <c r="CF5" s="4712"/>
      <c r="CG5" s="4712"/>
      <c r="CH5" s="4712"/>
      <c r="CI5" s="4712"/>
      <c r="CJ5" s="4712"/>
      <c r="CK5" s="4712"/>
      <c r="CL5" s="4713"/>
      <c r="CM5" s="4711" t="s">
        <v>4705</v>
      </c>
      <c r="CN5" s="4712"/>
      <c r="CO5" s="4712"/>
      <c r="CP5" s="4712"/>
      <c r="CQ5" s="4712"/>
      <c r="CR5" s="4712"/>
      <c r="CS5" s="4712"/>
      <c r="CT5" s="4712"/>
      <c r="CU5" s="4713"/>
    </row>
    <row r="6" spans="1:99" s="3696" customFormat="1" ht="12" customHeight="1">
      <c r="A6" s="4714" t="s">
        <v>4706</v>
      </c>
      <c r="B6" s="4715"/>
      <c r="C6" s="4715"/>
      <c r="D6" s="4715"/>
      <c r="E6" s="4715"/>
      <c r="F6" s="4715"/>
      <c r="G6" s="4715"/>
      <c r="H6" s="4715"/>
      <c r="I6" s="4715"/>
      <c r="J6" s="4715"/>
      <c r="K6" s="4715"/>
      <c r="L6" s="4715"/>
      <c r="M6" s="4715"/>
      <c r="N6" s="4715"/>
      <c r="O6" s="4715"/>
      <c r="P6" s="4715"/>
      <c r="Q6" s="4715"/>
      <c r="R6" s="4715"/>
      <c r="S6" s="4715"/>
      <c r="T6" s="4715"/>
      <c r="U6" s="4715"/>
      <c r="V6" s="4715"/>
      <c r="W6" s="4715"/>
      <c r="X6" s="4715"/>
      <c r="Y6" s="4716"/>
      <c r="Z6" s="4717"/>
      <c r="AA6" s="4718"/>
      <c r="AB6" s="4718"/>
      <c r="AC6" s="4718"/>
      <c r="AD6" s="4718"/>
      <c r="AE6" s="4718"/>
      <c r="AF6" s="4718"/>
      <c r="AG6" s="4717" t="s">
        <v>4707</v>
      </c>
      <c r="AH6" s="4718"/>
      <c r="AI6" s="4718"/>
      <c r="AJ6" s="4718"/>
      <c r="AK6" s="4718"/>
      <c r="AL6" s="4718"/>
      <c r="AM6" s="4718"/>
      <c r="AN6" s="4714" t="s">
        <v>4708</v>
      </c>
      <c r="AO6" s="4715"/>
      <c r="AP6" s="4715"/>
      <c r="AQ6" s="4715"/>
      <c r="AR6" s="4715"/>
      <c r="AS6" s="4715"/>
      <c r="AT6" s="4716"/>
      <c r="AU6" s="4717" t="s">
        <v>4709</v>
      </c>
      <c r="AV6" s="4718"/>
      <c r="AW6" s="4718"/>
      <c r="AX6" s="4718"/>
      <c r="AY6" s="4718"/>
      <c r="AZ6" s="4718"/>
      <c r="BA6" s="4718"/>
      <c r="BB6" s="4717" t="s">
        <v>4710</v>
      </c>
      <c r="BC6" s="4718"/>
      <c r="BD6" s="4718"/>
      <c r="BE6" s="4718"/>
      <c r="BF6" s="4718"/>
      <c r="BG6" s="4718"/>
      <c r="BH6" s="4719"/>
      <c r="BI6" s="4711" t="s">
        <v>4711</v>
      </c>
      <c r="BJ6" s="4712"/>
      <c r="BK6" s="4712"/>
      <c r="BL6" s="4712"/>
      <c r="BM6" s="4712"/>
      <c r="BN6" s="4712"/>
      <c r="BO6" s="4712"/>
      <c r="BP6" s="4712"/>
      <c r="BQ6" s="4712"/>
      <c r="BR6" s="4713"/>
      <c r="BS6" s="4711" t="s">
        <v>4712</v>
      </c>
      <c r="BT6" s="4712"/>
      <c r="BU6" s="4712"/>
      <c r="BV6" s="4712"/>
      <c r="BW6" s="4712"/>
      <c r="BX6" s="4712"/>
      <c r="BY6" s="4712"/>
      <c r="BZ6" s="4712"/>
      <c r="CA6" s="4712"/>
      <c r="CB6" s="4712"/>
      <c r="CC6" s="4713"/>
      <c r="CD6" s="4711"/>
      <c r="CE6" s="4712"/>
      <c r="CF6" s="4712"/>
      <c r="CG6" s="4712"/>
      <c r="CH6" s="4712"/>
      <c r="CI6" s="4712"/>
      <c r="CJ6" s="4712"/>
      <c r="CK6" s="4712"/>
      <c r="CL6" s="4713"/>
      <c r="CM6" s="4711" t="s">
        <v>4713</v>
      </c>
      <c r="CN6" s="4712"/>
      <c r="CO6" s="4712"/>
      <c r="CP6" s="4712"/>
      <c r="CQ6" s="4712"/>
      <c r="CR6" s="4712"/>
      <c r="CS6" s="4712"/>
      <c r="CT6" s="4712"/>
      <c r="CU6" s="4713"/>
    </row>
    <row r="7" spans="1:99" s="3696" customFormat="1" ht="12" customHeight="1">
      <c r="A7" s="4714"/>
      <c r="B7" s="4715"/>
      <c r="C7" s="4715"/>
      <c r="D7" s="4715"/>
      <c r="E7" s="4715"/>
      <c r="F7" s="4715"/>
      <c r="G7" s="4715"/>
      <c r="H7" s="4715"/>
      <c r="I7" s="4715"/>
      <c r="J7" s="4715"/>
      <c r="K7" s="4715"/>
      <c r="L7" s="4715"/>
      <c r="M7" s="4715"/>
      <c r="N7" s="4715"/>
      <c r="O7" s="4715"/>
      <c r="P7" s="4715"/>
      <c r="Q7" s="4715"/>
      <c r="R7" s="4715"/>
      <c r="S7" s="4715"/>
      <c r="T7" s="4715"/>
      <c r="U7" s="4715"/>
      <c r="V7" s="4715"/>
      <c r="W7" s="4715"/>
      <c r="X7" s="4715"/>
      <c r="Y7" s="4716"/>
      <c r="Z7" s="4717"/>
      <c r="AA7" s="4718"/>
      <c r="AB7" s="4718"/>
      <c r="AC7" s="4718"/>
      <c r="AD7" s="4718"/>
      <c r="AE7" s="4718"/>
      <c r="AF7" s="4718"/>
      <c r="AG7" s="4717" t="s">
        <v>4714</v>
      </c>
      <c r="AH7" s="4718"/>
      <c r="AI7" s="4718"/>
      <c r="AJ7" s="4718"/>
      <c r="AK7" s="4718"/>
      <c r="AL7" s="4718"/>
      <c r="AM7" s="4718"/>
      <c r="AN7" s="4714"/>
      <c r="AO7" s="4715"/>
      <c r="AP7" s="4715"/>
      <c r="AQ7" s="4715"/>
      <c r="AR7" s="4715"/>
      <c r="AS7" s="4715"/>
      <c r="AT7" s="4716"/>
      <c r="AU7" s="4717"/>
      <c r="AV7" s="4718"/>
      <c r="AW7" s="4718"/>
      <c r="AX7" s="4718"/>
      <c r="AY7" s="4718"/>
      <c r="AZ7" s="4718"/>
      <c r="BA7" s="4718"/>
      <c r="BB7" s="4717"/>
      <c r="BC7" s="4718"/>
      <c r="BD7" s="4718"/>
      <c r="BE7" s="4718"/>
      <c r="BF7" s="4718"/>
      <c r="BG7" s="4718"/>
      <c r="BH7" s="4718"/>
      <c r="BI7" s="4720" t="s">
        <v>4715</v>
      </c>
      <c r="BJ7" s="4721"/>
      <c r="BK7" s="4721"/>
      <c r="BL7" s="4721"/>
      <c r="BM7" s="4721"/>
      <c r="BN7" s="4721"/>
      <c r="BO7" s="4721"/>
      <c r="BP7" s="4721"/>
      <c r="BQ7" s="4721"/>
      <c r="BR7" s="4722"/>
      <c r="BS7" s="4711" t="s">
        <v>4716</v>
      </c>
      <c r="BT7" s="4712"/>
      <c r="BU7" s="4712"/>
      <c r="BV7" s="4712"/>
      <c r="BW7" s="4712"/>
      <c r="BX7" s="4712"/>
      <c r="BY7" s="4712"/>
      <c r="BZ7" s="4712"/>
      <c r="CA7" s="4712"/>
      <c r="CB7" s="4712"/>
      <c r="CC7" s="4713"/>
      <c r="CD7" s="4711"/>
      <c r="CE7" s="4712"/>
      <c r="CF7" s="4712"/>
      <c r="CG7" s="4712"/>
      <c r="CH7" s="4712"/>
      <c r="CI7" s="4712"/>
      <c r="CJ7" s="4712"/>
      <c r="CK7" s="4712"/>
      <c r="CL7" s="4713"/>
      <c r="CM7" s="4711"/>
      <c r="CN7" s="4712"/>
      <c r="CO7" s="4712"/>
      <c r="CP7" s="4712"/>
      <c r="CQ7" s="4712"/>
      <c r="CR7" s="4712"/>
      <c r="CS7" s="4712"/>
      <c r="CT7" s="4712"/>
      <c r="CU7" s="4713"/>
    </row>
    <row r="8" spans="1:99" s="3697" customFormat="1" ht="12" customHeight="1">
      <c r="A8" s="4707" t="s">
        <v>4017</v>
      </c>
      <c r="B8" s="4707"/>
      <c r="C8" s="4707"/>
      <c r="D8" s="4707"/>
      <c r="E8" s="4707"/>
      <c r="F8" s="4707"/>
      <c r="G8" s="4707"/>
      <c r="H8" s="4707"/>
      <c r="I8" s="4707"/>
      <c r="J8" s="4707"/>
      <c r="K8" s="4707"/>
      <c r="L8" s="4707"/>
      <c r="M8" s="4707"/>
      <c r="N8" s="4707"/>
      <c r="O8" s="4707"/>
      <c r="P8" s="4707"/>
      <c r="Q8" s="4707"/>
      <c r="R8" s="4707"/>
      <c r="S8" s="4707"/>
      <c r="T8" s="4707"/>
      <c r="U8" s="4707"/>
      <c r="V8" s="4707"/>
      <c r="W8" s="4707"/>
      <c r="X8" s="4707"/>
      <c r="Y8" s="4707"/>
      <c r="Z8" s="4708" t="s">
        <v>4717</v>
      </c>
      <c r="AA8" s="4709"/>
      <c r="AB8" s="4709"/>
      <c r="AC8" s="4709"/>
      <c r="AD8" s="4709"/>
      <c r="AE8" s="4709"/>
      <c r="AF8" s="4710"/>
      <c r="AG8" s="4708" t="s">
        <v>4718</v>
      </c>
      <c r="AH8" s="4709"/>
      <c r="AI8" s="4709"/>
      <c r="AJ8" s="4709"/>
      <c r="AK8" s="4709"/>
      <c r="AL8" s="4709"/>
      <c r="AM8" s="4710"/>
      <c r="AN8" s="4707" t="s">
        <v>4719</v>
      </c>
      <c r="AO8" s="4707"/>
      <c r="AP8" s="4707"/>
      <c r="AQ8" s="4707"/>
      <c r="AR8" s="4707"/>
      <c r="AS8" s="4707"/>
      <c r="AT8" s="4707"/>
      <c r="AU8" s="4708" t="s">
        <v>4720</v>
      </c>
      <c r="AV8" s="4709"/>
      <c r="AW8" s="4709"/>
      <c r="AX8" s="4709"/>
      <c r="AY8" s="4709"/>
      <c r="AZ8" s="4709"/>
      <c r="BA8" s="4710"/>
      <c r="BB8" s="4708" t="s">
        <v>4721</v>
      </c>
      <c r="BC8" s="4709"/>
      <c r="BD8" s="4709"/>
      <c r="BE8" s="4709"/>
      <c r="BF8" s="4709"/>
      <c r="BG8" s="4709"/>
      <c r="BH8" s="4710"/>
      <c r="BI8" s="4700" t="s">
        <v>726</v>
      </c>
      <c r="BJ8" s="4700"/>
      <c r="BK8" s="4700"/>
      <c r="BL8" s="4700"/>
      <c r="BM8" s="4700"/>
      <c r="BN8" s="4700"/>
      <c r="BO8" s="4700"/>
      <c r="BP8" s="4700"/>
      <c r="BQ8" s="4700"/>
      <c r="BR8" s="4700"/>
      <c r="BS8" s="4700" t="s">
        <v>733</v>
      </c>
      <c r="BT8" s="4700"/>
      <c r="BU8" s="4700"/>
      <c r="BV8" s="4700"/>
      <c r="BW8" s="4700"/>
      <c r="BX8" s="4700"/>
      <c r="BY8" s="4700"/>
      <c r="BZ8" s="4700"/>
      <c r="CA8" s="4700"/>
      <c r="CB8" s="4700"/>
      <c r="CC8" s="4700"/>
      <c r="CD8" s="4700" t="s">
        <v>736</v>
      </c>
      <c r="CE8" s="4700"/>
      <c r="CF8" s="4700"/>
      <c r="CG8" s="4700"/>
      <c r="CH8" s="4700"/>
      <c r="CI8" s="4700"/>
      <c r="CJ8" s="4700"/>
      <c r="CK8" s="4700"/>
      <c r="CL8" s="4700"/>
      <c r="CM8" s="4700" t="s">
        <v>738</v>
      </c>
      <c r="CN8" s="4700"/>
      <c r="CO8" s="4700"/>
      <c r="CP8" s="4700"/>
      <c r="CQ8" s="4700"/>
      <c r="CR8" s="4700"/>
      <c r="CS8" s="4700"/>
      <c r="CT8" s="4700"/>
      <c r="CU8" s="4700"/>
    </row>
    <row r="9" spans="1:99" s="1337" customFormat="1" ht="57" customHeight="1">
      <c r="A9" s="4701" t="s">
        <v>4722</v>
      </c>
      <c r="B9" s="4701"/>
      <c r="C9" s="4701"/>
      <c r="D9" s="4701"/>
      <c r="E9" s="4701"/>
      <c r="F9" s="4701"/>
      <c r="G9" s="4701"/>
      <c r="H9" s="4701"/>
      <c r="I9" s="4701"/>
      <c r="J9" s="4701"/>
      <c r="K9" s="4701"/>
      <c r="L9" s="4701"/>
      <c r="M9" s="4701"/>
      <c r="N9" s="4701"/>
      <c r="O9" s="4701"/>
      <c r="P9" s="4701"/>
      <c r="Q9" s="4701"/>
      <c r="R9" s="4701"/>
      <c r="S9" s="4701"/>
      <c r="T9" s="4701"/>
      <c r="U9" s="4701"/>
      <c r="V9" s="4701"/>
      <c r="W9" s="4701"/>
      <c r="X9" s="4701"/>
      <c r="Y9" s="4701"/>
      <c r="Z9" s="4702" t="s">
        <v>4723</v>
      </c>
      <c r="AA9" s="4703"/>
      <c r="AB9" s="4703"/>
      <c r="AC9" s="4703"/>
      <c r="AD9" s="4703"/>
      <c r="AE9" s="4703"/>
      <c r="AF9" s="4704"/>
      <c r="AG9" s="4702" t="s">
        <v>4724</v>
      </c>
      <c r="AH9" s="4703"/>
      <c r="AI9" s="4703"/>
      <c r="AJ9" s="4703"/>
      <c r="AK9" s="4703"/>
      <c r="AL9" s="4703"/>
      <c r="AM9" s="4704"/>
      <c r="AN9" s="4705"/>
      <c r="AO9" s="4705"/>
      <c r="AP9" s="4705"/>
      <c r="AQ9" s="4705"/>
      <c r="AR9" s="4705"/>
      <c r="AS9" s="4705"/>
      <c r="AT9" s="4705"/>
      <c r="AU9" s="4702" t="s">
        <v>4725</v>
      </c>
      <c r="AV9" s="4703"/>
      <c r="AW9" s="4703"/>
      <c r="AX9" s="4703"/>
      <c r="AY9" s="4703"/>
      <c r="AZ9" s="4703"/>
      <c r="BA9" s="4704"/>
      <c r="BB9" s="4702"/>
      <c r="BC9" s="4703"/>
      <c r="BD9" s="4703"/>
      <c r="BE9" s="4703"/>
      <c r="BF9" s="4703"/>
      <c r="BG9" s="4703"/>
      <c r="BH9" s="4704"/>
      <c r="BI9" s="4706">
        <f>ROUND('Шаблон 46 ГП'!L66/'Шаблон 46 ГП'!C66*1000,2)</f>
        <v>8672.1299999999992</v>
      </c>
      <c r="BJ9" s="4706"/>
      <c r="BK9" s="4706"/>
      <c r="BL9" s="4706"/>
      <c r="BM9" s="4706"/>
      <c r="BN9" s="4706"/>
      <c r="BO9" s="4706"/>
      <c r="BP9" s="4706"/>
      <c r="BQ9" s="4706"/>
      <c r="BR9" s="4706"/>
      <c r="BS9" s="4706">
        <f>ROUND('Шаблон 46 ГП'!C66/1000000,3)</f>
        <v>30.562000000000001</v>
      </c>
      <c r="BT9" s="4706"/>
      <c r="BU9" s="4706"/>
      <c r="BV9" s="4706"/>
      <c r="BW9" s="4706"/>
      <c r="BX9" s="4706"/>
      <c r="BY9" s="4706"/>
      <c r="BZ9" s="4706"/>
      <c r="CA9" s="4706"/>
      <c r="CB9" s="4706"/>
      <c r="CC9" s="4706"/>
      <c r="CD9" s="4706">
        <v>13</v>
      </c>
      <c r="CE9" s="4706"/>
      <c r="CF9" s="4706"/>
      <c r="CG9" s="4706"/>
      <c r="CH9" s="4706"/>
      <c r="CI9" s="4706"/>
      <c r="CJ9" s="4706"/>
      <c r="CK9" s="4706"/>
      <c r="CL9" s="4706"/>
      <c r="CM9" s="4706">
        <v>10</v>
      </c>
      <c r="CN9" s="4706"/>
      <c r="CO9" s="4706"/>
      <c r="CP9" s="4706"/>
      <c r="CQ9" s="4706"/>
      <c r="CR9" s="4706"/>
      <c r="CS9" s="4706"/>
      <c r="CT9" s="4706"/>
      <c r="CU9" s="4706"/>
    </row>
    <row r="10" spans="1:99" s="1337" customFormat="1">
      <c r="A10" s="4689"/>
      <c r="B10" s="4689"/>
      <c r="C10" s="4689"/>
      <c r="D10" s="4689"/>
      <c r="E10" s="4689"/>
      <c r="F10" s="4689"/>
      <c r="G10" s="4689"/>
      <c r="H10" s="4689"/>
      <c r="I10" s="4689"/>
      <c r="J10" s="4689"/>
      <c r="K10" s="4689"/>
      <c r="L10" s="4689"/>
      <c r="M10" s="4689"/>
      <c r="N10" s="4689"/>
      <c r="O10" s="4689"/>
      <c r="P10" s="4689"/>
      <c r="Q10" s="4689"/>
      <c r="R10" s="4689"/>
      <c r="S10" s="4689"/>
      <c r="T10" s="4689"/>
      <c r="U10" s="4689"/>
      <c r="V10" s="4689"/>
      <c r="W10" s="4689"/>
      <c r="X10" s="4689"/>
      <c r="Y10" s="4689"/>
      <c r="Z10" s="4690"/>
      <c r="AA10" s="4691"/>
      <c r="AB10" s="4691"/>
      <c r="AC10" s="4691"/>
      <c r="AD10" s="4691"/>
      <c r="AE10" s="4691"/>
      <c r="AF10" s="4692"/>
      <c r="AG10" s="4690"/>
      <c r="AH10" s="4691"/>
      <c r="AI10" s="4691"/>
      <c r="AJ10" s="4691"/>
      <c r="AK10" s="4691"/>
      <c r="AL10" s="4691"/>
      <c r="AM10" s="4692"/>
      <c r="AN10" s="4693"/>
      <c r="AO10" s="4693"/>
      <c r="AP10" s="4693"/>
      <c r="AQ10" s="4693"/>
      <c r="AR10" s="4693"/>
      <c r="AS10" s="4693"/>
      <c r="AT10" s="4693"/>
      <c r="AU10" s="4690"/>
      <c r="AV10" s="4691"/>
      <c r="AW10" s="4691"/>
      <c r="AX10" s="4691"/>
      <c r="AY10" s="4691"/>
      <c r="AZ10" s="4691"/>
      <c r="BA10" s="4692"/>
      <c r="BB10" s="4690"/>
      <c r="BC10" s="4691"/>
      <c r="BD10" s="4691"/>
      <c r="BE10" s="4691"/>
      <c r="BF10" s="4691"/>
      <c r="BG10" s="4691"/>
      <c r="BH10" s="4692"/>
      <c r="BI10" s="4688"/>
      <c r="BJ10" s="4688"/>
      <c r="BK10" s="4688"/>
      <c r="BL10" s="4688"/>
      <c r="BM10" s="4688"/>
      <c r="BN10" s="4688"/>
      <c r="BO10" s="4688"/>
      <c r="BP10" s="4688"/>
      <c r="BQ10" s="4688"/>
      <c r="BR10" s="4688"/>
      <c r="BS10" s="4688"/>
      <c r="BT10" s="4688"/>
      <c r="BU10" s="4688"/>
      <c r="BV10" s="4688"/>
      <c r="BW10" s="4688"/>
      <c r="BX10" s="4688"/>
      <c r="BY10" s="4688"/>
      <c r="BZ10" s="4688"/>
      <c r="CA10" s="4688"/>
      <c r="CB10" s="4688"/>
      <c r="CC10" s="4688"/>
      <c r="CD10" s="4689"/>
      <c r="CE10" s="4689"/>
      <c r="CF10" s="4689"/>
      <c r="CG10" s="4689"/>
      <c r="CH10" s="4689"/>
      <c r="CI10" s="4689"/>
      <c r="CJ10" s="4689"/>
      <c r="CK10" s="4689"/>
      <c r="CL10" s="4689"/>
      <c r="CM10" s="4689"/>
      <c r="CN10" s="4689"/>
      <c r="CO10" s="4689"/>
      <c r="CP10" s="4689"/>
      <c r="CQ10" s="4689"/>
      <c r="CR10" s="4689"/>
      <c r="CS10" s="4689"/>
      <c r="CT10" s="4689"/>
      <c r="CU10" s="4689"/>
    </row>
    <row r="11" spans="1:99" s="1337" customFormat="1">
      <c r="A11" s="4689"/>
      <c r="B11" s="4689"/>
      <c r="C11" s="4689"/>
      <c r="D11" s="4689"/>
      <c r="E11" s="4689"/>
      <c r="F11" s="4689"/>
      <c r="G11" s="4689"/>
      <c r="H11" s="4689"/>
      <c r="I11" s="4689"/>
      <c r="J11" s="4689"/>
      <c r="K11" s="4689"/>
      <c r="L11" s="4689"/>
      <c r="M11" s="4689"/>
      <c r="N11" s="4689"/>
      <c r="O11" s="4689"/>
      <c r="P11" s="4689"/>
      <c r="Q11" s="4689"/>
      <c r="R11" s="4689"/>
      <c r="S11" s="4689"/>
      <c r="T11" s="4689"/>
      <c r="U11" s="4689"/>
      <c r="V11" s="4689"/>
      <c r="W11" s="4689"/>
      <c r="X11" s="4689"/>
      <c r="Y11" s="4689"/>
      <c r="Z11" s="4690"/>
      <c r="AA11" s="4691"/>
      <c r="AB11" s="4691"/>
      <c r="AC11" s="4691"/>
      <c r="AD11" s="4691"/>
      <c r="AE11" s="4691"/>
      <c r="AF11" s="4692"/>
      <c r="AG11" s="4690"/>
      <c r="AH11" s="4691"/>
      <c r="AI11" s="4691"/>
      <c r="AJ11" s="4691"/>
      <c r="AK11" s="4691"/>
      <c r="AL11" s="4691"/>
      <c r="AM11" s="4692"/>
      <c r="AN11" s="4693"/>
      <c r="AO11" s="4693"/>
      <c r="AP11" s="4693"/>
      <c r="AQ11" s="4693"/>
      <c r="AR11" s="4693"/>
      <c r="AS11" s="4693"/>
      <c r="AT11" s="4693"/>
      <c r="AU11" s="4690"/>
      <c r="AV11" s="4691"/>
      <c r="AW11" s="4691"/>
      <c r="AX11" s="4691"/>
      <c r="AY11" s="4691"/>
      <c r="AZ11" s="4691"/>
      <c r="BA11" s="4692"/>
      <c r="BB11" s="4690"/>
      <c r="BC11" s="4691"/>
      <c r="BD11" s="4691"/>
      <c r="BE11" s="4691"/>
      <c r="BF11" s="4691"/>
      <c r="BG11" s="4691"/>
      <c r="BH11" s="4692"/>
      <c r="BI11" s="4688"/>
      <c r="BJ11" s="4688"/>
      <c r="BK11" s="4688"/>
      <c r="BL11" s="4688"/>
      <c r="BM11" s="4688"/>
      <c r="BN11" s="4688"/>
      <c r="BO11" s="4688"/>
      <c r="BP11" s="4688"/>
      <c r="BQ11" s="4688"/>
      <c r="BR11" s="4688"/>
      <c r="BS11" s="4688"/>
      <c r="BT11" s="4688"/>
      <c r="BU11" s="4688"/>
      <c r="BV11" s="4688"/>
      <c r="BW11" s="4688"/>
      <c r="BX11" s="4688"/>
      <c r="BY11" s="4688"/>
      <c r="BZ11" s="4688"/>
      <c r="CA11" s="4688"/>
      <c r="CB11" s="4688"/>
      <c r="CC11" s="4688"/>
      <c r="CD11" s="4689"/>
      <c r="CE11" s="4689"/>
      <c r="CF11" s="4689"/>
      <c r="CG11" s="4689"/>
      <c r="CH11" s="4689"/>
      <c r="CI11" s="4689"/>
      <c r="CJ11" s="4689"/>
      <c r="CK11" s="4689"/>
      <c r="CL11" s="4689"/>
      <c r="CM11" s="4689"/>
      <c r="CN11" s="4689"/>
      <c r="CO11" s="4689"/>
      <c r="CP11" s="4689"/>
      <c r="CQ11" s="4689"/>
      <c r="CR11" s="4689"/>
      <c r="CS11" s="4689"/>
      <c r="CT11" s="4689"/>
      <c r="CU11" s="4689"/>
    </row>
    <row r="12" spans="1:99" s="1337" customFormat="1">
      <c r="A12" s="4689"/>
      <c r="B12" s="4689"/>
      <c r="C12" s="4689"/>
      <c r="D12" s="4689"/>
      <c r="E12" s="4689"/>
      <c r="F12" s="4689"/>
      <c r="G12" s="4689"/>
      <c r="H12" s="4689"/>
      <c r="I12" s="4689"/>
      <c r="J12" s="4689"/>
      <c r="K12" s="4689"/>
      <c r="L12" s="4689"/>
      <c r="M12" s="4689"/>
      <c r="N12" s="4689"/>
      <c r="O12" s="4689"/>
      <c r="P12" s="4689"/>
      <c r="Q12" s="4689"/>
      <c r="R12" s="4689"/>
      <c r="S12" s="4689"/>
      <c r="T12" s="4689"/>
      <c r="U12" s="4689"/>
      <c r="V12" s="4689"/>
      <c r="W12" s="4689"/>
      <c r="X12" s="4689"/>
      <c r="Y12" s="4689"/>
      <c r="Z12" s="4690"/>
      <c r="AA12" s="4691"/>
      <c r="AB12" s="4691"/>
      <c r="AC12" s="4691"/>
      <c r="AD12" s="4691"/>
      <c r="AE12" s="4691"/>
      <c r="AF12" s="4692"/>
      <c r="AG12" s="4690"/>
      <c r="AH12" s="4691"/>
      <c r="AI12" s="4691"/>
      <c r="AJ12" s="4691"/>
      <c r="AK12" s="4691"/>
      <c r="AL12" s="4691"/>
      <c r="AM12" s="4692"/>
      <c r="AN12" s="4693"/>
      <c r="AO12" s="4693"/>
      <c r="AP12" s="4693"/>
      <c r="AQ12" s="4693"/>
      <c r="AR12" s="4693"/>
      <c r="AS12" s="4693"/>
      <c r="AT12" s="4693"/>
      <c r="AU12" s="4690"/>
      <c r="AV12" s="4691"/>
      <c r="AW12" s="4691"/>
      <c r="AX12" s="4691"/>
      <c r="AY12" s="4691"/>
      <c r="AZ12" s="4691"/>
      <c r="BA12" s="4692"/>
      <c r="BB12" s="4690"/>
      <c r="BC12" s="4691"/>
      <c r="BD12" s="4691"/>
      <c r="BE12" s="4691"/>
      <c r="BF12" s="4691"/>
      <c r="BG12" s="4691"/>
      <c r="BH12" s="4692"/>
      <c r="BI12" s="4688"/>
      <c r="BJ12" s="4688"/>
      <c r="BK12" s="4688"/>
      <c r="BL12" s="4688"/>
      <c r="BM12" s="4688"/>
      <c r="BN12" s="4688"/>
      <c r="BO12" s="4688"/>
      <c r="BP12" s="4688"/>
      <c r="BQ12" s="4688"/>
      <c r="BR12" s="4688"/>
      <c r="BS12" s="4688"/>
      <c r="BT12" s="4688"/>
      <c r="BU12" s="4688"/>
      <c r="BV12" s="4688"/>
      <c r="BW12" s="4688"/>
      <c r="BX12" s="4688"/>
      <c r="BY12" s="4688"/>
      <c r="BZ12" s="4688"/>
      <c r="CA12" s="4688"/>
      <c r="CB12" s="4688"/>
      <c r="CC12" s="4688"/>
      <c r="CD12" s="4689"/>
      <c r="CE12" s="4689"/>
      <c r="CF12" s="4689"/>
      <c r="CG12" s="4689"/>
      <c r="CH12" s="4689"/>
      <c r="CI12" s="4689"/>
      <c r="CJ12" s="4689"/>
      <c r="CK12" s="4689"/>
      <c r="CL12" s="4689"/>
      <c r="CM12" s="4689"/>
      <c r="CN12" s="4689"/>
      <c r="CO12" s="4689"/>
      <c r="CP12" s="4689"/>
      <c r="CQ12" s="4689"/>
      <c r="CR12" s="4689"/>
      <c r="CS12" s="4689"/>
      <c r="CT12" s="4689"/>
      <c r="CU12" s="4689"/>
    </row>
    <row r="13" spans="1:99" s="1337" customFormat="1">
      <c r="A13" s="4689"/>
      <c r="B13" s="4689"/>
      <c r="C13" s="4689"/>
      <c r="D13" s="4689"/>
      <c r="E13" s="4689"/>
      <c r="F13" s="4689"/>
      <c r="G13" s="4689"/>
      <c r="H13" s="4689"/>
      <c r="I13" s="4689"/>
      <c r="J13" s="4689"/>
      <c r="K13" s="4689"/>
      <c r="L13" s="4689"/>
      <c r="M13" s="4689"/>
      <c r="N13" s="4689"/>
      <c r="O13" s="4689"/>
      <c r="P13" s="4689"/>
      <c r="Q13" s="4689"/>
      <c r="R13" s="4689"/>
      <c r="S13" s="4689"/>
      <c r="T13" s="4689"/>
      <c r="U13" s="4689"/>
      <c r="V13" s="4689"/>
      <c r="W13" s="4689"/>
      <c r="X13" s="4689"/>
      <c r="Y13" s="4689"/>
      <c r="Z13" s="4690"/>
      <c r="AA13" s="4691"/>
      <c r="AB13" s="4691"/>
      <c r="AC13" s="4691"/>
      <c r="AD13" s="4691"/>
      <c r="AE13" s="4691"/>
      <c r="AF13" s="4692"/>
      <c r="AG13" s="4690"/>
      <c r="AH13" s="4691"/>
      <c r="AI13" s="4691"/>
      <c r="AJ13" s="4691"/>
      <c r="AK13" s="4691"/>
      <c r="AL13" s="4691"/>
      <c r="AM13" s="4692"/>
      <c r="AN13" s="4693"/>
      <c r="AO13" s="4693"/>
      <c r="AP13" s="4693"/>
      <c r="AQ13" s="4693"/>
      <c r="AR13" s="4693"/>
      <c r="AS13" s="4693"/>
      <c r="AT13" s="4693"/>
      <c r="AU13" s="4690"/>
      <c r="AV13" s="4691"/>
      <c r="AW13" s="4691"/>
      <c r="AX13" s="4691"/>
      <c r="AY13" s="4691"/>
      <c r="AZ13" s="4691"/>
      <c r="BA13" s="4692"/>
      <c r="BB13" s="4690"/>
      <c r="BC13" s="4691"/>
      <c r="BD13" s="4691"/>
      <c r="BE13" s="4691"/>
      <c r="BF13" s="4691"/>
      <c r="BG13" s="4691"/>
      <c r="BH13" s="4692"/>
      <c r="BI13" s="4688"/>
      <c r="BJ13" s="4688"/>
      <c r="BK13" s="4688"/>
      <c r="BL13" s="4688"/>
      <c r="BM13" s="4688"/>
      <c r="BN13" s="4688"/>
      <c r="BO13" s="4688"/>
      <c r="BP13" s="4688"/>
      <c r="BQ13" s="4688"/>
      <c r="BR13" s="4688"/>
      <c r="BS13" s="4688"/>
      <c r="BT13" s="4688"/>
      <c r="BU13" s="4688"/>
      <c r="BV13" s="4688"/>
      <c r="BW13" s="4688"/>
      <c r="BX13" s="4688"/>
      <c r="BY13" s="4688"/>
      <c r="BZ13" s="4688"/>
      <c r="CA13" s="4688"/>
      <c r="CB13" s="4688"/>
      <c r="CC13" s="4688"/>
      <c r="CD13" s="4689"/>
      <c r="CE13" s="4689"/>
      <c r="CF13" s="4689"/>
      <c r="CG13" s="4689"/>
      <c r="CH13" s="4689"/>
      <c r="CI13" s="4689"/>
      <c r="CJ13" s="4689"/>
      <c r="CK13" s="4689"/>
      <c r="CL13" s="4689"/>
      <c r="CM13" s="4689"/>
      <c r="CN13" s="4689"/>
      <c r="CO13" s="4689"/>
      <c r="CP13" s="4689"/>
      <c r="CQ13" s="4689"/>
      <c r="CR13" s="4689"/>
      <c r="CS13" s="4689"/>
      <c r="CT13" s="4689"/>
      <c r="CU13" s="4689"/>
    </row>
    <row r="14" spans="1:99" s="1337" customFormat="1">
      <c r="A14" s="4689"/>
      <c r="B14" s="4689"/>
      <c r="C14" s="4689"/>
      <c r="D14" s="4689"/>
      <c r="E14" s="4689"/>
      <c r="F14" s="4689"/>
      <c r="G14" s="4689"/>
      <c r="H14" s="4689"/>
      <c r="I14" s="4689"/>
      <c r="J14" s="4689"/>
      <c r="K14" s="4689"/>
      <c r="L14" s="4689"/>
      <c r="M14" s="4689"/>
      <c r="N14" s="4689"/>
      <c r="O14" s="4689"/>
      <c r="P14" s="4689"/>
      <c r="Q14" s="4689"/>
      <c r="R14" s="4689"/>
      <c r="S14" s="4689"/>
      <c r="T14" s="4689"/>
      <c r="U14" s="4689"/>
      <c r="V14" s="4689"/>
      <c r="W14" s="4689"/>
      <c r="X14" s="4689"/>
      <c r="Y14" s="4689"/>
      <c r="Z14" s="4690"/>
      <c r="AA14" s="4691"/>
      <c r="AB14" s="4691"/>
      <c r="AC14" s="4691"/>
      <c r="AD14" s="4691"/>
      <c r="AE14" s="4691"/>
      <c r="AF14" s="4692"/>
      <c r="AG14" s="4690"/>
      <c r="AH14" s="4691"/>
      <c r="AI14" s="4691"/>
      <c r="AJ14" s="4691"/>
      <c r="AK14" s="4691"/>
      <c r="AL14" s="4691"/>
      <c r="AM14" s="4692"/>
      <c r="AN14" s="4693"/>
      <c r="AO14" s="4693"/>
      <c r="AP14" s="4693"/>
      <c r="AQ14" s="4693"/>
      <c r="AR14" s="4693"/>
      <c r="AS14" s="4693"/>
      <c r="AT14" s="4693"/>
      <c r="AU14" s="4690"/>
      <c r="AV14" s="4691"/>
      <c r="AW14" s="4691"/>
      <c r="AX14" s="4691"/>
      <c r="AY14" s="4691"/>
      <c r="AZ14" s="4691"/>
      <c r="BA14" s="4692"/>
      <c r="BB14" s="4690"/>
      <c r="BC14" s="4691"/>
      <c r="BD14" s="4691"/>
      <c r="BE14" s="4691"/>
      <c r="BF14" s="4691"/>
      <c r="BG14" s="4691"/>
      <c r="BH14" s="4692"/>
      <c r="BI14" s="4688"/>
      <c r="BJ14" s="4688"/>
      <c r="BK14" s="4688"/>
      <c r="BL14" s="4688"/>
      <c r="BM14" s="4688"/>
      <c r="BN14" s="4688"/>
      <c r="BO14" s="4688"/>
      <c r="BP14" s="4688"/>
      <c r="BQ14" s="4688"/>
      <c r="BR14" s="4688"/>
      <c r="BS14" s="4688"/>
      <c r="BT14" s="4688"/>
      <c r="BU14" s="4688"/>
      <c r="BV14" s="4688"/>
      <c r="BW14" s="4688"/>
      <c r="BX14" s="4688"/>
      <c r="BY14" s="4688"/>
      <c r="BZ14" s="4688"/>
      <c r="CA14" s="4688"/>
      <c r="CB14" s="4688"/>
      <c r="CC14" s="4688"/>
      <c r="CD14" s="4689"/>
      <c r="CE14" s="4689"/>
      <c r="CF14" s="4689"/>
      <c r="CG14" s="4689"/>
      <c r="CH14" s="4689"/>
      <c r="CI14" s="4689"/>
      <c r="CJ14" s="4689"/>
      <c r="CK14" s="4689"/>
      <c r="CL14" s="4689"/>
      <c r="CM14" s="4689"/>
      <c r="CN14" s="4689"/>
      <c r="CO14" s="4689"/>
      <c r="CP14" s="4689"/>
      <c r="CQ14" s="4689"/>
      <c r="CR14" s="4689"/>
      <c r="CS14" s="4689"/>
      <c r="CT14" s="4689"/>
      <c r="CU14" s="4689"/>
    </row>
    <row r="15" spans="1:99" s="1337" customFormat="1">
      <c r="A15" s="4689"/>
      <c r="B15" s="4689"/>
      <c r="C15" s="4689"/>
      <c r="D15" s="4689"/>
      <c r="E15" s="4689"/>
      <c r="F15" s="4689"/>
      <c r="G15" s="4689"/>
      <c r="H15" s="4689"/>
      <c r="I15" s="4689"/>
      <c r="J15" s="4689"/>
      <c r="K15" s="4689"/>
      <c r="L15" s="4689"/>
      <c r="M15" s="4689"/>
      <c r="N15" s="4689"/>
      <c r="O15" s="4689"/>
      <c r="P15" s="4689"/>
      <c r="Q15" s="4689"/>
      <c r="R15" s="4689"/>
      <c r="S15" s="4689"/>
      <c r="T15" s="4689"/>
      <c r="U15" s="4689"/>
      <c r="V15" s="4689"/>
      <c r="W15" s="4689"/>
      <c r="X15" s="4689"/>
      <c r="Y15" s="4689"/>
      <c r="Z15" s="4690"/>
      <c r="AA15" s="4691"/>
      <c r="AB15" s="4691"/>
      <c r="AC15" s="4691"/>
      <c r="AD15" s="4691"/>
      <c r="AE15" s="4691"/>
      <c r="AF15" s="4692"/>
      <c r="AG15" s="4690"/>
      <c r="AH15" s="4691"/>
      <c r="AI15" s="4691"/>
      <c r="AJ15" s="4691"/>
      <c r="AK15" s="4691"/>
      <c r="AL15" s="4691"/>
      <c r="AM15" s="4692"/>
      <c r="AN15" s="4693"/>
      <c r="AO15" s="4693"/>
      <c r="AP15" s="4693"/>
      <c r="AQ15" s="4693"/>
      <c r="AR15" s="4693"/>
      <c r="AS15" s="4693"/>
      <c r="AT15" s="4693"/>
      <c r="AU15" s="4690"/>
      <c r="AV15" s="4691"/>
      <c r="AW15" s="4691"/>
      <c r="AX15" s="4691"/>
      <c r="AY15" s="4691"/>
      <c r="AZ15" s="4691"/>
      <c r="BA15" s="4692"/>
      <c r="BB15" s="4690"/>
      <c r="BC15" s="4691"/>
      <c r="BD15" s="4691"/>
      <c r="BE15" s="4691"/>
      <c r="BF15" s="4691"/>
      <c r="BG15" s="4691"/>
      <c r="BH15" s="4692"/>
      <c r="BI15" s="4688"/>
      <c r="BJ15" s="4688"/>
      <c r="BK15" s="4688"/>
      <c r="BL15" s="4688"/>
      <c r="BM15" s="4688"/>
      <c r="BN15" s="4688"/>
      <c r="BO15" s="4688"/>
      <c r="BP15" s="4688"/>
      <c r="BQ15" s="4688"/>
      <c r="BR15" s="4688"/>
      <c r="BS15" s="4688"/>
      <c r="BT15" s="4688"/>
      <c r="BU15" s="4688"/>
      <c r="BV15" s="4688"/>
      <c r="BW15" s="4688"/>
      <c r="BX15" s="4688"/>
      <c r="BY15" s="4688"/>
      <c r="BZ15" s="4688"/>
      <c r="CA15" s="4688"/>
      <c r="CB15" s="4688"/>
      <c r="CC15" s="4688"/>
      <c r="CD15" s="4689"/>
      <c r="CE15" s="4689"/>
      <c r="CF15" s="4689"/>
      <c r="CG15" s="4689"/>
      <c r="CH15" s="4689"/>
      <c r="CI15" s="4689"/>
      <c r="CJ15" s="4689"/>
      <c r="CK15" s="4689"/>
      <c r="CL15" s="4689"/>
      <c r="CM15" s="4689"/>
      <c r="CN15" s="4689"/>
      <c r="CO15" s="4689"/>
      <c r="CP15" s="4689"/>
      <c r="CQ15" s="4689"/>
      <c r="CR15" s="4689"/>
      <c r="CS15" s="4689"/>
      <c r="CT15" s="4689"/>
      <c r="CU15" s="4689"/>
    </row>
    <row r="16" spans="1:99" s="1337" customFormat="1">
      <c r="A16" s="4689"/>
      <c r="B16" s="4689"/>
      <c r="C16" s="4689"/>
      <c r="D16" s="4689"/>
      <c r="E16" s="4689"/>
      <c r="F16" s="4689"/>
      <c r="G16" s="4689"/>
      <c r="H16" s="4689"/>
      <c r="I16" s="4689"/>
      <c r="J16" s="4689"/>
      <c r="K16" s="4689"/>
      <c r="L16" s="4689"/>
      <c r="M16" s="4689"/>
      <c r="N16" s="4689"/>
      <c r="O16" s="4689"/>
      <c r="P16" s="4689"/>
      <c r="Q16" s="4689"/>
      <c r="R16" s="4689"/>
      <c r="S16" s="4689"/>
      <c r="T16" s="4689"/>
      <c r="U16" s="4689"/>
      <c r="V16" s="4689"/>
      <c r="W16" s="4689"/>
      <c r="X16" s="4689"/>
      <c r="Y16" s="4689"/>
      <c r="Z16" s="4690"/>
      <c r="AA16" s="4691"/>
      <c r="AB16" s="4691"/>
      <c r="AC16" s="4691"/>
      <c r="AD16" s="4691"/>
      <c r="AE16" s="4691"/>
      <c r="AF16" s="4692"/>
      <c r="AG16" s="4690"/>
      <c r="AH16" s="4691"/>
      <c r="AI16" s="4691"/>
      <c r="AJ16" s="4691"/>
      <c r="AK16" s="4691"/>
      <c r="AL16" s="4691"/>
      <c r="AM16" s="4692"/>
      <c r="AN16" s="4693"/>
      <c r="AO16" s="4693"/>
      <c r="AP16" s="4693"/>
      <c r="AQ16" s="4693"/>
      <c r="AR16" s="4693"/>
      <c r="AS16" s="4693"/>
      <c r="AT16" s="4693"/>
      <c r="AU16" s="4690"/>
      <c r="AV16" s="4691"/>
      <c r="AW16" s="4691"/>
      <c r="AX16" s="4691"/>
      <c r="AY16" s="4691"/>
      <c r="AZ16" s="4691"/>
      <c r="BA16" s="4692"/>
      <c r="BB16" s="4690"/>
      <c r="BC16" s="4691"/>
      <c r="BD16" s="4691"/>
      <c r="BE16" s="4691"/>
      <c r="BF16" s="4691"/>
      <c r="BG16" s="4691"/>
      <c r="BH16" s="4692"/>
      <c r="BI16" s="4688"/>
      <c r="BJ16" s="4688"/>
      <c r="BK16" s="4688"/>
      <c r="BL16" s="4688"/>
      <c r="BM16" s="4688"/>
      <c r="BN16" s="4688"/>
      <c r="BO16" s="4688"/>
      <c r="BP16" s="4688"/>
      <c r="BQ16" s="4688"/>
      <c r="BR16" s="4688"/>
      <c r="BS16" s="4688"/>
      <c r="BT16" s="4688"/>
      <c r="BU16" s="4688"/>
      <c r="BV16" s="4688"/>
      <c r="BW16" s="4688"/>
      <c r="BX16" s="4688"/>
      <c r="BY16" s="4688"/>
      <c r="BZ16" s="4688"/>
      <c r="CA16" s="4688"/>
      <c r="CB16" s="4688"/>
      <c r="CC16" s="4688"/>
      <c r="CD16" s="4689"/>
      <c r="CE16" s="4689"/>
      <c r="CF16" s="4689"/>
      <c r="CG16" s="4689"/>
      <c r="CH16" s="4689"/>
      <c r="CI16" s="4689"/>
      <c r="CJ16" s="4689"/>
      <c r="CK16" s="4689"/>
      <c r="CL16" s="4689"/>
      <c r="CM16" s="4689"/>
      <c r="CN16" s="4689"/>
      <c r="CO16" s="4689"/>
      <c r="CP16" s="4689"/>
      <c r="CQ16" s="4689"/>
      <c r="CR16" s="4689"/>
      <c r="CS16" s="4689"/>
      <c r="CT16" s="4689"/>
      <c r="CU16" s="4689"/>
    </row>
    <row r="17" spans="1:99" s="1337" customFormat="1">
      <c r="A17" s="4689"/>
      <c r="B17" s="4689"/>
      <c r="C17" s="4689"/>
      <c r="D17" s="4689"/>
      <c r="E17" s="4689"/>
      <c r="F17" s="4689"/>
      <c r="G17" s="4689"/>
      <c r="H17" s="4689"/>
      <c r="I17" s="4689"/>
      <c r="J17" s="4689"/>
      <c r="K17" s="4689"/>
      <c r="L17" s="4689"/>
      <c r="M17" s="4689"/>
      <c r="N17" s="4689"/>
      <c r="O17" s="4689"/>
      <c r="P17" s="4689"/>
      <c r="Q17" s="4689"/>
      <c r="R17" s="4689"/>
      <c r="S17" s="4689"/>
      <c r="T17" s="4689"/>
      <c r="U17" s="4689"/>
      <c r="V17" s="4689"/>
      <c r="W17" s="4689"/>
      <c r="X17" s="4689"/>
      <c r="Y17" s="4689"/>
      <c r="Z17" s="4690"/>
      <c r="AA17" s="4691"/>
      <c r="AB17" s="4691"/>
      <c r="AC17" s="4691"/>
      <c r="AD17" s="4691"/>
      <c r="AE17" s="4691"/>
      <c r="AF17" s="4692"/>
      <c r="AG17" s="4690"/>
      <c r="AH17" s="4691"/>
      <c r="AI17" s="4691"/>
      <c r="AJ17" s="4691"/>
      <c r="AK17" s="4691"/>
      <c r="AL17" s="4691"/>
      <c r="AM17" s="4692"/>
      <c r="AN17" s="4693"/>
      <c r="AO17" s="4693"/>
      <c r="AP17" s="4693"/>
      <c r="AQ17" s="4693"/>
      <c r="AR17" s="4693"/>
      <c r="AS17" s="4693"/>
      <c r="AT17" s="4693"/>
      <c r="AU17" s="4690"/>
      <c r="AV17" s="4691"/>
      <c r="AW17" s="4691"/>
      <c r="AX17" s="4691"/>
      <c r="AY17" s="4691"/>
      <c r="AZ17" s="4691"/>
      <c r="BA17" s="4692"/>
      <c r="BB17" s="4690"/>
      <c r="BC17" s="4691"/>
      <c r="BD17" s="4691"/>
      <c r="BE17" s="4691"/>
      <c r="BF17" s="4691"/>
      <c r="BG17" s="4691"/>
      <c r="BH17" s="4692"/>
      <c r="BI17" s="4688"/>
      <c r="BJ17" s="4688"/>
      <c r="BK17" s="4688"/>
      <c r="BL17" s="4688"/>
      <c r="BM17" s="4688"/>
      <c r="BN17" s="4688"/>
      <c r="BO17" s="4688"/>
      <c r="BP17" s="4688"/>
      <c r="BQ17" s="4688"/>
      <c r="BR17" s="4688"/>
      <c r="BS17" s="4688"/>
      <c r="BT17" s="4688"/>
      <c r="BU17" s="4688"/>
      <c r="BV17" s="4688"/>
      <c r="BW17" s="4688"/>
      <c r="BX17" s="4688"/>
      <c r="BY17" s="4688"/>
      <c r="BZ17" s="4688"/>
      <c r="CA17" s="4688"/>
      <c r="CB17" s="4688"/>
      <c r="CC17" s="4688"/>
      <c r="CD17" s="4689"/>
      <c r="CE17" s="4689"/>
      <c r="CF17" s="4689"/>
      <c r="CG17" s="4689"/>
      <c r="CH17" s="4689"/>
      <c r="CI17" s="4689"/>
      <c r="CJ17" s="4689"/>
      <c r="CK17" s="4689"/>
      <c r="CL17" s="4689"/>
      <c r="CM17" s="4689"/>
      <c r="CN17" s="4689"/>
      <c r="CO17" s="4689"/>
      <c r="CP17" s="4689"/>
      <c r="CQ17" s="4689"/>
      <c r="CR17" s="4689"/>
      <c r="CS17" s="4689"/>
      <c r="CT17" s="4689"/>
      <c r="CU17" s="4689"/>
    </row>
    <row r="18" spans="1:99" s="1337" customFormat="1">
      <c r="A18" s="4689"/>
      <c r="B18" s="4689"/>
      <c r="C18" s="4689"/>
      <c r="D18" s="4689"/>
      <c r="E18" s="4689"/>
      <c r="F18" s="4689"/>
      <c r="G18" s="4689"/>
      <c r="H18" s="4689"/>
      <c r="I18" s="4689"/>
      <c r="J18" s="4689"/>
      <c r="K18" s="4689"/>
      <c r="L18" s="4689"/>
      <c r="M18" s="4689"/>
      <c r="N18" s="4689"/>
      <c r="O18" s="4689"/>
      <c r="P18" s="4689"/>
      <c r="Q18" s="4689"/>
      <c r="R18" s="4689"/>
      <c r="S18" s="4689"/>
      <c r="T18" s="4689"/>
      <c r="U18" s="4689"/>
      <c r="V18" s="4689"/>
      <c r="W18" s="4689"/>
      <c r="X18" s="4689"/>
      <c r="Y18" s="4689"/>
      <c r="Z18" s="4690"/>
      <c r="AA18" s="4691"/>
      <c r="AB18" s="4691"/>
      <c r="AC18" s="4691"/>
      <c r="AD18" s="4691"/>
      <c r="AE18" s="4691"/>
      <c r="AF18" s="4692"/>
      <c r="AG18" s="4690"/>
      <c r="AH18" s="4691"/>
      <c r="AI18" s="4691"/>
      <c r="AJ18" s="4691"/>
      <c r="AK18" s="4691"/>
      <c r="AL18" s="4691"/>
      <c r="AM18" s="4692"/>
      <c r="AN18" s="4693"/>
      <c r="AO18" s="4693"/>
      <c r="AP18" s="4693"/>
      <c r="AQ18" s="4693"/>
      <c r="AR18" s="4693"/>
      <c r="AS18" s="4693"/>
      <c r="AT18" s="4693"/>
      <c r="AU18" s="4690"/>
      <c r="AV18" s="4691"/>
      <c r="AW18" s="4691"/>
      <c r="AX18" s="4691"/>
      <c r="AY18" s="4691"/>
      <c r="AZ18" s="4691"/>
      <c r="BA18" s="4692"/>
      <c r="BB18" s="4690"/>
      <c r="BC18" s="4691"/>
      <c r="BD18" s="4691"/>
      <c r="BE18" s="4691"/>
      <c r="BF18" s="4691"/>
      <c r="BG18" s="4691"/>
      <c r="BH18" s="4692"/>
      <c r="BI18" s="4688"/>
      <c r="BJ18" s="4688"/>
      <c r="BK18" s="4688"/>
      <c r="BL18" s="4688"/>
      <c r="BM18" s="4688"/>
      <c r="BN18" s="4688"/>
      <c r="BO18" s="4688"/>
      <c r="BP18" s="4688"/>
      <c r="BQ18" s="4688"/>
      <c r="BR18" s="4688"/>
      <c r="BS18" s="4688"/>
      <c r="BT18" s="4688"/>
      <c r="BU18" s="4688"/>
      <c r="BV18" s="4688"/>
      <c r="BW18" s="4688"/>
      <c r="BX18" s="4688"/>
      <c r="BY18" s="4688"/>
      <c r="BZ18" s="4688"/>
      <c r="CA18" s="4688"/>
      <c r="CB18" s="4688"/>
      <c r="CC18" s="4688"/>
      <c r="CD18" s="4689"/>
      <c r="CE18" s="4689"/>
      <c r="CF18" s="4689"/>
      <c r="CG18" s="4689"/>
      <c r="CH18" s="4689"/>
      <c r="CI18" s="4689"/>
      <c r="CJ18" s="4689"/>
      <c r="CK18" s="4689"/>
      <c r="CL18" s="4689"/>
      <c r="CM18" s="4689"/>
      <c r="CN18" s="4689"/>
      <c r="CO18" s="4689"/>
      <c r="CP18" s="4689"/>
      <c r="CQ18" s="4689"/>
      <c r="CR18" s="4689"/>
      <c r="CS18" s="4689"/>
      <c r="CT18" s="4689"/>
      <c r="CU18" s="4689"/>
    </row>
    <row r="19" spans="1:99" s="1337" customFormat="1">
      <c r="A19" s="4689"/>
      <c r="B19" s="4689"/>
      <c r="C19" s="4689"/>
      <c r="D19" s="4689"/>
      <c r="E19" s="4689"/>
      <c r="F19" s="4689"/>
      <c r="G19" s="4689"/>
      <c r="H19" s="4689"/>
      <c r="I19" s="4689"/>
      <c r="J19" s="4689"/>
      <c r="K19" s="4689"/>
      <c r="L19" s="4689"/>
      <c r="M19" s="4689"/>
      <c r="N19" s="4689"/>
      <c r="O19" s="4689"/>
      <c r="P19" s="4689"/>
      <c r="Q19" s="4689"/>
      <c r="R19" s="4689"/>
      <c r="S19" s="4689"/>
      <c r="T19" s="4689"/>
      <c r="U19" s="4689"/>
      <c r="V19" s="4689"/>
      <c r="W19" s="4689"/>
      <c r="X19" s="4689"/>
      <c r="Y19" s="4689"/>
      <c r="Z19" s="4690"/>
      <c r="AA19" s="4691"/>
      <c r="AB19" s="4691"/>
      <c r="AC19" s="4691"/>
      <c r="AD19" s="4691"/>
      <c r="AE19" s="4691"/>
      <c r="AF19" s="4692"/>
      <c r="AG19" s="4690"/>
      <c r="AH19" s="4691"/>
      <c r="AI19" s="4691"/>
      <c r="AJ19" s="4691"/>
      <c r="AK19" s="4691"/>
      <c r="AL19" s="4691"/>
      <c r="AM19" s="4692"/>
      <c r="AN19" s="4693"/>
      <c r="AO19" s="4693"/>
      <c r="AP19" s="4693"/>
      <c r="AQ19" s="4693"/>
      <c r="AR19" s="4693"/>
      <c r="AS19" s="4693"/>
      <c r="AT19" s="4693"/>
      <c r="AU19" s="4690"/>
      <c r="AV19" s="4691"/>
      <c r="AW19" s="4691"/>
      <c r="AX19" s="4691"/>
      <c r="AY19" s="4691"/>
      <c r="AZ19" s="4691"/>
      <c r="BA19" s="4692"/>
      <c r="BB19" s="4690"/>
      <c r="BC19" s="4691"/>
      <c r="BD19" s="4691"/>
      <c r="BE19" s="4691"/>
      <c r="BF19" s="4691"/>
      <c r="BG19" s="4691"/>
      <c r="BH19" s="4692"/>
      <c r="BI19" s="4688"/>
      <c r="BJ19" s="4688"/>
      <c r="BK19" s="4688"/>
      <c r="BL19" s="4688"/>
      <c r="BM19" s="4688"/>
      <c r="BN19" s="4688"/>
      <c r="BO19" s="4688"/>
      <c r="BP19" s="4688"/>
      <c r="BQ19" s="4688"/>
      <c r="BR19" s="4688"/>
      <c r="BS19" s="4688"/>
      <c r="BT19" s="4688"/>
      <c r="BU19" s="4688"/>
      <c r="BV19" s="4688"/>
      <c r="BW19" s="4688"/>
      <c r="BX19" s="4688"/>
      <c r="BY19" s="4688"/>
      <c r="BZ19" s="4688"/>
      <c r="CA19" s="4688"/>
      <c r="CB19" s="4688"/>
      <c r="CC19" s="4688"/>
      <c r="CD19" s="4689"/>
      <c r="CE19" s="4689"/>
      <c r="CF19" s="4689"/>
      <c r="CG19" s="4689"/>
      <c r="CH19" s="4689"/>
      <c r="CI19" s="4689"/>
      <c r="CJ19" s="4689"/>
      <c r="CK19" s="4689"/>
      <c r="CL19" s="4689"/>
      <c r="CM19" s="4689"/>
      <c r="CN19" s="4689"/>
      <c r="CO19" s="4689"/>
      <c r="CP19" s="4689"/>
      <c r="CQ19" s="4689"/>
      <c r="CR19" s="4689"/>
      <c r="CS19" s="4689"/>
      <c r="CT19" s="4689"/>
      <c r="CU19" s="4689"/>
    </row>
    <row r="20" spans="1:99" s="1337" customFormat="1">
      <c r="A20" s="4689"/>
      <c r="B20" s="4689"/>
      <c r="C20" s="4689"/>
      <c r="D20" s="4689"/>
      <c r="E20" s="4689"/>
      <c r="F20" s="4689"/>
      <c r="G20" s="4689"/>
      <c r="H20" s="4689"/>
      <c r="I20" s="4689"/>
      <c r="J20" s="4689"/>
      <c r="K20" s="4689"/>
      <c r="L20" s="4689"/>
      <c r="M20" s="4689"/>
      <c r="N20" s="4689"/>
      <c r="O20" s="4689"/>
      <c r="P20" s="4689"/>
      <c r="Q20" s="4689"/>
      <c r="R20" s="4689"/>
      <c r="S20" s="4689"/>
      <c r="T20" s="4689"/>
      <c r="U20" s="4689"/>
      <c r="V20" s="4689"/>
      <c r="W20" s="4689"/>
      <c r="X20" s="4689"/>
      <c r="Y20" s="4689"/>
      <c r="Z20" s="4690"/>
      <c r="AA20" s="4691"/>
      <c r="AB20" s="4691"/>
      <c r="AC20" s="4691"/>
      <c r="AD20" s="4691"/>
      <c r="AE20" s="4691"/>
      <c r="AF20" s="4692"/>
      <c r="AG20" s="4690"/>
      <c r="AH20" s="4691"/>
      <c r="AI20" s="4691"/>
      <c r="AJ20" s="4691"/>
      <c r="AK20" s="4691"/>
      <c r="AL20" s="4691"/>
      <c r="AM20" s="4692"/>
      <c r="AN20" s="4693"/>
      <c r="AO20" s="4693"/>
      <c r="AP20" s="4693"/>
      <c r="AQ20" s="4693"/>
      <c r="AR20" s="4693"/>
      <c r="AS20" s="4693"/>
      <c r="AT20" s="4693"/>
      <c r="AU20" s="4690"/>
      <c r="AV20" s="4691"/>
      <c r="AW20" s="4691"/>
      <c r="AX20" s="4691"/>
      <c r="AY20" s="4691"/>
      <c r="AZ20" s="4691"/>
      <c r="BA20" s="4692"/>
      <c r="BB20" s="4690"/>
      <c r="BC20" s="4691"/>
      <c r="BD20" s="4691"/>
      <c r="BE20" s="4691"/>
      <c r="BF20" s="4691"/>
      <c r="BG20" s="4691"/>
      <c r="BH20" s="4692"/>
      <c r="BI20" s="4688"/>
      <c r="BJ20" s="4688"/>
      <c r="BK20" s="4688"/>
      <c r="BL20" s="4688"/>
      <c r="BM20" s="4688"/>
      <c r="BN20" s="4688"/>
      <c r="BO20" s="4688"/>
      <c r="BP20" s="4688"/>
      <c r="BQ20" s="4688"/>
      <c r="BR20" s="4688"/>
      <c r="BS20" s="4688"/>
      <c r="BT20" s="4688"/>
      <c r="BU20" s="4688"/>
      <c r="BV20" s="4688"/>
      <c r="BW20" s="4688"/>
      <c r="BX20" s="4688"/>
      <c r="BY20" s="4688"/>
      <c r="BZ20" s="4688"/>
      <c r="CA20" s="4688"/>
      <c r="CB20" s="4688"/>
      <c r="CC20" s="4688"/>
      <c r="CD20" s="4689"/>
      <c r="CE20" s="4689"/>
      <c r="CF20" s="4689"/>
      <c r="CG20" s="4689"/>
      <c r="CH20" s="4689"/>
      <c r="CI20" s="4689"/>
      <c r="CJ20" s="4689"/>
      <c r="CK20" s="4689"/>
      <c r="CL20" s="4689"/>
      <c r="CM20" s="4689"/>
      <c r="CN20" s="4689"/>
      <c r="CO20" s="4689"/>
      <c r="CP20" s="4689"/>
      <c r="CQ20" s="4689"/>
      <c r="CR20" s="4689"/>
      <c r="CS20" s="4689"/>
      <c r="CT20" s="4689"/>
      <c r="CU20" s="4689"/>
    </row>
    <row r="21" spans="1:99" s="1337" customFormat="1">
      <c r="A21" s="4689"/>
      <c r="B21" s="4689"/>
      <c r="C21" s="4689"/>
      <c r="D21" s="4689"/>
      <c r="E21" s="4689"/>
      <c r="F21" s="4689"/>
      <c r="G21" s="4689"/>
      <c r="H21" s="4689"/>
      <c r="I21" s="4689"/>
      <c r="J21" s="4689"/>
      <c r="K21" s="4689"/>
      <c r="L21" s="4689"/>
      <c r="M21" s="4689"/>
      <c r="N21" s="4689"/>
      <c r="O21" s="4689"/>
      <c r="P21" s="4689"/>
      <c r="Q21" s="4689"/>
      <c r="R21" s="4689"/>
      <c r="S21" s="4689"/>
      <c r="T21" s="4689"/>
      <c r="U21" s="4689"/>
      <c r="V21" s="4689"/>
      <c r="W21" s="4689"/>
      <c r="X21" s="4689"/>
      <c r="Y21" s="4689"/>
      <c r="Z21" s="4690"/>
      <c r="AA21" s="4691"/>
      <c r="AB21" s="4691"/>
      <c r="AC21" s="4691"/>
      <c r="AD21" s="4691"/>
      <c r="AE21" s="4691"/>
      <c r="AF21" s="4692"/>
      <c r="AG21" s="4690"/>
      <c r="AH21" s="4691"/>
      <c r="AI21" s="4691"/>
      <c r="AJ21" s="4691"/>
      <c r="AK21" s="4691"/>
      <c r="AL21" s="4691"/>
      <c r="AM21" s="4692"/>
      <c r="AN21" s="4693"/>
      <c r="AO21" s="4693"/>
      <c r="AP21" s="4693"/>
      <c r="AQ21" s="4693"/>
      <c r="AR21" s="4693"/>
      <c r="AS21" s="4693"/>
      <c r="AT21" s="4693"/>
      <c r="AU21" s="4690"/>
      <c r="AV21" s="4691"/>
      <c r="AW21" s="4691"/>
      <c r="AX21" s="4691"/>
      <c r="AY21" s="4691"/>
      <c r="AZ21" s="4691"/>
      <c r="BA21" s="4692"/>
      <c r="BB21" s="4690"/>
      <c r="BC21" s="4691"/>
      <c r="BD21" s="4691"/>
      <c r="BE21" s="4691"/>
      <c r="BF21" s="4691"/>
      <c r="BG21" s="4691"/>
      <c r="BH21" s="4692"/>
      <c r="BI21" s="4688"/>
      <c r="BJ21" s="4688"/>
      <c r="BK21" s="4688"/>
      <c r="BL21" s="4688"/>
      <c r="BM21" s="4688"/>
      <c r="BN21" s="4688"/>
      <c r="BO21" s="4688"/>
      <c r="BP21" s="4688"/>
      <c r="BQ21" s="4688"/>
      <c r="BR21" s="4688"/>
      <c r="BS21" s="4688"/>
      <c r="BT21" s="4688"/>
      <c r="BU21" s="4688"/>
      <c r="BV21" s="4688"/>
      <c r="BW21" s="4688"/>
      <c r="BX21" s="4688"/>
      <c r="BY21" s="4688"/>
      <c r="BZ21" s="4688"/>
      <c r="CA21" s="4688"/>
      <c r="CB21" s="4688"/>
      <c r="CC21" s="4688"/>
      <c r="CD21" s="4689"/>
      <c r="CE21" s="4689"/>
      <c r="CF21" s="4689"/>
      <c r="CG21" s="4689"/>
      <c r="CH21" s="4689"/>
      <c r="CI21" s="4689"/>
      <c r="CJ21" s="4689"/>
      <c r="CK21" s="4689"/>
      <c r="CL21" s="4689"/>
      <c r="CM21" s="4689"/>
      <c r="CN21" s="4689"/>
      <c r="CO21" s="4689"/>
      <c r="CP21" s="4689"/>
      <c r="CQ21" s="4689"/>
      <c r="CR21" s="4689"/>
      <c r="CS21" s="4689"/>
      <c r="CT21" s="4689"/>
      <c r="CU21" s="4689"/>
    </row>
    <row r="22" spans="1:99" s="1337" customFormat="1">
      <c r="A22" s="4689"/>
      <c r="B22" s="4689"/>
      <c r="C22" s="4689"/>
      <c r="D22" s="4689"/>
      <c r="E22" s="4689"/>
      <c r="F22" s="4689"/>
      <c r="G22" s="4689"/>
      <c r="H22" s="4689"/>
      <c r="I22" s="4689"/>
      <c r="J22" s="4689"/>
      <c r="K22" s="4689"/>
      <c r="L22" s="4689"/>
      <c r="M22" s="4689"/>
      <c r="N22" s="4689"/>
      <c r="O22" s="4689"/>
      <c r="P22" s="4689"/>
      <c r="Q22" s="4689"/>
      <c r="R22" s="4689"/>
      <c r="S22" s="4689"/>
      <c r="T22" s="4689"/>
      <c r="U22" s="4689"/>
      <c r="V22" s="4689"/>
      <c r="W22" s="4689"/>
      <c r="X22" s="4689"/>
      <c r="Y22" s="4689"/>
      <c r="Z22" s="4690"/>
      <c r="AA22" s="4691"/>
      <c r="AB22" s="4691"/>
      <c r="AC22" s="4691"/>
      <c r="AD22" s="4691"/>
      <c r="AE22" s="4691"/>
      <c r="AF22" s="4692"/>
      <c r="AG22" s="4690"/>
      <c r="AH22" s="4691"/>
      <c r="AI22" s="4691"/>
      <c r="AJ22" s="4691"/>
      <c r="AK22" s="4691"/>
      <c r="AL22" s="4691"/>
      <c r="AM22" s="4692"/>
      <c r="AN22" s="4693"/>
      <c r="AO22" s="4693"/>
      <c r="AP22" s="4693"/>
      <c r="AQ22" s="4693"/>
      <c r="AR22" s="4693"/>
      <c r="AS22" s="4693"/>
      <c r="AT22" s="4693"/>
      <c r="AU22" s="4690"/>
      <c r="AV22" s="4691"/>
      <c r="AW22" s="4691"/>
      <c r="AX22" s="4691"/>
      <c r="AY22" s="4691"/>
      <c r="AZ22" s="4691"/>
      <c r="BA22" s="4692"/>
      <c r="BB22" s="4690"/>
      <c r="BC22" s="4691"/>
      <c r="BD22" s="4691"/>
      <c r="BE22" s="4691"/>
      <c r="BF22" s="4691"/>
      <c r="BG22" s="4691"/>
      <c r="BH22" s="4692"/>
      <c r="BI22" s="4688"/>
      <c r="BJ22" s="4688"/>
      <c r="BK22" s="4688"/>
      <c r="BL22" s="4688"/>
      <c r="BM22" s="4688"/>
      <c r="BN22" s="4688"/>
      <c r="BO22" s="4688"/>
      <c r="BP22" s="4688"/>
      <c r="BQ22" s="4688"/>
      <c r="BR22" s="4688"/>
      <c r="BS22" s="4688"/>
      <c r="BT22" s="4688"/>
      <c r="BU22" s="4688"/>
      <c r="BV22" s="4688"/>
      <c r="BW22" s="4688"/>
      <c r="BX22" s="4688"/>
      <c r="BY22" s="4688"/>
      <c r="BZ22" s="4688"/>
      <c r="CA22" s="4688"/>
      <c r="CB22" s="4688"/>
      <c r="CC22" s="4688"/>
      <c r="CD22" s="4689"/>
      <c r="CE22" s="4689"/>
      <c r="CF22" s="4689"/>
      <c r="CG22" s="4689"/>
      <c r="CH22" s="4689"/>
      <c r="CI22" s="4689"/>
      <c r="CJ22" s="4689"/>
      <c r="CK22" s="4689"/>
      <c r="CL22" s="4689"/>
      <c r="CM22" s="4689"/>
      <c r="CN22" s="4689"/>
      <c r="CO22" s="4689"/>
      <c r="CP22" s="4689"/>
      <c r="CQ22" s="4689"/>
      <c r="CR22" s="4689"/>
      <c r="CS22" s="4689"/>
      <c r="CT22" s="4689"/>
      <c r="CU22" s="4689"/>
    </row>
    <row r="23" spans="1:99" s="1337" customFormat="1">
      <c r="A23" s="4689"/>
      <c r="B23" s="4689"/>
      <c r="C23" s="4689"/>
      <c r="D23" s="4689"/>
      <c r="E23" s="4689"/>
      <c r="F23" s="4689"/>
      <c r="G23" s="4689"/>
      <c r="H23" s="4689"/>
      <c r="I23" s="4689"/>
      <c r="J23" s="4689"/>
      <c r="K23" s="4689"/>
      <c r="L23" s="4689"/>
      <c r="M23" s="4689"/>
      <c r="N23" s="4689"/>
      <c r="O23" s="4689"/>
      <c r="P23" s="4689"/>
      <c r="Q23" s="4689"/>
      <c r="R23" s="4689"/>
      <c r="S23" s="4689"/>
      <c r="T23" s="4689"/>
      <c r="U23" s="4689"/>
      <c r="V23" s="4689"/>
      <c r="W23" s="4689"/>
      <c r="X23" s="4689"/>
      <c r="Y23" s="4689"/>
      <c r="Z23" s="4690"/>
      <c r="AA23" s="4691"/>
      <c r="AB23" s="4691"/>
      <c r="AC23" s="4691"/>
      <c r="AD23" s="4691"/>
      <c r="AE23" s="4691"/>
      <c r="AF23" s="4692"/>
      <c r="AG23" s="4690"/>
      <c r="AH23" s="4691"/>
      <c r="AI23" s="4691"/>
      <c r="AJ23" s="4691"/>
      <c r="AK23" s="4691"/>
      <c r="AL23" s="4691"/>
      <c r="AM23" s="4692"/>
      <c r="AN23" s="4693"/>
      <c r="AO23" s="4693"/>
      <c r="AP23" s="4693"/>
      <c r="AQ23" s="4693"/>
      <c r="AR23" s="4693"/>
      <c r="AS23" s="4693"/>
      <c r="AT23" s="4693"/>
      <c r="AU23" s="4690"/>
      <c r="AV23" s="4691"/>
      <c r="AW23" s="4691"/>
      <c r="AX23" s="4691"/>
      <c r="AY23" s="4691"/>
      <c r="AZ23" s="4691"/>
      <c r="BA23" s="4692"/>
      <c r="BB23" s="4690"/>
      <c r="BC23" s="4691"/>
      <c r="BD23" s="4691"/>
      <c r="BE23" s="4691"/>
      <c r="BF23" s="4691"/>
      <c r="BG23" s="4691"/>
      <c r="BH23" s="4692"/>
      <c r="BI23" s="4688"/>
      <c r="BJ23" s="4688"/>
      <c r="BK23" s="4688"/>
      <c r="BL23" s="4688"/>
      <c r="BM23" s="4688"/>
      <c r="BN23" s="4688"/>
      <c r="BO23" s="4688"/>
      <c r="BP23" s="4688"/>
      <c r="BQ23" s="4688"/>
      <c r="BR23" s="4688"/>
      <c r="BS23" s="4688"/>
      <c r="BT23" s="4688"/>
      <c r="BU23" s="4688"/>
      <c r="BV23" s="4688"/>
      <c r="BW23" s="4688"/>
      <c r="BX23" s="4688"/>
      <c r="BY23" s="4688"/>
      <c r="BZ23" s="4688"/>
      <c r="CA23" s="4688"/>
      <c r="CB23" s="4688"/>
      <c r="CC23" s="4688"/>
      <c r="CD23" s="4689"/>
      <c r="CE23" s="4689"/>
      <c r="CF23" s="4689"/>
      <c r="CG23" s="4689"/>
      <c r="CH23" s="4689"/>
      <c r="CI23" s="4689"/>
      <c r="CJ23" s="4689"/>
      <c r="CK23" s="4689"/>
      <c r="CL23" s="4689"/>
      <c r="CM23" s="4689"/>
      <c r="CN23" s="4689"/>
      <c r="CO23" s="4689"/>
      <c r="CP23" s="4689"/>
      <c r="CQ23" s="4689"/>
      <c r="CR23" s="4689"/>
      <c r="CS23" s="4689"/>
      <c r="CT23" s="4689"/>
      <c r="CU23" s="4689"/>
    </row>
    <row r="24" spans="1:99" s="1337" customFormat="1">
      <c r="A24" s="4689"/>
      <c r="B24" s="4689"/>
      <c r="C24" s="4689"/>
      <c r="D24" s="4689"/>
      <c r="E24" s="4689"/>
      <c r="F24" s="4689"/>
      <c r="G24" s="4689"/>
      <c r="H24" s="4689"/>
      <c r="I24" s="4689"/>
      <c r="J24" s="4689"/>
      <c r="K24" s="4689"/>
      <c r="L24" s="4689"/>
      <c r="M24" s="4689"/>
      <c r="N24" s="4689"/>
      <c r="O24" s="4689"/>
      <c r="P24" s="4689"/>
      <c r="Q24" s="4689"/>
      <c r="R24" s="4689"/>
      <c r="S24" s="4689"/>
      <c r="T24" s="4689"/>
      <c r="U24" s="4689"/>
      <c r="V24" s="4689"/>
      <c r="W24" s="4689"/>
      <c r="X24" s="4689"/>
      <c r="Y24" s="4689"/>
      <c r="Z24" s="4690"/>
      <c r="AA24" s="4691"/>
      <c r="AB24" s="4691"/>
      <c r="AC24" s="4691"/>
      <c r="AD24" s="4691"/>
      <c r="AE24" s="4691"/>
      <c r="AF24" s="4692"/>
      <c r="AG24" s="4690"/>
      <c r="AH24" s="4691"/>
      <c r="AI24" s="4691"/>
      <c r="AJ24" s="4691"/>
      <c r="AK24" s="4691"/>
      <c r="AL24" s="4691"/>
      <c r="AM24" s="4692"/>
      <c r="AN24" s="4693"/>
      <c r="AO24" s="4693"/>
      <c r="AP24" s="4693"/>
      <c r="AQ24" s="4693"/>
      <c r="AR24" s="4693"/>
      <c r="AS24" s="4693"/>
      <c r="AT24" s="4693"/>
      <c r="AU24" s="4690"/>
      <c r="AV24" s="4691"/>
      <c r="AW24" s="4691"/>
      <c r="AX24" s="4691"/>
      <c r="AY24" s="4691"/>
      <c r="AZ24" s="4691"/>
      <c r="BA24" s="4692"/>
      <c r="BB24" s="4690"/>
      <c r="BC24" s="4691"/>
      <c r="BD24" s="4691"/>
      <c r="BE24" s="4691"/>
      <c r="BF24" s="4691"/>
      <c r="BG24" s="4691"/>
      <c r="BH24" s="4692"/>
      <c r="BI24" s="4688"/>
      <c r="BJ24" s="4688"/>
      <c r="BK24" s="4688"/>
      <c r="BL24" s="4688"/>
      <c r="BM24" s="4688"/>
      <c r="BN24" s="4688"/>
      <c r="BO24" s="4688"/>
      <c r="BP24" s="4688"/>
      <c r="BQ24" s="4688"/>
      <c r="BR24" s="4688"/>
      <c r="BS24" s="4688"/>
      <c r="BT24" s="4688"/>
      <c r="BU24" s="4688"/>
      <c r="BV24" s="4688"/>
      <c r="BW24" s="4688"/>
      <c r="BX24" s="4688"/>
      <c r="BY24" s="4688"/>
      <c r="BZ24" s="4688"/>
      <c r="CA24" s="4688"/>
      <c r="CB24" s="4688"/>
      <c r="CC24" s="4688"/>
      <c r="CD24" s="4689"/>
      <c r="CE24" s="4689"/>
      <c r="CF24" s="4689"/>
      <c r="CG24" s="4689"/>
      <c r="CH24" s="4689"/>
      <c r="CI24" s="4689"/>
      <c r="CJ24" s="4689"/>
      <c r="CK24" s="4689"/>
      <c r="CL24" s="4689"/>
      <c r="CM24" s="4689"/>
      <c r="CN24" s="4689"/>
      <c r="CO24" s="4689"/>
      <c r="CP24" s="4689"/>
      <c r="CQ24" s="4689"/>
      <c r="CR24" s="4689"/>
      <c r="CS24" s="4689"/>
      <c r="CT24" s="4689"/>
      <c r="CU24" s="4689"/>
    </row>
    <row r="25" spans="1:99" s="1337" customFormat="1">
      <c r="A25" s="4689"/>
      <c r="B25" s="4689"/>
      <c r="C25" s="4689"/>
      <c r="D25" s="4689"/>
      <c r="E25" s="4689"/>
      <c r="F25" s="4689"/>
      <c r="G25" s="4689"/>
      <c r="H25" s="4689"/>
      <c r="I25" s="4689"/>
      <c r="J25" s="4689"/>
      <c r="K25" s="4689"/>
      <c r="L25" s="4689"/>
      <c r="M25" s="4689"/>
      <c r="N25" s="4689"/>
      <c r="O25" s="4689"/>
      <c r="P25" s="4689"/>
      <c r="Q25" s="4689"/>
      <c r="R25" s="4689"/>
      <c r="S25" s="4689"/>
      <c r="T25" s="4689"/>
      <c r="U25" s="4689"/>
      <c r="V25" s="4689"/>
      <c r="W25" s="4689"/>
      <c r="X25" s="4689"/>
      <c r="Y25" s="4689"/>
      <c r="Z25" s="4690"/>
      <c r="AA25" s="4691"/>
      <c r="AB25" s="4691"/>
      <c r="AC25" s="4691"/>
      <c r="AD25" s="4691"/>
      <c r="AE25" s="4691"/>
      <c r="AF25" s="4692"/>
      <c r="AG25" s="4690"/>
      <c r="AH25" s="4691"/>
      <c r="AI25" s="4691"/>
      <c r="AJ25" s="4691"/>
      <c r="AK25" s="4691"/>
      <c r="AL25" s="4691"/>
      <c r="AM25" s="4692"/>
      <c r="AN25" s="4693"/>
      <c r="AO25" s="4693"/>
      <c r="AP25" s="4693"/>
      <c r="AQ25" s="4693"/>
      <c r="AR25" s="4693"/>
      <c r="AS25" s="4693"/>
      <c r="AT25" s="4693"/>
      <c r="AU25" s="4690"/>
      <c r="AV25" s="4691"/>
      <c r="AW25" s="4691"/>
      <c r="AX25" s="4691"/>
      <c r="AY25" s="4691"/>
      <c r="AZ25" s="4691"/>
      <c r="BA25" s="4692"/>
      <c r="BB25" s="4690"/>
      <c r="BC25" s="4691"/>
      <c r="BD25" s="4691"/>
      <c r="BE25" s="4691"/>
      <c r="BF25" s="4691"/>
      <c r="BG25" s="4691"/>
      <c r="BH25" s="4692"/>
      <c r="BI25" s="4688"/>
      <c r="BJ25" s="4688"/>
      <c r="BK25" s="4688"/>
      <c r="BL25" s="4688"/>
      <c r="BM25" s="4688"/>
      <c r="BN25" s="4688"/>
      <c r="BO25" s="4688"/>
      <c r="BP25" s="4688"/>
      <c r="BQ25" s="4688"/>
      <c r="BR25" s="4688"/>
      <c r="BS25" s="4688"/>
      <c r="BT25" s="4688"/>
      <c r="BU25" s="4688"/>
      <c r="BV25" s="4688"/>
      <c r="BW25" s="4688"/>
      <c r="BX25" s="4688"/>
      <c r="BY25" s="4688"/>
      <c r="BZ25" s="4688"/>
      <c r="CA25" s="4688"/>
      <c r="CB25" s="4688"/>
      <c r="CC25" s="4688"/>
      <c r="CD25" s="4689"/>
      <c r="CE25" s="4689"/>
      <c r="CF25" s="4689"/>
      <c r="CG25" s="4689"/>
      <c r="CH25" s="4689"/>
      <c r="CI25" s="4689"/>
      <c r="CJ25" s="4689"/>
      <c r="CK25" s="4689"/>
      <c r="CL25" s="4689"/>
      <c r="CM25" s="4689"/>
      <c r="CN25" s="4689"/>
      <c r="CO25" s="4689"/>
      <c r="CP25" s="4689"/>
      <c r="CQ25" s="4689"/>
      <c r="CR25" s="4689"/>
      <c r="CS25" s="4689"/>
      <c r="CT25" s="4689"/>
      <c r="CU25" s="4689"/>
    </row>
    <row r="26" spans="1:99" s="1337" customFormat="1">
      <c r="A26" s="4689"/>
      <c r="B26" s="4689"/>
      <c r="C26" s="4689"/>
      <c r="D26" s="4689"/>
      <c r="E26" s="4689"/>
      <c r="F26" s="4689"/>
      <c r="G26" s="4689"/>
      <c r="H26" s="4689"/>
      <c r="I26" s="4689"/>
      <c r="J26" s="4689"/>
      <c r="K26" s="4689"/>
      <c r="L26" s="4689"/>
      <c r="M26" s="4689"/>
      <c r="N26" s="4689"/>
      <c r="O26" s="4689"/>
      <c r="P26" s="4689"/>
      <c r="Q26" s="4689"/>
      <c r="R26" s="4689"/>
      <c r="S26" s="4689"/>
      <c r="T26" s="4689"/>
      <c r="U26" s="4689"/>
      <c r="V26" s="4689"/>
      <c r="W26" s="4689"/>
      <c r="X26" s="4689"/>
      <c r="Y26" s="4689"/>
      <c r="Z26" s="4690"/>
      <c r="AA26" s="4691"/>
      <c r="AB26" s="4691"/>
      <c r="AC26" s="4691"/>
      <c r="AD26" s="4691"/>
      <c r="AE26" s="4691"/>
      <c r="AF26" s="4692"/>
      <c r="AG26" s="4690"/>
      <c r="AH26" s="4691"/>
      <c r="AI26" s="4691"/>
      <c r="AJ26" s="4691"/>
      <c r="AK26" s="4691"/>
      <c r="AL26" s="4691"/>
      <c r="AM26" s="4692"/>
      <c r="AN26" s="4693"/>
      <c r="AO26" s="4693"/>
      <c r="AP26" s="4693"/>
      <c r="AQ26" s="4693"/>
      <c r="AR26" s="4693"/>
      <c r="AS26" s="4693"/>
      <c r="AT26" s="4693"/>
      <c r="AU26" s="4690"/>
      <c r="AV26" s="4691"/>
      <c r="AW26" s="4691"/>
      <c r="AX26" s="4691"/>
      <c r="AY26" s="4691"/>
      <c r="AZ26" s="4691"/>
      <c r="BA26" s="4692"/>
      <c r="BB26" s="4690"/>
      <c r="BC26" s="4691"/>
      <c r="BD26" s="4691"/>
      <c r="BE26" s="4691"/>
      <c r="BF26" s="4691"/>
      <c r="BG26" s="4691"/>
      <c r="BH26" s="4692"/>
      <c r="BI26" s="4688"/>
      <c r="BJ26" s="4688"/>
      <c r="BK26" s="4688"/>
      <c r="BL26" s="4688"/>
      <c r="BM26" s="4688"/>
      <c r="BN26" s="4688"/>
      <c r="BO26" s="4688"/>
      <c r="BP26" s="4688"/>
      <c r="BQ26" s="4688"/>
      <c r="BR26" s="4688"/>
      <c r="BS26" s="4688"/>
      <c r="BT26" s="4688"/>
      <c r="BU26" s="4688"/>
      <c r="BV26" s="4688"/>
      <c r="BW26" s="4688"/>
      <c r="BX26" s="4688"/>
      <c r="BY26" s="4688"/>
      <c r="BZ26" s="4688"/>
      <c r="CA26" s="4688"/>
      <c r="CB26" s="4688"/>
      <c r="CC26" s="4688"/>
      <c r="CD26" s="4689"/>
      <c r="CE26" s="4689"/>
      <c r="CF26" s="4689"/>
      <c r="CG26" s="4689"/>
      <c r="CH26" s="4689"/>
      <c r="CI26" s="4689"/>
      <c r="CJ26" s="4689"/>
      <c r="CK26" s="4689"/>
      <c r="CL26" s="4689"/>
      <c r="CM26" s="4689"/>
      <c r="CN26" s="4689"/>
      <c r="CO26" s="4689"/>
      <c r="CP26" s="4689"/>
      <c r="CQ26" s="4689"/>
      <c r="CR26" s="4689"/>
      <c r="CS26" s="4689"/>
      <c r="CT26" s="4689"/>
      <c r="CU26" s="4689"/>
    </row>
    <row r="27" spans="1:99" s="1337" customFormat="1">
      <c r="A27" s="4689"/>
      <c r="B27" s="4689"/>
      <c r="C27" s="4689"/>
      <c r="D27" s="4689"/>
      <c r="E27" s="4689"/>
      <c r="F27" s="4689"/>
      <c r="G27" s="4689"/>
      <c r="H27" s="4689"/>
      <c r="I27" s="4689"/>
      <c r="J27" s="4689"/>
      <c r="K27" s="4689"/>
      <c r="L27" s="4689"/>
      <c r="M27" s="4689"/>
      <c r="N27" s="4689"/>
      <c r="O27" s="4689"/>
      <c r="P27" s="4689"/>
      <c r="Q27" s="4689"/>
      <c r="R27" s="4689"/>
      <c r="S27" s="4689"/>
      <c r="T27" s="4689"/>
      <c r="U27" s="4689"/>
      <c r="V27" s="4689"/>
      <c r="W27" s="4689"/>
      <c r="X27" s="4689"/>
      <c r="Y27" s="4689"/>
      <c r="Z27" s="4690"/>
      <c r="AA27" s="4691"/>
      <c r="AB27" s="4691"/>
      <c r="AC27" s="4691"/>
      <c r="AD27" s="4691"/>
      <c r="AE27" s="4691"/>
      <c r="AF27" s="4692"/>
      <c r="AG27" s="4690"/>
      <c r="AH27" s="4691"/>
      <c r="AI27" s="4691"/>
      <c r="AJ27" s="4691"/>
      <c r="AK27" s="4691"/>
      <c r="AL27" s="4691"/>
      <c r="AM27" s="4692"/>
      <c r="AN27" s="4693"/>
      <c r="AO27" s="4693"/>
      <c r="AP27" s="4693"/>
      <c r="AQ27" s="4693"/>
      <c r="AR27" s="4693"/>
      <c r="AS27" s="4693"/>
      <c r="AT27" s="4693"/>
      <c r="AU27" s="4690"/>
      <c r="AV27" s="4691"/>
      <c r="AW27" s="4691"/>
      <c r="AX27" s="4691"/>
      <c r="AY27" s="4691"/>
      <c r="AZ27" s="4691"/>
      <c r="BA27" s="4692"/>
      <c r="BB27" s="4690"/>
      <c r="BC27" s="4691"/>
      <c r="BD27" s="4691"/>
      <c r="BE27" s="4691"/>
      <c r="BF27" s="4691"/>
      <c r="BG27" s="4691"/>
      <c r="BH27" s="4692"/>
      <c r="BI27" s="4688"/>
      <c r="BJ27" s="4688"/>
      <c r="BK27" s="4688"/>
      <c r="BL27" s="4688"/>
      <c r="BM27" s="4688"/>
      <c r="BN27" s="4688"/>
      <c r="BO27" s="4688"/>
      <c r="BP27" s="4688"/>
      <c r="BQ27" s="4688"/>
      <c r="BR27" s="4688"/>
      <c r="BS27" s="4688"/>
      <c r="BT27" s="4688"/>
      <c r="BU27" s="4688"/>
      <c r="BV27" s="4688"/>
      <c r="BW27" s="4688"/>
      <c r="BX27" s="4688"/>
      <c r="BY27" s="4688"/>
      <c r="BZ27" s="4688"/>
      <c r="CA27" s="4688"/>
      <c r="CB27" s="4688"/>
      <c r="CC27" s="4688"/>
      <c r="CD27" s="4689"/>
      <c r="CE27" s="4689"/>
      <c r="CF27" s="4689"/>
      <c r="CG27" s="4689"/>
      <c r="CH27" s="4689"/>
      <c r="CI27" s="4689"/>
      <c r="CJ27" s="4689"/>
      <c r="CK27" s="4689"/>
      <c r="CL27" s="4689"/>
      <c r="CM27" s="4689"/>
      <c r="CN27" s="4689"/>
      <c r="CO27" s="4689"/>
      <c r="CP27" s="4689"/>
      <c r="CQ27" s="4689"/>
      <c r="CR27" s="4689"/>
      <c r="CS27" s="4689"/>
      <c r="CT27" s="4689"/>
      <c r="CU27" s="4689"/>
    </row>
    <row r="28" spans="1:99" s="1337" customFormat="1">
      <c r="A28" s="4697"/>
      <c r="B28" s="4698"/>
      <c r="C28" s="4698"/>
      <c r="D28" s="4698"/>
      <c r="E28" s="4698"/>
      <c r="F28" s="4698"/>
      <c r="G28" s="4698"/>
      <c r="H28" s="4698"/>
      <c r="I28" s="4698"/>
      <c r="J28" s="4698"/>
      <c r="K28" s="4698"/>
      <c r="L28" s="4698"/>
      <c r="M28" s="4698"/>
      <c r="N28" s="4698"/>
      <c r="O28" s="4698"/>
      <c r="P28" s="4698"/>
      <c r="Q28" s="4698"/>
      <c r="R28" s="4698"/>
      <c r="S28" s="4698"/>
      <c r="T28" s="4698"/>
      <c r="U28" s="4698"/>
      <c r="V28" s="4698"/>
      <c r="W28" s="4698"/>
      <c r="X28" s="4698"/>
      <c r="Y28" s="4699"/>
      <c r="Z28" s="4690"/>
      <c r="AA28" s="4691"/>
      <c r="AB28" s="4691"/>
      <c r="AC28" s="4691"/>
      <c r="AD28" s="4691"/>
      <c r="AE28" s="4691"/>
      <c r="AF28" s="4692"/>
      <c r="AG28" s="4690"/>
      <c r="AH28" s="4691"/>
      <c r="AI28" s="4691"/>
      <c r="AJ28" s="4691"/>
      <c r="AK28" s="4691"/>
      <c r="AL28" s="4691"/>
      <c r="AM28" s="4692"/>
      <c r="AN28" s="4690"/>
      <c r="AO28" s="4691"/>
      <c r="AP28" s="4691"/>
      <c r="AQ28" s="4691"/>
      <c r="AR28" s="4691"/>
      <c r="AS28" s="4691"/>
      <c r="AT28" s="4692"/>
      <c r="AU28" s="4690"/>
      <c r="AV28" s="4691"/>
      <c r="AW28" s="4691"/>
      <c r="AX28" s="4691"/>
      <c r="AY28" s="4691"/>
      <c r="AZ28" s="4691"/>
      <c r="BA28" s="4692"/>
      <c r="BB28" s="4690"/>
      <c r="BC28" s="4691"/>
      <c r="BD28" s="4691"/>
      <c r="BE28" s="4691"/>
      <c r="BF28" s="4691"/>
      <c r="BG28" s="4691"/>
      <c r="BH28" s="4692"/>
      <c r="BI28" s="4694"/>
      <c r="BJ28" s="4695"/>
      <c r="BK28" s="4695"/>
      <c r="BL28" s="4695"/>
      <c r="BM28" s="4695"/>
      <c r="BN28" s="4695"/>
      <c r="BO28" s="4695"/>
      <c r="BP28" s="4695"/>
      <c r="BQ28" s="4695"/>
      <c r="BR28" s="4696"/>
      <c r="BS28" s="4694"/>
      <c r="BT28" s="4695"/>
      <c r="BU28" s="4695"/>
      <c r="BV28" s="4695"/>
      <c r="BW28" s="4695"/>
      <c r="BX28" s="4695"/>
      <c r="BY28" s="4695"/>
      <c r="BZ28" s="4695"/>
      <c r="CA28" s="4695"/>
      <c r="CB28" s="4695"/>
      <c r="CC28" s="4696"/>
      <c r="CD28" s="4697"/>
      <c r="CE28" s="4698"/>
      <c r="CF28" s="4698"/>
      <c r="CG28" s="4698"/>
      <c r="CH28" s="4698"/>
      <c r="CI28" s="4698"/>
      <c r="CJ28" s="4698"/>
      <c r="CK28" s="4698"/>
      <c r="CL28" s="4699"/>
      <c r="CM28" s="4697"/>
      <c r="CN28" s="4698"/>
      <c r="CO28" s="4698"/>
      <c r="CP28" s="4698"/>
      <c r="CQ28" s="4698"/>
      <c r="CR28" s="4698"/>
      <c r="CS28" s="4698"/>
      <c r="CT28" s="4698"/>
      <c r="CU28" s="4699"/>
    </row>
    <row r="29" spans="1:99" s="1337" customFormat="1">
      <c r="A29" s="4689"/>
      <c r="B29" s="4689"/>
      <c r="C29" s="4689"/>
      <c r="D29" s="4689"/>
      <c r="E29" s="4689"/>
      <c r="F29" s="4689"/>
      <c r="G29" s="4689"/>
      <c r="H29" s="4689"/>
      <c r="I29" s="4689"/>
      <c r="J29" s="4689"/>
      <c r="K29" s="4689"/>
      <c r="L29" s="4689"/>
      <c r="M29" s="4689"/>
      <c r="N29" s="4689"/>
      <c r="O29" s="4689"/>
      <c r="P29" s="4689"/>
      <c r="Q29" s="4689"/>
      <c r="R29" s="4689"/>
      <c r="S29" s="4689"/>
      <c r="T29" s="4689"/>
      <c r="U29" s="4689"/>
      <c r="V29" s="4689"/>
      <c r="W29" s="4689"/>
      <c r="X29" s="4689"/>
      <c r="Y29" s="4689"/>
      <c r="Z29" s="4690"/>
      <c r="AA29" s="4691"/>
      <c r="AB29" s="4691"/>
      <c r="AC29" s="4691"/>
      <c r="AD29" s="4691"/>
      <c r="AE29" s="4691"/>
      <c r="AF29" s="4692"/>
      <c r="AG29" s="4690"/>
      <c r="AH29" s="4691"/>
      <c r="AI29" s="4691"/>
      <c r="AJ29" s="4691"/>
      <c r="AK29" s="4691"/>
      <c r="AL29" s="4691"/>
      <c r="AM29" s="4692"/>
      <c r="AN29" s="4693"/>
      <c r="AO29" s="4693"/>
      <c r="AP29" s="4693"/>
      <c r="AQ29" s="4693"/>
      <c r="AR29" s="4693"/>
      <c r="AS29" s="4693"/>
      <c r="AT29" s="4693"/>
      <c r="AU29" s="4690"/>
      <c r="AV29" s="4691"/>
      <c r="AW29" s="4691"/>
      <c r="AX29" s="4691"/>
      <c r="AY29" s="4691"/>
      <c r="AZ29" s="4691"/>
      <c r="BA29" s="4692"/>
      <c r="BB29" s="4690"/>
      <c r="BC29" s="4691"/>
      <c r="BD29" s="4691"/>
      <c r="BE29" s="4691"/>
      <c r="BF29" s="4691"/>
      <c r="BG29" s="4691"/>
      <c r="BH29" s="4692"/>
      <c r="BI29" s="4688"/>
      <c r="BJ29" s="4688"/>
      <c r="BK29" s="4688"/>
      <c r="BL29" s="4688"/>
      <c r="BM29" s="4688"/>
      <c r="BN29" s="4688"/>
      <c r="BO29" s="4688"/>
      <c r="BP29" s="4688"/>
      <c r="BQ29" s="4688"/>
      <c r="BR29" s="4688"/>
      <c r="BS29" s="4688"/>
      <c r="BT29" s="4688"/>
      <c r="BU29" s="4688"/>
      <c r="BV29" s="4688"/>
      <c r="BW29" s="4688"/>
      <c r="BX29" s="4688"/>
      <c r="BY29" s="4688"/>
      <c r="BZ29" s="4688"/>
      <c r="CA29" s="4688"/>
      <c r="CB29" s="4688"/>
      <c r="CC29" s="4688"/>
      <c r="CD29" s="4689"/>
      <c r="CE29" s="4689"/>
      <c r="CF29" s="4689"/>
      <c r="CG29" s="4689"/>
      <c r="CH29" s="4689"/>
      <c r="CI29" s="4689"/>
      <c r="CJ29" s="4689"/>
      <c r="CK29" s="4689"/>
      <c r="CL29" s="4689"/>
      <c r="CM29" s="4689"/>
      <c r="CN29" s="4689"/>
      <c r="CO29" s="4689"/>
      <c r="CP29" s="4689"/>
      <c r="CQ29" s="4689"/>
      <c r="CR29" s="4689"/>
      <c r="CS29" s="4689"/>
      <c r="CT29" s="4689"/>
      <c r="CU29" s="4689"/>
    </row>
    <row r="30" spans="1:99" s="1337" customFormat="1">
      <c r="A30" s="4689"/>
      <c r="B30" s="4689"/>
      <c r="C30" s="4689"/>
      <c r="D30" s="4689"/>
      <c r="E30" s="4689"/>
      <c r="F30" s="4689"/>
      <c r="G30" s="4689"/>
      <c r="H30" s="4689"/>
      <c r="I30" s="4689"/>
      <c r="J30" s="4689"/>
      <c r="K30" s="4689"/>
      <c r="L30" s="4689"/>
      <c r="M30" s="4689"/>
      <c r="N30" s="4689"/>
      <c r="O30" s="4689"/>
      <c r="P30" s="4689"/>
      <c r="Q30" s="4689"/>
      <c r="R30" s="4689"/>
      <c r="S30" s="4689"/>
      <c r="T30" s="4689"/>
      <c r="U30" s="4689"/>
      <c r="V30" s="4689"/>
      <c r="W30" s="4689"/>
      <c r="X30" s="4689"/>
      <c r="Y30" s="4689"/>
      <c r="Z30" s="4690"/>
      <c r="AA30" s="4691"/>
      <c r="AB30" s="4691"/>
      <c r="AC30" s="4691"/>
      <c r="AD30" s="4691"/>
      <c r="AE30" s="4691"/>
      <c r="AF30" s="4692"/>
      <c r="AG30" s="4690"/>
      <c r="AH30" s="4691"/>
      <c r="AI30" s="4691"/>
      <c r="AJ30" s="4691"/>
      <c r="AK30" s="4691"/>
      <c r="AL30" s="4691"/>
      <c r="AM30" s="4692"/>
      <c r="AN30" s="4693"/>
      <c r="AO30" s="4693"/>
      <c r="AP30" s="4693"/>
      <c r="AQ30" s="4693"/>
      <c r="AR30" s="4693"/>
      <c r="AS30" s="4693"/>
      <c r="AT30" s="4693"/>
      <c r="AU30" s="4690"/>
      <c r="AV30" s="4691"/>
      <c r="AW30" s="4691"/>
      <c r="AX30" s="4691"/>
      <c r="AY30" s="4691"/>
      <c r="AZ30" s="4691"/>
      <c r="BA30" s="4692"/>
      <c r="BB30" s="4690"/>
      <c r="BC30" s="4691"/>
      <c r="BD30" s="4691"/>
      <c r="BE30" s="4691"/>
      <c r="BF30" s="4691"/>
      <c r="BG30" s="4691"/>
      <c r="BH30" s="4692"/>
      <c r="BI30" s="4688"/>
      <c r="BJ30" s="4688"/>
      <c r="BK30" s="4688"/>
      <c r="BL30" s="4688"/>
      <c r="BM30" s="4688"/>
      <c r="BN30" s="4688"/>
      <c r="BO30" s="4688"/>
      <c r="BP30" s="4688"/>
      <c r="BQ30" s="4688"/>
      <c r="BR30" s="4688"/>
      <c r="BS30" s="4688"/>
      <c r="BT30" s="4688"/>
      <c r="BU30" s="4688"/>
      <c r="BV30" s="4688"/>
      <c r="BW30" s="4688"/>
      <c r="BX30" s="4688"/>
      <c r="BY30" s="4688"/>
      <c r="BZ30" s="4688"/>
      <c r="CA30" s="4688"/>
      <c r="CB30" s="4688"/>
      <c r="CC30" s="4688"/>
      <c r="CD30" s="4689"/>
      <c r="CE30" s="4689"/>
      <c r="CF30" s="4689"/>
      <c r="CG30" s="4689"/>
      <c r="CH30" s="4689"/>
      <c r="CI30" s="4689"/>
      <c r="CJ30" s="4689"/>
      <c r="CK30" s="4689"/>
      <c r="CL30" s="4689"/>
      <c r="CM30" s="4689"/>
      <c r="CN30" s="4689"/>
      <c r="CO30" s="4689"/>
      <c r="CP30" s="4689"/>
      <c r="CQ30" s="4689"/>
      <c r="CR30" s="4689"/>
      <c r="CS30" s="4689"/>
      <c r="CT30" s="4689"/>
      <c r="CU30" s="4689"/>
    </row>
    <row r="31" spans="1:99" s="1337" customFormat="1">
      <c r="A31" s="4689"/>
      <c r="B31" s="4689"/>
      <c r="C31" s="4689"/>
      <c r="D31" s="4689"/>
      <c r="E31" s="4689"/>
      <c r="F31" s="4689"/>
      <c r="G31" s="4689"/>
      <c r="H31" s="4689"/>
      <c r="I31" s="4689"/>
      <c r="J31" s="4689"/>
      <c r="K31" s="4689"/>
      <c r="L31" s="4689"/>
      <c r="M31" s="4689"/>
      <c r="N31" s="4689"/>
      <c r="O31" s="4689"/>
      <c r="P31" s="4689"/>
      <c r="Q31" s="4689"/>
      <c r="R31" s="4689"/>
      <c r="S31" s="4689"/>
      <c r="T31" s="4689"/>
      <c r="U31" s="4689"/>
      <c r="V31" s="4689"/>
      <c r="W31" s="4689"/>
      <c r="X31" s="4689"/>
      <c r="Y31" s="4689"/>
      <c r="Z31" s="4690"/>
      <c r="AA31" s="4691"/>
      <c r="AB31" s="4691"/>
      <c r="AC31" s="4691"/>
      <c r="AD31" s="4691"/>
      <c r="AE31" s="4691"/>
      <c r="AF31" s="4692"/>
      <c r="AG31" s="4690"/>
      <c r="AH31" s="4691"/>
      <c r="AI31" s="4691"/>
      <c r="AJ31" s="4691"/>
      <c r="AK31" s="4691"/>
      <c r="AL31" s="4691"/>
      <c r="AM31" s="4692"/>
      <c r="AN31" s="4693"/>
      <c r="AO31" s="4693"/>
      <c r="AP31" s="4693"/>
      <c r="AQ31" s="4693"/>
      <c r="AR31" s="4693"/>
      <c r="AS31" s="4693"/>
      <c r="AT31" s="4693"/>
      <c r="AU31" s="4690"/>
      <c r="AV31" s="4691"/>
      <c r="AW31" s="4691"/>
      <c r="AX31" s="4691"/>
      <c r="AY31" s="4691"/>
      <c r="AZ31" s="4691"/>
      <c r="BA31" s="4692"/>
      <c r="BB31" s="4690"/>
      <c r="BC31" s="4691"/>
      <c r="BD31" s="4691"/>
      <c r="BE31" s="4691"/>
      <c r="BF31" s="4691"/>
      <c r="BG31" s="4691"/>
      <c r="BH31" s="4692"/>
      <c r="BI31" s="4688"/>
      <c r="BJ31" s="4688"/>
      <c r="BK31" s="4688"/>
      <c r="BL31" s="4688"/>
      <c r="BM31" s="4688"/>
      <c r="BN31" s="4688"/>
      <c r="BO31" s="4688"/>
      <c r="BP31" s="4688"/>
      <c r="BQ31" s="4688"/>
      <c r="BR31" s="4688"/>
      <c r="BS31" s="4688"/>
      <c r="BT31" s="4688"/>
      <c r="BU31" s="4688"/>
      <c r="BV31" s="4688"/>
      <c r="BW31" s="4688"/>
      <c r="BX31" s="4688"/>
      <c r="BY31" s="4688"/>
      <c r="BZ31" s="4688"/>
      <c r="CA31" s="4688"/>
      <c r="CB31" s="4688"/>
      <c r="CC31" s="4688"/>
      <c r="CD31" s="4689"/>
      <c r="CE31" s="4689"/>
      <c r="CF31" s="4689"/>
      <c r="CG31" s="4689"/>
      <c r="CH31" s="4689"/>
      <c r="CI31" s="4689"/>
      <c r="CJ31" s="4689"/>
      <c r="CK31" s="4689"/>
      <c r="CL31" s="4689"/>
      <c r="CM31" s="4689"/>
      <c r="CN31" s="4689"/>
      <c r="CO31" s="4689"/>
      <c r="CP31" s="4689"/>
      <c r="CQ31" s="4689"/>
      <c r="CR31" s="4689"/>
      <c r="CS31" s="4689"/>
      <c r="CT31" s="4689"/>
      <c r="CU31" s="4689"/>
    </row>
    <row r="32" spans="1:99" s="1337" customFormat="1">
      <c r="A32" s="4689"/>
      <c r="B32" s="4689"/>
      <c r="C32" s="4689"/>
      <c r="D32" s="4689"/>
      <c r="E32" s="4689"/>
      <c r="F32" s="4689"/>
      <c r="G32" s="4689"/>
      <c r="H32" s="4689"/>
      <c r="I32" s="4689"/>
      <c r="J32" s="4689"/>
      <c r="K32" s="4689"/>
      <c r="L32" s="4689"/>
      <c r="M32" s="4689"/>
      <c r="N32" s="4689"/>
      <c r="O32" s="4689"/>
      <c r="P32" s="4689"/>
      <c r="Q32" s="4689"/>
      <c r="R32" s="4689"/>
      <c r="S32" s="4689"/>
      <c r="T32" s="4689"/>
      <c r="U32" s="4689"/>
      <c r="V32" s="4689"/>
      <c r="W32" s="4689"/>
      <c r="X32" s="4689"/>
      <c r="Y32" s="4689"/>
      <c r="Z32" s="4690"/>
      <c r="AA32" s="4691"/>
      <c r="AB32" s="4691"/>
      <c r="AC32" s="4691"/>
      <c r="AD32" s="4691"/>
      <c r="AE32" s="4691"/>
      <c r="AF32" s="4692"/>
      <c r="AG32" s="4690"/>
      <c r="AH32" s="4691"/>
      <c r="AI32" s="4691"/>
      <c r="AJ32" s="4691"/>
      <c r="AK32" s="4691"/>
      <c r="AL32" s="4691"/>
      <c r="AM32" s="4692"/>
      <c r="AN32" s="4693"/>
      <c r="AO32" s="4693"/>
      <c r="AP32" s="4693"/>
      <c r="AQ32" s="4693"/>
      <c r="AR32" s="4693"/>
      <c r="AS32" s="4693"/>
      <c r="AT32" s="4693"/>
      <c r="AU32" s="4690"/>
      <c r="AV32" s="4691"/>
      <c r="AW32" s="4691"/>
      <c r="AX32" s="4691"/>
      <c r="AY32" s="4691"/>
      <c r="AZ32" s="4691"/>
      <c r="BA32" s="4692"/>
      <c r="BB32" s="4690"/>
      <c r="BC32" s="4691"/>
      <c r="BD32" s="4691"/>
      <c r="BE32" s="4691"/>
      <c r="BF32" s="4691"/>
      <c r="BG32" s="4691"/>
      <c r="BH32" s="4692"/>
      <c r="BI32" s="4688"/>
      <c r="BJ32" s="4688"/>
      <c r="BK32" s="4688"/>
      <c r="BL32" s="4688"/>
      <c r="BM32" s="4688"/>
      <c r="BN32" s="4688"/>
      <c r="BO32" s="4688"/>
      <c r="BP32" s="4688"/>
      <c r="BQ32" s="4688"/>
      <c r="BR32" s="4688"/>
      <c r="BS32" s="4688"/>
      <c r="BT32" s="4688"/>
      <c r="BU32" s="4688"/>
      <c r="BV32" s="4688"/>
      <c r="BW32" s="4688"/>
      <c r="BX32" s="4688"/>
      <c r="BY32" s="4688"/>
      <c r="BZ32" s="4688"/>
      <c r="CA32" s="4688"/>
      <c r="CB32" s="4688"/>
      <c r="CC32" s="4688"/>
      <c r="CD32" s="4689"/>
      <c r="CE32" s="4689"/>
      <c r="CF32" s="4689"/>
      <c r="CG32" s="4689"/>
      <c r="CH32" s="4689"/>
      <c r="CI32" s="4689"/>
      <c r="CJ32" s="4689"/>
      <c r="CK32" s="4689"/>
      <c r="CL32" s="4689"/>
      <c r="CM32" s="4689"/>
      <c r="CN32" s="4689"/>
      <c r="CO32" s="4689"/>
      <c r="CP32" s="4689"/>
      <c r="CQ32" s="4689"/>
      <c r="CR32" s="4689"/>
      <c r="CS32" s="4689"/>
      <c r="CT32" s="4689"/>
      <c r="CU32" s="4689"/>
    </row>
    <row r="33" spans="1:99" s="1337" customFormat="1">
      <c r="A33" s="4689"/>
      <c r="B33" s="4689"/>
      <c r="C33" s="4689"/>
      <c r="D33" s="4689"/>
      <c r="E33" s="4689"/>
      <c r="F33" s="4689"/>
      <c r="G33" s="4689"/>
      <c r="H33" s="4689"/>
      <c r="I33" s="4689"/>
      <c r="J33" s="4689"/>
      <c r="K33" s="4689"/>
      <c r="L33" s="4689"/>
      <c r="M33" s="4689"/>
      <c r="N33" s="4689"/>
      <c r="O33" s="4689"/>
      <c r="P33" s="4689"/>
      <c r="Q33" s="4689"/>
      <c r="R33" s="4689"/>
      <c r="S33" s="4689"/>
      <c r="T33" s="4689"/>
      <c r="U33" s="4689"/>
      <c r="V33" s="4689"/>
      <c r="W33" s="4689"/>
      <c r="X33" s="4689"/>
      <c r="Y33" s="4689"/>
      <c r="Z33" s="4690"/>
      <c r="AA33" s="4691"/>
      <c r="AB33" s="4691"/>
      <c r="AC33" s="4691"/>
      <c r="AD33" s="4691"/>
      <c r="AE33" s="4691"/>
      <c r="AF33" s="4692"/>
      <c r="AG33" s="4690"/>
      <c r="AH33" s="4691"/>
      <c r="AI33" s="4691"/>
      <c r="AJ33" s="4691"/>
      <c r="AK33" s="4691"/>
      <c r="AL33" s="4691"/>
      <c r="AM33" s="4692"/>
      <c r="AN33" s="4693"/>
      <c r="AO33" s="4693"/>
      <c r="AP33" s="4693"/>
      <c r="AQ33" s="4693"/>
      <c r="AR33" s="4693"/>
      <c r="AS33" s="4693"/>
      <c r="AT33" s="4693"/>
      <c r="AU33" s="4690"/>
      <c r="AV33" s="4691"/>
      <c r="AW33" s="4691"/>
      <c r="AX33" s="4691"/>
      <c r="AY33" s="4691"/>
      <c r="AZ33" s="4691"/>
      <c r="BA33" s="4692"/>
      <c r="BB33" s="4690"/>
      <c r="BC33" s="4691"/>
      <c r="BD33" s="4691"/>
      <c r="BE33" s="4691"/>
      <c r="BF33" s="4691"/>
      <c r="BG33" s="4691"/>
      <c r="BH33" s="4692"/>
      <c r="BI33" s="4688"/>
      <c r="BJ33" s="4688"/>
      <c r="BK33" s="4688"/>
      <c r="BL33" s="4688"/>
      <c r="BM33" s="4688"/>
      <c r="BN33" s="4688"/>
      <c r="BO33" s="4688"/>
      <c r="BP33" s="4688"/>
      <c r="BQ33" s="4688"/>
      <c r="BR33" s="4688"/>
      <c r="BS33" s="4688"/>
      <c r="BT33" s="4688"/>
      <c r="BU33" s="4688"/>
      <c r="BV33" s="4688"/>
      <c r="BW33" s="4688"/>
      <c r="BX33" s="4688"/>
      <c r="BY33" s="4688"/>
      <c r="BZ33" s="4688"/>
      <c r="CA33" s="4688"/>
      <c r="CB33" s="4688"/>
      <c r="CC33" s="4688"/>
      <c r="CD33" s="4689"/>
      <c r="CE33" s="4689"/>
      <c r="CF33" s="4689"/>
      <c r="CG33" s="4689"/>
      <c r="CH33" s="4689"/>
      <c r="CI33" s="4689"/>
      <c r="CJ33" s="4689"/>
      <c r="CK33" s="4689"/>
      <c r="CL33" s="4689"/>
      <c r="CM33" s="4689"/>
      <c r="CN33" s="4689"/>
      <c r="CO33" s="4689"/>
      <c r="CP33" s="4689"/>
      <c r="CQ33" s="4689"/>
      <c r="CR33" s="4689"/>
      <c r="CS33" s="4689"/>
      <c r="CT33" s="4689"/>
      <c r="CU33" s="4689"/>
    </row>
    <row r="34" spans="1:99" s="1337" customFormat="1">
      <c r="A34" s="4689"/>
      <c r="B34" s="4689"/>
      <c r="C34" s="4689"/>
      <c r="D34" s="4689"/>
      <c r="E34" s="4689"/>
      <c r="F34" s="4689"/>
      <c r="G34" s="4689"/>
      <c r="H34" s="4689"/>
      <c r="I34" s="4689"/>
      <c r="J34" s="4689"/>
      <c r="K34" s="4689"/>
      <c r="L34" s="4689"/>
      <c r="M34" s="4689"/>
      <c r="N34" s="4689"/>
      <c r="O34" s="4689"/>
      <c r="P34" s="4689"/>
      <c r="Q34" s="4689"/>
      <c r="R34" s="4689"/>
      <c r="S34" s="4689"/>
      <c r="T34" s="4689"/>
      <c r="U34" s="4689"/>
      <c r="V34" s="4689"/>
      <c r="W34" s="4689"/>
      <c r="X34" s="4689"/>
      <c r="Y34" s="4689"/>
      <c r="Z34" s="4690"/>
      <c r="AA34" s="4691"/>
      <c r="AB34" s="4691"/>
      <c r="AC34" s="4691"/>
      <c r="AD34" s="4691"/>
      <c r="AE34" s="4691"/>
      <c r="AF34" s="4692"/>
      <c r="AG34" s="4690"/>
      <c r="AH34" s="4691"/>
      <c r="AI34" s="4691"/>
      <c r="AJ34" s="4691"/>
      <c r="AK34" s="4691"/>
      <c r="AL34" s="4691"/>
      <c r="AM34" s="4692"/>
      <c r="AN34" s="4693"/>
      <c r="AO34" s="4693"/>
      <c r="AP34" s="4693"/>
      <c r="AQ34" s="4693"/>
      <c r="AR34" s="4693"/>
      <c r="AS34" s="4693"/>
      <c r="AT34" s="4693"/>
      <c r="AU34" s="4690"/>
      <c r="AV34" s="4691"/>
      <c r="AW34" s="4691"/>
      <c r="AX34" s="4691"/>
      <c r="AY34" s="4691"/>
      <c r="AZ34" s="4691"/>
      <c r="BA34" s="4692"/>
      <c r="BB34" s="4690"/>
      <c r="BC34" s="4691"/>
      <c r="BD34" s="4691"/>
      <c r="BE34" s="4691"/>
      <c r="BF34" s="4691"/>
      <c r="BG34" s="4691"/>
      <c r="BH34" s="4692"/>
      <c r="BI34" s="4688"/>
      <c r="BJ34" s="4688"/>
      <c r="BK34" s="4688"/>
      <c r="BL34" s="4688"/>
      <c r="BM34" s="4688"/>
      <c r="BN34" s="4688"/>
      <c r="BO34" s="4688"/>
      <c r="BP34" s="4688"/>
      <c r="BQ34" s="4688"/>
      <c r="BR34" s="4688"/>
      <c r="BS34" s="4688"/>
      <c r="BT34" s="4688"/>
      <c r="BU34" s="4688"/>
      <c r="BV34" s="4688"/>
      <c r="BW34" s="4688"/>
      <c r="BX34" s="4688"/>
      <c r="BY34" s="4688"/>
      <c r="BZ34" s="4688"/>
      <c r="CA34" s="4688"/>
      <c r="CB34" s="4688"/>
      <c r="CC34" s="4688"/>
      <c r="CD34" s="4689"/>
      <c r="CE34" s="4689"/>
      <c r="CF34" s="4689"/>
      <c r="CG34" s="4689"/>
      <c r="CH34" s="4689"/>
      <c r="CI34" s="4689"/>
      <c r="CJ34" s="4689"/>
      <c r="CK34" s="4689"/>
      <c r="CL34" s="4689"/>
      <c r="CM34" s="4689"/>
      <c r="CN34" s="4689"/>
      <c r="CO34" s="4689"/>
      <c r="CP34" s="4689"/>
      <c r="CQ34" s="4689"/>
      <c r="CR34" s="4689"/>
      <c r="CS34" s="4689"/>
      <c r="CT34" s="4689"/>
      <c r="CU34" s="4689"/>
    </row>
    <row r="35" spans="1:99" s="1337" customFormat="1">
      <c r="A35" s="4689"/>
      <c r="B35" s="4689"/>
      <c r="C35" s="4689"/>
      <c r="D35" s="4689"/>
      <c r="E35" s="4689"/>
      <c r="F35" s="4689"/>
      <c r="G35" s="4689"/>
      <c r="H35" s="4689"/>
      <c r="I35" s="4689"/>
      <c r="J35" s="4689"/>
      <c r="K35" s="4689"/>
      <c r="L35" s="4689"/>
      <c r="M35" s="4689"/>
      <c r="N35" s="4689"/>
      <c r="O35" s="4689"/>
      <c r="P35" s="4689"/>
      <c r="Q35" s="4689"/>
      <c r="R35" s="4689"/>
      <c r="S35" s="4689"/>
      <c r="T35" s="4689"/>
      <c r="U35" s="4689"/>
      <c r="V35" s="4689"/>
      <c r="W35" s="4689"/>
      <c r="X35" s="4689"/>
      <c r="Y35" s="4689"/>
      <c r="Z35" s="4690"/>
      <c r="AA35" s="4691"/>
      <c r="AB35" s="4691"/>
      <c r="AC35" s="4691"/>
      <c r="AD35" s="4691"/>
      <c r="AE35" s="4691"/>
      <c r="AF35" s="4692"/>
      <c r="AG35" s="4690"/>
      <c r="AH35" s="4691"/>
      <c r="AI35" s="4691"/>
      <c r="AJ35" s="4691"/>
      <c r="AK35" s="4691"/>
      <c r="AL35" s="4691"/>
      <c r="AM35" s="4692"/>
      <c r="AN35" s="4693"/>
      <c r="AO35" s="4693"/>
      <c r="AP35" s="4693"/>
      <c r="AQ35" s="4693"/>
      <c r="AR35" s="4693"/>
      <c r="AS35" s="4693"/>
      <c r="AT35" s="4693"/>
      <c r="AU35" s="4690"/>
      <c r="AV35" s="4691"/>
      <c r="AW35" s="4691"/>
      <c r="AX35" s="4691"/>
      <c r="AY35" s="4691"/>
      <c r="AZ35" s="4691"/>
      <c r="BA35" s="4692"/>
      <c r="BB35" s="4690"/>
      <c r="BC35" s="4691"/>
      <c r="BD35" s="4691"/>
      <c r="BE35" s="4691"/>
      <c r="BF35" s="4691"/>
      <c r="BG35" s="4691"/>
      <c r="BH35" s="4692"/>
      <c r="BI35" s="4688"/>
      <c r="BJ35" s="4688"/>
      <c r="BK35" s="4688"/>
      <c r="BL35" s="4688"/>
      <c r="BM35" s="4688"/>
      <c r="BN35" s="4688"/>
      <c r="BO35" s="4688"/>
      <c r="BP35" s="4688"/>
      <c r="BQ35" s="4688"/>
      <c r="BR35" s="4688"/>
      <c r="BS35" s="4688"/>
      <c r="BT35" s="4688"/>
      <c r="BU35" s="4688"/>
      <c r="BV35" s="4688"/>
      <c r="BW35" s="4688"/>
      <c r="BX35" s="4688"/>
      <c r="BY35" s="4688"/>
      <c r="BZ35" s="4688"/>
      <c r="CA35" s="4688"/>
      <c r="CB35" s="4688"/>
      <c r="CC35" s="4688"/>
      <c r="CD35" s="4689"/>
      <c r="CE35" s="4689"/>
      <c r="CF35" s="4689"/>
      <c r="CG35" s="4689"/>
      <c r="CH35" s="4689"/>
      <c r="CI35" s="4689"/>
      <c r="CJ35" s="4689"/>
      <c r="CK35" s="4689"/>
      <c r="CL35" s="4689"/>
      <c r="CM35" s="4689"/>
      <c r="CN35" s="4689"/>
      <c r="CO35" s="4689"/>
      <c r="CP35" s="4689"/>
      <c r="CQ35" s="4689"/>
      <c r="CR35" s="4689"/>
      <c r="CS35" s="4689"/>
      <c r="CT35" s="4689"/>
      <c r="CU35" s="4689"/>
    </row>
    <row r="36" spans="1:99">
      <c r="A36" s="4689"/>
      <c r="B36" s="4689"/>
      <c r="C36" s="4689"/>
      <c r="D36" s="4689"/>
      <c r="E36" s="4689"/>
      <c r="F36" s="4689"/>
      <c r="G36" s="4689"/>
      <c r="H36" s="4689"/>
      <c r="I36" s="4689"/>
      <c r="J36" s="4689"/>
      <c r="K36" s="4689"/>
      <c r="L36" s="4689"/>
      <c r="M36" s="4689"/>
      <c r="N36" s="4689"/>
      <c r="O36" s="4689"/>
      <c r="P36" s="4689"/>
      <c r="Q36" s="4689"/>
      <c r="R36" s="4689"/>
      <c r="S36" s="4689"/>
      <c r="T36" s="4689"/>
      <c r="U36" s="4689"/>
      <c r="V36" s="4689"/>
      <c r="W36" s="4689"/>
      <c r="X36" s="4689"/>
      <c r="Y36" s="4689"/>
      <c r="Z36" s="4690"/>
      <c r="AA36" s="4691"/>
      <c r="AB36" s="4691"/>
      <c r="AC36" s="4691"/>
      <c r="AD36" s="4691"/>
      <c r="AE36" s="4691"/>
      <c r="AF36" s="4692"/>
      <c r="AG36" s="4690"/>
      <c r="AH36" s="4691"/>
      <c r="AI36" s="4691"/>
      <c r="AJ36" s="4691"/>
      <c r="AK36" s="4691"/>
      <c r="AL36" s="4691"/>
      <c r="AM36" s="4692"/>
      <c r="AN36" s="4693"/>
      <c r="AO36" s="4693"/>
      <c r="AP36" s="4693"/>
      <c r="AQ36" s="4693"/>
      <c r="AR36" s="4693"/>
      <c r="AS36" s="4693"/>
      <c r="AT36" s="4693"/>
      <c r="AU36" s="4690"/>
      <c r="AV36" s="4691"/>
      <c r="AW36" s="4691"/>
      <c r="AX36" s="4691"/>
      <c r="AY36" s="4691"/>
      <c r="AZ36" s="4691"/>
      <c r="BA36" s="4692"/>
      <c r="BB36" s="4690"/>
      <c r="BC36" s="4691"/>
      <c r="BD36" s="4691"/>
      <c r="BE36" s="4691"/>
      <c r="BF36" s="4691"/>
      <c r="BG36" s="4691"/>
      <c r="BH36" s="4692"/>
      <c r="BI36" s="4688"/>
      <c r="BJ36" s="4688"/>
      <c r="BK36" s="4688"/>
      <c r="BL36" s="4688"/>
      <c r="BM36" s="4688"/>
      <c r="BN36" s="4688"/>
      <c r="BO36" s="4688"/>
      <c r="BP36" s="4688"/>
      <c r="BQ36" s="4688"/>
      <c r="BR36" s="4688"/>
      <c r="BS36" s="4688"/>
      <c r="BT36" s="4688"/>
      <c r="BU36" s="4688"/>
      <c r="BV36" s="4688"/>
      <c r="BW36" s="4688"/>
      <c r="BX36" s="4688"/>
      <c r="BY36" s="4688"/>
      <c r="BZ36" s="4688"/>
      <c r="CA36" s="4688"/>
      <c r="CB36" s="4688"/>
      <c r="CC36" s="4688"/>
      <c r="CD36" s="4688"/>
      <c r="CE36" s="4688"/>
      <c r="CF36" s="4688"/>
      <c r="CG36" s="4688"/>
      <c r="CH36" s="4688"/>
      <c r="CI36" s="4688"/>
      <c r="CJ36" s="4688"/>
      <c r="CK36" s="4688"/>
      <c r="CL36" s="4688"/>
      <c r="CM36" s="4688"/>
      <c r="CN36" s="4688"/>
      <c r="CO36" s="4688"/>
      <c r="CP36" s="4688"/>
      <c r="CQ36" s="4688"/>
      <c r="CR36" s="4688"/>
      <c r="CS36" s="4688"/>
      <c r="CT36" s="4688"/>
      <c r="CU36" s="4688"/>
    </row>
    <row r="37" spans="1:99" s="3701" customFormat="1" ht="11.25">
      <c r="A37" s="3698"/>
      <c r="B37" s="3698"/>
      <c r="C37" s="3698"/>
      <c r="D37" s="3698"/>
      <c r="E37" s="3698"/>
      <c r="F37" s="3698"/>
      <c r="G37" s="3698"/>
      <c r="H37" s="3698"/>
      <c r="I37" s="3698"/>
      <c r="J37" s="3698"/>
      <c r="K37" s="3698"/>
      <c r="L37" s="3698"/>
      <c r="M37" s="3698"/>
      <c r="N37" s="3698"/>
      <c r="O37" s="3698"/>
      <c r="P37" s="3698"/>
      <c r="Q37" s="3698"/>
      <c r="R37" s="3698"/>
      <c r="S37" s="3698"/>
      <c r="T37" s="3698"/>
      <c r="U37" s="3698"/>
      <c r="V37" s="3698"/>
      <c r="W37" s="3698"/>
      <c r="X37" s="3698"/>
      <c r="Y37" s="3699"/>
      <c r="Z37" s="3699"/>
      <c r="AA37" s="3699"/>
      <c r="AB37" s="3699"/>
      <c r="AC37" s="3699"/>
      <c r="AD37" s="3699"/>
      <c r="AE37" s="3699"/>
      <c r="AF37" s="3699"/>
      <c r="AG37" s="3699"/>
      <c r="AH37" s="3699"/>
      <c r="AI37" s="3699"/>
      <c r="AJ37" s="3699"/>
      <c r="AK37" s="3699"/>
      <c r="AL37" s="3699"/>
      <c r="AM37" s="3699"/>
      <c r="AN37" s="3699"/>
      <c r="AO37" s="3699"/>
      <c r="AP37" s="3699"/>
      <c r="AQ37" s="3699"/>
      <c r="AR37" s="3700"/>
      <c r="AS37" s="3700"/>
      <c r="AT37" s="3699"/>
      <c r="AU37" s="3699"/>
      <c r="AV37" s="3699"/>
      <c r="AW37" s="3700"/>
      <c r="AX37" s="3700"/>
      <c r="AY37" s="3700"/>
      <c r="AZ37" s="3700"/>
      <c r="BA37" s="3699"/>
      <c r="BB37" s="3699"/>
      <c r="BC37" s="3699"/>
      <c r="BD37" s="3699"/>
      <c r="BE37" s="3699"/>
      <c r="BF37" s="3700"/>
      <c r="BG37" s="3700"/>
      <c r="BH37" s="3700"/>
      <c r="BI37" s="3700"/>
      <c r="BJ37" s="3700"/>
      <c r="BK37" s="3700"/>
      <c r="BL37" s="3699"/>
      <c r="BM37" s="3699"/>
      <c r="BN37" s="3699"/>
      <c r="BO37" s="3700"/>
      <c r="BP37" s="3699"/>
      <c r="BQ37" s="3699"/>
      <c r="BR37" s="3699"/>
      <c r="BS37" s="3699"/>
      <c r="BT37" s="3699"/>
      <c r="BU37" s="3699"/>
      <c r="BV37" s="3699"/>
      <c r="BW37" s="3699"/>
      <c r="BX37" s="3699"/>
      <c r="BY37" s="3699"/>
      <c r="BZ37" s="3699"/>
      <c r="CA37" s="3699"/>
      <c r="CB37" s="3699"/>
      <c r="CC37" s="3699"/>
      <c r="CD37" s="3699"/>
      <c r="CE37" s="3699"/>
      <c r="CF37" s="3699"/>
      <c r="CG37" s="3699"/>
      <c r="CH37" s="3699"/>
      <c r="CI37" s="3699"/>
      <c r="CJ37" s="3699"/>
      <c r="CK37" s="3699"/>
      <c r="CL37" s="3699"/>
      <c r="CM37" s="3699"/>
      <c r="CN37" s="3699"/>
      <c r="CO37" s="3699"/>
      <c r="CP37" s="3699"/>
      <c r="CQ37" s="3699"/>
      <c r="CR37" s="3699"/>
      <c r="CS37" s="3699"/>
      <c r="CT37" s="3699"/>
      <c r="CU37" s="3699"/>
    </row>
    <row r="38" spans="1:99" s="3702" customFormat="1" ht="12.6" customHeight="1">
      <c r="A38" s="3702" t="s">
        <v>4726</v>
      </c>
      <c r="AR38" s="3703"/>
      <c r="AS38" s="3703"/>
      <c r="AW38" s="3703"/>
      <c r="AX38" s="3703"/>
      <c r="AY38" s="3703"/>
      <c r="AZ38" s="3703"/>
      <c r="BF38" s="3703"/>
      <c r="BG38" s="3703"/>
      <c r="BH38" s="3703"/>
      <c r="BI38" s="3703"/>
      <c r="BJ38" s="3703"/>
      <c r="BK38" s="3703"/>
      <c r="BO38" s="3703"/>
    </row>
    <row r="39" spans="1:99" s="3702" customFormat="1" ht="12.6" customHeight="1">
      <c r="A39" s="3702" t="s">
        <v>4727</v>
      </c>
      <c r="AR39" s="3703"/>
      <c r="AS39" s="3703"/>
      <c r="AW39" s="3703"/>
      <c r="AX39" s="3703"/>
      <c r="AY39" s="3703"/>
      <c r="AZ39" s="3703"/>
      <c r="BF39" s="3703"/>
      <c r="BG39" s="3703"/>
      <c r="BH39" s="3703"/>
      <c r="BI39" s="3703"/>
      <c r="BJ39" s="3703"/>
      <c r="BK39" s="3703"/>
      <c r="BO39" s="3703"/>
    </row>
    <row r="40" spans="1:99">
      <c r="A40" s="3702" t="s">
        <v>4728</v>
      </c>
    </row>
  </sheetData>
  <mergeCells count="341">
    <mergeCell ref="A1:CU1"/>
    <mergeCell ref="A3:Y3"/>
    <mergeCell ref="Z3:AF3"/>
    <mergeCell ref="AG3:AM3"/>
    <mergeCell ref="AN3:AT3"/>
    <mergeCell ref="AU3:BA3"/>
    <mergeCell ref="BB3:BH3"/>
    <mergeCell ref="BI3:BR3"/>
    <mergeCell ref="BS3:CC3"/>
    <mergeCell ref="CD3:CL3"/>
    <mergeCell ref="CM3:CU3"/>
    <mergeCell ref="CM7:CU7"/>
    <mergeCell ref="A6:Y6"/>
    <mergeCell ref="Z6:AF6"/>
    <mergeCell ref="AG6:AM6"/>
    <mergeCell ref="AN6:AT6"/>
    <mergeCell ref="AU6:BA6"/>
    <mergeCell ref="BB6:BH6"/>
    <mergeCell ref="BI6:BR6"/>
    <mergeCell ref="BS6:CC6"/>
    <mergeCell ref="CD6:CL6"/>
    <mergeCell ref="CM6:CU6"/>
    <mergeCell ref="A7:Y7"/>
    <mergeCell ref="Z7:AF7"/>
    <mergeCell ref="AG7:AM7"/>
    <mergeCell ref="AN7:AT7"/>
    <mergeCell ref="AU7:BA7"/>
    <mergeCell ref="BB7:BH7"/>
    <mergeCell ref="BI7:BR7"/>
    <mergeCell ref="BS7:CC7"/>
    <mergeCell ref="CD7:CL7"/>
    <mergeCell ref="CM11:CU11"/>
    <mergeCell ref="A10:Y10"/>
    <mergeCell ref="Z10:AF10"/>
    <mergeCell ref="AG10:AM10"/>
    <mergeCell ref="AN10:AT10"/>
    <mergeCell ref="AU10:BA10"/>
    <mergeCell ref="BB10:BH10"/>
    <mergeCell ref="BI10:BR10"/>
    <mergeCell ref="BS10:CC10"/>
    <mergeCell ref="CD10:CL10"/>
    <mergeCell ref="CM10:CU10"/>
    <mergeCell ref="A11:Y11"/>
    <mergeCell ref="Z11:AF11"/>
    <mergeCell ref="AG11:AM11"/>
    <mergeCell ref="AN11:AT11"/>
    <mergeCell ref="AU11:BA11"/>
    <mergeCell ref="BB11:BH11"/>
    <mergeCell ref="BI11:BR11"/>
    <mergeCell ref="BS11:CC11"/>
    <mergeCell ref="CD11:CL11"/>
    <mergeCell ref="CM15:CU15"/>
    <mergeCell ref="A14:Y14"/>
    <mergeCell ref="Z14:AF14"/>
    <mergeCell ref="AG14:AM14"/>
    <mergeCell ref="AN14:AT14"/>
    <mergeCell ref="AU14:BA14"/>
    <mergeCell ref="BB14:BH14"/>
    <mergeCell ref="BI14:BR14"/>
    <mergeCell ref="BS14:CC14"/>
    <mergeCell ref="CD14:CL14"/>
    <mergeCell ref="CM14:CU14"/>
    <mergeCell ref="A15:Y15"/>
    <mergeCell ref="Z15:AF15"/>
    <mergeCell ref="AG15:AM15"/>
    <mergeCell ref="AN15:AT15"/>
    <mergeCell ref="AU15:BA15"/>
    <mergeCell ref="BB15:BH15"/>
    <mergeCell ref="BI15:BR15"/>
    <mergeCell ref="BS15:CC15"/>
    <mergeCell ref="CD15:CL15"/>
    <mergeCell ref="CM19:CU19"/>
    <mergeCell ref="A18:Y18"/>
    <mergeCell ref="Z18:AF18"/>
    <mergeCell ref="AG18:AM18"/>
    <mergeCell ref="AN18:AT18"/>
    <mergeCell ref="AU18:BA18"/>
    <mergeCell ref="BB18:BH18"/>
    <mergeCell ref="BI18:BR18"/>
    <mergeCell ref="BS18:CC18"/>
    <mergeCell ref="CD18:CL18"/>
    <mergeCell ref="CM18:CU18"/>
    <mergeCell ref="A19:Y19"/>
    <mergeCell ref="Z19:AF19"/>
    <mergeCell ref="AG19:AM19"/>
    <mergeCell ref="AN19:AT19"/>
    <mergeCell ref="AU19:BA19"/>
    <mergeCell ref="BB19:BH19"/>
    <mergeCell ref="BI19:BR19"/>
    <mergeCell ref="BS19:CC19"/>
    <mergeCell ref="CD19:CL19"/>
    <mergeCell ref="CM23:CU23"/>
    <mergeCell ref="A22:Y22"/>
    <mergeCell ref="Z22:AF22"/>
    <mergeCell ref="AG22:AM22"/>
    <mergeCell ref="AN22:AT22"/>
    <mergeCell ref="AU22:BA22"/>
    <mergeCell ref="BB22:BH22"/>
    <mergeCell ref="BI22:BR22"/>
    <mergeCell ref="BS22:CC22"/>
    <mergeCell ref="CD22:CL22"/>
    <mergeCell ref="CM22:CU22"/>
    <mergeCell ref="A23:Y23"/>
    <mergeCell ref="Z23:AF23"/>
    <mergeCell ref="AG23:AM23"/>
    <mergeCell ref="AN23:AT23"/>
    <mergeCell ref="AU23:BA23"/>
    <mergeCell ref="BB23:BH23"/>
    <mergeCell ref="BI23:BR23"/>
    <mergeCell ref="BS23:CC23"/>
    <mergeCell ref="CD23:CL23"/>
    <mergeCell ref="CM27:CU27"/>
    <mergeCell ref="A26:Y26"/>
    <mergeCell ref="Z26:AF26"/>
    <mergeCell ref="AG26:AM26"/>
    <mergeCell ref="AN26:AT26"/>
    <mergeCell ref="AU26:BA26"/>
    <mergeCell ref="BB26:BH26"/>
    <mergeCell ref="BI26:BR26"/>
    <mergeCell ref="BS26:CC26"/>
    <mergeCell ref="CD26:CL26"/>
    <mergeCell ref="CM26:CU26"/>
    <mergeCell ref="A27:Y27"/>
    <mergeCell ref="Z27:AF27"/>
    <mergeCell ref="AG27:AM27"/>
    <mergeCell ref="AN27:AT27"/>
    <mergeCell ref="AU27:BA27"/>
    <mergeCell ref="BB27:BH27"/>
    <mergeCell ref="BI27:BR27"/>
    <mergeCell ref="BS27:CC27"/>
    <mergeCell ref="CD27:CL27"/>
    <mergeCell ref="BI31:BR31"/>
    <mergeCell ref="BS31:CC31"/>
    <mergeCell ref="CD31:CL31"/>
    <mergeCell ref="CM31:CU31"/>
    <mergeCell ref="A30:Y30"/>
    <mergeCell ref="Z30:AF30"/>
    <mergeCell ref="AG30:AM30"/>
    <mergeCell ref="AN30:AT30"/>
    <mergeCell ref="AU30:BA30"/>
    <mergeCell ref="BB30:BH30"/>
    <mergeCell ref="BI30:BR30"/>
    <mergeCell ref="BS30:CC30"/>
    <mergeCell ref="CD30:CL30"/>
    <mergeCell ref="CM30:CU30"/>
    <mergeCell ref="A32:Y32"/>
    <mergeCell ref="Z32:AF32"/>
    <mergeCell ref="AG32:AM32"/>
    <mergeCell ref="AN32:AT32"/>
    <mergeCell ref="AU32:BA32"/>
    <mergeCell ref="BB32:BH32"/>
    <mergeCell ref="A31:Y31"/>
    <mergeCell ref="Z31:AF31"/>
    <mergeCell ref="AG31:AM31"/>
    <mergeCell ref="AN31:AT31"/>
    <mergeCell ref="AU31:BA31"/>
    <mergeCell ref="BB31:BH31"/>
    <mergeCell ref="CM35:CU35"/>
    <mergeCell ref="A34:Y34"/>
    <mergeCell ref="Z34:AF34"/>
    <mergeCell ref="AG34:AM34"/>
    <mergeCell ref="AN34:AT34"/>
    <mergeCell ref="AU34:BA34"/>
    <mergeCell ref="BB34:BH34"/>
    <mergeCell ref="BI34:BR34"/>
    <mergeCell ref="BS34:CC34"/>
    <mergeCell ref="CD34:CL34"/>
    <mergeCell ref="CM34:CU34"/>
    <mergeCell ref="A35:Y35"/>
    <mergeCell ref="Z35:AF35"/>
    <mergeCell ref="AG35:AM35"/>
    <mergeCell ref="AN35:AT35"/>
    <mergeCell ref="AU35:BA35"/>
    <mergeCell ref="BB35:BH35"/>
    <mergeCell ref="BI35:BR35"/>
    <mergeCell ref="BS35:CC35"/>
    <mergeCell ref="CD35:CL35"/>
    <mergeCell ref="BI4:BR4"/>
    <mergeCell ref="BS4:CC4"/>
    <mergeCell ref="CD4:CL4"/>
    <mergeCell ref="CM4:CU4"/>
    <mergeCell ref="A5:Y5"/>
    <mergeCell ref="Z5:AF5"/>
    <mergeCell ref="AG5:AM5"/>
    <mergeCell ref="AN5:AT5"/>
    <mergeCell ref="AU5:BA5"/>
    <mergeCell ref="BB5:BH5"/>
    <mergeCell ref="BI5:BR5"/>
    <mergeCell ref="BS5:CC5"/>
    <mergeCell ref="CD5:CL5"/>
    <mergeCell ref="CM5:CU5"/>
    <mergeCell ref="A4:Y4"/>
    <mergeCell ref="Z4:AF4"/>
    <mergeCell ref="AG4:AM4"/>
    <mergeCell ref="AN4:AT4"/>
    <mergeCell ref="AU4:BA4"/>
    <mergeCell ref="BB4:BH4"/>
    <mergeCell ref="BI8:BR8"/>
    <mergeCell ref="BS8:CC8"/>
    <mergeCell ref="CD8:CL8"/>
    <mergeCell ref="CM8:CU8"/>
    <mergeCell ref="A9:Y9"/>
    <mergeCell ref="Z9:AF9"/>
    <mergeCell ref="AG9:AM9"/>
    <mergeCell ref="AN9:AT9"/>
    <mergeCell ref="AU9:BA9"/>
    <mergeCell ref="BB9:BH9"/>
    <mergeCell ref="BI9:BR9"/>
    <mergeCell ref="BS9:CC9"/>
    <mergeCell ref="CD9:CL9"/>
    <mergeCell ref="CM9:CU9"/>
    <mergeCell ref="A8:Y8"/>
    <mergeCell ref="Z8:AF8"/>
    <mergeCell ref="AG8:AM8"/>
    <mergeCell ref="AN8:AT8"/>
    <mergeCell ref="AU8:BA8"/>
    <mergeCell ref="BB8:BH8"/>
    <mergeCell ref="BI12:BR12"/>
    <mergeCell ref="BS12:CC12"/>
    <mergeCell ref="CD12:CL12"/>
    <mergeCell ref="CM12:CU12"/>
    <mergeCell ref="A13:Y13"/>
    <mergeCell ref="Z13:AF13"/>
    <mergeCell ref="AG13:AM13"/>
    <mergeCell ref="AN13:AT13"/>
    <mergeCell ref="AU13:BA13"/>
    <mergeCell ref="BB13:BH13"/>
    <mergeCell ref="BI13:BR13"/>
    <mergeCell ref="BS13:CC13"/>
    <mergeCell ref="CD13:CL13"/>
    <mergeCell ref="CM13:CU13"/>
    <mergeCell ref="A12:Y12"/>
    <mergeCell ref="Z12:AF12"/>
    <mergeCell ref="AG12:AM12"/>
    <mergeCell ref="AN12:AT12"/>
    <mergeCell ref="AU12:BA12"/>
    <mergeCell ref="BB12:BH12"/>
    <mergeCell ref="BI16:BR16"/>
    <mergeCell ref="BS16:CC16"/>
    <mergeCell ref="CD16:CL16"/>
    <mergeCell ref="CM16:CU16"/>
    <mergeCell ref="A17:Y17"/>
    <mergeCell ref="Z17:AF17"/>
    <mergeCell ref="AG17:AM17"/>
    <mergeCell ref="AN17:AT17"/>
    <mergeCell ref="AU17:BA17"/>
    <mergeCell ref="BB17:BH17"/>
    <mergeCell ref="BI17:BR17"/>
    <mergeCell ref="BS17:CC17"/>
    <mergeCell ref="CD17:CL17"/>
    <mergeCell ref="CM17:CU17"/>
    <mergeCell ref="A16:Y16"/>
    <mergeCell ref="Z16:AF16"/>
    <mergeCell ref="AG16:AM16"/>
    <mergeCell ref="AN16:AT16"/>
    <mergeCell ref="AU16:BA16"/>
    <mergeCell ref="BB16:BH16"/>
    <mergeCell ref="BI20:BR20"/>
    <mergeCell ref="BS20:CC20"/>
    <mergeCell ref="CD20:CL20"/>
    <mergeCell ref="CM20:CU20"/>
    <mergeCell ref="A21:Y21"/>
    <mergeCell ref="Z21:AF21"/>
    <mergeCell ref="AG21:AM21"/>
    <mergeCell ref="AN21:AT21"/>
    <mergeCell ref="AU21:BA21"/>
    <mergeCell ref="BB21:BH21"/>
    <mergeCell ref="BI21:BR21"/>
    <mergeCell ref="BS21:CC21"/>
    <mergeCell ref="CD21:CL21"/>
    <mergeCell ref="CM21:CU21"/>
    <mergeCell ref="A20:Y20"/>
    <mergeCell ref="Z20:AF20"/>
    <mergeCell ref="AG20:AM20"/>
    <mergeCell ref="AN20:AT20"/>
    <mergeCell ref="AU20:BA20"/>
    <mergeCell ref="BB20:BH20"/>
    <mergeCell ref="BI24:BR24"/>
    <mergeCell ref="BS24:CC24"/>
    <mergeCell ref="CD24:CL24"/>
    <mergeCell ref="CM24:CU24"/>
    <mergeCell ref="A25:Y25"/>
    <mergeCell ref="Z25:AF25"/>
    <mergeCell ref="AG25:AM25"/>
    <mergeCell ref="AN25:AT25"/>
    <mergeCell ref="AU25:BA25"/>
    <mergeCell ref="BB25:BH25"/>
    <mergeCell ref="BI25:BR25"/>
    <mergeCell ref="BS25:CC25"/>
    <mergeCell ref="CD25:CL25"/>
    <mergeCell ref="CM25:CU25"/>
    <mergeCell ref="A24:Y24"/>
    <mergeCell ref="Z24:AF24"/>
    <mergeCell ref="AG24:AM24"/>
    <mergeCell ref="AN24:AT24"/>
    <mergeCell ref="AU24:BA24"/>
    <mergeCell ref="BB24:BH24"/>
    <mergeCell ref="BI28:BR28"/>
    <mergeCell ref="BS28:CC28"/>
    <mergeCell ref="CD28:CL28"/>
    <mergeCell ref="CM28:CU28"/>
    <mergeCell ref="A29:Y29"/>
    <mergeCell ref="Z29:AF29"/>
    <mergeCell ref="AG29:AM29"/>
    <mergeCell ref="AN29:AT29"/>
    <mergeCell ref="AU29:BA29"/>
    <mergeCell ref="BB29:BH29"/>
    <mergeCell ref="BI29:BR29"/>
    <mergeCell ref="BS29:CC29"/>
    <mergeCell ref="CD29:CL29"/>
    <mergeCell ref="CM29:CU29"/>
    <mergeCell ref="A28:Y28"/>
    <mergeCell ref="Z28:AF28"/>
    <mergeCell ref="AG28:AM28"/>
    <mergeCell ref="AN28:AT28"/>
    <mergeCell ref="AU28:BA28"/>
    <mergeCell ref="BB28:BH28"/>
    <mergeCell ref="BI36:BR36"/>
    <mergeCell ref="BS36:CC36"/>
    <mergeCell ref="CD36:CL36"/>
    <mergeCell ref="CM36:CU36"/>
    <mergeCell ref="BI32:BR32"/>
    <mergeCell ref="BS32:CC32"/>
    <mergeCell ref="CD32:CL32"/>
    <mergeCell ref="CM32:CU32"/>
    <mergeCell ref="A33:Y33"/>
    <mergeCell ref="Z33:AF33"/>
    <mergeCell ref="AG33:AM33"/>
    <mergeCell ref="AN33:AT33"/>
    <mergeCell ref="AU33:BA33"/>
    <mergeCell ref="BB33:BH33"/>
    <mergeCell ref="BI33:BR33"/>
    <mergeCell ref="BS33:CC33"/>
    <mergeCell ref="CD33:CL33"/>
    <mergeCell ref="CM33:CU33"/>
    <mergeCell ref="A36:Y36"/>
    <mergeCell ref="Z36:AF36"/>
    <mergeCell ref="AG36:AM36"/>
    <mergeCell ref="AN36:AT36"/>
    <mergeCell ref="AU36:BA36"/>
    <mergeCell ref="BB36:BH36"/>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
  <sheetViews>
    <sheetView showGridLines="0" workbookViewId="0">
      <selection activeCell="AA31" sqref="AA31"/>
    </sheetView>
  </sheetViews>
  <sheetFormatPr defaultColWidth="9.140625" defaultRowHeight="10.5" customHeight="1"/>
  <cols>
    <col min="1" max="1" width="2.7109375" style="3585" customWidth="1"/>
    <col min="2" max="3" width="9.7109375" style="3585" customWidth="1"/>
    <col min="4" max="4" width="4.28515625" style="3585" customWidth="1"/>
    <col min="5" max="6" width="4.42578125" style="3585" customWidth="1"/>
    <col min="7" max="7" width="4.5703125" style="3585" customWidth="1"/>
    <col min="8" max="25" width="4.42578125" style="3585" customWidth="1"/>
    <col min="26" max="26" width="2.7109375" style="3585" customWidth="1"/>
    <col min="27" max="29" width="9.140625" style="3585"/>
    <col min="30" max="16384" width="9.140625" style="3560"/>
  </cols>
  <sheetData>
    <row r="1" spans="1:29" ht="12" customHeight="1">
      <c r="A1" s="3557"/>
      <c r="B1" s="3558"/>
      <c r="C1" s="3558"/>
      <c r="D1" s="3558"/>
      <c r="E1" s="3558"/>
      <c r="F1" s="3558"/>
      <c r="G1" s="3558"/>
      <c r="H1" s="3558"/>
      <c r="I1" s="3558"/>
      <c r="J1" s="3558"/>
      <c r="K1" s="3558"/>
      <c r="L1" s="3558"/>
      <c r="M1" s="3558"/>
      <c r="N1" s="3558"/>
      <c r="O1" s="3558"/>
      <c r="P1" s="3558"/>
      <c r="Q1" s="3558"/>
      <c r="R1" s="3558"/>
      <c r="S1" s="3558"/>
      <c r="T1" s="3558"/>
      <c r="U1" s="3558"/>
      <c r="V1" s="3558"/>
      <c r="W1" s="3558"/>
      <c r="X1" s="3558"/>
      <c r="Y1" s="3558"/>
      <c r="Z1" s="3558"/>
      <c r="AA1" s="3559" t="s">
        <v>4087</v>
      </c>
      <c r="AB1" s="3558"/>
      <c r="AC1" s="3558"/>
    </row>
    <row r="2" spans="1:29" ht="15" customHeight="1">
      <c r="A2" s="3558"/>
      <c r="B2" s="4742" t="s">
        <v>4088</v>
      </c>
      <c r="C2" s="4742"/>
      <c r="D2" s="4742"/>
      <c r="E2" s="4742"/>
      <c r="F2" s="4742"/>
      <c r="G2" s="4742"/>
      <c r="H2" s="3561"/>
      <c r="I2" s="3561"/>
      <c r="J2" s="3561"/>
      <c r="K2" s="3561"/>
      <c r="L2" s="3561"/>
      <c r="M2" s="3561"/>
      <c r="N2" s="3561"/>
      <c r="O2" s="3561"/>
      <c r="P2" s="3561"/>
      <c r="Q2" s="3561"/>
      <c r="R2" s="3561"/>
      <c r="S2" s="3561"/>
      <c r="T2" s="3561"/>
      <c r="U2" s="3561"/>
      <c r="V2" s="3562"/>
      <c r="W2" s="3561"/>
      <c r="X2" s="3561"/>
      <c r="Y2" s="3558"/>
      <c r="Z2" s="3558"/>
      <c r="AA2" s="3563"/>
      <c r="AB2" s="3558"/>
      <c r="AC2" s="3558"/>
    </row>
    <row r="3" spans="1:29" ht="15" customHeight="1">
      <c r="A3" s="3558"/>
      <c r="B3" s="4743" t="s">
        <v>4089</v>
      </c>
      <c r="C3" s="4743"/>
      <c r="D3" s="4743"/>
      <c r="E3" s="4743"/>
      <c r="F3" s="4743"/>
      <c r="G3" s="4743"/>
      <c r="H3" s="3562"/>
      <c r="I3" s="3562"/>
      <c r="J3" s="3562"/>
      <c r="K3" s="3562"/>
      <c r="L3" s="3562"/>
      <c r="M3" s="3562"/>
      <c r="N3" s="3562"/>
      <c r="O3" s="3562"/>
      <c r="P3" s="3562"/>
      <c r="Q3" s="3562"/>
      <c r="R3" s="3562"/>
      <c r="S3" s="3561"/>
      <c r="T3" s="3561"/>
      <c r="U3" s="3561"/>
      <c r="V3" s="3562"/>
      <c r="W3" s="3562"/>
      <c r="X3" s="3562"/>
      <c r="Y3" s="3562"/>
      <c r="Z3" s="3558"/>
      <c r="AA3" s="3563"/>
      <c r="AB3" s="3558"/>
      <c r="AC3" s="3558"/>
    </row>
    <row r="4" spans="1:29" ht="6" customHeight="1">
      <c r="A4" s="3558"/>
      <c r="B4" s="3564"/>
      <c r="C4" s="3565"/>
      <c r="D4" s="3566"/>
      <c r="E4" s="3566"/>
      <c r="F4" s="3566"/>
      <c r="G4" s="3566"/>
      <c r="H4" s="3566"/>
      <c r="I4" s="3566"/>
      <c r="J4" s="3566"/>
      <c r="K4" s="3566"/>
      <c r="L4" s="3566"/>
      <c r="M4" s="3566"/>
      <c r="N4" s="3566"/>
      <c r="O4" s="3566"/>
      <c r="P4" s="3566"/>
      <c r="Q4" s="3566"/>
      <c r="R4" s="3566"/>
      <c r="S4" s="3566"/>
      <c r="T4" s="3566"/>
      <c r="U4" s="3566"/>
      <c r="V4" s="3566"/>
      <c r="W4" s="3566"/>
      <c r="X4" s="3566"/>
      <c r="Y4" s="3566"/>
      <c r="Z4" s="3558"/>
      <c r="AA4" s="3563"/>
      <c r="AB4" s="3558"/>
      <c r="AC4" s="3558"/>
    </row>
    <row r="5" spans="1:29" ht="30" customHeight="1">
      <c r="A5" s="3567"/>
      <c r="B5" s="4744" t="s">
        <v>4090</v>
      </c>
      <c r="C5" s="4744"/>
      <c r="D5" s="4744"/>
      <c r="E5" s="4744"/>
      <c r="F5" s="4744"/>
      <c r="G5" s="4744"/>
      <c r="H5" s="4744"/>
      <c r="I5" s="4744"/>
      <c r="J5" s="4744"/>
      <c r="K5" s="4744"/>
      <c r="L5" s="4744"/>
      <c r="M5" s="4744"/>
      <c r="N5" s="4744"/>
      <c r="O5" s="4744"/>
      <c r="P5" s="4744"/>
      <c r="Q5" s="4744"/>
      <c r="R5" s="4744"/>
      <c r="S5" s="4744"/>
      <c r="T5" s="4744"/>
      <c r="U5" s="4744"/>
      <c r="V5" s="4744"/>
      <c r="W5" s="4744"/>
      <c r="X5" s="4744"/>
      <c r="Y5" s="4744"/>
      <c r="Z5" s="3567"/>
      <c r="AA5" s="3563"/>
      <c r="AB5" s="3568"/>
      <c r="AC5" s="3568"/>
    </row>
    <row r="6" spans="1:29" ht="6" customHeight="1">
      <c r="A6" s="3565"/>
      <c r="B6" s="4735" t="s">
        <v>4091</v>
      </c>
      <c r="C6" s="4738"/>
      <c r="D6" s="3569"/>
      <c r="E6" s="3569"/>
      <c r="F6" s="3569"/>
      <c r="G6" s="3569"/>
      <c r="H6" s="3569"/>
      <c r="I6" s="3569"/>
      <c r="J6" s="3569"/>
      <c r="K6" s="3569"/>
      <c r="L6" s="3569"/>
      <c r="M6" s="3569"/>
      <c r="N6" s="3569"/>
      <c r="O6" s="3569"/>
      <c r="P6" s="3569"/>
      <c r="Q6" s="3569"/>
      <c r="R6" s="3569"/>
      <c r="S6" s="3569"/>
      <c r="T6" s="3569"/>
      <c r="U6" s="3569"/>
      <c r="V6" s="3569"/>
      <c r="W6" s="3569"/>
      <c r="X6" s="3569"/>
      <c r="Y6" s="3570"/>
      <c r="Z6" s="3571"/>
      <c r="AA6" s="3558"/>
      <c r="AB6" s="3558"/>
      <c r="AC6" s="3558"/>
    </row>
    <row r="7" spans="1:29" ht="21" customHeight="1">
      <c r="A7" s="3565"/>
      <c r="B7" s="4735"/>
      <c r="C7" s="4738"/>
      <c r="D7" s="3569"/>
      <c r="E7" s="3569"/>
      <c r="F7" s="3572"/>
      <c r="G7" s="3572"/>
      <c r="H7" s="3572"/>
      <c r="I7" s="3572"/>
      <c r="J7" s="3572"/>
      <c r="K7" s="3572"/>
      <c r="L7" s="3572"/>
      <c r="M7" s="3572"/>
      <c r="N7" s="3572"/>
      <c r="O7" s="3569"/>
      <c r="P7" s="3572"/>
      <c r="Q7" s="3572"/>
      <c r="R7" s="3572"/>
      <c r="S7" s="3572"/>
      <c r="T7" s="3572"/>
      <c r="U7" s="3572"/>
      <c r="V7" s="3572"/>
      <c r="W7" s="3572"/>
      <c r="X7" s="3572"/>
      <c r="Y7" s="3570"/>
      <c r="Z7" s="3571"/>
      <c r="AA7" s="3558"/>
      <c r="AB7" s="3558"/>
      <c r="AC7" s="3558"/>
    </row>
    <row r="8" spans="1:29" ht="15" customHeight="1">
      <c r="A8" s="3565"/>
      <c r="B8" s="4735"/>
      <c r="C8" s="4738"/>
      <c r="D8" s="3573"/>
      <c r="E8" s="3574" t="s">
        <v>4092</v>
      </c>
      <c r="F8" s="4745" t="s">
        <v>4093</v>
      </c>
      <c r="G8" s="4737"/>
      <c r="H8" s="4737"/>
      <c r="I8" s="4737"/>
      <c r="J8" s="4737"/>
      <c r="K8" s="4737"/>
      <c r="L8" s="4737"/>
      <c r="M8" s="4737"/>
      <c r="N8" s="3573"/>
      <c r="O8" s="3575" t="s">
        <v>4092</v>
      </c>
      <c r="P8" s="4746" t="s">
        <v>4094</v>
      </c>
      <c r="Q8" s="4747"/>
      <c r="R8" s="4747"/>
      <c r="S8" s="4747"/>
      <c r="T8" s="4747"/>
      <c r="U8" s="4747"/>
      <c r="V8" s="4747"/>
      <c r="W8" s="4747"/>
      <c r="X8" s="4747"/>
      <c r="Y8" s="3570"/>
      <c r="Z8" s="3571"/>
      <c r="AA8" s="3558"/>
      <c r="AB8" s="3558"/>
      <c r="AC8" s="3558"/>
    </row>
    <row r="9" spans="1:29" ht="15" customHeight="1">
      <c r="A9" s="3565"/>
      <c r="B9" s="4735"/>
      <c r="C9" s="4738"/>
      <c r="D9" s="3573"/>
      <c r="E9" s="3576" t="s">
        <v>4092</v>
      </c>
      <c r="F9" s="4745" t="s">
        <v>4095</v>
      </c>
      <c r="G9" s="4737"/>
      <c r="H9" s="4737"/>
      <c r="I9" s="4737"/>
      <c r="J9" s="4737"/>
      <c r="K9" s="4737"/>
      <c r="L9" s="4737"/>
      <c r="M9" s="4737"/>
      <c r="N9" s="3573"/>
      <c r="O9" s="3577" t="s">
        <v>4092</v>
      </c>
      <c r="P9" s="4746" t="s">
        <v>4096</v>
      </c>
      <c r="Q9" s="4747"/>
      <c r="R9" s="4747"/>
      <c r="S9" s="4747"/>
      <c r="T9" s="4747"/>
      <c r="U9" s="4747"/>
      <c r="V9" s="4747"/>
      <c r="W9" s="4747"/>
      <c r="X9" s="4747"/>
      <c r="Y9" s="3570"/>
      <c r="Z9" s="3571"/>
      <c r="AA9" s="3558"/>
      <c r="AB9" s="3558"/>
      <c r="AC9" s="3558"/>
    </row>
    <row r="10" spans="1:29" ht="21" customHeight="1">
      <c r="A10" s="3565"/>
      <c r="B10" s="4735"/>
      <c r="C10" s="4736"/>
      <c r="D10" s="3578"/>
      <c r="E10" s="3579"/>
      <c r="F10" s="3572"/>
      <c r="G10" s="3572"/>
      <c r="H10" s="3572"/>
      <c r="I10" s="3572"/>
      <c r="J10" s="3572"/>
      <c r="K10" s="3572"/>
      <c r="L10" s="3572"/>
      <c r="M10" s="3572"/>
      <c r="N10" s="3572"/>
      <c r="O10" s="3579"/>
      <c r="P10" s="3572"/>
      <c r="Q10" s="3572"/>
      <c r="R10" s="3572"/>
      <c r="S10" s="3572"/>
      <c r="T10" s="3572"/>
      <c r="U10" s="3572"/>
      <c r="V10" s="3572"/>
      <c r="W10" s="3572"/>
      <c r="X10" s="3572"/>
      <c r="Y10" s="3570"/>
      <c r="Z10" s="3571"/>
      <c r="AA10" s="3558"/>
      <c r="AB10" s="3558"/>
      <c r="AC10" s="3558"/>
    </row>
    <row r="11" spans="1:29" ht="6" customHeight="1">
      <c r="A11" s="3565"/>
      <c r="B11" s="4733" t="s">
        <v>4097</v>
      </c>
      <c r="C11" s="4734"/>
      <c r="D11" s="3573"/>
      <c r="E11" s="3580"/>
      <c r="F11" s="3580"/>
      <c r="G11" s="3580"/>
      <c r="H11" s="3580"/>
      <c r="I11" s="3580"/>
      <c r="J11" s="3580"/>
      <c r="K11" s="3580"/>
      <c r="L11" s="3580"/>
      <c r="M11" s="3580"/>
      <c r="N11" s="3580"/>
      <c r="O11" s="3580"/>
      <c r="P11" s="3580"/>
      <c r="Q11" s="3580"/>
      <c r="R11" s="3580"/>
      <c r="S11" s="3580"/>
      <c r="T11" s="3580"/>
      <c r="U11" s="3580"/>
      <c r="V11" s="3580"/>
      <c r="W11" s="3580"/>
      <c r="X11" s="3580"/>
      <c r="Y11" s="3570"/>
      <c r="Z11" s="3571"/>
      <c r="AA11" s="3558"/>
      <c r="AB11" s="3558"/>
      <c r="AC11" s="3558"/>
    </row>
    <row r="12" spans="1:29" ht="72" customHeight="1">
      <c r="A12" s="3565"/>
      <c r="B12" s="4735"/>
      <c r="C12" s="4736"/>
      <c r="D12" s="3581"/>
      <c r="E12" s="4737" t="s">
        <v>4098</v>
      </c>
      <c r="F12" s="4737"/>
      <c r="G12" s="4737"/>
      <c r="H12" s="4737"/>
      <c r="I12" s="4737"/>
      <c r="J12" s="4737"/>
      <c r="K12" s="4737"/>
      <c r="L12" s="4737"/>
      <c r="M12" s="4737"/>
      <c r="N12" s="4737"/>
      <c r="O12" s="4737"/>
      <c r="P12" s="4737"/>
      <c r="Q12" s="4737"/>
      <c r="R12" s="4737"/>
      <c r="S12" s="4737"/>
      <c r="T12" s="4737"/>
      <c r="U12" s="4737"/>
      <c r="V12" s="4737"/>
      <c r="W12" s="4737"/>
      <c r="X12" s="4737"/>
      <c r="Y12" s="3570"/>
      <c r="Z12" s="3571"/>
      <c r="AA12" s="3558"/>
      <c r="AB12" s="3558"/>
      <c r="AC12" s="3558"/>
    </row>
    <row r="13" spans="1:29" ht="6" customHeight="1">
      <c r="A13" s="3565"/>
      <c r="B13" s="4733" t="s">
        <v>4099</v>
      </c>
      <c r="C13" s="4734"/>
      <c r="D13" s="3569"/>
      <c r="E13" s="3580"/>
      <c r="F13" s="3580"/>
      <c r="G13" s="3580"/>
      <c r="H13" s="3580"/>
      <c r="I13" s="3580"/>
      <c r="J13" s="3580"/>
      <c r="K13" s="3580"/>
      <c r="L13" s="3580"/>
      <c r="M13" s="3580"/>
      <c r="N13" s="3580"/>
      <c r="O13" s="3580"/>
      <c r="P13" s="3580"/>
      <c r="Q13" s="3580"/>
      <c r="R13" s="3580"/>
      <c r="S13" s="3580"/>
      <c r="T13" s="3580"/>
      <c r="U13" s="3580"/>
      <c r="V13" s="3580"/>
      <c r="W13" s="3580"/>
      <c r="X13" s="3580"/>
      <c r="Y13" s="3570"/>
      <c r="Z13" s="3571"/>
      <c r="AA13" s="3558"/>
      <c r="AB13" s="3558"/>
      <c r="AC13" s="3558"/>
    </row>
    <row r="14" spans="1:29" ht="66" customHeight="1">
      <c r="A14" s="3565"/>
      <c r="B14" s="4735"/>
      <c r="C14" s="4738"/>
      <c r="D14" s="3573"/>
      <c r="E14" s="4741" t="s">
        <v>4100</v>
      </c>
      <c r="F14" s="4741"/>
      <c r="G14" s="4741"/>
      <c r="H14" s="4741"/>
      <c r="I14" s="4741"/>
      <c r="J14" s="4741"/>
      <c r="K14" s="4741"/>
      <c r="L14" s="4741"/>
      <c r="M14" s="4741"/>
      <c r="N14" s="4741"/>
      <c r="O14" s="4741"/>
      <c r="P14" s="4741"/>
      <c r="Q14" s="4741"/>
      <c r="R14" s="4741"/>
      <c r="S14" s="4741"/>
      <c r="T14" s="4741"/>
      <c r="U14" s="4741"/>
      <c r="V14" s="4741"/>
      <c r="W14" s="4741"/>
      <c r="X14" s="4741"/>
      <c r="Y14" s="3570"/>
      <c r="Z14" s="3571"/>
      <c r="AA14" s="3558"/>
      <c r="AB14" s="3558"/>
      <c r="AC14" s="3558"/>
    </row>
    <row r="15" spans="1:29" ht="6" customHeight="1">
      <c r="A15" s="3565"/>
      <c r="B15" s="4739"/>
      <c r="C15" s="4740"/>
      <c r="D15" s="3582"/>
      <c r="E15" s="3583"/>
      <c r="F15" s="3583"/>
      <c r="G15" s="3583"/>
      <c r="H15" s="3583"/>
      <c r="I15" s="3583"/>
      <c r="J15" s="3583"/>
      <c r="K15" s="3583"/>
      <c r="L15" s="3583"/>
      <c r="M15" s="3583"/>
      <c r="N15" s="3583"/>
      <c r="O15" s="3583"/>
      <c r="P15" s="3583"/>
      <c r="Q15" s="3583"/>
      <c r="R15" s="3583"/>
      <c r="S15" s="3583"/>
      <c r="T15" s="3583"/>
      <c r="U15" s="3583"/>
      <c r="V15" s="3583"/>
      <c r="W15" s="3583"/>
      <c r="X15" s="3583"/>
      <c r="Y15" s="3584"/>
      <c r="Z15" s="3571"/>
      <c r="AA15" s="3563"/>
      <c r="AB15" s="3558"/>
      <c r="AC15" s="3558"/>
    </row>
  </sheetData>
  <sheetProtection formatColumns="0" formatRows="0" insertRows="0" deleteColumns="0" deleteRows="0" sort="0" autoFilter="0"/>
  <mergeCells count="12">
    <mergeCell ref="B11:C12"/>
    <mergeCell ref="E12:X12"/>
    <mergeCell ref="B13:C15"/>
    <mergeCell ref="E14:X14"/>
    <mergeCell ref="B2:G2"/>
    <mergeCell ref="B3:G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11"/>
  <sheetViews>
    <sheetView showGridLines="0" topLeftCell="D2" workbookViewId="0">
      <selection activeCell="P35" sqref="P35"/>
    </sheetView>
  </sheetViews>
  <sheetFormatPr defaultColWidth="9.140625" defaultRowHeight="10.5" customHeight="1"/>
  <cols>
    <col min="1" max="3" width="9.140625" style="3585"/>
    <col min="4" max="4" width="2.7109375" style="3585" customWidth="1"/>
    <col min="5" max="5" width="19.7109375" style="3585" customWidth="1"/>
    <col min="6" max="6" width="22.7109375" style="3585" customWidth="1"/>
    <col min="7" max="7" width="0.140625" style="3585" customWidth="1"/>
    <col min="8" max="8" width="74.7109375" style="3585" customWidth="1"/>
    <col min="9" max="9" width="1.7109375" style="3585" customWidth="1"/>
    <col min="10" max="13" width="2.7109375" style="3585" hidden="1" customWidth="1"/>
    <col min="14" max="14" width="12.7109375" style="3585" hidden="1" customWidth="1"/>
    <col min="15" max="15" width="2.7109375" style="3585" hidden="1" customWidth="1"/>
    <col min="16" max="16" width="12.7109375" style="3585" hidden="1" customWidth="1"/>
    <col min="17" max="17" width="2.7109375" style="3585" hidden="1" customWidth="1"/>
    <col min="18" max="18" width="1.7109375" style="3585" customWidth="1"/>
    <col min="19" max="19" width="54.7109375" style="3585" customWidth="1"/>
    <col min="20" max="21" width="1.7109375" style="3585" customWidth="1"/>
    <col min="22" max="22" width="14.7109375" style="3585" hidden="1" customWidth="1"/>
    <col min="23" max="16384" width="9.140625" style="3560"/>
  </cols>
  <sheetData>
    <row r="1" spans="1:22" ht="11.25" hidden="1" customHeight="1">
      <c r="A1" s="3586"/>
      <c r="B1" s="3568"/>
      <c r="C1" s="3568"/>
      <c r="D1" s="3568"/>
      <c r="E1" s="3568"/>
      <c r="F1" s="3568"/>
      <c r="G1" s="3568"/>
      <c r="H1" s="3568"/>
      <c r="I1" s="3568"/>
      <c r="J1" s="3568"/>
      <c r="K1" s="3568"/>
      <c r="L1" s="3568"/>
      <c r="M1" s="3568"/>
      <c r="N1" s="3568"/>
      <c r="O1" s="3568"/>
      <c r="P1" s="3568"/>
    </row>
    <row r="2" spans="1:22" ht="3" customHeight="1">
      <c r="A2" s="3587"/>
      <c r="B2" s="3568"/>
      <c r="C2" s="3568"/>
      <c r="D2" s="3568"/>
      <c r="E2" s="3568"/>
      <c r="F2" s="3568"/>
      <c r="G2" s="3568"/>
      <c r="H2" s="3568"/>
      <c r="I2" s="3568"/>
      <c r="J2" s="3568"/>
      <c r="K2" s="3568"/>
      <c r="L2" s="3568"/>
      <c r="M2" s="3568"/>
      <c r="N2" s="3568"/>
      <c r="O2" s="3568"/>
      <c r="P2" s="3568"/>
    </row>
    <row r="3" spans="1:22" ht="15" customHeight="1">
      <c r="A3" s="3568"/>
      <c r="B3" s="3568"/>
      <c r="C3" s="3568"/>
      <c r="D3" s="3568"/>
      <c r="E3" s="3588" t="s">
        <v>4101</v>
      </c>
      <c r="F3" s="3589"/>
      <c r="G3" s="3589"/>
      <c r="H3" s="3589"/>
      <c r="I3" s="3568"/>
      <c r="J3" s="3568"/>
      <c r="K3" s="3568"/>
      <c r="L3" s="3568"/>
      <c r="M3" s="3568"/>
      <c r="N3" s="3568"/>
      <c r="O3" s="3568"/>
      <c r="P3" s="3568"/>
    </row>
    <row r="4" spans="1:22" ht="18" customHeight="1">
      <c r="A4" s="3587"/>
      <c r="B4" s="3568"/>
      <c r="C4" s="3568"/>
      <c r="D4" s="3568"/>
      <c r="E4" s="4753" t="s">
        <v>442</v>
      </c>
      <c r="F4" s="4753"/>
      <c r="G4" s="4753"/>
      <c r="H4" s="4753"/>
      <c r="I4" s="3589"/>
      <c r="J4" s="3568"/>
      <c r="K4" s="3568"/>
      <c r="L4" s="3568"/>
      <c r="M4" s="3568"/>
      <c r="N4" s="3568"/>
      <c r="O4" s="3568"/>
      <c r="P4" s="3568"/>
      <c r="S4" s="3590" t="s">
        <v>4102</v>
      </c>
    </row>
    <row r="5" spans="1:22" ht="9" customHeight="1">
      <c r="A5" s="3587"/>
      <c r="B5" s="3568"/>
      <c r="C5" s="3568"/>
      <c r="D5" s="3568"/>
      <c r="E5" s="3591"/>
      <c r="F5" s="3592"/>
      <c r="G5" s="3592"/>
      <c r="H5" s="3592"/>
      <c r="I5" s="3568"/>
      <c r="J5" s="3568"/>
      <c r="K5" s="3568"/>
      <c r="L5" s="3568"/>
      <c r="M5" s="3568"/>
      <c r="N5" s="3568"/>
      <c r="O5" s="3568"/>
      <c r="P5" s="3589"/>
      <c r="S5" s="3593"/>
    </row>
    <row r="6" spans="1:22" ht="24" customHeight="1">
      <c r="A6" s="3587"/>
      <c r="B6" s="3568"/>
      <c r="C6" s="3568"/>
      <c r="D6" s="3589"/>
      <c r="E6" s="4752" t="s">
        <v>443</v>
      </c>
      <c r="F6" s="4752"/>
      <c r="G6" s="3594"/>
      <c r="H6" s="3595" t="s">
        <v>444</v>
      </c>
      <c r="I6" s="3596"/>
      <c r="J6" s="3568"/>
      <c r="K6" s="3568"/>
      <c r="L6" s="3568"/>
      <c r="M6" s="3568"/>
      <c r="N6" s="3597"/>
      <c r="O6" s="3589"/>
      <c r="P6" s="3598" t="s">
        <v>4103</v>
      </c>
      <c r="S6" s="3590" t="s">
        <v>4104</v>
      </c>
      <c r="V6" s="3599" t="s">
        <v>4105</v>
      </c>
    </row>
    <row r="7" spans="1:22" ht="3" customHeight="1">
      <c r="A7" s="3587"/>
      <c r="B7" s="3568"/>
      <c r="C7" s="3568"/>
      <c r="D7" s="3568"/>
      <c r="E7" s="3600"/>
      <c r="F7" s="3601"/>
      <c r="G7" s="3602"/>
      <c r="H7" s="3603"/>
      <c r="I7" s="3568"/>
      <c r="J7" s="3568"/>
      <c r="K7" s="3568"/>
      <c r="L7" s="3568"/>
      <c r="M7" s="3568"/>
      <c r="N7" s="3597"/>
      <c r="O7" s="3568"/>
      <c r="P7" s="3603"/>
      <c r="S7" s="3593"/>
      <c r="V7" s="3604"/>
    </row>
    <row r="8" spans="1:22" ht="18" customHeight="1">
      <c r="A8" s="3587"/>
      <c r="B8" s="3568"/>
      <c r="C8" s="3568"/>
      <c r="D8" s="3568"/>
      <c r="E8" s="3605" t="str">
        <f>HYPERLINK("https://sp.eias.ru/knowledgebase.php?article=124","Как использовать?")</f>
        <v>Как использовать?</v>
      </c>
      <c r="F8" s="3601"/>
      <c r="G8" s="3602"/>
      <c r="H8" s="3606" t="s">
        <v>4106</v>
      </c>
      <c r="I8" s="3568"/>
      <c r="J8" s="3568"/>
      <c r="K8" s="3568"/>
      <c r="L8" s="3568"/>
      <c r="M8" s="3568"/>
      <c r="N8" s="3597"/>
      <c r="O8" s="3568"/>
      <c r="P8" s="3589"/>
      <c r="S8" s="3590" t="s">
        <v>4107</v>
      </c>
      <c r="V8" s="3604"/>
    </row>
    <row r="9" spans="1:22" ht="3" customHeight="1">
      <c r="A9" s="3587"/>
      <c r="B9" s="3568"/>
      <c r="C9" s="3568"/>
      <c r="D9" s="3568"/>
      <c r="E9" s="3607"/>
      <c r="F9" s="3589"/>
      <c r="G9" s="3602"/>
      <c r="H9" s="3594"/>
      <c r="I9" s="3568"/>
      <c r="J9" s="3568"/>
      <c r="K9" s="3568"/>
      <c r="L9" s="3568"/>
      <c r="M9" s="3568"/>
      <c r="N9" s="3597"/>
      <c r="O9" s="3568"/>
      <c r="P9" s="3589"/>
      <c r="S9" s="3593"/>
      <c r="V9" s="3604"/>
    </row>
    <row r="10" spans="1:22" ht="3" customHeight="1">
      <c r="A10" s="3587"/>
      <c r="B10" s="3568"/>
      <c r="C10" s="3568"/>
      <c r="D10" s="3568"/>
      <c r="E10" s="3607"/>
      <c r="F10" s="3589"/>
      <c r="G10" s="3602"/>
      <c r="H10" s="3608"/>
      <c r="I10" s="3568"/>
      <c r="J10" s="3568"/>
      <c r="K10" s="3568"/>
      <c r="L10" s="3568"/>
      <c r="M10" s="3568"/>
      <c r="N10" s="3597"/>
      <c r="O10" s="3568"/>
      <c r="P10" s="3609"/>
      <c r="S10" s="4754" t="s">
        <v>4108</v>
      </c>
      <c r="V10" s="3604"/>
    </row>
    <row r="11" spans="1:22" ht="18" customHeight="1">
      <c r="A11" s="3587"/>
      <c r="B11" s="3568"/>
      <c r="C11" s="3568"/>
      <c r="D11" s="3589"/>
      <c r="E11" s="4752" t="s">
        <v>446</v>
      </c>
      <c r="F11" s="4752"/>
      <c r="G11" s="3589"/>
      <c r="H11" s="3610">
        <v>2022</v>
      </c>
      <c r="I11" s="3596"/>
      <c r="J11" s="3568"/>
      <c r="K11" s="3568"/>
      <c r="L11" s="3568"/>
      <c r="M11" s="3568"/>
      <c r="N11" s="3597"/>
      <c r="O11" s="3589"/>
      <c r="P11" s="3598" t="s">
        <v>4103</v>
      </c>
      <c r="S11" s="4755"/>
      <c r="V11" s="3599" t="s">
        <v>4109</v>
      </c>
    </row>
    <row r="12" spans="1:22" ht="18" customHeight="1">
      <c r="A12" s="3587"/>
      <c r="B12" s="3568"/>
      <c r="C12" s="3568"/>
      <c r="D12" s="3589"/>
      <c r="E12" s="4752" t="s">
        <v>447</v>
      </c>
      <c r="F12" s="4752"/>
      <c r="G12" s="3589"/>
      <c r="H12" s="3611" t="s">
        <v>3787</v>
      </c>
      <c r="I12" s="3596"/>
      <c r="J12" s="3568"/>
      <c r="K12" s="3568"/>
      <c r="L12" s="3568"/>
      <c r="M12" s="3568"/>
      <c r="N12" s="3597"/>
      <c r="O12" s="3589"/>
      <c r="P12" s="3598" t="s">
        <v>4103</v>
      </c>
      <c r="S12" s="4755"/>
      <c r="V12" s="3612" t="s">
        <v>4110</v>
      </c>
    </row>
    <row r="13" spans="1:22" ht="3" customHeight="1">
      <c r="A13" s="3587"/>
      <c r="B13" s="3568"/>
      <c r="C13" s="3568"/>
      <c r="D13" s="3568"/>
      <c r="E13" s="3607"/>
      <c r="F13" s="3589"/>
      <c r="G13" s="3602"/>
      <c r="H13" s="3592"/>
      <c r="I13" s="3568"/>
      <c r="J13" s="3568"/>
      <c r="K13" s="3568"/>
      <c r="L13" s="3568"/>
      <c r="M13" s="3568"/>
      <c r="N13" s="3597"/>
      <c r="O13" s="3568"/>
      <c r="P13" s="3603"/>
      <c r="S13" s="4756"/>
      <c r="V13" s="3604"/>
    </row>
    <row r="14" spans="1:22" ht="3" customHeight="1">
      <c r="A14" s="3587"/>
      <c r="B14" s="3568"/>
      <c r="C14" s="3568"/>
      <c r="D14" s="3568"/>
      <c r="E14" s="3607"/>
      <c r="F14" s="3589"/>
      <c r="G14" s="3602"/>
      <c r="H14" s="3594"/>
      <c r="I14" s="3568"/>
      <c r="J14" s="3568"/>
      <c r="K14" s="3568"/>
      <c r="L14" s="3568"/>
      <c r="M14" s="3568"/>
      <c r="N14" s="3597"/>
      <c r="O14" s="3568"/>
      <c r="P14" s="3589"/>
      <c r="S14" s="3593"/>
      <c r="V14" s="3604"/>
    </row>
    <row r="15" spans="1:22" ht="3" customHeight="1">
      <c r="A15" s="3587"/>
      <c r="B15" s="3568"/>
      <c r="C15" s="3568"/>
      <c r="D15" s="3568"/>
      <c r="E15" s="3607"/>
      <c r="F15" s="3589"/>
      <c r="G15" s="3602"/>
      <c r="H15" s="3608"/>
      <c r="I15" s="3568"/>
      <c r="J15" s="3568"/>
      <c r="K15" s="3568"/>
      <c r="L15" s="3568"/>
      <c r="M15" s="3568"/>
      <c r="N15" s="3597"/>
      <c r="O15" s="3568"/>
      <c r="P15" s="3609"/>
      <c r="S15" s="4748" t="s">
        <v>4111</v>
      </c>
      <c r="V15" s="3604"/>
    </row>
    <row r="16" spans="1:22" ht="11.25" hidden="1" customHeight="1">
      <c r="A16" s="3568"/>
      <c r="B16" s="3568"/>
      <c r="C16" s="3568"/>
      <c r="D16" s="3589"/>
      <c r="E16" s="4751" t="s">
        <v>4112</v>
      </c>
      <c r="F16" s="4751"/>
      <c r="G16" s="3613"/>
      <c r="H16" s="3614"/>
      <c r="I16" s="3596"/>
      <c r="J16" s="3568"/>
      <c r="K16" s="3568"/>
      <c r="L16" s="3568"/>
      <c r="M16" s="3568"/>
      <c r="N16" s="3597"/>
      <c r="O16" s="3589"/>
      <c r="P16" s="3603"/>
      <c r="S16" s="4749"/>
      <c r="V16" s="3604"/>
    </row>
    <row r="17" spans="1:22" ht="5.25" hidden="1" customHeight="1">
      <c r="A17" s="3587"/>
      <c r="B17" s="3568"/>
      <c r="C17" s="3568"/>
      <c r="D17" s="3568"/>
      <c r="E17" s="3600"/>
      <c r="F17" s="3601"/>
      <c r="G17" s="3602"/>
      <c r="H17" s="3592"/>
      <c r="I17" s="3568"/>
      <c r="J17" s="3568"/>
      <c r="K17" s="3568"/>
      <c r="L17" s="3568"/>
      <c r="M17" s="3568"/>
      <c r="N17" s="3597"/>
      <c r="O17" s="3568"/>
      <c r="P17" s="3603"/>
      <c r="S17" s="4749"/>
      <c r="V17" s="3604"/>
    </row>
    <row r="18" spans="1:22" ht="39" customHeight="1">
      <c r="A18" s="3615"/>
      <c r="B18" s="3568"/>
      <c r="C18" s="3568"/>
      <c r="D18" s="3589"/>
      <c r="E18" s="4752" t="s">
        <v>4113</v>
      </c>
      <c r="F18" s="4752"/>
      <c r="G18" s="3594"/>
      <c r="H18" s="3595" t="s">
        <v>2</v>
      </c>
      <c r="I18" s="3596"/>
      <c r="J18" s="3568"/>
      <c r="K18" s="3568"/>
      <c r="L18" s="3568"/>
      <c r="M18" s="3568"/>
      <c r="N18" s="3597"/>
      <c r="O18" s="3589"/>
      <c r="P18" s="3598" t="s">
        <v>4103</v>
      </c>
      <c r="S18" s="4749"/>
      <c r="V18" s="3599" t="s">
        <v>4114</v>
      </c>
    </row>
    <row r="19" spans="1:22" ht="3" customHeight="1">
      <c r="A19" s="3615"/>
      <c r="B19" s="3615"/>
      <c r="C19" s="3568"/>
      <c r="D19" s="3616"/>
      <c r="E19" s="3617"/>
      <c r="F19" s="3617"/>
      <c r="G19" s="3617"/>
      <c r="H19" s="3618"/>
      <c r="I19" s="3568"/>
      <c r="J19" s="3568"/>
      <c r="K19" s="3568"/>
      <c r="L19" s="3568"/>
      <c r="M19" s="3568"/>
      <c r="N19" s="3597"/>
      <c r="O19" s="3568"/>
      <c r="P19" s="3603"/>
      <c r="S19" s="4749"/>
      <c r="V19" s="3604"/>
    </row>
    <row r="20" spans="1:22" ht="18" customHeight="1">
      <c r="A20" s="3568"/>
      <c r="B20" s="3568"/>
      <c r="C20" s="3568"/>
      <c r="D20" s="3589"/>
      <c r="E20" s="4752" t="s">
        <v>452</v>
      </c>
      <c r="F20" s="4752"/>
      <c r="G20" s="3589"/>
      <c r="H20" s="3619" t="s">
        <v>453</v>
      </c>
      <c r="I20" s="3596"/>
      <c r="J20" s="3568"/>
      <c r="K20" s="3568"/>
      <c r="L20" s="3568"/>
      <c r="M20" s="3568"/>
      <c r="N20" s="3597"/>
      <c r="O20" s="3589"/>
      <c r="P20" s="3598" t="s">
        <v>4103</v>
      </c>
      <c r="S20" s="4749"/>
      <c r="V20" s="3599" t="s">
        <v>4115</v>
      </c>
    </row>
    <row r="21" spans="1:22" ht="18" customHeight="1">
      <c r="A21" s="3568"/>
      <c r="B21" s="3568"/>
      <c r="C21" s="3568"/>
      <c r="D21" s="3589"/>
      <c r="E21" s="4752" t="s">
        <v>454</v>
      </c>
      <c r="F21" s="4752"/>
      <c r="G21" s="3589"/>
      <c r="H21" s="3619" t="s">
        <v>455</v>
      </c>
      <c r="I21" s="3596"/>
      <c r="J21" s="3568"/>
      <c r="K21" s="3568"/>
      <c r="L21" s="3568"/>
      <c r="M21" s="3568"/>
      <c r="N21" s="3597"/>
      <c r="O21" s="3589"/>
      <c r="P21" s="3598" t="s">
        <v>4103</v>
      </c>
      <c r="S21" s="4749"/>
      <c r="V21" s="3599" t="s">
        <v>4116</v>
      </c>
    </row>
    <row r="22" spans="1:22" ht="18" customHeight="1">
      <c r="A22" s="3568"/>
      <c r="B22" s="3568"/>
      <c r="C22" s="3568"/>
      <c r="D22" s="3589"/>
      <c r="E22" s="4752" t="s">
        <v>4117</v>
      </c>
      <c r="F22" s="4752"/>
      <c r="G22" s="3589"/>
      <c r="H22" s="3619" t="s">
        <v>3843</v>
      </c>
      <c r="I22" s="3596"/>
      <c r="J22" s="3568"/>
      <c r="K22" s="3568"/>
      <c r="L22" s="3568"/>
      <c r="M22" s="3568"/>
      <c r="N22" s="3597"/>
      <c r="O22" s="3589"/>
      <c r="P22" s="3598" t="s">
        <v>4103</v>
      </c>
      <c r="S22" s="4749"/>
      <c r="V22" s="3599" t="s">
        <v>4118</v>
      </c>
    </row>
    <row r="23" spans="1:22" ht="24" customHeight="1">
      <c r="A23" s="3568"/>
      <c r="B23" s="3568"/>
      <c r="C23" s="3568"/>
      <c r="D23" s="3589"/>
      <c r="E23" s="4752" t="s">
        <v>4119</v>
      </c>
      <c r="F23" s="4752"/>
      <c r="G23" s="3589"/>
      <c r="H23" s="3620" t="s">
        <v>4120</v>
      </c>
      <c r="I23" s="3596"/>
      <c r="J23" s="3568"/>
      <c r="K23" s="3568"/>
      <c r="L23" s="3568"/>
      <c r="M23" s="3568"/>
      <c r="N23" s="3597"/>
      <c r="O23" s="3589"/>
      <c r="P23" s="3598" t="s">
        <v>4103</v>
      </c>
      <c r="S23" s="4749"/>
      <c r="V23" s="3621" t="s">
        <v>4121</v>
      </c>
    </row>
    <row r="24" spans="1:22" ht="3" customHeight="1">
      <c r="A24" s="3587"/>
      <c r="B24" s="3568"/>
      <c r="C24" s="3568"/>
      <c r="D24" s="3568"/>
      <c r="E24" s="3600"/>
      <c r="F24" s="3601"/>
      <c r="G24" s="3602"/>
      <c r="H24" s="3603"/>
      <c r="I24" s="3568"/>
      <c r="J24" s="3568"/>
      <c r="K24" s="3568"/>
      <c r="L24" s="3568"/>
      <c r="M24" s="3568"/>
      <c r="N24" s="3597"/>
      <c r="O24" s="3568"/>
      <c r="P24" s="3603"/>
      <c r="S24" s="4749"/>
      <c r="V24" s="3604"/>
    </row>
    <row r="25" spans="1:22" ht="24" customHeight="1">
      <c r="A25" s="3568"/>
      <c r="B25" s="3568"/>
      <c r="C25" s="3568"/>
      <c r="D25" s="3589"/>
      <c r="E25" s="4752" t="s">
        <v>4122</v>
      </c>
      <c r="F25" s="4752"/>
      <c r="G25" s="3589"/>
      <c r="H25" s="3622" t="s">
        <v>4123</v>
      </c>
      <c r="I25" s="3596"/>
      <c r="J25" s="3568"/>
      <c r="K25" s="3568"/>
      <c r="L25" s="3568"/>
      <c r="M25" s="3568"/>
      <c r="N25" s="3597"/>
      <c r="O25" s="3589"/>
      <c r="P25" s="3623" t="s">
        <v>4103</v>
      </c>
      <c r="S25" s="4749"/>
      <c r="V25" s="3599" t="s">
        <v>4124</v>
      </c>
    </row>
    <row r="26" spans="1:22" ht="3" customHeight="1">
      <c r="A26" s="3587"/>
      <c r="B26" s="3568"/>
      <c r="C26" s="3568"/>
      <c r="D26" s="3568"/>
      <c r="E26" s="3600"/>
      <c r="F26" s="3601"/>
      <c r="G26" s="3602"/>
      <c r="H26" s="3603"/>
      <c r="I26" s="3568"/>
      <c r="J26" s="3568"/>
      <c r="K26" s="3568"/>
      <c r="L26" s="3568"/>
      <c r="M26" s="3568"/>
      <c r="N26" s="3597"/>
      <c r="O26" s="3568"/>
      <c r="P26" s="3589"/>
      <c r="S26" s="4749"/>
      <c r="V26" s="3604"/>
    </row>
    <row r="27" spans="1:22" ht="18" customHeight="1">
      <c r="A27" s="3568"/>
      <c r="B27" s="3568"/>
      <c r="C27" s="3568"/>
      <c r="D27" s="3589"/>
      <c r="E27" s="4752" t="s">
        <v>4125</v>
      </c>
      <c r="F27" s="4752"/>
      <c r="G27" s="3589"/>
      <c r="H27" s="3620" t="s">
        <v>469</v>
      </c>
      <c r="I27" s="3596"/>
      <c r="J27" s="3568"/>
      <c r="K27" s="3568"/>
      <c r="L27" s="3568"/>
      <c r="M27" s="3568"/>
      <c r="N27" s="3597"/>
      <c r="O27" s="3589"/>
      <c r="P27" s="3623" t="s">
        <v>4103</v>
      </c>
      <c r="S27" s="4749"/>
      <c r="V27" s="3612" t="s">
        <v>4126</v>
      </c>
    </row>
    <row r="28" spans="1:22" ht="10.5" hidden="1" customHeight="1">
      <c r="A28" s="3587"/>
      <c r="B28" s="3568"/>
      <c r="C28" s="3568"/>
      <c r="D28" s="3568"/>
      <c r="E28" s="3600"/>
      <c r="F28" s="3601"/>
      <c r="G28" s="3602"/>
      <c r="H28" s="3603"/>
      <c r="I28" s="3568"/>
      <c r="J28" s="3568"/>
      <c r="K28" s="3568"/>
      <c r="L28" s="3568"/>
      <c r="M28" s="3568"/>
      <c r="N28" s="3597"/>
      <c r="O28" s="3568"/>
      <c r="P28" s="3589"/>
      <c r="S28" s="4749"/>
      <c r="V28" s="3604"/>
    </row>
    <row r="29" spans="1:22" ht="10.5" hidden="1" customHeight="1">
      <c r="A29" s="3568"/>
      <c r="B29" s="3568"/>
      <c r="C29" s="3568"/>
      <c r="D29" s="3589"/>
      <c r="E29" s="4752" t="s">
        <v>470</v>
      </c>
      <c r="F29" s="4752"/>
      <c r="G29" s="3589"/>
      <c r="H29" s="3622"/>
      <c r="I29" s="3596"/>
      <c r="J29" s="3568"/>
      <c r="K29" s="3568"/>
      <c r="L29" s="3568"/>
      <c r="M29" s="3568"/>
      <c r="N29" s="3597"/>
      <c r="O29" s="3589"/>
      <c r="P29" s="3623" t="str">
        <f>IF(H27="По обособленному подразделению","MANDATORY","OPTIONAL")</f>
        <v>OPTIONAL</v>
      </c>
      <c r="S29" s="4749"/>
      <c r="V29" s="3612" t="s">
        <v>4127</v>
      </c>
    </row>
    <row r="30" spans="1:22" ht="3.75" customHeight="1">
      <c r="A30" s="3568"/>
      <c r="B30" s="3568"/>
      <c r="C30" s="3568"/>
      <c r="D30" s="3589"/>
      <c r="E30" s="3600"/>
      <c r="F30" s="3601"/>
      <c r="G30" s="3602"/>
      <c r="H30" s="3603"/>
      <c r="I30" s="3589"/>
      <c r="J30" s="3568"/>
      <c r="K30" s="3568"/>
      <c r="L30" s="3568"/>
      <c r="M30" s="3568"/>
      <c r="N30" s="3597"/>
      <c r="O30" s="3589"/>
      <c r="P30" s="3589"/>
      <c r="S30" s="4750"/>
      <c r="V30" s="3604"/>
    </row>
    <row r="31" spans="1:22" ht="3" customHeight="1">
      <c r="A31" s="3615"/>
      <c r="B31" s="3615"/>
      <c r="C31" s="3568"/>
      <c r="D31" s="3616"/>
      <c r="E31" s="3617"/>
      <c r="F31" s="3617"/>
      <c r="G31" s="3617"/>
      <c r="H31" s="3616"/>
      <c r="I31" s="3568"/>
      <c r="J31" s="3568"/>
      <c r="K31" s="3568"/>
      <c r="L31" s="3568"/>
      <c r="M31" s="3568"/>
      <c r="N31" s="3597"/>
      <c r="O31" s="3568"/>
      <c r="P31" s="3568"/>
      <c r="S31" s="3593"/>
      <c r="V31" s="3604"/>
    </row>
    <row r="32" spans="1:22" ht="3" customHeight="1">
      <c r="A32" s="3615"/>
      <c r="B32" s="3615"/>
      <c r="C32" s="3568"/>
      <c r="D32" s="3616"/>
      <c r="E32" s="3617"/>
      <c r="F32" s="3617"/>
      <c r="G32" s="3617"/>
      <c r="H32" s="3616"/>
      <c r="I32" s="3568"/>
      <c r="J32" s="3568"/>
      <c r="K32" s="3568"/>
      <c r="L32" s="3568"/>
      <c r="M32" s="3568"/>
      <c r="N32" s="3597"/>
      <c r="O32" s="3568"/>
      <c r="P32" s="3568"/>
      <c r="S32" s="3593"/>
      <c r="V32" s="3604"/>
    </row>
    <row r="33" spans="1:22" ht="24" customHeight="1">
      <c r="A33" s="3615"/>
      <c r="B33" s="3615"/>
      <c r="C33" s="3568"/>
      <c r="D33" s="3616"/>
      <c r="E33" s="4752" t="s">
        <v>4128</v>
      </c>
      <c r="F33" s="4752"/>
      <c r="G33" s="3589"/>
      <c r="H33" s="3624" t="s">
        <v>3848</v>
      </c>
      <c r="I33" s="3568"/>
      <c r="J33" s="3568"/>
      <c r="K33" s="3568"/>
      <c r="L33" s="3568"/>
      <c r="M33" s="3568"/>
      <c r="N33" s="3597"/>
      <c r="O33" s="3568"/>
      <c r="P33" s="3623" t="s">
        <v>4103</v>
      </c>
      <c r="S33" s="3625" t="s">
        <v>4129</v>
      </c>
      <c r="V33" s="3612" t="s">
        <v>4130</v>
      </c>
    </row>
    <row r="34" spans="1:22" ht="3" customHeight="1">
      <c r="A34" s="3615"/>
      <c r="B34" s="3615"/>
      <c r="C34" s="3568"/>
      <c r="D34" s="3616"/>
      <c r="E34" s="3617"/>
      <c r="F34" s="3617"/>
      <c r="G34" s="3617"/>
      <c r="H34" s="3616"/>
      <c r="I34" s="3568"/>
      <c r="J34" s="3568"/>
      <c r="K34" s="3568"/>
      <c r="L34" s="3568"/>
      <c r="M34" s="3568"/>
      <c r="N34" s="3597"/>
      <c r="O34" s="3568"/>
      <c r="P34" s="3568"/>
      <c r="S34" s="3593"/>
      <c r="V34" s="3604"/>
    </row>
    <row r="35" spans="1:22" ht="24" customHeight="1">
      <c r="A35" s="3615"/>
      <c r="B35" s="3615"/>
      <c r="C35" s="3568"/>
      <c r="D35" s="3616"/>
      <c r="E35" s="4752" t="s">
        <v>4131</v>
      </c>
      <c r="F35" s="4752"/>
      <c r="G35" s="3589"/>
      <c r="H35" s="3624" t="s">
        <v>4132</v>
      </c>
      <c r="I35" s="3568"/>
      <c r="J35" s="3568"/>
      <c r="K35" s="3568"/>
      <c r="L35" s="3568"/>
      <c r="M35" s="3568"/>
      <c r="N35" s="3597"/>
      <c r="O35" s="3568"/>
      <c r="P35" s="3623" t="s">
        <v>4103</v>
      </c>
      <c r="S35" s="3625" t="s">
        <v>4133</v>
      </c>
      <c r="V35" s="3612" t="s">
        <v>4134</v>
      </c>
    </row>
    <row r="36" spans="1:22" ht="3" customHeight="1">
      <c r="A36" s="3615"/>
      <c r="B36" s="3615"/>
      <c r="C36" s="3568"/>
      <c r="D36" s="3616"/>
      <c r="E36" s="3617"/>
      <c r="F36" s="3617"/>
      <c r="G36" s="3617"/>
      <c r="H36" s="3616"/>
      <c r="I36" s="3568"/>
      <c r="J36" s="3568"/>
      <c r="K36" s="3568"/>
      <c r="L36" s="3568"/>
      <c r="M36" s="3568"/>
      <c r="N36" s="3597"/>
      <c r="O36" s="3568"/>
      <c r="P36" s="3568"/>
      <c r="S36" s="3593"/>
      <c r="V36" s="3604"/>
    </row>
    <row r="37" spans="1:22" ht="18.75" customHeight="1">
      <c r="A37" s="3615"/>
      <c r="B37" s="3615"/>
      <c r="C37" s="3568"/>
      <c r="D37" s="3616"/>
      <c r="E37" s="4752" t="s">
        <v>4135</v>
      </c>
      <c r="F37" s="4752"/>
      <c r="G37" s="3589"/>
      <c r="H37" s="3626" t="s">
        <v>449</v>
      </c>
      <c r="I37" s="3568"/>
      <c r="J37" s="3568"/>
      <c r="K37" s="3568"/>
      <c r="L37" s="3568"/>
      <c r="M37" s="3568"/>
      <c r="N37" s="3597"/>
      <c r="O37" s="3568"/>
      <c r="P37" s="3623" t="s">
        <v>4103</v>
      </c>
      <c r="S37" s="3593"/>
      <c r="V37" s="3612" t="s">
        <v>4136</v>
      </c>
    </row>
    <row r="38" spans="1:22" ht="3" customHeight="1">
      <c r="A38" s="3615"/>
      <c r="B38" s="3615"/>
      <c r="C38" s="3568"/>
      <c r="D38" s="3616"/>
      <c r="E38" s="3617"/>
      <c r="F38" s="3617"/>
      <c r="G38" s="3617"/>
      <c r="H38" s="3616"/>
      <c r="I38" s="3568"/>
      <c r="J38" s="3568"/>
      <c r="K38" s="3568"/>
      <c r="L38" s="3568"/>
      <c r="M38" s="3568"/>
      <c r="N38" s="3597"/>
      <c r="O38" s="3568"/>
      <c r="P38" s="3568"/>
      <c r="S38" s="3593"/>
      <c r="V38" s="3604"/>
    </row>
    <row r="39" spans="1:22" ht="18.75" customHeight="1">
      <c r="A39" s="3615"/>
      <c r="B39" s="3615"/>
      <c r="C39" s="3568"/>
      <c r="D39" s="3616"/>
      <c r="E39" s="4752" t="s">
        <v>463</v>
      </c>
      <c r="F39" s="4752"/>
      <c r="G39" s="3589"/>
      <c r="H39" s="3626" t="s">
        <v>464</v>
      </c>
      <c r="I39" s="3568"/>
      <c r="J39" s="3568"/>
      <c r="K39" s="3568"/>
      <c r="L39" s="3568"/>
      <c r="M39" s="3568"/>
      <c r="N39" s="3597"/>
      <c r="O39" s="3568"/>
      <c r="P39" s="3623" t="s">
        <v>4103</v>
      </c>
      <c r="S39" s="3593"/>
      <c r="V39" s="3612" t="s">
        <v>4137</v>
      </c>
    </row>
    <row r="40" spans="1:22" ht="3" customHeight="1">
      <c r="A40" s="3615"/>
      <c r="B40" s="3615"/>
      <c r="C40" s="3568"/>
      <c r="D40" s="3616"/>
      <c r="E40" s="3617"/>
      <c r="F40" s="3617"/>
      <c r="G40" s="3617"/>
      <c r="H40" s="3616"/>
      <c r="I40" s="3568"/>
      <c r="J40" s="3568"/>
      <c r="K40" s="3568"/>
      <c r="L40" s="3568"/>
      <c r="M40" s="3568"/>
      <c r="N40" s="3597"/>
      <c r="O40" s="3568"/>
      <c r="P40" s="3568"/>
      <c r="S40" s="3593"/>
      <c r="V40" s="3604"/>
    </row>
    <row r="41" spans="1:22" ht="18.75" customHeight="1">
      <c r="A41" s="3615"/>
      <c r="B41" s="3615"/>
      <c r="C41" s="3568"/>
      <c r="D41" s="3616"/>
      <c r="E41" s="4752" t="s">
        <v>4138</v>
      </c>
      <c r="F41" s="4752"/>
      <c r="G41" s="3589"/>
      <c r="H41" s="3626" t="s">
        <v>449</v>
      </c>
      <c r="I41" s="3568"/>
      <c r="J41" s="3568"/>
      <c r="K41" s="3568"/>
      <c r="L41" s="3568"/>
      <c r="M41" s="3568"/>
      <c r="N41" s="3597"/>
      <c r="O41" s="3568"/>
      <c r="P41" s="3623" t="s">
        <v>4103</v>
      </c>
      <c r="S41" s="3625" t="e">
        <f>"(на территории: "&amp;IF(REGION_NAME="","субъект Российской Федерации не выбран",REGION_NAME)&amp;")"</f>
        <v>#NAME?</v>
      </c>
      <c r="V41" s="3612" t="s">
        <v>4139</v>
      </c>
    </row>
    <row r="42" spans="1:22" ht="3" customHeight="1">
      <c r="A42" s="3615"/>
      <c r="B42" s="3615"/>
      <c r="C42" s="3568"/>
      <c r="D42" s="3616"/>
      <c r="E42" s="3617"/>
      <c r="F42" s="3617"/>
      <c r="G42" s="3617"/>
      <c r="H42" s="3616"/>
      <c r="I42" s="3568"/>
      <c r="J42" s="3568"/>
      <c r="K42" s="3568"/>
      <c r="L42" s="3568"/>
      <c r="M42" s="3568"/>
      <c r="N42" s="3597"/>
      <c r="O42" s="3568"/>
      <c r="P42" s="3568"/>
      <c r="S42" s="3593"/>
      <c r="V42" s="3604"/>
    </row>
    <row r="43" spans="1:22" ht="18.75" customHeight="1">
      <c r="A43" s="3615"/>
      <c r="B43" s="3615"/>
      <c r="C43" s="3568"/>
      <c r="D43" s="3616"/>
      <c r="E43" s="4752" t="s">
        <v>465</v>
      </c>
      <c r="F43" s="4752"/>
      <c r="G43" s="3589"/>
      <c r="H43" s="3626" t="s">
        <v>466</v>
      </c>
      <c r="I43" s="3568"/>
      <c r="J43" s="3568"/>
      <c r="K43" s="3568"/>
      <c r="L43" s="3568"/>
      <c r="M43" s="3568"/>
      <c r="N43" s="3597"/>
      <c r="O43" s="3568"/>
      <c r="P43" s="3623" t="s">
        <v>4103</v>
      </c>
      <c r="S43" s="3593"/>
      <c r="V43" s="3612" t="s">
        <v>4140</v>
      </c>
    </row>
    <row r="44" spans="1:22" ht="3" customHeight="1">
      <c r="A44" s="3615"/>
      <c r="B44" s="3615"/>
      <c r="C44" s="3568"/>
      <c r="D44" s="3616"/>
      <c r="E44" s="3617"/>
      <c r="F44" s="3617"/>
      <c r="G44" s="3617"/>
      <c r="H44" s="3616"/>
      <c r="I44" s="3568"/>
      <c r="J44" s="3568"/>
      <c r="K44" s="3568"/>
      <c r="L44" s="3568"/>
      <c r="M44" s="3568"/>
      <c r="N44" s="3597"/>
      <c r="O44" s="3568"/>
      <c r="P44" s="3568"/>
      <c r="S44" s="3593"/>
      <c r="V44" s="3604"/>
    </row>
    <row r="45" spans="1:22" ht="75" customHeight="1">
      <c r="A45" s="3615"/>
      <c r="B45" s="3615"/>
      <c r="C45" s="3568"/>
      <c r="D45" s="3616"/>
      <c r="E45" s="4752" t="s">
        <v>4141</v>
      </c>
      <c r="F45" s="4752"/>
      <c r="G45" s="3589"/>
      <c r="H45" s="3626" t="s">
        <v>4142</v>
      </c>
      <c r="I45" s="3568"/>
      <c r="J45" s="3568"/>
      <c r="K45" s="3568"/>
      <c r="L45" s="3568"/>
      <c r="M45" s="3568"/>
      <c r="N45" s="3597"/>
      <c r="O45" s="3568"/>
      <c r="P45" s="3623" t="s">
        <v>4103</v>
      </c>
      <c r="S45" s="3625" t="s">
        <v>4143</v>
      </c>
      <c r="V45" s="3612" t="s">
        <v>4144</v>
      </c>
    </row>
    <row r="46" spans="1:22" ht="3" customHeight="1">
      <c r="A46" s="3615"/>
      <c r="B46" s="3615"/>
      <c r="C46" s="3568"/>
      <c r="D46" s="3616"/>
      <c r="E46" s="3617"/>
      <c r="F46" s="3617"/>
      <c r="G46" s="3617"/>
      <c r="H46" s="3616"/>
      <c r="I46" s="3568"/>
      <c r="J46" s="3568"/>
      <c r="K46" s="3568"/>
      <c r="L46" s="3568"/>
      <c r="M46" s="3568"/>
      <c r="N46" s="3597"/>
      <c r="O46" s="3568"/>
      <c r="P46" s="3568"/>
      <c r="S46" s="3593"/>
      <c r="V46" s="3604"/>
    </row>
    <row r="47" spans="1:22" ht="11.25" hidden="1" customHeight="1">
      <c r="A47" s="3615"/>
      <c r="B47" s="3615"/>
      <c r="C47" s="3568"/>
      <c r="D47" s="3616"/>
      <c r="E47" s="3617"/>
      <c r="F47" s="3617"/>
      <c r="G47" s="3617"/>
      <c r="H47" s="3616"/>
      <c r="I47" s="3568"/>
      <c r="J47" s="3568"/>
      <c r="K47" s="3568"/>
      <c r="L47" s="3568"/>
      <c r="M47" s="3568"/>
      <c r="N47" s="3597"/>
      <c r="O47" s="3568"/>
      <c r="P47" s="3568"/>
      <c r="S47" s="3593"/>
      <c r="V47" s="3604"/>
    </row>
    <row r="48" spans="1:22" ht="11.25" hidden="1" customHeight="1">
      <c r="A48" s="3615"/>
      <c r="B48" s="3615"/>
      <c r="C48" s="3568"/>
      <c r="D48" s="3616"/>
      <c r="E48" s="3617"/>
      <c r="F48" s="3617"/>
      <c r="G48" s="3617"/>
      <c r="H48" s="3616"/>
      <c r="I48" s="3568"/>
      <c r="J48" s="3568"/>
      <c r="K48" s="3568"/>
      <c r="L48" s="3568"/>
      <c r="M48" s="3568"/>
      <c r="N48" s="3597"/>
      <c r="O48" s="3568"/>
      <c r="P48" s="3568"/>
      <c r="S48" s="3593"/>
      <c r="V48" s="3604"/>
    </row>
    <row r="49" spans="1:22" ht="11.25" hidden="1" customHeight="1">
      <c r="A49" s="3615"/>
      <c r="B49" s="3615"/>
      <c r="C49" s="3568"/>
      <c r="D49" s="3616"/>
      <c r="E49" s="3617"/>
      <c r="F49" s="3617"/>
      <c r="G49" s="3617"/>
      <c r="H49" s="3616"/>
      <c r="I49" s="3568"/>
      <c r="J49" s="3568"/>
      <c r="K49" s="3568"/>
      <c r="L49" s="3568"/>
      <c r="M49" s="3568"/>
      <c r="N49" s="3597"/>
      <c r="O49" s="3568"/>
      <c r="P49" s="3568"/>
      <c r="S49" s="3593"/>
      <c r="V49" s="3604"/>
    </row>
    <row r="50" spans="1:22" ht="11.25" hidden="1" customHeight="1">
      <c r="A50" s="3615"/>
      <c r="B50" s="3615"/>
      <c r="C50" s="3568"/>
      <c r="D50" s="3616"/>
      <c r="E50" s="3617"/>
      <c r="F50" s="3617"/>
      <c r="G50" s="3617"/>
      <c r="H50" s="3616"/>
      <c r="I50" s="3568"/>
      <c r="J50" s="3568"/>
      <c r="K50" s="3568"/>
      <c r="L50" s="3568"/>
      <c r="M50" s="3568"/>
      <c r="N50" s="3597"/>
      <c r="O50" s="3568"/>
      <c r="P50" s="3568"/>
      <c r="S50" s="3593"/>
      <c r="V50" s="3604"/>
    </row>
    <row r="51" spans="1:22" ht="11.25" hidden="1" customHeight="1">
      <c r="A51" s="3615"/>
      <c r="B51" s="3615"/>
      <c r="C51" s="3568"/>
      <c r="D51" s="3616"/>
      <c r="E51" s="3617"/>
      <c r="F51" s="3617"/>
      <c r="G51" s="3617"/>
      <c r="H51" s="3616"/>
      <c r="I51" s="3568"/>
      <c r="J51" s="3568"/>
      <c r="K51" s="3568"/>
      <c r="L51" s="3568"/>
      <c r="M51" s="3568"/>
      <c r="N51" s="3597"/>
      <c r="O51" s="3568"/>
      <c r="P51" s="3568"/>
      <c r="S51" s="3593"/>
      <c r="V51" s="3604"/>
    </row>
    <row r="52" spans="1:22" ht="11.25" hidden="1" customHeight="1">
      <c r="A52" s="3615"/>
      <c r="B52" s="3615"/>
      <c r="C52" s="3568"/>
      <c r="D52" s="3616"/>
      <c r="E52" s="3617"/>
      <c r="F52" s="3617"/>
      <c r="G52" s="3617"/>
      <c r="H52" s="3616"/>
      <c r="I52" s="3568"/>
      <c r="J52" s="3568"/>
      <c r="K52" s="3568"/>
      <c r="L52" s="3568"/>
      <c r="M52" s="3568"/>
      <c r="N52" s="3597"/>
      <c r="O52" s="3568"/>
      <c r="P52" s="3568"/>
      <c r="S52" s="3593"/>
      <c r="V52" s="3604"/>
    </row>
    <row r="53" spans="1:22" ht="11.25" hidden="1" customHeight="1">
      <c r="A53" s="3615"/>
      <c r="B53" s="3615"/>
      <c r="C53" s="3568"/>
      <c r="D53" s="3616"/>
      <c r="E53" s="3617"/>
      <c r="F53" s="3617"/>
      <c r="G53" s="3617"/>
      <c r="H53" s="3616"/>
      <c r="I53" s="3568"/>
      <c r="J53" s="3568"/>
      <c r="K53" s="3568"/>
      <c r="L53" s="3568"/>
      <c r="M53" s="3568"/>
      <c r="N53" s="3597"/>
      <c r="O53" s="3568"/>
      <c r="P53" s="3568"/>
      <c r="S53" s="3593"/>
      <c r="V53" s="3604"/>
    </row>
    <row r="54" spans="1:22" ht="11.25" hidden="1" customHeight="1">
      <c r="A54" s="3615"/>
      <c r="B54" s="3615"/>
      <c r="C54" s="3568"/>
      <c r="D54" s="3616"/>
      <c r="E54" s="3617"/>
      <c r="F54" s="3617"/>
      <c r="G54" s="3617"/>
      <c r="H54" s="3616"/>
      <c r="I54" s="3568"/>
      <c r="J54" s="3568"/>
      <c r="K54" s="3568"/>
      <c r="L54" s="3568"/>
      <c r="M54" s="3568"/>
      <c r="N54" s="3597"/>
      <c r="O54" s="3568"/>
      <c r="P54" s="3568"/>
      <c r="S54" s="3593"/>
      <c r="V54" s="3604"/>
    </row>
    <row r="55" spans="1:22" ht="11.25" hidden="1" customHeight="1">
      <c r="A55" s="3615"/>
      <c r="B55" s="3615"/>
      <c r="C55" s="3568"/>
      <c r="D55" s="3616"/>
      <c r="E55" s="3617"/>
      <c r="F55" s="3617"/>
      <c r="G55" s="3617"/>
      <c r="H55" s="3616"/>
      <c r="I55" s="3568"/>
      <c r="J55" s="3568"/>
      <c r="K55" s="3568"/>
      <c r="L55" s="3568"/>
      <c r="M55" s="3568"/>
      <c r="N55" s="3597"/>
      <c r="O55" s="3568"/>
      <c r="P55" s="3568"/>
      <c r="S55" s="3593"/>
      <c r="V55" s="3604"/>
    </row>
    <row r="56" spans="1:22" ht="11.25" hidden="1" customHeight="1">
      <c r="A56" s="3615"/>
      <c r="B56" s="3615"/>
      <c r="C56" s="3568"/>
      <c r="D56" s="3616"/>
      <c r="E56" s="3617"/>
      <c r="F56" s="3617"/>
      <c r="G56" s="3617"/>
      <c r="H56" s="3616"/>
      <c r="I56" s="3568"/>
      <c r="J56" s="3568"/>
      <c r="K56" s="3568"/>
      <c r="L56" s="3568"/>
      <c r="M56" s="3568"/>
      <c r="N56" s="3597"/>
      <c r="O56" s="3568"/>
      <c r="P56" s="3568"/>
      <c r="S56" s="3593"/>
      <c r="V56" s="3604"/>
    </row>
    <row r="57" spans="1:22" ht="11.25" hidden="1" customHeight="1">
      <c r="A57" s="3615"/>
      <c r="B57" s="3615"/>
      <c r="C57" s="3568"/>
      <c r="D57" s="3616"/>
      <c r="E57" s="3617"/>
      <c r="F57" s="3617"/>
      <c r="G57" s="3617"/>
      <c r="H57" s="3616"/>
      <c r="I57" s="3568"/>
      <c r="J57" s="3568"/>
      <c r="K57" s="3568"/>
      <c r="L57" s="3568"/>
      <c r="M57" s="3568"/>
      <c r="N57" s="3597"/>
      <c r="O57" s="3568"/>
      <c r="P57" s="3568"/>
      <c r="S57" s="3593"/>
      <c r="V57" s="3604"/>
    </row>
    <row r="58" spans="1:22" ht="5.25" customHeight="1">
      <c r="A58" s="3615"/>
      <c r="B58" s="3615"/>
      <c r="C58" s="3568"/>
      <c r="D58" s="3616"/>
      <c r="E58" s="3627"/>
      <c r="F58" s="3627"/>
      <c r="G58" s="3627"/>
      <c r="H58" s="3627"/>
      <c r="I58" s="3568"/>
      <c r="J58" s="3568"/>
      <c r="K58" s="3568"/>
      <c r="L58" s="3568"/>
      <c r="M58" s="3568"/>
      <c r="N58" s="3597"/>
      <c r="O58" s="3568"/>
      <c r="P58" s="3568"/>
      <c r="S58" s="3593"/>
      <c r="V58" s="3604"/>
    </row>
    <row r="59" spans="1:22" ht="6" customHeight="1">
      <c r="A59" s="3568"/>
      <c r="B59" s="3568"/>
      <c r="C59" s="3568"/>
      <c r="D59" s="3568"/>
      <c r="E59" s="3628"/>
      <c r="F59" s="3628"/>
      <c r="G59" s="3628"/>
      <c r="H59" s="3628"/>
      <c r="I59" s="3568"/>
      <c r="J59" s="3568"/>
      <c r="K59" s="3568"/>
      <c r="L59" s="3568"/>
      <c r="M59" s="3568"/>
      <c r="N59" s="3597"/>
      <c r="O59" s="3568"/>
      <c r="P59" s="3568"/>
      <c r="S59" s="3593"/>
      <c r="V59" s="3604"/>
    </row>
    <row r="60" spans="1:22" ht="15" customHeight="1">
      <c r="A60" s="3568"/>
      <c r="B60" s="3568"/>
      <c r="C60" s="3568"/>
      <c r="D60" s="3568"/>
      <c r="E60" s="4758" t="s">
        <v>4145</v>
      </c>
      <c r="F60" s="4758"/>
      <c r="G60" s="3629"/>
      <c r="H60" s="3629"/>
      <c r="I60" s="3568"/>
      <c r="J60" s="3568"/>
      <c r="K60" s="3568"/>
      <c r="L60" s="3568"/>
      <c r="M60" s="3568"/>
      <c r="N60" s="3597"/>
      <c r="O60" s="3568"/>
      <c r="P60" s="3568"/>
      <c r="S60" s="3593"/>
      <c r="V60" s="3604"/>
    </row>
    <row r="61" spans="1:22" ht="6" customHeight="1">
      <c r="A61" s="3568"/>
      <c r="B61" s="3568"/>
      <c r="C61" s="3568"/>
      <c r="D61" s="3568"/>
      <c r="E61" s="3600"/>
      <c r="F61" s="3601"/>
      <c r="G61" s="3568"/>
      <c r="H61" s="3589"/>
      <c r="I61" s="3568"/>
      <c r="J61" s="3568"/>
      <c r="K61" s="3568"/>
      <c r="L61" s="3568"/>
      <c r="M61" s="3568"/>
      <c r="N61" s="3597"/>
      <c r="O61" s="3568"/>
      <c r="P61" s="3589"/>
      <c r="S61" s="3593"/>
      <c r="V61" s="3604"/>
    </row>
    <row r="62" spans="1:22" ht="24" customHeight="1">
      <c r="A62" s="3568"/>
      <c r="B62" s="3568"/>
      <c r="C62" s="3568"/>
      <c r="D62" s="3589"/>
      <c r="E62" s="4752" t="s">
        <v>471</v>
      </c>
      <c r="F62" s="3630" t="s">
        <v>4146</v>
      </c>
      <c r="G62" s="3589"/>
      <c r="H62" s="3626" t="s">
        <v>473</v>
      </c>
      <c r="I62" s="3596"/>
      <c r="J62" s="3568"/>
      <c r="K62" s="3568"/>
      <c r="L62" s="3568"/>
      <c r="M62" s="3568"/>
      <c r="N62" s="3597"/>
      <c r="O62" s="3589"/>
      <c r="P62" s="3623" t="s">
        <v>4103</v>
      </c>
      <c r="S62" s="3593"/>
      <c r="V62" s="3612" t="s">
        <v>4147</v>
      </c>
    </row>
    <row r="63" spans="1:22" ht="24" customHeight="1">
      <c r="A63" s="3568"/>
      <c r="B63" s="3568"/>
      <c r="C63" s="3568"/>
      <c r="D63" s="3589"/>
      <c r="E63" s="4752"/>
      <c r="F63" s="3630" t="s">
        <v>4148</v>
      </c>
      <c r="G63" s="3589"/>
      <c r="H63" s="3626" t="s">
        <v>473</v>
      </c>
      <c r="I63" s="3596"/>
      <c r="J63" s="3568"/>
      <c r="K63" s="3568"/>
      <c r="L63" s="3568"/>
      <c r="M63" s="3568"/>
      <c r="N63" s="3597"/>
      <c r="O63" s="3589"/>
      <c r="P63" s="3623" t="s">
        <v>4103</v>
      </c>
      <c r="S63" s="3593"/>
      <c r="V63" s="3612" t="s">
        <v>4149</v>
      </c>
    </row>
    <row r="64" spans="1:22" ht="15" customHeight="1">
      <c r="A64" s="3568"/>
      <c r="B64" s="3568"/>
      <c r="C64" s="3568"/>
      <c r="D64" s="3589"/>
      <c r="E64" s="4752" t="s">
        <v>475</v>
      </c>
      <c r="F64" s="3630" t="s">
        <v>4007</v>
      </c>
      <c r="G64" s="3589"/>
      <c r="H64" s="3626" t="s">
        <v>477</v>
      </c>
      <c r="I64" s="3596"/>
      <c r="J64" s="3568"/>
      <c r="K64" s="3568"/>
      <c r="L64" s="3568"/>
      <c r="M64" s="3568"/>
      <c r="N64" s="3597"/>
      <c r="O64" s="3589"/>
      <c r="P64" s="3623" t="s">
        <v>4103</v>
      </c>
      <c r="S64" s="3593"/>
      <c r="V64" s="3612" t="s">
        <v>4150</v>
      </c>
    </row>
    <row r="65" spans="1:22" ht="15" customHeight="1">
      <c r="A65" s="3568"/>
      <c r="B65" s="3568"/>
      <c r="C65" s="3568"/>
      <c r="D65" s="3589"/>
      <c r="E65" s="4752"/>
      <c r="F65" s="3630" t="s">
        <v>678</v>
      </c>
      <c r="G65" s="3589"/>
      <c r="H65" s="3626" t="s">
        <v>479</v>
      </c>
      <c r="I65" s="3596"/>
      <c r="J65" s="3568"/>
      <c r="K65" s="3568"/>
      <c r="L65" s="3568"/>
      <c r="M65" s="3568"/>
      <c r="N65" s="3597"/>
      <c r="O65" s="3589"/>
      <c r="P65" s="3623" t="s">
        <v>4103</v>
      </c>
      <c r="S65" s="3593"/>
      <c r="V65" s="3612" t="s">
        <v>4151</v>
      </c>
    </row>
    <row r="66" spans="1:22" ht="15" customHeight="1">
      <c r="A66" s="3568"/>
      <c r="B66" s="3568"/>
      <c r="C66" s="3568"/>
      <c r="D66" s="3589"/>
      <c r="E66" s="4752" t="s">
        <v>480</v>
      </c>
      <c r="F66" s="3630" t="s">
        <v>4007</v>
      </c>
      <c r="G66" s="3589"/>
      <c r="H66" s="3626" t="s">
        <v>481</v>
      </c>
      <c r="I66" s="3596"/>
      <c r="J66" s="3568"/>
      <c r="K66" s="3568"/>
      <c r="L66" s="3568"/>
      <c r="M66" s="3568"/>
      <c r="N66" s="3597"/>
      <c r="O66" s="3589"/>
      <c r="P66" s="3623" t="s">
        <v>4103</v>
      </c>
      <c r="S66" s="3593"/>
      <c r="V66" s="3612" t="s">
        <v>4152</v>
      </c>
    </row>
    <row r="67" spans="1:22" ht="15" customHeight="1">
      <c r="A67" s="3568"/>
      <c r="B67" s="3568"/>
      <c r="C67" s="3568"/>
      <c r="D67" s="3589"/>
      <c r="E67" s="4752"/>
      <c r="F67" s="3630" t="s">
        <v>678</v>
      </c>
      <c r="G67" s="3589"/>
      <c r="H67" s="3626" t="s">
        <v>482</v>
      </c>
      <c r="I67" s="3596"/>
      <c r="J67" s="3568"/>
      <c r="K67" s="3568"/>
      <c r="L67" s="3568"/>
      <c r="M67" s="3568"/>
      <c r="N67" s="3597"/>
      <c r="O67" s="3589"/>
      <c r="P67" s="3623" t="s">
        <v>4103</v>
      </c>
      <c r="S67" s="3593"/>
      <c r="V67" s="3612" t="s">
        <v>4153</v>
      </c>
    </row>
    <row r="68" spans="1:22" ht="15" customHeight="1">
      <c r="A68" s="3568"/>
      <c r="B68" s="3568"/>
      <c r="C68" s="3568"/>
      <c r="D68" s="3589"/>
      <c r="E68" s="4752" t="s">
        <v>483</v>
      </c>
      <c r="F68" s="3630" t="s">
        <v>4007</v>
      </c>
      <c r="G68" s="3589"/>
      <c r="H68" s="3626" t="s">
        <v>4154</v>
      </c>
      <c r="I68" s="3596"/>
      <c r="J68" s="3568"/>
      <c r="K68" s="3568"/>
      <c r="L68" s="3568"/>
      <c r="M68" s="3568"/>
      <c r="N68" s="3597"/>
      <c r="O68" s="3589"/>
      <c r="P68" s="3623" t="s">
        <v>4103</v>
      </c>
      <c r="S68" s="3593"/>
      <c r="V68" s="3612" t="s">
        <v>4155</v>
      </c>
    </row>
    <row r="69" spans="1:22" ht="15" customHeight="1">
      <c r="A69" s="3568"/>
      <c r="B69" s="3568"/>
      <c r="C69" s="3568"/>
      <c r="D69" s="3589"/>
      <c r="E69" s="4752"/>
      <c r="F69" s="3630" t="s">
        <v>485</v>
      </c>
      <c r="G69" s="3589"/>
      <c r="H69" s="3626" t="s">
        <v>4156</v>
      </c>
      <c r="I69" s="3596"/>
      <c r="J69" s="3568"/>
      <c r="K69" s="3568"/>
      <c r="L69" s="3568"/>
      <c r="M69" s="3568"/>
      <c r="N69" s="3597"/>
      <c r="O69" s="3589"/>
      <c r="P69" s="3623" t="s">
        <v>4103</v>
      </c>
      <c r="S69" s="3593"/>
      <c r="V69" s="3612" t="s">
        <v>4157</v>
      </c>
    </row>
    <row r="70" spans="1:22" ht="15" customHeight="1">
      <c r="A70" s="3568"/>
      <c r="B70" s="3568"/>
      <c r="C70" s="3568"/>
      <c r="D70" s="3589"/>
      <c r="E70" s="4752"/>
      <c r="F70" s="3630" t="s">
        <v>678</v>
      </c>
      <c r="G70" s="3589"/>
      <c r="H70" s="3626" t="s">
        <v>487</v>
      </c>
      <c r="I70" s="3596"/>
      <c r="J70" s="3568"/>
      <c r="K70" s="3568"/>
      <c r="L70" s="3568"/>
      <c r="M70" s="3568"/>
      <c r="N70" s="3597"/>
      <c r="O70" s="3589"/>
      <c r="P70" s="3623" t="s">
        <v>4103</v>
      </c>
      <c r="S70" s="3593"/>
      <c r="V70" s="3612" t="s">
        <v>4158</v>
      </c>
    </row>
    <row r="71" spans="1:22" ht="15" customHeight="1">
      <c r="A71" s="3568"/>
      <c r="B71" s="3568"/>
      <c r="C71" s="3568"/>
      <c r="D71" s="3589"/>
      <c r="E71" s="4752"/>
      <c r="F71" s="3630" t="s">
        <v>488</v>
      </c>
      <c r="G71" s="3589"/>
      <c r="H71" s="3626" t="s">
        <v>4159</v>
      </c>
      <c r="I71" s="3596"/>
      <c r="J71" s="3568"/>
      <c r="K71" s="3568"/>
      <c r="L71" s="3568"/>
      <c r="M71" s="3568"/>
      <c r="N71" s="3597"/>
      <c r="O71" s="3589"/>
      <c r="P71" s="3623" t="s">
        <v>4103</v>
      </c>
      <c r="S71" s="3593"/>
      <c r="V71" s="3612" t="s">
        <v>4160</v>
      </c>
    </row>
    <row r="72" spans="1:22" ht="9" customHeight="1">
      <c r="A72" s="3568"/>
      <c r="B72" s="3568"/>
      <c r="C72" s="3568"/>
      <c r="D72" s="3568"/>
      <c r="E72" s="3607"/>
      <c r="F72" s="3589"/>
      <c r="G72" s="3568"/>
      <c r="H72" s="3603"/>
      <c r="I72" s="3568"/>
      <c r="J72" s="3568"/>
      <c r="K72" s="3568"/>
      <c r="L72" s="3568"/>
      <c r="M72" s="3568"/>
      <c r="N72" s="3568"/>
      <c r="O72" s="3568"/>
      <c r="P72" s="3589"/>
    </row>
    <row r="73" spans="1:22" ht="5.25" customHeight="1">
      <c r="E73" s="3627"/>
      <c r="F73" s="3627"/>
      <c r="G73" s="3627"/>
      <c r="H73" s="3627"/>
    </row>
    <row r="74" spans="1:22" ht="5.25" customHeight="1">
      <c r="E74" s="3628"/>
      <c r="F74" s="3628"/>
      <c r="G74" s="3628"/>
      <c r="H74" s="3628"/>
    </row>
    <row r="75" spans="1:22" ht="15" customHeight="1">
      <c r="A75" s="3568"/>
      <c r="B75" s="3568"/>
      <c r="C75" s="3568"/>
      <c r="D75" s="3568"/>
      <c r="E75" s="4759" t="s">
        <v>4161</v>
      </c>
      <c r="F75" s="4759"/>
      <c r="G75" s="4759"/>
      <c r="H75" s="4759"/>
      <c r="I75" s="3568"/>
      <c r="J75" s="3568"/>
      <c r="K75" s="3568"/>
      <c r="L75" s="3568"/>
      <c r="M75" s="3568"/>
      <c r="N75" s="3568"/>
      <c r="O75" s="3568"/>
      <c r="P75" s="3568"/>
    </row>
    <row r="76" spans="1:22" ht="5.25" customHeight="1">
      <c r="E76" s="3627"/>
      <c r="F76" s="3627"/>
      <c r="G76" s="3627"/>
      <c r="H76" s="3627"/>
    </row>
    <row r="77" spans="1:22" ht="5.25" customHeight="1">
      <c r="E77" s="3628"/>
      <c r="F77" s="3628"/>
      <c r="G77" s="3628"/>
      <c r="H77" s="3628"/>
    </row>
    <row r="78" spans="1:22" ht="42" customHeight="1">
      <c r="A78" s="3615"/>
      <c r="B78" s="3615"/>
      <c r="C78" s="3568"/>
      <c r="D78" s="3616"/>
      <c r="E78" s="4752" t="s">
        <v>4162</v>
      </c>
      <c r="F78" s="4752"/>
      <c r="G78" s="3589"/>
      <c r="H78" s="3631"/>
      <c r="I78" s="3568"/>
      <c r="J78" s="3568"/>
      <c r="K78" s="3568"/>
      <c r="L78" s="3568"/>
      <c r="M78" s="3568"/>
      <c r="N78" s="3568"/>
      <c r="O78" s="3568"/>
      <c r="P78" s="3568"/>
      <c r="S78" s="3625" t="s">
        <v>4163</v>
      </c>
    </row>
    <row r="79" spans="1:22" ht="3" customHeight="1"/>
    <row r="80" spans="1:22" ht="24" customHeight="1">
      <c r="A80" s="3615"/>
      <c r="B80" s="3615"/>
      <c r="C80" s="3568"/>
      <c r="D80" s="3616"/>
      <c r="E80" s="4752" t="s">
        <v>4164</v>
      </c>
      <c r="F80" s="4752"/>
      <c r="G80" s="3589"/>
      <c r="H80" s="3632" t="str">
        <f>HYPERLINK("http://eias.fas.gov.ru/files/46ee.stx.eias.justification.rtf","Загрузить")</f>
        <v>Загрузить</v>
      </c>
      <c r="I80" s="3568"/>
      <c r="J80" s="3568"/>
      <c r="K80" s="3568"/>
      <c r="L80" s="3568"/>
      <c r="M80" s="3568"/>
      <c r="N80" s="3568"/>
      <c r="O80" s="3568"/>
      <c r="P80" s="3568"/>
      <c r="S80" s="3593"/>
    </row>
    <row r="81" spans="5:8" ht="3" hidden="1" customHeight="1"/>
    <row r="82" spans="5:8" ht="10.5" hidden="1" customHeight="1"/>
    <row r="83" spans="5:8" ht="5.25" customHeight="1">
      <c r="E83" s="3627"/>
      <c r="F83" s="3627"/>
      <c r="G83" s="3627"/>
      <c r="H83" s="3627"/>
    </row>
    <row r="84" spans="5:8" ht="5.25" customHeight="1">
      <c r="E84" s="3628"/>
      <c r="F84" s="3628"/>
      <c r="G84" s="3628"/>
      <c r="H84" s="3628"/>
    </row>
    <row r="85" spans="5:8" ht="30.75" customHeight="1">
      <c r="H85" s="3606" t="e">
        <f>"Статистика предоставления отчётов за "&amp;IF(YEAR="","(год не выбран)",YEAR&amp;" год")</f>
        <v>#NAME?</v>
      </c>
    </row>
    <row r="86" spans="5:8" ht="15" customHeight="1">
      <c r="E86" s="4757" t="s">
        <v>2001</v>
      </c>
      <c r="F86" s="3633" t="s">
        <v>4165</v>
      </c>
      <c r="G86" s="3634"/>
      <c r="H86" s="3635" t="s">
        <v>4166</v>
      </c>
    </row>
    <row r="87" spans="5:8" ht="15" customHeight="1">
      <c r="E87" s="4757"/>
      <c r="F87" s="3633" t="s">
        <v>4167</v>
      </c>
      <c r="G87" s="3634"/>
      <c r="H87" s="3635" t="s">
        <v>4168</v>
      </c>
    </row>
    <row r="88" spans="5:8" ht="15" customHeight="1">
      <c r="E88" s="4757" t="s">
        <v>3781</v>
      </c>
      <c r="F88" s="3633" t="s">
        <v>4165</v>
      </c>
      <c r="G88" s="3634"/>
      <c r="H88" s="3635" t="s">
        <v>4169</v>
      </c>
    </row>
    <row r="89" spans="5:8" ht="15" customHeight="1">
      <c r="E89" s="4757"/>
      <c r="F89" s="3633" t="s">
        <v>4167</v>
      </c>
      <c r="G89" s="3634"/>
      <c r="H89" s="3635" t="s">
        <v>4168</v>
      </c>
    </row>
    <row r="90" spans="5:8" ht="15" customHeight="1">
      <c r="E90" s="4757" t="s">
        <v>3782</v>
      </c>
      <c r="F90" s="3633" t="s">
        <v>4165</v>
      </c>
      <c r="G90" s="3634"/>
      <c r="H90" s="3635" t="s">
        <v>4170</v>
      </c>
    </row>
    <row r="91" spans="5:8" ht="15" customHeight="1">
      <c r="E91" s="4757"/>
      <c r="F91" s="3633" t="s">
        <v>4167</v>
      </c>
      <c r="G91" s="3634"/>
      <c r="H91" s="3635" t="s">
        <v>4168</v>
      </c>
    </row>
    <row r="92" spans="5:8" ht="15" customHeight="1">
      <c r="E92" s="4757" t="s">
        <v>666</v>
      </c>
      <c r="F92" s="3633" t="s">
        <v>4165</v>
      </c>
      <c r="G92" s="3634"/>
      <c r="H92" s="3635" t="s">
        <v>4171</v>
      </c>
    </row>
    <row r="93" spans="5:8" ht="15" customHeight="1">
      <c r="E93" s="4757"/>
      <c r="F93" s="3633" t="s">
        <v>4167</v>
      </c>
      <c r="G93" s="3634"/>
      <c r="H93" s="3635" t="s">
        <v>4168</v>
      </c>
    </row>
    <row r="94" spans="5:8" ht="15" customHeight="1">
      <c r="E94" s="4757" t="s">
        <v>3783</v>
      </c>
      <c r="F94" s="3633" t="s">
        <v>4165</v>
      </c>
      <c r="G94" s="3634"/>
      <c r="H94" s="3635" t="s">
        <v>4172</v>
      </c>
    </row>
    <row r="95" spans="5:8" ht="15" customHeight="1">
      <c r="E95" s="4757"/>
      <c r="F95" s="3633" t="s">
        <v>4167</v>
      </c>
      <c r="G95" s="3634"/>
      <c r="H95" s="3635" t="s">
        <v>4168</v>
      </c>
    </row>
    <row r="96" spans="5:8" ht="15" customHeight="1">
      <c r="E96" s="4757" t="s">
        <v>3784</v>
      </c>
      <c r="F96" s="3633" t="s">
        <v>4165</v>
      </c>
      <c r="G96" s="3634"/>
      <c r="H96" s="3635" t="s">
        <v>4173</v>
      </c>
    </row>
    <row r="97" spans="5:8" ht="15" customHeight="1">
      <c r="E97" s="4757"/>
      <c r="F97" s="3633" t="s">
        <v>4167</v>
      </c>
      <c r="G97" s="3634"/>
      <c r="H97" s="3635" t="s">
        <v>4168</v>
      </c>
    </row>
    <row r="98" spans="5:8" ht="15" customHeight="1">
      <c r="E98" s="4757" t="s">
        <v>3785</v>
      </c>
      <c r="F98" s="3633" t="s">
        <v>4165</v>
      </c>
      <c r="G98" s="3634"/>
      <c r="H98" s="3635" t="s">
        <v>4174</v>
      </c>
    </row>
    <row r="99" spans="5:8" ht="15" customHeight="1">
      <c r="E99" s="4757"/>
      <c r="F99" s="3633" t="s">
        <v>4167</v>
      </c>
      <c r="G99" s="3634"/>
      <c r="H99" s="3635" t="s">
        <v>4168</v>
      </c>
    </row>
    <row r="100" spans="5:8" ht="15" customHeight="1">
      <c r="E100" s="4757" t="s">
        <v>3786</v>
      </c>
      <c r="F100" s="3633" t="s">
        <v>4165</v>
      </c>
      <c r="G100" s="3634"/>
      <c r="H100" s="3635" t="s">
        <v>4175</v>
      </c>
    </row>
    <row r="101" spans="5:8" ht="15" customHeight="1">
      <c r="E101" s="4757"/>
      <c r="F101" s="3633" t="s">
        <v>4167</v>
      </c>
      <c r="G101" s="3634"/>
      <c r="H101" s="3635" t="s">
        <v>4168</v>
      </c>
    </row>
    <row r="102" spans="5:8" ht="10.5" hidden="1" customHeight="1">
      <c r="E102" s="4757" t="s">
        <v>3787</v>
      </c>
      <c r="F102" s="3633" t="s">
        <v>4165</v>
      </c>
      <c r="G102" s="3634"/>
      <c r="H102" s="3636"/>
    </row>
    <row r="103" spans="5:8" ht="10.5" hidden="1" customHeight="1">
      <c r="E103" s="4757"/>
      <c r="F103" s="3633" t="s">
        <v>4167</v>
      </c>
      <c r="G103" s="3634"/>
      <c r="H103" s="3636"/>
    </row>
    <row r="104" spans="5:8" ht="10.5" hidden="1" customHeight="1">
      <c r="E104" s="4757" t="s">
        <v>3788</v>
      </c>
      <c r="F104" s="3633" t="s">
        <v>4165</v>
      </c>
      <c r="G104" s="3634"/>
      <c r="H104" s="3636"/>
    </row>
    <row r="105" spans="5:8" ht="10.5" hidden="1" customHeight="1">
      <c r="E105" s="4757"/>
      <c r="F105" s="3633" t="s">
        <v>4167</v>
      </c>
      <c r="G105" s="3634"/>
      <c r="H105" s="3636"/>
    </row>
    <row r="106" spans="5:8" ht="10.5" hidden="1" customHeight="1">
      <c r="E106" s="4757" t="s">
        <v>3789</v>
      </c>
      <c r="F106" s="3633" t="s">
        <v>4165</v>
      </c>
      <c r="G106" s="3634"/>
      <c r="H106" s="3636"/>
    </row>
    <row r="107" spans="5:8" ht="10.5" hidden="1" customHeight="1">
      <c r="E107" s="4757"/>
      <c r="F107" s="3633" t="s">
        <v>4167</v>
      </c>
      <c r="G107" s="3634"/>
      <c r="H107" s="3636"/>
    </row>
    <row r="108" spans="5:8" ht="10.5" hidden="1" customHeight="1">
      <c r="E108" s="4757" t="s">
        <v>3790</v>
      </c>
      <c r="F108" s="3633" t="s">
        <v>4165</v>
      </c>
      <c r="G108" s="3634"/>
      <c r="H108" s="3636"/>
    </row>
    <row r="109" spans="5:8" ht="10.5" hidden="1" customHeight="1">
      <c r="E109" s="4757"/>
      <c r="F109" s="3633" t="s">
        <v>4167</v>
      </c>
      <c r="G109" s="3634"/>
      <c r="H109" s="3636"/>
    </row>
    <row r="110" spans="5:8" ht="5.25" customHeight="1">
      <c r="E110" s="3627"/>
      <c r="F110" s="3627"/>
      <c r="G110" s="3627"/>
      <c r="H110" s="3627"/>
    </row>
    <row r="111" spans="5:8" ht="5.25" customHeight="1">
      <c r="E111" s="3628"/>
      <c r="F111" s="3628"/>
      <c r="G111" s="3628"/>
      <c r="H111" s="3628"/>
    </row>
  </sheetData>
  <sheetProtection formatColumns="0" formatRows="0" insertRows="0" deleteColumns="0" deleteRows="0" sort="0" autoFilter="0"/>
  <mergeCells count="42">
    <mergeCell ref="E106:E107"/>
    <mergeCell ref="E108:E109"/>
    <mergeCell ref="E94:E95"/>
    <mergeCell ref="E96:E97"/>
    <mergeCell ref="E98:E99"/>
    <mergeCell ref="E100:E101"/>
    <mergeCell ref="E102:E103"/>
    <mergeCell ref="E104:E105"/>
    <mergeCell ref="E92:E93"/>
    <mergeCell ref="E60:F60"/>
    <mergeCell ref="E62:E63"/>
    <mergeCell ref="E64:E65"/>
    <mergeCell ref="E66:E67"/>
    <mergeCell ref="E68:E71"/>
    <mergeCell ref="E75:H75"/>
    <mergeCell ref="E78:F78"/>
    <mergeCell ref="E80:F80"/>
    <mergeCell ref="E86:E87"/>
    <mergeCell ref="E88:E89"/>
    <mergeCell ref="E90:E91"/>
    <mergeCell ref="E45:F45"/>
    <mergeCell ref="E22:F22"/>
    <mergeCell ref="E23:F23"/>
    <mergeCell ref="E25:F25"/>
    <mergeCell ref="E27:F27"/>
    <mergeCell ref="E29:F29"/>
    <mergeCell ref="E33:F33"/>
    <mergeCell ref="E35:F35"/>
    <mergeCell ref="E37:F37"/>
    <mergeCell ref="E39:F39"/>
    <mergeCell ref="E41:F41"/>
    <mergeCell ref="E43:F43"/>
    <mergeCell ref="E4:H4"/>
    <mergeCell ref="E6:F6"/>
    <mergeCell ref="S10:S13"/>
    <mergeCell ref="E11:F11"/>
    <mergeCell ref="E12:F12"/>
    <mergeCell ref="S15:S30"/>
    <mergeCell ref="E16:F16"/>
    <mergeCell ref="E18:F18"/>
    <mergeCell ref="E20:F20"/>
    <mergeCell ref="E21:F21"/>
  </mergeCells>
  <dataValidations count="6">
    <dataValidation type="list" allowBlank="1" showInputMessage="1" showErrorMessage="1" promptTitle="Внимание" prompt="Пожалуйста, выберите значение из списка" sqref="H45">
      <formula1>TAX_SYSTEM_LIST</formula1>
    </dataValidation>
    <dataValidation type="list" allowBlank="1" showInputMessage="1" showErrorMessage="1" promptTitle="Внимание" prompt="Пожалуйста, выберите значение из списка" sqref="H43">
      <formula1>EE_PURCHASE_METHOD_LIST</formula1>
    </dataValidation>
    <dataValidation type="list" allowBlank="1" showInputMessage="1" showErrorMessage="1" promptTitle="Внимание" prompt="Пожалуйста, выберите значение из списка" sqref="H41 H39 H37">
      <formula1>YES_NO</formula1>
    </dataValidation>
    <dataValidation type="list" allowBlank="1" showInputMessage="1" showErrorMessage="1" promptTitle="Внимание" prompt="Пожалуйста, выберите значение из списка" sqref="H27">
      <formula1>REPORT_TYPE_LIST</formula1>
    </dataValidation>
    <dataValidation type="list" allowBlank="1" showInputMessage="1" showErrorMessage="1" promptTitle="Внимание" prompt="Пожалуйста, выберите значение из списка" sqref="H23">
      <formula1>LIST_OKOPF_DATA</formula1>
    </dataValidation>
    <dataValidation type="list" allowBlank="1" showInputMessage="1" showErrorMessage="1" promptTitle="Внимание" prompt="Пожалуйста, выберите значение из списка" sqref="H12">
      <formula1>MONTH_LIST</formula1>
    </dataValidation>
  </dataValidations>
  <hyperlinks>
    <hyperlink ref="E8" r:id="rId1" display="https://sp.eias.ru/knowledgebase.php?article=124"/>
    <hyperlink ref="H80" r:id="rId2" display="http://eias.fas.gov.ru/files/46ee.stx.eias.justification.rtf"/>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3DBDB"/>
  </sheetPr>
  <dimension ref="A1:CY94"/>
  <sheetViews>
    <sheetView showGridLines="0" topLeftCell="C61" workbookViewId="0">
      <selection activeCell="BM51" sqref="BM51"/>
    </sheetView>
  </sheetViews>
  <sheetFormatPr defaultColWidth="9.140625" defaultRowHeight="10.5" customHeight="1"/>
  <cols>
    <col min="1" max="2" width="4.7109375" style="3637" hidden="1" customWidth="1"/>
    <col min="3" max="3" width="2.7109375" style="3637" customWidth="1"/>
    <col min="4" max="4" width="70.7109375" style="3638" customWidth="1"/>
    <col min="5" max="5" width="6.7109375" style="3637" customWidth="1"/>
    <col min="6" max="103" width="12.7109375" style="3637" customWidth="1"/>
    <col min="104" max="16384" width="9.140625" style="3560"/>
  </cols>
  <sheetData>
    <row r="1" spans="1:103" ht="10.5" hidden="1" customHeight="1">
      <c r="F1" s="3639" t="s">
        <v>4176</v>
      </c>
      <c r="G1" s="3639" t="s">
        <v>4176</v>
      </c>
      <c r="H1" s="3639" t="s">
        <v>4176</v>
      </c>
      <c r="I1" s="3639" t="s">
        <v>4176</v>
      </c>
      <c r="J1" s="3639" t="s">
        <v>4176</v>
      </c>
      <c r="K1" s="3639" t="s">
        <v>4176</v>
      </c>
      <c r="L1" s="3639" t="s">
        <v>4176</v>
      </c>
      <c r="M1" s="3639" t="s">
        <v>4176</v>
      </c>
      <c r="N1" s="3639" t="s">
        <v>4176</v>
      </c>
      <c r="O1" s="3639" t="s">
        <v>4176</v>
      </c>
      <c r="P1" s="3639" t="s">
        <v>4176</v>
      </c>
      <c r="Q1" s="3639" t="s">
        <v>4176</v>
      </c>
      <c r="R1" s="3639" t="s">
        <v>4176</v>
      </c>
      <c r="S1" s="3639" t="s">
        <v>4176</v>
      </c>
      <c r="T1" s="3639" t="s">
        <v>4177</v>
      </c>
      <c r="U1" s="3639" t="s">
        <v>4177</v>
      </c>
      <c r="V1" s="3639" t="s">
        <v>4177</v>
      </c>
      <c r="W1" s="3639" t="s">
        <v>4177</v>
      </c>
      <c r="X1" s="3639" t="s">
        <v>4177</v>
      </c>
      <c r="Y1" s="3639" t="s">
        <v>4177</v>
      </c>
      <c r="Z1" s="3639" t="s">
        <v>4177</v>
      </c>
      <c r="AA1" s="3639" t="s">
        <v>4177</v>
      </c>
      <c r="AB1" s="3639" t="s">
        <v>4177</v>
      </c>
      <c r="AC1" s="3639" t="s">
        <v>4177</v>
      </c>
      <c r="AD1" s="3639" t="s">
        <v>4177</v>
      </c>
      <c r="AE1" s="3639" t="s">
        <v>4177</v>
      </c>
      <c r="AF1" s="3639" t="s">
        <v>4177</v>
      </c>
      <c r="AG1" s="3639" t="s">
        <v>4177</v>
      </c>
      <c r="AH1" s="3639" t="s">
        <v>4178</v>
      </c>
      <c r="AI1" s="3639" t="s">
        <v>4178</v>
      </c>
      <c r="AJ1" s="3639" t="s">
        <v>4178</v>
      </c>
      <c r="AK1" s="3639" t="s">
        <v>4178</v>
      </c>
      <c r="AL1" s="3639" t="s">
        <v>4178</v>
      </c>
      <c r="AM1" s="3639" t="s">
        <v>4178</v>
      </c>
      <c r="AN1" s="3639" t="s">
        <v>4178</v>
      </c>
      <c r="AO1" s="3639" t="s">
        <v>4178</v>
      </c>
      <c r="AP1" s="3639" t="s">
        <v>4178</v>
      </c>
      <c r="AQ1" s="3639" t="s">
        <v>4178</v>
      </c>
      <c r="AR1" s="3639" t="s">
        <v>4178</v>
      </c>
      <c r="AS1" s="3639" t="s">
        <v>4178</v>
      </c>
      <c r="AT1" s="3639" t="s">
        <v>4178</v>
      </c>
      <c r="AU1" s="3639" t="s">
        <v>4178</v>
      </c>
      <c r="AV1" s="3639" t="s">
        <v>4178</v>
      </c>
      <c r="AW1" s="3639" t="s">
        <v>4178</v>
      </c>
      <c r="AX1" s="3639" t="s">
        <v>4178</v>
      </c>
      <c r="AY1" s="3639" t="s">
        <v>4178</v>
      </c>
      <c r="AZ1" s="3639" t="s">
        <v>4178</v>
      </c>
      <c r="BA1" s="3639" t="s">
        <v>4178</v>
      </c>
      <c r="BB1" s="3639" t="s">
        <v>4178</v>
      </c>
      <c r="BC1" s="3639" t="s">
        <v>4178</v>
      </c>
      <c r="BD1" s="3639" t="s">
        <v>4178</v>
      </c>
      <c r="BE1" s="3639" t="s">
        <v>4178</v>
      </c>
      <c r="BF1" s="3639" t="s">
        <v>4178</v>
      </c>
      <c r="BG1" s="3639" t="s">
        <v>4178</v>
      </c>
      <c r="BH1" s="3639" t="s">
        <v>4178</v>
      </c>
      <c r="BI1" s="3639" t="s">
        <v>4178</v>
      </c>
      <c r="BJ1" s="3639" t="s">
        <v>4179</v>
      </c>
      <c r="BK1" s="3639" t="s">
        <v>4179</v>
      </c>
      <c r="BL1" s="3639" t="s">
        <v>4179</v>
      </c>
      <c r="BM1" s="3639" t="s">
        <v>4179</v>
      </c>
      <c r="BN1" s="3639" t="s">
        <v>4179</v>
      </c>
      <c r="BO1" s="3639" t="s">
        <v>4179</v>
      </c>
      <c r="BP1" s="3639" t="s">
        <v>4179</v>
      </c>
      <c r="BQ1" s="3639" t="s">
        <v>4179</v>
      </c>
      <c r="BR1" s="3639" t="s">
        <v>4179</v>
      </c>
      <c r="BS1" s="3639" t="s">
        <v>4179</v>
      </c>
      <c r="BT1" s="3639" t="s">
        <v>4179</v>
      </c>
      <c r="BU1" s="3639" t="s">
        <v>4179</v>
      </c>
      <c r="BV1" s="3639" t="s">
        <v>4179</v>
      </c>
      <c r="BW1" s="3639" t="s">
        <v>4179</v>
      </c>
      <c r="BX1" s="3639" t="s">
        <v>4179</v>
      </c>
      <c r="BY1" s="3639" t="s">
        <v>4179</v>
      </c>
      <c r="BZ1" s="3639" t="s">
        <v>4179</v>
      </c>
      <c r="CA1" s="3639" t="s">
        <v>4179</v>
      </c>
      <c r="CB1" s="3639" t="s">
        <v>4179</v>
      </c>
      <c r="CC1" s="3639" t="s">
        <v>4179</v>
      </c>
      <c r="CD1" s="3639" t="s">
        <v>4179</v>
      </c>
      <c r="CE1" s="3639" t="s">
        <v>4179</v>
      </c>
      <c r="CF1" s="3639" t="s">
        <v>4179</v>
      </c>
      <c r="CG1" s="3639" t="s">
        <v>4179</v>
      </c>
      <c r="CH1" s="3639" t="s">
        <v>4179</v>
      </c>
      <c r="CI1" s="3639" t="s">
        <v>4179</v>
      </c>
      <c r="CJ1" s="3639" t="s">
        <v>4179</v>
      </c>
      <c r="CK1" s="3639" t="s">
        <v>4179</v>
      </c>
      <c r="CL1" s="3639" t="s">
        <v>4179</v>
      </c>
      <c r="CM1" s="3639" t="s">
        <v>4179</v>
      </c>
      <c r="CN1" s="3639" t="s">
        <v>4179</v>
      </c>
      <c r="CO1" s="3639" t="s">
        <v>4179</v>
      </c>
      <c r="CP1" s="3639" t="s">
        <v>4179</v>
      </c>
      <c r="CQ1" s="3639" t="s">
        <v>4179</v>
      </c>
      <c r="CR1" s="3639" t="s">
        <v>4179</v>
      </c>
      <c r="CS1" s="3639" t="s">
        <v>4179</v>
      </c>
      <c r="CT1" s="3639" t="s">
        <v>4179</v>
      </c>
      <c r="CU1" s="3639" t="s">
        <v>4179</v>
      </c>
      <c r="CV1" s="3639" t="s">
        <v>4179</v>
      </c>
      <c r="CW1" s="3639" t="s">
        <v>4179</v>
      </c>
      <c r="CX1" s="3639" t="s">
        <v>4179</v>
      </c>
      <c r="CY1" s="3639" t="s">
        <v>4179</v>
      </c>
    </row>
    <row r="2" spans="1:103" ht="10.5" hidden="1" customHeight="1">
      <c r="F2" s="3639" t="s">
        <v>4180</v>
      </c>
      <c r="G2" s="3639" t="s">
        <v>4181</v>
      </c>
      <c r="H2" s="3639" t="s">
        <v>4182</v>
      </c>
      <c r="I2" s="3639" t="s">
        <v>4183</v>
      </c>
      <c r="J2" s="3639" t="s">
        <v>4184</v>
      </c>
      <c r="K2" s="3639" t="s">
        <v>4185</v>
      </c>
      <c r="L2" s="3639" t="s">
        <v>4186</v>
      </c>
      <c r="M2" s="3639" t="s">
        <v>4180</v>
      </c>
      <c r="N2" s="3639" t="s">
        <v>4181</v>
      </c>
      <c r="O2" s="3639" t="s">
        <v>4182</v>
      </c>
      <c r="P2" s="3639" t="s">
        <v>4183</v>
      </c>
      <c r="Q2" s="3639" t="s">
        <v>4184</v>
      </c>
      <c r="R2" s="3639" t="s">
        <v>4185</v>
      </c>
      <c r="S2" s="3639" t="s">
        <v>4186</v>
      </c>
      <c r="T2" s="3639" t="s">
        <v>4180</v>
      </c>
      <c r="U2" s="3639" t="s">
        <v>4181</v>
      </c>
      <c r="V2" s="3639" t="s">
        <v>4182</v>
      </c>
      <c r="W2" s="3639" t="s">
        <v>4183</v>
      </c>
      <c r="X2" s="3639" t="s">
        <v>4184</v>
      </c>
      <c r="Y2" s="3639" t="s">
        <v>4185</v>
      </c>
      <c r="Z2" s="3639" t="s">
        <v>4186</v>
      </c>
      <c r="AA2" s="3639" t="s">
        <v>4180</v>
      </c>
      <c r="AB2" s="3639" t="s">
        <v>4181</v>
      </c>
      <c r="AC2" s="3639" t="s">
        <v>4182</v>
      </c>
      <c r="AD2" s="3639" t="s">
        <v>4183</v>
      </c>
      <c r="AE2" s="3639" t="s">
        <v>4184</v>
      </c>
      <c r="AF2" s="3639" t="s">
        <v>4185</v>
      </c>
      <c r="AG2" s="3639" t="s">
        <v>4186</v>
      </c>
      <c r="AH2" s="3639" t="s">
        <v>4180</v>
      </c>
      <c r="AI2" s="3639" t="s">
        <v>4181</v>
      </c>
      <c r="AJ2" s="3639" t="s">
        <v>4182</v>
      </c>
      <c r="AK2" s="3639" t="s">
        <v>4183</v>
      </c>
      <c r="AL2" s="3639" t="s">
        <v>4184</v>
      </c>
      <c r="AM2" s="3639" t="s">
        <v>4185</v>
      </c>
      <c r="AN2" s="3639" t="s">
        <v>4186</v>
      </c>
      <c r="AO2" s="3639" t="s">
        <v>4180</v>
      </c>
      <c r="AP2" s="3639" t="s">
        <v>4181</v>
      </c>
      <c r="AQ2" s="3639" t="s">
        <v>4182</v>
      </c>
      <c r="AR2" s="3639" t="s">
        <v>4183</v>
      </c>
      <c r="AS2" s="3639" t="s">
        <v>4184</v>
      </c>
      <c r="AT2" s="3639" t="s">
        <v>4185</v>
      </c>
      <c r="AU2" s="3639" t="s">
        <v>4186</v>
      </c>
      <c r="AV2" s="3639" t="s">
        <v>4180</v>
      </c>
      <c r="AW2" s="3639" t="s">
        <v>4181</v>
      </c>
      <c r="AX2" s="3639" t="s">
        <v>4182</v>
      </c>
      <c r="AY2" s="3639" t="s">
        <v>4183</v>
      </c>
      <c r="AZ2" s="3639" t="s">
        <v>4184</v>
      </c>
      <c r="BA2" s="3639" t="s">
        <v>4185</v>
      </c>
      <c r="BB2" s="3639" t="s">
        <v>4186</v>
      </c>
      <c r="BC2" s="3639" t="s">
        <v>4180</v>
      </c>
      <c r="BD2" s="3639" t="s">
        <v>4181</v>
      </c>
      <c r="BE2" s="3639" t="s">
        <v>4182</v>
      </c>
      <c r="BF2" s="3639" t="s">
        <v>4183</v>
      </c>
      <c r="BG2" s="3639" t="s">
        <v>4184</v>
      </c>
      <c r="BH2" s="3639" t="s">
        <v>4185</v>
      </c>
      <c r="BI2" s="3639" t="s">
        <v>4186</v>
      </c>
      <c r="BJ2" s="3639" t="s">
        <v>4180</v>
      </c>
      <c r="BK2" s="3639" t="s">
        <v>4181</v>
      </c>
      <c r="BL2" s="3639" t="s">
        <v>4182</v>
      </c>
      <c r="BM2" s="3639" t="s">
        <v>4183</v>
      </c>
      <c r="BN2" s="3639" t="s">
        <v>4184</v>
      </c>
      <c r="BO2" s="3639" t="s">
        <v>4185</v>
      </c>
      <c r="BP2" s="3639" t="s">
        <v>4186</v>
      </c>
      <c r="BQ2" s="3639" t="s">
        <v>4180</v>
      </c>
      <c r="BR2" s="3639" t="s">
        <v>4181</v>
      </c>
      <c r="BS2" s="3639" t="s">
        <v>4182</v>
      </c>
      <c r="BT2" s="3639" t="s">
        <v>4183</v>
      </c>
      <c r="BU2" s="3639" t="s">
        <v>4184</v>
      </c>
      <c r="BV2" s="3639" t="s">
        <v>4185</v>
      </c>
      <c r="BW2" s="3639" t="s">
        <v>4186</v>
      </c>
      <c r="BX2" s="3639" t="s">
        <v>4180</v>
      </c>
      <c r="BY2" s="3639" t="s">
        <v>4181</v>
      </c>
      <c r="BZ2" s="3639" t="s">
        <v>4182</v>
      </c>
      <c r="CA2" s="3639" t="s">
        <v>4183</v>
      </c>
      <c r="CB2" s="3639" t="s">
        <v>4184</v>
      </c>
      <c r="CC2" s="3639" t="s">
        <v>4185</v>
      </c>
      <c r="CD2" s="3639" t="s">
        <v>4186</v>
      </c>
      <c r="CE2" s="3639" t="s">
        <v>4180</v>
      </c>
      <c r="CF2" s="3639" t="s">
        <v>4181</v>
      </c>
      <c r="CG2" s="3639" t="s">
        <v>4182</v>
      </c>
      <c r="CH2" s="3639" t="s">
        <v>4183</v>
      </c>
      <c r="CI2" s="3639" t="s">
        <v>4184</v>
      </c>
      <c r="CJ2" s="3639" t="s">
        <v>4185</v>
      </c>
      <c r="CK2" s="3639" t="s">
        <v>4186</v>
      </c>
      <c r="CL2" s="3639" t="s">
        <v>4180</v>
      </c>
      <c r="CM2" s="3639" t="s">
        <v>4181</v>
      </c>
      <c r="CN2" s="3639" t="s">
        <v>4182</v>
      </c>
      <c r="CO2" s="3639" t="s">
        <v>4183</v>
      </c>
      <c r="CP2" s="3639" t="s">
        <v>4184</v>
      </c>
      <c r="CQ2" s="3639" t="s">
        <v>4185</v>
      </c>
      <c r="CR2" s="3639" t="s">
        <v>4186</v>
      </c>
      <c r="CS2" s="3639" t="s">
        <v>4180</v>
      </c>
      <c r="CT2" s="3639" t="s">
        <v>4181</v>
      </c>
      <c r="CU2" s="3639" t="s">
        <v>4182</v>
      </c>
      <c r="CV2" s="3639" t="s">
        <v>4183</v>
      </c>
      <c r="CW2" s="3639" t="s">
        <v>4184</v>
      </c>
      <c r="CX2" s="3639" t="s">
        <v>4185</v>
      </c>
      <c r="CY2" s="3639" t="s">
        <v>4186</v>
      </c>
    </row>
    <row r="3" spans="1:103" ht="10.5" hidden="1" customHeight="1">
      <c r="F3" s="3640" t="s">
        <v>4187</v>
      </c>
      <c r="G3" s="3641" t="s">
        <v>4188</v>
      </c>
      <c r="H3" s="3641" t="s">
        <v>4189</v>
      </c>
      <c r="I3" s="3641" t="s">
        <v>4190</v>
      </c>
      <c r="J3" s="3641" t="s">
        <v>4191</v>
      </c>
      <c r="K3" s="3641" t="s">
        <v>4192</v>
      </c>
      <c r="L3" s="3641" t="s">
        <v>4193</v>
      </c>
      <c r="M3" s="3640" t="s">
        <v>4194</v>
      </c>
      <c r="N3" s="3641" t="s">
        <v>4195</v>
      </c>
      <c r="O3" s="3641" t="s">
        <v>4196</v>
      </c>
      <c r="P3" s="3641" t="s">
        <v>4197</v>
      </c>
      <c r="Q3" s="3641" t="s">
        <v>4198</v>
      </c>
      <c r="R3" s="3641" t="s">
        <v>4199</v>
      </c>
      <c r="S3" s="3641" t="s">
        <v>4200</v>
      </c>
      <c r="T3" s="3640" t="s">
        <v>4201</v>
      </c>
      <c r="U3" s="3641" t="s">
        <v>4202</v>
      </c>
      <c r="V3" s="3641" t="s">
        <v>4203</v>
      </c>
      <c r="W3" s="3641" t="s">
        <v>4204</v>
      </c>
      <c r="X3" s="3641" t="s">
        <v>4205</v>
      </c>
      <c r="Y3" s="3641" t="s">
        <v>4206</v>
      </c>
      <c r="Z3" s="3641" t="s">
        <v>4207</v>
      </c>
      <c r="AA3" s="3640" t="s">
        <v>4208</v>
      </c>
      <c r="AB3" s="3641" t="s">
        <v>4209</v>
      </c>
      <c r="AC3" s="3641" t="s">
        <v>4210</v>
      </c>
      <c r="AD3" s="3641" t="s">
        <v>4211</v>
      </c>
      <c r="AE3" s="3641" t="s">
        <v>4212</v>
      </c>
      <c r="AF3" s="3641" t="s">
        <v>4213</v>
      </c>
      <c r="AG3" s="3641" t="s">
        <v>4214</v>
      </c>
      <c r="AH3" s="3640" t="s">
        <v>4215</v>
      </c>
      <c r="AI3" s="3641" t="s">
        <v>4216</v>
      </c>
      <c r="AJ3" s="3641" t="s">
        <v>4217</v>
      </c>
      <c r="AK3" s="3641" t="s">
        <v>4218</v>
      </c>
      <c r="AL3" s="3641" t="s">
        <v>4219</v>
      </c>
      <c r="AM3" s="3641" t="s">
        <v>4220</v>
      </c>
      <c r="AN3" s="3641" t="s">
        <v>4221</v>
      </c>
      <c r="AO3" s="3640" t="s">
        <v>4222</v>
      </c>
      <c r="AP3" s="3641" t="s">
        <v>4223</v>
      </c>
      <c r="AQ3" s="3641" t="s">
        <v>4224</v>
      </c>
      <c r="AR3" s="3641" t="s">
        <v>4225</v>
      </c>
      <c r="AS3" s="3641" t="s">
        <v>4226</v>
      </c>
      <c r="AT3" s="3641" t="s">
        <v>4227</v>
      </c>
      <c r="AU3" s="3641" t="s">
        <v>4228</v>
      </c>
      <c r="AV3" s="3640" t="s">
        <v>4229</v>
      </c>
      <c r="AW3" s="3641" t="s">
        <v>4230</v>
      </c>
      <c r="AX3" s="3641" t="s">
        <v>4231</v>
      </c>
      <c r="AY3" s="3641" t="s">
        <v>4232</v>
      </c>
      <c r="AZ3" s="3641" t="s">
        <v>4233</v>
      </c>
      <c r="BA3" s="3641" t="s">
        <v>4234</v>
      </c>
      <c r="BB3" s="3641" t="s">
        <v>4235</v>
      </c>
      <c r="BC3" s="3640" t="s">
        <v>4236</v>
      </c>
      <c r="BD3" s="3641" t="s">
        <v>4237</v>
      </c>
      <c r="BE3" s="3641" t="s">
        <v>4238</v>
      </c>
      <c r="BF3" s="3641" t="s">
        <v>4239</v>
      </c>
      <c r="BG3" s="3641" t="s">
        <v>4240</v>
      </c>
      <c r="BH3" s="3641" t="s">
        <v>4241</v>
      </c>
      <c r="BI3" s="3641" t="s">
        <v>4242</v>
      </c>
      <c r="BJ3" s="3640" t="s">
        <v>4243</v>
      </c>
      <c r="BK3" s="3641" t="s">
        <v>4244</v>
      </c>
      <c r="BL3" s="3641" t="s">
        <v>4245</v>
      </c>
      <c r="BM3" s="3641" t="s">
        <v>4246</v>
      </c>
      <c r="BN3" s="3641" t="s">
        <v>4247</v>
      </c>
      <c r="BO3" s="3641" t="s">
        <v>4248</v>
      </c>
      <c r="BP3" s="3641" t="s">
        <v>4249</v>
      </c>
      <c r="BQ3" s="3640" t="s">
        <v>4250</v>
      </c>
      <c r="BR3" s="3641" t="s">
        <v>4251</v>
      </c>
      <c r="BS3" s="3641" t="s">
        <v>4252</v>
      </c>
      <c r="BT3" s="3641" t="s">
        <v>4253</v>
      </c>
      <c r="BU3" s="3641" t="s">
        <v>4254</v>
      </c>
      <c r="BV3" s="3641" t="s">
        <v>4255</v>
      </c>
      <c r="BW3" s="3641" t="s">
        <v>4256</v>
      </c>
      <c r="BX3" s="3640" t="s">
        <v>4257</v>
      </c>
      <c r="BY3" s="3641" t="s">
        <v>4258</v>
      </c>
      <c r="BZ3" s="3641" t="s">
        <v>4259</v>
      </c>
      <c r="CA3" s="3641" t="s">
        <v>4260</v>
      </c>
      <c r="CB3" s="3641" t="s">
        <v>4261</v>
      </c>
      <c r="CC3" s="3641" t="s">
        <v>4262</v>
      </c>
      <c r="CD3" s="3641" t="s">
        <v>4263</v>
      </c>
      <c r="CE3" s="3640" t="s">
        <v>4264</v>
      </c>
      <c r="CF3" s="3641" t="s">
        <v>4265</v>
      </c>
      <c r="CG3" s="3641" t="s">
        <v>4266</v>
      </c>
      <c r="CH3" s="3641" t="s">
        <v>4267</v>
      </c>
      <c r="CI3" s="3641" t="s">
        <v>4268</v>
      </c>
      <c r="CJ3" s="3641" t="s">
        <v>4269</v>
      </c>
      <c r="CK3" s="3641" t="s">
        <v>4270</v>
      </c>
      <c r="CL3" s="3640" t="s">
        <v>4271</v>
      </c>
      <c r="CM3" s="3641" t="s">
        <v>4272</v>
      </c>
      <c r="CN3" s="3641" t="s">
        <v>4273</v>
      </c>
      <c r="CO3" s="3641" t="s">
        <v>4274</v>
      </c>
      <c r="CP3" s="3641" t="s">
        <v>4275</v>
      </c>
      <c r="CQ3" s="3641" t="s">
        <v>4276</v>
      </c>
      <c r="CR3" s="3641" t="s">
        <v>4277</v>
      </c>
      <c r="CS3" s="3640" t="s">
        <v>4278</v>
      </c>
      <c r="CT3" s="3641" t="s">
        <v>4279</v>
      </c>
      <c r="CU3" s="3641" t="s">
        <v>4280</v>
      </c>
      <c r="CV3" s="3641" t="s">
        <v>4281</v>
      </c>
      <c r="CW3" s="3641" t="s">
        <v>4282</v>
      </c>
      <c r="CX3" s="3641" t="s">
        <v>4283</v>
      </c>
      <c r="CY3" s="3641" t="s">
        <v>4284</v>
      </c>
    </row>
    <row r="4" spans="1:103" ht="10.5" hidden="1" customHeight="1"/>
    <row r="5" spans="1:103" ht="10.5" hidden="1" customHeight="1">
      <c r="A5" s="3642"/>
    </row>
    <row r="6" spans="1:103" ht="10.5" hidden="1" customHeight="1">
      <c r="A6" s="3642"/>
    </row>
    <row r="7" spans="1:103" ht="6" customHeight="1">
      <c r="A7" s="3642"/>
    </row>
    <row r="8" spans="1:103" ht="12" customHeight="1">
      <c r="A8" s="3642"/>
      <c r="D8" s="3643" t="s">
        <v>4285</v>
      </c>
      <c r="E8" s="3644"/>
      <c r="F8" s="3644"/>
      <c r="G8" s="3644"/>
      <c r="H8" s="3644"/>
      <c r="I8" s="3644"/>
      <c r="J8" s="3644"/>
      <c r="K8" s="3644"/>
      <c r="L8" s="3644"/>
      <c r="M8" s="3644"/>
      <c r="N8" s="3644"/>
      <c r="O8" s="3644"/>
      <c r="P8" s="3644"/>
      <c r="Q8" s="3644"/>
      <c r="R8" s="3644"/>
      <c r="S8" s="3644"/>
    </row>
    <row r="9" spans="1:103" ht="12" customHeight="1">
      <c r="D9" s="3645" t="s">
        <v>4286</v>
      </c>
    </row>
    <row r="10" spans="1:103" ht="12" customHeight="1">
      <c r="D10" s="3646" t="e">
        <f>IF(ORG="","Не определено",ORG)</f>
        <v>#NAME?</v>
      </c>
      <c r="CY10" s="3647" t="s">
        <v>4287</v>
      </c>
    </row>
    <row r="11" spans="1:103" ht="15" customHeight="1">
      <c r="D11" s="3648" t="s">
        <v>4288</v>
      </c>
      <c r="M11" s="4760" t="s">
        <v>4289</v>
      </c>
      <c r="N11" s="4760"/>
      <c r="O11" s="4760"/>
      <c r="P11" s="4760"/>
      <c r="Q11" s="4760"/>
      <c r="R11" s="4760"/>
      <c r="S11" s="4760"/>
      <c r="AA11" s="4760" t="s">
        <v>4289</v>
      </c>
      <c r="AB11" s="4760"/>
      <c r="AC11" s="4760"/>
      <c r="AD11" s="4760"/>
      <c r="AE11" s="4760"/>
      <c r="AF11" s="4760"/>
      <c r="AG11" s="4760"/>
      <c r="AO11" s="4760" t="s">
        <v>4289</v>
      </c>
      <c r="AP11" s="4760"/>
      <c r="AQ11" s="4760"/>
      <c r="AR11" s="4760"/>
      <c r="AS11" s="4760"/>
      <c r="AT11" s="4760"/>
      <c r="AU11" s="4760"/>
      <c r="BC11" s="4760" t="s">
        <v>4289</v>
      </c>
      <c r="BD11" s="4760"/>
      <c r="BE11" s="4760"/>
      <c r="BF11" s="4760"/>
      <c r="BG11" s="4760"/>
      <c r="BH11" s="4760"/>
      <c r="BI11" s="4760"/>
      <c r="BQ11" s="4760" t="s">
        <v>4289</v>
      </c>
      <c r="BR11" s="4760"/>
      <c r="BS11" s="4760"/>
      <c r="BT11" s="4760"/>
      <c r="BU11" s="4760"/>
      <c r="BV11" s="4760"/>
      <c r="BW11" s="4760"/>
      <c r="CE11" s="4760" t="s">
        <v>4289</v>
      </c>
      <c r="CF11" s="4760"/>
      <c r="CG11" s="4760"/>
      <c r="CH11" s="4760"/>
      <c r="CI11" s="4760"/>
      <c r="CJ11" s="4760"/>
      <c r="CK11" s="4760"/>
      <c r="CS11" s="4760" t="s">
        <v>4289</v>
      </c>
      <c r="CT11" s="4760"/>
      <c r="CU11" s="4760"/>
      <c r="CV11" s="4760"/>
      <c r="CW11" s="4760"/>
      <c r="CX11" s="4760"/>
      <c r="CY11" s="4760"/>
    </row>
    <row r="12" spans="1:103" s="3644" customFormat="1" ht="12" customHeight="1">
      <c r="D12" s="4761" t="s">
        <v>497</v>
      </c>
      <c r="E12" s="4760" t="s">
        <v>498</v>
      </c>
      <c r="F12" s="4763" t="s">
        <v>205</v>
      </c>
      <c r="G12" s="4763"/>
      <c r="H12" s="4763"/>
      <c r="I12" s="4763"/>
      <c r="J12" s="4763"/>
      <c r="K12" s="4763"/>
      <c r="L12" s="4763"/>
      <c r="M12" s="4763"/>
      <c r="N12" s="4763"/>
      <c r="O12" s="4763"/>
      <c r="P12" s="4763"/>
      <c r="Q12" s="4763"/>
      <c r="R12" s="4763"/>
      <c r="S12" s="4763"/>
      <c r="T12" s="4763" t="s">
        <v>608</v>
      </c>
      <c r="U12" s="4763"/>
      <c r="V12" s="4763"/>
      <c r="W12" s="4763"/>
      <c r="X12" s="4763"/>
      <c r="Y12" s="4763"/>
      <c r="Z12" s="4763"/>
      <c r="AA12" s="4763"/>
      <c r="AB12" s="4763"/>
      <c r="AC12" s="4763"/>
      <c r="AD12" s="4763"/>
      <c r="AE12" s="4763"/>
      <c r="AF12" s="4763"/>
      <c r="AG12" s="4763"/>
      <c r="AH12" s="4763" t="s">
        <v>609</v>
      </c>
      <c r="AI12" s="4763"/>
      <c r="AJ12" s="4763"/>
      <c r="AK12" s="4763"/>
      <c r="AL12" s="4763"/>
      <c r="AM12" s="4763"/>
      <c r="AN12" s="4763"/>
      <c r="AO12" s="4763"/>
      <c r="AP12" s="4763"/>
      <c r="AQ12" s="4763"/>
      <c r="AR12" s="4763"/>
      <c r="AS12" s="4763"/>
      <c r="AT12" s="4763"/>
      <c r="AU12" s="4763"/>
      <c r="AV12" s="4763" t="s">
        <v>609</v>
      </c>
      <c r="AW12" s="4763"/>
      <c r="AX12" s="4763"/>
      <c r="AY12" s="4763"/>
      <c r="AZ12" s="4763"/>
      <c r="BA12" s="4763"/>
      <c r="BB12" s="4763"/>
      <c r="BC12" s="4763"/>
      <c r="BD12" s="4763"/>
      <c r="BE12" s="4763"/>
      <c r="BF12" s="4763"/>
      <c r="BG12" s="4763"/>
      <c r="BH12" s="4763"/>
      <c r="BI12" s="4763"/>
      <c r="BJ12" s="4764" t="s">
        <v>610</v>
      </c>
      <c r="BK12" s="4764"/>
      <c r="BL12" s="4764"/>
      <c r="BM12" s="4764"/>
      <c r="BN12" s="4764"/>
      <c r="BO12" s="4764"/>
      <c r="BP12" s="4764"/>
      <c r="BQ12" s="4764"/>
      <c r="BR12" s="4764"/>
      <c r="BS12" s="4764"/>
      <c r="BT12" s="4764"/>
      <c r="BU12" s="4764"/>
      <c r="BV12" s="4764"/>
      <c r="BW12" s="4764"/>
      <c r="BX12" s="4764" t="s">
        <v>610</v>
      </c>
      <c r="BY12" s="4764"/>
      <c r="BZ12" s="4764"/>
      <c r="CA12" s="4764"/>
      <c r="CB12" s="4764"/>
      <c r="CC12" s="4764"/>
      <c r="CD12" s="4764"/>
      <c r="CE12" s="4764"/>
      <c r="CF12" s="4764"/>
      <c r="CG12" s="4764"/>
      <c r="CH12" s="4764"/>
      <c r="CI12" s="4764"/>
      <c r="CJ12" s="4764"/>
      <c r="CK12" s="4764"/>
      <c r="CL12" s="4764" t="s">
        <v>610</v>
      </c>
      <c r="CM12" s="4764"/>
      <c r="CN12" s="4764"/>
      <c r="CO12" s="4764"/>
      <c r="CP12" s="4764"/>
      <c r="CQ12" s="4764"/>
      <c r="CR12" s="4764"/>
      <c r="CS12" s="4765"/>
      <c r="CT12" s="4765"/>
      <c r="CU12" s="4765"/>
      <c r="CV12" s="4765"/>
      <c r="CW12" s="4765"/>
      <c r="CX12" s="4765"/>
      <c r="CY12" s="4765"/>
    </row>
    <row r="13" spans="1:103" s="3644" customFormat="1" ht="45" customHeight="1">
      <c r="D13" s="4761"/>
      <c r="E13" s="4760"/>
      <c r="F13" s="4766" t="s">
        <v>4290</v>
      </c>
      <c r="G13" s="4766"/>
      <c r="H13" s="4766"/>
      <c r="I13" s="4766"/>
      <c r="J13" s="4766"/>
      <c r="K13" s="4766"/>
      <c r="L13" s="4766"/>
      <c r="M13" s="4760" t="s">
        <v>4291</v>
      </c>
      <c r="N13" s="4760"/>
      <c r="O13" s="4760"/>
      <c r="P13" s="4760"/>
      <c r="Q13" s="4760"/>
      <c r="R13" s="4760"/>
      <c r="S13" s="4760"/>
      <c r="T13" s="4760" t="s">
        <v>4290</v>
      </c>
      <c r="U13" s="4760"/>
      <c r="V13" s="4760"/>
      <c r="W13" s="4760"/>
      <c r="X13" s="4760"/>
      <c r="Y13" s="4760"/>
      <c r="Z13" s="4760"/>
      <c r="AA13" s="4760" t="s">
        <v>4291</v>
      </c>
      <c r="AB13" s="4760"/>
      <c r="AC13" s="4760"/>
      <c r="AD13" s="4760"/>
      <c r="AE13" s="4760"/>
      <c r="AF13" s="4760"/>
      <c r="AG13" s="4760"/>
      <c r="AH13" s="4760" t="s">
        <v>4292</v>
      </c>
      <c r="AI13" s="4760"/>
      <c r="AJ13" s="4760"/>
      <c r="AK13" s="4760"/>
      <c r="AL13" s="4760"/>
      <c r="AM13" s="4760"/>
      <c r="AN13" s="4760"/>
      <c r="AO13" s="4760" t="s">
        <v>4293</v>
      </c>
      <c r="AP13" s="4760"/>
      <c r="AQ13" s="4760"/>
      <c r="AR13" s="4760"/>
      <c r="AS13" s="4760"/>
      <c r="AT13" s="4760"/>
      <c r="AU13" s="4760"/>
      <c r="AV13" s="4760" t="s">
        <v>4294</v>
      </c>
      <c r="AW13" s="4760"/>
      <c r="AX13" s="4760"/>
      <c r="AY13" s="4760"/>
      <c r="AZ13" s="4760"/>
      <c r="BA13" s="4760"/>
      <c r="BB13" s="4760"/>
      <c r="BC13" s="4760" t="s">
        <v>4295</v>
      </c>
      <c r="BD13" s="4760"/>
      <c r="BE13" s="4760"/>
      <c r="BF13" s="4760"/>
      <c r="BG13" s="4760"/>
      <c r="BH13" s="4760"/>
      <c r="BI13" s="4760"/>
      <c r="BJ13" s="4760" t="s">
        <v>4292</v>
      </c>
      <c r="BK13" s="4760"/>
      <c r="BL13" s="4760"/>
      <c r="BM13" s="4760"/>
      <c r="BN13" s="4760"/>
      <c r="BO13" s="4760"/>
      <c r="BP13" s="4760"/>
      <c r="BQ13" s="4760" t="s">
        <v>4293</v>
      </c>
      <c r="BR13" s="4760"/>
      <c r="BS13" s="4760"/>
      <c r="BT13" s="4760"/>
      <c r="BU13" s="4760"/>
      <c r="BV13" s="4760"/>
      <c r="BW13" s="4760"/>
      <c r="BX13" s="4760" t="s">
        <v>4294</v>
      </c>
      <c r="BY13" s="4760"/>
      <c r="BZ13" s="4760"/>
      <c r="CA13" s="4760"/>
      <c r="CB13" s="4760"/>
      <c r="CC13" s="4760"/>
      <c r="CD13" s="4760"/>
      <c r="CE13" s="4760" t="s">
        <v>4295</v>
      </c>
      <c r="CF13" s="4760"/>
      <c r="CG13" s="4760"/>
      <c r="CH13" s="4760"/>
      <c r="CI13" s="4760"/>
      <c r="CJ13" s="4760"/>
      <c r="CK13" s="4760"/>
      <c r="CL13" s="4760" t="s">
        <v>4296</v>
      </c>
      <c r="CM13" s="4760"/>
      <c r="CN13" s="4760"/>
      <c r="CO13" s="4760"/>
      <c r="CP13" s="4760"/>
      <c r="CQ13" s="4760"/>
      <c r="CR13" s="4760"/>
      <c r="CS13" s="4760" t="s">
        <v>4297</v>
      </c>
      <c r="CT13" s="4760"/>
      <c r="CU13" s="4760"/>
      <c r="CV13" s="4760"/>
      <c r="CW13" s="4760"/>
      <c r="CX13" s="4760"/>
      <c r="CY13" s="4760"/>
    </row>
    <row r="14" spans="1:103" s="3644" customFormat="1" ht="12" customHeight="1">
      <c r="D14" s="4761"/>
      <c r="E14" s="4762"/>
      <c r="F14" s="4760" t="s">
        <v>511</v>
      </c>
      <c r="G14" s="4760" t="s">
        <v>512</v>
      </c>
      <c r="H14" s="4760"/>
      <c r="I14" s="4760"/>
      <c r="J14" s="4760"/>
      <c r="K14" s="4760"/>
      <c r="L14" s="4760"/>
      <c r="M14" s="4760" t="s">
        <v>511</v>
      </c>
      <c r="N14" s="4760" t="s">
        <v>512</v>
      </c>
      <c r="O14" s="4760"/>
      <c r="P14" s="4760"/>
      <c r="Q14" s="4760"/>
      <c r="R14" s="4760"/>
      <c r="S14" s="4760"/>
      <c r="T14" s="4760" t="s">
        <v>511</v>
      </c>
      <c r="U14" s="4760" t="s">
        <v>512</v>
      </c>
      <c r="V14" s="4760"/>
      <c r="W14" s="4760"/>
      <c r="X14" s="4760"/>
      <c r="Y14" s="4760"/>
      <c r="Z14" s="4760"/>
      <c r="AA14" s="4760" t="s">
        <v>511</v>
      </c>
      <c r="AB14" s="4760" t="s">
        <v>512</v>
      </c>
      <c r="AC14" s="4760"/>
      <c r="AD14" s="4760"/>
      <c r="AE14" s="4760"/>
      <c r="AF14" s="4760"/>
      <c r="AG14" s="4760"/>
      <c r="AH14" s="4760" t="s">
        <v>511</v>
      </c>
      <c r="AI14" s="4760" t="s">
        <v>512</v>
      </c>
      <c r="AJ14" s="4760"/>
      <c r="AK14" s="4760"/>
      <c r="AL14" s="4760"/>
      <c r="AM14" s="4760"/>
      <c r="AN14" s="4760"/>
      <c r="AO14" s="4760" t="s">
        <v>511</v>
      </c>
      <c r="AP14" s="4760" t="s">
        <v>512</v>
      </c>
      <c r="AQ14" s="4760"/>
      <c r="AR14" s="4760"/>
      <c r="AS14" s="4760"/>
      <c r="AT14" s="4760"/>
      <c r="AU14" s="4760"/>
      <c r="AV14" s="4760" t="s">
        <v>511</v>
      </c>
      <c r="AW14" s="4760" t="s">
        <v>512</v>
      </c>
      <c r="AX14" s="4760"/>
      <c r="AY14" s="4760"/>
      <c r="AZ14" s="4760"/>
      <c r="BA14" s="4760"/>
      <c r="BB14" s="4760"/>
      <c r="BC14" s="4760" t="s">
        <v>511</v>
      </c>
      <c r="BD14" s="4760" t="s">
        <v>512</v>
      </c>
      <c r="BE14" s="4760"/>
      <c r="BF14" s="4760"/>
      <c r="BG14" s="4760"/>
      <c r="BH14" s="4760"/>
      <c r="BI14" s="4760"/>
      <c r="BJ14" s="4760" t="s">
        <v>511</v>
      </c>
      <c r="BK14" s="4760" t="s">
        <v>512</v>
      </c>
      <c r="BL14" s="4760"/>
      <c r="BM14" s="4760"/>
      <c r="BN14" s="4760"/>
      <c r="BO14" s="4760"/>
      <c r="BP14" s="4760"/>
      <c r="BQ14" s="4760" t="s">
        <v>511</v>
      </c>
      <c r="BR14" s="4760" t="s">
        <v>512</v>
      </c>
      <c r="BS14" s="4760"/>
      <c r="BT14" s="4760"/>
      <c r="BU14" s="4760"/>
      <c r="BV14" s="4760"/>
      <c r="BW14" s="4760"/>
      <c r="BX14" s="4760" t="s">
        <v>511</v>
      </c>
      <c r="BY14" s="4760" t="s">
        <v>512</v>
      </c>
      <c r="BZ14" s="4760"/>
      <c r="CA14" s="4760"/>
      <c r="CB14" s="4760"/>
      <c r="CC14" s="4760"/>
      <c r="CD14" s="4760"/>
      <c r="CE14" s="4760" t="s">
        <v>511</v>
      </c>
      <c r="CF14" s="4760" t="s">
        <v>512</v>
      </c>
      <c r="CG14" s="4760"/>
      <c r="CH14" s="4760"/>
      <c r="CI14" s="4760"/>
      <c r="CJ14" s="4760"/>
      <c r="CK14" s="4760"/>
      <c r="CL14" s="4760" t="s">
        <v>511</v>
      </c>
      <c r="CM14" s="4760" t="s">
        <v>512</v>
      </c>
      <c r="CN14" s="4760"/>
      <c r="CO14" s="4760"/>
      <c r="CP14" s="4760"/>
      <c r="CQ14" s="4760"/>
      <c r="CR14" s="4760"/>
      <c r="CS14" s="4760" t="s">
        <v>511</v>
      </c>
      <c r="CT14" s="4760" t="s">
        <v>512</v>
      </c>
      <c r="CU14" s="4760"/>
      <c r="CV14" s="4760"/>
      <c r="CW14" s="4760"/>
      <c r="CX14" s="4760"/>
      <c r="CY14" s="4760"/>
    </row>
    <row r="15" spans="1:103" s="3644" customFormat="1" ht="12" customHeight="1">
      <c r="D15" s="4761"/>
      <c r="E15" s="4762"/>
      <c r="F15" s="4760"/>
      <c r="G15" s="3649" t="s">
        <v>9</v>
      </c>
      <c r="H15" s="3649" t="s">
        <v>513</v>
      </c>
      <c r="I15" s="3649" t="s">
        <v>279</v>
      </c>
      <c r="J15" s="3649" t="s">
        <v>12</v>
      </c>
      <c r="K15" s="3649" t="s">
        <v>439</v>
      </c>
      <c r="L15" s="3649" t="s">
        <v>514</v>
      </c>
      <c r="M15" s="4760"/>
      <c r="N15" s="3649" t="s">
        <v>9</v>
      </c>
      <c r="O15" s="3649" t="s">
        <v>513</v>
      </c>
      <c r="P15" s="3649" t="s">
        <v>279</v>
      </c>
      <c r="Q15" s="3649" t="s">
        <v>12</v>
      </c>
      <c r="R15" s="3649" t="s">
        <v>439</v>
      </c>
      <c r="S15" s="3649" t="s">
        <v>514</v>
      </c>
      <c r="T15" s="4760"/>
      <c r="U15" s="3649" t="s">
        <v>9</v>
      </c>
      <c r="V15" s="3649" t="s">
        <v>513</v>
      </c>
      <c r="W15" s="3649" t="s">
        <v>279</v>
      </c>
      <c r="X15" s="3649" t="s">
        <v>12</v>
      </c>
      <c r="Y15" s="3649" t="s">
        <v>439</v>
      </c>
      <c r="Z15" s="3649" t="s">
        <v>514</v>
      </c>
      <c r="AA15" s="4760"/>
      <c r="AB15" s="3649" t="s">
        <v>9</v>
      </c>
      <c r="AC15" s="3649" t="s">
        <v>513</v>
      </c>
      <c r="AD15" s="3649" t="s">
        <v>279</v>
      </c>
      <c r="AE15" s="3649" t="s">
        <v>12</v>
      </c>
      <c r="AF15" s="3649" t="s">
        <v>439</v>
      </c>
      <c r="AG15" s="3649" t="s">
        <v>514</v>
      </c>
      <c r="AH15" s="4760"/>
      <c r="AI15" s="3649" t="s">
        <v>9</v>
      </c>
      <c r="AJ15" s="3649" t="s">
        <v>513</v>
      </c>
      <c r="AK15" s="3649" t="s">
        <v>279</v>
      </c>
      <c r="AL15" s="3649" t="s">
        <v>12</v>
      </c>
      <c r="AM15" s="3649" t="s">
        <v>439</v>
      </c>
      <c r="AN15" s="3649" t="s">
        <v>514</v>
      </c>
      <c r="AO15" s="4760"/>
      <c r="AP15" s="3649" t="s">
        <v>9</v>
      </c>
      <c r="AQ15" s="3649" t="s">
        <v>513</v>
      </c>
      <c r="AR15" s="3649" t="s">
        <v>279</v>
      </c>
      <c r="AS15" s="3649" t="s">
        <v>12</v>
      </c>
      <c r="AT15" s="3649" t="s">
        <v>439</v>
      </c>
      <c r="AU15" s="3649" t="s">
        <v>514</v>
      </c>
      <c r="AV15" s="4760"/>
      <c r="AW15" s="3649" t="s">
        <v>9</v>
      </c>
      <c r="AX15" s="3649" t="s">
        <v>513</v>
      </c>
      <c r="AY15" s="3649" t="s">
        <v>279</v>
      </c>
      <c r="AZ15" s="3649" t="s">
        <v>12</v>
      </c>
      <c r="BA15" s="3649" t="s">
        <v>439</v>
      </c>
      <c r="BB15" s="3649" t="s">
        <v>514</v>
      </c>
      <c r="BC15" s="4760"/>
      <c r="BD15" s="3649" t="s">
        <v>9</v>
      </c>
      <c r="BE15" s="3649" t="s">
        <v>513</v>
      </c>
      <c r="BF15" s="3649" t="s">
        <v>279</v>
      </c>
      <c r="BG15" s="3649" t="s">
        <v>12</v>
      </c>
      <c r="BH15" s="3649" t="s">
        <v>439</v>
      </c>
      <c r="BI15" s="3649" t="s">
        <v>514</v>
      </c>
      <c r="BJ15" s="4760"/>
      <c r="BK15" s="3649" t="s">
        <v>9</v>
      </c>
      <c r="BL15" s="3649" t="s">
        <v>513</v>
      </c>
      <c r="BM15" s="3649" t="s">
        <v>279</v>
      </c>
      <c r="BN15" s="3649" t="s">
        <v>12</v>
      </c>
      <c r="BO15" s="3649" t="s">
        <v>439</v>
      </c>
      <c r="BP15" s="3649" t="s">
        <v>514</v>
      </c>
      <c r="BQ15" s="4760"/>
      <c r="BR15" s="3649" t="s">
        <v>9</v>
      </c>
      <c r="BS15" s="3649" t="s">
        <v>513</v>
      </c>
      <c r="BT15" s="3649" t="s">
        <v>279</v>
      </c>
      <c r="BU15" s="3649" t="s">
        <v>12</v>
      </c>
      <c r="BV15" s="3649" t="s">
        <v>439</v>
      </c>
      <c r="BW15" s="3649" t="s">
        <v>514</v>
      </c>
      <c r="BX15" s="4760"/>
      <c r="BY15" s="3649" t="s">
        <v>9</v>
      </c>
      <c r="BZ15" s="3649" t="s">
        <v>513</v>
      </c>
      <c r="CA15" s="3649" t="s">
        <v>279</v>
      </c>
      <c r="CB15" s="3649" t="s">
        <v>12</v>
      </c>
      <c r="CC15" s="3649" t="s">
        <v>439</v>
      </c>
      <c r="CD15" s="3649" t="s">
        <v>514</v>
      </c>
      <c r="CE15" s="4760"/>
      <c r="CF15" s="3649" t="s">
        <v>9</v>
      </c>
      <c r="CG15" s="3649" t="s">
        <v>513</v>
      </c>
      <c r="CH15" s="3649" t="s">
        <v>279</v>
      </c>
      <c r="CI15" s="3649" t="s">
        <v>12</v>
      </c>
      <c r="CJ15" s="3649" t="s">
        <v>439</v>
      </c>
      <c r="CK15" s="3649" t="s">
        <v>514</v>
      </c>
      <c r="CL15" s="4760"/>
      <c r="CM15" s="3649" t="s">
        <v>9</v>
      </c>
      <c r="CN15" s="3649" t="s">
        <v>513</v>
      </c>
      <c r="CO15" s="3649" t="s">
        <v>279</v>
      </c>
      <c r="CP15" s="3649" t="s">
        <v>12</v>
      </c>
      <c r="CQ15" s="3649" t="s">
        <v>439</v>
      </c>
      <c r="CR15" s="3649" t="s">
        <v>514</v>
      </c>
      <c r="CS15" s="4760"/>
      <c r="CT15" s="3649" t="s">
        <v>9</v>
      </c>
      <c r="CU15" s="3649" t="s">
        <v>513</v>
      </c>
      <c r="CV15" s="3649" t="s">
        <v>279</v>
      </c>
      <c r="CW15" s="3649" t="s">
        <v>12</v>
      </c>
      <c r="CX15" s="3649" t="s">
        <v>439</v>
      </c>
      <c r="CY15" s="3649" t="s">
        <v>514</v>
      </c>
    </row>
    <row r="16" spans="1:103" s="3644" customFormat="1" ht="12" customHeight="1">
      <c r="D16" s="4761"/>
      <c r="E16" s="4762"/>
      <c r="F16" s="3649" t="s">
        <v>4298</v>
      </c>
      <c r="G16" s="3649" t="s">
        <v>4298</v>
      </c>
      <c r="H16" s="3649" t="s">
        <v>4298</v>
      </c>
      <c r="I16" s="3649" t="s">
        <v>4298</v>
      </c>
      <c r="J16" s="3649" t="s">
        <v>4298</v>
      </c>
      <c r="K16" s="3649" t="s">
        <v>4298</v>
      </c>
      <c r="L16" s="3649" t="s">
        <v>4298</v>
      </c>
      <c r="M16" s="3649" t="s">
        <v>1833</v>
      </c>
      <c r="N16" s="3649" t="s">
        <v>1833</v>
      </c>
      <c r="O16" s="3649" t="s">
        <v>1833</v>
      </c>
      <c r="P16" s="3649" t="s">
        <v>1833</v>
      </c>
      <c r="Q16" s="3649" t="s">
        <v>1833</v>
      </c>
      <c r="R16" s="3649" t="s">
        <v>1833</v>
      </c>
      <c r="S16" s="3649" t="s">
        <v>1833</v>
      </c>
      <c r="T16" s="3649" t="s">
        <v>4298</v>
      </c>
      <c r="U16" s="3649" t="s">
        <v>4298</v>
      </c>
      <c r="V16" s="3649" t="s">
        <v>4298</v>
      </c>
      <c r="W16" s="3649" t="s">
        <v>4298</v>
      </c>
      <c r="X16" s="3649" t="s">
        <v>4298</v>
      </c>
      <c r="Y16" s="3649" t="s">
        <v>4298</v>
      </c>
      <c r="Z16" s="3649" t="s">
        <v>4298</v>
      </c>
      <c r="AA16" s="3649" t="s">
        <v>1833</v>
      </c>
      <c r="AB16" s="3649" t="s">
        <v>1833</v>
      </c>
      <c r="AC16" s="3649" t="s">
        <v>1833</v>
      </c>
      <c r="AD16" s="3649" t="s">
        <v>1833</v>
      </c>
      <c r="AE16" s="3649" t="s">
        <v>1833</v>
      </c>
      <c r="AF16" s="3649" t="s">
        <v>1833</v>
      </c>
      <c r="AG16" s="3649" t="s">
        <v>1833</v>
      </c>
      <c r="AH16" s="3649" t="s">
        <v>4298</v>
      </c>
      <c r="AI16" s="3649" t="s">
        <v>4298</v>
      </c>
      <c r="AJ16" s="3649" t="s">
        <v>4298</v>
      </c>
      <c r="AK16" s="3649" t="s">
        <v>4298</v>
      </c>
      <c r="AL16" s="3649" t="s">
        <v>4298</v>
      </c>
      <c r="AM16" s="3649" t="s">
        <v>4298</v>
      </c>
      <c r="AN16" s="3649" t="s">
        <v>4298</v>
      </c>
      <c r="AO16" s="3649" t="s">
        <v>1833</v>
      </c>
      <c r="AP16" s="3649" t="s">
        <v>1833</v>
      </c>
      <c r="AQ16" s="3649" t="s">
        <v>1833</v>
      </c>
      <c r="AR16" s="3649" t="s">
        <v>1833</v>
      </c>
      <c r="AS16" s="3649" t="s">
        <v>1833</v>
      </c>
      <c r="AT16" s="3649" t="s">
        <v>1833</v>
      </c>
      <c r="AU16" s="3649" t="s">
        <v>1833</v>
      </c>
      <c r="AV16" s="3649" t="s">
        <v>420</v>
      </c>
      <c r="AW16" s="3649" t="s">
        <v>420</v>
      </c>
      <c r="AX16" s="3649" t="s">
        <v>420</v>
      </c>
      <c r="AY16" s="3649" t="s">
        <v>420</v>
      </c>
      <c r="AZ16" s="3649" t="s">
        <v>420</v>
      </c>
      <c r="BA16" s="3649" t="s">
        <v>420</v>
      </c>
      <c r="BB16" s="3649" t="s">
        <v>420</v>
      </c>
      <c r="BC16" s="3649" t="s">
        <v>1833</v>
      </c>
      <c r="BD16" s="3649" t="s">
        <v>1833</v>
      </c>
      <c r="BE16" s="3649" t="s">
        <v>1833</v>
      </c>
      <c r="BF16" s="3649" t="s">
        <v>1833</v>
      </c>
      <c r="BG16" s="3649" t="s">
        <v>1833</v>
      </c>
      <c r="BH16" s="3649" t="s">
        <v>1833</v>
      </c>
      <c r="BI16" s="3649" t="s">
        <v>1833</v>
      </c>
      <c r="BJ16" s="3649" t="s">
        <v>4298</v>
      </c>
      <c r="BK16" s="3649" t="s">
        <v>4298</v>
      </c>
      <c r="BL16" s="3649" t="s">
        <v>4298</v>
      </c>
      <c r="BM16" s="3649" t="s">
        <v>4298</v>
      </c>
      <c r="BN16" s="3649" t="s">
        <v>4298</v>
      </c>
      <c r="BO16" s="3649" t="s">
        <v>4298</v>
      </c>
      <c r="BP16" s="3649" t="s">
        <v>4298</v>
      </c>
      <c r="BQ16" s="3649" t="s">
        <v>1833</v>
      </c>
      <c r="BR16" s="3649" t="s">
        <v>1833</v>
      </c>
      <c r="BS16" s="3649" t="s">
        <v>1833</v>
      </c>
      <c r="BT16" s="3649" t="s">
        <v>1833</v>
      </c>
      <c r="BU16" s="3649" t="s">
        <v>1833</v>
      </c>
      <c r="BV16" s="3649" t="s">
        <v>1833</v>
      </c>
      <c r="BW16" s="3649" t="s">
        <v>1833</v>
      </c>
      <c r="BX16" s="3649" t="s">
        <v>420</v>
      </c>
      <c r="BY16" s="3649" t="s">
        <v>420</v>
      </c>
      <c r="BZ16" s="3649" t="s">
        <v>420</v>
      </c>
      <c r="CA16" s="3649" t="s">
        <v>420</v>
      </c>
      <c r="CB16" s="3649" t="s">
        <v>420</v>
      </c>
      <c r="CC16" s="3649" t="s">
        <v>420</v>
      </c>
      <c r="CD16" s="3649" t="s">
        <v>420</v>
      </c>
      <c r="CE16" s="3649" t="s">
        <v>1833</v>
      </c>
      <c r="CF16" s="3649" t="s">
        <v>1833</v>
      </c>
      <c r="CG16" s="3649" t="s">
        <v>1833</v>
      </c>
      <c r="CH16" s="3649" t="s">
        <v>1833</v>
      </c>
      <c r="CI16" s="3649" t="s">
        <v>1833</v>
      </c>
      <c r="CJ16" s="3649" t="s">
        <v>1833</v>
      </c>
      <c r="CK16" s="3649" t="s">
        <v>1833</v>
      </c>
      <c r="CL16" s="3649" t="s">
        <v>420</v>
      </c>
      <c r="CM16" s="3649" t="s">
        <v>420</v>
      </c>
      <c r="CN16" s="3649" t="s">
        <v>420</v>
      </c>
      <c r="CO16" s="3649" t="s">
        <v>420</v>
      </c>
      <c r="CP16" s="3649" t="s">
        <v>420</v>
      </c>
      <c r="CQ16" s="3649" t="s">
        <v>420</v>
      </c>
      <c r="CR16" s="3649" t="s">
        <v>420</v>
      </c>
      <c r="CS16" s="3649" t="s">
        <v>1833</v>
      </c>
      <c r="CT16" s="3649" t="s">
        <v>1833</v>
      </c>
      <c r="CU16" s="3649" t="s">
        <v>1833</v>
      </c>
      <c r="CV16" s="3649" t="s">
        <v>1833</v>
      </c>
      <c r="CW16" s="3649" t="s">
        <v>1833</v>
      </c>
      <c r="CX16" s="3649" t="s">
        <v>1833</v>
      </c>
      <c r="CY16" s="3649" t="s">
        <v>1833</v>
      </c>
    </row>
    <row r="17" spans="4:103" ht="12" customHeight="1">
      <c r="D17" s="3650">
        <v>1</v>
      </c>
      <c r="E17" s="3650">
        <v>2</v>
      </c>
      <c r="F17" s="3651">
        <v>3</v>
      </c>
      <c r="G17" s="3651">
        <v>4</v>
      </c>
      <c r="H17" s="3651">
        <v>5</v>
      </c>
      <c r="I17" s="3651">
        <v>6</v>
      </c>
      <c r="J17" s="3651">
        <v>7</v>
      </c>
      <c r="K17" s="3651">
        <v>8</v>
      </c>
      <c r="L17" s="3651">
        <v>9</v>
      </c>
      <c r="M17" s="3650">
        <v>10</v>
      </c>
      <c r="N17" s="3651">
        <v>11</v>
      </c>
      <c r="O17" s="3650">
        <v>12</v>
      </c>
      <c r="P17" s="3651">
        <v>13</v>
      </c>
      <c r="Q17" s="3650">
        <v>14</v>
      </c>
      <c r="R17" s="3651">
        <v>15</v>
      </c>
      <c r="S17" s="3650">
        <v>16</v>
      </c>
      <c r="T17" s="3651">
        <v>17</v>
      </c>
      <c r="U17" s="3650">
        <v>18</v>
      </c>
      <c r="V17" s="3651">
        <v>19</v>
      </c>
      <c r="W17" s="3650">
        <v>20</v>
      </c>
      <c r="X17" s="3651">
        <v>21</v>
      </c>
      <c r="Y17" s="3650">
        <v>22</v>
      </c>
      <c r="Z17" s="3651">
        <v>23</v>
      </c>
      <c r="AA17" s="3650">
        <v>24</v>
      </c>
      <c r="AB17" s="3651">
        <v>25</v>
      </c>
      <c r="AC17" s="3650">
        <v>26</v>
      </c>
      <c r="AD17" s="3651">
        <v>27</v>
      </c>
      <c r="AE17" s="3650">
        <v>28</v>
      </c>
      <c r="AF17" s="3651">
        <v>29</v>
      </c>
      <c r="AG17" s="3650">
        <v>30</v>
      </c>
      <c r="AH17" s="3651">
        <v>31</v>
      </c>
      <c r="AI17" s="3650">
        <v>32</v>
      </c>
      <c r="AJ17" s="3651">
        <v>33</v>
      </c>
      <c r="AK17" s="3650">
        <v>34</v>
      </c>
      <c r="AL17" s="3651">
        <v>35</v>
      </c>
      <c r="AM17" s="3650">
        <v>36</v>
      </c>
      <c r="AN17" s="3651">
        <v>37</v>
      </c>
      <c r="AO17" s="3650">
        <v>38</v>
      </c>
      <c r="AP17" s="3651">
        <v>39</v>
      </c>
      <c r="AQ17" s="3650">
        <v>40</v>
      </c>
      <c r="AR17" s="3651">
        <v>41</v>
      </c>
      <c r="AS17" s="3650">
        <v>42</v>
      </c>
      <c r="AT17" s="3651">
        <v>43</v>
      </c>
      <c r="AU17" s="3650">
        <v>44</v>
      </c>
      <c r="AV17" s="3651">
        <v>45</v>
      </c>
      <c r="AW17" s="3650">
        <v>46</v>
      </c>
      <c r="AX17" s="3651">
        <v>47</v>
      </c>
      <c r="AY17" s="3650">
        <v>48</v>
      </c>
      <c r="AZ17" s="3651">
        <v>49</v>
      </c>
      <c r="BA17" s="3650">
        <v>50</v>
      </c>
      <c r="BB17" s="3651">
        <v>51</v>
      </c>
      <c r="BC17" s="3650">
        <v>52</v>
      </c>
      <c r="BD17" s="3651">
        <v>53</v>
      </c>
      <c r="BE17" s="3650">
        <v>54</v>
      </c>
      <c r="BF17" s="3651">
        <v>55</v>
      </c>
      <c r="BG17" s="3650">
        <v>56</v>
      </c>
      <c r="BH17" s="3651">
        <v>57</v>
      </c>
      <c r="BI17" s="3650">
        <v>58</v>
      </c>
      <c r="BJ17" s="3651">
        <v>59</v>
      </c>
      <c r="BK17" s="3650">
        <v>60</v>
      </c>
      <c r="BL17" s="3651">
        <v>61</v>
      </c>
      <c r="BM17" s="3650">
        <v>62</v>
      </c>
      <c r="BN17" s="3651">
        <v>63</v>
      </c>
      <c r="BO17" s="3650">
        <v>64</v>
      </c>
      <c r="BP17" s="3651">
        <v>65</v>
      </c>
      <c r="BQ17" s="3650">
        <v>66</v>
      </c>
      <c r="BR17" s="3651">
        <v>67</v>
      </c>
      <c r="BS17" s="3650">
        <v>68</v>
      </c>
      <c r="BT17" s="3651">
        <v>69</v>
      </c>
      <c r="BU17" s="3650">
        <v>70</v>
      </c>
      <c r="BV17" s="3651">
        <v>71</v>
      </c>
      <c r="BW17" s="3650">
        <v>72</v>
      </c>
      <c r="BX17" s="3651">
        <v>73</v>
      </c>
      <c r="BY17" s="3650">
        <v>74</v>
      </c>
      <c r="BZ17" s="3651">
        <v>75</v>
      </c>
      <c r="CA17" s="3650">
        <v>76</v>
      </c>
      <c r="CB17" s="3651">
        <v>77</v>
      </c>
      <c r="CC17" s="3650">
        <v>78</v>
      </c>
      <c r="CD17" s="3651">
        <v>79</v>
      </c>
      <c r="CE17" s="3650">
        <v>80</v>
      </c>
      <c r="CF17" s="3651">
        <v>81</v>
      </c>
      <c r="CG17" s="3650">
        <v>82</v>
      </c>
      <c r="CH17" s="3651">
        <v>83</v>
      </c>
      <c r="CI17" s="3650">
        <v>84</v>
      </c>
      <c r="CJ17" s="3651">
        <v>85</v>
      </c>
      <c r="CK17" s="3650">
        <v>86</v>
      </c>
      <c r="CL17" s="3651">
        <v>87</v>
      </c>
      <c r="CM17" s="3650">
        <v>88</v>
      </c>
      <c r="CN17" s="3651">
        <v>89</v>
      </c>
      <c r="CO17" s="3650">
        <v>90</v>
      </c>
      <c r="CP17" s="3651">
        <v>91</v>
      </c>
      <c r="CQ17" s="3650">
        <v>92</v>
      </c>
      <c r="CR17" s="3651">
        <v>93</v>
      </c>
      <c r="CS17" s="3650">
        <v>94</v>
      </c>
      <c r="CT17" s="3651">
        <v>95</v>
      </c>
      <c r="CU17" s="3650">
        <v>96</v>
      </c>
      <c r="CV17" s="3651">
        <v>97</v>
      </c>
      <c r="CW17" s="3650">
        <v>98</v>
      </c>
      <c r="CX17" s="3651">
        <v>99</v>
      </c>
      <c r="CY17" s="3650">
        <v>100</v>
      </c>
    </row>
    <row r="18" spans="4:103" s="3652" customFormat="1" ht="45" customHeight="1">
      <c r="D18" s="3653" t="s">
        <v>4299</v>
      </c>
      <c r="E18" s="3654" t="s">
        <v>4300</v>
      </c>
      <c r="F18" s="3655">
        <f t="shared" ref="F18:F81" si="0">SUM(G18:L18)</f>
        <v>19850.285</v>
      </c>
      <c r="G18" s="3655">
        <f t="shared" ref="G18:L18" si="1">SUM(G19,G37,G55)</f>
        <v>0</v>
      </c>
      <c r="H18" s="3655">
        <f t="shared" si="1"/>
        <v>0</v>
      </c>
      <c r="I18" s="3655">
        <f t="shared" si="1"/>
        <v>190.53299999999999</v>
      </c>
      <c r="J18" s="3655">
        <f t="shared" si="1"/>
        <v>12530.698</v>
      </c>
      <c r="K18" s="3655">
        <f t="shared" si="1"/>
        <v>7129.054000000001</v>
      </c>
      <c r="L18" s="3655">
        <f t="shared" si="1"/>
        <v>0</v>
      </c>
      <c r="M18" s="3655">
        <f t="shared" ref="M18:M81" si="2">SUM(N18:S18)</f>
        <v>175036.05778</v>
      </c>
      <c r="N18" s="3655">
        <f t="shared" ref="N18:S18" si="3">SUM(N19,N37,N55)</f>
        <v>0</v>
      </c>
      <c r="O18" s="3655">
        <f t="shared" si="3"/>
        <v>0</v>
      </c>
      <c r="P18" s="3655">
        <f t="shared" si="3"/>
        <v>1611.7967599999999</v>
      </c>
      <c r="Q18" s="3655">
        <f t="shared" si="3"/>
        <v>109373.09769000001</v>
      </c>
      <c r="R18" s="3655">
        <f t="shared" si="3"/>
        <v>64051.163329999996</v>
      </c>
      <c r="S18" s="3655">
        <f t="shared" si="3"/>
        <v>0</v>
      </c>
      <c r="T18" s="3655">
        <f t="shared" ref="T18:T81" si="4">SUM(U18:Z18)</f>
        <v>295.92699999999996</v>
      </c>
      <c r="U18" s="3655">
        <f t="shared" ref="U18:Z18" si="5">SUM(U19,U37,U55)</f>
        <v>0</v>
      </c>
      <c r="V18" s="3655">
        <f t="shared" si="5"/>
        <v>0</v>
      </c>
      <c r="W18" s="3655">
        <f t="shared" si="5"/>
        <v>292.86599999999999</v>
      </c>
      <c r="X18" s="3655">
        <f t="shared" si="5"/>
        <v>3.0609999999999999</v>
      </c>
      <c r="Y18" s="3655">
        <f t="shared" si="5"/>
        <v>0</v>
      </c>
      <c r="Z18" s="3655">
        <f t="shared" si="5"/>
        <v>0</v>
      </c>
      <c r="AA18" s="3655">
        <f t="shared" ref="AA18:AA81" si="6">SUM(AB18:AG18)</f>
        <v>2783.4780800000003</v>
      </c>
      <c r="AB18" s="3655">
        <f t="shared" ref="AB18:AG18" si="7">SUM(AB19,AB37,AB55)</f>
        <v>0</v>
      </c>
      <c r="AC18" s="3655">
        <f t="shared" si="7"/>
        <v>0</v>
      </c>
      <c r="AD18" s="3655">
        <f t="shared" si="7"/>
        <v>2754.2478200000005</v>
      </c>
      <c r="AE18" s="3655">
        <f t="shared" si="7"/>
        <v>29.230260000000001</v>
      </c>
      <c r="AF18" s="3655">
        <f t="shared" si="7"/>
        <v>0</v>
      </c>
      <c r="AG18" s="3655">
        <f t="shared" si="7"/>
        <v>0</v>
      </c>
      <c r="AH18" s="3655">
        <f t="shared" ref="AH18:AH81" si="8">SUM(AI18:AN18)</f>
        <v>6724.0690000000004</v>
      </c>
      <c r="AI18" s="3655">
        <f t="shared" ref="AI18:AN18" si="9">SUM(AI19,AI37,AI55)</f>
        <v>0</v>
      </c>
      <c r="AJ18" s="3655">
        <f t="shared" si="9"/>
        <v>2494.779</v>
      </c>
      <c r="AK18" s="3655">
        <f t="shared" si="9"/>
        <v>4215.41</v>
      </c>
      <c r="AL18" s="3655">
        <f t="shared" si="9"/>
        <v>13.88</v>
      </c>
      <c r="AM18" s="3655">
        <f t="shared" si="9"/>
        <v>0</v>
      </c>
      <c r="AN18" s="3655">
        <f t="shared" si="9"/>
        <v>0</v>
      </c>
      <c r="AO18" s="3655">
        <f t="shared" ref="AO18:AO81" si="10">SUM(AP18:AU18)</f>
        <v>47691.441340000012</v>
      </c>
      <c r="AP18" s="3655">
        <f t="shared" ref="AP18:AU18" si="11">SUM(AP19,AP37,AP55)</f>
        <v>0</v>
      </c>
      <c r="AQ18" s="3655">
        <f t="shared" si="11"/>
        <v>17193.228070000001</v>
      </c>
      <c r="AR18" s="3655">
        <f t="shared" si="11"/>
        <v>30394.370740000006</v>
      </c>
      <c r="AS18" s="3655">
        <f t="shared" si="11"/>
        <v>103.84253</v>
      </c>
      <c r="AT18" s="3655">
        <f t="shared" si="11"/>
        <v>0</v>
      </c>
      <c r="AU18" s="3655">
        <f t="shared" si="11"/>
        <v>0</v>
      </c>
      <c r="AV18" s="3655">
        <f t="shared" ref="AV18:AV81" si="12">SUM(AW18:BB18)</f>
        <v>9.5549999999999997</v>
      </c>
      <c r="AW18" s="3655">
        <f t="shared" ref="AW18:BB18" si="13">SUM(AW19,AW37,AW55)</f>
        <v>0</v>
      </c>
      <c r="AX18" s="3655">
        <f t="shared" si="13"/>
        <v>3.28</v>
      </c>
      <c r="AY18" s="3655">
        <f t="shared" si="13"/>
        <v>6.2350000000000003</v>
      </c>
      <c r="AZ18" s="3655">
        <f t="shared" si="13"/>
        <v>0.04</v>
      </c>
      <c r="BA18" s="3655">
        <f t="shared" si="13"/>
        <v>0</v>
      </c>
      <c r="BB18" s="3655">
        <f t="shared" si="13"/>
        <v>0</v>
      </c>
      <c r="BC18" s="3655">
        <f t="shared" ref="BC18:BC81" si="14">SUM(BD18:BI18)</f>
        <v>11536.08747</v>
      </c>
      <c r="BD18" s="3655">
        <f t="shared" ref="BD18:BI18" si="15">SUM(BD19,BD37,BD55)</f>
        <v>0</v>
      </c>
      <c r="BE18" s="3655">
        <f t="shared" si="15"/>
        <v>3960.05933</v>
      </c>
      <c r="BF18" s="3655">
        <f t="shared" si="15"/>
        <v>7527.7347300000001</v>
      </c>
      <c r="BG18" s="3655">
        <f t="shared" si="15"/>
        <v>48.293410000000002</v>
      </c>
      <c r="BH18" s="3655">
        <f t="shared" si="15"/>
        <v>0</v>
      </c>
      <c r="BI18" s="3655">
        <f t="shared" si="15"/>
        <v>0</v>
      </c>
      <c r="BJ18" s="3655">
        <f t="shared" ref="BJ18:BJ81" si="16">SUM(BK18:BP18)</f>
        <v>3691.2719999999999</v>
      </c>
      <c r="BK18" s="3655">
        <f t="shared" ref="BK18:BP18" si="17">SUM(BK19,BK37,BK55)</f>
        <v>0</v>
      </c>
      <c r="BL18" s="3655">
        <f t="shared" si="17"/>
        <v>0</v>
      </c>
      <c r="BM18" s="3655">
        <f t="shared" si="17"/>
        <v>102.423</v>
      </c>
      <c r="BN18" s="3655">
        <f t="shared" si="17"/>
        <v>3588.8490000000002</v>
      </c>
      <c r="BO18" s="3655">
        <f t="shared" si="17"/>
        <v>0</v>
      </c>
      <c r="BP18" s="3655">
        <f t="shared" si="17"/>
        <v>0</v>
      </c>
      <c r="BQ18" s="3655">
        <f t="shared" ref="BQ18:BQ81" si="18">SUM(BR18:BW18)</f>
        <v>13669.947359999998</v>
      </c>
      <c r="BR18" s="3655">
        <f t="shared" ref="BR18:BW18" si="19">SUM(BR19,BR37,BR55)</f>
        <v>0</v>
      </c>
      <c r="BS18" s="3655">
        <f t="shared" si="19"/>
        <v>0</v>
      </c>
      <c r="BT18" s="3655">
        <f t="shared" si="19"/>
        <v>359.80949000000004</v>
      </c>
      <c r="BU18" s="3655">
        <f t="shared" si="19"/>
        <v>13310.137869999999</v>
      </c>
      <c r="BV18" s="3655">
        <f t="shared" si="19"/>
        <v>0</v>
      </c>
      <c r="BW18" s="3655">
        <f t="shared" si="19"/>
        <v>0</v>
      </c>
      <c r="BX18" s="3655">
        <f t="shared" ref="BX18:BX81" si="20">SUM(BY18:CD18)</f>
        <v>5.9239999999999995</v>
      </c>
      <c r="BY18" s="3655">
        <f t="shared" ref="BY18:CD18" si="21">SUM(BY19,BY37,BY55)</f>
        <v>0</v>
      </c>
      <c r="BZ18" s="3655">
        <f t="shared" si="21"/>
        <v>0</v>
      </c>
      <c r="CA18" s="3655">
        <f t="shared" si="21"/>
        <v>0.14499999999999999</v>
      </c>
      <c r="CB18" s="3655">
        <f t="shared" si="21"/>
        <v>5.7789999999999999</v>
      </c>
      <c r="CC18" s="3655">
        <f t="shared" si="21"/>
        <v>0</v>
      </c>
      <c r="CD18" s="3655">
        <f t="shared" si="21"/>
        <v>0</v>
      </c>
      <c r="CE18" s="3655">
        <f t="shared" ref="CE18:CE81" si="22">SUM(CF18:CK18)</f>
        <v>7152.2535300000009</v>
      </c>
      <c r="CF18" s="3655">
        <f t="shared" ref="CF18:CK18" si="23">SUM(CF19,CF37,CF55)</f>
        <v>0</v>
      </c>
      <c r="CG18" s="3655">
        <f t="shared" si="23"/>
        <v>0</v>
      </c>
      <c r="CH18" s="3655">
        <f t="shared" si="23"/>
        <v>175.06359999999998</v>
      </c>
      <c r="CI18" s="3655">
        <f t="shared" si="23"/>
        <v>6977.1899300000005</v>
      </c>
      <c r="CJ18" s="3655">
        <f t="shared" si="23"/>
        <v>0</v>
      </c>
      <c r="CK18" s="3655">
        <f t="shared" si="23"/>
        <v>0</v>
      </c>
      <c r="CL18" s="3655">
        <f t="shared" ref="CL18:CL81" si="24">SUM(CM18:CR18)</f>
        <v>6.7130000000000001</v>
      </c>
      <c r="CM18" s="3655">
        <f t="shared" ref="CM18:CR18" si="25">SUM(CM19,CM37,CM55)</f>
        <v>0</v>
      </c>
      <c r="CN18" s="3655">
        <f t="shared" si="25"/>
        <v>0</v>
      </c>
      <c r="CO18" s="3655">
        <f t="shared" si="25"/>
        <v>0.157</v>
      </c>
      <c r="CP18" s="3655">
        <f t="shared" si="25"/>
        <v>6.556</v>
      </c>
      <c r="CQ18" s="3655">
        <f t="shared" si="25"/>
        <v>0</v>
      </c>
      <c r="CR18" s="3655">
        <f t="shared" si="25"/>
        <v>0</v>
      </c>
      <c r="CS18" s="3655">
        <f t="shared" ref="CS18:CS81" si="26">SUM(CT18:CY18)</f>
        <v>7164.6043899999995</v>
      </c>
      <c r="CT18" s="3655">
        <f t="shared" ref="CT18:CY18" si="27">SUM(CT19,CT37,CT55)</f>
        <v>0</v>
      </c>
      <c r="CU18" s="3655">
        <f t="shared" si="27"/>
        <v>0</v>
      </c>
      <c r="CV18" s="3655">
        <f t="shared" si="27"/>
        <v>439.46540000000005</v>
      </c>
      <c r="CW18" s="3655">
        <f t="shared" si="27"/>
        <v>6725.1389899999995</v>
      </c>
      <c r="CX18" s="3655">
        <f t="shared" si="27"/>
        <v>0</v>
      </c>
      <c r="CY18" s="3655">
        <f t="shared" si="27"/>
        <v>0</v>
      </c>
    </row>
    <row r="19" spans="4:103" ht="24" customHeight="1">
      <c r="D19" s="3656" t="s">
        <v>4301</v>
      </c>
      <c r="E19" s="3657" t="s">
        <v>4302</v>
      </c>
      <c r="F19" s="3658">
        <f t="shared" si="0"/>
        <v>0</v>
      </c>
      <c r="G19" s="3658">
        <f t="shared" ref="G19:L19" si="28">SUM(G20,G30:G36)</f>
        <v>0</v>
      </c>
      <c r="H19" s="3658">
        <f t="shared" si="28"/>
        <v>0</v>
      </c>
      <c r="I19" s="3658">
        <f t="shared" si="28"/>
        <v>0</v>
      </c>
      <c r="J19" s="3658">
        <f t="shared" si="28"/>
        <v>0</v>
      </c>
      <c r="K19" s="3658">
        <f t="shared" si="28"/>
        <v>0</v>
      </c>
      <c r="L19" s="3658">
        <f t="shared" si="28"/>
        <v>0</v>
      </c>
      <c r="M19" s="3658">
        <f t="shared" si="2"/>
        <v>0</v>
      </c>
      <c r="N19" s="3658">
        <f t="shared" ref="N19:S19" si="29">SUM(N20,N30:N36)</f>
        <v>0</v>
      </c>
      <c r="O19" s="3658">
        <f t="shared" si="29"/>
        <v>0</v>
      </c>
      <c r="P19" s="3658">
        <f t="shared" si="29"/>
        <v>0</v>
      </c>
      <c r="Q19" s="3658">
        <f t="shared" si="29"/>
        <v>0</v>
      </c>
      <c r="R19" s="3658">
        <f t="shared" si="29"/>
        <v>0</v>
      </c>
      <c r="S19" s="3658">
        <f t="shared" si="29"/>
        <v>0</v>
      </c>
      <c r="T19" s="3658">
        <f t="shared" si="4"/>
        <v>0</v>
      </c>
      <c r="U19" s="3658">
        <f t="shared" ref="U19:Z19" si="30">SUM(U20,U30:U36)</f>
        <v>0</v>
      </c>
      <c r="V19" s="3658">
        <f t="shared" si="30"/>
        <v>0</v>
      </c>
      <c r="W19" s="3658">
        <f t="shared" si="30"/>
        <v>0</v>
      </c>
      <c r="X19" s="3658">
        <f t="shared" si="30"/>
        <v>0</v>
      </c>
      <c r="Y19" s="3658">
        <f t="shared" si="30"/>
        <v>0</v>
      </c>
      <c r="Z19" s="3658">
        <f t="shared" si="30"/>
        <v>0</v>
      </c>
      <c r="AA19" s="3658">
        <f t="shared" si="6"/>
        <v>0</v>
      </c>
      <c r="AB19" s="3658">
        <f t="shared" ref="AB19:AG19" si="31">SUM(AB20,AB30:AB36)</f>
        <v>0</v>
      </c>
      <c r="AC19" s="3658">
        <f t="shared" si="31"/>
        <v>0</v>
      </c>
      <c r="AD19" s="3658">
        <f t="shared" si="31"/>
        <v>0</v>
      </c>
      <c r="AE19" s="3658">
        <f t="shared" si="31"/>
        <v>0</v>
      </c>
      <c r="AF19" s="3658">
        <f t="shared" si="31"/>
        <v>0</v>
      </c>
      <c r="AG19" s="3658">
        <f t="shared" si="31"/>
        <v>0</v>
      </c>
      <c r="AH19" s="3658">
        <f t="shared" si="8"/>
        <v>0</v>
      </c>
      <c r="AI19" s="3658">
        <f t="shared" ref="AI19:AN19" si="32">SUM(AI20,AI30:AI36)</f>
        <v>0</v>
      </c>
      <c r="AJ19" s="3658">
        <f t="shared" si="32"/>
        <v>0</v>
      </c>
      <c r="AK19" s="3658">
        <f t="shared" si="32"/>
        <v>0</v>
      </c>
      <c r="AL19" s="3658">
        <f t="shared" si="32"/>
        <v>0</v>
      </c>
      <c r="AM19" s="3658">
        <f t="shared" si="32"/>
        <v>0</v>
      </c>
      <c r="AN19" s="3658">
        <f t="shared" si="32"/>
        <v>0</v>
      </c>
      <c r="AO19" s="3658">
        <f t="shared" si="10"/>
        <v>0</v>
      </c>
      <c r="AP19" s="3658">
        <f t="shared" ref="AP19:AU19" si="33">SUM(AP20,AP30:AP36)</f>
        <v>0</v>
      </c>
      <c r="AQ19" s="3658">
        <f t="shared" si="33"/>
        <v>0</v>
      </c>
      <c r="AR19" s="3658">
        <f t="shared" si="33"/>
        <v>0</v>
      </c>
      <c r="AS19" s="3658">
        <f t="shared" si="33"/>
        <v>0</v>
      </c>
      <c r="AT19" s="3658">
        <f t="shared" si="33"/>
        <v>0</v>
      </c>
      <c r="AU19" s="3658">
        <f t="shared" si="33"/>
        <v>0</v>
      </c>
      <c r="AV19" s="3658">
        <f t="shared" si="12"/>
        <v>0</v>
      </c>
      <c r="AW19" s="3658">
        <f t="shared" ref="AW19:BB19" si="34">SUM(AW20,AW30:AW36)</f>
        <v>0</v>
      </c>
      <c r="AX19" s="3658">
        <f t="shared" si="34"/>
        <v>0</v>
      </c>
      <c r="AY19" s="3658">
        <f t="shared" si="34"/>
        <v>0</v>
      </c>
      <c r="AZ19" s="3658">
        <f t="shared" si="34"/>
        <v>0</v>
      </c>
      <c r="BA19" s="3658">
        <f t="shared" si="34"/>
        <v>0</v>
      </c>
      <c r="BB19" s="3658">
        <f t="shared" si="34"/>
        <v>0</v>
      </c>
      <c r="BC19" s="3658">
        <f t="shared" si="14"/>
        <v>0</v>
      </c>
      <c r="BD19" s="3658">
        <f t="shared" ref="BD19:BI19" si="35">SUM(BD20,BD30:BD36)</f>
        <v>0</v>
      </c>
      <c r="BE19" s="3658">
        <f t="shared" si="35"/>
        <v>0</v>
      </c>
      <c r="BF19" s="3658">
        <f t="shared" si="35"/>
        <v>0</v>
      </c>
      <c r="BG19" s="3658">
        <f t="shared" si="35"/>
        <v>0</v>
      </c>
      <c r="BH19" s="3658">
        <f t="shared" si="35"/>
        <v>0</v>
      </c>
      <c r="BI19" s="3658">
        <f t="shared" si="35"/>
        <v>0</v>
      </c>
      <c r="BJ19" s="3658">
        <f t="shared" si="16"/>
        <v>0</v>
      </c>
      <c r="BK19" s="3658">
        <f t="shared" ref="BK19:BP19" si="36">SUM(BK20,BK30:BK36)</f>
        <v>0</v>
      </c>
      <c r="BL19" s="3658">
        <f t="shared" si="36"/>
        <v>0</v>
      </c>
      <c r="BM19" s="3658">
        <f t="shared" si="36"/>
        <v>0</v>
      </c>
      <c r="BN19" s="3658">
        <f t="shared" si="36"/>
        <v>0</v>
      </c>
      <c r="BO19" s="3658">
        <f t="shared" si="36"/>
        <v>0</v>
      </c>
      <c r="BP19" s="3658">
        <f t="shared" si="36"/>
        <v>0</v>
      </c>
      <c r="BQ19" s="3658">
        <f t="shared" si="18"/>
        <v>0</v>
      </c>
      <c r="BR19" s="3658">
        <f t="shared" ref="BR19:BW19" si="37">SUM(BR20,BR30:BR36)</f>
        <v>0</v>
      </c>
      <c r="BS19" s="3658">
        <f t="shared" si="37"/>
        <v>0</v>
      </c>
      <c r="BT19" s="3658">
        <f t="shared" si="37"/>
        <v>0</v>
      </c>
      <c r="BU19" s="3658">
        <f t="shared" si="37"/>
        <v>0</v>
      </c>
      <c r="BV19" s="3658">
        <f t="shared" si="37"/>
        <v>0</v>
      </c>
      <c r="BW19" s="3658">
        <f t="shared" si="37"/>
        <v>0</v>
      </c>
      <c r="BX19" s="3658">
        <f t="shared" si="20"/>
        <v>0</v>
      </c>
      <c r="BY19" s="3658">
        <f t="shared" ref="BY19:CD19" si="38">SUM(BY20,BY30:BY36)</f>
        <v>0</v>
      </c>
      <c r="BZ19" s="3658">
        <f t="shared" si="38"/>
        <v>0</v>
      </c>
      <c r="CA19" s="3658">
        <f t="shared" si="38"/>
        <v>0</v>
      </c>
      <c r="CB19" s="3658">
        <f t="shared" si="38"/>
        <v>0</v>
      </c>
      <c r="CC19" s="3658">
        <f t="shared" si="38"/>
        <v>0</v>
      </c>
      <c r="CD19" s="3658">
        <f t="shared" si="38"/>
        <v>0</v>
      </c>
      <c r="CE19" s="3658">
        <f t="shared" si="22"/>
        <v>0</v>
      </c>
      <c r="CF19" s="3658">
        <f t="shared" ref="CF19:CK19" si="39">SUM(CF20,CF30:CF36)</f>
        <v>0</v>
      </c>
      <c r="CG19" s="3658">
        <f t="shared" si="39"/>
        <v>0</v>
      </c>
      <c r="CH19" s="3658">
        <f t="shared" si="39"/>
        <v>0</v>
      </c>
      <c r="CI19" s="3658">
        <f t="shared" si="39"/>
        <v>0</v>
      </c>
      <c r="CJ19" s="3658">
        <f t="shared" si="39"/>
        <v>0</v>
      </c>
      <c r="CK19" s="3658">
        <f t="shared" si="39"/>
        <v>0</v>
      </c>
      <c r="CL19" s="3658">
        <f t="shared" si="24"/>
        <v>0</v>
      </c>
      <c r="CM19" s="3658">
        <f t="shared" ref="CM19:CR19" si="40">SUM(CM20,CM30:CM36)</f>
        <v>0</v>
      </c>
      <c r="CN19" s="3658">
        <f t="shared" si="40"/>
        <v>0</v>
      </c>
      <c r="CO19" s="3658">
        <f t="shared" si="40"/>
        <v>0</v>
      </c>
      <c r="CP19" s="3658">
        <f t="shared" si="40"/>
        <v>0</v>
      </c>
      <c r="CQ19" s="3658">
        <f t="shared" si="40"/>
        <v>0</v>
      </c>
      <c r="CR19" s="3658">
        <f t="shared" si="40"/>
        <v>0</v>
      </c>
      <c r="CS19" s="3658">
        <f t="shared" si="26"/>
        <v>0</v>
      </c>
      <c r="CT19" s="3658">
        <f t="shared" ref="CT19:CY19" si="41">SUM(CT20,CT30:CT36)</f>
        <v>0</v>
      </c>
      <c r="CU19" s="3658">
        <f t="shared" si="41"/>
        <v>0</v>
      </c>
      <c r="CV19" s="3658">
        <f t="shared" si="41"/>
        <v>0</v>
      </c>
      <c r="CW19" s="3658">
        <f t="shared" si="41"/>
        <v>0</v>
      </c>
      <c r="CX19" s="3658">
        <f t="shared" si="41"/>
        <v>0</v>
      </c>
      <c r="CY19" s="3658">
        <f t="shared" si="41"/>
        <v>0</v>
      </c>
    </row>
    <row r="20" spans="4:103" ht="45" customHeight="1">
      <c r="D20" s="3659" t="s">
        <v>4050</v>
      </c>
      <c r="E20" s="3649" t="s">
        <v>4303</v>
      </c>
      <c r="F20" s="3658">
        <f t="shared" si="0"/>
        <v>0</v>
      </c>
      <c r="G20" s="3658">
        <f t="shared" ref="G20:L20" si="42">SUM(G21:G29)</f>
        <v>0</v>
      </c>
      <c r="H20" s="3658">
        <f t="shared" si="42"/>
        <v>0</v>
      </c>
      <c r="I20" s="3658">
        <f t="shared" si="42"/>
        <v>0</v>
      </c>
      <c r="J20" s="3658">
        <f t="shared" si="42"/>
        <v>0</v>
      </c>
      <c r="K20" s="3658">
        <f t="shared" si="42"/>
        <v>0</v>
      </c>
      <c r="L20" s="3658">
        <f t="shared" si="42"/>
        <v>0</v>
      </c>
      <c r="M20" s="3658">
        <f t="shared" si="2"/>
        <v>0</v>
      </c>
      <c r="N20" s="3658">
        <f t="shared" ref="N20:S20" si="43">SUM(N21:N29)</f>
        <v>0</v>
      </c>
      <c r="O20" s="3658">
        <f t="shared" si="43"/>
        <v>0</v>
      </c>
      <c r="P20" s="3658">
        <f t="shared" si="43"/>
        <v>0</v>
      </c>
      <c r="Q20" s="3658">
        <f t="shared" si="43"/>
        <v>0</v>
      </c>
      <c r="R20" s="3658">
        <f t="shared" si="43"/>
        <v>0</v>
      </c>
      <c r="S20" s="3658">
        <f t="shared" si="43"/>
        <v>0</v>
      </c>
      <c r="T20" s="3658">
        <f t="shared" si="4"/>
        <v>0</v>
      </c>
      <c r="U20" s="3658">
        <f t="shared" ref="U20:Z20" si="44">SUM(U21:U29)</f>
        <v>0</v>
      </c>
      <c r="V20" s="3658">
        <f t="shared" si="44"/>
        <v>0</v>
      </c>
      <c r="W20" s="3658">
        <f t="shared" si="44"/>
        <v>0</v>
      </c>
      <c r="X20" s="3658">
        <f t="shared" si="44"/>
        <v>0</v>
      </c>
      <c r="Y20" s="3658">
        <f t="shared" si="44"/>
        <v>0</v>
      </c>
      <c r="Z20" s="3658">
        <f t="shared" si="44"/>
        <v>0</v>
      </c>
      <c r="AA20" s="3658">
        <f t="shared" si="6"/>
        <v>0</v>
      </c>
      <c r="AB20" s="3658">
        <f t="shared" ref="AB20:AG20" si="45">SUM(AB21:AB29)</f>
        <v>0</v>
      </c>
      <c r="AC20" s="3658">
        <f t="shared" si="45"/>
        <v>0</v>
      </c>
      <c r="AD20" s="3658">
        <f t="shared" si="45"/>
        <v>0</v>
      </c>
      <c r="AE20" s="3658">
        <f t="shared" si="45"/>
        <v>0</v>
      </c>
      <c r="AF20" s="3658">
        <f t="shared" si="45"/>
        <v>0</v>
      </c>
      <c r="AG20" s="3658">
        <f t="shared" si="45"/>
        <v>0</v>
      </c>
      <c r="AH20" s="3658">
        <f t="shared" si="8"/>
        <v>0</v>
      </c>
      <c r="AI20" s="3658">
        <f t="shared" ref="AI20:AN20" si="46">SUM(AI21:AI29)</f>
        <v>0</v>
      </c>
      <c r="AJ20" s="3658">
        <f t="shared" si="46"/>
        <v>0</v>
      </c>
      <c r="AK20" s="3658">
        <f t="shared" si="46"/>
        <v>0</v>
      </c>
      <c r="AL20" s="3658">
        <f t="shared" si="46"/>
        <v>0</v>
      </c>
      <c r="AM20" s="3658">
        <f t="shared" si="46"/>
        <v>0</v>
      </c>
      <c r="AN20" s="3658">
        <f t="shared" si="46"/>
        <v>0</v>
      </c>
      <c r="AO20" s="3658">
        <f t="shared" si="10"/>
        <v>0</v>
      </c>
      <c r="AP20" s="3658">
        <f t="shared" ref="AP20:AU20" si="47">SUM(AP21:AP29)</f>
        <v>0</v>
      </c>
      <c r="AQ20" s="3658">
        <f t="shared" si="47"/>
        <v>0</v>
      </c>
      <c r="AR20" s="3658">
        <f t="shared" si="47"/>
        <v>0</v>
      </c>
      <c r="AS20" s="3658">
        <f t="shared" si="47"/>
        <v>0</v>
      </c>
      <c r="AT20" s="3658">
        <f t="shared" si="47"/>
        <v>0</v>
      </c>
      <c r="AU20" s="3658">
        <f t="shared" si="47"/>
        <v>0</v>
      </c>
      <c r="AV20" s="3658">
        <f t="shared" si="12"/>
        <v>0</v>
      </c>
      <c r="AW20" s="3658">
        <f t="shared" ref="AW20:BB20" si="48">SUM(AW21:AW29)</f>
        <v>0</v>
      </c>
      <c r="AX20" s="3658">
        <f t="shared" si="48"/>
        <v>0</v>
      </c>
      <c r="AY20" s="3658">
        <f t="shared" si="48"/>
        <v>0</v>
      </c>
      <c r="AZ20" s="3658">
        <f t="shared" si="48"/>
        <v>0</v>
      </c>
      <c r="BA20" s="3658">
        <f t="shared" si="48"/>
        <v>0</v>
      </c>
      <c r="BB20" s="3658">
        <f t="shared" si="48"/>
        <v>0</v>
      </c>
      <c r="BC20" s="3658">
        <f t="shared" si="14"/>
        <v>0</v>
      </c>
      <c r="BD20" s="3658">
        <f t="shared" ref="BD20:BI20" si="49">SUM(BD21:BD29)</f>
        <v>0</v>
      </c>
      <c r="BE20" s="3658">
        <f t="shared" si="49"/>
        <v>0</v>
      </c>
      <c r="BF20" s="3658">
        <f t="shared" si="49"/>
        <v>0</v>
      </c>
      <c r="BG20" s="3658">
        <f t="shared" si="49"/>
        <v>0</v>
      </c>
      <c r="BH20" s="3658">
        <f t="shared" si="49"/>
        <v>0</v>
      </c>
      <c r="BI20" s="3658">
        <f t="shared" si="49"/>
        <v>0</v>
      </c>
      <c r="BJ20" s="3658">
        <f t="shared" si="16"/>
        <v>0</v>
      </c>
      <c r="BK20" s="3658">
        <f t="shared" ref="BK20:BP20" si="50">SUM(BK21:BK29)</f>
        <v>0</v>
      </c>
      <c r="BL20" s="3658">
        <f t="shared" si="50"/>
        <v>0</v>
      </c>
      <c r="BM20" s="3658">
        <f t="shared" si="50"/>
        <v>0</v>
      </c>
      <c r="BN20" s="3658">
        <f t="shared" si="50"/>
        <v>0</v>
      </c>
      <c r="BO20" s="3658">
        <f t="shared" si="50"/>
        <v>0</v>
      </c>
      <c r="BP20" s="3658">
        <f t="shared" si="50"/>
        <v>0</v>
      </c>
      <c r="BQ20" s="3658">
        <f t="shared" si="18"/>
        <v>0</v>
      </c>
      <c r="BR20" s="3658">
        <f t="shared" ref="BR20:BW20" si="51">SUM(BR21:BR29)</f>
        <v>0</v>
      </c>
      <c r="BS20" s="3658">
        <f t="shared" si="51"/>
        <v>0</v>
      </c>
      <c r="BT20" s="3658">
        <f t="shared" si="51"/>
        <v>0</v>
      </c>
      <c r="BU20" s="3658">
        <f t="shared" si="51"/>
        <v>0</v>
      </c>
      <c r="BV20" s="3658">
        <f t="shared" si="51"/>
        <v>0</v>
      </c>
      <c r="BW20" s="3658">
        <f t="shared" si="51"/>
        <v>0</v>
      </c>
      <c r="BX20" s="3658">
        <f t="shared" si="20"/>
        <v>0</v>
      </c>
      <c r="BY20" s="3658">
        <f t="shared" ref="BY20:CD20" si="52">SUM(BY21:BY29)</f>
        <v>0</v>
      </c>
      <c r="BZ20" s="3658">
        <f t="shared" si="52"/>
        <v>0</v>
      </c>
      <c r="CA20" s="3658">
        <f t="shared" si="52"/>
        <v>0</v>
      </c>
      <c r="CB20" s="3658">
        <f t="shared" si="52"/>
        <v>0</v>
      </c>
      <c r="CC20" s="3658">
        <f t="shared" si="52"/>
        <v>0</v>
      </c>
      <c r="CD20" s="3658">
        <f t="shared" si="52"/>
        <v>0</v>
      </c>
      <c r="CE20" s="3658">
        <f t="shared" si="22"/>
        <v>0</v>
      </c>
      <c r="CF20" s="3658">
        <f t="shared" ref="CF20:CK20" si="53">SUM(CF21:CF29)</f>
        <v>0</v>
      </c>
      <c r="CG20" s="3658">
        <f t="shared" si="53"/>
        <v>0</v>
      </c>
      <c r="CH20" s="3658">
        <f t="shared" si="53"/>
        <v>0</v>
      </c>
      <c r="CI20" s="3658">
        <f t="shared" si="53"/>
        <v>0</v>
      </c>
      <c r="CJ20" s="3658">
        <f t="shared" si="53"/>
        <v>0</v>
      </c>
      <c r="CK20" s="3658">
        <f t="shared" si="53"/>
        <v>0</v>
      </c>
      <c r="CL20" s="3658">
        <f t="shared" si="24"/>
        <v>0</v>
      </c>
      <c r="CM20" s="3658">
        <f t="shared" ref="CM20:CR20" si="54">SUM(CM21:CM29)</f>
        <v>0</v>
      </c>
      <c r="CN20" s="3658">
        <f t="shared" si="54"/>
        <v>0</v>
      </c>
      <c r="CO20" s="3658">
        <f t="shared" si="54"/>
        <v>0</v>
      </c>
      <c r="CP20" s="3658">
        <f t="shared" si="54"/>
        <v>0</v>
      </c>
      <c r="CQ20" s="3658">
        <f t="shared" si="54"/>
        <v>0</v>
      </c>
      <c r="CR20" s="3658">
        <f t="shared" si="54"/>
        <v>0</v>
      </c>
      <c r="CS20" s="3658">
        <f t="shared" si="26"/>
        <v>0</v>
      </c>
      <c r="CT20" s="3658">
        <f t="shared" ref="CT20:CY20" si="55">SUM(CT21:CT29)</f>
        <v>0</v>
      </c>
      <c r="CU20" s="3658">
        <f t="shared" si="55"/>
        <v>0</v>
      </c>
      <c r="CV20" s="3658">
        <f t="shared" si="55"/>
        <v>0</v>
      </c>
      <c r="CW20" s="3658">
        <f t="shared" si="55"/>
        <v>0</v>
      </c>
      <c r="CX20" s="3658">
        <f t="shared" si="55"/>
        <v>0</v>
      </c>
      <c r="CY20" s="3658">
        <f t="shared" si="55"/>
        <v>0</v>
      </c>
    </row>
    <row r="21" spans="4:103" ht="12" customHeight="1">
      <c r="D21" s="3660" t="s">
        <v>4304</v>
      </c>
      <c r="E21" s="3649" t="s">
        <v>4305</v>
      </c>
      <c r="F21" s="3658">
        <f t="shared" si="0"/>
        <v>0</v>
      </c>
      <c r="G21" s="3661"/>
      <c r="H21" s="3661"/>
      <c r="I21" s="3661"/>
      <c r="J21" s="3661"/>
      <c r="K21" s="3661"/>
      <c r="L21" s="3661"/>
      <c r="M21" s="3658">
        <f t="shared" si="2"/>
        <v>0</v>
      </c>
      <c r="N21" s="3661"/>
      <c r="O21" s="3661"/>
      <c r="P21" s="3661"/>
      <c r="Q21" s="3661"/>
      <c r="R21" s="3661"/>
      <c r="S21" s="3661"/>
      <c r="T21" s="3658">
        <f t="shared" si="4"/>
        <v>0</v>
      </c>
      <c r="U21" s="3661"/>
      <c r="V21" s="3661"/>
      <c r="W21" s="3661"/>
      <c r="X21" s="3661"/>
      <c r="Y21" s="3661"/>
      <c r="Z21" s="3661"/>
      <c r="AA21" s="3658">
        <f t="shared" si="6"/>
        <v>0</v>
      </c>
      <c r="AB21" s="3661"/>
      <c r="AC21" s="3661"/>
      <c r="AD21" s="3661"/>
      <c r="AE21" s="3661"/>
      <c r="AF21" s="3661"/>
      <c r="AG21" s="3661"/>
      <c r="AH21" s="3658">
        <f t="shared" si="8"/>
        <v>0</v>
      </c>
      <c r="AI21" s="3661"/>
      <c r="AJ21" s="3661"/>
      <c r="AK21" s="3661"/>
      <c r="AL21" s="3661"/>
      <c r="AM21" s="3661"/>
      <c r="AN21" s="3661"/>
      <c r="AO21" s="3658">
        <f t="shared" si="10"/>
        <v>0</v>
      </c>
      <c r="AP21" s="3661"/>
      <c r="AQ21" s="3661"/>
      <c r="AR21" s="3661"/>
      <c r="AS21" s="3661"/>
      <c r="AT21" s="3661"/>
      <c r="AU21" s="3661"/>
      <c r="AV21" s="3658">
        <f t="shared" si="12"/>
        <v>0</v>
      </c>
      <c r="AW21" s="3661"/>
      <c r="AX21" s="3661"/>
      <c r="AY21" s="3661"/>
      <c r="AZ21" s="3661"/>
      <c r="BA21" s="3661"/>
      <c r="BB21" s="3661"/>
      <c r="BC21" s="3658">
        <f t="shared" si="14"/>
        <v>0</v>
      </c>
      <c r="BD21" s="3661"/>
      <c r="BE21" s="3661"/>
      <c r="BF21" s="3661"/>
      <c r="BG21" s="3661"/>
      <c r="BH21" s="3661"/>
      <c r="BI21" s="3661"/>
      <c r="BJ21" s="3658">
        <f t="shared" si="16"/>
        <v>0</v>
      </c>
      <c r="BK21" s="3661"/>
      <c r="BL21" s="3661"/>
      <c r="BM21" s="3661"/>
      <c r="BN21" s="3661"/>
      <c r="BO21" s="3661"/>
      <c r="BP21" s="3661"/>
      <c r="BQ21" s="3658">
        <f t="shared" si="18"/>
        <v>0</v>
      </c>
      <c r="BR21" s="3661"/>
      <c r="BS21" s="3661"/>
      <c r="BT21" s="3661"/>
      <c r="BU21" s="3661"/>
      <c r="BV21" s="3661"/>
      <c r="BW21" s="3661"/>
      <c r="BX21" s="3658">
        <f t="shared" si="20"/>
        <v>0</v>
      </c>
      <c r="BY21" s="3661"/>
      <c r="BZ21" s="3661"/>
      <c r="CA21" s="3661"/>
      <c r="CB21" s="3661"/>
      <c r="CC21" s="3661"/>
      <c r="CD21" s="3661"/>
      <c r="CE21" s="3658">
        <f t="shared" si="22"/>
        <v>0</v>
      </c>
      <c r="CF21" s="3661"/>
      <c r="CG21" s="3661"/>
      <c r="CH21" s="3661"/>
      <c r="CI21" s="3661"/>
      <c r="CJ21" s="3661"/>
      <c r="CK21" s="3661"/>
      <c r="CL21" s="3658">
        <f t="shared" si="24"/>
        <v>0</v>
      </c>
      <c r="CM21" s="3661"/>
      <c r="CN21" s="3661"/>
      <c r="CO21" s="3661"/>
      <c r="CP21" s="3661"/>
      <c r="CQ21" s="3661"/>
      <c r="CR21" s="3661"/>
      <c r="CS21" s="3658">
        <f t="shared" si="26"/>
        <v>0</v>
      </c>
      <c r="CT21" s="3661"/>
      <c r="CU21" s="3661"/>
      <c r="CV21" s="3661"/>
      <c r="CW21" s="3661"/>
      <c r="CX21" s="3661"/>
      <c r="CY21" s="3661"/>
    </row>
    <row r="22" spans="4:103" ht="12" customHeight="1">
      <c r="D22" s="3660" t="s">
        <v>4306</v>
      </c>
      <c r="E22" s="3649" t="s">
        <v>4307</v>
      </c>
      <c r="F22" s="3658">
        <f t="shared" si="0"/>
        <v>0</v>
      </c>
      <c r="G22" s="3661"/>
      <c r="H22" s="3661"/>
      <c r="I22" s="3661"/>
      <c r="J22" s="3661"/>
      <c r="K22" s="3661"/>
      <c r="L22" s="3661"/>
      <c r="M22" s="3658">
        <f t="shared" si="2"/>
        <v>0</v>
      </c>
      <c r="N22" s="3661"/>
      <c r="O22" s="3661"/>
      <c r="P22" s="3661"/>
      <c r="Q22" s="3661"/>
      <c r="R22" s="3661"/>
      <c r="S22" s="3661"/>
      <c r="T22" s="3658">
        <f t="shared" si="4"/>
        <v>0</v>
      </c>
      <c r="U22" s="3661"/>
      <c r="V22" s="3661"/>
      <c r="W22" s="3661"/>
      <c r="X22" s="3661"/>
      <c r="Y22" s="3661"/>
      <c r="Z22" s="3661"/>
      <c r="AA22" s="3658">
        <f t="shared" si="6"/>
        <v>0</v>
      </c>
      <c r="AB22" s="3661"/>
      <c r="AC22" s="3661"/>
      <c r="AD22" s="3661"/>
      <c r="AE22" s="3661"/>
      <c r="AF22" s="3661"/>
      <c r="AG22" s="3661"/>
      <c r="AH22" s="3658">
        <f t="shared" si="8"/>
        <v>0</v>
      </c>
      <c r="AI22" s="3661"/>
      <c r="AJ22" s="3661"/>
      <c r="AK22" s="3661"/>
      <c r="AL22" s="3661"/>
      <c r="AM22" s="3661"/>
      <c r="AN22" s="3661"/>
      <c r="AO22" s="3658">
        <f t="shared" si="10"/>
        <v>0</v>
      </c>
      <c r="AP22" s="3661"/>
      <c r="AQ22" s="3661"/>
      <c r="AR22" s="3661"/>
      <c r="AS22" s="3661"/>
      <c r="AT22" s="3661"/>
      <c r="AU22" s="3661"/>
      <c r="AV22" s="3658">
        <f t="shared" si="12"/>
        <v>0</v>
      </c>
      <c r="AW22" s="3661"/>
      <c r="AX22" s="3661"/>
      <c r="AY22" s="3661"/>
      <c r="AZ22" s="3661"/>
      <c r="BA22" s="3661"/>
      <c r="BB22" s="3661"/>
      <c r="BC22" s="3658">
        <f t="shared" si="14"/>
        <v>0</v>
      </c>
      <c r="BD22" s="3661"/>
      <c r="BE22" s="3661"/>
      <c r="BF22" s="3661"/>
      <c r="BG22" s="3661"/>
      <c r="BH22" s="3661"/>
      <c r="BI22" s="3661"/>
      <c r="BJ22" s="3658">
        <f t="shared" si="16"/>
        <v>0</v>
      </c>
      <c r="BK22" s="3661"/>
      <c r="BL22" s="3661"/>
      <c r="BM22" s="3661"/>
      <c r="BN22" s="3661"/>
      <c r="BO22" s="3661"/>
      <c r="BP22" s="3661"/>
      <c r="BQ22" s="3658">
        <f t="shared" si="18"/>
        <v>0</v>
      </c>
      <c r="BR22" s="3661"/>
      <c r="BS22" s="3661"/>
      <c r="BT22" s="3661"/>
      <c r="BU22" s="3661"/>
      <c r="BV22" s="3661"/>
      <c r="BW22" s="3661"/>
      <c r="BX22" s="3658">
        <f t="shared" si="20"/>
        <v>0</v>
      </c>
      <c r="BY22" s="3661"/>
      <c r="BZ22" s="3661"/>
      <c r="CA22" s="3661"/>
      <c r="CB22" s="3661"/>
      <c r="CC22" s="3661"/>
      <c r="CD22" s="3661"/>
      <c r="CE22" s="3658">
        <f t="shared" si="22"/>
        <v>0</v>
      </c>
      <c r="CF22" s="3661"/>
      <c r="CG22" s="3661"/>
      <c r="CH22" s="3661"/>
      <c r="CI22" s="3661"/>
      <c r="CJ22" s="3661"/>
      <c r="CK22" s="3661"/>
      <c r="CL22" s="3658">
        <f t="shared" si="24"/>
        <v>0</v>
      </c>
      <c r="CM22" s="3661"/>
      <c r="CN22" s="3661"/>
      <c r="CO22" s="3661"/>
      <c r="CP22" s="3661"/>
      <c r="CQ22" s="3661"/>
      <c r="CR22" s="3661"/>
      <c r="CS22" s="3658">
        <f t="shared" si="26"/>
        <v>0</v>
      </c>
      <c r="CT22" s="3661"/>
      <c r="CU22" s="3661"/>
      <c r="CV22" s="3661"/>
      <c r="CW22" s="3661"/>
      <c r="CX22" s="3661"/>
      <c r="CY22" s="3661"/>
    </row>
    <row r="23" spans="4:103" ht="12" customHeight="1">
      <c r="D23" s="3660" t="s">
        <v>4308</v>
      </c>
      <c r="E23" s="3649" t="s">
        <v>4309</v>
      </c>
      <c r="F23" s="3658">
        <f t="shared" si="0"/>
        <v>0</v>
      </c>
      <c r="G23" s="3661"/>
      <c r="H23" s="3661"/>
      <c r="I23" s="3661"/>
      <c r="J23" s="3661"/>
      <c r="K23" s="3661"/>
      <c r="L23" s="3661"/>
      <c r="M23" s="3658">
        <f t="shared" si="2"/>
        <v>0</v>
      </c>
      <c r="N23" s="3661"/>
      <c r="O23" s="3661"/>
      <c r="P23" s="3661"/>
      <c r="Q23" s="3661"/>
      <c r="R23" s="3661"/>
      <c r="S23" s="3661"/>
      <c r="T23" s="3658">
        <f t="shared" si="4"/>
        <v>0</v>
      </c>
      <c r="U23" s="3661"/>
      <c r="V23" s="3661"/>
      <c r="W23" s="3661"/>
      <c r="X23" s="3661"/>
      <c r="Y23" s="3661"/>
      <c r="Z23" s="3661"/>
      <c r="AA23" s="3658">
        <f t="shared" si="6"/>
        <v>0</v>
      </c>
      <c r="AB23" s="3661"/>
      <c r="AC23" s="3661"/>
      <c r="AD23" s="3661"/>
      <c r="AE23" s="3661"/>
      <c r="AF23" s="3661"/>
      <c r="AG23" s="3661"/>
      <c r="AH23" s="3658">
        <f t="shared" si="8"/>
        <v>0</v>
      </c>
      <c r="AI23" s="3661"/>
      <c r="AJ23" s="3661"/>
      <c r="AK23" s="3661"/>
      <c r="AL23" s="3661"/>
      <c r="AM23" s="3661"/>
      <c r="AN23" s="3661"/>
      <c r="AO23" s="3658">
        <f t="shared" si="10"/>
        <v>0</v>
      </c>
      <c r="AP23" s="3661"/>
      <c r="AQ23" s="3661"/>
      <c r="AR23" s="3661"/>
      <c r="AS23" s="3661"/>
      <c r="AT23" s="3661"/>
      <c r="AU23" s="3661"/>
      <c r="AV23" s="3658">
        <f t="shared" si="12"/>
        <v>0</v>
      </c>
      <c r="AW23" s="3661"/>
      <c r="AX23" s="3661"/>
      <c r="AY23" s="3661"/>
      <c r="AZ23" s="3661"/>
      <c r="BA23" s="3661"/>
      <c r="BB23" s="3661"/>
      <c r="BC23" s="3658">
        <f t="shared" si="14"/>
        <v>0</v>
      </c>
      <c r="BD23" s="3661"/>
      <c r="BE23" s="3661"/>
      <c r="BF23" s="3661"/>
      <c r="BG23" s="3661"/>
      <c r="BH23" s="3661"/>
      <c r="BI23" s="3661"/>
      <c r="BJ23" s="3658">
        <f t="shared" si="16"/>
        <v>0</v>
      </c>
      <c r="BK23" s="3661"/>
      <c r="BL23" s="3661"/>
      <c r="BM23" s="3661"/>
      <c r="BN23" s="3661"/>
      <c r="BO23" s="3661"/>
      <c r="BP23" s="3661"/>
      <c r="BQ23" s="3658">
        <f t="shared" si="18"/>
        <v>0</v>
      </c>
      <c r="BR23" s="3661"/>
      <c r="BS23" s="3661"/>
      <c r="BT23" s="3661"/>
      <c r="BU23" s="3661"/>
      <c r="BV23" s="3661"/>
      <c r="BW23" s="3661"/>
      <c r="BX23" s="3658">
        <f t="shared" si="20"/>
        <v>0</v>
      </c>
      <c r="BY23" s="3661"/>
      <c r="BZ23" s="3661"/>
      <c r="CA23" s="3661"/>
      <c r="CB23" s="3661"/>
      <c r="CC23" s="3661"/>
      <c r="CD23" s="3661"/>
      <c r="CE23" s="3658">
        <f t="shared" si="22"/>
        <v>0</v>
      </c>
      <c r="CF23" s="3661"/>
      <c r="CG23" s="3661"/>
      <c r="CH23" s="3661"/>
      <c r="CI23" s="3661"/>
      <c r="CJ23" s="3661"/>
      <c r="CK23" s="3661"/>
      <c r="CL23" s="3658">
        <f t="shared" si="24"/>
        <v>0</v>
      </c>
      <c r="CM23" s="3661"/>
      <c r="CN23" s="3661"/>
      <c r="CO23" s="3661"/>
      <c r="CP23" s="3661"/>
      <c r="CQ23" s="3661"/>
      <c r="CR23" s="3661"/>
      <c r="CS23" s="3658">
        <f t="shared" si="26"/>
        <v>0</v>
      </c>
      <c r="CT23" s="3661"/>
      <c r="CU23" s="3661"/>
      <c r="CV23" s="3661"/>
      <c r="CW23" s="3661"/>
      <c r="CX23" s="3661"/>
      <c r="CY23" s="3661"/>
    </row>
    <row r="24" spans="4:103" ht="12" customHeight="1">
      <c r="D24" s="3660" t="s">
        <v>4310</v>
      </c>
      <c r="E24" s="3649" t="s">
        <v>4311</v>
      </c>
      <c r="F24" s="3658">
        <f t="shared" si="0"/>
        <v>0</v>
      </c>
      <c r="G24" s="3661"/>
      <c r="H24" s="3661"/>
      <c r="I24" s="3661"/>
      <c r="J24" s="3661"/>
      <c r="K24" s="3661"/>
      <c r="L24" s="3661"/>
      <c r="M24" s="3658">
        <f t="shared" si="2"/>
        <v>0</v>
      </c>
      <c r="N24" s="3661"/>
      <c r="O24" s="3661"/>
      <c r="P24" s="3661"/>
      <c r="Q24" s="3661"/>
      <c r="R24" s="3661"/>
      <c r="S24" s="3661"/>
      <c r="T24" s="3658">
        <f t="shared" si="4"/>
        <v>0</v>
      </c>
      <c r="U24" s="3661"/>
      <c r="V24" s="3661"/>
      <c r="W24" s="3661"/>
      <c r="X24" s="3661"/>
      <c r="Y24" s="3661"/>
      <c r="Z24" s="3661"/>
      <c r="AA24" s="3658">
        <f t="shared" si="6"/>
        <v>0</v>
      </c>
      <c r="AB24" s="3661"/>
      <c r="AC24" s="3661"/>
      <c r="AD24" s="3661"/>
      <c r="AE24" s="3661"/>
      <c r="AF24" s="3661"/>
      <c r="AG24" s="3661"/>
      <c r="AH24" s="3658">
        <f t="shared" si="8"/>
        <v>0</v>
      </c>
      <c r="AI24" s="3661"/>
      <c r="AJ24" s="3661"/>
      <c r="AK24" s="3661"/>
      <c r="AL24" s="3661"/>
      <c r="AM24" s="3661"/>
      <c r="AN24" s="3661"/>
      <c r="AO24" s="3658">
        <f t="shared" si="10"/>
        <v>0</v>
      </c>
      <c r="AP24" s="3661"/>
      <c r="AQ24" s="3661"/>
      <c r="AR24" s="3661"/>
      <c r="AS24" s="3661"/>
      <c r="AT24" s="3661"/>
      <c r="AU24" s="3661"/>
      <c r="AV24" s="3658">
        <f t="shared" si="12"/>
        <v>0</v>
      </c>
      <c r="AW24" s="3661"/>
      <c r="AX24" s="3661"/>
      <c r="AY24" s="3661"/>
      <c r="AZ24" s="3661"/>
      <c r="BA24" s="3661"/>
      <c r="BB24" s="3661"/>
      <c r="BC24" s="3658">
        <f t="shared" si="14"/>
        <v>0</v>
      </c>
      <c r="BD24" s="3661"/>
      <c r="BE24" s="3661"/>
      <c r="BF24" s="3661"/>
      <c r="BG24" s="3661"/>
      <c r="BH24" s="3661"/>
      <c r="BI24" s="3661"/>
      <c r="BJ24" s="3658">
        <f t="shared" si="16"/>
        <v>0</v>
      </c>
      <c r="BK24" s="3661"/>
      <c r="BL24" s="3661"/>
      <c r="BM24" s="3661"/>
      <c r="BN24" s="3661"/>
      <c r="BO24" s="3661"/>
      <c r="BP24" s="3661"/>
      <c r="BQ24" s="3658">
        <f t="shared" si="18"/>
        <v>0</v>
      </c>
      <c r="BR24" s="3661"/>
      <c r="BS24" s="3661"/>
      <c r="BT24" s="3661"/>
      <c r="BU24" s="3661"/>
      <c r="BV24" s="3661"/>
      <c r="BW24" s="3661"/>
      <c r="BX24" s="3658">
        <f t="shared" si="20"/>
        <v>0</v>
      </c>
      <c r="BY24" s="3661"/>
      <c r="BZ24" s="3661"/>
      <c r="CA24" s="3661"/>
      <c r="CB24" s="3661"/>
      <c r="CC24" s="3661"/>
      <c r="CD24" s="3661"/>
      <c r="CE24" s="3658">
        <f t="shared" si="22"/>
        <v>0</v>
      </c>
      <c r="CF24" s="3661"/>
      <c r="CG24" s="3661"/>
      <c r="CH24" s="3661"/>
      <c r="CI24" s="3661"/>
      <c r="CJ24" s="3661"/>
      <c r="CK24" s="3661"/>
      <c r="CL24" s="3658">
        <f t="shared" si="24"/>
        <v>0</v>
      </c>
      <c r="CM24" s="3661"/>
      <c r="CN24" s="3661"/>
      <c r="CO24" s="3661"/>
      <c r="CP24" s="3661"/>
      <c r="CQ24" s="3661"/>
      <c r="CR24" s="3661"/>
      <c r="CS24" s="3658">
        <f t="shared" si="26"/>
        <v>0</v>
      </c>
      <c r="CT24" s="3661"/>
      <c r="CU24" s="3661"/>
      <c r="CV24" s="3661"/>
      <c r="CW24" s="3661"/>
      <c r="CX24" s="3661"/>
      <c r="CY24" s="3661"/>
    </row>
    <row r="25" spans="4:103" ht="12" customHeight="1">
      <c r="D25" s="3660" t="s">
        <v>4312</v>
      </c>
      <c r="E25" s="3649" t="s">
        <v>4313</v>
      </c>
      <c r="F25" s="3658">
        <f t="shared" si="0"/>
        <v>0</v>
      </c>
      <c r="G25" s="3661"/>
      <c r="H25" s="3661"/>
      <c r="I25" s="3661"/>
      <c r="J25" s="3661"/>
      <c r="K25" s="3661"/>
      <c r="L25" s="3661"/>
      <c r="M25" s="3658">
        <f t="shared" si="2"/>
        <v>0</v>
      </c>
      <c r="N25" s="3661"/>
      <c r="O25" s="3661"/>
      <c r="P25" s="3661"/>
      <c r="Q25" s="3661"/>
      <c r="R25" s="3661"/>
      <c r="S25" s="3661"/>
      <c r="T25" s="3658">
        <f t="shared" si="4"/>
        <v>0</v>
      </c>
      <c r="U25" s="3661"/>
      <c r="V25" s="3661"/>
      <c r="W25" s="3661"/>
      <c r="X25" s="3661"/>
      <c r="Y25" s="3661"/>
      <c r="Z25" s="3661"/>
      <c r="AA25" s="3658">
        <f t="shared" si="6"/>
        <v>0</v>
      </c>
      <c r="AB25" s="3661"/>
      <c r="AC25" s="3661"/>
      <c r="AD25" s="3661"/>
      <c r="AE25" s="3661"/>
      <c r="AF25" s="3661"/>
      <c r="AG25" s="3661"/>
      <c r="AH25" s="3658">
        <f t="shared" si="8"/>
        <v>0</v>
      </c>
      <c r="AI25" s="3661"/>
      <c r="AJ25" s="3661"/>
      <c r="AK25" s="3661"/>
      <c r="AL25" s="3661"/>
      <c r="AM25" s="3661"/>
      <c r="AN25" s="3661"/>
      <c r="AO25" s="3658">
        <f t="shared" si="10"/>
        <v>0</v>
      </c>
      <c r="AP25" s="3661"/>
      <c r="AQ25" s="3661"/>
      <c r="AR25" s="3661"/>
      <c r="AS25" s="3661"/>
      <c r="AT25" s="3661"/>
      <c r="AU25" s="3661"/>
      <c r="AV25" s="3658">
        <f t="shared" si="12"/>
        <v>0</v>
      </c>
      <c r="AW25" s="3661"/>
      <c r="AX25" s="3661"/>
      <c r="AY25" s="3661"/>
      <c r="AZ25" s="3661"/>
      <c r="BA25" s="3661"/>
      <c r="BB25" s="3661"/>
      <c r="BC25" s="3658">
        <f t="shared" si="14"/>
        <v>0</v>
      </c>
      <c r="BD25" s="3661"/>
      <c r="BE25" s="3661"/>
      <c r="BF25" s="3661"/>
      <c r="BG25" s="3661"/>
      <c r="BH25" s="3661"/>
      <c r="BI25" s="3661"/>
      <c r="BJ25" s="3658">
        <f t="shared" si="16"/>
        <v>0</v>
      </c>
      <c r="BK25" s="3661"/>
      <c r="BL25" s="3661"/>
      <c r="BM25" s="3661"/>
      <c r="BN25" s="3661"/>
      <c r="BO25" s="3661"/>
      <c r="BP25" s="3661"/>
      <c r="BQ25" s="3658">
        <f t="shared" si="18"/>
        <v>0</v>
      </c>
      <c r="BR25" s="3661"/>
      <c r="BS25" s="3661"/>
      <c r="BT25" s="3661"/>
      <c r="BU25" s="3661"/>
      <c r="BV25" s="3661"/>
      <c r="BW25" s="3661"/>
      <c r="BX25" s="3658">
        <f t="shared" si="20"/>
        <v>0</v>
      </c>
      <c r="BY25" s="3661"/>
      <c r="BZ25" s="3661"/>
      <c r="CA25" s="3661"/>
      <c r="CB25" s="3661"/>
      <c r="CC25" s="3661"/>
      <c r="CD25" s="3661"/>
      <c r="CE25" s="3658">
        <f t="shared" si="22"/>
        <v>0</v>
      </c>
      <c r="CF25" s="3661"/>
      <c r="CG25" s="3661"/>
      <c r="CH25" s="3661"/>
      <c r="CI25" s="3661"/>
      <c r="CJ25" s="3661"/>
      <c r="CK25" s="3661"/>
      <c r="CL25" s="3658">
        <f t="shared" si="24"/>
        <v>0</v>
      </c>
      <c r="CM25" s="3661"/>
      <c r="CN25" s="3661"/>
      <c r="CO25" s="3661"/>
      <c r="CP25" s="3661"/>
      <c r="CQ25" s="3661"/>
      <c r="CR25" s="3661"/>
      <c r="CS25" s="3658">
        <f t="shared" si="26"/>
        <v>0</v>
      </c>
      <c r="CT25" s="3661"/>
      <c r="CU25" s="3661"/>
      <c r="CV25" s="3661"/>
      <c r="CW25" s="3661"/>
      <c r="CX25" s="3661"/>
      <c r="CY25" s="3661"/>
    </row>
    <row r="26" spans="4:103" ht="12" customHeight="1">
      <c r="D26" s="3660" t="s">
        <v>4314</v>
      </c>
      <c r="E26" s="3649" t="s">
        <v>4315</v>
      </c>
      <c r="F26" s="3658">
        <f t="shared" si="0"/>
        <v>0</v>
      </c>
      <c r="G26" s="3661"/>
      <c r="H26" s="3661"/>
      <c r="I26" s="3661"/>
      <c r="J26" s="3661"/>
      <c r="K26" s="3661"/>
      <c r="L26" s="3661"/>
      <c r="M26" s="3658">
        <f t="shared" si="2"/>
        <v>0</v>
      </c>
      <c r="N26" s="3661"/>
      <c r="O26" s="3661"/>
      <c r="P26" s="3661"/>
      <c r="Q26" s="3661"/>
      <c r="R26" s="3661"/>
      <c r="S26" s="3661"/>
      <c r="T26" s="3658">
        <f t="shared" si="4"/>
        <v>0</v>
      </c>
      <c r="U26" s="3661"/>
      <c r="V26" s="3661"/>
      <c r="W26" s="3661"/>
      <c r="X26" s="3661"/>
      <c r="Y26" s="3661"/>
      <c r="Z26" s="3661"/>
      <c r="AA26" s="3658">
        <f t="shared" si="6"/>
        <v>0</v>
      </c>
      <c r="AB26" s="3661"/>
      <c r="AC26" s="3661"/>
      <c r="AD26" s="3661"/>
      <c r="AE26" s="3661"/>
      <c r="AF26" s="3661"/>
      <c r="AG26" s="3661"/>
      <c r="AH26" s="3658">
        <f t="shared" si="8"/>
        <v>0</v>
      </c>
      <c r="AI26" s="3661"/>
      <c r="AJ26" s="3661"/>
      <c r="AK26" s="3661"/>
      <c r="AL26" s="3661"/>
      <c r="AM26" s="3661"/>
      <c r="AN26" s="3661"/>
      <c r="AO26" s="3658">
        <f t="shared" si="10"/>
        <v>0</v>
      </c>
      <c r="AP26" s="3661"/>
      <c r="AQ26" s="3661"/>
      <c r="AR26" s="3661"/>
      <c r="AS26" s="3661"/>
      <c r="AT26" s="3661"/>
      <c r="AU26" s="3661"/>
      <c r="AV26" s="3658">
        <f t="shared" si="12"/>
        <v>0</v>
      </c>
      <c r="AW26" s="3661"/>
      <c r="AX26" s="3661"/>
      <c r="AY26" s="3661"/>
      <c r="AZ26" s="3661"/>
      <c r="BA26" s="3661"/>
      <c r="BB26" s="3661"/>
      <c r="BC26" s="3658">
        <f t="shared" si="14"/>
        <v>0</v>
      </c>
      <c r="BD26" s="3661"/>
      <c r="BE26" s="3661"/>
      <c r="BF26" s="3661"/>
      <c r="BG26" s="3661"/>
      <c r="BH26" s="3661"/>
      <c r="BI26" s="3661"/>
      <c r="BJ26" s="3658">
        <f t="shared" si="16"/>
        <v>0</v>
      </c>
      <c r="BK26" s="3661"/>
      <c r="BL26" s="3661"/>
      <c r="BM26" s="3661"/>
      <c r="BN26" s="3661"/>
      <c r="BO26" s="3661"/>
      <c r="BP26" s="3661"/>
      <c r="BQ26" s="3658">
        <f t="shared" si="18"/>
        <v>0</v>
      </c>
      <c r="BR26" s="3661"/>
      <c r="BS26" s="3661"/>
      <c r="BT26" s="3661"/>
      <c r="BU26" s="3661"/>
      <c r="BV26" s="3661"/>
      <c r="BW26" s="3661"/>
      <c r="BX26" s="3658">
        <f t="shared" si="20"/>
        <v>0</v>
      </c>
      <c r="BY26" s="3661"/>
      <c r="BZ26" s="3661"/>
      <c r="CA26" s="3661"/>
      <c r="CB26" s="3661"/>
      <c r="CC26" s="3661"/>
      <c r="CD26" s="3661"/>
      <c r="CE26" s="3658">
        <f t="shared" si="22"/>
        <v>0</v>
      </c>
      <c r="CF26" s="3661"/>
      <c r="CG26" s="3661"/>
      <c r="CH26" s="3661"/>
      <c r="CI26" s="3661"/>
      <c r="CJ26" s="3661"/>
      <c r="CK26" s="3661"/>
      <c r="CL26" s="3658">
        <f t="shared" si="24"/>
        <v>0</v>
      </c>
      <c r="CM26" s="3661"/>
      <c r="CN26" s="3661"/>
      <c r="CO26" s="3661"/>
      <c r="CP26" s="3661"/>
      <c r="CQ26" s="3661"/>
      <c r="CR26" s="3661"/>
      <c r="CS26" s="3658">
        <f t="shared" si="26"/>
        <v>0</v>
      </c>
      <c r="CT26" s="3661"/>
      <c r="CU26" s="3661"/>
      <c r="CV26" s="3661"/>
      <c r="CW26" s="3661"/>
      <c r="CX26" s="3661"/>
      <c r="CY26" s="3661"/>
    </row>
    <row r="27" spans="4:103" ht="12" customHeight="1">
      <c r="D27" s="3660" t="s">
        <v>4316</v>
      </c>
      <c r="E27" s="3649" t="s">
        <v>4317</v>
      </c>
      <c r="F27" s="3658">
        <f t="shared" si="0"/>
        <v>0</v>
      </c>
      <c r="G27" s="3661"/>
      <c r="H27" s="3661"/>
      <c r="I27" s="3661"/>
      <c r="J27" s="3661"/>
      <c r="K27" s="3661"/>
      <c r="L27" s="3661"/>
      <c r="M27" s="3658">
        <f t="shared" si="2"/>
        <v>0</v>
      </c>
      <c r="N27" s="3661"/>
      <c r="O27" s="3661"/>
      <c r="P27" s="3661"/>
      <c r="Q27" s="3661"/>
      <c r="R27" s="3661"/>
      <c r="S27" s="3661"/>
      <c r="T27" s="3658">
        <f t="shared" si="4"/>
        <v>0</v>
      </c>
      <c r="U27" s="3661"/>
      <c r="V27" s="3661"/>
      <c r="W27" s="3661"/>
      <c r="X27" s="3661"/>
      <c r="Y27" s="3661"/>
      <c r="Z27" s="3661"/>
      <c r="AA27" s="3658">
        <f t="shared" si="6"/>
        <v>0</v>
      </c>
      <c r="AB27" s="3661"/>
      <c r="AC27" s="3661"/>
      <c r="AD27" s="3661"/>
      <c r="AE27" s="3661"/>
      <c r="AF27" s="3661"/>
      <c r="AG27" s="3661"/>
      <c r="AH27" s="3658">
        <f t="shared" si="8"/>
        <v>0</v>
      </c>
      <c r="AI27" s="3661"/>
      <c r="AJ27" s="3661"/>
      <c r="AK27" s="3661"/>
      <c r="AL27" s="3661"/>
      <c r="AM27" s="3661"/>
      <c r="AN27" s="3661"/>
      <c r="AO27" s="3658">
        <f t="shared" si="10"/>
        <v>0</v>
      </c>
      <c r="AP27" s="3661"/>
      <c r="AQ27" s="3661"/>
      <c r="AR27" s="3661"/>
      <c r="AS27" s="3661"/>
      <c r="AT27" s="3661"/>
      <c r="AU27" s="3661"/>
      <c r="AV27" s="3658">
        <f t="shared" si="12"/>
        <v>0</v>
      </c>
      <c r="AW27" s="3661"/>
      <c r="AX27" s="3661"/>
      <c r="AY27" s="3661"/>
      <c r="AZ27" s="3661"/>
      <c r="BA27" s="3661"/>
      <c r="BB27" s="3661"/>
      <c r="BC27" s="3658">
        <f t="shared" si="14"/>
        <v>0</v>
      </c>
      <c r="BD27" s="3661"/>
      <c r="BE27" s="3661"/>
      <c r="BF27" s="3661"/>
      <c r="BG27" s="3661"/>
      <c r="BH27" s="3661"/>
      <c r="BI27" s="3661"/>
      <c r="BJ27" s="3658">
        <f t="shared" si="16"/>
        <v>0</v>
      </c>
      <c r="BK27" s="3661"/>
      <c r="BL27" s="3661"/>
      <c r="BM27" s="3661"/>
      <c r="BN27" s="3661"/>
      <c r="BO27" s="3661"/>
      <c r="BP27" s="3661"/>
      <c r="BQ27" s="3658">
        <f t="shared" si="18"/>
        <v>0</v>
      </c>
      <c r="BR27" s="3661"/>
      <c r="BS27" s="3661"/>
      <c r="BT27" s="3661"/>
      <c r="BU27" s="3661"/>
      <c r="BV27" s="3661"/>
      <c r="BW27" s="3661"/>
      <c r="BX27" s="3658">
        <f t="shared" si="20"/>
        <v>0</v>
      </c>
      <c r="BY27" s="3661"/>
      <c r="BZ27" s="3661"/>
      <c r="CA27" s="3661"/>
      <c r="CB27" s="3661"/>
      <c r="CC27" s="3661"/>
      <c r="CD27" s="3661"/>
      <c r="CE27" s="3658">
        <f t="shared" si="22"/>
        <v>0</v>
      </c>
      <c r="CF27" s="3661"/>
      <c r="CG27" s="3661"/>
      <c r="CH27" s="3661"/>
      <c r="CI27" s="3661"/>
      <c r="CJ27" s="3661"/>
      <c r="CK27" s="3661"/>
      <c r="CL27" s="3658">
        <f t="shared" si="24"/>
        <v>0</v>
      </c>
      <c r="CM27" s="3661"/>
      <c r="CN27" s="3661"/>
      <c r="CO27" s="3661"/>
      <c r="CP27" s="3661"/>
      <c r="CQ27" s="3661"/>
      <c r="CR27" s="3661"/>
      <c r="CS27" s="3658">
        <f t="shared" si="26"/>
        <v>0</v>
      </c>
      <c r="CT27" s="3661"/>
      <c r="CU27" s="3661"/>
      <c r="CV27" s="3661"/>
      <c r="CW27" s="3661"/>
      <c r="CX27" s="3661"/>
      <c r="CY27" s="3661"/>
    </row>
    <row r="28" spans="4:103" ht="12" customHeight="1">
      <c r="D28" s="3660" t="s">
        <v>4318</v>
      </c>
      <c r="E28" s="3649" t="s">
        <v>4319</v>
      </c>
      <c r="F28" s="3658">
        <f t="shared" si="0"/>
        <v>0</v>
      </c>
      <c r="G28" s="3661"/>
      <c r="H28" s="3661"/>
      <c r="I28" s="3661"/>
      <c r="J28" s="3661"/>
      <c r="K28" s="3661"/>
      <c r="L28" s="3661"/>
      <c r="M28" s="3658">
        <f t="shared" si="2"/>
        <v>0</v>
      </c>
      <c r="N28" s="3661"/>
      <c r="O28" s="3661"/>
      <c r="P28" s="3661"/>
      <c r="Q28" s="3661"/>
      <c r="R28" s="3661"/>
      <c r="S28" s="3661"/>
      <c r="T28" s="3658">
        <f t="shared" si="4"/>
        <v>0</v>
      </c>
      <c r="U28" s="3661"/>
      <c r="V28" s="3661"/>
      <c r="W28" s="3661"/>
      <c r="X28" s="3661"/>
      <c r="Y28" s="3661"/>
      <c r="Z28" s="3661"/>
      <c r="AA28" s="3658">
        <f t="shared" si="6"/>
        <v>0</v>
      </c>
      <c r="AB28" s="3661"/>
      <c r="AC28" s="3661"/>
      <c r="AD28" s="3661"/>
      <c r="AE28" s="3661"/>
      <c r="AF28" s="3661"/>
      <c r="AG28" s="3661"/>
      <c r="AH28" s="3658">
        <f t="shared" si="8"/>
        <v>0</v>
      </c>
      <c r="AI28" s="3661"/>
      <c r="AJ28" s="3661"/>
      <c r="AK28" s="3661"/>
      <c r="AL28" s="3661"/>
      <c r="AM28" s="3661"/>
      <c r="AN28" s="3661"/>
      <c r="AO28" s="3658">
        <f t="shared" si="10"/>
        <v>0</v>
      </c>
      <c r="AP28" s="3661"/>
      <c r="AQ28" s="3661"/>
      <c r="AR28" s="3661"/>
      <c r="AS28" s="3661"/>
      <c r="AT28" s="3661"/>
      <c r="AU28" s="3661"/>
      <c r="AV28" s="3658">
        <f t="shared" si="12"/>
        <v>0</v>
      </c>
      <c r="AW28" s="3661"/>
      <c r="AX28" s="3661"/>
      <c r="AY28" s="3661"/>
      <c r="AZ28" s="3661"/>
      <c r="BA28" s="3661"/>
      <c r="BB28" s="3661"/>
      <c r="BC28" s="3658">
        <f t="shared" si="14"/>
        <v>0</v>
      </c>
      <c r="BD28" s="3661"/>
      <c r="BE28" s="3661"/>
      <c r="BF28" s="3661"/>
      <c r="BG28" s="3661"/>
      <c r="BH28" s="3661"/>
      <c r="BI28" s="3661"/>
      <c r="BJ28" s="3658">
        <f t="shared" si="16"/>
        <v>0</v>
      </c>
      <c r="BK28" s="3661"/>
      <c r="BL28" s="3661"/>
      <c r="BM28" s="3661"/>
      <c r="BN28" s="3661"/>
      <c r="BO28" s="3661"/>
      <c r="BP28" s="3661"/>
      <c r="BQ28" s="3658">
        <f t="shared" si="18"/>
        <v>0</v>
      </c>
      <c r="BR28" s="3661"/>
      <c r="BS28" s="3661"/>
      <c r="BT28" s="3661"/>
      <c r="BU28" s="3661"/>
      <c r="BV28" s="3661"/>
      <c r="BW28" s="3661"/>
      <c r="BX28" s="3658">
        <f t="shared" si="20"/>
        <v>0</v>
      </c>
      <c r="BY28" s="3661"/>
      <c r="BZ28" s="3661"/>
      <c r="CA28" s="3661"/>
      <c r="CB28" s="3661"/>
      <c r="CC28" s="3661"/>
      <c r="CD28" s="3661"/>
      <c r="CE28" s="3658">
        <f t="shared" si="22"/>
        <v>0</v>
      </c>
      <c r="CF28" s="3661"/>
      <c r="CG28" s="3661"/>
      <c r="CH28" s="3661"/>
      <c r="CI28" s="3661"/>
      <c r="CJ28" s="3661"/>
      <c r="CK28" s="3661"/>
      <c r="CL28" s="3658">
        <f t="shared" si="24"/>
        <v>0</v>
      </c>
      <c r="CM28" s="3661"/>
      <c r="CN28" s="3661"/>
      <c r="CO28" s="3661"/>
      <c r="CP28" s="3661"/>
      <c r="CQ28" s="3661"/>
      <c r="CR28" s="3661"/>
      <c r="CS28" s="3658">
        <f t="shared" si="26"/>
        <v>0</v>
      </c>
      <c r="CT28" s="3661"/>
      <c r="CU28" s="3661"/>
      <c r="CV28" s="3661"/>
      <c r="CW28" s="3661"/>
      <c r="CX28" s="3661"/>
      <c r="CY28" s="3661"/>
    </row>
    <row r="29" spans="4:103" ht="12" customHeight="1">
      <c r="D29" s="3660" t="s">
        <v>4320</v>
      </c>
      <c r="E29" s="3649" t="s">
        <v>4321</v>
      </c>
      <c r="F29" s="3658">
        <f t="shared" si="0"/>
        <v>0</v>
      </c>
      <c r="G29" s="3661"/>
      <c r="H29" s="3661"/>
      <c r="I29" s="3661"/>
      <c r="J29" s="3661"/>
      <c r="K29" s="3661"/>
      <c r="L29" s="3661"/>
      <c r="M29" s="3658">
        <f t="shared" si="2"/>
        <v>0</v>
      </c>
      <c r="N29" s="3661"/>
      <c r="O29" s="3661"/>
      <c r="P29" s="3661"/>
      <c r="Q29" s="3661"/>
      <c r="R29" s="3661"/>
      <c r="S29" s="3661"/>
      <c r="T29" s="3658">
        <f t="shared" si="4"/>
        <v>0</v>
      </c>
      <c r="U29" s="3661"/>
      <c r="V29" s="3661"/>
      <c r="W29" s="3661"/>
      <c r="X29" s="3661"/>
      <c r="Y29" s="3661"/>
      <c r="Z29" s="3661"/>
      <c r="AA29" s="3658">
        <f t="shared" si="6"/>
        <v>0</v>
      </c>
      <c r="AB29" s="3661"/>
      <c r="AC29" s="3661"/>
      <c r="AD29" s="3661"/>
      <c r="AE29" s="3661"/>
      <c r="AF29" s="3661"/>
      <c r="AG29" s="3661"/>
      <c r="AH29" s="3658">
        <f t="shared" si="8"/>
        <v>0</v>
      </c>
      <c r="AI29" s="3661"/>
      <c r="AJ29" s="3661"/>
      <c r="AK29" s="3661"/>
      <c r="AL29" s="3661"/>
      <c r="AM29" s="3661"/>
      <c r="AN29" s="3661"/>
      <c r="AO29" s="3658">
        <f t="shared" si="10"/>
        <v>0</v>
      </c>
      <c r="AP29" s="3661"/>
      <c r="AQ29" s="3661"/>
      <c r="AR29" s="3661"/>
      <c r="AS29" s="3661"/>
      <c r="AT29" s="3661"/>
      <c r="AU29" s="3661"/>
      <c r="AV29" s="3658">
        <f t="shared" si="12"/>
        <v>0</v>
      </c>
      <c r="AW29" s="3661"/>
      <c r="AX29" s="3661"/>
      <c r="AY29" s="3661"/>
      <c r="AZ29" s="3661"/>
      <c r="BA29" s="3661"/>
      <c r="BB29" s="3661"/>
      <c r="BC29" s="3658">
        <f t="shared" si="14"/>
        <v>0</v>
      </c>
      <c r="BD29" s="3661"/>
      <c r="BE29" s="3661"/>
      <c r="BF29" s="3661"/>
      <c r="BG29" s="3661"/>
      <c r="BH29" s="3661"/>
      <c r="BI29" s="3661"/>
      <c r="BJ29" s="3658">
        <f t="shared" si="16"/>
        <v>0</v>
      </c>
      <c r="BK29" s="3661"/>
      <c r="BL29" s="3661"/>
      <c r="BM29" s="3661"/>
      <c r="BN29" s="3661"/>
      <c r="BO29" s="3661"/>
      <c r="BP29" s="3661"/>
      <c r="BQ29" s="3658">
        <f t="shared" si="18"/>
        <v>0</v>
      </c>
      <c r="BR29" s="3661"/>
      <c r="BS29" s="3661"/>
      <c r="BT29" s="3661"/>
      <c r="BU29" s="3661"/>
      <c r="BV29" s="3661"/>
      <c r="BW29" s="3661"/>
      <c r="BX29" s="3658">
        <f t="shared" si="20"/>
        <v>0</v>
      </c>
      <c r="BY29" s="3661"/>
      <c r="BZ29" s="3661"/>
      <c r="CA29" s="3661"/>
      <c r="CB29" s="3661"/>
      <c r="CC29" s="3661"/>
      <c r="CD29" s="3661"/>
      <c r="CE29" s="3658">
        <f t="shared" si="22"/>
        <v>0</v>
      </c>
      <c r="CF29" s="3661"/>
      <c r="CG29" s="3661"/>
      <c r="CH29" s="3661"/>
      <c r="CI29" s="3661"/>
      <c r="CJ29" s="3661"/>
      <c r="CK29" s="3661"/>
      <c r="CL29" s="3658">
        <f t="shared" si="24"/>
        <v>0</v>
      </c>
      <c r="CM29" s="3661"/>
      <c r="CN29" s="3661"/>
      <c r="CO29" s="3661"/>
      <c r="CP29" s="3661"/>
      <c r="CQ29" s="3661"/>
      <c r="CR29" s="3661"/>
      <c r="CS29" s="3658">
        <f t="shared" si="26"/>
        <v>0</v>
      </c>
      <c r="CT29" s="3661"/>
      <c r="CU29" s="3661"/>
      <c r="CV29" s="3661"/>
      <c r="CW29" s="3661"/>
      <c r="CX29" s="3661"/>
      <c r="CY29" s="3661"/>
    </row>
    <row r="30" spans="4:103" ht="12" customHeight="1">
      <c r="D30" s="3659" t="s">
        <v>516</v>
      </c>
      <c r="E30" s="3649" t="s">
        <v>4322</v>
      </c>
      <c r="F30" s="3658">
        <f t="shared" si="0"/>
        <v>0</v>
      </c>
      <c r="G30" s="3661"/>
      <c r="H30" s="3661"/>
      <c r="I30" s="3661"/>
      <c r="J30" s="3661"/>
      <c r="K30" s="3661"/>
      <c r="L30" s="3661"/>
      <c r="M30" s="3658">
        <f t="shared" si="2"/>
        <v>0</v>
      </c>
      <c r="N30" s="3661"/>
      <c r="O30" s="3661"/>
      <c r="P30" s="3661"/>
      <c r="Q30" s="3661"/>
      <c r="R30" s="3661"/>
      <c r="S30" s="3661"/>
      <c r="T30" s="3658">
        <f t="shared" si="4"/>
        <v>0</v>
      </c>
      <c r="U30" s="3661"/>
      <c r="V30" s="3661"/>
      <c r="W30" s="3661"/>
      <c r="X30" s="3661"/>
      <c r="Y30" s="3661"/>
      <c r="Z30" s="3661"/>
      <c r="AA30" s="3658">
        <f t="shared" si="6"/>
        <v>0</v>
      </c>
      <c r="AB30" s="3661"/>
      <c r="AC30" s="3661"/>
      <c r="AD30" s="3661"/>
      <c r="AE30" s="3661"/>
      <c r="AF30" s="3661"/>
      <c r="AG30" s="3661"/>
      <c r="AH30" s="3658">
        <f t="shared" si="8"/>
        <v>0</v>
      </c>
      <c r="AI30" s="3661"/>
      <c r="AJ30" s="3661"/>
      <c r="AK30" s="3661"/>
      <c r="AL30" s="3661"/>
      <c r="AM30" s="3661"/>
      <c r="AN30" s="3661"/>
      <c r="AO30" s="3658">
        <f t="shared" si="10"/>
        <v>0</v>
      </c>
      <c r="AP30" s="3661"/>
      <c r="AQ30" s="3661"/>
      <c r="AR30" s="3661"/>
      <c r="AS30" s="3661"/>
      <c r="AT30" s="3661"/>
      <c r="AU30" s="3661"/>
      <c r="AV30" s="3658">
        <f t="shared" si="12"/>
        <v>0</v>
      </c>
      <c r="AW30" s="3661"/>
      <c r="AX30" s="3661"/>
      <c r="AY30" s="3661"/>
      <c r="AZ30" s="3661"/>
      <c r="BA30" s="3661"/>
      <c r="BB30" s="3661"/>
      <c r="BC30" s="3658">
        <f t="shared" si="14"/>
        <v>0</v>
      </c>
      <c r="BD30" s="3661"/>
      <c r="BE30" s="3661"/>
      <c r="BF30" s="3661"/>
      <c r="BG30" s="3661"/>
      <c r="BH30" s="3661"/>
      <c r="BI30" s="3661"/>
      <c r="BJ30" s="3658">
        <f t="shared" si="16"/>
        <v>0</v>
      </c>
      <c r="BK30" s="3661"/>
      <c r="BL30" s="3661"/>
      <c r="BM30" s="3661"/>
      <c r="BN30" s="3661"/>
      <c r="BO30" s="3661"/>
      <c r="BP30" s="3661"/>
      <c r="BQ30" s="3658">
        <f t="shared" si="18"/>
        <v>0</v>
      </c>
      <c r="BR30" s="3661"/>
      <c r="BS30" s="3661"/>
      <c r="BT30" s="3661"/>
      <c r="BU30" s="3661"/>
      <c r="BV30" s="3661"/>
      <c r="BW30" s="3661"/>
      <c r="BX30" s="3658">
        <f t="shared" si="20"/>
        <v>0</v>
      </c>
      <c r="BY30" s="3661"/>
      <c r="BZ30" s="3661"/>
      <c r="CA30" s="3661"/>
      <c r="CB30" s="3661"/>
      <c r="CC30" s="3661"/>
      <c r="CD30" s="3661"/>
      <c r="CE30" s="3658">
        <f t="shared" si="22"/>
        <v>0</v>
      </c>
      <c r="CF30" s="3661"/>
      <c r="CG30" s="3661"/>
      <c r="CH30" s="3661"/>
      <c r="CI30" s="3661"/>
      <c r="CJ30" s="3661"/>
      <c r="CK30" s="3661"/>
      <c r="CL30" s="3658">
        <f t="shared" si="24"/>
        <v>0</v>
      </c>
      <c r="CM30" s="3661"/>
      <c r="CN30" s="3661"/>
      <c r="CO30" s="3661"/>
      <c r="CP30" s="3661"/>
      <c r="CQ30" s="3661"/>
      <c r="CR30" s="3661"/>
      <c r="CS30" s="3658">
        <f t="shared" si="26"/>
        <v>0</v>
      </c>
      <c r="CT30" s="3661"/>
      <c r="CU30" s="3661"/>
      <c r="CV30" s="3661"/>
      <c r="CW30" s="3661"/>
      <c r="CX30" s="3661"/>
      <c r="CY30" s="3661"/>
    </row>
    <row r="31" spans="4:103" ht="12" customHeight="1">
      <c r="D31" s="3659" t="s">
        <v>517</v>
      </c>
      <c r="E31" s="3649" t="s">
        <v>4323</v>
      </c>
      <c r="F31" s="3658">
        <f t="shared" si="0"/>
        <v>0</v>
      </c>
      <c r="G31" s="3661"/>
      <c r="H31" s="3661"/>
      <c r="I31" s="3661"/>
      <c r="J31" s="3661"/>
      <c r="K31" s="3661"/>
      <c r="L31" s="3661"/>
      <c r="M31" s="3658">
        <f t="shared" si="2"/>
        <v>0</v>
      </c>
      <c r="N31" s="3661"/>
      <c r="O31" s="3661"/>
      <c r="P31" s="3661"/>
      <c r="Q31" s="3661"/>
      <c r="R31" s="3661"/>
      <c r="S31" s="3661"/>
      <c r="T31" s="3658">
        <f t="shared" si="4"/>
        <v>0</v>
      </c>
      <c r="U31" s="3661"/>
      <c r="V31" s="3661"/>
      <c r="W31" s="3661"/>
      <c r="X31" s="3661"/>
      <c r="Y31" s="3661"/>
      <c r="Z31" s="3661"/>
      <c r="AA31" s="3658">
        <f t="shared" si="6"/>
        <v>0</v>
      </c>
      <c r="AB31" s="3661"/>
      <c r="AC31" s="3661"/>
      <c r="AD31" s="3661"/>
      <c r="AE31" s="3661"/>
      <c r="AF31" s="3661"/>
      <c r="AG31" s="3661"/>
      <c r="AH31" s="3658">
        <f t="shared" si="8"/>
        <v>0</v>
      </c>
      <c r="AI31" s="3661"/>
      <c r="AJ31" s="3661"/>
      <c r="AK31" s="3661"/>
      <c r="AL31" s="3661"/>
      <c r="AM31" s="3661"/>
      <c r="AN31" s="3661"/>
      <c r="AO31" s="3658">
        <f t="shared" si="10"/>
        <v>0</v>
      </c>
      <c r="AP31" s="3661"/>
      <c r="AQ31" s="3661"/>
      <c r="AR31" s="3661"/>
      <c r="AS31" s="3661"/>
      <c r="AT31" s="3661"/>
      <c r="AU31" s="3661"/>
      <c r="AV31" s="3658">
        <f t="shared" si="12"/>
        <v>0</v>
      </c>
      <c r="AW31" s="3661"/>
      <c r="AX31" s="3661"/>
      <c r="AY31" s="3661"/>
      <c r="AZ31" s="3661"/>
      <c r="BA31" s="3661"/>
      <c r="BB31" s="3661"/>
      <c r="BC31" s="3658">
        <f t="shared" si="14"/>
        <v>0</v>
      </c>
      <c r="BD31" s="3661"/>
      <c r="BE31" s="3661"/>
      <c r="BF31" s="3661"/>
      <c r="BG31" s="3661"/>
      <c r="BH31" s="3661"/>
      <c r="BI31" s="3661"/>
      <c r="BJ31" s="3658">
        <f t="shared" si="16"/>
        <v>0</v>
      </c>
      <c r="BK31" s="3661"/>
      <c r="BL31" s="3661"/>
      <c r="BM31" s="3661"/>
      <c r="BN31" s="3661"/>
      <c r="BO31" s="3661"/>
      <c r="BP31" s="3661"/>
      <c r="BQ31" s="3658">
        <f t="shared" si="18"/>
        <v>0</v>
      </c>
      <c r="BR31" s="3661"/>
      <c r="BS31" s="3661"/>
      <c r="BT31" s="3661"/>
      <c r="BU31" s="3661"/>
      <c r="BV31" s="3661"/>
      <c r="BW31" s="3661"/>
      <c r="BX31" s="3658">
        <f t="shared" si="20"/>
        <v>0</v>
      </c>
      <c r="BY31" s="3661"/>
      <c r="BZ31" s="3661"/>
      <c r="CA31" s="3661"/>
      <c r="CB31" s="3661"/>
      <c r="CC31" s="3661"/>
      <c r="CD31" s="3661"/>
      <c r="CE31" s="3658">
        <f t="shared" si="22"/>
        <v>0</v>
      </c>
      <c r="CF31" s="3661"/>
      <c r="CG31" s="3661"/>
      <c r="CH31" s="3661"/>
      <c r="CI31" s="3661"/>
      <c r="CJ31" s="3661"/>
      <c r="CK31" s="3661"/>
      <c r="CL31" s="3658">
        <f t="shared" si="24"/>
        <v>0</v>
      </c>
      <c r="CM31" s="3661"/>
      <c r="CN31" s="3661"/>
      <c r="CO31" s="3661"/>
      <c r="CP31" s="3661"/>
      <c r="CQ31" s="3661"/>
      <c r="CR31" s="3661"/>
      <c r="CS31" s="3658">
        <f t="shared" si="26"/>
        <v>0</v>
      </c>
      <c r="CT31" s="3661"/>
      <c r="CU31" s="3661"/>
      <c r="CV31" s="3661"/>
      <c r="CW31" s="3661"/>
      <c r="CX31" s="3661"/>
      <c r="CY31" s="3661"/>
    </row>
    <row r="32" spans="4:103" ht="12" customHeight="1">
      <c r="D32" s="3659" t="s">
        <v>518</v>
      </c>
      <c r="E32" s="3649" t="s">
        <v>4324</v>
      </c>
      <c r="F32" s="3658">
        <f t="shared" si="0"/>
        <v>0</v>
      </c>
      <c r="G32" s="3661"/>
      <c r="H32" s="3661"/>
      <c r="I32" s="3661"/>
      <c r="J32" s="3661"/>
      <c r="K32" s="3661"/>
      <c r="L32" s="3661"/>
      <c r="M32" s="3658">
        <f t="shared" si="2"/>
        <v>0</v>
      </c>
      <c r="N32" s="3661"/>
      <c r="O32" s="3661"/>
      <c r="P32" s="3661"/>
      <c r="Q32" s="3661"/>
      <c r="R32" s="3661"/>
      <c r="S32" s="3661"/>
      <c r="T32" s="3658">
        <f t="shared" si="4"/>
        <v>0</v>
      </c>
      <c r="U32" s="3661"/>
      <c r="V32" s="3661"/>
      <c r="W32" s="3661"/>
      <c r="X32" s="3661"/>
      <c r="Y32" s="3661"/>
      <c r="Z32" s="3661"/>
      <c r="AA32" s="3658">
        <f t="shared" si="6"/>
        <v>0</v>
      </c>
      <c r="AB32" s="3661"/>
      <c r="AC32" s="3661"/>
      <c r="AD32" s="3661"/>
      <c r="AE32" s="3661"/>
      <c r="AF32" s="3661"/>
      <c r="AG32" s="3661"/>
      <c r="AH32" s="3658">
        <f t="shared" si="8"/>
        <v>0</v>
      </c>
      <c r="AI32" s="3661"/>
      <c r="AJ32" s="3661"/>
      <c r="AK32" s="3661"/>
      <c r="AL32" s="3661"/>
      <c r="AM32" s="3661"/>
      <c r="AN32" s="3661"/>
      <c r="AO32" s="3658">
        <f t="shared" si="10"/>
        <v>0</v>
      </c>
      <c r="AP32" s="3661"/>
      <c r="AQ32" s="3661"/>
      <c r="AR32" s="3661"/>
      <c r="AS32" s="3661"/>
      <c r="AT32" s="3661"/>
      <c r="AU32" s="3661"/>
      <c r="AV32" s="3658">
        <f t="shared" si="12"/>
        <v>0</v>
      </c>
      <c r="AW32" s="3661"/>
      <c r="AX32" s="3661"/>
      <c r="AY32" s="3661"/>
      <c r="AZ32" s="3661"/>
      <c r="BA32" s="3661"/>
      <c r="BB32" s="3661"/>
      <c r="BC32" s="3658">
        <f t="shared" si="14"/>
        <v>0</v>
      </c>
      <c r="BD32" s="3661"/>
      <c r="BE32" s="3661"/>
      <c r="BF32" s="3661"/>
      <c r="BG32" s="3661"/>
      <c r="BH32" s="3661"/>
      <c r="BI32" s="3661"/>
      <c r="BJ32" s="3658">
        <f t="shared" si="16"/>
        <v>0</v>
      </c>
      <c r="BK32" s="3661"/>
      <c r="BL32" s="3661"/>
      <c r="BM32" s="3661"/>
      <c r="BN32" s="3661"/>
      <c r="BO32" s="3661"/>
      <c r="BP32" s="3661"/>
      <c r="BQ32" s="3658">
        <f t="shared" si="18"/>
        <v>0</v>
      </c>
      <c r="BR32" s="3661"/>
      <c r="BS32" s="3661"/>
      <c r="BT32" s="3661"/>
      <c r="BU32" s="3661"/>
      <c r="BV32" s="3661"/>
      <c r="BW32" s="3661"/>
      <c r="BX32" s="3658">
        <f t="shared" si="20"/>
        <v>0</v>
      </c>
      <c r="BY32" s="3661"/>
      <c r="BZ32" s="3661"/>
      <c r="CA32" s="3661"/>
      <c r="CB32" s="3661"/>
      <c r="CC32" s="3661"/>
      <c r="CD32" s="3661"/>
      <c r="CE32" s="3658">
        <f t="shared" si="22"/>
        <v>0</v>
      </c>
      <c r="CF32" s="3661"/>
      <c r="CG32" s="3661"/>
      <c r="CH32" s="3661"/>
      <c r="CI32" s="3661"/>
      <c r="CJ32" s="3661"/>
      <c r="CK32" s="3661"/>
      <c r="CL32" s="3658">
        <f t="shared" si="24"/>
        <v>0</v>
      </c>
      <c r="CM32" s="3661"/>
      <c r="CN32" s="3661"/>
      <c r="CO32" s="3661"/>
      <c r="CP32" s="3661"/>
      <c r="CQ32" s="3661"/>
      <c r="CR32" s="3661"/>
      <c r="CS32" s="3658">
        <f t="shared" si="26"/>
        <v>0</v>
      </c>
      <c r="CT32" s="3661"/>
      <c r="CU32" s="3661"/>
      <c r="CV32" s="3661"/>
      <c r="CW32" s="3661"/>
      <c r="CX32" s="3661"/>
      <c r="CY32" s="3661"/>
    </row>
    <row r="33" spans="4:103" ht="12" customHeight="1">
      <c r="D33" s="3659" t="s">
        <v>519</v>
      </c>
      <c r="E33" s="3649" t="s">
        <v>4325</v>
      </c>
      <c r="F33" s="3658">
        <f t="shared" si="0"/>
        <v>0</v>
      </c>
      <c r="G33" s="3661"/>
      <c r="H33" s="3661"/>
      <c r="I33" s="3661"/>
      <c r="J33" s="3661"/>
      <c r="K33" s="3661"/>
      <c r="L33" s="3661"/>
      <c r="M33" s="3658">
        <f t="shared" si="2"/>
        <v>0</v>
      </c>
      <c r="N33" s="3661"/>
      <c r="O33" s="3661"/>
      <c r="P33" s="3661"/>
      <c r="Q33" s="3661"/>
      <c r="R33" s="3661"/>
      <c r="S33" s="3661"/>
      <c r="T33" s="3658">
        <f t="shared" si="4"/>
        <v>0</v>
      </c>
      <c r="U33" s="3661"/>
      <c r="V33" s="3661"/>
      <c r="W33" s="3661"/>
      <c r="X33" s="3661"/>
      <c r="Y33" s="3661"/>
      <c r="Z33" s="3661"/>
      <c r="AA33" s="3658">
        <f t="shared" si="6"/>
        <v>0</v>
      </c>
      <c r="AB33" s="3661"/>
      <c r="AC33" s="3661"/>
      <c r="AD33" s="3661"/>
      <c r="AE33" s="3661"/>
      <c r="AF33" s="3661"/>
      <c r="AG33" s="3661"/>
      <c r="AH33" s="3658">
        <f t="shared" si="8"/>
        <v>0</v>
      </c>
      <c r="AI33" s="3661"/>
      <c r="AJ33" s="3661"/>
      <c r="AK33" s="3661"/>
      <c r="AL33" s="3661"/>
      <c r="AM33" s="3661"/>
      <c r="AN33" s="3661"/>
      <c r="AO33" s="3658">
        <f t="shared" si="10"/>
        <v>0</v>
      </c>
      <c r="AP33" s="3661"/>
      <c r="AQ33" s="3661"/>
      <c r="AR33" s="3661"/>
      <c r="AS33" s="3661"/>
      <c r="AT33" s="3661"/>
      <c r="AU33" s="3661"/>
      <c r="AV33" s="3658">
        <f t="shared" si="12"/>
        <v>0</v>
      </c>
      <c r="AW33" s="3661"/>
      <c r="AX33" s="3661"/>
      <c r="AY33" s="3661"/>
      <c r="AZ33" s="3661"/>
      <c r="BA33" s="3661"/>
      <c r="BB33" s="3661"/>
      <c r="BC33" s="3658">
        <f t="shared" si="14"/>
        <v>0</v>
      </c>
      <c r="BD33" s="3661"/>
      <c r="BE33" s="3661"/>
      <c r="BF33" s="3661"/>
      <c r="BG33" s="3661"/>
      <c r="BH33" s="3661"/>
      <c r="BI33" s="3661"/>
      <c r="BJ33" s="3658">
        <f t="shared" si="16"/>
        <v>0</v>
      </c>
      <c r="BK33" s="3661"/>
      <c r="BL33" s="3661"/>
      <c r="BM33" s="3661"/>
      <c r="BN33" s="3661"/>
      <c r="BO33" s="3661"/>
      <c r="BP33" s="3661"/>
      <c r="BQ33" s="3658">
        <f t="shared" si="18"/>
        <v>0</v>
      </c>
      <c r="BR33" s="3661"/>
      <c r="BS33" s="3661"/>
      <c r="BT33" s="3661"/>
      <c r="BU33" s="3661"/>
      <c r="BV33" s="3661"/>
      <c r="BW33" s="3661"/>
      <c r="BX33" s="3658">
        <f t="shared" si="20"/>
        <v>0</v>
      </c>
      <c r="BY33" s="3661"/>
      <c r="BZ33" s="3661"/>
      <c r="CA33" s="3661"/>
      <c r="CB33" s="3661"/>
      <c r="CC33" s="3661"/>
      <c r="CD33" s="3661"/>
      <c r="CE33" s="3658">
        <f t="shared" si="22"/>
        <v>0</v>
      </c>
      <c r="CF33" s="3661"/>
      <c r="CG33" s="3661"/>
      <c r="CH33" s="3661"/>
      <c r="CI33" s="3661"/>
      <c r="CJ33" s="3661"/>
      <c r="CK33" s="3661"/>
      <c r="CL33" s="3658">
        <f t="shared" si="24"/>
        <v>0</v>
      </c>
      <c r="CM33" s="3661"/>
      <c r="CN33" s="3661"/>
      <c r="CO33" s="3661"/>
      <c r="CP33" s="3661"/>
      <c r="CQ33" s="3661"/>
      <c r="CR33" s="3661"/>
      <c r="CS33" s="3658">
        <f t="shared" si="26"/>
        <v>0</v>
      </c>
      <c r="CT33" s="3661"/>
      <c r="CU33" s="3661"/>
      <c r="CV33" s="3661"/>
      <c r="CW33" s="3661"/>
      <c r="CX33" s="3661"/>
      <c r="CY33" s="3661"/>
    </row>
    <row r="34" spans="4:103" ht="12" customHeight="1">
      <c r="D34" s="3659" t="s">
        <v>520</v>
      </c>
      <c r="E34" s="3649" t="s">
        <v>4326</v>
      </c>
      <c r="F34" s="3658">
        <f t="shared" si="0"/>
        <v>0</v>
      </c>
      <c r="G34" s="3661"/>
      <c r="H34" s="3661"/>
      <c r="I34" s="3661"/>
      <c r="J34" s="3661"/>
      <c r="K34" s="3661"/>
      <c r="L34" s="3661"/>
      <c r="M34" s="3658">
        <f t="shared" si="2"/>
        <v>0</v>
      </c>
      <c r="N34" s="3661"/>
      <c r="O34" s="3661"/>
      <c r="P34" s="3661"/>
      <c r="Q34" s="3661"/>
      <c r="R34" s="3661"/>
      <c r="S34" s="3661"/>
      <c r="T34" s="3658">
        <f t="shared" si="4"/>
        <v>0</v>
      </c>
      <c r="U34" s="3661"/>
      <c r="V34" s="3661"/>
      <c r="W34" s="3661"/>
      <c r="X34" s="3661"/>
      <c r="Y34" s="3661"/>
      <c r="Z34" s="3661"/>
      <c r="AA34" s="3658">
        <f t="shared" si="6"/>
        <v>0</v>
      </c>
      <c r="AB34" s="3661"/>
      <c r="AC34" s="3661"/>
      <c r="AD34" s="3661"/>
      <c r="AE34" s="3661"/>
      <c r="AF34" s="3661"/>
      <c r="AG34" s="3661"/>
      <c r="AH34" s="3658">
        <f t="shared" si="8"/>
        <v>0</v>
      </c>
      <c r="AI34" s="3661"/>
      <c r="AJ34" s="3661"/>
      <c r="AK34" s="3661"/>
      <c r="AL34" s="3661"/>
      <c r="AM34" s="3661"/>
      <c r="AN34" s="3661"/>
      <c r="AO34" s="3658">
        <f t="shared" si="10"/>
        <v>0</v>
      </c>
      <c r="AP34" s="3661"/>
      <c r="AQ34" s="3661"/>
      <c r="AR34" s="3661"/>
      <c r="AS34" s="3661"/>
      <c r="AT34" s="3661"/>
      <c r="AU34" s="3661"/>
      <c r="AV34" s="3658">
        <f t="shared" si="12"/>
        <v>0</v>
      </c>
      <c r="AW34" s="3661"/>
      <c r="AX34" s="3661"/>
      <c r="AY34" s="3661"/>
      <c r="AZ34" s="3661"/>
      <c r="BA34" s="3661"/>
      <c r="BB34" s="3661"/>
      <c r="BC34" s="3658">
        <f t="shared" si="14"/>
        <v>0</v>
      </c>
      <c r="BD34" s="3661"/>
      <c r="BE34" s="3661"/>
      <c r="BF34" s="3661"/>
      <c r="BG34" s="3661"/>
      <c r="BH34" s="3661"/>
      <c r="BI34" s="3661"/>
      <c r="BJ34" s="3658">
        <f t="shared" si="16"/>
        <v>0</v>
      </c>
      <c r="BK34" s="3661"/>
      <c r="BL34" s="3661"/>
      <c r="BM34" s="3661"/>
      <c r="BN34" s="3661"/>
      <c r="BO34" s="3661"/>
      <c r="BP34" s="3661"/>
      <c r="BQ34" s="3658">
        <f t="shared" si="18"/>
        <v>0</v>
      </c>
      <c r="BR34" s="3661"/>
      <c r="BS34" s="3661"/>
      <c r="BT34" s="3661"/>
      <c r="BU34" s="3661"/>
      <c r="BV34" s="3661"/>
      <c r="BW34" s="3661"/>
      <c r="BX34" s="3658">
        <f t="shared" si="20"/>
        <v>0</v>
      </c>
      <c r="BY34" s="3661"/>
      <c r="BZ34" s="3661"/>
      <c r="CA34" s="3661"/>
      <c r="CB34" s="3661"/>
      <c r="CC34" s="3661"/>
      <c r="CD34" s="3661"/>
      <c r="CE34" s="3658">
        <f t="shared" si="22"/>
        <v>0</v>
      </c>
      <c r="CF34" s="3661"/>
      <c r="CG34" s="3661"/>
      <c r="CH34" s="3661"/>
      <c r="CI34" s="3661"/>
      <c r="CJ34" s="3661"/>
      <c r="CK34" s="3661"/>
      <c r="CL34" s="3658">
        <f t="shared" si="24"/>
        <v>0</v>
      </c>
      <c r="CM34" s="3661"/>
      <c r="CN34" s="3661"/>
      <c r="CO34" s="3661"/>
      <c r="CP34" s="3661"/>
      <c r="CQ34" s="3661"/>
      <c r="CR34" s="3661"/>
      <c r="CS34" s="3658">
        <f t="shared" si="26"/>
        <v>0</v>
      </c>
      <c r="CT34" s="3661"/>
      <c r="CU34" s="3661"/>
      <c r="CV34" s="3661"/>
      <c r="CW34" s="3661"/>
      <c r="CX34" s="3661"/>
      <c r="CY34" s="3661"/>
    </row>
    <row r="35" spans="4:103" ht="12" customHeight="1">
      <c r="D35" s="3659" t="s">
        <v>521</v>
      </c>
      <c r="E35" s="3649" t="s">
        <v>4327</v>
      </c>
      <c r="F35" s="3658">
        <f t="shared" si="0"/>
        <v>0</v>
      </c>
      <c r="G35" s="3661"/>
      <c r="H35" s="3661"/>
      <c r="I35" s="3661"/>
      <c r="J35" s="3661"/>
      <c r="K35" s="3661"/>
      <c r="L35" s="3661"/>
      <c r="M35" s="3658">
        <f t="shared" si="2"/>
        <v>0</v>
      </c>
      <c r="N35" s="3661"/>
      <c r="O35" s="3661"/>
      <c r="P35" s="3661"/>
      <c r="Q35" s="3661"/>
      <c r="R35" s="3661"/>
      <c r="S35" s="3661"/>
      <c r="T35" s="3658">
        <f t="shared" si="4"/>
        <v>0</v>
      </c>
      <c r="U35" s="3661"/>
      <c r="V35" s="3661"/>
      <c r="W35" s="3661"/>
      <c r="X35" s="3661"/>
      <c r="Y35" s="3661"/>
      <c r="Z35" s="3661"/>
      <c r="AA35" s="3658">
        <f t="shared" si="6"/>
        <v>0</v>
      </c>
      <c r="AB35" s="3661"/>
      <c r="AC35" s="3661"/>
      <c r="AD35" s="3661"/>
      <c r="AE35" s="3661"/>
      <c r="AF35" s="3661"/>
      <c r="AG35" s="3661"/>
      <c r="AH35" s="3658">
        <f t="shared" si="8"/>
        <v>0</v>
      </c>
      <c r="AI35" s="3661"/>
      <c r="AJ35" s="3661"/>
      <c r="AK35" s="3661"/>
      <c r="AL35" s="3661"/>
      <c r="AM35" s="3661"/>
      <c r="AN35" s="3661"/>
      <c r="AO35" s="3658">
        <f t="shared" si="10"/>
        <v>0</v>
      </c>
      <c r="AP35" s="3661"/>
      <c r="AQ35" s="3661"/>
      <c r="AR35" s="3661"/>
      <c r="AS35" s="3661"/>
      <c r="AT35" s="3661"/>
      <c r="AU35" s="3661"/>
      <c r="AV35" s="3658">
        <f t="shared" si="12"/>
        <v>0</v>
      </c>
      <c r="AW35" s="3661"/>
      <c r="AX35" s="3661"/>
      <c r="AY35" s="3661"/>
      <c r="AZ35" s="3661"/>
      <c r="BA35" s="3661"/>
      <c r="BB35" s="3661"/>
      <c r="BC35" s="3658">
        <f t="shared" si="14"/>
        <v>0</v>
      </c>
      <c r="BD35" s="3661"/>
      <c r="BE35" s="3661"/>
      <c r="BF35" s="3661"/>
      <c r="BG35" s="3661"/>
      <c r="BH35" s="3661"/>
      <c r="BI35" s="3661"/>
      <c r="BJ35" s="3658">
        <f t="shared" si="16"/>
        <v>0</v>
      </c>
      <c r="BK35" s="3661"/>
      <c r="BL35" s="3661"/>
      <c r="BM35" s="3661"/>
      <c r="BN35" s="3661"/>
      <c r="BO35" s="3661"/>
      <c r="BP35" s="3661"/>
      <c r="BQ35" s="3658">
        <f t="shared" si="18"/>
        <v>0</v>
      </c>
      <c r="BR35" s="3661"/>
      <c r="BS35" s="3661"/>
      <c r="BT35" s="3661"/>
      <c r="BU35" s="3661"/>
      <c r="BV35" s="3661"/>
      <c r="BW35" s="3661"/>
      <c r="BX35" s="3658">
        <f t="shared" si="20"/>
        <v>0</v>
      </c>
      <c r="BY35" s="3661"/>
      <c r="BZ35" s="3661"/>
      <c r="CA35" s="3661"/>
      <c r="CB35" s="3661"/>
      <c r="CC35" s="3661"/>
      <c r="CD35" s="3661"/>
      <c r="CE35" s="3658">
        <f t="shared" si="22"/>
        <v>0</v>
      </c>
      <c r="CF35" s="3661"/>
      <c r="CG35" s="3661"/>
      <c r="CH35" s="3661"/>
      <c r="CI35" s="3661"/>
      <c r="CJ35" s="3661"/>
      <c r="CK35" s="3661"/>
      <c r="CL35" s="3658">
        <f t="shared" si="24"/>
        <v>0</v>
      </c>
      <c r="CM35" s="3661"/>
      <c r="CN35" s="3661"/>
      <c r="CO35" s="3661"/>
      <c r="CP35" s="3661"/>
      <c r="CQ35" s="3661"/>
      <c r="CR35" s="3661"/>
      <c r="CS35" s="3658">
        <f t="shared" si="26"/>
        <v>0</v>
      </c>
      <c r="CT35" s="3661"/>
      <c r="CU35" s="3661"/>
      <c r="CV35" s="3661"/>
      <c r="CW35" s="3661"/>
      <c r="CX35" s="3661"/>
      <c r="CY35" s="3661"/>
    </row>
    <row r="36" spans="4:103" ht="12" customHeight="1">
      <c r="D36" s="3659" t="s">
        <v>4060</v>
      </c>
      <c r="E36" s="3649" t="s">
        <v>4328</v>
      </c>
      <c r="F36" s="3658">
        <f t="shared" si="0"/>
        <v>0</v>
      </c>
      <c r="G36" s="3661"/>
      <c r="H36" s="3661"/>
      <c r="I36" s="3661"/>
      <c r="J36" s="3661"/>
      <c r="K36" s="3661"/>
      <c r="L36" s="3661"/>
      <c r="M36" s="3658">
        <f t="shared" si="2"/>
        <v>0</v>
      </c>
      <c r="N36" s="3661"/>
      <c r="O36" s="3661"/>
      <c r="P36" s="3661"/>
      <c r="Q36" s="3661"/>
      <c r="R36" s="3661"/>
      <c r="S36" s="3661"/>
      <c r="T36" s="3658">
        <f t="shared" si="4"/>
        <v>0</v>
      </c>
      <c r="U36" s="3661"/>
      <c r="V36" s="3661"/>
      <c r="W36" s="3661"/>
      <c r="X36" s="3661"/>
      <c r="Y36" s="3661"/>
      <c r="Z36" s="3661"/>
      <c r="AA36" s="3658">
        <f t="shared" si="6"/>
        <v>0</v>
      </c>
      <c r="AB36" s="3661"/>
      <c r="AC36" s="3661"/>
      <c r="AD36" s="3661"/>
      <c r="AE36" s="3661"/>
      <c r="AF36" s="3661"/>
      <c r="AG36" s="3661"/>
      <c r="AH36" s="3658">
        <f t="shared" si="8"/>
        <v>0</v>
      </c>
      <c r="AI36" s="3661"/>
      <c r="AJ36" s="3661"/>
      <c r="AK36" s="3661"/>
      <c r="AL36" s="3661"/>
      <c r="AM36" s="3661"/>
      <c r="AN36" s="3661"/>
      <c r="AO36" s="3658">
        <f t="shared" si="10"/>
        <v>0</v>
      </c>
      <c r="AP36" s="3661"/>
      <c r="AQ36" s="3661"/>
      <c r="AR36" s="3661"/>
      <c r="AS36" s="3661"/>
      <c r="AT36" s="3661"/>
      <c r="AU36" s="3661"/>
      <c r="AV36" s="3658">
        <f t="shared" si="12"/>
        <v>0</v>
      </c>
      <c r="AW36" s="3661"/>
      <c r="AX36" s="3661"/>
      <c r="AY36" s="3661"/>
      <c r="AZ36" s="3661"/>
      <c r="BA36" s="3661"/>
      <c r="BB36" s="3661"/>
      <c r="BC36" s="3658">
        <f t="shared" si="14"/>
        <v>0</v>
      </c>
      <c r="BD36" s="3661"/>
      <c r="BE36" s="3661"/>
      <c r="BF36" s="3661"/>
      <c r="BG36" s="3661"/>
      <c r="BH36" s="3661"/>
      <c r="BI36" s="3661"/>
      <c r="BJ36" s="3658">
        <f t="shared" si="16"/>
        <v>0</v>
      </c>
      <c r="BK36" s="3661"/>
      <c r="BL36" s="3661"/>
      <c r="BM36" s="3661"/>
      <c r="BN36" s="3661"/>
      <c r="BO36" s="3661"/>
      <c r="BP36" s="3661"/>
      <c r="BQ36" s="3658">
        <f t="shared" si="18"/>
        <v>0</v>
      </c>
      <c r="BR36" s="3661"/>
      <c r="BS36" s="3661"/>
      <c r="BT36" s="3661"/>
      <c r="BU36" s="3661"/>
      <c r="BV36" s="3661"/>
      <c r="BW36" s="3661"/>
      <c r="BX36" s="3658">
        <f t="shared" si="20"/>
        <v>0</v>
      </c>
      <c r="BY36" s="3661"/>
      <c r="BZ36" s="3661"/>
      <c r="CA36" s="3661"/>
      <c r="CB36" s="3661"/>
      <c r="CC36" s="3661"/>
      <c r="CD36" s="3661"/>
      <c r="CE36" s="3658">
        <f t="shared" si="22"/>
        <v>0</v>
      </c>
      <c r="CF36" s="3661"/>
      <c r="CG36" s="3661"/>
      <c r="CH36" s="3661"/>
      <c r="CI36" s="3661"/>
      <c r="CJ36" s="3661"/>
      <c r="CK36" s="3661"/>
      <c r="CL36" s="3658">
        <f t="shared" si="24"/>
        <v>0</v>
      </c>
      <c r="CM36" s="3661"/>
      <c r="CN36" s="3661"/>
      <c r="CO36" s="3661"/>
      <c r="CP36" s="3661"/>
      <c r="CQ36" s="3661"/>
      <c r="CR36" s="3661"/>
      <c r="CS36" s="3658">
        <f t="shared" si="26"/>
        <v>0</v>
      </c>
      <c r="CT36" s="3661"/>
      <c r="CU36" s="3661"/>
      <c r="CV36" s="3661"/>
      <c r="CW36" s="3661"/>
      <c r="CX36" s="3661"/>
      <c r="CY36" s="3661"/>
    </row>
    <row r="37" spans="4:103" ht="24" customHeight="1">
      <c r="D37" s="3656" t="s">
        <v>523</v>
      </c>
      <c r="E37" s="3657" t="s">
        <v>4329</v>
      </c>
      <c r="F37" s="3658">
        <f t="shared" si="0"/>
        <v>0</v>
      </c>
      <c r="G37" s="3658">
        <f t="shared" ref="G37:L37" si="56">SUM(G38,G48:G54)</f>
        <v>0</v>
      </c>
      <c r="H37" s="3658">
        <f t="shared" si="56"/>
        <v>0</v>
      </c>
      <c r="I37" s="3658">
        <f t="shared" si="56"/>
        <v>0</v>
      </c>
      <c r="J37" s="3658">
        <f t="shared" si="56"/>
        <v>0</v>
      </c>
      <c r="K37" s="3658">
        <f t="shared" si="56"/>
        <v>0</v>
      </c>
      <c r="L37" s="3658">
        <f t="shared" si="56"/>
        <v>0</v>
      </c>
      <c r="M37" s="3658">
        <f t="shared" si="2"/>
        <v>0</v>
      </c>
      <c r="N37" s="3658">
        <f t="shared" ref="N37:S37" si="57">SUM(N38,N48:N54)</f>
        <v>0</v>
      </c>
      <c r="O37" s="3658">
        <f t="shared" si="57"/>
        <v>0</v>
      </c>
      <c r="P37" s="3658">
        <f t="shared" si="57"/>
        <v>0</v>
      </c>
      <c r="Q37" s="3658">
        <f t="shared" si="57"/>
        <v>0</v>
      </c>
      <c r="R37" s="3658">
        <f t="shared" si="57"/>
        <v>0</v>
      </c>
      <c r="S37" s="3658">
        <f t="shared" si="57"/>
        <v>0</v>
      </c>
      <c r="T37" s="3658">
        <f t="shared" si="4"/>
        <v>0</v>
      </c>
      <c r="U37" s="3658">
        <f t="shared" ref="U37:Z37" si="58">SUM(U38,U48:U54)</f>
        <v>0</v>
      </c>
      <c r="V37" s="3658">
        <f t="shared" si="58"/>
        <v>0</v>
      </c>
      <c r="W37" s="3658">
        <f t="shared" si="58"/>
        <v>0</v>
      </c>
      <c r="X37" s="3658">
        <f t="shared" si="58"/>
        <v>0</v>
      </c>
      <c r="Y37" s="3658">
        <f t="shared" si="58"/>
        <v>0</v>
      </c>
      <c r="Z37" s="3658">
        <f t="shared" si="58"/>
        <v>0</v>
      </c>
      <c r="AA37" s="3658">
        <f t="shared" si="6"/>
        <v>0</v>
      </c>
      <c r="AB37" s="3658">
        <f t="shared" ref="AB37:AG37" si="59">SUM(AB38,AB48:AB54)</f>
        <v>0</v>
      </c>
      <c r="AC37" s="3658">
        <f t="shared" si="59"/>
        <v>0</v>
      </c>
      <c r="AD37" s="3658">
        <f t="shared" si="59"/>
        <v>0</v>
      </c>
      <c r="AE37" s="3658">
        <f t="shared" si="59"/>
        <v>0</v>
      </c>
      <c r="AF37" s="3658">
        <f t="shared" si="59"/>
        <v>0</v>
      </c>
      <c r="AG37" s="3658">
        <f t="shared" si="59"/>
        <v>0</v>
      </c>
      <c r="AH37" s="3658">
        <f t="shared" si="8"/>
        <v>6724.0690000000004</v>
      </c>
      <c r="AI37" s="3658">
        <f t="shared" ref="AI37:AN37" si="60">SUM(AI38,AI48:AI54)</f>
        <v>0</v>
      </c>
      <c r="AJ37" s="3658">
        <f>SUM(AJ38,AJ48:AJ54)</f>
        <v>2494.779</v>
      </c>
      <c r="AK37" s="3658">
        <f t="shared" si="60"/>
        <v>4215.41</v>
      </c>
      <c r="AL37" s="3658">
        <f t="shared" si="60"/>
        <v>13.88</v>
      </c>
      <c r="AM37" s="3658">
        <f t="shared" si="60"/>
        <v>0</v>
      </c>
      <c r="AN37" s="3658">
        <f t="shared" si="60"/>
        <v>0</v>
      </c>
      <c r="AO37" s="3658">
        <f t="shared" si="10"/>
        <v>47691.441340000012</v>
      </c>
      <c r="AP37" s="3658">
        <f t="shared" ref="AP37:AU37" si="61">SUM(AP38,AP48:AP54)</f>
        <v>0</v>
      </c>
      <c r="AQ37" s="3658">
        <f t="shared" si="61"/>
        <v>17193.228070000001</v>
      </c>
      <c r="AR37" s="3658">
        <f t="shared" si="61"/>
        <v>30394.370740000006</v>
      </c>
      <c r="AS37" s="3658">
        <f t="shared" si="61"/>
        <v>103.84253</v>
      </c>
      <c r="AT37" s="3658">
        <f t="shared" si="61"/>
        <v>0</v>
      </c>
      <c r="AU37" s="3658">
        <f t="shared" si="61"/>
        <v>0</v>
      </c>
      <c r="AV37" s="3658">
        <f t="shared" si="12"/>
        <v>9.5549999999999997</v>
      </c>
      <c r="AW37" s="3658">
        <f t="shared" ref="AW37:BB37" si="62">SUM(AW38,AW48:AW54)</f>
        <v>0</v>
      </c>
      <c r="AX37" s="3658">
        <f t="shared" si="62"/>
        <v>3.28</v>
      </c>
      <c r="AY37" s="3658">
        <f t="shared" si="62"/>
        <v>6.2350000000000003</v>
      </c>
      <c r="AZ37" s="3658">
        <f t="shared" si="62"/>
        <v>0.04</v>
      </c>
      <c r="BA37" s="3658">
        <f t="shared" si="62"/>
        <v>0</v>
      </c>
      <c r="BB37" s="3658">
        <f t="shared" si="62"/>
        <v>0</v>
      </c>
      <c r="BC37" s="3658">
        <f t="shared" si="14"/>
        <v>11536.08747</v>
      </c>
      <c r="BD37" s="3658">
        <f t="shared" ref="BD37:BI37" si="63">SUM(BD38,BD48:BD54)</f>
        <v>0</v>
      </c>
      <c r="BE37" s="3658">
        <f t="shared" si="63"/>
        <v>3960.05933</v>
      </c>
      <c r="BF37" s="3658">
        <f t="shared" si="63"/>
        <v>7527.7347300000001</v>
      </c>
      <c r="BG37" s="3658">
        <f t="shared" si="63"/>
        <v>48.293410000000002</v>
      </c>
      <c r="BH37" s="3658">
        <f t="shared" si="63"/>
        <v>0</v>
      </c>
      <c r="BI37" s="3658">
        <f t="shared" si="63"/>
        <v>0</v>
      </c>
      <c r="BJ37" s="3658">
        <f t="shared" si="16"/>
        <v>2480.12</v>
      </c>
      <c r="BK37" s="3658">
        <f t="shared" ref="BK37:BP37" si="64">SUM(BK38,BK48:BK54)</f>
        <v>0</v>
      </c>
      <c r="BL37" s="3658">
        <f t="shared" si="64"/>
        <v>0</v>
      </c>
      <c r="BM37" s="3658">
        <f t="shared" si="64"/>
        <v>14.5</v>
      </c>
      <c r="BN37" s="3658">
        <f>SUM(BN38,BN48:BN54)</f>
        <v>2465.62</v>
      </c>
      <c r="BO37" s="3658">
        <f t="shared" si="64"/>
        <v>0</v>
      </c>
      <c r="BP37" s="3658">
        <f t="shared" si="64"/>
        <v>0</v>
      </c>
      <c r="BQ37" s="3658">
        <f t="shared" si="18"/>
        <v>8894.0103499999987</v>
      </c>
      <c r="BR37" s="3658">
        <f t="shared" ref="BR37:BW37" si="65">SUM(BR38,BR48:BR54)</f>
        <v>0</v>
      </c>
      <c r="BS37" s="3658">
        <f t="shared" si="65"/>
        <v>0</v>
      </c>
      <c r="BT37" s="3658">
        <f t="shared" si="65"/>
        <v>45.351800000000004</v>
      </c>
      <c r="BU37" s="3658">
        <f t="shared" si="65"/>
        <v>8848.6585499999983</v>
      </c>
      <c r="BV37" s="3658">
        <f t="shared" si="65"/>
        <v>0</v>
      </c>
      <c r="BW37" s="3658">
        <f t="shared" si="65"/>
        <v>0</v>
      </c>
      <c r="BX37" s="3658">
        <f t="shared" si="20"/>
        <v>4.0810000000000004</v>
      </c>
      <c r="BY37" s="3658">
        <f t="shared" ref="BY37:CD37" si="66">SUM(BY38,BY48:BY54)</f>
        <v>0</v>
      </c>
      <c r="BZ37" s="3658">
        <f t="shared" si="66"/>
        <v>0</v>
      </c>
      <c r="CA37" s="3658">
        <f t="shared" si="66"/>
        <v>2.7E-2</v>
      </c>
      <c r="CB37" s="3658">
        <f t="shared" si="66"/>
        <v>4.0540000000000003</v>
      </c>
      <c r="CC37" s="3658">
        <f t="shared" si="66"/>
        <v>0</v>
      </c>
      <c r="CD37" s="3658">
        <f t="shared" si="66"/>
        <v>0</v>
      </c>
      <c r="CE37" s="3658">
        <f t="shared" si="22"/>
        <v>4927.1347800000003</v>
      </c>
      <c r="CF37" s="3658">
        <f t="shared" ref="CF37:CK37" si="67">SUM(CF38,CF48:CF54)</f>
        <v>0</v>
      </c>
      <c r="CG37" s="3658">
        <f t="shared" si="67"/>
        <v>0</v>
      </c>
      <c r="CH37" s="3658">
        <f t="shared" si="67"/>
        <v>32.598050000000001</v>
      </c>
      <c r="CI37" s="3658">
        <f t="shared" si="67"/>
        <v>4894.5367300000007</v>
      </c>
      <c r="CJ37" s="3658">
        <f t="shared" si="67"/>
        <v>0</v>
      </c>
      <c r="CK37" s="3658">
        <f t="shared" si="67"/>
        <v>0</v>
      </c>
      <c r="CL37" s="3658">
        <f t="shared" si="24"/>
        <v>4.6559999999999997</v>
      </c>
      <c r="CM37" s="3658">
        <f t="shared" ref="CM37:CR37" si="68">SUM(CM38,CM48:CM54)</f>
        <v>0</v>
      </c>
      <c r="CN37" s="3658">
        <f t="shared" si="68"/>
        <v>0</v>
      </c>
      <c r="CO37" s="3658">
        <f t="shared" si="68"/>
        <v>3.4000000000000002E-2</v>
      </c>
      <c r="CP37" s="3658">
        <f t="shared" si="68"/>
        <v>4.6219999999999999</v>
      </c>
      <c r="CQ37" s="3658">
        <f t="shared" si="68"/>
        <v>0</v>
      </c>
      <c r="CR37" s="3658">
        <f t="shared" si="68"/>
        <v>0</v>
      </c>
      <c r="CS37" s="3658">
        <f t="shared" si="26"/>
        <v>4836.4143400000003</v>
      </c>
      <c r="CT37" s="3658">
        <f t="shared" ref="CT37:CY37" si="69">SUM(CT38,CT48:CT54)</f>
        <v>0</v>
      </c>
      <c r="CU37" s="3658">
        <f t="shared" si="69"/>
        <v>0</v>
      </c>
      <c r="CV37" s="3658">
        <f t="shared" si="69"/>
        <v>95.170850000000002</v>
      </c>
      <c r="CW37" s="3658">
        <f t="shared" si="69"/>
        <v>4741.2434899999998</v>
      </c>
      <c r="CX37" s="3658">
        <f t="shared" si="69"/>
        <v>0</v>
      </c>
      <c r="CY37" s="3658">
        <f t="shared" si="69"/>
        <v>0</v>
      </c>
    </row>
    <row r="38" spans="4:103" ht="45" customHeight="1">
      <c r="D38" s="3659" t="s">
        <v>4050</v>
      </c>
      <c r="E38" s="3649" t="s">
        <v>4330</v>
      </c>
      <c r="F38" s="3658">
        <f t="shared" si="0"/>
        <v>0</v>
      </c>
      <c r="G38" s="3658">
        <f t="shared" ref="G38:L38" si="70">SUM(G39:G47)</f>
        <v>0</v>
      </c>
      <c r="H38" s="3658">
        <f t="shared" si="70"/>
        <v>0</v>
      </c>
      <c r="I38" s="3658">
        <f t="shared" si="70"/>
        <v>0</v>
      </c>
      <c r="J38" s="3658">
        <f t="shared" si="70"/>
        <v>0</v>
      </c>
      <c r="K38" s="3658">
        <f t="shared" si="70"/>
        <v>0</v>
      </c>
      <c r="L38" s="3658">
        <f t="shared" si="70"/>
        <v>0</v>
      </c>
      <c r="M38" s="3658">
        <f t="shared" si="2"/>
        <v>0</v>
      </c>
      <c r="N38" s="3658">
        <f t="shared" ref="N38:S38" si="71">SUM(N39:N47)</f>
        <v>0</v>
      </c>
      <c r="O38" s="3658">
        <f t="shared" si="71"/>
        <v>0</v>
      </c>
      <c r="P38" s="3658">
        <f t="shared" si="71"/>
        <v>0</v>
      </c>
      <c r="Q38" s="3658">
        <f t="shared" si="71"/>
        <v>0</v>
      </c>
      <c r="R38" s="3658">
        <f t="shared" si="71"/>
        <v>0</v>
      </c>
      <c r="S38" s="3658">
        <f t="shared" si="71"/>
        <v>0</v>
      </c>
      <c r="T38" s="3658">
        <f t="shared" si="4"/>
        <v>0</v>
      </c>
      <c r="U38" s="3658">
        <f t="shared" ref="U38:Z38" si="72">SUM(U39:U47)</f>
        <v>0</v>
      </c>
      <c r="V38" s="3658">
        <f t="shared" si="72"/>
        <v>0</v>
      </c>
      <c r="W38" s="3658">
        <f t="shared" si="72"/>
        <v>0</v>
      </c>
      <c r="X38" s="3658">
        <f t="shared" si="72"/>
        <v>0</v>
      </c>
      <c r="Y38" s="3658">
        <f t="shared" si="72"/>
        <v>0</v>
      </c>
      <c r="Z38" s="3658">
        <f t="shared" si="72"/>
        <v>0</v>
      </c>
      <c r="AA38" s="3658">
        <f t="shared" si="6"/>
        <v>0</v>
      </c>
      <c r="AB38" s="3658">
        <f t="shared" ref="AB38:AG38" si="73">SUM(AB39:AB47)</f>
        <v>0</v>
      </c>
      <c r="AC38" s="3658">
        <f t="shared" si="73"/>
        <v>0</v>
      </c>
      <c r="AD38" s="3658">
        <f t="shared" si="73"/>
        <v>0</v>
      </c>
      <c r="AE38" s="3658">
        <f t="shared" si="73"/>
        <v>0</v>
      </c>
      <c r="AF38" s="3658">
        <f t="shared" si="73"/>
        <v>0</v>
      </c>
      <c r="AG38" s="3658">
        <f t="shared" si="73"/>
        <v>0</v>
      </c>
      <c r="AH38" s="3658">
        <f t="shared" si="8"/>
        <v>0</v>
      </c>
      <c r="AI38" s="3658">
        <f t="shared" ref="AI38:AN38" si="74">SUM(AI39:AI47)</f>
        <v>0</v>
      </c>
      <c r="AJ38" s="3658">
        <f t="shared" si="74"/>
        <v>0</v>
      </c>
      <c r="AK38" s="3658">
        <f t="shared" si="74"/>
        <v>0</v>
      </c>
      <c r="AL38" s="3658">
        <f t="shared" si="74"/>
        <v>0</v>
      </c>
      <c r="AM38" s="3658">
        <f t="shared" si="74"/>
        <v>0</v>
      </c>
      <c r="AN38" s="3658">
        <f t="shared" si="74"/>
        <v>0</v>
      </c>
      <c r="AO38" s="3658">
        <f t="shared" si="10"/>
        <v>0</v>
      </c>
      <c r="AP38" s="3658">
        <f t="shared" ref="AP38:AU38" si="75">SUM(AP39:AP47)</f>
        <v>0</v>
      </c>
      <c r="AQ38" s="3658">
        <f t="shared" si="75"/>
        <v>0</v>
      </c>
      <c r="AR38" s="3658">
        <f t="shared" si="75"/>
        <v>0</v>
      </c>
      <c r="AS38" s="3658">
        <f t="shared" si="75"/>
        <v>0</v>
      </c>
      <c r="AT38" s="3658">
        <f t="shared" si="75"/>
        <v>0</v>
      </c>
      <c r="AU38" s="3658">
        <f t="shared" si="75"/>
        <v>0</v>
      </c>
      <c r="AV38" s="3658">
        <f t="shared" si="12"/>
        <v>0</v>
      </c>
      <c r="AW38" s="3658">
        <f t="shared" ref="AW38:BB38" si="76">SUM(AW39:AW47)</f>
        <v>0</v>
      </c>
      <c r="AX38" s="3658">
        <f t="shared" si="76"/>
        <v>0</v>
      </c>
      <c r="AY38" s="3658">
        <f t="shared" si="76"/>
        <v>0</v>
      </c>
      <c r="AZ38" s="3658">
        <f t="shared" si="76"/>
        <v>0</v>
      </c>
      <c r="BA38" s="3658">
        <f t="shared" si="76"/>
        <v>0</v>
      </c>
      <c r="BB38" s="3658">
        <f t="shared" si="76"/>
        <v>0</v>
      </c>
      <c r="BC38" s="3658">
        <f t="shared" si="14"/>
        <v>0</v>
      </c>
      <c r="BD38" s="3658">
        <f t="shared" ref="BD38:BI38" si="77">SUM(BD39:BD47)</f>
        <v>0</v>
      </c>
      <c r="BE38" s="3658">
        <f t="shared" si="77"/>
        <v>0</v>
      </c>
      <c r="BF38" s="3658">
        <f t="shared" si="77"/>
        <v>0</v>
      </c>
      <c r="BG38" s="3658">
        <f t="shared" si="77"/>
        <v>0</v>
      </c>
      <c r="BH38" s="3658">
        <f t="shared" si="77"/>
        <v>0</v>
      </c>
      <c r="BI38" s="3658">
        <f t="shared" si="77"/>
        <v>0</v>
      </c>
      <c r="BJ38" s="3658">
        <f t="shared" si="16"/>
        <v>0</v>
      </c>
      <c r="BK38" s="3658">
        <f t="shared" ref="BK38:BP38" si="78">SUM(BK39:BK47)</f>
        <v>0</v>
      </c>
      <c r="BL38" s="3658">
        <f t="shared" si="78"/>
        <v>0</v>
      </c>
      <c r="BM38" s="3658">
        <f t="shared" si="78"/>
        <v>0</v>
      </c>
      <c r="BN38" s="3658">
        <f t="shared" si="78"/>
        <v>0</v>
      </c>
      <c r="BO38" s="3658">
        <f t="shared" si="78"/>
        <v>0</v>
      </c>
      <c r="BP38" s="3658">
        <f t="shared" si="78"/>
        <v>0</v>
      </c>
      <c r="BQ38" s="3658">
        <f t="shared" si="18"/>
        <v>0</v>
      </c>
      <c r="BR38" s="3658">
        <f t="shared" ref="BR38:BW38" si="79">SUM(BR39:BR47)</f>
        <v>0</v>
      </c>
      <c r="BS38" s="3658">
        <f t="shared" si="79"/>
        <v>0</v>
      </c>
      <c r="BT38" s="3658">
        <f t="shared" si="79"/>
        <v>0</v>
      </c>
      <c r="BU38" s="3658">
        <f t="shared" si="79"/>
        <v>0</v>
      </c>
      <c r="BV38" s="3658">
        <f t="shared" si="79"/>
        <v>0</v>
      </c>
      <c r="BW38" s="3658">
        <f t="shared" si="79"/>
        <v>0</v>
      </c>
      <c r="BX38" s="3658">
        <f t="shared" si="20"/>
        <v>0</v>
      </c>
      <c r="BY38" s="3658">
        <f t="shared" ref="BY38:CD38" si="80">SUM(BY39:BY47)</f>
        <v>0</v>
      </c>
      <c r="BZ38" s="3658">
        <f t="shared" si="80"/>
        <v>0</v>
      </c>
      <c r="CA38" s="3658">
        <f t="shared" si="80"/>
        <v>0</v>
      </c>
      <c r="CB38" s="3658">
        <f t="shared" si="80"/>
        <v>0</v>
      </c>
      <c r="CC38" s="3658">
        <f t="shared" si="80"/>
        <v>0</v>
      </c>
      <c r="CD38" s="3658">
        <f t="shared" si="80"/>
        <v>0</v>
      </c>
      <c r="CE38" s="3658">
        <f t="shared" si="22"/>
        <v>0</v>
      </c>
      <c r="CF38" s="3658">
        <f t="shared" ref="CF38:CK38" si="81">SUM(CF39:CF47)</f>
        <v>0</v>
      </c>
      <c r="CG38" s="3658">
        <f t="shared" si="81"/>
        <v>0</v>
      </c>
      <c r="CH38" s="3658">
        <f t="shared" si="81"/>
        <v>0</v>
      </c>
      <c r="CI38" s="3658">
        <f t="shared" si="81"/>
        <v>0</v>
      </c>
      <c r="CJ38" s="3658">
        <f t="shared" si="81"/>
        <v>0</v>
      </c>
      <c r="CK38" s="3658">
        <f t="shared" si="81"/>
        <v>0</v>
      </c>
      <c r="CL38" s="3658">
        <f t="shared" si="24"/>
        <v>0</v>
      </c>
      <c r="CM38" s="3658">
        <f t="shared" ref="CM38:CR38" si="82">SUM(CM39:CM47)</f>
        <v>0</v>
      </c>
      <c r="CN38" s="3658">
        <f t="shared" si="82"/>
        <v>0</v>
      </c>
      <c r="CO38" s="3658">
        <f t="shared" si="82"/>
        <v>0</v>
      </c>
      <c r="CP38" s="3658">
        <f t="shared" si="82"/>
        <v>0</v>
      </c>
      <c r="CQ38" s="3658">
        <f t="shared" si="82"/>
        <v>0</v>
      </c>
      <c r="CR38" s="3658">
        <f t="shared" si="82"/>
        <v>0</v>
      </c>
      <c r="CS38" s="3658">
        <f t="shared" si="26"/>
        <v>0</v>
      </c>
      <c r="CT38" s="3658">
        <f t="shared" ref="CT38:CY38" si="83">SUM(CT39:CT47)</f>
        <v>0</v>
      </c>
      <c r="CU38" s="3658">
        <f t="shared" si="83"/>
        <v>0</v>
      </c>
      <c r="CV38" s="3658">
        <f t="shared" si="83"/>
        <v>0</v>
      </c>
      <c r="CW38" s="3658">
        <f t="shared" si="83"/>
        <v>0</v>
      </c>
      <c r="CX38" s="3658">
        <f t="shared" si="83"/>
        <v>0</v>
      </c>
      <c r="CY38" s="3658">
        <f t="shared" si="83"/>
        <v>0</v>
      </c>
    </row>
    <row r="39" spans="4:103" ht="12" customHeight="1">
      <c r="D39" s="3660" t="s">
        <v>4304</v>
      </c>
      <c r="E39" s="3649" t="s">
        <v>4331</v>
      </c>
      <c r="F39" s="3658">
        <f t="shared" si="0"/>
        <v>0</v>
      </c>
      <c r="G39" s="3661"/>
      <c r="H39" s="3661"/>
      <c r="I39" s="3661"/>
      <c r="J39" s="3661"/>
      <c r="K39" s="3661"/>
      <c r="L39" s="3661"/>
      <c r="M39" s="3658">
        <f t="shared" si="2"/>
        <v>0</v>
      </c>
      <c r="N39" s="3661"/>
      <c r="O39" s="3661"/>
      <c r="P39" s="3661"/>
      <c r="Q39" s="3661"/>
      <c r="R39" s="3661"/>
      <c r="S39" s="3661"/>
      <c r="T39" s="3658">
        <f t="shared" si="4"/>
        <v>0</v>
      </c>
      <c r="U39" s="3661"/>
      <c r="V39" s="3661"/>
      <c r="W39" s="3661"/>
      <c r="X39" s="3661"/>
      <c r="Y39" s="3661"/>
      <c r="Z39" s="3661"/>
      <c r="AA39" s="3658">
        <f t="shared" si="6"/>
        <v>0</v>
      </c>
      <c r="AB39" s="3661"/>
      <c r="AC39" s="3661"/>
      <c r="AD39" s="3661"/>
      <c r="AE39" s="3661"/>
      <c r="AF39" s="3661"/>
      <c r="AG39" s="3661"/>
      <c r="AH39" s="3658">
        <f t="shared" si="8"/>
        <v>0</v>
      </c>
      <c r="AI39" s="3661"/>
      <c r="AJ39" s="3661"/>
      <c r="AK39" s="3661"/>
      <c r="AL39" s="3661"/>
      <c r="AM39" s="3661"/>
      <c r="AN39" s="3661"/>
      <c r="AO39" s="3658">
        <f t="shared" si="10"/>
        <v>0</v>
      </c>
      <c r="AP39" s="3661"/>
      <c r="AQ39" s="3661"/>
      <c r="AR39" s="3661"/>
      <c r="AS39" s="3661"/>
      <c r="AT39" s="3661"/>
      <c r="AU39" s="3661"/>
      <c r="AV39" s="3658">
        <f t="shared" si="12"/>
        <v>0</v>
      </c>
      <c r="AW39" s="3661"/>
      <c r="AX39" s="3661"/>
      <c r="AY39" s="3661"/>
      <c r="AZ39" s="3661"/>
      <c r="BA39" s="3661"/>
      <c r="BB39" s="3661"/>
      <c r="BC39" s="3658">
        <f t="shared" si="14"/>
        <v>0</v>
      </c>
      <c r="BD39" s="3661"/>
      <c r="BE39" s="3661"/>
      <c r="BF39" s="3661"/>
      <c r="BG39" s="3661"/>
      <c r="BH39" s="3661"/>
      <c r="BI39" s="3661"/>
      <c r="BJ39" s="3658">
        <f t="shared" si="16"/>
        <v>0</v>
      </c>
      <c r="BK39" s="3661"/>
      <c r="BL39" s="3661"/>
      <c r="BM39" s="3661"/>
      <c r="BN39" s="3661"/>
      <c r="BO39" s="3661"/>
      <c r="BP39" s="3661"/>
      <c r="BQ39" s="3658">
        <f t="shared" si="18"/>
        <v>0</v>
      </c>
      <c r="BR39" s="3661"/>
      <c r="BS39" s="3661"/>
      <c r="BT39" s="3661"/>
      <c r="BU39" s="3661"/>
      <c r="BV39" s="3661"/>
      <c r="BW39" s="3661"/>
      <c r="BX39" s="3658">
        <f t="shared" si="20"/>
        <v>0</v>
      </c>
      <c r="BY39" s="3661"/>
      <c r="BZ39" s="3661"/>
      <c r="CA39" s="3661"/>
      <c r="CB39" s="3661"/>
      <c r="CC39" s="3661"/>
      <c r="CD39" s="3661"/>
      <c r="CE39" s="3658">
        <f t="shared" si="22"/>
        <v>0</v>
      </c>
      <c r="CF39" s="3661"/>
      <c r="CG39" s="3661"/>
      <c r="CH39" s="3661"/>
      <c r="CI39" s="3661"/>
      <c r="CJ39" s="3661"/>
      <c r="CK39" s="3661"/>
      <c r="CL39" s="3658">
        <f t="shared" si="24"/>
        <v>0</v>
      </c>
      <c r="CM39" s="3661"/>
      <c r="CN39" s="3661"/>
      <c r="CO39" s="3661"/>
      <c r="CP39" s="3661"/>
      <c r="CQ39" s="3661"/>
      <c r="CR39" s="3661"/>
      <c r="CS39" s="3658">
        <f t="shared" si="26"/>
        <v>0</v>
      </c>
      <c r="CT39" s="3661"/>
      <c r="CU39" s="3661"/>
      <c r="CV39" s="3661"/>
      <c r="CW39" s="3661"/>
      <c r="CX39" s="3661"/>
      <c r="CY39" s="3661"/>
    </row>
    <row r="40" spans="4:103" ht="12" customHeight="1">
      <c r="D40" s="3660" t="s">
        <v>4306</v>
      </c>
      <c r="E40" s="3649" t="s">
        <v>4332</v>
      </c>
      <c r="F40" s="3658">
        <f t="shared" si="0"/>
        <v>0</v>
      </c>
      <c r="G40" s="3661"/>
      <c r="H40" s="3661"/>
      <c r="I40" s="3661"/>
      <c r="J40" s="3661"/>
      <c r="K40" s="3661"/>
      <c r="L40" s="3661"/>
      <c r="M40" s="3658">
        <f t="shared" si="2"/>
        <v>0</v>
      </c>
      <c r="N40" s="3661"/>
      <c r="O40" s="3661"/>
      <c r="P40" s="3661"/>
      <c r="Q40" s="3661"/>
      <c r="R40" s="3661"/>
      <c r="S40" s="3661"/>
      <c r="T40" s="3658">
        <f t="shared" si="4"/>
        <v>0</v>
      </c>
      <c r="U40" s="3661"/>
      <c r="V40" s="3661"/>
      <c r="W40" s="3661"/>
      <c r="X40" s="3661"/>
      <c r="Y40" s="3661"/>
      <c r="Z40" s="3661"/>
      <c r="AA40" s="3658">
        <f t="shared" si="6"/>
        <v>0</v>
      </c>
      <c r="AB40" s="3661"/>
      <c r="AC40" s="3661"/>
      <c r="AD40" s="3661"/>
      <c r="AE40" s="3661"/>
      <c r="AF40" s="3661"/>
      <c r="AG40" s="3661"/>
      <c r="AH40" s="3658">
        <f t="shared" si="8"/>
        <v>0</v>
      </c>
      <c r="AI40" s="3661"/>
      <c r="AJ40" s="3661"/>
      <c r="AK40" s="3661"/>
      <c r="AL40" s="3661"/>
      <c r="AM40" s="3661"/>
      <c r="AN40" s="3661"/>
      <c r="AO40" s="3658">
        <f t="shared" si="10"/>
        <v>0</v>
      </c>
      <c r="AP40" s="3661"/>
      <c r="AQ40" s="3661"/>
      <c r="AR40" s="3661"/>
      <c r="AS40" s="3661"/>
      <c r="AT40" s="3661"/>
      <c r="AU40" s="3661"/>
      <c r="AV40" s="3658">
        <f t="shared" si="12"/>
        <v>0</v>
      </c>
      <c r="AW40" s="3661"/>
      <c r="AX40" s="3661"/>
      <c r="AY40" s="3661"/>
      <c r="AZ40" s="3661"/>
      <c r="BA40" s="3661"/>
      <c r="BB40" s="3661"/>
      <c r="BC40" s="3658">
        <f t="shared" si="14"/>
        <v>0</v>
      </c>
      <c r="BD40" s="3661"/>
      <c r="BE40" s="3661"/>
      <c r="BF40" s="3661"/>
      <c r="BG40" s="3661"/>
      <c r="BH40" s="3661"/>
      <c r="BI40" s="3661"/>
      <c r="BJ40" s="3658">
        <f t="shared" si="16"/>
        <v>0</v>
      </c>
      <c r="BK40" s="3661"/>
      <c r="BL40" s="3661"/>
      <c r="BM40" s="3661"/>
      <c r="BN40" s="3661"/>
      <c r="BO40" s="3661"/>
      <c r="BP40" s="3661"/>
      <c r="BQ40" s="3658">
        <f t="shared" si="18"/>
        <v>0</v>
      </c>
      <c r="BR40" s="3661"/>
      <c r="BS40" s="3661"/>
      <c r="BT40" s="3661"/>
      <c r="BU40" s="3661"/>
      <c r="BV40" s="3661"/>
      <c r="BW40" s="3661"/>
      <c r="BX40" s="3658">
        <f t="shared" si="20"/>
        <v>0</v>
      </c>
      <c r="BY40" s="3661"/>
      <c r="BZ40" s="3661"/>
      <c r="CA40" s="3661"/>
      <c r="CB40" s="3661"/>
      <c r="CC40" s="3661"/>
      <c r="CD40" s="3661"/>
      <c r="CE40" s="3658">
        <f t="shared" si="22"/>
        <v>0</v>
      </c>
      <c r="CF40" s="3661"/>
      <c r="CG40" s="3661"/>
      <c r="CH40" s="3661"/>
      <c r="CI40" s="3661"/>
      <c r="CJ40" s="3661"/>
      <c r="CK40" s="3661"/>
      <c r="CL40" s="3658">
        <f t="shared" si="24"/>
        <v>0</v>
      </c>
      <c r="CM40" s="3661"/>
      <c r="CN40" s="3661"/>
      <c r="CO40" s="3661"/>
      <c r="CP40" s="3661"/>
      <c r="CQ40" s="3661"/>
      <c r="CR40" s="3661"/>
      <c r="CS40" s="3658">
        <f t="shared" si="26"/>
        <v>0</v>
      </c>
      <c r="CT40" s="3661"/>
      <c r="CU40" s="3661"/>
      <c r="CV40" s="3661"/>
      <c r="CW40" s="3661"/>
      <c r="CX40" s="3661"/>
      <c r="CY40" s="3661"/>
    </row>
    <row r="41" spans="4:103" ht="12" customHeight="1">
      <c r="D41" s="3660" t="s">
        <v>4308</v>
      </c>
      <c r="E41" s="3649" t="s">
        <v>4333</v>
      </c>
      <c r="F41" s="3658">
        <f t="shared" si="0"/>
        <v>0</v>
      </c>
      <c r="G41" s="3661"/>
      <c r="H41" s="3661"/>
      <c r="I41" s="3661"/>
      <c r="J41" s="3661"/>
      <c r="K41" s="3661"/>
      <c r="L41" s="3661"/>
      <c r="M41" s="3658">
        <f t="shared" si="2"/>
        <v>0</v>
      </c>
      <c r="N41" s="3661"/>
      <c r="O41" s="3661"/>
      <c r="P41" s="3661"/>
      <c r="Q41" s="3661"/>
      <c r="R41" s="3661"/>
      <c r="S41" s="3661"/>
      <c r="T41" s="3658">
        <f t="shared" si="4"/>
        <v>0</v>
      </c>
      <c r="U41" s="3661"/>
      <c r="V41" s="3661"/>
      <c r="W41" s="3661"/>
      <c r="X41" s="3661"/>
      <c r="Y41" s="3661"/>
      <c r="Z41" s="3661"/>
      <c r="AA41" s="3658">
        <f t="shared" si="6"/>
        <v>0</v>
      </c>
      <c r="AB41" s="3661"/>
      <c r="AC41" s="3661"/>
      <c r="AD41" s="3661"/>
      <c r="AE41" s="3661"/>
      <c r="AF41" s="3661"/>
      <c r="AG41" s="3661"/>
      <c r="AH41" s="3658">
        <f t="shared" si="8"/>
        <v>0</v>
      </c>
      <c r="AI41" s="3661"/>
      <c r="AJ41" s="3661"/>
      <c r="AK41" s="3661"/>
      <c r="AL41" s="3661"/>
      <c r="AM41" s="3661"/>
      <c r="AN41" s="3661"/>
      <c r="AO41" s="3658">
        <f t="shared" si="10"/>
        <v>0</v>
      </c>
      <c r="AP41" s="3661"/>
      <c r="AQ41" s="3661"/>
      <c r="AR41" s="3661"/>
      <c r="AS41" s="3661"/>
      <c r="AT41" s="3661"/>
      <c r="AU41" s="3661"/>
      <c r="AV41" s="3658">
        <f t="shared" si="12"/>
        <v>0</v>
      </c>
      <c r="AW41" s="3661"/>
      <c r="AX41" s="3661"/>
      <c r="AY41" s="3661"/>
      <c r="AZ41" s="3661"/>
      <c r="BA41" s="3661"/>
      <c r="BB41" s="3661"/>
      <c r="BC41" s="3658">
        <f t="shared" si="14"/>
        <v>0</v>
      </c>
      <c r="BD41" s="3661"/>
      <c r="BE41" s="3661"/>
      <c r="BF41" s="3661"/>
      <c r="BG41" s="3661"/>
      <c r="BH41" s="3661"/>
      <c r="BI41" s="3661"/>
      <c r="BJ41" s="3658">
        <f t="shared" si="16"/>
        <v>0</v>
      </c>
      <c r="BK41" s="3661"/>
      <c r="BL41" s="3661"/>
      <c r="BM41" s="3661"/>
      <c r="BN41" s="3661"/>
      <c r="BO41" s="3661"/>
      <c r="BP41" s="3661"/>
      <c r="BQ41" s="3658">
        <f t="shared" si="18"/>
        <v>0</v>
      </c>
      <c r="BR41" s="3661"/>
      <c r="BS41" s="3661"/>
      <c r="BT41" s="3661"/>
      <c r="BU41" s="3661"/>
      <c r="BV41" s="3661"/>
      <c r="BW41" s="3661"/>
      <c r="BX41" s="3658">
        <f t="shared" si="20"/>
        <v>0</v>
      </c>
      <c r="BY41" s="3661"/>
      <c r="BZ41" s="3661"/>
      <c r="CA41" s="3661"/>
      <c r="CB41" s="3661"/>
      <c r="CC41" s="3661"/>
      <c r="CD41" s="3661"/>
      <c r="CE41" s="3658">
        <f t="shared" si="22"/>
        <v>0</v>
      </c>
      <c r="CF41" s="3661"/>
      <c r="CG41" s="3661"/>
      <c r="CH41" s="3661"/>
      <c r="CI41" s="3661"/>
      <c r="CJ41" s="3661"/>
      <c r="CK41" s="3661"/>
      <c r="CL41" s="3658">
        <f t="shared" si="24"/>
        <v>0</v>
      </c>
      <c r="CM41" s="3661"/>
      <c r="CN41" s="3661"/>
      <c r="CO41" s="3661"/>
      <c r="CP41" s="3661"/>
      <c r="CQ41" s="3661"/>
      <c r="CR41" s="3661"/>
      <c r="CS41" s="3658">
        <f t="shared" si="26"/>
        <v>0</v>
      </c>
      <c r="CT41" s="3661"/>
      <c r="CU41" s="3661"/>
      <c r="CV41" s="3661"/>
      <c r="CW41" s="3661"/>
      <c r="CX41" s="3661"/>
      <c r="CY41" s="3661"/>
    </row>
    <row r="42" spans="4:103" ht="12" customHeight="1">
      <c r="D42" s="3660" t="s">
        <v>4310</v>
      </c>
      <c r="E42" s="3649" t="s">
        <v>4334</v>
      </c>
      <c r="F42" s="3658">
        <f t="shared" si="0"/>
        <v>0</v>
      </c>
      <c r="G42" s="3661"/>
      <c r="H42" s="3661"/>
      <c r="I42" s="3661"/>
      <c r="J42" s="3661"/>
      <c r="K42" s="3661"/>
      <c r="L42" s="3661"/>
      <c r="M42" s="3658">
        <f t="shared" si="2"/>
        <v>0</v>
      </c>
      <c r="N42" s="3661"/>
      <c r="O42" s="3661"/>
      <c r="P42" s="3661"/>
      <c r="Q42" s="3661"/>
      <c r="R42" s="3661"/>
      <c r="S42" s="3661"/>
      <c r="T42" s="3658">
        <f t="shared" si="4"/>
        <v>0</v>
      </c>
      <c r="U42" s="3661"/>
      <c r="V42" s="3661"/>
      <c r="W42" s="3661"/>
      <c r="X42" s="3661"/>
      <c r="Y42" s="3661"/>
      <c r="Z42" s="3661"/>
      <c r="AA42" s="3658">
        <f t="shared" si="6"/>
        <v>0</v>
      </c>
      <c r="AB42" s="3661"/>
      <c r="AC42" s="3661"/>
      <c r="AD42" s="3661"/>
      <c r="AE42" s="3661"/>
      <c r="AF42" s="3661"/>
      <c r="AG42" s="3661"/>
      <c r="AH42" s="3658">
        <f t="shared" si="8"/>
        <v>0</v>
      </c>
      <c r="AI42" s="3661"/>
      <c r="AJ42" s="3661"/>
      <c r="AK42" s="3661"/>
      <c r="AL42" s="3661"/>
      <c r="AM42" s="3661"/>
      <c r="AN42" s="3661"/>
      <c r="AO42" s="3658">
        <f t="shared" si="10"/>
        <v>0</v>
      </c>
      <c r="AP42" s="3661"/>
      <c r="AQ42" s="3661"/>
      <c r="AR42" s="3661"/>
      <c r="AS42" s="3661"/>
      <c r="AT42" s="3661"/>
      <c r="AU42" s="3661"/>
      <c r="AV42" s="3658">
        <f t="shared" si="12"/>
        <v>0</v>
      </c>
      <c r="AW42" s="3661"/>
      <c r="AX42" s="3661"/>
      <c r="AY42" s="3661"/>
      <c r="AZ42" s="3661"/>
      <c r="BA42" s="3661"/>
      <c r="BB42" s="3661"/>
      <c r="BC42" s="3658">
        <f t="shared" si="14"/>
        <v>0</v>
      </c>
      <c r="BD42" s="3661"/>
      <c r="BE42" s="3661"/>
      <c r="BF42" s="3661"/>
      <c r="BG42" s="3661"/>
      <c r="BH42" s="3661"/>
      <c r="BI42" s="3661"/>
      <c r="BJ42" s="3658">
        <f t="shared" si="16"/>
        <v>0</v>
      </c>
      <c r="BK42" s="3661"/>
      <c r="BL42" s="3661"/>
      <c r="BM42" s="3661"/>
      <c r="BN42" s="3661"/>
      <c r="BO42" s="3661"/>
      <c r="BP42" s="3661"/>
      <c r="BQ42" s="3658">
        <f t="shared" si="18"/>
        <v>0</v>
      </c>
      <c r="BR42" s="3661"/>
      <c r="BS42" s="3661"/>
      <c r="BT42" s="3661"/>
      <c r="BU42" s="3661"/>
      <c r="BV42" s="3661"/>
      <c r="BW42" s="3661"/>
      <c r="BX42" s="3658">
        <f t="shared" si="20"/>
        <v>0</v>
      </c>
      <c r="BY42" s="3661"/>
      <c r="BZ42" s="3661"/>
      <c r="CA42" s="3661"/>
      <c r="CB42" s="3661"/>
      <c r="CC42" s="3661"/>
      <c r="CD42" s="3661"/>
      <c r="CE42" s="3658">
        <f t="shared" si="22"/>
        <v>0</v>
      </c>
      <c r="CF42" s="3661"/>
      <c r="CG42" s="3661"/>
      <c r="CH42" s="3661"/>
      <c r="CI42" s="3661"/>
      <c r="CJ42" s="3661"/>
      <c r="CK42" s="3661"/>
      <c r="CL42" s="3658">
        <f t="shared" si="24"/>
        <v>0</v>
      </c>
      <c r="CM42" s="3661"/>
      <c r="CN42" s="3661"/>
      <c r="CO42" s="3661"/>
      <c r="CP42" s="3661"/>
      <c r="CQ42" s="3661"/>
      <c r="CR42" s="3661"/>
      <c r="CS42" s="3658">
        <f t="shared" si="26"/>
        <v>0</v>
      </c>
      <c r="CT42" s="3661"/>
      <c r="CU42" s="3661"/>
      <c r="CV42" s="3661"/>
      <c r="CW42" s="3661"/>
      <c r="CX42" s="3661"/>
      <c r="CY42" s="3661"/>
    </row>
    <row r="43" spans="4:103" ht="12" customHeight="1">
      <c r="D43" s="3660" t="s">
        <v>4312</v>
      </c>
      <c r="E43" s="3649" t="s">
        <v>4335</v>
      </c>
      <c r="F43" s="3658">
        <f t="shared" si="0"/>
        <v>0</v>
      </c>
      <c r="G43" s="3661"/>
      <c r="H43" s="3661"/>
      <c r="I43" s="3661"/>
      <c r="J43" s="3661"/>
      <c r="K43" s="3661"/>
      <c r="L43" s="3661"/>
      <c r="M43" s="3658">
        <f t="shared" si="2"/>
        <v>0</v>
      </c>
      <c r="N43" s="3661"/>
      <c r="O43" s="3661"/>
      <c r="P43" s="3661"/>
      <c r="Q43" s="3661"/>
      <c r="R43" s="3661"/>
      <c r="S43" s="3661"/>
      <c r="T43" s="3658">
        <f t="shared" si="4"/>
        <v>0</v>
      </c>
      <c r="U43" s="3661"/>
      <c r="V43" s="3661"/>
      <c r="W43" s="3661"/>
      <c r="X43" s="3661"/>
      <c r="Y43" s="3661"/>
      <c r="Z43" s="3661"/>
      <c r="AA43" s="3658">
        <f t="shared" si="6"/>
        <v>0</v>
      </c>
      <c r="AB43" s="3661"/>
      <c r="AC43" s="3661"/>
      <c r="AD43" s="3661"/>
      <c r="AE43" s="3661"/>
      <c r="AF43" s="3661"/>
      <c r="AG43" s="3661"/>
      <c r="AH43" s="3658">
        <f t="shared" si="8"/>
        <v>0</v>
      </c>
      <c r="AI43" s="3661"/>
      <c r="AJ43" s="3661"/>
      <c r="AK43" s="3661"/>
      <c r="AL43" s="3661"/>
      <c r="AM43" s="3661"/>
      <c r="AN43" s="3661"/>
      <c r="AO43" s="3658">
        <f t="shared" si="10"/>
        <v>0</v>
      </c>
      <c r="AP43" s="3661"/>
      <c r="AQ43" s="3661"/>
      <c r="AR43" s="3661"/>
      <c r="AS43" s="3661"/>
      <c r="AT43" s="3661"/>
      <c r="AU43" s="3661"/>
      <c r="AV43" s="3658">
        <f t="shared" si="12"/>
        <v>0</v>
      </c>
      <c r="AW43" s="3661"/>
      <c r="AX43" s="3661"/>
      <c r="AY43" s="3661"/>
      <c r="AZ43" s="3661"/>
      <c r="BA43" s="3661"/>
      <c r="BB43" s="3661"/>
      <c r="BC43" s="3658">
        <f t="shared" si="14"/>
        <v>0</v>
      </c>
      <c r="BD43" s="3661"/>
      <c r="BE43" s="3661"/>
      <c r="BF43" s="3661"/>
      <c r="BG43" s="3661"/>
      <c r="BH43" s="3661"/>
      <c r="BI43" s="3661"/>
      <c r="BJ43" s="3658">
        <f t="shared" si="16"/>
        <v>0</v>
      </c>
      <c r="BK43" s="3661"/>
      <c r="BL43" s="3661"/>
      <c r="BM43" s="3661"/>
      <c r="BN43" s="3661"/>
      <c r="BO43" s="3661"/>
      <c r="BP43" s="3661"/>
      <c r="BQ43" s="3658">
        <f t="shared" si="18"/>
        <v>0</v>
      </c>
      <c r="BR43" s="3661"/>
      <c r="BS43" s="3661"/>
      <c r="BT43" s="3661"/>
      <c r="BU43" s="3661"/>
      <c r="BV43" s="3661"/>
      <c r="BW43" s="3661"/>
      <c r="BX43" s="3658">
        <f t="shared" si="20"/>
        <v>0</v>
      </c>
      <c r="BY43" s="3661"/>
      <c r="BZ43" s="3661"/>
      <c r="CA43" s="3661"/>
      <c r="CB43" s="3661"/>
      <c r="CC43" s="3661"/>
      <c r="CD43" s="3661"/>
      <c r="CE43" s="3658">
        <f t="shared" si="22"/>
        <v>0</v>
      </c>
      <c r="CF43" s="3661"/>
      <c r="CG43" s="3661"/>
      <c r="CH43" s="3661"/>
      <c r="CI43" s="3661"/>
      <c r="CJ43" s="3661"/>
      <c r="CK43" s="3661"/>
      <c r="CL43" s="3658">
        <f t="shared" si="24"/>
        <v>0</v>
      </c>
      <c r="CM43" s="3661"/>
      <c r="CN43" s="3661"/>
      <c r="CO43" s="3661"/>
      <c r="CP43" s="3661"/>
      <c r="CQ43" s="3661"/>
      <c r="CR43" s="3661"/>
      <c r="CS43" s="3658">
        <f t="shared" si="26"/>
        <v>0</v>
      </c>
      <c r="CT43" s="3661"/>
      <c r="CU43" s="3661"/>
      <c r="CV43" s="3661"/>
      <c r="CW43" s="3661"/>
      <c r="CX43" s="3661"/>
      <c r="CY43" s="3661"/>
    </row>
    <row r="44" spans="4:103" ht="12" customHeight="1">
      <c r="D44" s="3660" t="s">
        <v>4314</v>
      </c>
      <c r="E44" s="3649" t="s">
        <v>4336</v>
      </c>
      <c r="F44" s="3658">
        <f t="shared" si="0"/>
        <v>0</v>
      </c>
      <c r="G44" s="3661"/>
      <c r="H44" s="3661"/>
      <c r="I44" s="3661"/>
      <c r="J44" s="3661"/>
      <c r="K44" s="3661"/>
      <c r="L44" s="3661"/>
      <c r="M44" s="3658">
        <f t="shared" si="2"/>
        <v>0</v>
      </c>
      <c r="N44" s="3661"/>
      <c r="O44" s="3661"/>
      <c r="P44" s="3661"/>
      <c r="Q44" s="3661"/>
      <c r="R44" s="3661"/>
      <c r="S44" s="3661"/>
      <c r="T44" s="3658">
        <f t="shared" si="4"/>
        <v>0</v>
      </c>
      <c r="U44" s="3661"/>
      <c r="V44" s="3661"/>
      <c r="W44" s="3661"/>
      <c r="X44" s="3661"/>
      <c r="Y44" s="3661"/>
      <c r="Z44" s="3661"/>
      <c r="AA44" s="3658">
        <f t="shared" si="6"/>
        <v>0</v>
      </c>
      <c r="AB44" s="3661"/>
      <c r="AC44" s="3661"/>
      <c r="AD44" s="3661"/>
      <c r="AE44" s="3661"/>
      <c r="AF44" s="3661"/>
      <c r="AG44" s="3661"/>
      <c r="AH44" s="3658">
        <f t="shared" si="8"/>
        <v>0</v>
      </c>
      <c r="AI44" s="3661"/>
      <c r="AJ44" s="3661"/>
      <c r="AK44" s="3661"/>
      <c r="AL44" s="3661"/>
      <c r="AM44" s="3661"/>
      <c r="AN44" s="3661"/>
      <c r="AO44" s="3658">
        <f t="shared" si="10"/>
        <v>0</v>
      </c>
      <c r="AP44" s="3661"/>
      <c r="AQ44" s="3661"/>
      <c r="AR44" s="3661"/>
      <c r="AS44" s="3661"/>
      <c r="AT44" s="3661"/>
      <c r="AU44" s="3661"/>
      <c r="AV44" s="3658">
        <f t="shared" si="12"/>
        <v>0</v>
      </c>
      <c r="AW44" s="3661"/>
      <c r="AX44" s="3661"/>
      <c r="AY44" s="3661"/>
      <c r="AZ44" s="3661"/>
      <c r="BA44" s="3661"/>
      <c r="BB44" s="3661"/>
      <c r="BC44" s="3658">
        <f t="shared" si="14"/>
        <v>0</v>
      </c>
      <c r="BD44" s="3661"/>
      <c r="BE44" s="3661"/>
      <c r="BF44" s="3661"/>
      <c r="BG44" s="3661"/>
      <c r="BH44" s="3661"/>
      <c r="BI44" s="3661"/>
      <c r="BJ44" s="3658">
        <f t="shared" si="16"/>
        <v>0</v>
      </c>
      <c r="BK44" s="3661"/>
      <c r="BL44" s="3661"/>
      <c r="BM44" s="3661"/>
      <c r="BN44" s="3661"/>
      <c r="BO44" s="3661"/>
      <c r="BP44" s="3661"/>
      <c r="BQ44" s="3658">
        <f t="shared" si="18"/>
        <v>0</v>
      </c>
      <c r="BR44" s="3661"/>
      <c r="BS44" s="3661"/>
      <c r="BT44" s="3661"/>
      <c r="BU44" s="3661"/>
      <c r="BV44" s="3661"/>
      <c r="BW44" s="3661"/>
      <c r="BX44" s="3658">
        <f t="shared" si="20"/>
        <v>0</v>
      </c>
      <c r="BY44" s="3661"/>
      <c r="BZ44" s="3661"/>
      <c r="CA44" s="3661"/>
      <c r="CB44" s="3661"/>
      <c r="CC44" s="3661"/>
      <c r="CD44" s="3661"/>
      <c r="CE44" s="3658">
        <f t="shared" si="22"/>
        <v>0</v>
      </c>
      <c r="CF44" s="3661"/>
      <c r="CG44" s="3661"/>
      <c r="CH44" s="3661"/>
      <c r="CI44" s="3661"/>
      <c r="CJ44" s="3661"/>
      <c r="CK44" s="3661"/>
      <c r="CL44" s="3658">
        <f t="shared" si="24"/>
        <v>0</v>
      </c>
      <c r="CM44" s="3661"/>
      <c r="CN44" s="3661"/>
      <c r="CO44" s="3661"/>
      <c r="CP44" s="3661"/>
      <c r="CQ44" s="3661"/>
      <c r="CR44" s="3661"/>
      <c r="CS44" s="3658">
        <f t="shared" si="26"/>
        <v>0</v>
      </c>
      <c r="CT44" s="3661"/>
      <c r="CU44" s="3661"/>
      <c r="CV44" s="3661"/>
      <c r="CW44" s="3661"/>
      <c r="CX44" s="3661"/>
      <c r="CY44" s="3661"/>
    </row>
    <row r="45" spans="4:103" ht="12" customHeight="1">
      <c r="D45" s="3660" t="s">
        <v>4316</v>
      </c>
      <c r="E45" s="3649" t="s">
        <v>4337</v>
      </c>
      <c r="F45" s="3658">
        <f t="shared" si="0"/>
        <v>0</v>
      </c>
      <c r="G45" s="3661"/>
      <c r="H45" s="3661"/>
      <c r="I45" s="3661"/>
      <c r="J45" s="3661"/>
      <c r="K45" s="3661"/>
      <c r="L45" s="3661"/>
      <c r="M45" s="3658">
        <f t="shared" si="2"/>
        <v>0</v>
      </c>
      <c r="N45" s="3661"/>
      <c r="O45" s="3661"/>
      <c r="P45" s="3661"/>
      <c r="Q45" s="3661"/>
      <c r="R45" s="3661"/>
      <c r="S45" s="3661"/>
      <c r="T45" s="3658">
        <f t="shared" si="4"/>
        <v>0</v>
      </c>
      <c r="U45" s="3661"/>
      <c r="V45" s="3661"/>
      <c r="W45" s="3661"/>
      <c r="X45" s="3661"/>
      <c r="Y45" s="3661"/>
      <c r="Z45" s="3661"/>
      <c r="AA45" s="3658">
        <f t="shared" si="6"/>
        <v>0</v>
      </c>
      <c r="AB45" s="3661"/>
      <c r="AC45" s="3661"/>
      <c r="AD45" s="3661"/>
      <c r="AE45" s="3661"/>
      <c r="AF45" s="3661"/>
      <c r="AG45" s="3661"/>
      <c r="AH45" s="3658">
        <f t="shared" si="8"/>
        <v>0</v>
      </c>
      <c r="AI45" s="3661"/>
      <c r="AJ45" s="3661"/>
      <c r="AK45" s="3661"/>
      <c r="AL45" s="3661"/>
      <c r="AM45" s="3661"/>
      <c r="AN45" s="3661"/>
      <c r="AO45" s="3658">
        <f t="shared" si="10"/>
        <v>0</v>
      </c>
      <c r="AP45" s="3661"/>
      <c r="AQ45" s="3661"/>
      <c r="AR45" s="3661"/>
      <c r="AS45" s="3661"/>
      <c r="AT45" s="3661"/>
      <c r="AU45" s="3661"/>
      <c r="AV45" s="3658">
        <f t="shared" si="12"/>
        <v>0</v>
      </c>
      <c r="AW45" s="3661"/>
      <c r="AX45" s="3661"/>
      <c r="AY45" s="3661"/>
      <c r="AZ45" s="3661"/>
      <c r="BA45" s="3661"/>
      <c r="BB45" s="3661"/>
      <c r="BC45" s="3658">
        <f t="shared" si="14"/>
        <v>0</v>
      </c>
      <c r="BD45" s="3661"/>
      <c r="BE45" s="3661"/>
      <c r="BF45" s="3661"/>
      <c r="BG45" s="3661"/>
      <c r="BH45" s="3661"/>
      <c r="BI45" s="3661"/>
      <c r="BJ45" s="3658">
        <f t="shared" si="16"/>
        <v>0</v>
      </c>
      <c r="BK45" s="3661"/>
      <c r="BL45" s="3661"/>
      <c r="BM45" s="3661"/>
      <c r="BN45" s="3661"/>
      <c r="BO45" s="3661"/>
      <c r="BP45" s="3661"/>
      <c r="BQ45" s="3658">
        <f t="shared" si="18"/>
        <v>0</v>
      </c>
      <c r="BR45" s="3661"/>
      <c r="BS45" s="3661"/>
      <c r="BT45" s="3661"/>
      <c r="BU45" s="3661"/>
      <c r="BV45" s="3661"/>
      <c r="BW45" s="3661"/>
      <c r="BX45" s="3658">
        <f t="shared" si="20"/>
        <v>0</v>
      </c>
      <c r="BY45" s="3661"/>
      <c r="BZ45" s="3661"/>
      <c r="CA45" s="3661"/>
      <c r="CB45" s="3661"/>
      <c r="CC45" s="3661"/>
      <c r="CD45" s="3661"/>
      <c r="CE45" s="3658">
        <f t="shared" si="22"/>
        <v>0</v>
      </c>
      <c r="CF45" s="3661"/>
      <c r="CG45" s="3661"/>
      <c r="CH45" s="3661"/>
      <c r="CI45" s="3661"/>
      <c r="CJ45" s="3661"/>
      <c r="CK45" s="3661"/>
      <c r="CL45" s="3658">
        <f t="shared" si="24"/>
        <v>0</v>
      </c>
      <c r="CM45" s="3661"/>
      <c r="CN45" s="3661"/>
      <c r="CO45" s="3661"/>
      <c r="CP45" s="3661"/>
      <c r="CQ45" s="3661"/>
      <c r="CR45" s="3661"/>
      <c r="CS45" s="3658">
        <f t="shared" si="26"/>
        <v>0</v>
      </c>
      <c r="CT45" s="3661"/>
      <c r="CU45" s="3661"/>
      <c r="CV45" s="3661"/>
      <c r="CW45" s="3661"/>
      <c r="CX45" s="3661"/>
      <c r="CY45" s="3661"/>
    </row>
    <row r="46" spans="4:103" ht="12" customHeight="1">
      <c r="D46" s="3660" t="s">
        <v>4318</v>
      </c>
      <c r="E46" s="3649" t="s">
        <v>4338</v>
      </c>
      <c r="F46" s="3658">
        <f t="shared" si="0"/>
        <v>0</v>
      </c>
      <c r="G46" s="3661"/>
      <c r="H46" s="3661"/>
      <c r="I46" s="3661"/>
      <c r="J46" s="3661"/>
      <c r="K46" s="3661"/>
      <c r="L46" s="3661"/>
      <c r="M46" s="3658">
        <f t="shared" si="2"/>
        <v>0</v>
      </c>
      <c r="N46" s="3661"/>
      <c r="O46" s="3661"/>
      <c r="P46" s="3661"/>
      <c r="Q46" s="3661"/>
      <c r="R46" s="3661"/>
      <c r="S46" s="3661"/>
      <c r="T46" s="3658">
        <f t="shared" si="4"/>
        <v>0</v>
      </c>
      <c r="U46" s="3661"/>
      <c r="V46" s="3661"/>
      <c r="W46" s="3661"/>
      <c r="X46" s="3661"/>
      <c r="Y46" s="3661"/>
      <c r="Z46" s="3661"/>
      <c r="AA46" s="3658">
        <f t="shared" si="6"/>
        <v>0</v>
      </c>
      <c r="AB46" s="3661"/>
      <c r="AC46" s="3661"/>
      <c r="AD46" s="3661"/>
      <c r="AE46" s="3661"/>
      <c r="AF46" s="3661"/>
      <c r="AG46" s="3661"/>
      <c r="AH46" s="3658">
        <f t="shared" si="8"/>
        <v>0</v>
      </c>
      <c r="AI46" s="3661"/>
      <c r="AJ46" s="3661"/>
      <c r="AK46" s="3661"/>
      <c r="AL46" s="3661"/>
      <c r="AM46" s="3661"/>
      <c r="AN46" s="3661"/>
      <c r="AO46" s="3658">
        <f t="shared" si="10"/>
        <v>0</v>
      </c>
      <c r="AP46" s="3661"/>
      <c r="AQ46" s="3661"/>
      <c r="AR46" s="3661"/>
      <c r="AS46" s="3661"/>
      <c r="AT46" s="3661"/>
      <c r="AU46" s="3661"/>
      <c r="AV46" s="3658">
        <f t="shared" si="12"/>
        <v>0</v>
      </c>
      <c r="AW46" s="3661"/>
      <c r="AX46" s="3661"/>
      <c r="AY46" s="3661"/>
      <c r="AZ46" s="3661"/>
      <c r="BA46" s="3661"/>
      <c r="BB46" s="3661"/>
      <c r="BC46" s="3658">
        <f t="shared" si="14"/>
        <v>0</v>
      </c>
      <c r="BD46" s="3661"/>
      <c r="BE46" s="3661"/>
      <c r="BF46" s="3661"/>
      <c r="BG46" s="3661"/>
      <c r="BH46" s="3661"/>
      <c r="BI46" s="3661"/>
      <c r="BJ46" s="3658">
        <f t="shared" si="16"/>
        <v>0</v>
      </c>
      <c r="BK46" s="3661"/>
      <c r="BL46" s="3661"/>
      <c r="BM46" s="3661"/>
      <c r="BN46" s="3661"/>
      <c r="BO46" s="3661"/>
      <c r="BP46" s="3661"/>
      <c r="BQ46" s="3658">
        <f t="shared" si="18"/>
        <v>0</v>
      </c>
      <c r="BR46" s="3661"/>
      <c r="BS46" s="3661"/>
      <c r="BT46" s="3661"/>
      <c r="BU46" s="3661"/>
      <c r="BV46" s="3661"/>
      <c r="BW46" s="3661"/>
      <c r="BX46" s="3658">
        <f t="shared" si="20"/>
        <v>0</v>
      </c>
      <c r="BY46" s="3661"/>
      <c r="BZ46" s="3661"/>
      <c r="CA46" s="3661"/>
      <c r="CB46" s="3661"/>
      <c r="CC46" s="3661"/>
      <c r="CD46" s="3661"/>
      <c r="CE46" s="3658">
        <f t="shared" si="22"/>
        <v>0</v>
      </c>
      <c r="CF46" s="3661"/>
      <c r="CG46" s="3661"/>
      <c r="CH46" s="3661"/>
      <c r="CI46" s="3661"/>
      <c r="CJ46" s="3661"/>
      <c r="CK46" s="3661"/>
      <c r="CL46" s="3658">
        <f t="shared" si="24"/>
        <v>0</v>
      </c>
      <c r="CM46" s="3661"/>
      <c r="CN46" s="3661"/>
      <c r="CO46" s="3661"/>
      <c r="CP46" s="3661"/>
      <c r="CQ46" s="3661"/>
      <c r="CR46" s="3661"/>
      <c r="CS46" s="3658">
        <f t="shared" si="26"/>
        <v>0</v>
      </c>
      <c r="CT46" s="3661"/>
      <c r="CU46" s="3661"/>
      <c r="CV46" s="3661"/>
      <c r="CW46" s="3661"/>
      <c r="CX46" s="3661"/>
      <c r="CY46" s="3661"/>
    </row>
    <row r="47" spans="4:103" ht="12" customHeight="1">
      <c r="D47" s="3660" t="s">
        <v>4320</v>
      </c>
      <c r="E47" s="3649" t="s">
        <v>4339</v>
      </c>
      <c r="F47" s="3658">
        <f t="shared" si="0"/>
        <v>0</v>
      </c>
      <c r="G47" s="3661"/>
      <c r="H47" s="3661"/>
      <c r="I47" s="3661"/>
      <c r="J47" s="3661"/>
      <c r="K47" s="3661"/>
      <c r="L47" s="3661"/>
      <c r="M47" s="3658">
        <f t="shared" si="2"/>
        <v>0</v>
      </c>
      <c r="N47" s="3661"/>
      <c r="O47" s="3661"/>
      <c r="P47" s="3661"/>
      <c r="Q47" s="3661"/>
      <c r="R47" s="3661"/>
      <c r="S47" s="3661"/>
      <c r="T47" s="3658">
        <f t="shared" si="4"/>
        <v>0</v>
      </c>
      <c r="U47" s="3661"/>
      <c r="V47" s="3661"/>
      <c r="W47" s="3661"/>
      <c r="X47" s="3661"/>
      <c r="Y47" s="3661"/>
      <c r="Z47" s="3661"/>
      <c r="AA47" s="3658">
        <f t="shared" si="6"/>
        <v>0</v>
      </c>
      <c r="AB47" s="3661"/>
      <c r="AC47" s="3661"/>
      <c r="AD47" s="3661"/>
      <c r="AE47" s="3661"/>
      <c r="AF47" s="3661"/>
      <c r="AG47" s="3661"/>
      <c r="AH47" s="3658">
        <f t="shared" si="8"/>
        <v>0</v>
      </c>
      <c r="AI47" s="3661"/>
      <c r="AJ47" s="3661"/>
      <c r="AK47" s="3661"/>
      <c r="AL47" s="3661"/>
      <c r="AM47" s="3661"/>
      <c r="AN47" s="3661"/>
      <c r="AO47" s="3658">
        <f t="shared" si="10"/>
        <v>0</v>
      </c>
      <c r="AP47" s="3661"/>
      <c r="AQ47" s="3661"/>
      <c r="AR47" s="3661"/>
      <c r="AS47" s="3661"/>
      <c r="AT47" s="3661"/>
      <c r="AU47" s="3661"/>
      <c r="AV47" s="3658">
        <f t="shared" si="12"/>
        <v>0</v>
      </c>
      <c r="AW47" s="3661"/>
      <c r="AX47" s="3661"/>
      <c r="AY47" s="3661"/>
      <c r="AZ47" s="3661"/>
      <c r="BA47" s="3661"/>
      <c r="BB47" s="3661"/>
      <c r="BC47" s="3658">
        <f t="shared" si="14"/>
        <v>0</v>
      </c>
      <c r="BD47" s="3661"/>
      <c r="BE47" s="3661"/>
      <c r="BF47" s="3661"/>
      <c r="BG47" s="3661"/>
      <c r="BH47" s="3661"/>
      <c r="BI47" s="3661"/>
      <c r="BJ47" s="3658">
        <f t="shared" si="16"/>
        <v>0</v>
      </c>
      <c r="BK47" s="3661"/>
      <c r="BL47" s="3661"/>
      <c r="BM47" s="3661"/>
      <c r="BN47" s="3661"/>
      <c r="BO47" s="3661"/>
      <c r="BP47" s="3661"/>
      <c r="BQ47" s="3658">
        <f t="shared" si="18"/>
        <v>0</v>
      </c>
      <c r="BR47" s="3661"/>
      <c r="BS47" s="3661"/>
      <c r="BT47" s="3661"/>
      <c r="BU47" s="3661"/>
      <c r="BV47" s="3661"/>
      <c r="BW47" s="3661"/>
      <c r="BX47" s="3658">
        <f t="shared" si="20"/>
        <v>0</v>
      </c>
      <c r="BY47" s="3661"/>
      <c r="BZ47" s="3661"/>
      <c r="CA47" s="3661"/>
      <c r="CB47" s="3661"/>
      <c r="CC47" s="3661"/>
      <c r="CD47" s="3661"/>
      <c r="CE47" s="3658">
        <f t="shared" si="22"/>
        <v>0</v>
      </c>
      <c r="CF47" s="3661"/>
      <c r="CG47" s="3661"/>
      <c r="CH47" s="3661"/>
      <c r="CI47" s="3661"/>
      <c r="CJ47" s="3661"/>
      <c r="CK47" s="3661"/>
      <c r="CL47" s="3658">
        <f t="shared" si="24"/>
        <v>0</v>
      </c>
      <c r="CM47" s="3661"/>
      <c r="CN47" s="3661"/>
      <c r="CO47" s="3661"/>
      <c r="CP47" s="3661"/>
      <c r="CQ47" s="3661"/>
      <c r="CR47" s="3661"/>
      <c r="CS47" s="3658">
        <f t="shared" si="26"/>
        <v>0</v>
      </c>
      <c r="CT47" s="3661"/>
      <c r="CU47" s="3661"/>
      <c r="CV47" s="3661"/>
      <c r="CW47" s="3661"/>
      <c r="CX47" s="3661"/>
      <c r="CY47" s="3661"/>
    </row>
    <row r="48" spans="4:103" ht="12" customHeight="1">
      <c r="D48" s="3659" t="s">
        <v>516</v>
      </c>
      <c r="E48" s="3649" t="s">
        <v>4340</v>
      </c>
      <c r="F48" s="3658">
        <f t="shared" si="0"/>
        <v>0</v>
      </c>
      <c r="G48" s="3661"/>
      <c r="H48" s="3661"/>
      <c r="I48" s="3661"/>
      <c r="J48" s="3661"/>
      <c r="K48" s="3661"/>
      <c r="L48" s="3661"/>
      <c r="M48" s="3658">
        <f t="shared" si="2"/>
        <v>0</v>
      </c>
      <c r="N48" s="3661"/>
      <c r="O48" s="3661"/>
      <c r="P48" s="3661"/>
      <c r="Q48" s="3661"/>
      <c r="R48" s="3661"/>
      <c r="S48" s="3661"/>
      <c r="T48" s="3658">
        <f t="shared" si="4"/>
        <v>0</v>
      </c>
      <c r="U48" s="3661"/>
      <c r="V48" s="3661"/>
      <c r="W48" s="3661"/>
      <c r="X48" s="3661"/>
      <c r="Y48" s="3661"/>
      <c r="Z48" s="3661"/>
      <c r="AA48" s="3658">
        <f t="shared" si="6"/>
        <v>0</v>
      </c>
      <c r="AB48" s="3661"/>
      <c r="AC48" s="3661"/>
      <c r="AD48" s="3661"/>
      <c r="AE48" s="3661"/>
      <c r="AF48" s="3661"/>
      <c r="AG48" s="3661"/>
      <c r="AH48" s="3658">
        <f t="shared" si="8"/>
        <v>6724.0690000000004</v>
      </c>
      <c r="AI48" s="3661"/>
      <c r="AJ48" s="3661">
        <f>'Раздел 2А'!AJ26</f>
        <v>2494.779</v>
      </c>
      <c r="AK48" s="3661">
        <f>'Раздел 2А'!AK26</f>
        <v>4215.41</v>
      </c>
      <c r="AL48" s="3661">
        <f>'Раздел 2А'!AL26</f>
        <v>13.88</v>
      </c>
      <c r="AM48" s="3661"/>
      <c r="AN48" s="3661"/>
      <c r="AO48" s="3658">
        <f t="shared" si="10"/>
        <v>47691.441340000012</v>
      </c>
      <c r="AP48" s="3661"/>
      <c r="AQ48" s="3661">
        <f>'Раздел 2А'!AQ26</f>
        <v>17193.228070000001</v>
      </c>
      <c r="AR48" s="3661">
        <f>'Раздел 2А'!AR26</f>
        <v>30394.370740000006</v>
      </c>
      <c r="AS48" s="3661">
        <f>'Раздел 2А'!AS26</f>
        <v>103.84253</v>
      </c>
      <c r="AT48" s="3661"/>
      <c r="AU48" s="3661"/>
      <c r="AV48" s="3658">
        <f t="shared" si="12"/>
        <v>9.5549999999999997</v>
      </c>
      <c r="AW48" s="3661"/>
      <c r="AX48" s="3661">
        <f>'Раздел 2А'!AX26</f>
        <v>3.28</v>
      </c>
      <c r="AY48" s="3661">
        <f>'Раздел 2А'!AY26</f>
        <v>6.2350000000000003</v>
      </c>
      <c r="AZ48" s="3661">
        <f>'Раздел 2А'!AZ26</f>
        <v>0.04</v>
      </c>
      <c r="BA48" s="3661"/>
      <c r="BB48" s="3661"/>
      <c r="BC48" s="3658">
        <f t="shared" si="14"/>
        <v>11536.08747</v>
      </c>
      <c r="BD48" s="3661"/>
      <c r="BE48" s="3661">
        <f>'Раздел 2А'!BE26</f>
        <v>3960.05933</v>
      </c>
      <c r="BF48" s="3661">
        <f>'Раздел 2А'!BF26</f>
        <v>7527.7347300000001</v>
      </c>
      <c r="BG48" s="3661">
        <f>'Раздел 2А'!BG26</f>
        <v>48.293410000000002</v>
      </c>
      <c r="BH48" s="3661"/>
      <c r="BI48" s="3661"/>
      <c r="BJ48" s="3658">
        <f t="shared" si="16"/>
        <v>2480.12</v>
      </c>
      <c r="BK48" s="3661"/>
      <c r="BL48" s="3661"/>
      <c r="BM48" s="3661">
        <f>'Раздел 2А'!BM26</f>
        <v>14.5</v>
      </c>
      <c r="BN48" s="3661">
        <f>'Раздел 2А'!BN26</f>
        <v>2465.62</v>
      </c>
      <c r="BO48" s="3661"/>
      <c r="BP48" s="3661"/>
      <c r="BQ48" s="3658">
        <f t="shared" si="18"/>
        <v>8894.0103499999987</v>
      </c>
      <c r="BR48" s="3661"/>
      <c r="BS48" s="3661"/>
      <c r="BT48" s="3661">
        <f>'Раздел 2А'!BT26</f>
        <v>45.351800000000004</v>
      </c>
      <c r="BU48" s="3661">
        <f>'Раздел 2А'!BU26</f>
        <v>8848.6585499999983</v>
      </c>
      <c r="BV48" s="3661"/>
      <c r="BW48" s="3661"/>
      <c r="BX48" s="3658">
        <f t="shared" si="20"/>
        <v>4.0810000000000004</v>
      </c>
      <c r="BY48" s="3661"/>
      <c r="BZ48" s="3661"/>
      <c r="CA48" s="3661">
        <f>'Раздел 2А'!CA26</f>
        <v>2.7E-2</v>
      </c>
      <c r="CB48" s="3661">
        <f>'Раздел 2А'!CB26</f>
        <v>4.0540000000000003</v>
      </c>
      <c r="CC48" s="3661"/>
      <c r="CD48" s="3661"/>
      <c r="CE48" s="3658">
        <f t="shared" si="22"/>
        <v>4927.1347800000003</v>
      </c>
      <c r="CF48" s="3661"/>
      <c r="CG48" s="3661"/>
      <c r="CH48" s="3661">
        <f>'Раздел 2А'!CH26</f>
        <v>32.598050000000001</v>
      </c>
      <c r="CI48" s="3661">
        <f>'Раздел 2А'!CI26</f>
        <v>4894.5367300000007</v>
      </c>
      <c r="CJ48" s="3661"/>
      <c r="CK48" s="3661"/>
      <c r="CL48" s="3658">
        <f t="shared" si="24"/>
        <v>4.6559999999999997</v>
      </c>
      <c r="CM48" s="3661"/>
      <c r="CN48" s="3661"/>
      <c r="CO48" s="3661">
        <f>'Раздел 2А'!CO26</f>
        <v>3.4000000000000002E-2</v>
      </c>
      <c r="CP48" s="3661">
        <f>'Раздел 2А'!CP26</f>
        <v>4.6219999999999999</v>
      </c>
      <c r="CQ48" s="3661"/>
      <c r="CR48" s="3661"/>
      <c r="CS48" s="3658">
        <f t="shared" si="26"/>
        <v>4836.4143400000003</v>
      </c>
      <c r="CT48" s="3661"/>
      <c r="CU48" s="3661"/>
      <c r="CV48" s="3661">
        <f>'Раздел 2А'!CV26</f>
        <v>95.170850000000002</v>
      </c>
      <c r="CW48" s="3661">
        <f>'Раздел 2А'!CW26</f>
        <v>4741.2434899999998</v>
      </c>
      <c r="CX48" s="3661"/>
      <c r="CY48" s="3661"/>
    </row>
    <row r="49" spans="4:103" ht="12" customHeight="1">
      <c r="D49" s="3659" t="s">
        <v>517</v>
      </c>
      <c r="E49" s="3649" t="s">
        <v>4341</v>
      </c>
      <c r="F49" s="3658">
        <f t="shared" si="0"/>
        <v>0</v>
      </c>
      <c r="G49" s="3661"/>
      <c r="H49" s="3661"/>
      <c r="I49" s="3661"/>
      <c r="J49" s="3661"/>
      <c r="K49" s="3661"/>
      <c r="L49" s="3661"/>
      <c r="M49" s="3658">
        <f t="shared" si="2"/>
        <v>0</v>
      </c>
      <c r="N49" s="3661"/>
      <c r="O49" s="3661"/>
      <c r="P49" s="3661"/>
      <c r="Q49" s="3661"/>
      <c r="R49" s="3661"/>
      <c r="S49" s="3661"/>
      <c r="T49" s="3658">
        <f t="shared" si="4"/>
        <v>0</v>
      </c>
      <c r="U49" s="3661"/>
      <c r="V49" s="3661"/>
      <c r="W49" s="3661"/>
      <c r="X49" s="3661"/>
      <c r="Y49" s="3661"/>
      <c r="Z49" s="3661"/>
      <c r="AA49" s="3658">
        <f t="shared" si="6"/>
        <v>0</v>
      </c>
      <c r="AB49" s="3661"/>
      <c r="AC49" s="3661"/>
      <c r="AD49" s="3661"/>
      <c r="AE49" s="3661"/>
      <c r="AF49" s="3661"/>
      <c r="AG49" s="3661"/>
      <c r="AH49" s="3658">
        <f t="shared" si="8"/>
        <v>0</v>
      </c>
      <c r="AI49" s="3661"/>
      <c r="AJ49" s="3661"/>
      <c r="AK49" s="3661"/>
      <c r="AL49" s="3661"/>
      <c r="AM49" s="3661"/>
      <c r="AN49" s="3661"/>
      <c r="AO49" s="3658">
        <f t="shared" si="10"/>
        <v>0</v>
      </c>
      <c r="AP49" s="3661"/>
      <c r="AQ49" s="3661"/>
      <c r="AR49" s="3661"/>
      <c r="AS49" s="3661"/>
      <c r="AT49" s="3661"/>
      <c r="AU49" s="3661"/>
      <c r="AV49" s="3658">
        <f t="shared" si="12"/>
        <v>0</v>
      </c>
      <c r="AW49" s="3661"/>
      <c r="AX49" s="3661"/>
      <c r="AY49" s="3661"/>
      <c r="AZ49" s="3661"/>
      <c r="BA49" s="3661"/>
      <c r="BB49" s="3661"/>
      <c r="BC49" s="3658">
        <f t="shared" si="14"/>
        <v>0</v>
      </c>
      <c r="BD49" s="3661"/>
      <c r="BE49" s="3661"/>
      <c r="BF49" s="3661"/>
      <c r="BG49" s="3661"/>
      <c r="BH49" s="3661"/>
      <c r="BI49" s="3661"/>
      <c r="BJ49" s="3658">
        <f t="shared" si="16"/>
        <v>0</v>
      </c>
      <c r="BK49" s="3661"/>
      <c r="BL49" s="3661"/>
      <c r="BM49" s="3661"/>
      <c r="BN49" s="3661"/>
      <c r="BO49" s="3661"/>
      <c r="BP49" s="3661"/>
      <c r="BQ49" s="3658">
        <f t="shared" si="18"/>
        <v>0</v>
      </c>
      <c r="BR49" s="3661"/>
      <c r="BS49" s="3661"/>
      <c r="BT49" s="3661"/>
      <c r="BU49" s="3661"/>
      <c r="BV49" s="3661"/>
      <c r="BW49" s="3661"/>
      <c r="BX49" s="3658">
        <f t="shared" si="20"/>
        <v>0</v>
      </c>
      <c r="BY49" s="3661"/>
      <c r="BZ49" s="3661"/>
      <c r="CA49" s="3661"/>
      <c r="CB49" s="3661"/>
      <c r="CC49" s="3661"/>
      <c r="CD49" s="3661"/>
      <c r="CE49" s="3658">
        <f t="shared" si="22"/>
        <v>0</v>
      </c>
      <c r="CF49" s="3661"/>
      <c r="CG49" s="3661"/>
      <c r="CH49" s="3661"/>
      <c r="CI49" s="3661"/>
      <c r="CJ49" s="3661"/>
      <c r="CK49" s="3661"/>
      <c r="CL49" s="3658">
        <f t="shared" si="24"/>
        <v>0</v>
      </c>
      <c r="CM49" s="3661"/>
      <c r="CN49" s="3661"/>
      <c r="CO49" s="3661"/>
      <c r="CP49" s="3661"/>
      <c r="CQ49" s="3661"/>
      <c r="CR49" s="3661"/>
      <c r="CS49" s="3658">
        <f t="shared" si="26"/>
        <v>0</v>
      </c>
      <c r="CT49" s="3661"/>
      <c r="CU49" s="3661"/>
      <c r="CV49" s="3661"/>
      <c r="CW49" s="3661"/>
      <c r="CX49" s="3661"/>
      <c r="CY49" s="3661"/>
    </row>
    <row r="50" spans="4:103" ht="12" customHeight="1">
      <c r="D50" s="3659" t="s">
        <v>518</v>
      </c>
      <c r="E50" s="3649" t="s">
        <v>4342</v>
      </c>
      <c r="F50" s="3658">
        <f t="shared" si="0"/>
        <v>0</v>
      </c>
      <c r="G50" s="3661"/>
      <c r="H50" s="3661"/>
      <c r="I50" s="3661"/>
      <c r="J50" s="3661"/>
      <c r="K50" s="3661"/>
      <c r="L50" s="3661"/>
      <c r="M50" s="3658">
        <f t="shared" si="2"/>
        <v>0</v>
      </c>
      <c r="N50" s="3661"/>
      <c r="O50" s="3661"/>
      <c r="P50" s="3661"/>
      <c r="Q50" s="3661"/>
      <c r="R50" s="3661"/>
      <c r="S50" s="3661"/>
      <c r="T50" s="3658">
        <f t="shared" si="4"/>
        <v>0</v>
      </c>
      <c r="U50" s="3661"/>
      <c r="V50" s="3661"/>
      <c r="W50" s="3661"/>
      <c r="X50" s="3661"/>
      <c r="Y50" s="3661"/>
      <c r="Z50" s="3661"/>
      <c r="AA50" s="3658">
        <f t="shared" si="6"/>
        <v>0</v>
      </c>
      <c r="AB50" s="3661"/>
      <c r="AC50" s="3661"/>
      <c r="AD50" s="3661"/>
      <c r="AE50" s="3661"/>
      <c r="AF50" s="3661"/>
      <c r="AG50" s="3661"/>
      <c r="AH50" s="3658">
        <f t="shared" si="8"/>
        <v>0</v>
      </c>
      <c r="AI50" s="3661"/>
      <c r="AJ50" s="3661"/>
      <c r="AK50" s="3661"/>
      <c r="AL50" s="3661"/>
      <c r="AM50" s="3661"/>
      <c r="AN50" s="3661"/>
      <c r="AO50" s="3658">
        <f t="shared" si="10"/>
        <v>0</v>
      </c>
      <c r="AP50" s="3661"/>
      <c r="AQ50" s="3661"/>
      <c r="AR50" s="3661"/>
      <c r="AS50" s="3661"/>
      <c r="AT50" s="3661"/>
      <c r="AU50" s="3661"/>
      <c r="AV50" s="3658">
        <f t="shared" si="12"/>
        <v>0</v>
      </c>
      <c r="AW50" s="3661"/>
      <c r="AX50" s="3661"/>
      <c r="AY50" s="3661"/>
      <c r="AZ50" s="3661"/>
      <c r="BA50" s="3661"/>
      <c r="BB50" s="3661"/>
      <c r="BC50" s="3658">
        <f t="shared" si="14"/>
        <v>0</v>
      </c>
      <c r="BD50" s="3661"/>
      <c r="BE50" s="3661"/>
      <c r="BF50" s="3661"/>
      <c r="BG50" s="3661"/>
      <c r="BH50" s="3661"/>
      <c r="BI50" s="3661"/>
      <c r="BJ50" s="3658">
        <f t="shared" si="16"/>
        <v>0</v>
      </c>
      <c r="BK50" s="3661"/>
      <c r="BL50" s="3661"/>
      <c r="BM50" s="3661"/>
      <c r="BN50" s="3661"/>
      <c r="BO50" s="3661"/>
      <c r="BP50" s="3661"/>
      <c r="BQ50" s="3658">
        <f t="shared" si="18"/>
        <v>0</v>
      </c>
      <c r="BR50" s="3661"/>
      <c r="BS50" s="3661"/>
      <c r="BT50" s="3661"/>
      <c r="BU50" s="3661"/>
      <c r="BV50" s="3661"/>
      <c r="BW50" s="3661"/>
      <c r="BX50" s="3658">
        <f t="shared" si="20"/>
        <v>0</v>
      </c>
      <c r="BY50" s="3661"/>
      <c r="BZ50" s="3661"/>
      <c r="CA50" s="3661"/>
      <c r="CB50" s="3661"/>
      <c r="CC50" s="3661"/>
      <c r="CD50" s="3661"/>
      <c r="CE50" s="3658">
        <f t="shared" si="22"/>
        <v>0</v>
      </c>
      <c r="CF50" s="3661"/>
      <c r="CG50" s="3661"/>
      <c r="CH50" s="3661"/>
      <c r="CI50" s="3661"/>
      <c r="CJ50" s="3661"/>
      <c r="CK50" s="3661"/>
      <c r="CL50" s="3658">
        <f t="shared" si="24"/>
        <v>0</v>
      </c>
      <c r="CM50" s="3661"/>
      <c r="CN50" s="3661"/>
      <c r="CO50" s="3661"/>
      <c r="CP50" s="3661"/>
      <c r="CQ50" s="3661"/>
      <c r="CR50" s="3661"/>
      <c r="CS50" s="3658">
        <f t="shared" si="26"/>
        <v>0</v>
      </c>
      <c r="CT50" s="3661"/>
      <c r="CU50" s="3661"/>
      <c r="CV50" s="3661"/>
      <c r="CW50" s="3661"/>
      <c r="CX50" s="3661"/>
      <c r="CY50" s="3661"/>
    </row>
    <row r="51" spans="4:103" ht="12" customHeight="1">
      <c r="D51" s="3659" t="s">
        <v>519</v>
      </c>
      <c r="E51" s="3649" t="s">
        <v>4343</v>
      </c>
      <c r="F51" s="3658">
        <f t="shared" si="0"/>
        <v>0</v>
      </c>
      <c r="G51" s="3661"/>
      <c r="H51" s="3661"/>
      <c r="I51" s="3661"/>
      <c r="J51" s="3661"/>
      <c r="K51" s="3661"/>
      <c r="L51" s="3661"/>
      <c r="M51" s="3658">
        <f t="shared" si="2"/>
        <v>0</v>
      </c>
      <c r="N51" s="3661"/>
      <c r="O51" s="3661"/>
      <c r="P51" s="3661"/>
      <c r="Q51" s="3661"/>
      <c r="R51" s="3661"/>
      <c r="S51" s="3661"/>
      <c r="T51" s="3658">
        <f t="shared" si="4"/>
        <v>0</v>
      </c>
      <c r="U51" s="3661"/>
      <c r="V51" s="3661"/>
      <c r="W51" s="3661"/>
      <c r="X51" s="3661"/>
      <c r="Y51" s="3661"/>
      <c r="Z51" s="3661"/>
      <c r="AA51" s="3658">
        <f t="shared" si="6"/>
        <v>0</v>
      </c>
      <c r="AB51" s="3661"/>
      <c r="AC51" s="3661"/>
      <c r="AD51" s="3661"/>
      <c r="AE51" s="3661"/>
      <c r="AF51" s="3661"/>
      <c r="AG51" s="3661"/>
      <c r="AH51" s="3658">
        <f t="shared" si="8"/>
        <v>0</v>
      </c>
      <c r="AI51" s="3661"/>
      <c r="AJ51" s="3661"/>
      <c r="AK51" s="3661"/>
      <c r="AL51" s="3661"/>
      <c r="AM51" s="3661"/>
      <c r="AN51" s="3661"/>
      <c r="AO51" s="3658">
        <f t="shared" si="10"/>
        <v>0</v>
      </c>
      <c r="AP51" s="3661"/>
      <c r="AQ51" s="3661"/>
      <c r="AR51" s="3661"/>
      <c r="AS51" s="3661"/>
      <c r="AT51" s="3661"/>
      <c r="AU51" s="3661"/>
      <c r="AV51" s="3658">
        <f t="shared" si="12"/>
        <v>0</v>
      </c>
      <c r="AW51" s="3661"/>
      <c r="AX51" s="3661"/>
      <c r="AY51" s="3661"/>
      <c r="AZ51" s="3661"/>
      <c r="BA51" s="3661"/>
      <c r="BB51" s="3661"/>
      <c r="BC51" s="3658">
        <f t="shared" si="14"/>
        <v>0</v>
      </c>
      <c r="BD51" s="3661"/>
      <c r="BE51" s="3661"/>
      <c r="BF51" s="3661"/>
      <c r="BG51" s="3661"/>
      <c r="BH51" s="3661"/>
      <c r="BI51" s="3661"/>
      <c r="BJ51" s="3658">
        <f t="shared" si="16"/>
        <v>0</v>
      </c>
      <c r="BK51" s="3661"/>
      <c r="BL51" s="3661"/>
      <c r="BM51" s="3661"/>
      <c r="BN51" s="3661"/>
      <c r="BO51" s="3661"/>
      <c r="BP51" s="3661"/>
      <c r="BQ51" s="3658">
        <f t="shared" si="18"/>
        <v>0</v>
      </c>
      <c r="BR51" s="3661"/>
      <c r="BS51" s="3661"/>
      <c r="BT51" s="3661"/>
      <c r="BU51" s="3661"/>
      <c r="BV51" s="3661"/>
      <c r="BW51" s="3661"/>
      <c r="BX51" s="3658">
        <f t="shared" si="20"/>
        <v>0</v>
      </c>
      <c r="BY51" s="3661"/>
      <c r="BZ51" s="3661"/>
      <c r="CA51" s="3661"/>
      <c r="CB51" s="3661"/>
      <c r="CC51" s="3661"/>
      <c r="CD51" s="3661"/>
      <c r="CE51" s="3658">
        <f t="shared" si="22"/>
        <v>0</v>
      </c>
      <c r="CF51" s="3661"/>
      <c r="CG51" s="3661"/>
      <c r="CH51" s="3661"/>
      <c r="CI51" s="3661"/>
      <c r="CJ51" s="3661"/>
      <c r="CK51" s="3661"/>
      <c r="CL51" s="3658">
        <f t="shared" si="24"/>
        <v>0</v>
      </c>
      <c r="CM51" s="3661"/>
      <c r="CN51" s="3661"/>
      <c r="CO51" s="3661"/>
      <c r="CP51" s="3661"/>
      <c r="CQ51" s="3661"/>
      <c r="CR51" s="3661"/>
      <c r="CS51" s="3658">
        <f t="shared" si="26"/>
        <v>0</v>
      </c>
      <c r="CT51" s="3661"/>
      <c r="CU51" s="3661"/>
      <c r="CV51" s="3661"/>
      <c r="CW51" s="3661"/>
      <c r="CX51" s="3661"/>
      <c r="CY51" s="3661"/>
    </row>
    <row r="52" spans="4:103" ht="12" customHeight="1">
      <c r="D52" s="3659" t="s">
        <v>520</v>
      </c>
      <c r="E52" s="3649" t="s">
        <v>4344</v>
      </c>
      <c r="F52" s="3658">
        <f t="shared" si="0"/>
        <v>0</v>
      </c>
      <c r="G52" s="3661"/>
      <c r="H52" s="3661"/>
      <c r="I52" s="3661"/>
      <c r="J52" s="3661"/>
      <c r="K52" s="3661"/>
      <c r="L52" s="3661"/>
      <c r="M52" s="3658">
        <f t="shared" si="2"/>
        <v>0</v>
      </c>
      <c r="N52" s="3661"/>
      <c r="O52" s="3661"/>
      <c r="P52" s="3661"/>
      <c r="Q52" s="3661"/>
      <c r="R52" s="3661"/>
      <c r="S52" s="3661"/>
      <c r="T52" s="3658">
        <f t="shared" si="4"/>
        <v>0</v>
      </c>
      <c r="U52" s="3661"/>
      <c r="V52" s="3661"/>
      <c r="W52" s="3661"/>
      <c r="X52" s="3661"/>
      <c r="Y52" s="3661"/>
      <c r="Z52" s="3661"/>
      <c r="AA52" s="3658">
        <f t="shared" si="6"/>
        <v>0</v>
      </c>
      <c r="AB52" s="3661"/>
      <c r="AC52" s="3661"/>
      <c r="AD52" s="3661"/>
      <c r="AE52" s="3661"/>
      <c r="AF52" s="3661"/>
      <c r="AG52" s="3661"/>
      <c r="AH52" s="3658">
        <f t="shared" si="8"/>
        <v>0</v>
      </c>
      <c r="AI52" s="3661"/>
      <c r="AJ52" s="3661"/>
      <c r="AK52" s="3661"/>
      <c r="AL52" s="3661"/>
      <c r="AM52" s="3661"/>
      <c r="AN52" s="3661"/>
      <c r="AO52" s="3658">
        <f t="shared" si="10"/>
        <v>0</v>
      </c>
      <c r="AP52" s="3661"/>
      <c r="AQ52" s="3661"/>
      <c r="AR52" s="3661"/>
      <c r="AS52" s="3661"/>
      <c r="AT52" s="3661"/>
      <c r="AU52" s="3661"/>
      <c r="AV52" s="3658">
        <f t="shared" si="12"/>
        <v>0</v>
      </c>
      <c r="AW52" s="3661"/>
      <c r="AX52" s="3661"/>
      <c r="AY52" s="3661"/>
      <c r="AZ52" s="3661"/>
      <c r="BA52" s="3661"/>
      <c r="BB52" s="3661"/>
      <c r="BC52" s="3658">
        <f t="shared" si="14"/>
        <v>0</v>
      </c>
      <c r="BD52" s="3661"/>
      <c r="BE52" s="3661"/>
      <c r="BF52" s="3661"/>
      <c r="BG52" s="3661"/>
      <c r="BH52" s="3661"/>
      <c r="BI52" s="3661"/>
      <c r="BJ52" s="3658">
        <f t="shared" si="16"/>
        <v>0</v>
      </c>
      <c r="BK52" s="3661"/>
      <c r="BL52" s="3661"/>
      <c r="BM52" s="3661"/>
      <c r="BN52" s="3661"/>
      <c r="BO52" s="3661"/>
      <c r="BP52" s="3661"/>
      <c r="BQ52" s="3658">
        <f t="shared" si="18"/>
        <v>0</v>
      </c>
      <c r="BR52" s="3661"/>
      <c r="BS52" s="3661"/>
      <c r="BT52" s="3661"/>
      <c r="BU52" s="3661"/>
      <c r="BV52" s="3661"/>
      <c r="BW52" s="3661"/>
      <c r="BX52" s="3658">
        <f t="shared" si="20"/>
        <v>0</v>
      </c>
      <c r="BY52" s="3661"/>
      <c r="BZ52" s="3661"/>
      <c r="CA52" s="3661"/>
      <c r="CB52" s="3661"/>
      <c r="CC52" s="3661"/>
      <c r="CD52" s="3661"/>
      <c r="CE52" s="3658">
        <f t="shared" si="22"/>
        <v>0</v>
      </c>
      <c r="CF52" s="3661"/>
      <c r="CG52" s="3661"/>
      <c r="CH52" s="3661"/>
      <c r="CI52" s="3661"/>
      <c r="CJ52" s="3661"/>
      <c r="CK52" s="3661"/>
      <c r="CL52" s="3658">
        <f t="shared" si="24"/>
        <v>0</v>
      </c>
      <c r="CM52" s="3661"/>
      <c r="CN52" s="3661"/>
      <c r="CO52" s="3661"/>
      <c r="CP52" s="3661"/>
      <c r="CQ52" s="3661"/>
      <c r="CR52" s="3661"/>
      <c r="CS52" s="3658">
        <f t="shared" si="26"/>
        <v>0</v>
      </c>
      <c r="CT52" s="3661"/>
      <c r="CU52" s="3661"/>
      <c r="CV52" s="3661"/>
      <c r="CW52" s="3661"/>
      <c r="CX52" s="3661"/>
      <c r="CY52" s="3661"/>
    </row>
    <row r="53" spans="4:103" ht="12" customHeight="1">
      <c r="D53" s="3659" t="s">
        <v>521</v>
      </c>
      <c r="E53" s="3649" t="s">
        <v>4345</v>
      </c>
      <c r="F53" s="3658">
        <f t="shared" si="0"/>
        <v>0</v>
      </c>
      <c r="G53" s="3661"/>
      <c r="H53" s="3661"/>
      <c r="I53" s="3661"/>
      <c r="J53" s="3661"/>
      <c r="K53" s="3661"/>
      <c r="L53" s="3661"/>
      <c r="M53" s="3658">
        <f t="shared" si="2"/>
        <v>0</v>
      </c>
      <c r="N53" s="3661"/>
      <c r="O53" s="3661"/>
      <c r="P53" s="3661"/>
      <c r="Q53" s="3661"/>
      <c r="R53" s="3661"/>
      <c r="S53" s="3661"/>
      <c r="T53" s="3658">
        <f t="shared" si="4"/>
        <v>0</v>
      </c>
      <c r="U53" s="3661"/>
      <c r="V53" s="3661"/>
      <c r="W53" s="3661"/>
      <c r="X53" s="3661"/>
      <c r="Y53" s="3661"/>
      <c r="Z53" s="3661"/>
      <c r="AA53" s="3658">
        <f t="shared" si="6"/>
        <v>0</v>
      </c>
      <c r="AB53" s="3661"/>
      <c r="AC53" s="3661"/>
      <c r="AD53" s="3661"/>
      <c r="AE53" s="3661"/>
      <c r="AF53" s="3661"/>
      <c r="AG53" s="3661"/>
      <c r="AH53" s="3658">
        <f t="shared" si="8"/>
        <v>0</v>
      </c>
      <c r="AI53" s="3661"/>
      <c r="AJ53" s="3661"/>
      <c r="AK53" s="3661"/>
      <c r="AL53" s="3661"/>
      <c r="AM53" s="3661"/>
      <c r="AN53" s="3661"/>
      <c r="AO53" s="3658">
        <f t="shared" si="10"/>
        <v>0</v>
      </c>
      <c r="AP53" s="3661"/>
      <c r="AQ53" s="3661"/>
      <c r="AR53" s="3661"/>
      <c r="AS53" s="3661"/>
      <c r="AT53" s="3661"/>
      <c r="AU53" s="3661"/>
      <c r="AV53" s="3658">
        <f t="shared" si="12"/>
        <v>0</v>
      </c>
      <c r="AW53" s="3661"/>
      <c r="AX53" s="3661"/>
      <c r="AY53" s="3661"/>
      <c r="AZ53" s="3661"/>
      <c r="BA53" s="3661"/>
      <c r="BB53" s="3661"/>
      <c r="BC53" s="3658">
        <f t="shared" si="14"/>
        <v>0</v>
      </c>
      <c r="BD53" s="3661"/>
      <c r="BE53" s="3661"/>
      <c r="BF53" s="3661"/>
      <c r="BG53" s="3661"/>
      <c r="BH53" s="3661"/>
      <c r="BI53" s="3661"/>
      <c r="BJ53" s="3658">
        <f t="shared" si="16"/>
        <v>0</v>
      </c>
      <c r="BK53" s="3661"/>
      <c r="BL53" s="3661"/>
      <c r="BM53" s="3661"/>
      <c r="BN53" s="3661"/>
      <c r="BO53" s="3661"/>
      <c r="BP53" s="3661"/>
      <c r="BQ53" s="3658">
        <f t="shared" si="18"/>
        <v>0</v>
      </c>
      <c r="BR53" s="3661"/>
      <c r="BS53" s="3661"/>
      <c r="BT53" s="3661"/>
      <c r="BU53" s="3661"/>
      <c r="BV53" s="3661"/>
      <c r="BW53" s="3661"/>
      <c r="BX53" s="3658">
        <f t="shared" si="20"/>
        <v>0</v>
      </c>
      <c r="BY53" s="3661"/>
      <c r="BZ53" s="3661"/>
      <c r="CA53" s="3661"/>
      <c r="CB53" s="3661"/>
      <c r="CC53" s="3661"/>
      <c r="CD53" s="3661"/>
      <c r="CE53" s="3658">
        <f t="shared" si="22"/>
        <v>0</v>
      </c>
      <c r="CF53" s="3661"/>
      <c r="CG53" s="3661"/>
      <c r="CH53" s="3661"/>
      <c r="CI53" s="3661"/>
      <c r="CJ53" s="3661"/>
      <c r="CK53" s="3661"/>
      <c r="CL53" s="3658">
        <f t="shared" si="24"/>
        <v>0</v>
      </c>
      <c r="CM53" s="3661"/>
      <c r="CN53" s="3661"/>
      <c r="CO53" s="3661"/>
      <c r="CP53" s="3661"/>
      <c r="CQ53" s="3661"/>
      <c r="CR53" s="3661"/>
      <c r="CS53" s="3658">
        <f t="shared" si="26"/>
        <v>0</v>
      </c>
      <c r="CT53" s="3661"/>
      <c r="CU53" s="3661"/>
      <c r="CV53" s="3661"/>
      <c r="CW53" s="3661"/>
      <c r="CX53" s="3661"/>
      <c r="CY53" s="3661"/>
    </row>
    <row r="54" spans="4:103" ht="12" customHeight="1">
      <c r="D54" s="3659" t="s">
        <v>4060</v>
      </c>
      <c r="E54" s="3649" t="s">
        <v>4346</v>
      </c>
      <c r="F54" s="3658">
        <f t="shared" si="0"/>
        <v>0</v>
      </c>
      <c r="G54" s="3661"/>
      <c r="H54" s="3661"/>
      <c r="I54" s="3661"/>
      <c r="J54" s="3661"/>
      <c r="K54" s="3661"/>
      <c r="L54" s="3661"/>
      <c r="M54" s="3658">
        <f t="shared" si="2"/>
        <v>0</v>
      </c>
      <c r="N54" s="3661"/>
      <c r="O54" s="3661"/>
      <c r="P54" s="3661"/>
      <c r="Q54" s="3661"/>
      <c r="R54" s="3661"/>
      <c r="S54" s="3661"/>
      <c r="T54" s="3658">
        <f t="shared" si="4"/>
        <v>0</v>
      </c>
      <c r="U54" s="3661"/>
      <c r="V54" s="3661"/>
      <c r="W54" s="3661"/>
      <c r="X54" s="3661"/>
      <c r="Y54" s="3661"/>
      <c r="Z54" s="3661"/>
      <c r="AA54" s="3658">
        <f t="shared" si="6"/>
        <v>0</v>
      </c>
      <c r="AB54" s="3661"/>
      <c r="AC54" s="3661"/>
      <c r="AD54" s="3661"/>
      <c r="AE54" s="3661"/>
      <c r="AF54" s="3661"/>
      <c r="AG54" s="3661"/>
      <c r="AH54" s="3658">
        <f t="shared" si="8"/>
        <v>0</v>
      </c>
      <c r="AI54" s="3661"/>
      <c r="AJ54" s="3661"/>
      <c r="AK54" s="3661"/>
      <c r="AL54" s="3661"/>
      <c r="AM54" s="3661"/>
      <c r="AN54" s="3661"/>
      <c r="AO54" s="3658">
        <f t="shared" si="10"/>
        <v>0</v>
      </c>
      <c r="AP54" s="3661"/>
      <c r="AQ54" s="3661"/>
      <c r="AR54" s="3661"/>
      <c r="AS54" s="3661"/>
      <c r="AT54" s="3661"/>
      <c r="AU54" s="3661"/>
      <c r="AV54" s="3658">
        <f t="shared" si="12"/>
        <v>0</v>
      </c>
      <c r="AW54" s="3661"/>
      <c r="AX54" s="3661"/>
      <c r="AY54" s="3661"/>
      <c r="AZ54" s="3661"/>
      <c r="BA54" s="3661"/>
      <c r="BB54" s="3661"/>
      <c r="BC54" s="3658">
        <f t="shared" si="14"/>
        <v>0</v>
      </c>
      <c r="BD54" s="3661"/>
      <c r="BE54" s="3661"/>
      <c r="BF54" s="3661"/>
      <c r="BG54" s="3661"/>
      <c r="BH54" s="3661"/>
      <c r="BI54" s="3661"/>
      <c r="BJ54" s="3658">
        <f t="shared" si="16"/>
        <v>0</v>
      </c>
      <c r="BK54" s="3661"/>
      <c r="BL54" s="3661"/>
      <c r="BM54" s="3661"/>
      <c r="BN54" s="3661"/>
      <c r="BO54" s="3661"/>
      <c r="BP54" s="3661"/>
      <c r="BQ54" s="3658">
        <f t="shared" si="18"/>
        <v>0</v>
      </c>
      <c r="BR54" s="3661"/>
      <c r="BS54" s="3661"/>
      <c r="BT54" s="3661"/>
      <c r="BU54" s="3661"/>
      <c r="BV54" s="3661"/>
      <c r="BW54" s="3661"/>
      <c r="BX54" s="3658">
        <f t="shared" si="20"/>
        <v>0</v>
      </c>
      <c r="BY54" s="3661"/>
      <c r="BZ54" s="3661"/>
      <c r="CA54" s="3661"/>
      <c r="CB54" s="3661"/>
      <c r="CC54" s="3661"/>
      <c r="CD54" s="3661"/>
      <c r="CE54" s="3658">
        <f t="shared" si="22"/>
        <v>0</v>
      </c>
      <c r="CF54" s="3661"/>
      <c r="CG54" s="3661"/>
      <c r="CH54" s="3661"/>
      <c r="CI54" s="3661"/>
      <c r="CJ54" s="3661"/>
      <c r="CK54" s="3661"/>
      <c r="CL54" s="3658">
        <f t="shared" si="24"/>
        <v>0</v>
      </c>
      <c r="CM54" s="3661"/>
      <c r="CN54" s="3661"/>
      <c r="CO54" s="3661"/>
      <c r="CP54" s="3661"/>
      <c r="CQ54" s="3661"/>
      <c r="CR54" s="3661"/>
      <c r="CS54" s="3658">
        <f t="shared" si="26"/>
        <v>0</v>
      </c>
      <c r="CT54" s="3661"/>
      <c r="CU54" s="3661"/>
      <c r="CV54" s="3661"/>
      <c r="CW54" s="3661"/>
      <c r="CX54" s="3661"/>
      <c r="CY54" s="3661"/>
    </row>
    <row r="55" spans="4:103" ht="24" customHeight="1">
      <c r="D55" s="3656" t="s">
        <v>4347</v>
      </c>
      <c r="E55" s="3657" t="s">
        <v>4348</v>
      </c>
      <c r="F55" s="3658">
        <f t="shared" si="0"/>
        <v>19850.285</v>
      </c>
      <c r="G55" s="3658">
        <f t="shared" ref="G55:L55" si="84">SUM(G56,G66:G72)</f>
        <v>0</v>
      </c>
      <c r="H55" s="3658">
        <f t="shared" si="84"/>
        <v>0</v>
      </c>
      <c r="I55" s="3658">
        <f t="shared" si="84"/>
        <v>190.53299999999999</v>
      </c>
      <c r="J55" s="3658">
        <f t="shared" si="84"/>
        <v>12530.698</v>
      </c>
      <c r="K55" s="3658">
        <f t="shared" si="84"/>
        <v>7129.054000000001</v>
      </c>
      <c r="L55" s="3658">
        <f t="shared" si="84"/>
        <v>0</v>
      </c>
      <c r="M55" s="3658">
        <f t="shared" si="2"/>
        <v>175036.05778</v>
      </c>
      <c r="N55" s="3658">
        <f t="shared" ref="N55:S55" si="85">SUM(N56,N66:N72)</f>
        <v>0</v>
      </c>
      <c r="O55" s="3658">
        <f t="shared" si="85"/>
        <v>0</v>
      </c>
      <c r="P55" s="3658">
        <f t="shared" si="85"/>
        <v>1611.7967599999999</v>
      </c>
      <c r="Q55" s="3658">
        <f t="shared" si="85"/>
        <v>109373.09769000001</v>
      </c>
      <c r="R55" s="3658">
        <f t="shared" si="85"/>
        <v>64051.163329999996</v>
      </c>
      <c r="S55" s="3658">
        <f t="shared" si="85"/>
        <v>0</v>
      </c>
      <c r="T55" s="3658">
        <f t="shared" si="4"/>
        <v>295.92699999999996</v>
      </c>
      <c r="U55" s="3658">
        <f t="shared" ref="U55:Z55" si="86">SUM(U56,U66:U72)</f>
        <v>0</v>
      </c>
      <c r="V55" s="3658">
        <f t="shared" si="86"/>
        <v>0</v>
      </c>
      <c r="W55" s="3658">
        <f t="shared" si="86"/>
        <v>292.86599999999999</v>
      </c>
      <c r="X55" s="3658">
        <f t="shared" si="86"/>
        <v>3.0609999999999999</v>
      </c>
      <c r="Y55" s="3658">
        <f t="shared" si="86"/>
        <v>0</v>
      </c>
      <c r="Z55" s="3658">
        <f t="shared" si="86"/>
        <v>0</v>
      </c>
      <c r="AA55" s="3658">
        <f t="shared" si="6"/>
        <v>2783.4780800000003</v>
      </c>
      <c r="AB55" s="3658">
        <f t="shared" ref="AB55:AG55" si="87">SUM(AB56,AB66:AB72)</f>
        <v>0</v>
      </c>
      <c r="AC55" s="3658">
        <f t="shared" si="87"/>
        <v>0</v>
      </c>
      <c r="AD55" s="3658">
        <f t="shared" si="87"/>
        <v>2754.2478200000005</v>
      </c>
      <c r="AE55" s="3658">
        <f t="shared" si="87"/>
        <v>29.230260000000001</v>
      </c>
      <c r="AF55" s="3658">
        <f t="shared" si="87"/>
        <v>0</v>
      </c>
      <c r="AG55" s="3658">
        <f t="shared" si="87"/>
        <v>0</v>
      </c>
      <c r="AH55" s="3658">
        <f t="shared" si="8"/>
        <v>0</v>
      </c>
      <c r="AI55" s="3658">
        <f t="shared" ref="AI55:AN55" si="88">SUM(AI56,AI66:AI72)</f>
        <v>0</v>
      </c>
      <c r="AJ55" s="3658">
        <f t="shared" si="88"/>
        <v>0</v>
      </c>
      <c r="AK55" s="3658">
        <f t="shared" si="88"/>
        <v>0</v>
      </c>
      <c r="AL55" s="3658">
        <f t="shared" si="88"/>
        <v>0</v>
      </c>
      <c r="AM55" s="3658">
        <f t="shared" si="88"/>
        <v>0</v>
      </c>
      <c r="AN55" s="3658">
        <f t="shared" si="88"/>
        <v>0</v>
      </c>
      <c r="AO55" s="3658">
        <f t="shared" si="10"/>
        <v>0</v>
      </c>
      <c r="AP55" s="3658">
        <f t="shared" ref="AP55:AU55" si="89">SUM(AP56,AP66:AP72)</f>
        <v>0</v>
      </c>
      <c r="AQ55" s="3658">
        <f t="shared" si="89"/>
        <v>0</v>
      </c>
      <c r="AR55" s="3658">
        <f t="shared" si="89"/>
        <v>0</v>
      </c>
      <c r="AS55" s="3658">
        <f t="shared" si="89"/>
        <v>0</v>
      </c>
      <c r="AT55" s="3658">
        <f t="shared" si="89"/>
        <v>0</v>
      </c>
      <c r="AU55" s="3658">
        <f t="shared" si="89"/>
        <v>0</v>
      </c>
      <c r="AV55" s="3658">
        <f t="shared" si="12"/>
        <v>0</v>
      </c>
      <c r="AW55" s="3658">
        <f t="shared" ref="AW55:BB55" si="90">SUM(AW56,AW66:AW72)</f>
        <v>0</v>
      </c>
      <c r="AX55" s="3658">
        <f t="shared" si="90"/>
        <v>0</v>
      </c>
      <c r="AY55" s="3658">
        <f t="shared" si="90"/>
        <v>0</v>
      </c>
      <c r="AZ55" s="3658">
        <f t="shared" si="90"/>
        <v>0</v>
      </c>
      <c r="BA55" s="3658">
        <f t="shared" si="90"/>
        <v>0</v>
      </c>
      <c r="BB55" s="3658">
        <f t="shared" si="90"/>
        <v>0</v>
      </c>
      <c r="BC55" s="3658">
        <f t="shared" si="14"/>
        <v>0</v>
      </c>
      <c r="BD55" s="3658">
        <f t="shared" ref="BD55:BI55" si="91">SUM(BD56,BD66:BD72)</f>
        <v>0</v>
      </c>
      <c r="BE55" s="3658">
        <f t="shared" si="91"/>
        <v>0</v>
      </c>
      <c r="BF55" s="3658">
        <f t="shared" si="91"/>
        <v>0</v>
      </c>
      <c r="BG55" s="3658">
        <f t="shared" si="91"/>
        <v>0</v>
      </c>
      <c r="BH55" s="3658">
        <f t="shared" si="91"/>
        <v>0</v>
      </c>
      <c r="BI55" s="3658">
        <f t="shared" si="91"/>
        <v>0</v>
      </c>
      <c r="BJ55" s="3658">
        <f t="shared" si="16"/>
        <v>1211.152</v>
      </c>
      <c r="BK55" s="3658">
        <f t="shared" ref="BK55:BP55" si="92">SUM(BK56,BK66:BK72)</f>
        <v>0</v>
      </c>
      <c r="BL55" s="3658">
        <f t="shared" si="92"/>
        <v>0</v>
      </c>
      <c r="BM55" s="3658">
        <f t="shared" si="92"/>
        <v>87.923000000000002</v>
      </c>
      <c r="BN55" s="3658">
        <f t="shared" si="92"/>
        <v>1123.229</v>
      </c>
      <c r="BO55" s="3658">
        <f t="shared" si="92"/>
        <v>0</v>
      </c>
      <c r="BP55" s="3658">
        <f t="shared" si="92"/>
        <v>0</v>
      </c>
      <c r="BQ55" s="3658">
        <f t="shared" si="18"/>
        <v>4775.9370100000006</v>
      </c>
      <c r="BR55" s="3658">
        <f t="shared" ref="BR55:BW55" si="93">SUM(BR56,BR66:BR72)</f>
        <v>0</v>
      </c>
      <c r="BS55" s="3658">
        <f t="shared" si="93"/>
        <v>0</v>
      </c>
      <c r="BT55" s="3658">
        <f t="shared" si="93"/>
        <v>314.45769000000001</v>
      </c>
      <c r="BU55" s="3658">
        <f t="shared" si="93"/>
        <v>4461.4793200000004</v>
      </c>
      <c r="BV55" s="3658">
        <f t="shared" si="93"/>
        <v>0</v>
      </c>
      <c r="BW55" s="3658">
        <f t="shared" si="93"/>
        <v>0</v>
      </c>
      <c r="BX55" s="3658">
        <f t="shared" si="20"/>
        <v>1.843</v>
      </c>
      <c r="BY55" s="3658">
        <f t="shared" ref="BY55:CD55" si="94">SUM(BY56,BY66:BY72)</f>
        <v>0</v>
      </c>
      <c r="BZ55" s="3658">
        <f t="shared" si="94"/>
        <v>0</v>
      </c>
      <c r="CA55" s="3658">
        <f t="shared" si="94"/>
        <v>0.11799999999999999</v>
      </c>
      <c r="CB55" s="3658">
        <f t="shared" si="94"/>
        <v>1.7250000000000001</v>
      </c>
      <c r="CC55" s="3658">
        <f t="shared" si="94"/>
        <v>0</v>
      </c>
      <c r="CD55" s="3658">
        <f t="shared" si="94"/>
        <v>0</v>
      </c>
      <c r="CE55" s="3658">
        <f t="shared" si="22"/>
        <v>2225.1187500000001</v>
      </c>
      <c r="CF55" s="3658">
        <f t="shared" ref="CF55:CK55" si="95">SUM(CF56,CF66:CF72)</f>
        <v>0</v>
      </c>
      <c r="CG55" s="3658">
        <f t="shared" si="95"/>
        <v>0</v>
      </c>
      <c r="CH55" s="3658">
        <f t="shared" si="95"/>
        <v>142.46554999999998</v>
      </c>
      <c r="CI55" s="3658">
        <f t="shared" si="95"/>
        <v>2082.6532000000002</v>
      </c>
      <c r="CJ55" s="3658">
        <f t="shared" si="95"/>
        <v>0</v>
      </c>
      <c r="CK55" s="3658">
        <f t="shared" si="95"/>
        <v>0</v>
      </c>
      <c r="CL55" s="3658">
        <f t="shared" si="24"/>
        <v>2.0569999999999999</v>
      </c>
      <c r="CM55" s="3658">
        <f t="shared" ref="CM55:CR55" si="96">SUM(CM56,CM66:CM72)</f>
        <v>0</v>
      </c>
      <c r="CN55" s="3658">
        <f t="shared" si="96"/>
        <v>0</v>
      </c>
      <c r="CO55" s="3658">
        <f t="shared" si="96"/>
        <v>0.123</v>
      </c>
      <c r="CP55" s="3658">
        <f t="shared" si="96"/>
        <v>1.9339999999999999</v>
      </c>
      <c r="CQ55" s="3658">
        <f t="shared" si="96"/>
        <v>0</v>
      </c>
      <c r="CR55" s="3658">
        <f t="shared" si="96"/>
        <v>0</v>
      </c>
      <c r="CS55" s="3658">
        <f t="shared" si="26"/>
        <v>2328.1900500000002</v>
      </c>
      <c r="CT55" s="3658">
        <f t="shared" ref="CT55:CY55" si="97">SUM(CT56,CT66:CT72)</f>
        <v>0</v>
      </c>
      <c r="CU55" s="3658">
        <f t="shared" si="97"/>
        <v>0</v>
      </c>
      <c r="CV55" s="3658">
        <f t="shared" si="97"/>
        <v>344.29455000000007</v>
      </c>
      <c r="CW55" s="3658">
        <f t="shared" si="97"/>
        <v>1983.8954999999999</v>
      </c>
      <c r="CX55" s="3658">
        <f t="shared" si="97"/>
        <v>0</v>
      </c>
      <c r="CY55" s="3658">
        <f t="shared" si="97"/>
        <v>0</v>
      </c>
    </row>
    <row r="56" spans="4:103" ht="45" customHeight="1">
      <c r="D56" s="3659" t="s">
        <v>4050</v>
      </c>
      <c r="E56" s="3649" t="s">
        <v>4349</v>
      </c>
      <c r="F56" s="3658">
        <f t="shared" si="0"/>
        <v>0</v>
      </c>
      <c r="G56" s="3658">
        <f t="shared" ref="G56:L56" si="98">SUM(G57:G65)</f>
        <v>0</v>
      </c>
      <c r="H56" s="3658">
        <f t="shared" si="98"/>
        <v>0</v>
      </c>
      <c r="I56" s="3658">
        <f t="shared" si="98"/>
        <v>0</v>
      </c>
      <c r="J56" s="3658">
        <f t="shared" si="98"/>
        <v>0</v>
      </c>
      <c r="K56" s="3658">
        <f t="shared" si="98"/>
        <v>0</v>
      </c>
      <c r="L56" s="3658">
        <f t="shared" si="98"/>
        <v>0</v>
      </c>
      <c r="M56" s="3658">
        <f t="shared" si="2"/>
        <v>0</v>
      </c>
      <c r="N56" s="3658">
        <f t="shared" ref="N56:S56" si="99">SUM(N57:N65)</f>
        <v>0</v>
      </c>
      <c r="O56" s="3658">
        <f t="shared" si="99"/>
        <v>0</v>
      </c>
      <c r="P56" s="3658">
        <f t="shared" si="99"/>
        <v>0</v>
      </c>
      <c r="Q56" s="3658">
        <f t="shared" si="99"/>
        <v>0</v>
      </c>
      <c r="R56" s="3658">
        <f t="shared" si="99"/>
        <v>0</v>
      </c>
      <c r="S56" s="3658">
        <f t="shared" si="99"/>
        <v>0</v>
      </c>
      <c r="T56" s="3658">
        <f t="shared" si="4"/>
        <v>0</v>
      </c>
      <c r="U56" s="3658">
        <f t="shared" ref="U56:Z56" si="100">SUM(U57:U65)</f>
        <v>0</v>
      </c>
      <c r="V56" s="3658">
        <f t="shared" si="100"/>
        <v>0</v>
      </c>
      <c r="W56" s="3658">
        <f t="shared" si="100"/>
        <v>0</v>
      </c>
      <c r="X56" s="3658">
        <f t="shared" si="100"/>
        <v>0</v>
      </c>
      <c r="Y56" s="3658">
        <f t="shared" si="100"/>
        <v>0</v>
      </c>
      <c r="Z56" s="3658">
        <f t="shared" si="100"/>
        <v>0</v>
      </c>
      <c r="AA56" s="3658">
        <f t="shared" si="6"/>
        <v>0</v>
      </c>
      <c r="AB56" s="3658">
        <f t="shared" ref="AB56:AG56" si="101">SUM(AB57:AB65)</f>
        <v>0</v>
      </c>
      <c r="AC56" s="3658">
        <f t="shared" si="101"/>
        <v>0</v>
      </c>
      <c r="AD56" s="3658">
        <f t="shared" si="101"/>
        <v>0</v>
      </c>
      <c r="AE56" s="3658">
        <f t="shared" si="101"/>
        <v>0</v>
      </c>
      <c r="AF56" s="3658">
        <f t="shared" si="101"/>
        <v>0</v>
      </c>
      <c r="AG56" s="3658">
        <f t="shared" si="101"/>
        <v>0</v>
      </c>
      <c r="AH56" s="3658">
        <f t="shared" si="8"/>
        <v>0</v>
      </c>
      <c r="AI56" s="3658">
        <f t="shared" ref="AI56:AN56" si="102">SUM(AI57:AI65)</f>
        <v>0</v>
      </c>
      <c r="AJ56" s="3658">
        <f t="shared" si="102"/>
        <v>0</v>
      </c>
      <c r="AK56" s="3658">
        <f t="shared" si="102"/>
        <v>0</v>
      </c>
      <c r="AL56" s="3658">
        <f t="shared" si="102"/>
        <v>0</v>
      </c>
      <c r="AM56" s="3658">
        <f t="shared" si="102"/>
        <v>0</v>
      </c>
      <c r="AN56" s="3658">
        <f t="shared" si="102"/>
        <v>0</v>
      </c>
      <c r="AO56" s="3658">
        <f t="shared" si="10"/>
        <v>0</v>
      </c>
      <c r="AP56" s="3658">
        <f t="shared" ref="AP56:AU56" si="103">SUM(AP57:AP65)</f>
        <v>0</v>
      </c>
      <c r="AQ56" s="3658">
        <f t="shared" si="103"/>
        <v>0</v>
      </c>
      <c r="AR56" s="3658">
        <f t="shared" si="103"/>
        <v>0</v>
      </c>
      <c r="AS56" s="3658">
        <f t="shared" si="103"/>
        <v>0</v>
      </c>
      <c r="AT56" s="3658">
        <f t="shared" si="103"/>
        <v>0</v>
      </c>
      <c r="AU56" s="3658">
        <f t="shared" si="103"/>
        <v>0</v>
      </c>
      <c r="AV56" s="3658">
        <f t="shared" si="12"/>
        <v>0</v>
      </c>
      <c r="AW56" s="3658">
        <f t="shared" ref="AW56:BB56" si="104">SUM(AW57:AW65)</f>
        <v>0</v>
      </c>
      <c r="AX56" s="3658">
        <f t="shared" si="104"/>
        <v>0</v>
      </c>
      <c r="AY56" s="3658">
        <f t="shared" si="104"/>
        <v>0</v>
      </c>
      <c r="AZ56" s="3658">
        <f t="shared" si="104"/>
        <v>0</v>
      </c>
      <c r="BA56" s="3658">
        <f t="shared" si="104"/>
        <v>0</v>
      </c>
      <c r="BB56" s="3658">
        <f t="shared" si="104"/>
        <v>0</v>
      </c>
      <c r="BC56" s="3658">
        <f t="shared" si="14"/>
        <v>0</v>
      </c>
      <c r="BD56" s="3658">
        <f t="shared" ref="BD56:BI56" si="105">SUM(BD57:BD65)</f>
        <v>0</v>
      </c>
      <c r="BE56" s="3658">
        <f t="shared" si="105"/>
        <v>0</v>
      </c>
      <c r="BF56" s="3658">
        <f t="shared" si="105"/>
        <v>0</v>
      </c>
      <c r="BG56" s="3658">
        <f t="shared" si="105"/>
        <v>0</v>
      </c>
      <c r="BH56" s="3658">
        <f t="shared" si="105"/>
        <v>0</v>
      </c>
      <c r="BI56" s="3658">
        <f t="shared" si="105"/>
        <v>0</v>
      </c>
      <c r="BJ56" s="3658">
        <f t="shared" si="16"/>
        <v>0</v>
      </c>
      <c r="BK56" s="3658">
        <f t="shared" ref="BK56:BP56" si="106">SUM(BK57:BK65)</f>
        <v>0</v>
      </c>
      <c r="BL56" s="3658">
        <f t="shared" si="106"/>
        <v>0</v>
      </c>
      <c r="BM56" s="3658">
        <f t="shared" si="106"/>
        <v>0</v>
      </c>
      <c r="BN56" s="3658">
        <f t="shared" si="106"/>
        <v>0</v>
      </c>
      <c r="BO56" s="3658">
        <f t="shared" si="106"/>
        <v>0</v>
      </c>
      <c r="BP56" s="3658">
        <f t="shared" si="106"/>
        <v>0</v>
      </c>
      <c r="BQ56" s="3658">
        <f t="shared" si="18"/>
        <v>0</v>
      </c>
      <c r="BR56" s="3658">
        <f t="shared" ref="BR56:BW56" si="107">SUM(BR57:BR65)</f>
        <v>0</v>
      </c>
      <c r="BS56" s="3658">
        <f t="shared" si="107"/>
        <v>0</v>
      </c>
      <c r="BT56" s="3658">
        <f t="shared" si="107"/>
        <v>0</v>
      </c>
      <c r="BU56" s="3658">
        <f t="shared" si="107"/>
        <v>0</v>
      </c>
      <c r="BV56" s="3658">
        <f t="shared" si="107"/>
        <v>0</v>
      </c>
      <c r="BW56" s="3658">
        <f t="shared" si="107"/>
        <v>0</v>
      </c>
      <c r="BX56" s="3658">
        <f t="shared" si="20"/>
        <v>0</v>
      </c>
      <c r="BY56" s="3658">
        <f t="shared" ref="BY56:CD56" si="108">SUM(BY57:BY65)</f>
        <v>0</v>
      </c>
      <c r="BZ56" s="3658">
        <f t="shared" si="108"/>
        <v>0</v>
      </c>
      <c r="CA56" s="3658">
        <f t="shared" si="108"/>
        <v>0</v>
      </c>
      <c r="CB56" s="3658">
        <f t="shared" si="108"/>
        <v>0</v>
      </c>
      <c r="CC56" s="3658">
        <f t="shared" si="108"/>
        <v>0</v>
      </c>
      <c r="CD56" s="3658">
        <f t="shared" si="108"/>
        <v>0</v>
      </c>
      <c r="CE56" s="3658">
        <f t="shared" si="22"/>
        <v>0</v>
      </c>
      <c r="CF56" s="3658">
        <f t="shared" ref="CF56:CK56" si="109">SUM(CF57:CF65)</f>
        <v>0</v>
      </c>
      <c r="CG56" s="3658">
        <f t="shared" si="109"/>
        <v>0</v>
      </c>
      <c r="CH56" s="3658">
        <f t="shared" si="109"/>
        <v>0</v>
      </c>
      <c r="CI56" s="3658">
        <f t="shared" si="109"/>
        <v>0</v>
      </c>
      <c r="CJ56" s="3658">
        <f t="shared" si="109"/>
        <v>0</v>
      </c>
      <c r="CK56" s="3658">
        <f t="shared" si="109"/>
        <v>0</v>
      </c>
      <c r="CL56" s="3658">
        <f t="shared" si="24"/>
        <v>0</v>
      </c>
      <c r="CM56" s="3658">
        <f t="shared" ref="CM56:CR56" si="110">SUM(CM57:CM65)</f>
        <v>0</v>
      </c>
      <c r="CN56" s="3658">
        <f t="shared" si="110"/>
        <v>0</v>
      </c>
      <c r="CO56" s="3658">
        <f t="shared" si="110"/>
        <v>0</v>
      </c>
      <c r="CP56" s="3658">
        <f t="shared" si="110"/>
        <v>0</v>
      </c>
      <c r="CQ56" s="3658">
        <f t="shared" si="110"/>
        <v>0</v>
      </c>
      <c r="CR56" s="3658">
        <f t="shared" si="110"/>
        <v>0</v>
      </c>
      <c r="CS56" s="3658">
        <f t="shared" si="26"/>
        <v>0</v>
      </c>
      <c r="CT56" s="3658">
        <f t="shared" ref="CT56:CY56" si="111">SUM(CT57:CT65)</f>
        <v>0</v>
      </c>
      <c r="CU56" s="3658">
        <f t="shared" si="111"/>
        <v>0</v>
      </c>
      <c r="CV56" s="3658">
        <f t="shared" si="111"/>
        <v>0</v>
      </c>
      <c r="CW56" s="3658">
        <f t="shared" si="111"/>
        <v>0</v>
      </c>
      <c r="CX56" s="3658">
        <f t="shared" si="111"/>
        <v>0</v>
      </c>
      <c r="CY56" s="3658">
        <f t="shared" si="111"/>
        <v>0</v>
      </c>
    </row>
    <row r="57" spans="4:103" ht="12" customHeight="1">
      <c r="D57" s="3660" t="s">
        <v>4304</v>
      </c>
      <c r="E57" s="3649" t="s">
        <v>4350</v>
      </c>
      <c r="F57" s="3658">
        <f t="shared" si="0"/>
        <v>0</v>
      </c>
      <c r="G57" s="3661"/>
      <c r="H57" s="3661"/>
      <c r="I57" s="3661"/>
      <c r="J57" s="3661"/>
      <c r="K57" s="3661"/>
      <c r="L57" s="3661"/>
      <c r="M57" s="3658">
        <f t="shared" si="2"/>
        <v>0</v>
      </c>
      <c r="N57" s="3661"/>
      <c r="O57" s="3661"/>
      <c r="P57" s="3661"/>
      <c r="Q57" s="3661"/>
      <c r="R57" s="3661"/>
      <c r="S57" s="3661"/>
      <c r="T57" s="3658">
        <f t="shared" si="4"/>
        <v>0</v>
      </c>
      <c r="U57" s="3661"/>
      <c r="V57" s="3661"/>
      <c r="W57" s="3661"/>
      <c r="X57" s="3661"/>
      <c r="Y57" s="3661"/>
      <c r="Z57" s="3661"/>
      <c r="AA57" s="3658">
        <f t="shared" si="6"/>
        <v>0</v>
      </c>
      <c r="AB57" s="3661"/>
      <c r="AC57" s="3661"/>
      <c r="AD57" s="3661"/>
      <c r="AE57" s="3661"/>
      <c r="AF57" s="3661"/>
      <c r="AG57" s="3661"/>
      <c r="AH57" s="3658">
        <f t="shared" si="8"/>
        <v>0</v>
      </c>
      <c r="AI57" s="3661"/>
      <c r="AJ57" s="3661"/>
      <c r="AK57" s="3661"/>
      <c r="AL57" s="3661"/>
      <c r="AM57" s="3661"/>
      <c r="AN57" s="3661"/>
      <c r="AO57" s="3658">
        <f t="shared" si="10"/>
        <v>0</v>
      </c>
      <c r="AP57" s="3661"/>
      <c r="AQ57" s="3661"/>
      <c r="AR57" s="3661"/>
      <c r="AS57" s="3661"/>
      <c r="AT57" s="3661"/>
      <c r="AU57" s="3661"/>
      <c r="AV57" s="3658">
        <f t="shared" si="12"/>
        <v>0</v>
      </c>
      <c r="AW57" s="3661"/>
      <c r="AX57" s="3661"/>
      <c r="AY57" s="3661"/>
      <c r="AZ57" s="3661"/>
      <c r="BA57" s="3661"/>
      <c r="BB57" s="3661"/>
      <c r="BC57" s="3658">
        <f t="shared" si="14"/>
        <v>0</v>
      </c>
      <c r="BD57" s="3661"/>
      <c r="BE57" s="3661"/>
      <c r="BF57" s="3661"/>
      <c r="BG57" s="3661"/>
      <c r="BH57" s="3661"/>
      <c r="BI57" s="3661"/>
      <c r="BJ57" s="3658">
        <f t="shared" si="16"/>
        <v>0</v>
      </c>
      <c r="BK57" s="3661"/>
      <c r="BL57" s="3661"/>
      <c r="BM57" s="3661"/>
      <c r="BN57" s="3661"/>
      <c r="BO57" s="3661"/>
      <c r="BP57" s="3661"/>
      <c r="BQ57" s="3658">
        <f t="shared" si="18"/>
        <v>0</v>
      </c>
      <c r="BR57" s="3661"/>
      <c r="BS57" s="3661"/>
      <c r="BT57" s="3661"/>
      <c r="BU57" s="3661"/>
      <c r="BV57" s="3661"/>
      <c r="BW57" s="3661"/>
      <c r="BX57" s="3658">
        <f t="shared" si="20"/>
        <v>0</v>
      </c>
      <c r="BY57" s="3661"/>
      <c r="BZ57" s="3661"/>
      <c r="CA57" s="3661"/>
      <c r="CB57" s="3661"/>
      <c r="CC57" s="3661"/>
      <c r="CD57" s="3661"/>
      <c r="CE57" s="3658">
        <f t="shared" si="22"/>
        <v>0</v>
      </c>
      <c r="CF57" s="3661"/>
      <c r="CG57" s="3661"/>
      <c r="CH57" s="3661"/>
      <c r="CI57" s="3661"/>
      <c r="CJ57" s="3661"/>
      <c r="CK57" s="3661"/>
      <c r="CL57" s="3658">
        <f t="shared" si="24"/>
        <v>0</v>
      </c>
      <c r="CM57" s="3661"/>
      <c r="CN57" s="3661"/>
      <c r="CO57" s="3661"/>
      <c r="CP57" s="3661"/>
      <c r="CQ57" s="3661"/>
      <c r="CR57" s="3661"/>
      <c r="CS57" s="3658">
        <f t="shared" si="26"/>
        <v>0</v>
      </c>
      <c r="CT57" s="3661"/>
      <c r="CU57" s="3661"/>
      <c r="CV57" s="3661"/>
      <c r="CW57" s="3661"/>
      <c r="CX57" s="3661"/>
      <c r="CY57" s="3661"/>
    </row>
    <row r="58" spans="4:103" ht="12" customHeight="1">
      <c r="D58" s="3660" t="s">
        <v>4306</v>
      </c>
      <c r="E58" s="3649" t="s">
        <v>4351</v>
      </c>
      <c r="F58" s="3658">
        <f t="shared" si="0"/>
        <v>0</v>
      </c>
      <c r="G58" s="3661"/>
      <c r="H58" s="3661"/>
      <c r="I58" s="3661"/>
      <c r="J58" s="3661"/>
      <c r="K58" s="3661"/>
      <c r="L58" s="3661"/>
      <c r="M58" s="3658">
        <f t="shared" si="2"/>
        <v>0</v>
      </c>
      <c r="N58" s="3661"/>
      <c r="O58" s="3661"/>
      <c r="P58" s="3661"/>
      <c r="Q58" s="3661"/>
      <c r="R58" s="3661"/>
      <c r="S58" s="3661"/>
      <c r="T58" s="3658">
        <f t="shared" si="4"/>
        <v>0</v>
      </c>
      <c r="U58" s="3661"/>
      <c r="V58" s="3661"/>
      <c r="W58" s="3661"/>
      <c r="X58" s="3661"/>
      <c r="Y58" s="3661"/>
      <c r="Z58" s="3661"/>
      <c r="AA58" s="3658">
        <f t="shared" si="6"/>
        <v>0</v>
      </c>
      <c r="AB58" s="3661"/>
      <c r="AC58" s="3661"/>
      <c r="AD58" s="3661"/>
      <c r="AE58" s="3661"/>
      <c r="AF58" s="3661"/>
      <c r="AG58" s="3661"/>
      <c r="AH58" s="3658">
        <f t="shared" si="8"/>
        <v>0</v>
      </c>
      <c r="AI58" s="3661"/>
      <c r="AJ58" s="3661"/>
      <c r="AK58" s="3661"/>
      <c r="AL58" s="3661"/>
      <c r="AM58" s="3661"/>
      <c r="AN58" s="3661"/>
      <c r="AO58" s="3658">
        <f t="shared" si="10"/>
        <v>0</v>
      </c>
      <c r="AP58" s="3661"/>
      <c r="AQ58" s="3661"/>
      <c r="AR58" s="3661"/>
      <c r="AS58" s="3661"/>
      <c r="AT58" s="3661"/>
      <c r="AU58" s="3661"/>
      <c r="AV58" s="3658">
        <f t="shared" si="12"/>
        <v>0</v>
      </c>
      <c r="AW58" s="3661"/>
      <c r="AX58" s="3661"/>
      <c r="AY58" s="3661"/>
      <c r="AZ58" s="3661"/>
      <c r="BA58" s="3661"/>
      <c r="BB58" s="3661"/>
      <c r="BC58" s="3658">
        <f t="shared" si="14"/>
        <v>0</v>
      </c>
      <c r="BD58" s="3661"/>
      <c r="BE58" s="3661"/>
      <c r="BF58" s="3661"/>
      <c r="BG58" s="3661"/>
      <c r="BH58" s="3661"/>
      <c r="BI58" s="3661"/>
      <c r="BJ58" s="3658">
        <f t="shared" si="16"/>
        <v>0</v>
      </c>
      <c r="BK58" s="3661"/>
      <c r="BL58" s="3661"/>
      <c r="BM58" s="3661"/>
      <c r="BN58" s="3661"/>
      <c r="BO58" s="3661"/>
      <c r="BP58" s="3661"/>
      <c r="BQ58" s="3658">
        <f t="shared" si="18"/>
        <v>0</v>
      </c>
      <c r="BR58" s="3661"/>
      <c r="BS58" s="3661"/>
      <c r="BT58" s="3661"/>
      <c r="BU58" s="3661"/>
      <c r="BV58" s="3661"/>
      <c r="BW58" s="3661"/>
      <c r="BX58" s="3658">
        <f t="shared" si="20"/>
        <v>0</v>
      </c>
      <c r="BY58" s="3661"/>
      <c r="BZ58" s="3661"/>
      <c r="CA58" s="3661"/>
      <c r="CB58" s="3661"/>
      <c r="CC58" s="3661"/>
      <c r="CD58" s="3661"/>
      <c r="CE58" s="3658">
        <f t="shared" si="22"/>
        <v>0</v>
      </c>
      <c r="CF58" s="3661"/>
      <c r="CG58" s="3661"/>
      <c r="CH58" s="3661"/>
      <c r="CI58" s="3661"/>
      <c r="CJ58" s="3661"/>
      <c r="CK58" s="3661"/>
      <c r="CL58" s="3658">
        <f t="shared" si="24"/>
        <v>0</v>
      </c>
      <c r="CM58" s="3661"/>
      <c r="CN58" s="3661"/>
      <c r="CO58" s="3661"/>
      <c r="CP58" s="3661"/>
      <c r="CQ58" s="3661"/>
      <c r="CR58" s="3661"/>
      <c r="CS58" s="3658">
        <f t="shared" si="26"/>
        <v>0</v>
      </c>
      <c r="CT58" s="3661"/>
      <c r="CU58" s="3661"/>
      <c r="CV58" s="3661"/>
      <c r="CW58" s="3661"/>
      <c r="CX58" s="3661"/>
      <c r="CY58" s="3661"/>
    </row>
    <row r="59" spans="4:103" ht="12" customHeight="1">
      <c r="D59" s="3660" t="s">
        <v>4308</v>
      </c>
      <c r="E59" s="3649" t="s">
        <v>4352</v>
      </c>
      <c r="F59" s="3658">
        <f t="shared" si="0"/>
        <v>0</v>
      </c>
      <c r="G59" s="3661"/>
      <c r="H59" s="3661"/>
      <c r="I59" s="3661"/>
      <c r="J59" s="3661"/>
      <c r="K59" s="3661"/>
      <c r="L59" s="3661"/>
      <c r="M59" s="3658">
        <f t="shared" si="2"/>
        <v>0</v>
      </c>
      <c r="N59" s="3661"/>
      <c r="O59" s="3661"/>
      <c r="P59" s="3661"/>
      <c r="Q59" s="3661"/>
      <c r="R59" s="3661"/>
      <c r="S59" s="3661"/>
      <c r="T59" s="3658">
        <f t="shared" si="4"/>
        <v>0</v>
      </c>
      <c r="U59" s="3661"/>
      <c r="V59" s="3661"/>
      <c r="W59" s="3661"/>
      <c r="X59" s="3661"/>
      <c r="Y59" s="3661"/>
      <c r="Z59" s="3661"/>
      <c r="AA59" s="3658">
        <f t="shared" si="6"/>
        <v>0</v>
      </c>
      <c r="AB59" s="3661"/>
      <c r="AC59" s="3661"/>
      <c r="AD59" s="3661"/>
      <c r="AE59" s="3661"/>
      <c r="AF59" s="3661"/>
      <c r="AG59" s="3661"/>
      <c r="AH59" s="3658">
        <f t="shared" si="8"/>
        <v>0</v>
      </c>
      <c r="AI59" s="3661"/>
      <c r="AJ59" s="3661"/>
      <c r="AK59" s="3661"/>
      <c r="AL59" s="3661"/>
      <c r="AM59" s="3661"/>
      <c r="AN59" s="3661"/>
      <c r="AO59" s="3658">
        <f t="shared" si="10"/>
        <v>0</v>
      </c>
      <c r="AP59" s="3661"/>
      <c r="AQ59" s="3661"/>
      <c r="AR59" s="3661"/>
      <c r="AS59" s="3661"/>
      <c r="AT59" s="3661"/>
      <c r="AU59" s="3661"/>
      <c r="AV59" s="3658">
        <f t="shared" si="12"/>
        <v>0</v>
      </c>
      <c r="AW59" s="3661"/>
      <c r="AX59" s="3661"/>
      <c r="AY59" s="3661"/>
      <c r="AZ59" s="3661"/>
      <c r="BA59" s="3661"/>
      <c r="BB59" s="3661"/>
      <c r="BC59" s="3658">
        <f t="shared" si="14"/>
        <v>0</v>
      </c>
      <c r="BD59" s="3661"/>
      <c r="BE59" s="3661"/>
      <c r="BF59" s="3661"/>
      <c r="BG59" s="3661"/>
      <c r="BH59" s="3661"/>
      <c r="BI59" s="3661"/>
      <c r="BJ59" s="3658">
        <f t="shared" si="16"/>
        <v>0</v>
      </c>
      <c r="BK59" s="3661"/>
      <c r="BL59" s="3661"/>
      <c r="BM59" s="3661"/>
      <c r="BN59" s="3661"/>
      <c r="BO59" s="3661"/>
      <c r="BP59" s="3661"/>
      <c r="BQ59" s="3658">
        <f t="shared" si="18"/>
        <v>0</v>
      </c>
      <c r="BR59" s="3661"/>
      <c r="BS59" s="3661"/>
      <c r="BT59" s="3661"/>
      <c r="BU59" s="3661"/>
      <c r="BV59" s="3661"/>
      <c r="BW59" s="3661"/>
      <c r="BX59" s="3658">
        <f t="shared" si="20"/>
        <v>0</v>
      </c>
      <c r="BY59" s="3661"/>
      <c r="BZ59" s="3661"/>
      <c r="CA59" s="3661"/>
      <c r="CB59" s="3661"/>
      <c r="CC59" s="3661"/>
      <c r="CD59" s="3661"/>
      <c r="CE59" s="3658">
        <f t="shared" si="22"/>
        <v>0</v>
      </c>
      <c r="CF59" s="3661"/>
      <c r="CG59" s="3661"/>
      <c r="CH59" s="3661"/>
      <c r="CI59" s="3661"/>
      <c r="CJ59" s="3661"/>
      <c r="CK59" s="3661"/>
      <c r="CL59" s="3658">
        <f t="shared" si="24"/>
        <v>0</v>
      </c>
      <c r="CM59" s="3661"/>
      <c r="CN59" s="3661"/>
      <c r="CO59" s="3661"/>
      <c r="CP59" s="3661"/>
      <c r="CQ59" s="3661"/>
      <c r="CR59" s="3661"/>
      <c r="CS59" s="3658">
        <f t="shared" si="26"/>
        <v>0</v>
      </c>
      <c r="CT59" s="3661"/>
      <c r="CU59" s="3661"/>
      <c r="CV59" s="3661"/>
      <c r="CW59" s="3661"/>
      <c r="CX59" s="3661"/>
      <c r="CY59" s="3661"/>
    </row>
    <row r="60" spans="4:103" ht="12" customHeight="1">
      <c r="D60" s="3660" t="s">
        <v>4310</v>
      </c>
      <c r="E60" s="3649" t="s">
        <v>4353</v>
      </c>
      <c r="F60" s="3658">
        <f t="shared" si="0"/>
        <v>0</v>
      </c>
      <c r="G60" s="3661"/>
      <c r="H60" s="3661"/>
      <c r="I60" s="3661"/>
      <c r="J60" s="3661"/>
      <c r="K60" s="3661"/>
      <c r="L60" s="3661"/>
      <c r="M60" s="3658">
        <f t="shared" si="2"/>
        <v>0</v>
      </c>
      <c r="N60" s="3661"/>
      <c r="O60" s="3661"/>
      <c r="P60" s="3661"/>
      <c r="Q60" s="3661"/>
      <c r="R60" s="3661"/>
      <c r="S60" s="3661"/>
      <c r="T60" s="3658">
        <f t="shared" si="4"/>
        <v>0</v>
      </c>
      <c r="U60" s="3661"/>
      <c r="V60" s="3661"/>
      <c r="W60" s="3661"/>
      <c r="X60" s="3661"/>
      <c r="Y60" s="3661"/>
      <c r="Z60" s="3661"/>
      <c r="AA60" s="3658">
        <f t="shared" si="6"/>
        <v>0</v>
      </c>
      <c r="AB60" s="3661"/>
      <c r="AC60" s="3661"/>
      <c r="AD60" s="3661"/>
      <c r="AE60" s="3661"/>
      <c r="AF60" s="3661"/>
      <c r="AG60" s="3661"/>
      <c r="AH60" s="3658">
        <f t="shared" si="8"/>
        <v>0</v>
      </c>
      <c r="AI60" s="3661"/>
      <c r="AJ60" s="3661"/>
      <c r="AK60" s="3661"/>
      <c r="AL60" s="3661"/>
      <c r="AM60" s="3661"/>
      <c r="AN60" s="3661"/>
      <c r="AO60" s="3658">
        <f t="shared" si="10"/>
        <v>0</v>
      </c>
      <c r="AP60" s="3661"/>
      <c r="AQ60" s="3661"/>
      <c r="AR60" s="3661"/>
      <c r="AS60" s="3661"/>
      <c r="AT60" s="3661"/>
      <c r="AU60" s="3661"/>
      <c r="AV60" s="3658">
        <f t="shared" si="12"/>
        <v>0</v>
      </c>
      <c r="AW60" s="3661"/>
      <c r="AX60" s="3661"/>
      <c r="AY60" s="3661"/>
      <c r="AZ60" s="3661"/>
      <c r="BA60" s="3661"/>
      <c r="BB60" s="3661"/>
      <c r="BC60" s="3658">
        <f t="shared" si="14"/>
        <v>0</v>
      </c>
      <c r="BD60" s="3661"/>
      <c r="BE60" s="3661"/>
      <c r="BF60" s="3661"/>
      <c r="BG60" s="3661"/>
      <c r="BH60" s="3661"/>
      <c r="BI60" s="3661"/>
      <c r="BJ60" s="3658">
        <f t="shared" si="16"/>
        <v>0</v>
      </c>
      <c r="BK60" s="3661"/>
      <c r="BL60" s="3661"/>
      <c r="BM60" s="3661"/>
      <c r="BN60" s="3661"/>
      <c r="BO60" s="3661"/>
      <c r="BP60" s="3661"/>
      <c r="BQ60" s="3658">
        <f t="shared" si="18"/>
        <v>0</v>
      </c>
      <c r="BR60" s="3661"/>
      <c r="BS60" s="3661"/>
      <c r="BT60" s="3661"/>
      <c r="BU60" s="3661"/>
      <c r="BV60" s="3661"/>
      <c r="BW60" s="3661"/>
      <c r="BX60" s="3658">
        <f t="shared" si="20"/>
        <v>0</v>
      </c>
      <c r="BY60" s="3661"/>
      <c r="BZ60" s="3661"/>
      <c r="CA60" s="3661"/>
      <c r="CB60" s="3661"/>
      <c r="CC60" s="3661"/>
      <c r="CD60" s="3661"/>
      <c r="CE60" s="3658">
        <f t="shared" si="22"/>
        <v>0</v>
      </c>
      <c r="CF60" s="3661"/>
      <c r="CG60" s="3661"/>
      <c r="CH60" s="3661"/>
      <c r="CI60" s="3661"/>
      <c r="CJ60" s="3661"/>
      <c r="CK60" s="3661"/>
      <c r="CL60" s="3658">
        <f t="shared" si="24"/>
        <v>0</v>
      </c>
      <c r="CM60" s="3661"/>
      <c r="CN60" s="3661"/>
      <c r="CO60" s="3661"/>
      <c r="CP60" s="3661"/>
      <c r="CQ60" s="3661"/>
      <c r="CR60" s="3661"/>
      <c r="CS60" s="3658">
        <f t="shared" si="26"/>
        <v>0</v>
      </c>
      <c r="CT60" s="3661"/>
      <c r="CU60" s="3661"/>
      <c r="CV60" s="3661"/>
      <c r="CW60" s="3661"/>
      <c r="CX60" s="3661"/>
      <c r="CY60" s="3661"/>
    </row>
    <row r="61" spans="4:103" ht="12" customHeight="1">
      <c r="D61" s="3660" t="s">
        <v>4312</v>
      </c>
      <c r="E61" s="3649" t="s">
        <v>4354</v>
      </c>
      <c r="F61" s="3658">
        <f t="shared" si="0"/>
        <v>0</v>
      </c>
      <c r="G61" s="3661"/>
      <c r="H61" s="3661"/>
      <c r="I61" s="3661"/>
      <c r="J61" s="3661"/>
      <c r="K61" s="3661"/>
      <c r="L61" s="3661"/>
      <c r="M61" s="3658">
        <f t="shared" si="2"/>
        <v>0</v>
      </c>
      <c r="N61" s="3661"/>
      <c r="O61" s="3661"/>
      <c r="P61" s="3661"/>
      <c r="Q61" s="3661"/>
      <c r="R61" s="3661"/>
      <c r="S61" s="3661"/>
      <c r="T61" s="3658">
        <f t="shared" si="4"/>
        <v>0</v>
      </c>
      <c r="U61" s="3661"/>
      <c r="V61" s="3661"/>
      <c r="W61" s="3661"/>
      <c r="X61" s="3661"/>
      <c r="Y61" s="3661"/>
      <c r="Z61" s="3661"/>
      <c r="AA61" s="3658">
        <f t="shared" si="6"/>
        <v>0</v>
      </c>
      <c r="AB61" s="3661"/>
      <c r="AC61" s="3661"/>
      <c r="AD61" s="3661"/>
      <c r="AE61" s="3661"/>
      <c r="AF61" s="3661"/>
      <c r="AG61" s="3661"/>
      <c r="AH61" s="3658">
        <f t="shared" si="8"/>
        <v>0</v>
      </c>
      <c r="AI61" s="3661"/>
      <c r="AJ61" s="3661"/>
      <c r="AK61" s="3661"/>
      <c r="AL61" s="3661"/>
      <c r="AM61" s="3661"/>
      <c r="AN61" s="3661"/>
      <c r="AO61" s="3658">
        <f t="shared" si="10"/>
        <v>0</v>
      </c>
      <c r="AP61" s="3661"/>
      <c r="AQ61" s="3661"/>
      <c r="AR61" s="3661"/>
      <c r="AS61" s="3661"/>
      <c r="AT61" s="3661"/>
      <c r="AU61" s="3661"/>
      <c r="AV61" s="3658">
        <f t="shared" si="12"/>
        <v>0</v>
      </c>
      <c r="AW61" s="3661"/>
      <c r="AX61" s="3661"/>
      <c r="AY61" s="3661"/>
      <c r="AZ61" s="3661"/>
      <c r="BA61" s="3661"/>
      <c r="BB61" s="3661"/>
      <c r="BC61" s="3658">
        <f t="shared" si="14"/>
        <v>0</v>
      </c>
      <c r="BD61" s="3661"/>
      <c r="BE61" s="3661"/>
      <c r="BF61" s="3661"/>
      <c r="BG61" s="3661"/>
      <c r="BH61" s="3661"/>
      <c r="BI61" s="3661"/>
      <c r="BJ61" s="3658">
        <f t="shared" si="16"/>
        <v>0</v>
      </c>
      <c r="BK61" s="3661"/>
      <c r="BL61" s="3661"/>
      <c r="BM61" s="3661"/>
      <c r="BN61" s="3661"/>
      <c r="BO61" s="3661"/>
      <c r="BP61" s="3661"/>
      <c r="BQ61" s="3658">
        <f t="shared" si="18"/>
        <v>0</v>
      </c>
      <c r="BR61" s="3661"/>
      <c r="BS61" s="3661"/>
      <c r="BT61" s="3661"/>
      <c r="BU61" s="3661"/>
      <c r="BV61" s="3661"/>
      <c r="BW61" s="3661"/>
      <c r="BX61" s="3658">
        <f t="shared" si="20"/>
        <v>0</v>
      </c>
      <c r="BY61" s="3661"/>
      <c r="BZ61" s="3661"/>
      <c r="CA61" s="3661"/>
      <c r="CB61" s="3661"/>
      <c r="CC61" s="3661"/>
      <c r="CD61" s="3661"/>
      <c r="CE61" s="3658">
        <f t="shared" si="22"/>
        <v>0</v>
      </c>
      <c r="CF61" s="3661"/>
      <c r="CG61" s="3661"/>
      <c r="CH61" s="3661"/>
      <c r="CI61" s="3661"/>
      <c r="CJ61" s="3661"/>
      <c r="CK61" s="3661"/>
      <c r="CL61" s="3658">
        <f t="shared" si="24"/>
        <v>0</v>
      </c>
      <c r="CM61" s="3661"/>
      <c r="CN61" s="3661"/>
      <c r="CO61" s="3661"/>
      <c r="CP61" s="3661"/>
      <c r="CQ61" s="3661"/>
      <c r="CR61" s="3661"/>
      <c r="CS61" s="3658">
        <f t="shared" si="26"/>
        <v>0</v>
      </c>
      <c r="CT61" s="3661"/>
      <c r="CU61" s="3661"/>
      <c r="CV61" s="3661"/>
      <c r="CW61" s="3661"/>
      <c r="CX61" s="3661"/>
      <c r="CY61" s="3661"/>
    </row>
    <row r="62" spans="4:103" ht="12" customHeight="1">
      <c r="D62" s="3660" t="s">
        <v>4314</v>
      </c>
      <c r="E62" s="3649" t="s">
        <v>4355</v>
      </c>
      <c r="F62" s="3658">
        <f t="shared" si="0"/>
        <v>0</v>
      </c>
      <c r="G62" s="3661"/>
      <c r="H62" s="3661"/>
      <c r="I62" s="3661"/>
      <c r="J62" s="3661"/>
      <c r="K62" s="3661"/>
      <c r="L62" s="3661"/>
      <c r="M62" s="3658">
        <f t="shared" si="2"/>
        <v>0</v>
      </c>
      <c r="N62" s="3661"/>
      <c r="O62" s="3661"/>
      <c r="P62" s="3661"/>
      <c r="Q62" s="3661"/>
      <c r="R62" s="3661"/>
      <c r="S62" s="3661"/>
      <c r="T62" s="3658">
        <f t="shared" si="4"/>
        <v>0</v>
      </c>
      <c r="U62" s="3661"/>
      <c r="V62" s="3661"/>
      <c r="W62" s="3661"/>
      <c r="X62" s="3661"/>
      <c r="Y62" s="3661"/>
      <c r="Z62" s="3661"/>
      <c r="AA62" s="3658">
        <f t="shared" si="6"/>
        <v>0</v>
      </c>
      <c r="AB62" s="3661"/>
      <c r="AC62" s="3661"/>
      <c r="AD62" s="3661"/>
      <c r="AE62" s="3661"/>
      <c r="AF62" s="3661"/>
      <c r="AG62" s="3661"/>
      <c r="AH62" s="3658">
        <f t="shared" si="8"/>
        <v>0</v>
      </c>
      <c r="AI62" s="3661"/>
      <c r="AJ62" s="3661"/>
      <c r="AK62" s="3661"/>
      <c r="AL62" s="3661"/>
      <c r="AM62" s="3661"/>
      <c r="AN62" s="3661"/>
      <c r="AO62" s="3658">
        <f t="shared" si="10"/>
        <v>0</v>
      </c>
      <c r="AP62" s="3661"/>
      <c r="AQ62" s="3661"/>
      <c r="AR62" s="3661"/>
      <c r="AS62" s="3661"/>
      <c r="AT62" s="3661"/>
      <c r="AU62" s="3661"/>
      <c r="AV62" s="3658">
        <f t="shared" si="12"/>
        <v>0</v>
      </c>
      <c r="AW62" s="3661"/>
      <c r="AX62" s="3661"/>
      <c r="AY62" s="3661"/>
      <c r="AZ62" s="3661"/>
      <c r="BA62" s="3661"/>
      <c r="BB62" s="3661"/>
      <c r="BC62" s="3658">
        <f t="shared" si="14"/>
        <v>0</v>
      </c>
      <c r="BD62" s="3661"/>
      <c r="BE62" s="3661"/>
      <c r="BF62" s="3661"/>
      <c r="BG62" s="3661"/>
      <c r="BH62" s="3661"/>
      <c r="BI62" s="3661"/>
      <c r="BJ62" s="3658">
        <f t="shared" si="16"/>
        <v>0</v>
      </c>
      <c r="BK62" s="3661"/>
      <c r="BL62" s="3661"/>
      <c r="BM62" s="3661"/>
      <c r="BN62" s="3661"/>
      <c r="BO62" s="3661"/>
      <c r="BP62" s="3661"/>
      <c r="BQ62" s="3658">
        <f t="shared" si="18"/>
        <v>0</v>
      </c>
      <c r="BR62" s="3661"/>
      <c r="BS62" s="3661"/>
      <c r="BT62" s="3661"/>
      <c r="BU62" s="3661"/>
      <c r="BV62" s="3661"/>
      <c r="BW62" s="3661"/>
      <c r="BX62" s="3658">
        <f t="shared" si="20"/>
        <v>0</v>
      </c>
      <c r="BY62" s="3661"/>
      <c r="BZ62" s="3661"/>
      <c r="CA62" s="3661"/>
      <c r="CB62" s="3661"/>
      <c r="CC62" s="3661"/>
      <c r="CD62" s="3661"/>
      <c r="CE62" s="3658">
        <f t="shared" si="22"/>
        <v>0</v>
      </c>
      <c r="CF62" s="3661"/>
      <c r="CG62" s="3661"/>
      <c r="CH62" s="3661"/>
      <c r="CI62" s="3661"/>
      <c r="CJ62" s="3661"/>
      <c r="CK62" s="3661"/>
      <c r="CL62" s="3658">
        <f t="shared" si="24"/>
        <v>0</v>
      </c>
      <c r="CM62" s="3661"/>
      <c r="CN62" s="3661"/>
      <c r="CO62" s="3661"/>
      <c r="CP62" s="3661"/>
      <c r="CQ62" s="3661"/>
      <c r="CR62" s="3661"/>
      <c r="CS62" s="3658">
        <f t="shared" si="26"/>
        <v>0</v>
      </c>
      <c r="CT62" s="3661"/>
      <c r="CU62" s="3661"/>
      <c r="CV62" s="3661"/>
      <c r="CW62" s="3661"/>
      <c r="CX62" s="3661"/>
      <c r="CY62" s="3661"/>
    </row>
    <row r="63" spans="4:103" ht="12" customHeight="1">
      <c r="D63" s="3660" t="s">
        <v>4316</v>
      </c>
      <c r="E63" s="3649" t="s">
        <v>4356</v>
      </c>
      <c r="F63" s="3658">
        <f t="shared" si="0"/>
        <v>0</v>
      </c>
      <c r="G63" s="3661"/>
      <c r="H63" s="3661"/>
      <c r="I63" s="3661"/>
      <c r="J63" s="3661"/>
      <c r="K63" s="3661"/>
      <c r="L63" s="3661"/>
      <c r="M63" s="3658">
        <f t="shared" si="2"/>
        <v>0</v>
      </c>
      <c r="N63" s="3661"/>
      <c r="O63" s="3661"/>
      <c r="P63" s="3661"/>
      <c r="Q63" s="3661"/>
      <c r="R63" s="3661"/>
      <c r="S63" s="3661"/>
      <c r="T63" s="3658">
        <f t="shared" si="4"/>
        <v>0</v>
      </c>
      <c r="U63" s="3661"/>
      <c r="V63" s="3661"/>
      <c r="W63" s="3661"/>
      <c r="X63" s="3661"/>
      <c r="Y63" s="3661"/>
      <c r="Z63" s="3661"/>
      <c r="AA63" s="3658">
        <f t="shared" si="6"/>
        <v>0</v>
      </c>
      <c r="AB63" s="3661"/>
      <c r="AC63" s="3661"/>
      <c r="AD63" s="3661"/>
      <c r="AE63" s="3661"/>
      <c r="AF63" s="3661"/>
      <c r="AG63" s="3661"/>
      <c r="AH63" s="3658">
        <f t="shared" si="8"/>
        <v>0</v>
      </c>
      <c r="AI63" s="3661"/>
      <c r="AJ63" s="3661"/>
      <c r="AK63" s="3661"/>
      <c r="AL63" s="3661"/>
      <c r="AM63" s="3661"/>
      <c r="AN63" s="3661"/>
      <c r="AO63" s="3658">
        <f t="shared" si="10"/>
        <v>0</v>
      </c>
      <c r="AP63" s="3661"/>
      <c r="AQ63" s="3661"/>
      <c r="AR63" s="3661"/>
      <c r="AS63" s="3661"/>
      <c r="AT63" s="3661"/>
      <c r="AU63" s="3661"/>
      <c r="AV63" s="3658">
        <f t="shared" si="12"/>
        <v>0</v>
      </c>
      <c r="AW63" s="3661"/>
      <c r="AX63" s="3661"/>
      <c r="AY63" s="3661"/>
      <c r="AZ63" s="3661"/>
      <c r="BA63" s="3661"/>
      <c r="BB63" s="3661"/>
      <c r="BC63" s="3658">
        <f t="shared" si="14"/>
        <v>0</v>
      </c>
      <c r="BD63" s="3661"/>
      <c r="BE63" s="3661"/>
      <c r="BF63" s="3661"/>
      <c r="BG63" s="3661"/>
      <c r="BH63" s="3661"/>
      <c r="BI63" s="3661"/>
      <c r="BJ63" s="3658">
        <f t="shared" si="16"/>
        <v>0</v>
      </c>
      <c r="BK63" s="3661"/>
      <c r="BL63" s="3661"/>
      <c r="BM63" s="3661"/>
      <c r="BN63" s="3661"/>
      <c r="BO63" s="3661"/>
      <c r="BP63" s="3661"/>
      <c r="BQ63" s="3658">
        <f t="shared" si="18"/>
        <v>0</v>
      </c>
      <c r="BR63" s="3661"/>
      <c r="BS63" s="3661"/>
      <c r="BT63" s="3661"/>
      <c r="BU63" s="3661"/>
      <c r="BV63" s="3661"/>
      <c r="BW63" s="3661"/>
      <c r="BX63" s="3658">
        <f t="shared" si="20"/>
        <v>0</v>
      </c>
      <c r="BY63" s="3661"/>
      <c r="BZ63" s="3661"/>
      <c r="CA63" s="3661"/>
      <c r="CB63" s="3661"/>
      <c r="CC63" s="3661"/>
      <c r="CD63" s="3661"/>
      <c r="CE63" s="3658">
        <f t="shared" si="22"/>
        <v>0</v>
      </c>
      <c r="CF63" s="3661"/>
      <c r="CG63" s="3661"/>
      <c r="CH63" s="3661"/>
      <c r="CI63" s="3661"/>
      <c r="CJ63" s="3661"/>
      <c r="CK63" s="3661"/>
      <c r="CL63" s="3658">
        <f t="shared" si="24"/>
        <v>0</v>
      </c>
      <c r="CM63" s="3661"/>
      <c r="CN63" s="3661"/>
      <c r="CO63" s="3661"/>
      <c r="CP63" s="3661"/>
      <c r="CQ63" s="3661"/>
      <c r="CR63" s="3661"/>
      <c r="CS63" s="3658">
        <f t="shared" si="26"/>
        <v>0</v>
      </c>
      <c r="CT63" s="3661"/>
      <c r="CU63" s="3661"/>
      <c r="CV63" s="3661"/>
      <c r="CW63" s="3661"/>
      <c r="CX63" s="3661"/>
      <c r="CY63" s="3661"/>
    </row>
    <row r="64" spans="4:103" ht="12" customHeight="1">
      <c r="D64" s="3660" t="s">
        <v>4318</v>
      </c>
      <c r="E64" s="3649" t="s">
        <v>4357</v>
      </c>
      <c r="F64" s="3658">
        <f t="shared" si="0"/>
        <v>0</v>
      </c>
      <c r="G64" s="3661"/>
      <c r="H64" s="3661"/>
      <c r="I64" s="3661"/>
      <c r="J64" s="3661"/>
      <c r="K64" s="3661"/>
      <c r="L64" s="3661"/>
      <c r="M64" s="3658">
        <f t="shared" si="2"/>
        <v>0</v>
      </c>
      <c r="N64" s="3661"/>
      <c r="O64" s="3661"/>
      <c r="P64" s="3661"/>
      <c r="Q64" s="3661"/>
      <c r="R64" s="3661"/>
      <c r="S64" s="3661"/>
      <c r="T64" s="3658">
        <f t="shared" si="4"/>
        <v>0</v>
      </c>
      <c r="U64" s="3661"/>
      <c r="V64" s="3661"/>
      <c r="W64" s="3661"/>
      <c r="X64" s="3661"/>
      <c r="Y64" s="3661"/>
      <c r="Z64" s="3661"/>
      <c r="AA64" s="3658">
        <f t="shared" si="6"/>
        <v>0</v>
      </c>
      <c r="AB64" s="3661"/>
      <c r="AC64" s="3661"/>
      <c r="AD64" s="3661"/>
      <c r="AE64" s="3661"/>
      <c r="AF64" s="3661"/>
      <c r="AG64" s="3661"/>
      <c r="AH64" s="3658">
        <f t="shared" si="8"/>
        <v>0</v>
      </c>
      <c r="AI64" s="3661"/>
      <c r="AJ64" s="3661"/>
      <c r="AK64" s="3661"/>
      <c r="AL64" s="3661"/>
      <c r="AM64" s="3661"/>
      <c r="AN64" s="3661"/>
      <c r="AO64" s="3658">
        <f t="shared" si="10"/>
        <v>0</v>
      </c>
      <c r="AP64" s="3661"/>
      <c r="AQ64" s="3661"/>
      <c r="AR64" s="3661"/>
      <c r="AS64" s="3661"/>
      <c r="AT64" s="3661"/>
      <c r="AU64" s="3661"/>
      <c r="AV64" s="3658">
        <f t="shared" si="12"/>
        <v>0</v>
      </c>
      <c r="AW64" s="3661"/>
      <c r="AX64" s="3661"/>
      <c r="AY64" s="3661"/>
      <c r="AZ64" s="3661"/>
      <c r="BA64" s="3661"/>
      <c r="BB64" s="3661"/>
      <c r="BC64" s="3658">
        <f t="shared" si="14"/>
        <v>0</v>
      </c>
      <c r="BD64" s="3661"/>
      <c r="BE64" s="3661"/>
      <c r="BF64" s="3661"/>
      <c r="BG64" s="3661"/>
      <c r="BH64" s="3661"/>
      <c r="BI64" s="3661"/>
      <c r="BJ64" s="3658">
        <f t="shared" si="16"/>
        <v>0</v>
      </c>
      <c r="BK64" s="3661"/>
      <c r="BL64" s="3661"/>
      <c r="BM64" s="3661"/>
      <c r="BN64" s="3661"/>
      <c r="BO64" s="3661"/>
      <c r="BP64" s="3661"/>
      <c r="BQ64" s="3658">
        <f t="shared" si="18"/>
        <v>0</v>
      </c>
      <c r="BR64" s="3661"/>
      <c r="BS64" s="3661"/>
      <c r="BT64" s="3661"/>
      <c r="BU64" s="3661"/>
      <c r="BV64" s="3661"/>
      <c r="BW64" s="3661"/>
      <c r="BX64" s="3658">
        <f t="shared" si="20"/>
        <v>0</v>
      </c>
      <c r="BY64" s="3661"/>
      <c r="BZ64" s="3661"/>
      <c r="CA64" s="3661"/>
      <c r="CB64" s="3661"/>
      <c r="CC64" s="3661"/>
      <c r="CD64" s="3661"/>
      <c r="CE64" s="3658">
        <f t="shared" si="22"/>
        <v>0</v>
      </c>
      <c r="CF64" s="3661"/>
      <c r="CG64" s="3661"/>
      <c r="CH64" s="3661"/>
      <c r="CI64" s="3661"/>
      <c r="CJ64" s="3661"/>
      <c r="CK64" s="3661"/>
      <c r="CL64" s="3658">
        <f t="shared" si="24"/>
        <v>0</v>
      </c>
      <c r="CM64" s="3661"/>
      <c r="CN64" s="3661"/>
      <c r="CO64" s="3661"/>
      <c r="CP64" s="3661"/>
      <c r="CQ64" s="3661"/>
      <c r="CR64" s="3661"/>
      <c r="CS64" s="3658">
        <f t="shared" si="26"/>
        <v>0</v>
      </c>
      <c r="CT64" s="3661"/>
      <c r="CU64" s="3661"/>
      <c r="CV64" s="3661"/>
      <c r="CW64" s="3661"/>
      <c r="CX64" s="3661"/>
      <c r="CY64" s="3661"/>
    </row>
    <row r="65" spans="4:103" ht="12" customHeight="1">
      <c r="D65" s="3660" t="s">
        <v>4320</v>
      </c>
      <c r="E65" s="3649" t="s">
        <v>4358</v>
      </c>
      <c r="F65" s="3658">
        <f t="shared" si="0"/>
        <v>0</v>
      </c>
      <c r="G65" s="3661"/>
      <c r="H65" s="3661"/>
      <c r="I65" s="3661"/>
      <c r="J65" s="3661"/>
      <c r="K65" s="3661"/>
      <c r="L65" s="3661"/>
      <c r="M65" s="3658">
        <f t="shared" si="2"/>
        <v>0</v>
      </c>
      <c r="N65" s="3661"/>
      <c r="O65" s="3661"/>
      <c r="P65" s="3661"/>
      <c r="Q65" s="3661"/>
      <c r="R65" s="3661"/>
      <c r="S65" s="3661"/>
      <c r="T65" s="3658">
        <f t="shared" si="4"/>
        <v>0</v>
      </c>
      <c r="U65" s="3661"/>
      <c r="V65" s="3661"/>
      <c r="W65" s="3661"/>
      <c r="X65" s="3661"/>
      <c r="Y65" s="3661"/>
      <c r="Z65" s="3661"/>
      <c r="AA65" s="3658">
        <f t="shared" si="6"/>
        <v>0</v>
      </c>
      <c r="AB65" s="3661"/>
      <c r="AC65" s="3661"/>
      <c r="AD65" s="3661"/>
      <c r="AE65" s="3661"/>
      <c r="AF65" s="3661"/>
      <c r="AG65" s="3661"/>
      <c r="AH65" s="3658">
        <f t="shared" si="8"/>
        <v>0</v>
      </c>
      <c r="AI65" s="3661"/>
      <c r="AJ65" s="3661"/>
      <c r="AK65" s="3661"/>
      <c r="AL65" s="3661"/>
      <c r="AM65" s="3661"/>
      <c r="AN65" s="3661"/>
      <c r="AO65" s="3658">
        <f t="shared" si="10"/>
        <v>0</v>
      </c>
      <c r="AP65" s="3661"/>
      <c r="AQ65" s="3661"/>
      <c r="AR65" s="3661"/>
      <c r="AS65" s="3661"/>
      <c r="AT65" s="3661"/>
      <c r="AU65" s="3661"/>
      <c r="AV65" s="3658">
        <f t="shared" si="12"/>
        <v>0</v>
      </c>
      <c r="AW65" s="3661"/>
      <c r="AX65" s="3661"/>
      <c r="AY65" s="3661"/>
      <c r="AZ65" s="3661"/>
      <c r="BA65" s="3661"/>
      <c r="BB65" s="3661"/>
      <c r="BC65" s="3658">
        <f t="shared" si="14"/>
        <v>0</v>
      </c>
      <c r="BD65" s="3661"/>
      <c r="BE65" s="3661"/>
      <c r="BF65" s="3661"/>
      <c r="BG65" s="3661"/>
      <c r="BH65" s="3661"/>
      <c r="BI65" s="3661"/>
      <c r="BJ65" s="3658">
        <f t="shared" si="16"/>
        <v>0</v>
      </c>
      <c r="BK65" s="3661"/>
      <c r="BL65" s="3661"/>
      <c r="BM65" s="3661"/>
      <c r="BN65" s="3661"/>
      <c r="BO65" s="3661"/>
      <c r="BP65" s="3661"/>
      <c r="BQ65" s="3658">
        <f t="shared" si="18"/>
        <v>0</v>
      </c>
      <c r="BR65" s="3661"/>
      <c r="BS65" s="3661"/>
      <c r="BT65" s="3661"/>
      <c r="BU65" s="3661"/>
      <c r="BV65" s="3661"/>
      <c r="BW65" s="3661"/>
      <c r="BX65" s="3658">
        <f t="shared" si="20"/>
        <v>0</v>
      </c>
      <c r="BY65" s="3661"/>
      <c r="BZ65" s="3661"/>
      <c r="CA65" s="3661"/>
      <c r="CB65" s="3661"/>
      <c r="CC65" s="3661"/>
      <c r="CD65" s="3661"/>
      <c r="CE65" s="3658">
        <f t="shared" si="22"/>
        <v>0</v>
      </c>
      <c r="CF65" s="3661"/>
      <c r="CG65" s="3661"/>
      <c r="CH65" s="3661"/>
      <c r="CI65" s="3661"/>
      <c r="CJ65" s="3661"/>
      <c r="CK65" s="3661"/>
      <c r="CL65" s="3658">
        <f t="shared" si="24"/>
        <v>0</v>
      </c>
      <c r="CM65" s="3661"/>
      <c r="CN65" s="3661"/>
      <c r="CO65" s="3661"/>
      <c r="CP65" s="3661"/>
      <c r="CQ65" s="3661"/>
      <c r="CR65" s="3661"/>
      <c r="CS65" s="3658">
        <f t="shared" si="26"/>
        <v>0</v>
      </c>
      <c r="CT65" s="3661"/>
      <c r="CU65" s="3661"/>
      <c r="CV65" s="3661"/>
      <c r="CW65" s="3661"/>
      <c r="CX65" s="3661"/>
      <c r="CY65" s="3661"/>
    </row>
    <row r="66" spans="4:103" ht="12" customHeight="1">
      <c r="D66" s="3659" t="s">
        <v>516</v>
      </c>
      <c r="E66" s="3649" t="s">
        <v>4359</v>
      </c>
      <c r="F66" s="3658">
        <f t="shared" si="0"/>
        <v>0</v>
      </c>
      <c r="G66" s="3661"/>
      <c r="H66" s="3661"/>
      <c r="I66" s="3661"/>
      <c r="J66" s="3661"/>
      <c r="K66" s="3661"/>
      <c r="L66" s="3661"/>
      <c r="M66" s="3658">
        <f t="shared" si="2"/>
        <v>0</v>
      </c>
      <c r="N66" s="3661"/>
      <c r="O66" s="3661"/>
      <c r="P66" s="3661"/>
      <c r="Q66" s="3661"/>
      <c r="R66" s="3661"/>
      <c r="S66" s="3661"/>
      <c r="T66" s="3658">
        <f t="shared" si="4"/>
        <v>0</v>
      </c>
      <c r="U66" s="3661"/>
      <c r="V66" s="3661"/>
      <c r="W66" s="3661"/>
      <c r="X66" s="3661"/>
      <c r="Y66" s="3661"/>
      <c r="Z66" s="3661"/>
      <c r="AA66" s="3658">
        <f t="shared" si="6"/>
        <v>0</v>
      </c>
      <c r="AB66" s="3661"/>
      <c r="AC66" s="3661"/>
      <c r="AD66" s="3661"/>
      <c r="AE66" s="3661"/>
      <c r="AF66" s="3661"/>
      <c r="AG66" s="3661"/>
      <c r="AH66" s="3658">
        <f t="shared" si="8"/>
        <v>0</v>
      </c>
      <c r="AI66" s="3661"/>
      <c r="AJ66" s="3661"/>
      <c r="AK66" s="3661"/>
      <c r="AL66" s="3661"/>
      <c r="AM66" s="3661"/>
      <c r="AN66" s="3661"/>
      <c r="AO66" s="3658">
        <f t="shared" si="10"/>
        <v>0</v>
      </c>
      <c r="AP66" s="3661"/>
      <c r="AQ66" s="3661"/>
      <c r="AR66" s="3661"/>
      <c r="AS66" s="3661"/>
      <c r="AT66" s="3661"/>
      <c r="AU66" s="3661"/>
      <c r="AV66" s="3658">
        <f t="shared" si="12"/>
        <v>0</v>
      </c>
      <c r="AW66" s="3661"/>
      <c r="AX66" s="3661"/>
      <c r="AY66" s="3661"/>
      <c r="AZ66" s="3661"/>
      <c r="BA66" s="3661"/>
      <c r="BB66" s="3661"/>
      <c r="BC66" s="3658">
        <f t="shared" si="14"/>
        <v>0</v>
      </c>
      <c r="BD66" s="3661"/>
      <c r="BE66" s="3661"/>
      <c r="BF66" s="3661"/>
      <c r="BG66" s="3661"/>
      <c r="BH66" s="3661"/>
      <c r="BI66" s="3661"/>
      <c r="BJ66" s="3658">
        <f t="shared" si="16"/>
        <v>1211.152</v>
      </c>
      <c r="BK66" s="3661"/>
      <c r="BL66" s="3661"/>
      <c r="BM66" s="3661">
        <f>'Раздел 2А'!BM42</f>
        <v>87.923000000000002</v>
      </c>
      <c r="BN66" s="3661">
        <f>'Раздел 2А'!BN42</f>
        <v>1123.229</v>
      </c>
      <c r="BO66" s="3661"/>
      <c r="BP66" s="3661"/>
      <c r="BQ66" s="3658">
        <f t="shared" si="18"/>
        <v>4775.9370100000006</v>
      </c>
      <c r="BR66" s="3661"/>
      <c r="BS66" s="3661"/>
      <c r="BT66" s="3661">
        <f>'Раздел 2А'!BT42</f>
        <v>314.45769000000001</v>
      </c>
      <c r="BU66" s="3661">
        <f>'Раздел 2А'!BU42</f>
        <v>4461.4793200000004</v>
      </c>
      <c r="BV66" s="3661"/>
      <c r="BW66" s="3661"/>
      <c r="BX66" s="3658">
        <f t="shared" si="20"/>
        <v>1.843</v>
      </c>
      <c r="BY66" s="3661"/>
      <c r="BZ66" s="3661"/>
      <c r="CA66" s="3661">
        <f>'Раздел 2А'!CA42</f>
        <v>0.11799999999999999</v>
      </c>
      <c r="CB66" s="3661">
        <f>'Раздел 2А'!CB42</f>
        <v>1.7250000000000001</v>
      </c>
      <c r="CC66" s="3661"/>
      <c r="CD66" s="3661"/>
      <c r="CE66" s="3658">
        <f t="shared" si="22"/>
        <v>2225.1187500000001</v>
      </c>
      <c r="CF66" s="3661"/>
      <c r="CG66" s="3661"/>
      <c r="CH66" s="3661">
        <f>'Раздел 2А'!CH42</f>
        <v>142.46554999999998</v>
      </c>
      <c r="CI66" s="3661">
        <f>'Раздел 2А'!CI42</f>
        <v>2082.6532000000002</v>
      </c>
      <c r="CJ66" s="3661"/>
      <c r="CK66" s="3661"/>
      <c r="CL66" s="3658">
        <f t="shared" si="24"/>
        <v>2.0569999999999999</v>
      </c>
      <c r="CM66" s="3661"/>
      <c r="CN66" s="3661"/>
      <c r="CO66" s="3661">
        <f>'Раздел 2А'!CO42</f>
        <v>0.123</v>
      </c>
      <c r="CP66" s="3661">
        <f>'Раздел 2А'!CP42</f>
        <v>1.9339999999999999</v>
      </c>
      <c r="CQ66" s="3661"/>
      <c r="CR66" s="3661"/>
      <c r="CS66" s="3658">
        <f t="shared" si="26"/>
        <v>2328.1900500000002</v>
      </c>
      <c r="CT66" s="3661"/>
      <c r="CU66" s="3661"/>
      <c r="CV66" s="3661">
        <f>'Раздел 2А'!CV42</f>
        <v>344.29455000000007</v>
      </c>
      <c r="CW66" s="3661">
        <f>'Раздел 2А'!CW42</f>
        <v>1983.8954999999999</v>
      </c>
      <c r="CX66" s="3661"/>
      <c r="CY66" s="3661"/>
    </row>
    <row r="67" spans="4:103" ht="12" customHeight="1">
      <c r="D67" s="3659" t="s">
        <v>517</v>
      </c>
      <c r="E67" s="3649" t="s">
        <v>4360</v>
      </c>
      <c r="F67" s="3658">
        <f t="shared" si="0"/>
        <v>0</v>
      </c>
      <c r="G67" s="3661"/>
      <c r="H67" s="3661"/>
      <c r="I67" s="3661"/>
      <c r="J67" s="3661"/>
      <c r="K67" s="3661"/>
      <c r="L67" s="3661"/>
      <c r="M67" s="3658">
        <f t="shared" si="2"/>
        <v>0</v>
      </c>
      <c r="N67" s="3661"/>
      <c r="O67" s="3661"/>
      <c r="P67" s="3661"/>
      <c r="Q67" s="3661"/>
      <c r="R67" s="3661"/>
      <c r="S67" s="3661"/>
      <c r="T67" s="3658">
        <f t="shared" si="4"/>
        <v>0</v>
      </c>
      <c r="U67" s="3661"/>
      <c r="V67" s="3661"/>
      <c r="W67" s="3661"/>
      <c r="X67" s="3661"/>
      <c r="Y67" s="3661"/>
      <c r="Z67" s="3661"/>
      <c r="AA67" s="3658">
        <f t="shared" si="6"/>
        <v>0</v>
      </c>
      <c r="AB67" s="3661"/>
      <c r="AC67" s="3661"/>
      <c r="AD67" s="3661"/>
      <c r="AE67" s="3661"/>
      <c r="AF67" s="3661"/>
      <c r="AG67" s="3661"/>
      <c r="AH67" s="3658">
        <f t="shared" si="8"/>
        <v>0</v>
      </c>
      <c r="AI67" s="3661"/>
      <c r="AJ67" s="3661"/>
      <c r="AK67" s="3661"/>
      <c r="AL67" s="3661"/>
      <c r="AM67" s="3661"/>
      <c r="AN67" s="3661"/>
      <c r="AO67" s="3658">
        <f t="shared" si="10"/>
        <v>0</v>
      </c>
      <c r="AP67" s="3661"/>
      <c r="AQ67" s="3661"/>
      <c r="AR67" s="3661"/>
      <c r="AS67" s="3661"/>
      <c r="AT67" s="3661"/>
      <c r="AU67" s="3661"/>
      <c r="AV67" s="3658">
        <f t="shared" si="12"/>
        <v>0</v>
      </c>
      <c r="AW67" s="3661"/>
      <c r="AX67" s="3661"/>
      <c r="AY67" s="3661"/>
      <c r="AZ67" s="3661"/>
      <c r="BA67" s="3661"/>
      <c r="BB67" s="3661"/>
      <c r="BC67" s="3658">
        <f t="shared" si="14"/>
        <v>0</v>
      </c>
      <c r="BD67" s="3661"/>
      <c r="BE67" s="3661"/>
      <c r="BF67" s="3661"/>
      <c r="BG67" s="3661"/>
      <c r="BH67" s="3661"/>
      <c r="BI67" s="3661"/>
      <c r="BJ67" s="3658">
        <f t="shared" si="16"/>
        <v>0</v>
      </c>
      <c r="BK67" s="3661"/>
      <c r="BL67" s="3661"/>
      <c r="BM67" s="3661"/>
      <c r="BN67" s="3661"/>
      <c r="BO67" s="3661"/>
      <c r="BP67" s="3661"/>
      <c r="BQ67" s="3658">
        <f t="shared" si="18"/>
        <v>0</v>
      </c>
      <c r="BR67" s="3661"/>
      <c r="BS67" s="3661"/>
      <c r="BT67" s="3661"/>
      <c r="BU67" s="3661"/>
      <c r="BV67" s="3661"/>
      <c r="BW67" s="3661"/>
      <c r="BX67" s="3658">
        <f t="shared" si="20"/>
        <v>0</v>
      </c>
      <c r="BY67" s="3661"/>
      <c r="BZ67" s="3661"/>
      <c r="CA67" s="3661"/>
      <c r="CB67" s="3661"/>
      <c r="CC67" s="3661"/>
      <c r="CD67" s="3661"/>
      <c r="CE67" s="3658">
        <f t="shared" si="22"/>
        <v>0</v>
      </c>
      <c r="CF67" s="3661"/>
      <c r="CG67" s="3661"/>
      <c r="CH67" s="3661"/>
      <c r="CI67" s="3661"/>
      <c r="CJ67" s="3661"/>
      <c r="CK67" s="3661"/>
      <c r="CL67" s="3658">
        <f t="shared" si="24"/>
        <v>0</v>
      </c>
      <c r="CM67" s="3661"/>
      <c r="CN67" s="3661"/>
      <c r="CO67" s="3661"/>
      <c r="CP67" s="3661"/>
      <c r="CQ67" s="3661"/>
      <c r="CR67" s="3661"/>
      <c r="CS67" s="3658">
        <f t="shared" si="26"/>
        <v>0</v>
      </c>
      <c r="CT67" s="3661"/>
      <c r="CU67" s="3661"/>
      <c r="CV67" s="3661"/>
      <c r="CW67" s="3661"/>
      <c r="CX67" s="3661"/>
      <c r="CY67" s="3661"/>
    </row>
    <row r="68" spans="4:103" ht="12" customHeight="1">
      <c r="D68" s="3659" t="s">
        <v>518</v>
      </c>
      <c r="E68" s="3649" t="s">
        <v>4361</v>
      </c>
      <c r="F68" s="3658">
        <f t="shared" si="0"/>
        <v>0</v>
      </c>
      <c r="G68" s="3661"/>
      <c r="H68" s="3661"/>
      <c r="I68" s="3661"/>
      <c r="J68" s="3661"/>
      <c r="K68" s="3661"/>
      <c r="L68" s="3661"/>
      <c r="M68" s="3658">
        <f t="shared" si="2"/>
        <v>0</v>
      </c>
      <c r="N68" s="3661"/>
      <c r="O68" s="3661"/>
      <c r="P68" s="3661"/>
      <c r="Q68" s="3661"/>
      <c r="R68" s="3661"/>
      <c r="S68" s="3661"/>
      <c r="T68" s="3658">
        <f t="shared" si="4"/>
        <v>0</v>
      </c>
      <c r="U68" s="3661"/>
      <c r="V68" s="3661"/>
      <c r="W68" s="3661"/>
      <c r="X68" s="3661"/>
      <c r="Y68" s="3661"/>
      <c r="Z68" s="3661"/>
      <c r="AA68" s="3658">
        <f t="shared" si="6"/>
        <v>0</v>
      </c>
      <c r="AB68" s="3661"/>
      <c r="AC68" s="3661"/>
      <c r="AD68" s="3661"/>
      <c r="AE68" s="3661"/>
      <c r="AF68" s="3661"/>
      <c r="AG68" s="3661"/>
      <c r="AH68" s="3658">
        <f t="shared" si="8"/>
        <v>0</v>
      </c>
      <c r="AI68" s="3661"/>
      <c r="AJ68" s="3661"/>
      <c r="AK68" s="3661"/>
      <c r="AL68" s="3661"/>
      <c r="AM68" s="3661"/>
      <c r="AN68" s="3661"/>
      <c r="AO68" s="3658">
        <f t="shared" si="10"/>
        <v>0</v>
      </c>
      <c r="AP68" s="3661"/>
      <c r="AQ68" s="3661"/>
      <c r="AR68" s="3661"/>
      <c r="AS68" s="3661"/>
      <c r="AT68" s="3661"/>
      <c r="AU68" s="3661"/>
      <c r="AV68" s="3658">
        <f t="shared" si="12"/>
        <v>0</v>
      </c>
      <c r="AW68" s="3661"/>
      <c r="AX68" s="3661"/>
      <c r="AY68" s="3661"/>
      <c r="AZ68" s="3661"/>
      <c r="BA68" s="3661"/>
      <c r="BB68" s="3661"/>
      <c r="BC68" s="3658">
        <f t="shared" si="14"/>
        <v>0</v>
      </c>
      <c r="BD68" s="3661"/>
      <c r="BE68" s="3661"/>
      <c r="BF68" s="3661"/>
      <c r="BG68" s="3661"/>
      <c r="BH68" s="3661"/>
      <c r="BI68" s="3661"/>
      <c r="BJ68" s="3658">
        <f t="shared" si="16"/>
        <v>0</v>
      </c>
      <c r="BK68" s="3661"/>
      <c r="BL68" s="3661"/>
      <c r="BM68" s="3661"/>
      <c r="BN68" s="3661"/>
      <c r="BO68" s="3661"/>
      <c r="BP68" s="3661"/>
      <c r="BQ68" s="3658">
        <f t="shared" si="18"/>
        <v>0</v>
      </c>
      <c r="BR68" s="3661"/>
      <c r="BS68" s="3661"/>
      <c r="BT68" s="3661"/>
      <c r="BU68" s="3661"/>
      <c r="BV68" s="3661"/>
      <c r="BW68" s="3661"/>
      <c r="BX68" s="3658">
        <f t="shared" si="20"/>
        <v>0</v>
      </c>
      <c r="BY68" s="3661"/>
      <c r="BZ68" s="3661"/>
      <c r="CA68" s="3661"/>
      <c r="CB68" s="3661"/>
      <c r="CC68" s="3661"/>
      <c r="CD68" s="3661"/>
      <c r="CE68" s="3658">
        <f t="shared" si="22"/>
        <v>0</v>
      </c>
      <c r="CF68" s="3661"/>
      <c r="CG68" s="3661"/>
      <c r="CH68" s="3661"/>
      <c r="CI68" s="3661"/>
      <c r="CJ68" s="3661"/>
      <c r="CK68" s="3661"/>
      <c r="CL68" s="3658">
        <f t="shared" si="24"/>
        <v>0</v>
      </c>
      <c r="CM68" s="3661"/>
      <c r="CN68" s="3661"/>
      <c r="CO68" s="3661"/>
      <c r="CP68" s="3661"/>
      <c r="CQ68" s="3661"/>
      <c r="CR68" s="3661"/>
      <c r="CS68" s="3658">
        <f t="shared" si="26"/>
        <v>0</v>
      </c>
      <c r="CT68" s="3661"/>
      <c r="CU68" s="3661"/>
      <c r="CV68" s="3661"/>
      <c r="CW68" s="3661"/>
      <c r="CX68" s="3661"/>
      <c r="CY68" s="3661"/>
    </row>
    <row r="69" spans="4:103" ht="12" customHeight="1">
      <c r="D69" s="3659" t="s">
        <v>519</v>
      </c>
      <c r="E69" s="3649" t="s">
        <v>4362</v>
      </c>
      <c r="F69" s="3658">
        <f t="shared" si="0"/>
        <v>14113.965</v>
      </c>
      <c r="G69" s="3661"/>
      <c r="H69" s="3661"/>
      <c r="I69" s="3661">
        <f>'Раздел 2А'!H45</f>
        <v>190.53299999999999</v>
      </c>
      <c r="J69" s="3661">
        <f>'Раздел 2А'!I45</f>
        <v>10007.896000000001</v>
      </c>
      <c r="K69" s="3661">
        <f>'Раздел 2А'!J45</f>
        <v>3915.536000000001</v>
      </c>
      <c r="L69" s="3661"/>
      <c r="M69" s="3658">
        <f t="shared" si="2"/>
        <v>120236.33578000001</v>
      </c>
      <c r="N69" s="3661"/>
      <c r="O69" s="3661"/>
      <c r="P69" s="3661">
        <f>'Раздел 2А'!O45</f>
        <v>1611.7967599999999</v>
      </c>
      <c r="Q69" s="3661">
        <f>'Раздел 2А'!P45</f>
        <v>84109.674690000014</v>
      </c>
      <c r="R69" s="3661">
        <f>'Раздел 2А'!Q45</f>
        <v>34514.864329999997</v>
      </c>
      <c r="S69" s="3661"/>
      <c r="T69" s="3658">
        <f t="shared" si="4"/>
        <v>0</v>
      </c>
      <c r="U69" s="3661"/>
      <c r="V69" s="3661"/>
      <c r="W69" s="3661"/>
      <c r="X69" s="3661"/>
      <c r="Y69" s="3661"/>
      <c r="Z69" s="3661"/>
      <c r="AA69" s="3658">
        <f t="shared" si="6"/>
        <v>0</v>
      </c>
      <c r="AB69" s="3661"/>
      <c r="AC69" s="3661"/>
      <c r="AD69" s="3661"/>
      <c r="AE69" s="3661"/>
      <c r="AF69" s="3661"/>
      <c r="AG69" s="3661"/>
      <c r="AH69" s="3658">
        <f t="shared" si="8"/>
        <v>0</v>
      </c>
      <c r="AI69" s="3661"/>
      <c r="AJ69" s="3661"/>
      <c r="AK69" s="3661"/>
      <c r="AL69" s="3661"/>
      <c r="AM69" s="3661"/>
      <c r="AN69" s="3661"/>
      <c r="AO69" s="3658">
        <f t="shared" si="10"/>
        <v>0</v>
      </c>
      <c r="AP69" s="3661"/>
      <c r="AQ69" s="3661"/>
      <c r="AR69" s="3661"/>
      <c r="AS69" s="3661"/>
      <c r="AT69" s="3661"/>
      <c r="AU69" s="3661"/>
      <c r="AV69" s="3658">
        <f t="shared" si="12"/>
        <v>0</v>
      </c>
      <c r="AW69" s="3661"/>
      <c r="AX69" s="3661"/>
      <c r="AY69" s="3661"/>
      <c r="AZ69" s="3661"/>
      <c r="BA69" s="3661"/>
      <c r="BB69" s="3661"/>
      <c r="BC69" s="3658">
        <f t="shared" si="14"/>
        <v>0</v>
      </c>
      <c r="BD69" s="3661"/>
      <c r="BE69" s="3661"/>
      <c r="BF69" s="3661"/>
      <c r="BG69" s="3661"/>
      <c r="BH69" s="3661"/>
      <c r="BI69" s="3661"/>
      <c r="BJ69" s="3658">
        <f t="shared" si="16"/>
        <v>0</v>
      </c>
      <c r="BK69" s="3661"/>
      <c r="BL69" s="3661"/>
      <c r="BM69" s="3661"/>
      <c r="BN69" s="3661"/>
      <c r="BO69" s="3661"/>
      <c r="BP69" s="3661"/>
      <c r="BQ69" s="3658">
        <f t="shared" si="18"/>
        <v>0</v>
      </c>
      <c r="BR69" s="3661"/>
      <c r="BS69" s="3661"/>
      <c r="BT69" s="3661"/>
      <c r="BU69" s="3661"/>
      <c r="BV69" s="3661"/>
      <c r="BW69" s="3661"/>
      <c r="BX69" s="3658">
        <f t="shared" si="20"/>
        <v>0</v>
      </c>
      <c r="BY69" s="3661"/>
      <c r="BZ69" s="3661"/>
      <c r="CA69" s="3661"/>
      <c r="CB69" s="3661"/>
      <c r="CC69" s="3661"/>
      <c r="CD69" s="3661"/>
      <c r="CE69" s="3658">
        <f t="shared" si="22"/>
        <v>0</v>
      </c>
      <c r="CF69" s="3661"/>
      <c r="CG69" s="3661"/>
      <c r="CH69" s="3661"/>
      <c r="CI69" s="3661"/>
      <c r="CJ69" s="3661"/>
      <c r="CK69" s="3661"/>
      <c r="CL69" s="3658">
        <f t="shared" si="24"/>
        <v>0</v>
      </c>
      <c r="CM69" s="3661"/>
      <c r="CN69" s="3661"/>
      <c r="CO69" s="3661"/>
      <c r="CP69" s="3661"/>
      <c r="CQ69" s="3661"/>
      <c r="CR69" s="3661"/>
      <c r="CS69" s="3658">
        <f t="shared" si="26"/>
        <v>0</v>
      </c>
      <c r="CT69" s="3661"/>
      <c r="CU69" s="3661"/>
      <c r="CV69" s="3661"/>
      <c r="CW69" s="3661"/>
      <c r="CX69" s="3661"/>
      <c r="CY69" s="3661"/>
    </row>
    <row r="70" spans="4:103" ht="12" customHeight="1">
      <c r="D70" s="3659" t="s">
        <v>520</v>
      </c>
      <c r="E70" s="3649" t="s">
        <v>4363</v>
      </c>
      <c r="F70" s="3658">
        <f t="shared" si="0"/>
        <v>122.85300000000001</v>
      </c>
      <c r="G70" s="3661"/>
      <c r="H70" s="3661"/>
      <c r="I70" s="3661">
        <f>'Раздел 2А'!H46</f>
        <v>0</v>
      </c>
      <c r="J70" s="3661">
        <f>'Раздел 2А'!I46</f>
        <v>102.998</v>
      </c>
      <c r="K70" s="3661">
        <f>'Раздел 2А'!J46</f>
        <v>19.855</v>
      </c>
      <c r="L70" s="3661"/>
      <c r="M70" s="3658">
        <f t="shared" si="2"/>
        <v>1268.729</v>
      </c>
      <c r="N70" s="3661"/>
      <c r="O70" s="3661"/>
      <c r="P70" s="3661">
        <f>'Раздел 2А'!O46</f>
        <v>0</v>
      </c>
      <c r="Q70" s="3661">
        <f>'Раздел 2А'!P46</f>
        <v>1099.5450000000001</v>
      </c>
      <c r="R70" s="3661">
        <f>'Раздел 2А'!Q46</f>
        <v>169.184</v>
      </c>
      <c r="S70" s="3661"/>
      <c r="T70" s="3658">
        <f t="shared" si="4"/>
        <v>0</v>
      </c>
      <c r="U70" s="3661"/>
      <c r="V70" s="3661"/>
      <c r="W70" s="3661"/>
      <c r="X70" s="3661"/>
      <c r="Y70" s="3661"/>
      <c r="Z70" s="3661"/>
      <c r="AA70" s="3658">
        <f t="shared" si="6"/>
        <v>0</v>
      </c>
      <c r="AB70" s="3661"/>
      <c r="AC70" s="3661"/>
      <c r="AD70" s="3661"/>
      <c r="AE70" s="3661"/>
      <c r="AF70" s="3661"/>
      <c r="AG70" s="3661"/>
      <c r="AH70" s="3658">
        <f t="shared" si="8"/>
        <v>0</v>
      </c>
      <c r="AI70" s="3661"/>
      <c r="AJ70" s="3661"/>
      <c r="AK70" s="3661"/>
      <c r="AL70" s="3661"/>
      <c r="AM70" s="3661"/>
      <c r="AN70" s="3661"/>
      <c r="AO70" s="3658">
        <f t="shared" si="10"/>
        <v>0</v>
      </c>
      <c r="AP70" s="3661"/>
      <c r="AQ70" s="3661"/>
      <c r="AR70" s="3661"/>
      <c r="AS70" s="3661"/>
      <c r="AT70" s="3661"/>
      <c r="AU70" s="3661"/>
      <c r="AV70" s="3658">
        <f t="shared" si="12"/>
        <v>0</v>
      </c>
      <c r="AW70" s="3661"/>
      <c r="AX70" s="3661"/>
      <c r="AY70" s="3661"/>
      <c r="AZ70" s="3661"/>
      <c r="BA70" s="3661"/>
      <c r="BB70" s="3661"/>
      <c r="BC70" s="3658">
        <f t="shared" si="14"/>
        <v>0</v>
      </c>
      <c r="BD70" s="3661"/>
      <c r="BE70" s="3661"/>
      <c r="BF70" s="3661"/>
      <c r="BG70" s="3661"/>
      <c r="BH70" s="3661"/>
      <c r="BI70" s="3661"/>
      <c r="BJ70" s="3658">
        <f t="shared" si="16"/>
        <v>0</v>
      </c>
      <c r="BK70" s="3661"/>
      <c r="BL70" s="3661"/>
      <c r="BM70" s="3661"/>
      <c r="BN70" s="3661"/>
      <c r="BO70" s="3661"/>
      <c r="BP70" s="3661"/>
      <c r="BQ70" s="3658">
        <f t="shared" si="18"/>
        <v>0</v>
      </c>
      <c r="BR70" s="3661"/>
      <c r="BS70" s="3661"/>
      <c r="BT70" s="3661"/>
      <c r="BU70" s="3661"/>
      <c r="BV70" s="3661"/>
      <c r="BW70" s="3661"/>
      <c r="BX70" s="3658">
        <f t="shared" si="20"/>
        <v>0</v>
      </c>
      <c r="BY70" s="3661"/>
      <c r="BZ70" s="3661"/>
      <c r="CA70" s="3661"/>
      <c r="CB70" s="3661"/>
      <c r="CC70" s="3661"/>
      <c r="CD70" s="3661"/>
      <c r="CE70" s="3658">
        <f t="shared" si="22"/>
        <v>0</v>
      </c>
      <c r="CF70" s="3661"/>
      <c r="CG70" s="3661"/>
      <c r="CH70" s="3661"/>
      <c r="CI70" s="3661"/>
      <c r="CJ70" s="3661"/>
      <c r="CK70" s="3661"/>
      <c r="CL70" s="3658">
        <f t="shared" si="24"/>
        <v>0</v>
      </c>
      <c r="CM70" s="3661"/>
      <c r="CN70" s="3661"/>
      <c r="CO70" s="3661"/>
      <c r="CP70" s="3661"/>
      <c r="CQ70" s="3661"/>
      <c r="CR70" s="3661"/>
      <c r="CS70" s="3658">
        <f t="shared" si="26"/>
        <v>0</v>
      </c>
      <c r="CT70" s="3661"/>
      <c r="CU70" s="3661"/>
      <c r="CV70" s="3661"/>
      <c r="CW70" s="3661"/>
      <c r="CX70" s="3661"/>
      <c r="CY70" s="3661"/>
    </row>
    <row r="71" spans="4:103" ht="12" customHeight="1">
      <c r="D71" s="3659" t="s">
        <v>521</v>
      </c>
      <c r="E71" s="3649" t="s">
        <v>4364</v>
      </c>
      <c r="F71" s="3658">
        <f t="shared" si="0"/>
        <v>4162.308</v>
      </c>
      <c r="G71" s="3661"/>
      <c r="H71" s="3661"/>
      <c r="I71" s="3661">
        <f>'Раздел 2А'!H47</f>
        <v>0</v>
      </c>
      <c r="J71" s="3661">
        <f>'Раздел 2А'!I47</f>
        <v>1166.971</v>
      </c>
      <c r="K71" s="3661">
        <f>'Раздел 2А'!J47</f>
        <v>2995.337</v>
      </c>
      <c r="L71" s="3661"/>
      <c r="M71" s="3658">
        <f t="shared" si="2"/>
        <v>39815.281000000003</v>
      </c>
      <c r="N71" s="3661"/>
      <c r="O71" s="3661"/>
      <c r="P71" s="3661">
        <f>'Раздел 2А'!O47</f>
        <v>0</v>
      </c>
      <c r="Q71" s="3661">
        <f>'Раздел 2А'!P47</f>
        <v>11647.897000000001</v>
      </c>
      <c r="R71" s="3661">
        <f>'Раздел 2А'!Q47</f>
        <v>28167.383999999998</v>
      </c>
      <c r="S71" s="3661"/>
      <c r="T71" s="3658">
        <f t="shared" si="4"/>
        <v>295.92699999999996</v>
      </c>
      <c r="U71" s="3661"/>
      <c r="V71" s="3661"/>
      <c r="W71" s="3661">
        <f>'Раздел 2А'!W47</f>
        <v>292.86599999999999</v>
      </c>
      <c r="X71" s="3661">
        <f>'Раздел 2А'!X47</f>
        <v>3.0609999999999999</v>
      </c>
      <c r="Y71" s="3661"/>
      <c r="Z71" s="3661"/>
      <c r="AA71" s="3658">
        <f t="shared" si="6"/>
        <v>2783.4780800000003</v>
      </c>
      <c r="AB71" s="3661"/>
      <c r="AC71" s="3661"/>
      <c r="AD71" s="3661">
        <f>'Раздел 2А'!AD47</f>
        <v>2754.2478200000005</v>
      </c>
      <c r="AE71" s="3661">
        <f>'Раздел 2А'!AE47</f>
        <v>29.230260000000001</v>
      </c>
      <c r="AF71" s="3661"/>
      <c r="AG71" s="3661"/>
      <c r="AH71" s="3658">
        <f t="shared" si="8"/>
        <v>0</v>
      </c>
      <c r="AI71" s="3661"/>
      <c r="AJ71" s="3661"/>
      <c r="AK71" s="3661"/>
      <c r="AL71" s="3661"/>
      <c r="AM71" s="3661"/>
      <c r="AN71" s="3661"/>
      <c r="AO71" s="3658">
        <f t="shared" si="10"/>
        <v>0</v>
      </c>
      <c r="AP71" s="3661"/>
      <c r="AQ71" s="3661"/>
      <c r="AR71" s="3661"/>
      <c r="AS71" s="3661"/>
      <c r="AT71" s="3661"/>
      <c r="AU71" s="3661"/>
      <c r="AV71" s="3658">
        <f t="shared" si="12"/>
        <v>0</v>
      </c>
      <c r="AW71" s="3661"/>
      <c r="AX71" s="3661"/>
      <c r="AY71" s="3661"/>
      <c r="AZ71" s="3661"/>
      <c r="BA71" s="3661"/>
      <c r="BB71" s="3661"/>
      <c r="BC71" s="3658">
        <f t="shared" si="14"/>
        <v>0</v>
      </c>
      <c r="BD71" s="3661"/>
      <c r="BE71" s="3661"/>
      <c r="BF71" s="3661"/>
      <c r="BG71" s="3661"/>
      <c r="BH71" s="3661"/>
      <c r="BI71" s="3661"/>
      <c r="BJ71" s="3658">
        <f t="shared" si="16"/>
        <v>0</v>
      </c>
      <c r="BK71" s="3661"/>
      <c r="BL71" s="3661"/>
      <c r="BM71" s="3661"/>
      <c r="BN71" s="3661"/>
      <c r="BO71" s="3661"/>
      <c r="BP71" s="3661"/>
      <c r="BQ71" s="3658">
        <f t="shared" si="18"/>
        <v>0</v>
      </c>
      <c r="BR71" s="3661"/>
      <c r="BS71" s="3661"/>
      <c r="BT71" s="3661"/>
      <c r="BU71" s="3661"/>
      <c r="BV71" s="3661"/>
      <c r="BW71" s="3661"/>
      <c r="BX71" s="3658">
        <f t="shared" si="20"/>
        <v>0</v>
      </c>
      <c r="BY71" s="3661"/>
      <c r="BZ71" s="3661"/>
      <c r="CA71" s="3661"/>
      <c r="CB71" s="3661"/>
      <c r="CC71" s="3661"/>
      <c r="CD71" s="3661"/>
      <c r="CE71" s="3658">
        <f t="shared" si="22"/>
        <v>0</v>
      </c>
      <c r="CF71" s="3661"/>
      <c r="CG71" s="3661"/>
      <c r="CH71" s="3661"/>
      <c r="CI71" s="3661"/>
      <c r="CJ71" s="3661"/>
      <c r="CK71" s="3661"/>
      <c r="CL71" s="3658">
        <f t="shared" si="24"/>
        <v>0</v>
      </c>
      <c r="CM71" s="3661"/>
      <c r="CN71" s="3661"/>
      <c r="CO71" s="3661"/>
      <c r="CP71" s="3661"/>
      <c r="CQ71" s="3661"/>
      <c r="CR71" s="3661"/>
      <c r="CS71" s="3658">
        <f t="shared" si="26"/>
        <v>0</v>
      </c>
      <c r="CT71" s="3661"/>
      <c r="CU71" s="3661"/>
      <c r="CV71" s="3661"/>
      <c r="CW71" s="3661"/>
      <c r="CX71" s="3661"/>
      <c r="CY71" s="3661"/>
    </row>
    <row r="72" spans="4:103" ht="12" customHeight="1">
      <c r="D72" s="3659" t="s">
        <v>4060</v>
      </c>
      <c r="E72" s="3649" t="s">
        <v>4365</v>
      </c>
      <c r="F72" s="3658">
        <f t="shared" si="0"/>
        <v>1451.1590000000001</v>
      </c>
      <c r="G72" s="3661"/>
      <c r="H72" s="3661"/>
      <c r="I72" s="3661">
        <f>'Раздел 2А'!H48</f>
        <v>0</v>
      </c>
      <c r="J72" s="3661">
        <f>'Раздел 2А'!I48</f>
        <v>1252.8330000000001</v>
      </c>
      <c r="K72" s="3661">
        <f>'Раздел 2А'!J48</f>
        <v>198.32599999999999</v>
      </c>
      <c r="L72" s="3661"/>
      <c r="M72" s="3658">
        <f t="shared" si="2"/>
        <v>13715.712</v>
      </c>
      <c r="N72" s="3661"/>
      <c r="O72" s="3661"/>
      <c r="P72" s="3661">
        <f>'Раздел 2А'!O48</f>
        <v>0</v>
      </c>
      <c r="Q72" s="3661">
        <f>'Раздел 2А'!P48</f>
        <v>12515.981</v>
      </c>
      <c r="R72" s="3661">
        <f>'Раздел 2А'!Q48</f>
        <v>1199.731</v>
      </c>
      <c r="S72" s="3661"/>
      <c r="T72" s="3658">
        <f t="shared" si="4"/>
        <v>0</v>
      </c>
      <c r="U72" s="3661"/>
      <c r="V72" s="3661"/>
      <c r="W72" s="3661"/>
      <c r="X72" s="3661"/>
      <c r="Y72" s="3661"/>
      <c r="Z72" s="3661"/>
      <c r="AA72" s="3658">
        <f t="shared" si="6"/>
        <v>0</v>
      </c>
      <c r="AB72" s="3661"/>
      <c r="AC72" s="3661"/>
      <c r="AD72" s="3661"/>
      <c r="AE72" s="3661"/>
      <c r="AF72" s="3661"/>
      <c r="AG72" s="3661"/>
      <c r="AH72" s="3658">
        <f t="shared" si="8"/>
        <v>0</v>
      </c>
      <c r="AI72" s="3661"/>
      <c r="AJ72" s="3661"/>
      <c r="AK72" s="3661"/>
      <c r="AL72" s="3661"/>
      <c r="AM72" s="3661"/>
      <c r="AN72" s="3661"/>
      <c r="AO72" s="3658">
        <f t="shared" si="10"/>
        <v>0</v>
      </c>
      <c r="AP72" s="3661"/>
      <c r="AQ72" s="3661"/>
      <c r="AR72" s="3661"/>
      <c r="AS72" s="3661"/>
      <c r="AT72" s="3661"/>
      <c r="AU72" s="3661"/>
      <c r="AV72" s="3658">
        <f t="shared" si="12"/>
        <v>0</v>
      </c>
      <c r="AW72" s="3661"/>
      <c r="AX72" s="3661"/>
      <c r="AY72" s="3661"/>
      <c r="AZ72" s="3661"/>
      <c r="BA72" s="3661"/>
      <c r="BB72" s="3661"/>
      <c r="BC72" s="3658">
        <f t="shared" si="14"/>
        <v>0</v>
      </c>
      <c r="BD72" s="3661"/>
      <c r="BE72" s="3661"/>
      <c r="BF72" s="3661"/>
      <c r="BG72" s="3661"/>
      <c r="BH72" s="3661"/>
      <c r="BI72" s="3661"/>
      <c r="BJ72" s="3658">
        <f t="shared" si="16"/>
        <v>0</v>
      </c>
      <c r="BK72" s="3661"/>
      <c r="BL72" s="3661"/>
      <c r="BM72" s="3661"/>
      <c r="BN72" s="3661"/>
      <c r="BO72" s="3661"/>
      <c r="BP72" s="3661"/>
      <c r="BQ72" s="3658">
        <f t="shared" si="18"/>
        <v>0</v>
      </c>
      <c r="BR72" s="3661"/>
      <c r="BS72" s="3661"/>
      <c r="BT72" s="3661"/>
      <c r="BU72" s="3661"/>
      <c r="BV72" s="3661"/>
      <c r="BW72" s="3661"/>
      <c r="BX72" s="3658">
        <f t="shared" si="20"/>
        <v>0</v>
      </c>
      <c r="BY72" s="3661"/>
      <c r="BZ72" s="3661"/>
      <c r="CA72" s="3661"/>
      <c r="CB72" s="3661"/>
      <c r="CC72" s="3661"/>
      <c r="CD72" s="3661"/>
      <c r="CE72" s="3658">
        <f t="shared" si="22"/>
        <v>0</v>
      </c>
      <c r="CF72" s="3661"/>
      <c r="CG72" s="3661"/>
      <c r="CH72" s="3661"/>
      <c r="CI72" s="3661"/>
      <c r="CJ72" s="3661"/>
      <c r="CK72" s="3661"/>
      <c r="CL72" s="3658">
        <f t="shared" si="24"/>
        <v>0</v>
      </c>
      <c r="CM72" s="3661"/>
      <c r="CN72" s="3661"/>
      <c r="CO72" s="3661"/>
      <c r="CP72" s="3661"/>
      <c r="CQ72" s="3661"/>
      <c r="CR72" s="3661"/>
      <c r="CS72" s="3658">
        <f t="shared" si="26"/>
        <v>0</v>
      </c>
      <c r="CT72" s="3661"/>
      <c r="CU72" s="3661"/>
      <c r="CV72" s="3661"/>
      <c r="CW72" s="3661"/>
      <c r="CX72" s="3661"/>
      <c r="CY72" s="3661"/>
    </row>
    <row r="73" spans="4:103" s="3652" customFormat="1" ht="45" customHeight="1">
      <c r="D73" s="3653" t="s">
        <v>4061</v>
      </c>
      <c r="E73" s="3654" t="s">
        <v>4366</v>
      </c>
      <c r="F73" s="3655">
        <f t="shared" si="0"/>
        <v>0</v>
      </c>
      <c r="G73" s="3655">
        <f t="shared" ref="G73:L73" si="112">SUM(G74,G84:G90)</f>
        <v>0</v>
      </c>
      <c r="H73" s="3655">
        <f t="shared" si="112"/>
        <v>0</v>
      </c>
      <c r="I73" s="3655">
        <f t="shared" si="112"/>
        <v>0</v>
      </c>
      <c r="J73" s="3655">
        <f t="shared" si="112"/>
        <v>0</v>
      </c>
      <c r="K73" s="3655">
        <f t="shared" si="112"/>
        <v>0</v>
      </c>
      <c r="L73" s="3655">
        <f t="shared" si="112"/>
        <v>0</v>
      </c>
      <c r="M73" s="3655">
        <f t="shared" si="2"/>
        <v>0</v>
      </c>
      <c r="N73" s="3655">
        <f t="shared" ref="N73:S73" si="113">SUM(N74,N84:N90)</f>
        <v>0</v>
      </c>
      <c r="O73" s="3655">
        <f t="shared" si="113"/>
        <v>0</v>
      </c>
      <c r="P73" s="3655">
        <f t="shared" si="113"/>
        <v>0</v>
      </c>
      <c r="Q73" s="3655">
        <f t="shared" si="113"/>
        <v>0</v>
      </c>
      <c r="R73" s="3655">
        <f t="shared" si="113"/>
        <v>0</v>
      </c>
      <c r="S73" s="3655">
        <f t="shared" si="113"/>
        <v>0</v>
      </c>
      <c r="T73" s="3655">
        <f t="shared" si="4"/>
        <v>0</v>
      </c>
      <c r="U73" s="3655">
        <f t="shared" ref="U73:Z73" si="114">SUM(U74,U84:U90)</f>
        <v>0</v>
      </c>
      <c r="V73" s="3655">
        <f t="shared" si="114"/>
        <v>0</v>
      </c>
      <c r="W73" s="3655">
        <f t="shared" si="114"/>
        <v>0</v>
      </c>
      <c r="X73" s="3655">
        <f t="shared" si="114"/>
        <v>0</v>
      </c>
      <c r="Y73" s="3655">
        <f t="shared" si="114"/>
        <v>0</v>
      </c>
      <c r="Z73" s="3655">
        <f t="shared" si="114"/>
        <v>0</v>
      </c>
      <c r="AA73" s="3655">
        <f t="shared" si="6"/>
        <v>0</v>
      </c>
      <c r="AB73" s="3655">
        <f t="shared" ref="AB73:AG73" si="115">SUM(AB74,AB84:AB90)</f>
        <v>0</v>
      </c>
      <c r="AC73" s="3655">
        <f t="shared" si="115"/>
        <v>0</v>
      </c>
      <c r="AD73" s="3655">
        <f t="shared" si="115"/>
        <v>0</v>
      </c>
      <c r="AE73" s="3655">
        <f t="shared" si="115"/>
        <v>0</v>
      </c>
      <c r="AF73" s="3655">
        <f t="shared" si="115"/>
        <v>0</v>
      </c>
      <c r="AG73" s="3655">
        <f t="shared" si="115"/>
        <v>0</v>
      </c>
      <c r="AH73" s="3655">
        <f t="shared" si="8"/>
        <v>0</v>
      </c>
      <c r="AI73" s="3655">
        <f t="shared" ref="AI73:AN73" si="116">SUM(AI74,AI84:AI90)</f>
        <v>0</v>
      </c>
      <c r="AJ73" s="3655">
        <f t="shared" si="116"/>
        <v>0</v>
      </c>
      <c r="AK73" s="3655">
        <f t="shared" si="116"/>
        <v>0</v>
      </c>
      <c r="AL73" s="3655">
        <f t="shared" si="116"/>
        <v>0</v>
      </c>
      <c r="AM73" s="3655">
        <f t="shared" si="116"/>
        <v>0</v>
      </c>
      <c r="AN73" s="3655">
        <f t="shared" si="116"/>
        <v>0</v>
      </c>
      <c r="AO73" s="3655">
        <f t="shared" si="10"/>
        <v>0</v>
      </c>
      <c r="AP73" s="3655">
        <f t="shared" ref="AP73:AU73" si="117">SUM(AP74,AP84:AP90)</f>
        <v>0</v>
      </c>
      <c r="AQ73" s="3655">
        <f t="shared" si="117"/>
        <v>0</v>
      </c>
      <c r="AR73" s="3655">
        <f t="shared" si="117"/>
        <v>0</v>
      </c>
      <c r="AS73" s="3655">
        <f t="shared" si="117"/>
        <v>0</v>
      </c>
      <c r="AT73" s="3655">
        <f t="shared" si="117"/>
        <v>0</v>
      </c>
      <c r="AU73" s="3655">
        <f t="shared" si="117"/>
        <v>0</v>
      </c>
      <c r="AV73" s="3655">
        <f t="shared" si="12"/>
        <v>0</v>
      </c>
      <c r="AW73" s="3655">
        <f t="shared" ref="AW73:BB73" si="118">SUM(AW74,AW84:AW90)</f>
        <v>0</v>
      </c>
      <c r="AX73" s="3655">
        <f t="shared" si="118"/>
        <v>0</v>
      </c>
      <c r="AY73" s="3655">
        <f t="shared" si="118"/>
        <v>0</v>
      </c>
      <c r="AZ73" s="3655">
        <f t="shared" si="118"/>
        <v>0</v>
      </c>
      <c r="BA73" s="3655">
        <f t="shared" si="118"/>
        <v>0</v>
      </c>
      <c r="BB73" s="3655">
        <f t="shared" si="118"/>
        <v>0</v>
      </c>
      <c r="BC73" s="3655">
        <f t="shared" si="14"/>
        <v>0</v>
      </c>
      <c r="BD73" s="3655">
        <f t="shared" ref="BD73:BI73" si="119">SUM(BD74,BD84:BD90)</f>
        <v>0</v>
      </c>
      <c r="BE73" s="3655">
        <f t="shared" si="119"/>
        <v>0</v>
      </c>
      <c r="BF73" s="3655">
        <f t="shared" si="119"/>
        <v>0</v>
      </c>
      <c r="BG73" s="3655">
        <f t="shared" si="119"/>
        <v>0</v>
      </c>
      <c r="BH73" s="3655">
        <f t="shared" si="119"/>
        <v>0</v>
      </c>
      <c r="BI73" s="3655">
        <f t="shared" si="119"/>
        <v>0</v>
      </c>
      <c r="BJ73" s="3655">
        <f t="shared" si="16"/>
        <v>0</v>
      </c>
      <c r="BK73" s="3655">
        <f t="shared" ref="BK73:BP73" si="120">SUM(BK74,BK84:BK90)</f>
        <v>0</v>
      </c>
      <c r="BL73" s="3655">
        <f t="shared" si="120"/>
        <v>0</v>
      </c>
      <c r="BM73" s="3655">
        <f t="shared" si="120"/>
        <v>0</v>
      </c>
      <c r="BN73" s="3655">
        <f t="shared" si="120"/>
        <v>0</v>
      </c>
      <c r="BO73" s="3655">
        <f t="shared" si="120"/>
        <v>0</v>
      </c>
      <c r="BP73" s="3655">
        <f t="shared" si="120"/>
        <v>0</v>
      </c>
      <c r="BQ73" s="3655">
        <f t="shared" si="18"/>
        <v>0</v>
      </c>
      <c r="BR73" s="3655">
        <f t="shared" ref="BR73:BW73" si="121">SUM(BR74,BR84:BR90)</f>
        <v>0</v>
      </c>
      <c r="BS73" s="3655">
        <f t="shared" si="121"/>
        <v>0</v>
      </c>
      <c r="BT73" s="3655">
        <f t="shared" si="121"/>
        <v>0</v>
      </c>
      <c r="BU73" s="3655">
        <f t="shared" si="121"/>
        <v>0</v>
      </c>
      <c r="BV73" s="3655">
        <f t="shared" si="121"/>
        <v>0</v>
      </c>
      <c r="BW73" s="3655">
        <f t="shared" si="121"/>
        <v>0</v>
      </c>
      <c r="BX73" s="3655">
        <f t="shared" si="20"/>
        <v>0</v>
      </c>
      <c r="BY73" s="3655">
        <f t="shared" ref="BY73:CD73" si="122">SUM(BY74,BY84:BY90)</f>
        <v>0</v>
      </c>
      <c r="BZ73" s="3655">
        <f t="shared" si="122"/>
        <v>0</v>
      </c>
      <c r="CA73" s="3655">
        <f t="shared" si="122"/>
        <v>0</v>
      </c>
      <c r="CB73" s="3655">
        <f t="shared" si="122"/>
        <v>0</v>
      </c>
      <c r="CC73" s="3655">
        <f t="shared" si="122"/>
        <v>0</v>
      </c>
      <c r="CD73" s="3655">
        <f t="shared" si="122"/>
        <v>0</v>
      </c>
      <c r="CE73" s="3655">
        <f t="shared" si="22"/>
        <v>0</v>
      </c>
      <c r="CF73" s="3655">
        <f t="shared" ref="CF73:CK73" si="123">SUM(CF74,CF84:CF90)</f>
        <v>0</v>
      </c>
      <c r="CG73" s="3655">
        <f t="shared" si="123"/>
        <v>0</v>
      </c>
      <c r="CH73" s="3655">
        <f t="shared" si="123"/>
        <v>0</v>
      </c>
      <c r="CI73" s="3655">
        <f t="shared" si="123"/>
        <v>0</v>
      </c>
      <c r="CJ73" s="3655">
        <f t="shared" si="123"/>
        <v>0</v>
      </c>
      <c r="CK73" s="3655">
        <f t="shared" si="123"/>
        <v>0</v>
      </c>
      <c r="CL73" s="3655">
        <f t="shared" si="24"/>
        <v>0</v>
      </c>
      <c r="CM73" s="3655">
        <f t="shared" ref="CM73:CR73" si="124">SUM(CM74,CM84:CM90)</f>
        <v>0</v>
      </c>
      <c r="CN73" s="3655">
        <f t="shared" si="124"/>
        <v>0</v>
      </c>
      <c r="CO73" s="3655">
        <f t="shared" si="124"/>
        <v>0</v>
      </c>
      <c r="CP73" s="3655">
        <f t="shared" si="124"/>
        <v>0</v>
      </c>
      <c r="CQ73" s="3655">
        <f t="shared" si="124"/>
        <v>0</v>
      </c>
      <c r="CR73" s="3655">
        <f t="shared" si="124"/>
        <v>0</v>
      </c>
      <c r="CS73" s="3655">
        <f t="shared" si="26"/>
        <v>0</v>
      </c>
      <c r="CT73" s="3655">
        <f t="shared" ref="CT73:CY73" si="125">SUM(CT74,CT84:CT90)</f>
        <v>0</v>
      </c>
      <c r="CU73" s="3655">
        <f t="shared" si="125"/>
        <v>0</v>
      </c>
      <c r="CV73" s="3655">
        <f t="shared" si="125"/>
        <v>0</v>
      </c>
      <c r="CW73" s="3655">
        <f t="shared" si="125"/>
        <v>0</v>
      </c>
      <c r="CX73" s="3655">
        <f t="shared" si="125"/>
        <v>0</v>
      </c>
      <c r="CY73" s="3655">
        <f t="shared" si="125"/>
        <v>0</v>
      </c>
    </row>
    <row r="74" spans="4:103" ht="45" customHeight="1">
      <c r="D74" s="3662" t="s">
        <v>4050</v>
      </c>
      <c r="E74" s="3649" t="s">
        <v>4367</v>
      </c>
      <c r="F74" s="3658">
        <f t="shared" si="0"/>
        <v>0</v>
      </c>
      <c r="G74" s="3658">
        <f t="shared" ref="G74:L74" si="126">SUM(G75:G83)</f>
        <v>0</v>
      </c>
      <c r="H74" s="3658">
        <f t="shared" si="126"/>
        <v>0</v>
      </c>
      <c r="I74" s="3658">
        <f t="shared" si="126"/>
        <v>0</v>
      </c>
      <c r="J74" s="3658">
        <f t="shared" si="126"/>
        <v>0</v>
      </c>
      <c r="K74" s="3658">
        <f t="shared" si="126"/>
        <v>0</v>
      </c>
      <c r="L74" s="3658">
        <f t="shared" si="126"/>
        <v>0</v>
      </c>
      <c r="M74" s="3658">
        <f t="shared" si="2"/>
        <v>0</v>
      </c>
      <c r="N74" s="3658">
        <f t="shared" ref="N74:S74" si="127">SUM(N75:N83)</f>
        <v>0</v>
      </c>
      <c r="O74" s="3658">
        <f t="shared" si="127"/>
        <v>0</v>
      </c>
      <c r="P74" s="3658">
        <f t="shared" si="127"/>
        <v>0</v>
      </c>
      <c r="Q74" s="3658">
        <f t="shared" si="127"/>
        <v>0</v>
      </c>
      <c r="R74" s="3658">
        <f t="shared" si="127"/>
        <v>0</v>
      </c>
      <c r="S74" s="3658">
        <f t="shared" si="127"/>
        <v>0</v>
      </c>
      <c r="T74" s="3658">
        <f t="shared" si="4"/>
        <v>0</v>
      </c>
      <c r="U74" s="3658">
        <f t="shared" ref="U74:Z74" si="128">SUM(U75:U83)</f>
        <v>0</v>
      </c>
      <c r="V74" s="3658">
        <f t="shared" si="128"/>
        <v>0</v>
      </c>
      <c r="W74" s="3658">
        <f t="shared" si="128"/>
        <v>0</v>
      </c>
      <c r="X74" s="3658">
        <f t="shared" si="128"/>
        <v>0</v>
      </c>
      <c r="Y74" s="3658">
        <f t="shared" si="128"/>
        <v>0</v>
      </c>
      <c r="Z74" s="3658">
        <f t="shared" si="128"/>
        <v>0</v>
      </c>
      <c r="AA74" s="3658">
        <f t="shared" si="6"/>
        <v>0</v>
      </c>
      <c r="AB74" s="3658">
        <f t="shared" ref="AB74:AG74" si="129">SUM(AB75:AB83)</f>
        <v>0</v>
      </c>
      <c r="AC74" s="3658">
        <f t="shared" si="129"/>
        <v>0</v>
      </c>
      <c r="AD74" s="3658">
        <f t="shared" si="129"/>
        <v>0</v>
      </c>
      <c r="AE74" s="3658">
        <f t="shared" si="129"/>
        <v>0</v>
      </c>
      <c r="AF74" s="3658">
        <f t="shared" si="129"/>
        <v>0</v>
      </c>
      <c r="AG74" s="3658">
        <f t="shared" si="129"/>
        <v>0</v>
      </c>
      <c r="AH74" s="3658">
        <f t="shared" si="8"/>
        <v>0</v>
      </c>
      <c r="AI74" s="3658">
        <f t="shared" ref="AI74:AN74" si="130">SUM(AI75:AI83)</f>
        <v>0</v>
      </c>
      <c r="AJ74" s="3658">
        <f t="shared" si="130"/>
        <v>0</v>
      </c>
      <c r="AK74" s="3658">
        <f t="shared" si="130"/>
        <v>0</v>
      </c>
      <c r="AL74" s="3658">
        <f t="shared" si="130"/>
        <v>0</v>
      </c>
      <c r="AM74" s="3658">
        <f t="shared" si="130"/>
        <v>0</v>
      </c>
      <c r="AN74" s="3658">
        <f t="shared" si="130"/>
        <v>0</v>
      </c>
      <c r="AO74" s="3658">
        <f t="shared" si="10"/>
        <v>0</v>
      </c>
      <c r="AP74" s="3658">
        <f t="shared" ref="AP74:AU74" si="131">SUM(AP75:AP83)</f>
        <v>0</v>
      </c>
      <c r="AQ74" s="3658">
        <f t="shared" si="131"/>
        <v>0</v>
      </c>
      <c r="AR74" s="3658">
        <f t="shared" si="131"/>
        <v>0</v>
      </c>
      <c r="AS74" s="3658">
        <f t="shared" si="131"/>
        <v>0</v>
      </c>
      <c r="AT74" s="3658">
        <f t="shared" si="131"/>
        <v>0</v>
      </c>
      <c r="AU74" s="3658">
        <f t="shared" si="131"/>
        <v>0</v>
      </c>
      <c r="AV74" s="3658">
        <f t="shared" si="12"/>
        <v>0</v>
      </c>
      <c r="AW74" s="3658">
        <f t="shared" ref="AW74:BB74" si="132">SUM(AW75:AW83)</f>
        <v>0</v>
      </c>
      <c r="AX74" s="3658">
        <f t="shared" si="132"/>
        <v>0</v>
      </c>
      <c r="AY74" s="3658">
        <f t="shared" si="132"/>
        <v>0</v>
      </c>
      <c r="AZ74" s="3658">
        <f t="shared" si="132"/>
        <v>0</v>
      </c>
      <c r="BA74" s="3658">
        <f t="shared" si="132"/>
        <v>0</v>
      </c>
      <c r="BB74" s="3658">
        <f t="shared" si="132"/>
        <v>0</v>
      </c>
      <c r="BC74" s="3658">
        <f t="shared" si="14"/>
        <v>0</v>
      </c>
      <c r="BD74" s="3658">
        <f t="shared" ref="BD74:BI74" si="133">SUM(BD75:BD83)</f>
        <v>0</v>
      </c>
      <c r="BE74" s="3658">
        <f t="shared" si="133"/>
        <v>0</v>
      </c>
      <c r="BF74" s="3658">
        <f t="shared" si="133"/>
        <v>0</v>
      </c>
      <c r="BG74" s="3658">
        <f t="shared" si="133"/>
        <v>0</v>
      </c>
      <c r="BH74" s="3658">
        <f t="shared" si="133"/>
        <v>0</v>
      </c>
      <c r="BI74" s="3658">
        <f t="shared" si="133"/>
        <v>0</v>
      </c>
      <c r="BJ74" s="3658">
        <f t="shared" si="16"/>
        <v>0</v>
      </c>
      <c r="BK74" s="3658">
        <f t="shared" ref="BK74:BP74" si="134">SUM(BK75:BK83)</f>
        <v>0</v>
      </c>
      <c r="BL74" s="3658">
        <f t="shared" si="134"/>
        <v>0</v>
      </c>
      <c r="BM74" s="3658">
        <f t="shared" si="134"/>
        <v>0</v>
      </c>
      <c r="BN74" s="3658">
        <f t="shared" si="134"/>
        <v>0</v>
      </c>
      <c r="BO74" s="3658">
        <f t="shared" si="134"/>
        <v>0</v>
      </c>
      <c r="BP74" s="3658">
        <f t="shared" si="134"/>
        <v>0</v>
      </c>
      <c r="BQ74" s="3658">
        <f t="shared" si="18"/>
        <v>0</v>
      </c>
      <c r="BR74" s="3658">
        <f t="shared" ref="BR74:BW74" si="135">SUM(BR75:BR83)</f>
        <v>0</v>
      </c>
      <c r="BS74" s="3658">
        <f t="shared" si="135"/>
        <v>0</v>
      </c>
      <c r="BT74" s="3658">
        <f t="shared" si="135"/>
        <v>0</v>
      </c>
      <c r="BU74" s="3658">
        <f t="shared" si="135"/>
        <v>0</v>
      </c>
      <c r="BV74" s="3658">
        <f t="shared" si="135"/>
        <v>0</v>
      </c>
      <c r="BW74" s="3658">
        <f t="shared" si="135"/>
        <v>0</v>
      </c>
      <c r="BX74" s="3658">
        <f t="shared" si="20"/>
        <v>0</v>
      </c>
      <c r="BY74" s="3658">
        <f t="shared" ref="BY74:CD74" si="136">SUM(BY75:BY83)</f>
        <v>0</v>
      </c>
      <c r="BZ74" s="3658">
        <f t="shared" si="136"/>
        <v>0</v>
      </c>
      <c r="CA74" s="3658">
        <f t="shared" si="136"/>
        <v>0</v>
      </c>
      <c r="CB74" s="3658">
        <f t="shared" si="136"/>
        <v>0</v>
      </c>
      <c r="CC74" s="3658">
        <f t="shared" si="136"/>
        <v>0</v>
      </c>
      <c r="CD74" s="3658">
        <f t="shared" si="136"/>
        <v>0</v>
      </c>
      <c r="CE74" s="3658">
        <f t="shared" si="22"/>
        <v>0</v>
      </c>
      <c r="CF74" s="3658">
        <f t="shared" ref="CF74:CK74" si="137">SUM(CF75:CF83)</f>
        <v>0</v>
      </c>
      <c r="CG74" s="3658">
        <f t="shared" si="137"/>
        <v>0</v>
      </c>
      <c r="CH74" s="3658">
        <f t="shared" si="137"/>
        <v>0</v>
      </c>
      <c r="CI74" s="3658">
        <f t="shared" si="137"/>
        <v>0</v>
      </c>
      <c r="CJ74" s="3658">
        <f t="shared" si="137"/>
        <v>0</v>
      </c>
      <c r="CK74" s="3658">
        <f t="shared" si="137"/>
        <v>0</v>
      </c>
      <c r="CL74" s="3658">
        <f t="shared" si="24"/>
        <v>0</v>
      </c>
      <c r="CM74" s="3658">
        <f t="shared" ref="CM74:CR74" si="138">SUM(CM75:CM83)</f>
        <v>0</v>
      </c>
      <c r="CN74" s="3658">
        <f t="shared" si="138"/>
        <v>0</v>
      </c>
      <c r="CO74" s="3658">
        <f t="shared" si="138"/>
        <v>0</v>
      </c>
      <c r="CP74" s="3658">
        <f t="shared" si="138"/>
        <v>0</v>
      </c>
      <c r="CQ74" s="3658">
        <f t="shared" si="138"/>
        <v>0</v>
      </c>
      <c r="CR74" s="3658">
        <f t="shared" si="138"/>
        <v>0</v>
      </c>
      <c r="CS74" s="3658">
        <f t="shared" si="26"/>
        <v>0</v>
      </c>
      <c r="CT74" s="3658">
        <f t="shared" ref="CT74:CY74" si="139">SUM(CT75:CT83)</f>
        <v>0</v>
      </c>
      <c r="CU74" s="3658">
        <f t="shared" si="139"/>
        <v>0</v>
      </c>
      <c r="CV74" s="3658">
        <f t="shared" si="139"/>
        <v>0</v>
      </c>
      <c r="CW74" s="3658">
        <f t="shared" si="139"/>
        <v>0</v>
      </c>
      <c r="CX74" s="3658">
        <f t="shared" si="139"/>
        <v>0</v>
      </c>
      <c r="CY74" s="3658">
        <f t="shared" si="139"/>
        <v>0</v>
      </c>
    </row>
    <row r="75" spans="4:103" ht="12" customHeight="1">
      <c r="D75" s="3659" t="s">
        <v>4304</v>
      </c>
      <c r="E75" s="3649" t="s">
        <v>4368</v>
      </c>
      <c r="F75" s="3658">
        <f t="shared" si="0"/>
        <v>0</v>
      </c>
      <c r="G75" s="3661"/>
      <c r="H75" s="3661"/>
      <c r="I75" s="3661"/>
      <c r="J75" s="3661"/>
      <c r="K75" s="3661"/>
      <c r="L75" s="3661"/>
      <c r="M75" s="3658">
        <f t="shared" si="2"/>
        <v>0</v>
      </c>
      <c r="N75" s="3661"/>
      <c r="O75" s="3661"/>
      <c r="P75" s="3661"/>
      <c r="Q75" s="3661"/>
      <c r="R75" s="3661"/>
      <c r="S75" s="3661"/>
      <c r="T75" s="3658">
        <f t="shared" si="4"/>
        <v>0</v>
      </c>
      <c r="U75" s="3661"/>
      <c r="V75" s="3661"/>
      <c r="W75" s="3661"/>
      <c r="X75" s="3661"/>
      <c r="Y75" s="3661"/>
      <c r="Z75" s="3661"/>
      <c r="AA75" s="3658">
        <f t="shared" si="6"/>
        <v>0</v>
      </c>
      <c r="AB75" s="3661"/>
      <c r="AC75" s="3661"/>
      <c r="AD75" s="3661"/>
      <c r="AE75" s="3661"/>
      <c r="AF75" s="3661"/>
      <c r="AG75" s="3661"/>
      <c r="AH75" s="3658">
        <f t="shared" si="8"/>
        <v>0</v>
      </c>
      <c r="AI75" s="3661"/>
      <c r="AJ75" s="3661"/>
      <c r="AK75" s="3661"/>
      <c r="AL75" s="3661"/>
      <c r="AM75" s="3661"/>
      <c r="AN75" s="3661"/>
      <c r="AO75" s="3658">
        <f t="shared" si="10"/>
        <v>0</v>
      </c>
      <c r="AP75" s="3661"/>
      <c r="AQ75" s="3661"/>
      <c r="AR75" s="3661"/>
      <c r="AS75" s="3661"/>
      <c r="AT75" s="3661"/>
      <c r="AU75" s="3661"/>
      <c r="AV75" s="3658">
        <f t="shared" si="12"/>
        <v>0</v>
      </c>
      <c r="AW75" s="3661"/>
      <c r="AX75" s="3661"/>
      <c r="AY75" s="3661"/>
      <c r="AZ75" s="3661"/>
      <c r="BA75" s="3661"/>
      <c r="BB75" s="3661"/>
      <c r="BC75" s="3658">
        <f t="shared" si="14"/>
        <v>0</v>
      </c>
      <c r="BD75" s="3661"/>
      <c r="BE75" s="3661"/>
      <c r="BF75" s="3661"/>
      <c r="BG75" s="3661"/>
      <c r="BH75" s="3661"/>
      <c r="BI75" s="3661"/>
      <c r="BJ75" s="3658">
        <f t="shared" si="16"/>
        <v>0</v>
      </c>
      <c r="BK75" s="3661"/>
      <c r="BL75" s="3661"/>
      <c r="BM75" s="3661"/>
      <c r="BN75" s="3661"/>
      <c r="BO75" s="3661"/>
      <c r="BP75" s="3661"/>
      <c r="BQ75" s="3658">
        <f t="shared" si="18"/>
        <v>0</v>
      </c>
      <c r="BR75" s="3661"/>
      <c r="BS75" s="3661"/>
      <c r="BT75" s="3661"/>
      <c r="BU75" s="3661"/>
      <c r="BV75" s="3661"/>
      <c r="BW75" s="3661"/>
      <c r="BX75" s="3658">
        <f t="shared" si="20"/>
        <v>0</v>
      </c>
      <c r="BY75" s="3661"/>
      <c r="BZ75" s="3661"/>
      <c r="CA75" s="3661"/>
      <c r="CB75" s="3661"/>
      <c r="CC75" s="3661"/>
      <c r="CD75" s="3661"/>
      <c r="CE75" s="3658">
        <f t="shared" si="22"/>
        <v>0</v>
      </c>
      <c r="CF75" s="3661"/>
      <c r="CG75" s="3661"/>
      <c r="CH75" s="3661"/>
      <c r="CI75" s="3661"/>
      <c r="CJ75" s="3661"/>
      <c r="CK75" s="3661"/>
      <c r="CL75" s="3658">
        <f t="shared" si="24"/>
        <v>0</v>
      </c>
      <c r="CM75" s="3661"/>
      <c r="CN75" s="3661"/>
      <c r="CO75" s="3661"/>
      <c r="CP75" s="3661"/>
      <c r="CQ75" s="3661"/>
      <c r="CR75" s="3661"/>
      <c r="CS75" s="3658">
        <f t="shared" si="26"/>
        <v>0</v>
      </c>
      <c r="CT75" s="3661"/>
      <c r="CU75" s="3661"/>
      <c r="CV75" s="3661"/>
      <c r="CW75" s="3661"/>
      <c r="CX75" s="3661"/>
      <c r="CY75" s="3661"/>
    </row>
    <row r="76" spans="4:103" ht="12" customHeight="1">
      <c r="D76" s="3659" t="s">
        <v>4306</v>
      </c>
      <c r="E76" s="3649" t="s">
        <v>4369</v>
      </c>
      <c r="F76" s="3658">
        <f t="shared" si="0"/>
        <v>0</v>
      </c>
      <c r="G76" s="3661"/>
      <c r="H76" s="3661"/>
      <c r="I76" s="3661"/>
      <c r="J76" s="3661"/>
      <c r="K76" s="3661"/>
      <c r="L76" s="3661"/>
      <c r="M76" s="3658">
        <f t="shared" si="2"/>
        <v>0</v>
      </c>
      <c r="N76" s="3661"/>
      <c r="O76" s="3661"/>
      <c r="P76" s="3661"/>
      <c r="Q76" s="3661"/>
      <c r="R76" s="3661"/>
      <c r="S76" s="3661"/>
      <c r="T76" s="3658">
        <f t="shared" si="4"/>
        <v>0</v>
      </c>
      <c r="U76" s="3661"/>
      <c r="V76" s="3661"/>
      <c r="W76" s="3661"/>
      <c r="X76" s="3661"/>
      <c r="Y76" s="3661"/>
      <c r="Z76" s="3661"/>
      <c r="AA76" s="3658">
        <f t="shared" si="6"/>
        <v>0</v>
      </c>
      <c r="AB76" s="3661"/>
      <c r="AC76" s="3661"/>
      <c r="AD76" s="3661"/>
      <c r="AE76" s="3661"/>
      <c r="AF76" s="3661"/>
      <c r="AG76" s="3661"/>
      <c r="AH76" s="3658">
        <f t="shared" si="8"/>
        <v>0</v>
      </c>
      <c r="AI76" s="3661"/>
      <c r="AJ76" s="3661"/>
      <c r="AK76" s="3661"/>
      <c r="AL76" s="3661"/>
      <c r="AM76" s="3661"/>
      <c r="AN76" s="3661"/>
      <c r="AO76" s="3658">
        <f t="shared" si="10"/>
        <v>0</v>
      </c>
      <c r="AP76" s="3661"/>
      <c r="AQ76" s="3661"/>
      <c r="AR76" s="3661"/>
      <c r="AS76" s="3661"/>
      <c r="AT76" s="3661"/>
      <c r="AU76" s="3661"/>
      <c r="AV76" s="3658">
        <f t="shared" si="12"/>
        <v>0</v>
      </c>
      <c r="AW76" s="3661"/>
      <c r="AX76" s="3661"/>
      <c r="AY76" s="3661"/>
      <c r="AZ76" s="3661"/>
      <c r="BA76" s="3661"/>
      <c r="BB76" s="3661"/>
      <c r="BC76" s="3658">
        <f t="shared" si="14"/>
        <v>0</v>
      </c>
      <c r="BD76" s="3661"/>
      <c r="BE76" s="3661"/>
      <c r="BF76" s="3661"/>
      <c r="BG76" s="3661"/>
      <c r="BH76" s="3661"/>
      <c r="BI76" s="3661"/>
      <c r="BJ76" s="3658">
        <f t="shared" si="16"/>
        <v>0</v>
      </c>
      <c r="BK76" s="3661"/>
      <c r="BL76" s="3661"/>
      <c r="BM76" s="3661"/>
      <c r="BN76" s="3661"/>
      <c r="BO76" s="3661"/>
      <c r="BP76" s="3661"/>
      <c r="BQ76" s="3658">
        <f t="shared" si="18"/>
        <v>0</v>
      </c>
      <c r="BR76" s="3661"/>
      <c r="BS76" s="3661"/>
      <c r="BT76" s="3661"/>
      <c r="BU76" s="3661"/>
      <c r="BV76" s="3661"/>
      <c r="BW76" s="3661"/>
      <c r="BX76" s="3658">
        <f t="shared" si="20"/>
        <v>0</v>
      </c>
      <c r="BY76" s="3661"/>
      <c r="BZ76" s="3661"/>
      <c r="CA76" s="3661"/>
      <c r="CB76" s="3661"/>
      <c r="CC76" s="3661"/>
      <c r="CD76" s="3661"/>
      <c r="CE76" s="3658">
        <f t="shared" si="22"/>
        <v>0</v>
      </c>
      <c r="CF76" s="3661"/>
      <c r="CG76" s="3661"/>
      <c r="CH76" s="3661"/>
      <c r="CI76" s="3661"/>
      <c r="CJ76" s="3661"/>
      <c r="CK76" s="3661"/>
      <c r="CL76" s="3658">
        <f t="shared" si="24"/>
        <v>0</v>
      </c>
      <c r="CM76" s="3661"/>
      <c r="CN76" s="3661"/>
      <c r="CO76" s="3661"/>
      <c r="CP76" s="3661"/>
      <c r="CQ76" s="3661"/>
      <c r="CR76" s="3661"/>
      <c r="CS76" s="3658">
        <f t="shared" si="26"/>
        <v>0</v>
      </c>
      <c r="CT76" s="3661"/>
      <c r="CU76" s="3661"/>
      <c r="CV76" s="3661"/>
      <c r="CW76" s="3661"/>
      <c r="CX76" s="3661"/>
      <c r="CY76" s="3661"/>
    </row>
    <row r="77" spans="4:103" ht="12" customHeight="1">
      <c r="D77" s="3659" t="s">
        <v>4308</v>
      </c>
      <c r="E77" s="3649" t="s">
        <v>4370</v>
      </c>
      <c r="F77" s="3658">
        <f t="shared" si="0"/>
        <v>0</v>
      </c>
      <c r="G77" s="3661"/>
      <c r="H77" s="3661"/>
      <c r="I77" s="3661"/>
      <c r="J77" s="3661"/>
      <c r="K77" s="3661"/>
      <c r="L77" s="3661"/>
      <c r="M77" s="3658">
        <f t="shared" si="2"/>
        <v>0</v>
      </c>
      <c r="N77" s="3661"/>
      <c r="O77" s="3661"/>
      <c r="P77" s="3661"/>
      <c r="Q77" s="3661"/>
      <c r="R77" s="3661"/>
      <c r="S77" s="3661"/>
      <c r="T77" s="3658">
        <f t="shared" si="4"/>
        <v>0</v>
      </c>
      <c r="U77" s="3661"/>
      <c r="V77" s="3661"/>
      <c r="W77" s="3661"/>
      <c r="X77" s="3661"/>
      <c r="Y77" s="3661"/>
      <c r="Z77" s="3661"/>
      <c r="AA77" s="3658">
        <f t="shared" si="6"/>
        <v>0</v>
      </c>
      <c r="AB77" s="3661"/>
      <c r="AC77" s="3661"/>
      <c r="AD77" s="3661"/>
      <c r="AE77" s="3661"/>
      <c r="AF77" s="3661"/>
      <c r="AG77" s="3661"/>
      <c r="AH77" s="3658">
        <f t="shared" si="8"/>
        <v>0</v>
      </c>
      <c r="AI77" s="3661"/>
      <c r="AJ77" s="3661"/>
      <c r="AK77" s="3661"/>
      <c r="AL77" s="3661"/>
      <c r="AM77" s="3661"/>
      <c r="AN77" s="3661"/>
      <c r="AO77" s="3658">
        <f t="shared" si="10"/>
        <v>0</v>
      </c>
      <c r="AP77" s="3661"/>
      <c r="AQ77" s="3661"/>
      <c r="AR77" s="3661"/>
      <c r="AS77" s="3661"/>
      <c r="AT77" s="3661"/>
      <c r="AU77" s="3661"/>
      <c r="AV77" s="3658">
        <f t="shared" si="12"/>
        <v>0</v>
      </c>
      <c r="AW77" s="3661"/>
      <c r="AX77" s="3661"/>
      <c r="AY77" s="3661"/>
      <c r="AZ77" s="3661"/>
      <c r="BA77" s="3661"/>
      <c r="BB77" s="3661"/>
      <c r="BC77" s="3658">
        <f t="shared" si="14"/>
        <v>0</v>
      </c>
      <c r="BD77" s="3661"/>
      <c r="BE77" s="3661"/>
      <c r="BF77" s="3661"/>
      <c r="BG77" s="3661"/>
      <c r="BH77" s="3661"/>
      <c r="BI77" s="3661"/>
      <c r="BJ77" s="3658">
        <f t="shared" si="16"/>
        <v>0</v>
      </c>
      <c r="BK77" s="3661"/>
      <c r="BL77" s="3661"/>
      <c r="BM77" s="3661"/>
      <c r="BN77" s="3661"/>
      <c r="BO77" s="3661"/>
      <c r="BP77" s="3661"/>
      <c r="BQ77" s="3658">
        <f t="shared" si="18"/>
        <v>0</v>
      </c>
      <c r="BR77" s="3661"/>
      <c r="BS77" s="3661"/>
      <c r="BT77" s="3661"/>
      <c r="BU77" s="3661"/>
      <c r="BV77" s="3661"/>
      <c r="BW77" s="3661"/>
      <c r="BX77" s="3658">
        <f t="shared" si="20"/>
        <v>0</v>
      </c>
      <c r="BY77" s="3661"/>
      <c r="BZ77" s="3661"/>
      <c r="CA77" s="3661"/>
      <c r="CB77" s="3661"/>
      <c r="CC77" s="3661"/>
      <c r="CD77" s="3661"/>
      <c r="CE77" s="3658">
        <f t="shared" si="22"/>
        <v>0</v>
      </c>
      <c r="CF77" s="3661"/>
      <c r="CG77" s="3661"/>
      <c r="CH77" s="3661"/>
      <c r="CI77" s="3661"/>
      <c r="CJ77" s="3661"/>
      <c r="CK77" s="3661"/>
      <c r="CL77" s="3658">
        <f t="shared" si="24"/>
        <v>0</v>
      </c>
      <c r="CM77" s="3661"/>
      <c r="CN77" s="3661"/>
      <c r="CO77" s="3661"/>
      <c r="CP77" s="3661"/>
      <c r="CQ77" s="3661"/>
      <c r="CR77" s="3661"/>
      <c r="CS77" s="3658">
        <f t="shared" si="26"/>
        <v>0</v>
      </c>
      <c r="CT77" s="3661"/>
      <c r="CU77" s="3661"/>
      <c r="CV77" s="3661"/>
      <c r="CW77" s="3661"/>
      <c r="CX77" s="3661"/>
      <c r="CY77" s="3661"/>
    </row>
    <row r="78" spans="4:103" ht="12" customHeight="1">
      <c r="D78" s="3659" t="s">
        <v>4310</v>
      </c>
      <c r="E78" s="3649" t="s">
        <v>4371</v>
      </c>
      <c r="F78" s="3658">
        <f t="shared" si="0"/>
        <v>0</v>
      </c>
      <c r="G78" s="3661"/>
      <c r="H78" s="3661"/>
      <c r="I78" s="3661"/>
      <c r="J78" s="3661"/>
      <c r="K78" s="3661"/>
      <c r="L78" s="3661"/>
      <c r="M78" s="3658">
        <f t="shared" si="2"/>
        <v>0</v>
      </c>
      <c r="N78" s="3661"/>
      <c r="O78" s="3661"/>
      <c r="P78" s="3661"/>
      <c r="Q78" s="3661"/>
      <c r="R78" s="3661"/>
      <c r="S78" s="3661"/>
      <c r="T78" s="3658">
        <f t="shared" si="4"/>
        <v>0</v>
      </c>
      <c r="U78" s="3661"/>
      <c r="V78" s="3661"/>
      <c r="W78" s="3661"/>
      <c r="X78" s="3661"/>
      <c r="Y78" s="3661"/>
      <c r="Z78" s="3661"/>
      <c r="AA78" s="3658">
        <f t="shared" si="6"/>
        <v>0</v>
      </c>
      <c r="AB78" s="3661"/>
      <c r="AC78" s="3661"/>
      <c r="AD78" s="3661"/>
      <c r="AE78" s="3661"/>
      <c r="AF78" s="3661"/>
      <c r="AG78" s="3661"/>
      <c r="AH78" s="3658">
        <f t="shared" si="8"/>
        <v>0</v>
      </c>
      <c r="AI78" s="3661"/>
      <c r="AJ78" s="3661"/>
      <c r="AK78" s="3661"/>
      <c r="AL78" s="3661"/>
      <c r="AM78" s="3661"/>
      <c r="AN78" s="3661"/>
      <c r="AO78" s="3658">
        <f t="shared" si="10"/>
        <v>0</v>
      </c>
      <c r="AP78" s="3661"/>
      <c r="AQ78" s="3661"/>
      <c r="AR78" s="3661"/>
      <c r="AS78" s="3661"/>
      <c r="AT78" s="3661"/>
      <c r="AU78" s="3661"/>
      <c r="AV78" s="3658">
        <f t="shared" si="12"/>
        <v>0</v>
      </c>
      <c r="AW78" s="3661"/>
      <c r="AX78" s="3661"/>
      <c r="AY78" s="3661"/>
      <c r="AZ78" s="3661"/>
      <c r="BA78" s="3661"/>
      <c r="BB78" s="3661"/>
      <c r="BC78" s="3658">
        <f t="shared" si="14"/>
        <v>0</v>
      </c>
      <c r="BD78" s="3661"/>
      <c r="BE78" s="3661"/>
      <c r="BF78" s="3661"/>
      <c r="BG78" s="3661"/>
      <c r="BH78" s="3661"/>
      <c r="BI78" s="3661"/>
      <c r="BJ78" s="3658">
        <f t="shared" si="16"/>
        <v>0</v>
      </c>
      <c r="BK78" s="3661"/>
      <c r="BL78" s="3661"/>
      <c r="BM78" s="3661"/>
      <c r="BN78" s="3661"/>
      <c r="BO78" s="3661"/>
      <c r="BP78" s="3661"/>
      <c r="BQ78" s="3658">
        <f t="shared" si="18"/>
        <v>0</v>
      </c>
      <c r="BR78" s="3661"/>
      <c r="BS78" s="3661"/>
      <c r="BT78" s="3661"/>
      <c r="BU78" s="3661"/>
      <c r="BV78" s="3661"/>
      <c r="BW78" s="3661"/>
      <c r="BX78" s="3658">
        <f t="shared" si="20"/>
        <v>0</v>
      </c>
      <c r="BY78" s="3661"/>
      <c r="BZ78" s="3661"/>
      <c r="CA78" s="3661"/>
      <c r="CB78" s="3661"/>
      <c r="CC78" s="3661"/>
      <c r="CD78" s="3661"/>
      <c r="CE78" s="3658">
        <f t="shared" si="22"/>
        <v>0</v>
      </c>
      <c r="CF78" s="3661"/>
      <c r="CG78" s="3661"/>
      <c r="CH78" s="3661"/>
      <c r="CI78" s="3661"/>
      <c r="CJ78" s="3661"/>
      <c r="CK78" s="3661"/>
      <c r="CL78" s="3658">
        <f t="shared" si="24"/>
        <v>0</v>
      </c>
      <c r="CM78" s="3661"/>
      <c r="CN78" s="3661"/>
      <c r="CO78" s="3661"/>
      <c r="CP78" s="3661"/>
      <c r="CQ78" s="3661"/>
      <c r="CR78" s="3661"/>
      <c r="CS78" s="3658">
        <f t="shared" si="26"/>
        <v>0</v>
      </c>
      <c r="CT78" s="3661"/>
      <c r="CU78" s="3661"/>
      <c r="CV78" s="3661"/>
      <c r="CW78" s="3661"/>
      <c r="CX78" s="3661"/>
      <c r="CY78" s="3661"/>
    </row>
    <row r="79" spans="4:103" ht="12" customHeight="1">
      <c r="D79" s="3659" t="s">
        <v>4312</v>
      </c>
      <c r="E79" s="3649" t="s">
        <v>4372</v>
      </c>
      <c r="F79" s="3658">
        <f t="shared" si="0"/>
        <v>0</v>
      </c>
      <c r="G79" s="3661"/>
      <c r="H79" s="3661"/>
      <c r="I79" s="3661"/>
      <c r="J79" s="3661"/>
      <c r="K79" s="3661"/>
      <c r="L79" s="3661"/>
      <c r="M79" s="3658">
        <f t="shared" si="2"/>
        <v>0</v>
      </c>
      <c r="N79" s="3661"/>
      <c r="O79" s="3661"/>
      <c r="P79" s="3661"/>
      <c r="Q79" s="3661"/>
      <c r="R79" s="3661"/>
      <c r="S79" s="3661"/>
      <c r="T79" s="3658">
        <f t="shared" si="4"/>
        <v>0</v>
      </c>
      <c r="U79" s="3661"/>
      <c r="V79" s="3661"/>
      <c r="W79" s="3661"/>
      <c r="X79" s="3661"/>
      <c r="Y79" s="3661"/>
      <c r="Z79" s="3661"/>
      <c r="AA79" s="3658">
        <f t="shared" si="6"/>
        <v>0</v>
      </c>
      <c r="AB79" s="3661"/>
      <c r="AC79" s="3661"/>
      <c r="AD79" s="3661"/>
      <c r="AE79" s="3661"/>
      <c r="AF79" s="3661"/>
      <c r="AG79" s="3661"/>
      <c r="AH79" s="3658">
        <f t="shared" si="8"/>
        <v>0</v>
      </c>
      <c r="AI79" s="3661"/>
      <c r="AJ79" s="3661"/>
      <c r="AK79" s="3661"/>
      <c r="AL79" s="3661"/>
      <c r="AM79" s="3661"/>
      <c r="AN79" s="3661"/>
      <c r="AO79" s="3658">
        <f t="shared" si="10"/>
        <v>0</v>
      </c>
      <c r="AP79" s="3661"/>
      <c r="AQ79" s="3661"/>
      <c r="AR79" s="3661"/>
      <c r="AS79" s="3661"/>
      <c r="AT79" s="3661"/>
      <c r="AU79" s="3661"/>
      <c r="AV79" s="3658">
        <f t="shared" si="12"/>
        <v>0</v>
      </c>
      <c r="AW79" s="3661"/>
      <c r="AX79" s="3661"/>
      <c r="AY79" s="3661"/>
      <c r="AZ79" s="3661"/>
      <c r="BA79" s="3661"/>
      <c r="BB79" s="3661"/>
      <c r="BC79" s="3658">
        <f t="shared" si="14"/>
        <v>0</v>
      </c>
      <c r="BD79" s="3661"/>
      <c r="BE79" s="3661"/>
      <c r="BF79" s="3661"/>
      <c r="BG79" s="3661"/>
      <c r="BH79" s="3661"/>
      <c r="BI79" s="3661"/>
      <c r="BJ79" s="3658">
        <f t="shared" si="16"/>
        <v>0</v>
      </c>
      <c r="BK79" s="3661"/>
      <c r="BL79" s="3661"/>
      <c r="BM79" s="3661"/>
      <c r="BN79" s="3661"/>
      <c r="BO79" s="3661"/>
      <c r="BP79" s="3661"/>
      <c r="BQ79" s="3658">
        <f t="shared" si="18"/>
        <v>0</v>
      </c>
      <c r="BR79" s="3661"/>
      <c r="BS79" s="3661"/>
      <c r="BT79" s="3661"/>
      <c r="BU79" s="3661"/>
      <c r="BV79" s="3661"/>
      <c r="BW79" s="3661"/>
      <c r="BX79" s="3658">
        <f t="shared" si="20"/>
        <v>0</v>
      </c>
      <c r="BY79" s="3661"/>
      <c r="BZ79" s="3661"/>
      <c r="CA79" s="3661"/>
      <c r="CB79" s="3661"/>
      <c r="CC79" s="3661"/>
      <c r="CD79" s="3661"/>
      <c r="CE79" s="3658">
        <f t="shared" si="22"/>
        <v>0</v>
      </c>
      <c r="CF79" s="3661"/>
      <c r="CG79" s="3661"/>
      <c r="CH79" s="3661"/>
      <c r="CI79" s="3661"/>
      <c r="CJ79" s="3661"/>
      <c r="CK79" s="3661"/>
      <c r="CL79" s="3658">
        <f t="shared" si="24"/>
        <v>0</v>
      </c>
      <c r="CM79" s="3661"/>
      <c r="CN79" s="3661"/>
      <c r="CO79" s="3661"/>
      <c r="CP79" s="3661"/>
      <c r="CQ79" s="3661"/>
      <c r="CR79" s="3661"/>
      <c r="CS79" s="3658">
        <f t="shared" si="26"/>
        <v>0</v>
      </c>
      <c r="CT79" s="3661"/>
      <c r="CU79" s="3661"/>
      <c r="CV79" s="3661"/>
      <c r="CW79" s="3661"/>
      <c r="CX79" s="3661"/>
      <c r="CY79" s="3661"/>
    </row>
    <row r="80" spans="4:103" ht="12" customHeight="1">
      <c r="D80" s="3659" t="s">
        <v>4314</v>
      </c>
      <c r="E80" s="3649" t="s">
        <v>4373</v>
      </c>
      <c r="F80" s="3658">
        <f t="shared" si="0"/>
        <v>0</v>
      </c>
      <c r="G80" s="3661"/>
      <c r="H80" s="3661"/>
      <c r="I80" s="3661"/>
      <c r="J80" s="3661"/>
      <c r="K80" s="3661"/>
      <c r="L80" s="3661"/>
      <c r="M80" s="3658">
        <f t="shared" si="2"/>
        <v>0</v>
      </c>
      <c r="N80" s="3661"/>
      <c r="O80" s="3661"/>
      <c r="P80" s="3661"/>
      <c r="Q80" s="3661"/>
      <c r="R80" s="3661"/>
      <c r="S80" s="3661"/>
      <c r="T80" s="3658">
        <f t="shared" si="4"/>
        <v>0</v>
      </c>
      <c r="U80" s="3661"/>
      <c r="V80" s="3661"/>
      <c r="W80" s="3661"/>
      <c r="X80" s="3661"/>
      <c r="Y80" s="3661"/>
      <c r="Z80" s="3661"/>
      <c r="AA80" s="3658">
        <f t="shared" si="6"/>
        <v>0</v>
      </c>
      <c r="AB80" s="3661"/>
      <c r="AC80" s="3661"/>
      <c r="AD80" s="3661"/>
      <c r="AE80" s="3661"/>
      <c r="AF80" s="3661"/>
      <c r="AG80" s="3661"/>
      <c r="AH80" s="3658">
        <f t="shared" si="8"/>
        <v>0</v>
      </c>
      <c r="AI80" s="3661"/>
      <c r="AJ80" s="3661"/>
      <c r="AK80" s="3661"/>
      <c r="AL80" s="3661"/>
      <c r="AM80" s="3661"/>
      <c r="AN80" s="3661"/>
      <c r="AO80" s="3658">
        <f t="shared" si="10"/>
        <v>0</v>
      </c>
      <c r="AP80" s="3661"/>
      <c r="AQ80" s="3661"/>
      <c r="AR80" s="3661"/>
      <c r="AS80" s="3661"/>
      <c r="AT80" s="3661"/>
      <c r="AU80" s="3661"/>
      <c r="AV80" s="3658">
        <f t="shared" si="12"/>
        <v>0</v>
      </c>
      <c r="AW80" s="3661"/>
      <c r="AX80" s="3661"/>
      <c r="AY80" s="3661"/>
      <c r="AZ80" s="3661"/>
      <c r="BA80" s="3661"/>
      <c r="BB80" s="3661"/>
      <c r="BC80" s="3658">
        <f t="shared" si="14"/>
        <v>0</v>
      </c>
      <c r="BD80" s="3661"/>
      <c r="BE80" s="3661"/>
      <c r="BF80" s="3661"/>
      <c r="BG80" s="3661"/>
      <c r="BH80" s="3661"/>
      <c r="BI80" s="3661"/>
      <c r="BJ80" s="3658">
        <f t="shared" si="16"/>
        <v>0</v>
      </c>
      <c r="BK80" s="3661"/>
      <c r="BL80" s="3661"/>
      <c r="BM80" s="3661"/>
      <c r="BN80" s="3661"/>
      <c r="BO80" s="3661"/>
      <c r="BP80" s="3661"/>
      <c r="BQ80" s="3658">
        <f t="shared" si="18"/>
        <v>0</v>
      </c>
      <c r="BR80" s="3661"/>
      <c r="BS80" s="3661"/>
      <c r="BT80" s="3661"/>
      <c r="BU80" s="3661"/>
      <c r="BV80" s="3661"/>
      <c r="BW80" s="3661"/>
      <c r="BX80" s="3658">
        <f t="shared" si="20"/>
        <v>0</v>
      </c>
      <c r="BY80" s="3661"/>
      <c r="BZ80" s="3661"/>
      <c r="CA80" s="3661"/>
      <c r="CB80" s="3661"/>
      <c r="CC80" s="3661"/>
      <c r="CD80" s="3661"/>
      <c r="CE80" s="3658">
        <f t="shared" si="22"/>
        <v>0</v>
      </c>
      <c r="CF80" s="3661"/>
      <c r="CG80" s="3661"/>
      <c r="CH80" s="3661"/>
      <c r="CI80" s="3661"/>
      <c r="CJ80" s="3661"/>
      <c r="CK80" s="3661"/>
      <c r="CL80" s="3658">
        <f t="shared" si="24"/>
        <v>0</v>
      </c>
      <c r="CM80" s="3661"/>
      <c r="CN80" s="3661"/>
      <c r="CO80" s="3661"/>
      <c r="CP80" s="3661"/>
      <c r="CQ80" s="3661"/>
      <c r="CR80" s="3661"/>
      <c r="CS80" s="3658">
        <f t="shared" si="26"/>
        <v>0</v>
      </c>
      <c r="CT80" s="3661"/>
      <c r="CU80" s="3661"/>
      <c r="CV80" s="3661"/>
      <c r="CW80" s="3661"/>
      <c r="CX80" s="3661"/>
      <c r="CY80" s="3661"/>
    </row>
    <row r="81" spans="4:103" ht="12" customHeight="1">
      <c r="D81" s="3659" t="s">
        <v>4316</v>
      </c>
      <c r="E81" s="3649" t="s">
        <v>4374</v>
      </c>
      <c r="F81" s="3658">
        <f t="shared" si="0"/>
        <v>0</v>
      </c>
      <c r="G81" s="3661"/>
      <c r="H81" s="3661"/>
      <c r="I81" s="3661"/>
      <c r="J81" s="3661"/>
      <c r="K81" s="3661"/>
      <c r="L81" s="3661"/>
      <c r="M81" s="3658">
        <f t="shared" si="2"/>
        <v>0</v>
      </c>
      <c r="N81" s="3661"/>
      <c r="O81" s="3661"/>
      <c r="P81" s="3661"/>
      <c r="Q81" s="3661"/>
      <c r="R81" s="3661"/>
      <c r="S81" s="3661"/>
      <c r="T81" s="3658">
        <f t="shared" si="4"/>
        <v>0</v>
      </c>
      <c r="U81" s="3661"/>
      <c r="V81" s="3661"/>
      <c r="W81" s="3661"/>
      <c r="X81" s="3661"/>
      <c r="Y81" s="3661"/>
      <c r="Z81" s="3661"/>
      <c r="AA81" s="3658">
        <f t="shared" si="6"/>
        <v>0</v>
      </c>
      <c r="AB81" s="3661"/>
      <c r="AC81" s="3661"/>
      <c r="AD81" s="3661"/>
      <c r="AE81" s="3661"/>
      <c r="AF81" s="3661"/>
      <c r="AG81" s="3661"/>
      <c r="AH81" s="3658">
        <f t="shared" si="8"/>
        <v>0</v>
      </c>
      <c r="AI81" s="3661"/>
      <c r="AJ81" s="3661"/>
      <c r="AK81" s="3661"/>
      <c r="AL81" s="3661"/>
      <c r="AM81" s="3661"/>
      <c r="AN81" s="3661"/>
      <c r="AO81" s="3658">
        <f t="shared" si="10"/>
        <v>0</v>
      </c>
      <c r="AP81" s="3661"/>
      <c r="AQ81" s="3661"/>
      <c r="AR81" s="3661"/>
      <c r="AS81" s="3661"/>
      <c r="AT81" s="3661"/>
      <c r="AU81" s="3661"/>
      <c r="AV81" s="3658">
        <f t="shared" si="12"/>
        <v>0</v>
      </c>
      <c r="AW81" s="3661"/>
      <c r="AX81" s="3661"/>
      <c r="AY81" s="3661"/>
      <c r="AZ81" s="3661"/>
      <c r="BA81" s="3661"/>
      <c r="BB81" s="3661"/>
      <c r="BC81" s="3658">
        <f t="shared" si="14"/>
        <v>0</v>
      </c>
      <c r="BD81" s="3661"/>
      <c r="BE81" s="3661"/>
      <c r="BF81" s="3661"/>
      <c r="BG81" s="3661"/>
      <c r="BH81" s="3661"/>
      <c r="BI81" s="3661"/>
      <c r="BJ81" s="3658">
        <f t="shared" si="16"/>
        <v>0</v>
      </c>
      <c r="BK81" s="3661"/>
      <c r="BL81" s="3661"/>
      <c r="BM81" s="3661"/>
      <c r="BN81" s="3661"/>
      <c r="BO81" s="3661"/>
      <c r="BP81" s="3661"/>
      <c r="BQ81" s="3658">
        <f t="shared" si="18"/>
        <v>0</v>
      </c>
      <c r="BR81" s="3661"/>
      <c r="BS81" s="3661"/>
      <c r="BT81" s="3661"/>
      <c r="BU81" s="3661"/>
      <c r="BV81" s="3661"/>
      <c r="BW81" s="3661"/>
      <c r="BX81" s="3658">
        <f t="shared" si="20"/>
        <v>0</v>
      </c>
      <c r="BY81" s="3661"/>
      <c r="BZ81" s="3661"/>
      <c r="CA81" s="3661"/>
      <c r="CB81" s="3661"/>
      <c r="CC81" s="3661"/>
      <c r="CD81" s="3661"/>
      <c r="CE81" s="3658">
        <f t="shared" si="22"/>
        <v>0</v>
      </c>
      <c r="CF81" s="3661"/>
      <c r="CG81" s="3661"/>
      <c r="CH81" s="3661"/>
      <c r="CI81" s="3661"/>
      <c r="CJ81" s="3661"/>
      <c r="CK81" s="3661"/>
      <c r="CL81" s="3658">
        <f t="shared" si="24"/>
        <v>0</v>
      </c>
      <c r="CM81" s="3661"/>
      <c r="CN81" s="3661"/>
      <c r="CO81" s="3661"/>
      <c r="CP81" s="3661"/>
      <c r="CQ81" s="3661"/>
      <c r="CR81" s="3661"/>
      <c r="CS81" s="3658">
        <f t="shared" si="26"/>
        <v>0</v>
      </c>
      <c r="CT81" s="3661"/>
      <c r="CU81" s="3661"/>
      <c r="CV81" s="3661"/>
      <c r="CW81" s="3661"/>
      <c r="CX81" s="3661"/>
      <c r="CY81" s="3661"/>
    </row>
    <row r="82" spans="4:103" ht="12" customHeight="1">
      <c r="D82" s="3659" t="s">
        <v>4318</v>
      </c>
      <c r="E82" s="3649" t="s">
        <v>4375</v>
      </c>
      <c r="F82" s="3658">
        <f t="shared" ref="F82:F90" si="140">SUM(G82:L82)</f>
        <v>0</v>
      </c>
      <c r="G82" s="3661"/>
      <c r="H82" s="3661"/>
      <c r="I82" s="3661"/>
      <c r="J82" s="3661"/>
      <c r="K82" s="3661"/>
      <c r="L82" s="3661"/>
      <c r="M82" s="3658">
        <f t="shared" ref="M82:M90" si="141">SUM(N82:S82)</f>
        <v>0</v>
      </c>
      <c r="N82" s="3661"/>
      <c r="O82" s="3661"/>
      <c r="P82" s="3661"/>
      <c r="Q82" s="3661"/>
      <c r="R82" s="3661"/>
      <c r="S82" s="3661"/>
      <c r="T82" s="3658">
        <f t="shared" ref="T82:T90" si="142">SUM(U82:Z82)</f>
        <v>0</v>
      </c>
      <c r="U82" s="3661"/>
      <c r="V82" s="3661"/>
      <c r="W82" s="3661"/>
      <c r="X82" s="3661"/>
      <c r="Y82" s="3661"/>
      <c r="Z82" s="3661"/>
      <c r="AA82" s="3658">
        <f t="shared" ref="AA82:AA90" si="143">SUM(AB82:AG82)</f>
        <v>0</v>
      </c>
      <c r="AB82" s="3661"/>
      <c r="AC82" s="3661"/>
      <c r="AD82" s="3661"/>
      <c r="AE82" s="3661"/>
      <c r="AF82" s="3661"/>
      <c r="AG82" s="3661"/>
      <c r="AH82" s="3658">
        <f t="shared" ref="AH82:AH90" si="144">SUM(AI82:AN82)</f>
        <v>0</v>
      </c>
      <c r="AI82" s="3661"/>
      <c r="AJ82" s="3661"/>
      <c r="AK82" s="3661"/>
      <c r="AL82" s="3661"/>
      <c r="AM82" s="3661"/>
      <c r="AN82" s="3661"/>
      <c r="AO82" s="3658">
        <f t="shared" ref="AO82:AO90" si="145">SUM(AP82:AU82)</f>
        <v>0</v>
      </c>
      <c r="AP82" s="3661"/>
      <c r="AQ82" s="3661"/>
      <c r="AR82" s="3661"/>
      <c r="AS82" s="3661"/>
      <c r="AT82" s="3661"/>
      <c r="AU82" s="3661"/>
      <c r="AV82" s="3658">
        <f t="shared" ref="AV82:AV90" si="146">SUM(AW82:BB82)</f>
        <v>0</v>
      </c>
      <c r="AW82" s="3661"/>
      <c r="AX82" s="3661"/>
      <c r="AY82" s="3661"/>
      <c r="AZ82" s="3661"/>
      <c r="BA82" s="3661"/>
      <c r="BB82" s="3661"/>
      <c r="BC82" s="3658">
        <f t="shared" ref="BC82:BC90" si="147">SUM(BD82:BI82)</f>
        <v>0</v>
      </c>
      <c r="BD82" s="3661"/>
      <c r="BE82" s="3661"/>
      <c r="BF82" s="3661"/>
      <c r="BG82" s="3661"/>
      <c r="BH82" s="3661"/>
      <c r="BI82" s="3661"/>
      <c r="BJ82" s="3658">
        <f t="shared" ref="BJ82:BJ90" si="148">SUM(BK82:BP82)</f>
        <v>0</v>
      </c>
      <c r="BK82" s="3661"/>
      <c r="BL82" s="3661"/>
      <c r="BM82" s="3661"/>
      <c r="BN82" s="3661"/>
      <c r="BO82" s="3661"/>
      <c r="BP82" s="3661"/>
      <c r="BQ82" s="3658">
        <f t="shared" ref="BQ82:BQ90" si="149">SUM(BR82:BW82)</f>
        <v>0</v>
      </c>
      <c r="BR82" s="3661"/>
      <c r="BS82" s="3661"/>
      <c r="BT82" s="3661"/>
      <c r="BU82" s="3661"/>
      <c r="BV82" s="3661"/>
      <c r="BW82" s="3661"/>
      <c r="BX82" s="3658">
        <f t="shared" ref="BX82:BX90" si="150">SUM(BY82:CD82)</f>
        <v>0</v>
      </c>
      <c r="BY82" s="3661"/>
      <c r="BZ82" s="3661"/>
      <c r="CA82" s="3661"/>
      <c r="CB82" s="3661"/>
      <c r="CC82" s="3661"/>
      <c r="CD82" s="3661"/>
      <c r="CE82" s="3658">
        <f t="shared" ref="CE82:CE90" si="151">SUM(CF82:CK82)</f>
        <v>0</v>
      </c>
      <c r="CF82" s="3661"/>
      <c r="CG82" s="3661"/>
      <c r="CH82" s="3661"/>
      <c r="CI82" s="3661"/>
      <c r="CJ82" s="3661"/>
      <c r="CK82" s="3661"/>
      <c r="CL82" s="3658">
        <f t="shared" ref="CL82:CL90" si="152">SUM(CM82:CR82)</f>
        <v>0</v>
      </c>
      <c r="CM82" s="3661"/>
      <c r="CN82" s="3661"/>
      <c r="CO82" s="3661"/>
      <c r="CP82" s="3661"/>
      <c r="CQ82" s="3661"/>
      <c r="CR82" s="3661"/>
      <c r="CS82" s="3658">
        <f t="shared" ref="CS82:CS90" si="153">SUM(CT82:CY82)</f>
        <v>0</v>
      </c>
      <c r="CT82" s="3661"/>
      <c r="CU82" s="3661"/>
      <c r="CV82" s="3661"/>
      <c r="CW82" s="3661"/>
      <c r="CX82" s="3661"/>
      <c r="CY82" s="3661"/>
    </row>
    <row r="83" spans="4:103" ht="12" customHeight="1">
      <c r="D83" s="3659" t="s">
        <v>4320</v>
      </c>
      <c r="E83" s="3649" t="s">
        <v>4376</v>
      </c>
      <c r="F83" s="3658">
        <f t="shared" si="140"/>
        <v>0</v>
      </c>
      <c r="G83" s="3661"/>
      <c r="H83" s="3661"/>
      <c r="I83" s="3661"/>
      <c r="J83" s="3661"/>
      <c r="K83" s="3661"/>
      <c r="L83" s="3661"/>
      <c r="M83" s="3658">
        <f t="shared" si="141"/>
        <v>0</v>
      </c>
      <c r="N83" s="3661"/>
      <c r="O83" s="3661"/>
      <c r="P83" s="3661"/>
      <c r="Q83" s="3661"/>
      <c r="R83" s="3661"/>
      <c r="S83" s="3661"/>
      <c r="T83" s="3658">
        <f t="shared" si="142"/>
        <v>0</v>
      </c>
      <c r="U83" s="3661"/>
      <c r="V83" s="3661"/>
      <c r="W83" s="3661"/>
      <c r="X83" s="3661"/>
      <c r="Y83" s="3661"/>
      <c r="Z83" s="3661"/>
      <c r="AA83" s="3658">
        <f t="shared" si="143"/>
        <v>0</v>
      </c>
      <c r="AB83" s="3661"/>
      <c r="AC83" s="3661"/>
      <c r="AD83" s="3661"/>
      <c r="AE83" s="3661"/>
      <c r="AF83" s="3661"/>
      <c r="AG83" s="3661"/>
      <c r="AH83" s="3658">
        <f t="shared" si="144"/>
        <v>0</v>
      </c>
      <c r="AI83" s="3661"/>
      <c r="AJ83" s="3661"/>
      <c r="AK83" s="3661"/>
      <c r="AL83" s="3661"/>
      <c r="AM83" s="3661"/>
      <c r="AN83" s="3661"/>
      <c r="AO83" s="3658">
        <f t="shared" si="145"/>
        <v>0</v>
      </c>
      <c r="AP83" s="3661"/>
      <c r="AQ83" s="3661"/>
      <c r="AR83" s="3661"/>
      <c r="AS83" s="3661"/>
      <c r="AT83" s="3661"/>
      <c r="AU83" s="3661"/>
      <c r="AV83" s="3658">
        <f t="shared" si="146"/>
        <v>0</v>
      </c>
      <c r="AW83" s="3661"/>
      <c r="AX83" s="3661"/>
      <c r="AY83" s="3661"/>
      <c r="AZ83" s="3661"/>
      <c r="BA83" s="3661"/>
      <c r="BB83" s="3661"/>
      <c r="BC83" s="3658">
        <f t="shared" si="147"/>
        <v>0</v>
      </c>
      <c r="BD83" s="3661"/>
      <c r="BE83" s="3661"/>
      <c r="BF83" s="3661"/>
      <c r="BG83" s="3661"/>
      <c r="BH83" s="3661"/>
      <c r="BI83" s="3661"/>
      <c r="BJ83" s="3658">
        <f t="shared" si="148"/>
        <v>0</v>
      </c>
      <c r="BK83" s="3661"/>
      <c r="BL83" s="3661"/>
      <c r="BM83" s="3661"/>
      <c r="BN83" s="3661"/>
      <c r="BO83" s="3661"/>
      <c r="BP83" s="3661"/>
      <c r="BQ83" s="3658">
        <f t="shared" si="149"/>
        <v>0</v>
      </c>
      <c r="BR83" s="3661"/>
      <c r="BS83" s="3661"/>
      <c r="BT83" s="3661"/>
      <c r="BU83" s="3661"/>
      <c r="BV83" s="3661"/>
      <c r="BW83" s="3661"/>
      <c r="BX83" s="3658">
        <f t="shared" si="150"/>
        <v>0</v>
      </c>
      <c r="BY83" s="3661"/>
      <c r="BZ83" s="3661"/>
      <c r="CA83" s="3661"/>
      <c r="CB83" s="3661"/>
      <c r="CC83" s="3661"/>
      <c r="CD83" s="3661"/>
      <c r="CE83" s="3658">
        <f t="shared" si="151"/>
        <v>0</v>
      </c>
      <c r="CF83" s="3661"/>
      <c r="CG83" s="3661"/>
      <c r="CH83" s="3661"/>
      <c r="CI83" s="3661"/>
      <c r="CJ83" s="3661"/>
      <c r="CK83" s="3661"/>
      <c r="CL83" s="3658">
        <f t="shared" si="152"/>
        <v>0</v>
      </c>
      <c r="CM83" s="3661"/>
      <c r="CN83" s="3661"/>
      <c r="CO83" s="3661"/>
      <c r="CP83" s="3661"/>
      <c r="CQ83" s="3661"/>
      <c r="CR83" s="3661"/>
      <c r="CS83" s="3658">
        <f t="shared" si="153"/>
        <v>0</v>
      </c>
      <c r="CT83" s="3661"/>
      <c r="CU83" s="3661"/>
      <c r="CV83" s="3661"/>
      <c r="CW83" s="3661"/>
      <c r="CX83" s="3661"/>
      <c r="CY83" s="3661"/>
    </row>
    <row r="84" spans="4:103" ht="12" customHeight="1">
      <c r="D84" s="3662" t="s">
        <v>516</v>
      </c>
      <c r="E84" s="3649" t="s">
        <v>4377</v>
      </c>
      <c r="F84" s="3658">
        <f t="shared" si="140"/>
        <v>0</v>
      </c>
      <c r="G84" s="3661"/>
      <c r="H84" s="3661"/>
      <c r="I84" s="3661"/>
      <c r="J84" s="3661"/>
      <c r="K84" s="3661"/>
      <c r="L84" s="3661"/>
      <c r="M84" s="3658">
        <f t="shared" si="141"/>
        <v>0</v>
      </c>
      <c r="N84" s="3661"/>
      <c r="O84" s="3661"/>
      <c r="P84" s="3661"/>
      <c r="Q84" s="3661"/>
      <c r="R84" s="3661"/>
      <c r="S84" s="3661"/>
      <c r="T84" s="3658">
        <f t="shared" si="142"/>
        <v>0</v>
      </c>
      <c r="U84" s="3661"/>
      <c r="V84" s="3661"/>
      <c r="W84" s="3661"/>
      <c r="X84" s="3661"/>
      <c r="Y84" s="3661"/>
      <c r="Z84" s="3661"/>
      <c r="AA84" s="3658">
        <f t="shared" si="143"/>
        <v>0</v>
      </c>
      <c r="AB84" s="3661"/>
      <c r="AC84" s="3661"/>
      <c r="AD84" s="3661"/>
      <c r="AE84" s="3661"/>
      <c r="AF84" s="3661"/>
      <c r="AG84" s="3661"/>
      <c r="AH84" s="3658">
        <f t="shared" si="144"/>
        <v>0</v>
      </c>
      <c r="AI84" s="3661"/>
      <c r="AJ84" s="3661"/>
      <c r="AK84" s="3661"/>
      <c r="AL84" s="3661"/>
      <c r="AM84" s="3661"/>
      <c r="AN84" s="3661"/>
      <c r="AO84" s="3658">
        <f t="shared" si="145"/>
        <v>0</v>
      </c>
      <c r="AP84" s="3661"/>
      <c r="AQ84" s="3661"/>
      <c r="AR84" s="3661"/>
      <c r="AS84" s="3661"/>
      <c r="AT84" s="3661"/>
      <c r="AU84" s="3661"/>
      <c r="AV84" s="3658">
        <f t="shared" si="146"/>
        <v>0</v>
      </c>
      <c r="AW84" s="3661"/>
      <c r="AX84" s="3661"/>
      <c r="AY84" s="3661"/>
      <c r="AZ84" s="3661"/>
      <c r="BA84" s="3661"/>
      <c r="BB84" s="3661"/>
      <c r="BC84" s="3658">
        <f t="shared" si="147"/>
        <v>0</v>
      </c>
      <c r="BD84" s="3661"/>
      <c r="BE84" s="3661"/>
      <c r="BF84" s="3661"/>
      <c r="BG84" s="3661"/>
      <c r="BH84" s="3661"/>
      <c r="BI84" s="3661"/>
      <c r="BJ84" s="3658">
        <f t="shared" si="148"/>
        <v>0</v>
      </c>
      <c r="BK84" s="3661"/>
      <c r="BL84" s="3661"/>
      <c r="BM84" s="3661"/>
      <c r="BN84" s="3661"/>
      <c r="BO84" s="3661"/>
      <c r="BP84" s="3661"/>
      <c r="BQ84" s="3658">
        <f t="shared" si="149"/>
        <v>0</v>
      </c>
      <c r="BR84" s="3661"/>
      <c r="BS84" s="3661"/>
      <c r="BT84" s="3661"/>
      <c r="BU84" s="3661"/>
      <c r="BV84" s="3661"/>
      <c r="BW84" s="3661"/>
      <c r="BX84" s="3658">
        <f t="shared" si="150"/>
        <v>0</v>
      </c>
      <c r="BY84" s="3661"/>
      <c r="BZ84" s="3661"/>
      <c r="CA84" s="3661"/>
      <c r="CB84" s="3661"/>
      <c r="CC84" s="3661"/>
      <c r="CD84" s="3661"/>
      <c r="CE84" s="3658">
        <f t="shared" si="151"/>
        <v>0</v>
      </c>
      <c r="CF84" s="3661"/>
      <c r="CG84" s="3661"/>
      <c r="CH84" s="3661"/>
      <c r="CI84" s="3661"/>
      <c r="CJ84" s="3661"/>
      <c r="CK84" s="3661"/>
      <c r="CL84" s="3658">
        <f t="shared" si="152"/>
        <v>0</v>
      </c>
      <c r="CM84" s="3661"/>
      <c r="CN84" s="3661"/>
      <c r="CO84" s="3661"/>
      <c r="CP84" s="3661"/>
      <c r="CQ84" s="3661"/>
      <c r="CR84" s="3661"/>
      <c r="CS84" s="3658">
        <f t="shared" si="153"/>
        <v>0</v>
      </c>
      <c r="CT84" s="3661"/>
      <c r="CU84" s="3661"/>
      <c r="CV84" s="3661"/>
      <c r="CW84" s="3661"/>
      <c r="CX84" s="3661"/>
      <c r="CY84" s="3661"/>
    </row>
    <row r="85" spans="4:103" ht="12" customHeight="1">
      <c r="D85" s="3662" t="s">
        <v>517</v>
      </c>
      <c r="E85" s="3649" t="s">
        <v>4378</v>
      </c>
      <c r="F85" s="3658">
        <f t="shared" si="140"/>
        <v>0</v>
      </c>
      <c r="G85" s="3661"/>
      <c r="H85" s="3661"/>
      <c r="I85" s="3661"/>
      <c r="J85" s="3661"/>
      <c r="K85" s="3661"/>
      <c r="L85" s="3661"/>
      <c r="M85" s="3658">
        <f t="shared" si="141"/>
        <v>0</v>
      </c>
      <c r="N85" s="3661"/>
      <c r="O85" s="3661"/>
      <c r="P85" s="3661"/>
      <c r="Q85" s="3661"/>
      <c r="R85" s="3661"/>
      <c r="S85" s="3661"/>
      <c r="T85" s="3658">
        <f t="shared" si="142"/>
        <v>0</v>
      </c>
      <c r="U85" s="3661"/>
      <c r="V85" s="3661"/>
      <c r="W85" s="3661"/>
      <c r="X85" s="3661"/>
      <c r="Y85" s="3661"/>
      <c r="Z85" s="3661"/>
      <c r="AA85" s="3658">
        <f t="shared" si="143"/>
        <v>0</v>
      </c>
      <c r="AB85" s="3661"/>
      <c r="AC85" s="3661"/>
      <c r="AD85" s="3661"/>
      <c r="AE85" s="3661"/>
      <c r="AF85" s="3661"/>
      <c r="AG85" s="3661"/>
      <c r="AH85" s="3658">
        <f t="shared" si="144"/>
        <v>0</v>
      </c>
      <c r="AI85" s="3661"/>
      <c r="AJ85" s="3661"/>
      <c r="AK85" s="3661"/>
      <c r="AL85" s="3661"/>
      <c r="AM85" s="3661"/>
      <c r="AN85" s="3661"/>
      <c r="AO85" s="3658">
        <f t="shared" si="145"/>
        <v>0</v>
      </c>
      <c r="AP85" s="3661"/>
      <c r="AQ85" s="3661"/>
      <c r="AR85" s="3661"/>
      <c r="AS85" s="3661"/>
      <c r="AT85" s="3661"/>
      <c r="AU85" s="3661"/>
      <c r="AV85" s="3658">
        <f t="shared" si="146"/>
        <v>0</v>
      </c>
      <c r="AW85" s="3661"/>
      <c r="AX85" s="3661"/>
      <c r="AY85" s="3661"/>
      <c r="AZ85" s="3661"/>
      <c r="BA85" s="3661"/>
      <c r="BB85" s="3661"/>
      <c r="BC85" s="3658">
        <f t="shared" si="147"/>
        <v>0</v>
      </c>
      <c r="BD85" s="3661"/>
      <c r="BE85" s="3661"/>
      <c r="BF85" s="3661"/>
      <c r="BG85" s="3661"/>
      <c r="BH85" s="3661"/>
      <c r="BI85" s="3661"/>
      <c r="BJ85" s="3658">
        <f t="shared" si="148"/>
        <v>0</v>
      </c>
      <c r="BK85" s="3661"/>
      <c r="BL85" s="3661"/>
      <c r="BM85" s="3661"/>
      <c r="BN85" s="3661"/>
      <c r="BO85" s="3661"/>
      <c r="BP85" s="3661"/>
      <c r="BQ85" s="3658">
        <f t="shared" si="149"/>
        <v>0</v>
      </c>
      <c r="BR85" s="3661"/>
      <c r="BS85" s="3661"/>
      <c r="BT85" s="3661"/>
      <c r="BU85" s="3661"/>
      <c r="BV85" s="3661"/>
      <c r="BW85" s="3661"/>
      <c r="BX85" s="3658">
        <f t="shared" si="150"/>
        <v>0</v>
      </c>
      <c r="BY85" s="3661"/>
      <c r="BZ85" s="3661"/>
      <c r="CA85" s="3661"/>
      <c r="CB85" s="3661"/>
      <c r="CC85" s="3661"/>
      <c r="CD85" s="3661"/>
      <c r="CE85" s="3658">
        <f t="shared" si="151"/>
        <v>0</v>
      </c>
      <c r="CF85" s="3661"/>
      <c r="CG85" s="3661"/>
      <c r="CH85" s="3661"/>
      <c r="CI85" s="3661"/>
      <c r="CJ85" s="3661"/>
      <c r="CK85" s="3661"/>
      <c r="CL85" s="3658">
        <f t="shared" si="152"/>
        <v>0</v>
      </c>
      <c r="CM85" s="3661"/>
      <c r="CN85" s="3661"/>
      <c r="CO85" s="3661"/>
      <c r="CP85" s="3661"/>
      <c r="CQ85" s="3661"/>
      <c r="CR85" s="3661"/>
      <c r="CS85" s="3658">
        <f t="shared" si="153"/>
        <v>0</v>
      </c>
      <c r="CT85" s="3661"/>
      <c r="CU85" s="3661"/>
      <c r="CV85" s="3661"/>
      <c r="CW85" s="3661"/>
      <c r="CX85" s="3661"/>
      <c r="CY85" s="3661"/>
    </row>
    <row r="86" spans="4:103" ht="12" customHeight="1">
      <c r="D86" s="3662" t="s">
        <v>518</v>
      </c>
      <c r="E86" s="3649" t="s">
        <v>4379</v>
      </c>
      <c r="F86" s="3658">
        <f t="shared" si="140"/>
        <v>0</v>
      </c>
      <c r="G86" s="3661"/>
      <c r="H86" s="3661"/>
      <c r="I86" s="3661"/>
      <c r="J86" s="3661"/>
      <c r="K86" s="3661"/>
      <c r="L86" s="3661"/>
      <c r="M86" s="3658">
        <f t="shared" si="141"/>
        <v>0</v>
      </c>
      <c r="N86" s="3661"/>
      <c r="O86" s="3661"/>
      <c r="P86" s="3661"/>
      <c r="Q86" s="3661"/>
      <c r="R86" s="3661"/>
      <c r="S86" s="3661"/>
      <c r="T86" s="3658">
        <f t="shared" si="142"/>
        <v>0</v>
      </c>
      <c r="U86" s="3661"/>
      <c r="V86" s="3661"/>
      <c r="W86" s="3661"/>
      <c r="X86" s="3661"/>
      <c r="Y86" s="3661"/>
      <c r="Z86" s="3661"/>
      <c r="AA86" s="3658">
        <f t="shared" si="143"/>
        <v>0</v>
      </c>
      <c r="AB86" s="3661"/>
      <c r="AC86" s="3661"/>
      <c r="AD86" s="3661"/>
      <c r="AE86" s="3661"/>
      <c r="AF86" s="3661"/>
      <c r="AG86" s="3661"/>
      <c r="AH86" s="3658">
        <f t="shared" si="144"/>
        <v>0</v>
      </c>
      <c r="AI86" s="3661"/>
      <c r="AJ86" s="3661"/>
      <c r="AK86" s="3661"/>
      <c r="AL86" s="3661"/>
      <c r="AM86" s="3661"/>
      <c r="AN86" s="3661"/>
      <c r="AO86" s="3658">
        <f t="shared" si="145"/>
        <v>0</v>
      </c>
      <c r="AP86" s="3661"/>
      <c r="AQ86" s="3661"/>
      <c r="AR86" s="3661"/>
      <c r="AS86" s="3661"/>
      <c r="AT86" s="3661"/>
      <c r="AU86" s="3661"/>
      <c r="AV86" s="3658">
        <f t="shared" si="146"/>
        <v>0</v>
      </c>
      <c r="AW86" s="3661"/>
      <c r="AX86" s="3661"/>
      <c r="AY86" s="3661"/>
      <c r="AZ86" s="3661"/>
      <c r="BA86" s="3661"/>
      <c r="BB86" s="3661"/>
      <c r="BC86" s="3658">
        <f t="shared" si="147"/>
        <v>0</v>
      </c>
      <c r="BD86" s="3661"/>
      <c r="BE86" s="3661"/>
      <c r="BF86" s="3661"/>
      <c r="BG86" s="3661"/>
      <c r="BH86" s="3661"/>
      <c r="BI86" s="3661"/>
      <c r="BJ86" s="3658">
        <f t="shared" si="148"/>
        <v>0</v>
      </c>
      <c r="BK86" s="3661"/>
      <c r="BL86" s="3661"/>
      <c r="BM86" s="3661"/>
      <c r="BN86" s="3661"/>
      <c r="BO86" s="3661"/>
      <c r="BP86" s="3661"/>
      <c r="BQ86" s="3658">
        <f t="shared" si="149"/>
        <v>0</v>
      </c>
      <c r="BR86" s="3661"/>
      <c r="BS86" s="3661"/>
      <c r="BT86" s="3661"/>
      <c r="BU86" s="3661"/>
      <c r="BV86" s="3661"/>
      <c r="BW86" s="3661"/>
      <c r="BX86" s="3658">
        <f t="shared" si="150"/>
        <v>0</v>
      </c>
      <c r="BY86" s="3661"/>
      <c r="BZ86" s="3661"/>
      <c r="CA86" s="3661"/>
      <c r="CB86" s="3661"/>
      <c r="CC86" s="3661"/>
      <c r="CD86" s="3661"/>
      <c r="CE86" s="3658">
        <f t="shared" si="151"/>
        <v>0</v>
      </c>
      <c r="CF86" s="3661"/>
      <c r="CG86" s="3661"/>
      <c r="CH86" s="3661"/>
      <c r="CI86" s="3661"/>
      <c r="CJ86" s="3661"/>
      <c r="CK86" s="3661"/>
      <c r="CL86" s="3658">
        <f t="shared" si="152"/>
        <v>0</v>
      </c>
      <c r="CM86" s="3661"/>
      <c r="CN86" s="3661"/>
      <c r="CO86" s="3661"/>
      <c r="CP86" s="3661"/>
      <c r="CQ86" s="3661"/>
      <c r="CR86" s="3661"/>
      <c r="CS86" s="3658">
        <f t="shared" si="153"/>
        <v>0</v>
      </c>
      <c r="CT86" s="3661"/>
      <c r="CU86" s="3661"/>
      <c r="CV86" s="3661"/>
      <c r="CW86" s="3661"/>
      <c r="CX86" s="3661"/>
      <c r="CY86" s="3661"/>
    </row>
    <row r="87" spans="4:103" ht="12" customHeight="1">
      <c r="D87" s="3662" t="s">
        <v>519</v>
      </c>
      <c r="E87" s="3649" t="s">
        <v>4380</v>
      </c>
      <c r="F87" s="3658">
        <f t="shared" si="140"/>
        <v>0</v>
      </c>
      <c r="G87" s="3661"/>
      <c r="H87" s="3661"/>
      <c r="I87" s="3661"/>
      <c r="J87" s="3661"/>
      <c r="K87" s="3661"/>
      <c r="L87" s="3661"/>
      <c r="M87" s="3658">
        <f t="shared" si="141"/>
        <v>0</v>
      </c>
      <c r="N87" s="3661"/>
      <c r="O87" s="3661"/>
      <c r="P87" s="3661"/>
      <c r="Q87" s="3661"/>
      <c r="R87" s="3661"/>
      <c r="S87" s="3661"/>
      <c r="T87" s="3658">
        <f t="shared" si="142"/>
        <v>0</v>
      </c>
      <c r="U87" s="3661"/>
      <c r="V87" s="3661"/>
      <c r="W87" s="3661"/>
      <c r="X87" s="3661"/>
      <c r="Y87" s="3661"/>
      <c r="Z87" s="3661"/>
      <c r="AA87" s="3658">
        <f t="shared" si="143"/>
        <v>0</v>
      </c>
      <c r="AB87" s="3661"/>
      <c r="AC87" s="3661"/>
      <c r="AD87" s="3661"/>
      <c r="AE87" s="3661"/>
      <c r="AF87" s="3661"/>
      <c r="AG87" s="3661"/>
      <c r="AH87" s="3658">
        <f t="shared" si="144"/>
        <v>0</v>
      </c>
      <c r="AI87" s="3661"/>
      <c r="AJ87" s="3661"/>
      <c r="AK87" s="3661"/>
      <c r="AL87" s="3661"/>
      <c r="AM87" s="3661"/>
      <c r="AN87" s="3661"/>
      <c r="AO87" s="3658">
        <f t="shared" si="145"/>
        <v>0</v>
      </c>
      <c r="AP87" s="3661"/>
      <c r="AQ87" s="3661"/>
      <c r="AR87" s="3661"/>
      <c r="AS87" s="3661"/>
      <c r="AT87" s="3661"/>
      <c r="AU87" s="3661"/>
      <c r="AV87" s="3658">
        <f t="shared" si="146"/>
        <v>0</v>
      </c>
      <c r="AW87" s="3661"/>
      <c r="AX87" s="3661"/>
      <c r="AY87" s="3661"/>
      <c r="AZ87" s="3661"/>
      <c r="BA87" s="3661"/>
      <c r="BB87" s="3661"/>
      <c r="BC87" s="3658">
        <f t="shared" si="147"/>
        <v>0</v>
      </c>
      <c r="BD87" s="3661"/>
      <c r="BE87" s="3661"/>
      <c r="BF87" s="3661"/>
      <c r="BG87" s="3661"/>
      <c r="BH87" s="3661"/>
      <c r="BI87" s="3661"/>
      <c r="BJ87" s="3658">
        <f t="shared" si="148"/>
        <v>0</v>
      </c>
      <c r="BK87" s="3661"/>
      <c r="BL87" s="3661"/>
      <c r="BM87" s="3661"/>
      <c r="BN87" s="3661"/>
      <c r="BO87" s="3661"/>
      <c r="BP87" s="3661"/>
      <c r="BQ87" s="3658">
        <f t="shared" si="149"/>
        <v>0</v>
      </c>
      <c r="BR87" s="3661"/>
      <c r="BS87" s="3661"/>
      <c r="BT87" s="3661"/>
      <c r="BU87" s="3661"/>
      <c r="BV87" s="3661"/>
      <c r="BW87" s="3661"/>
      <c r="BX87" s="3658">
        <f t="shared" si="150"/>
        <v>0</v>
      </c>
      <c r="BY87" s="3661"/>
      <c r="BZ87" s="3661"/>
      <c r="CA87" s="3661"/>
      <c r="CB87" s="3661"/>
      <c r="CC87" s="3661"/>
      <c r="CD87" s="3661"/>
      <c r="CE87" s="3658">
        <f t="shared" si="151"/>
        <v>0</v>
      </c>
      <c r="CF87" s="3661"/>
      <c r="CG87" s="3661"/>
      <c r="CH87" s="3661"/>
      <c r="CI87" s="3661"/>
      <c r="CJ87" s="3661"/>
      <c r="CK87" s="3661"/>
      <c r="CL87" s="3658">
        <f t="shared" si="152"/>
        <v>0</v>
      </c>
      <c r="CM87" s="3661"/>
      <c r="CN87" s="3661"/>
      <c r="CO87" s="3661"/>
      <c r="CP87" s="3661"/>
      <c r="CQ87" s="3661"/>
      <c r="CR87" s="3661"/>
      <c r="CS87" s="3658">
        <f t="shared" si="153"/>
        <v>0</v>
      </c>
      <c r="CT87" s="3661"/>
      <c r="CU87" s="3661"/>
      <c r="CV87" s="3661"/>
      <c r="CW87" s="3661"/>
      <c r="CX87" s="3661"/>
      <c r="CY87" s="3661"/>
    </row>
    <row r="88" spans="4:103" ht="12" customHeight="1">
      <c r="D88" s="3662" t="s">
        <v>520</v>
      </c>
      <c r="E88" s="3649" t="s">
        <v>4381</v>
      </c>
      <c r="F88" s="3658">
        <f t="shared" si="140"/>
        <v>0</v>
      </c>
      <c r="G88" s="3661"/>
      <c r="H88" s="3661"/>
      <c r="I88" s="3661"/>
      <c r="J88" s="3661"/>
      <c r="K88" s="3661"/>
      <c r="L88" s="3661"/>
      <c r="M88" s="3658">
        <f t="shared" si="141"/>
        <v>0</v>
      </c>
      <c r="N88" s="3661"/>
      <c r="O88" s="3661"/>
      <c r="P88" s="3661"/>
      <c r="Q88" s="3661"/>
      <c r="R88" s="3661"/>
      <c r="S88" s="3661"/>
      <c r="T88" s="3658">
        <f t="shared" si="142"/>
        <v>0</v>
      </c>
      <c r="U88" s="3661"/>
      <c r="V88" s="3661"/>
      <c r="W88" s="3661"/>
      <c r="X88" s="3661"/>
      <c r="Y88" s="3661"/>
      <c r="Z88" s="3661"/>
      <c r="AA88" s="3658">
        <f t="shared" si="143"/>
        <v>0</v>
      </c>
      <c r="AB88" s="3661"/>
      <c r="AC88" s="3661"/>
      <c r="AD88" s="3661"/>
      <c r="AE88" s="3661"/>
      <c r="AF88" s="3661"/>
      <c r="AG88" s="3661"/>
      <c r="AH88" s="3658">
        <f t="shared" si="144"/>
        <v>0</v>
      </c>
      <c r="AI88" s="3661"/>
      <c r="AJ88" s="3661"/>
      <c r="AK88" s="3661"/>
      <c r="AL88" s="3661"/>
      <c r="AM88" s="3661"/>
      <c r="AN88" s="3661"/>
      <c r="AO88" s="3658">
        <f t="shared" si="145"/>
        <v>0</v>
      </c>
      <c r="AP88" s="3661"/>
      <c r="AQ88" s="3661"/>
      <c r="AR88" s="3661"/>
      <c r="AS88" s="3661"/>
      <c r="AT88" s="3661"/>
      <c r="AU88" s="3661"/>
      <c r="AV88" s="3658">
        <f t="shared" si="146"/>
        <v>0</v>
      </c>
      <c r="AW88" s="3661"/>
      <c r="AX88" s="3661"/>
      <c r="AY88" s="3661"/>
      <c r="AZ88" s="3661"/>
      <c r="BA88" s="3661"/>
      <c r="BB88" s="3661"/>
      <c r="BC88" s="3658">
        <f t="shared" si="147"/>
        <v>0</v>
      </c>
      <c r="BD88" s="3661"/>
      <c r="BE88" s="3661"/>
      <c r="BF88" s="3661"/>
      <c r="BG88" s="3661"/>
      <c r="BH88" s="3661"/>
      <c r="BI88" s="3661"/>
      <c r="BJ88" s="3658">
        <f t="shared" si="148"/>
        <v>0</v>
      </c>
      <c r="BK88" s="3661"/>
      <c r="BL88" s="3661"/>
      <c r="BM88" s="3661"/>
      <c r="BN88" s="3661"/>
      <c r="BO88" s="3661"/>
      <c r="BP88" s="3661"/>
      <c r="BQ88" s="3658">
        <f t="shared" si="149"/>
        <v>0</v>
      </c>
      <c r="BR88" s="3661"/>
      <c r="BS88" s="3661"/>
      <c r="BT88" s="3661"/>
      <c r="BU88" s="3661"/>
      <c r="BV88" s="3661"/>
      <c r="BW88" s="3661"/>
      <c r="BX88" s="3658">
        <f t="shared" si="150"/>
        <v>0</v>
      </c>
      <c r="BY88" s="3661"/>
      <c r="BZ88" s="3661"/>
      <c r="CA88" s="3661"/>
      <c r="CB88" s="3661"/>
      <c r="CC88" s="3661"/>
      <c r="CD88" s="3661"/>
      <c r="CE88" s="3658">
        <f t="shared" si="151"/>
        <v>0</v>
      </c>
      <c r="CF88" s="3661"/>
      <c r="CG88" s="3661"/>
      <c r="CH88" s="3661"/>
      <c r="CI88" s="3661"/>
      <c r="CJ88" s="3661"/>
      <c r="CK88" s="3661"/>
      <c r="CL88" s="3658">
        <f t="shared" si="152"/>
        <v>0</v>
      </c>
      <c r="CM88" s="3661"/>
      <c r="CN88" s="3661"/>
      <c r="CO88" s="3661"/>
      <c r="CP88" s="3661"/>
      <c r="CQ88" s="3661"/>
      <c r="CR88" s="3661"/>
      <c r="CS88" s="3658">
        <f t="shared" si="153"/>
        <v>0</v>
      </c>
      <c r="CT88" s="3661"/>
      <c r="CU88" s="3661"/>
      <c r="CV88" s="3661"/>
      <c r="CW88" s="3661"/>
      <c r="CX88" s="3661"/>
      <c r="CY88" s="3661"/>
    </row>
    <row r="89" spans="4:103" ht="12" customHeight="1">
      <c r="D89" s="3662" t="s">
        <v>521</v>
      </c>
      <c r="E89" s="3649" t="s">
        <v>4382</v>
      </c>
      <c r="F89" s="3658">
        <f t="shared" si="140"/>
        <v>0</v>
      </c>
      <c r="G89" s="3661"/>
      <c r="H89" s="3661"/>
      <c r="I89" s="3661"/>
      <c r="J89" s="3661"/>
      <c r="K89" s="3661"/>
      <c r="L89" s="3661"/>
      <c r="M89" s="3658">
        <f t="shared" si="141"/>
        <v>0</v>
      </c>
      <c r="N89" s="3661"/>
      <c r="O89" s="3661"/>
      <c r="P89" s="3661"/>
      <c r="Q89" s="3661"/>
      <c r="R89" s="3661"/>
      <c r="S89" s="3661"/>
      <c r="T89" s="3658">
        <f t="shared" si="142"/>
        <v>0</v>
      </c>
      <c r="U89" s="3661"/>
      <c r="V89" s="3661"/>
      <c r="W89" s="3661"/>
      <c r="X89" s="3661"/>
      <c r="Y89" s="3661"/>
      <c r="Z89" s="3661"/>
      <c r="AA89" s="3658">
        <f t="shared" si="143"/>
        <v>0</v>
      </c>
      <c r="AB89" s="3661"/>
      <c r="AC89" s="3661"/>
      <c r="AD89" s="3661"/>
      <c r="AE89" s="3661"/>
      <c r="AF89" s="3661"/>
      <c r="AG89" s="3661"/>
      <c r="AH89" s="3658">
        <f t="shared" si="144"/>
        <v>0</v>
      </c>
      <c r="AI89" s="3661"/>
      <c r="AJ89" s="3661"/>
      <c r="AK89" s="3661"/>
      <c r="AL89" s="3661"/>
      <c r="AM89" s="3661"/>
      <c r="AN89" s="3661"/>
      <c r="AO89" s="3658">
        <f t="shared" si="145"/>
        <v>0</v>
      </c>
      <c r="AP89" s="3661"/>
      <c r="AQ89" s="3661"/>
      <c r="AR89" s="3661"/>
      <c r="AS89" s="3661"/>
      <c r="AT89" s="3661"/>
      <c r="AU89" s="3661"/>
      <c r="AV89" s="3658">
        <f t="shared" si="146"/>
        <v>0</v>
      </c>
      <c r="AW89" s="3661"/>
      <c r="AX89" s="3661"/>
      <c r="AY89" s="3661"/>
      <c r="AZ89" s="3661"/>
      <c r="BA89" s="3661"/>
      <c r="BB89" s="3661"/>
      <c r="BC89" s="3658">
        <f t="shared" si="147"/>
        <v>0</v>
      </c>
      <c r="BD89" s="3661"/>
      <c r="BE89" s="3661"/>
      <c r="BF89" s="3661"/>
      <c r="BG89" s="3661"/>
      <c r="BH89" s="3661"/>
      <c r="BI89" s="3661"/>
      <c r="BJ89" s="3658">
        <f t="shared" si="148"/>
        <v>0</v>
      </c>
      <c r="BK89" s="3661"/>
      <c r="BL89" s="3661"/>
      <c r="BM89" s="3661"/>
      <c r="BN89" s="3661"/>
      <c r="BO89" s="3661"/>
      <c r="BP89" s="3661"/>
      <c r="BQ89" s="3658">
        <f t="shared" si="149"/>
        <v>0</v>
      </c>
      <c r="BR89" s="3661"/>
      <c r="BS89" s="3661"/>
      <c r="BT89" s="3661"/>
      <c r="BU89" s="3661"/>
      <c r="BV89" s="3661"/>
      <c r="BW89" s="3661"/>
      <c r="BX89" s="3658">
        <f t="shared" si="150"/>
        <v>0</v>
      </c>
      <c r="BY89" s="3661"/>
      <c r="BZ89" s="3661"/>
      <c r="CA89" s="3661"/>
      <c r="CB89" s="3661"/>
      <c r="CC89" s="3661"/>
      <c r="CD89" s="3661"/>
      <c r="CE89" s="3658">
        <f t="shared" si="151"/>
        <v>0</v>
      </c>
      <c r="CF89" s="3661"/>
      <c r="CG89" s="3661"/>
      <c r="CH89" s="3661"/>
      <c r="CI89" s="3661"/>
      <c r="CJ89" s="3661"/>
      <c r="CK89" s="3661"/>
      <c r="CL89" s="3658">
        <f t="shared" si="152"/>
        <v>0</v>
      </c>
      <c r="CM89" s="3661"/>
      <c r="CN89" s="3661"/>
      <c r="CO89" s="3661"/>
      <c r="CP89" s="3661"/>
      <c r="CQ89" s="3661"/>
      <c r="CR89" s="3661"/>
      <c r="CS89" s="3658">
        <f t="shared" si="153"/>
        <v>0</v>
      </c>
      <c r="CT89" s="3661"/>
      <c r="CU89" s="3661"/>
      <c r="CV89" s="3661"/>
      <c r="CW89" s="3661"/>
      <c r="CX89" s="3661"/>
      <c r="CY89" s="3661"/>
    </row>
    <row r="90" spans="4:103" ht="12" customHeight="1">
      <c r="D90" s="3662" t="s">
        <v>4060</v>
      </c>
      <c r="E90" s="3649" t="s">
        <v>4383</v>
      </c>
      <c r="F90" s="3658">
        <f t="shared" si="140"/>
        <v>0</v>
      </c>
      <c r="G90" s="3661"/>
      <c r="H90" s="3661"/>
      <c r="I90" s="3661"/>
      <c r="J90" s="3661"/>
      <c r="K90" s="3661"/>
      <c r="L90" s="3661"/>
      <c r="M90" s="3658">
        <f t="shared" si="141"/>
        <v>0</v>
      </c>
      <c r="N90" s="3661"/>
      <c r="O90" s="3661"/>
      <c r="P90" s="3661"/>
      <c r="Q90" s="3661"/>
      <c r="R90" s="3661"/>
      <c r="S90" s="3661"/>
      <c r="T90" s="3658">
        <f t="shared" si="142"/>
        <v>0</v>
      </c>
      <c r="U90" s="3661"/>
      <c r="V90" s="3661"/>
      <c r="W90" s="3661"/>
      <c r="X90" s="3661"/>
      <c r="Y90" s="3661"/>
      <c r="Z90" s="3661"/>
      <c r="AA90" s="3658">
        <f t="shared" si="143"/>
        <v>0</v>
      </c>
      <c r="AB90" s="3661"/>
      <c r="AC90" s="3661"/>
      <c r="AD90" s="3661"/>
      <c r="AE90" s="3661"/>
      <c r="AF90" s="3661"/>
      <c r="AG90" s="3661"/>
      <c r="AH90" s="3658">
        <f t="shared" si="144"/>
        <v>0</v>
      </c>
      <c r="AI90" s="3661"/>
      <c r="AJ90" s="3661"/>
      <c r="AK90" s="3661"/>
      <c r="AL90" s="3661"/>
      <c r="AM90" s="3661"/>
      <c r="AN90" s="3661"/>
      <c r="AO90" s="3658">
        <f t="shared" si="145"/>
        <v>0</v>
      </c>
      <c r="AP90" s="3661"/>
      <c r="AQ90" s="3661"/>
      <c r="AR90" s="3661"/>
      <c r="AS90" s="3661"/>
      <c r="AT90" s="3661"/>
      <c r="AU90" s="3661"/>
      <c r="AV90" s="3658">
        <f t="shared" si="146"/>
        <v>0</v>
      </c>
      <c r="AW90" s="3661"/>
      <c r="AX90" s="3661"/>
      <c r="AY90" s="3661"/>
      <c r="AZ90" s="3661"/>
      <c r="BA90" s="3661"/>
      <c r="BB90" s="3661"/>
      <c r="BC90" s="3658">
        <f t="shared" si="147"/>
        <v>0</v>
      </c>
      <c r="BD90" s="3661"/>
      <c r="BE90" s="3661"/>
      <c r="BF90" s="3661"/>
      <c r="BG90" s="3661"/>
      <c r="BH90" s="3661"/>
      <c r="BI90" s="3661"/>
      <c r="BJ90" s="3658">
        <f t="shared" si="148"/>
        <v>0</v>
      </c>
      <c r="BK90" s="3661"/>
      <c r="BL90" s="3661"/>
      <c r="BM90" s="3661"/>
      <c r="BN90" s="3661"/>
      <c r="BO90" s="3661"/>
      <c r="BP90" s="3661"/>
      <c r="BQ90" s="3658">
        <f t="shared" si="149"/>
        <v>0</v>
      </c>
      <c r="BR90" s="3661"/>
      <c r="BS90" s="3661"/>
      <c r="BT90" s="3661"/>
      <c r="BU90" s="3661"/>
      <c r="BV90" s="3661"/>
      <c r="BW90" s="3661"/>
      <c r="BX90" s="3658">
        <f t="shared" si="150"/>
        <v>0</v>
      </c>
      <c r="BY90" s="3661"/>
      <c r="BZ90" s="3661"/>
      <c r="CA90" s="3661"/>
      <c r="CB90" s="3661"/>
      <c r="CC90" s="3661"/>
      <c r="CD90" s="3661"/>
      <c r="CE90" s="3658">
        <f t="shared" si="151"/>
        <v>0</v>
      </c>
      <c r="CF90" s="3661"/>
      <c r="CG90" s="3661"/>
      <c r="CH90" s="3661"/>
      <c r="CI90" s="3661"/>
      <c r="CJ90" s="3661"/>
      <c r="CK90" s="3661"/>
      <c r="CL90" s="3658">
        <f t="shared" si="152"/>
        <v>0</v>
      </c>
      <c r="CM90" s="3661"/>
      <c r="CN90" s="3661"/>
      <c r="CO90" s="3661"/>
      <c r="CP90" s="3661"/>
      <c r="CQ90" s="3661"/>
      <c r="CR90" s="3661"/>
      <c r="CS90" s="3658">
        <f t="shared" si="153"/>
        <v>0</v>
      </c>
      <c r="CT90" s="3661"/>
      <c r="CU90" s="3661"/>
      <c r="CV90" s="3661"/>
      <c r="CW90" s="3661"/>
      <c r="CX90" s="3661"/>
      <c r="CY90" s="3661"/>
    </row>
    <row r="91" spans="4:103" ht="10.5" hidden="1" customHeight="1">
      <c r="D91" s="3663"/>
      <c r="E91" s="3663"/>
      <c r="F91" s="3663"/>
      <c r="G91" s="3663"/>
      <c r="H91" s="3663"/>
      <c r="I91" s="3663"/>
      <c r="J91" s="3663"/>
      <c r="K91" s="3663"/>
      <c r="L91" s="3663"/>
      <c r="M91" s="3663"/>
      <c r="N91" s="3663"/>
      <c r="O91" s="3663"/>
      <c r="P91" s="3663"/>
      <c r="Q91" s="3663"/>
      <c r="R91" s="3663"/>
      <c r="S91" s="3663"/>
      <c r="T91" s="3663"/>
      <c r="U91" s="3663"/>
      <c r="V91" s="3663"/>
      <c r="W91" s="3663"/>
      <c r="X91" s="3663"/>
      <c r="Y91" s="3663"/>
      <c r="Z91" s="3663"/>
      <c r="AA91" s="3663"/>
      <c r="AB91" s="3663"/>
      <c r="AC91" s="3663"/>
      <c r="AD91" s="3663"/>
      <c r="AE91" s="3663"/>
      <c r="AF91" s="3663"/>
      <c r="AG91" s="3663"/>
      <c r="AH91" s="3663"/>
      <c r="AI91" s="3663"/>
      <c r="AJ91" s="3663"/>
      <c r="AK91" s="3663"/>
      <c r="AL91" s="3663"/>
      <c r="AM91" s="3663"/>
      <c r="AN91" s="3663"/>
      <c r="AO91" s="3663"/>
      <c r="AP91" s="3663"/>
      <c r="AQ91" s="3663"/>
      <c r="AR91" s="3663"/>
      <c r="AS91" s="3663"/>
      <c r="AT91" s="3663"/>
      <c r="AU91" s="3663"/>
      <c r="AV91" s="3663"/>
      <c r="AW91" s="3663"/>
      <c r="AX91" s="3663"/>
      <c r="AY91" s="3663"/>
      <c r="AZ91" s="3663"/>
      <c r="BA91" s="3663"/>
      <c r="BB91" s="3663"/>
      <c r="BC91" s="3663"/>
      <c r="BD91" s="3663"/>
      <c r="BE91" s="3663"/>
      <c r="BF91" s="3663"/>
      <c r="BG91" s="3663"/>
      <c r="BH91" s="3663"/>
      <c r="BI91" s="3663"/>
      <c r="BJ91" s="3663"/>
      <c r="BK91" s="3663"/>
      <c r="BL91" s="3663"/>
      <c r="BM91" s="3663"/>
      <c r="BN91" s="3663"/>
      <c r="BO91" s="3663"/>
      <c r="BP91" s="3663"/>
      <c r="BQ91" s="3663"/>
      <c r="BR91" s="3663"/>
      <c r="BS91" s="3663"/>
      <c r="BT91" s="3663"/>
      <c r="BU91" s="3663"/>
      <c r="BV91" s="3663"/>
      <c r="BW91" s="3663"/>
      <c r="BX91" s="3663"/>
      <c r="BY91" s="3663"/>
      <c r="BZ91" s="3663"/>
      <c r="CA91" s="3663"/>
      <c r="CB91" s="3663"/>
      <c r="CC91" s="3663"/>
      <c r="CD91" s="3663"/>
      <c r="CE91" s="3663"/>
      <c r="CF91" s="3663"/>
      <c r="CG91" s="3663"/>
      <c r="CH91" s="3663"/>
      <c r="CI91" s="3663"/>
      <c r="CJ91" s="3663"/>
      <c r="CK91" s="3663"/>
      <c r="CL91" s="3663"/>
      <c r="CM91" s="3663"/>
      <c r="CN91" s="3663"/>
      <c r="CO91" s="3663"/>
      <c r="CP91" s="3663"/>
      <c r="CQ91" s="3663"/>
      <c r="CR91" s="3663"/>
      <c r="CS91" s="3663"/>
      <c r="CT91" s="3663"/>
      <c r="CU91" s="3663"/>
      <c r="CV91" s="3663"/>
      <c r="CW91" s="3663"/>
      <c r="CX91" s="3663"/>
      <c r="CY91" s="3663"/>
    </row>
    <row r="92" spans="4:103" ht="10.5" hidden="1" customHeight="1">
      <c r="D92" s="3663"/>
      <c r="E92" s="3663"/>
      <c r="F92" s="3663"/>
      <c r="G92" s="3663"/>
      <c r="H92" s="3663"/>
      <c r="I92" s="3663"/>
      <c r="J92" s="3663"/>
      <c r="K92" s="3663"/>
      <c r="L92" s="3663"/>
      <c r="M92" s="3663"/>
      <c r="N92" s="3663"/>
      <c r="O92" s="3663"/>
      <c r="P92" s="3663"/>
      <c r="Q92" s="3663"/>
      <c r="R92" s="3663"/>
      <c r="S92" s="3663"/>
      <c r="T92" s="3663"/>
      <c r="U92" s="3663"/>
      <c r="V92" s="3663"/>
      <c r="W92" s="3663"/>
      <c r="X92" s="3663"/>
      <c r="Y92" s="3663"/>
      <c r="Z92" s="3663"/>
      <c r="AA92" s="3663"/>
      <c r="AB92" s="3663"/>
      <c r="AC92" s="3663"/>
      <c r="AD92" s="3663"/>
      <c r="AE92" s="3663"/>
      <c r="AF92" s="3663"/>
      <c r="AG92" s="3663"/>
      <c r="AH92" s="3663"/>
      <c r="AI92" s="3663"/>
      <c r="AJ92" s="3663"/>
      <c r="AK92" s="3663"/>
      <c r="AL92" s="3663"/>
      <c r="AM92" s="3663"/>
      <c r="AN92" s="3663"/>
      <c r="AO92" s="3663"/>
      <c r="AP92" s="3663"/>
      <c r="AQ92" s="3663"/>
      <c r="AR92" s="3663"/>
      <c r="AS92" s="3663"/>
      <c r="AT92" s="3663"/>
      <c r="AU92" s="3663"/>
      <c r="AV92" s="3663"/>
      <c r="AW92" s="3663"/>
      <c r="AX92" s="3663"/>
      <c r="AY92" s="3663"/>
      <c r="AZ92" s="3663"/>
      <c r="BA92" s="3663"/>
      <c r="BB92" s="3663"/>
      <c r="BC92" s="3663"/>
      <c r="BD92" s="3663"/>
      <c r="BE92" s="3663"/>
      <c r="BF92" s="3663"/>
      <c r="BG92" s="3663"/>
      <c r="BH92" s="3663"/>
      <c r="BI92" s="3663"/>
      <c r="BJ92" s="3663"/>
      <c r="BK92" s="3663"/>
      <c r="BL92" s="3663"/>
      <c r="BM92" s="3663"/>
      <c r="BN92" s="3663"/>
      <c r="BO92" s="3663"/>
      <c r="BP92" s="3663"/>
      <c r="BQ92" s="3663"/>
      <c r="BR92" s="3663"/>
      <c r="BS92" s="3663"/>
      <c r="BT92" s="3663"/>
      <c r="BU92" s="3663"/>
      <c r="BV92" s="3663"/>
      <c r="BW92" s="3663"/>
      <c r="BX92" s="3663"/>
      <c r="BY92" s="3663"/>
      <c r="BZ92" s="3663"/>
      <c r="CA92" s="3663"/>
      <c r="CB92" s="3663"/>
      <c r="CC92" s="3663"/>
      <c r="CD92" s="3663"/>
      <c r="CE92" s="3663"/>
      <c r="CF92" s="3663"/>
      <c r="CG92" s="3663"/>
      <c r="CH92" s="3663"/>
      <c r="CI92" s="3663"/>
      <c r="CJ92" s="3663"/>
      <c r="CK92" s="3663"/>
      <c r="CL92" s="3663"/>
      <c r="CM92" s="3663"/>
      <c r="CN92" s="3663"/>
      <c r="CO92" s="3663"/>
      <c r="CP92" s="3663"/>
      <c r="CQ92" s="3663"/>
      <c r="CR92" s="3663"/>
      <c r="CS92" s="3663"/>
      <c r="CT92" s="3663"/>
      <c r="CU92" s="3663"/>
      <c r="CV92" s="3663"/>
      <c r="CW92" s="3663"/>
      <c r="CX92" s="3663"/>
      <c r="CY92" s="3663"/>
    </row>
    <row r="93" spans="4:103" ht="10.5" hidden="1" customHeight="1">
      <c r="D93" s="3663"/>
      <c r="E93" s="3663"/>
      <c r="F93" s="3663"/>
      <c r="G93" s="3663"/>
      <c r="H93" s="3663"/>
      <c r="I93" s="3663"/>
      <c r="J93" s="3663"/>
      <c r="K93" s="3663"/>
      <c r="L93" s="3663"/>
      <c r="M93" s="3663"/>
      <c r="N93" s="3663"/>
      <c r="O93" s="3663"/>
      <c r="P93" s="3663"/>
      <c r="Q93" s="3663"/>
      <c r="R93" s="3663"/>
      <c r="S93" s="3663"/>
      <c r="T93" s="3663"/>
      <c r="U93" s="3663"/>
      <c r="V93" s="3663"/>
      <c r="W93" s="3663"/>
      <c r="X93" s="3663"/>
      <c r="Y93" s="3663"/>
      <c r="Z93" s="3663"/>
      <c r="AA93" s="3663"/>
      <c r="AB93" s="3663"/>
      <c r="AC93" s="3663"/>
      <c r="AD93" s="3663"/>
      <c r="AE93" s="3663"/>
      <c r="AF93" s="3663"/>
      <c r="AG93" s="3663"/>
      <c r="AH93" s="3663"/>
      <c r="AI93" s="3663"/>
      <c r="AJ93" s="3663"/>
      <c r="AK93" s="3663"/>
      <c r="AL93" s="3663"/>
      <c r="AM93" s="3663"/>
      <c r="AN93" s="3663"/>
      <c r="AO93" s="3663"/>
      <c r="AP93" s="3663"/>
      <c r="AQ93" s="3663"/>
      <c r="AR93" s="3663"/>
      <c r="AS93" s="3663"/>
      <c r="AT93" s="3663"/>
      <c r="AU93" s="3663"/>
      <c r="AV93" s="3663"/>
      <c r="AW93" s="3663"/>
      <c r="AX93" s="3663"/>
      <c r="AY93" s="3663"/>
      <c r="AZ93" s="3663"/>
      <c r="BA93" s="3663"/>
      <c r="BB93" s="3663"/>
      <c r="BC93" s="3663"/>
      <c r="BD93" s="3663"/>
      <c r="BE93" s="3663"/>
      <c r="BF93" s="3663"/>
      <c r="BG93" s="3663"/>
      <c r="BH93" s="3663"/>
      <c r="BI93" s="3663"/>
      <c r="BJ93" s="3663"/>
      <c r="BK93" s="3663"/>
      <c r="BL93" s="3663"/>
      <c r="BM93" s="3663"/>
      <c r="BN93" s="3663"/>
      <c r="BO93" s="3663"/>
      <c r="BP93" s="3663"/>
      <c r="BQ93" s="3663"/>
      <c r="BR93" s="3663"/>
      <c r="BS93" s="3663"/>
      <c r="BT93" s="3663"/>
      <c r="BU93" s="3663"/>
      <c r="BV93" s="3663"/>
      <c r="BW93" s="3663"/>
      <c r="BX93" s="3663"/>
      <c r="BY93" s="3663"/>
      <c r="BZ93" s="3663"/>
      <c r="CA93" s="3663"/>
      <c r="CB93" s="3663"/>
      <c r="CC93" s="3663"/>
      <c r="CD93" s="3663"/>
      <c r="CE93" s="3663"/>
      <c r="CF93" s="3663"/>
      <c r="CG93" s="3663"/>
      <c r="CH93" s="3663"/>
      <c r="CI93" s="3663"/>
      <c r="CJ93" s="3663"/>
      <c r="CK93" s="3663"/>
      <c r="CL93" s="3663"/>
      <c r="CM93" s="3663"/>
      <c r="CN93" s="3663"/>
      <c r="CO93" s="3663"/>
      <c r="CP93" s="3663"/>
      <c r="CQ93" s="3663"/>
      <c r="CR93" s="3663"/>
      <c r="CS93" s="3663"/>
      <c r="CT93" s="3663"/>
      <c r="CU93" s="3663"/>
      <c r="CV93" s="3663"/>
      <c r="CW93" s="3663"/>
      <c r="CX93" s="3663"/>
      <c r="CY93" s="3663"/>
    </row>
    <row r="94" spans="4:103" s="3652" customFormat="1" ht="45" customHeight="1">
      <c r="D94" s="3653" t="s">
        <v>4041</v>
      </c>
      <c r="E94" s="3654" t="s">
        <v>4384</v>
      </c>
      <c r="F94" s="3655">
        <f>SUM(G94:L94)</f>
        <v>19850.285</v>
      </c>
      <c r="G94" s="3655">
        <f t="shared" ref="G94:L94" si="154">SUM(G18,G73)</f>
        <v>0</v>
      </c>
      <c r="H94" s="3655">
        <f t="shared" si="154"/>
        <v>0</v>
      </c>
      <c r="I94" s="3655">
        <f t="shared" si="154"/>
        <v>190.53299999999999</v>
      </c>
      <c r="J94" s="3655">
        <f t="shared" si="154"/>
        <v>12530.698</v>
      </c>
      <c r="K94" s="3655">
        <f t="shared" si="154"/>
        <v>7129.054000000001</v>
      </c>
      <c r="L94" s="3655">
        <f t="shared" si="154"/>
        <v>0</v>
      </c>
      <c r="M94" s="3655">
        <f>SUM(N94:S94)</f>
        <v>175036.05778</v>
      </c>
      <c r="N94" s="3655">
        <f t="shared" ref="N94:S94" si="155">SUM(N18,N73)</f>
        <v>0</v>
      </c>
      <c r="O94" s="3655">
        <f t="shared" si="155"/>
        <v>0</v>
      </c>
      <c r="P94" s="3655">
        <f t="shared" si="155"/>
        <v>1611.7967599999999</v>
      </c>
      <c r="Q94" s="3655">
        <f t="shared" si="155"/>
        <v>109373.09769000001</v>
      </c>
      <c r="R94" s="3655">
        <f t="shared" si="155"/>
        <v>64051.163329999996</v>
      </c>
      <c r="S94" s="3655">
        <f t="shared" si="155"/>
        <v>0</v>
      </c>
      <c r="T94" s="3655">
        <f>SUM(U94:Z94)</f>
        <v>295.92699999999996</v>
      </c>
      <c r="U94" s="3655">
        <f t="shared" ref="U94:Z94" si="156">SUM(U18,U73)</f>
        <v>0</v>
      </c>
      <c r="V94" s="3655">
        <f t="shared" si="156"/>
        <v>0</v>
      </c>
      <c r="W94" s="3655">
        <f t="shared" si="156"/>
        <v>292.86599999999999</v>
      </c>
      <c r="X94" s="3655">
        <f t="shared" si="156"/>
        <v>3.0609999999999999</v>
      </c>
      <c r="Y94" s="3655">
        <f t="shared" si="156"/>
        <v>0</v>
      </c>
      <c r="Z94" s="3655">
        <f t="shared" si="156"/>
        <v>0</v>
      </c>
      <c r="AA94" s="3655">
        <f>SUM(AB94:AG94)</f>
        <v>2783.4780800000003</v>
      </c>
      <c r="AB94" s="3655">
        <f t="shared" ref="AB94:AG94" si="157">SUM(AB18,AB73)</f>
        <v>0</v>
      </c>
      <c r="AC94" s="3655">
        <f t="shared" si="157"/>
        <v>0</v>
      </c>
      <c r="AD94" s="3655">
        <f t="shared" si="157"/>
        <v>2754.2478200000005</v>
      </c>
      <c r="AE94" s="3655">
        <f t="shared" si="157"/>
        <v>29.230260000000001</v>
      </c>
      <c r="AF94" s="3655">
        <f t="shared" si="157"/>
        <v>0</v>
      </c>
      <c r="AG94" s="3655">
        <f t="shared" si="157"/>
        <v>0</v>
      </c>
      <c r="AH94" s="3655">
        <f>SUM(AI94:AN94)</f>
        <v>6724.0690000000004</v>
      </c>
      <c r="AI94" s="3655">
        <f t="shared" ref="AI94:AN94" si="158">SUM(AI18,AI73)</f>
        <v>0</v>
      </c>
      <c r="AJ94" s="3655">
        <f t="shared" si="158"/>
        <v>2494.779</v>
      </c>
      <c r="AK94" s="3655">
        <f t="shared" si="158"/>
        <v>4215.41</v>
      </c>
      <c r="AL94" s="3655">
        <f t="shared" si="158"/>
        <v>13.88</v>
      </c>
      <c r="AM94" s="3655">
        <f t="shared" si="158"/>
        <v>0</v>
      </c>
      <c r="AN94" s="3655">
        <f t="shared" si="158"/>
        <v>0</v>
      </c>
      <c r="AO94" s="3655">
        <f>SUM(AP94:AU94)</f>
        <v>47691.441340000012</v>
      </c>
      <c r="AP94" s="3655">
        <f t="shared" ref="AP94:AU94" si="159">SUM(AP18,AP73)</f>
        <v>0</v>
      </c>
      <c r="AQ94" s="3655">
        <f t="shared" si="159"/>
        <v>17193.228070000001</v>
      </c>
      <c r="AR94" s="3655">
        <f t="shared" si="159"/>
        <v>30394.370740000006</v>
      </c>
      <c r="AS94" s="3655">
        <f t="shared" si="159"/>
        <v>103.84253</v>
      </c>
      <c r="AT94" s="3655">
        <f t="shared" si="159"/>
        <v>0</v>
      </c>
      <c r="AU94" s="3655">
        <f t="shared" si="159"/>
        <v>0</v>
      </c>
      <c r="AV94" s="3655">
        <f>SUM(AW94:BB94)</f>
        <v>9.5549999999999997</v>
      </c>
      <c r="AW94" s="3655">
        <f t="shared" ref="AW94:BB94" si="160">SUM(AW18,AW73)</f>
        <v>0</v>
      </c>
      <c r="AX94" s="3655">
        <f t="shared" si="160"/>
        <v>3.28</v>
      </c>
      <c r="AY94" s="3655">
        <f t="shared" si="160"/>
        <v>6.2350000000000003</v>
      </c>
      <c r="AZ94" s="3655">
        <f t="shared" si="160"/>
        <v>0.04</v>
      </c>
      <c r="BA94" s="3655">
        <f t="shared" si="160"/>
        <v>0</v>
      </c>
      <c r="BB94" s="3655">
        <f t="shared" si="160"/>
        <v>0</v>
      </c>
      <c r="BC94" s="3655">
        <f>SUM(BD94:BI94)</f>
        <v>11536.08747</v>
      </c>
      <c r="BD94" s="3655">
        <f t="shared" ref="BD94:BI94" si="161">SUM(BD18,BD73)</f>
        <v>0</v>
      </c>
      <c r="BE94" s="3655">
        <f t="shared" si="161"/>
        <v>3960.05933</v>
      </c>
      <c r="BF94" s="3655">
        <f t="shared" si="161"/>
        <v>7527.7347300000001</v>
      </c>
      <c r="BG94" s="3655">
        <f t="shared" si="161"/>
        <v>48.293410000000002</v>
      </c>
      <c r="BH94" s="3655">
        <f t="shared" si="161"/>
        <v>0</v>
      </c>
      <c r="BI94" s="3655">
        <f t="shared" si="161"/>
        <v>0</v>
      </c>
      <c r="BJ94" s="3655">
        <f>SUM(BK94:BP94)</f>
        <v>3691.2719999999999</v>
      </c>
      <c r="BK94" s="3655">
        <f t="shared" ref="BK94:BP94" si="162">SUM(BK18,BK73)</f>
        <v>0</v>
      </c>
      <c r="BL94" s="3655">
        <f t="shared" si="162"/>
        <v>0</v>
      </c>
      <c r="BM94" s="3655">
        <f t="shared" si="162"/>
        <v>102.423</v>
      </c>
      <c r="BN94" s="3655">
        <f t="shared" si="162"/>
        <v>3588.8490000000002</v>
      </c>
      <c r="BO94" s="3655">
        <f t="shared" si="162"/>
        <v>0</v>
      </c>
      <c r="BP94" s="3655">
        <f t="shared" si="162"/>
        <v>0</v>
      </c>
      <c r="BQ94" s="3655">
        <f>SUM(BR94:BW94)</f>
        <v>13669.947359999998</v>
      </c>
      <c r="BR94" s="3655">
        <f t="shared" ref="BR94:BW94" si="163">SUM(BR18,BR73)</f>
        <v>0</v>
      </c>
      <c r="BS94" s="3655">
        <f t="shared" si="163"/>
        <v>0</v>
      </c>
      <c r="BT94" s="3655">
        <f t="shared" si="163"/>
        <v>359.80949000000004</v>
      </c>
      <c r="BU94" s="3655">
        <f t="shared" si="163"/>
        <v>13310.137869999999</v>
      </c>
      <c r="BV94" s="3655">
        <f t="shared" si="163"/>
        <v>0</v>
      </c>
      <c r="BW94" s="3655">
        <f t="shared" si="163"/>
        <v>0</v>
      </c>
      <c r="BX94" s="3655">
        <f>SUM(BY94:CD94)</f>
        <v>5.9239999999999995</v>
      </c>
      <c r="BY94" s="3655">
        <f t="shared" ref="BY94:CD94" si="164">SUM(BY18,BY73)</f>
        <v>0</v>
      </c>
      <c r="BZ94" s="3655">
        <f t="shared" si="164"/>
        <v>0</v>
      </c>
      <c r="CA94" s="3655">
        <f t="shared" si="164"/>
        <v>0.14499999999999999</v>
      </c>
      <c r="CB94" s="3655">
        <f t="shared" si="164"/>
        <v>5.7789999999999999</v>
      </c>
      <c r="CC94" s="3655">
        <f t="shared" si="164"/>
        <v>0</v>
      </c>
      <c r="CD94" s="3655">
        <f t="shared" si="164"/>
        <v>0</v>
      </c>
      <c r="CE94" s="3655">
        <f>SUM(CF94:CK94)</f>
        <v>7152.2535300000009</v>
      </c>
      <c r="CF94" s="3655">
        <f t="shared" ref="CF94:CK94" si="165">SUM(CF18,CF73)</f>
        <v>0</v>
      </c>
      <c r="CG94" s="3655">
        <f t="shared" si="165"/>
        <v>0</v>
      </c>
      <c r="CH94" s="3655">
        <f t="shared" si="165"/>
        <v>175.06359999999998</v>
      </c>
      <c r="CI94" s="3655">
        <f t="shared" si="165"/>
        <v>6977.1899300000005</v>
      </c>
      <c r="CJ94" s="3655">
        <f t="shared" si="165"/>
        <v>0</v>
      </c>
      <c r="CK94" s="3655">
        <f t="shared" si="165"/>
        <v>0</v>
      </c>
      <c r="CL94" s="3655">
        <f>SUM(CM94:CR94)</f>
        <v>6.7130000000000001</v>
      </c>
      <c r="CM94" s="3655">
        <f t="shared" ref="CM94:CR94" si="166">SUM(CM18,CM73)</f>
        <v>0</v>
      </c>
      <c r="CN94" s="3655">
        <f t="shared" si="166"/>
        <v>0</v>
      </c>
      <c r="CO94" s="3655">
        <f t="shared" si="166"/>
        <v>0.157</v>
      </c>
      <c r="CP94" s="3655">
        <f t="shared" si="166"/>
        <v>6.556</v>
      </c>
      <c r="CQ94" s="3655">
        <f t="shared" si="166"/>
        <v>0</v>
      </c>
      <c r="CR94" s="3655">
        <f t="shared" si="166"/>
        <v>0</v>
      </c>
      <c r="CS94" s="3655">
        <f>SUM(CT94:CY94)</f>
        <v>7164.6043899999995</v>
      </c>
      <c r="CT94" s="3655">
        <f t="shared" ref="CT94:CY94" si="167">SUM(CT18,CT73)</f>
        <v>0</v>
      </c>
      <c r="CU94" s="3655">
        <f t="shared" si="167"/>
        <v>0</v>
      </c>
      <c r="CV94" s="3655">
        <f t="shared" si="167"/>
        <v>439.46540000000005</v>
      </c>
      <c r="CW94" s="3655">
        <f t="shared" si="167"/>
        <v>6725.1389899999995</v>
      </c>
      <c r="CX94" s="3655">
        <f t="shared" si="167"/>
        <v>0</v>
      </c>
      <c r="CY94" s="3655">
        <f t="shared" si="167"/>
        <v>0</v>
      </c>
    </row>
  </sheetData>
  <sheetProtection formatColumns="0" formatRows="0" insertRows="0" deleteColumns="0" deleteRows="0" sort="0" autoFilter="0"/>
  <mergeCells count="58">
    <mergeCell ref="CS14:CS15"/>
    <mergeCell ref="CT14:CY14"/>
    <mergeCell ref="BX14:BX15"/>
    <mergeCell ref="BY14:CD14"/>
    <mergeCell ref="CE14:CE15"/>
    <mergeCell ref="CF14:CK14"/>
    <mergeCell ref="CL14:CL15"/>
    <mergeCell ref="CM14:CR14"/>
    <mergeCell ref="BR14:BW14"/>
    <mergeCell ref="AH14:AH15"/>
    <mergeCell ref="AI14:AN14"/>
    <mergeCell ref="AO14:AO15"/>
    <mergeCell ref="AP14:AU14"/>
    <mergeCell ref="AV14:AV15"/>
    <mergeCell ref="AW14:BB14"/>
    <mergeCell ref="BC14:BC15"/>
    <mergeCell ref="BD14:BI14"/>
    <mergeCell ref="BJ14:BJ15"/>
    <mergeCell ref="BK14:BP14"/>
    <mergeCell ref="BQ14:BQ15"/>
    <mergeCell ref="CL13:CR13"/>
    <mergeCell ref="CS13:CY13"/>
    <mergeCell ref="F14:F15"/>
    <mergeCell ref="G14:L14"/>
    <mergeCell ref="M14:M15"/>
    <mergeCell ref="N14:S14"/>
    <mergeCell ref="T14:T15"/>
    <mergeCell ref="U14:Z14"/>
    <mergeCell ref="AA14:AA15"/>
    <mergeCell ref="AB14:AG14"/>
    <mergeCell ref="AV13:BB13"/>
    <mergeCell ref="BC13:BI13"/>
    <mergeCell ref="BJ13:BP13"/>
    <mergeCell ref="BQ13:BW13"/>
    <mergeCell ref="BX13:CD13"/>
    <mergeCell ref="CE13:CK13"/>
    <mergeCell ref="BQ11:BW11"/>
    <mergeCell ref="F13:L13"/>
    <mergeCell ref="M13:S13"/>
    <mergeCell ref="T13:Z13"/>
    <mergeCell ref="AA13:AG13"/>
    <mergeCell ref="AH13:AN13"/>
    <mergeCell ref="CE11:CK11"/>
    <mergeCell ref="AO13:AU13"/>
    <mergeCell ref="CS11:CY11"/>
    <mergeCell ref="D12:D16"/>
    <mergeCell ref="E12:E16"/>
    <mergeCell ref="F12:S12"/>
    <mergeCell ref="T12:AG12"/>
    <mergeCell ref="AH12:AU12"/>
    <mergeCell ref="AV12:BI12"/>
    <mergeCell ref="BJ12:BW12"/>
    <mergeCell ref="BX12:CK12"/>
    <mergeCell ref="CL12:CY12"/>
    <mergeCell ref="M11:S11"/>
    <mergeCell ref="AA11:AG11"/>
    <mergeCell ref="AO11:AU11"/>
    <mergeCell ref="BC11:BI11"/>
  </mergeCells>
  <printOptions horizontalCentered="1"/>
  <pageMargins left="0.24" right="0.24" top="0.24" bottom="0.24" header="0.24" footer="0.24"/>
  <pageSetup paperSize="8" scale="36" orientation="landscape"/>
  <headerFooter>
    <oddHeader>&amp;L&amp;C&amp;R</oddHeader>
    <oddFooter>&amp;L&amp;C&amp;R</oddFooter>
    <evenHeader>&amp;L&amp;C&amp;R</evenHeader>
    <evenFooter>&amp;L&amp;C&amp;R</evenFooter>
  </headerFooter>
  <rowBreaks count="1" manualBreakCount="1">
    <brk id="72" max="1048576" man="1"/>
  </rowBreaks>
  <colBreaks count="2" manualBreakCount="2">
    <brk id="33" max="16384" man="1"/>
    <brk id="61" max="16384" man="1"/>
  </colBreaks>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3DBDB"/>
    <pageSetUpPr fitToPage="1"/>
  </sheetPr>
  <dimension ref="A1:Q94"/>
  <sheetViews>
    <sheetView showGridLines="0" topLeftCell="C67" workbookViewId="0">
      <selection activeCell="G93" sqref="G93"/>
    </sheetView>
  </sheetViews>
  <sheetFormatPr defaultColWidth="9.140625" defaultRowHeight="10.5" customHeight="1"/>
  <cols>
    <col min="1" max="2" width="4.7109375" style="3637" hidden="1" customWidth="1"/>
    <col min="3" max="3" width="2.7109375" style="3637" customWidth="1"/>
    <col min="4" max="4" width="70.7109375" style="3637" customWidth="1"/>
    <col min="5" max="5" width="6.7109375" style="3637" customWidth="1"/>
    <col min="6" max="17" width="17.7109375" style="3637" customWidth="1"/>
    <col min="18" max="16384" width="9.140625" style="3560"/>
  </cols>
  <sheetData>
    <row r="1" spans="1:17" ht="10.5" hidden="1" customHeight="1">
      <c r="F1" s="3639" t="s">
        <v>4176</v>
      </c>
      <c r="G1" s="3639" t="s">
        <v>4176</v>
      </c>
      <c r="H1" s="3639" t="s">
        <v>4177</v>
      </c>
      <c r="I1" s="3639" t="s">
        <v>4177</v>
      </c>
      <c r="J1" s="3639" t="s">
        <v>4385</v>
      </c>
      <c r="K1" s="3639" t="s">
        <v>4385</v>
      </c>
      <c r="L1" s="3639" t="s">
        <v>4385</v>
      </c>
      <c r="M1" s="3639" t="s">
        <v>4385</v>
      </c>
      <c r="N1" s="3639" t="s">
        <v>4386</v>
      </c>
      <c r="O1" s="3639" t="s">
        <v>4386</v>
      </c>
      <c r="P1" s="3639" t="s">
        <v>4386</v>
      </c>
      <c r="Q1" s="3639" t="s">
        <v>4386</v>
      </c>
    </row>
    <row r="2" spans="1:17" ht="10.5" hidden="1" customHeight="1"/>
    <row r="3" spans="1:17" ht="10.5" hidden="1" customHeight="1">
      <c r="F3" s="3641" t="s">
        <v>4387</v>
      </c>
      <c r="G3" s="3641" t="s">
        <v>4388</v>
      </c>
      <c r="H3" s="3641" t="s">
        <v>4389</v>
      </c>
      <c r="I3" s="3641" t="s">
        <v>4390</v>
      </c>
      <c r="J3" s="3641" t="s">
        <v>4391</v>
      </c>
      <c r="K3" s="3641" t="s">
        <v>4392</v>
      </c>
      <c r="L3" s="3641" t="s">
        <v>4393</v>
      </c>
      <c r="M3" s="3641" t="s">
        <v>4394</v>
      </c>
      <c r="N3" s="3641" t="s">
        <v>4395</v>
      </c>
      <c r="O3" s="3641" t="s">
        <v>4396</v>
      </c>
      <c r="P3" s="3641" t="s">
        <v>4397</v>
      </c>
      <c r="Q3" s="3641" t="s">
        <v>4398</v>
      </c>
    </row>
    <row r="4" spans="1:17" ht="10.5" hidden="1" customHeight="1"/>
    <row r="5" spans="1:17" ht="10.5" hidden="1" customHeight="1">
      <c r="A5" s="3642"/>
    </row>
    <row r="6" spans="1:17" ht="10.5" hidden="1" customHeight="1">
      <c r="A6" s="3642"/>
    </row>
    <row r="7" spans="1:17" ht="6" customHeight="1">
      <c r="A7" s="3642"/>
    </row>
    <row r="8" spans="1:17" ht="12" customHeight="1">
      <c r="A8" s="3642"/>
      <c r="D8" s="3664" t="s">
        <v>4399</v>
      </c>
    </row>
    <row r="9" spans="1:17" ht="12" customHeight="1">
      <c r="D9" s="3665" t="s">
        <v>4400</v>
      </c>
    </row>
    <row r="10" spans="1:17" ht="12" customHeight="1">
      <c r="D10" s="3646" t="e">
        <f>IF(ORG="","Не определено",ORG)</f>
        <v>#NAME?</v>
      </c>
      <c r="Q10" s="3647" t="s">
        <v>4287</v>
      </c>
    </row>
    <row r="11" spans="1:17" ht="15" customHeight="1">
      <c r="D11" s="3666" t="s">
        <v>4288</v>
      </c>
      <c r="G11" s="3649" t="s">
        <v>4289</v>
      </c>
      <c r="I11" s="3649" t="s">
        <v>4289</v>
      </c>
      <c r="K11" s="3649" t="s">
        <v>4289</v>
      </c>
      <c r="M11" s="3649" t="s">
        <v>4289</v>
      </c>
      <c r="O11" s="3649" t="s">
        <v>4289</v>
      </c>
      <c r="Q11" s="3649" t="s">
        <v>4289</v>
      </c>
    </row>
    <row r="12" spans="1:17" s="3644" customFormat="1" ht="12" customHeight="1">
      <c r="D12" s="4760" t="s">
        <v>497</v>
      </c>
      <c r="E12" s="4760" t="s">
        <v>498</v>
      </c>
      <c r="F12" s="4763" t="s">
        <v>205</v>
      </c>
      <c r="G12" s="4763"/>
      <c r="H12" s="4763" t="s">
        <v>608</v>
      </c>
      <c r="I12" s="4763"/>
      <c r="J12" s="4763" t="s">
        <v>622</v>
      </c>
      <c r="K12" s="4763"/>
      <c r="L12" s="4763" t="s">
        <v>622</v>
      </c>
      <c r="M12" s="4763"/>
      <c r="N12" s="4764" t="s">
        <v>623</v>
      </c>
      <c r="O12" s="4764"/>
      <c r="P12" s="4764" t="s">
        <v>623</v>
      </c>
      <c r="Q12" s="4764"/>
    </row>
    <row r="13" spans="1:17" s="3644" customFormat="1" ht="69" customHeight="1">
      <c r="D13" s="4760"/>
      <c r="E13" s="4760"/>
      <c r="F13" s="3649" t="s">
        <v>4290</v>
      </c>
      <c r="G13" s="3649" t="s">
        <v>4291</v>
      </c>
      <c r="H13" s="3649" t="s">
        <v>4290</v>
      </c>
      <c r="I13" s="3649" t="s">
        <v>4291</v>
      </c>
      <c r="J13" s="3649" t="s">
        <v>4292</v>
      </c>
      <c r="K13" s="3649" t="s">
        <v>4293</v>
      </c>
      <c r="L13" s="3649" t="s">
        <v>4294</v>
      </c>
      <c r="M13" s="3649" t="s">
        <v>4295</v>
      </c>
      <c r="N13" s="3649" t="s">
        <v>4292</v>
      </c>
      <c r="O13" s="3649" t="s">
        <v>4293</v>
      </c>
      <c r="P13" s="3649" t="s">
        <v>4294</v>
      </c>
      <c r="Q13" s="3649" t="s">
        <v>4295</v>
      </c>
    </row>
    <row r="14" spans="1:17" s="3644" customFormat="1" ht="12" hidden="1" customHeight="1">
      <c r="D14" s="4760"/>
      <c r="E14" s="4760"/>
      <c r="F14" s="3667"/>
      <c r="G14" s="3667"/>
      <c r="H14" s="3667"/>
      <c r="I14" s="3667"/>
      <c r="J14" s="3667"/>
      <c r="K14" s="3667"/>
      <c r="L14" s="3667"/>
      <c r="M14" s="3667"/>
      <c r="N14" s="3667"/>
      <c r="O14" s="3667"/>
      <c r="P14" s="3667"/>
      <c r="Q14" s="3667"/>
    </row>
    <row r="15" spans="1:17" s="3644" customFormat="1" ht="12" hidden="1" customHeight="1">
      <c r="D15" s="4760"/>
      <c r="E15" s="4760"/>
      <c r="F15" s="3667"/>
      <c r="G15" s="3667"/>
      <c r="H15" s="3667"/>
      <c r="I15" s="3667"/>
      <c r="J15" s="3667"/>
      <c r="K15" s="3667"/>
      <c r="L15" s="3667"/>
      <c r="M15" s="3667"/>
      <c r="N15" s="3667"/>
      <c r="O15" s="3667"/>
      <c r="P15" s="3667"/>
      <c r="Q15" s="3667"/>
    </row>
    <row r="16" spans="1:17" s="3644" customFormat="1" ht="12" customHeight="1">
      <c r="D16" s="4760"/>
      <c r="E16" s="4760"/>
      <c r="F16" s="3649" t="s">
        <v>4298</v>
      </c>
      <c r="G16" s="3649" t="s">
        <v>1833</v>
      </c>
      <c r="H16" s="3649" t="s">
        <v>4298</v>
      </c>
      <c r="I16" s="3649" t="s">
        <v>1833</v>
      </c>
      <c r="J16" s="3649" t="s">
        <v>4298</v>
      </c>
      <c r="K16" s="3649" t="s">
        <v>1833</v>
      </c>
      <c r="L16" s="3649" t="s">
        <v>420</v>
      </c>
      <c r="M16" s="3649" t="s">
        <v>1833</v>
      </c>
      <c r="N16" s="3649" t="s">
        <v>4298</v>
      </c>
      <c r="O16" s="3649" t="s">
        <v>1833</v>
      </c>
      <c r="P16" s="3649" t="s">
        <v>420</v>
      </c>
      <c r="Q16" s="3649" t="s">
        <v>1833</v>
      </c>
    </row>
    <row r="17" spans="4:17" ht="12" customHeight="1">
      <c r="D17" s="3651">
        <v>1</v>
      </c>
      <c r="E17" s="3651">
        <v>2</v>
      </c>
      <c r="F17" s="3651">
        <v>3</v>
      </c>
      <c r="G17" s="3651">
        <v>4</v>
      </c>
      <c r="H17" s="3651">
        <v>5</v>
      </c>
      <c r="I17" s="3651">
        <v>6</v>
      </c>
      <c r="J17" s="3651">
        <v>7</v>
      </c>
      <c r="K17" s="3651">
        <v>8</v>
      </c>
      <c r="L17" s="3651">
        <v>9</v>
      </c>
      <c r="M17" s="3651">
        <v>10</v>
      </c>
      <c r="N17" s="3651">
        <v>11</v>
      </c>
      <c r="O17" s="3651">
        <v>12</v>
      </c>
      <c r="P17" s="3651">
        <v>13</v>
      </c>
      <c r="Q17" s="3651">
        <v>14</v>
      </c>
    </row>
    <row r="18" spans="4:17" ht="45" customHeight="1">
      <c r="D18" s="3653" t="s">
        <v>4299</v>
      </c>
      <c r="E18" s="3654" t="s">
        <v>4300</v>
      </c>
      <c r="F18" s="3658">
        <f t="shared" ref="F18:Q18" si="0">SUM(F19,F37,F55)</f>
        <v>0</v>
      </c>
      <c r="G18" s="3658">
        <f t="shared" si="0"/>
        <v>0</v>
      </c>
      <c r="H18" s="3658">
        <f t="shared" si="0"/>
        <v>0</v>
      </c>
      <c r="I18" s="3658">
        <f t="shared" si="0"/>
        <v>0</v>
      </c>
      <c r="J18" s="3658">
        <f t="shared" si="0"/>
        <v>0</v>
      </c>
      <c r="K18" s="3658">
        <f t="shared" si="0"/>
        <v>0</v>
      </c>
      <c r="L18" s="3658">
        <f t="shared" si="0"/>
        <v>0</v>
      </c>
      <c r="M18" s="3658">
        <f t="shared" si="0"/>
        <v>0</v>
      </c>
      <c r="N18" s="3658">
        <f t="shared" si="0"/>
        <v>0</v>
      </c>
      <c r="O18" s="3658">
        <f t="shared" si="0"/>
        <v>0</v>
      </c>
      <c r="P18" s="3658">
        <f t="shared" si="0"/>
        <v>0</v>
      </c>
      <c r="Q18" s="3658">
        <f t="shared" si="0"/>
        <v>0</v>
      </c>
    </row>
    <row r="19" spans="4:17" ht="24" customHeight="1">
      <c r="D19" s="3656" t="s">
        <v>4301</v>
      </c>
      <c r="E19" s="3657" t="s">
        <v>4302</v>
      </c>
      <c r="F19" s="3658">
        <f t="shared" ref="F19:Q19" si="1">SUM(F20,F30:F36)</f>
        <v>0</v>
      </c>
      <c r="G19" s="3658">
        <f t="shared" si="1"/>
        <v>0</v>
      </c>
      <c r="H19" s="3658">
        <f t="shared" si="1"/>
        <v>0</v>
      </c>
      <c r="I19" s="3658">
        <f t="shared" si="1"/>
        <v>0</v>
      </c>
      <c r="J19" s="3658">
        <f t="shared" si="1"/>
        <v>0</v>
      </c>
      <c r="K19" s="3658">
        <f t="shared" si="1"/>
        <v>0</v>
      </c>
      <c r="L19" s="3658">
        <f t="shared" si="1"/>
        <v>0</v>
      </c>
      <c r="M19" s="3658">
        <f t="shared" si="1"/>
        <v>0</v>
      </c>
      <c r="N19" s="3658">
        <f t="shared" si="1"/>
        <v>0</v>
      </c>
      <c r="O19" s="3658">
        <f t="shared" si="1"/>
        <v>0</v>
      </c>
      <c r="P19" s="3658">
        <f t="shared" si="1"/>
        <v>0</v>
      </c>
      <c r="Q19" s="3658">
        <f t="shared" si="1"/>
        <v>0</v>
      </c>
    </row>
    <row r="20" spans="4:17" ht="45" customHeight="1">
      <c r="D20" s="3659" t="s">
        <v>4050</v>
      </c>
      <c r="E20" s="3649" t="s">
        <v>4303</v>
      </c>
      <c r="F20" s="3658">
        <f t="shared" ref="F20:Q20" si="2">SUM(F21:F29)</f>
        <v>0</v>
      </c>
      <c r="G20" s="3658">
        <f t="shared" si="2"/>
        <v>0</v>
      </c>
      <c r="H20" s="3658">
        <f t="shared" si="2"/>
        <v>0</v>
      </c>
      <c r="I20" s="3658">
        <f t="shared" si="2"/>
        <v>0</v>
      </c>
      <c r="J20" s="3658">
        <f t="shared" si="2"/>
        <v>0</v>
      </c>
      <c r="K20" s="3658">
        <f t="shared" si="2"/>
        <v>0</v>
      </c>
      <c r="L20" s="3658">
        <f t="shared" si="2"/>
        <v>0</v>
      </c>
      <c r="M20" s="3658">
        <f t="shared" si="2"/>
        <v>0</v>
      </c>
      <c r="N20" s="3658">
        <f t="shared" si="2"/>
        <v>0</v>
      </c>
      <c r="O20" s="3658">
        <f t="shared" si="2"/>
        <v>0</v>
      </c>
      <c r="P20" s="3658">
        <f t="shared" si="2"/>
        <v>0</v>
      </c>
      <c r="Q20" s="3658">
        <f t="shared" si="2"/>
        <v>0</v>
      </c>
    </row>
    <row r="21" spans="4:17" ht="12" customHeight="1">
      <c r="D21" s="3660" t="s">
        <v>4304</v>
      </c>
      <c r="E21" s="3649" t="s">
        <v>4305</v>
      </c>
      <c r="F21" s="3661"/>
      <c r="G21" s="3661"/>
      <c r="H21" s="3661"/>
      <c r="I21" s="3661"/>
      <c r="J21" s="3661"/>
      <c r="K21" s="3661"/>
      <c r="L21" s="3661"/>
      <c r="M21" s="3661"/>
      <c r="N21" s="3661"/>
      <c r="O21" s="3661"/>
      <c r="P21" s="3661"/>
      <c r="Q21" s="3661"/>
    </row>
    <row r="22" spans="4:17" ht="12" customHeight="1">
      <c r="D22" s="3660" t="s">
        <v>4306</v>
      </c>
      <c r="E22" s="3649" t="s">
        <v>4307</v>
      </c>
      <c r="F22" s="3661"/>
      <c r="G22" s="3661"/>
      <c r="H22" s="3661"/>
      <c r="I22" s="3661"/>
      <c r="J22" s="3661"/>
      <c r="K22" s="3661"/>
      <c r="L22" s="3661"/>
      <c r="M22" s="3661"/>
      <c r="N22" s="3661"/>
      <c r="O22" s="3661"/>
      <c r="P22" s="3661"/>
      <c r="Q22" s="3661"/>
    </row>
    <row r="23" spans="4:17" ht="12" customHeight="1">
      <c r="D23" s="3660" t="s">
        <v>4308</v>
      </c>
      <c r="E23" s="3649" t="s">
        <v>4309</v>
      </c>
      <c r="F23" s="3661"/>
      <c r="G23" s="3661"/>
      <c r="H23" s="3661"/>
      <c r="I23" s="3661"/>
      <c r="J23" s="3661"/>
      <c r="K23" s="3661"/>
      <c r="L23" s="3661"/>
      <c r="M23" s="3661"/>
      <c r="N23" s="3661"/>
      <c r="O23" s="3661"/>
      <c r="P23" s="3661"/>
      <c r="Q23" s="3661"/>
    </row>
    <row r="24" spans="4:17" ht="12" customHeight="1">
      <c r="D24" s="3660" t="s">
        <v>4310</v>
      </c>
      <c r="E24" s="3649" t="s">
        <v>4311</v>
      </c>
      <c r="F24" s="3661"/>
      <c r="G24" s="3661"/>
      <c r="H24" s="3661"/>
      <c r="I24" s="3661"/>
      <c r="J24" s="3661"/>
      <c r="K24" s="3661"/>
      <c r="L24" s="3661"/>
      <c r="M24" s="3661"/>
      <c r="N24" s="3661"/>
      <c r="O24" s="3661"/>
      <c r="P24" s="3661"/>
      <c r="Q24" s="3661"/>
    </row>
    <row r="25" spans="4:17" ht="12" customHeight="1">
      <c r="D25" s="3660" t="s">
        <v>4312</v>
      </c>
      <c r="E25" s="3649" t="s">
        <v>4313</v>
      </c>
      <c r="F25" s="3661"/>
      <c r="G25" s="3661"/>
      <c r="H25" s="3661"/>
      <c r="I25" s="3661"/>
      <c r="J25" s="3661"/>
      <c r="K25" s="3661"/>
      <c r="L25" s="3661"/>
      <c r="M25" s="3661"/>
      <c r="N25" s="3661"/>
      <c r="O25" s="3661"/>
      <c r="P25" s="3661"/>
      <c r="Q25" s="3661"/>
    </row>
    <row r="26" spans="4:17" ht="12" customHeight="1">
      <c r="D26" s="3660" t="s">
        <v>4314</v>
      </c>
      <c r="E26" s="3649" t="s">
        <v>4315</v>
      </c>
      <c r="F26" s="3661"/>
      <c r="G26" s="3661"/>
      <c r="H26" s="3661"/>
      <c r="I26" s="3661"/>
      <c r="J26" s="3661"/>
      <c r="K26" s="3661"/>
      <c r="L26" s="3661"/>
      <c r="M26" s="3661"/>
      <c r="N26" s="3661"/>
      <c r="O26" s="3661"/>
      <c r="P26" s="3661"/>
      <c r="Q26" s="3661"/>
    </row>
    <row r="27" spans="4:17" ht="12" customHeight="1">
      <c r="D27" s="3660" t="s">
        <v>4316</v>
      </c>
      <c r="E27" s="3649" t="s">
        <v>4317</v>
      </c>
      <c r="F27" s="3661"/>
      <c r="G27" s="3661"/>
      <c r="H27" s="3661"/>
      <c r="I27" s="3661"/>
      <c r="J27" s="3661"/>
      <c r="K27" s="3661"/>
      <c r="L27" s="3661"/>
      <c r="M27" s="3661"/>
      <c r="N27" s="3661"/>
      <c r="O27" s="3661"/>
      <c r="P27" s="3661"/>
      <c r="Q27" s="3661"/>
    </row>
    <row r="28" spans="4:17" ht="12" customHeight="1">
      <c r="D28" s="3660" t="s">
        <v>4318</v>
      </c>
      <c r="E28" s="3649" t="s">
        <v>4319</v>
      </c>
      <c r="F28" s="3661"/>
      <c r="G28" s="3661"/>
      <c r="H28" s="3661"/>
      <c r="I28" s="3661"/>
      <c r="J28" s="3661"/>
      <c r="K28" s="3661"/>
      <c r="L28" s="3661"/>
      <c r="M28" s="3661"/>
      <c r="N28" s="3661"/>
      <c r="O28" s="3661"/>
      <c r="P28" s="3661"/>
      <c r="Q28" s="3661"/>
    </row>
    <row r="29" spans="4:17" ht="12" customHeight="1">
      <c r="D29" s="3660" t="s">
        <v>4320</v>
      </c>
      <c r="E29" s="3649" t="s">
        <v>4321</v>
      </c>
      <c r="F29" s="3661"/>
      <c r="G29" s="3661"/>
      <c r="H29" s="3661"/>
      <c r="I29" s="3661"/>
      <c r="J29" s="3661"/>
      <c r="K29" s="3661"/>
      <c r="L29" s="3661"/>
      <c r="M29" s="3661"/>
      <c r="N29" s="3661"/>
      <c r="O29" s="3661"/>
      <c r="P29" s="3661"/>
      <c r="Q29" s="3661"/>
    </row>
    <row r="30" spans="4:17" ht="12" customHeight="1">
      <c r="D30" s="3659" t="s">
        <v>516</v>
      </c>
      <c r="E30" s="3649" t="s">
        <v>4322</v>
      </c>
      <c r="F30" s="3661"/>
      <c r="G30" s="3661"/>
      <c r="H30" s="3661"/>
      <c r="I30" s="3661"/>
      <c r="J30" s="3661"/>
      <c r="K30" s="3661"/>
      <c r="L30" s="3661"/>
      <c r="M30" s="3661"/>
      <c r="N30" s="3661"/>
      <c r="O30" s="3661"/>
      <c r="P30" s="3661"/>
      <c r="Q30" s="3661"/>
    </row>
    <row r="31" spans="4:17" ht="12" customHeight="1">
      <c r="D31" s="3659" t="s">
        <v>517</v>
      </c>
      <c r="E31" s="3649" t="s">
        <v>4323</v>
      </c>
      <c r="F31" s="3661"/>
      <c r="G31" s="3661"/>
      <c r="H31" s="3661"/>
      <c r="I31" s="3661"/>
      <c r="J31" s="3661"/>
      <c r="K31" s="3661"/>
      <c r="L31" s="3661"/>
      <c r="M31" s="3661"/>
      <c r="N31" s="3661"/>
      <c r="O31" s="3661"/>
      <c r="P31" s="3661"/>
      <c r="Q31" s="3661"/>
    </row>
    <row r="32" spans="4:17" ht="12" customHeight="1">
      <c r="D32" s="3659" t="s">
        <v>518</v>
      </c>
      <c r="E32" s="3649" t="s">
        <v>4324</v>
      </c>
      <c r="F32" s="3661"/>
      <c r="G32" s="3661"/>
      <c r="H32" s="3661"/>
      <c r="I32" s="3661"/>
      <c r="J32" s="3661"/>
      <c r="K32" s="3661"/>
      <c r="L32" s="3661"/>
      <c r="M32" s="3661"/>
      <c r="N32" s="3661"/>
      <c r="O32" s="3661"/>
      <c r="P32" s="3661"/>
      <c r="Q32" s="3661"/>
    </row>
    <row r="33" spans="4:17" ht="12" customHeight="1">
      <c r="D33" s="3659" t="s">
        <v>519</v>
      </c>
      <c r="E33" s="3649" t="s">
        <v>4325</v>
      </c>
      <c r="F33" s="3661"/>
      <c r="G33" s="3661"/>
      <c r="H33" s="3661"/>
      <c r="I33" s="3661"/>
      <c r="J33" s="3661"/>
      <c r="K33" s="3661"/>
      <c r="L33" s="3661"/>
      <c r="M33" s="3661"/>
      <c r="N33" s="3661"/>
      <c r="O33" s="3661"/>
      <c r="P33" s="3661"/>
      <c r="Q33" s="3661"/>
    </row>
    <row r="34" spans="4:17" ht="12" customHeight="1">
      <c r="D34" s="3659" t="s">
        <v>520</v>
      </c>
      <c r="E34" s="3649" t="s">
        <v>4326</v>
      </c>
      <c r="F34" s="3661"/>
      <c r="G34" s="3661"/>
      <c r="H34" s="3661"/>
      <c r="I34" s="3661"/>
      <c r="J34" s="3661"/>
      <c r="K34" s="3661"/>
      <c r="L34" s="3661"/>
      <c r="M34" s="3661"/>
      <c r="N34" s="3661"/>
      <c r="O34" s="3661"/>
      <c r="P34" s="3661"/>
      <c r="Q34" s="3661"/>
    </row>
    <row r="35" spans="4:17" ht="12" customHeight="1">
      <c r="D35" s="3659" t="s">
        <v>521</v>
      </c>
      <c r="E35" s="3649" t="s">
        <v>4327</v>
      </c>
      <c r="F35" s="3661"/>
      <c r="G35" s="3661"/>
      <c r="H35" s="3661"/>
      <c r="I35" s="3661"/>
      <c r="J35" s="3661"/>
      <c r="K35" s="3661"/>
      <c r="L35" s="3661"/>
      <c r="M35" s="3661"/>
      <c r="N35" s="3661"/>
      <c r="O35" s="3661"/>
      <c r="P35" s="3661"/>
      <c r="Q35" s="3661"/>
    </row>
    <row r="36" spans="4:17" ht="12" customHeight="1">
      <c r="D36" s="3659" t="s">
        <v>4060</v>
      </c>
      <c r="E36" s="3649" t="s">
        <v>4328</v>
      </c>
      <c r="F36" s="3661"/>
      <c r="G36" s="3661"/>
      <c r="H36" s="3661"/>
      <c r="I36" s="3661"/>
      <c r="J36" s="3661"/>
      <c r="K36" s="3661"/>
      <c r="L36" s="3661"/>
      <c r="M36" s="3661"/>
      <c r="N36" s="3661"/>
      <c r="O36" s="3661"/>
      <c r="P36" s="3661"/>
      <c r="Q36" s="3661"/>
    </row>
    <row r="37" spans="4:17" ht="24" customHeight="1">
      <c r="D37" s="3656" t="s">
        <v>523</v>
      </c>
      <c r="E37" s="3657" t="s">
        <v>4329</v>
      </c>
      <c r="F37" s="3658">
        <f t="shared" ref="F37:Q37" si="3">SUM(F38,F48:F54)</f>
        <v>0</v>
      </c>
      <c r="G37" s="3658">
        <f t="shared" si="3"/>
        <v>0</v>
      </c>
      <c r="H37" s="3658">
        <f t="shared" si="3"/>
        <v>0</v>
      </c>
      <c r="I37" s="3658">
        <f t="shared" si="3"/>
        <v>0</v>
      </c>
      <c r="J37" s="3658">
        <f t="shared" si="3"/>
        <v>0</v>
      </c>
      <c r="K37" s="3658">
        <f t="shared" si="3"/>
        <v>0</v>
      </c>
      <c r="L37" s="3658">
        <f t="shared" si="3"/>
        <v>0</v>
      </c>
      <c r="M37" s="3658">
        <f t="shared" si="3"/>
        <v>0</v>
      </c>
      <c r="N37" s="3658">
        <f t="shared" si="3"/>
        <v>0</v>
      </c>
      <c r="O37" s="3658">
        <f t="shared" si="3"/>
        <v>0</v>
      </c>
      <c r="P37" s="3658">
        <f t="shared" si="3"/>
        <v>0</v>
      </c>
      <c r="Q37" s="3658">
        <f t="shared" si="3"/>
        <v>0</v>
      </c>
    </row>
    <row r="38" spans="4:17" ht="45" customHeight="1">
      <c r="D38" s="3659" t="s">
        <v>4050</v>
      </c>
      <c r="E38" s="3649" t="s">
        <v>4330</v>
      </c>
      <c r="F38" s="3658">
        <f t="shared" ref="F38:Q38" si="4">SUM(F39:F47)</f>
        <v>0</v>
      </c>
      <c r="G38" s="3658">
        <f t="shared" si="4"/>
        <v>0</v>
      </c>
      <c r="H38" s="3658">
        <f t="shared" si="4"/>
        <v>0</v>
      </c>
      <c r="I38" s="3658">
        <f t="shared" si="4"/>
        <v>0</v>
      </c>
      <c r="J38" s="3658">
        <f t="shared" si="4"/>
        <v>0</v>
      </c>
      <c r="K38" s="3658">
        <f t="shared" si="4"/>
        <v>0</v>
      </c>
      <c r="L38" s="3658">
        <f t="shared" si="4"/>
        <v>0</v>
      </c>
      <c r="M38" s="3658">
        <f t="shared" si="4"/>
        <v>0</v>
      </c>
      <c r="N38" s="3658">
        <f t="shared" si="4"/>
        <v>0</v>
      </c>
      <c r="O38" s="3658">
        <f t="shared" si="4"/>
        <v>0</v>
      </c>
      <c r="P38" s="3658">
        <f t="shared" si="4"/>
        <v>0</v>
      </c>
      <c r="Q38" s="3658">
        <f t="shared" si="4"/>
        <v>0</v>
      </c>
    </row>
    <row r="39" spans="4:17" ht="12" customHeight="1">
      <c r="D39" s="3660" t="s">
        <v>4304</v>
      </c>
      <c r="E39" s="3649" t="s">
        <v>4331</v>
      </c>
      <c r="F39" s="3661"/>
      <c r="G39" s="3661"/>
      <c r="H39" s="3661"/>
      <c r="I39" s="3661"/>
      <c r="J39" s="3661"/>
      <c r="K39" s="3661"/>
      <c r="L39" s="3661"/>
      <c r="M39" s="3661"/>
      <c r="N39" s="3661"/>
      <c r="O39" s="3661"/>
      <c r="P39" s="3661"/>
      <c r="Q39" s="3661"/>
    </row>
    <row r="40" spans="4:17" ht="12" customHeight="1">
      <c r="D40" s="3660" t="s">
        <v>4306</v>
      </c>
      <c r="E40" s="3649" t="s">
        <v>4332</v>
      </c>
      <c r="F40" s="3661"/>
      <c r="G40" s="3661"/>
      <c r="H40" s="3661"/>
      <c r="I40" s="3661"/>
      <c r="J40" s="3661"/>
      <c r="K40" s="3661"/>
      <c r="L40" s="3661"/>
      <c r="M40" s="3661"/>
      <c r="N40" s="3661"/>
      <c r="O40" s="3661"/>
      <c r="P40" s="3661"/>
      <c r="Q40" s="3661"/>
    </row>
    <row r="41" spans="4:17" ht="12" customHeight="1">
      <c r="D41" s="3660" t="s">
        <v>4308</v>
      </c>
      <c r="E41" s="3649" t="s">
        <v>4333</v>
      </c>
      <c r="F41" s="3661"/>
      <c r="G41" s="3661"/>
      <c r="H41" s="3661"/>
      <c r="I41" s="3661"/>
      <c r="J41" s="3661"/>
      <c r="K41" s="3661"/>
      <c r="L41" s="3661"/>
      <c r="M41" s="3661"/>
      <c r="N41" s="3661"/>
      <c r="O41" s="3661"/>
      <c r="P41" s="3661"/>
      <c r="Q41" s="3661"/>
    </row>
    <row r="42" spans="4:17" ht="12" customHeight="1">
      <c r="D42" s="3660" t="s">
        <v>4310</v>
      </c>
      <c r="E42" s="3649" t="s">
        <v>4334</v>
      </c>
      <c r="F42" s="3661"/>
      <c r="G42" s="3661"/>
      <c r="H42" s="3661"/>
      <c r="I42" s="3661"/>
      <c r="J42" s="3661"/>
      <c r="K42" s="3661"/>
      <c r="L42" s="3661"/>
      <c r="M42" s="3661"/>
      <c r="N42" s="3661"/>
      <c r="O42" s="3661"/>
      <c r="P42" s="3661"/>
      <c r="Q42" s="3661"/>
    </row>
    <row r="43" spans="4:17" ht="12" customHeight="1">
      <c r="D43" s="3660" t="s">
        <v>4312</v>
      </c>
      <c r="E43" s="3649" t="s">
        <v>4335</v>
      </c>
      <c r="F43" s="3661"/>
      <c r="G43" s="3661"/>
      <c r="H43" s="3661"/>
      <c r="I43" s="3661"/>
      <c r="J43" s="3661"/>
      <c r="K43" s="3661"/>
      <c r="L43" s="3661"/>
      <c r="M43" s="3661"/>
      <c r="N43" s="3661"/>
      <c r="O43" s="3661"/>
      <c r="P43" s="3661"/>
      <c r="Q43" s="3661"/>
    </row>
    <row r="44" spans="4:17" ht="12" customHeight="1">
      <c r="D44" s="3660" t="s">
        <v>4314</v>
      </c>
      <c r="E44" s="3649" t="s">
        <v>4336</v>
      </c>
      <c r="F44" s="3661"/>
      <c r="G44" s="3661"/>
      <c r="H44" s="3661"/>
      <c r="I44" s="3661"/>
      <c r="J44" s="3661"/>
      <c r="K44" s="3661"/>
      <c r="L44" s="3661"/>
      <c r="M44" s="3661"/>
      <c r="N44" s="3661"/>
      <c r="O44" s="3661"/>
      <c r="P44" s="3661"/>
      <c r="Q44" s="3661"/>
    </row>
    <row r="45" spans="4:17" ht="12" customHeight="1">
      <c r="D45" s="3660" t="s">
        <v>4316</v>
      </c>
      <c r="E45" s="3649" t="s">
        <v>4337</v>
      </c>
      <c r="F45" s="3661"/>
      <c r="G45" s="3661"/>
      <c r="H45" s="3661"/>
      <c r="I45" s="3661"/>
      <c r="J45" s="3661"/>
      <c r="K45" s="3661"/>
      <c r="L45" s="3661"/>
      <c r="M45" s="3661"/>
      <c r="N45" s="3661"/>
      <c r="O45" s="3661"/>
      <c r="P45" s="3661"/>
      <c r="Q45" s="3661"/>
    </row>
    <row r="46" spans="4:17" ht="12" customHeight="1">
      <c r="D46" s="3660" t="s">
        <v>4318</v>
      </c>
      <c r="E46" s="3649" t="s">
        <v>4338</v>
      </c>
      <c r="F46" s="3661"/>
      <c r="G46" s="3661"/>
      <c r="H46" s="3661"/>
      <c r="I46" s="3661"/>
      <c r="J46" s="3661"/>
      <c r="K46" s="3661"/>
      <c r="L46" s="3661"/>
      <c r="M46" s="3661"/>
      <c r="N46" s="3661"/>
      <c r="O46" s="3661"/>
      <c r="P46" s="3661"/>
      <c r="Q46" s="3661"/>
    </row>
    <row r="47" spans="4:17" ht="12" customHeight="1">
      <c r="D47" s="3660" t="s">
        <v>4320</v>
      </c>
      <c r="E47" s="3649" t="s">
        <v>4339</v>
      </c>
      <c r="F47" s="3661"/>
      <c r="G47" s="3661"/>
      <c r="H47" s="3661"/>
      <c r="I47" s="3661"/>
      <c r="J47" s="3661"/>
      <c r="K47" s="3661"/>
      <c r="L47" s="3661"/>
      <c r="M47" s="3661"/>
      <c r="N47" s="3661"/>
      <c r="O47" s="3661"/>
      <c r="P47" s="3661"/>
      <c r="Q47" s="3661"/>
    </row>
    <row r="48" spans="4:17" ht="12" customHeight="1">
      <c r="D48" s="3659" t="s">
        <v>516</v>
      </c>
      <c r="E48" s="3649" t="s">
        <v>4340</v>
      </c>
      <c r="F48" s="3661"/>
      <c r="G48" s="3661"/>
      <c r="H48" s="3661"/>
      <c r="I48" s="3661"/>
      <c r="J48" s="3661"/>
      <c r="K48" s="3661"/>
      <c r="L48" s="3661"/>
      <c r="M48" s="3661"/>
      <c r="N48" s="3661"/>
      <c r="O48" s="3661"/>
      <c r="P48" s="3661"/>
      <c r="Q48" s="3661"/>
    </row>
    <row r="49" spans="4:17" ht="12" customHeight="1">
      <c r="D49" s="3659" t="s">
        <v>517</v>
      </c>
      <c r="E49" s="3649" t="s">
        <v>4341</v>
      </c>
      <c r="F49" s="3661"/>
      <c r="G49" s="3661"/>
      <c r="H49" s="3661"/>
      <c r="I49" s="3661"/>
      <c r="J49" s="3661"/>
      <c r="K49" s="3661"/>
      <c r="L49" s="3661"/>
      <c r="M49" s="3661"/>
      <c r="N49" s="3661"/>
      <c r="O49" s="3661"/>
      <c r="P49" s="3661"/>
      <c r="Q49" s="3661"/>
    </row>
    <row r="50" spans="4:17" ht="12" customHeight="1">
      <c r="D50" s="3659" t="s">
        <v>518</v>
      </c>
      <c r="E50" s="3649" t="s">
        <v>4342</v>
      </c>
      <c r="F50" s="3661"/>
      <c r="G50" s="3661"/>
      <c r="H50" s="3661"/>
      <c r="I50" s="3661"/>
      <c r="J50" s="3661"/>
      <c r="K50" s="3661"/>
      <c r="L50" s="3661"/>
      <c r="M50" s="3661"/>
      <c r="N50" s="3661"/>
      <c r="O50" s="3661"/>
      <c r="P50" s="3661"/>
      <c r="Q50" s="3661"/>
    </row>
    <row r="51" spans="4:17" ht="12" customHeight="1">
      <c r="D51" s="3659" t="s">
        <v>519</v>
      </c>
      <c r="E51" s="3649" t="s">
        <v>4343</v>
      </c>
      <c r="F51" s="3661"/>
      <c r="G51" s="3661"/>
      <c r="H51" s="3661"/>
      <c r="I51" s="3661"/>
      <c r="J51" s="3661"/>
      <c r="K51" s="3661"/>
      <c r="L51" s="3661"/>
      <c r="M51" s="3661"/>
      <c r="N51" s="3661"/>
      <c r="O51" s="3661"/>
      <c r="P51" s="3661"/>
      <c r="Q51" s="3661"/>
    </row>
    <row r="52" spans="4:17" ht="12" customHeight="1">
      <c r="D52" s="3659" t="s">
        <v>520</v>
      </c>
      <c r="E52" s="3649" t="s">
        <v>4344</v>
      </c>
      <c r="F52" s="3661"/>
      <c r="G52" s="3661"/>
      <c r="H52" s="3661"/>
      <c r="I52" s="3661"/>
      <c r="J52" s="3661"/>
      <c r="K52" s="3661"/>
      <c r="L52" s="3661"/>
      <c r="M52" s="3661"/>
      <c r="N52" s="3661"/>
      <c r="O52" s="3661"/>
      <c r="P52" s="3661"/>
      <c r="Q52" s="3661"/>
    </row>
    <row r="53" spans="4:17" ht="12" customHeight="1">
      <c r="D53" s="3659" t="s">
        <v>521</v>
      </c>
      <c r="E53" s="3649" t="s">
        <v>4345</v>
      </c>
      <c r="F53" s="3661"/>
      <c r="G53" s="3661"/>
      <c r="H53" s="3661"/>
      <c r="I53" s="3661"/>
      <c r="J53" s="3661"/>
      <c r="K53" s="3661"/>
      <c r="L53" s="3661"/>
      <c r="M53" s="3661"/>
      <c r="N53" s="3661"/>
      <c r="O53" s="3661"/>
      <c r="P53" s="3661"/>
      <c r="Q53" s="3661"/>
    </row>
    <row r="54" spans="4:17" ht="12" customHeight="1">
      <c r="D54" s="3659" t="s">
        <v>4060</v>
      </c>
      <c r="E54" s="3649" t="s">
        <v>4346</v>
      </c>
      <c r="F54" s="3661"/>
      <c r="G54" s="3661"/>
      <c r="H54" s="3661"/>
      <c r="I54" s="3661"/>
      <c r="J54" s="3661"/>
      <c r="K54" s="3661"/>
      <c r="L54" s="3661"/>
      <c r="M54" s="3661"/>
      <c r="N54" s="3661"/>
      <c r="O54" s="3661"/>
      <c r="P54" s="3661"/>
      <c r="Q54" s="3661"/>
    </row>
    <row r="55" spans="4:17" ht="24" customHeight="1">
      <c r="D55" s="3656" t="s">
        <v>4347</v>
      </c>
      <c r="E55" s="3657" t="s">
        <v>4348</v>
      </c>
      <c r="F55" s="3658">
        <f t="shared" ref="F55:Q55" si="5">SUM(F56,F66:F72)</f>
        <v>0</v>
      </c>
      <c r="G55" s="3658">
        <f t="shared" si="5"/>
        <v>0</v>
      </c>
      <c r="H55" s="3658">
        <f t="shared" si="5"/>
        <v>0</v>
      </c>
      <c r="I55" s="3658">
        <f t="shared" si="5"/>
        <v>0</v>
      </c>
      <c r="J55" s="3658">
        <f t="shared" si="5"/>
        <v>0</v>
      </c>
      <c r="K55" s="3658">
        <f t="shared" si="5"/>
        <v>0</v>
      </c>
      <c r="L55" s="3658">
        <f t="shared" si="5"/>
        <v>0</v>
      </c>
      <c r="M55" s="3658">
        <f t="shared" si="5"/>
        <v>0</v>
      </c>
      <c r="N55" s="3658">
        <f t="shared" si="5"/>
        <v>0</v>
      </c>
      <c r="O55" s="3658">
        <f t="shared" si="5"/>
        <v>0</v>
      </c>
      <c r="P55" s="3658">
        <f t="shared" si="5"/>
        <v>0</v>
      </c>
      <c r="Q55" s="3658">
        <f t="shared" si="5"/>
        <v>0</v>
      </c>
    </row>
    <row r="56" spans="4:17" ht="45" customHeight="1">
      <c r="D56" s="3659" t="s">
        <v>4050</v>
      </c>
      <c r="E56" s="3649" t="s">
        <v>4349</v>
      </c>
      <c r="F56" s="3658">
        <f t="shared" ref="F56:Q56" si="6">SUM(F57:F65)</f>
        <v>0</v>
      </c>
      <c r="G56" s="3658">
        <f t="shared" si="6"/>
        <v>0</v>
      </c>
      <c r="H56" s="3658">
        <f t="shared" si="6"/>
        <v>0</v>
      </c>
      <c r="I56" s="3658">
        <f t="shared" si="6"/>
        <v>0</v>
      </c>
      <c r="J56" s="3658">
        <f t="shared" si="6"/>
        <v>0</v>
      </c>
      <c r="K56" s="3658">
        <f t="shared" si="6"/>
        <v>0</v>
      </c>
      <c r="L56" s="3658">
        <f t="shared" si="6"/>
        <v>0</v>
      </c>
      <c r="M56" s="3658">
        <f t="shared" si="6"/>
        <v>0</v>
      </c>
      <c r="N56" s="3658">
        <f t="shared" si="6"/>
        <v>0</v>
      </c>
      <c r="O56" s="3658">
        <f t="shared" si="6"/>
        <v>0</v>
      </c>
      <c r="P56" s="3658">
        <f t="shared" si="6"/>
        <v>0</v>
      </c>
      <c r="Q56" s="3658">
        <f t="shared" si="6"/>
        <v>0</v>
      </c>
    </row>
    <row r="57" spans="4:17" ht="12" customHeight="1">
      <c r="D57" s="3660" t="s">
        <v>4304</v>
      </c>
      <c r="E57" s="3649" t="s">
        <v>4350</v>
      </c>
      <c r="F57" s="3661"/>
      <c r="G57" s="3661"/>
      <c r="H57" s="3661"/>
      <c r="I57" s="3661"/>
      <c r="J57" s="3661"/>
      <c r="K57" s="3661"/>
      <c r="L57" s="3661"/>
      <c r="M57" s="3661"/>
      <c r="N57" s="3661"/>
      <c r="O57" s="3661"/>
      <c r="P57" s="3661"/>
      <c r="Q57" s="3661"/>
    </row>
    <row r="58" spans="4:17" ht="12" customHeight="1">
      <c r="D58" s="3660" t="s">
        <v>4306</v>
      </c>
      <c r="E58" s="3649" t="s">
        <v>4351</v>
      </c>
      <c r="F58" s="3661"/>
      <c r="G58" s="3661"/>
      <c r="H58" s="3661"/>
      <c r="I58" s="3661"/>
      <c r="J58" s="3661"/>
      <c r="K58" s="3661"/>
      <c r="L58" s="3661"/>
      <c r="M58" s="3661"/>
      <c r="N58" s="3661"/>
      <c r="O58" s="3661"/>
      <c r="P58" s="3661"/>
      <c r="Q58" s="3661"/>
    </row>
    <row r="59" spans="4:17" ht="12" customHeight="1">
      <c r="D59" s="3660" t="s">
        <v>4308</v>
      </c>
      <c r="E59" s="3649" t="s">
        <v>4352</v>
      </c>
      <c r="F59" s="3661"/>
      <c r="G59" s="3661"/>
      <c r="H59" s="3661"/>
      <c r="I59" s="3661"/>
      <c r="J59" s="3661"/>
      <c r="K59" s="3661"/>
      <c r="L59" s="3661"/>
      <c r="M59" s="3661"/>
      <c r="N59" s="3661"/>
      <c r="O59" s="3661"/>
      <c r="P59" s="3661"/>
      <c r="Q59" s="3661"/>
    </row>
    <row r="60" spans="4:17" ht="12" customHeight="1">
      <c r="D60" s="3660" t="s">
        <v>4310</v>
      </c>
      <c r="E60" s="3649" t="s">
        <v>4353</v>
      </c>
      <c r="F60" s="3661"/>
      <c r="G60" s="3661"/>
      <c r="H60" s="3661"/>
      <c r="I60" s="3661"/>
      <c r="J60" s="3661"/>
      <c r="K60" s="3661"/>
      <c r="L60" s="3661"/>
      <c r="M60" s="3661"/>
      <c r="N60" s="3661"/>
      <c r="O60" s="3661"/>
      <c r="P60" s="3661"/>
      <c r="Q60" s="3661"/>
    </row>
    <row r="61" spans="4:17" ht="12" customHeight="1">
      <c r="D61" s="3660" t="s">
        <v>4312</v>
      </c>
      <c r="E61" s="3649" t="s">
        <v>4354</v>
      </c>
      <c r="F61" s="3661"/>
      <c r="G61" s="3661"/>
      <c r="H61" s="3661"/>
      <c r="I61" s="3661"/>
      <c r="J61" s="3661"/>
      <c r="K61" s="3661"/>
      <c r="L61" s="3661"/>
      <c r="M61" s="3661"/>
      <c r="N61" s="3661"/>
      <c r="O61" s="3661"/>
      <c r="P61" s="3661"/>
      <c r="Q61" s="3661"/>
    </row>
    <row r="62" spans="4:17" ht="12" customHeight="1">
      <c r="D62" s="3660" t="s">
        <v>4314</v>
      </c>
      <c r="E62" s="3649" t="s">
        <v>4355</v>
      </c>
      <c r="F62" s="3661"/>
      <c r="G62" s="3661"/>
      <c r="H62" s="3661"/>
      <c r="I62" s="3661"/>
      <c r="J62" s="3661"/>
      <c r="K62" s="3661"/>
      <c r="L62" s="3661"/>
      <c r="M62" s="3661"/>
      <c r="N62" s="3661"/>
      <c r="O62" s="3661"/>
      <c r="P62" s="3661"/>
      <c r="Q62" s="3661"/>
    </row>
    <row r="63" spans="4:17" ht="12" customHeight="1">
      <c r="D63" s="3660" t="s">
        <v>4316</v>
      </c>
      <c r="E63" s="3649" t="s">
        <v>4356</v>
      </c>
      <c r="F63" s="3661"/>
      <c r="G63" s="3661"/>
      <c r="H63" s="3661"/>
      <c r="I63" s="3661"/>
      <c r="J63" s="3661"/>
      <c r="K63" s="3661"/>
      <c r="L63" s="3661"/>
      <c r="M63" s="3661"/>
      <c r="N63" s="3661"/>
      <c r="O63" s="3661"/>
      <c r="P63" s="3661"/>
      <c r="Q63" s="3661"/>
    </row>
    <row r="64" spans="4:17" ht="12" customHeight="1">
      <c r="D64" s="3660" t="s">
        <v>4318</v>
      </c>
      <c r="E64" s="3649" t="s">
        <v>4357</v>
      </c>
      <c r="F64" s="3661"/>
      <c r="G64" s="3661"/>
      <c r="H64" s="3661"/>
      <c r="I64" s="3661"/>
      <c r="J64" s="3661"/>
      <c r="K64" s="3661"/>
      <c r="L64" s="3661"/>
      <c r="M64" s="3661"/>
      <c r="N64" s="3661"/>
      <c r="O64" s="3661"/>
      <c r="P64" s="3661"/>
      <c r="Q64" s="3661"/>
    </row>
    <row r="65" spans="4:17" ht="12" customHeight="1">
      <c r="D65" s="3660" t="s">
        <v>4320</v>
      </c>
      <c r="E65" s="3649" t="s">
        <v>4358</v>
      </c>
      <c r="F65" s="3661"/>
      <c r="G65" s="3661"/>
      <c r="H65" s="3661"/>
      <c r="I65" s="3661"/>
      <c r="J65" s="3661"/>
      <c r="K65" s="3661"/>
      <c r="L65" s="3661"/>
      <c r="M65" s="3661"/>
      <c r="N65" s="3661"/>
      <c r="O65" s="3661"/>
      <c r="P65" s="3661"/>
      <c r="Q65" s="3661"/>
    </row>
    <row r="66" spans="4:17" ht="12" customHeight="1">
      <c r="D66" s="3659" t="s">
        <v>516</v>
      </c>
      <c r="E66" s="3649" t="s">
        <v>4359</v>
      </c>
      <c r="F66" s="3661"/>
      <c r="G66" s="3661"/>
      <c r="H66" s="3661"/>
      <c r="I66" s="3661"/>
      <c r="J66" s="3661"/>
      <c r="K66" s="3661"/>
      <c r="L66" s="3661"/>
      <c r="M66" s="3661"/>
      <c r="N66" s="3661"/>
      <c r="O66" s="3661"/>
      <c r="P66" s="3661"/>
      <c r="Q66" s="3661"/>
    </row>
    <row r="67" spans="4:17" ht="12" customHeight="1">
      <c r="D67" s="3659" t="s">
        <v>517</v>
      </c>
      <c r="E67" s="3649" t="s">
        <v>4360</v>
      </c>
      <c r="F67" s="3661"/>
      <c r="G67" s="3661"/>
      <c r="H67" s="3661"/>
      <c r="I67" s="3661"/>
      <c r="J67" s="3661"/>
      <c r="K67" s="3661"/>
      <c r="L67" s="3661"/>
      <c r="M67" s="3661"/>
      <c r="N67" s="3661"/>
      <c r="O67" s="3661"/>
      <c r="P67" s="3661"/>
      <c r="Q67" s="3661"/>
    </row>
    <row r="68" spans="4:17" ht="12" customHeight="1">
      <c r="D68" s="3659" t="s">
        <v>518</v>
      </c>
      <c r="E68" s="3649" t="s">
        <v>4361</v>
      </c>
      <c r="F68" s="3661"/>
      <c r="G68" s="3661"/>
      <c r="H68" s="3661"/>
      <c r="I68" s="3661"/>
      <c r="J68" s="3661"/>
      <c r="K68" s="3661"/>
      <c r="L68" s="3661"/>
      <c r="M68" s="3661"/>
      <c r="N68" s="3661"/>
      <c r="O68" s="3661"/>
      <c r="P68" s="3661"/>
      <c r="Q68" s="3661"/>
    </row>
    <row r="69" spans="4:17" ht="12" customHeight="1">
      <c r="D69" s="3659" t="s">
        <v>519</v>
      </c>
      <c r="E69" s="3649" t="s">
        <v>4362</v>
      </c>
      <c r="F69" s="3661"/>
      <c r="G69" s="3661"/>
      <c r="H69" s="3661"/>
      <c r="I69" s="3661"/>
      <c r="J69" s="3661"/>
      <c r="K69" s="3661"/>
      <c r="L69" s="3661"/>
      <c r="M69" s="3661"/>
      <c r="N69" s="3661"/>
      <c r="O69" s="3661"/>
      <c r="P69" s="3661"/>
      <c r="Q69" s="3661"/>
    </row>
    <row r="70" spans="4:17" ht="12" customHeight="1">
      <c r="D70" s="3659" t="s">
        <v>520</v>
      </c>
      <c r="E70" s="3649" t="s">
        <v>4363</v>
      </c>
      <c r="F70" s="3661"/>
      <c r="G70" s="3661"/>
      <c r="H70" s="3661"/>
      <c r="I70" s="3661"/>
      <c r="J70" s="3661"/>
      <c r="K70" s="3661"/>
      <c r="L70" s="3661"/>
      <c r="M70" s="3661"/>
      <c r="N70" s="3661"/>
      <c r="O70" s="3661"/>
      <c r="P70" s="3661"/>
      <c r="Q70" s="3661"/>
    </row>
    <row r="71" spans="4:17" ht="12" customHeight="1">
      <c r="D71" s="3659" t="s">
        <v>521</v>
      </c>
      <c r="E71" s="3649" t="s">
        <v>4364</v>
      </c>
      <c r="F71" s="3661"/>
      <c r="G71" s="3661"/>
      <c r="H71" s="3661"/>
      <c r="I71" s="3661"/>
      <c r="J71" s="3661"/>
      <c r="K71" s="3661"/>
      <c r="L71" s="3661"/>
      <c r="M71" s="3661"/>
      <c r="N71" s="3661"/>
      <c r="O71" s="3661"/>
      <c r="P71" s="3661"/>
      <c r="Q71" s="3661"/>
    </row>
    <row r="72" spans="4:17" ht="12" customHeight="1">
      <c r="D72" s="3659" t="s">
        <v>4060</v>
      </c>
      <c r="E72" s="3649" t="s">
        <v>4365</v>
      </c>
      <c r="F72" s="3661"/>
      <c r="G72" s="3661"/>
      <c r="H72" s="3661"/>
      <c r="I72" s="3661"/>
      <c r="J72" s="3661"/>
      <c r="K72" s="3661"/>
      <c r="L72" s="3661"/>
      <c r="M72" s="3661"/>
      <c r="N72" s="3661"/>
      <c r="O72" s="3661"/>
      <c r="P72" s="3661"/>
      <c r="Q72" s="3661"/>
    </row>
    <row r="73" spans="4:17" ht="45" customHeight="1">
      <c r="D73" s="3653" t="s">
        <v>4061</v>
      </c>
      <c r="E73" s="3654" t="s">
        <v>4366</v>
      </c>
      <c r="F73" s="3658">
        <f t="shared" ref="F73:Q73" si="7">SUM(F74,F84:F90)</f>
        <v>0</v>
      </c>
      <c r="G73" s="3658">
        <f t="shared" si="7"/>
        <v>0</v>
      </c>
      <c r="H73" s="3658">
        <f t="shared" si="7"/>
        <v>0</v>
      </c>
      <c r="I73" s="3658">
        <f t="shared" si="7"/>
        <v>0</v>
      </c>
      <c r="J73" s="3658">
        <f t="shared" si="7"/>
        <v>0</v>
      </c>
      <c r="K73" s="3658">
        <f t="shared" si="7"/>
        <v>0</v>
      </c>
      <c r="L73" s="3658">
        <f t="shared" si="7"/>
        <v>0</v>
      </c>
      <c r="M73" s="3658">
        <f t="shared" si="7"/>
        <v>0</v>
      </c>
      <c r="N73" s="3658">
        <f t="shared" si="7"/>
        <v>0</v>
      </c>
      <c r="O73" s="3658">
        <f t="shared" si="7"/>
        <v>0</v>
      </c>
      <c r="P73" s="3658">
        <f t="shared" si="7"/>
        <v>0</v>
      </c>
      <c r="Q73" s="3658">
        <f t="shared" si="7"/>
        <v>0</v>
      </c>
    </row>
    <row r="74" spans="4:17" ht="45" customHeight="1">
      <c r="D74" s="3662" t="s">
        <v>4050</v>
      </c>
      <c r="E74" s="3649" t="s">
        <v>4367</v>
      </c>
      <c r="F74" s="3658">
        <f t="shared" ref="F74:Q74" si="8">SUM(F75:F83)</f>
        <v>0</v>
      </c>
      <c r="G74" s="3658">
        <f t="shared" si="8"/>
        <v>0</v>
      </c>
      <c r="H74" s="3658">
        <f t="shared" si="8"/>
        <v>0</v>
      </c>
      <c r="I74" s="3658">
        <f t="shared" si="8"/>
        <v>0</v>
      </c>
      <c r="J74" s="3658">
        <f t="shared" si="8"/>
        <v>0</v>
      </c>
      <c r="K74" s="3658">
        <f t="shared" si="8"/>
        <v>0</v>
      </c>
      <c r="L74" s="3658">
        <f t="shared" si="8"/>
        <v>0</v>
      </c>
      <c r="M74" s="3658">
        <f t="shared" si="8"/>
        <v>0</v>
      </c>
      <c r="N74" s="3658">
        <f t="shared" si="8"/>
        <v>0</v>
      </c>
      <c r="O74" s="3658">
        <f t="shared" si="8"/>
        <v>0</v>
      </c>
      <c r="P74" s="3658">
        <f t="shared" si="8"/>
        <v>0</v>
      </c>
      <c r="Q74" s="3658">
        <f t="shared" si="8"/>
        <v>0</v>
      </c>
    </row>
    <row r="75" spans="4:17" ht="12" customHeight="1">
      <c r="D75" s="3659" t="s">
        <v>4304</v>
      </c>
      <c r="E75" s="3649" t="s">
        <v>4368</v>
      </c>
      <c r="F75" s="3661"/>
      <c r="G75" s="3661"/>
      <c r="H75" s="3661"/>
      <c r="I75" s="3661"/>
      <c r="J75" s="3661"/>
      <c r="K75" s="3661"/>
      <c r="L75" s="3661"/>
      <c r="M75" s="3661"/>
      <c r="N75" s="3661"/>
      <c r="O75" s="3661"/>
      <c r="P75" s="3661"/>
      <c r="Q75" s="3661"/>
    </row>
    <row r="76" spans="4:17" ht="12" customHeight="1">
      <c r="D76" s="3659" t="s">
        <v>4306</v>
      </c>
      <c r="E76" s="3649" t="s">
        <v>4369</v>
      </c>
      <c r="F76" s="3661"/>
      <c r="G76" s="3661"/>
      <c r="H76" s="3661"/>
      <c r="I76" s="3661"/>
      <c r="J76" s="3661"/>
      <c r="K76" s="3661"/>
      <c r="L76" s="3661"/>
      <c r="M76" s="3661"/>
      <c r="N76" s="3661"/>
      <c r="O76" s="3661"/>
      <c r="P76" s="3661"/>
      <c r="Q76" s="3661"/>
    </row>
    <row r="77" spans="4:17" ht="12" customHeight="1">
      <c r="D77" s="3659" t="s">
        <v>4308</v>
      </c>
      <c r="E77" s="3649" t="s">
        <v>4370</v>
      </c>
      <c r="F77" s="3661"/>
      <c r="G77" s="3661"/>
      <c r="H77" s="3661"/>
      <c r="I77" s="3661"/>
      <c r="J77" s="3661"/>
      <c r="K77" s="3661"/>
      <c r="L77" s="3661"/>
      <c r="M77" s="3661"/>
      <c r="N77" s="3661"/>
      <c r="O77" s="3661"/>
      <c r="P77" s="3661"/>
      <c r="Q77" s="3661"/>
    </row>
    <row r="78" spans="4:17" ht="12" customHeight="1">
      <c r="D78" s="3659" t="s">
        <v>4310</v>
      </c>
      <c r="E78" s="3649" t="s">
        <v>4371</v>
      </c>
      <c r="F78" s="3661"/>
      <c r="G78" s="3661"/>
      <c r="H78" s="3661"/>
      <c r="I78" s="3661"/>
      <c r="J78" s="3661"/>
      <c r="K78" s="3661"/>
      <c r="L78" s="3661"/>
      <c r="M78" s="3661"/>
      <c r="N78" s="3661"/>
      <c r="O78" s="3661"/>
      <c r="P78" s="3661"/>
      <c r="Q78" s="3661"/>
    </row>
    <row r="79" spans="4:17" ht="12" customHeight="1">
      <c r="D79" s="3659" t="s">
        <v>4312</v>
      </c>
      <c r="E79" s="3649" t="s">
        <v>4372</v>
      </c>
      <c r="F79" s="3661"/>
      <c r="G79" s="3661"/>
      <c r="H79" s="3661"/>
      <c r="I79" s="3661"/>
      <c r="J79" s="3661"/>
      <c r="K79" s="3661"/>
      <c r="L79" s="3661"/>
      <c r="M79" s="3661"/>
      <c r="N79" s="3661"/>
      <c r="O79" s="3661"/>
      <c r="P79" s="3661"/>
      <c r="Q79" s="3661"/>
    </row>
    <row r="80" spans="4:17" ht="12" customHeight="1">
      <c r="D80" s="3659" t="s">
        <v>4314</v>
      </c>
      <c r="E80" s="3649" t="s">
        <v>4373</v>
      </c>
      <c r="F80" s="3661"/>
      <c r="G80" s="3661"/>
      <c r="H80" s="3661"/>
      <c r="I80" s="3661"/>
      <c r="J80" s="3661"/>
      <c r="K80" s="3661"/>
      <c r="L80" s="3661"/>
      <c r="M80" s="3661"/>
      <c r="N80" s="3661"/>
      <c r="O80" s="3661"/>
      <c r="P80" s="3661"/>
      <c r="Q80" s="3661"/>
    </row>
    <row r="81" spans="4:17" ht="12" customHeight="1">
      <c r="D81" s="3659" t="s">
        <v>4316</v>
      </c>
      <c r="E81" s="3649" t="s">
        <v>4374</v>
      </c>
      <c r="F81" s="3661"/>
      <c r="G81" s="3661"/>
      <c r="H81" s="3661"/>
      <c r="I81" s="3661"/>
      <c r="J81" s="3661"/>
      <c r="K81" s="3661"/>
      <c r="L81" s="3661"/>
      <c r="M81" s="3661"/>
      <c r="N81" s="3661"/>
      <c r="O81" s="3661"/>
      <c r="P81" s="3661"/>
      <c r="Q81" s="3661"/>
    </row>
    <row r="82" spans="4:17" ht="12" customHeight="1">
      <c r="D82" s="3659" t="s">
        <v>4318</v>
      </c>
      <c r="E82" s="3649" t="s">
        <v>4375</v>
      </c>
      <c r="F82" s="3661"/>
      <c r="G82" s="3661"/>
      <c r="H82" s="3661"/>
      <c r="I82" s="3661"/>
      <c r="J82" s="3661"/>
      <c r="K82" s="3661"/>
      <c r="L82" s="3661"/>
      <c r="M82" s="3661"/>
      <c r="N82" s="3661"/>
      <c r="O82" s="3661"/>
      <c r="P82" s="3661"/>
      <c r="Q82" s="3661"/>
    </row>
    <row r="83" spans="4:17" ht="12" customHeight="1">
      <c r="D83" s="3659" t="s">
        <v>4320</v>
      </c>
      <c r="E83" s="3649" t="s">
        <v>4376</v>
      </c>
      <c r="F83" s="3661"/>
      <c r="G83" s="3661"/>
      <c r="H83" s="3661"/>
      <c r="I83" s="3661"/>
      <c r="J83" s="3661"/>
      <c r="K83" s="3661"/>
      <c r="L83" s="3661"/>
      <c r="M83" s="3661"/>
      <c r="N83" s="3661"/>
      <c r="O83" s="3661"/>
      <c r="P83" s="3661"/>
      <c r="Q83" s="3661"/>
    </row>
    <row r="84" spans="4:17" ht="12" customHeight="1">
      <c r="D84" s="3662" t="s">
        <v>516</v>
      </c>
      <c r="E84" s="3649" t="s">
        <v>4377</v>
      </c>
      <c r="F84" s="3661"/>
      <c r="G84" s="3661"/>
      <c r="H84" s="3661"/>
      <c r="I84" s="3661"/>
      <c r="J84" s="3661"/>
      <c r="K84" s="3661"/>
      <c r="L84" s="3661"/>
      <c r="M84" s="3661"/>
      <c r="N84" s="3661"/>
      <c r="O84" s="3661"/>
      <c r="P84" s="3661"/>
      <c r="Q84" s="3661"/>
    </row>
    <row r="85" spans="4:17" ht="12" customHeight="1">
      <c r="D85" s="3662" t="s">
        <v>517</v>
      </c>
      <c r="E85" s="3649" t="s">
        <v>4378</v>
      </c>
      <c r="F85" s="3661"/>
      <c r="G85" s="3661"/>
      <c r="H85" s="3661"/>
      <c r="I85" s="3661"/>
      <c r="J85" s="3661"/>
      <c r="K85" s="3661"/>
      <c r="L85" s="3661"/>
      <c r="M85" s="3661"/>
      <c r="N85" s="3661"/>
      <c r="O85" s="3661"/>
      <c r="P85" s="3661"/>
      <c r="Q85" s="3661"/>
    </row>
    <row r="86" spans="4:17" ht="12" customHeight="1">
      <c r="D86" s="3662" t="s">
        <v>518</v>
      </c>
      <c r="E86" s="3649" t="s">
        <v>4379</v>
      </c>
      <c r="F86" s="3661"/>
      <c r="G86" s="3661"/>
      <c r="H86" s="3661"/>
      <c r="I86" s="3661"/>
      <c r="J86" s="3661"/>
      <c r="K86" s="3661"/>
      <c r="L86" s="3661"/>
      <c r="M86" s="3661"/>
      <c r="N86" s="3661"/>
      <c r="O86" s="3661"/>
      <c r="P86" s="3661"/>
      <c r="Q86" s="3661"/>
    </row>
    <row r="87" spans="4:17" ht="12" customHeight="1">
      <c r="D87" s="3662" t="s">
        <v>519</v>
      </c>
      <c r="E87" s="3649" t="s">
        <v>4380</v>
      </c>
      <c r="F87" s="3661"/>
      <c r="G87" s="3661"/>
      <c r="H87" s="3661"/>
      <c r="I87" s="3661"/>
      <c r="J87" s="3661"/>
      <c r="K87" s="3661"/>
      <c r="L87" s="3661"/>
      <c r="M87" s="3661"/>
      <c r="N87" s="3661"/>
      <c r="O87" s="3661"/>
      <c r="P87" s="3661"/>
      <c r="Q87" s="3661"/>
    </row>
    <row r="88" spans="4:17" ht="12" customHeight="1">
      <c r="D88" s="3662" t="s">
        <v>520</v>
      </c>
      <c r="E88" s="3649" t="s">
        <v>4381</v>
      </c>
      <c r="F88" s="3661"/>
      <c r="G88" s="3661"/>
      <c r="H88" s="3661"/>
      <c r="I88" s="3661"/>
      <c r="J88" s="3661"/>
      <c r="K88" s="3661"/>
      <c r="L88" s="3661"/>
      <c r="M88" s="3661"/>
      <c r="N88" s="3661"/>
      <c r="O88" s="3661"/>
      <c r="P88" s="3661"/>
      <c r="Q88" s="3661"/>
    </row>
    <row r="89" spans="4:17" ht="12" customHeight="1">
      <c r="D89" s="3662" t="s">
        <v>521</v>
      </c>
      <c r="E89" s="3649" t="s">
        <v>4382</v>
      </c>
      <c r="F89" s="3661"/>
      <c r="G89" s="3661"/>
      <c r="H89" s="3661"/>
      <c r="I89" s="3661"/>
      <c r="J89" s="3661"/>
      <c r="K89" s="3661"/>
      <c r="L89" s="3661"/>
      <c r="M89" s="3661"/>
      <c r="N89" s="3661"/>
      <c r="O89" s="3661"/>
      <c r="P89" s="3661"/>
      <c r="Q89" s="3661"/>
    </row>
    <row r="90" spans="4:17" ht="12" customHeight="1">
      <c r="D90" s="3662" t="s">
        <v>4060</v>
      </c>
      <c r="E90" s="3649" t="s">
        <v>4383</v>
      </c>
      <c r="F90" s="3661"/>
      <c r="G90" s="3661"/>
      <c r="H90" s="3661"/>
      <c r="I90" s="3661"/>
      <c r="J90" s="3661"/>
      <c r="K90" s="3661"/>
      <c r="L90" s="3661"/>
      <c r="M90" s="3661"/>
      <c r="N90" s="3661"/>
      <c r="O90" s="3661"/>
      <c r="P90" s="3661"/>
      <c r="Q90" s="3661"/>
    </row>
    <row r="91" spans="4:17" ht="45" customHeight="1">
      <c r="D91" s="3653" t="s">
        <v>4070</v>
      </c>
      <c r="E91" s="3654" t="s">
        <v>4384</v>
      </c>
      <c r="F91" s="3658">
        <f t="shared" ref="F91:Q91" si="9">SUM(F92:F93)</f>
        <v>1788.328</v>
      </c>
      <c r="G91" s="3658">
        <f t="shared" si="9"/>
        <v>7063.84195</v>
      </c>
      <c r="H91" s="3658">
        <f t="shared" si="9"/>
        <v>0</v>
      </c>
      <c r="I91" s="3658">
        <f t="shared" si="9"/>
        <v>0</v>
      </c>
      <c r="J91" s="3658">
        <f t="shared" si="9"/>
        <v>0</v>
      </c>
      <c r="K91" s="3658">
        <f t="shared" si="9"/>
        <v>0</v>
      </c>
      <c r="L91" s="3658">
        <f t="shared" si="9"/>
        <v>0</v>
      </c>
      <c r="M91" s="3658">
        <f t="shared" si="9"/>
        <v>0</v>
      </c>
      <c r="N91" s="3658">
        <f t="shared" si="9"/>
        <v>0</v>
      </c>
      <c r="O91" s="3658">
        <f t="shared" si="9"/>
        <v>0</v>
      </c>
      <c r="P91" s="3658">
        <f t="shared" si="9"/>
        <v>0</v>
      </c>
      <c r="Q91" s="3658">
        <f t="shared" si="9"/>
        <v>0</v>
      </c>
    </row>
    <row r="92" spans="4:17" ht="24" customHeight="1">
      <c r="D92" s="3662" t="s">
        <v>4071</v>
      </c>
      <c r="E92" s="3649" t="s">
        <v>4401</v>
      </c>
      <c r="F92" s="3661">
        <f>'Шаблон 46 ГП'!C269/1000</f>
        <v>1788.328</v>
      </c>
      <c r="G92" s="3661">
        <f>'Шаблон 46 ГП'!L269/1000</f>
        <v>7063.84195</v>
      </c>
      <c r="H92" s="3661"/>
      <c r="I92" s="3661"/>
      <c r="J92" s="3661"/>
      <c r="K92" s="3661"/>
      <c r="L92" s="3661"/>
      <c r="M92" s="3661"/>
      <c r="N92" s="3661"/>
      <c r="O92" s="3661"/>
      <c r="P92" s="3661"/>
      <c r="Q92" s="3661"/>
    </row>
    <row r="93" spans="4:17" ht="24" customHeight="1">
      <c r="D93" s="3662" t="s">
        <v>4072</v>
      </c>
      <c r="E93" s="3649" t="s">
        <v>4402</v>
      </c>
      <c r="F93" s="3661">
        <f>'Шаблон 46 ГП'!C268/1000-'Раздел I. Б'!F92</f>
        <v>0</v>
      </c>
      <c r="G93" s="3661">
        <f>'Шаблон 46 ГП'!L268/1000-'Раздел I. Б'!G92</f>
        <v>0</v>
      </c>
      <c r="H93" s="3661"/>
      <c r="I93" s="3661"/>
      <c r="J93" s="3661"/>
      <c r="K93" s="3661"/>
      <c r="L93" s="3661"/>
      <c r="M93" s="3661"/>
      <c r="N93" s="3661"/>
      <c r="O93" s="3661"/>
      <c r="P93" s="3661"/>
      <c r="Q93" s="3661"/>
    </row>
    <row r="94" spans="4:17" ht="45" customHeight="1">
      <c r="D94" s="3653" t="s">
        <v>4041</v>
      </c>
      <c r="E94" s="3654">
        <v>800</v>
      </c>
      <c r="F94" s="3658">
        <f t="shared" ref="F94:Q94" si="10">SUM(F18,F73,F91)</f>
        <v>1788.328</v>
      </c>
      <c r="G94" s="3658">
        <f t="shared" si="10"/>
        <v>7063.84195</v>
      </c>
      <c r="H94" s="3658">
        <f t="shared" si="10"/>
        <v>0</v>
      </c>
      <c r="I94" s="3658">
        <f t="shared" si="10"/>
        <v>0</v>
      </c>
      <c r="J94" s="3658">
        <f t="shared" si="10"/>
        <v>0</v>
      </c>
      <c r="K94" s="3658">
        <f t="shared" si="10"/>
        <v>0</v>
      </c>
      <c r="L94" s="3658">
        <f t="shared" si="10"/>
        <v>0</v>
      </c>
      <c r="M94" s="3658">
        <f t="shared" si="10"/>
        <v>0</v>
      </c>
      <c r="N94" s="3658">
        <f t="shared" si="10"/>
        <v>0</v>
      </c>
      <c r="O94" s="3658">
        <f t="shared" si="10"/>
        <v>0</v>
      </c>
      <c r="P94" s="3658">
        <f t="shared" si="10"/>
        <v>0</v>
      </c>
      <c r="Q94" s="3658">
        <f t="shared" si="10"/>
        <v>0</v>
      </c>
    </row>
  </sheetData>
  <sheetProtection formatColumns="0" formatRows="0" insertRows="0" deleteColumns="0" deleteRows="0" sort="0" autoFilter="0"/>
  <mergeCells count="8">
    <mergeCell ref="N12:O12"/>
    <mergeCell ref="P12:Q12"/>
    <mergeCell ref="D12:D16"/>
    <mergeCell ref="E12:E16"/>
    <mergeCell ref="F12:G12"/>
    <mergeCell ref="H12:I12"/>
    <mergeCell ref="J12:K12"/>
    <mergeCell ref="L12:M12"/>
  </mergeCells>
  <printOptions horizontalCentered="1"/>
  <pageMargins left="0.24" right="0.24" top="0.24" bottom="0.24" header="0.24" footer="0.24"/>
  <pageSetup paperSize="9" scale="52" fitToHeight="0" orientation="landscape"/>
  <headerFooter>
    <oddHeader>&amp;L&amp;C&amp;R</oddHeader>
    <oddFooter>&amp;L&amp;C&amp;R</oddFooter>
    <evenHeader>&amp;L&amp;C&amp;R</evenHeader>
    <evenFooter>&amp;L&amp;C&amp;R</evenFooter>
  </headerFooter>
  <rowBreaks count="3" manualBreakCount="3">
    <brk id="36" max="1048576" man="1"/>
    <brk id="72" max="1048576" man="1"/>
    <brk id="90" max="1048576" man="1"/>
  </rowBreaks>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3DBDB"/>
    <pageSetUpPr fitToPage="1"/>
  </sheetPr>
  <dimension ref="A1:Z61"/>
  <sheetViews>
    <sheetView showGridLines="0" topLeftCell="C7" zoomScaleNormal="100" workbookViewId="0">
      <selection activeCell="Q44" sqref="Q44"/>
    </sheetView>
  </sheetViews>
  <sheetFormatPr defaultColWidth="9.140625" defaultRowHeight="10.5" customHeight="1"/>
  <cols>
    <col min="1" max="2" width="4.7109375" style="3637" hidden="1" customWidth="1"/>
    <col min="3" max="3" width="2.7109375" style="3637" customWidth="1"/>
    <col min="4" max="4" width="70.7109375" style="3637" customWidth="1"/>
    <col min="5" max="5" width="6.7109375" style="3637" customWidth="1"/>
    <col min="6" max="6" width="22.7109375" style="3637" customWidth="1"/>
    <col min="7" max="8" width="16.7109375" style="3637" customWidth="1"/>
    <col min="9" max="9" width="22.7109375" style="3637" customWidth="1"/>
    <col min="10" max="26" width="16.7109375" style="3637" customWidth="1"/>
    <col min="27" max="16384" width="9.140625" style="3560"/>
  </cols>
  <sheetData>
    <row r="1" spans="1:26" ht="10.5" hidden="1" customHeight="1"/>
    <row r="2" spans="1:26" ht="10.5" hidden="1" customHeight="1"/>
    <row r="3" spans="1:26" ht="10.5" hidden="1" customHeight="1">
      <c r="F3" s="3640" t="s">
        <v>4403</v>
      </c>
      <c r="G3" s="3640" t="s">
        <v>4404</v>
      </c>
      <c r="H3" s="3640" t="s">
        <v>4405</v>
      </c>
      <c r="I3" s="3641" t="s">
        <v>4406</v>
      </c>
      <c r="J3" s="3641" t="s">
        <v>4407</v>
      </c>
      <c r="K3" s="3641" t="s">
        <v>4408</v>
      </c>
      <c r="L3" s="3641" t="s">
        <v>4409</v>
      </c>
      <c r="M3" s="3641" t="s">
        <v>4410</v>
      </c>
      <c r="N3" s="3641" t="s">
        <v>4411</v>
      </c>
      <c r="O3" s="3641" t="s">
        <v>4412</v>
      </c>
      <c r="P3" s="3641" t="s">
        <v>4413</v>
      </c>
      <c r="Q3" s="3641" t="s">
        <v>4414</v>
      </c>
      <c r="R3" s="3641" t="s">
        <v>4415</v>
      </c>
      <c r="S3" s="3641" t="s">
        <v>4416</v>
      </c>
      <c r="T3" s="3641" t="s">
        <v>4417</v>
      </c>
      <c r="U3" s="3641" t="s">
        <v>4418</v>
      </c>
      <c r="V3" s="3641" t="s">
        <v>4419</v>
      </c>
      <c r="W3" s="3641" t="s">
        <v>4420</v>
      </c>
      <c r="X3" s="3641" t="s">
        <v>4421</v>
      </c>
      <c r="Y3" s="3641" t="s">
        <v>4422</v>
      </c>
      <c r="Z3" s="3641" t="s">
        <v>4423</v>
      </c>
    </row>
    <row r="4" spans="1:26" ht="10.5" hidden="1" customHeight="1"/>
    <row r="5" spans="1:26" ht="10.5" hidden="1" customHeight="1">
      <c r="A5" s="3642"/>
    </row>
    <row r="6" spans="1:26" ht="10.5" hidden="1" customHeight="1">
      <c r="A6" s="3642"/>
    </row>
    <row r="7" spans="1:26" ht="6" customHeight="1">
      <c r="A7" s="3642"/>
    </row>
    <row r="8" spans="1:26" ht="12" customHeight="1">
      <c r="A8" s="3642"/>
      <c r="D8" s="3664" t="s">
        <v>494</v>
      </c>
      <c r="E8" s="3644"/>
      <c r="F8" s="3644"/>
      <c r="G8" s="3644"/>
      <c r="H8" s="3644"/>
      <c r="I8" s="3644"/>
      <c r="J8" s="3644"/>
      <c r="K8" s="3644"/>
      <c r="L8" s="3644"/>
      <c r="M8" s="3644"/>
      <c r="N8" s="3644"/>
      <c r="O8" s="3644"/>
      <c r="P8" s="3644"/>
      <c r="Q8" s="3644"/>
      <c r="R8" s="3644"/>
      <c r="S8" s="3644"/>
      <c r="T8" s="3644"/>
      <c r="U8" s="3644"/>
      <c r="V8" s="3644"/>
      <c r="W8" s="3644"/>
      <c r="X8" s="3644"/>
      <c r="Y8" s="3644"/>
    </row>
    <row r="9" spans="1:26" ht="12" customHeight="1">
      <c r="D9" s="3668" t="s">
        <v>543</v>
      </c>
    </row>
    <row r="10" spans="1:26" ht="12" customHeight="1">
      <c r="D10" s="3646" t="e">
        <f>IF(ORG="","Не определено",ORG)</f>
        <v>#NAME?</v>
      </c>
      <c r="Z10" s="3647" t="s">
        <v>4287</v>
      </c>
    </row>
    <row r="11" spans="1:26" ht="15" customHeight="1">
      <c r="D11" s="3666"/>
      <c r="E11" s="3644"/>
      <c r="F11" s="3644"/>
      <c r="G11" s="3669" t="s">
        <v>4424</v>
      </c>
      <c r="H11" s="3669" t="s">
        <v>4289</v>
      </c>
      <c r="I11" s="3644"/>
      <c r="J11" s="3669" t="s">
        <v>4424</v>
      </c>
      <c r="K11" s="3669" t="s">
        <v>4289</v>
      </c>
      <c r="L11" s="3670"/>
      <c r="M11" s="3670"/>
      <c r="N11" s="4760" t="s">
        <v>4424</v>
      </c>
      <c r="O11" s="4760"/>
      <c r="P11" s="4760" t="s">
        <v>4289</v>
      </c>
      <c r="Q11" s="4760"/>
      <c r="U11" s="4763" t="s">
        <v>4424</v>
      </c>
      <c r="V11" s="4763"/>
      <c r="W11" s="4763"/>
      <c r="X11" s="4763" t="s">
        <v>4289</v>
      </c>
      <c r="Y11" s="4763"/>
      <c r="Z11" s="4763"/>
    </row>
    <row r="12" spans="1:26" ht="69.75" customHeight="1">
      <c r="D12" s="4760" t="s">
        <v>497</v>
      </c>
      <c r="E12" s="4762" t="s">
        <v>498</v>
      </c>
      <c r="F12" s="3649" t="s">
        <v>4425</v>
      </c>
      <c r="G12" s="4760" t="s">
        <v>4426</v>
      </c>
      <c r="H12" s="4760"/>
      <c r="I12" s="3649" t="s">
        <v>4427</v>
      </c>
      <c r="J12" s="4760" t="s">
        <v>4428</v>
      </c>
      <c r="K12" s="4760"/>
      <c r="L12" s="4760" t="s">
        <v>4429</v>
      </c>
      <c r="M12" s="4760"/>
      <c r="N12" s="4767" t="s">
        <v>4430</v>
      </c>
      <c r="O12" s="4767"/>
      <c r="P12" s="4767" t="s">
        <v>4430</v>
      </c>
      <c r="Q12" s="4767"/>
      <c r="R12" s="4760" t="s">
        <v>4431</v>
      </c>
      <c r="S12" s="4760"/>
      <c r="T12" s="4760"/>
      <c r="U12" s="4767" t="s">
        <v>4432</v>
      </c>
      <c r="V12" s="4767"/>
      <c r="W12" s="4767"/>
      <c r="X12" s="4767" t="s">
        <v>4432</v>
      </c>
      <c r="Y12" s="4767"/>
      <c r="Z12" s="4767"/>
    </row>
    <row r="13" spans="1:26" ht="12" customHeight="1">
      <c r="D13" s="4760"/>
      <c r="E13" s="4762"/>
      <c r="F13" s="3649" t="s">
        <v>511</v>
      </c>
      <c r="G13" s="3649" t="s">
        <v>511</v>
      </c>
      <c r="H13" s="3649" t="s">
        <v>511</v>
      </c>
      <c r="I13" s="3649" t="s">
        <v>511</v>
      </c>
      <c r="J13" s="3649" t="s">
        <v>511</v>
      </c>
      <c r="K13" s="3649" t="s">
        <v>511</v>
      </c>
      <c r="L13" s="3649" t="s">
        <v>553</v>
      </c>
      <c r="M13" s="3649" t="s">
        <v>4030</v>
      </c>
      <c r="N13" s="3649" t="s">
        <v>553</v>
      </c>
      <c r="O13" s="3649" t="s">
        <v>4030</v>
      </c>
      <c r="P13" s="3649" t="s">
        <v>553</v>
      </c>
      <c r="Q13" s="3649" t="s">
        <v>4030</v>
      </c>
      <c r="R13" s="3649" t="s">
        <v>553</v>
      </c>
      <c r="S13" s="3649" t="s">
        <v>554</v>
      </c>
      <c r="T13" s="3649" t="s">
        <v>4031</v>
      </c>
      <c r="U13" s="3649" t="s">
        <v>553</v>
      </c>
      <c r="V13" s="3649" t="s">
        <v>554</v>
      </c>
      <c r="W13" s="3649" t="s">
        <v>4031</v>
      </c>
      <c r="X13" s="3649" t="s">
        <v>553</v>
      </c>
      <c r="Y13" s="3649" t="s">
        <v>554</v>
      </c>
      <c r="Z13" s="3649" t="s">
        <v>4031</v>
      </c>
    </row>
    <row r="14" spans="1:26" ht="12" hidden="1" customHeight="1">
      <c r="D14" s="4760"/>
      <c r="E14" s="4762"/>
      <c r="F14" s="3671"/>
      <c r="G14" s="3671"/>
      <c r="H14" s="3671"/>
      <c r="I14" s="3671"/>
      <c r="J14" s="3671"/>
      <c r="K14" s="3671"/>
      <c r="L14" s="3671"/>
      <c r="M14" s="3671"/>
      <c r="N14" s="3671"/>
      <c r="O14" s="3671"/>
      <c r="P14" s="3671"/>
      <c r="Q14" s="3671"/>
      <c r="R14" s="3671"/>
      <c r="S14" s="3671"/>
      <c r="T14" s="3671"/>
      <c r="U14" s="3671"/>
      <c r="V14" s="3671"/>
      <c r="W14" s="3671"/>
      <c r="X14" s="3671"/>
      <c r="Y14" s="3671"/>
      <c r="Z14" s="3671"/>
    </row>
    <row r="15" spans="1:26" ht="12" hidden="1" customHeight="1">
      <c r="D15" s="4760"/>
      <c r="E15" s="4762"/>
      <c r="F15" s="3671"/>
      <c r="G15" s="3671"/>
      <c r="H15" s="3671"/>
      <c r="I15" s="3671"/>
      <c r="J15" s="3671"/>
      <c r="K15" s="3671"/>
      <c r="L15" s="3671"/>
      <c r="M15" s="3671"/>
      <c r="N15" s="3671"/>
      <c r="O15" s="3671"/>
      <c r="P15" s="3671"/>
      <c r="Q15" s="3671"/>
      <c r="R15" s="3671"/>
      <c r="S15" s="3671"/>
      <c r="T15" s="3671"/>
      <c r="U15" s="3671"/>
      <c r="V15" s="3671"/>
      <c r="W15" s="3671"/>
      <c r="X15" s="3671"/>
      <c r="Y15" s="3671"/>
      <c r="Z15" s="3671"/>
    </row>
    <row r="16" spans="1:26" ht="10.5" customHeight="1">
      <c r="D16" s="4760"/>
      <c r="E16" s="4762"/>
      <c r="F16" s="3649" t="s">
        <v>4298</v>
      </c>
      <c r="G16" s="3649" t="s">
        <v>1833</v>
      </c>
      <c r="H16" s="3649" t="s">
        <v>1833</v>
      </c>
      <c r="I16" s="3649" t="s">
        <v>4298</v>
      </c>
      <c r="J16" s="3649" t="s">
        <v>1833</v>
      </c>
      <c r="K16" s="3649" t="s">
        <v>1833</v>
      </c>
      <c r="L16" s="3649" t="s">
        <v>4298</v>
      </c>
      <c r="M16" s="3649" t="s">
        <v>4298</v>
      </c>
      <c r="N16" s="3649" t="s">
        <v>1833</v>
      </c>
      <c r="O16" s="3649" t="s">
        <v>1833</v>
      </c>
      <c r="P16" s="3649" t="s">
        <v>1833</v>
      </c>
      <c r="Q16" s="3649" t="s">
        <v>1833</v>
      </c>
      <c r="R16" s="3649" t="s">
        <v>4298</v>
      </c>
      <c r="S16" s="3649" t="s">
        <v>4298</v>
      </c>
      <c r="T16" s="3649" t="s">
        <v>4298</v>
      </c>
      <c r="U16" s="3649" t="s">
        <v>1833</v>
      </c>
      <c r="V16" s="3649" t="s">
        <v>1833</v>
      </c>
      <c r="W16" s="3649" t="s">
        <v>1833</v>
      </c>
      <c r="X16" s="3649" t="s">
        <v>1833</v>
      </c>
      <c r="Y16" s="3649" t="s">
        <v>1833</v>
      </c>
      <c r="Z16" s="3649" t="s">
        <v>1833</v>
      </c>
    </row>
    <row r="17" spans="4:26" ht="12" customHeight="1">
      <c r="D17" s="3651">
        <v>1</v>
      </c>
      <c r="E17" s="3651">
        <v>2</v>
      </c>
      <c r="F17" s="3651">
        <v>3</v>
      </c>
      <c r="G17" s="3651">
        <v>4</v>
      </c>
      <c r="H17" s="3651">
        <v>5</v>
      </c>
      <c r="I17" s="3651">
        <v>6</v>
      </c>
      <c r="J17" s="3651">
        <v>7</v>
      </c>
      <c r="K17" s="3651">
        <v>8</v>
      </c>
      <c r="L17" s="3651">
        <v>9</v>
      </c>
      <c r="M17" s="3651">
        <v>10</v>
      </c>
      <c r="N17" s="3651">
        <v>11</v>
      </c>
      <c r="O17" s="3651">
        <v>12</v>
      </c>
      <c r="P17" s="3651">
        <v>13</v>
      </c>
      <c r="Q17" s="3651">
        <v>14</v>
      </c>
      <c r="R17" s="3651">
        <v>15</v>
      </c>
      <c r="S17" s="3651">
        <v>16</v>
      </c>
      <c r="T17" s="3651">
        <v>17</v>
      </c>
      <c r="U17" s="3651">
        <v>18</v>
      </c>
      <c r="V17" s="3651">
        <v>19</v>
      </c>
      <c r="W17" s="3651">
        <v>20</v>
      </c>
      <c r="X17" s="3651">
        <v>21</v>
      </c>
      <c r="Y17" s="3651">
        <v>22</v>
      </c>
      <c r="Z17" s="3651">
        <v>23</v>
      </c>
    </row>
    <row r="18" spans="4:26" ht="45" customHeight="1">
      <c r="D18" s="3653" t="s">
        <v>1973</v>
      </c>
      <c r="E18" s="3654" t="s">
        <v>4300</v>
      </c>
      <c r="F18" s="3655">
        <f t="shared" ref="F18:Z18" si="0">SUM(F19,F20)</f>
        <v>24830.239000000001</v>
      </c>
      <c r="G18" s="3655">
        <f t="shared" si="0"/>
        <v>67303.919316799991</v>
      </c>
      <c r="H18" s="3655">
        <f t="shared" si="0"/>
        <v>57037.219759999993</v>
      </c>
      <c r="I18" s="3655">
        <f t="shared" si="0"/>
        <v>7588.9080000000004</v>
      </c>
      <c r="J18" s="3655">
        <f t="shared" si="0"/>
        <v>22311.007942999997</v>
      </c>
      <c r="K18" s="3655">
        <f t="shared" si="0"/>
        <v>18907.633849999998</v>
      </c>
      <c r="L18" s="3655">
        <f t="shared" si="0"/>
        <v>4609.2960000000003</v>
      </c>
      <c r="M18" s="3655">
        <f t="shared" si="0"/>
        <v>12632.035000000002</v>
      </c>
      <c r="N18" s="3655">
        <f t="shared" si="0"/>
        <v>8776.3698762000022</v>
      </c>
      <c r="O18" s="3655">
        <f t="shared" si="0"/>
        <v>36216.541497599996</v>
      </c>
      <c r="P18" s="3655">
        <f t="shared" si="0"/>
        <v>7437.6015900000002</v>
      </c>
      <c r="Q18" s="3655">
        <f t="shared" si="0"/>
        <v>30691.98432</v>
      </c>
      <c r="R18" s="3655">
        <f t="shared" si="0"/>
        <v>0</v>
      </c>
      <c r="S18" s="3655">
        <f t="shared" si="0"/>
        <v>0</v>
      </c>
      <c r="T18" s="3655">
        <f t="shared" si="0"/>
        <v>0</v>
      </c>
      <c r="U18" s="3655">
        <f t="shared" si="0"/>
        <v>0</v>
      </c>
      <c r="V18" s="3655">
        <f t="shared" si="0"/>
        <v>0</v>
      </c>
      <c r="W18" s="3655">
        <f t="shared" si="0"/>
        <v>0</v>
      </c>
      <c r="X18" s="3655">
        <f t="shared" si="0"/>
        <v>0</v>
      </c>
      <c r="Y18" s="3655">
        <f t="shared" si="0"/>
        <v>0</v>
      </c>
      <c r="Z18" s="3655">
        <f t="shared" si="0"/>
        <v>0</v>
      </c>
    </row>
    <row r="19" spans="4:26" ht="11.25" customHeight="1">
      <c r="D19" s="3672" t="s">
        <v>557</v>
      </c>
      <c r="E19" s="3649" t="s">
        <v>4433</v>
      </c>
      <c r="F19" s="3655">
        <f>SUM(I19,L19:M19,R19:T19)</f>
        <v>24830.239000000001</v>
      </c>
      <c r="G19" s="3655">
        <f>SUM(J19,N19:O19,U19:W19)</f>
        <v>67303.919316799991</v>
      </c>
      <c r="H19" s="3655">
        <f>SUM(K19,P19:Q19,X19:Z19)</f>
        <v>57037.219759999993</v>
      </c>
      <c r="I19" s="3655">
        <f t="shared" ref="I19:Z20" si="1">SUM(I22,I40)</f>
        <v>7588.9080000000004</v>
      </c>
      <c r="J19" s="3655">
        <f t="shared" si="1"/>
        <v>22311.007942999997</v>
      </c>
      <c r="K19" s="3655">
        <f t="shared" si="1"/>
        <v>18907.633849999998</v>
      </c>
      <c r="L19" s="3655">
        <f t="shared" si="1"/>
        <v>4609.2960000000003</v>
      </c>
      <c r="M19" s="3655">
        <f t="shared" si="1"/>
        <v>12632.035000000002</v>
      </c>
      <c r="N19" s="3655">
        <f t="shared" si="1"/>
        <v>8776.3698762000022</v>
      </c>
      <c r="O19" s="3655">
        <f t="shared" si="1"/>
        <v>36216.541497599996</v>
      </c>
      <c r="P19" s="3655">
        <f t="shared" si="1"/>
        <v>7437.6015900000002</v>
      </c>
      <c r="Q19" s="3655">
        <f t="shared" si="1"/>
        <v>30691.98432</v>
      </c>
      <c r="R19" s="3655">
        <f t="shared" si="1"/>
        <v>0</v>
      </c>
      <c r="S19" s="3655">
        <f t="shared" si="1"/>
        <v>0</v>
      </c>
      <c r="T19" s="3655">
        <f t="shared" si="1"/>
        <v>0</v>
      </c>
      <c r="U19" s="3655">
        <f t="shared" si="1"/>
        <v>0</v>
      </c>
      <c r="V19" s="3655">
        <f t="shared" si="1"/>
        <v>0</v>
      </c>
      <c r="W19" s="3655">
        <f t="shared" si="1"/>
        <v>0</v>
      </c>
      <c r="X19" s="3655">
        <f t="shared" si="1"/>
        <v>0</v>
      </c>
      <c r="Y19" s="3655">
        <f t="shared" si="1"/>
        <v>0</v>
      </c>
      <c r="Z19" s="3655">
        <f t="shared" si="1"/>
        <v>0</v>
      </c>
    </row>
    <row r="20" spans="4:26" ht="11.25" customHeight="1">
      <c r="D20" s="3673" t="s">
        <v>558</v>
      </c>
      <c r="E20" s="3649" t="s">
        <v>1688</v>
      </c>
      <c r="F20" s="3655">
        <f>SUM(I20,L20:M20,R20:T20)</f>
        <v>0</v>
      </c>
      <c r="G20" s="3655">
        <f>SUM(J20,N20:O20,U20:W20)</f>
        <v>0</v>
      </c>
      <c r="H20" s="3655">
        <f>SUM(K20,P20:Q20,X20:Z20)</f>
        <v>0</v>
      </c>
      <c r="I20" s="3655">
        <f t="shared" si="1"/>
        <v>0</v>
      </c>
      <c r="J20" s="3655">
        <f t="shared" si="1"/>
        <v>0</v>
      </c>
      <c r="K20" s="3655">
        <f t="shared" si="1"/>
        <v>0</v>
      </c>
      <c r="L20" s="3655">
        <f t="shared" si="1"/>
        <v>0</v>
      </c>
      <c r="M20" s="3655">
        <f t="shared" si="1"/>
        <v>0</v>
      </c>
      <c r="N20" s="3655">
        <f t="shared" si="1"/>
        <v>0</v>
      </c>
      <c r="O20" s="3655">
        <f t="shared" si="1"/>
        <v>0</v>
      </c>
      <c r="P20" s="3655">
        <f t="shared" si="1"/>
        <v>0</v>
      </c>
      <c r="Q20" s="3655">
        <f t="shared" si="1"/>
        <v>0</v>
      </c>
      <c r="R20" s="3655">
        <f t="shared" si="1"/>
        <v>0</v>
      </c>
      <c r="S20" s="3655">
        <f t="shared" si="1"/>
        <v>0</v>
      </c>
      <c r="T20" s="3655">
        <f t="shared" si="1"/>
        <v>0</v>
      </c>
      <c r="U20" s="3655">
        <f t="shared" si="1"/>
        <v>0</v>
      </c>
      <c r="V20" s="3655">
        <f t="shared" si="1"/>
        <v>0</v>
      </c>
      <c r="W20" s="3655">
        <f t="shared" si="1"/>
        <v>0</v>
      </c>
      <c r="X20" s="3655">
        <f t="shared" si="1"/>
        <v>0</v>
      </c>
      <c r="Y20" s="3655">
        <f t="shared" si="1"/>
        <v>0</v>
      </c>
      <c r="Z20" s="3655">
        <f t="shared" si="1"/>
        <v>0</v>
      </c>
    </row>
    <row r="21" spans="4:26" ht="45" customHeight="1">
      <c r="D21" s="3656" t="s">
        <v>556</v>
      </c>
      <c r="E21" s="3657" t="s">
        <v>4302</v>
      </c>
      <c r="F21" s="3655">
        <f t="shared" ref="F21:Z21" si="2">SUM(F22,F23)</f>
        <v>22702.848000000002</v>
      </c>
      <c r="G21" s="3655">
        <f t="shared" si="2"/>
        <v>59944.106565799993</v>
      </c>
      <c r="H21" s="3655">
        <f t="shared" si="2"/>
        <v>50800.09031</v>
      </c>
      <c r="I21" s="3655">
        <f t="shared" si="2"/>
        <v>7505.3220000000001</v>
      </c>
      <c r="J21" s="3655">
        <f t="shared" si="2"/>
        <v>21964.180844399998</v>
      </c>
      <c r="K21" s="3655">
        <f t="shared" si="2"/>
        <v>18613.712579999999</v>
      </c>
      <c r="L21" s="3655">
        <f t="shared" si="2"/>
        <v>3979.8690000000001</v>
      </c>
      <c r="M21" s="3655">
        <f t="shared" si="2"/>
        <v>11217.657000000001</v>
      </c>
      <c r="N21" s="3655">
        <f t="shared" si="2"/>
        <v>7188.1442860000016</v>
      </c>
      <c r="O21" s="3655">
        <f t="shared" si="2"/>
        <v>30791.781435399993</v>
      </c>
      <c r="P21" s="3655">
        <f t="shared" si="2"/>
        <v>6091.6477000000004</v>
      </c>
      <c r="Q21" s="3655">
        <f t="shared" si="2"/>
        <v>26094.730029999999</v>
      </c>
      <c r="R21" s="3655">
        <f t="shared" si="2"/>
        <v>0</v>
      </c>
      <c r="S21" s="3655">
        <f t="shared" si="2"/>
        <v>0</v>
      </c>
      <c r="T21" s="3655">
        <f t="shared" si="2"/>
        <v>0</v>
      </c>
      <c r="U21" s="3655">
        <f t="shared" si="2"/>
        <v>0</v>
      </c>
      <c r="V21" s="3655">
        <f t="shared" si="2"/>
        <v>0</v>
      </c>
      <c r="W21" s="3655">
        <f t="shared" si="2"/>
        <v>0</v>
      </c>
      <c r="X21" s="3655">
        <f t="shared" si="2"/>
        <v>0</v>
      </c>
      <c r="Y21" s="3655">
        <f t="shared" si="2"/>
        <v>0</v>
      </c>
      <c r="Z21" s="3655">
        <f t="shared" si="2"/>
        <v>0</v>
      </c>
    </row>
    <row r="22" spans="4:26" ht="11.25" customHeight="1">
      <c r="D22" s="3674" t="s">
        <v>557</v>
      </c>
      <c r="E22" s="3649" t="s">
        <v>4434</v>
      </c>
      <c r="F22" s="3655">
        <f>SUM(I22,L22:M22,R22:T22)</f>
        <v>22702.848000000002</v>
      </c>
      <c r="G22" s="3655">
        <f>SUM(J22,N22:O22,U22:W22)</f>
        <v>59944.106565799993</v>
      </c>
      <c r="H22" s="3655">
        <f>SUM(K22,P22:Q22,X22:Z22)</f>
        <v>50800.09031</v>
      </c>
      <c r="I22" s="3655">
        <f t="shared" ref="I22:Z23" si="3">SUM(I25,I28,I31,I34,I37)</f>
        <v>7505.3220000000001</v>
      </c>
      <c r="J22" s="3655">
        <f t="shared" si="3"/>
        <v>21964.180844399998</v>
      </c>
      <c r="K22" s="3655">
        <f t="shared" si="3"/>
        <v>18613.712579999999</v>
      </c>
      <c r="L22" s="3655">
        <f t="shared" si="3"/>
        <v>3979.8690000000001</v>
      </c>
      <c r="M22" s="3655">
        <f t="shared" si="3"/>
        <v>11217.657000000001</v>
      </c>
      <c r="N22" s="3655">
        <f t="shared" si="3"/>
        <v>7188.1442860000016</v>
      </c>
      <c r="O22" s="3655">
        <f t="shared" si="3"/>
        <v>30791.781435399993</v>
      </c>
      <c r="P22" s="3655">
        <f t="shared" si="3"/>
        <v>6091.6477000000004</v>
      </c>
      <c r="Q22" s="3655">
        <f t="shared" si="3"/>
        <v>26094.730029999999</v>
      </c>
      <c r="R22" s="3655">
        <f t="shared" si="3"/>
        <v>0</v>
      </c>
      <c r="S22" s="3655">
        <f t="shared" si="3"/>
        <v>0</v>
      </c>
      <c r="T22" s="3655">
        <f t="shared" si="3"/>
        <v>0</v>
      </c>
      <c r="U22" s="3655">
        <f t="shared" si="3"/>
        <v>0</v>
      </c>
      <c r="V22" s="3655">
        <f t="shared" si="3"/>
        <v>0</v>
      </c>
      <c r="W22" s="3655">
        <f t="shared" si="3"/>
        <v>0</v>
      </c>
      <c r="X22" s="3655">
        <f t="shared" si="3"/>
        <v>0</v>
      </c>
      <c r="Y22" s="3655">
        <f t="shared" si="3"/>
        <v>0</v>
      </c>
      <c r="Z22" s="3655">
        <f t="shared" si="3"/>
        <v>0</v>
      </c>
    </row>
    <row r="23" spans="4:26" ht="11.25" customHeight="1">
      <c r="D23" s="3675" t="s">
        <v>558</v>
      </c>
      <c r="E23" s="3649" t="s">
        <v>4435</v>
      </c>
      <c r="F23" s="3655">
        <f>SUM(I23,L23:M23,R23:T23)</f>
        <v>0</v>
      </c>
      <c r="G23" s="3655">
        <f>SUM(J23,N23:O23,U23:W23)</f>
        <v>0</v>
      </c>
      <c r="H23" s="3655">
        <f>SUM(K23,P23:Q23,X23:Z23)</f>
        <v>0</v>
      </c>
      <c r="I23" s="3655">
        <f t="shared" si="3"/>
        <v>0</v>
      </c>
      <c r="J23" s="3655">
        <f t="shared" si="3"/>
        <v>0</v>
      </c>
      <c r="K23" s="3655">
        <f t="shared" si="3"/>
        <v>0</v>
      </c>
      <c r="L23" s="3655">
        <f t="shared" si="3"/>
        <v>0</v>
      </c>
      <c r="M23" s="3655">
        <f t="shared" si="3"/>
        <v>0</v>
      </c>
      <c r="N23" s="3655">
        <f t="shared" si="3"/>
        <v>0</v>
      </c>
      <c r="O23" s="3655">
        <f t="shared" si="3"/>
        <v>0</v>
      </c>
      <c r="P23" s="3655">
        <f t="shared" si="3"/>
        <v>0</v>
      </c>
      <c r="Q23" s="3655">
        <f t="shared" si="3"/>
        <v>0</v>
      </c>
      <c r="R23" s="3655">
        <f t="shared" si="3"/>
        <v>0</v>
      </c>
      <c r="S23" s="3655">
        <f t="shared" si="3"/>
        <v>0</v>
      </c>
      <c r="T23" s="3655">
        <f t="shared" si="3"/>
        <v>0</v>
      </c>
      <c r="U23" s="3655">
        <f t="shared" si="3"/>
        <v>0</v>
      </c>
      <c r="V23" s="3655">
        <f t="shared" si="3"/>
        <v>0</v>
      </c>
      <c r="W23" s="3655">
        <f t="shared" si="3"/>
        <v>0</v>
      </c>
      <c r="X23" s="3655">
        <f t="shared" si="3"/>
        <v>0</v>
      </c>
      <c r="Y23" s="3655">
        <f t="shared" si="3"/>
        <v>0</v>
      </c>
      <c r="Z23" s="3655">
        <f t="shared" si="3"/>
        <v>0</v>
      </c>
    </row>
    <row r="24" spans="4:26" ht="48" customHeight="1">
      <c r="D24" s="3662" t="s">
        <v>4032</v>
      </c>
      <c r="E24" s="3649" t="s">
        <v>4303</v>
      </c>
      <c r="F24" s="3655">
        <f t="shared" ref="F24:Z24" si="4">SUM(F25,F26)</f>
        <v>1488.742</v>
      </c>
      <c r="G24" s="3655">
        <f t="shared" si="4"/>
        <v>4992.6345631999993</v>
      </c>
      <c r="H24" s="3655">
        <f t="shared" si="4"/>
        <v>4231.0462399999997</v>
      </c>
      <c r="I24" s="3655">
        <f t="shared" si="4"/>
        <v>99.606999999999999</v>
      </c>
      <c r="J24" s="3655">
        <f t="shared" si="4"/>
        <v>402.90068679999996</v>
      </c>
      <c r="K24" s="3655">
        <f t="shared" si="4"/>
        <v>341.44126</v>
      </c>
      <c r="L24" s="3655">
        <f t="shared" si="4"/>
        <v>461.4</v>
      </c>
      <c r="M24" s="3655">
        <f t="shared" si="4"/>
        <v>927.73500000000001</v>
      </c>
      <c r="N24" s="3655">
        <f t="shared" si="4"/>
        <v>1130.806744</v>
      </c>
      <c r="O24" s="3655">
        <f t="shared" si="4"/>
        <v>3458.9271323999997</v>
      </c>
      <c r="P24" s="3655">
        <f t="shared" si="4"/>
        <v>958.31079999999997</v>
      </c>
      <c r="Q24" s="3655">
        <f t="shared" si="4"/>
        <v>2931.2941799999999</v>
      </c>
      <c r="R24" s="3655">
        <f t="shared" si="4"/>
        <v>0</v>
      </c>
      <c r="S24" s="3655">
        <f t="shared" si="4"/>
        <v>0</v>
      </c>
      <c r="T24" s="3655">
        <f t="shared" si="4"/>
        <v>0</v>
      </c>
      <c r="U24" s="3655">
        <f t="shared" si="4"/>
        <v>0</v>
      </c>
      <c r="V24" s="3655">
        <f t="shared" si="4"/>
        <v>0</v>
      </c>
      <c r="W24" s="3655">
        <f t="shared" si="4"/>
        <v>0</v>
      </c>
      <c r="X24" s="3655">
        <f t="shared" si="4"/>
        <v>0</v>
      </c>
      <c r="Y24" s="3655">
        <f t="shared" si="4"/>
        <v>0</v>
      </c>
      <c r="Z24" s="3655">
        <f t="shared" si="4"/>
        <v>0</v>
      </c>
    </row>
    <row r="25" spans="4:26" ht="11.25" customHeight="1">
      <c r="D25" s="3674" t="s">
        <v>557</v>
      </c>
      <c r="E25" s="3649" t="s">
        <v>4305</v>
      </c>
      <c r="F25" s="3655">
        <f>SUM(I25,L25:M25,R25:T25)</f>
        <v>1488.742</v>
      </c>
      <c r="G25" s="3655">
        <f>SUM(J25,N25:O25,U25:W25)</f>
        <v>4992.6345631999993</v>
      </c>
      <c r="H25" s="3655">
        <f>SUM(K25,P25:Q25,X25:Z25)</f>
        <v>4231.0462399999997</v>
      </c>
      <c r="I25" s="3676">
        <f>'Раздел 1 В'!I19</f>
        <v>99.606999999999999</v>
      </c>
      <c r="J25" s="3676">
        <f>'Раздел 1 В'!J19</f>
        <v>402.90068679999996</v>
      </c>
      <c r="K25" s="3676">
        <f>'Раздел 1 В'!K19</f>
        <v>341.44126</v>
      </c>
      <c r="L25" s="3676">
        <f>'Раздел 1 В'!L19</f>
        <v>461.4</v>
      </c>
      <c r="M25" s="3676">
        <f>'Раздел 1 В'!N19</f>
        <v>927.73500000000001</v>
      </c>
      <c r="N25" s="3676">
        <f>'Раздел 1 В'!O19</f>
        <v>1130.806744</v>
      </c>
      <c r="O25" s="3676">
        <f>'Раздел 1 В'!Q19</f>
        <v>3458.9271323999997</v>
      </c>
      <c r="P25" s="3676">
        <f>'Раздел 1 В'!R19</f>
        <v>958.31079999999997</v>
      </c>
      <c r="Q25" s="3661">
        <f>'Раздел 1 В'!T19</f>
        <v>2931.2941799999999</v>
      </c>
      <c r="R25" s="3676"/>
      <c r="S25" s="3676"/>
      <c r="T25" s="3676"/>
      <c r="U25" s="3676"/>
      <c r="V25" s="3676"/>
      <c r="W25" s="3676"/>
      <c r="X25" s="3676"/>
      <c r="Y25" s="3676"/>
      <c r="Z25" s="3676"/>
    </row>
    <row r="26" spans="4:26" ht="11.25" customHeight="1">
      <c r="D26" s="3675" t="s">
        <v>558</v>
      </c>
      <c r="E26" s="3649" t="s">
        <v>4307</v>
      </c>
      <c r="F26" s="3655">
        <f>SUM(I26,L26:M26,R26:T26)</f>
        <v>0</v>
      </c>
      <c r="G26" s="3655">
        <f>SUM(J26,N26:O26,U26:W26)</f>
        <v>0</v>
      </c>
      <c r="H26" s="3655">
        <f>SUM(K26,P26:Q26,X26:Z26)</f>
        <v>0</v>
      </c>
      <c r="I26" s="3676"/>
      <c r="J26" s="3661"/>
      <c r="K26" s="3661"/>
      <c r="L26" s="3676"/>
      <c r="M26" s="3676"/>
      <c r="N26" s="3676"/>
      <c r="O26" s="3676"/>
      <c r="P26" s="3661"/>
      <c r="Q26" s="3661"/>
      <c r="R26" s="3676"/>
      <c r="S26" s="3676"/>
      <c r="T26" s="3676"/>
      <c r="U26" s="3676"/>
      <c r="V26" s="3676"/>
      <c r="W26" s="3676"/>
      <c r="X26" s="3676"/>
      <c r="Y26" s="3676"/>
      <c r="Z26" s="3676"/>
    </row>
    <row r="27" spans="4:26" ht="39" customHeight="1">
      <c r="D27" s="3677" t="s">
        <v>4033</v>
      </c>
      <c r="E27" s="3649" t="s">
        <v>4322</v>
      </c>
      <c r="F27" s="3655">
        <f t="shared" ref="F27:Z27" si="5">SUM(F28,F29)</f>
        <v>1071.3130000000001</v>
      </c>
      <c r="G27" s="3655">
        <f t="shared" si="5"/>
        <v>2775.05</v>
      </c>
      <c r="H27" s="3655">
        <f t="shared" si="5"/>
        <v>2351.7379999999998</v>
      </c>
      <c r="I27" s="3655">
        <f t="shared" si="5"/>
        <v>373.98899999999998</v>
      </c>
      <c r="J27" s="3655">
        <f t="shared" si="5"/>
        <v>1088.845</v>
      </c>
      <c r="K27" s="3655">
        <f t="shared" si="5"/>
        <v>922.75</v>
      </c>
      <c r="L27" s="3655">
        <f t="shared" si="5"/>
        <v>177.68299999999999</v>
      </c>
      <c r="M27" s="3655">
        <f t="shared" si="5"/>
        <v>519.64099999999996</v>
      </c>
      <c r="N27" s="3655">
        <f t="shared" si="5"/>
        <v>305.89600000000002</v>
      </c>
      <c r="O27" s="3655">
        <f t="shared" si="5"/>
        <v>1380.309</v>
      </c>
      <c r="P27" s="3655">
        <f t="shared" si="5"/>
        <v>259.23399999999998</v>
      </c>
      <c r="Q27" s="3655">
        <f t="shared" si="5"/>
        <v>1169.7539999999999</v>
      </c>
      <c r="R27" s="3655">
        <f t="shared" si="5"/>
        <v>0</v>
      </c>
      <c r="S27" s="3655">
        <f t="shared" si="5"/>
        <v>0</v>
      </c>
      <c r="T27" s="3655">
        <f t="shared" si="5"/>
        <v>0</v>
      </c>
      <c r="U27" s="3655">
        <f t="shared" si="5"/>
        <v>0</v>
      </c>
      <c r="V27" s="3655">
        <f t="shared" si="5"/>
        <v>0</v>
      </c>
      <c r="W27" s="3655">
        <f t="shared" si="5"/>
        <v>0</v>
      </c>
      <c r="X27" s="3655">
        <f t="shared" si="5"/>
        <v>0</v>
      </c>
      <c r="Y27" s="3655">
        <f t="shared" si="5"/>
        <v>0</v>
      </c>
      <c r="Z27" s="3655">
        <f t="shared" si="5"/>
        <v>0</v>
      </c>
    </row>
    <row r="28" spans="4:26" ht="11.25" customHeight="1">
      <c r="D28" s="3674" t="s">
        <v>557</v>
      </c>
      <c r="E28" s="3649" t="s">
        <v>4436</v>
      </c>
      <c r="F28" s="3655">
        <f>SUM(I28,L28:M28,R28:T28)</f>
        <v>1071.3130000000001</v>
      </c>
      <c r="G28" s="3655">
        <f>SUM(J28,N28:O28,U28:W28)</f>
        <v>2775.05</v>
      </c>
      <c r="H28" s="3655">
        <f>SUM(K28,P28:Q28,X28:Z28)</f>
        <v>2351.7379999999998</v>
      </c>
      <c r="I28" s="3676">
        <f>ROUND('Раздел 1 В'!I22*5.05%,3)</f>
        <v>373.98899999999998</v>
      </c>
      <c r="J28" s="3676">
        <f>ROUND('Раздел 1 В'!J22*5.05%,3)</f>
        <v>1088.845</v>
      </c>
      <c r="K28" s="3676">
        <f>ROUND('Раздел 1 В'!K22*5.05%,3)</f>
        <v>922.75</v>
      </c>
      <c r="L28" s="3676">
        <f>ROUND('Раздел 1 В'!L22*5.05%,3)</f>
        <v>177.68299999999999</v>
      </c>
      <c r="M28" s="3676">
        <f>ROUND('Раздел 1 В'!N22*5.05%,3)</f>
        <v>519.64099999999996</v>
      </c>
      <c r="N28" s="3676">
        <f>ROUND('Раздел 1 В'!O22*5.05%,3)</f>
        <v>305.89600000000002</v>
      </c>
      <c r="O28" s="3676">
        <f>ROUND('Раздел 1 В'!Q22*5.05%,3)</f>
        <v>1380.309</v>
      </c>
      <c r="P28" s="3676">
        <f>ROUND('Раздел 1 В'!R22*5.05%,3)</f>
        <v>259.23399999999998</v>
      </c>
      <c r="Q28" s="3661">
        <f>ROUND('Раздел 1 В'!T22*5.05%,3)</f>
        <v>1169.7539999999999</v>
      </c>
      <c r="R28" s="3676"/>
      <c r="S28" s="3676"/>
      <c r="T28" s="3676"/>
      <c r="U28" s="3676"/>
      <c r="V28" s="3676"/>
      <c r="W28" s="3676"/>
      <c r="X28" s="3676"/>
      <c r="Y28" s="3676"/>
      <c r="Z28" s="3676"/>
    </row>
    <row r="29" spans="4:26" ht="11.25" customHeight="1">
      <c r="D29" s="3675" t="s">
        <v>558</v>
      </c>
      <c r="E29" s="3649" t="s">
        <v>4437</v>
      </c>
      <c r="F29" s="3655">
        <f>SUM(I29,L29:M29,R29:T29)</f>
        <v>0</v>
      </c>
      <c r="G29" s="3655">
        <f>SUM(J29,N29:O29,U29:W29)</f>
        <v>0</v>
      </c>
      <c r="H29" s="3655">
        <f>SUM(K29,P29:Q29,X29:Z29)</f>
        <v>0</v>
      </c>
      <c r="I29" s="3676"/>
      <c r="J29" s="3661"/>
      <c r="K29" s="3661"/>
      <c r="L29" s="3676"/>
      <c r="M29" s="3676"/>
      <c r="N29" s="3676"/>
      <c r="O29" s="3676"/>
      <c r="P29" s="3661"/>
      <c r="Q29" s="3661"/>
      <c r="R29" s="3676"/>
      <c r="S29" s="3676"/>
      <c r="T29" s="3676"/>
      <c r="U29" s="3676"/>
      <c r="V29" s="3676"/>
      <c r="W29" s="3676"/>
      <c r="X29" s="3676"/>
      <c r="Y29" s="3676"/>
      <c r="Z29" s="3676"/>
    </row>
    <row r="30" spans="4:26" ht="39" customHeight="1">
      <c r="D30" s="3677" t="s">
        <v>4438</v>
      </c>
      <c r="E30" s="3649" t="s">
        <v>4323</v>
      </c>
      <c r="F30" s="3655">
        <f t="shared" ref="F30:Z30" si="6">SUM(F31,F32)</f>
        <v>20142.793000000001</v>
      </c>
      <c r="G30" s="3655">
        <f t="shared" si="6"/>
        <v>52176.422002599997</v>
      </c>
      <c r="H30" s="3655">
        <f t="shared" si="6"/>
        <v>44217.306069999999</v>
      </c>
      <c r="I30" s="3655">
        <f t="shared" si="6"/>
        <v>7031.7260000000006</v>
      </c>
      <c r="J30" s="3655">
        <f t="shared" si="6"/>
        <v>20472.435157599997</v>
      </c>
      <c r="K30" s="3655">
        <f t="shared" si="6"/>
        <v>17349.52132</v>
      </c>
      <c r="L30" s="3655">
        <f t="shared" si="6"/>
        <v>3340.7860000000001</v>
      </c>
      <c r="M30" s="3655">
        <f t="shared" si="6"/>
        <v>9770.2810000000009</v>
      </c>
      <c r="N30" s="3655">
        <f t="shared" si="6"/>
        <v>5751.4415420000014</v>
      </c>
      <c r="O30" s="3655">
        <f t="shared" si="6"/>
        <v>25952.545302999995</v>
      </c>
      <c r="P30" s="3655">
        <f t="shared" si="6"/>
        <v>4874.1029000000008</v>
      </c>
      <c r="Q30" s="3655">
        <f t="shared" si="6"/>
        <v>21993.681849999997</v>
      </c>
      <c r="R30" s="3655">
        <f t="shared" si="6"/>
        <v>0</v>
      </c>
      <c r="S30" s="3655">
        <f t="shared" si="6"/>
        <v>0</v>
      </c>
      <c r="T30" s="3655">
        <f t="shared" si="6"/>
        <v>0</v>
      </c>
      <c r="U30" s="3655">
        <f t="shared" si="6"/>
        <v>0</v>
      </c>
      <c r="V30" s="3655">
        <f t="shared" si="6"/>
        <v>0</v>
      </c>
      <c r="W30" s="3655">
        <f t="shared" si="6"/>
        <v>0</v>
      </c>
      <c r="X30" s="3655">
        <f t="shared" si="6"/>
        <v>0</v>
      </c>
      <c r="Y30" s="3655">
        <f t="shared" si="6"/>
        <v>0</v>
      </c>
      <c r="Z30" s="3655">
        <f t="shared" si="6"/>
        <v>0</v>
      </c>
    </row>
    <row r="31" spans="4:26" ht="11.25" customHeight="1">
      <c r="D31" s="3674" t="s">
        <v>557</v>
      </c>
      <c r="E31" s="3649" t="s">
        <v>4439</v>
      </c>
      <c r="F31" s="3655">
        <f>SUM(I31,L31:M31,R31:T31)</f>
        <v>20142.793000000001</v>
      </c>
      <c r="G31" s="3655">
        <f>SUM(J31,N31:O31,U31:W31)</f>
        <v>52176.422002599997</v>
      </c>
      <c r="H31" s="3655">
        <f>SUM(K31,P31:Q31,X31:Z31)</f>
        <v>44217.306069999999</v>
      </c>
      <c r="I31" s="3676">
        <f>'Раздел 1 В'!I22-I28</f>
        <v>7031.7260000000006</v>
      </c>
      <c r="J31" s="3661">
        <f>'Раздел 1 В'!J22-J28</f>
        <v>20472.435157599997</v>
      </c>
      <c r="K31" s="3661">
        <f>'Раздел 1 В'!K22-K28</f>
        <v>17349.52132</v>
      </c>
      <c r="L31" s="3676">
        <f>'Раздел 1 В'!L22-L28</f>
        <v>3340.7860000000001</v>
      </c>
      <c r="M31" s="3676">
        <f>'Раздел 1 В'!N22-M28</f>
        <v>9770.2810000000009</v>
      </c>
      <c r="N31" s="3676">
        <f>'Раздел 1 В'!O22-N28</f>
        <v>5751.4415420000014</v>
      </c>
      <c r="O31" s="3676">
        <f>'Раздел 1 В'!Q22-O28</f>
        <v>25952.545302999995</v>
      </c>
      <c r="P31" s="3661">
        <f>'Раздел 1 В'!R22-P28</f>
        <v>4874.1029000000008</v>
      </c>
      <c r="Q31" s="3661">
        <f>'Раздел 1 В'!T22-Q28</f>
        <v>21993.681849999997</v>
      </c>
      <c r="R31" s="3676"/>
      <c r="S31" s="3676"/>
      <c r="T31" s="3676"/>
      <c r="U31" s="3676"/>
      <c r="V31" s="3676"/>
      <c r="W31" s="3676"/>
      <c r="X31" s="3676"/>
      <c r="Y31" s="3676"/>
      <c r="Z31" s="3676"/>
    </row>
    <row r="32" spans="4:26" ht="11.25" customHeight="1">
      <c r="D32" s="3675" t="s">
        <v>558</v>
      </c>
      <c r="E32" s="3649" t="s">
        <v>4440</v>
      </c>
      <c r="F32" s="3655">
        <f>SUM(I32,L32:M32,R32:T32)</f>
        <v>0</v>
      </c>
      <c r="G32" s="3655">
        <f>SUM(J32,N32:O32,U32:W32)</f>
        <v>0</v>
      </c>
      <c r="H32" s="3655">
        <f>SUM(K32,P32:Q32,X32:Z32)</f>
        <v>0</v>
      </c>
      <c r="I32" s="3676"/>
      <c r="J32" s="3661"/>
      <c r="K32" s="3661"/>
      <c r="L32" s="3676"/>
      <c r="M32" s="3676"/>
      <c r="N32" s="3676"/>
      <c r="O32" s="3676"/>
      <c r="P32" s="3661"/>
      <c r="Q32" s="3661"/>
      <c r="R32" s="3676"/>
      <c r="S32" s="3676"/>
      <c r="T32" s="3676"/>
      <c r="U32" s="3676"/>
      <c r="V32" s="3676"/>
      <c r="W32" s="3676"/>
      <c r="X32" s="3676"/>
      <c r="Y32" s="3676"/>
      <c r="Z32" s="3676"/>
    </row>
    <row r="33" spans="4:26" ht="39" customHeight="1">
      <c r="D33" s="3677" t="s">
        <v>4441</v>
      </c>
      <c r="E33" s="3649" t="s">
        <v>4324</v>
      </c>
      <c r="F33" s="3655">
        <f t="shared" ref="F33:Z33" si="7">SUM(F34,F35)</f>
        <v>0</v>
      </c>
      <c r="G33" s="3655">
        <f t="shared" si="7"/>
        <v>0</v>
      </c>
      <c r="H33" s="3655">
        <f t="shared" si="7"/>
        <v>0</v>
      </c>
      <c r="I33" s="3655">
        <f t="shared" si="7"/>
        <v>0</v>
      </c>
      <c r="J33" s="3655">
        <f t="shared" si="7"/>
        <v>0</v>
      </c>
      <c r="K33" s="3655">
        <f t="shared" si="7"/>
        <v>0</v>
      </c>
      <c r="L33" s="3655">
        <f t="shared" si="7"/>
        <v>0</v>
      </c>
      <c r="M33" s="3655">
        <f t="shared" si="7"/>
        <v>0</v>
      </c>
      <c r="N33" s="3655">
        <f t="shared" si="7"/>
        <v>0</v>
      </c>
      <c r="O33" s="3655">
        <f t="shared" si="7"/>
        <v>0</v>
      </c>
      <c r="P33" s="3655">
        <f t="shared" si="7"/>
        <v>0</v>
      </c>
      <c r="Q33" s="3655">
        <f t="shared" si="7"/>
        <v>0</v>
      </c>
      <c r="R33" s="3655">
        <f t="shared" si="7"/>
        <v>0</v>
      </c>
      <c r="S33" s="3655">
        <f t="shared" si="7"/>
        <v>0</v>
      </c>
      <c r="T33" s="3655">
        <f t="shared" si="7"/>
        <v>0</v>
      </c>
      <c r="U33" s="3655">
        <f t="shared" si="7"/>
        <v>0</v>
      </c>
      <c r="V33" s="3655">
        <f t="shared" si="7"/>
        <v>0</v>
      </c>
      <c r="W33" s="3655">
        <f t="shared" si="7"/>
        <v>0</v>
      </c>
      <c r="X33" s="3655">
        <f t="shared" si="7"/>
        <v>0</v>
      </c>
      <c r="Y33" s="3655">
        <f t="shared" si="7"/>
        <v>0</v>
      </c>
      <c r="Z33" s="3655">
        <f t="shared" si="7"/>
        <v>0</v>
      </c>
    </row>
    <row r="34" spans="4:26" ht="11.25" customHeight="1">
      <c r="D34" s="3674" t="s">
        <v>557</v>
      </c>
      <c r="E34" s="3649" t="s">
        <v>4442</v>
      </c>
      <c r="F34" s="3655">
        <f>SUM(I34,L34:M34,R34:T34)</f>
        <v>0</v>
      </c>
      <c r="G34" s="3655">
        <f>SUM(J34,N34:O34,U34:W34)</f>
        <v>0</v>
      </c>
      <c r="H34" s="3655">
        <f>SUM(K34,P34:Q34,X34:Z34)</f>
        <v>0</v>
      </c>
      <c r="I34" s="3676"/>
      <c r="J34" s="3661"/>
      <c r="K34" s="3661"/>
      <c r="L34" s="3676"/>
      <c r="M34" s="3676"/>
      <c r="N34" s="3676"/>
      <c r="O34" s="3676"/>
      <c r="P34" s="3661"/>
      <c r="Q34" s="3661"/>
      <c r="R34" s="3676"/>
      <c r="S34" s="3676"/>
      <c r="T34" s="3676"/>
      <c r="U34" s="3676"/>
      <c r="V34" s="3676"/>
      <c r="W34" s="3676"/>
      <c r="X34" s="3676"/>
      <c r="Y34" s="3676"/>
      <c r="Z34" s="3676"/>
    </row>
    <row r="35" spans="4:26" ht="11.25" customHeight="1">
      <c r="D35" s="3675" t="s">
        <v>558</v>
      </c>
      <c r="E35" s="3649" t="s">
        <v>4443</v>
      </c>
      <c r="F35" s="3655">
        <f>SUM(I35,L35:M35,R35:T35)</f>
        <v>0</v>
      </c>
      <c r="G35" s="3655">
        <f>SUM(J35,N35:O35,U35:W35)</f>
        <v>0</v>
      </c>
      <c r="H35" s="3655">
        <f>SUM(K35,P35:Q35,X35:Z35)</f>
        <v>0</v>
      </c>
      <c r="I35" s="3676"/>
      <c r="J35" s="3661"/>
      <c r="K35" s="3661"/>
      <c r="L35" s="3676"/>
      <c r="M35" s="3676"/>
      <c r="N35" s="3676"/>
      <c r="O35" s="3676"/>
      <c r="P35" s="3661"/>
      <c r="Q35" s="3661"/>
      <c r="R35" s="3676"/>
      <c r="S35" s="3676"/>
      <c r="T35" s="3676"/>
      <c r="U35" s="3676"/>
      <c r="V35" s="3676"/>
      <c r="W35" s="3676"/>
      <c r="X35" s="3676"/>
      <c r="Y35" s="3676"/>
      <c r="Z35" s="3676"/>
    </row>
    <row r="36" spans="4:26" ht="39" customHeight="1">
      <c r="D36" s="3677" t="s">
        <v>4444</v>
      </c>
      <c r="E36" s="3649" t="s">
        <v>4325</v>
      </c>
      <c r="F36" s="3655">
        <f t="shared" ref="F36:Z36" si="8">SUM(F37,F38)</f>
        <v>0</v>
      </c>
      <c r="G36" s="3655">
        <f t="shared" si="8"/>
        <v>0</v>
      </c>
      <c r="H36" s="3655">
        <f t="shared" si="8"/>
        <v>0</v>
      </c>
      <c r="I36" s="3655">
        <f t="shared" si="8"/>
        <v>0</v>
      </c>
      <c r="J36" s="3655">
        <f t="shared" si="8"/>
        <v>0</v>
      </c>
      <c r="K36" s="3655">
        <f t="shared" si="8"/>
        <v>0</v>
      </c>
      <c r="L36" s="3655">
        <f t="shared" si="8"/>
        <v>0</v>
      </c>
      <c r="M36" s="3655">
        <f t="shared" si="8"/>
        <v>0</v>
      </c>
      <c r="N36" s="3655">
        <f t="shared" si="8"/>
        <v>0</v>
      </c>
      <c r="O36" s="3655">
        <f t="shared" si="8"/>
        <v>0</v>
      </c>
      <c r="P36" s="3655">
        <f t="shared" si="8"/>
        <v>0</v>
      </c>
      <c r="Q36" s="3655">
        <f t="shared" si="8"/>
        <v>0</v>
      </c>
      <c r="R36" s="3655">
        <f t="shared" si="8"/>
        <v>0</v>
      </c>
      <c r="S36" s="3655">
        <f t="shared" si="8"/>
        <v>0</v>
      </c>
      <c r="T36" s="3655">
        <f t="shared" si="8"/>
        <v>0</v>
      </c>
      <c r="U36" s="3655">
        <f t="shared" si="8"/>
        <v>0</v>
      </c>
      <c r="V36" s="3655">
        <f t="shared" si="8"/>
        <v>0</v>
      </c>
      <c r="W36" s="3655">
        <f t="shared" si="8"/>
        <v>0</v>
      </c>
      <c r="X36" s="3655">
        <f t="shared" si="8"/>
        <v>0</v>
      </c>
      <c r="Y36" s="3655">
        <f t="shared" si="8"/>
        <v>0</v>
      </c>
      <c r="Z36" s="3655">
        <f t="shared" si="8"/>
        <v>0</v>
      </c>
    </row>
    <row r="37" spans="4:26" ht="11.25" customHeight="1">
      <c r="D37" s="3674" t="s">
        <v>557</v>
      </c>
      <c r="E37" s="3649" t="s">
        <v>4445</v>
      </c>
      <c r="F37" s="3655">
        <f>SUM(I37,L37:M37,R37:T37)</f>
        <v>0</v>
      </c>
      <c r="G37" s="3655">
        <f>SUM(J37,N37:O37,U37:W37)</f>
        <v>0</v>
      </c>
      <c r="H37" s="3655">
        <f>SUM(K37,P37:Q37,X37:Z37)</f>
        <v>0</v>
      </c>
      <c r="I37" s="3676"/>
      <c r="J37" s="3661"/>
      <c r="K37" s="3661"/>
      <c r="L37" s="3676"/>
      <c r="M37" s="3676"/>
      <c r="N37" s="3676"/>
      <c r="O37" s="3676"/>
      <c r="P37" s="3661"/>
      <c r="Q37" s="3661"/>
      <c r="R37" s="3676"/>
      <c r="S37" s="3676"/>
      <c r="T37" s="3676"/>
      <c r="U37" s="3676"/>
      <c r="V37" s="3676"/>
      <c r="W37" s="3676"/>
      <c r="X37" s="3676"/>
      <c r="Y37" s="3676"/>
      <c r="Z37" s="3676"/>
    </row>
    <row r="38" spans="4:26" ht="11.25" customHeight="1">
      <c r="D38" s="3675" t="s">
        <v>558</v>
      </c>
      <c r="E38" s="3649" t="s">
        <v>4446</v>
      </c>
      <c r="F38" s="3655">
        <f>SUM(I38,L38:M38,R38:T38)</f>
        <v>0</v>
      </c>
      <c r="G38" s="3655">
        <f>SUM(J38,N38:O38,U38:W38)</f>
        <v>0</v>
      </c>
      <c r="H38" s="3655">
        <f>SUM(K38,P38:Q38,X38:Z38)</f>
        <v>0</v>
      </c>
      <c r="I38" s="3676"/>
      <c r="J38" s="3661"/>
      <c r="K38" s="3661"/>
      <c r="L38" s="3676"/>
      <c r="M38" s="3676"/>
      <c r="N38" s="3676"/>
      <c r="O38" s="3676"/>
      <c r="P38" s="3661"/>
      <c r="Q38" s="3661"/>
      <c r="R38" s="3676"/>
      <c r="S38" s="3676"/>
      <c r="T38" s="3676"/>
      <c r="U38" s="3676"/>
      <c r="V38" s="3676"/>
      <c r="W38" s="3676"/>
      <c r="X38" s="3676"/>
      <c r="Y38" s="3676"/>
      <c r="Z38" s="3676"/>
    </row>
    <row r="39" spans="4:26" ht="45" customHeight="1">
      <c r="D39" s="3635" t="s">
        <v>4036</v>
      </c>
      <c r="E39" s="3657" t="s">
        <v>4329</v>
      </c>
      <c r="F39" s="3655">
        <f t="shared" ref="F39:Z39" si="9">SUM(F40,F41)</f>
        <v>2127.3910000000001</v>
      </c>
      <c r="G39" s="3655">
        <f t="shared" si="9"/>
        <v>7359.8127510000004</v>
      </c>
      <c r="H39" s="3655">
        <f t="shared" si="9"/>
        <v>6237.1294500000004</v>
      </c>
      <c r="I39" s="3655">
        <f t="shared" si="9"/>
        <v>83.585999999999999</v>
      </c>
      <c r="J39" s="3655">
        <f t="shared" si="9"/>
        <v>346.8270986</v>
      </c>
      <c r="K39" s="3655">
        <f t="shared" si="9"/>
        <v>293.92126999999999</v>
      </c>
      <c r="L39" s="3655">
        <f t="shared" si="9"/>
        <v>629.42700000000002</v>
      </c>
      <c r="M39" s="3655">
        <f t="shared" si="9"/>
        <v>1414.3779999999999</v>
      </c>
      <c r="N39" s="3655">
        <f t="shared" si="9"/>
        <v>1588.2255902000002</v>
      </c>
      <c r="O39" s="3655">
        <f t="shared" si="9"/>
        <v>5424.7600622</v>
      </c>
      <c r="P39" s="3655">
        <f t="shared" si="9"/>
        <v>1345.9538900000002</v>
      </c>
      <c r="Q39" s="3655">
        <f t="shared" si="9"/>
        <v>4597.2542899999999</v>
      </c>
      <c r="R39" s="3655">
        <f t="shared" si="9"/>
        <v>0</v>
      </c>
      <c r="S39" s="3655">
        <f t="shared" si="9"/>
        <v>0</v>
      </c>
      <c r="T39" s="3655">
        <f t="shared" si="9"/>
        <v>0</v>
      </c>
      <c r="U39" s="3655">
        <f t="shared" si="9"/>
        <v>0</v>
      </c>
      <c r="V39" s="3655">
        <f t="shared" si="9"/>
        <v>0</v>
      </c>
      <c r="W39" s="3655">
        <f t="shared" si="9"/>
        <v>0</v>
      </c>
      <c r="X39" s="3655">
        <f t="shared" si="9"/>
        <v>0</v>
      </c>
      <c r="Y39" s="3655">
        <f t="shared" si="9"/>
        <v>0</v>
      </c>
      <c r="Z39" s="3655">
        <f t="shared" si="9"/>
        <v>0</v>
      </c>
    </row>
    <row r="40" spans="4:26" ht="11.25" customHeight="1">
      <c r="D40" s="3672" t="s">
        <v>557</v>
      </c>
      <c r="E40" s="3649" t="s">
        <v>4447</v>
      </c>
      <c r="F40" s="3655">
        <f>SUM(I40,L40:M40,R40:T40)</f>
        <v>2127.3910000000001</v>
      </c>
      <c r="G40" s="3655">
        <f>SUM(J40,N40:O40,U40:W40)</f>
        <v>7359.8127510000004</v>
      </c>
      <c r="H40" s="3655">
        <f>SUM(K40,P40:Q40,X40:Z40)</f>
        <v>6237.1294500000004</v>
      </c>
      <c r="I40" s="3655">
        <f t="shared" ref="I40:Z41" si="10">SUM(I43,I46,I49,I52,I55,I58)</f>
        <v>83.585999999999999</v>
      </c>
      <c r="J40" s="3655">
        <f t="shared" si="10"/>
        <v>346.8270986</v>
      </c>
      <c r="K40" s="3655">
        <f t="shared" si="10"/>
        <v>293.92126999999999</v>
      </c>
      <c r="L40" s="3655">
        <f t="shared" si="10"/>
        <v>629.42700000000002</v>
      </c>
      <c r="M40" s="3655">
        <f t="shared" si="10"/>
        <v>1414.3779999999999</v>
      </c>
      <c r="N40" s="3655">
        <f t="shared" si="10"/>
        <v>1588.2255902000002</v>
      </c>
      <c r="O40" s="3655">
        <f t="shared" si="10"/>
        <v>5424.7600622</v>
      </c>
      <c r="P40" s="3655">
        <f t="shared" si="10"/>
        <v>1345.9538900000002</v>
      </c>
      <c r="Q40" s="3655">
        <f t="shared" si="10"/>
        <v>4597.2542899999999</v>
      </c>
      <c r="R40" s="3655">
        <f t="shared" si="10"/>
        <v>0</v>
      </c>
      <c r="S40" s="3655">
        <f t="shared" si="10"/>
        <v>0</v>
      </c>
      <c r="T40" s="3655">
        <f t="shared" si="10"/>
        <v>0</v>
      </c>
      <c r="U40" s="3655">
        <f t="shared" si="10"/>
        <v>0</v>
      </c>
      <c r="V40" s="3655">
        <f t="shared" si="10"/>
        <v>0</v>
      </c>
      <c r="W40" s="3655">
        <f t="shared" si="10"/>
        <v>0</v>
      </c>
      <c r="X40" s="3655">
        <f t="shared" si="10"/>
        <v>0</v>
      </c>
      <c r="Y40" s="3655">
        <f t="shared" si="10"/>
        <v>0</v>
      </c>
      <c r="Z40" s="3655">
        <f t="shared" si="10"/>
        <v>0</v>
      </c>
    </row>
    <row r="41" spans="4:26" ht="11.25" customHeight="1">
      <c r="D41" s="3673" t="s">
        <v>558</v>
      </c>
      <c r="E41" s="3649" t="s">
        <v>4448</v>
      </c>
      <c r="F41" s="3655">
        <f>SUM(I41,L41:M41,R41:T41)</f>
        <v>0</v>
      </c>
      <c r="G41" s="3655">
        <f>SUM(J41,N41:O41,U41:W41)</f>
        <v>0</v>
      </c>
      <c r="H41" s="3655">
        <f>SUM(K41,P41:Q41,X41:Z41)</f>
        <v>0</v>
      </c>
      <c r="I41" s="3655">
        <f t="shared" si="10"/>
        <v>0</v>
      </c>
      <c r="J41" s="3655">
        <f t="shared" si="10"/>
        <v>0</v>
      </c>
      <c r="K41" s="3655">
        <f t="shared" si="10"/>
        <v>0</v>
      </c>
      <c r="L41" s="3655">
        <f t="shared" si="10"/>
        <v>0</v>
      </c>
      <c r="M41" s="3655">
        <f t="shared" si="10"/>
        <v>0</v>
      </c>
      <c r="N41" s="3655">
        <f t="shared" si="10"/>
        <v>0</v>
      </c>
      <c r="O41" s="3655">
        <f t="shared" si="10"/>
        <v>0</v>
      </c>
      <c r="P41" s="3655">
        <f t="shared" si="10"/>
        <v>0</v>
      </c>
      <c r="Q41" s="3655">
        <f t="shared" si="10"/>
        <v>0</v>
      </c>
      <c r="R41" s="3655">
        <f t="shared" si="10"/>
        <v>0</v>
      </c>
      <c r="S41" s="3655">
        <f t="shared" si="10"/>
        <v>0</v>
      </c>
      <c r="T41" s="3655">
        <f t="shared" si="10"/>
        <v>0</v>
      </c>
      <c r="U41" s="3655">
        <f t="shared" si="10"/>
        <v>0</v>
      </c>
      <c r="V41" s="3655">
        <f t="shared" si="10"/>
        <v>0</v>
      </c>
      <c r="W41" s="3655">
        <f t="shared" si="10"/>
        <v>0</v>
      </c>
      <c r="X41" s="3655">
        <f t="shared" si="10"/>
        <v>0</v>
      </c>
      <c r="Y41" s="3655">
        <f t="shared" si="10"/>
        <v>0</v>
      </c>
      <c r="Z41" s="3655">
        <f t="shared" si="10"/>
        <v>0</v>
      </c>
    </row>
    <row r="42" spans="4:26" ht="39" customHeight="1">
      <c r="D42" s="3677" t="s">
        <v>4037</v>
      </c>
      <c r="E42" s="3649" t="s">
        <v>4330</v>
      </c>
      <c r="F42" s="3655">
        <f t="shared" ref="F42:Z42" si="11">SUM(F43,F44)</f>
        <v>2127.3910000000001</v>
      </c>
      <c r="G42" s="3655">
        <f t="shared" si="11"/>
        <v>7359.8127510000004</v>
      </c>
      <c r="H42" s="3655">
        <f t="shared" si="11"/>
        <v>6237.1294500000004</v>
      </c>
      <c r="I42" s="3655">
        <f t="shared" si="11"/>
        <v>83.585999999999999</v>
      </c>
      <c r="J42" s="3655">
        <f t="shared" si="11"/>
        <v>346.8270986</v>
      </c>
      <c r="K42" s="3655">
        <f t="shared" si="11"/>
        <v>293.92126999999999</v>
      </c>
      <c r="L42" s="3655">
        <f t="shared" si="11"/>
        <v>629.42700000000002</v>
      </c>
      <c r="M42" s="3655">
        <f t="shared" si="11"/>
        <v>1414.3779999999999</v>
      </c>
      <c r="N42" s="3655">
        <f t="shared" si="11"/>
        <v>1588.2255902000002</v>
      </c>
      <c r="O42" s="3655">
        <f t="shared" si="11"/>
        <v>5424.7600622</v>
      </c>
      <c r="P42" s="3655">
        <f t="shared" si="11"/>
        <v>1345.9538900000002</v>
      </c>
      <c r="Q42" s="3655">
        <f t="shared" si="11"/>
        <v>4597.2542899999999</v>
      </c>
      <c r="R42" s="3655">
        <f t="shared" si="11"/>
        <v>0</v>
      </c>
      <c r="S42" s="3655">
        <f t="shared" si="11"/>
        <v>0</v>
      </c>
      <c r="T42" s="3655">
        <f t="shared" si="11"/>
        <v>0</v>
      </c>
      <c r="U42" s="3655">
        <f t="shared" si="11"/>
        <v>0</v>
      </c>
      <c r="V42" s="3655">
        <f t="shared" si="11"/>
        <v>0</v>
      </c>
      <c r="W42" s="3655">
        <f t="shared" si="11"/>
        <v>0</v>
      </c>
      <c r="X42" s="3655">
        <f t="shared" si="11"/>
        <v>0</v>
      </c>
      <c r="Y42" s="3655">
        <f t="shared" si="11"/>
        <v>0</v>
      </c>
      <c r="Z42" s="3655">
        <f t="shared" si="11"/>
        <v>0</v>
      </c>
    </row>
    <row r="43" spans="4:26" ht="11.25" customHeight="1">
      <c r="D43" s="3674" t="s">
        <v>557</v>
      </c>
      <c r="E43" s="3649" t="s">
        <v>4331</v>
      </c>
      <c r="F43" s="3655">
        <f>SUM(I43,L43:M43,R43:T43)</f>
        <v>2127.3910000000001</v>
      </c>
      <c r="G43" s="3655">
        <f>SUM(J43,N43:O43,U43:W43)</f>
        <v>7359.8127510000004</v>
      </c>
      <c r="H43" s="3655">
        <f>SUM(K43,P43:Q43,X43:Z43)</f>
        <v>6237.1294500000004</v>
      </c>
      <c r="I43" s="3676">
        <f>'Раздел 1 В'!I37-I46-I49-I52-I55-I58</f>
        <v>83.585999999999999</v>
      </c>
      <c r="J43" s="3676">
        <f>'Раздел 1 В'!J37-J46-J49-J52-J55-J58</f>
        <v>346.8270986</v>
      </c>
      <c r="K43" s="3676">
        <f>'Раздел 1 В'!K37-K46-K49-K52-K55-K58</f>
        <v>293.92126999999999</v>
      </c>
      <c r="L43" s="3676">
        <f>'Раздел 1 В'!L37-L46-L49-L52-L55-L58</f>
        <v>629.42700000000002</v>
      </c>
      <c r="M43" s="3676">
        <f>'Раздел 1 В'!N37-M46-M49-M52-M55-M58</f>
        <v>1414.3779999999999</v>
      </c>
      <c r="N43" s="3676">
        <f>'Раздел 1 В'!O37-N46-N49-N52-N55-N58</f>
        <v>1588.2255902000002</v>
      </c>
      <c r="O43" s="3676">
        <f>'Раздел 1 В'!Q37-O46-O49-O52-O55-O58</f>
        <v>5424.7600622</v>
      </c>
      <c r="P43" s="3676">
        <f>'Раздел 1 В'!R37-P46-P49-P52-P55-P58</f>
        <v>1345.9538900000002</v>
      </c>
      <c r="Q43" s="3661">
        <f>'Раздел 1 В'!T37-Q46-Q49-Q52-Q55-Q58</f>
        <v>4597.2542899999999</v>
      </c>
      <c r="R43" s="3676"/>
      <c r="S43" s="3676"/>
      <c r="T43" s="3676"/>
      <c r="U43" s="3676"/>
      <c r="V43" s="3676"/>
      <c r="W43" s="3676"/>
      <c r="X43" s="3676"/>
      <c r="Y43" s="3676"/>
      <c r="Z43" s="3676"/>
    </row>
    <row r="44" spans="4:26" ht="11.25" customHeight="1">
      <c r="D44" s="3675" t="s">
        <v>558</v>
      </c>
      <c r="E44" s="3649" t="s">
        <v>4332</v>
      </c>
      <c r="F44" s="3655">
        <f>SUM(I44,L44:M44,R44:T44)</f>
        <v>0</v>
      </c>
      <c r="G44" s="3655">
        <f>SUM(J44,N44:O44,U44:W44)</f>
        <v>0</v>
      </c>
      <c r="H44" s="3655">
        <f>SUM(K44,P44:Q44,X44:Z44)</f>
        <v>0</v>
      </c>
      <c r="I44" s="3676"/>
      <c r="J44" s="3661"/>
      <c r="K44" s="3661"/>
      <c r="L44" s="3676"/>
      <c r="M44" s="3676"/>
      <c r="N44" s="3676"/>
      <c r="O44" s="3676"/>
      <c r="P44" s="3661"/>
      <c r="Q44" s="3661"/>
      <c r="R44" s="3676"/>
      <c r="S44" s="3676"/>
      <c r="T44" s="3676"/>
      <c r="U44" s="3676"/>
      <c r="V44" s="3676"/>
      <c r="W44" s="3676"/>
      <c r="X44" s="3676"/>
      <c r="Y44" s="3676"/>
      <c r="Z44" s="3676"/>
    </row>
    <row r="45" spans="4:26" ht="39" customHeight="1">
      <c r="D45" s="3677" t="s">
        <v>4038</v>
      </c>
      <c r="E45" s="3649" t="s">
        <v>4340</v>
      </c>
      <c r="F45" s="3655">
        <f t="shared" ref="F45:Z45" si="12">SUM(F46,F47)</f>
        <v>0</v>
      </c>
      <c r="G45" s="3655">
        <f t="shared" si="12"/>
        <v>0</v>
      </c>
      <c r="H45" s="3655">
        <f t="shared" si="12"/>
        <v>0</v>
      </c>
      <c r="I45" s="3655">
        <f t="shared" si="12"/>
        <v>0</v>
      </c>
      <c r="J45" s="3655">
        <f t="shared" si="12"/>
        <v>0</v>
      </c>
      <c r="K45" s="3655">
        <f t="shared" si="12"/>
        <v>0</v>
      </c>
      <c r="L45" s="3655">
        <f t="shared" si="12"/>
        <v>0</v>
      </c>
      <c r="M45" s="3655">
        <f t="shared" si="12"/>
        <v>0</v>
      </c>
      <c r="N45" s="3655">
        <f t="shared" si="12"/>
        <v>0</v>
      </c>
      <c r="O45" s="3655">
        <f t="shared" si="12"/>
        <v>0</v>
      </c>
      <c r="P45" s="3655">
        <f t="shared" si="12"/>
        <v>0</v>
      </c>
      <c r="Q45" s="3655">
        <f t="shared" si="12"/>
        <v>0</v>
      </c>
      <c r="R45" s="3655">
        <f t="shared" si="12"/>
        <v>0</v>
      </c>
      <c r="S45" s="3655">
        <f t="shared" si="12"/>
        <v>0</v>
      </c>
      <c r="T45" s="3655">
        <f t="shared" si="12"/>
        <v>0</v>
      </c>
      <c r="U45" s="3655">
        <f t="shared" si="12"/>
        <v>0</v>
      </c>
      <c r="V45" s="3655">
        <f t="shared" si="12"/>
        <v>0</v>
      </c>
      <c r="W45" s="3655">
        <f t="shared" si="12"/>
        <v>0</v>
      </c>
      <c r="X45" s="3655">
        <f t="shared" si="12"/>
        <v>0</v>
      </c>
      <c r="Y45" s="3655">
        <f t="shared" si="12"/>
        <v>0</v>
      </c>
      <c r="Z45" s="3655">
        <f t="shared" si="12"/>
        <v>0</v>
      </c>
    </row>
    <row r="46" spans="4:26" ht="11.25" customHeight="1">
      <c r="D46" s="3674" t="s">
        <v>557</v>
      </c>
      <c r="E46" s="3649" t="s">
        <v>4449</v>
      </c>
      <c r="F46" s="3655">
        <f>SUM(I46,L46:M46,R46:T46)</f>
        <v>0</v>
      </c>
      <c r="G46" s="3655">
        <f>SUM(J46,N46:O46,U46:W46)</f>
        <v>0</v>
      </c>
      <c r="H46" s="3655">
        <f>SUM(K46,P46:Q46,X46:Z46)</f>
        <v>0</v>
      </c>
      <c r="I46" s="3676"/>
      <c r="J46" s="3661"/>
      <c r="K46" s="3661"/>
      <c r="L46" s="3676"/>
      <c r="M46" s="3676"/>
      <c r="N46" s="3676"/>
      <c r="O46" s="3676"/>
      <c r="P46" s="3661"/>
      <c r="Q46" s="3661"/>
      <c r="R46" s="3676"/>
      <c r="S46" s="3676"/>
      <c r="T46" s="3676"/>
      <c r="U46" s="3676"/>
      <c r="V46" s="3676"/>
      <c r="W46" s="3676"/>
      <c r="X46" s="3676"/>
      <c r="Y46" s="3676"/>
      <c r="Z46" s="3676"/>
    </row>
    <row r="47" spans="4:26" ht="11.25" customHeight="1">
      <c r="D47" s="3675" t="s">
        <v>558</v>
      </c>
      <c r="E47" s="3649" t="s">
        <v>4450</v>
      </c>
      <c r="F47" s="3655">
        <f>SUM(I47,L47:M47,R47:T47)</f>
        <v>0</v>
      </c>
      <c r="G47" s="3655">
        <f>SUM(J47,N47:O47,U47:W47)</f>
        <v>0</v>
      </c>
      <c r="H47" s="3655">
        <f>SUM(K47,P47:Q47,X47:Z47)</f>
        <v>0</v>
      </c>
      <c r="I47" s="3676"/>
      <c r="J47" s="3661"/>
      <c r="K47" s="3661"/>
      <c r="L47" s="3676"/>
      <c r="M47" s="3676"/>
      <c r="N47" s="3676"/>
      <c r="O47" s="3676"/>
      <c r="P47" s="3661"/>
      <c r="Q47" s="3661"/>
      <c r="R47" s="3676"/>
      <c r="S47" s="3676"/>
      <c r="T47" s="3676"/>
      <c r="U47" s="3676"/>
      <c r="V47" s="3676"/>
      <c r="W47" s="3676"/>
      <c r="X47" s="3676"/>
      <c r="Y47" s="3676"/>
      <c r="Z47" s="3676"/>
    </row>
    <row r="48" spans="4:26" ht="39" customHeight="1">
      <c r="D48" s="3677" t="s">
        <v>4451</v>
      </c>
      <c r="E48" s="3649" t="s">
        <v>4341</v>
      </c>
      <c r="F48" s="3655">
        <f t="shared" ref="F48:Z48" si="13">SUM(F49,F50)</f>
        <v>0</v>
      </c>
      <c r="G48" s="3655">
        <f t="shared" si="13"/>
        <v>0</v>
      </c>
      <c r="H48" s="3655">
        <f t="shared" si="13"/>
        <v>0</v>
      </c>
      <c r="I48" s="3655">
        <f t="shared" si="13"/>
        <v>0</v>
      </c>
      <c r="J48" s="3655">
        <f t="shared" si="13"/>
        <v>0</v>
      </c>
      <c r="K48" s="3655">
        <f t="shared" si="13"/>
        <v>0</v>
      </c>
      <c r="L48" s="3655">
        <f t="shared" si="13"/>
        <v>0</v>
      </c>
      <c r="M48" s="3655">
        <f t="shared" si="13"/>
        <v>0</v>
      </c>
      <c r="N48" s="3655">
        <f t="shared" si="13"/>
        <v>0</v>
      </c>
      <c r="O48" s="3655">
        <f t="shared" si="13"/>
        <v>0</v>
      </c>
      <c r="P48" s="3655">
        <f t="shared" si="13"/>
        <v>0</v>
      </c>
      <c r="Q48" s="3655">
        <f t="shared" si="13"/>
        <v>0</v>
      </c>
      <c r="R48" s="3655">
        <f t="shared" si="13"/>
        <v>0</v>
      </c>
      <c r="S48" s="3655">
        <f t="shared" si="13"/>
        <v>0</v>
      </c>
      <c r="T48" s="3655">
        <f t="shared" si="13"/>
        <v>0</v>
      </c>
      <c r="U48" s="3655">
        <f t="shared" si="13"/>
        <v>0</v>
      </c>
      <c r="V48" s="3655">
        <f t="shared" si="13"/>
        <v>0</v>
      </c>
      <c r="W48" s="3655">
        <f t="shared" si="13"/>
        <v>0</v>
      </c>
      <c r="X48" s="3655">
        <f t="shared" si="13"/>
        <v>0</v>
      </c>
      <c r="Y48" s="3655">
        <f t="shared" si="13"/>
        <v>0</v>
      </c>
      <c r="Z48" s="3655">
        <f t="shared" si="13"/>
        <v>0</v>
      </c>
    </row>
    <row r="49" spans="4:26" ht="11.25" customHeight="1">
      <c r="D49" s="3674" t="s">
        <v>557</v>
      </c>
      <c r="E49" s="3649" t="s">
        <v>4452</v>
      </c>
      <c r="F49" s="3655">
        <f>SUM(I49,L49:M49,R49:T49)</f>
        <v>0</v>
      </c>
      <c r="G49" s="3655">
        <f>SUM(J49,N49:O49,U49:W49)</f>
        <v>0</v>
      </c>
      <c r="H49" s="3655">
        <f>SUM(K49,P49:Q49,X49:Z49)</f>
        <v>0</v>
      </c>
      <c r="I49" s="3676"/>
      <c r="J49" s="3661"/>
      <c r="K49" s="3661"/>
      <c r="L49" s="3676"/>
      <c r="M49" s="3676"/>
      <c r="N49" s="3676"/>
      <c r="O49" s="3676"/>
      <c r="P49" s="3661"/>
      <c r="Q49" s="3661"/>
      <c r="R49" s="3676"/>
      <c r="S49" s="3676"/>
      <c r="T49" s="3676"/>
      <c r="U49" s="3676"/>
      <c r="V49" s="3676"/>
      <c r="W49" s="3676"/>
      <c r="X49" s="3676"/>
      <c r="Y49" s="3676"/>
      <c r="Z49" s="3676"/>
    </row>
    <row r="50" spans="4:26" ht="11.25" customHeight="1">
      <c r="D50" s="3675" t="s">
        <v>558</v>
      </c>
      <c r="E50" s="3649" t="s">
        <v>4453</v>
      </c>
      <c r="F50" s="3655">
        <f>SUM(I50,L50:M50,R50:T50)</f>
        <v>0</v>
      </c>
      <c r="G50" s="3655">
        <f>SUM(J50,N50:O50,U50:W50)</f>
        <v>0</v>
      </c>
      <c r="H50" s="3655">
        <f>SUM(K50,P50:Q50,X50:Z50)</f>
        <v>0</v>
      </c>
      <c r="I50" s="3676"/>
      <c r="J50" s="3661"/>
      <c r="K50" s="3661"/>
      <c r="L50" s="3676"/>
      <c r="M50" s="3676"/>
      <c r="N50" s="3676"/>
      <c r="O50" s="3676"/>
      <c r="P50" s="3661"/>
      <c r="Q50" s="3661"/>
      <c r="R50" s="3676"/>
      <c r="S50" s="3676"/>
      <c r="T50" s="3676"/>
      <c r="U50" s="3676"/>
      <c r="V50" s="3676"/>
      <c r="W50" s="3676"/>
      <c r="X50" s="3676"/>
      <c r="Y50" s="3676"/>
      <c r="Z50" s="3676"/>
    </row>
    <row r="51" spans="4:26" ht="39" customHeight="1">
      <c r="D51" s="3677" t="s">
        <v>1976</v>
      </c>
      <c r="E51" s="3649" t="s">
        <v>4342</v>
      </c>
      <c r="F51" s="3655">
        <f t="shared" ref="F51:Z51" si="14">SUM(F52,F53)</f>
        <v>0</v>
      </c>
      <c r="G51" s="3655">
        <f t="shared" si="14"/>
        <v>0</v>
      </c>
      <c r="H51" s="3655">
        <f t="shared" si="14"/>
        <v>0</v>
      </c>
      <c r="I51" s="3655">
        <f t="shared" si="14"/>
        <v>0</v>
      </c>
      <c r="J51" s="3655">
        <f t="shared" si="14"/>
        <v>0</v>
      </c>
      <c r="K51" s="3655">
        <f t="shared" si="14"/>
        <v>0</v>
      </c>
      <c r="L51" s="3655">
        <f t="shared" si="14"/>
        <v>0</v>
      </c>
      <c r="M51" s="3655">
        <f t="shared" si="14"/>
        <v>0</v>
      </c>
      <c r="N51" s="3655">
        <f t="shared" si="14"/>
        <v>0</v>
      </c>
      <c r="O51" s="3655">
        <f t="shared" si="14"/>
        <v>0</v>
      </c>
      <c r="P51" s="3655">
        <f t="shared" si="14"/>
        <v>0</v>
      </c>
      <c r="Q51" s="3655">
        <f t="shared" si="14"/>
        <v>0</v>
      </c>
      <c r="R51" s="3655">
        <f t="shared" si="14"/>
        <v>0</v>
      </c>
      <c r="S51" s="3655">
        <f t="shared" si="14"/>
        <v>0</v>
      </c>
      <c r="T51" s="3655">
        <f t="shared" si="14"/>
        <v>0</v>
      </c>
      <c r="U51" s="3655">
        <f t="shared" si="14"/>
        <v>0</v>
      </c>
      <c r="V51" s="3655">
        <f t="shared" si="14"/>
        <v>0</v>
      </c>
      <c r="W51" s="3655">
        <f t="shared" si="14"/>
        <v>0</v>
      </c>
      <c r="X51" s="3655">
        <f t="shared" si="14"/>
        <v>0</v>
      </c>
      <c r="Y51" s="3655">
        <f t="shared" si="14"/>
        <v>0</v>
      </c>
      <c r="Z51" s="3655">
        <f t="shared" si="14"/>
        <v>0</v>
      </c>
    </row>
    <row r="52" spans="4:26" ht="11.25" customHeight="1">
      <c r="D52" s="3674" t="s">
        <v>557</v>
      </c>
      <c r="E52" s="3649" t="s">
        <v>4454</v>
      </c>
      <c r="F52" s="3655">
        <f>SUM(I52,L52:M52,R52:T52)</f>
        <v>0</v>
      </c>
      <c r="G52" s="3655">
        <f>SUM(J52,N52:O52,U52:W52)</f>
        <v>0</v>
      </c>
      <c r="H52" s="3655">
        <f>SUM(K52,P52:Q52,X52:Z52)</f>
        <v>0</v>
      </c>
      <c r="I52" s="3676"/>
      <c r="J52" s="3661"/>
      <c r="K52" s="3661"/>
      <c r="L52" s="3676"/>
      <c r="M52" s="3676"/>
      <c r="N52" s="3676"/>
      <c r="O52" s="3676"/>
      <c r="P52" s="3661"/>
      <c r="Q52" s="3661"/>
      <c r="R52" s="3676"/>
      <c r="S52" s="3676"/>
      <c r="T52" s="3676"/>
      <c r="U52" s="3676"/>
      <c r="V52" s="3676"/>
      <c r="W52" s="3676"/>
      <c r="X52" s="3676"/>
      <c r="Y52" s="3676"/>
      <c r="Z52" s="3676"/>
    </row>
    <row r="53" spans="4:26" ht="11.25" customHeight="1">
      <c r="D53" s="3675" t="s">
        <v>558</v>
      </c>
      <c r="E53" s="3649" t="s">
        <v>4455</v>
      </c>
      <c r="F53" s="3655">
        <f>SUM(I53,L53:M53,R53:T53)</f>
        <v>0</v>
      </c>
      <c r="G53" s="3655">
        <f>SUM(J53,N53:O53,U53:W53)</f>
        <v>0</v>
      </c>
      <c r="H53" s="3655">
        <f>SUM(K53,P53:Q53,X53:Z53)</f>
        <v>0</v>
      </c>
      <c r="I53" s="3676"/>
      <c r="J53" s="3661"/>
      <c r="K53" s="3661"/>
      <c r="L53" s="3676"/>
      <c r="M53" s="3676"/>
      <c r="N53" s="3676"/>
      <c r="O53" s="3676"/>
      <c r="P53" s="3661"/>
      <c r="Q53" s="3661"/>
      <c r="R53" s="3676"/>
      <c r="S53" s="3676"/>
      <c r="T53" s="3676"/>
      <c r="U53" s="3676"/>
      <c r="V53" s="3676"/>
      <c r="W53" s="3676"/>
      <c r="X53" s="3676"/>
      <c r="Y53" s="3676"/>
      <c r="Z53" s="3676"/>
    </row>
    <row r="54" spans="4:26" ht="39" customHeight="1">
      <c r="D54" s="3677" t="s">
        <v>601</v>
      </c>
      <c r="E54" s="3649" t="s">
        <v>4343</v>
      </c>
      <c r="F54" s="3655">
        <f t="shared" ref="F54:Z54" si="15">SUM(F55,F56)</f>
        <v>0</v>
      </c>
      <c r="G54" s="3655">
        <f t="shared" si="15"/>
        <v>0</v>
      </c>
      <c r="H54" s="3655">
        <f t="shared" si="15"/>
        <v>0</v>
      </c>
      <c r="I54" s="3655">
        <f t="shared" si="15"/>
        <v>0</v>
      </c>
      <c r="J54" s="3655">
        <f t="shared" si="15"/>
        <v>0</v>
      </c>
      <c r="K54" s="3655">
        <f t="shared" si="15"/>
        <v>0</v>
      </c>
      <c r="L54" s="3655">
        <f t="shared" si="15"/>
        <v>0</v>
      </c>
      <c r="M54" s="3655">
        <f t="shared" si="15"/>
        <v>0</v>
      </c>
      <c r="N54" s="3655">
        <f t="shared" si="15"/>
        <v>0</v>
      </c>
      <c r="O54" s="3655">
        <f t="shared" si="15"/>
        <v>0</v>
      </c>
      <c r="P54" s="3655">
        <f t="shared" si="15"/>
        <v>0</v>
      </c>
      <c r="Q54" s="3655">
        <f t="shared" si="15"/>
        <v>0</v>
      </c>
      <c r="R54" s="3655">
        <f t="shared" si="15"/>
        <v>0</v>
      </c>
      <c r="S54" s="3655">
        <f t="shared" si="15"/>
        <v>0</v>
      </c>
      <c r="T54" s="3655">
        <f t="shared" si="15"/>
        <v>0</v>
      </c>
      <c r="U54" s="3655">
        <f t="shared" si="15"/>
        <v>0</v>
      </c>
      <c r="V54" s="3655">
        <f t="shared" si="15"/>
        <v>0</v>
      </c>
      <c r="W54" s="3655">
        <f t="shared" si="15"/>
        <v>0</v>
      </c>
      <c r="X54" s="3655">
        <f t="shared" si="15"/>
        <v>0</v>
      </c>
      <c r="Y54" s="3655">
        <f t="shared" si="15"/>
        <v>0</v>
      </c>
      <c r="Z54" s="3655">
        <f t="shared" si="15"/>
        <v>0</v>
      </c>
    </row>
    <row r="55" spans="4:26" ht="11.25" customHeight="1">
      <c r="D55" s="3674" t="s">
        <v>557</v>
      </c>
      <c r="E55" s="3649" t="s">
        <v>4456</v>
      </c>
      <c r="F55" s="3655">
        <f>SUM(I55,L55:M55,R55:T55)</f>
        <v>0</v>
      </c>
      <c r="G55" s="3655">
        <f>SUM(J55,N55:O55,U55:W55)</f>
        <v>0</v>
      </c>
      <c r="H55" s="3655">
        <f>SUM(K55,P55:Q55,X55:Z55)</f>
        <v>0</v>
      </c>
      <c r="I55" s="3676"/>
      <c r="J55" s="3661"/>
      <c r="K55" s="3661"/>
      <c r="L55" s="3676"/>
      <c r="M55" s="3676"/>
      <c r="N55" s="3676"/>
      <c r="O55" s="3676"/>
      <c r="P55" s="3661"/>
      <c r="Q55" s="3661"/>
      <c r="R55" s="3676"/>
      <c r="S55" s="3676"/>
      <c r="T55" s="3676"/>
      <c r="U55" s="3676"/>
      <c r="V55" s="3676"/>
      <c r="W55" s="3676"/>
      <c r="X55" s="3676"/>
      <c r="Y55" s="3676"/>
      <c r="Z55" s="3676"/>
    </row>
    <row r="56" spans="4:26" ht="11.25" customHeight="1">
      <c r="D56" s="3675" t="s">
        <v>558</v>
      </c>
      <c r="E56" s="3649" t="s">
        <v>4457</v>
      </c>
      <c r="F56" s="3655">
        <f>SUM(I56,L56:M56,R56:T56)</f>
        <v>0</v>
      </c>
      <c r="G56" s="3655">
        <f>SUM(J56,N56:O56,U56:W56)</f>
        <v>0</v>
      </c>
      <c r="H56" s="3655">
        <f>SUM(K56,P56:Q56,X56:Z56)</f>
        <v>0</v>
      </c>
      <c r="I56" s="3676"/>
      <c r="J56" s="3661"/>
      <c r="K56" s="3661"/>
      <c r="L56" s="3676"/>
      <c r="M56" s="3676"/>
      <c r="N56" s="3676"/>
      <c r="O56" s="3676"/>
      <c r="P56" s="3661"/>
      <c r="Q56" s="3661"/>
      <c r="R56" s="3676"/>
      <c r="S56" s="3676"/>
      <c r="T56" s="3676"/>
      <c r="U56" s="3676"/>
      <c r="V56" s="3676"/>
      <c r="W56" s="3676"/>
      <c r="X56" s="3676"/>
      <c r="Y56" s="3676"/>
      <c r="Z56" s="3676"/>
    </row>
    <row r="57" spans="4:26" ht="39" customHeight="1">
      <c r="D57" s="3677" t="s">
        <v>4040</v>
      </c>
      <c r="E57" s="3649" t="s">
        <v>4344</v>
      </c>
      <c r="F57" s="3655">
        <f t="shared" ref="F57:Z57" si="16">SUM(F58,F59)</f>
        <v>0</v>
      </c>
      <c r="G57" s="3655">
        <f t="shared" si="16"/>
        <v>0</v>
      </c>
      <c r="H57" s="3655">
        <f t="shared" si="16"/>
        <v>0</v>
      </c>
      <c r="I57" s="3655">
        <f t="shared" si="16"/>
        <v>0</v>
      </c>
      <c r="J57" s="3655">
        <f t="shared" si="16"/>
        <v>0</v>
      </c>
      <c r="K57" s="3655">
        <f t="shared" si="16"/>
        <v>0</v>
      </c>
      <c r="L57" s="3655">
        <f t="shared" si="16"/>
        <v>0</v>
      </c>
      <c r="M57" s="3655">
        <f t="shared" si="16"/>
        <v>0</v>
      </c>
      <c r="N57" s="3655">
        <f t="shared" si="16"/>
        <v>0</v>
      </c>
      <c r="O57" s="3655">
        <f t="shared" si="16"/>
        <v>0</v>
      </c>
      <c r="P57" s="3655">
        <f t="shared" si="16"/>
        <v>0</v>
      </c>
      <c r="Q57" s="3655">
        <f t="shared" si="16"/>
        <v>0</v>
      </c>
      <c r="R57" s="3655">
        <f t="shared" si="16"/>
        <v>0</v>
      </c>
      <c r="S57" s="3655">
        <f t="shared" si="16"/>
        <v>0</v>
      </c>
      <c r="T57" s="3655">
        <f t="shared" si="16"/>
        <v>0</v>
      </c>
      <c r="U57" s="3655">
        <f t="shared" si="16"/>
        <v>0</v>
      </c>
      <c r="V57" s="3655">
        <f t="shared" si="16"/>
        <v>0</v>
      </c>
      <c r="W57" s="3655">
        <f t="shared" si="16"/>
        <v>0</v>
      </c>
      <c r="X57" s="3655">
        <f t="shared" si="16"/>
        <v>0</v>
      </c>
      <c r="Y57" s="3655">
        <f t="shared" si="16"/>
        <v>0</v>
      </c>
      <c r="Z57" s="3655">
        <f t="shared" si="16"/>
        <v>0</v>
      </c>
    </row>
    <row r="58" spans="4:26" ht="11.25" customHeight="1">
      <c r="D58" s="3674" t="s">
        <v>557</v>
      </c>
      <c r="E58" s="3649" t="s">
        <v>4458</v>
      </c>
      <c r="F58" s="3655">
        <f>SUM(I58,L58:M58,R58:T58)</f>
        <v>0</v>
      </c>
      <c r="G58" s="3655">
        <f>SUM(J58,N58:O58,U58:W58)</f>
        <v>0</v>
      </c>
      <c r="H58" s="3655">
        <f>SUM(K58,P58:Q58,X58:Z58)</f>
        <v>0</v>
      </c>
      <c r="I58" s="3676"/>
      <c r="J58" s="3661"/>
      <c r="K58" s="3661"/>
      <c r="L58" s="3676"/>
      <c r="M58" s="3676"/>
      <c r="N58" s="3676"/>
      <c r="O58" s="3676"/>
      <c r="P58" s="3661"/>
      <c r="Q58" s="3661"/>
      <c r="R58" s="3676"/>
      <c r="S58" s="3676"/>
      <c r="T58" s="3676"/>
      <c r="U58" s="3676"/>
      <c r="V58" s="3676"/>
      <c r="W58" s="3676"/>
      <c r="X58" s="3676"/>
      <c r="Y58" s="3676"/>
      <c r="Z58" s="3676"/>
    </row>
    <row r="59" spans="4:26" ht="11.25" customHeight="1">
      <c r="D59" s="3675" t="s">
        <v>558</v>
      </c>
      <c r="E59" s="3649" t="s">
        <v>4459</v>
      </c>
      <c r="F59" s="3655">
        <f>SUM(I59,L59:M59,R59:T59)</f>
        <v>0</v>
      </c>
      <c r="G59" s="3655">
        <f>SUM(J59,N59:O59,U59:W59)</f>
        <v>0</v>
      </c>
      <c r="H59" s="3655">
        <f>SUM(K59,P59:Q59,X59:Z59)</f>
        <v>0</v>
      </c>
      <c r="I59" s="3676"/>
      <c r="J59" s="3661"/>
      <c r="K59" s="3661"/>
      <c r="L59" s="3676"/>
      <c r="M59" s="3676"/>
      <c r="N59" s="3676"/>
      <c r="O59" s="3676"/>
      <c r="P59" s="3661"/>
      <c r="Q59" s="3661"/>
      <c r="R59" s="3676"/>
      <c r="S59" s="3676"/>
      <c r="T59" s="3676"/>
      <c r="U59" s="3676"/>
      <c r="V59" s="3676"/>
      <c r="W59" s="3676"/>
      <c r="X59" s="3676"/>
      <c r="Y59" s="3676"/>
      <c r="Z59" s="3676"/>
    </row>
    <row r="60" spans="4:26" ht="45" customHeight="1">
      <c r="D60" s="3653" t="s">
        <v>4460</v>
      </c>
      <c r="E60" s="3654" t="s">
        <v>4348</v>
      </c>
      <c r="F60" s="3655">
        <f>SUM(I60,L60:M60,R60:T60)</f>
        <v>0</v>
      </c>
      <c r="G60" s="3655">
        <f>SUM(J60,N60:O60,U60:W60)</f>
        <v>0</v>
      </c>
      <c r="H60" s="3655">
        <f>SUM(K60,P60:Q60,X60:Z60)</f>
        <v>0</v>
      </c>
      <c r="I60" s="3676"/>
      <c r="J60" s="3676"/>
      <c r="K60" s="3661"/>
      <c r="L60" s="3676"/>
      <c r="M60" s="3676"/>
      <c r="N60" s="3676"/>
      <c r="O60" s="3676"/>
      <c r="P60" s="3661"/>
      <c r="Q60" s="3661"/>
      <c r="R60" s="3676"/>
      <c r="S60" s="3676"/>
      <c r="T60" s="3676"/>
      <c r="U60" s="3676"/>
      <c r="V60" s="3676"/>
      <c r="W60" s="3676"/>
      <c r="X60" s="3676"/>
      <c r="Y60" s="3676"/>
      <c r="Z60" s="3676"/>
    </row>
    <row r="61" spans="4:26" ht="45" customHeight="1">
      <c r="D61" s="3653" t="s">
        <v>4041</v>
      </c>
      <c r="E61" s="3654" t="s">
        <v>4366</v>
      </c>
      <c r="F61" s="3655">
        <f>SUM(I61,L61:M61,R61:T61)</f>
        <v>24830.239000000001</v>
      </c>
      <c r="G61" s="3655">
        <f>SUM(J61,N61:O61,U61:W61)</f>
        <v>67303.919316799991</v>
      </c>
      <c r="H61" s="3655">
        <f>SUM(K61,P61:Q61,X61:Z61)</f>
        <v>57037.219759999993</v>
      </c>
      <c r="I61" s="3655">
        <f t="shared" ref="I61:Z61" si="17">SUM(I18,I60)</f>
        <v>7588.9080000000004</v>
      </c>
      <c r="J61" s="3655">
        <f t="shared" si="17"/>
        <v>22311.007942999997</v>
      </c>
      <c r="K61" s="3655">
        <f t="shared" si="17"/>
        <v>18907.633849999998</v>
      </c>
      <c r="L61" s="3655">
        <f t="shared" si="17"/>
        <v>4609.2960000000003</v>
      </c>
      <c r="M61" s="3655">
        <f t="shared" si="17"/>
        <v>12632.035000000002</v>
      </c>
      <c r="N61" s="3655">
        <f t="shared" si="17"/>
        <v>8776.3698762000022</v>
      </c>
      <c r="O61" s="3655">
        <f t="shared" si="17"/>
        <v>36216.541497599996</v>
      </c>
      <c r="P61" s="3655">
        <f t="shared" si="17"/>
        <v>7437.6015900000002</v>
      </c>
      <c r="Q61" s="3655">
        <f t="shared" si="17"/>
        <v>30691.98432</v>
      </c>
      <c r="R61" s="3655">
        <f t="shared" si="17"/>
        <v>0</v>
      </c>
      <c r="S61" s="3655">
        <f t="shared" si="17"/>
        <v>0</v>
      </c>
      <c r="T61" s="3655">
        <f t="shared" si="17"/>
        <v>0</v>
      </c>
      <c r="U61" s="3655">
        <f t="shared" si="17"/>
        <v>0</v>
      </c>
      <c r="V61" s="3655">
        <f t="shared" si="17"/>
        <v>0</v>
      </c>
      <c r="W61" s="3655">
        <f t="shared" si="17"/>
        <v>0</v>
      </c>
      <c r="X61" s="3655">
        <f t="shared" si="17"/>
        <v>0</v>
      </c>
      <c r="Y61" s="3655">
        <f t="shared" si="17"/>
        <v>0</v>
      </c>
      <c r="Z61" s="3655">
        <f t="shared" si="17"/>
        <v>0</v>
      </c>
    </row>
  </sheetData>
  <sheetProtection formatColumns="0" formatRows="0" insertRows="0" deleteColumns="0" deleteRows="0" sort="0" autoFilter="0"/>
  <mergeCells count="14">
    <mergeCell ref="P12:Q12"/>
    <mergeCell ref="R12:T12"/>
    <mergeCell ref="U12:W12"/>
    <mergeCell ref="X12:Z12"/>
    <mergeCell ref="N11:O11"/>
    <mergeCell ref="P11:Q11"/>
    <mergeCell ref="U11:W11"/>
    <mergeCell ref="X11:Z11"/>
    <mergeCell ref="N12:O12"/>
    <mergeCell ref="D12:D16"/>
    <mergeCell ref="E12:E16"/>
    <mergeCell ref="G12:H12"/>
    <mergeCell ref="J12:K12"/>
    <mergeCell ref="L12:M12"/>
  </mergeCells>
  <printOptions horizontalCentered="1"/>
  <pageMargins left="0.24" right="0.24" top="0.24" bottom="0.24" header="0.24" footer="0.24"/>
  <pageSetup paperSize="9" scale="37" orientation="landscape"/>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3DBDB"/>
    <pageSetUpPr fitToPage="1"/>
  </sheetPr>
  <dimension ref="A1:BM39"/>
  <sheetViews>
    <sheetView showGridLines="0" topLeftCell="C7" workbookViewId="0">
      <selection activeCell="P35" sqref="P35"/>
    </sheetView>
  </sheetViews>
  <sheetFormatPr defaultColWidth="9.140625" defaultRowHeight="10.5" customHeight="1"/>
  <cols>
    <col min="1" max="2" width="4.7109375" style="3637" hidden="1" customWidth="1"/>
    <col min="3" max="3" width="2.7109375" style="3637" customWidth="1"/>
    <col min="4" max="4" width="70.7109375" style="3637" customWidth="1"/>
    <col min="5" max="5" width="6.7109375" style="3637" customWidth="1"/>
    <col min="6" max="65" width="12.7109375" style="3637" customWidth="1"/>
    <col min="66" max="16384" width="9.140625" style="3560"/>
  </cols>
  <sheetData>
    <row r="1" spans="1:65" ht="10.5" hidden="1" customHeight="1"/>
    <row r="2" spans="1:65" ht="10.5" hidden="1" customHeight="1">
      <c r="F2" s="3639" t="s">
        <v>4180</v>
      </c>
      <c r="G2" s="3639" t="s">
        <v>4181</v>
      </c>
      <c r="H2" s="3639" t="s">
        <v>4182</v>
      </c>
      <c r="I2" s="3639" t="s">
        <v>4183</v>
      </c>
      <c r="J2" s="3639" t="s">
        <v>4184</v>
      </c>
      <c r="K2" s="3639" t="s">
        <v>4186</v>
      </c>
      <c r="L2" s="3639" t="s">
        <v>4180</v>
      </c>
      <c r="M2" s="3639" t="s">
        <v>4181</v>
      </c>
      <c r="N2" s="3639" t="s">
        <v>4182</v>
      </c>
      <c r="O2" s="3639" t="s">
        <v>4183</v>
      </c>
      <c r="P2" s="3639" t="s">
        <v>4184</v>
      </c>
      <c r="Q2" s="3639" t="s">
        <v>4186</v>
      </c>
      <c r="R2" s="3639" t="s">
        <v>4180</v>
      </c>
      <c r="S2" s="3639" t="s">
        <v>4181</v>
      </c>
      <c r="T2" s="3639" t="s">
        <v>4182</v>
      </c>
      <c r="U2" s="3639" t="s">
        <v>4183</v>
      </c>
      <c r="V2" s="3639" t="s">
        <v>4184</v>
      </c>
      <c r="W2" s="3639" t="s">
        <v>4186</v>
      </c>
      <c r="X2" s="3639" t="s">
        <v>4180</v>
      </c>
      <c r="Y2" s="3639" t="s">
        <v>4181</v>
      </c>
      <c r="Z2" s="3639" t="s">
        <v>4182</v>
      </c>
      <c r="AA2" s="3639" t="s">
        <v>4183</v>
      </c>
      <c r="AB2" s="3639" t="s">
        <v>4184</v>
      </c>
      <c r="AC2" s="3639" t="s">
        <v>4186</v>
      </c>
      <c r="AD2" s="3639" t="s">
        <v>4180</v>
      </c>
      <c r="AE2" s="3639" t="s">
        <v>4181</v>
      </c>
      <c r="AF2" s="3639" t="s">
        <v>4182</v>
      </c>
      <c r="AG2" s="3639" t="s">
        <v>4183</v>
      </c>
      <c r="AH2" s="3639" t="s">
        <v>4184</v>
      </c>
      <c r="AI2" s="3639" t="s">
        <v>4186</v>
      </c>
      <c r="AJ2" s="3639" t="s">
        <v>4180</v>
      </c>
      <c r="AK2" s="3639" t="s">
        <v>4181</v>
      </c>
      <c r="AL2" s="3639" t="s">
        <v>4182</v>
      </c>
      <c r="AM2" s="3639" t="s">
        <v>4183</v>
      </c>
      <c r="AN2" s="3639" t="s">
        <v>4184</v>
      </c>
      <c r="AO2" s="3639" t="s">
        <v>4186</v>
      </c>
      <c r="AP2" s="3639" t="s">
        <v>4180</v>
      </c>
      <c r="AQ2" s="3639" t="s">
        <v>4181</v>
      </c>
      <c r="AR2" s="3639" t="s">
        <v>4182</v>
      </c>
      <c r="AS2" s="3639" t="s">
        <v>4183</v>
      </c>
      <c r="AT2" s="3639" t="s">
        <v>4184</v>
      </c>
      <c r="AU2" s="3639" t="s">
        <v>4186</v>
      </c>
      <c r="AV2" s="3639" t="s">
        <v>4180</v>
      </c>
      <c r="AW2" s="3639" t="s">
        <v>4181</v>
      </c>
      <c r="AX2" s="3639" t="s">
        <v>4182</v>
      </c>
      <c r="AY2" s="3639" t="s">
        <v>4183</v>
      </c>
      <c r="AZ2" s="3639" t="s">
        <v>4184</v>
      </c>
      <c r="BA2" s="3639" t="s">
        <v>4186</v>
      </c>
      <c r="BB2" s="3639" t="s">
        <v>4180</v>
      </c>
      <c r="BC2" s="3639" t="s">
        <v>4181</v>
      </c>
      <c r="BD2" s="3639" t="s">
        <v>4182</v>
      </c>
      <c r="BE2" s="3639" t="s">
        <v>4183</v>
      </c>
      <c r="BF2" s="3639" t="s">
        <v>4184</v>
      </c>
      <c r="BG2" s="3639" t="s">
        <v>4186</v>
      </c>
      <c r="BH2" s="3639" t="s">
        <v>4180</v>
      </c>
      <c r="BI2" s="3639" t="s">
        <v>4181</v>
      </c>
      <c r="BJ2" s="3639" t="s">
        <v>4182</v>
      </c>
      <c r="BK2" s="3639" t="s">
        <v>4183</v>
      </c>
      <c r="BL2" s="3639" t="s">
        <v>4184</v>
      </c>
      <c r="BM2" s="3639" t="s">
        <v>4186</v>
      </c>
    </row>
    <row r="3" spans="1:65" ht="10.5" hidden="1" customHeight="1">
      <c r="F3" s="3640" t="s">
        <v>4461</v>
      </c>
      <c r="G3" s="3641" t="s">
        <v>4462</v>
      </c>
      <c r="H3" s="3641" t="s">
        <v>4463</v>
      </c>
      <c r="I3" s="3641" t="s">
        <v>4464</v>
      </c>
      <c r="J3" s="3641" t="s">
        <v>4465</v>
      </c>
      <c r="K3" s="3641" t="s">
        <v>4466</v>
      </c>
      <c r="L3" s="3640" t="s">
        <v>4467</v>
      </c>
      <c r="M3" s="3641" t="s">
        <v>4468</v>
      </c>
      <c r="N3" s="3641" t="s">
        <v>4469</v>
      </c>
      <c r="O3" s="3641" t="s">
        <v>4470</v>
      </c>
      <c r="P3" s="3641" t="s">
        <v>4471</v>
      </c>
      <c r="Q3" s="3641" t="s">
        <v>4472</v>
      </c>
      <c r="R3" s="3640" t="s">
        <v>4473</v>
      </c>
      <c r="S3" s="3641" t="s">
        <v>4474</v>
      </c>
      <c r="T3" s="3641" t="s">
        <v>4475</v>
      </c>
      <c r="U3" s="3641" t="s">
        <v>4476</v>
      </c>
      <c r="V3" s="3641" t="s">
        <v>4477</v>
      </c>
      <c r="W3" s="3641" t="s">
        <v>4478</v>
      </c>
      <c r="X3" s="3640" t="s">
        <v>4479</v>
      </c>
      <c r="Y3" s="3641" t="s">
        <v>4480</v>
      </c>
      <c r="Z3" s="3641" t="s">
        <v>4481</v>
      </c>
      <c r="AA3" s="3641" t="s">
        <v>4482</v>
      </c>
      <c r="AB3" s="3641" t="s">
        <v>4483</v>
      </c>
      <c r="AC3" s="3641" t="s">
        <v>4484</v>
      </c>
      <c r="AD3" s="3640" t="s">
        <v>4485</v>
      </c>
      <c r="AE3" s="3641" t="s">
        <v>4486</v>
      </c>
      <c r="AF3" s="3641" t="s">
        <v>4487</v>
      </c>
      <c r="AG3" s="3641" t="s">
        <v>4488</v>
      </c>
      <c r="AH3" s="3641" t="s">
        <v>4489</v>
      </c>
      <c r="AI3" s="3641" t="s">
        <v>4490</v>
      </c>
      <c r="AJ3" s="3640" t="s">
        <v>4491</v>
      </c>
      <c r="AK3" s="3641" t="s">
        <v>4492</v>
      </c>
      <c r="AL3" s="3641" t="s">
        <v>4493</v>
      </c>
      <c r="AM3" s="3641" t="s">
        <v>4494</v>
      </c>
      <c r="AN3" s="3641" t="s">
        <v>4495</v>
      </c>
      <c r="AO3" s="3641" t="s">
        <v>4496</v>
      </c>
      <c r="AP3" s="3640" t="s">
        <v>4497</v>
      </c>
      <c r="AQ3" s="3641" t="s">
        <v>4498</v>
      </c>
      <c r="AR3" s="3641" t="s">
        <v>4499</v>
      </c>
      <c r="AS3" s="3641" t="s">
        <v>4500</v>
      </c>
      <c r="AT3" s="3641" t="s">
        <v>4501</v>
      </c>
      <c r="AU3" s="3641" t="s">
        <v>4502</v>
      </c>
      <c r="AV3" s="3640" t="s">
        <v>4503</v>
      </c>
      <c r="AW3" s="3641" t="s">
        <v>4504</v>
      </c>
      <c r="AX3" s="3641" t="s">
        <v>4505</v>
      </c>
      <c r="AY3" s="3641" t="s">
        <v>4506</v>
      </c>
      <c r="AZ3" s="3641" t="s">
        <v>4507</v>
      </c>
      <c r="BA3" s="3641" t="s">
        <v>4508</v>
      </c>
      <c r="BB3" s="3640" t="s">
        <v>4509</v>
      </c>
      <c r="BC3" s="3640" t="s">
        <v>4510</v>
      </c>
      <c r="BD3" s="3640" t="s">
        <v>4511</v>
      </c>
      <c r="BE3" s="3640" t="s">
        <v>4512</v>
      </c>
      <c r="BF3" s="3640" t="s">
        <v>4513</v>
      </c>
      <c r="BG3" s="3640" t="s">
        <v>4514</v>
      </c>
      <c r="BH3" s="3640" t="s">
        <v>4515</v>
      </c>
      <c r="BI3" s="3640" t="s">
        <v>4516</v>
      </c>
      <c r="BJ3" s="3640" t="s">
        <v>4517</v>
      </c>
      <c r="BK3" s="3640" t="s">
        <v>4518</v>
      </c>
      <c r="BL3" s="3640" t="s">
        <v>4519</v>
      </c>
      <c r="BM3" s="3640" t="s">
        <v>4520</v>
      </c>
    </row>
    <row r="4" spans="1:65" ht="10.5" hidden="1" customHeight="1">
      <c r="A4" s="3642"/>
    </row>
    <row r="5" spans="1:65" ht="10.5" hidden="1" customHeight="1">
      <c r="A5" s="3642"/>
    </row>
    <row r="6" spans="1:65" ht="10.5" hidden="1" customHeight="1">
      <c r="A6" s="3642"/>
    </row>
    <row r="7" spans="1:65" ht="6" customHeight="1">
      <c r="A7" s="3642"/>
    </row>
    <row r="8" spans="1:65" ht="12" customHeight="1">
      <c r="A8" s="3642"/>
      <c r="D8" s="3664" t="s">
        <v>4521</v>
      </c>
      <c r="E8" s="3644"/>
      <c r="F8" s="3644"/>
      <c r="G8" s="3644"/>
      <c r="H8" s="3644"/>
      <c r="I8" s="3644"/>
      <c r="J8" s="3644"/>
      <c r="K8" s="3644"/>
      <c r="L8" s="3644"/>
      <c r="M8" s="3644"/>
      <c r="N8" s="3644"/>
      <c r="O8" s="3644"/>
      <c r="P8" s="3644"/>
      <c r="Q8" s="3644"/>
    </row>
    <row r="9" spans="1:65" ht="12" customHeight="1">
      <c r="D9" s="3665" t="s">
        <v>4522</v>
      </c>
    </row>
    <row r="10" spans="1:65" ht="12" customHeight="1">
      <c r="D10" s="3646" t="e">
        <f>IF(ORG="","Не определено",ORG)</f>
        <v>#NAME?</v>
      </c>
      <c r="BM10" s="3647" t="s">
        <v>4287</v>
      </c>
    </row>
    <row r="11" spans="1:65" ht="15" customHeight="1">
      <c r="D11" s="3666" t="s">
        <v>4288</v>
      </c>
      <c r="L11" s="4762" t="s">
        <v>4289</v>
      </c>
      <c r="M11" s="4768"/>
      <c r="N11" s="4768"/>
      <c r="O11" s="4768"/>
      <c r="P11" s="4768"/>
      <c r="Q11" s="4769"/>
      <c r="X11" s="4762" t="s">
        <v>4289</v>
      </c>
      <c r="Y11" s="4768"/>
      <c r="Z11" s="4768"/>
      <c r="AA11" s="4768"/>
      <c r="AB11" s="4768"/>
      <c r="AC11" s="4769"/>
      <c r="AJ11" s="4762" t="s">
        <v>4289</v>
      </c>
      <c r="AK11" s="4768"/>
      <c r="AL11" s="4768"/>
      <c r="AM11" s="4768"/>
      <c r="AN11" s="4768"/>
      <c r="AO11" s="4769"/>
      <c r="AV11" s="4762" t="s">
        <v>4289</v>
      </c>
      <c r="AW11" s="4768"/>
      <c r="AX11" s="4768"/>
      <c r="AY11" s="4768"/>
      <c r="AZ11" s="4768"/>
      <c r="BA11" s="4769"/>
      <c r="BH11" s="4762" t="s">
        <v>4289</v>
      </c>
      <c r="BI11" s="4768"/>
      <c r="BJ11" s="4768"/>
      <c r="BK11" s="4768"/>
      <c r="BL11" s="4768"/>
      <c r="BM11" s="4769"/>
    </row>
    <row r="12" spans="1:65" ht="48" customHeight="1">
      <c r="D12" s="4760" t="s">
        <v>497</v>
      </c>
      <c r="E12" s="4760" t="s">
        <v>498</v>
      </c>
      <c r="F12" s="4760" t="s">
        <v>4523</v>
      </c>
      <c r="G12" s="4760"/>
      <c r="H12" s="4760"/>
      <c r="I12" s="4760"/>
      <c r="J12" s="4760"/>
      <c r="K12" s="4760"/>
      <c r="L12" s="4760" t="s">
        <v>4524</v>
      </c>
      <c r="M12" s="4760"/>
      <c r="N12" s="4760"/>
      <c r="O12" s="4760"/>
      <c r="P12" s="4760"/>
      <c r="Q12" s="4760"/>
      <c r="R12" s="4760" t="s">
        <v>4525</v>
      </c>
      <c r="S12" s="4760"/>
      <c r="T12" s="4760"/>
      <c r="U12" s="4760"/>
      <c r="V12" s="4760"/>
      <c r="W12" s="4760"/>
      <c r="X12" s="4760" t="s">
        <v>4526</v>
      </c>
      <c r="Y12" s="4760"/>
      <c r="Z12" s="4760"/>
      <c r="AA12" s="4760"/>
      <c r="AB12" s="4760"/>
      <c r="AC12" s="4760"/>
      <c r="AD12" s="4760" t="s">
        <v>4527</v>
      </c>
      <c r="AE12" s="4760"/>
      <c r="AF12" s="4760"/>
      <c r="AG12" s="4760"/>
      <c r="AH12" s="4760"/>
      <c r="AI12" s="4760"/>
      <c r="AJ12" s="4760" t="s">
        <v>4528</v>
      </c>
      <c r="AK12" s="4760"/>
      <c r="AL12" s="4760"/>
      <c r="AM12" s="4760"/>
      <c r="AN12" s="4760"/>
      <c r="AO12" s="4760"/>
      <c r="AP12" s="4760" t="s">
        <v>4529</v>
      </c>
      <c r="AQ12" s="4760"/>
      <c r="AR12" s="4760"/>
      <c r="AS12" s="4760"/>
      <c r="AT12" s="4760"/>
      <c r="AU12" s="4760"/>
      <c r="AV12" s="4760" t="s">
        <v>4530</v>
      </c>
      <c r="AW12" s="4760"/>
      <c r="AX12" s="4760"/>
      <c r="AY12" s="4760"/>
      <c r="AZ12" s="4760"/>
      <c r="BA12" s="4760"/>
      <c r="BB12" s="4760" t="s">
        <v>4425</v>
      </c>
      <c r="BC12" s="4760"/>
      <c r="BD12" s="4760"/>
      <c r="BE12" s="4760"/>
      <c r="BF12" s="4760"/>
      <c r="BG12" s="4760"/>
      <c r="BH12" s="4760" t="s">
        <v>4531</v>
      </c>
      <c r="BI12" s="4760"/>
      <c r="BJ12" s="4760"/>
      <c r="BK12" s="4760"/>
      <c r="BL12" s="4760"/>
      <c r="BM12" s="4760"/>
    </row>
    <row r="13" spans="1:65" ht="12" customHeight="1">
      <c r="D13" s="4760"/>
      <c r="E13" s="4760"/>
      <c r="F13" s="4760" t="s">
        <v>511</v>
      </c>
      <c r="G13" s="4760" t="s">
        <v>512</v>
      </c>
      <c r="H13" s="4760"/>
      <c r="I13" s="4760"/>
      <c r="J13" s="4760"/>
      <c r="K13" s="4760"/>
      <c r="L13" s="4760" t="s">
        <v>511</v>
      </c>
      <c r="M13" s="4760" t="s">
        <v>512</v>
      </c>
      <c r="N13" s="4760"/>
      <c r="O13" s="4760"/>
      <c r="P13" s="4760"/>
      <c r="Q13" s="4760"/>
      <c r="R13" s="4760" t="s">
        <v>511</v>
      </c>
      <c r="S13" s="4760" t="s">
        <v>512</v>
      </c>
      <c r="T13" s="4760"/>
      <c r="U13" s="4760"/>
      <c r="V13" s="4760"/>
      <c r="W13" s="4760"/>
      <c r="X13" s="4760" t="s">
        <v>511</v>
      </c>
      <c r="Y13" s="4760" t="s">
        <v>512</v>
      </c>
      <c r="Z13" s="4760"/>
      <c r="AA13" s="4760"/>
      <c r="AB13" s="4760"/>
      <c r="AC13" s="4760"/>
      <c r="AD13" s="4760" t="s">
        <v>511</v>
      </c>
      <c r="AE13" s="4760" t="s">
        <v>512</v>
      </c>
      <c r="AF13" s="4760"/>
      <c r="AG13" s="4760"/>
      <c r="AH13" s="4760"/>
      <c r="AI13" s="4760"/>
      <c r="AJ13" s="4760" t="s">
        <v>511</v>
      </c>
      <c r="AK13" s="4760" t="s">
        <v>512</v>
      </c>
      <c r="AL13" s="4760"/>
      <c r="AM13" s="4760"/>
      <c r="AN13" s="4760"/>
      <c r="AO13" s="4760"/>
      <c r="AP13" s="4760" t="s">
        <v>511</v>
      </c>
      <c r="AQ13" s="4760" t="s">
        <v>512</v>
      </c>
      <c r="AR13" s="4760"/>
      <c r="AS13" s="4760"/>
      <c r="AT13" s="4760"/>
      <c r="AU13" s="4760"/>
      <c r="AV13" s="4760" t="s">
        <v>511</v>
      </c>
      <c r="AW13" s="4760" t="s">
        <v>512</v>
      </c>
      <c r="AX13" s="4760"/>
      <c r="AY13" s="4760"/>
      <c r="AZ13" s="4760"/>
      <c r="BA13" s="4760"/>
      <c r="BB13" s="4766" t="s">
        <v>511</v>
      </c>
      <c r="BC13" s="4762" t="s">
        <v>512</v>
      </c>
      <c r="BD13" s="4768"/>
      <c r="BE13" s="4768"/>
      <c r="BF13" s="4768"/>
      <c r="BG13" s="4769"/>
      <c r="BH13" s="4766" t="s">
        <v>511</v>
      </c>
      <c r="BI13" s="4762" t="s">
        <v>512</v>
      </c>
      <c r="BJ13" s="4768"/>
      <c r="BK13" s="4768"/>
      <c r="BL13" s="4768"/>
      <c r="BM13" s="4769"/>
    </row>
    <row r="14" spans="1:65" ht="12" customHeight="1">
      <c r="D14" s="4760"/>
      <c r="E14" s="4760"/>
      <c r="F14" s="4760"/>
      <c r="G14" s="3649" t="s">
        <v>9</v>
      </c>
      <c r="H14" s="3649" t="s">
        <v>513</v>
      </c>
      <c r="I14" s="3649" t="s">
        <v>279</v>
      </c>
      <c r="J14" s="3649" t="s">
        <v>12</v>
      </c>
      <c r="K14" s="3649" t="s">
        <v>514</v>
      </c>
      <c r="L14" s="4760"/>
      <c r="M14" s="3649" t="s">
        <v>9</v>
      </c>
      <c r="N14" s="3649" t="s">
        <v>513</v>
      </c>
      <c r="O14" s="3649" t="s">
        <v>279</v>
      </c>
      <c r="P14" s="3649" t="s">
        <v>12</v>
      </c>
      <c r="Q14" s="3649" t="s">
        <v>514</v>
      </c>
      <c r="R14" s="4760"/>
      <c r="S14" s="3649" t="s">
        <v>9</v>
      </c>
      <c r="T14" s="3649" t="s">
        <v>513</v>
      </c>
      <c r="U14" s="3649" t="s">
        <v>279</v>
      </c>
      <c r="V14" s="3649" t="s">
        <v>12</v>
      </c>
      <c r="W14" s="3649" t="s">
        <v>514</v>
      </c>
      <c r="X14" s="4760"/>
      <c r="Y14" s="3649" t="s">
        <v>9</v>
      </c>
      <c r="Z14" s="3649" t="s">
        <v>513</v>
      </c>
      <c r="AA14" s="3649" t="s">
        <v>279</v>
      </c>
      <c r="AB14" s="3649" t="s">
        <v>12</v>
      </c>
      <c r="AC14" s="3649" t="s">
        <v>514</v>
      </c>
      <c r="AD14" s="4760"/>
      <c r="AE14" s="3649" t="s">
        <v>9</v>
      </c>
      <c r="AF14" s="3649" t="s">
        <v>513</v>
      </c>
      <c r="AG14" s="3649" t="s">
        <v>279</v>
      </c>
      <c r="AH14" s="3649" t="s">
        <v>12</v>
      </c>
      <c r="AI14" s="3649" t="s">
        <v>514</v>
      </c>
      <c r="AJ14" s="4760"/>
      <c r="AK14" s="3649" t="s">
        <v>9</v>
      </c>
      <c r="AL14" s="3649" t="s">
        <v>513</v>
      </c>
      <c r="AM14" s="3649" t="s">
        <v>279</v>
      </c>
      <c r="AN14" s="3649" t="s">
        <v>12</v>
      </c>
      <c r="AO14" s="3649" t="s">
        <v>514</v>
      </c>
      <c r="AP14" s="4760"/>
      <c r="AQ14" s="3649" t="s">
        <v>9</v>
      </c>
      <c r="AR14" s="3649" t="s">
        <v>513</v>
      </c>
      <c r="AS14" s="3649" t="s">
        <v>279</v>
      </c>
      <c r="AT14" s="3649" t="s">
        <v>12</v>
      </c>
      <c r="AU14" s="3649" t="s">
        <v>514</v>
      </c>
      <c r="AV14" s="4760"/>
      <c r="AW14" s="3649" t="s">
        <v>9</v>
      </c>
      <c r="AX14" s="3649" t="s">
        <v>513</v>
      </c>
      <c r="AY14" s="3649" t="s">
        <v>279</v>
      </c>
      <c r="AZ14" s="3649" t="s">
        <v>12</v>
      </c>
      <c r="BA14" s="3649" t="s">
        <v>514</v>
      </c>
      <c r="BB14" s="4767"/>
      <c r="BC14" s="3649" t="s">
        <v>9</v>
      </c>
      <c r="BD14" s="3649" t="s">
        <v>513</v>
      </c>
      <c r="BE14" s="3649" t="s">
        <v>279</v>
      </c>
      <c r="BF14" s="3649" t="s">
        <v>12</v>
      </c>
      <c r="BG14" s="3649" t="s">
        <v>514</v>
      </c>
      <c r="BH14" s="4767"/>
      <c r="BI14" s="3649" t="s">
        <v>9</v>
      </c>
      <c r="BJ14" s="3649" t="s">
        <v>513</v>
      </c>
      <c r="BK14" s="3649" t="s">
        <v>279</v>
      </c>
      <c r="BL14" s="3649" t="s">
        <v>12</v>
      </c>
      <c r="BM14" s="3649" t="s">
        <v>514</v>
      </c>
    </row>
    <row r="15" spans="1:65" ht="12" hidden="1" customHeight="1">
      <c r="D15" s="4760"/>
      <c r="E15" s="4760"/>
      <c r="F15" s="3667"/>
      <c r="G15" s="3671"/>
      <c r="H15" s="3671"/>
      <c r="I15" s="3671"/>
      <c r="J15" s="3671"/>
      <c r="K15" s="3671"/>
      <c r="L15" s="3667"/>
      <c r="M15" s="3671"/>
      <c r="N15" s="3671"/>
      <c r="O15" s="3671"/>
      <c r="P15" s="3671"/>
      <c r="Q15" s="3671"/>
      <c r="R15" s="3667"/>
      <c r="S15" s="3671"/>
      <c r="T15" s="3671"/>
      <c r="U15" s="3671"/>
      <c r="V15" s="3671"/>
      <c r="W15" s="3671"/>
      <c r="X15" s="3667"/>
      <c r="Y15" s="3671"/>
      <c r="Z15" s="3671"/>
      <c r="AA15" s="3671"/>
      <c r="AB15" s="3671"/>
      <c r="AC15" s="3671"/>
      <c r="AD15" s="3667"/>
      <c r="AE15" s="3671"/>
      <c r="AF15" s="3671"/>
      <c r="AG15" s="3671"/>
      <c r="AH15" s="3671"/>
      <c r="AI15" s="3671"/>
      <c r="AJ15" s="3667"/>
      <c r="AK15" s="3671"/>
      <c r="AL15" s="3671"/>
      <c r="AM15" s="3671"/>
      <c r="AN15" s="3671"/>
      <c r="AO15" s="3671"/>
      <c r="AP15" s="3667"/>
      <c r="AQ15" s="3671"/>
      <c r="AR15" s="3671"/>
      <c r="AS15" s="3671"/>
      <c r="AT15" s="3671"/>
      <c r="AU15" s="3671"/>
      <c r="AV15" s="3667"/>
      <c r="AW15" s="3671"/>
      <c r="AX15" s="3671"/>
      <c r="AY15" s="3671"/>
      <c r="AZ15" s="3671"/>
      <c r="BA15" s="3671"/>
      <c r="BB15" s="3667"/>
      <c r="BC15" s="3671"/>
      <c r="BD15" s="3671"/>
      <c r="BE15" s="3671"/>
      <c r="BF15" s="3671"/>
      <c r="BG15" s="3671"/>
      <c r="BH15" s="3667"/>
      <c r="BI15" s="3671"/>
      <c r="BJ15" s="3671"/>
      <c r="BK15" s="3671"/>
      <c r="BL15" s="3671"/>
      <c r="BM15" s="3671"/>
    </row>
    <row r="16" spans="1:65" ht="12" customHeight="1">
      <c r="D16" s="4760"/>
      <c r="E16" s="4760"/>
      <c r="F16" s="3649" t="s">
        <v>4298</v>
      </c>
      <c r="G16" s="3649" t="s">
        <v>4298</v>
      </c>
      <c r="H16" s="3649" t="s">
        <v>4298</v>
      </c>
      <c r="I16" s="3649" t="s">
        <v>4298</v>
      </c>
      <c r="J16" s="3649" t="s">
        <v>4298</v>
      </c>
      <c r="K16" s="3649" t="s">
        <v>4298</v>
      </c>
      <c r="L16" s="3649" t="s">
        <v>1833</v>
      </c>
      <c r="M16" s="3649" t="s">
        <v>1833</v>
      </c>
      <c r="N16" s="3649" t="s">
        <v>1833</v>
      </c>
      <c r="O16" s="3649" t="s">
        <v>1833</v>
      </c>
      <c r="P16" s="3649" t="s">
        <v>1833</v>
      </c>
      <c r="Q16" s="3649" t="s">
        <v>1833</v>
      </c>
      <c r="R16" s="3649" t="s">
        <v>4298</v>
      </c>
      <c r="S16" s="3649" t="s">
        <v>4298</v>
      </c>
      <c r="T16" s="3649" t="s">
        <v>4298</v>
      </c>
      <c r="U16" s="3649" t="s">
        <v>4298</v>
      </c>
      <c r="V16" s="3649" t="s">
        <v>4298</v>
      </c>
      <c r="W16" s="3649" t="s">
        <v>4298</v>
      </c>
      <c r="X16" s="3649" t="s">
        <v>1833</v>
      </c>
      <c r="Y16" s="3649" t="s">
        <v>1833</v>
      </c>
      <c r="Z16" s="3649" t="s">
        <v>1833</v>
      </c>
      <c r="AA16" s="3649" t="s">
        <v>1833</v>
      </c>
      <c r="AB16" s="3649" t="s">
        <v>1833</v>
      </c>
      <c r="AC16" s="3649" t="s">
        <v>1833</v>
      </c>
      <c r="AD16" s="3649" t="s">
        <v>4298</v>
      </c>
      <c r="AE16" s="3649" t="s">
        <v>4298</v>
      </c>
      <c r="AF16" s="3649" t="s">
        <v>4298</v>
      </c>
      <c r="AG16" s="3649" t="s">
        <v>4298</v>
      </c>
      <c r="AH16" s="3649" t="s">
        <v>4298</v>
      </c>
      <c r="AI16" s="3649" t="s">
        <v>4298</v>
      </c>
      <c r="AJ16" s="3649" t="s">
        <v>1833</v>
      </c>
      <c r="AK16" s="3649" t="s">
        <v>1833</v>
      </c>
      <c r="AL16" s="3649" t="s">
        <v>1833</v>
      </c>
      <c r="AM16" s="3649" t="s">
        <v>1833</v>
      </c>
      <c r="AN16" s="3649" t="s">
        <v>1833</v>
      </c>
      <c r="AO16" s="3649" t="s">
        <v>1833</v>
      </c>
      <c r="AP16" s="3649" t="s">
        <v>420</v>
      </c>
      <c r="AQ16" s="3649" t="s">
        <v>420</v>
      </c>
      <c r="AR16" s="3649" t="s">
        <v>420</v>
      </c>
      <c r="AS16" s="3649" t="s">
        <v>420</v>
      </c>
      <c r="AT16" s="3649" t="s">
        <v>420</v>
      </c>
      <c r="AU16" s="3649" t="s">
        <v>420</v>
      </c>
      <c r="AV16" s="3649" t="s">
        <v>1833</v>
      </c>
      <c r="AW16" s="3649" t="s">
        <v>1833</v>
      </c>
      <c r="AX16" s="3649" t="s">
        <v>1833</v>
      </c>
      <c r="AY16" s="3649" t="s">
        <v>1833</v>
      </c>
      <c r="AZ16" s="3649" t="s">
        <v>1833</v>
      </c>
      <c r="BA16" s="3649" t="s">
        <v>1833</v>
      </c>
      <c r="BB16" s="3649" t="s">
        <v>4298</v>
      </c>
      <c r="BC16" s="3649" t="s">
        <v>4298</v>
      </c>
      <c r="BD16" s="3649" t="s">
        <v>4298</v>
      </c>
      <c r="BE16" s="3649" t="s">
        <v>4298</v>
      </c>
      <c r="BF16" s="3649" t="s">
        <v>4298</v>
      </c>
      <c r="BG16" s="3649" t="s">
        <v>4298</v>
      </c>
      <c r="BH16" s="3649" t="s">
        <v>1833</v>
      </c>
      <c r="BI16" s="3649" t="s">
        <v>1833</v>
      </c>
      <c r="BJ16" s="3649" t="s">
        <v>1833</v>
      </c>
      <c r="BK16" s="3649" t="s">
        <v>1833</v>
      </c>
      <c r="BL16" s="3649" t="s">
        <v>1833</v>
      </c>
      <c r="BM16" s="3649" t="s">
        <v>1833</v>
      </c>
    </row>
    <row r="17" spans="4:65" ht="12" customHeight="1">
      <c r="D17" s="3651">
        <v>1</v>
      </c>
      <c r="E17" s="3651">
        <v>2</v>
      </c>
      <c r="F17" s="3651">
        <v>3</v>
      </c>
      <c r="G17" s="3651">
        <v>4</v>
      </c>
      <c r="H17" s="3651">
        <v>5</v>
      </c>
      <c r="I17" s="3651">
        <v>6</v>
      </c>
      <c r="J17" s="3651">
        <v>7</v>
      </c>
      <c r="K17" s="3651">
        <v>8</v>
      </c>
      <c r="L17" s="3651">
        <v>9</v>
      </c>
      <c r="M17" s="3651">
        <v>10</v>
      </c>
      <c r="N17" s="3651">
        <v>11</v>
      </c>
      <c r="O17" s="3651">
        <v>12</v>
      </c>
      <c r="P17" s="3651">
        <v>13</v>
      </c>
      <c r="Q17" s="3651">
        <v>14</v>
      </c>
      <c r="R17" s="3651">
        <v>15</v>
      </c>
      <c r="S17" s="3651">
        <v>16</v>
      </c>
      <c r="T17" s="3651">
        <v>17</v>
      </c>
      <c r="U17" s="3651">
        <v>18</v>
      </c>
      <c r="V17" s="3651">
        <v>19</v>
      </c>
      <c r="W17" s="3651">
        <v>20</v>
      </c>
      <c r="X17" s="3651">
        <v>21</v>
      </c>
      <c r="Y17" s="3651">
        <v>22</v>
      </c>
      <c r="Z17" s="3651">
        <v>23</v>
      </c>
      <c r="AA17" s="3651">
        <v>24</v>
      </c>
      <c r="AB17" s="3651">
        <v>25</v>
      </c>
      <c r="AC17" s="3651">
        <v>26</v>
      </c>
      <c r="AD17" s="3651">
        <v>27</v>
      </c>
      <c r="AE17" s="3651">
        <v>28</v>
      </c>
      <c r="AF17" s="3651">
        <v>29</v>
      </c>
      <c r="AG17" s="3651">
        <v>30</v>
      </c>
      <c r="AH17" s="3651">
        <v>31</v>
      </c>
      <c r="AI17" s="3651">
        <v>32</v>
      </c>
      <c r="AJ17" s="3651">
        <v>33</v>
      </c>
      <c r="AK17" s="3651">
        <v>34</v>
      </c>
      <c r="AL17" s="3651">
        <v>35</v>
      </c>
      <c r="AM17" s="3651">
        <v>36</v>
      </c>
      <c r="AN17" s="3651">
        <v>37</v>
      </c>
      <c r="AO17" s="3651">
        <v>38</v>
      </c>
      <c r="AP17" s="3651">
        <v>39</v>
      </c>
      <c r="AQ17" s="3651">
        <v>40</v>
      </c>
      <c r="AR17" s="3651">
        <v>41</v>
      </c>
      <c r="AS17" s="3651">
        <v>42</v>
      </c>
      <c r="AT17" s="3651">
        <v>43</v>
      </c>
      <c r="AU17" s="3651">
        <v>44</v>
      </c>
      <c r="AV17" s="3651">
        <v>45</v>
      </c>
      <c r="AW17" s="3651">
        <v>46</v>
      </c>
      <c r="AX17" s="3651">
        <v>47</v>
      </c>
      <c r="AY17" s="3651">
        <v>48</v>
      </c>
      <c r="AZ17" s="3651">
        <v>49</v>
      </c>
      <c r="BA17" s="3651">
        <v>50</v>
      </c>
      <c r="BB17" s="3651">
        <v>51</v>
      </c>
      <c r="BC17" s="3651">
        <v>52</v>
      </c>
      <c r="BD17" s="3651">
        <v>53</v>
      </c>
      <c r="BE17" s="3651">
        <v>54</v>
      </c>
      <c r="BF17" s="3651">
        <v>55</v>
      </c>
      <c r="BG17" s="3651">
        <v>56</v>
      </c>
      <c r="BH17" s="3651">
        <v>57</v>
      </c>
      <c r="BI17" s="3651">
        <v>58</v>
      </c>
      <c r="BJ17" s="3651">
        <v>59</v>
      </c>
      <c r="BK17" s="3651">
        <v>60</v>
      </c>
      <c r="BL17" s="3651">
        <v>61</v>
      </c>
      <c r="BM17" s="3651">
        <v>62</v>
      </c>
    </row>
    <row r="18" spans="4:65" s="3652" customFormat="1" ht="45" customHeight="1">
      <c r="D18" s="3653" t="s">
        <v>42</v>
      </c>
      <c r="E18" s="3654">
        <v>100</v>
      </c>
      <c r="F18" s="3655">
        <f t="shared" ref="F18:F35" si="0">SUM(G18:K18)</f>
        <v>0</v>
      </c>
      <c r="G18" s="3658">
        <f>SUM(G19,G29:G35)</f>
        <v>0</v>
      </c>
      <c r="H18" s="3658">
        <f>SUM(H19,H29:H35)</f>
        <v>0</v>
      </c>
      <c r="I18" s="3658">
        <f>SUM(I19,I29:I35)</f>
        <v>0</v>
      </c>
      <c r="J18" s="3658">
        <f>SUM(J19,J29:J35)</f>
        <v>0</v>
      </c>
      <c r="K18" s="3658">
        <f>SUM(K19,K29:K35)</f>
        <v>0</v>
      </c>
      <c r="L18" s="3655">
        <f t="shared" ref="L18:L35" si="1">SUM(M18:Q18)</f>
        <v>0</v>
      </c>
      <c r="M18" s="3658">
        <f>SUM(M19,M29:M35)</f>
        <v>0</v>
      </c>
      <c r="N18" s="3658">
        <f>SUM(N19,N29:N35)</f>
        <v>0</v>
      </c>
      <c r="O18" s="3658">
        <f>SUM(O19,O29:O35)</f>
        <v>0</v>
      </c>
      <c r="P18" s="3658">
        <f>SUM(P19,P29:P35)</f>
        <v>0</v>
      </c>
      <c r="Q18" s="3658">
        <f>SUM(Q19,Q29:Q35)</f>
        <v>0</v>
      </c>
      <c r="R18" s="3655">
        <f t="shared" ref="R18:R35" si="2">SUM(S18:W18)</f>
        <v>0</v>
      </c>
      <c r="S18" s="3658">
        <f>SUM(S19,S29:S35)</f>
        <v>0</v>
      </c>
      <c r="T18" s="3658">
        <f>SUM(T19,T29:T35)</f>
        <v>0</v>
      </c>
      <c r="U18" s="3658">
        <f>SUM(U19,U29:U35)</f>
        <v>0</v>
      </c>
      <c r="V18" s="3658">
        <f>SUM(V19,V29:V35)</f>
        <v>0</v>
      </c>
      <c r="W18" s="3658">
        <f>SUM(W19,W29:W35)</f>
        <v>0</v>
      </c>
      <c r="X18" s="3655">
        <f t="shared" ref="X18:X35" si="3">SUM(Y18:AC18)</f>
        <v>0</v>
      </c>
      <c r="Y18" s="3658">
        <f>SUM(Y19,Y29:Y35)</f>
        <v>0</v>
      </c>
      <c r="Z18" s="3658">
        <f>SUM(Z19,Z29:Z35)</f>
        <v>0</v>
      </c>
      <c r="AA18" s="3658">
        <f>SUM(AA19,AA29:AA35)</f>
        <v>0</v>
      </c>
      <c r="AB18" s="3658">
        <f>SUM(AB19,AB29:AB35)</f>
        <v>0</v>
      </c>
      <c r="AC18" s="3658">
        <f>SUM(AC19,AC29:AC35)</f>
        <v>0</v>
      </c>
      <c r="AD18" s="3655">
        <f t="shared" ref="AD18:AD35" si="4">SUM(AE18:AI18)</f>
        <v>0</v>
      </c>
      <c r="AE18" s="3658">
        <f>SUM(AE19,AE29:AE35)</f>
        <v>0</v>
      </c>
      <c r="AF18" s="3658">
        <f>SUM(AF19,AF29:AF35)</f>
        <v>0</v>
      </c>
      <c r="AG18" s="3658">
        <f>SUM(AG19,AG29:AG35)</f>
        <v>0</v>
      </c>
      <c r="AH18" s="3658">
        <f>SUM(AH19,AH29:AH35)</f>
        <v>0</v>
      </c>
      <c r="AI18" s="3658">
        <f>SUM(AI19,AI29:AI35)</f>
        <v>0</v>
      </c>
      <c r="AJ18" s="3655">
        <f t="shared" ref="AJ18:AJ35" si="5">SUM(AK18:AO18)</f>
        <v>0</v>
      </c>
      <c r="AK18" s="3658">
        <f>SUM(AK19,AK29:AK35)</f>
        <v>0</v>
      </c>
      <c r="AL18" s="3658">
        <f>SUM(AL19,AL29:AL35)</f>
        <v>0</v>
      </c>
      <c r="AM18" s="3658">
        <f>SUM(AM19,AM29:AM35)</f>
        <v>0</v>
      </c>
      <c r="AN18" s="3658">
        <f>SUM(AN19,AN29:AN35)</f>
        <v>0</v>
      </c>
      <c r="AO18" s="3658">
        <f>SUM(AO19,AO29:AO35)</f>
        <v>0</v>
      </c>
      <c r="AP18" s="3655">
        <f t="shared" ref="AP18:AP35" si="6">SUM(AQ18:AU18)</f>
        <v>0</v>
      </c>
      <c r="AQ18" s="3658">
        <f>SUM(AQ19,AQ29:AQ35)</f>
        <v>0</v>
      </c>
      <c r="AR18" s="3658">
        <f>SUM(AR19,AR29:AR35)</f>
        <v>0</v>
      </c>
      <c r="AS18" s="3658">
        <f>SUM(AS19,AS29:AS35)</f>
        <v>0</v>
      </c>
      <c r="AT18" s="3658">
        <f>SUM(AT19,AT29:AT35)</f>
        <v>0</v>
      </c>
      <c r="AU18" s="3658">
        <f>SUM(AU19,AU29:AU35)</f>
        <v>0</v>
      </c>
      <c r="AV18" s="3655">
        <f t="shared" ref="AV18:AV35" si="7">SUM(AW18:BA18)</f>
        <v>0</v>
      </c>
      <c r="AW18" s="3658">
        <f>SUM(AW19,AW29:AW35)</f>
        <v>0</v>
      </c>
      <c r="AX18" s="3658">
        <f>SUM(AX19,AX29:AX35)</f>
        <v>0</v>
      </c>
      <c r="AY18" s="3658">
        <f>SUM(AY19,AY29:AY35)</f>
        <v>0</v>
      </c>
      <c r="AZ18" s="3658">
        <f>SUM(AZ19,AZ29:AZ35)</f>
        <v>0</v>
      </c>
      <c r="BA18" s="3658">
        <f>SUM(BA19,BA29:BA35)</f>
        <v>0</v>
      </c>
      <c r="BB18" s="3655">
        <f t="shared" ref="BB18:BB35" si="8">SUM(BC18:BG18)</f>
        <v>0</v>
      </c>
      <c r="BC18" s="3658">
        <f>SUM(BC19,BC29:BC35)</f>
        <v>0</v>
      </c>
      <c r="BD18" s="3658">
        <f>SUM(BD19,BD29:BD35)</f>
        <v>0</v>
      </c>
      <c r="BE18" s="3658">
        <f>SUM(BE19,BE29:BE35)</f>
        <v>0</v>
      </c>
      <c r="BF18" s="3658">
        <f>SUM(BF19,BF29:BF35)</f>
        <v>0</v>
      </c>
      <c r="BG18" s="3658">
        <f>SUM(BG19,BG29:BG35)</f>
        <v>0</v>
      </c>
      <c r="BH18" s="3655">
        <f t="shared" ref="BH18:BH35" si="9">SUM(BI18:BM18)</f>
        <v>0</v>
      </c>
      <c r="BI18" s="3658">
        <f>SUM(BI19,BI29:BI35)</f>
        <v>0</v>
      </c>
      <c r="BJ18" s="3658">
        <f>SUM(BJ19,BJ29:BJ35)</f>
        <v>0</v>
      </c>
      <c r="BK18" s="3658">
        <f>SUM(BK19,BK29:BK35)</f>
        <v>0</v>
      </c>
      <c r="BL18" s="3658">
        <f>SUM(BL19,BL29:BL35)</f>
        <v>0</v>
      </c>
      <c r="BM18" s="3658">
        <f>SUM(BM19,BM29:BM35)</f>
        <v>0</v>
      </c>
    </row>
    <row r="19" spans="4:65" s="3652" customFormat="1" ht="45" customHeight="1">
      <c r="D19" s="3677" t="s">
        <v>4050</v>
      </c>
      <c r="E19" s="3649" t="s">
        <v>4433</v>
      </c>
      <c r="F19" s="3655">
        <f t="shared" si="0"/>
        <v>0</v>
      </c>
      <c r="G19" s="3658">
        <f>SUM(G20:G28)</f>
        <v>0</v>
      </c>
      <c r="H19" s="3658">
        <f>SUM(H20:H28)</f>
        <v>0</v>
      </c>
      <c r="I19" s="3658">
        <f>SUM(I20:I28)</f>
        <v>0</v>
      </c>
      <c r="J19" s="3658">
        <f>SUM(J20:J28)</f>
        <v>0</v>
      </c>
      <c r="K19" s="3658">
        <f>SUM(K20:K28)</f>
        <v>0</v>
      </c>
      <c r="L19" s="3655">
        <f t="shared" si="1"/>
        <v>0</v>
      </c>
      <c r="M19" s="3658">
        <f>SUM(M20:M28)</f>
        <v>0</v>
      </c>
      <c r="N19" s="3658">
        <f>SUM(N20:N28)</f>
        <v>0</v>
      </c>
      <c r="O19" s="3658">
        <f>SUM(O20:O28)</f>
        <v>0</v>
      </c>
      <c r="P19" s="3658">
        <f>SUM(P20:P28)</f>
        <v>0</v>
      </c>
      <c r="Q19" s="3658">
        <f>SUM(Q20:Q28)</f>
        <v>0</v>
      </c>
      <c r="R19" s="3655">
        <f t="shared" si="2"/>
        <v>0</v>
      </c>
      <c r="S19" s="3658">
        <f>SUM(S20:S28)</f>
        <v>0</v>
      </c>
      <c r="T19" s="3658">
        <f>SUM(T20:T28)</f>
        <v>0</v>
      </c>
      <c r="U19" s="3658">
        <f>SUM(U20:U28)</f>
        <v>0</v>
      </c>
      <c r="V19" s="3658">
        <f>SUM(V20:V28)</f>
        <v>0</v>
      </c>
      <c r="W19" s="3658">
        <f>SUM(W20:W28)</f>
        <v>0</v>
      </c>
      <c r="X19" s="3655">
        <f t="shared" si="3"/>
        <v>0</v>
      </c>
      <c r="Y19" s="3658">
        <f>SUM(Y20:Y28)</f>
        <v>0</v>
      </c>
      <c r="Z19" s="3658">
        <f>SUM(Z20:Z28)</f>
        <v>0</v>
      </c>
      <c r="AA19" s="3658">
        <f>SUM(AA20:AA28)</f>
        <v>0</v>
      </c>
      <c r="AB19" s="3658">
        <f>SUM(AB20:AB28)</f>
        <v>0</v>
      </c>
      <c r="AC19" s="3658">
        <f>SUM(AC20:AC28)</f>
        <v>0</v>
      </c>
      <c r="AD19" s="3655">
        <f t="shared" si="4"/>
        <v>0</v>
      </c>
      <c r="AE19" s="3658">
        <f>SUM(AE20:AE28)</f>
        <v>0</v>
      </c>
      <c r="AF19" s="3658">
        <f>SUM(AF20:AF28)</f>
        <v>0</v>
      </c>
      <c r="AG19" s="3658">
        <f>SUM(AG20:AG28)</f>
        <v>0</v>
      </c>
      <c r="AH19" s="3658">
        <f>SUM(AH20:AH28)</f>
        <v>0</v>
      </c>
      <c r="AI19" s="3658">
        <f>SUM(AI20:AI28)</f>
        <v>0</v>
      </c>
      <c r="AJ19" s="3655">
        <f t="shared" si="5"/>
        <v>0</v>
      </c>
      <c r="AK19" s="3658">
        <f>SUM(AK20:AK28)</f>
        <v>0</v>
      </c>
      <c r="AL19" s="3658">
        <f>SUM(AL20:AL28)</f>
        <v>0</v>
      </c>
      <c r="AM19" s="3658">
        <f>SUM(AM20:AM28)</f>
        <v>0</v>
      </c>
      <c r="AN19" s="3658">
        <f>SUM(AN20:AN28)</f>
        <v>0</v>
      </c>
      <c r="AO19" s="3658">
        <f>SUM(AO20:AO28)</f>
        <v>0</v>
      </c>
      <c r="AP19" s="3655">
        <f t="shared" si="6"/>
        <v>0</v>
      </c>
      <c r="AQ19" s="3658">
        <f>SUM(AQ20:AQ28)</f>
        <v>0</v>
      </c>
      <c r="AR19" s="3658">
        <f>SUM(AR20:AR28)</f>
        <v>0</v>
      </c>
      <c r="AS19" s="3658">
        <f>SUM(AS20:AS28)</f>
        <v>0</v>
      </c>
      <c r="AT19" s="3658">
        <f>SUM(AT20:AT28)</f>
        <v>0</v>
      </c>
      <c r="AU19" s="3658">
        <f>SUM(AU20:AU28)</f>
        <v>0</v>
      </c>
      <c r="AV19" s="3655">
        <f t="shared" si="7"/>
        <v>0</v>
      </c>
      <c r="AW19" s="3658">
        <f>SUM(AW20:AW28)</f>
        <v>0</v>
      </c>
      <c r="AX19" s="3658">
        <f>SUM(AX20:AX28)</f>
        <v>0</v>
      </c>
      <c r="AY19" s="3658">
        <f>SUM(AY20:AY28)</f>
        <v>0</v>
      </c>
      <c r="AZ19" s="3658">
        <f>SUM(AZ20:AZ28)</f>
        <v>0</v>
      </c>
      <c r="BA19" s="3658">
        <f>SUM(BA20:BA28)</f>
        <v>0</v>
      </c>
      <c r="BB19" s="3655">
        <f t="shared" si="8"/>
        <v>0</v>
      </c>
      <c r="BC19" s="3658">
        <f>SUM(BC20:BC28)</f>
        <v>0</v>
      </c>
      <c r="BD19" s="3658">
        <f>SUM(BD20:BD28)</f>
        <v>0</v>
      </c>
      <c r="BE19" s="3658">
        <f>SUM(BE20:BE28)</f>
        <v>0</v>
      </c>
      <c r="BF19" s="3658">
        <f>SUM(BF20:BF28)</f>
        <v>0</v>
      </c>
      <c r="BG19" s="3658">
        <f>SUM(BG20:BG28)</f>
        <v>0</v>
      </c>
      <c r="BH19" s="3655">
        <f t="shared" si="9"/>
        <v>0</v>
      </c>
      <c r="BI19" s="3658">
        <f>SUM(BI20:BI28)</f>
        <v>0</v>
      </c>
      <c r="BJ19" s="3658">
        <f>SUM(BJ20:BJ28)</f>
        <v>0</v>
      </c>
      <c r="BK19" s="3658">
        <f>SUM(BK20:BK28)</f>
        <v>0</v>
      </c>
      <c r="BL19" s="3658">
        <f>SUM(BL20:BL28)</f>
        <v>0</v>
      </c>
      <c r="BM19" s="3658">
        <f>SUM(BM20:BM28)</f>
        <v>0</v>
      </c>
    </row>
    <row r="20" spans="4:65" ht="12" customHeight="1">
      <c r="D20" s="3659" t="s">
        <v>4304</v>
      </c>
      <c r="E20" s="3649" t="s">
        <v>4532</v>
      </c>
      <c r="F20" s="3655">
        <f t="shared" si="0"/>
        <v>0</v>
      </c>
      <c r="G20" s="3661"/>
      <c r="H20" s="3661"/>
      <c r="I20" s="3661"/>
      <c r="J20" s="3661"/>
      <c r="K20" s="3661"/>
      <c r="L20" s="3655">
        <f t="shared" si="1"/>
        <v>0</v>
      </c>
      <c r="M20" s="3661"/>
      <c r="N20" s="3661"/>
      <c r="O20" s="3661"/>
      <c r="P20" s="3661"/>
      <c r="Q20" s="3661"/>
      <c r="R20" s="3655">
        <f t="shared" si="2"/>
        <v>0</v>
      </c>
      <c r="S20" s="3661"/>
      <c r="T20" s="3661"/>
      <c r="U20" s="3661"/>
      <c r="V20" s="3661"/>
      <c r="W20" s="3661"/>
      <c r="X20" s="3655">
        <f t="shared" si="3"/>
        <v>0</v>
      </c>
      <c r="Y20" s="3661"/>
      <c r="Z20" s="3661"/>
      <c r="AA20" s="3661"/>
      <c r="AB20" s="3661"/>
      <c r="AC20" s="3661"/>
      <c r="AD20" s="3655">
        <f t="shared" si="4"/>
        <v>0</v>
      </c>
      <c r="AE20" s="3661"/>
      <c r="AF20" s="3661"/>
      <c r="AG20" s="3661"/>
      <c r="AH20" s="3661"/>
      <c r="AI20" s="3661"/>
      <c r="AJ20" s="3655">
        <f t="shared" si="5"/>
        <v>0</v>
      </c>
      <c r="AK20" s="3661"/>
      <c r="AL20" s="3661"/>
      <c r="AM20" s="3661"/>
      <c r="AN20" s="3661"/>
      <c r="AO20" s="3661"/>
      <c r="AP20" s="3655">
        <f t="shared" si="6"/>
        <v>0</v>
      </c>
      <c r="AQ20" s="3661"/>
      <c r="AR20" s="3661"/>
      <c r="AS20" s="3661"/>
      <c r="AT20" s="3661"/>
      <c r="AU20" s="3661"/>
      <c r="AV20" s="3655">
        <f t="shared" si="7"/>
        <v>0</v>
      </c>
      <c r="AW20" s="3661"/>
      <c r="AX20" s="3661"/>
      <c r="AY20" s="3661"/>
      <c r="AZ20" s="3661"/>
      <c r="BA20" s="3661"/>
      <c r="BB20" s="3655">
        <f t="shared" si="8"/>
        <v>0</v>
      </c>
      <c r="BC20" s="3655">
        <f t="shared" ref="BC20:BG35" si="10">SUM(G20,S20,AE20)</f>
        <v>0</v>
      </c>
      <c r="BD20" s="3655">
        <f t="shared" si="10"/>
        <v>0</v>
      </c>
      <c r="BE20" s="3655">
        <f t="shared" si="10"/>
        <v>0</v>
      </c>
      <c r="BF20" s="3655">
        <f t="shared" si="10"/>
        <v>0</v>
      </c>
      <c r="BG20" s="3655">
        <f t="shared" si="10"/>
        <v>0</v>
      </c>
      <c r="BH20" s="3655">
        <f t="shared" si="9"/>
        <v>0</v>
      </c>
      <c r="BI20" s="3655">
        <f t="shared" ref="BI20:BM35" si="11">SUM(M20,Y20,AK20)</f>
        <v>0</v>
      </c>
      <c r="BJ20" s="3655">
        <f t="shared" si="11"/>
        <v>0</v>
      </c>
      <c r="BK20" s="3655">
        <f t="shared" si="11"/>
        <v>0</v>
      </c>
      <c r="BL20" s="3655">
        <f t="shared" si="11"/>
        <v>0</v>
      </c>
      <c r="BM20" s="3655">
        <f t="shared" si="11"/>
        <v>0</v>
      </c>
    </row>
    <row r="21" spans="4:65" ht="12" customHeight="1">
      <c r="D21" s="3659" t="s">
        <v>4306</v>
      </c>
      <c r="E21" s="3649" t="s">
        <v>4533</v>
      </c>
      <c r="F21" s="3655">
        <f t="shared" si="0"/>
        <v>0</v>
      </c>
      <c r="G21" s="3661"/>
      <c r="H21" s="3661"/>
      <c r="I21" s="3661"/>
      <c r="J21" s="3661"/>
      <c r="K21" s="3661"/>
      <c r="L21" s="3655">
        <f t="shared" si="1"/>
        <v>0</v>
      </c>
      <c r="M21" s="3661"/>
      <c r="N21" s="3661"/>
      <c r="O21" s="3661"/>
      <c r="P21" s="3661"/>
      <c r="Q21" s="3661"/>
      <c r="R21" s="3655">
        <f t="shared" si="2"/>
        <v>0</v>
      </c>
      <c r="S21" s="3661"/>
      <c r="T21" s="3661"/>
      <c r="U21" s="3661"/>
      <c r="V21" s="3661"/>
      <c r="W21" s="3661"/>
      <c r="X21" s="3655">
        <f t="shared" si="3"/>
        <v>0</v>
      </c>
      <c r="Y21" s="3661"/>
      <c r="Z21" s="3661"/>
      <c r="AA21" s="3661"/>
      <c r="AB21" s="3661"/>
      <c r="AC21" s="3661"/>
      <c r="AD21" s="3655">
        <f t="shared" si="4"/>
        <v>0</v>
      </c>
      <c r="AE21" s="3661"/>
      <c r="AF21" s="3661"/>
      <c r="AG21" s="3661"/>
      <c r="AH21" s="3661"/>
      <c r="AI21" s="3661"/>
      <c r="AJ21" s="3655">
        <f t="shared" si="5"/>
        <v>0</v>
      </c>
      <c r="AK21" s="3661"/>
      <c r="AL21" s="3661"/>
      <c r="AM21" s="3661"/>
      <c r="AN21" s="3661"/>
      <c r="AO21" s="3661"/>
      <c r="AP21" s="3655">
        <f t="shared" si="6"/>
        <v>0</v>
      </c>
      <c r="AQ21" s="3661"/>
      <c r="AR21" s="3661"/>
      <c r="AS21" s="3661"/>
      <c r="AT21" s="3661"/>
      <c r="AU21" s="3661"/>
      <c r="AV21" s="3655">
        <f t="shared" si="7"/>
        <v>0</v>
      </c>
      <c r="AW21" s="3661"/>
      <c r="AX21" s="3661"/>
      <c r="AY21" s="3661"/>
      <c r="AZ21" s="3661"/>
      <c r="BA21" s="3661"/>
      <c r="BB21" s="3655">
        <f t="shared" si="8"/>
        <v>0</v>
      </c>
      <c r="BC21" s="3655">
        <f t="shared" si="10"/>
        <v>0</v>
      </c>
      <c r="BD21" s="3655">
        <f t="shared" si="10"/>
        <v>0</v>
      </c>
      <c r="BE21" s="3655">
        <f t="shared" si="10"/>
        <v>0</v>
      </c>
      <c r="BF21" s="3655">
        <f t="shared" si="10"/>
        <v>0</v>
      </c>
      <c r="BG21" s="3655">
        <f t="shared" si="10"/>
        <v>0</v>
      </c>
      <c r="BH21" s="3655">
        <f t="shared" si="9"/>
        <v>0</v>
      </c>
      <c r="BI21" s="3655">
        <f t="shared" si="11"/>
        <v>0</v>
      </c>
      <c r="BJ21" s="3655">
        <f t="shared" si="11"/>
        <v>0</v>
      </c>
      <c r="BK21" s="3655">
        <f t="shared" si="11"/>
        <v>0</v>
      </c>
      <c r="BL21" s="3655">
        <f t="shared" si="11"/>
        <v>0</v>
      </c>
      <c r="BM21" s="3655">
        <f t="shared" si="11"/>
        <v>0</v>
      </c>
    </row>
    <row r="22" spans="4:65" ht="12" customHeight="1">
      <c r="D22" s="3659" t="s">
        <v>4308</v>
      </c>
      <c r="E22" s="3649" t="s">
        <v>4534</v>
      </c>
      <c r="F22" s="3655">
        <f t="shared" si="0"/>
        <v>0</v>
      </c>
      <c r="G22" s="3661"/>
      <c r="H22" s="3661"/>
      <c r="I22" s="3661"/>
      <c r="J22" s="3661"/>
      <c r="K22" s="3661"/>
      <c r="L22" s="3655">
        <f t="shared" si="1"/>
        <v>0</v>
      </c>
      <c r="M22" s="3661"/>
      <c r="N22" s="3661"/>
      <c r="O22" s="3661"/>
      <c r="P22" s="3661"/>
      <c r="Q22" s="3661"/>
      <c r="R22" s="3655">
        <f t="shared" si="2"/>
        <v>0</v>
      </c>
      <c r="S22" s="3661"/>
      <c r="T22" s="3661"/>
      <c r="U22" s="3661"/>
      <c r="V22" s="3661"/>
      <c r="W22" s="3661"/>
      <c r="X22" s="3655">
        <f t="shared" si="3"/>
        <v>0</v>
      </c>
      <c r="Y22" s="3661"/>
      <c r="Z22" s="3661"/>
      <c r="AA22" s="3661"/>
      <c r="AB22" s="3661"/>
      <c r="AC22" s="3661"/>
      <c r="AD22" s="3655">
        <f t="shared" si="4"/>
        <v>0</v>
      </c>
      <c r="AE22" s="3661"/>
      <c r="AF22" s="3661"/>
      <c r="AG22" s="3661"/>
      <c r="AH22" s="3661"/>
      <c r="AI22" s="3661"/>
      <c r="AJ22" s="3655">
        <f t="shared" si="5"/>
        <v>0</v>
      </c>
      <c r="AK22" s="3661"/>
      <c r="AL22" s="3661"/>
      <c r="AM22" s="3661"/>
      <c r="AN22" s="3661"/>
      <c r="AO22" s="3661"/>
      <c r="AP22" s="3655">
        <f t="shared" si="6"/>
        <v>0</v>
      </c>
      <c r="AQ22" s="3661"/>
      <c r="AR22" s="3661"/>
      <c r="AS22" s="3661"/>
      <c r="AT22" s="3661"/>
      <c r="AU22" s="3661"/>
      <c r="AV22" s="3655">
        <f t="shared" si="7"/>
        <v>0</v>
      </c>
      <c r="AW22" s="3661"/>
      <c r="AX22" s="3661"/>
      <c r="AY22" s="3661"/>
      <c r="AZ22" s="3661"/>
      <c r="BA22" s="3661"/>
      <c r="BB22" s="3655">
        <f t="shared" si="8"/>
        <v>0</v>
      </c>
      <c r="BC22" s="3655">
        <f t="shared" si="10"/>
        <v>0</v>
      </c>
      <c r="BD22" s="3655">
        <f t="shared" si="10"/>
        <v>0</v>
      </c>
      <c r="BE22" s="3655">
        <f t="shared" si="10"/>
        <v>0</v>
      </c>
      <c r="BF22" s="3655">
        <f t="shared" si="10"/>
        <v>0</v>
      </c>
      <c r="BG22" s="3655">
        <f t="shared" si="10"/>
        <v>0</v>
      </c>
      <c r="BH22" s="3655">
        <f t="shared" si="9"/>
        <v>0</v>
      </c>
      <c r="BI22" s="3655">
        <f t="shared" si="11"/>
        <v>0</v>
      </c>
      <c r="BJ22" s="3655">
        <f t="shared" si="11"/>
        <v>0</v>
      </c>
      <c r="BK22" s="3655">
        <f t="shared" si="11"/>
        <v>0</v>
      </c>
      <c r="BL22" s="3655">
        <f t="shared" si="11"/>
        <v>0</v>
      </c>
      <c r="BM22" s="3655">
        <f t="shared" si="11"/>
        <v>0</v>
      </c>
    </row>
    <row r="23" spans="4:65" ht="12" customHeight="1">
      <c r="D23" s="3659" t="s">
        <v>4310</v>
      </c>
      <c r="E23" s="3649" t="s">
        <v>4535</v>
      </c>
      <c r="F23" s="3655">
        <f t="shared" si="0"/>
        <v>0</v>
      </c>
      <c r="G23" s="3661"/>
      <c r="H23" s="3661"/>
      <c r="I23" s="3661"/>
      <c r="J23" s="3661"/>
      <c r="K23" s="3661"/>
      <c r="L23" s="3655">
        <f t="shared" si="1"/>
        <v>0</v>
      </c>
      <c r="M23" s="3661"/>
      <c r="N23" s="3661"/>
      <c r="O23" s="3661"/>
      <c r="P23" s="3661"/>
      <c r="Q23" s="3661"/>
      <c r="R23" s="3655">
        <f t="shared" si="2"/>
        <v>0</v>
      </c>
      <c r="S23" s="3661"/>
      <c r="T23" s="3661"/>
      <c r="U23" s="3661"/>
      <c r="V23" s="3661"/>
      <c r="W23" s="3661"/>
      <c r="X23" s="3655">
        <f t="shared" si="3"/>
        <v>0</v>
      </c>
      <c r="Y23" s="3661"/>
      <c r="Z23" s="3661"/>
      <c r="AA23" s="3661"/>
      <c r="AB23" s="3661"/>
      <c r="AC23" s="3661"/>
      <c r="AD23" s="3655">
        <f t="shared" si="4"/>
        <v>0</v>
      </c>
      <c r="AE23" s="3661"/>
      <c r="AF23" s="3661"/>
      <c r="AG23" s="3661"/>
      <c r="AH23" s="3661"/>
      <c r="AI23" s="3661"/>
      <c r="AJ23" s="3655">
        <f t="shared" si="5"/>
        <v>0</v>
      </c>
      <c r="AK23" s="3661"/>
      <c r="AL23" s="3661"/>
      <c r="AM23" s="3661"/>
      <c r="AN23" s="3661"/>
      <c r="AO23" s="3661"/>
      <c r="AP23" s="3655">
        <f t="shared" si="6"/>
        <v>0</v>
      </c>
      <c r="AQ23" s="3661"/>
      <c r="AR23" s="3661"/>
      <c r="AS23" s="3661"/>
      <c r="AT23" s="3661"/>
      <c r="AU23" s="3661"/>
      <c r="AV23" s="3655">
        <f t="shared" si="7"/>
        <v>0</v>
      </c>
      <c r="AW23" s="3661"/>
      <c r="AX23" s="3661"/>
      <c r="AY23" s="3661"/>
      <c r="AZ23" s="3661"/>
      <c r="BA23" s="3661"/>
      <c r="BB23" s="3655">
        <f t="shared" si="8"/>
        <v>0</v>
      </c>
      <c r="BC23" s="3655">
        <f t="shared" si="10"/>
        <v>0</v>
      </c>
      <c r="BD23" s="3655">
        <f t="shared" si="10"/>
        <v>0</v>
      </c>
      <c r="BE23" s="3655">
        <f t="shared" si="10"/>
        <v>0</v>
      </c>
      <c r="BF23" s="3655">
        <f t="shared" si="10"/>
        <v>0</v>
      </c>
      <c r="BG23" s="3655">
        <f t="shared" si="10"/>
        <v>0</v>
      </c>
      <c r="BH23" s="3655">
        <f t="shared" si="9"/>
        <v>0</v>
      </c>
      <c r="BI23" s="3655">
        <f t="shared" si="11"/>
        <v>0</v>
      </c>
      <c r="BJ23" s="3655">
        <f t="shared" si="11"/>
        <v>0</v>
      </c>
      <c r="BK23" s="3655">
        <f t="shared" si="11"/>
        <v>0</v>
      </c>
      <c r="BL23" s="3655">
        <f t="shared" si="11"/>
        <v>0</v>
      </c>
      <c r="BM23" s="3655">
        <f t="shared" si="11"/>
        <v>0</v>
      </c>
    </row>
    <row r="24" spans="4:65" ht="12" customHeight="1">
      <c r="D24" s="3659" t="s">
        <v>4312</v>
      </c>
      <c r="E24" s="3649" t="s">
        <v>4536</v>
      </c>
      <c r="F24" s="3655">
        <f t="shared" si="0"/>
        <v>0</v>
      </c>
      <c r="G24" s="3661"/>
      <c r="H24" s="3661"/>
      <c r="I24" s="3661"/>
      <c r="J24" s="3661"/>
      <c r="K24" s="3661"/>
      <c r="L24" s="3655">
        <f t="shared" si="1"/>
        <v>0</v>
      </c>
      <c r="M24" s="3661"/>
      <c r="N24" s="3661"/>
      <c r="O24" s="3661"/>
      <c r="P24" s="3661"/>
      <c r="Q24" s="3661"/>
      <c r="R24" s="3655">
        <f t="shared" si="2"/>
        <v>0</v>
      </c>
      <c r="S24" s="3661"/>
      <c r="T24" s="3661"/>
      <c r="U24" s="3661"/>
      <c r="V24" s="3661"/>
      <c r="W24" s="3661"/>
      <c r="X24" s="3655">
        <f t="shared" si="3"/>
        <v>0</v>
      </c>
      <c r="Y24" s="3661"/>
      <c r="Z24" s="3661"/>
      <c r="AA24" s="3661"/>
      <c r="AB24" s="3661"/>
      <c r="AC24" s="3661"/>
      <c r="AD24" s="3655">
        <f t="shared" si="4"/>
        <v>0</v>
      </c>
      <c r="AE24" s="3661"/>
      <c r="AF24" s="3661"/>
      <c r="AG24" s="3661"/>
      <c r="AH24" s="3661"/>
      <c r="AI24" s="3661"/>
      <c r="AJ24" s="3655">
        <f t="shared" si="5"/>
        <v>0</v>
      </c>
      <c r="AK24" s="3661"/>
      <c r="AL24" s="3661"/>
      <c r="AM24" s="3661"/>
      <c r="AN24" s="3661"/>
      <c r="AO24" s="3661"/>
      <c r="AP24" s="3655">
        <f t="shared" si="6"/>
        <v>0</v>
      </c>
      <c r="AQ24" s="3661"/>
      <c r="AR24" s="3661"/>
      <c r="AS24" s="3661"/>
      <c r="AT24" s="3661"/>
      <c r="AU24" s="3661"/>
      <c r="AV24" s="3655">
        <f t="shared" si="7"/>
        <v>0</v>
      </c>
      <c r="AW24" s="3661"/>
      <c r="AX24" s="3661"/>
      <c r="AY24" s="3661"/>
      <c r="AZ24" s="3661"/>
      <c r="BA24" s="3661"/>
      <c r="BB24" s="3655">
        <f t="shared" si="8"/>
        <v>0</v>
      </c>
      <c r="BC24" s="3655">
        <f t="shared" si="10"/>
        <v>0</v>
      </c>
      <c r="BD24" s="3655">
        <f t="shared" si="10"/>
        <v>0</v>
      </c>
      <c r="BE24" s="3655">
        <f t="shared" si="10"/>
        <v>0</v>
      </c>
      <c r="BF24" s="3655">
        <f t="shared" si="10"/>
        <v>0</v>
      </c>
      <c r="BG24" s="3655">
        <f t="shared" si="10"/>
        <v>0</v>
      </c>
      <c r="BH24" s="3655">
        <f t="shared" si="9"/>
        <v>0</v>
      </c>
      <c r="BI24" s="3655">
        <f t="shared" si="11"/>
        <v>0</v>
      </c>
      <c r="BJ24" s="3655">
        <f t="shared" si="11"/>
        <v>0</v>
      </c>
      <c r="BK24" s="3655">
        <f t="shared" si="11"/>
        <v>0</v>
      </c>
      <c r="BL24" s="3655">
        <f t="shared" si="11"/>
        <v>0</v>
      </c>
      <c r="BM24" s="3655">
        <f t="shared" si="11"/>
        <v>0</v>
      </c>
    </row>
    <row r="25" spans="4:65" ht="12" customHeight="1">
      <c r="D25" s="3659" t="s">
        <v>4314</v>
      </c>
      <c r="E25" s="3649" t="s">
        <v>4537</v>
      </c>
      <c r="F25" s="3655">
        <f t="shared" si="0"/>
        <v>0</v>
      </c>
      <c r="G25" s="3661"/>
      <c r="H25" s="3661"/>
      <c r="I25" s="3661"/>
      <c r="J25" s="3661"/>
      <c r="K25" s="3661"/>
      <c r="L25" s="3655">
        <f t="shared" si="1"/>
        <v>0</v>
      </c>
      <c r="M25" s="3661"/>
      <c r="N25" s="3661"/>
      <c r="O25" s="3661"/>
      <c r="P25" s="3661"/>
      <c r="Q25" s="3661"/>
      <c r="R25" s="3655">
        <f t="shared" si="2"/>
        <v>0</v>
      </c>
      <c r="S25" s="3661"/>
      <c r="T25" s="3661"/>
      <c r="U25" s="3661"/>
      <c r="V25" s="3661"/>
      <c r="W25" s="3661"/>
      <c r="X25" s="3655">
        <f t="shared" si="3"/>
        <v>0</v>
      </c>
      <c r="Y25" s="3661"/>
      <c r="Z25" s="3661"/>
      <c r="AA25" s="3661"/>
      <c r="AB25" s="3661"/>
      <c r="AC25" s="3661"/>
      <c r="AD25" s="3655">
        <f t="shared" si="4"/>
        <v>0</v>
      </c>
      <c r="AE25" s="3661"/>
      <c r="AF25" s="3661"/>
      <c r="AG25" s="3661"/>
      <c r="AH25" s="3661"/>
      <c r="AI25" s="3661"/>
      <c r="AJ25" s="3655">
        <f t="shared" si="5"/>
        <v>0</v>
      </c>
      <c r="AK25" s="3661"/>
      <c r="AL25" s="3661"/>
      <c r="AM25" s="3661"/>
      <c r="AN25" s="3661"/>
      <c r="AO25" s="3661"/>
      <c r="AP25" s="3655">
        <f t="shared" si="6"/>
        <v>0</v>
      </c>
      <c r="AQ25" s="3661"/>
      <c r="AR25" s="3661"/>
      <c r="AS25" s="3661"/>
      <c r="AT25" s="3661"/>
      <c r="AU25" s="3661"/>
      <c r="AV25" s="3655">
        <f t="shared" si="7"/>
        <v>0</v>
      </c>
      <c r="AW25" s="3661"/>
      <c r="AX25" s="3661"/>
      <c r="AY25" s="3661"/>
      <c r="AZ25" s="3661"/>
      <c r="BA25" s="3661"/>
      <c r="BB25" s="3655">
        <f t="shared" si="8"/>
        <v>0</v>
      </c>
      <c r="BC25" s="3655">
        <f t="shared" si="10"/>
        <v>0</v>
      </c>
      <c r="BD25" s="3655">
        <f t="shared" si="10"/>
        <v>0</v>
      </c>
      <c r="BE25" s="3655">
        <f t="shared" si="10"/>
        <v>0</v>
      </c>
      <c r="BF25" s="3655">
        <f t="shared" si="10"/>
        <v>0</v>
      </c>
      <c r="BG25" s="3655">
        <f t="shared" si="10"/>
        <v>0</v>
      </c>
      <c r="BH25" s="3655">
        <f t="shared" si="9"/>
        <v>0</v>
      </c>
      <c r="BI25" s="3655">
        <f t="shared" si="11"/>
        <v>0</v>
      </c>
      <c r="BJ25" s="3655">
        <f t="shared" si="11"/>
        <v>0</v>
      </c>
      <c r="BK25" s="3655">
        <f t="shared" si="11"/>
        <v>0</v>
      </c>
      <c r="BL25" s="3655">
        <f t="shared" si="11"/>
        <v>0</v>
      </c>
      <c r="BM25" s="3655">
        <f t="shared" si="11"/>
        <v>0</v>
      </c>
    </row>
    <row r="26" spans="4:65" ht="12" customHeight="1">
      <c r="D26" s="3659" t="s">
        <v>4316</v>
      </c>
      <c r="E26" s="3649" t="s">
        <v>4538</v>
      </c>
      <c r="F26" s="3655">
        <f t="shared" si="0"/>
        <v>0</v>
      </c>
      <c r="G26" s="3661"/>
      <c r="H26" s="3661"/>
      <c r="I26" s="3661"/>
      <c r="J26" s="3661"/>
      <c r="K26" s="3661"/>
      <c r="L26" s="3655">
        <f t="shared" si="1"/>
        <v>0</v>
      </c>
      <c r="M26" s="3661"/>
      <c r="N26" s="3661"/>
      <c r="O26" s="3661"/>
      <c r="P26" s="3661"/>
      <c r="Q26" s="3661"/>
      <c r="R26" s="3655">
        <f t="shared" si="2"/>
        <v>0</v>
      </c>
      <c r="S26" s="3661"/>
      <c r="T26" s="3661"/>
      <c r="U26" s="3661"/>
      <c r="V26" s="3661"/>
      <c r="W26" s="3661"/>
      <c r="X26" s="3655">
        <f t="shared" si="3"/>
        <v>0</v>
      </c>
      <c r="Y26" s="3661"/>
      <c r="Z26" s="3661"/>
      <c r="AA26" s="3661"/>
      <c r="AB26" s="3661"/>
      <c r="AC26" s="3661"/>
      <c r="AD26" s="3655">
        <f t="shared" si="4"/>
        <v>0</v>
      </c>
      <c r="AE26" s="3661"/>
      <c r="AF26" s="3661"/>
      <c r="AG26" s="3661"/>
      <c r="AH26" s="3661"/>
      <c r="AI26" s="3661"/>
      <c r="AJ26" s="3655">
        <f t="shared" si="5"/>
        <v>0</v>
      </c>
      <c r="AK26" s="3661"/>
      <c r="AL26" s="3661"/>
      <c r="AM26" s="3661"/>
      <c r="AN26" s="3661"/>
      <c r="AO26" s="3661"/>
      <c r="AP26" s="3655">
        <f t="shared" si="6"/>
        <v>0</v>
      </c>
      <c r="AQ26" s="3661"/>
      <c r="AR26" s="3661"/>
      <c r="AS26" s="3661"/>
      <c r="AT26" s="3661"/>
      <c r="AU26" s="3661"/>
      <c r="AV26" s="3655">
        <f t="shared" si="7"/>
        <v>0</v>
      </c>
      <c r="AW26" s="3661"/>
      <c r="AX26" s="3661"/>
      <c r="AY26" s="3661"/>
      <c r="AZ26" s="3661"/>
      <c r="BA26" s="3661"/>
      <c r="BB26" s="3655">
        <f t="shared" si="8"/>
        <v>0</v>
      </c>
      <c r="BC26" s="3655">
        <f t="shared" si="10"/>
        <v>0</v>
      </c>
      <c r="BD26" s="3655">
        <f t="shared" si="10"/>
        <v>0</v>
      </c>
      <c r="BE26" s="3655">
        <f t="shared" si="10"/>
        <v>0</v>
      </c>
      <c r="BF26" s="3655">
        <f t="shared" si="10"/>
        <v>0</v>
      </c>
      <c r="BG26" s="3655">
        <f t="shared" si="10"/>
        <v>0</v>
      </c>
      <c r="BH26" s="3655">
        <f t="shared" si="9"/>
        <v>0</v>
      </c>
      <c r="BI26" s="3655">
        <f t="shared" si="11"/>
        <v>0</v>
      </c>
      <c r="BJ26" s="3655">
        <f t="shared" si="11"/>
        <v>0</v>
      </c>
      <c r="BK26" s="3655">
        <f t="shared" si="11"/>
        <v>0</v>
      </c>
      <c r="BL26" s="3655">
        <f t="shared" si="11"/>
        <v>0</v>
      </c>
      <c r="BM26" s="3655">
        <f t="shared" si="11"/>
        <v>0</v>
      </c>
    </row>
    <row r="27" spans="4:65" ht="12" customHeight="1">
      <c r="D27" s="3659" t="s">
        <v>4318</v>
      </c>
      <c r="E27" s="3649" t="s">
        <v>4539</v>
      </c>
      <c r="F27" s="3655">
        <f t="shared" si="0"/>
        <v>0</v>
      </c>
      <c r="G27" s="3661"/>
      <c r="H27" s="3661"/>
      <c r="I27" s="3661"/>
      <c r="J27" s="3661"/>
      <c r="K27" s="3661"/>
      <c r="L27" s="3655">
        <f t="shared" si="1"/>
        <v>0</v>
      </c>
      <c r="M27" s="3661"/>
      <c r="N27" s="3661"/>
      <c r="O27" s="3661"/>
      <c r="P27" s="3661"/>
      <c r="Q27" s="3661"/>
      <c r="R27" s="3655">
        <f t="shared" si="2"/>
        <v>0</v>
      </c>
      <c r="S27" s="3661"/>
      <c r="T27" s="3661"/>
      <c r="U27" s="3661"/>
      <c r="V27" s="3661"/>
      <c r="W27" s="3661"/>
      <c r="X27" s="3655">
        <f t="shared" si="3"/>
        <v>0</v>
      </c>
      <c r="Y27" s="3661"/>
      <c r="Z27" s="3661"/>
      <c r="AA27" s="3661"/>
      <c r="AB27" s="3661"/>
      <c r="AC27" s="3661"/>
      <c r="AD27" s="3655">
        <f t="shared" si="4"/>
        <v>0</v>
      </c>
      <c r="AE27" s="3661"/>
      <c r="AF27" s="3661"/>
      <c r="AG27" s="3661"/>
      <c r="AH27" s="3661"/>
      <c r="AI27" s="3661"/>
      <c r="AJ27" s="3655">
        <f t="shared" si="5"/>
        <v>0</v>
      </c>
      <c r="AK27" s="3661"/>
      <c r="AL27" s="3661"/>
      <c r="AM27" s="3661"/>
      <c r="AN27" s="3661"/>
      <c r="AO27" s="3661"/>
      <c r="AP27" s="3655">
        <f t="shared" si="6"/>
        <v>0</v>
      </c>
      <c r="AQ27" s="3661"/>
      <c r="AR27" s="3661"/>
      <c r="AS27" s="3661"/>
      <c r="AT27" s="3661"/>
      <c r="AU27" s="3661"/>
      <c r="AV27" s="3655">
        <f t="shared" si="7"/>
        <v>0</v>
      </c>
      <c r="AW27" s="3661"/>
      <c r="AX27" s="3661"/>
      <c r="AY27" s="3661"/>
      <c r="AZ27" s="3661"/>
      <c r="BA27" s="3661"/>
      <c r="BB27" s="3655">
        <f t="shared" si="8"/>
        <v>0</v>
      </c>
      <c r="BC27" s="3655">
        <f t="shared" si="10"/>
        <v>0</v>
      </c>
      <c r="BD27" s="3655">
        <f t="shared" si="10"/>
        <v>0</v>
      </c>
      <c r="BE27" s="3655">
        <f t="shared" si="10"/>
        <v>0</v>
      </c>
      <c r="BF27" s="3655">
        <f t="shared" si="10"/>
        <v>0</v>
      </c>
      <c r="BG27" s="3655">
        <f t="shared" si="10"/>
        <v>0</v>
      </c>
      <c r="BH27" s="3655">
        <f t="shared" si="9"/>
        <v>0</v>
      </c>
      <c r="BI27" s="3655">
        <f t="shared" si="11"/>
        <v>0</v>
      </c>
      <c r="BJ27" s="3655">
        <f t="shared" si="11"/>
        <v>0</v>
      </c>
      <c r="BK27" s="3655">
        <f t="shared" si="11"/>
        <v>0</v>
      </c>
      <c r="BL27" s="3655">
        <f t="shared" si="11"/>
        <v>0</v>
      </c>
      <c r="BM27" s="3655">
        <f t="shared" si="11"/>
        <v>0</v>
      </c>
    </row>
    <row r="28" spans="4:65" ht="12" customHeight="1">
      <c r="D28" s="3659" t="s">
        <v>4320</v>
      </c>
      <c r="E28" s="3649" t="s">
        <v>4540</v>
      </c>
      <c r="F28" s="3655">
        <f t="shared" si="0"/>
        <v>0</v>
      </c>
      <c r="G28" s="3661"/>
      <c r="H28" s="3661"/>
      <c r="I28" s="3661"/>
      <c r="J28" s="3661"/>
      <c r="K28" s="3661"/>
      <c r="L28" s="3655">
        <f t="shared" si="1"/>
        <v>0</v>
      </c>
      <c r="M28" s="3661"/>
      <c r="N28" s="3661"/>
      <c r="O28" s="3661"/>
      <c r="P28" s="3661"/>
      <c r="Q28" s="3661"/>
      <c r="R28" s="3655">
        <f t="shared" si="2"/>
        <v>0</v>
      </c>
      <c r="S28" s="3661"/>
      <c r="T28" s="3661"/>
      <c r="U28" s="3661"/>
      <c r="V28" s="3661"/>
      <c r="W28" s="3661"/>
      <c r="X28" s="3655">
        <f t="shared" si="3"/>
        <v>0</v>
      </c>
      <c r="Y28" s="3661"/>
      <c r="Z28" s="3661"/>
      <c r="AA28" s="3661"/>
      <c r="AB28" s="3661"/>
      <c r="AC28" s="3661"/>
      <c r="AD28" s="3655">
        <f t="shared" si="4"/>
        <v>0</v>
      </c>
      <c r="AE28" s="3661"/>
      <c r="AF28" s="3661"/>
      <c r="AG28" s="3661"/>
      <c r="AH28" s="3661"/>
      <c r="AI28" s="3661"/>
      <c r="AJ28" s="3655">
        <f t="shared" si="5"/>
        <v>0</v>
      </c>
      <c r="AK28" s="3661"/>
      <c r="AL28" s="3661"/>
      <c r="AM28" s="3661"/>
      <c r="AN28" s="3661"/>
      <c r="AO28" s="3661"/>
      <c r="AP28" s="3655">
        <f t="shared" si="6"/>
        <v>0</v>
      </c>
      <c r="AQ28" s="3661"/>
      <c r="AR28" s="3661"/>
      <c r="AS28" s="3661"/>
      <c r="AT28" s="3661"/>
      <c r="AU28" s="3661"/>
      <c r="AV28" s="3655">
        <f t="shared" si="7"/>
        <v>0</v>
      </c>
      <c r="AW28" s="3661"/>
      <c r="AX28" s="3661"/>
      <c r="AY28" s="3661"/>
      <c r="AZ28" s="3661"/>
      <c r="BA28" s="3661"/>
      <c r="BB28" s="3655">
        <f t="shared" si="8"/>
        <v>0</v>
      </c>
      <c r="BC28" s="3655">
        <f t="shared" si="10"/>
        <v>0</v>
      </c>
      <c r="BD28" s="3655">
        <f t="shared" si="10"/>
        <v>0</v>
      </c>
      <c r="BE28" s="3655">
        <f t="shared" si="10"/>
        <v>0</v>
      </c>
      <c r="BF28" s="3655">
        <f t="shared" si="10"/>
        <v>0</v>
      </c>
      <c r="BG28" s="3655">
        <f t="shared" si="10"/>
        <v>0</v>
      </c>
      <c r="BH28" s="3655">
        <f t="shared" si="9"/>
        <v>0</v>
      </c>
      <c r="BI28" s="3655">
        <f t="shared" si="11"/>
        <v>0</v>
      </c>
      <c r="BJ28" s="3655">
        <f t="shared" si="11"/>
        <v>0</v>
      </c>
      <c r="BK28" s="3655">
        <f t="shared" si="11"/>
        <v>0</v>
      </c>
      <c r="BL28" s="3655">
        <f t="shared" si="11"/>
        <v>0</v>
      </c>
      <c r="BM28" s="3655">
        <f t="shared" si="11"/>
        <v>0</v>
      </c>
    </row>
    <row r="29" spans="4:65" ht="12" customHeight="1">
      <c r="D29" s="3662" t="s">
        <v>516</v>
      </c>
      <c r="E29" s="3649" t="s">
        <v>1688</v>
      </c>
      <c r="F29" s="3655">
        <f t="shared" si="0"/>
        <v>0</v>
      </c>
      <c r="G29" s="3661"/>
      <c r="H29" s="3661"/>
      <c r="I29" s="3661"/>
      <c r="J29" s="3661"/>
      <c r="K29" s="3661"/>
      <c r="L29" s="3655">
        <f t="shared" si="1"/>
        <v>0</v>
      </c>
      <c r="M29" s="3661"/>
      <c r="N29" s="3661"/>
      <c r="O29" s="3661"/>
      <c r="P29" s="3661"/>
      <c r="Q29" s="3661"/>
      <c r="R29" s="3655">
        <f t="shared" si="2"/>
        <v>0</v>
      </c>
      <c r="S29" s="3661"/>
      <c r="T29" s="3661"/>
      <c r="U29" s="3661"/>
      <c r="V29" s="3661"/>
      <c r="W29" s="3661"/>
      <c r="X29" s="3655">
        <f t="shared" si="3"/>
        <v>0</v>
      </c>
      <c r="Y29" s="3661"/>
      <c r="Z29" s="3661"/>
      <c r="AA29" s="3661"/>
      <c r="AB29" s="3661"/>
      <c r="AC29" s="3661"/>
      <c r="AD29" s="3655">
        <f t="shared" si="4"/>
        <v>0</v>
      </c>
      <c r="AE29" s="3661"/>
      <c r="AF29" s="3661"/>
      <c r="AG29" s="3661"/>
      <c r="AH29" s="3661"/>
      <c r="AI29" s="3661"/>
      <c r="AJ29" s="3655">
        <f t="shared" si="5"/>
        <v>0</v>
      </c>
      <c r="AK29" s="3661"/>
      <c r="AL29" s="3661"/>
      <c r="AM29" s="3661"/>
      <c r="AN29" s="3661"/>
      <c r="AO29" s="3661"/>
      <c r="AP29" s="3655">
        <f t="shared" si="6"/>
        <v>0</v>
      </c>
      <c r="AQ29" s="3661"/>
      <c r="AR29" s="3661"/>
      <c r="AS29" s="3661"/>
      <c r="AT29" s="3661"/>
      <c r="AU29" s="3661"/>
      <c r="AV29" s="3655">
        <f t="shared" si="7"/>
        <v>0</v>
      </c>
      <c r="AW29" s="3661"/>
      <c r="AX29" s="3661"/>
      <c r="AY29" s="3661"/>
      <c r="AZ29" s="3661"/>
      <c r="BA29" s="3661"/>
      <c r="BB29" s="3655">
        <f t="shared" si="8"/>
        <v>0</v>
      </c>
      <c r="BC29" s="3655">
        <f t="shared" si="10"/>
        <v>0</v>
      </c>
      <c r="BD29" s="3655">
        <f t="shared" si="10"/>
        <v>0</v>
      </c>
      <c r="BE29" s="3655">
        <f t="shared" si="10"/>
        <v>0</v>
      </c>
      <c r="BF29" s="3655">
        <f t="shared" si="10"/>
        <v>0</v>
      </c>
      <c r="BG29" s="3655">
        <f t="shared" si="10"/>
        <v>0</v>
      </c>
      <c r="BH29" s="3655">
        <f t="shared" si="9"/>
        <v>0</v>
      </c>
      <c r="BI29" s="3655">
        <f t="shared" si="11"/>
        <v>0</v>
      </c>
      <c r="BJ29" s="3655">
        <f t="shared" si="11"/>
        <v>0</v>
      </c>
      <c r="BK29" s="3655">
        <f t="shared" si="11"/>
        <v>0</v>
      </c>
      <c r="BL29" s="3655">
        <f t="shared" si="11"/>
        <v>0</v>
      </c>
      <c r="BM29" s="3655">
        <f t="shared" si="11"/>
        <v>0</v>
      </c>
    </row>
    <row r="30" spans="4:65" ht="12" customHeight="1">
      <c r="D30" s="3662" t="s">
        <v>517</v>
      </c>
      <c r="E30" s="3649" t="s">
        <v>4541</v>
      </c>
      <c r="F30" s="3655">
        <f t="shared" si="0"/>
        <v>0</v>
      </c>
      <c r="G30" s="3661"/>
      <c r="H30" s="3661"/>
      <c r="I30" s="3661"/>
      <c r="J30" s="3661"/>
      <c r="K30" s="3661"/>
      <c r="L30" s="3655">
        <f t="shared" si="1"/>
        <v>0</v>
      </c>
      <c r="M30" s="3661"/>
      <c r="N30" s="3661"/>
      <c r="O30" s="3661"/>
      <c r="P30" s="3661"/>
      <c r="Q30" s="3661"/>
      <c r="R30" s="3655">
        <f t="shared" si="2"/>
        <v>0</v>
      </c>
      <c r="S30" s="3661"/>
      <c r="T30" s="3661"/>
      <c r="U30" s="3661"/>
      <c r="V30" s="3661"/>
      <c r="W30" s="3661"/>
      <c r="X30" s="3655">
        <f t="shared" si="3"/>
        <v>0</v>
      </c>
      <c r="Y30" s="3661"/>
      <c r="Z30" s="3661"/>
      <c r="AA30" s="3661"/>
      <c r="AB30" s="3661"/>
      <c r="AC30" s="3661"/>
      <c r="AD30" s="3655">
        <f t="shared" si="4"/>
        <v>0</v>
      </c>
      <c r="AE30" s="3661"/>
      <c r="AF30" s="3661"/>
      <c r="AG30" s="3661"/>
      <c r="AH30" s="3661"/>
      <c r="AI30" s="3661"/>
      <c r="AJ30" s="3655">
        <f t="shared" si="5"/>
        <v>0</v>
      </c>
      <c r="AK30" s="3661"/>
      <c r="AL30" s="3661"/>
      <c r="AM30" s="3661"/>
      <c r="AN30" s="3661"/>
      <c r="AO30" s="3661"/>
      <c r="AP30" s="3655">
        <f t="shared" si="6"/>
        <v>0</v>
      </c>
      <c r="AQ30" s="3661"/>
      <c r="AR30" s="3661"/>
      <c r="AS30" s="3661"/>
      <c r="AT30" s="3661"/>
      <c r="AU30" s="3661"/>
      <c r="AV30" s="3655">
        <f t="shared" si="7"/>
        <v>0</v>
      </c>
      <c r="AW30" s="3661"/>
      <c r="AX30" s="3661"/>
      <c r="AY30" s="3661"/>
      <c r="AZ30" s="3661"/>
      <c r="BA30" s="3661"/>
      <c r="BB30" s="3655">
        <f t="shared" si="8"/>
        <v>0</v>
      </c>
      <c r="BC30" s="3655">
        <f t="shared" si="10"/>
        <v>0</v>
      </c>
      <c r="BD30" s="3655">
        <f t="shared" si="10"/>
        <v>0</v>
      </c>
      <c r="BE30" s="3655">
        <f t="shared" si="10"/>
        <v>0</v>
      </c>
      <c r="BF30" s="3655">
        <f t="shared" si="10"/>
        <v>0</v>
      </c>
      <c r="BG30" s="3655">
        <f t="shared" si="10"/>
        <v>0</v>
      </c>
      <c r="BH30" s="3655">
        <f t="shared" si="9"/>
        <v>0</v>
      </c>
      <c r="BI30" s="3655">
        <f t="shared" si="11"/>
        <v>0</v>
      </c>
      <c r="BJ30" s="3655">
        <f t="shared" si="11"/>
        <v>0</v>
      </c>
      <c r="BK30" s="3655">
        <f t="shared" si="11"/>
        <v>0</v>
      </c>
      <c r="BL30" s="3655">
        <f t="shared" si="11"/>
        <v>0</v>
      </c>
      <c r="BM30" s="3655">
        <f t="shared" si="11"/>
        <v>0</v>
      </c>
    </row>
    <row r="31" spans="4:65" ht="12" customHeight="1">
      <c r="D31" s="3662" t="s">
        <v>518</v>
      </c>
      <c r="E31" s="3649" t="s">
        <v>4542</v>
      </c>
      <c r="F31" s="3655">
        <f t="shared" si="0"/>
        <v>0</v>
      </c>
      <c r="G31" s="3661"/>
      <c r="H31" s="3661"/>
      <c r="I31" s="3661"/>
      <c r="J31" s="3661"/>
      <c r="K31" s="3661"/>
      <c r="L31" s="3655">
        <f t="shared" si="1"/>
        <v>0</v>
      </c>
      <c r="M31" s="3661"/>
      <c r="N31" s="3661"/>
      <c r="O31" s="3661"/>
      <c r="P31" s="3661"/>
      <c r="Q31" s="3661"/>
      <c r="R31" s="3655">
        <f t="shared" si="2"/>
        <v>0</v>
      </c>
      <c r="S31" s="3661"/>
      <c r="T31" s="3661"/>
      <c r="U31" s="3661"/>
      <c r="V31" s="3661"/>
      <c r="W31" s="3661"/>
      <c r="X31" s="3655">
        <f t="shared" si="3"/>
        <v>0</v>
      </c>
      <c r="Y31" s="3661"/>
      <c r="Z31" s="3661"/>
      <c r="AA31" s="3661"/>
      <c r="AB31" s="3661"/>
      <c r="AC31" s="3661"/>
      <c r="AD31" s="3655">
        <f t="shared" si="4"/>
        <v>0</v>
      </c>
      <c r="AE31" s="3661"/>
      <c r="AF31" s="3661"/>
      <c r="AG31" s="3661"/>
      <c r="AH31" s="3661"/>
      <c r="AI31" s="3661"/>
      <c r="AJ31" s="3655">
        <f t="shared" si="5"/>
        <v>0</v>
      </c>
      <c r="AK31" s="3661"/>
      <c r="AL31" s="3661"/>
      <c r="AM31" s="3661"/>
      <c r="AN31" s="3661"/>
      <c r="AO31" s="3661"/>
      <c r="AP31" s="3655">
        <f t="shared" si="6"/>
        <v>0</v>
      </c>
      <c r="AQ31" s="3661"/>
      <c r="AR31" s="3661"/>
      <c r="AS31" s="3661"/>
      <c r="AT31" s="3661"/>
      <c r="AU31" s="3661"/>
      <c r="AV31" s="3655">
        <f t="shared" si="7"/>
        <v>0</v>
      </c>
      <c r="AW31" s="3661"/>
      <c r="AX31" s="3661"/>
      <c r="AY31" s="3661"/>
      <c r="AZ31" s="3661"/>
      <c r="BA31" s="3661"/>
      <c r="BB31" s="3655">
        <f t="shared" si="8"/>
        <v>0</v>
      </c>
      <c r="BC31" s="3655">
        <f t="shared" si="10"/>
        <v>0</v>
      </c>
      <c r="BD31" s="3655">
        <f t="shared" si="10"/>
        <v>0</v>
      </c>
      <c r="BE31" s="3655">
        <f t="shared" si="10"/>
        <v>0</v>
      </c>
      <c r="BF31" s="3655">
        <f t="shared" si="10"/>
        <v>0</v>
      </c>
      <c r="BG31" s="3655">
        <f t="shared" si="10"/>
        <v>0</v>
      </c>
      <c r="BH31" s="3655">
        <f t="shared" si="9"/>
        <v>0</v>
      </c>
      <c r="BI31" s="3655">
        <f t="shared" si="11"/>
        <v>0</v>
      </c>
      <c r="BJ31" s="3655">
        <f t="shared" si="11"/>
        <v>0</v>
      </c>
      <c r="BK31" s="3655">
        <f t="shared" si="11"/>
        <v>0</v>
      </c>
      <c r="BL31" s="3655">
        <f t="shared" si="11"/>
        <v>0</v>
      </c>
      <c r="BM31" s="3655">
        <f t="shared" si="11"/>
        <v>0</v>
      </c>
    </row>
    <row r="32" spans="4:65" ht="12" customHeight="1">
      <c r="D32" s="3662" t="s">
        <v>519</v>
      </c>
      <c r="E32" s="3649" t="s">
        <v>4543</v>
      </c>
      <c r="F32" s="3655">
        <f t="shared" si="0"/>
        <v>0</v>
      </c>
      <c r="G32" s="3661"/>
      <c r="H32" s="3661"/>
      <c r="I32" s="3661"/>
      <c r="J32" s="3661"/>
      <c r="K32" s="3661"/>
      <c r="L32" s="3655">
        <f t="shared" si="1"/>
        <v>0</v>
      </c>
      <c r="M32" s="3661"/>
      <c r="N32" s="3661"/>
      <c r="O32" s="3661"/>
      <c r="P32" s="3661"/>
      <c r="Q32" s="3661"/>
      <c r="R32" s="3655">
        <f t="shared" si="2"/>
        <v>0</v>
      </c>
      <c r="S32" s="3661"/>
      <c r="T32" s="3661"/>
      <c r="U32" s="3661"/>
      <c r="V32" s="3661"/>
      <c r="W32" s="3661"/>
      <c r="X32" s="3655">
        <f t="shared" si="3"/>
        <v>0</v>
      </c>
      <c r="Y32" s="3661"/>
      <c r="Z32" s="3661"/>
      <c r="AA32" s="3661"/>
      <c r="AB32" s="3661"/>
      <c r="AC32" s="3661"/>
      <c r="AD32" s="3655">
        <f t="shared" si="4"/>
        <v>0</v>
      </c>
      <c r="AE32" s="3661"/>
      <c r="AF32" s="3661"/>
      <c r="AG32" s="3661"/>
      <c r="AH32" s="3661"/>
      <c r="AI32" s="3661"/>
      <c r="AJ32" s="3655">
        <f t="shared" si="5"/>
        <v>0</v>
      </c>
      <c r="AK32" s="3661"/>
      <c r="AL32" s="3661"/>
      <c r="AM32" s="3661"/>
      <c r="AN32" s="3661"/>
      <c r="AO32" s="3661"/>
      <c r="AP32" s="3655">
        <f t="shared" si="6"/>
        <v>0</v>
      </c>
      <c r="AQ32" s="3661"/>
      <c r="AR32" s="3661"/>
      <c r="AS32" s="3661"/>
      <c r="AT32" s="3661"/>
      <c r="AU32" s="3661"/>
      <c r="AV32" s="3655">
        <f t="shared" si="7"/>
        <v>0</v>
      </c>
      <c r="AW32" s="3661"/>
      <c r="AX32" s="3661"/>
      <c r="AY32" s="3661"/>
      <c r="AZ32" s="3661"/>
      <c r="BA32" s="3661"/>
      <c r="BB32" s="3655">
        <f t="shared" si="8"/>
        <v>0</v>
      </c>
      <c r="BC32" s="3655">
        <f t="shared" si="10"/>
        <v>0</v>
      </c>
      <c r="BD32" s="3655">
        <f t="shared" si="10"/>
        <v>0</v>
      </c>
      <c r="BE32" s="3655">
        <f t="shared" si="10"/>
        <v>0</v>
      </c>
      <c r="BF32" s="3655">
        <f t="shared" si="10"/>
        <v>0</v>
      </c>
      <c r="BG32" s="3655">
        <f t="shared" si="10"/>
        <v>0</v>
      </c>
      <c r="BH32" s="3655">
        <f t="shared" si="9"/>
        <v>0</v>
      </c>
      <c r="BI32" s="3655">
        <f t="shared" si="11"/>
        <v>0</v>
      </c>
      <c r="BJ32" s="3655">
        <f t="shared" si="11"/>
        <v>0</v>
      </c>
      <c r="BK32" s="3655">
        <f t="shared" si="11"/>
        <v>0</v>
      </c>
      <c r="BL32" s="3655">
        <f t="shared" si="11"/>
        <v>0</v>
      </c>
      <c r="BM32" s="3655">
        <f t="shared" si="11"/>
        <v>0</v>
      </c>
    </row>
    <row r="33" spans="4:65" ht="12" customHeight="1">
      <c r="D33" s="3662" t="s">
        <v>520</v>
      </c>
      <c r="E33" s="3649" t="s">
        <v>4544</v>
      </c>
      <c r="F33" s="3655">
        <f t="shared" si="0"/>
        <v>0</v>
      </c>
      <c r="G33" s="3661"/>
      <c r="H33" s="3661"/>
      <c r="I33" s="3661"/>
      <c r="J33" s="3661"/>
      <c r="K33" s="3661"/>
      <c r="L33" s="3655">
        <f t="shared" si="1"/>
        <v>0</v>
      </c>
      <c r="M33" s="3661"/>
      <c r="N33" s="3661"/>
      <c r="O33" s="3661"/>
      <c r="P33" s="3661"/>
      <c r="Q33" s="3661"/>
      <c r="R33" s="3655">
        <f t="shared" si="2"/>
        <v>0</v>
      </c>
      <c r="S33" s="3661"/>
      <c r="T33" s="3661"/>
      <c r="U33" s="3661"/>
      <c r="V33" s="3661"/>
      <c r="W33" s="3661"/>
      <c r="X33" s="3655">
        <f t="shared" si="3"/>
        <v>0</v>
      </c>
      <c r="Y33" s="3661"/>
      <c r="Z33" s="3661"/>
      <c r="AA33" s="3661"/>
      <c r="AB33" s="3661"/>
      <c r="AC33" s="3661"/>
      <c r="AD33" s="3655">
        <f t="shared" si="4"/>
        <v>0</v>
      </c>
      <c r="AE33" s="3661"/>
      <c r="AF33" s="3661"/>
      <c r="AG33" s="3661"/>
      <c r="AH33" s="3661"/>
      <c r="AI33" s="3661"/>
      <c r="AJ33" s="3655">
        <f t="shared" si="5"/>
        <v>0</v>
      </c>
      <c r="AK33" s="3661"/>
      <c r="AL33" s="3661"/>
      <c r="AM33" s="3661"/>
      <c r="AN33" s="3661"/>
      <c r="AO33" s="3661"/>
      <c r="AP33" s="3655">
        <f t="shared" si="6"/>
        <v>0</v>
      </c>
      <c r="AQ33" s="3661"/>
      <c r="AR33" s="3661"/>
      <c r="AS33" s="3661"/>
      <c r="AT33" s="3661"/>
      <c r="AU33" s="3661"/>
      <c r="AV33" s="3655">
        <f t="shared" si="7"/>
        <v>0</v>
      </c>
      <c r="AW33" s="3661"/>
      <c r="AX33" s="3661"/>
      <c r="AY33" s="3661"/>
      <c r="AZ33" s="3661"/>
      <c r="BA33" s="3661"/>
      <c r="BB33" s="3655">
        <f t="shared" si="8"/>
        <v>0</v>
      </c>
      <c r="BC33" s="3655">
        <f t="shared" si="10"/>
        <v>0</v>
      </c>
      <c r="BD33" s="3655">
        <f t="shared" si="10"/>
        <v>0</v>
      </c>
      <c r="BE33" s="3655">
        <f t="shared" si="10"/>
        <v>0</v>
      </c>
      <c r="BF33" s="3655">
        <f t="shared" si="10"/>
        <v>0</v>
      </c>
      <c r="BG33" s="3655">
        <f t="shared" si="10"/>
        <v>0</v>
      </c>
      <c r="BH33" s="3655">
        <f t="shared" si="9"/>
        <v>0</v>
      </c>
      <c r="BI33" s="3655">
        <f t="shared" si="11"/>
        <v>0</v>
      </c>
      <c r="BJ33" s="3655">
        <f t="shared" si="11"/>
        <v>0</v>
      </c>
      <c r="BK33" s="3655">
        <f t="shared" si="11"/>
        <v>0</v>
      </c>
      <c r="BL33" s="3655">
        <f t="shared" si="11"/>
        <v>0</v>
      </c>
      <c r="BM33" s="3655">
        <f t="shared" si="11"/>
        <v>0</v>
      </c>
    </row>
    <row r="34" spans="4:65" ht="12" customHeight="1">
      <c r="D34" s="3662" t="s">
        <v>521</v>
      </c>
      <c r="E34" s="3649" t="s">
        <v>4545</v>
      </c>
      <c r="F34" s="3655">
        <f t="shared" si="0"/>
        <v>0</v>
      </c>
      <c r="G34" s="3661"/>
      <c r="H34" s="3661"/>
      <c r="I34" s="3661"/>
      <c r="J34" s="3661"/>
      <c r="K34" s="3661"/>
      <c r="L34" s="3655">
        <f t="shared" si="1"/>
        <v>0</v>
      </c>
      <c r="M34" s="3661"/>
      <c r="N34" s="3661"/>
      <c r="O34" s="3661"/>
      <c r="P34" s="3661"/>
      <c r="Q34" s="3661"/>
      <c r="R34" s="3655">
        <f t="shared" si="2"/>
        <v>0</v>
      </c>
      <c r="S34" s="3661"/>
      <c r="T34" s="3661"/>
      <c r="U34" s="3661"/>
      <c r="V34" s="3661"/>
      <c r="W34" s="3661"/>
      <c r="X34" s="3655">
        <f t="shared" si="3"/>
        <v>0</v>
      </c>
      <c r="Y34" s="3661"/>
      <c r="Z34" s="3661"/>
      <c r="AA34" s="3661"/>
      <c r="AB34" s="3661"/>
      <c r="AC34" s="3661"/>
      <c r="AD34" s="3655">
        <f t="shared" si="4"/>
        <v>0</v>
      </c>
      <c r="AE34" s="3661"/>
      <c r="AF34" s="3661"/>
      <c r="AG34" s="3661"/>
      <c r="AH34" s="3661"/>
      <c r="AI34" s="3661"/>
      <c r="AJ34" s="3655">
        <f t="shared" si="5"/>
        <v>0</v>
      </c>
      <c r="AK34" s="3661"/>
      <c r="AL34" s="3661"/>
      <c r="AM34" s="3661"/>
      <c r="AN34" s="3661"/>
      <c r="AO34" s="3661"/>
      <c r="AP34" s="3655">
        <f t="shared" si="6"/>
        <v>0</v>
      </c>
      <c r="AQ34" s="3661"/>
      <c r="AR34" s="3661"/>
      <c r="AS34" s="3661"/>
      <c r="AT34" s="3661"/>
      <c r="AU34" s="3661"/>
      <c r="AV34" s="3655">
        <f t="shared" si="7"/>
        <v>0</v>
      </c>
      <c r="AW34" s="3661"/>
      <c r="AX34" s="3661"/>
      <c r="AY34" s="3661"/>
      <c r="AZ34" s="3661"/>
      <c r="BA34" s="3661"/>
      <c r="BB34" s="3655">
        <f t="shared" si="8"/>
        <v>0</v>
      </c>
      <c r="BC34" s="3655">
        <f t="shared" si="10"/>
        <v>0</v>
      </c>
      <c r="BD34" s="3655">
        <f t="shared" si="10"/>
        <v>0</v>
      </c>
      <c r="BE34" s="3655">
        <f t="shared" si="10"/>
        <v>0</v>
      </c>
      <c r="BF34" s="3655">
        <f t="shared" si="10"/>
        <v>0</v>
      </c>
      <c r="BG34" s="3655">
        <f t="shared" si="10"/>
        <v>0</v>
      </c>
      <c r="BH34" s="3655">
        <f t="shared" si="9"/>
        <v>0</v>
      </c>
      <c r="BI34" s="3655">
        <f t="shared" si="11"/>
        <v>0</v>
      </c>
      <c r="BJ34" s="3655">
        <f t="shared" si="11"/>
        <v>0</v>
      </c>
      <c r="BK34" s="3655">
        <f t="shared" si="11"/>
        <v>0</v>
      </c>
      <c r="BL34" s="3655">
        <f t="shared" si="11"/>
        <v>0</v>
      </c>
      <c r="BM34" s="3655">
        <f t="shared" si="11"/>
        <v>0</v>
      </c>
    </row>
    <row r="35" spans="4:65" ht="12" customHeight="1">
      <c r="D35" s="3662" t="s">
        <v>4060</v>
      </c>
      <c r="E35" s="3649" t="s">
        <v>4546</v>
      </c>
      <c r="F35" s="3655">
        <f t="shared" si="0"/>
        <v>0</v>
      </c>
      <c r="G35" s="3661"/>
      <c r="H35" s="3661"/>
      <c r="I35" s="3661"/>
      <c r="J35" s="3661"/>
      <c r="K35" s="3661"/>
      <c r="L35" s="3655">
        <f t="shared" si="1"/>
        <v>0</v>
      </c>
      <c r="M35" s="3661"/>
      <c r="N35" s="3661"/>
      <c r="O35" s="3661"/>
      <c r="P35" s="3661"/>
      <c r="Q35" s="3661"/>
      <c r="R35" s="3655">
        <f t="shared" si="2"/>
        <v>0</v>
      </c>
      <c r="S35" s="3661"/>
      <c r="T35" s="3661"/>
      <c r="U35" s="3661"/>
      <c r="V35" s="3661"/>
      <c r="W35" s="3661"/>
      <c r="X35" s="3655">
        <f t="shared" si="3"/>
        <v>0</v>
      </c>
      <c r="Y35" s="3661"/>
      <c r="Z35" s="3661"/>
      <c r="AA35" s="3661"/>
      <c r="AB35" s="3661"/>
      <c r="AC35" s="3661"/>
      <c r="AD35" s="3655">
        <f t="shared" si="4"/>
        <v>0</v>
      </c>
      <c r="AE35" s="3661"/>
      <c r="AF35" s="3661"/>
      <c r="AG35" s="3661"/>
      <c r="AH35" s="3661"/>
      <c r="AI35" s="3661"/>
      <c r="AJ35" s="3655">
        <f t="shared" si="5"/>
        <v>0</v>
      </c>
      <c r="AK35" s="3661"/>
      <c r="AL35" s="3661"/>
      <c r="AM35" s="3661"/>
      <c r="AN35" s="3661"/>
      <c r="AO35" s="3661"/>
      <c r="AP35" s="3655">
        <f t="shared" si="6"/>
        <v>0</v>
      </c>
      <c r="AQ35" s="3661"/>
      <c r="AR35" s="3661"/>
      <c r="AS35" s="3661"/>
      <c r="AT35" s="3661"/>
      <c r="AU35" s="3661"/>
      <c r="AV35" s="3655">
        <f t="shared" si="7"/>
        <v>0</v>
      </c>
      <c r="AW35" s="3661"/>
      <c r="AX35" s="3661"/>
      <c r="AY35" s="3661"/>
      <c r="AZ35" s="3661"/>
      <c r="BA35" s="3661"/>
      <c r="BB35" s="3655">
        <f t="shared" si="8"/>
        <v>0</v>
      </c>
      <c r="BC35" s="3655">
        <f t="shared" si="10"/>
        <v>0</v>
      </c>
      <c r="BD35" s="3655">
        <f t="shared" si="10"/>
        <v>0</v>
      </c>
      <c r="BE35" s="3655">
        <f t="shared" si="10"/>
        <v>0</v>
      </c>
      <c r="BF35" s="3655">
        <f t="shared" si="10"/>
        <v>0</v>
      </c>
      <c r="BG35" s="3655">
        <f t="shared" si="10"/>
        <v>0</v>
      </c>
      <c r="BH35" s="3655">
        <f t="shared" si="9"/>
        <v>0</v>
      </c>
      <c r="BI35" s="3655">
        <f t="shared" si="11"/>
        <v>0</v>
      </c>
      <c r="BJ35" s="3655">
        <f t="shared" si="11"/>
        <v>0</v>
      </c>
      <c r="BK35" s="3655">
        <f t="shared" si="11"/>
        <v>0</v>
      </c>
      <c r="BL35" s="3655">
        <f t="shared" si="11"/>
        <v>0</v>
      </c>
      <c r="BM35" s="3655">
        <f t="shared" si="11"/>
        <v>0</v>
      </c>
    </row>
    <row r="36" spans="4:65" ht="10.5" hidden="1" customHeight="1">
      <c r="D36" s="3663"/>
      <c r="E36" s="3663"/>
      <c r="F36" s="3663"/>
      <c r="G36" s="3663"/>
      <c r="H36" s="3663"/>
      <c r="I36" s="3663"/>
      <c r="J36" s="3663"/>
      <c r="K36" s="3663"/>
      <c r="L36" s="3663"/>
      <c r="M36" s="3663"/>
      <c r="N36" s="3663"/>
      <c r="O36" s="3663"/>
      <c r="P36" s="3663"/>
      <c r="Q36" s="3663"/>
      <c r="R36" s="3663"/>
      <c r="S36" s="3663"/>
      <c r="T36" s="3663"/>
      <c r="U36" s="3663"/>
      <c r="V36" s="3663"/>
      <c r="W36" s="3663"/>
      <c r="X36" s="3663"/>
      <c r="Y36" s="3663"/>
      <c r="Z36" s="3663"/>
      <c r="AA36" s="3663"/>
      <c r="AB36" s="3663"/>
      <c r="AC36" s="3663"/>
      <c r="AD36" s="3663"/>
      <c r="AE36" s="3663"/>
      <c r="AF36" s="3663"/>
      <c r="AG36" s="3663"/>
      <c r="AH36" s="3663"/>
      <c r="AI36" s="3663"/>
      <c r="AJ36" s="3663"/>
      <c r="AK36" s="3663"/>
      <c r="AL36" s="3663"/>
      <c r="AM36" s="3663"/>
      <c r="AN36" s="3663"/>
      <c r="AO36" s="3663"/>
      <c r="AP36" s="3663"/>
      <c r="AQ36" s="3663"/>
      <c r="AR36" s="3663"/>
      <c r="AS36" s="3663"/>
      <c r="AT36" s="3663"/>
      <c r="AU36" s="3663"/>
      <c r="AV36" s="3663"/>
      <c r="AW36" s="3663"/>
      <c r="AX36" s="3663"/>
      <c r="AY36" s="3663"/>
      <c r="AZ36" s="3663"/>
      <c r="BA36" s="3663"/>
      <c r="BB36" s="3663"/>
      <c r="BC36" s="3663"/>
      <c r="BD36" s="3663"/>
      <c r="BE36" s="3663"/>
      <c r="BF36" s="3663"/>
      <c r="BG36" s="3663"/>
      <c r="BH36" s="3663"/>
      <c r="BI36" s="3663"/>
      <c r="BJ36" s="3663"/>
      <c r="BK36" s="3663"/>
      <c r="BL36" s="3663"/>
      <c r="BM36" s="3663"/>
    </row>
    <row r="37" spans="4:65" ht="10.5" hidden="1" customHeight="1">
      <c r="D37" s="3663"/>
      <c r="E37" s="3663"/>
      <c r="F37" s="3663"/>
      <c r="G37" s="3663"/>
      <c r="H37" s="3663"/>
      <c r="I37" s="3663"/>
      <c r="J37" s="3663"/>
      <c r="K37" s="3663"/>
      <c r="L37" s="3663"/>
      <c r="M37" s="3663"/>
      <c r="N37" s="3663"/>
      <c r="O37" s="3663"/>
      <c r="P37" s="3663"/>
      <c r="Q37" s="3663"/>
      <c r="R37" s="3663"/>
      <c r="S37" s="3663"/>
      <c r="T37" s="3663"/>
      <c r="U37" s="3663"/>
      <c r="V37" s="3663"/>
      <c r="W37" s="3663"/>
      <c r="X37" s="3663"/>
      <c r="Y37" s="3663"/>
      <c r="Z37" s="3663"/>
      <c r="AA37" s="3663"/>
      <c r="AB37" s="3663"/>
      <c r="AC37" s="3663"/>
      <c r="AD37" s="3663"/>
      <c r="AE37" s="3663"/>
      <c r="AF37" s="3663"/>
      <c r="AG37" s="3663"/>
      <c r="AH37" s="3663"/>
      <c r="AI37" s="3663"/>
      <c r="AJ37" s="3663"/>
      <c r="AK37" s="3663"/>
      <c r="AL37" s="3663"/>
      <c r="AM37" s="3663"/>
      <c r="AN37" s="3663"/>
      <c r="AO37" s="3663"/>
      <c r="AP37" s="3663"/>
      <c r="AQ37" s="3663"/>
      <c r="AR37" s="3663"/>
      <c r="AS37" s="3663"/>
      <c r="AT37" s="3663"/>
      <c r="AU37" s="3663"/>
      <c r="AV37" s="3663"/>
      <c r="AW37" s="3663"/>
      <c r="AX37" s="3663"/>
      <c r="AY37" s="3663"/>
      <c r="AZ37" s="3663"/>
      <c r="BA37" s="3663"/>
      <c r="BB37" s="3663"/>
      <c r="BC37" s="3663"/>
      <c r="BD37" s="3663"/>
      <c r="BE37" s="3663"/>
      <c r="BF37" s="3663"/>
      <c r="BG37" s="3663"/>
      <c r="BH37" s="3663"/>
      <c r="BI37" s="3663"/>
      <c r="BJ37" s="3663"/>
      <c r="BK37" s="3663"/>
      <c r="BL37" s="3663"/>
      <c r="BM37" s="3663"/>
    </row>
    <row r="38" spans="4:65" ht="10.5" hidden="1" customHeight="1">
      <c r="D38" s="3663"/>
      <c r="E38" s="3663"/>
      <c r="F38" s="3663"/>
      <c r="G38" s="3663"/>
      <c r="H38" s="3663"/>
      <c r="I38" s="3663"/>
      <c r="J38" s="3663"/>
      <c r="K38" s="3663"/>
      <c r="L38" s="3663"/>
      <c r="M38" s="3663"/>
      <c r="N38" s="3663"/>
      <c r="O38" s="3663"/>
      <c r="P38" s="3663"/>
      <c r="Q38" s="3663"/>
      <c r="R38" s="3663"/>
      <c r="S38" s="3663"/>
      <c r="T38" s="3663"/>
      <c r="U38" s="3663"/>
      <c r="V38" s="3663"/>
      <c r="W38" s="3663"/>
      <c r="X38" s="3663"/>
      <c r="Y38" s="3663"/>
      <c r="Z38" s="3663"/>
      <c r="AA38" s="3663"/>
      <c r="AB38" s="3663"/>
      <c r="AC38" s="3663"/>
      <c r="AD38" s="3663"/>
      <c r="AE38" s="3663"/>
      <c r="AF38" s="3663"/>
      <c r="AG38" s="3663"/>
      <c r="AH38" s="3663"/>
      <c r="AI38" s="3663"/>
      <c r="AJ38" s="3663"/>
      <c r="AK38" s="3663"/>
      <c r="AL38" s="3663"/>
      <c r="AM38" s="3663"/>
      <c r="AN38" s="3663"/>
      <c r="AO38" s="3663"/>
      <c r="AP38" s="3663"/>
      <c r="AQ38" s="3663"/>
      <c r="AR38" s="3663"/>
      <c r="AS38" s="3663"/>
      <c r="AT38" s="3663"/>
      <c r="AU38" s="3663"/>
      <c r="AV38" s="3663"/>
      <c r="AW38" s="3663"/>
      <c r="AX38" s="3663"/>
      <c r="AY38" s="3663"/>
      <c r="AZ38" s="3663"/>
      <c r="BA38" s="3663"/>
      <c r="BB38" s="3663"/>
      <c r="BC38" s="3663"/>
      <c r="BD38" s="3663"/>
      <c r="BE38" s="3663"/>
      <c r="BF38" s="3663"/>
      <c r="BG38" s="3663"/>
      <c r="BH38" s="3663"/>
      <c r="BI38" s="3663"/>
      <c r="BJ38" s="3663"/>
      <c r="BK38" s="3663"/>
      <c r="BL38" s="3663"/>
      <c r="BM38" s="3663"/>
    </row>
    <row r="39" spans="4:65" s="3652" customFormat="1" ht="45" customHeight="1">
      <c r="D39" s="3653" t="s">
        <v>527</v>
      </c>
      <c r="E39" s="3654" t="s">
        <v>4348</v>
      </c>
      <c r="F39" s="3658">
        <f>SUM(G39:K39)</f>
        <v>0</v>
      </c>
      <c r="G39" s="3658">
        <f>G18</f>
        <v>0</v>
      </c>
      <c r="H39" s="3658">
        <f>H18</f>
        <v>0</v>
      </c>
      <c r="I39" s="3658">
        <f>I18</f>
        <v>0</v>
      </c>
      <c r="J39" s="3658">
        <f>J18</f>
        <v>0</v>
      </c>
      <c r="K39" s="3658">
        <f>K18</f>
        <v>0</v>
      </c>
      <c r="L39" s="3658">
        <f>SUM(M39:Q39)</f>
        <v>0</v>
      </c>
      <c r="M39" s="3658">
        <f>M18</f>
        <v>0</v>
      </c>
      <c r="N39" s="3658">
        <f>N18</f>
        <v>0</v>
      </c>
      <c r="O39" s="3658">
        <f>O18</f>
        <v>0</v>
      </c>
      <c r="P39" s="3658">
        <f>P18</f>
        <v>0</v>
      </c>
      <c r="Q39" s="3658">
        <f>Q18</f>
        <v>0</v>
      </c>
      <c r="R39" s="3658">
        <f>SUM(S39:W39)</f>
        <v>0</v>
      </c>
      <c r="S39" s="3658">
        <f>S18</f>
        <v>0</v>
      </c>
      <c r="T39" s="3658">
        <f>T18</f>
        <v>0</v>
      </c>
      <c r="U39" s="3658">
        <f>U18</f>
        <v>0</v>
      </c>
      <c r="V39" s="3658">
        <f>V18</f>
        <v>0</v>
      </c>
      <c r="W39" s="3658">
        <f>W18</f>
        <v>0</v>
      </c>
      <c r="X39" s="3658">
        <f>SUM(Y39:AC39)</f>
        <v>0</v>
      </c>
      <c r="Y39" s="3658">
        <f>Y18</f>
        <v>0</v>
      </c>
      <c r="Z39" s="3658">
        <f>Z18</f>
        <v>0</v>
      </c>
      <c r="AA39" s="3658">
        <f>AA18</f>
        <v>0</v>
      </c>
      <c r="AB39" s="3658">
        <f>AB18</f>
        <v>0</v>
      </c>
      <c r="AC39" s="3658">
        <f>AC18</f>
        <v>0</v>
      </c>
      <c r="AD39" s="3658">
        <f>SUM(AE39:AI39)</f>
        <v>0</v>
      </c>
      <c r="AE39" s="3658">
        <f>AE18</f>
        <v>0</v>
      </c>
      <c r="AF39" s="3658">
        <f>AF18</f>
        <v>0</v>
      </c>
      <c r="AG39" s="3658">
        <f>AG18</f>
        <v>0</v>
      </c>
      <c r="AH39" s="3658">
        <f>AH18</f>
        <v>0</v>
      </c>
      <c r="AI39" s="3658">
        <f>AI18</f>
        <v>0</v>
      </c>
      <c r="AJ39" s="3658">
        <f>SUM(AK39:AO39)</f>
        <v>0</v>
      </c>
      <c r="AK39" s="3658">
        <f>AK18</f>
        <v>0</v>
      </c>
      <c r="AL39" s="3658">
        <f>AL18</f>
        <v>0</v>
      </c>
      <c r="AM39" s="3658">
        <f>AM18</f>
        <v>0</v>
      </c>
      <c r="AN39" s="3658">
        <f>AN18</f>
        <v>0</v>
      </c>
      <c r="AO39" s="3658">
        <f>AO18</f>
        <v>0</v>
      </c>
      <c r="AP39" s="3658">
        <f>SUM(AQ39:AU39)</f>
        <v>0</v>
      </c>
      <c r="AQ39" s="3658">
        <f>AQ18</f>
        <v>0</v>
      </c>
      <c r="AR39" s="3658">
        <f>AR18</f>
        <v>0</v>
      </c>
      <c r="AS39" s="3658">
        <f>AS18</f>
        <v>0</v>
      </c>
      <c r="AT39" s="3658">
        <f>AT18</f>
        <v>0</v>
      </c>
      <c r="AU39" s="3658">
        <f>AU18</f>
        <v>0</v>
      </c>
      <c r="AV39" s="3658">
        <f>SUM(AW39:BA39)</f>
        <v>0</v>
      </c>
      <c r="AW39" s="3658">
        <f>AW18</f>
        <v>0</v>
      </c>
      <c r="AX39" s="3658">
        <f>AX18</f>
        <v>0</v>
      </c>
      <c r="AY39" s="3658">
        <f>AY18</f>
        <v>0</v>
      </c>
      <c r="AZ39" s="3658">
        <f>AZ18</f>
        <v>0</v>
      </c>
      <c r="BA39" s="3658">
        <f>BA18</f>
        <v>0</v>
      </c>
      <c r="BB39" s="3658">
        <f>SUM(BC39:BG39)</f>
        <v>0</v>
      </c>
      <c r="BC39" s="3658">
        <f>BC18</f>
        <v>0</v>
      </c>
      <c r="BD39" s="3658">
        <f>BD18</f>
        <v>0</v>
      </c>
      <c r="BE39" s="3658">
        <f>BE18</f>
        <v>0</v>
      </c>
      <c r="BF39" s="3658">
        <f>BF18</f>
        <v>0</v>
      </c>
      <c r="BG39" s="3658">
        <f>BG18</f>
        <v>0</v>
      </c>
      <c r="BH39" s="3658">
        <f>SUM(BI39:BM39)</f>
        <v>0</v>
      </c>
      <c r="BI39" s="3658">
        <f>BI18</f>
        <v>0</v>
      </c>
      <c r="BJ39" s="3658">
        <f>BJ18</f>
        <v>0</v>
      </c>
      <c r="BK39" s="3658">
        <f>BK18</f>
        <v>0</v>
      </c>
      <c r="BL39" s="3658">
        <f>BL18</f>
        <v>0</v>
      </c>
      <c r="BM39" s="3658">
        <f>BM18</f>
        <v>0</v>
      </c>
    </row>
  </sheetData>
  <sheetProtection formatColumns="0" formatRows="0" insertRows="0" deleteColumns="0" deleteRows="0" sort="0" autoFilter="0"/>
  <mergeCells count="37">
    <mergeCell ref="BB13:BB14"/>
    <mergeCell ref="BC13:BG13"/>
    <mergeCell ref="BH13:BH14"/>
    <mergeCell ref="BI13:BM13"/>
    <mergeCell ref="AV12:BA12"/>
    <mergeCell ref="AW13:BA13"/>
    <mergeCell ref="AD13:AD14"/>
    <mergeCell ref="X12:AC12"/>
    <mergeCell ref="AD12:AI12"/>
    <mergeCell ref="AJ12:AO12"/>
    <mergeCell ref="AP12:AU12"/>
    <mergeCell ref="AE13:AI13"/>
    <mergeCell ref="AJ13:AJ14"/>
    <mergeCell ref="AK13:AO13"/>
    <mergeCell ref="AP13:AP14"/>
    <mergeCell ref="AQ13:AU13"/>
    <mergeCell ref="M13:Q13"/>
    <mergeCell ref="R13:R14"/>
    <mergeCell ref="S13:W13"/>
    <mergeCell ref="X13:X14"/>
    <mergeCell ref="Y13:AC13"/>
    <mergeCell ref="BH11:BM11"/>
    <mergeCell ref="D12:D16"/>
    <mergeCell ref="E12:E16"/>
    <mergeCell ref="F12:K12"/>
    <mergeCell ref="L12:Q12"/>
    <mergeCell ref="R12:W12"/>
    <mergeCell ref="BB12:BG12"/>
    <mergeCell ref="L11:Q11"/>
    <mergeCell ref="X11:AC11"/>
    <mergeCell ref="AJ11:AO11"/>
    <mergeCell ref="AV11:BA11"/>
    <mergeCell ref="AV13:AV14"/>
    <mergeCell ref="BH12:BM12"/>
    <mergeCell ref="F13:F14"/>
    <mergeCell ref="G13:K13"/>
    <mergeCell ref="L13:L14"/>
  </mergeCells>
  <printOptions horizontalCentered="1"/>
  <pageMargins left="0.24" right="0.24" top="0.24" bottom="0.24" header="0.24" footer="0.24"/>
  <pageSetup paperSize="9" scale="22" fitToHeight="0" orientation="landscape"/>
  <headerFooter>
    <oddHeader>&amp;L&amp;C&amp;R</oddHeader>
    <oddFooter>&amp;L&amp;C&amp;R</oddFooter>
    <evenHeader>&amp;L&amp;C&amp;R</evenHeader>
    <evenFooter>&amp;L&amp;C&amp;R</even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65"/>
  <sheetViews>
    <sheetView topLeftCell="D7" workbookViewId="0">
      <selection activeCell="G14" sqref="G14"/>
    </sheetView>
  </sheetViews>
  <sheetFormatPr defaultColWidth="8.28515625" defaultRowHeight="12.75"/>
  <cols>
    <col min="1" max="1" width="3.42578125" style="602" hidden="1" customWidth="1"/>
    <col min="2" max="2" width="3.42578125" style="603" hidden="1" customWidth="1"/>
    <col min="3" max="3" width="3.42578125" style="604" hidden="1" customWidth="1"/>
    <col min="4" max="4" width="3.7109375" style="605" customWidth="1"/>
    <col min="5" max="5" width="7.5703125" style="605" customWidth="1"/>
    <col min="6" max="6" width="34" style="605" customWidth="1"/>
    <col min="7" max="7" width="55.28515625" style="605" customWidth="1"/>
    <col min="8" max="8" width="3.5703125" style="606" bestFit="1" customWidth="1"/>
    <col min="9" max="16384" width="8.28515625" style="605"/>
  </cols>
  <sheetData>
    <row r="1" spans="1:8" hidden="1"/>
    <row r="2" spans="1:8" hidden="1"/>
    <row r="3" spans="1:8" hidden="1"/>
    <row r="4" spans="1:8" hidden="1"/>
    <row r="5" spans="1:8" hidden="1"/>
    <row r="6" spans="1:8" hidden="1"/>
    <row r="7" spans="1:8" s="609" customFormat="1" ht="12" customHeight="1">
      <c r="A7" s="607"/>
      <c r="B7" s="603"/>
      <c r="C7" s="608"/>
      <c r="E7" s="610"/>
      <c r="F7" s="610"/>
      <c r="G7" s="611" t="s">
        <v>911</v>
      </c>
      <c r="H7" s="612"/>
    </row>
    <row r="8" spans="1:8" ht="22.5" customHeight="1">
      <c r="D8" s="613"/>
      <c r="E8" s="614" t="s">
        <v>442</v>
      </c>
      <c r="F8" s="615"/>
      <c r="G8" s="615"/>
      <c r="H8" s="613"/>
    </row>
    <row r="9" spans="1:8" ht="12" customHeight="1">
      <c r="D9" s="616"/>
      <c r="E9" s="617"/>
      <c r="F9" s="617"/>
      <c r="G9" s="617"/>
      <c r="H9" s="618"/>
    </row>
    <row r="10" spans="1:8" ht="21.75" customHeight="1">
      <c r="D10" s="616"/>
      <c r="E10" s="616"/>
      <c r="F10" s="616"/>
      <c r="G10" s="616"/>
      <c r="H10" s="618"/>
    </row>
    <row r="11" spans="1:8" ht="21" customHeight="1">
      <c r="D11" s="616"/>
      <c r="E11" s="616"/>
      <c r="F11" s="619" t="s">
        <v>443</v>
      </c>
      <c r="G11" s="620" t="s">
        <v>444</v>
      </c>
      <c r="H11" s="621"/>
    </row>
    <row r="12" spans="1:8" ht="18.75" customHeight="1">
      <c r="A12" s="622"/>
      <c r="D12" s="623"/>
      <c r="E12" s="623"/>
      <c r="F12" s="624"/>
      <c r="G12" s="625" t="s">
        <v>445</v>
      </c>
      <c r="H12" s="626"/>
    </row>
    <row r="13" spans="1:8" ht="21" customHeight="1">
      <c r="D13" s="623"/>
      <c r="E13" s="623"/>
      <c r="F13" s="627" t="s">
        <v>446</v>
      </c>
      <c r="G13" s="628">
        <v>2018</v>
      </c>
      <c r="H13" s="629"/>
    </row>
    <row r="14" spans="1:8" ht="21" customHeight="1">
      <c r="D14" s="623"/>
      <c r="E14" s="623"/>
      <c r="F14" s="627" t="s">
        <v>447</v>
      </c>
      <c r="G14" s="1095"/>
      <c r="H14" s="630"/>
    </row>
    <row r="15" spans="1:8" ht="21" hidden="1" customHeight="1">
      <c r="D15" s="623"/>
      <c r="E15" s="623"/>
      <c r="F15" s="631" t="s">
        <v>448</v>
      </c>
      <c r="G15" s="632" t="s">
        <v>449</v>
      </c>
      <c r="H15" s="630"/>
    </row>
    <row r="16" spans="1:8" ht="21" hidden="1" customHeight="1">
      <c r="D16" s="623"/>
      <c r="E16" s="623"/>
      <c r="F16" s="631" t="s">
        <v>450</v>
      </c>
      <c r="G16" s="633"/>
      <c r="H16" s="630"/>
    </row>
    <row r="17" spans="3:12" ht="3" customHeight="1">
      <c r="D17" s="623"/>
      <c r="E17" s="623"/>
      <c r="F17" s="619"/>
      <c r="G17" s="634"/>
      <c r="H17" s="626"/>
    </row>
    <row r="18" spans="3:12" ht="6" customHeight="1">
      <c r="D18" s="623"/>
      <c r="E18" s="623"/>
      <c r="F18" s="635"/>
      <c r="G18" s="636"/>
      <c r="H18" s="637"/>
      <c r="L18" s="638"/>
    </row>
    <row r="19" spans="3:12" ht="20.100000000000001" customHeight="1">
      <c r="C19" s="639"/>
      <c r="D19" s="623"/>
      <c r="E19" s="623"/>
      <c r="F19" s="619" t="s">
        <v>451</v>
      </c>
      <c r="G19" s="640" t="s">
        <v>2</v>
      </c>
      <c r="H19" s="641"/>
      <c r="I19" s="642"/>
    </row>
    <row r="20" spans="3:12" ht="20.100000000000001" customHeight="1">
      <c r="D20" s="623"/>
      <c r="E20" s="623"/>
      <c r="F20" s="619" t="s">
        <v>452</v>
      </c>
      <c r="G20" s="643" t="s">
        <v>453</v>
      </c>
      <c r="H20" s="644"/>
    </row>
    <row r="21" spans="3:12" ht="20.100000000000001" customHeight="1">
      <c r="D21" s="623"/>
      <c r="E21" s="623"/>
      <c r="F21" s="619" t="s">
        <v>454</v>
      </c>
      <c r="G21" s="643" t="s">
        <v>455</v>
      </c>
      <c r="H21" s="644"/>
    </row>
    <row r="22" spans="3:12" ht="20.100000000000001" customHeight="1">
      <c r="D22" s="623"/>
      <c r="E22" s="623"/>
      <c r="F22" s="619" t="s">
        <v>456</v>
      </c>
      <c r="G22" s="643" t="s">
        <v>457</v>
      </c>
      <c r="H22" s="644"/>
    </row>
    <row r="23" spans="3:12" ht="6" customHeight="1">
      <c r="D23" s="623"/>
      <c r="E23" s="623"/>
      <c r="F23" s="645"/>
      <c r="G23" s="646"/>
      <c r="H23" s="626"/>
    </row>
    <row r="24" spans="3:12" ht="20.100000000000001" customHeight="1">
      <c r="D24" s="623"/>
      <c r="E24" s="623"/>
      <c r="F24" s="619" t="s">
        <v>458</v>
      </c>
      <c r="G24" s="647" t="s">
        <v>459</v>
      </c>
      <c r="H24" s="644"/>
    </row>
    <row r="25" spans="3:12" ht="3" customHeight="1">
      <c r="D25" s="623"/>
      <c r="E25" s="623"/>
      <c r="F25" s="619"/>
      <c r="G25" s="646"/>
      <c r="H25" s="626"/>
    </row>
    <row r="26" spans="3:12" ht="20.100000000000001" customHeight="1">
      <c r="D26" s="623"/>
      <c r="E26" s="623"/>
      <c r="F26" s="619" t="s">
        <v>460</v>
      </c>
      <c r="G26" s="647" t="s">
        <v>459</v>
      </c>
      <c r="H26" s="644"/>
    </row>
    <row r="27" spans="3:12" ht="3.6" customHeight="1">
      <c r="D27" s="623"/>
      <c r="E27" s="623"/>
      <c r="F27" s="619"/>
      <c r="G27" s="646"/>
      <c r="H27" s="626"/>
    </row>
    <row r="28" spans="3:12" ht="20.100000000000001" customHeight="1">
      <c r="D28" s="623"/>
      <c r="E28" s="623"/>
      <c r="F28" s="619" t="s">
        <v>461</v>
      </c>
      <c r="G28" s="643" t="s">
        <v>462</v>
      </c>
      <c r="H28" s="644"/>
    </row>
    <row r="29" spans="3:12" ht="6" customHeight="1">
      <c r="D29" s="623"/>
      <c r="E29" s="623"/>
      <c r="F29" s="645"/>
      <c r="G29" s="646"/>
      <c r="H29" s="626"/>
    </row>
    <row r="30" spans="3:12" ht="20.100000000000001" customHeight="1">
      <c r="D30" s="623"/>
      <c r="E30" s="623"/>
      <c r="F30" s="619" t="s">
        <v>463</v>
      </c>
      <c r="G30" s="647" t="s">
        <v>464</v>
      </c>
      <c r="H30" s="644"/>
    </row>
    <row r="31" spans="3:12" ht="3.6" customHeight="1">
      <c r="D31" s="623"/>
      <c r="E31" s="623"/>
      <c r="F31" s="619"/>
      <c r="G31" s="646"/>
      <c r="H31" s="626"/>
    </row>
    <row r="32" spans="3:12" ht="20.100000000000001" customHeight="1">
      <c r="D32" s="623"/>
      <c r="E32" s="623"/>
      <c r="F32" s="619" t="s">
        <v>465</v>
      </c>
      <c r="G32" s="647" t="s">
        <v>466</v>
      </c>
      <c r="H32" s="644"/>
    </row>
    <row r="33" spans="1:8" ht="3.6" customHeight="1">
      <c r="D33" s="623"/>
      <c r="E33" s="623"/>
      <c r="F33" s="619"/>
      <c r="G33" s="646"/>
      <c r="H33" s="626"/>
    </row>
    <row r="34" spans="1:8" ht="20.100000000000001" customHeight="1">
      <c r="D34" s="623"/>
      <c r="E34" s="623"/>
      <c r="F34" s="619" t="s">
        <v>467</v>
      </c>
      <c r="G34" s="647" t="s">
        <v>464</v>
      </c>
      <c r="H34" s="644"/>
    </row>
    <row r="35" spans="1:8" ht="6" customHeight="1">
      <c r="D35" s="623"/>
      <c r="E35" s="623"/>
      <c r="F35" s="645"/>
      <c r="G35" s="646"/>
      <c r="H35" s="626"/>
    </row>
    <row r="36" spans="1:8" ht="20.100000000000001" customHeight="1">
      <c r="D36" s="623"/>
      <c r="E36" s="623"/>
      <c r="F36" s="627" t="s">
        <v>468</v>
      </c>
      <c r="G36" s="648" t="s">
        <v>469</v>
      </c>
      <c r="H36" s="644"/>
    </row>
    <row r="37" spans="1:8" ht="24.75" hidden="1" customHeight="1">
      <c r="D37" s="623"/>
      <c r="E37" s="623"/>
      <c r="F37" s="619" t="s">
        <v>470</v>
      </c>
      <c r="G37" s="649"/>
      <c r="H37" s="626"/>
    </row>
    <row r="38" spans="1:8" ht="3" customHeight="1">
      <c r="D38" s="623"/>
      <c r="E38" s="623"/>
      <c r="F38" s="650"/>
      <c r="G38" s="634"/>
      <c r="H38" s="626"/>
    </row>
    <row r="39" spans="1:8">
      <c r="D39" s="623"/>
      <c r="E39" s="623"/>
      <c r="F39" s="619"/>
      <c r="G39" s="651" t="s">
        <v>471</v>
      </c>
      <c r="H39" s="626"/>
    </row>
    <row r="40" spans="1:8" ht="21" customHeight="1">
      <c r="A40" s="652"/>
      <c r="D40" s="616"/>
      <c r="E40" s="616"/>
      <c r="F40" s="619" t="s">
        <v>472</v>
      </c>
      <c r="G40" s="647" t="s">
        <v>473</v>
      </c>
      <c r="H40" s="644"/>
    </row>
    <row r="41" spans="1:8" ht="21" customHeight="1">
      <c r="A41" s="652"/>
      <c r="D41" s="616"/>
      <c r="E41" s="616"/>
      <c r="F41" s="619" t="s">
        <v>474</v>
      </c>
      <c r="G41" s="647" t="s">
        <v>473</v>
      </c>
      <c r="H41" s="644"/>
    </row>
    <row r="42" spans="1:8">
      <c r="A42" s="652"/>
      <c r="D42" s="616"/>
      <c r="E42" s="616"/>
      <c r="F42" s="619"/>
      <c r="G42" s="653" t="s">
        <v>475</v>
      </c>
      <c r="H42" s="626"/>
    </row>
    <row r="43" spans="1:8" ht="21" customHeight="1">
      <c r="A43" s="652"/>
      <c r="D43" s="616"/>
      <c r="E43" s="616"/>
      <c r="F43" s="654" t="s">
        <v>476</v>
      </c>
      <c r="G43" s="655" t="s">
        <v>477</v>
      </c>
      <c r="H43" s="644"/>
    </row>
    <row r="44" spans="1:8" ht="21" customHeight="1">
      <c r="A44" s="652"/>
      <c r="D44" s="616"/>
      <c r="E44" s="616"/>
      <c r="F44" s="654" t="s">
        <v>478</v>
      </c>
      <c r="G44" s="647" t="s">
        <v>479</v>
      </c>
      <c r="H44" s="644"/>
    </row>
    <row r="45" spans="1:8">
      <c r="A45" s="652"/>
      <c r="D45" s="616"/>
      <c r="E45" s="616"/>
      <c r="F45" s="619"/>
      <c r="G45" s="653" t="s">
        <v>480</v>
      </c>
      <c r="H45" s="626"/>
    </row>
    <row r="46" spans="1:8" ht="21" customHeight="1">
      <c r="A46" s="652"/>
      <c r="D46" s="616"/>
      <c r="E46" s="616"/>
      <c r="F46" s="654" t="s">
        <v>476</v>
      </c>
      <c r="G46" s="655" t="s">
        <v>481</v>
      </c>
      <c r="H46" s="644"/>
    </row>
    <row r="47" spans="1:8" ht="21" customHeight="1">
      <c r="A47" s="652"/>
      <c r="D47" s="616"/>
      <c r="E47" s="616"/>
      <c r="F47" s="654" t="s">
        <v>478</v>
      </c>
      <c r="G47" s="647" t="s">
        <v>482</v>
      </c>
      <c r="H47" s="644"/>
    </row>
    <row r="48" spans="1:8" ht="12.75" customHeight="1">
      <c r="A48" s="652"/>
      <c r="D48" s="616"/>
      <c r="E48" s="616"/>
      <c r="F48" s="619"/>
      <c r="G48" s="653" t="s">
        <v>483</v>
      </c>
      <c r="H48" s="626"/>
    </row>
    <row r="49" spans="1:8" ht="21" customHeight="1">
      <c r="A49" s="652"/>
      <c r="B49" s="656"/>
      <c r="D49" s="657"/>
      <c r="E49" s="657"/>
      <c r="F49" s="658" t="s">
        <v>476</v>
      </c>
      <c r="G49" s="655" t="s">
        <v>484</v>
      </c>
      <c r="H49" s="644"/>
    </row>
    <row r="50" spans="1:8" ht="21" customHeight="1">
      <c r="A50" s="652"/>
      <c r="B50" s="656"/>
      <c r="D50" s="657"/>
      <c r="E50" s="657"/>
      <c r="F50" s="658" t="s">
        <v>485</v>
      </c>
      <c r="G50" s="655" t="s">
        <v>486</v>
      </c>
      <c r="H50" s="644"/>
    </row>
    <row r="51" spans="1:8" ht="21" customHeight="1">
      <c r="A51" s="652"/>
      <c r="B51" s="656"/>
      <c r="D51" s="657"/>
      <c r="E51" s="657"/>
      <c r="F51" s="654" t="s">
        <v>478</v>
      </c>
      <c r="G51" s="655" t="s">
        <v>487</v>
      </c>
      <c r="H51" s="644"/>
    </row>
    <row r="52" spans="1:8" ht="21" customHeight="1">
      <c r="A52" s="652"/>
      <c r="B52" s="656"/>
      <c r="D52" s="657"/>
      <c r="E52" s="657"/>
      <c r="F52" s="658" t="s">
        <v>488</v>
      </c>
      <c r="G52" s="647" t="s">
        <v>489</v>
      </c>
      <c r="H52" s="644"/>
    </row>
    <row r="53" spans="1:8" ht="6" hidden="1" customHeight="1">
      <c r="D53" s="623"/>
      <c r="E53" s="623"/>
      <c r="F53" s="645"/>
      <c r="G53" s="646"/>
      <c r="H53" s="626"/>
    </row>
    <row r="54" spans="1:8" ht="21" hidden="1" customHeight="1">
      <c r="A54" s="652"/>
      <c r="B54" s="656"/>
      <c r="D54" s="657"/>
      <c r="E54" s="657"/>
      <c r="F54" s="654" t="s">
        <v>490</v>
      </c>
      <c r="G54" s="659" t="s">
        <v>491</v>
      </c>
      <c r="H54" s="626"/>
    </row>
    <row r="55" spans="1:8">
      <c r="D55" s="616"/>
      <c r="E55" s="616"/>
      <c r="F55" s="616"/>
      <c r="G55" s="617"/>
      <c r="H55" s="660"/>
    </row>
    <row r="61" spans="1:8" s="662" customFormat="1">
      <c r="A61" s="602"/>
      <c r="B61" s="603"/>
      <c r="C61" s="604"/>
      <c r="D61" s="605"/>
      <c r="E61" s="605"/>
      <c r="F61" s="605"/>
      <c r="G61" s="605"/>
      <c r="H61" s="661"/>
    </row>
    <row r="63" spans="1:8">
      <c r="E63" s="663"/>
      <c r="F63" s="663"/>
      <c r="G63" s="663"/>
    </row>
    <row r="64" spans="1:8">
      <c r="E64" s="664" t="s">
        <v>492</v>
      </c>
      <c r="F64" s="664"/>
      <c r="G64" s="665"/>
    </row>
    <row r="65" spans="5:7">
      <c r="E65" s="666" t="s">
        <v>493</v>
      </c>
      <c r="F65" s="666"/>
      <c r="G65" s="667"/>
    </row>
  </sheetData>
  <dataValidations count="7">
    <dataValidation allowBlank="1" showInputMessage="1" promptTitle="Ввод" prompt="Для выбора организации необходимо два раза нажать левую клавишу мыши!" sqref="G19"/>
    <dataValidation allowBlank="1" error="Необходимо выбрать значение из списка!" promptTitle="Ввод" prompt="Необходимо выбрать значение из списка" sqref="G15"/>
    <dataValidation type="custom" allowBlank="1" showInputMessage="1" showErrorMessage="1" sqref="G26">
      <formula1>0</formula1>
    </dataValidation>
    <dataValidation type="list" allowBlank="1" showInputMessage="1" showErrorMessage="1" errorTitle="Ошибка" error="Необходимо выбрать значение из списка!" promptTitle="Ввод" prompt="Необходимо выбрать значение из списка" sqref="G24">
      <formula1>MR_LIST</formula1>
    </dataValidation>
    <dataValidation operator="equal" allowBlank="1" showInputMessage="1" showErrorMessage="1" sqref="G23 G29 G35 G53"/>
    <dataValidation type="textLength" operator="equal" allowBlank="1" showInputMessage="1" showErrorMessage="1" sqref="G25 G27 G31 G33">
      <formula1>9</formula1>
    </dataValidation>
    <dataValidation type="textLength" operator="lessThanOrEqual" allowBlank="1" showInputMessage="1" showErrorMessage="1" errorTitle="Ошибка" error="Допускается ввод не более 900 символов!" sqref="G43:G44 G40:G41 G46:G47 G49:G52 G54">
      <formula1>900</formula1>
    </dataValidation>
  </dataValidation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3DBDB"/>
    <pageSetUpPr fitToPage="1"/>
  </sheetPr>
  <dimension ref="A1:M39"/>
  <sheetViews>
    <sheetView showGridLines="0" topLeftCell="C16" workbookViewId="0">
      <selection activeCell="P35" sqref="P35"/>
    </sheetView>
  </sheetViews>
  <sheetFormatPr defaultColWidth="9.140625" defaultRowHeight="10.5" customHeight="1"/>
  <cols>
    <col min="1" max="2" width="4.7109375" style="3637" hidden="1" customWidth="1"/>
    <col min="3" max="3" width="2.7109375" style="3637" customWidth="1"/>
    <col min="4" max="4" width="70.7109375" style="3637" customWidth="1"/>
    <col min="5" max="5" width="6.7109375" style="3637" customWidth="1"/>
    <col min="6" max="13" width="21.7109375" style="3637" customWidth="1"/>
    <col min="14" max="16384" width="9.140625" style="3560"/>
  </cols>
  <sheetData>
    <row r="1" spans="1:13" ht="10.5" hidden="1" customHeight="1"/>
    <row r="2" spans="1:13" ht="10.5" hidden="1" customHeight="1"/>
    <row r="3" spans="1:13" ht="10.5" hidden="1" customHeight="1">
      <c r="F3" s="3641" t="s">
        <v>4547</v>
      </c>
      <c r="G3" s="3641" t="s">
        <v>4548</v>
      </c>
      <c r="H3" s="3641" t="s">
        <v>4549</v>
      </c>
      <c r="I3" s="3641" t="s">
        <v>4550</v>
      </c>
      <c r="J3" s="3641" t="s">
        <v>4551</v>
      </c>
      <c r="K3" s="3641" t="s">
        <v>4552</v>
      </c>
      <c r="L3" s="3640" t="s">
        <v>4553</v>
      </c>
      <c r="M3" s="3640" t="s">
        <v>4554</v>
      </c>
    </row>
    <row r="4" spans="1:13" ht="10.5" hidden="1" customHeight="1"/>
    <row r="5" spans="1:13" ht="10.5" hidden="1" customHeight="1">
      <c r="A5" s="3642"/>
    </row>
    <row r="6" spans="1:13" ht="10.5" hidden="1" customHeight="1">
      <c r="A6" s="3642"/>
    </row>
    <row r="7" spans="1:13" ht="6" customHeight="1">
      <c r="A7" s="3642"/>
    </row>
    <row r="8" spans="1:13" ht="12" customHeight="1">
      <c r="A8" s="3642"/>
      <c r="D8" s="3664" t="s">
        <v>4521</v>
      </c>
    </row>
    <row r="9" spans="1:13" ht="12" customHeight="1">
      <c r="D9" s="3665" t="s">
        <v>4555</v>
      </c>
    </row>
    <row r="10" spans="1:13" ht="12" customHeight="1">
      <c r="D10" s="3646" t="e">
        <f>IF(ORG="","Не определено",ORG)</f>
        <v>#NAME?</v>
      </c>
      <c r="M10" s="3678" t="s">
        <v>4287</v>
      </c>
    </row>
    <row r="11" spans="1:13" ht="15" customHeight="1">
      <c r="D11" s="3666" t="s">
        <v>4288</v>
      </c>
      <c r="G11" s="3669" t="s">
        <v>4289</v>
      </c>
      <c r="I11" s="3669" t="s">
        <v>4289</v>
      </c>
      <c r="K11" s="3669" t="s">
        <v>4289</v>
      </c>
      <c r="M11" s="3669" t="s">
        <v>4289</v>
      </c>
    </row>
    <row r="12" spans="1:13" ht="35.25" customHeight="1">
      <c r="D12" s="4760" t="s">
        <v>497</v>
      </c>
      <c r="E12" s="4760" t="s">
        <v>498</v>
      </c>
      <c r="F12" s="4760" t="s">
        <v>4523</v>
      </c>
      <c r="G12" s="4760" t="s">
        <v>4524</v>
      </c>
      <c r="H12" s="4760" t="s">
        <v>4525</v>
      </c>
      <c r="I12" s="4760" t="s">
        <v>4526</v>
      </c>
      <c r="J12" s="4760" t="s">
        <v>4527</v>
      </c>
      <c r="K12" s="4760" t="s">
        <v>4528</v>
      </c>
      <c r="L12" s="4760" t="s">
        <v>4425</v>
      </c>
      <c r="M12" s="4760" t="s">
        <v>4531</v>
      </c>
    </row>
    <row r="13" spans="1:13" ht="12" customHeight="1">
      <c r="D13" s="4760"/>
      <c r="E13" s="4760"/>
      <c r="F13" s="4760"/>
      <c r="G13" s="4760"/>
      <c r="H13" s="4760"/>
      <c r="I13" s="4760"/>
      <c r="J13" s="4760"/>
      <c r="K13" s="4760"/>
      <c r="L13" s="4760"/>
      <c r="M13" s="4760"/>
    </row>
    <row r="14" spans="1:13" ht="12" customHeight="1">
      <c r="D14" s="4760"/>
      <c r="E14" s="4760"/>
      <c r="F14" s="4760"/>
      <c r="G14" s="4760"/>
      <c r="H14" s="4760"/>
      <c r="I14" s="4760"/>
      <c r="J14" s="4760"/>
      <c r="K14" s="4760"/>
      <c r="L14" s="4760"/>
      <c r="M14" s="4760"/>
    </row>
    <row r="15" spans="1:13" ht="12" customHeight="1">
      <c r="D15" s="4760"/>
      <c r="E15" s="4760"/>
      <c r="F15" s="4760"/>
      <c r="G15" s="4760"/>
      <c r="H15" s="4760"/>
      <c r="I15" s="4760"/>
      <c r="J15" s="4760"/>
      <c r="K15" s="4760"/>
      <c r="L15" s="4760"/>
      <c r="M15" s="4760"/>
    </row>
    <row r="16" spans="1:13" ht="12" customHeight="1">
      <c r="D16" s="4760"/>
      <c r="E16" s="4760"/>
      <c r="F16" s="3649" t="s">
        <v>4298</v>
      </c>
      <c r="G16" s="3649" t="s">
        <v>1833</v>
      </c>
      <c r="H16" s="3649" t="s">
        <v>4298</v>
      </c>
      <c r="I16" s="3649" t="s">
        <v>1833</v>
      </c>
      <c r="J16" s="3649" t="s">
        <v>4298</v>
      </c>
      <c r="K16" s="3649" t="s">
        <v>1833</v>
      </c>
      <c r="L16" s="3649" t="s">
        <v>4298</v>
      </c>
      <c r="M16" s="3649" t="s">
        <v>1833</v>
      </c>
    </row>
    <row r="17" spans="4:13" ht="12" customHeight="1">
      <c r="D17" s="3651">
        <v>1</v>
      </c>
      <c r="E17" s="3651">
        <v>2</v>
      </c>
      <c r="F17" s="3651">
        <v>3</v>
      </c>
      <c r="G17" s="3651">
        <v>4</v>
      </c>
      <c r="H17" s="3651">
        <v>5</v>
      </c>
      <c r="I17" s="3651">
        <v>6</v>
      </c>
      <c r="J17" s="3651">
        <v>7</v>
      </c>
      <c r="K17" s="3651">
        <v>8</v>
      </c>
      <c r="L17" s="3651">
        <v>9</v>
      </c>
      <c r="M17" s="3651">
        <v>10</v>
      </c>
    </row>
    <row r="18" spans="4:13" s="3652" customFormat="1" ht="45" customHeight="1">
      <c r="D18" s="3653" t="s">
        <v>42</v>
      </c>
      <c r="E18" s="3654">
        <v>100</v>
      </c>
      <c r="F18" s="3658">
        <f t="shared" ref="F18:M18" si="0">SUM(F19,F29:F35)</f>
        <v>0</v>
      </c>
      <c r="G18" s="3658">
        <f t="shared" si="0"/>
        <v>0</v>
      </c>
      <c r="H18" s="3658">
        <f t="shared" si="0"/>
        <v>0</v>
      </c>
      <c r="I18" s="3658">
        <f t="shared" si="0"/>
        <v>0</v>
      </c>
      <c r="J18" s="3658">
        <f t="shared" si="0"/>
        <v>0</v>
      </c>
      <c r="K18" s="3658">
        <f t="shared" si="0"/>
        <v>0</v>
      </c>
      <c r="L18" s="3658">
        <f t="shared" si="0"/>
        <v>0</v>
      </c>
      <c r="M18" s="3658">
        <f t="shared" si="0"/>
        <v>0</v>
      </c>
    </row>
    <row r="19" spans="4:13" s="3652" customFormat="1" ht="45" customHeight="1">
      <c r="D19" s="3677" t="s">
        <v>4050</v>
      </c>
      <c r="E19" s="3649" t="s">
        <v>4433</v>
      </c>
      <c r="F19" s="3658">
        <f t="shared" ref="F19:M19" si="1">SUM(F20:F28)</f>
        <v>0</v>
      </c>
      <c r="G19" s="3658">
        <f t="shared" si="1"/>
        <v>0</v>
      </c>
      <c r="H19" s="3658">
        <f t="shared" si="1"/>
        <v>0</v>
      </c>
      <c r="I19" s="3658">
        <f t="shared" si="1"/>
        <v>0</v>
      </c>
      <c r="J19" s="3658">
        <f t="shared" si="1"/>
        <v>0</v>
      </c>
      <c r="K19" s="3658">
        <f t="shared" si="1"/>
        <v>0</v>
      </c>
      <c r="L19" s="3658">
        <f t="shared" si="1"/>
        <v>0</v>
      </c>
      <c r="M19" s="3658">
        <f t="shared" si="1"/>
        <v>0</v>
      </c>
    </row>
    <row r="20" spans="4:13" ht="12" customHeight="1">
      <c r="D20" s="3659" t="s">
        <v>4304</v>
      </c>
      <c r="E20" s="3649" t="s">
        <v>4532</v>
      </c>
      <c r="F20" s="3676"/>
      <c r="G20" s="3676"/>
      <c r="H20" s="3676"/>
      <c r="I20" s="3676"/>
      <c r="J20" s="3676"/>
      <c r="K20" s="3676"/>
      <c r="L20" s="3658">
        <f t="shared" ref="L20:M35" si="2">SUM(F20,H20,J20)</f>
        <v>0</v>
      </c>
      <c r="M20" s="3658">
        <f t="shared" si="2"/>
        <v>0</v>
      </c>
    </row>
    <row r="21" spans="4:13" ht="12" customHeight="1">
      <c r="D21" s="3659" t="s">
        <v>4306</v>
      </c>
      <c r="E21" s="3649" t="s">
        <v>4533</v>
      </c>
      <c r="F21" s="3676"/>
      <c r="G21" s="3676"/>
      <c r="H21" s="3676"/>
      <c r="I21" s="3676"/>
      <c r="J21" s="3676"/>
      <c r="K21" s="3676"/>
      <c r="L21" s="3658">
        <f t="shared" si="2"/>
        <v>0</v>
      </c>
      <c r="M21" s="3658">
        <f t="shared" si="2"/>
        <v>0</v>
      </c>
    </row>
    <row r="22" spans="4:13" ht="12" customHeight="1">
      <c r="D22" s="3659" t="s">
        <v>4308</v>
      </c>
      <c r="E22" s="3649" t="s">
        <v>4534</v>
      </c>
      <c r="F22" s="3676"/>
      <c r="G22" s="3676"/>
      <c r="H22" s="3676"/>
      <c r="I22" s="3676"/>
      <c r="J22" s="3676"/>
      <c r="K22" s="3676"/>
      <c r="L22" s="3658">
        <f t="shared" si="2"/>
        <v>0</v>
      </c>
      <c r="M22" s="3658">
        <f t="shared" si="2"/>
        <v>0</v>
      </c>
    </row>
    <row r="23" spans="4:13" ht="12" customHeight="1">
      <c r="D23" s="3659" t="s">
        <v>4310</v>
      </c>
      <c r="E23" s="3649" t="s">
        <v>4535</v>
      </c>
      <c r="F23" s="3676"/>
      <c r="G23" s="3676"/>
      <c r="H23" s="3676"/>
      <c r="I23" s="3676"/>
      <c r="J23" s="3676"/>
      <c r="K23" s="3676"/>
      <c r="L23" s="3658">
        <f t="shared" si="2"/>
        <v>0</v>
      </c>
      <c r="M23" s="3658">
        <f t="shared" si="2"/>
        <v>0</v>
      </c>
    </row>
    <row r="24" spans="4:13" ht="12" customHeight="1">
      <c r="D24" s="3659" t="s">
        <v>4312</v>
      </c>
      <c r="E24" s="3649" t="s">
        <v>4536</v>
      </c>
      <c r="F24" s="3676"/>
      <c r="G24" s="3676"/>
      <c r="H24" s="3676"/>
      <c r="I24" s="3676"/>
      <c r="J24" s="3676"/>
      <c r="K24" s="3676"/>
      <c r="L24" s="3658">
        <f t="shared" si="2"/>
        <v>0</v>
      </c>
      <c r="M24" s="3658">
        <f t="shared" si="2"/>
        <v>0</v>
      </c>
    </row>
    <row r="25" spans="4:13" ht="12" customHeight="1">
      <c r="D25" s="3659" t="s">
        <v>4314</v>
      </c>
      <c r="E25" s="3649" t="s">
        <v>4537</v>
      </c>
      <c r="F25" s="3676"/>
      <c r="G25" s="3676"/>
      <c r="H25" s="3676"/>
      <c r="I25" s="3676"/>
      <c r="J25" s="3676"/>
      <c r="K25" s="3676"/>
      <c r="L25" s="3658">
        <f t="shared" si="2"/>
        <v>0</v>
      </c>
      <c r="M25" s="3658">
        <f t="shared" si="2"/>
        <v>0</v>
      </c>
    </row>
    <row r="26" spans="4:13" ht="12" customHeight="1">
      <c r="D26" s="3659" t="s">
        <v>4316</v>
      </c>
      <c r="E26" s="3649" t="s">
        <v>4538</v>
      </c>
      <c r="F26" s="3676"/>
      <c r="G26" s="3676"/>
      <c r="H26" s="3676"/>
      <c r="I26" s="3676"/>
      <c r="J26" s="3676"/>
      <c r="K26" s="3676"/>
      <c r="L26" s="3658">
        <f t="shared" si="2"/>
        <v>0</v>
      </c>
      <c r="M26" s="3658">
        <f t="shared" si="2"/>
        <v>0</v>
      </c>
    </row>
    <row r="27" spans="4:13" ht="12" customHeight="1">
      <c r="D27" s="3659" t="s">
        <v>4318</v>
      </c>
      <c r="E27" s="3649" t="s">
        <v>4539</v>
      </c>
      <c r="F27" s="3676"/>
      <c r="G27" s="3676"/>
      <c r="H27" s="3676"/>
      <c r="I27" s="3676"/>
      <c r="J27" s="3676"/>
      <c r="K27" s="3676"/>
      <c r="L27" s="3658">
        <f t="shared" si="2"/>
        <v>0</v>
      </c>
      <c r="M27" s="3658">
        <f t="shared" si="2"/>
        <v>0</v>
      </c>
    </row>
    <row r="28" spans="4:13" ht="12" customHeight="1">
      <c r="D28" s="3659" t="s">
        <v>4320</v>
      </c>
      <c r="E28" s="3649" t="s">
        <v>4540</v>
      </c>
      <c r="F28" s="3676"/>
      <c r="G28" s="3676"/>
      <c r="H28" s="3676"/>
      <c r="I28" s="3676"/>
      <c r="J28" s="3676"/>
      <c r="K28" s="3676"/>
      <c r="L28" s="3658">
        <f t="shared" si="2"/>
        <v>0</v>
      </c>
      <c r="M28" s="3658">
        <f t="shared" si="2"/>
        <v>0</v>
      </c>
    </row>
    <row r="29" spans="4:13" ht="12" customHeight="1">
      <c r="D29" s="3662" t="s">
        <v>516</v>
      </c>
      <c r="E29" s="3649" t="s">
        <v>1688</v>
      </c>
      <c r="F29" s="3676"/>
      <c r="G29" s="3676"/>
      <c r="H29" s="3676"/>
      <c r="I29" s="3676"/>
      <c r="J29" s="3676"/>
      <c r="K29" s="3676"/>
      <c r="L29" s="3658">
        <f t="shared" si="2"/>
        <v>0</v>
      </c>
      <c r="M29" s="3658">
        <f t="shared" si="2"/>
        <v>0</v>
      </c>
    </row>
    <row r="30" spans="4:13" ht="12" customHeight="1">
      <c r="D30" s="3662" t="s">
        <v>517</v>
      </c>
      <c r="E30" s="3649" t="s">
        <v>4541</v>
      </c>
      <c r="F30" s="3676"/>
      <c r="G30" s="3676"/>
      <c r="H30" s="3676"/>
      <c r="I30" s="3676"/>
      <c r="J30" s="3676"/>
      <c r="K30" s="3676"/>
      <c r="L30" s="3658">
        <f t="shared" si="2"/>
        <v>0</v>
      </c>
      <c r="M30" s="3658">
        <f t="shared" si="2"/>
        <v>0</v>
      </c>
    </row>
    <row r="31" spans="4:13" ht="12" customHeight="1">
      <c r="D31" s="3662" t="s">
        <v>518</v>
      </c>
      <c r="E31" s="3649" t="s">
        <v>4542</v>
      </c>
      <c r="F31" s="3676"/>
      <c r="G31" s="3676"/>
      <c r="H31" s="3676"/>
      <c r="I31" s="3676"/>
      <c r="J31" s="3676"/>
      <c r="K31" s="3676"/>
      <c r="L31" s="3658">
        <f t="shared" si="2"/>
        <v>0</v>
      </c>
      <c r="M31" s="3658">
        <f t="shared" si="2"/>
        <v>0</v>
      </c>
    </row>
    <row r="32" spans="4:13" ht="12" customHeight="1">
      <c r="D32" s="3662" t="s">
        <v>519</v>
      </c>
      <c r="E32" s="3649" t="s">
        <v>4543</v>
      </c>
      <c r="F32" s="3676"/>
      <c r="G32" s="3676"/>
      <c r="H32" s="3676"/>
      <c r="I32" s="3676"/>
      <c r="J32" s="3676"/>
      <c r="K32" s="3676"/>
      <c r="L32" s="3658">
        <f t="shared" si="2"/>
        <v>0</v>
      </c>
      <c r="M32" s="3658">
        <f t="shared" si="2"/>
        <v>0</v>
      </c>
    </row>
    <row r="33" spans="4:13" ht="12" customHeight="1">
      <c r="D33" s="3662" t="s">
        <v>520</v>
      </c>
      <c r="E33" s="3649" t="s">
        <v>4544</v>
      </c>
      <c r="F33" s="3676"/>
      <c r="G33" s="3676"/>
      <c r="H33" s="3676"/>
      <c r="I33" s="3676"/>
      <c r="J33" s="3676"/>
      <c r="K33" s="3676"/>
      <c r="L33" s="3658">
        <f t="shared" si="2"/>
        <v>0</v>
      </c>
      <c r="M33" s="3658">
        <f t="shared" si="2"/>
        <v>0</v>
      </c>
    </row>
    <row r="34" spans="4:13" ht="12" customHeight="1">
      <c r="D34" s="3662" t="s">
        <v>521</v>
      </c>
      <c r="E34" s="3649" t="s">
        <v>4545</v>
      </c>
      <c r="F34" s="3676"/>
      <c r="G34" s="3676"/>
      <c r="H34" s="3676"/>
      <c r="I34" s="3676"/>
      <c r="J34" s="3676"/>
      <c r="K34" s="3676"/>
      <c r="L34" s="3658">
        <f t="shared" si="2"/>
        <v>0</v>
      </c>
      <c r="M34" s="3658">
        <f t="shared" si="2"/>
        <v>0</v>
      </c>
    </row>
    <row r="35" spans="4:13" ht="12" customHeight="1">
      <c r="D35" s="3662" t="s">
        <v>4060</v>
      </c>
      <c r="E35" s="3649" t="s">
        <v>4546</v>
      </c>
      <c r="F35" s="3676"/>
      <c r="G35" s="3676"/>
      <c r="H35" s="3676"/>
      <c r="I35" s="3676"/>
      <c r="J35" s="3676"/>
      <c r="K35" s="3676"/>
      <c r="L35" s="3658">
        <f t="shared" si="2"/>
        <v>0</v>
      </c>
      <c r="M35" s="3658">
        <f t="shared" si="2"/>
        <v>0</v>
      </c>
    </row>
    <row r="36" spans="4:13" ht="45" customHeight="1">
      <c r="D36" s="3653" t="s">
        <v>4070</v>
      </c>
      <c r="E36" s="3654" t="s">
        <v>4366</v>
      </c>
      <c r="F36" s="3655">
        <f t="shared" ref="F36:M36" si="3">SUM(F37:F38)</f>
        <v>0</v>
      </c>
      <c r="G36" s="3655">
        <f t="shared" si="3"/>
        <v>0</v>
      </c>
      <c r="H36" s="3655">
        <f t="shared" si="3"/>
        <v>0</v>
      </c>
      <c r="I36" s="3655">
        <f t="shared" si="3"/>
        <v>0</v>
      </c>
      <c r="J36" s="3655">
        <f t="shared" si="3"/>
        <v>0</v>
      </c>
      <c r="K36" s="3655">
        <f t="shared" si="3"/>
        <v>0</v>
      </c>
      <c r="L36" s="3655">
        <f t="shared" si="3"/>
        <v>0</v>
      </c>
      <c r="M36" s="3655">
        <f t="shared" si="3"/>
        <v>0</v>
      </c>
    </row>
    <row r="37" spans="4:13" ht="24.75" customHeight="1">
      <c r="D37" s="3677" t="s">
        <v>4071</v>
      </c>
      <c r="E37" s="3649" t="s">
        <v>4367</v>
      </c>
      <c r="F37" s="3661"/>
      <c r="G37" s="3661"/>
      <c r="H37" s="3661"/>
      <c r="I37" s="3661"/>
      <c r="J37" s="3661"/>
      <c r="K37" s="3661"/>
      <c r="L37" s="3658">
        <f>SUM(F37,H37,J37)</f>
        <v>0</v>
      </c>
      <c r="M37" s="3658">
        <f>SUM(G37,I37,K37)</f>
        <v>0</v>
      </c>
    </row>
    <row r="38" spans="4:13" ht="24.75" customHeight="1">
      <c r="D38" s="3677" t="s">
        <v>4072</v>
      </c>
      <c r="E38" s="3649" t="s">
        <v>4377</v>
      </c>
      <c r="F38" s="3676"/>
      <c r="G38" s="3676"/>
      <c r="H38" s="3676"/>
      <c r="I38" s="3676"/>
      <c r="J38" s="3676"/>
      <c r="K38" s="3676"/>
      <c r="L38" s="3658">
        <f>SUM(F38,H38,J38)</f>
        <v>0</v>
      </c>
      <c r="M38" s="3658">
        <f>SUM(G38,I38,K38)</f>
        <v>0</v>
      </c>
    </row>
    <row r="39" spans="4:13" ht="45" customHeight="1">
      <c r="D39" s="3653" t="s">
        <v>527</v>
      </c>
      <c r="E39" s="3654" t="s">
        <v>4556</v>
      </c>
      <c r="F39" s="3655">
        <f t="shared" ref="F39:M39" si="4">SUM(F18,F36)</f>
        <v>0</v>
      </c>
      <c r="G39" s="3655">
        <f t="shared" si="4"/>
        <v>0</v>
      </c>
      <c r="H39" s="3655">
        <f t="shared" si="4"/>
        <v>0</v>
      </c>
      <c r="I39" s="3655">
        <f t="shared" si="4"/>
        <v>0</v>
      </c>
      <c r="J39" s="3655">
        <f t="shared" si="4"/>
        <v>0</v>
      </c>
      <c r="K39" s="3655">
        <f t="shared" si="4"/>
        <v>0</v>
      </c>
      <c r="L39" s="3655">
        <f t="shared" si="4"/>
        <v>0</v>
      </c>
      <c r="M39" s="3655">
        <f t="shared" si="4"/>
        <v>0</v>
      </c>
    </row>
  </sheetData>
  <sheetProtection formatColumns="0" formatRows="0" insertRows="0" deleteColumns="0" deleteRows="0" sort="0" autoFilter="0"/>
  <mergeCells count="10">
    <mergeCell ref="J12:J15"/>
    <mergeCell ref="K12:K15"/>
    <mergeCell ref="L12:L15"/>
    <mergeCell ref="M12:M15"/>
    <mergeCell ref="D12:D16"/>
    <mergeCell ref="E12:E16"/>
    <mergeCell ref="F12:F15"/>
    <mergeCell ref="G12:G15"/>
    <mergeCell ref="H12:H15"/>
    <mergeCell ref="I12:I15"/>
  </mergeCells>
  <printOptions horizontalCentered="1"/>
  <pageMargins left="0.24" right="0.24" top="0.24" bottom="0.24" header="0.24" footer="0.24"/>
  <pageSetup paperSize="9" scale="46" fitToHeight="0" orientation="landscape"/>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3DBDB"/>
    <pageSetUpPr fitToPage="1"/>
  </sheetPr>
  <dimension ref="A1:J45"/>
  <sheetViews>
    <sheetView showGridLines="0" topLeftCell="C7" workbookViewId="0">
      <selection activeCell="G33" sqref="G33"/>
    </sheetView>
  </sheetViews>
  <sheetFormatPr defaultColWidth="9.140625" defaultRowHeight="10.5" customHeight="1"/>
  <cols>
    <col min="1" max="2" width="4.7109375" style="3637" hidden="1" customWidth="1"/>
    <col min="3" max="3" width="2.7109375" style="3637" customWidth="1"/>
    <col min="4" max="4" width="70.7109375" style="3637" customWidth="1"/>
    <col min="5" max="5" width="6.7109375" style="3637" customWidth="1"/>
    <col min="6" max="10" width="19.7109375" style="3637" customWidth="1"/>
    <col min="11" max="16384" width="9.140625" style="3560"/>
  </cols>
  <sheetData>
    <row r="1" spans="1:10" ht="10.5" hidden="1" customHeight="1"/>
    <row r="2" spans="1:10" ht="10.5" hidden="1" customHeight="1"/>
    <row r="3" spans="1:10" ht="10.5" hidden="1" customHeight="1">
      <c r="F3" s="3641" t="s">
        <v>4557</v>
      </c>
      <c r="G3" s="3641" t="s">
        <v>4558</v>
      </c>
      <c r="H3" s="3641" t="s">
        <v>4559</v>
      </c>
      <c r="I3" s="3641" t="s">
        <v>4560</v>
      </c>
      <c r="J3" s="3641" t="s">
        <v>4554</v>
      </c>
    </row>
    <row r="4" spans="1:10" ht="10.5" hidden="1" customHeight="1">
      <c r="B4" s="3642"/>
      <c r="C4" s="3642"/>
      <c r="D4" s="3642"/>
    </row>
    <row r="5" spans="1:10" ht="10.5" hidden="1" customHeight="1">
      <c r="A5" s="3642"/>
    </row>
    <row r="6" spans="1:10" ht="10.5" hidden="1" customHeight="1">
      <c r="A6" s="3642"/>
    </row>
    <row r="7" spans="1:10" ht="6" customHeight="1">
      <c r="A7" s="3642"/>
      <c r="J7" s="3679"/>
    </row>
    <row r="8" spans="1:10" ht="12" customHeight="1">
      <c r="A8" s="3642"/>
      <c r="D8" s="3664" t="s">
        <v>632</v>
      </c>
    </row>
    <row r="9" spans="1:10" ht="12" hidden="1" customHeight="1">
      <c r="A9" s="3642"/>
      <c r="D9" s="3680"/>
    </row>
    <row r="10" spans="1:10" ht="12" customHeight="1">
      <c r="A10" s="3642"/>
      <c r="D10" s="3646" t="e">
        <f>IF(ORG="","Не определено",ORG)</f>
        <v>#NAME?</v>
      </c>
      <c r="J10" s="3647" t="s">
        <v>4287</v>
      </c>
    </row>
    <row r="11" spans="1:10" ht="6" customHeight="1">
      <c r="D11" s="3666"/>
      <c r="H11" s="3644"/>
      <c r="I11" s="3644"/>
    </row>
    <row r="12" spans="1:10" ht="12" customHeight="1">
      <c r="D12" s="4770" t="s">
        <v>633</v>
      </c>
      <c r="E12" s="4770" t="s">
        <v>498</v>
      </c>
      <c r="F12" s="4770" t="s">
        <v>4425</v>
      </c>
      <c r="G12" s="4770" t="s">
        <v>4426</v>
      </c>
      <c r="H12" s="4770" t="s">
        <v>4561</v>
      </c>
      <c r="I12" s="4770" t="s">
        <v>4295</v>
      </c>
      <c r="J12" s="4770" t="s">
        <v>4562</v>
      </c>
    </row>
    <row r="13" spans="1:10" ht="12" customHeight="1">
      <c r="D13" s="4770"/>
      <c r="E13" s="4770"/>
      <c r="F13" s="4770"/>
      <c r="G13" s="4770"/>
      <c r="H13" s="4770"/>
      <c r="I13" s="4770"/>
      <c r="J13" s="4770"/>
    </row>
    <row r="14" spans="1:10" ht="12" customHeight="1">
      <c r="D14" s="4770"/>
      <c r="E14" s="4770"/>
      <c r="F14" s="4770"/>
      <c r="G14" s="4770"/>
      <c r="H14" s="4770"/>
      <c r="I14" s="4770"/>
      <c r="J14" s="4770"/>
    </row>
    <row r="15" spans="1:10" ht="12" customHeight="1">
      <c r="D15" s="4770"/>
      <c r="E15" s="4770"/>
      <c r="F15" s="4770"/>
      <c r="G15" s="4770"/>
      <c r="H15" s="4770"/>
      <c r="I15" s="4770"/>
      <c r="J15" s="4770"/>
    </row>
    <row r="16" spans="1:10" ht="12" customHeight="1">
      <c r="D16" s="4770"/>
      <c r="E16" s="4770"/>
      <c r="F16" s="3681" t="s">
        <v>4298</v>
      </c>
      <c r="G16" s="3681" t="s">
        <v>1833</v>
      </c>
      <c r="H16" s="3681" t="s">
        <v>420</v>
      </c>
      <c r="I16" s="3681" t="s">
        <v>1833</v>
      </c>
      <c r="J16" s="3681" t="s">
        <v>1833</v>
      </c>
    </row>
    <row r="17" spans="4:10" ht="12" customHeight="1">
      <c r="D17" s="3682">
        <v>1</v>
      </c>
      <c r="E17" s="3682">
        <v>2</v>
      </c>
      <c r="F17" s="3682">
        <v>3</v>
      </c>
      <c r="G17" s="3682">
        <v>4</v>
      </c>
      <c r="H17" s="3682">
        <v>5</v>
      </c>
      <c r="I17" s="3682">
        <v>6</v>
      </c>
      <c r="J17" s="3682">
        <v>7</v>
      </c>
    </row>
    <row r="18" spans="4:10" ht="15" customHeight="1">
      <c r="D18" s="3635" t="s">
        <v>638</v>
      </c>
      <c r="E18" s="3657" t="s">
        <v>4300</v>
      </c>
      <c r="F18" s="3683">
        <f>SUM(F19:F22,F25:F26,F28,F32:F36)</f>
        <v>57965.807000000001</v>
      </c>
      <c r="G18" s="3683">
        <f>SUM(G19:G20,G25:G26,G28,G32:G36)</f>
        <v>303440.08663999999</v>
      </c>
      <c r="H18" s="3683">
        <f>SUM(H20:H24,H27:H36)</f>
        <v>15.478999999999999</v>
      </c>
      <c r="I18" s="3683">
        <f>SUM(I20,I23:I24,I27:I36)</f>
        <v>25852.945390000001</v>
      </c>
      <c r="J18" s="3683">
        <f>SUM(G18,I18,J21:J22)</f>
        <v>329293.03203</v>
      </c>
    </row>
    <row r="19" spans="4:10" ht="15" customHeight="1">
      <c r="D19" s="3677" t="s">
        <v>639</v>
      </c>
      <c r="E19" s="3649" t="s">
        <v>4563</v>
      </c>
      <c r="F19" s="3684"/>
      <c r="G19" s="3684"/>
      <c r="H19" s="3685"/>
      <c r="I19" s="3685"/>
      <c r="J19" s="3683">
        <f>G19</f>
        <v>0</v>
      </c>
    </row>
    <row r="20" spans="4:10" ht="15" customHeight="1">
      <c r="D20" s="3677" t="s">
        <v>641</v>
      </c>
      <c r="E20" s="3649" t="s">
        <v>4564</v>
      </c>
      <c r="F20" s="3684"/>
      <c r="G20" s="3684"/>
      <c r="H20" s="3684"/>
      <c r="I20" s="3684"/>
      <c r="J20" s="3683">
        <f>SUM(G20,I20)</f>
        <v>0</v>
      </c>
    </row>
    <row r="21" spans="4:10" ht="15" customHeight="1">
      <c r="D21" s="3677" t="s">
        <v>642</v>
      </c>
      <c r="E21" s="3649" t="s">
        <v>4565</v>
      </c>
      <c r="F21" s="3684"/>
      <c r="G21" s="3685"/>
      <c r="H21" s="3684"/>
      <c r="I21" s="3685"/>
      <c r="J21" s="3684"/>
    </row>
    <row r="22" spans="4:10" ht="15" customHeight="1">
      <c r="D22" s="3677" t="s">
        <v>643</v>
      </c>
      <c r="E22" s="3649" t="s">
        <v>4566</v>
      </c>
      <c r="F22" s="3684"/>
      <c r="G22" s="3685"/>
      <c r="H22" s="3684"/>
      <c r="I22" s="3685"/>
      <c r="J22" s="3684"/>
    </row>
    <row r="23" spans="4:10" ht="15" customHeight="1">
      <c r="D23" s="3677" t="s">
        <v>644</v>
      </c>
      <c r="E23" s="3649" t="s">
        <v>4567</v>
      </c>
      <c r="F23" s="3685"/>
      <c r="G23" s="3685"/>
      <c r="H23" s="3684"/>
      <c r="I23" s="3684"/>
      <c r="J23" s="3683">
        <f>I23</f>
        <v>0</v>
      </c>
    </row>
    <row r="24" spans="4:10" ht="15" customHeight="1">
      <c r="D24" s="3677" t="s">
        <v>4568</v>
      </c>
      <c r="E24" s="3649" t="s">
        <v>4569</v>
      </c>
      <c r="F24" s="3685"/>
      <c r="G24" s="3685"/>
      <c r="H24" s="3684"/>
      <c r="I24" s="3684"/>
      <c r="J24" s="3683">
        <f>I24</f>
        <v>0</v>
      </c>
    </row>
    <row r="25" spans="4:10" ht="15" customHeight="1">
      <c r="D25" s="3677" t="s">
        <v>645</v>
      </c>
      <c r="E25" s="3649" t="s">
        <v>4570</v>
      </c>
      <c r="F25" s="3684">
        <f>ОРЭМ!C137</f>
        <v>367.52499999999998</v>
      </c>
      <c r="G25" s="3684">
        <f>ОРЭМ!C143/1000</f>
        <v>158.10037</v>
      </c>
      <c r="H25" s="3685"/>
      <c r="I25" s="3685"/>
      <c r="J25" s="3683">
        <f>G25</f>
        <v>158.10037</v>
      </c>
    </row>
    <row r="26" spans="4:10" ht="15" customHeight="1">
      <c r="D26" s="3662" t="s">
        <v>646</v>
      </c>
      <c r="E26" s="3649" t="s">
        <v>4571</v>
      </c>
      <c r="F26" s="3684">
        <f>ОРЭМ!C154</f>
        <v>418.16199999999998</v>
      </c>
      <c r="G26" s="3684">
        <f>ОРЭМ!C156/1000</f>
        <v>0</v>
      </c>
      <c r="H26" s="3685"/>
      <c r="I26" s="3685"/>
      <c r="J26" s="3683">
        <f>G26</f>
        <v>0</v>
      </c>
    </row>
    <row r="27" spans="4:10" ht="15" customHeight="1">
      <c r="D27" s="3677" t="s">
        <v>4572</v>
      </c>
      <c r="E27" s="3649" t="s">
        <v>4573</v>
      </c>
      <c r="F27" s="3685"/>
      <c r="G27" s="3685"/>
      <c r="H27" s="3684"/>
      <c r="I27" s="3684"/>
      <c r="J27" s="3683">
        <f>I27</f>
        <v>0</v>
      </c>
    </row>
    <row r="28" spans="4:10" ht="15" customHeight="1">
      <c r="D28" s="3677" t="s">
        <v>647</v>
      </c>
      <c r="E28" s="3649" t="s">
        <v>4433</v>
      </c>
      <c r="F28" s="3684"/>
      <c r="G28" s="3684"/>
      <c r="H28" s="3684"/>
      <c r="I28" s="3684"/>
      <c r="J28" s="3683">
        <f>SUM(G28,I28)</f>
        <v>0</v>
      </c>
    </row>
    <row r="29" spans="4:10" ht="15" customHeight="1">
      <c r="D29" s="3677" t="s">
        <v>648</v>
      </c>
      <c r="E29" s="3649" t="s">
        <v>4532</v>
      </c>
      <c r="F29" s="3685"/>
      <c r="G29" s="3685"/>
      <c r="H29" s="3684"/>
      <c r="I29" s="3684"/>
      <c r="J29" s="3683">
        <f>I29</f>
        <v>0</v>
      </c>
    </row>
    <row r="30" spans="4:10" ht="15" customHeight="1">
      <c r="D30" s="3677" t="s">
        <v>4574</v>
      </c>
      <c r="E30" s="3649" t="s">
        <v>4533</v>
      </c>
      <c r="F30" s="3685"/>
      <c r="G30" s="3685"/>
      <c r="H30" s="3684"/>
      <c r="I30" s="3684"/>
      <c r="J30" s="3683">
        <f>I30</f>
        <v>0</v>
      </c>
    </row>
    <row r="31" spans="4:10" ht="15" customHeight="1">
      <c r="D31" s="3677" t="s">
        <v>4575</v>
      </c>
      <c r="E31" s="3649" t="s">
        <v>4534</v>
      </c>
      <c r="F31" s="3685"/>
      <c r="G31" s="3685"/>
      <c r="H31" s="3684"/>
      <c r="I31" s="3684"/>
      <c r="J31" s="3683">
        <f>I31</f>
        <v>0</v>
      </c>
    </row>
    <row r="32" spans="4:10" ht="15" customHeight="1">
      <c r="D32" s="3677" t="s">
        <v>4576</v>
      </c>
      <c r="E32" s="3649" t="s">
        <v>4535</v>
      </c>
      <c r="F32" s="3684">
        <f>'Раздел I. А'!F18+'Раздел I. А'!T18+'Раздел I. А'!AH18+'Раздел I. А'!BJ18+'Раздел I. Б'!F91</f>
        <v>32349.881000000001</v>
      </c>
      <c r="G32" s="3684">
        <f>'Раздел I. А'!M18+'Раздел I. А'!AA18+'Раздел I. А'!AO18+'Раздел I. А'!BQ18+'Раздел I. Б'!G91</f>
        <v>246244.76651000002</v>
      </c>
      <c r="H32" s="3684">
        <f>'Раздел I. А'!AV18+'Раздел I. А'!BX18</f>
        <v>15.478999999999999</v>
      </c>
      <c r="I32" s="3684">
        <f>'Раздел I. А'!BC18+'Раздел I. А'!CE18+'Раздел I. А'!CS18</f>
        <v>25852.945390000001</v>
      </c>
      <c r="J32" s="3683">
        <f>SUM(G32,I32)</f>
        <v>272097.71189999999</v>
      </c>
    </row>
    <row r="33" spans="4:10" ht="15" customHeight="1">
      <c r="D33" s="3677" t="s">
        <v>4577</v>
      </c>
      <c r="E33" s="3649" t="s">
        <v>4578</v>
      </c>
      <c r="F33" s="3684"/>
      <c r="G33" s="3684"/>
      <c r="H33" s="3684"/>
      <c r="I33" s="3684"/>
      <c r="J33" s="3683">
        <f>SUM(G33,I33)</f>
        <v>0</v>
      </c>
    </row>
    <row r="34" spans="4:10" ht="15" customHeight="1">
      <c r="D34" s="3677" t="s">
        <v>4579</v>
      </c>
      <c r="E34" s="3649" t="s">
        <v>4580</v>
      </c>
      <c r="F34" s="3684"/>
      <c r="G34" s="3684"/>
      <c r="H34" s="3684"/>
      <c r="I34" s="3684"/>
      <c r="J34" s="3683">
        <f>SUM(G34,I34)</f>
        <v>0</v>
      </c>
    </row>
    <row r="35" spans="4:10" ht="27" customHeight="1">
      <c r="D35" s="3662" t="s">
        <v>4581</v>
      </c>
      <c r="E35" s="3649" t="s">
        <v>4582</v>
      </c>
      <c r="F35" s="3684">
        <f>'Раздел I. В'!F18</f>
        <v>24830.239000000001</v>
      </c>
      <c r="G35" s="3684">
        <f>'Раздел I. В'!H18</f>
        <v>57037.219759999993</v>
      </c>
      <c r="H35" s="3684"/>
      <c r="I35" s="3684"/>
      <c r="J35" s="3683">
        <f>SUM(G35,I35)</f>
        <v>57037.219759999993</v>
      </c>
    </row>
    <row r="36" spans="4:10" ht="27" customHeight="1">
      <c r="D36" s="3662" t="s">
        <v>4583</v>
      </c>
      <c r="E36" s="3649" t="s">
        <v>4584</v>
      </c>
      <c r="F36" s="3684"/>
      <c r="G36" s="3684"/>
      <c r="H36" s="3684"/>
      <c r="I36" s="3684"/>
      <c r="J36" s="3683">
        <f>SUM(G36,I36)</f>
        <v>0</v>
      </c>
    </row>
    <row r="37" spans="4:10" ht="15" customHeight="1">
      <c r="D37" s="3635" t="s">
        <v>653</v>
      </c>
      <c r="E37" s="3657" t="s">
        <v>4302</v>
      </c>
      <c r="F37" s="3684"/>
      <c r="G37" s="3685"/>
      <c r="H37" s="3684"/>
      <c r="I37" s="3685"/>
      <c r="J37" s="3685"/>
    </row>
    <row r="38" spans="4:10" ht="15" customHeight="1">
      <c r="D38" s="3635" t="s">
        <v>656</v>
      </c>
      <c r="E38" s="3657" t="s">
        <v>4329</v>
      </c>
      <c r="F38" s="3685"/>
      <c r="G38" s="3685"/>
      <c r="H38" s="3684"/>
      <c r="I38" s="3684"/>
      <c r="J38" s="3683">
        <f>I38</f>
        <v>0</v>
      </c>
    </row>
    <row r="39" spans="4:10" ht="15" customHeight="1">
      <c r="D39" s="3635" t="s">
        <v>654</v>
      </c>
      <c r="E39" s="3657" t="s">
        <v>4348</v>
      </c>
      <c r="F39" s="3685"/>
      <c r="G39" s="3685"/>
      <c r="H39" s="3684"/>
      <c r="I39" s="3684"/>
      <c r="J39" s="3683">
        <f>I39</f>
        <v>0</v>
      </c>
    </row>
    <row r="40" spans="4:10" ht="15" customHeight="1">
      <c r="D40" s="3635" t="s">
        <v>655</v>
      </c>
      <c r="E40" s="3657" t="s">
        <v>4366</v>
      </c>
      <c r="F40" s="3685"/>
      <c r="G40" s="3685"/>
      <c r="H40" s="3684"/>
      <c r="I40" s="3685"/>
      <c r="J40" s="3685"/>
    </row>
    <row r="41" spans="4:10" ht="15" customHeight="1">
      <c r="D41" s="3635" t="s">
        <v>4585</v>
      </c>
      <c r="E41" s="3657" t="s">
        <v>4556</v>
      </c>
      <c r="F41" s="3685"/>
      <c r="G41" s="3685"/>
      <c r="H41" s="3684"/>
      <c r="I41" s="3684"/>
      <c r="J41" s="3683">
        <f>I41</f>
        <v>0</v>
      </c>
    </row>
    <row r="42" spans="4:10" ht="72" customHeight="1">
      <c r="D42" s="3635" t="s">
        <v>4586</v>
      </c>
      <c r="E42" s="3657" t="s">
        <v>4384</v>
      </c>
      <c r="F42" s="3685"/>
      <c r="G42" s="3685"/>
      <c r="H42" s="3684"/>
      <c r="I42" s="3684"/>
      <c r="J42" s="3683">
        <f>I42</f>
        <v>0</v>
      </c>
    </row>
    <row r="43" spans="4:10" ht="48" customHeight="1">
      <c r="D43" s="3635" t="s">
        <v>4587</v>
      </c>
      <c r="E43" s="3657" t="s">
        <v>4588</v>
      </c>
      <c r="F43" s="3685"/>
      <c r="G43" s="3685"/>
      <c r="H43" s="3684"/>
      <c r="I43" s="3684"/>
      <c r="J43" s="3683">
        <f>I43</f>
        <v>0</v>
      </c>
    </row>
    <row r="44" spans="4:10" ht="48" customHeight="1">
      <c r="D44" s="3635" t="s">
        <v>4589</v>
      </c>
      <c r="E44" s="3657" t="s">
        <v>4590</v>
      </c>
      <c r="F44" s="3685"/>
      <c r="G44" s="3685"/>
      <c r="H44" s="3684"/>
      <c r="I44" s="3684"/>
      <c r="J44" s="3683">
        <f>I44</f>
        <v>0</v>
      </c>
    </row>
    <row r="45" spans="4:10" ht="78" customHeight="1">
      <c r="D45" s="3635" t="s">
        <v>4591</v>
      </c>
      <c r="E45" s="3657" t="s">
        <v>4592</v>
      </c>
      <c r="F45" s="3685"/>
      <c r="G45" s="3685"/>
      <c r="H45" s="3684"/>
      <c r="I45" s="3684"/>
      <c r="J45" s="3683">
        <f>I45</f>
        <v>0</v>
      </c>
    </row>
  </sheetData>
  <sheetProtection formatColumns="0" formatRows="0" insertRows="0" deleteColumns="0" deleteRows="0" sort="0" autoFilter="0"/>
  <mergeCells count="7">
    <mergeCell ref="J12:J15"/>
    <mergeCell ref="D12:D16"/>
    <mergeCell ref="E12:E16"/>
    <mergeCell ref="F12:F15"/>
    <mergeCell ref="G12:G15"/>
    <mergeCell ref="H12:H15"/>
    <mergeCell ref="I12:I15"/>
  </mergeCells>
  <printOptions horizontalCentered="1"/>
  <pageMargins left="0.24" right="0.24" top="0.24" bottom="0.24" header="0.24" footer="0.24"/>
  <pageSetup paperSize="9" scale="82" fitToHeight="0" orientation="landscape"/>
  <headerFooter>
    <oddHeader>&amp;L&amp;C&amp;R</oddHeader>
    <oddFooter>&amp;L&amp;C&amp;R</oddFooter>
    <evenHeader>&amp;L&amp;C&amp;R</evenHeader>
    <evenFooter>&amp;L&amp;C&amp;R</evenFooter>
  </headerFooter>
  <rowBreaks count="1" manualBreakCount="1">
    <brk id="36" max="1048576"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3DBDB"/>
    <pageSetUpPr fitToPage="1"/>
  </sheetPr>
  <dimension ref="A1:J41"/>
  <sheetViews>
    <sheetView showGridLines="0" topLeftCell="C7" workbookViewId="0">
      <selection activeCell="H29" sqref="H29"/>
    </sheetView>
  </sheetViews>
  <sheetFormatPr defaultColWidth="9.140625" defaultRowHeight="10.5" customHeight="1"/>
  <cols>
    <col min="1" max="2" width="4.7109375" style="3637" hidden="1" customWidth="1"/>
    <col min="3" max="3" width="2.7109375" style="3637" customWidth="1"/>
    <col min="4" max="4" width="70.7109375" style="3637" customWidth="1"/>
    <col min="5" max="5" width="6.7109375" style="3637" customWidth="1"/>
    <col min="6" max="10" width="19.7109375" style="3637" customWidth="1"/>
    <col min="11" max="16384" width="9.140625" style="3560"/>
  </cols>
  <sheetData>
    <row r="1" spans="1:10" ht="10.5" hidden="1" customHeight="1"/>
    <row r="2" spans="1:10" ht="10.5" hidden="1" customHeight="1"/>
    <row r="3" spans="1:10" ht="10.5" hidden="1" customHeight="1">
      <c r="F3" s="3641" t="s">
        <v>4557</v>
      </c>
      <c r="G3" s="3641" t="s">
        <v>4558</v>
      </c>
      <c r="H3" s="3641" t="s">
        <v>4559</v>
      </c>
      <c r="I3" s="3641" t="s">
        <v>4560</v>
      </c>
      <c r="J3" s="3641" t="s">
        <v>4554</v>
      </c>
    </row>
    <row r="4" spans="1:10" ht="10.5" hidden="1" customHeight="1">
      <c r="B4" s="3642"/>
      <c r="C4" s="3642"/>
      <c r="D4" s="3642"/>
    </row>
    <row r="5" spans="1:10" ht="10.5" hidden="1" customHeight="1">
      <c r="A5" s="3642"/>
    </row>
    <row r="6" spans="1:10" ht="10.5" hidden="1" customHeight="1">
      <c r="A6" s="3642"/>
    </row>
    <row r="7" spans="1:10" ht="6" customHeight="1">
      <c r="A7" s="3642"/>
      <c r="J7" s="3679"/>
    </row>
    <row r="8" spans="1:10" ht="12" customHeight="1">
      <c r="A8" s="3642"/>
      <c r="D8" s="3664" t="s">
        <v>657</v>
      </c>
    </row>
    <row r="9" spans="1:10" ht="12" hidden="1" customHeight="1">
      <c r="A9" s="3642"/>
      <c r="D9" s="3680"/>
    </row>
    <row r="10" spans="1:10" ht="12" customHeight="1">
      <c r="A10" s="3642"/>
      <c r="D10" s="3646" t="e">
        <f>IF(ORG="","Не определено",ORG)</f>
        <v>#NAME?</v>
      </c>
      <c r="J10" s="3647" t="s">
        <v>4593</v>
      </c>
    </row>
    <row r="11" spans="1:10" ht="6" customHeight="1">
      <c r="D11" s="3648"/>
      <c r="H11" s="3644"/>
      <c r="I11" s="3644"/>
    </row>
    <row r="12" spans="1:10" ht="12" customHeight="1">
      <c r="D12" s="4771" t="s">
        <v>633</v>
      </c>
      <c r="E12" s="4771" t="s">
        <v>498</v>
      </c>
      <c r="F12" s="4771" t="s">
        <v>4425</v>
      </c>
      <c r="G12" s="4771" t="s">
        <v>4426</v>
      </c>
      <c r="H12" s="4771" t="s">
        <v>4561</v>
      </c>
      <c r="I12" s="4771" t="s">
        <v>4295</v>
      </c>
      <c r="J12" s="4771" t="s">
        <v>4562</v>
      </c>
    </row>
    <row r="13" spans="1:10" ht="12" customHeight="1">
      <c r="D13" s="4772"/>
      <c r="E13" s="4772"/>
      <c r="F13" s="4772"/>
      <c r="G13" s="4772"/>
      <c r="H13" s="4772"/>
      <c r="I13" s="4772"/>
      <c r="J13" s="4772"/>
    </row>
    <row r="14" spans="1:10" ht="12" customHeight="1">
      <c r="D14" s="4772"/>
      <c r="E14" s="4772"/>
      <c r="F14" s="4772"/>
      <c r="G14" s="4772"/>
      <c r="H14" s="4772"/>
      <c r="I14" s="4772"/>
      <c r="J14" s="4772"/>
    </row>
    <row r="15" spans="1:10" ht="12" customHeight="1">
      <c r="D15" s="4772"/>
      <c r="E15" s="4772"/>
      <c r="F15" s="4773"/>
      <c r="G15" s="4773"/>
      <c r="H15" s="4773"/>
      <c r="I15" s="4773"/>
      <c r="J15" s="4773"/>
    </row>
    <row r="16" spans="1:10" ht="12" customHeight="1">
      <c r="D16" s="4773"/>
      <c r="E16" s="4773"/>
      <c r="F16" s="3681" t="s">
        <v>4298</v>
      </c>
      <c r="G16" s="3681" t="s">
        <v>1833</v>
      </c>
      <c r="H16" s="3681" t="s">
        <v>420</v>
      </c>
      <c r="I16" s="3681" t="s">
        <v>1833</v>
      </c>
      <c r="J16" s="3681" t="s">
        <v>1833</v>
      </c>
    </row>
    <row r="17" spans="4:10" ht="12" customHeight="1">
      <c r="D17" s="3686">
        <v>1</v>
      </c>
      <c r="E17" s="3686">
        <v>2</v>
      </c>
      <c r="F17" s="3686">
        <v>3</v>
      </c>
      <c r="G17" s="3686">
        <v>4</v>
      </c>
      <c r="H17" s="3686">
        <v>5</v>
      </c>
      <c r="I17" s="3686">
        <v>6</v>
      </c>
      <c r="J17" s="3686">
        <v>7</v>
      </c>
    </row>
    <row r="18" spans="4:10" ht="15" customHeight="1">
      <c r="D18" s="3635" t="s">
        <v>659</v>
      </c>
      <c r="E18" s="3657">
        <v>100</v>
      </c>
      <c r="F18" s="3683">
        <f>SUM(F19:F22,F25:F26,F28,F32:F36)</f>
        <v>57965.807000000212</v>
      </c>
      <c r="G18" s="3683">
        <f>SUM(G19:G20,G25:G26,G28,G32:G36)</f>
        <v>53818.308530000002</v>
      </c>
      <c r="H18" s="3683">
        <f>SUM(H20:H24,H27:H36)</f>
        <v>0</v>
      </c>
      <c r="I18" s="3683">
        <f>SUM(I20,I23:I24,I27:I36)</f>
        <v>0</v>
      </c>
      <c r="J18" s="3683">
        <f>SUM(G18,I18,J21:J22)</f>
        <v>53818.308530000002</v>
      </c>
    </row>
    <row r="19" spans="4:10" ht="15" customHeight="1">
      <c r="D19" s="3677" t="s">
        <v>639</v>
      </c>
      <c r="E19" s="3649" t="s">
        <v>4563</v>
      </c>
      <c r="F19" s="3684"/>
      <c r="G19" s="3684"/>
      <c r="H19" s="3685"/>
      <c r="I19" s="3685"/>
      <c r="J19" s="3683">
        <f>G19</f>
        <v>0</v>
      </c>
    </row>
    <row r="20" spans="4:10" ht="15" customHeight="1">
      <c r="D20" s="3677" t="s">
        <v>641</v>
      </c>
      <c r="E20" s="3649" t="s">
        <v>4564</v>
      </c>
      <c r="F20" s="3684">
        <f>'Раздел 4'!F15</f>
        <v>26300.028000000213</v>
      </c>
      <c r="G20" s="3684">
        <f>'Раздел 4'!G15</f>
        <v>0</v>
      </c>
      <c r="H20" s="3684">
        <f>'Раздел 4'!H15</f>
        <v>0</v>
      </c>
      <c r="I20" s="3684">
        <f>'Раздел 4'!I15</f>
        <v>0</v>
      </c>
      <c r="J20" s="3683">
        <f>SUM(G20,I20)</f>
        <v>0</v>
      </c>
    </row>
    <row r="21" spans="4:10" ht="15" customHeight="1">
      <c r="D21" s="3677" t="s">
        <v>642</v>
      </c>
      <c r="E21" s="3649" t="s">
        <v>4565</v>
      </c>
      <c r="F21" s="3684"/>
      <c r="G21" s="3685"/>
      <c r="H21" s="3684"/>
      <c r="I21" s="3685"/>
      <c r="J21" s="3684"/>
    </row>
    <row r="22" spans="4:10" ht="15" customHeight="1">
      <c r="D22" s="3677" t="s">
        <v>643</v>
      </c>
      <c r="E22" s="3649" t="s">
        <v>4566</v>
      </c>
      <c r="F22" s="3684"/>
      <c r="G22" s="3685"/>
      <c r="H22" s="3684"/>
      <c r="I22" s="3685"/>
      <c r="J22" s="3684"/>
    </row>
    <row r="23" spans="4:10" ht="15" customHeight="1">
      <c r="D23" s="3677" t="s">
        <v>644</v>
      </c>
      <c r="E23" s="3649" t="s">
        <v>4567</v>
      </c>
      <c r="F23" s="3685"/>
      <c r="G23" s="3685"/>
      <c r="H23" s="3684">
        <f>ОРЭМ!C222</f>
        <v>0</v>
      </c>
      <c r="I23" s="3684">
        <f>ОРЭМ!C224/1000</f>
        <v>0</v>
      </c>
      <c r="J23" s="3683">
        <f>I23</f>
        <v>0</v>
      </c>
    </row>
    <row r="24" spans="4:10" ht="15" customHeight="1">
      <c r="D24" s="3677" t="s">
        <v>4568</v>
      </c>
      <c r="E24" s="3649" t="s">
        <v>4569</v>
      </c>
      <c r="F24" s="3685"/>
      <c r="G24" s="3685"/>
      <c r="H24" s="3684">
        <f>ОРЭМ!C229</f>
        <v>0</v>
      </c>
      <c r="I24" s="3684">
        <f>ОРЭМ!C231/1000</f>
        <v>0</v>
      </c>
      <c r="J24" s="3683">
        <f>I24</f>
        <v>0</v>
      </c>
    </row>
    <row r="25" spans="4:10" ht="15" customHeight="1">
      <c r="D25" s="3677" t="s">
        <v>645</v>
      </c>
      <c r="E25" s="3649" t="s">
        <v>4570</v>
      </c>
      <c r="F25" s="3684">
        <f>ОРЭМ!C128</f>
        <v>31007.613000000001</v>
      </c>
      <c r="G25" s="3684">
        <f>ОРЭМ!C133/1000</f>
        <v>53818.308530000002</v>
      </c>
      <c r="H25" s="3685"/>
      <c r="I25" s="3685"/>
      <c r="J25" s="3683">
        <f>G25</f>
        <v>53818.308530000002</v>
      </c>
    </row>
    <row r="26" spans="4:10" ht="15" customHeight="1">
      <c r="D26" s="3662" t="s">
        <v>646</v>
      </c>
      <c r="E26" s="3649" t="s">
        <v>4571</v>
      </c>
      <c r="F26" s="3684">
        <f>ОРЭМ!C148</f>
        <v>658.16600000000005</v>
      </c>
      <c r="G26" s="3684">
        <f>ОРЭМ!C156/1000</f>
        <v>0</v>
      </c>
      <c r="H26" s="3685"/>
      <c r="I26" s="3685"/>
      <c r="J26" s="3683">
        <f>G26</f>
        <v>0</v>
      </c>
    </row>
    <row r="27" spans="4:10" ht="15" customHeight="1">
      <c r="D27" s="3677" t="s">
        <v>4572</v>
      </c>
      <c r="E27" s="3649" t="s">
        <v>4573</v>
      </c>
      <c r="F27" s="3685"/>
      <c r="G27" s="3685"/>
      <c r="H27" s="3684"/>
      <c r="I27" s="3684"/>
      <c r="J27" s="3683">
        <f>I27</f>
        <v>0</v>
      </c>
    </row>
    <row r="28" spans="4:10" ht="15" customHeight="1">
      <c r="D28" s="3677" t="s">
        <v>647</v>
      </c>
      <c r="E28" s="3649" t="s">
        <v>4433</v>
      </c>
      <c r="F28" s="3684"/>
      <c r="G28" s="3684"/>
      <c r="H28" s="3684"/>
      <c r="I28" s="3684"/>
      <c r="J28" s="3683">
        <f>SUM(G28,I28)</f>
        <v>0</v>
      </c>
    </row>
    <row r="29" spans="4:10" ht="15" customHeight="1">
      <c r="D29" s="3677" t="s">
        <v>648</v>
      </c>
      <c r="E29" s="3649" t="s">
        <v>4532</v>
      </c>
      <c r="F29" s="3685"/>
      <c r="G29" s="3685"/>
      <c r="H29" s="3684">
        <f>ОРЭМ!C265</f>
        <v>0</v>
      </c>
      <c r="I29" s="3684">
        <f>ОРЭМ!C267/1000</f>
        <v>0</v>
      </c>
      <c r="J29" s="3683">
        <f>I29</f>
        <v>0</v>
      </c>
    </row>
    <row r="30" spans="4:10" ht="15" customHeight="1">
      <c r="D30" s="3677" t="s">
        <v>4574</v>
      </c>
      <c r="E30" s="3649" t="s">
        <v>4533</v>
      </c>
      <c r="F30" s="3685"/>
      <c r="G30" s="3685"/>
      <c r="H30" s="3684">
        <f>ОРЭМ!C257</f>
        <v>0</v>
      </c>
      <c r="I30" s="3684">
        <f>ОРЭМ!C259/1000</f>
        <v>0</v>
      </c>
      <c r="J30" s="3683">
        <f>I30</f>
        <v>0</v>
      </c>
    </row>
    <row r="31" spans="4:10" ht="15" customHeight="1">
      <c r="D31" s="3677" t="s">
        <v>4575</v>
      </c>
      <c r="E31" s="3649" t="s">
        <v>4534</v>
      </c>
      <c r="F31" s="3685"/>
      <c r="G31" s="3685"/>
      <c r="H31" s="3684">
        <f>ОРЭМ!C236</f>
        <v>0</v>
      </c>
      <c r="I31" s="3684">
        <f>ОРЭМ!C238/1000</f>
        <v>0</v>
      </c>
      <c r="J31" s="3683">
        <f>I31</f>
        <v>0</v>
      </c>
    </row>
    <row r="32" spans="4:10" ht="15" customHeight="1">
      <c r="D32" s="3677" t="s">
        <v>4576</v>
      </c>
      <c r="E32" s="3649" t="s">
        <v>4535</v>
      </c>
      <c r="F32" s="3684"/>
      <c r="G32" s="3684"/>
      <c r="H32" s="3684"/>
      <c r="I32" s="3684"/>
      <c r="J32" s="3683">
        <f>SUM(G32,I32)</f>
        <v>0</v>
      </c>
    </row>
    <row r="33" spans="4:10" ht="15" customHeight="1">
      <c r="D33" s="3677" t="s">
        <v>4577</v>
      </c>
      <c r="E33" s="3649" t="s">
        <v>4578</v>
      </c>
      <c r="F33" s="3684"/>
      <c r="G33" s="3684"/>
      <c r="H33" s="3684"/>
      <c r="I33" s="3684"/>
      <c r="J33" s="3683">
        <f>SUM(G33,I33)</f>
        <v>0</v>
      </c>
    </row>
    <row r="34" spans="4:10" ht="15" customHeight="1">
      <c r="D34" s="3677" t="s">
        <v>4579</v>
      </c>
      <c r="E34" s="3649" t="s">
        <v>4580</v>
      </c>
      <c r="F34" s="3684"/>
      <c r="G34" s="3684"/>
      <c r="H34" s="3684"/>
      <c r="I34" s="3684"/>
      <c r="J34" s="3683">
        <f>SUM(G34,I34)</f>
        <v>0</v>
      </c>
    </row>
    <row r="35" spans="4:10" ht="27" customHeight="1">
      <c r="D35" s="3662" t="s">
        <v>4581</v>
      </c>
      <c r="E35" s="3649" t="s">
        <v>4582</v>
      </c>
      <c r="F35" s="3684"/>
      <c r="G35" s="3684"/>
      <c r="H35" s="3684"/>
      <c r="I35" s="3684"/>
      <c r="J35" s="3683">
        <f>SUM(G35,I35)</f>
        <v>0</v>
      </c>
    </row>
    <row r="36" spans="4:10" ht="27" customHeight="1">
      <c r="D36" s="3662" t="s">
        <v>4583</v>
      </c>
      <c r="E36" s="3649" t="s">
        <v>4584</v>
      </c>
      <c r="F36" s="3684"/>
      <c r="G36" s="3684"/>
      <c r="H36" s="3684"/>
      <c r="I36" s="3684"/>
      <c r="J36" s="3683">
        <f>SUM(G36,I36)</f>
        <v>0</v>
      </c>
    </row>
    <row r="37" spans="4:10" ht="15" customHeight="1">
      <c r="D37" s="3635" t="s">
        <v>4594</v>
      </c>
      <c r="E37" s="3657" t="s">
        <v>4302</v>
      </c>
      <c r="F37" s="3687">
        <f>-('Раздел III'!F18-'Раздел IV'!F18)</f>
        <v>2.1100277081131935E-10</v>
      </c>
      <c r="G37" s="3687">
        <f>-('Раздел III'!G18-'Раздел IV'!G18)</f>
        <v>-249621.77810999998</v>
      </c>
      <c r="H37" s="3687">
        <f>-('Раздел III'!H18-'Раздел IV'!H18)</f>
        <v>-15.478999999999999</v>
      </c>
      <c r="I37" s="3687">
        <f>-('Раздел III'!I18-'Раздел IV'!I18)</f>
        <v>-25852.945390000001</v>
      </c>
      <c r="J37" s="3687">
        <f>-('Раздел III'!J18-'Раздел IV'!J18)</f>
        <v>-275474.72350000002</v>
      </c>
    </row>
    <row r="38" spans="4:10" ht="15" customHeight="1">
      <c r="D38" s="3635" t="s">
        <v>661</v>
      </c>
      <c r="E38" s="3657" t="s">
        <v>4329</v>
      </c>
      <c r="F38" s="3684"/>
      <c r="G38" s="3685"/>
      <c r="H38" s="3684"/>
      <c r="I38" s="3685"/>
      <c r="J38" s="3685"/>
    </row>
    <row r="39" spans="4:10" ht="15" customHeight="1">
      <c r="D39" s="3635" t="s">
        <v>3987</v>
      </c>
      <c r="E39" s="3657" t="s">
        <v>4348</v>
      </c>
      <c r="F39" s="3683">
        <f>F40+F41</f>
        <v>0</v>
      </c>
      <c r="G39" s="3683">
        <f>G40+G41</f>
        <v>0</v>
      </c>
      <c r="H39" s="3683">
        <f>H40+H41</f>
        <v>0</v>
      </c>
      <c r="I39" s="3683">
        <f>I40+I41</f>
        <v>0</v>
      </c>
      <c r="J39" s="3683">
        <f>J40+J41</f>
        <v>0</v>
      </c>
    </row>
    <row r="40" spans="4:10" ht="27" customHeight="1">
      <c r="D40" s="3677" t="s">
        <v>4595</v>
      </c>
      <c r="E40" s="3649" t="s">
        <v>4349</v>
      </c>
      <c r="F40" s="3684"/>
      <c r="G40" s="3684"/>
      <c r="H40" s="3684"/>
      <c r="I40" s="3684"/>
      <c r="J40" s="3683">
        <f>SUM(G40,I40)</f>
        <v>0</v>
      </c>
    </row>
    <row r="41" spans="4:10" ht="15" customHeight="1">
      <c r="D41" s="3677" t="s">
        <v>4596</v>
      </c>
      <c r="E41" s="3649" t="s">
        <v>4359</v>
      </c>
      <c r="F41" s="3684"/>
      <c r="G41" s="3684"/>
      <c r="H41" s="3684"/>
      <c r="I41" s="3684"/>
      <c r="J41" s="3683">
        <f>SUM(G41,I41)</f>
        <v>0</v>
      </c>
    </row>
  </sheetData>
  <sheetProtection formatColumns="0" formatRows="0" insertRows="0" deleteColumns="0" deleteRows="0" sort="0" autoFilter="0"/>
  <mergeCells count="7">
    <mergeCell ref="J12:J15"/>
    <mergeCell ref="D12:D16"/>
    <mergeCell ref="E12:E16"/>
    <mergeCell ref="F12:F15"/>
    <mergeCell ref="G12:G15"/>
    <mergeCell ref="H12:H15"/>
    <mergeCell ref="I12:I15"/>
  </mergeCells>
  <printOptions horizontalCentered="1"/>
  <pageMargins left="0.24" right="0.24" top="0.24" bottom="0.24" header="0.24" footer="0.24"/>
  <pageSetup paperSize="9" scale="81" fitToHeight="0" orientation="landscape"/>
  <headerFooter>
    <oddHeader>&amp;L&amp;C&amp;R</oddHeader>
    <oddFooter>&amp;L&amp;C&amp;R</oddFooter>
    <evenHeader>&amp;L&amp;C&amp;R</evenHeader>
    <evenFooter>&amp;L&amp;C&amp;R</evenFooter>
  </headerFooter>
  <rowBreaks count="1" manualBreakCount="1">
    <brk id="36" max="1048576"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18"/>
  <sheetViews>
    <sheetView view="pageBreakPreview" topLeftCell="A34" zoomScale="130" zoomScaleNormal="100" zoomScaleSheetLayoutView="130" workbookViewId="0">
      <selection activeCell="A4" sqref="A4:F4"/>
    </sheetView>
  </sheetViews>
  <sheetFormatPr defaultColWidth="9.140625" defaultRowHeight="12.75"/>
  <cols>
    <col min="1" max="1" width="6.7109375" style="3765" customWidth="1"/>
    <col min="2" max="2" width="14.7109375" style="3766" customWidth="1"/>
    <col min="3" max="3" width="59.140625" style="3766" customWidth="1"/>
    <col min="4" max="4" width="30.42578125" style="3766" customWidth="1"/>
    <col min="5" max="5" width="11" style="3767" customWidth="1"/>
    <col min="6" max="6" width="16.7109375" style="3766" customWidth="1"/>
    <col min="7" max="16384" width="9.140625" style="3766"/>
  </cols>
  <sheetData>
    <row r="1" spans="1:6">
      <c r="C1" s="3768"/>
      <c r="D1" s="3768"/>
    </row>
    <row r="2" spans="1:6" s="3769" customFormat="1" ht="15">
      <c r="A2" s="4790" t="s">
        <v>4947</v>
      </c>
      <c r="B2" s="4790"/>
      <c r="C2" s="4790"/>
      <c r="D2" s="4790"/>
      <c r="E2" s="4790"/>
      <c r="F2" s="4790"/>
    </row>
    <row r="3" spans="1:6" s="3769" customFormat="1" ht="15">
      <c r="A3" s="4790" t="s">
        <v>4919</v>
      </c>
      <c r="B3" s="4790"/>
      <c r="C3" s="4790"/>
      <c r="D3" s="4790"/>
      <c r="E3" s="4790"/>
      <c r="F3" s="4790"/>
    </row>
    <row r="4" spans="1:6" s="3769" customFormat="1" ht="15">
      <c r="A4" s="4790" t="s">
        <v>5124</v>
      </c>
      <c r="B4" s="4790"/>
      <c r="C4" s="4790"/>
      <c r="D4" s="4790"/>
      <c r="E4" s="4790"/>
      <c r="F4" s="4790"/>
    </row>
    <row r="5" spans="1:6">
      <c r="A5" s="4791" t="s">
        <v>4920</v>
      </c>
      <c r="B5" s="4791"/>
      <c r="C5" s="4791"/>
      <c r="D5" s="4791"/>
      <c r="E5" s="4791"/>
      <c r="F5" s="4791"/>
    </row>
    <row r="7" spans="1:6" ht="12.75" customHeight="1">
      <c r="A7" s="4792" t="s">
        <v>4832</v>
      </c>
      <c r="B7" s="4792" t="s">
        <v>1437</v>
      </c>
      <c r="C7" s="4792"/>
      <c r="D7" s="4792"/>
      <c r="E7" s="4792" t="s">
        <v>4833</v>
      </c>
      <c r="F7" s="4792" t="s">
        <v>3835</v>
      </c>
    </row>
    <row r="8" spans="1:6" ht="12.75" customHeight="1">
      <c r="A8" s="4792"/>
      <c r="B8" s="4792"/>
      <c r="C8" s="4792"/>
      <c r="D8" s="4792"/>
      <c r="E8" s="4792"/>
      <c r="F8" s="4792"/>
    </row>
    <row r="9" spans="1:6" ht="45.75" customHeight="1">
      <c r="A9" s="4792"/>
      <c r="B9" s="4792"/>
      <c r="C9" s="4792"/>
      <c r="D9" s="4792"/>
      <c r="E9" s="4792"/>
      <c r="F9" s="4792"/>
    </row>
    <row r="10" spans="1:6">
      <c r="A10" s="4793" t="s">
        <v>25</v>
      </c>
      <c r="B10" s="4781" t="s">
        <v>4834</v>
      </c>
      <c r="C10" s="4781"/>
      <c r="D10" s="4781"/>
      <c r="E10" s="3770" t="s">
        <v>1341</v>
      </c>
      <c r="F10" s="3973">
        <f>SUM(F11:F14)</f>
        <v>30482046</v>
      </c>
    </row>
    <row r="11" spans="1:6">
      <c r="A11" s="4793"/>
      <c r="B11" s="4780" t="s">
        <v>9</v>
      </c>
      <c r="C11" s="4780"/>
      <c r="D11" s="4780"/>
      <c r="E11" s="3771" t="s">
        <v>1341</v>
      </c>
      <c r="F11" s="3974">
        <f>F16+F21</f>
        <v>0</v>
      </c>
    </row>
    <row r="12" spans="1:6">
      <c r="A12" s="4793"/>
      <c r="B12" s="4780" t="s">
        <v>409</v>
      </c>
      <c r="C12" s="4780"/>
      <c r="D12" s="4780"/>
      <c r="E12" s="3771" t="s">
        <v>1341</v>
      </c>
      <c r="F12" s="3974">
        <f>F17+F22</f>
        <v>2685312</v>
      </c>
    </row>
    <row r="13" spans="1:6">
      <c r="A13" s="4793"/>
      <c r="B13" s="4780" t="s">
        <v>411</v>
      </c>
      <c r="C13" s="4780"/>
      <c r="D13" s="4780"/>
      <c r="E13" s="3771" t="s">
        <v>1341</v>
      </c>
      <c r="F13" s="3974">
        <f>F18+F23</f>
        <v>17078414</v>
      </c>
    </row>
    <row r="14" spans="1:6">
      <c r="A14" s="4793"/>
      <c r="B14" s="4780" t="s">
        <v>12</v>
      </c>
      <c r="C14" s="4780"/>
      <c r="D14" s="4780"/>
      <c r="E14" s="3771" t="s">
        <v>1341</v>
      </c>
      <c r="F14" s="3974">
        <f>F19+F24</f>
        <v>10718320</v>
      </c>
    </row>
    <row r="15" spans="1:6" ht="12.75" customHeight="1">
      <c r="A15" s="4786" t="s">
        <v>339</v>
      </c>
      <c r="B15" s="4781" t="s">
        <v>4835</v>
      </c>
      <c r="C15" s="4781"/>
      <c r="D15" s="4781"/>
      <c r="E15" s="3770" t="s">
        <v>1341</v>
      </c>
      <c r="F15" s="3973">
        <f>SUM(F16:F19)</f>
        <v>26798798</v>
      </c>
    </row>
    <row r="16" spans="1:6">
      <c r="A16" s="4786"/>
      <c r="B16" s="4780" t="s">
        <v>9</v>
      </c>
      <c r="C16" s="4780"/>
      <c r="D16" s="4780"/>
      <c r="E16" s="3771" t="s">
        <v>1341</v>
      </c>
      <c r="F16" s="3974">
        <f>IFERROR('Шаблон 46 ГП'!D68+'Шаблон 46 ГП'!D71+'Шаблон 46 ГП'!D75,0)</f>
        <v>0</v>
      </c>
    </row>
    <row r="17" spans="1:6">
      <c r="A17" s="4786"/>
      <c r="B17" s="4780" t="s">
        <v>409</v>
      </c>
      <c r="C17" s="4780"/>
      <c r="D17" s="4780"/>
      <c r="E17" s="3771" t="s">
        <v>1341</v>
      </c>
      <c r="F17" s="3974">
        <f>'Прил.5 Акт об оказ.услуг'!E24*1000</f>
        <v>2685312</v>
      </c>
    </row>
    <row r="18" spans="1:6">
      <c r="A18" s="4786"/>
      <c r="B18" s="4780" t="s">
        <v>411</v>
      </c>
      <c r="C18" s="4780"/>
      <c r="D18" s="4780"/>
      <c r="E18" s="3771" t="s">
        <v>1341</v>
      </c>
      <c r="F18" s="3974">
        <f>'Прил.5 Акт об оказ.услуг'!E25*1000</f>
        <v>16975991</v>
      </c>
    </row>
    <row r="19" spans="1:6">
      <c r="A19" s="4786"/>
      <c r="B19" s="4780" t="s">
        <v>12</v>
      </c>
      <c r="C19" s="4780"/>
      <c r="D19" s="4780"/>
      <c r="E19" s="3771" t="s">
        <v>1341</v>
      </c>
      <c r="F19" s="3974">
        <f>'Прил.5 Акт об оказ.услуг'!E26*1000</f>
        <v>7137495</v>
      </c>
    </row>
    <row r="20" spans="1:6" ht="12.75" customHeight="1">
      <c r="A20" s="4786" t="s">
        <v>390</v>
      </c>
      <c r="B20" s="4781" t="s">
        <v>4836</v>
      </c>
      <c r="C20" s="4781"/>
      <c r="D20" s="4781"/>
      <c r="E20" s="3770" t="s">
        <v>1341</v>
      </c>
      <c r="F20" s="3973">
        <f>SUM(F21:F24)</f>
        <v>3683248.0000000005</v>
      </c>
    </row>
    <row r="21" spans="1:6" ht="12.75" customHeight="1">
      <c r="A21" s="4786"/>
      <c r="B21" s="4780" t="s">
        <v>9</v>
      </c>
      <c r="C21" s="4780"/>
      <c r="D21" s="4780"/>
      <c r="E21" s="3771" t="s">
        <v>1341</v>
      </c>
      <c r="F21" s="3974">
        <v>0</v>
      </c>
    </row>
    <row r="22" spans="1:6" ht="12.75" customHeight="1">
      <c r="A22" s="4786"/>
      <c r="B22" s="4780" t="s">
        <v>409</v>
      </c>
      <c r="C22" s="4780"/>
      <c r="D22" s="4780"/>
      <c r="E22" s="3771" t="s">
        <v>1341</v>
      </c>
      <c r="F22" s="3974">
        <v>0</v>
      </c>
    </row>
    <row r="23" spans="1:6" ht="12.75" customHeight="1">
      <c r="A23" s="4786"/>
      <c r="B23" s="4780" t="s">
        <v>411</v>
      </c>
      <c r="C23" s="4780"/>
      <c r="D23" s="4780"/>
      <c r="E23" s="3771" t="s">
        <v>1341</v>
      </c>
      <c r="F23" s="3974">
        <f>'Прил.5 Акт об оказ.услуг'!E40*1000</f>
        <v>102423</v>
      </c>
    </row>
    <row r="24" spans="1:6" ht="12.75" customHeight="1">
      <c r="A24" s="4786"/>
      <c r="B24" s="4780" t="s">
        <v>12</v>
      </c>
      <c r="C24" s="4780"/>
      <c r="D24" s="4780"/>
      <c r="E24" s="3771" t="s">
        <v>1341</v>
      </c>
      <c r="F24" s="3974">
        <f>'Прил.5 Акт об оказ.услуг'!E41*1000</f>
        <v>3580825.0000000005</v>
      </c>
    </row>
    <row r="25" spans="1:6" ht="12.75" customHeight="1">
      <c r="A25" s="4786" t="s">
        <v>391</v>
      </c>
      <c r="B25" s="4781" t="s">
        <v>4837</v>
      </c>
      <c r="C25" s="4781"/>
      <c r="D25" s="4781"/>
      <c r="E25" s="3770" t="s">
        <v>420</v>
      </c>
      <c r="F25" s="4031">
        <f>SUM(F26:F29)</f>
        <v>6.7130000000000001</v>
      </c>
    </row>
    <row r="26" spans="1:6" ht="12.75" customHeight="1">
      <c r="A26" s="4786"/>
      <c r="B26" s="4780" t="s">
        <v>9</v>
      </c>
      <c r="C26" s="4780"/>
      <c r="D26" s="4780"/>
      <c r="E26" s="3771" t="s">
        <v>420</v>
      </c>
      <c r="F26" s="4032">
        <v>0</v>
      </c>
    </row>
    <row r="27" spans="1:6" ht="12.75" customHeight="1">
      <c r="A27" s="4786"/>
      <c r="B27" s="4780" t="s">
        <v>409</v>
      </c>
      <c r="C27" s="4780"/>
      <c r="D27" s="4780"/>
      <c r="E27" s="3771" t="s">
        <v>420</v>
      </c>
      <c r="F27" s="4032">
        <v>0</v>
      </c>
    </row>
    <row r="28" spans="1:6" ht="12.75" customHeight="1">
      <c r="A28" s="4786"/>
      <c r="B28" s="4780" t="s">
        <v>411</v>
      </c>
      <c r="C28" s="4780"/>
      <c r="D28" s="4780"/>
      <c r="E28" s="3771" t="s">
        <v>420</v>
      </c>
      <c r="F28" s="4032">
        <f>'Шаблон 46 ГП'!F337</f>
        <v>0.157</v>
      </c>
    </row>
    <row r="29" spans="1:6" ht="12.75" customHeight="1">
      <c r="A29" s="4786"/>
      <c r="B29" s="4780" t="s">
        <v>12</v>
      </c>
      <c r="C29" s="4780"/>
      <c r="D29" s="4780"/>
      <c r="E29" s="3771" t="s">
        <v>420</v>
      </c>
      <c r="F29" s="4032">
        <f>'Шаблон 46 ГП'!F338</f>
        <v>6.556</v>
      </c>
    </row>
    <row r="30" spans="1:6" ht="28.5" customHeight="1">
      <c r="A30" s="4787" t="s">
        <v>27</v>
      </c>
      <c r="B30" s="4781" t="s">
        <v>4838</v>
      </c>
      <c r="C30" s="4781"/>
      <c r="D30" s="4781"/>
      <c r="E30" s="3770" t="s">
        <v>1341</v>
      </c>
      <c r="F30" s="3973">
        <f>SUM(F31:F34)</f>
        <v>18275228</v>
      </c>
    </row>
    <row r="31" spans="1:6">
      <c r="A31" s="4788"/>
      <c r="B31" s="4780" t="s">
        <v>9</v>
      </c>
      <c r="C31" s="4780"/>
      <c r="D31" s="4780"/>
      <c r="E31" s="3771" t="s">
        <v>1341</v>
      </c>
      <c r="F31" s="3974">
        <f>F36+F57</f>
        <v>0</v>
      </c>
    </row>
    <row r="32" spans="1:6">
      <c r="A32" s="4788"/>
      <c r="B32" s="4780" t="s">
        <v>409</v>
      </c>
      <c r="C32" s="4780"/>
      <c r="D32" s="4780"/>
      <c r="E32" s="3771" t="s">
        <v>1341</v>
      </c>
      <c r="F32" s="3974">
        <f>F37+F58</f>
        <v>0</v>
      </c>
    </row>
    <row r="33" spans="1:6">
      <c r="A33" s="4788"/>
      <c r="B33" s="4780" t="s">
        <v>411</v>
      </c>
      <c r="C33" s="4780"/>
      <c r="D33" s="4780"/>
      <c r="E33" s="3771" t="s">
        <v>1341</v>
      </c>
      <c r="F33" s="3974">
        <f>F38+F59</f>
        <v>2089137.9999999998</v>
      </c>
    </row>
    <row r="34" spans="1:6">
      <c r="A34" s="4789"/>
      <c r="B34" s="4780" t="s">
        <v>12</v>
      </c>
      <c r="C34" s="4780"/>
      <c r="D34" s="4780"/>
      <c r="E34" s="3771" t="s">
        <v>1341</v>
      </c>
      <c r="F34" s="3974">
        <f>F39+F60</f>
        <v>16186090</v>
      </c>
    </row>
    <row r="35" spans="1:6" ht="54" customHeight="1">
      <c r="A35" s="4786" t="s">
        <v>427</v>
      </c>
      <c r="B35" s="4781" t="s">
        <v>4839</v>
      </c>
      <c r="C35" s="4781"/>
      <c r="D35" s="4781"/>
      <c r="E35" s="3770" t="s">
        <v>1341</v>
      </c>
      <c r="F35" s="3973">
        <f>SUM(F36:F39)</f>
        <v>3616133</v>
      </c>
    </row>
    <row r="36" spans="1:6" ht="12.75" customHeight="1">
      <c r="A36" s="4786"/>
      <c r="B36" s="4780" t="s">
        <v>9</v>
      </c>
      <c r="C36" s="4780"/>
      <c r="D36" s="4780"/>
      <c r="E36" s="3771" t="s">
        <v>1341</v>
      </c>
      <c r="F36" s="3974">
        <f>F42+F47+F52</f>
        <v>0</v>
      </c>
    </row>
    <row r="37" spans="1:6" s="3772" customFormat="1" ht="12.75" customHeight="1">
      <c r="A37" s="4786"/>
      <c r="B37" s="4780" t="s">
        <v>409</v>
      </c>
      <c r="C37" s="4780"/>
      <c r="D37" s="4780"/>
      <c r="E37" s="3771" t="s">
        <v>1341</v>
      </c>
      <c r="F37" s="3974">
        <f>F43+F48+F53</f>
        <v>0</v>
      </c>
    </row>
    <row r="38" spans="1:6" s="3772" customFormat="1">
      <c r="A38" s="4786"/>
      <c r="B38" s="4780" t="s">
        <v>411</v>
      </c>
      <c r="C38" s="4780"/>
      <c r="D38" s="4780"/>
      <c r="E38" s="3771" t="s">
        <v>1341</v>
      </c>
      <c r="F38" s="3974">
        <f>F44+F49+F54</f>
        <v>1956119.9999999998</v>
      </c>
    </row>
    <row r="39" spans="1:6" s="3772" customFormat="1" ht="12.75" customHeight="1">
      <c r="A39" s="4786"/>
      <c r="B39" s="4780" t="s">
        <v>12</v>
      </c>
      <c r="C39" s="4780"/>
      <c r="D39" s="4780"/>
      <c r="E39" s="3771" t="s">
        <v>1341</v>
      </c>
      <c r="F39" s="3974">
        <f>F45+F50+F55</f>
        <v>1660013</v>
      </c>
    </row>
    <row r="40" spans="1:6" s="3772" customFormat="1" ht="12.75" customHeight="1">
      <c r="A40" s="4782" t="s">
        <v>512</v>
      </c>
      <c r="B40" s="4782"/>
      <c r="C40" s="4782"/>
      <c r="D40" s="4782"/>
      <c r="E40" s="4782"/>
      <c r="F40" s="4782"/>
    </row>
    <row r="41" spans="1:6" s="3772" customFormat="1" ht="12.75" customHeight="1">
      <c r="A41" s="4786" t="s">
        <v>2208</v>
      </c>
      <c r="B41" s="4781" t="s">
        <v>4840</v>
      </c>
      <c r="C41" s="4781"/>
      <c r="D41" s="4781"/>
      <c r="E41" s="4781"/>
      <c r="F41" s="3973">
        <f>SUM(F42:F45)</f>
        <v>3610470</v>
      </c>
    </row>
    <row r="42" spans="1:6" ht="12.75" customHeight="1">
      <c r="A42" s="4786"/>
      <c r="B42" s="4780" t="s">
        <v>9</v>
      </c>
      <c r="C42" s="4780"/>
      <c r="D42" s="4780"/>
      <c r="E42" s="3771" t="s">
        <v>1341</v>
      </c>
      <c r="F42" s="3974">
        <v>0</v>
      </c>
    </row>
    <row r="43" spans="1:6" ht="12.75" customHeight="1">
      <c r="A43" s="4786"/>
      <c r="B43" s="4780" t="s">
        <v>409</v>
      </c>
      <c r="C43" s="4780"/>
      <c r="D43" s="4780"/>
      <c r="E43" s="3771" t="s">
        <v>1341</v>
      </c>
      <c r="F43" s="3974">
        <v>0</v>
      </c>
    </row>
    <row r="44" spans="1:6" ht="12.75" customHeight="1">
      <c r="A44" s="4786"/>
      <c r="B44" s="4780" t="s">
        <v>411</v>
      </c>
      <c r="C44" s="4780"/>
      <c r="D44" s="4780"/>
      <c r="E44" s="3771" t="s">
        <v>1341</v>
      </c>
      <c r="F44" s="3974">
        <f>'Шаблон 46 ГП'!F321*1000</f>
        <v>1934458</v>
      </c>
    </row>
    <row r="45" spans="1:6" ht="12.75" customHeight="1">
      <c r="A45" s="4786"/>
      <c r="B45" s="4780" t="s">
        <v>12</v>
      </c>
      <c r="C45" s="4780"/>
      <c r="D45" s="4780"/>
      <c r="E45" s="3771" t="s">
        <v>1341</v>
      </c>
      <c r="F45" s="3974">
        <f>'Шаблон 46 ГП'!F325*1000</f>
        <v>1676012</v>
      </c>
    </row>
    <row r="46" spans="1:6" s="3772" customFormat="1" ht="12.75" customHeight="1">
      <c r="A46" s="4786" t="s">
        <v>2428</v>
      </c>
      <c r="B46" s="4781" t="s">
        <v>4841</v>
      </c>
      <c r="C46" s="4781"/>
      <c r="D46" s="4781"/>
      <c r="E46" s="4781"/>
      <c r="F46" s="3973">
        <f>SUM(F47:F50)</f>
        <v>1454</v>
      </c>
    </row>
    <row r="47" spans="1:6" ht="12.75" customHeight="1">
      <c r="A47" s="4786"/>
      <c r="B47" s="4780" t="s">
        <v>9</v>
      </c>
      <c r="C47" s="4780"/>
      <c r="D47" s="4780"/>
      <c r="E47" s="3771" t="s">
        <v>1341</v>
      </c>
      <c r="F47" s="3974">
        <v>0</v>
      </c>
    </row>
    <row r="48" spans="1:6" ht="12.75" customHeight="1">
      <c r="A48" s="4786"/>
      <c r="B48" s="4780" t="s">
        <v>409</v>
      </c>
      <c r="C48" s="4780"/>
      <c r="D48" s="4780"/>
      <c r="E48" s="3771" t="s">
        <v>1341</v>
      </c>
      <c r="F48" s="3974">
        <v>0</v>
      </c>
    </row>
    <row r="49" spans="1:6" ht="12.75" customHeight="1">
      <c r="A49" s="4786"/>
      <c r="B49" s="4780" t="s">
        <v>411</v>
      </c>
      <c r="C49" s="4780"/>
      <c r="D49" s="4780"/>
      <c r="E49" s="3771" t="s">
        <v>1341</v>
      </c>
      <c r="F49" s="3974">
        <f>'Шаблон 46 ГП'!F322*1000</f>
        <v>4219</v>
      </c>
    </row>
    <row r="50" spans="1:6" ht="12.75" customHeight="1">
      <c r="A50" s="4786"/>
      <c r="B50" s="4780" t="s">
        <v>12</v>
      </c>
      <c r="C50" s="4780"/>
      <c r="D50" s="4780"/>
      <c r="E50" s="3771" t="s">
        <v>1341</v>
      </c>
      <c r="F50" s="3974">
        <f>'Шаблон 46 ГП'!F326*1000</f>
        <v>-2765</v>
      </c>
    </row>
    <row r="51" spans="1:6" s="3772" customFormat="1" ht="12.75" customHeight="1">
      <c r="A51" s="4786" t="s">
        <v>2481</v>
      </c>
      <c r="B51" s="4781" t="s">
        <v>4842</v>
      </c>
      <c r="C51" s="4781"/>
      <c r="D51" s="4781"/>
      <c r="E51" s="4781"/>
      <c r="F51" s="3973">
        <f>SUM(F52:F55)</f>
        <v>4208.9999999997835</v>
      </c>
    </row>
    <row r="52" spans="1:6" ht="12.75" customHeight="1">
      <c r="A52" s="4786"/>
      <c r="B52" s="4780" t="s">
        <v>9</v>
      </c>
      <c r="C52" s="4780"/>
      <c r="D52" s="4780"/>
      <c r="E52" s="3771" t="s">
        <v>1341</v>
      </c>
      <c r="F52" s="3974">
        <v>0</v>
      </c>
    </row>
    <row r="53" spans="1:6" ht="12.75" customHeight="1">
      <c r="A53" s="4786"/>
      <c r="B53" s="4780" t="s">
        <v>409</v>
      </c>
      <c r="C53" s="4780"/>
      <c r="D53" s="4780"/>
      <c r="E53" s="3771" t="s">
        <v>1341</v>
      </c>
      <c r="F53" s="3974">
        <v>0</v>
      </c>
    </row>
    <row r="54" spans="1:6" ht="12.75" customHeight="1">
      <c r="A54" s="4786"/>
      <c r="B54" s="4780" t="s">
        <v>411</v>
      </c>
      <c r="C54" s="4780"/>
      <c r="D54" s="4780"/>
      <c r="E54" s="3771" t="s">
        <v>1341</v>
      </c>
      <c r="F54" s="3974">
        <f>'Шаблон 46 ГП'!F323*1000</f>
        <v>17442.999999999807</v>
      </c>
    </row>
    <row r="55" spans="1:6" ht="12.75" customHeight="1">
      <c r="A55" s="4786"/>
      <c r="B55" s="4780" t="s">
        <v>12</v>
      </c>
      <c r="C55" s="4780"/>
      <c r="D55" s="4780"/>
      <c r="E55" s="3771" t="s">
        <v>1341</v>
      </c>
      <c r="F55" s="3974">
        <f>'Шаблон 46 ГП'!F327*1000</f>
        <v>-13234.000000000024</v>
      </c>
    </row>
    <row r="56" spans="1:6" ht="42.75" customHeight="1">
      <c r="A56" s="4786" t="s">
        <v>428</v>
      </c>
      <c r="B56" s="4781" t="s">
        <v>4843</v>
      </c>
      <c r="C56" s="4781"/>
      <c r="D56" s="4781"/>
      <c r="E56" s="3770" t="s">
        <v>1341</v>
      </c>
      <c r="F56" s="3973">
        <f>SUM(F57:F60)</f>
        <v>14659095</v>
      </c>
    </row>
    <row r="57" spans="1:6" ht="12.75" customHeight="1">
      <c r="A57" s="4786"/>
      <c r="B57" s="4780" t="s">
        <v>9</v>
      </c>
      <c r="C57" s="4780"/>
      <c r="D57" s="4780"/>
      <c r="E57" s="3771" t="s">
        <v>1341</v>
      </c>
      <c r="F57" s="3974">
        <f>F63+F68+F73</f>
        <v>0</v>
      </c>
    </row>
    <row r="58" spans="1:6" ht="12.75" customHeight="1">
      <c r="A58" s="4786"/>
      <c r="B58" s="4780" t="s">
        <v>409</v>
      </c>
      <c r="C58" s="4780"/>
      <c r="D58" s="4780"/>
      <c r="E58" s="3771" t="s">
        <v>1341</v>
      </c>
      <c r="F58" s="3974">
        <f>F64+F69+F74</f>
        <v>0</v>
      </c>
    </row>
    <row r="59" spans="1:6" ht="12.75" customHeight="1">
      <c r="A59" s="4786"/>
      <c r="B59" s="4780" t="s">
        <v>411</v>
      </c>
      <c r="C59" s="4780"/>
      <c r="D59" s="4780"/>
      <c r="E59" s="3771" t="s">
        <v>1341</v>
      </c>
      <c r="F59" s="3974">
        <f>F65+F70+F75</f>
        <v>133018</v>
      </c>
    </row>
    <row r="60" spans="1:6" ht="12.75" customHeight="1">
      <c r="A60" s="4786"/>
      <c r="B60" s="4780" t="s">
        <v>12</v>
      </c>
      <c r="C60" s="4780"/>
      <c r="D60" s="4780"/>
      <c r="E60" s="3771" t="s">
        <v>1341</v>
      </c>
      <c r="F60" s="3974">
        <f>F66+F71+F76</f>
        <v>14526077</v>
      </c>
    </row>
    <row r="61" spans="1:6" ht="12.75" customHeight="1">
      <c r="A61" s="4782" t="s">
        <v>512</v>
      </c>
      <c r="B61" s="4782"/>
      <c r="C61" s="4782"/>
      <c r="D61" s="4782"/>
      <c r="E61" s="4782"/>
      <c r="F61" s="4782"/>
    </row>
    <row r="62" spans="1:6" ht="12.75" customHeight="1">
      <c r="A62" s="4786" t="s">
        <v>2505</v>
      </c>
      <c r="B62" s="4781" t="s">
        <v>4840</v>
      </c>
      <c r="C62" s="4781"/>
      <c r="D62" s="4781"/>
      <c r="E62" s="4781"/>
      <c r="F62" s="3973">
        <f>SUM(F63:F66)</f>
        <v>14624469</v>
      </c>
    </row>
    <row r="63" spans="1:6" ht="12.75" customHeight="1">
      <c r="A63" s="4786"/>
      <c r="B63" s="4780" t="s">
        <v>9</v>
      </c>
      <c r="C63" s="4780"/>
      <c r="D63" s="4780"/>
      <c r="E63" s="3771" t="s">
        <v>1341</v>
      </c>
      <c r="F63" s="3974">
        <v>0</v>
      </c>
    </row>
    <row r="64" spans="1:6" ht="12.75" customHeight="1">
      <c r="A64" s="4786"/>
      <c r="B64" s="4780" t="s">
        <v>409</v>
      </c>
      <c r="C64" s="4780"/>
      <c r="D64" s="4780"/>
      <c r="E64" s="3771" t="s">
        <v>1341</v>
      </c>
      <c r="F64" s="3974">
        <v>0</v>
      </c>
    </row>
    <row r="65" spans="1:6" ht="12.75" customHeight="1">
      <c r="A65" s="4786"/>
      <c r="B65" s="4780" t="s">
        <v>411</v>
      </c>
      <c r="C65" s="4780"/>
      <c r="D65" s="4780"/>
      <c r="E65" s="3771" t="s">
        <v>1341</v>
      </c>
      <c r="F65" s="3974">
        <f>'Шаблон 46 ГП'!F329*1000-F154</f>
        <v>133018</v>
      </c>
    </row>
    <row r="66" spans="1:6" ht="12.75" customHeight="1">
      <c r="A66" s="4786"/>
      <c r="B66" s="4780" t="s">
        <v>12</v>
      </c>
      <c r="C66" s="4780"/>
      <c r="D66" s="4780"/>
      <c r="E66" s="3771" t="s">
        <v>1341</v>
      </c>
      <c r="F66" s="3974">
        <f>'Шаблон 46 ГП'!F333*1000-F155</f>
        <v>14491451</v>
      </c>
    </row>
    <row r="67" spans="1:6" ht="12.75" customHeight="1">
      <c r="A67" s="4786" t="s">
        <v>2535</v>
      </c>
      <c r="B67" s="4781" t="s">
        <v>4841</v>
      </c>
      <c r="C67" s="4781"/>
      <c r="D67" s="4781"/>
      <c r="E67" s="4781"/>
      <c r="F67" s="3973">
        <f>SUM(F68:F71)</f>
        <v>40938</v>
      </c>
    </row>
    <row r="68" spans="1:6" ht="12.75" customHeight="1">
      <c r="A68" s="4786"/>
      <c r="B68" s="4780" t="s">
        <v>9</v>
      </c>
      <c r="C68" s="4780"/>
      <c r="D68" s="4780"/>
      <c r="E68" s="3771" t="s">
        <v>1341</v>
      </c>
      <c r="F68" s="3974">
        <v>0</v>
      </c>
    </row>
    <row r="69" spans="1:6" ht="12.75" customHeight="1">
      <c r="A69" s="4786"/>
      <c r="B69" s="4780" t="s">
        <v>409</v>
      </c>
      <c r="C69" s="4780"/>
      <c r="D69" s="4780"/>
      <c r="E69" s="3771" t="s">
        <v>1341</v>
      </c>
      <c r="F69" s="3974">
        <v>0</v>
      </c>
    </row>
    <row r="70" spans="1:6" ht="12.75" customHeight="1">
      <c r="A70" s="4786"/>
      <c r="B70" s="4780" t="s">
        <v>411</v>
      </c>
      <c r="C70" s="4780"/>
      <c r="D70" s="4780"/>
      <c r="E70" s="3771" t="s">
        <v>1341</v>
      </c>
      <c r="F70" s="3974">
        <f>'Шаблон 46 ГП'!F330*1000</f>
        <v>0</v>
      </c>
    </row>
    <row r="71" spans="1:6" ht="12.75" customHeight="1">
      <c r="A71" s="4786"/>
      <c r="B71" s="4780" t="s">
        <v>12</v>
      </c>
      <c r="C71" s="4780"/>
      <c r="D71" s="4780"/>
      <c r="E71" s="3771" t="s">
        <v>1341</v>
      </c>
      <c r="F71" s="3974">
        <f>'Шаблон 46 ГП'!F334*1000</f>
        <v>40938</v>
      </c>
    </row>
    <row r="72" spans="1:6" ht="12.75" customHeight="1">
      <c r="A72" s="4786" t="s">
        <v>2576</v>
      </c>
      <c r="B72" s="4781" t="s">
        <v>4842</v>
      </c>
      <c r="C72" s="4781"/>
      <c r="D72" s="4781"/>
      <c r="E72" s="4781"/>
      <c r="F72" s="3973">
        <f>SUM(F73:F76)</f>
        <v>-6312</v>
      </c>
    </row>
    <row r="73" spans="1:6" ht="12.75" customHeight="1">
      <c r="A73" s="4786"/>
      <c r="B73" s="4780" t="s">
        <v>9</v>
      </c>
      <c r="C73" s="4780"/>
      <c r="D73" s="4780"/>
      <c r="E73" s="3771" t="s">
        <v>1341</v>
      </c>
      <c r="F73" s="3974">
        <v>0</v>
      </c>
    </row>
    <row r="74" spans="1:6" ht="12.75" customHeight="1">
      <c r="A74" s="4786"/>
      <c r="B74" s="4780" t="s">
        <v>409</v>
      </c>
      <c r="C74" s="4780"/>
      <c r="D74" s="4780"/>
      <c r="E74" s="3771" t="s">
        <v>1341</v>
      </c>
      <c r="F74" s="3974">
        <v>0</v>
      </c>
    </row>
    <row r="75" spans="1:6" ht="12.75" customHeight="1">
      <c r="A75" s="4786"/>
      <c r="B75" s="4780" t="s">
        <v>411</v>
      </c>
      <c r="C75" s="4780"/>
      <c r="D75" s="4780"/>
      <c r="E75" s="3771" t="s">
        <v>1341</v>
      </c>
      <c r="F75" s="3974">
        <f>'Шаблон 46 ГП'!F331*1000</f>
        <v>0</v>
      </c>
    </row>
    <row r="76" spans="1:6" ht="12.75" customHeight="1">
      <c r="A76" s="4786"/>
      <c r="B76" s="4780" t="s">
        <v>12</v>
      </c>
      <c r="C76" s="4780"/>
      <c r="D76" s="4780"/>
      <c r="E76" s="3771" t="s">
        <v>1341</v>
      </c>
      <c r="F76" s="3974">
        <f>'Шаблон 46 ГП'!F335*1000</f>
        <v>-6312</v>
      </c>
    </row>
    <row r="77" spans="1:6" ht="25.5" hidden="1" customHeight="1">
      <c r="A77" s="4786" t="s">
        <v>429</v>
      </c>
      <c r="B77" s="4781" t="s">
        <v>4844</v>
      </c>
      <c r="C77" s="4781"/>
      <c r="D77" s="4781"/>
      <c r="E77" s="3770" t="s">
        <v>1341</v>
      </c>
      <c r="F77" s="3973">
        <f>SUM(F78:F81)</f>
        <v>0</v>
      </c>
    </row>
    <row r="78" spans="1:6" ht="12.75" hidden="1" customHeight="1">
      <c r="A78" s="4786"/>
      <c r="B78" s="4780" t="s">
        <v>9</v>
      </c>
      <c r="C78" s="4780"/>
      <c r="D78" s="4780"/>
      <c r="E78" s="3771" t="s">
        <v>1341</v>
      </c>
      <c r="F78" s="3974">
        <f>F84+F89+F94</f>
        <v>0</v>
      </c>
    </row>
    <row r="79" spans="1:6" ht="12.75" hidden="1" customHeight="1">
      <c r="A79" s="4786"/>
      <c r="B79" s="4780" t="s">
        <v>409</v>
      </c>
      <c r="C79" s="4780"/>
      <c r="D79" s="4780"/>
      <c r="E79" s="3771" t="s">
        <v>1341</v>
      </c>
      <c r="F79" s="3974">
        <f>F85+F90+F95</f>
        <v>0</v>
      </c>
    </row>
    <row r="80" spans="1:6" ht="12.75" hidden="1" customHeight="1">
      <c r="A80" s="4786"/>
      <c r="B80" s="4780" t="s">
        <v>411</v>
      </c>
      <c r="C80" s="4780"/>
      <c r="D80" s="4780"/>
      <c r="E80" s="3771" t="s">
        <v>1341</v>
      </c>
      <c r="F80" s="3974">
        <f>F86+F91+F96</f>
        <v>0</v>
      </c>
    </row>
    <row r="81" spans="1:6" ht="12.75" hidden="1" customHeight="1">
      <c r="A81" s="4786"/>
      <c r="B81" s="4780" t="s">
        <v>12</v>
      </c>
      <c r="C81" s="4780"/>
      <c r="D81" s="4780"/>
      <c r="E81" s="3771" t="s">
        <v>1341</v>
      </c>
      <c r="F81" s="3974">
        <f>F87+F92+F97</f>
        <v>0</v>
      </c>
    </row>
    <row r="82" spans="1:6" ht="12.75" hidden="1" customHeight="1">
      <c r="A82" s="4782" t="s">
        <v>512</v>
      </c>
      <c r="B82" s="4782"/>
      <c r="C82" s="4782"/>
      <c r="D82" s="4782"/>
      <c r="E82" s="4782"/>
      <c r="F82" s="4782"/>
    </row>
    <row r="83" spans="1:6" ht="12.75" hidden="1" customHeight="1">
      <c r="A83" s="4786" t="s">
        <v>2588</v>
      </c>
      <c r="B83" s="4781" t="s">
        <v>4840</v>
      </c>
      <c r="C83" s="4781"/>
      <c r="D83" s="4781"/>
      <c r="E83" s="4781"/>
      <c r="F83" s="3973">
        <f>SUM(F84:F87)</f>
        <v>0</v>
      </c>
    </row>
    <row r="84" spans="1:6" ht="12.75" hidden="1" customHeight="1">
      <c r="A84" s="4786"/>
      <c r="B84" s="4780" t="s">
        <v>9</v>
      </c>
      <c r="C84" s="4780"/>
      <c r="D84" s="4780"/>
      <c r="E84" s="3771" t="s">
        <v>1341</v>
      </c>
      <c r="F84" s="3974">
        <v>0</v>
      </c>
    </row>
    <row r="85" spans="1:6" ht="12.75" hidden="1" customHeight="1">
      <c r="A85" s="4786"/>
      <c r="B85" s="4780" t="s">
        <v>409</v>
      </c>
      <c r="C85" s="4780"/>
      <c r="D85" s="4780"/>
      <c r="E85" s="3771" t="s">
        <v>1341</v>
      </c>
      <c r="F85" s="3974">
        <v>0</v>
      </c>
    </row>
    <row r="86" spans="1:6" ht="12.75" hidden="1" customHeight="1">
      <c r="A86" s="4786"/>
      <c r="B86" s="4780" t="s">
        <v>411</v>
      </c>
      <c r="C86" s="4780"/>
      <c r="D86" s="4780"/>
      <c r="E86" s="3771" t="s">
        <v>1341</v>
      </c>
      <c r="F86" s="3974">
        <v>0</v>
      </c>
    </row>
    <row r="87" spans="1:6" ht="12.75" hidden="1" customHeight="1">
      <c r="A87" s="4786"/>
      <c r="B87" s="4780" t="s">
        <v>12</v>
      </c>
      <c r="C87" s="4780"/>
      <c r="D87" s="4780"/>
      <c r="E87" s="3771" t="s">
        <v>1341</v>
      </c>
      <c r="F87" s="3974">
        <v>0</v>
      </c>
    </row>
    <row r="88" spans="1:6" ht="12.75" hidden="1" customHeight="1">
      <c r="A88" s="4786" t="s">
        <v>2591</v>
      </c>
      <c r="B88" s="4781" t="s">
        <v>4841</v>
      </c>
      <c r="C88" s="4781"/>
      <c r="D88" s="4781"/>
      <c r="E88" s="4781"/>
      <c r="F88" s="3973">
        <f>SUM(F89:F92)</f>
        <v>0</v>
      </c>
    </row>
    <row r="89" spans="1:6" ht="12.75" hidden="1" customHeight="1">
      <c r="A89" s="4786"/>
      <c r="B89" s="4780" t="s">
        <v>9</v>
      </c>
      <c r="C89" s="4780"/>
      <c r="D89" s="4780"/>
      <c r="E89" s="3771" t="s">
        <v>1341</v>
      </c>
      <c r="F89" s="3974">
        <v>0</v>
      </c>
    </row>
    <row r="90" spans="1:6" ht="12.75" hidden="1" customHeight="1">
      <c r="A90" s="4786"/>
      <c r="B90" s="4780" t="s">
        <v>409</v>
      </c>
      <c r="C90" s="4780"/>
      <c r="D90" s="4780"/>
      <c r="E90" s="3771" t="s">
        <v>1341</v>
      </c>
      <c r="F90" s="3974">
        <v>0</v>
      </c>
    </row>
    <row r="91" spans="1:6" ht="12.75" hidden="1" customHeight="1">
      <c r="A91" s="4786"/>
      <c r="B91" s="4780" t="s">
        <v>411</v>
      </c>
      <c r="C91" s="4780"/>
      <c r="D91" s="4780"/>
      <c r="E91" s="3771" t="s">
        <v>1341</v>
      </c>
      <c r="F91" s="3974">
        <v>0</v>
      </c>
    </row>
    <row r="92" spans="1:6" ht="12.75" hidden="1" customHeight="1">
      <c r="A92" s="4786"/>
      <c r="B92" s="4780" t="s">
        <v>12</v>
      </c>
      <c r="C92" s="4780"/>
      <c r="D92" s="4780"/>
      <c r="E92" s="3771" t="s">
        <v>1341</v>
      </c>
      <c r="F92" s="3974">
        <v>0</v>
      </c>
    </row>
    <row r="93" spans="1:6" ht="12.75" hidden="1" customHeight="1">
      <c r="A93" s="4786" t="s">
        <v>2797</v>
      </c>
      <c r="B93" s="4781" t="s">
        <v>4842</v>
      </c>
      <c r="C93" s="4781"/>
      <c r="D93" s="4781"/>
      <c r="E93" s="4781"/>
      <c r="F93" s="3973">
        <f>SUM(F94:F97)</f>
        <v>0</v>
      </c>
    </row>
    <row r="94" spans="1:6" ht="12.75" hidden="1" customHeight="1">
      <c r="A94" s="4786"/>
      <c r="B94" s="4780" t="s">
        <v>9</v>
      </c>
      <c r="C94" s="4780"/>
      <c r="D94" s="4780"/>
      <c r="E94" s="3771" t="s">
        <v>1341</v>
      </c>
      <c r="F94" s="3974">
        <v>0</v>
      </c>
    </row>
    <row r="95" spans="1:6" ht="12.75" hidden="1" customHeight="1">
      <c r="A95" s="4786"/>
      <c r="B95" s="4780" t="s">
        <v>409</v>
      </c>
      <c r="C95" s="4780"/>
      <c r="D95" s="4780"/>
      <c r="E95" s="3771" t="s">
        <v>1341</v>
      </c>
      <c r="F95" s="3974">
        <v>0</v>
      </c>
    </row>
    <row r="96" spans="1:6" ht="12.75" hidden="1" customHeight="1">
      <c r="A96" s="4786"/>
      <c r="B96" s="4780" t="s">
        <v>411</v>
      </c>
      <c r="C96" s="4780"/>
      <c r="D96" s="4780"/>
      <c r="E96" s="3771" t="s">
        <v>1341</v>
      </c>
      <c r="F96" s="3974">
        <v>0</v>
      </c>
    </row>
    <row r="97" spans="1:6" ht="12.75" hidden="1" customHeight="1">
      <c r="A97" s="4786"/>
      <c r="B97" s="4780" t="s">
        <v>12</v>
      </c>
      <c r="C97" s="4780"/>
      <c r="D97" s="4780"/>
      <c r="E97" s="3771" t="s">
        <v>1341</v>
      </c>
      <c r="F97" s="3974">
        <v>0</v>
      </c>
    </row>
    <row r="98" spans="1:6" ht="179.25" hidden="1" customHeight="1">
      <c r="A98" s="4786" t="s">
        <v>430</v>
      </c>
      <c r="B98" s="4781" t="s">
        <v>4845</v>
      </c>
      <c r="C98" s="4781"/>
      <c r="D98" s="4781"/>
      <c r="E98" s="3770" t="s">
        <v>1341</v>
      </c>
      <c r="F98" s="3973">
        <f>SUM(F99:F102)</f>
        <v>0</v>
      </c>
    </row>
    <row r="99" spans="1:6" ht="12.75" hidden="1" customHeight="1">
      <c r="A99" s="4786"/>
      <c r="B99" s="4780" t="s">
        <v>9</v>
      </c>
      <c r="C99" s="4780"/>
      <c r="D99" s="4780"/>
      <c r="E99" s="3771" t="s">
        <v>1341</v>
      </c>
      <c r="F99" s="3974">
        <f>F105+F110+F115</f>
        <v>0</v>
      </c>
    </row>
    <row r="100" spans="1:6" ht="12.75" hidden="1" customHeight="1">
      <c r="A100" s="4786"/>
      <c r="B100" s="4780" t="s">
        <v>409</v>
      </c>
      <c r="C100" s="4780"/>
      <c r="D100" s="4780"/>
      <c r="E100" s="3771" t="s">
        <v>1341</v>
      </c>
      <c r="F100" s="3974">
        <f>F106+F111+F116</f>
        <v>0</v>
      </c>
    </row>
    <row r="101" spans="1:6" ht="12.75" hidden="1" customHeight="1">
      <c r="A101" s="4786"/>
      <c r="B101" s="4780" t="s">
        <v>411</v>
      </c>
      <c r="C101" s="4780"/>
      <c r="D101" s="4780"/>
      <c r="E101" s="3771" t="s">
        <v>1341</v>
      </c>
      <c r="F101" s="3974">
        <f>F107+F112+F117</f>
        <v>0</v>
      </c>
    </row>
    <row r="102" spans="1:6" ht="12.75" hidden="1" customHeight="1">
      <c r="A102" s="4786"/>
      <c r="B102" s="4780" t="s">
        <v>12</v>
      </c>
      <c r="C102" s="4780"/>
      <c r="D102" s="4780"/>
      <c r="E102" s="3771" t="s">
        <v>1341</v>
      </c>
      <c r="F102" s="3974">
        <f>F108+F113+F118</f>
        <v>0</v>
      </c>
    </row>
    <row r="103" spans="1:6" ht="12.75" hidden="1" customHeight="1">
      <c r="A103" s="4782" t="s">
        <v>512</v>
      </c>
      <c r="B103" s="4782"/>
      <c r="C103" s="4782"/>
      <c r="D103" s="4782"/>
      <c r="E103" s="4782"/>
      <c r="F103" s="4782"/>
    </row>
    <row r="104" spans="1:6" ht="12.75" hidden="1" customHeight="1">
      <c r="A104" s="4786" t="s">
        <v>4846</v>
      </c>
      <c r="B104" s="4781" t="s">
        <v>4840</v>
      </c>
      <c r="C104" s="4781"/>
      <c r="D104" s="4781"/>
      <c r="E104" s="4781"/>
      <c r="F104" s="3973">
        <f>SUM(F105:F108)</f>
        <v>0</v>
      </c>
    </row>
    <row r="105" spans="1:6" ht="12.75" hidden="1" customHeight="1">
      <c r="A105" s="4786"/>
      <c r="B105" s="4780" t="s">
        <v>9</v>
      </c>
      <c r="C105" s="4780"/>
      <c r="D105" s="4780"/>
      <c r="E105" s="3771" t="s">
        <v>1341</v>
      </c>
      <c r="F105" s="3974">
        <v>0</v>
      </c>
    </row>
    <row r="106" spans="1:6" ht="12.75" hidden="1" customHeight="1">
      <c r="A106" s="4786"/>
      <c r="B106" s="4780" t="s">
        <v>409</v>
      </c>
      <c r="C106" s="4780"/>
      <c r="D106" s="4780"/>
      <c r="E106" s="3771" t="s">
        <v>1341</v>
      </c>
      <c r="F106" s="3974">
        <v>0</v>
      </c>
    </row>
    <row r="107" spans="1:6" ht="12.75" hidden="1" customHeight="1">
      <c r="A107" s="4786"/>
      <c r="B107" s="4780" t="s">
        <v>411</v>
      </c>
      <c r="C107" s="4780"/>
      <c r="D107" s="4780"/>
      <c r="E107" s="3771" t="s">
        <v>1341</v>
      </c>
      <c r="F107" s="3974">
        <v>0</v>
      </c>
    </row>
    <row r="108" spans="1:6" ht="12.75" hidden="1" customHeight="1">
      <c r="A108" s="4786"/>
      <c r="B108" s="4780" t="s">
        <v>12</v>
      </c>
      <c r="C108" s="4780"/>
      <c r="D108" s="4780"/>
      <c r="E108" s="3771" t="s">
        <v>1341</v>
      </c>
      <c r="F108" s="3974">
        <v>0</v>
      </c>
    </row>
    <row r="109" spans="1:6" ht="12.75" hidden="1" customHeight="1">
      <c r="A109" s="4786" t="s">
        <v>4847</v>
      </c>
      <c r="B109" s="4781" t="s">
        <v>4841</v>
      </c>
      <c r="C109" s="4781"/>
      <c r="D109" s="4781"/>
      <c r="E109" s="4781"/>
      <c r="F109" s="3973">
        <f>SUM(F110:F113)</f>
        <v>0</v>
      </c>
    </row>
    <row r="110" spans="1:6" ht="12.75" hidden="1" customHeight="1">
      <c r="A110" s="4786"/>
      <c r="B110" s="4780" t="s">
        <v>9</v>
      </c>
      <c r="C110" s="4780"/>
      <c r="D110" s="4780"/>
      <c r="E110" s="3771" t="s">
        <v>1341</v>
      </c>
      <c r="F110" s="3974">
        <v>0</v>
      </c>
    </row>
    <row r="111" spans="1:6" ht="12.75" hidden="1" customHeight="1">
      <c r="A111" s="4786"/>
      <c r="B111" s="4780" t="s">
        <v>409</v>
      </c>
      <c r="C111" s="4780"/>
      <c r="D111" s="4780"/>
      <c r="E111" s="3771" t="s">
        <v>1341</v>
      </c>
      <c r="F111" s="3974">
        <v>0</v>
      </c>
    </row>
    <row r="112" spans="1:6" ht="12.75" hidden="1" customHeight="1">
      <c r="A112" s="4786"/>
      <c r="B112" s="4780" t="s">
        <v>411</v>
      </c>
      <c r="C112" s="4780"/>
      <c r="D112" s="4780"/>
      <c r="E112" s="3771" t="s">
        <v>1341</v>
      </c>
      <c r="F112" s="3974">
        <v>0</v>
      </c>
    </row>
    <row r="113" spans="1:6" ht="12.75" hidden="1" customHeight="1">
      <c r="A113" s="4786"/>
      <c r="B113" s="4780" t="s">
        <v>12</v>
      </c>
      <c r="C113" s="4780"/>
      <c r="D113" s="4780"/>
      <c r="E113" s="3771" t="s">
        <v>1341</v>
      </c>
      <c r="F113" s="3974">
        <v>0</v>
      </c>
    </row>
    <row r="114" spans="1:6" ht="12.75" hidden="1" customHeight="1">
      <c r="A114" s="4786" t="s">
        <v>4848</v>
      </c>
      <c r="B114" s="4781" t="s">
        <v>4842</v>
      </c>
      <c r="C114" s="4781"/>
      <c r="D114" s="4781"/>
      <c r="E114" s="4781"/>
      <c r="F114" s="3973">
        <f>SUM(F115:F118)</f>
        <v>0</v>
      </c>
    </row>
    <row r="115" spans="1:6" ht="12.75" hidden="1" customHeight="1">
      <c r="A115" s="4786"/>
      <c r="B115" s="4780" t="s">
        <v>9</v>
      </c>
      <c r="C115" s="4780"/>
      <c r="D115" s="4780"/>
      <c r="E115" s="3771" t="s">
        <v>1341</v>
      </c>
      <c r="F115" s="3974">
        <v>0</v>
      </c>
    </row>
    <row r="116" spans="1:6" ht="12.75" hidden="1" customHeight="1">
      <c r="A116" s="4786"/>
      <c r="B116" s="4780" t="s">
        <v>409</v>
      </c>
      <c r="C116" s="4780"/>
      <c r="D116" s="4780"/>
      <c r="E116" s="3771" t="s">
        <v>1341</v>
      </c>
      <c r="F116" s="3974">
        <v>0</v>
      </c>
    </row>
    <row r="117" spans="1:6" ht="12.75" hidden="1" customHeight="1">
      <c r="A117" s="4786"/>
      <c r="B117" s="4780" t="s">
        <v>411</v>
      </c>
      <c r="C117" s="4780"/>
      <c r="D117" s="4780"/>
      <c r="E117" s="3771" t="s">
        <v>1341</v>
      </c>
      <c r="F117" s="3974">
        <v>0</v>
      </c>
    </row>
    <row r="118" spans="1:6" ht="12.75" hidden="1" customHeight="1">
      <c r="A118" s="4786"/>
      <c r="B118" s="4780" t="s">
        <v>12</v>
      </c>
      <c r="C118" s="4780"/>
      <c r="D118" s="4780"/>
      <c r="E118" s="3771" t="s">
        <v>1341</v>
      </c>
      <c r="F118" s="3974">
        <v>0</v>
      </c>
    </row>
    <row r="119" spans="1:6" ht="28.5" customHeight="1">
      <c r="A119" s="4783" t="s">
        <v>41</v>
      </c>
      <c r="B119" s="4776" t="s">
        <v>4849</v>
      </c>
      <c r="C119" s="4776"/>
      <c r="D119" s="4776"/>
      <c r="E119" s="3773" t="s">
        <v>1341</v>
      </c>
      <c r="F119" s="3973">
        <f>SUM(F120:F123)</f>
        <v>6555011</v>
      </c>
    </row>
    <row r="120" spans="1:6">
      <c r="A120" s="4784"/>
      <c r="B120" s="4780" t="s">
        <v>9</v>
      </c>
      <c r="C120" s="4780"/>
      <c r="D120" s="4780"/>
      <c r="E120" s="3774" t="s">
        <v>1341</v>
      </c>
      <c r="F120" s="3975">
        <f>F125+F146</f>
        <v>0</v>
      </c>
    </row>
    <row r="121" spans="1:6">
      <c r="A121" s="4784"/>
      <c r="B121" s="4780" t="s">
        <v>409</v>
      </c>
      <c r="C121" s="4780"/>
      <c r="D121" s="4780"/>
      <c r="E121" s="3774" t="s">
        <v>1341</v>
      </c>
      <c r="F121" s="3975">
        <f>F126+F147</f>
        <v>0</v>
      </c>
    </row>
    <row r="122" spans="1:6">
      <c r="A122" s="4784"/>
      <c r="B122" s="4780" t="s">
        <v>411</v>
      </c>
      <c r="C122" s="4780"/>
      <c r="D122" s="4780"/>
      <c r="E122" s="3774" t="s">
        <v>1341</v>
      </c>
      <c r="F122" s="3975">
        <f>F127+F148</f>
        <v>1529105</v>
      </c>
    </row>
    <row r="123" spans="1:6">
      <c r="A123" s="4785"/>
      <c r="B123" s="4780" t="s">
        <v>12</v>
      </c>
      <c r="C123" s="4780"/>
      <c r="D123" s="4780"/>
      <c r="E123" s="3774" t="s">
        <v>1341</v>
      </c>
      <c r="F123" s="3975">
        <f>F128+F149</f>
        <v>5025906</v>
      </c>
    </row>
    <row r="124" spans="1:6" ht="54.75" hidden="1" customHeight="1">
      <c r="A124" s="4778" t="s">
        <v>2008</v>
      </c>
      <c r="B124" s="4776" t="s">
        <v>4850</v>
      </c>
      <c r="C124" s="4776"/>
      <c r="D124" s="4776"/>
      <c r="E124" s="3773" t="s">
        <v>1341</v>
      </c>
      <c r="F124" s="3973">
        <f>SUM(F125:F128)</f>
        <v>0</v>
      </c>
    </row>
    <row r="125" spans="1:6" ht="12.75" hidden="1" customHeight="1">
      <c r="A125" s="4778"/>
      <c r="B125" s="4780" t="s">
        <v>9</v>
      </c>
      <c r="C125" s="4780"/>
      <c r="D125" s="4780"/>
      <c r="E125" s="3774" t="s">
        <v>1341</v>
      </c>
      <c r="F125" s="3975">
        <f>F131+F136+F141</f>
        <v>0</v>
      </c>
    </row>
    <row r="126" spans="1:6" ht="12.75" hidden="1" customHeight="1">
      <c r="A126" s="4778"/>
      <c r="B126" s="4780" t="s">
        <v>409</v>
      </c>
      <c r="C126" s="4780"/>
      <c r="D126" s="4780"/>
      <c r="E126" s="3774" t="s">
        <v>1341</v>
      </c>
      <c r="F126" s="3975">
        <f>F132+F137+F142</f>
        <v>0</v>
      </c>
    </row>
    <row r="127" spans="1:6" ht="12.75" hidden="1" customHeight="1">
      <c r="A127" s="4778"/>
      <c r="B127" s="4780" t="s">
        <v>411</v>
      </c>
      <c r="C127" s="4780"/>
      <c r="D127" s="4780"/>
      <c r="E127" s="3774" t="s">
        <v>1341</v>
      </c>
      <c r="F127" s="3975">
        <f>F133+F138+F143</f>
        <v>0</v>
      </c>
    </row>
    <row r="128" spans="1:6" ht="12.75" hidden="1" customHeight="1">
      <c r="A128" s="4778"/>
      <c r="B128" s="4780" t="s">
        <v>12</v>
      </c>
      <c r="C128" s="4780"/>
      <c r="D128" s="4780"/>
      <c r="E128" s="3774" t="s">
        <v>1341</v>
      </c>
      <c r="F128" s="3975">
        <f>F134+F139+F144</f>
        <v>0</v>
      </c>
    </row>
    <row r="129" spans="1:6" ht="12.75" hidden="1" customHeight="1">
      <c r="A129" s="4782" t="s">
        <v>512</v>
      </c>
      <c r="B129" s="4782"/>
      <c r="C129" s="4782"/>
      <c r="D129" s="4782"/>
      <c r="E129" s="4782"/>
      <c r="F129" s="4782"/>
    </row>
    <row r="130" spans="1:6" ht="12.75" hidden="1" customHeight="1">
      <c r="A130" s="4778" t="s">
        <v>2010</v>
      </c>
      <c r="B130" s="4781" t="s">
        <v>4840</v>
      </c>
      <c r="C130" s="4781"/>
      <c r="D130" s="4781"/>
      <c r="E130" s="4781"/>
      <c r="F130" s="3973">
        <f>SUM(F131:F134)</f>
        <v>0</v>
      </c>
    </row>
    <row r="131" spans="1:6" ht="12.75" hidden="1" customHeight="1">
      <c r="A131" s="4778"/>
      <c r="B131" s="4780" t="s">
        <v>9</v>
      </c>
      <c r="C131" s="4780"/>
      <c r="D131" s="4780"/>
      <c r="E131" s="3774" t="s">
        <v>1341</v>
      </c>
      <c r="F131" s="3975">
        <v>0</v>
      </c>
    </row>
    <row r="132" spans="1:6" ht="12.75" hidden="1" customHeight="1">
      <c r="A132" s="4778"/>
      <c r="B132" s="4780" t="s">
        <v>409</v>
      </c>
      <c r="C132" s="4780"/>
      <c r="D132" s="4780"/>
      <c r="E132" s="3774" t="s">
        <v>1341</v>
      </c>
      <c r="F132" s="3975">
        <v>0</v>
      </c>
    </row>
    <row r="133" spans="1:6" ht="12.75" hidden="1" customHeight="1">
      <c r="A133" s="4778"/>
      <c r="B133" s="4780" t="s">
        <v>411</v>
      </c>
      <c r="C133" s="4780"/>
      <c r="D133" s="4780"/>
      <c r="E133" s="3774" t="s">
        <v>1341</v>
      </c>
      <c r="F133" s="3975">
        <v>0</v>
      </c>
    </row>
    <row r="134" spans="1:6" ht="12.75" hidden="1" customHeight="1">
      <c r="A134" s="4778"/>
      <c r="B134" s="4780" t="s">
        <v>12</v>
      </c>
      <c r="C134" s="4780"/>
      <c r="D134" s="4780"/>
      <c r="E134" s="3774" t="s">
        <v>1341</v>
      </c>
      <c r="F134" s="3975">
        <v>0</v>
      </c>
    </row>
    <row r="135" spans="1:6" ht="12.75" hidden="1" customHeight="1">
      <c r="A135" s="4778" t="s">
        <v>2011</v>
      </c>
      <c r="B135" s="4781" t="s">
        <v>4841</v>
      </c>
      <c r="C135" s="4781"/>
      <c r="D135" s="4781"/>
      <c r="E135" s="4781"/>
      <c r="F135" s="3973">
        <f>SUM(F136:F139)</f>
        <v>0</v>
      </c>
    </row>
    <row r="136" spans="1:6" ht="12.75" hidden="1" customHeight="1">
      <c r="A136" s="4778"/>
      <c r="B136" s="4780" t="s">
        <v>9</v>
      </c>
      <c r="C136" s="4780"/>
      <c r="D136" s="4780"/>
      <c r="E136" s="3774" t="s">
        <v>1341</v>
      </c>
      <c r="F136" s="3975">
        <v>0</v>
      </c>
    </row>
    <row r="137" spans="1:6" ht="12.75" hidden="1" customHeight="1">
      <c r="A137" s="4778"/>
      <c r="B137" s="4780" t="s">
        <v>409</v>
      </c>
      <c r="C137" s="4780"/>
      <c r="D137" s="4780"/>
      <c r="E137" s="3774" t="s">
        <v>1341</v>
      </c>
      <c r="F137" s="3975">
        <v>0</v>
      </c>
    </row>
    <row r="138" spans="1:6" ht="12.75" hidden="1" customHeight="1">
      <c r="A138" s="4778"/>
      <c r="B138" s="4780" t="s">
        <v>411</v>
      </c>
      <c r="C138" s="4780"/>
      <c r="D138" s="4780"/>
      <c r="E138" s="3774" t="s">
        <v>1341</v>
      </c>
      <c r="F138" s="3975">
        <v>0</v>
      </c>
    </row>
    <row r="139" spans="1:6" ht="12.75" hidden="1" customHeight="1">
      <c r="A139" s="4778"/>
      <c r="B139" s="4780" t="s">
        <v>12</v>
      </c>
      <c r="C139" s="4780"/>
      <c r="D139" s="4780"/>
      <c r="E139" s="3774" t="s">
        <v>1341</v>
      </c>
      <c r="F139" s="3975">
        <v>0</v>
      </c>
    </row>
    <row r="140" spans="1:6" ht="12.75" hidden="1" customHeight="1">
      <c r="A140" s="4778" t="s">
        <v>2012</v>
      </c>
      <c r="B140" s="4781" t="s">
        <v>4842</v>
      </c>
      <c r="C140" s="4781"/>
      <c r="D140" s="4781"/>
      <c r="E140" s="4781"/>
      <c r="F140" s="3973">
        <f>SUM(F141:F144)</f>
        <v>0</v>
      </c>
    </row>
    <row r="141" spans="1:6" ht="12.75" hidden="1" customHeight="1">
      <c r="A141" s="4778"/>
      <c r="B141" s="4780" t="s">
        <v>9</v>
      </c>
      <c r="C141" s="4780"/>
      <c r="D141" s="4780"/>
      <c r="E141" s="3774" t="s">
        <v>1341</v>
      </c>
      <c r="F141" s="3975">
        <v>0</v>
      </c>
    </row>
    <row r="142" spans="1:6" ht="12.75" hidden="1" customHeight="1">
      <c r="A142" s="4778"/>
      <c r="B142" s="4780" t="s">
        <v>409</v>
      </c>
      <c r="C142" s="4780"/>
      <c r="D142" s="4780"/>
      <c r="E142" s="3774" t="s">
        <v>1341</v>
      </c>
      <c r="F142" s="3975">
        <v>0</v>
      </c>
    </row>
    <row r="143" spans="1:6" ht="12.75" hidden="1" customHeight="1">
      <c r="A143" s="4778"/>
      <c r="B143" s="4780" t="s">
        <v>411</v>
      </c>
      <c r="C143" s="4780"/>
      <c r="D143" s="4780"/>
      <c r="E143" s="3774" t="s">
        <v>1341</v>
      </c>
      <c r="F143" s="3975">
        <v>0</v>
      </c>
    </row>
    <row r="144" spans="1:6" ht="12.75" hidden="1" customHeight="1">
      <c r="A144" s="4778"/>
      <c r="B144" s="4780" t="s">
        <v>12</v>
      </c>
      <c r="C144" s="4780"/>
      <c r="D144" s="4780"/>
      <c r="E144" s="3774" t="s">
        <v>1341</v>
      </c>
      <c r="F144" s="3975">
        <v>0</v>
      </c>
    </row>
    <row r="145" spans="1:6" ht="43.5" customHeight="1">
      <c r="A145" s="4778" t="s">
        <v>2013</v>
      </c>
      <c r="B145" s="4776" t="s">
        <v>4851</v>
      </c>
      <c r="C145" s="4776"/>
      <c r="D145" s="4776"/>
      <c r="E145" s="3773" t="s">
        <v>1341</v>
      </c>
      <c r="F145" s="3973">
        <f>SUM(F146:F149)</f>
        <v>6555011</v>
      </c>
    </row>
    <row r="146" spans="1:6" ht="12.75" customHeight="1">
      <c r="A146" s="4778"/>
      <c r="B146" s="4780" t="s">
        <v>9</v>
      </c>
      <c r="C146" s="4780"/>
      <c r="D146" s="4780"/>
      <c r="E146" s="3774" t="s">
        <v>1341</v>
      </c>
      <c r="F146" s="3975">
        <f>F152+F157+F162</f>
        <v>0</v>
      </c>
    </row>
    <row r="147" spans="1:6" ht="12.75" customHeight="1">
      <c r="A147" s="4778"/>
      <c r="B147" s="4780" t="s">
        <v>409</v>
      </c>
      <c r="C147" s="4780"/>
      <c r="D147" s="4780"/>
      <c r="E147" s="3774" t="s">
        <v>1341</v>
      </c>
      <c r="F147" s="3975">
        <f>F153+F158+F163</f>
        <v>0</v>
      </c>
    </row>
    <row r="148" spans="1:6" ht="12.75" customHeight="1">
      <c r="A148" s="4778"/>
      <c r="B148" s="4780" t="s">
        <v>411</v>
      </c>
      <c r="C148" s="4780"/>
      <c r="D148" s="4780"/>
      <c r="E148" s="3774" t="s">
        <v>1341</v>
      </c>
      <c r="F148" s="3975">
        <f>F154+F159+F164</f>
        <v>1529105</v>
      </c>
    </row>
    <row r="149" spans="1:6" ht="12.75" customHeight="1">
      <c r="A149" s="4778"/>
      <c r="B149" s="4780" t="s">
        <v>12</v>
      </c>
      <c r="C149" s="4780"/>
      <c r="D149" s="4780"/>
      <c r="E149" s="3774" t="s">
        <v>1341</v>
      </c>
      <c r="F149" s="3975">
        <f>F155+F160+F165</f>
        <v>5025906</v>
      </c>
    </row>
    <row r="150" spans="1:6" ht="12.75" customHeight="1">
      <c r="A150" s="4782" t="s">
        <v>512</v>
      </c>
      <c r="B150" s="4782"/>
      <c r="C150" s="4782"/>
      <c r="D150" s="4782"/>
      <c r="E150" s="4782"/>
      <c r="F150" s="4782"/>
    </row>
    <row r="151" spans="1:6" ht="12.75" customHeight="1">
      <c r="A151" s="4778" t="s">
        <v>2015</v>
      </c>
      <c r="B151" s="4781" t="s">
        <v>4840</v>
      </c>
      <c r="C151" s="4781"/>
      <c r="D151" s="4781"/>
      <c r="E151" s="4781"/>
      <c r="F151" s="3973">
        <f>SUM(F152:F155)</f>
        <v>6555011</v>
      </c>
    </row>
    <row r="152" spans="1:6" ht="12.75" customHeight="1">
      <c r="A152" s="4778"/>
      <c r="B152" s="4780" t="s">
        <v>9</v>
      </c>
      <c r="C152" s="4780"/>
      <c r="D152" s="4780"/>
      <c r="E152" s="3774" t="s">
        <v>1341</v>
      </c>
      <c r="F152" s="3975">
        <v>0</v>
      </c>
    </row>
    <row r="153" spans="1:6" ht="12.75" customHeight="1">
      <c r="A153" s="4778"/>
      <c r="B153" s="4780" t="s">
        <v>409</v>
      </c>
      <c r="C153" s="4780"/>
      <c r="D153" s="4780"/>
      <c r="E153" s="3774" t="s">
        <v>1341</v>
      </c>
      <c r="F153" s="3975">
        <v>0</v>
      </c>
    </row>
    <row r="154" spans="1:6" ht="12.75" customHeight="1">
      <c r="A154" s="4778"/>
      <c r="B154" s="4780" t="s">
        <v>411</v>
      </c>
      <c r="C154" s="4780"/>
      <c r="D154" s="4780"/>
      <c r="E154" s="3774" t="s">
        <v>1341</v>
      </c>
      <c r="F154" s="3975">
        <f>'Шаблон 46 ГП'!F302</f>
        <v>1529105</v>
      </c>
    </row>
    <row r="155" spans="1:6" ht="12.75" customHeight="1">
      <c r="A155" s="4778"/>
      <c r="B155" s="4780" t="s">
        <v>12</v>
      </c>
      <c r="C155" s="4780"/>
      <c r="D155" s="4780"/>
      <c r="E155" s="3774" t="s">
        <v>1341</v>
      </c>
      <c r="F155" s="3975">
        <f>'Шаблон 46 ГП'!G302</f>
        <v>5025906</v>
      </c>
    </row>
    <row r="156" spans="1:6" ht="12.75" customHeight="1">
      <c r="A156" s="4778" t="s">
        <v>2016</v>
      </c>
      <c r="B156" s="4781" t="s">
        <v>4841</v>
      </c>
      <c r="C156" s="4781"/>
      <c r="D156" s="4781"/>
      <c r="E156" s="4781"/>
      <c r="F156" s="3973">
        <f>SUM(F157:F160)</f>
        <v>0</v>
      </c>
    </row>
    <row r="157" spans="1:6" ht="12.75" customHeight="1">
      <c r="A157" s="4778"/>
      <c r="B157" s="4780" t="s">
        <v>9</v>
      </c>
      <c r="C157" s="4780"/>
      <c r="D157" s="4780"/>
      <c r="E157" s="3774" t="s">
        <v>1341</v>
      </c>
      <c r="F157" s="3975">
        <v>0</v>
      </c>
    </row>
    <row r="158" spans="1:6" ht="12.75" customHeight="1">
      <c r="A158" s="4778"/>
      <c r="B158" s="4780" t="s">
        <v>409</v>
      </c>
      <c r="C158" s="4780"/>
      <c r="D158" s="4780"/>
      <c r="E158" s="3774" t="s">
        <v>1341</v>
      </c>
      <c r="F158" s="3975">
        <v>0</v>
      </c>
    </row>
    <row r="159" spans="1:6" ht="12.75" customHeight="1">
      <c r="A159" s="4778"/>
      <c r="B159" s="4780" t="s">
        <v>411</v>
      </c>
      <c r="C159" s="4780"/>
      <c r="D159" s="4780"/>
      <c r="E159" s="3774" t="s">
        <v>1341</v>
      </c>
      <c r="F159" s="3975">
        <v>0</v>
      </c>
    </row>
    <row r="160" spans="1:6" ht="12.75" customHeight="1">
      <c r="A160" s="4778"/>
      <c r="B160" s="4780" t="s">
        <v>12</v>
      </c>
      <c r="C160" s="4780"/>
      <c r="D160" s="4780"/>
      <c r="E160" s="3774" t="s">
        <v>1341</v>
      </c>
      <c r="F160" s="3975">
        <v>0</v>
      </c>
    </row>
    <row r="161" spans="1:6" ht="12.75" customHeight="1">
      <c r="A161" s="4778" t="s">
        <v>2017</v>
      </c>
      <c r="B161" s="4781" t="s">
        <v>4842</v>
      </c>
      <c r="C161" s="4781"/>
      <c r="D161" s="4781"/>
      <c r="E161" s="4781"/>
      <c r="F161" s="3973">
        <f>SUM(F162:F165)</f>
        <v>0</v>
      </c>
    </row>
    <row r="162" spans="1:6" ht="12.75" customHeight="1">
      <c r="A162" s="4778"/>
      <c r="B162" s="4780" t="s">
        <v>9</v>
      </c>
      <c r="C162" s="4780"/>
      <c r="D162" s="4780"/>
      <c r="E162" s="3774" t="s">
        <v>1341</v>
      </c>
      <c r="F162" s="3975">
        <v>0</v>
      </c>
    </row>
    <row r="163" spans="1:6" ht="12.75" customHeight="1">
      <c r="A163" s="4778"/>
      <c r="B163" s="4780" t="s">
        <v>409</v>
      </c>
      <c r="C163" s="4780"/>
      <c r="D163" s="4780"/>
      <c r="E163" s="3774" t="s">
        <v>1341</v>
      </c>
      <c r="F163" s="3975">
        <v>0</v>
      </c>
    </row>
    <row r="164" spans="1:6" ht="12.75" customHeight="1">
      <c r="A164" s="4778"/>
      <c r="B164" s="4780" t="s">
        <v>411</v>
      </c>
      <c r="C164" s="4780"/>
      <c r="D164" s="4780"/>
      <c r="E164" s="3774" t="s">
        <v>1341</v>
      </c>
      <c r="F164" s="3975">
        <v>0</v>
      </c>
    </row>
    <row r="165" spans="1:6" ht="12.75" customHeight="1">
      <c r="A165" s="4778"/>
      <c r="B165" s="4780" t="s">
        <v>12</v>
      </c>
      <c r="C165" s="4780"/>
      <c r="D165" s="4780"/>
      <c r="E165" s="3774" t="s">
        <v>1341</v>
      </c>
      <c r="F165" s="3975">
        <v>0</v>
      </c>
    </row>
    <row r="166" spans="1:6" ht="29.25" hidden="1" customHeight="1">
      <c r="A166" s="4778" t="s">
        <v>2018</v>
      </c>
      <c r="B166" s="4776" t="s">
        <v>4852</v>
      </c>
      <c r="C166" s="4776"/>
      <c r="D166" s="4776"/>
      <c r="E166" s="3773" t="s">
        <v>1341</v>
      </c>
      <c r="F166" s="3973">
        <f>SUM(F167:F170)</f>
        <v>0</v>
      </c>
    </row>
    <row r="167" spans="1:6" ht="12.75" hidden="1" customHeight="1">
      <c r="A167" s="4778"/>
      <c r="B167" s="4780" t="s">
        <v>9</v>
      </c>
      <c r="C167" s="4780"/>
      <c r="D167" s="4780"/>
      <c r="E167" s="3774" t="s">
        <v>1341</v>
      </c>
      <c r="F167" s="3975">
        <f>F173+F178+F183</f>
        <v>0</v>
      </c>
    </row>
    <row r="168" spans="1:6" ht="12.75" hidden="1" customHeight="1">
      <c r="A168" s="4778"/>
      <c r="B168" s="4780" t="s">
        <v>409</v>
      </c>
      <c r="C168" s="4780"/>
      <c r="D168" s="4780"/>
      <c r="E168" s="3774" t="s">
        <v>1341</v>
      </c>
      <c r="F168" s="3975">
        <f>F174+F179+F184</f>
        <v>0</v>
      </c>
    </row>
    <row r="169" spans="1:6" ht="12.75" hidden="1" customHeight="1">
      <c r="A169" s="4778"/>
      <c r="B169" s="4780" t="s">
        <v>411</v>
      </c>
      <c r="C169" s="4780"/>
      <c r="D169" s="4780"/>
      <c r="E169" s="3774" t="s">
        <v>1341</v>
      </c>
      <c r="F169" s="3975">
        <f>F175+F180+F185</f>
        <v>0</v>
      </c>
    </row>
    <row r="170" spans="1:6" ht="12.75" hidden="1" customHeight="1">
      <c r="A170" s="4778"/>
      <c r="B170" s="4780" t="s">
        <v>12</v>
      </c>
      <c r="C170" s="4780"/>
      <c r="D170" s="4780"/>
      <c r="E170" s="3774" t="s">
        <v>1341</v>
      </c>
      <c r="F170" s="3975">
        <f>F176+F181+F186</f>
        <v>0</v>
      </c>
    </row>
    <row r="171" spans="1:6" ht="12.75" hidden="1" customHeight="1">
      <c r="A171" s="4782" t="s">
        <v>512</v>
      </c>
      <c r="B171" s="4782"/>
      <c r="C171" s="4782"/>
      <c r="D171" s="4782"/>
      <c r="E171" s="4782"/>
      <c r="F171" s="4782"/>
    </row>
    <row r="172" spans="1:6" ht="12.75" hidden="1" customHeight="1">
      <c r="A172" s="4778" t="s">
        <v>2020</v>
      </c>
      <c r="B172" s="4781" t="s">
        <v>4840</v>
      </c>
      <c r="C172" s="4781"/>
      <c r="D172" s="4781"/>
      <c r="E172" s="4781"/>
      <c r="F172" s="3973">
        <f>SUM(F173:F176)</f>
        <v>0</v>
      </c>
    </row>
    <row r="173" spans="1:6" ht="12.75" hidden="1" customHeight="1">
      <c r="A173" s="4778"/>
      <c r="B173" s="4780" t="s">
        <v>9</v>
      </c>
      <c r="C173" s="4780"/>
      <c r="D173" s="4780"/>
      <c r="E173" s="3774" t="s">
        <v>1341</v>
      </c>
      <c r="F173" s="3975">
        <v>0</v>
      </c>
    </row>
    <row r="174" spans="1:6" ht="12.75" hidden="1" customHeight="1">
      <c r="A174" s="4778"/>
      <c r="B174" s="4780" t="s">
        <v>409</v>
      </c>
      <c r="C174" s="4780"/>
      <c r="D174" s="4780"/>
      <c r="E174" s="3774" t="s">
        <v>1341</v>
      </c>
      <c r="F174" s="3975">
        <v>0</v>
      </c>
    </row>
    <row r="175" spans="1:6" ht="12.75" hidden="1" customHeight="1">
      <c r="A175" s="4778"/>
      <c r="B175" s="4780" t="s">
        <v>411</v>
      </c>
      <c r="C175" s="4780"/>
      <c r="D175" s="4780"/>
      <c r="E175" s="3774" t="s">
        <v>1341</v>
      </c>
      <c r="F175" s="3975">
        <v>0</v>
      </c>
    </row>
    <row r="176" spans="1:6" ht="12.75" hidden="1" customHeight="1">
      <c r="A176" s="4778"/>
      <c r="B176" s="4780" t="s">
        <v>12</v>
      </c>
      <c r="C176" s="4780"/>
      <c r="D176" s="4780"/>
      <c r="E176" s="3774" t="s">
        <v>1341</v>
      </c>
      <c r="F176" s="3975">
        <v>0</v>
      </c>
    </row>
    <row r="177" spans="1:6" ht="12.75" hidden="1" customHeight="1">
      <c r="A177" s="4778" t="s">
        <v>2021</v>
      </c>
      <c r="B177" s="4781" t="s">
        <v>4841</v>
      </c>
      <c r="C177" s="4781"/>
      <c r="D177" s="4781"/>
      <c r="E177" s="4781"/>
      <c r="F177" s="3973">
        <f>SUM(F178:F181)</f>
        <v>0</v>
      </c>
    </row>
    <row r="178" spans="1:6" ht="12.75" hidden="1" customHeight="1">
      <c r="A178" s="4778"/>
      <c r="B178" s="4780" t="s">
        <v>9</v>
      </c>
      <c r="C178" s="4780"/>
      <c r="D178" s="4780"/>
      <c r="E178" s="3774" t="s">
        <v>1341</v>
      </c>
      <c r="F178" s="3975">
        <v>0</v>
      </c>
    </row>
    <row r="179" spans="1:6" ht="12.75" hidden="1" customHeight="1">
      <c r="A179" s="4778"/>
      <c r="B179" s="4780" t="s">
        <v>409</v>
      </c>
      <c r="C179" s="4780"/>
      <c r="D179" s="4780"/>
      <c r="E179" s="3774" t="s">
        <v>1341</v>
      </c>
      <c r="F179" s="3975">
        <v>0</v>
      </c>
    </row>
    <row r="180" spans="1:6" ht="12.75" hidden="1" customHeight="1">
      <c r="A180" s="4778"/>
      <c r="B180" s="4780" t="s">
        <v>411</v>
      </c>
      <c r="C180" s="4780"/>
      <c r="D180" s="4780"/>
      <c r="E180" s="3774" t="s">
        <v>1341</v>
      </c>
      <c r="F180" s="3975">
        <v>0</v>
      </c>
    </row>
    <row r="181" spans="1:6" ht="12.75" hidden="1" customHeight="1">
      <c r="A181" s="4778"/>
      <c r="B181" s="4780" t="s">
        <v>12</v>
      </c>
      <c r="C181" s="4780"/>
      <c r="D181" s="4780"/>
      <c r="E181" s="3774" t="s">
        <v>1341</v>
      </c>
      <c r="F181" s="3975">
        <v>0</v>
      </c>
    </row>
    <row r="182" spans="1:6" ht="12.75" hidden="1" customHeight="1">
      <c r="A182" s="4778" t="s">
        <v>2022</v>
      </c>
      <c r="B182" s="4781" t="s">
        <v>4842</v>
      </c>
      <c r="C182" s="4781"/>
      <c r="D182" s="4781"/>
      <c r="E182" s="4781"/>
      <c r="F182" s="3973">
        <f>SUM(F183:F186)</f>
        <v>0</v>
      </c>
    </row>
    <row r="183" spans="1:6" ht="12.75" hidden="1" customHeight="1">
      <c r="A183" s="4778"/>
      <c r="B183" s="4780" t="s">
        <v>9</v>
      </c>
      <c r="C183" s="4780"/>
      <c r="D183" s="4780"/>
      <c r="E183" s="3774" t="s">
        <v>1341</v>
      </c>
      <c r="F183" s="3975">
        <v>0</v>
      </c>
    </row>
    <row r="184" spans="1:6" ht="12.75" hidden="1" customHeight="1">
      <c r="A184" s="4778"/>
      <c r="B184" s="4780" t="s">
        <v>409</v>
      </c>
      <c r="C184" s="4780"/>
      <c r="D184" s="4780"/>
      <c r="E184" s="3774" t="s">
        <v>1341</v>
      </c>
      <c r="F184" s="3975">
        <v>0</v>
      </c>
    </row>
    <row r="185" spans="1:6" ht="12.75" hidden="1" customHeight="1">
      <c r="A185" s="4778"/>
      <c r="B185" s="4780" t="s">
        <v>411</v>
      </c>
      <c r="C185" s="4780"/>
      <c r="D185" s="4780"/>
      <c r="E185" s="3774" t="s">
        <v>1341</v>
      </c>
      <c r="F185" s="3975">
        <v>0</v>
      </c>
    </row>
    <row r="186" spans="1:6" ht="12.75" hidden="1" customHeight="1">
      <c r="A186" s="4778"/>
      <c r="B186" s="4780" t="s">
        <v>12</v>
      </c>
      <c r="C186" s="4780"/>
      <c r="D186" s="4780"/>
      <c r="E186" s="3774" t="s">
        <v>1341</v>
      </c>
      <c r="F186" s="3975">
        <v>0</v>
      </c>
    </row>
    <row r="187" spans="1:6" s="3775" customFormat="1" ht="20.25" hidden="1" customHeight="1">
      <c r="A187" s="4775" t="s">
        <v>44</v>
      </c>
      <c r="B187" s="4776" t="s">
        <v>4853</v>
      </c>
      <c r="C187" s="4776"/>
      <c r="D187" s="4776"/>
      <c r="E187" s="3773" t="s">
        <v>1341</v>
      </c>
      <c r="F187" s="3973">
        <f>SUM(F188:F191)</f>
        <v>0</v>
      </c>
    </row>
    <row r="188" spans="1:6" s="3775" customFormat="1" hidden="1">
      <c r="A188" s="4775"/>
      <c r="B188" s="4780" t="s">
        <v>9</v>
      </c>
      <c r="C188" s="4780"/>
      <c r="D188" s="4780"/>
      <c r="E188" s="3774" t="s">
        <v>1341</v>
      </c>
      <c r="F188" s="3975">
        <f>F193+F198+F203</f>
        <v>0</v>
      </c>
    </row>
    <row r="189" spans="1:6" s="3775" customFormat="1" hidden="1">
      <c r="A189" s="4775"/>
      <c r="B189" s="4780" t="s">
        <v>409</v>
      </c>
      <c r="C189" s="4780"/>
      <c r="D189" s="4780"/>
      <c r="E189" s="3774" t="s">
        <v>1341</v>
      </c>
      <c r="F189" s="3975">
        <f>F194+F199+F204</f>
        <v>0</v>
      </c>
    </row>
    <row r="190" spans="1:6" s="3775" customFormat="1" hidden="1">
      <c r="A190" s="4775"/>
      <c r="B190" s="4780" t="s">
        <v>411</v>
      </c>
      <c r="C190" s="4780"/>
      <c r="D190" s="4780"/>
      <c r="E190" s="3774" t="s">
        <v>1341</v>
      </c>
      <c r="F190" s="3975">
        <f>F195+F200+F205</f>
        <v>0</v>
      </c>
    </row>
    <row r="191" spans="1:6" s="3775" customFormat="1" hidden="1">
      <c r="A191" s="4775"/>
      <c r="B191" s="4780" t="s">
        <v>12</v>
      </c>
      <c r="C191" s="4780"/>
      <c r="D191" s="4780"/>
      <c r="E191" s="3774" t="s">
        <v>1341</v>
      </c>
      <c r="F191" s="3975">
        <f>F196+F201+F206</f>
        <v>0</v>
      </c>
    </row>
    <row r="192" spans="1:6" s="3775" customFormat="1" ht="30" hidden="1" customHeight="1">
      <c r="A192" s="4778" t="s">
        <v>285</v>
      </c>
      <c r="B192" s="4779" t="s">
        <v>4854</v>
      </c>
      <c r="C192" s="4779"/>
      <c r="D192" s="4779"/>
      <c r="E192" s="3774"/>
      <c r="F192" s="3973">
        <f>SUM(F193:F196)</f>
        <v>0</v>
      </c>
    </row>
    <row r="193" spans="1:6" s="3775" customFormat="1" hidden="1">
      <c r="A193" s="4778"/>
      <c r="B193" s="4777" t="s">
        <v>9</v>
      </c>
      <c r="C193" s="4777"/>
      <c r="D193" s="4777"/>
      <c r="E193" s="3774" t="s">
        <v>1341</v>
      </c>
      <c r="F193" s="3975">
        <v>0</v>
      </c>
    </row>
    <row r="194" spans="1:6" s="3775" customFormat="1" hidden="1">
      <c r="A194" s="4778"/>
      <c r="B194" s="4777" t="s">
        <v>409</v>
      </c>
      <c r="C194" s="4777"/>
      <c r="D194" s="4777"/>
      <c r="E194" s="3774" t="s">
        <v>1341</v>
      </c>
      <c r="F194" s="3975">
        <v>0</v>
      </c>
    </row>
    <row r="195" spans="1:6" s="3775" customFormat="1" hidden="1">
      <c r="A195" s="4778"/>
      <c r="B195" s="4777" t="s">
        <v>411</v>
      </c>
      <c r="C195" s="4777"/>
      <c r="D195" s="4777"/>
      <c r="E195" s="3774" t="s">
        <v>1341</v>
      </c>
      <c r="F195" s="3975">
        <v>0</v>
      </c>
    </row>
    <row r="196" spans="1:6" s="3775" customFormat="1" hidden="1">
      <c r="A196" s="4778"/>
      <c r="B196" s="4777" t="s">
        <v>12</v>
      </c>
      <c r="C196" s="4777"/>
      <c r="D196" s="4777"/>
      <c r="E196" s="3774" t="s">
        <v>1341</v>
      </c>
      <c r="F196" s="3975">
        <v>0</v>
      </c>
    </row>
    <row r="197" spans="1:6" s="3775" customFormat="1" ht="29.25" hidden="1" customHeight="1">
      <c r="A197" s="4778" t="s">
        <v>286</v>
      </c>
      <c r="B197" s="4779" t="s">
        <v>4855</v>
      </c>
      <c r="C197" s="4779"/>
      <c r="D197" s="4779"/>
      <c r="E197" s="3774"/>
      <c r="F197" s="3973">
        <f>SUM(F198:F201)</f>
        <v>0</v>
      </c>
    </row>
    <row r="198" spans="1:6" s="3775" customFormat="1" hidden="1">
      <c r="A198" s="4778"/>
      <c r="B198" s="4777" t="s">
        <v>9</v>
      </c>
      <c r="C198" s="4777"/>
      <c r="D198" s="4777"/>
      <c r="E198" s="3774" t="s">
        <v>1341</v>
      </c>
      <c r="F198" s="3975">
        <v>0</v>
      </c>
    </row>
    <row r="199" spans="1:6" s="3775" customFormat="1" hidden="1">
      <c r="A199" s="4778"/>
      <c r="B199" s="4777" t="s">
        <v>409</v>
      </c>
      <c r="C199" s="4777"/>
      <c r="D199" s="4777"/>
      <c r="E199" s="3774" t="s">
        <v>1341</v>
      </c>
      <c r="F199" s="3975">
        <v>0</v>
      </c>
    </row>
    <row r="200" spans="1:6" s="3775" customFormat="1" hidden="1">
      <c r="A200" s="4778"/>
      <c r="B200" s="4777" t="s">
        <v>411</v>
      </c>
      <c r="C200" s="4777"/>
      <c r="D200" s="4777"/>
      <c r="E200" s="3774" t="s">
        <v>1341</v>
      </c>
      <c r="F200" s="3975">
        <v>0</v>
      </c>
    </row>
    <row r="201" spans="1:6" s="3775" customFormat="1" hidden="1">
      <c r="A201" s="4778"/>
      <c r="B201" s="4777" t="s">
        <v>12</v>
      </c>
      <c r="C201" s="4777"/>
      <c r="D201" s="4777"/>
      <c r="E201" s="3774" t="s">
        <v>1341</v>
      </c>
      <c r="F201" s="3975">
        <v>0</v>
      </c>
    </row>
    <row r="202" spans="1:6" s="3775" customFormat="1" ht="30" hidden="1" customHeight="1">
      <c r="A202" s="4778" t="s">
        <v>3084</v>
      </c>
      <c r="B202" s="4779" t="s">
        <v>4856</v>
      </c>
      <c r="C202" s="4779"/>
      <c r="D202" s="4779"/>
      <c r="E202" s="3774"/>
      <c r="F202" s="3973">
        <f>SUM(F203:F206)</f>
        <v>0</v>
      </c>
    </row>
    <row r="203" spans="1:6" s="3775" customFormat="1" hidden="1">
      <c r="A203" s="4778"/>
      <c r="B203" s="4777" t="s">
        <v>9</v>
      </c>
      <c r="C203" s="4777"/>
      <c r="D203" s="4777"/>
      <c r="E203" s="3774" t="s">
        <v>1341</v>
      </c>
      <c r="F203" s="3975">
        <v>0</v>
      </c>
    </row>
    <row r="204" spans="1:6" s="3775" customFormat="1" hidden="1">
      <c r="A204" s="4778"/>
      <c r="B204" s="4777" t="s">
        <v>409</v>
      </c>
      <c r="C204" s="4777"/>
      <c r="D204" s="4777"/>
      <c r="E204" s="3774" t="s">
        <v>1341</v>
      </c>
      <c r="F204" s="3975">
        <v>0</v>
      </c>
    </row>
    <row r="205" spans="1:6" s="3775" customFormat="1" hidden="1">
      <c r="A205" s="4778"/>
      <c r="B205" s="4777" t="s">
        <v>411</v>
      </c>
      <c r="C205" s="4777"/>
      <c r="D205" s="4777"/>
      <c r="E205" s="3774" t="s">
        <v>1341</v>
      </c>
      <c r="F205" s="3975">
        <v>0</v>
      </c>
    </row>
    <row r="206" spans="1:6" s="3775" customFormat="1" hidden="1">
      <c r="A206" s="4778"/>
      <c r="B206" s="4777" t="s">
        <v>12</v>
      </c>
      <c r="C206" s="4777"/>
      <c r="D206" s="4777"/>
      <c r="E206" s="3774" t="s">
        <v>1341</v>
      </c>
      <c r="F206" s="3975">
        <v>0</v>
      </c>
    </row>
    <row r="207" spans="1:6" s="3775" customFormat="1" ht="26.25" customHeight="1">
      <c r="A207" s="4775" t="s">
        <v>45</v>
      </c>
      <c r="B207" s="4776" t="s">
        <v>5123</v>
      </c>
      <c r="C207" s="4776"/>
      <c r="D207" s="4776"/>
      <c r="E207" s="3773" t="s">
        <v>1341</v>
      </c>
      <c r="F207" s="3973">
        <f>SUM(F208:F211)</f>
        <v>55312285</v>
      </c>
    </row>
    <row r="208" spans="1:6" s="3775" customFormat="1">
      <c r="A208" s="4775"/>
      <c r="B208" s="4777" t="s">
        <v>9</v>
      </c>
      <c r="C208" s="4777"/>
      <c r="D208" s="4777"/>
      <c r="E208" s="3774" t="s">
        <v>1341</v>
      </c>
      <c r="F208" s="3975">
        <f>F11+F31+F120+F188</f>
        <v>0</v>
      </c>
    </row>
    <row r="209" spans="1:6" s="3775" customFormat="1">
      <c r="A209" s="4775"/>
      <c r="B209" s="4777" t="s">
        <v>409</v>
      </c>
      <c r="C209" s="4777"/>
      <c r="D209" s="4777"/>
      <c r="E209" s="3774" t="s">
        <v>1341</v>
      </c>
      <c r="F209" s="3975">
        <f>F12+F32+F121+F189</f>
        <v>2685312</v>
      </c>
    </row>
    <row r="210" spans="1:6" s="3775" customFormat="1">
      <c r="A210" s="4775"/>
      <c r="B210" s="4777" t="s">
        <v>411</v>
      </c>
      <c r="C210" s="4777"/>
      <c r="D210" s="4777"/>
      <c r="E210" s="3774" t="s">
        <v>1341</v>
      </c>
      <c r="F210" s="3975">
        <f>F13+F33+F122+F190</f>
        <v>20696657</v>
      </c>
    </row>
    <row r="211" spans="1:6" s="3775" customFormat="1">
      <c r="A211" s="4775"/>
      <c r="B211" s="4777" t="s">
        <v>12</v>
      </c>
      <c r="C211" s="4777"/>
      <c r="D211" s="4777"/>
      <c r="E211" s="3774" t="s">
        <v>1341</v>
      </c>
      <c r="F211" s="3975">
        <f>F14+F34+F123+F191</f>
        <v>31930316</v>
      </c>
    </row>
    <row r="212" spans="1:6" s="3775" customFormat="1" ht="12" customHeight="1">
      <c r="A212" s="3776"/>
      <c r="B212" s="3777"/>
      <c r="C212" s="3777"/>
      <c r="D212" s="3777"/>
      <c r="E212" s="3778"/>
      <c r="F212" s="3779"/>
    </row>
    <row r="213" spans="1:6">
      <c r="A213" s="4774"/>
      <c r="B213" s="4774"/>
      <c r="C213" s="4774"/>
      <c r="D213" s="4774"/>
      <c r="E213" s="4774"/>
      <c r="F213" s="4774"/>
    </row>
    <row r="214" spans="1:6" ht="27" customHeight="1">
      <c r="B214" s="3780"/>
      <c r="C214" s="3780"/>
      <c r="D214" s="3780"/>
      <c r="E214" s="3781"/>
      <c r="F214" s="3781"/>
    </row>
    <row r="215" spans="1:6" s="3767" customFormat="1">
      <c r="A215" s="3765"/>
      <c r="B215" s="3766"/>
      <c r="C215" s="3782" t="s">
        <v>1779</v>
      </c>
      <c r="D215" s="3783" t="s">
        <v>4949</v>
      </c>
      <c r="F215" s="3766"/>
    </row>
    <row r="216" spans="1:6" s="3767" customFormat="1">
      <c r="A216" s="3765"/>
      <c r="B216" s="3766"/>
      <c r="C216" s="3783"/>
      <c r="D216" s="3783"/>
      <c r="F216" s="3766"/>
    </row>
    <row r="217" spans="1:6" s="3767" customFormat="1">
      <c r="A217" s="3765"/>
      <c r="B217" s="3766"/>
      <c r="C217" s="3784" t="s">
        <v>4948</v>
      </c>
      <c r="D217" s="3785" t="s">
        <v>4950</v>
      </c>
      <c r="F217" s="3766"/>
    </row>
    <row r="218" spans="1:6" s="3786" customFormat="1" ht="12">
      <c r="A218" s="3765"/>
      <c r="C218" s="3787" t="s">
        <v>4831</v>
      </c>
      <c r="D218" s="3787" t="s">
        <v>4831</v>
      </c>
    </row>
  </sheetData>
  <mergeCells count="250">
    <mergeCell ref="A2:F2"/>
    <mergeCell ref="A3:F3"/>
    <mergeCell ref="A4:F4"/>
    <mergeCell ref="A5:F5"/>
    <mergeCell ref="A7:A9"/>
    <mergeCell ref="B7:D9"/>
    <mergeCell ref="E7:E9"/>
    <mergeCell ref="F7:F9"/>
    <mergeCell ref="A10:A14"/>
    <mergeCell ref="B10:D10"/>
    <mergeCell ref="B11:D11"/>
    <mergeCell ref="B12:D12"/>
    <mergeCell ref="B13:D13"/>
    <mergeCell ref="A20:A24"/>
    <mergeCell ref="B20:D20"/>
    <mergeCell ref="B21:D21"/>
    <mergeCell ref="B22:D22"/>
    <mergeCell ref="B23:D23"/>
    <mergeCell ref="B24:D24"/>
    <mergeCell ref="B14:D14"/>
    <mergeCell ref="A15:A19"/>
    <mergeCell ref="B15:D15"/>
    <mergeCell ref="B16:D16"/>
    <mergeCell ref="B17:D17"/>
    <mergeCell ref="B18:D18"/>
    <mergeCell ref="B19:D19"/>
    <mergeCell ref="A30:A34"/>
    <mergeCell ref="B30:D30"/>
    <mergeCell ref="B31:D31"/>
    <mergeCell ref="B32:D32"/>
    <mergeCell ref="B33:D33"/>
    <mergeCell ref="B34:D34"/>
    <mergeCell ref="A25:A29"/>
    <mergeCell ref="B25:D25"/>
    <mergeCell ref="B26:D26"/>
    <mergeCell ref="B27:D27"/>
    <mergeCell ref="B28:D28"/>
    <mergeCell ref="B29:D29"/>
    <mergeCell ref="A40:F40"/>
    <mergeCell ref="A41:A45"/>
    <mergeCell ref="B41:E41"/>
    <mergeCell ref="B42:D42"/>
    <mergeCell ref="B43:D43"/>
    <mergeCell ref="B44:D44"/>
    <mergeCell ref="B45:D45"/>
    <mergeCell ref="A35:A39"/>
    <mergeCell ref="B35:D35"/>
    <mergeCell ref="B36:D36"/>
    <mergeCell ref="B37:D37"/>
    <mergeCell ref="B38:D38"/>
    <mergeCell ref="B39:D39"/>
    <mergeCell ref="A51:A55"/>
    <mergeCell ref="B51:E51"/>
    <mergeCell ref="B52:D52"/>
    <mergeCell ref="B53:D53"/>
    <mergeCell ref="B54:D54"/>
    <mergeCell ref="B55:D55"/>
    <mergeCell ref="A46:A50"/>
    <mergeCell ref="B46:E46"/>
    <mergeCell ref="B47:D47"/>
    <mergeCell ref="B48:D48"/>
    <mergeCell ref="B49:D49"/>
    <mergeCell ref="B50:D50"/>
    <mergeCell ref="A61:F61"/>
    <mergeCell ref="A62:A66"/>
    <mergeCell ref="B62:E62"/>
    <mergeCell ref="B63:D63"/>
    <mergeCell ref="B64:D64"/>
    <mergeCell ref="B65:D65"/>
    <mergeCell ref="B66:D66"/>
    <mergeCell ref="A56:A60"/>
    <mergeCell ref="B56:D56"/>
    <mergeCell ref="B57:D57"/>
    <mergeCell ref="B58:D58"/>
    <mergeCell ref="B59:D59"/>
    <mergeCell ref="B60:D60"/>
    <mergeCell ref="A72:A76"/>
    <mergeCell ref="B72:E72"/>
    <mergeCell ref="B73:D73"/>
    <mergeCell ref="B74:D74"/>
    <mergeCell ref="B75:D75"/>
    <mergeCell ref="B76:D76"/>
    <mergeCell ref="A67:A71"/>
    <mergeCell ref="B67:E67"/>
    <mergeCell ref="B68:D68"/>
    <mergeCell ref="B69:D69"/>
    <mergeCell ref="B70:D70"/>
    <mergeCell ref="B71:D71"/>
    <mergeCell ref="A82:F82"/>
    <mergeCell ref="A83:A87"/>
    <mergeCell ref="B83:E83"/>
    <mergeCell ref="B84:D84"/>
    <mergeCell ref="B85:D85"/>
    <mergeCell ref="B86:D86"/>
    <mergeCell ref="B87:D87"/>
    <mergeCell ref="A77:A81"/>
    <mergeCell ref="B77:D77"/>
    <mergeCell ref="B78:D78"/>
    <mergeCell ref="B79:D79"/>
    <mergeCell ref="B80:D80"/>
    <mergeCell ref="B81:D81"/>
    <mergeCell ref="A93:A97"/>
    <mergeCell ref="B93:E93"/>
    <mergeCell ref="B94:D94"/>
    <mergeCell ref="B95:D95"/>
    <mergeCell ref="B96:D96"/>
    <mergeCell ref="B97:D97"/>
    <mergeCell ref="A88:A92"/>
    <mergeCell ref="B88:E88"/>
    <mergeCell ref="B89:D89"/>
    <mergeCell ref="B90:D90"/>
    <mergeCell ref="B91:D91"/>
    <mergeCell ref="B92:D92"/>
    <mergeCell ref="A103:F103"/>
    <mergeCell ref="A104:A108"/>
    <mergeCell ref="B104:E104"/>
    <mergeCell ref="B105:D105"/>
    <mergeCell ref="B106:D106"/>
    <mergeCell ref="B107:D107"/>
    <mergeCell ref="B108:D108"/>
    <mergeCell ref="A98:A102"/>
    <mergeCell ref="B98:D98"/>
    <mergeCell ref="B99:D99"/>
    <mergeCell ref="B100:D100"/>
    <mergeCell ref="B101:D101"/>
    <mergeCell ref="B102:D102"/>
    <mergeCell ref="A114:A118"/>
    <mergeCell ref="B114:E114"/>
    <mergeCell ref="B115:D115"/>
    <mergeCell ref="B116:D116"/>
    <mergeCell ref="B117:D117"/>
    <mergeCell ref="B118:D118"/>
    <mergeCell ref="A109:A113"/>
    <mergeCell ref="B109:E109"/>
    <mergeCell ref="B110:D110"/>
    <mergeCell ref="B111:D111"/>
    <mergeCell ref="B112:D112"/>
    <mergeCell ref="B113:D113"/>
    <mergeCell ref="A124:A128"/>
    <mergeCell ref="B124:D124"/>
    <mergeCell ref="B125:D125"/>
    <mergeCell ref="B126:D126"/>
    <mergeCell ref="B127:D127"/>
    <mergeCell ref="B128:D128"/>
    <mergeCell ref="A119:A123"/>
    <mergeCell ref="B119:D119"/>
    <mergeCell ref="B120:D120"/>
    <mergeCell ref="B121:D121"/>
    <mergeCell ref="B122:D122"/>
    <mergeCell ref="B123:D123"/>
    <mergeCell ref="A135:A139"/>
    <mergeCell ref="B135:E135"/>
    <mergeCell ref="B136:D136"/>
    <mergeCell ref="B137:D137"/>
    <mergeCell ref="B138:D138"/>
    <mergeCell ref="B139:D139"/>
    <mergeCell ref="A129:F129"/>
    <mergeCell ref="A130:A134"/>
    <mergeCell ref="B130:E130"/>
    <mergeCell ref="B131:D131"/>
    <mergeCell ref="B132:D132"/>
    <mergeCell ref="B133:D133"/>
    <mergeCell ref="B134:D134"/>
    <mergeCell ref="A145:A149"/>
    <mergeCell ref="B145:D145"/>
    <mergeCell ref="B146:D146"/>
    <mergeCell ref="B147:D147"/>
    <mergeCell ref="B148:D148"/>
    <mergeCell ref="B149:D149"/>
    <mergeCell ref="A140:A144"/>
    <mergeCell ref="B140:E140"/>
    <mergeCell ref="B141:D141"/>
    <mergeCell ref="B142:D142"/>
    <mergeCell ref="B143:D143"/>
    <mergeCell ref="B144:D144"/>
    <mergeCell ref="A156:A160"/>
    <mergeCell ref="B156:E156"/>
    <mergeCell ref="B157:D157"/>
    <mergeCell ref="B158:D158"/>
    <mergeCell ref="B159:D159"/>
    <mergeCell ref="B160:D160"/>
    <mergeCell ref="A150:F150"/>
    <mergeCell ref="A151:A155"/>
    <mergeCell ref="B151:E151"/>
    <mergeCell ref="B152:D152"/>
    <mergeCell ref="B153:D153"/>
    <mergeCell ref="B154:D154"/>
    <mergeCell ref="B155:D155"/>
    <mergeCell ref="A166:A170"/>
    <mergeCell ref="B166:D166"/>
    <mergeCell ref="B167:D167"/>
    <mergeCell ref="B168:D168"/>
    <mergeCell ref="B169:D169"/>
    <mergeCell ref="B170:D170"/>
    <mergeCell ref="A161:A165"/>
    <mergeCell ref="B161:E161"/>
    <mergeCell ref="B162:D162"/>
    <mergeCell ref="B163:D163"/>
    <mergeCell ref="B164:D164"/>
    <mergeCell ref="B165:D165"/>
    <mergeCell ref="A177:A181"/>
    <mergeCell ref="B177:E177"/>
    <mergeCell ref="B178:D178"/>
    <mergeCell ref="B179:D179"/>
    <mergeCell ref="B180:D180"/>
    <mergeCell ref="B181:D181"/>
    <mergeCell ref="A171:F171"/>
    <mergeCell ref="A172:A176"/>
    <mergeCell ref="B172:E172"/>
    <mergeCell ref="B173:D173"/>
    <mergeCell ref="B174:D174"/>
    <mergeCell ref="B175:D175"/>
    <mergeCell ref="B176:D176"/>
    <mergeCell ref="A187:A191"/>
    <mergeCell ref="B187:D187"/>
    <mergeCell ref="B188:D188"/>
    <mergeCell ref="B189:D189"/>
    <mergeCell ref="B190:D190"/>
    <mergeCell ref="B191:D191"/>
    <mergeCell ref="A182:A186"/>
    <mergeCell ref="B182:E182"/>
    <mergeCell ref="B183:D183"/>
    <mergeCell ref="B184:D184"/>
    <mergeCell ref="B185:D185"/>
    <mergeCell ref="B186:D186"/>
    <mergeCell ref="A197:A201"/>
    <mergeCell ref="B197:D197"/>
    <mergeCell ref="B198:D198"/>
    <mergeCell ref="B199:D199"/>
    <mergeCell ref="B200:D200"/>
    <mergeCell ref="B201:D201"/>
    <mergeCell ref="A192:A196"/>
    <mergeCell ref="B192:D192"/>
    <mergeCell ref="B193:D193"/>
    <mergeCell ref="B194:D194"/>
    <mergeCell ref="B195:D195"/>
    <mergeCell ref="B196:D196"/>
    <mergeCell ref="A213:F213"/>
    <mergeCell ref="A207:A211"/>
    <mergeCell ref="B207:D207"/>
    <mergeCell ref="B208:D208"/>
    <mergeCell ref="B209:D209"/>
    <mergeCell ref="B210:D210"/>
    <mergeCell ref="B211:D211"/>
    <mergeCell ref="A202:A206"/>
    <mergeCell ref="B202:D202"/>
    <mergeCell ref="B203:D203"/>
    <mergeCell ref="B204:D204"/>
    <mergeCell ref="B205:D205"/>
    <mergeCell ref="B206:D206"/>
  </mergeCells>
  <printOptions horizontalCentered="1"/>
  <pageMargins left="0.47" right="0.28999999999999998" top="0.21" bottom="0.23" header="0.14000000000000001" footer="0.11"/>
  <pageSetup paperSize="9" scale="70" fitToHeight="0" orientation="portrait" r:id="rId1"/>
  <headerFooter>
    <oddFooter>&amp;C&amp;P из &amp;N</oddFooter>
  </headerFooter>
  <rowBreaks count="1" manualBreakCount="1">
    <brk id="144" max="5"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L432"/>
  <sheetViews>
    <sheetView view="pageBreakPreview" zoomScaleNormal="100" zoomScaleSheetLayoutView="100" workbookViewId="0">
      <selection activeCell="G309" sqref="G309"/>
    </sheetView>
  </sheetViews>
  <sheetFormatPr defaultRowHeight="12.75"/>
  <cols>
    <col min="1" max="1" width="5.42578125" style="3788" customWidth="1"/>
    <col min="2" max="2" width="7" style="3789" customWidth="1"/>
    <col min="3" max="3" width="82.140625" style="3790" customWidth="1"/>
    <col min="4" max="4" width="21.85546875" style="3790" customWidth="1"/>
    <col min="5" max="5" width="23.28515625" style="3963" customWidth="1"/>
    <col min="6" max="6" width="15" style="3791" customWidth="1"/>
    <col min="7" max="7" width="14.5703125" style="3791" customWidth="1"/>
    <col min="8" max="8" width="14.5703125" style="3792" customWidth="1"/>
    <col min="9" max="9" width="13.85546875" style="3792" bestFit="1" customWidth="1"/>
    <col min="10" max="254" width="9.140625" style="3792"/>
    <col min="255" max="255" width="5.42578125" style="3792" customWidth="1"/>
    <col min="256" max="256" width="7" style="3792" customWidth="1"/>
    <col min="257" max="257" width="95.5703125" style="3792" customWidth="1"/>
    <col min="258" max="258" width="13.5703125" style="3792" customWidth="1"/>
    <col min="259" max="259" width="23.5703125" style="3792" customWidth="1"/>
    <col min="260" max="260" width="15.28515625" style="3792" customWidth="1"/>
    <col min="261" max="262" width="14.5703125" style="3792" customWidth="1"/>
    <col min="263" max="263" width="13" style="3792" customWidth="1"/>
    <col min="264" max="264" width="14.5703125" style="3792" customWidth="1"/>
    <col min="265" max="510" width="9.140625" style="3792"/>
    <col min="511" max="511" width="5.42578125" style="3792" customWidth="1"/>
    <col min="512" max="512" width="7" style="3792" customWidth="1"/>
    <col min="513" max="513" width="95.5703125" style="3792" customWidth="1"/>
    <col min="514" max="514" width="13.5703125" style="3792" customWidth="1"/>
    <col min="515" max="515" width="23.5703125" style="3792" customWidth="1"/>
    <col min="516" max="516" width="15.28515625" style="3792" customWidth="1"/>
    <col min="517" max="518" width="14.5703125" style="3792" customWidth="1"/>
    <col min="519" max="519" width="13" style="3792" customWidth="1"/>
    <col min="520" max="520" width="14.5703125" style="3792" customWidth="1"/>
    <col min="521" max="766" width="9.140625" style="3792"/>
    <col min="767" max="767" width="5.42578125" style="3792" customWidth="1"/>
    <col min="768" max="768" width="7" style="3792" customWidth="1"/>
    <col min="769" max="769" width="95.5703125" style="3792" customWidth="1"/>
    <col min="770" max="770" width="13.5703125" style="3792" customWidth="1"/>
    <col min="771" max="771" width="23.5703125" style="3792" customWidth="1"/>
    <col min="772" max="772" width="15.28515625" style="3792" customWidth="1"/>
    <col min="773" max="774" width="14.5703125" style="3792" customWidth="1"/>
    <col min="775" max="775" width="13" style="3792" customWidth="1"/>
    <col min="776" max="776" width="14.5703125" style="3792" customWidth="1"/>
    <col min="777" max="1022" width="9.140625" style="3792"/>
    <col min="1023" max="1023" width="5.42578125" style="3792" customWidth="1"/>
    <col min="1024" max="1024" width="7" style="3792" customWidth="1"/>
    <col min="1025" max="1025" width="95.5703125" style="3792" customWidth="1"/>
    <col min="1026" max="1026" width="13.5703125" style="3792" customWidth="1"/>
    <col min="1027" max="1027" width="23.5703125" style="3792" customWidth="1"/>
    <col min="1028" max="1028" width="15.28515625" style="3792" customWidth="1"/>
    <col min="1029" max="1030" width="14.5703125" style="3792" customWidth="1"/>
    <col min="1031" max="1031" width="13" style="3792" customWidth="1"/>
    <col min="1032" max="1032" width="14.5703125" style="3792" customWidth="1"/>
    <col min="1033" max="1278" width="9.140625" style="3792"/>
    <col min="1279" max="1279" width="5.42578125" style="3792" customWidth="1"/>
    <col min="1280" max="1280" width="7" style="3792" customWidth="1"/>
    <col min="1281" max="1281" width="95.5703125" style="3792" customWidth="1"/>
    <col min="1282" max="1282" width="13.5703125" style="3792" customWidth="1"/>
    <col min="1283" max="1283" width="23.5703125" style="3792" customWidth="1"/>
    <col min="1284" max="1284" width="15.28515625" style="3792" customWidth="1"/>
    <col min="1285" max="1286" width="14.5703125" style="3792" customWidth="1"/>
    <col min="1287" max="1287" width="13" style="3792" customWidth="1"/>
    <col min="1288" max="1288" width="14.5703125" style="3792" customWidth="1"/>
    <col min="1289" max="1534" width="9.140625" style="3792"/>
    <col min="1535" max="1535" width="5.42578125" style="3792" customWidth="1"/>
    <col min="1536" max="1536" width="7" style="3792" customWidth="1"/>
    <col min="1537" max="1537" width="95.5703125" style="3792" customWidth="1"/>
    <col min="1538" max="1538" width="13.5703125" style="3792" customWidth="1"/>
    <col min="1539" max="1539" width="23.5703125" style="3792" customWidth="1"/>
    <col min="1540" max="1540" width="15.28515625" style="3792" customWidth="1"/>
    <col min="1541" max="1542" width="14.5703125" style="3792" customWidth="1"/>
    <col min="1543" max="1543" width="13" style="3792" customWidth="1"/>
    <col min="1544" max="1544" width="14.5703125" style="3792" customWidth="1"/>
    <col min="1545" max="1790" width="9.140625" style="3792"/>
    <col min="1791" max="1791" width="5.42578125" style="3792" customWidth="1"/>
    <col min="1792" max="1792" width="7" style="3792" customWidth="1"/>
    <col min="1793" max="1793" width="95.5703125" style="3792" customWidth="1"/>
    <col min="1794" max="1794" width="13.5703125" style="3792" customWidth="1"/>
    <col min="1795" max="1795" width="23.5703125" style="3792" customWidth="1"/>
    <col min="1796" max="1796" width="15.28515625" style="3792" customWidth="1"/>
    <col min="1797" max="1798" width="14.5703125" style="3792" customWidth="1"/>
    <col min="1799" max="1799" width="13" style="3792" customWidth="1"/>
    <col min="1800" max="1800" width="14.5703125" style="3792" customWidth="1"/>
    <col min="1801" max="2046" width="9.140625" style="3792"/>
    <col min="2047" max="2047" width="5.42578125" style="3792" customWidth="1"/>
    <col min="2048" max="2048" width="7" style="3792" customWidth="1"/>
    <col min="2049" max="2049" width="95.5703125" style="3792" customWidth="1"/>
    <col min="2050" max="2050" width="13.5703125" style="3792" customWidth="1"/>
    <col min="2051" max="2051" width="23.5703125" style="3792" customWidth="1"/>
    <col min="2052" max="2052" width="15.28515625" style="3792" customWidth="1"/>
    <col min="2053" max="2054" width="14.5703125" style="3792" customWidth="1"/>
    <col min="2055" max="2055" width="13" style="3792" customWidth="1"/>
    <col min="2056" max="2056" width="14.5703125" style="3792" customWidth="1"/>
    <col min="2057" max="2302" width="9.140625" style="3792"/>
    <col min="2303" max="2303" width="5.42578125" style="3792" customWidth="1"/>
    <col min="2304" max="2304" width="7" style="3792" customWidth="1"/>
    <col min="2305" max="2305" width="95.5703125" style="3792" customWidth="1"/>
    <col min="2306" max="2306" width="13.5703125" style="3792" customWidth="1"/>
    <col min="2307" max="2307" width="23.5703125" style="3792" customWidth="1"/>
    <col min="2308" max="2308" width="15.28515625" style="3792" customWidth="1"/>
    <col min="2309" max="2310" width="14.5703125" style="3792" customWidth="1"/>
    <col min="2311" max="2311" width="13" style="3792" customWidth="1"/>
    <col min="2312" max="2312" width="14.5703125" style="3792" customWidth="1"/>
    <col min="2313" max="2558" width="9.140625" style="3792"/>
    <col min="2559" max="2559" width="5.42578125" style="3792" customWidth="1"/>
    <col min="2560" max="2560" width="7" style="3792" customWidth="1"/>
    <col min="2561" max="2561" width="95.5703125" style="3792" customWidth="1"/>
    <col min="2562" max="2562" width="13.5703125" style="3792" customWidth="1"/>
    <col min="2563" max="2563" width="23.5703125" style="3792" customWidth="1"/>
    <col min="2564" max="2564" width="15.28515625" style="3792" customWidth="1"/>
    <col min="2565" max="2566" width="14.5703125" style="3792" customWidth="1"/>
    <col min="2567" max="2567" width="13" style="3792" customWidth="1"/>
    <col min="2568" max="2568" width="14.5703125" style="3792" customWidth="1"/>
    <col min="2569" max="2814" width="9.140625" style="3792"/>
    <col min="2815" max="2815" width="5.42578125" style="3792" customWidth="1"/>
    <col min="2816" max="2816" width="7" style="3792" customWidth="1"/>
    <col min="2817" max="2817" width="95.5703125" style="3792" customWidth="1"/>
    <col min="2818" max="2818" width="13.5703125" style="3792" customWidth="1"/>
    <col min="2819" max="2819" width="23.5703125" style="3792" customWidth="1"/>
    <col min="2820" max="2820" width="15.28515625" style="3792" customWidth="1"/>
    <col min="2821" max="2822" width="14.5703125" style="3792" customWidth="1"/>
    <col min="2823" max="2823" width="13" style="3792" customWidth="1"/>
    <col min="2824" max="2824" width="14.5703125" style="3792" customWidth="1"/>
    <col min="2825" max="3070" width="9.140625" style="3792"/>
    <col min="3071" max="3071" width="5.42578125" style="3792" customWidth="1"/>
    <col min="3072" max="3072" width="7" style="3792" customWidth="1"/>
    <col min="3073" max="3073" width="95.5703125" style="3792" customWidth="1"/>
    <col min="3074" max="3074" width="13.5703125" style="3792" customWidth="1"/>
    <col min="3075" max="3075" width="23.5703125" style="3792" customWidth="1"/>
    <col min="3076" max="3076" width="15.28515625" style="3792" customWidth="1"/>
    <col min="3077" max="3078" width="14.5703125" style="3792" customWidth="1"/>
    <col min="3079" max="3079" width="13" style="3792" customWidth="1"/>
    <col min="3080" max="3080" width="14.5703125" style="3792" customWidth="1"/>
    <col min="3081" max="3326" width="9.140625" style="3792"/>
    <col min="3327" max="3327" width="5.42578125" style="3792" customWidth="1"/>
    <col min="3328" max="3328" width="7" style="3792" customWidth="1"/>
    <col min="3329" max="3329" width="95.5703125" style="3792" customWidth="1"/>
    <col min="3330" max="3330" width="13.5703125" style="3792" customWidth="1"/>
    <col min="3331" max="3331" width="23.5703125" style="3792" customWidth="1"/>
    <col min="3332" max="3332" width="15.28515625" style="3792" customWidth="1"/>
    <col min="3333" max="3334" width="14.5703125" style="3792" customWidth="1"/>
    <col min="3335" max="3335" width="13" style="3792" customWidth="1"/>
    <col min="3336" max="3336" width="14.5703125" style="3792" customWidth="1"/>
    <col min="3337" max="3582" width="9.140625" style="3792"/>
    <col min="3583" max="3583" width="5.42578125" style="3792" customWidth="1"/>
    <col min="3584" max="3584" width="7" style="3792" customWidth="1"/>
    <col min="3585" max="3585" width="95.5703125" style="3792" customWidth="1"/>
    <col min="3586" max="3586" width="13.5703125" style="3792" customWidth="1"/>
    <col min="3587" max="3587" width="23.5703125" style="3792" customWidth="1"/>
    <col min="3588" max="3588" width="15.28515625" style="3792" customWidth="1"/>
    <col min="3589" max="3590" width="14.5703125" style="3792" customWidth="1"/>
    <col min="3591" max="3591" width="13" style="3792" customWidth="1"/>
    <col min="3592" max="3592" width="14.5703125" style="3792" customWidth="1"/>
    <col min="3593" max="3838" width="9.140625" style="3792"/>
    <col min="3839" max="3839" width="5.42578125" style="3792" customWidth="1"/>
    <col min="3840" max="3840" width="7" style="3792" customWidth="1"/>
    <col min="3841" max="3841" width="95.5703125" style="3792" customWidth="1"/>
    <col min="3842" max="3842" width="13.5703125" style="3792" customWidth="1"/>
    <col min="3843" max="3843" width="23.5703125" style="3792" customWidth="1"/>
    <col min="3844" max="3844" width="15.28515625" style="3792" customWidth="1"/>
    <col min="3845" max="3846" width="14.5703125" style="3792" customWidth="1"/>
    <col min="3847" max="3847" width="13" style="3792" customWidth="1"/>
    <col min="3848" max="3848" width="14.5703125" style="3792" customWidth="1"/>
    <col min="3849" max="4094" width="9.140625" style="3792"/>
    <col min="4095" max="4095" width="5.42578125" style="3792" customWidth="1"/>
    <col min="4096" max="4096" width="7" style="3792" customWidth="1"/>
    <col min="4097" max="4097" width="95.5703125" style="3792" customWidth="1"/>
    <col min="4098" max="4098" width="13.5703125" style="3792" customWidth="1"/>
    <col min="4099" max="4099" width="23.5703125" style="3792" customWidth="1"/>
    <col min="4100" max="4100" width="15.28515625" style="3792" customWidth="1"/>
    <col min="4101" max="4102" width="14.5703125" style="3792" customWidth="1"/>
    <col min="4103" max="4103" width="13" style="3792" customWidth="1"/>
    <col min="4104" max="4104" width="14.5703125" style="3792" customWidth="1"/>
    <col min="4105" max="4350" width="9.140625" style="3792"/>
    <col min="4351" max="4351" width="5.42578125" style="3792" customWidth="1"/>
    <col min="4352" max="4352" width="7" style="3792" customWidth="1"/>
    <col min="4353" max="4353" width="95.5703125" style="3792" customWidth="1"/>
    <col min="4354" max="4354" width="13.5703125" style="3792" customWidth="1"/>
    <col min="4355" max="4355" width="23.5703125" style="3792" customWidth="1"/>
    <col min="4356" max="4356" width="15.28515625" style="3792" customWidth="1"/>
    <col min="4357" max="4358" width="14.5703125" style="3792" customWidth="1"/>
    <col min="4359" max="4359" width="13" style="3792" customWidth="1"/>
    <col min="4360" max="4360" width="14.5703125" style="3792" customWidth="1"/>
    <col min="4361" max="4606" width="9.140625" style="3792"/>
    <col min="4607" max="4607" width="5.42578125" style="3792" customWidth="1"/>
    <col min="4608" max="4608" width="7" style="3792" customWidth="1"/>
    <col min="4609" max="4609" width="95.5703125" style="3792" customWidth="1"/>
    <col min="4610" max="4610" width="13.5703125" style="3792" customWidth="1"/>
    <col min="4611" max="4611" width="23.5703125" style="3792" customWidth="1"/>
    <col min="4612" max="4612" width="15.28515625" style="3792" customWidth="1"/>
    <col min="4613" max="4614" width="14.5703125" style="3792" customWidth="1"/>
    <col min="4615" max="4615" width="13" style="3792" customWidth="1"/>
    <col min="4616" max="4616" width="14.5703125" style="3792" customWidth="1"/>
    <col min="4617" max="4862" width="9.140625" style="3792"/>
    <col min="4863" max="4863" width="5.42578125" style="3792" customWidth="1"/>
    <col min="4864" max="4864" width="7" style="3792" customWidth="1"/>
    <col min="4865" max="4865" width="95.5703125" style="3792" customWidth="1"/>
    <col min="4866" max="4866" width="13.5703125" style="3792" customWidth="1"/>
    <col min="4867" max="4867" width="23.5703125" style="3792" customWidth="1"/>
    <col min="4868" max="4868" width="15.28515625" style="3792" customWidth="1"/>
    <col min="4869" max="4870" width="14.5703125" style="3792" customWidth="1"/>
    <col min="4871" max="4871" width="13" style="3792" customWidth="1"/>
    <col min="4872" max="4872" width="14.5703125" style="3792" customWidth="1"/>
    <col min="4873" max="5118" width="9.140625" style="3792"/>
    <col min="5119" max="5119" width="5.42578125" style="3792" customWidth="1"/>
    <col min="5120" max="5120" width="7" style="3792" customWidth="1"/>
    <col min="5121" max="5121" width="95.5703125" style="3792" customWidth="1"/>
    <col min="5122" max="5122" width="13.5703125" style="3792" customWidth="1"/>
    <col min="5123" max="5123" width="23.5703125" style="3792" customWidth="1"/>
    <col min="5124" max="5124" width="15.28515625" style="3792" customWidth="1"/>
    <col min="5125" max="5126" width="14.5703125" style="3792" customWidth="1"/>
    <col min="5127" max="5127" width="13" style="3792" customWidth="1"/>
    <col min="5128" max="5128" width="14.5703125" style="3792" customWidth="1"/>
    <col min="5129" max="5374" width="9.140625" style="3792"/>
    <col min="5375" max="5375" width="5.42578125" style="3792" customWidth="1"/>
    <col min="5376" max="5376" width="7" style="3792" customWidth="1"/>
    <col min="5377" max="5377" width="95.5703125" style="3792" customWidth="1"/>
    <col min="5378" max="5378" width="13.5703125" style="3792" customWidth="1"/>
    <col min="5379" max="5379" width="23.5703125" style="3792" customWidth="1"/>
    <col min="5380" max="5380" width="15.28515625" style="3792" customWidth="1"/>
    <col min="5381" max="5382" width="14.5703125" style="3792" customWidth="1"/>
    <col min="5383" max="5383" width="13" style="3792" customWidth="1"/>
    <col min="5384" max="5384" width="14.5703125" style="3792" customWidth="1"/>
    <col min="5385" max="5630" width="9.140625" style="3792"/>
    <col min="5631" max="5631" width="5.42578125" style="3792" customWidth="1"/>
    <col min="5632" max="5632" width="7" style="3792" customWidth="1"/>
    <col min="5633" max="5633" width="95.5703125" style="3792" customWidth="1"/>
    <col min="5634" max="5634" width="13.5703125" style="3792" customWidth="1"/>
    <col min="5635" max="5635" width="23.5703125" style="3792" customWidth="1"/>
    <col min="5636" max="5636" width="15.28515625" style="3792" customWidth="1"/>
    <col min="5637" max="5638" width="14.5703125" style="3792" customWidth="1"/>
    <col min="5639" max="5639" width="13" style="3792" customWidth="1"/>
    <col min="5640" max="5640" width="14.5703125" style="3792" customWidth="1"/>
    <col min="5641" max="5886" width="9.140625" style="3792"/>
    <col min="5887" max="5887" width="5.42578125" style="3792" customWidth="1"/>
    <col min="5888" max="5888" width="7" style="3792" customWidth="1"/>
    <col min="5889" max="5889" width="95.5703125" style="3792" customWidth="1"/>
    <col min="5890" max="5890" width="13.5703125" style="3792" customWidth="1"/>
    <col min="5891" max="5891" width="23.5703125" style="3792" customWidth="1"/>
    <col min="5892" max="5892" width="15.28515625" style="3792" customWidth="1"/>
    <col min="5893" max="5894" width="14.5703125" style="3792" customWidth="1"/>
    <col min="5895" max="5895" width="13" style="3792" customWidth="1"/>
    <col min="5896" max="5896" width="14.5703125" style="3792" customWidth="1"/>
    <col min="5897" max="6142" width="9.140625" style="3792"/>
    <col min="6143" max="6143" width="5.42578125" style="3792" customWidth="1"/>
    <col min="6144" max="6144" width="7" style="3792" customWidth="1"/>
    <col min="6145" max="6145" width="95.5703125" style="3792" customWidth="1"/>
    <col min="6146" max="6146" width="13.5703125" style="3792" customWidth="1"/>
    <col min="6147" max="6147" width="23.5703125" style="3792" customWidth="1"/>
    <col min="6148" max="6148" width="15.28515625" style="3792" customWidth="1"/>
    <col min="6149" max="6150" width="14.5703125" style="3792" customWidth="1"/>
    <col min="6151" max="6151" width="13" style="3792" customWidth="1"/>
    <col min="6152" max="6152" width="14.5703125" style="3792" customWidth="1"/>
    <col min="6153" max="6398" width="9.140625" style="3792"/>
    <col min="6399" max="6399" width="5.42578125" style="3792" customWidth="1"/>
    <col min="6400" max="6400" width="7" style="3792" customWidth="1"/>
    <col min="6401" max="6401" width="95.5703125" style="3792" customWidth="1"/>
    <col min="6402" max="6402" width="13.5703125" style="3792" customWidth="1"/>
    <col min="6403" max="6403" width="23.5703125" style="3792" customWidth="1"/>
    <col min="6404" max="6404" width="15.28515625" style="3792" customWidth="1"/>
    <col min="6405" max="6406" width="14.5703125" style="3792" customWidth="1"/>
    <col min="6407" max="6407" width="13" style="3792" customWidth="1"/>
    <col min="6408" max="6408" width="14.5703125" style="3792" customWidth="1"/>
    <col min="6409" max="6654" width="9.140625" style="3792"/>
    <col min="6655" max="6655" width="5.42578125" style="3792" customWidth="1"/>
    <col min="6656" max="6656" width="7" style="3792" customWidth="1"/>
    <col min="6657" max="6657" width="95.5703125" style="3792" customWidth="1"/>
    <col min="6658" max="6658" width="13.5703125" style="3792" customWidth="1"/>
    <col min="6659" max="6659" width="23.5703125" style="3792" customWidth="1"/>
    <col min="6660" max="6660" width="15.28515625" style="3792" customWidth="1"/>
    <col min="6661" max="6662" width="14.5703125" style="3792" customWidth="1"/>
    <col min="6663" max="6663" width="13" style="3792" customWidth="1"/>
    <col min="6664" max="6664" width="14.5703125" style="3792" customWidth="1"/>
    <col min="6665" max="6910" width="9.140625" style="3792"/>
    <col min="6911" max="6911" width="5.42578125" style="3792" customWidth="1"/>
    <col min="6912" max="6912" width="7" style="3792" customWidth="1"/>
    <col min="6913" max="6913" width="95.5703125" style="3792" customWidth="1"/>
    <col min="6914" max="6914" width="13.5703125" style="3792" customWidth="1"/>
    <col min="6915" max="6915" width="23.5703125" style="3792" customWidth="1"/>
    <col min="6916" max="6916" width="15.28515625" style="3792" customWidth="1"/>
    <col min="6917" max="6918" width="14.5703125" style="3792" customWidth="1"/>
    <col min="6919" max="6919" width="13" style="3792" customWidth="1"/>
    <col min="6920" max="6920" width="14.5703125" style="3792" customWidth="1"/>
    <col min="6921" max="7166" width="9.140625" style="3792"/>
    <col min="7167" max="7167" width="5.42578125" style="3792" customWidth="1"/>
    <col min="7168" max="7168" width="7" style="3792" customWidth="1"/>
    <col min="7169" max="7169" width="95.5703125" style="3792" customWidth="1"/>
    <col min="7170" max="7170" width="13.5703125" style="3792" customWidth="1"/>
    <col min="7171" max="7171" width="23.5703125" style="3792" customWidth="1"/>
    <col min="7172" max="7172" width="15.28515625" style="3792" customWidth="1"/>
    <col min="7173" max="7174" width="14.5703125" style="3792" customWidth="1"/>
    <col min="7175" max="7175" width="13" style="3792" customWidth="1"/>
    <col min="7176" max="7176" width="14.5703125" style="3792" customWidth="1"/>
    <col min="7177" max="7422" width="9.140625" style="3792"/>
    <col min="7423" max="7423" width="5.42578125" style="3792" customWidth="1"/>
    <col min="7424" max="7424" width="7" style="3792" customWidth="1"/>
    <col min="7425" max="7425" width="95.5703125" style="3792" customWidth="1"/>
    <col min="7426" max="7426" width="13.5703125" style="3792" customWidth="1"/>
    <col min="7427" max="7427" width="23.5703125" style="3792" customWidth="1"/>
    <col min="7428" max="7428" width="15.28515625" style="3792" customWidth="1"/>
    <col min="7429" max="7430" width="14.5703125" style="3792" customWidth="1"/>
    <col min="7431" max="7431" width="13" style="3792" customWidth="1"/>
    <col min="7432" max="7432" width="14.5703125" style="3792" customWidth="1"/>
    <col min="7433" max="7678" width="9.140625" style="3792"/>
    <col min="7679" max="7679" width="5.42578125" style="3792" customWidth="1"/>
    <col min="7680" max="7680" width="7" style="3792" customWidth="1"/>
    <col min="7681" max="7681" width="95.5703125" style="3792" customWidth="1"/>
    <col min="7682" max="7682" width="13.5703125" style="3792" customWidth="1"/>
    <col min="7683" max="7683" width="23.5703125" style="3792" customWidth="1"/>
    <col min="7684" max="7684" width="15.28515625" style="3792" customWidth="1"/>
    <col min="7685" max="7686" width="14.5703125" style="3792" customWidth="1"/>
    <col min="7687" max="7687" width="13" style="3792" customWidth="1"/>
    <col min="7688" max="7688" width="14.5703125" style="3792" customWidth="1"/>
    <col min="7689" max="7934" width="9.140625" style="3792"/>
    <col min="7935" max="7935" width="5.42578125" style="3792" customWidth="1"/>
    <col min="7936" max="7936" width="7" style="3792" customWidth="1"/>
    <col min="7937" max="7937" width="95.5703125" style="3792" customWidth="1"/>
    <col min="7938" max="7938" width="13.5703125" style="3792" customWidth="1"/>
    <col min="7939" max="7939" width="23.5703125" style="3792" customWidth="1"/>
    <col min="7940" max="7940" width="15.28515625" style="3792" customWidth="1"/>
    <col min="7941" max="7942" width="14.5703125" style="3792" customWidth="1"/>
    <col min="7943" max="7943" width="13" style="3792" customWidth="1"/>
    <col min="7944" max="7944" width="14.5703125" style="3792" customWidth="1"/>
    <col min="7945" max="8190" width="9.140625" style="3792"/>
    <col min="8191" max="8191" width="5.42578125" style="3792" customWidth="1"/>
    <col min="8192" max="8192" width="7" style="3792" customWidth="1"/>
    <col min="8193" max="8193" width="95.5703125" style="3792" customWidth="1"/>
    <col min="8194" max="8194" width="13.5703125" style="3792" customWidth="1"/>
    <col min="8195" max="8195" width="23.5703125" style="3792" customWidth="1"/>
    <col min="8196" max="8196" width="15.28515625" style="3792" customWidth="1"/>
    <col min="8197" max="8198" width="14.5703125" style="3792" customWidth="1"/>
    <col min="8199" max="8199" width="13" style="3792" customWidth="1"/>
    <col min="8200" max="8200" width="14.5703125" style="3792" customWidth="1"/>
    <col min="8201" max="8446" width="9.140625" style="3792"/>
    <col min="8447" max="8447" width="5.42578125" style="3792" customWidth="1"/>
    <col min="8448" max="8448" width="7" style="3792" customWidth="1"/>
    <col min="8449" max="8449" width="95.5703125" style="3792" customWidth="1"/>
    <col min="8450" max="8450" width="13.5703125" style="3792" customWidth="1"/>
    <col min="8451" max="8451" width="23.5703125" style="3792" customWidth="1"/>
    <col min="8452" max="8452" width="15.28515625" style="3792" customWidth="1"/>
    <col min="8453" max="8454" width="14.5703125" style="3792" customWidth="1"/>
    <col min="8455" max="8455" width="13" style="3792" customWidth="1"/>
    <col min="8456" max="8456" width="14.5703125" style="3792" customWidth="1"/>
    <col min="8457" max="8702" width="9.140625" style="3792"/>
    <col min="8703" max="8703" width="5.42578125" style="3792" customWidth="1"/>
    <col min="8704" max="8704" width="7" style="3792" customWidth="1"/>
    <col min="8705" max="8705" width="95.5703125" style="3792" customWidth="1"/>
    <col min="8706" max="8706" width="13.5703125" style="3792" customWidth="1"/>
    <col min="8707" max="8707" width="23.5703125" style="3792" customWidth="1"/>
    <col min="8708" max="8708" width="15.28515625" style="3792" customWidth="1"/>
    <col min="8709" max="8710" width="14.5703125" style="3792" customWidth="1"/>
    <col min="8711" max="8711" width="13" style="3792" customWidth="1"/>
    <col min="8712" max="8712" width="14.5703125" style="3792" customWidth="1"/>
    <col min="8713" max="8958" width="9.140625" style="3792"/>
    <col min="8959" max="8959" width="5.42578125" style="3792" customWidth="1"/>
    <col min="8960" max="8960" width="7" style="3792" customWidth="1"/>
    <col min="8961" max="8961" width="95.5703125" style="3792" customWidth="1"/>
    <col min="8962" max="8962" width="13.5703125" style="3792" customWidth="1"/>
    <col min="8963" max="8963" width="23.5703125" style="3792" customWidth="1"/>
    <col min="8964" max="8964" width="15.28515625" style="3792" customWidth="1"/>
    <col min="8965" max="8966" width="14.5703125" style="3792" customWidth="1"/>
    <col min="8967" max="8967" width="13" style="3792" customWidth="1"/>
    <col min="8968" max="8968" width="14.5703125" style="3792" customWidth="1"/>
    <col min="8969" max="9214" width="9.140625" style="3792"/>
    <col min="9215" max="9215" width="5.42578125" style="3792" customWidth="1"/>
    <col min="9216" max="9216" width="7" style="3792" customWidth="1"/>
    <col min="9217" max="9217" width="95.5703125" style="3792" customWidth="1"/>
    <col min="9218" max="9218" width="13.5703125" style="3792" customWidth="1"/>
    <col min="9219" max="9219" width="23.5703125" style="3792" customWidth="1"/>
    <col min="9220" max="9220" width="15.28515625" style="3792" customWidth="1"/>
    <col min="9221" max="9222" width="14.5703125" style="3792" customWidth="1"/>
    <col min="9223" max="9223" width="13" style="3792" customWidth="1"/>
    <col min="9224" max="9224" width="14.5703125" style="3792" customWidth="1"/>
    <col min="9225" max="9470" width="9.140625" style="3792"/>
    <col min="9471" max="9471" width="5.42578125" style="3792" customWidth="1"/>
    <col min="9472" max="9472" width="7" style="3792" customWidth="1"/>
    <col min="9473" max="9473" width="95.5703125" style="3792" customWidth="1"/>
    <col min="9474" max="9474" width="13.5703125" style="3792" customWidth="1"/>
    <col min="9475" max="9475" width="23.5703125" style="3792" customWidth="1"/>
    <col min="9476" max="9476" width="15.28515625" style="3792" customWidth="1"/>
    <col min="9477" max="9478" width="14.5703125" style="3792" customWidth="1"/>
    <col min="9479" max="9479" width="13" style="3792" customWidth="1"/>
    <col min="9480" max="9480" width="14.5703125" style="3792" customWidth="1"/>
    <col min="9481" max="9726" width="9.140625" style="3792"/>
    <col min="9727" max="9727" width="5.42578125" style="3792" customWidth="1"/>
    <col min="9728" max="9728" width="7" style="3792" customWidth="1"/>
    <col min="9729" max="9729" width="95.5703125" style="3792" customWidth="1"/>
    <col min="9730" max="9730" width="13.5703125" style="3792" customWidth="1"/>
    <col min="9731" max="9731" width="23.5703125" style="3792" customWidth="1"/>
    <col min="9732" max="9732" width="15.28515625" style="3792" customWidth="1"/>
    <col min="9733" max="9734" width="14.5703125" style="3792" customWidth="1"/>
    <col min="9735" max="9735" width="13" style="3792" customWidth="1"/>
    <col min="9736" max="9736" width="14.5703125" style="3792" customWidth="1"/>
    <col min="9737" max="9982" width="9.140625" style="3792"/>
    <col min="9983" max="9983" width="5.42578125" style="3792" customWidth="1"/>
    <col min="9984" max="9984" width="7" style="3792" customWidth="1"/>
    <col min="9985" max="9985" width="95.5703125" style="3792" customWidth="1"/>
    <col min="9986" max="9986" width="13.5703125" style="3792" customWidth="1"/>
    <col min="9987" max="9987" width="23.5703125" style="3792" customWidth="1"/>
    <col min="9988" max="9988" width="15.28515625" style="3792" customWidth="1"/>
    <col min="9989" max="9990" width="14.5703125" style="3792" customWidth="1"/>
    <col min="9991" max="9991" width="13" style="3792" customWidth="1"/>
    <col min="9992" max="9992" width="14.5703125" style="3792" customWidth="1"/>
    <col min="9993" max="10238" width="9.140625" style="3792"/>
    <col min="10239" max="10239" width="5.42578125" style="3792" customWidth="1"/>
    <col min="10240" max="10240" width="7" style="3792" customWidth="1"/>
    <col min="10241" max="10241" width="95.5703125" style="3792" customWidth="1"/>
    <col min="10242" max="10242" width="13.5703125" style="3792" customWidth="1"/>
    <col min="10243" max="10243" width="23.5703125" style="3792" customWidth="1"/>
    <col min="10244" max="10244" width="15.28515625" style="3792" customWidth="1"/>
    <col min="10245" max="10246" width="14.5703125" style="3792" customWidth="1"/>
    <col min="10247" max="10247" width="13" style="3792" customWidth="1"/>
    <col min="10248" max="10248" width="14.5703125" style="3792" customWidth="1"/>
    <col min="10249" max="10494" width="9.140625" style="3792"/>
    <col min="10495" max="10495" width="5.42578125" style="3792" customWidth="1"/>
    <col min="10496" max="10496" width="7" style="3792" customWidth="1"/>
    <col min="10497" max="10497" width="95.5703125" style="3792" customWidth="1"/>
    <col min="10498" max="10498" width="13.5703125" style="3792" customWidth="1"/>
    <col min="10499" max="10499" width="23.5703125" style="3792" customWidth="1"/>
    <col min="10500" max="10500" width="15.28515625" style="3792" customWidth="1"/>
    <col min="10501" max="10502" width="14.5703125" style="3792" customWidth="1"/>
    <col min="10503" max="10503" width="13" style="3792" customWidth="1"/>
    <col min="10504" max="10504" width="14.5703125" style="3792" customWidth="1"/>
    <col min="10505" max="10750" width="9.140625" style="3792"/>
    <col min="10751" max="10751" width="5.42578125" style="3792" customWidth="1"/>
    <col min="10752" max="10752" width="7" style="3792" customWidth="1"/>
    <col min="10753" max="10753" width="95.5703125" style="3792" customWidth="1"/>
    <col min="10754" max="10754" width="13.5703125" style="3792" customWidth="1"/>
    <col min="10755" max="10755" width="23.5703125" style="3792" customWidth="1"/>
    <col min="10756" max="10756" width="15.28515625" style="3792" customWidth="1"/>
    <col min="10757" max="10758" width="14.5703125" style="3792" customWidth="1"/>
    <col min="10759" max="10759" width="13" style="3792" customWidth="1"/>
    <col min="10760" max="10760" width="14.5703125" style="3792" customWidth="1"/>
    <col min="10761" max="11006" width="9.140625" style="3792"/>
    <col min="11007" max="11007" width="5.42578125" style="3792" customWidth="1"/>
    <col min="11008" max="11008" width="7" style="3792" customWidth="1"/>
    <col min="11009" max="11009" width="95.5703125" style="3792" customWidth="1"/>
    <col min="11010" max="11010" width="13.5703125" style="3792" customWidth="1"/>
    <col min="11011" max="11011" width="23.5703125" style="3792" customWidth="1"/>
    <col min="11012" max="11012" width="15.28515625" style="3792" customWidth="1"/>
    <col min="11013" max="11014" width="14.5703125" style="3792" customWidth="1"/>
    <col min="11015" max="11015" width="13" style="3792" customWidth="1"/>
    <col min="11016" max="11016" width="14.5703125" style="3792" customWidth="1"/>
    <col min="11017" max="11262" width="9.140625" style="3792"/>
    <col min="11263" max="11263" width="5.42578125" style="3792" customWidth="1"/>
    <col min="11264" max="11264" width="7" style="3792" customWidth="1"/>
    <col min="11265" max="11265" width="95.5703125" style="3792" customWidth="1"/>
    <col min="11266" max="11266" width="13.5703125" style="3792" customWidth="1"/>
    <col min="11267" max="11267" width="23.5703125" style="3792" customWidth="1"/>
    <col min="11268" max="11268" width="15.28515625" style="3792" customWidth="1"/>
    <col min="11269" max="11270" width="14.5703125" style="3792" customWidth="1"/>
    <col min="11271" max="11271" width="13" style="3792" customWidth="1"/>
    <col min="11272" max="11272" width="14.5703125" style="3792" customWidth="1"/>
    <col min="11273" max="11518" width="9.140625" style="3792"/>
    <col min="11519" max="11519" width="5.42578125" style="3792" customWidth="1"/>
    <col min="11520" max="11520" width="7" style="3792" customWidth="1"/>
    <col min="11521" max="11521" width="95.5703125" style="3792" customWidth="1"/>
    <col min="11522" max="11522" width="13.5703125" style="3792" customWidth="1"/>
    <col min="11523" max="11523" width="23.5703125" style="3792" customWidth="1"/>
    <col min="11524" max="11524" width="15.28515625" style="3792" customWidth="1"/>
    <col min="11525" max="11526" width="14.5703125" style="3792" customWidth="1"/>
    <col min="11527" max="11527" width="13" style="3792" customWidth="1"/>
    <col min="11528" max="11528" width="14.5703125" style="3792" customWidth="1"/>
    <col min="11529" max="11774" width="9.140625" style="3792"/>
    <col min="11775" max="11775" width="5.42578125" style="3792" customWidth="1"/>
    <col min="11776" max="11776" width="7" style="3792" customWidth="1"/>
    <col min="11777" max="11777" width="95.5703125" style="3792" customWidth="1"/>
    <col min="11778" max="11778" width="13.5703125" style="3792" customWidth="1"/>
    <col min="11779" max="11779" width="23.5703125" style="3792" customWidth="1"/>
    <col min="11780" max="11780" width="15.28515625" style="3792" customWidth="1"/>
    <col min="11781" max="11782" width="14.5703125" style="3792" customWidth="1"/>
    <col min="11783" max="11783" width="13" style="3792" customWidth="1"/>
    <col min="11784" max="11784" width="14.5703125" style="3792" customWidth="1"/>
    <col min="11785" max="12030" width="9.140625" style="3792"/>
    <col min="12031" max="12031" width="5.42578125" style="3792" customWidth="1"/>
    <col min="12032" max="12032" width="7" style="3792" customWidth="1"/>
    <col min="12033" max="12033" width="95.5703125" style="3792" customWidth="1"/>
    <col min="12034" max="12034" width="13.5703125" style="3792" customWidth="1"/>
    <col min="12035" max="12035" width="23.5703125" style="3792" customWidth="1"/>
    <col min="12036" max="12036" width="15.28515625" style="3792" customWidth="1"/>
    <col min="12037" max="12038" width="14.5703125" style="3792" customWidth="1"/>
    <col min="12039" max="12039" width="13" style="3792" customWidth="1"/>
    <col min="12040" max="12040" width="14.5703125" style="3792" customWidth="1"/>
    <col min="12041" max="12286" width="9.140625" style="3792"/>
    <col min="12287" max="12287" width="5.42578125" style="3792" customWidth="1"/>
    <col min="12288" max="12288" width="7" style="3792" customWidth="1"/>
    <col min="12289" max="12289" width="95.5703125" style="3792" customWidth="1"/>
    <col min="12290" max="12290" width="13.5703125" style="3792" customWidth="1"/>
    <col min="12291" max="12291" width="23.5703125" style="3792" customWidth="1"/>
    <col min="12292" max="12292" width="15.28515625" style="3792" customWidth="1"/>
    <col min="12293" max="12294" width="14.5703125" style="3792" customWidth="1"/>
    <col min="12295" max="12295" width="13" style="3792" customWidth="1"/>
    <col min="12296" max="12296" width="14.5703125" style="3792" customWidth="1"/>
    <col min="12297" max="12542" width="9.140625" style="3792"/>
    <col min="12543" max="12543" width="5.42578125" style="3792" customWidth="1"/>
    <col min="12544" max="12544" width="7" style="3792" customWidth="1"/>
    <col min="12545" max="12545" width="95.5703125" style="3792" customWidth="1"/>
    <col min="12546" max="12546" width="13.5703125" style="3792" customWidth="1"/>
    <col min="12547" max="12547" width="23.5703125" style="3792" customWidth="1"/>
    <col min="12548" max="12548" width="15.28515625" style="3792" customWidth="1"/>
    <col min="12549" max="12550" width="14.5703125" style="3792" customWidth="1"/>
    <col min="12551" max="12551" width="13" style="3792" customWidth="1"/>
    <col min="12552" max="12552" width="14.5703125" style="3792" customWidth="1"/>
    <col min="12553" max="12798" width="9.140625" style="3792"/>
    <col min="12799" max="12799" width="5.42578125" style="3792" customWidth="1"/>
    <col min="12800" max="12800" width="7" style="3792" customWidth="1"/>
    <col min="12801" max="12801" width="95.5703125" style="3792" customWidth="1"/>
    <col min="12802" max="12802" width="13.5703125" style="3792" customWidth="1"/>
    <col min="12803" max="12803" width="23.5703125" style="3792" customWidth="1"/>
    <col min="12804" max="12804" width="15.28515625" style="3792" customWidth="1"/>
    <col min="12805" max="12806" width="14.5703125" style="3792" customWidth="1"/>
    <col min="12807" max="12807" width="13" style="3792" customWidth="1"/>
    <col min="12808" max="12808" width="14.5703125" style="3792" customWidth="1"/>
    <col min="12809" max="13054" width="9.140625" style="3792"/>
    <col min="13055" max="13055" width="5.42578125" style="3792" customWidth="1"/>
    <col min="13056" max="13056" width="7" style="3792" customWidth="1"/>
    <col min="13057" max="13057" width="95.5703125" style="3792" customWidth="1"/>
    <col min="13058" max="13058" width="13.5703125" style="3792" customWidth="1"/>
    <col min="13059" max="13059" width="23.5703125" style="3792" customWidth="1"/>
    <col min="13060" max="13060" width="15.28515625" style="3792" customWidth="1"/>
    <col min="13061" max="13062" width="14.5703125" style="3792" customWidth="1"/>
    <col min="13063" max="13063" width="13" style="3792" customWidth="1"/>
    <col min="13064" max="13064" width="14.5703125" style="3792" customWidth="1"/>
    <col min="13065" max="13310" width="9.140625" style="3792"/>
    <col min="13311" max="13311" width="5.42578125" style="3792" customWidth="1"/>
    <col min="13312" max="13312" width="7" style="3792" customWidth="1"/>
    <col min="13313" max="13313" width="95.5703125" style="3792" customWidth="1"/>
    <col min="13314" max="13314" width="13.5703125" style="3792" customWidth="1"/>
    <col min="13315" max="13315" width="23.5703125" style="3792" customWidth="1"/>
    <col min="13316" max="13316" width="15.28515625" style="3792" customWidth="1"/>
    <col min="13317" max="13318" width="14.5703125" style="3792" customWidth="1"/>
    <col min="13319" max="13319" width="13" style="3792" customWidth="1"/>
    <col min="13320" max="13320" width="14.5703125" style="3792" customWidth="1"/>
    <col min="13321" max="13566" width="9.140625" style="3792"/>
    <col min="13567" max="13567" width="5.42578125" style="3792" customWidth="1"/>
    <col min="13568" max="13568" width="7" style="3792" customWidth="1"/>
    <col min="13569" max="13569" width="95.5703125" style="3792" customWidth="1"/>
    <col min="13570" max="13570" width="13.5703125" style="3792" customWidth="1"/>
    <col min="13571" max="13571" width="23.5703125" style="3792" customWidth="1"/>
    <col min="13572" max="13572" width="15.28515625" style="3792" customWidth="1"/>
    <col min="13573" max="13574" width="14.5703125" style="3792" customWidth="1"/>
    <col min="13575" max="13575" width="13" style="3792" customWidth="1"/>
    <col min="13576" max="13576" width="14.5703125" style="3792" customWidth="1"/>
    <col min="13577" max="13822" width="9.140625" style="3792"/>
    <col min="13823" max="13823" width="5.42578125" style="3792" customWidth="1"/>
    <col min="13824" max="13824" width="7" style="3792" customWidth="1"/>
    <col min="13825" max="13825" width="95.5703125" style="3792" customWidth="1"/>
    <col min="13826" max="13826" width="13.5703125" style="3792" customWidth="1"/>
    <col min="13827" max="13827" width="23.5703125" style="3792" customWidth="1"/>
    <col min="13828" max="13828" width="15.28515625" style="3792" customWidth="1"/>
    <col min="13829" max="13830" width="14.5703125" style="3792" customWidth="1"/>
    <col min="13831" max="13831" width="13" style="3792" customWidth="1"/>
    <col min="13832" max="13832" width="14.5703125" style="3792" customWidth="1"/>
    <col min="13833" max="14078" width="9.140625" style="3792"/>
    <col min="14079" max="14079" width="5.42578125" style="3792" customWidth="1"/>
    <col min="14080" max="14080" width="7" style="3792" customWidth="1"/>
    <col min="14081" max="14081" width="95.5703125" style="3792" customWidth="1"/>
    <col min="14082" max="14082" width="13.5703125" style="3792" customWidth="1"/>
    <col min="14083" max="14083" width="23.5703125" style="3792" customWidth="1"/>
    <col min="14084" max="14084" width="15.28515625" style="3792" customWidth="1"/>
    <col min="14085" max="14086" width="14.5703125" style="3792" customWidth="1"/>
    <col min="14087" max="14087" width="13" style="3792" customWidth="1"/>
    <col min="14088" max="14088" width="14.5703125" style="3792" customWidth="1"/>
    <col min="14089" max="14334" width="9.140625" style="3792"/>
    <col min="14335" max="14335" width="5.42578125" style="3792" customWidth="1"/>
    <col min="14336" max="14336" width="7" style="3792" customWidth="1"/>
    <col min="14337" max="14337" width="95.5703125" style="3792" customWidth="1"/>
    <col min="14338" max="14338" width="13.5703125" style="3792" customWidth="1"/>
    <col min="14339" max="14339" width="23.5703125" style="3792" customWidth="1"/>
    <col min="14340" max="14340" width="15.28515625" style="3792" customWidth="1"/>
    <col min="14341" max="14342" width="14.5703125" style="3792" customWidth="1"/>
    <col min="14343" max="14343" width="13" style="3792" customWidth="1"/>
    <col min="14344" max="14344" width="14.5703125" style="3792" customWidth="1"/>
    <col min="14345" max="14590" width="9.140625" style="3792"/>
    <col min="14591" max="14591" width="5.42578125" style="3792" customWidth="1"/>
    <col min="14592" max="14592" width="7" style="3792" customWidth="1"/>
    <col min="14593" max="14593" width="95.5703125" style="3792" customWidth="1"/>
    <col min="14594" max="14594" width="13.5703125" style="3792" customWidth="1"/>
    <col min="14595" max="14595" width="23.5703125" style="3792" customWidth="1"/>
    <col min="14596" max="14596" width="15.28515625" style="3792" customWidth="1"/>
    <col min="14597" max="14598" width="14.5703125" style="3792" customWidth="1"/>
    <col min="14599" max="14599" width="13" style="3792" customWidth="1"/>
    <col min="14600" max="14600" width="14.5703125" style="3792" customWidth="1"/>
    <col min="14601" max="14846" width="9.140625" style="3792"/>
    <col min="14847" max="14847" width="5.42578125" style="3792" customWidth="1"/>
    <col min="14848" max="14848" width="7" style="3792" customWidth="1"/>
    <col min="14849" max="14849" width="95.5703125" style="3792" customWidth="1"/>
    <col min="14850" max="14850" width="13.5703125" style="3792" customWidth="1"/>
    <col min="14851" max="14851" width="23.5703125" style="3792" customWidth="1"/>
    <col min="14852" max="14852" width="15.28515625" style="3792" customWidth="1"/>
    <col min="14853" max="14854" width="14.5703125" style="3792" customWidth="1"/>
    <col min="14855" max="14855" width="13" style="3792" customWidth="1"/>
    <col min="14856" max="14856" width="14.5703125" style="3792" customWidth="1"/>
    <col min="14857" max="15102" width="9.140625" style="3792"/>
    <col min="15103" max="15103" width="5.42578125" style="3792" customWidth="1"/>
    <col min="15104" max="15104" width="7" style="3792" customWidth="1"/>
    <col min="15105" max="15105" width="95.5703125" style="3792" customWidth="1"/>
    <col min="15106" max="15106" width="13.5703125" style="3792" customWidth="1"/>
    <col min="15107" max="15107" width="23.5703125" style="3792" customWidth="1"/>
    <col min="15108" max="15108" width="15.28515625" style="3792" customWidth="1"/>
    <col min="15109" max="15110" width="14.5703125" style="3792" customWidth="1"/>
    <col min="15111" max="15111" width="13" style="3792" customWidth="1"/>
    <col min="15112" max="15112" width="14.5703125" style="3792" customWidth="1"/>
    <col min="15113" max="15358" width="9.140625" style="3792"/>
    <col min="15359" max="15359" width="5.42578125" style="3792" customWidth="1"/>
    <col min="15360" max="15360" width="7" style="3792" customWidth="1"/>
    <col min="15361" max="15361" width="95.5703125" style="3792" customWidth="1"/>
    <col min="15362" max="15362" width="13.5703125" style="3792" customWidth="1"/>
    <col min="15363" max="15363" width="23.5703125" style="3792" customWidth="1"/>
    <col min="15364" max="15364" width="15.28515625" style="3792" customWidth="1"/>
    <col min="15365" max="15366" width="14.5703125" style="3792" customWidth="1"/>
    <col min="15367" max="15367" width="13" style="3792" customWidth="1"/>
    <col min="15368" max="15368" width="14.5703125" style="3792" customWidth="1"/>
    <col min="15369" max="15614" width="9.140625" style="3792"/>
    <col min="15615" max="15615" width="5.42578125" style="3792" customWidth="1"/>
    <col min="15616" max="15616" width="7" style="3792" customWidth="1"/>
    <col min="15617" max="15617" width="95.5703125" style="3792" customWidth="1"/>
    <col min="15618" max="15618" width="13.5703125" style="3792" customWidth="1"/>
    <col min="15619" max="15619" width="23.5703125" style="3792" customWidth="1"/>
    <col min="15620" max="15620" width="15.28515625" style="3792" customWidth="1"/>
    <col min="15621" max="15622" width="14.5703125" style="3792" customWidth="1"/>
    <col min="15623" max="15623" width="13" style="3792" customWidth="1"/>
    <col min="15624" max="15624" width="14.5703125" style="3792" customWidth="1"/>
    <col min="15625" max="15870" width="9.140625" style="3792"/>
    <col min="15871" max="15871" width="5.42578125" style="3792" customWidth="1"/>
    <col min="15872" max="15872" width="7" style="3792" customWidth="1"/>
    <col min="15873" max="15873" width="95.5703125" style="3792" customWidth="1"/>
    <col min="15874" max="15874" width="13.5703125" style="3792" customWidth="1"/>
    <col min="15875" max="15875" width="23.5703125" style="3792" customWidth="1"/>
    <col min="15876" max="15876" width="15.28515625" style="3792" customWidth="1"/>
    <col min="15877" max="15878" width="14.5703125" style="3792" customWidth="1"/>
    <col min="15879" max="15879" width="13" style="3792" customWidth="1"/>
    <col min="15880" max="15880" width="14.5703125" style="3792" customWidth="1"/>
    <col min="15881" max="16126" width="9.140625" style="3792"/>
    <col min="16127" max="16127" width="5.42578125" style="3792" customWidth="1"/>
    <col min="16128" max="16128" width="7" style="3792" customWidth="1"/>
    <col min="16129" max="16129" width="95.5703125" style="3792" customWidth="1"/>
    <col min="16130" max="16130" width="13.5703125" style="3792" customWidth="1"/>
    <col min="16131" max="16131" width="23.5703125" style="3792" customWidth="1"/>
    <col min="16132" max="16132" width="15.28515625" style="3792" customWidth="1"/>
    <col min="16133" max="16134" width="14.5703125" style="3792" customWidth="1"/>
    <col min="16135" max="16135" width="13" style="3792" customWidth="1"/>
    <col min="16136" max="16136" width="14.5703125" style="3792" customWidth="1"/>
    <col min="16137" max="16384" width="9.140625" style="3792"/>
  </cols>
  <sheetData>
    <row r="2" spans="1:7">
      <c r="A2" s="4834" t="s">
        <v>4922</v>
      </c>
      <c r="B2" s="4834"/>
      <c r="C2" s="4834"/>
      <c r="D2" s="4834"/>
      <c r="E2" s="4834"/>
      <c r="G2" s="3792"/>
    </row>
    <row r="3" spans="1:7" ht="27" customHeight="1">
      <c r="A3" s="4835" t="s">
        <v>4857</v>
      </c>
      <c r="B3" s="4835"/>
      <c r="C3" s="4835"/>
      <c r="D3" s="4835"/>
      <c r="E3" s="4835"/>
      <c r="G3" s="3792"/>
    </row>
    <row r="4" spans="1:7" s="3793" customFormat="1">
      <c r="A4" s="4833" t="s">
        <v>4858</v>
      </c>
      <c r="B4" s="4833"/>
      <c r="C4" s="4833"/>
      <c r="D4" s="4833"/>
      <c r="E4" s="4833"/>
      <c r="F4" s="3794"/>
    </row>
    <row r="5" spans="1:7" s="3793" customFormat="1">
      <c r="A5" s="3795"/>
      <c r="B5" s="3795"/>
      <c r="C5" s="3795"/>
      <c r="D5" s="3795"/>
      <c r="E5" s="3796"/>
      <c r="F5" s="3794"/>
    </row>
    <row r="6" spans="1:7" s="3793" customFormat="1" ht="31.5" customHeight="1">
      <c r="A6" s="4836" t="s">
        <v>4923</v>
      </c>
      <c r="B6" s="4836"/>
      <c r="C6" s="4836"/>
      <c r="D6" s="4836"/>
      <c r="E6" s="4836"/>
      <c r="F6" s="3797"/>
    </row>
    <row r="7" spans="1:7" s="3793" customFormat="1" ht="24.75" customHeight="1">
      <c r="A7" s="4836" t="s">
        <v>4924</v>
      </c>
      <c r="B7" s="4837"/>
      <c r="C7" s="4837"/>
      <c r="D7" s="4837"/>
      <c r="E7" s="4837"/>
      <c r="F7" s="3797"/>
    </row>
    <row r="8" spans="1:7" s="3793" customFormat="1" ht="19.5" customHeight="1">
      <c r="A8" s="4838" t="s">
        <v>4859</v>
      </c>
      <c r="B8" s="4839"/>
      <c r="C8" s="4839"/>
      <c r="D8" s="4839"/>
      <c r="E8" s="4839"/>
      <c r="F8" s="3794"/>
    </row>
    <row r="9" spans="1:7" s="3793" customFormat="1" ht="29.25" customHeight="1" thickBot="1">
      <c r="A9" s="4840" t="s">
        <v>4925</v>
      </c>
      <c r="B9" s="4840"/>
      <c r="C9" s="4840"/>
      <c r="D9" s="4840"/>
      <c r="E9" s="4840"/>
      <c r="F9" s="3794"/>
    </row>
    <row r="10" spans="1:7" s="3805" customFormat="1" ht="26.25" thickBot="1">
      <c r="A10" s="3798" t="s">
        <v>400</v>
      </c>
      <c r="B10" s="3799"/>
      <c r="C10" s="3800" t="s">
        <v>1437</v>
      </c>
      <c r="D10" s="3801" t="s">
        <v>4860</v>
      </c>
      <c r="E10" s="3802" t="s">
        <v>3835</v>
      </c>
      <c r="F10" s="3803"/>
      <c r="G10" s="3804"/>
    </row>
    <row r="11" spans="1:7" ht="17.25" customHeight="1" thickBot="1">
      <c r="A11" s="4841" t="s">
        <v>4861</v>
      </c>
      <c r="B11" s="4842"/>
      <c r="C11" s="4842"/>
      <c r="D11" s="4842"/>
      <c r="E11" s="4843"/>
    </row>
    <row r="12" spans="1:7" s="3810" customFormat="1" ht="28.5" customHeight="1">
      <c r="A12" s="3806">
        <v>1</v>
      </c>
      <c r="B12" s="4844" t="s">
        <v>4862</v>
      </c>
      <c r="C12" s="4845"/>
      <c r="D12" s="3807" t="s">
        <v>923</v>
      </c>
      <c r="E12" s="3808">
        <f>SUM(E13:E16)</f>
        <v>127514475.49000001</v>
      </c>
      <c r="F12" s="3809"/>
      <c r="G12" s="3809"/>
    </row>
    <row r="13" spans="1:7" ht="15" customHeight="1">
      <c r="A13" s="3811"/>
      <c r="B13" s="3812" t="s">
        <v>4863</v>
      </c>
      <c r="C13" s="3813" t="s">
        <v>9</v>
      </c>
      <c r="D13" s="3814" t="s">
        <v>923</v>
      </c>
      <c r="E13" s="3815">
        <v>0</v>
      </c>
    </row>
    <row r="14" spans="1:7" ht="15" customHeight="1">
      <c r="A14" s="3811"/>
      <c r="B14" s="3812"/>
      <c r="C14" s="3813" t="s">
        <v>409</v>
      </c>
      <c r="D14" s="3814" t="s">
        <v>923</v>
      </c>
      <c r="E14" s="3815">
        <f>E19+E34</f>
        <v>10928414.246399999</v>
      </c>
    </row>
    <row r="15" spans="1:7" ht="15" customHeight="1">
      <c r="A15" s="3811"/>
      <c r="B15" s="3812"/>
      <c r="C15" s="3813" t="s">
        <v>411</v>
      </c>
      <c r="D15" s="3814" t="s">
        <v>923</v>
      </c>
      <c r="E15" s="3815">
        <f>E20+E35</f>
        <v>74499423.252190009</v>
      </c>
    </row>
    <row r="16" spans="1:7" ht="15" customHeight="1" thickBot="1">
      <c r="A16" s="3811"/>
      <c r="B16" s="3812"/>
      <c r="C16" s="3816" t="s">
        <v>12</v>
      </c>
      <c r="D16" s="3817" t="s">
        <v>923</v>
      </c>
      <c r="E16" s="3818">
        <f>E21+E36</f>
        <v>42086637.991410002</v>
      </c>
    </row>
    <row r="17" spans="1:7" ht="18" customHeight="1">
      <c r="A17" s="3819" t="s">
        <v>339</v>
      </c>
      <c r="B17" s="4846" t="s">
        <v>4865</v>
      </c>
      <c r="C17" s="4847"/>
      <c r="D17" s="3820" t="s">
        <v>923</v>
      </c>
      <c r="E17" s="3821">
        <f>SUM(E18:E21)</f>
        <v>117788878.36932001</v>
      </c>
      <c r="F17" s="3809"/>
      <c r="G17" s="3809"/>
    </row>
    <row r="18" spans="1:7" ht="15" customHeight="1">
      <c r="A18" s="3822"/>
      <c r="B18" s="3812" t="s">
        <v>4863</v>
      </c>
      <c r="C18" s="3813" t="s">
        <v>9</v>
      </c>
      <c r="D18" s="3814" t="s">
        <v>923</v>
      </c>
      <c r="E18" s="3823">
        <v>0</v>
      </c>
      <c r="F18" s="3824"/>
    </row>
    <row r="19" spans="1:7" ht="15" customHeight="1">
      <c r="A19" s="3822"/>
      <c r="B19" s="3812"/>
      <c r="C19" s="3813" t="s">
        <v>409</v>
      </c>
      <c r="D19" s="3814" t="s">
        <v>923</v>
      </c>
      <c r="E19" s="3823">
        <f>E24*E29</f>
        <v>10928414.246399999</v>
      </c>
      <c r="F19" s="3824"/>
    </row>
    <row r="20" spans="1:7" ht="15" customHeight="1">
      <c r="A20" s="3822"/>
      <c r="B20" s="3812"/>
      <c r="C20" s="3813" t="s">
        <v>411</v>
      </c>
      <c r="D20" s="3814" t="s">
        <v>923</v>
      </c>
      <c r="E20" s="3823">
        <f>E25*E30</f>
        <v>74025845.874420002</v>
      </c>
      <c r="F20" s="3824"/>
    </row>
    <row r="21" spans="1:7" ht="15" customHeight="1" thickBot="1">
      <c r="A21" s="3825"/>
      <c r="B21" s="3826"/>
      <c r="C21" s="3827" t="s">
        <v>12</v>
      </c>
      <c r="D21" s="3828" t="s">
        <v>923</v>
      </c>
      <c r="E21" s="3829">
        <f>E26*E31</f>
        <v>32834618.248500001</v>
      </c>
    </row>
    <row r="22" spans="1:7" ht="21.75" customHeight="1">
      <c r="A22" s="3830" t="s">
        <v>2081</v>
      </c>
      <c r="B22" s="3831" t="s">
        <v>4866</v>
      </c>
      <c r="C22" s="3832"/>
      <c r="D22" s="3833"/>
      <c r="E22" s="3834">
        <f>SUM(E23:E26)</f>
        <v>26798.797999999999</v>
      </c>
      <c r="F22" s="3809"/>
      <c r="G22" s="3809"/>
    </row>
    <row r="23" spans="1:7">
      <c r="A23" s="3822"/>
      <c r="B23" s="3812" t="s">
        <v>4863</v>
      </c>
      <c r="C23" s="3813" t="s">
        <v>9</v>
      </c>
      <c r="D23" s="3814" t="s">
        <v>4867</v>
      </c>
      <c r="E23" s="3835">
        <v>0</v>
      </c>
    </row>
    <row r="24" spans="1:7">
      <c r="A24" s="3822"/>
      <c r="B24" s="3812"/>
      <c r="C24" s="3813" t="s">
        <v>409</v>
      </c>
      <c r="D24" s="3814" t="s">
        <v>4867</v>
      </c>
      <c r="E24" s="3835">
        <f>'Шаблон 46 ГП'!F317</f>
        <v>2685.3119999999999</v>
      </c>
    </row>
    <row r="25" spans="1:7">
      <c r="A25" s="3822"/>
      <c r="B25" s="3812"/>
      <c r="C25" s="3813" t="s">
        <v>411</v>
      </c>
      <c r="D25" s="3814" t="s">
        <v>4867</v>
      </c>
      <c r="E25" s="3835">
        <f>'Шаблон 46 ГП'!F318</f>
        <v>16975.991000000002</v>
      </c>
    </row>
    <row r="26" spans="1:7" ht="13.5" thickBot="1">
      <c r="A26" s="3822"/>
      <c r="B26" s="3812"/>
      <c r="C26" s="3816" t="s">
        <v>12</v>
      </c>
      <c r="D26" s="3817" t="s">
        <v>4867</v>
      </c>
      <c r="E26" s="3835">
        <f>'Шаблон 46 ГП'!F319</f>
        <v>7137.4949999999999</v>
      </c>
    </row>
    <row r="27" spans="1:7" ht="18" customHeight="1">
      <c r="A27" s="3836" t="s">
        <v>2119</v>
      </c>
      <c r="B27" s="4798" t="s">
        <v>4868</v>
      </c>
      <c r="C27" s="4799"/>
      <c r="D27" s="4799"/>
      <c r="E27" s="4800"/>
    </row>
    <row r="28" spans="1:7">
      <c r="A28" s="3837"/>
      <c r="B28" s="3838" t="s">
        <v>4863</v>
      </c>
      <c r="C28" s="3839" t="s">
        <v>9</v>
      </c>
      <c r="D28" s="3840" t="s">
        <v>4869</v>
      </c>
      <c r="E28" s="3841">
        <v>0</v>
      </c>
    </row>
    <row r="29" spans="1:7">
      <c r="A29" s="3837"/>
      <c r="B29" s="3838"/>
      <c r="C29" s="3839" t="s">
        <v>409</v>
      </c>
      <c r="D29" s="3840" t="s">
        <v>4869</v>
      </c>
      <c r="E29" s="3841">
        <f>'Шаблон 46 ГП'!G317</f>
        <v>4069.7</v>
      </c>
    </row>
    <row r="30" spans="1:7">
      <c r="A30" s="3837"/>
      <c r="B30" s="3838"/>
      <c r="C30" s="3839" t="s">
        <v>411</v>
      </c>
      <c r="D30" s="3840" t="s">
        <v>4869</v>
      </c>
      <c r="E30" s="3841">
        <f>'Шаблон 46 ГП'!G318</f>
        <v>4360.62</v>
      </c>
    </row>
    <row r="31" spans="1:7" ht="13.5" thickBot="1">
      <c r="A31" s="3842"/>
      <c r="B31" s="3843"/>
      <c r="C31" s="3844" t="s">
        <v>12</v>
      </c>
      <c r="D31" s="3845" t="s">
        <v>4869</v>
      </c>
      <c r="E31" s="3846">
        <f>'Шаблон 46 ГП'!G319</f>
        <v>4600.3</v>
      </c>
    </row>
    <row r="32" spans="1:7" ht="18.75" customHeight="1">
      <c r="A32" s="3847" t="s">
        <v>390</v>
      </c>
      <c r="B32" s="4848" t="s">
        <v>4870</v>
      </c>
      <c r="C32" s="4849"/>
      <c r="D32" s="3848" t="s">
        <v>923</v>
      </c>
      <c r="E32" s="3849">
        <f>SUM(E33:E36)</f>
        <v>9725597.1206799988</v>
      </c>
      <c r="F32" s="3809"/>
      <c r="G32" s="3809"/>
    </row>
    <row r="33" spans="1:7">
      <c r="A33" s="3850"/>
      <c r="B33" s="3812" t="s">
        <v>4863</v>
      </c>
      <c r="C33" s="3813" t="s">
        <v>9</v>
      </c>
      <c r="D33" s="3814" t="s">
        <v>923</v>
      </c>
      <c r="E33" s="3851">
        <v>0</v>
      </c>
    </row>
    <row r="34" spans="1:7">
      <c r="A34" s="3822"/>
      <c r="B34" s="3812"/>
      <c r="C34" s="3813" t="s">
        <v>409</v>
      </c>
      <c r="D34" s="3814" t="s">
        <v>923</v>
      </c>
      <c r="E34" s="3851">
        <v>0</v>
      </c>
    </row>
    <row r="35" spans="1:7">
      <c r="A35" s="3822"/>
      <c r="B35" s="3812"/>
      <c r="C35" s="3813" t="s">
        <v>411</v>
      </c>
      <c r="D35" s="3814" t="s">
        <v>923</v>
      </c>
      <c r="E35" s="3851">
        <f>E40*E45+E50*E56</f>
        <v>473577.37777000002</v>
      </c>
    </row>
    <row r="36" spans="1:7" ht="13.5" thickBot="1">
      <c r="A36" s="3822"/>
      <c r="B36" s="3812"/>
      <c r="C36" s="3816" t="s">
        <v>12</v>
      </c>
      <c r="D36" s="3817" t="s">
        <v>923</v>
      </c>
      <c r="E36" s="3852">
        <f>E41*E46+E51*E57</f>
        <v>9252019.7429099996</v>
      </c>
    </row>
    <row r="37" spans="1:7" ht="20.25" customHeight="1">
      <c r="A37" s="3853" t="s">
        <v>2134</v>
      </c>
      <c r="B37" s="4846" t="s">
        <v>4871</v>
      </c>
      <c r="C37" s="4850"/>
      <c r="D37" s="3820" t="s">
        <v>4867</v>
      </c>
      <c r="E37" s="3854">
        <f>SUM(E38:E41)</f>
        <v>3683.2480000000005</v>
      </c>
      <c r="F37" s="3809"/>
      <c r="G37" s="3809"/>
    </row>
    <row r="38" spans="1:7" ht="15" customHeight="1">
      <c r="A38" s="3850"/>
      <c r="B38" s="3812" t="s">
        <v>4863</v>
      </c>
      <c r="C38" s="3813" t="s">
        <v>9</v>
      </c>
      <c r="D38" s="3814" t="s">
        <v>4867</v>
      </c>
      <c r="E38" s="3835">
        <v>0</v>
      </c>
    </row>
    <row r="39" spans="1:7">
      <c r="A39" s="3822"/>
      <c r="B39" s="3812"/>
      <c r="C39" s="3813" t="s">
        <v>409</v>
      </c>
      <c r="D39" s="3814" t="s">
        <v>4867</v>
      </c>
      <c r="E39" s="3855">
        <v>0</v>
      </c>
    </row>
    <row r="40" spans="1:7">
      <c r="A40" s="3822"/>
      <c r="B40" s="3812"/>
      <c r="C40" s="3813" t="s">
        <v>411</v>
      </c>
      <c r="D40" s="3814" t="s">
        <v>4867</v>
      </c>
      <c r="E40" s="3855">
        <f>'Шаблон 46 ГП'!F340</f>
        <v>102.423</v>
      </c>
    </row>
    <row r="41" spans="1:7" s="3856" customFormat="1" ht="13.5" thickBot="1">
      <c r="A41" s="3822"/>
      <c r="B41" s="3812"/>
      <c r="C41" s="3816" t="s">
        <v>12</v>
      </c>
      <c r="D41" s="3817" t="s">
        <v>4867</v>
      </c>
      <c r="E41" s="3835">
        <f>'Шаблон 46 ГП'!F341</f>
        <v>3580.8250000000003</v>
      </c>
      <c r="F41" s="3791"/>
      <c r="G41" s="3791"/>
    </row>
    <row r="42" spans="1:7" s="3856" customFormat="1" ht="15.75" customHeight="1">
      <c r="A42" s="3857" t="s">
        <v>2137</v>
      </c>
      <c r="B42" s="4851" t="s">
        <v>4873</v>
      </c>
      <c r="C42" s="4852"/>
      <c r="D42" s="4852"/>
      <c r="E42" s="4853"/>
      <c r="F42" s="3858"/>
      <c r="G42" s="3858"/>
    </row>
    <row r="43" spans="1:7" s="3856" customFormat="1">
      <c r="A43" s="3859"/>
      <c r="B43" s="3838" t="s">
        <v>4863</v>
      </c>
      <c r="C43" s="3839" t="s">
        <v>9</v>
      </c>
      <c r="D43" s="3860" t="s">
        <v>4874</v>
      </c>
      <c r="E43" s="3861">
        <v>0</v>
      </c>
      <c r="F43" s="3858"/>
      <c r="G43" s="3858"/>
    </row>
    <row r="44" spans="1:7" s="3856" customFormat="1">
      <c r="A44" s="3837"/>
      <c r="B44" s="3838"/>
      <c r="C44" s="3839" t="s">
        <v>409</v>
      </c>
      <c r="D44" s="3860" t="s">
        <v>4874</v>
      </c>
      <c r="E44" s="3861">
        <v>0</v>
      </c>
      <c r="F44" s="3858"/>
      <c r="G44" s="3858"/>
    </row>
    <row r="45" spans="1:7" s="3856" customFormat="1">
      <c r="A45" s="3837"/>
      <c r="B45" s="3838"/>
      <c r="C45" s="3839" t="s">
        <v>411</v>
      </c>
      <c r="D45" s="3860" t="s">
        <v>4874</v>
      </c>
      <c r="E45" s="3861">
        <f>'Шаблон 46 ГП'!G340</f>
        <v>333.05</v>
      </c>
      <c r="F45" s="3858"/>
      <c r="G45" s="3858"/>
    </row>
    <row r="46" spans="1:7" ht="13.5" thickBot="1">
      <c r="A46" s="3842"/>
      <c r="B46" s="3843"/>
      <c r="C46" s="3844" t="s">
        <v>12</v>
      </c>
      <c r="D46" s="3862" t="s">
        <v>4874</v>
      </c>
      <c r="E46" s="3863">
        <f>'Шаблон 46 ГП'!G341</f>
        <v>705.67000000000007</v>
      </c>
    </row>
    <row r="47" spans="1:7" ht="17.25" customHeight="1">
      <c r="A47" s="3857" t="s">
        <v>2157</v>
      </c>
      <c r="B47" s="4795" t="s">
        <v>4875</v>
      </c>
      <c r="C47" s="4808"/>
      <c r="D47" s="3864" t="s">
        <v>420</v>
      </c>
      <c r="E47" s="3865">
        <f>SUM(E48:E51)</f>
        <v>6.7130000000000001</v>
      </c>
      <c r="F47" s="3809"/>
      <c r="G47" s="3809"/>
    </row>
    <row r="48" spans="1:7">
      <c r="A48" s="3859"/>
      <c r="B48" s="3838" t="s">
        <v>4863</v>
      </c>
      <c r="C48" s="3839" t="s">
        <v>9</v>
      </c>
      <c r="D48" s="3840" t="s">
        <v>420</v>
      </c>
      <c r="E48" s="3866">
        <v>0</v>
      </c>
    </row>
    <row r="49" spans="1:7">
      <c r="A49" s="3837"/>
      <c r="B49" s="3838"/>
      <c r="C49" s="3839" t="s">
        <v>409</v>
      </c>
      <c r="D49" s="3840" t="s">
        <v>420</v>
      </c>
      <c r="E49" s="3867">
        <v>0</v>
      </c>
    </row>
    <row r="50" spans="1:7">
      <c r="A50" s="3837"/>
      <c r="B50" s="3838"/>
      <c r="C50" s="3839" t="s">
        <v>411</v>
      </c>
      <c r="D50" s="3840" t="s">
        <v>420</v>
      </c>
      <c r="E50" s="3866">
        <f>'Шаблон 46 ГП'!F337</f>
        <v>0.157</v>
      </c>
    </row>
    <row r="51" spans="1:7" s="3856" customFormat="1" ht="13.5" thickBot="1">
      <c r="A51" s="3837"/>
      <c r="B51" s="3838"/>
      <c r="C51" s="3868" t="s">
        <v>12</v>
      </c>
      <c r="D51" s="3869" t="s">
        <v>420</v>
      </c>
      <c r="E51" s="3870">
        <f>'Шаблон 46 ГП'!F338</f>
        <v>6.556</v>
      </c>
      <c r="F51" s="3858"/>
      <c r="G51" s="3791"/>
    </row>
    <row r="52" spans="1:7" s="3856" customFormat="1" ht="17.25" customHeight="1">
      <c r="A52" s="3857" t="s">
        <v>2167</v>
      </c>
      <c r="B52" s="4798" t="s">
        <v>4876</v>
      </c>
      <c r="C52" s="4799"/>
      <c r="D52" s="4799"/>
      <c r="E52" s="4800"/>
      <c r="F52" s="3858"/>
      <c r="G52" s="3858"/>
    </row>
    <row r="53" spans="1:7" s="3856" customFormat="1">
      <c r="A53" s="3859"/>
      <c r="B53" s="3838" t="s">
        <v>4863</v>
      </c>
      <c r="C53" s="3839" t="s">
        <v>9</v>
      </c>
      <c r="D53" s="3860" t="s">
        <v>4877</v>
      </c>
      <c r="E53" s="3841">
        <v>0</v>
      </c>
      <c r="F53" s="3858"/>
      <c r="G53" s="3858"/>
    </row>
    <row r="54" spans="1:7" s="3856" customFormat="1" ht="12.75" customHeight="1">
      <c r="A54" s="3859"/>
      <c r="B54" s="3838"/>
      <c r="C54" s="3839"/>
      <c r="D54" s="3860"/>
      <c r="E54" s="3841"/>
      <c r="F54" s="3858"/>
      <c r="G54" s="3858"/>
    </row>
    <row r="55" spans="1:7" s="3856" customFormat="1">
      <c r="A55" s="3837"/>
      <c r="B55" s="3838"/>
      <c r="C55" s="3839" t="s">
        <v>409</v>
      </c>
      <c r="D55" s="3860" t="s">
        <v>4877</v>
      </c>
      <c r="E55" s="3861">
        <v>0</v>
      </c>
      <c r="F55" s="3871"/>
      <c r="G55" s="3871"/>
    </row>
    <row r="56" spans="1:7" s="3856" customFormat="1">
      <c r="A56" s="3837"/>
      <c r="B56" s="3838"/>
      <c r="C56" s="3839" t="s">
        <v>411</v>
      </c>
      <c r="D56" s="3860" t="s">
        <v>4877</v>
      </c>
      <c r="E56" s="3861">
        <f>'Шаблон 46 ГП'!G337</f>
        <v>2799142.66</v>
      </c>
      <c r="F56" s="3871"/>
      <c r="G56" s="3871"/>
    </row>
    <row r="57" spans="1:7" ht="13.5" thickBot="1">
      <c r="A57" s="3842"/>
      <c r="B57" s="3843"/>
      <c r="C57" s="3844" t="s">
        <v>12</v>
      </c>
      <c r="D57" s="3862" t="s">
        <v>4877</v>
      </c>
      <c r="E57" s="3863">
        <f>'Шаблон 46 ГП'!G338</f>
        <v>1025799.1099999999</v>
      </c>
      <c r="F57" s="3871"/>
      <c r="G57" s="3871"/>
    </row>
    <row r="58" spans="1:7" s="3874" customFormat="1" ht="29.25" customHeight="1" thickBot="1">
      <c r="A58" s="4826" t="s">
        <v>4878</v>
      </c>
      <c r="B58" s="4827"/>
      <c r="C58" s="4827"/>
      <c r="D58" s="4827"/>
      <c r="E58" s="4828"/>
      <c r="F58" s="3872"/>
      <c r="G58" s="3873"/>
    </row>
    <row r="59" spans="1:7" ht="36" customHeight="1">
      <c r="A59" s="3875">
        <v>2</v>
      </c>
      <c r="B59" s="4829" t="s">
        <v>4879</v>
      </c>
      <c r="C59" s="4830"/>
      <c r="D59" s="3876" t="s">
        <v>923</v>
      </c>
      <c r="E59" s="3877">
        <f>SUM(E60:E63)</f>
        <v>5216297.0916599985</v>
      </c>
      <c r="F59" s="3878"/>
      <c r="G59" s="3878"/>
    </row>
    <row r="60" spans="1:7">
      <c r="A60" s="3879"/>
      <c r="B60" s="3838" t="s">
        <v>4863</v>
      </c>
      <c r="C60" s="3839" t="s">
        <v>9</v>
      </c>
      <c r="D60" s="3840" t="s">
        <v>923</v>
      </c>
      <c r="E60" s="3880">
        <v>0</v>
      </c>
      <c r="F60" s="3871"/>
      <c r="G60" s="3871"/>
    </row>
    <row r="61" spans="1:7">
      <c r="A61" s="3879"/>
      <c r="B61" s="3838"/>
      <c r="C61" s="3839" t="s">
        <v>409</v>
      </c>
      <c r="D61" s="3840" t="s">
        <v>923</v>
      </c>
      <c r="E61" s="3880">
        <v>0</v>
      </c>
      <c r="F61" s="3871"/>
      <c r="G61" s="3871"/>
    </row>
    <row r="62" spans="1:7">
      <c r="A62" s="3879"/>
      <c r="B62" s="3838"/>
      <c r="C62" s="3839" t="s">
        <v>411</v>
      </c>
      <c r="D62" s="3840" t="s">
        <v>923</v>
      </c>
      <c r="E62" s="3880">
        <f>(E74*E156)+(E79*E161)+(E84*E166)+(E96*E172)+(E101*E177)+(E106*E182)</f>
        <v>2141640.1125999987</v>
      </c>
      <c r="F62" s="3871"/>
      <c r="G62" s="3871"/>
    </row>
    <row r="63" spans="1:7" ht="13.5" thickBot="1">
      <c r="A63" s="3879"/>
      <c r="B63" s="3838"/>
      <c r="C63" s="3868" t="s">
        <v>12</v>
      </c>
      <c r="D63" s="3869" t="s">
        <v>923</v>
      </c>
      <c r="E63" s="3880">
        <f>(E75*E157)+(E80*E162)+(E85*E167)+(E97*E173)+(E102*E178)+(E107*E183)</f>
        <v>3074656.9790599993</v>
      </c>
      <c r="F63" s="3871"/>
      <c r="G63" s="3871"/>
    </row>
    <row r="64" spans="1:7" ht="46.5" customHeight="1">
      <c r="A64" s="3857" t="s">
        <v>427</v>
      </c>
      <c r="B64" s="4811" t="s">
        <v>4880</v>
      </c>
      <c r="C64" s="4812"/>
      <c r="D64" s="4812"/>
      <c r="E64" s="4813"/>
      <c r="F64" s="3871"/>
      <c r="G64" s="3871"/>
    </row>
    <row r="65" spans="1:9" ht="14.25" customHeight="1">
      <c r="A65" s="3859"/>
      <c r="B65" s="3882"/>
      <c r="C65" s="3839"/>
      <c r="D65" s="3840" t="s">
        <v>4867</v>
      </c>
      <c r="E65" s="3883">
        <f>SUM(E66:E69)</f>
        <v>3616.1329999999998</v>
      </c>
      <c r="F65" s="3878"/>
      <c r="G65" s="3878"/>
      <c r="I65" s="3884"/>
    </row>
    <row r="66" spans="1:9">
      <c r="A66" s="3837"/>
      <c r="B66" s="3838"/>
      <c r="C66" s="3839" t="s">
        <v>9</v>
      </c>
      <c r="D66" s="3840" t="s">
        <v>4867</v>
      </c>
      <c r="E66" s="3867">
        <v>0</v>
      </c>
      <c r="F66" s="3871"/>
      <c r="G66" s="3871"/>
      <c r="I66" s="3884"/>
    </row>
    <row r="67" spans="1:9">
      <c r="A67" s="3837"/>
      <c r="B67" s="3838"/>
      <c r="C67" s="3839" t="s">
        <v>409</v>
      </c>
      <c r="D67" s="3840" t="s">
        <v>4867</v>
      </c>
      <c r="E67" s="3867">
        <v>0</v>
      </c>
      <c r="F67" s="3871"/>
      <c r="G67" s="3871"/>
      <c r="I67" s="3884"/>
    </row>
    <row r="68" spans="1:9">
      <c r="A68" s="3837"/>
      <c r="B68" s="3838"/>
      <c r="C68" s="3839" t="s">
        <v>411</v>
      </c>
      <c r="D68" s="3840" t="s">
        <v>4867</v>
      </c>
      <c r="E68" s="3867">
        <f>'Шаблон 46 ГП'!F320</f>
        <v>1956.12</v>
      </c>
      <c r="F68" s="3871"/>
      <c r="G68" s="3871"/>
      <c r="I68" s="3884"/>
    </row>
    <row r="69" spans="1:9">
      <c r="A69" s="3837"/>
      <c r="B69" s="3838"/>
      <c r="C69" s="3868" t="s">
        <v>12</v>
      </c>
      <c r="D69" s="3869" t="s">
        <v>4867</v>
      </c>
      <c r="E69" s="3885">
        <f>'Шаблон 46 ГП'!F324</f>
        <v>1660.0129999999999</v>
      </c>
      <c r="F69" s="3871"/>
      <c r="G69" s="3871"/>
      <c r="I69" s="3884"/>
    </row>
    <row r="70" spans="1:9" s="3983" customFormat="1">
      <c r="A70" s="3977"/>
      <c r="B70" s="3978" t="s">
        <v>512</v>
      </c>
      <c r="C70" s="3979"/>
      <c r="D70" s="3980"/>
      <c r="E70" s="3981"/>
      <c r="F70" s="3982"/>
      <c r="H70" s="3983">
        <v>1000</v>
      </c>
    </row>
    <row r="71" spans="1:9" s="3983" customFormat="1" ht="14.25" customHeight="1">
      <c r="A71" s="3984" t="s">
        <v>2208</v>
      </c>
      <c r="B71" s="3985"/>
      <c r="C71" s="3986" t="s">
        <v>4840</v>
      </c>
      <c r="D71" s="3987" t="s">
        <v>4867</v>
      </c>
      <c r="E71" s="3883">
        <f>SUM(E72:E75)</f>
        <v>3610.4700000000003</v>
      </c>
    </row>
    <row r="72" spans="1:9" s="3983" customFormat="1">
      <c r="A72" s="3977"/>
      <c r="B72" s="3988" t="s">
        <v>4863</v>
      </c>
      <c r="C72" s="3989" t="s">
        <v>9</v>
      </c>
      <c r="D72" s="3987" t="s">
        <v>4867</v>
      </c>
      <c r="E72" s="3867">
        <v>0</v>
      </c>
    </row>
    <row r="73" spans="1:9" s="3983" customFormat="1">
      <c r="A73" s="3977"/>
      <c r="B73" s="3990"/>
      <c r="C73" s="3989" t="s">
        <v>409</v>
      </c>
      <c r="D73" s="3987" t="s">
        <v>4867</v>
      </c>
      <c r="E73" s="3867">
        <v>0</v>
      </c>
    </row>
    <row r="74" spans="1:9" s="3983" customFormat="1">
      <c r="A74" s="3977"/>
      <c r="B74" s="3990"/>
      <c r="C74" s="3989" t="s">
        <v>411</v>
      </c>
      <c r="D74" s="3987" t="s">
        <v>4867</v>
      </c>
      <c r="E74" s="3867">
        <f>'Прил.4 Сводная ведомость'!F44/1000</f>
        <v>1934.4580000000001</v>
      </c>
    </row>
    <row r="75" spans="1:9" s="3983" customFormat="1">
      <c r="A75" s="3991"/>
      <c r="B75" s="3992"/>
      <c r="C75" s="3993" t="s">
        <v>12</v>
      </c>
      <c r="D75" s="3987" t="s">
        <v>4867</v>
      </c>
      <c r="E75" s="3867">
        <f>'Прил.4 Сводная ведомость'!F45/1000</f>
        <v>1676.0119999999999</v>
      </c>
    </row>
    <row r="76" spans="1:9" s="3983" customFormat="1" ht="14.25" customHeight="1">
      <c r="A76" s="3984" t="s">
        <v>2428</v>
      </c>
      <c r="B76" s="3985"/>
      <c r="C76" s="3986" t="s">
        <v>4841</v>
      </c>
      <c r="D76" s="3987" t="s">
        <v>4867</v>
      </c>
      <c r="E76" s="3883">
        <f>SUM(E77:E80)</f>
        <v>1.4540000000000002</v>
      </c>
    </row>
    <row r="77" spans="1:9" s="3983" customFormat="1">
      <c r="A77" s="3977"/>
      <c r="B77" s="3988" t="s">
        <v>4863</v>
      </c>
      <c r="C77" s="3989" t="s">
        <v>9</v>
      </c>
      <c r="D77" s="3987" t="s">
        <v>4867</v>
      </c>
      <c r="E77" s="3867">
        <v>0</v>
      </c>
    </row>
    <row r="78" spans="1:9" s="3983" customFormat="1">
      <c r="A78" s="3977"/>
      <c r="B78" s="3990"/>
      <c r="C78" s="3989" t="s">
        <v>409</v>
      </c>
      <c r="D78" s="3987" t="s">
        <v>4867</v>
      </c>
      <c r="E78" s="3867">
        <v>0</v>
      </c>
    </row>
    <row r="79" spans="1:9" s="3983" customFormat="1">
      <c r="A79" s="3977"/>
      <c r="B79" s="3990"/>
      <c r="C79" s="3989" t="s">
        <v>411</v>
      </c>
      <c r="D79" s="3987" t="s">
        <v>4867</v>
      </c>
      <c r="E79" s="3867">
        <f>'Прил.4 Сводная ведомость'!F49/1000</f>
        <v>4.2190000000000003</v>
      </c>
    </row>
    <row r="80" spans="1:9" s="3983" customFormat="1">
      <c r="A80" s="3991"/>
      <c r="B80" s="3992"/>
      <c r="C80" s="3993" t="s">
        <v>12</v>
      </c>
      <c r="D80" s="3987" t="s">
        <v>4867</v>
      </c>
      <c r="E80" s="3867">
        <f>'Прил.4 Сводная ведомость'!F50/1000</f>
        <v>-2.7650000000000001</v>
      </c>
    </row>
    <row r="81" spans="1:7" s="3983" customFormat="1" ht="14.25" customHeight="1">
      <c r="A81" s="3984" t="s">
        <v>2481</v>
      </c>
      <c r="B81" s="3985"/>
      <c r="C81" s="3986" t="s">
        <v>4842</v>
      </c>
      <c r="D81" s="3987" t="s">
        <v>4867</v>
      </c>
      <c r="E81" s="3883">
        <f>SUM(E82:E85)</f>
        <v>4.2089999999997829</v>
      </c>
    </row>
    <row r="82" spans="1:7" s="3983" customFormat="1">
      <c r="A82" s="3977"/>
      <c r="B82" s="3988" t="s">
        <v>4863</v>
      </c>
      <c r="C82" s="3989" t="s">
        <v>9</v>
      </c>
      <c r="D82" s="3987" t="s">
        <v>4867</v>
      </c>
      <c r="E82" s="3867">
        <v>0</v>
      </c>
    </row>
    <row r="83" spans="1:7" s="3983" customFormat="1">
      <c r="A83" s="3977"/>
      <c r="B83" s="3990"/>
      <c r="C83" s="3989" t="s">
        <v>409</v>
      </c>
      <c r="D83" s="3987" t="s">
        <v>4867</v>
      </c>
      <c r="E83" s="3867">
        <v>0</v>
      </c>
    </row>
    <row r="84" spans="1:7" s="3983" customFormat="1">
      <c r="A84" s="3977"/>
      <c r="B84" s="3990"/>
      <c r="C84" s="3989" t="s">
        <v>411</v>
      </c>
      <c r="D84" s="3987" t="s">
        <v>4867</v>
      </c>
      <c r="E84" s="3867">
        <f>'Прил.4 Сводная ведомость'!F54/1000</f>
        <v>17.442999999999806</v>
      </c>
    </row>
    <row r="85" spans="1:7" s="3983" customFormat="1" ht="13.5" thickBot="1">
      <c r="A85" s="3994"/>
      <c r="B85" s="3995"/>
      <c r="C85" s="3996" t="s">
        <v>12</v>
      </c>
      <c r="D85" s="3997" t="s">
        <v>4867</v>
      </c>
      <c r="E85" s="3867">
        <f>'Прил.4 Сводная ведомость'!F55/1000</f>
        <v>-13.234000000000023</v>
      </c>
    </row>
    <row r="86" spans="1:7" ht="36" customHeight="1">
      <c r="A86" s="3857" t="s">
        <v>428</v>
      </c>
      <c r="B86" s="4811" t="s">
        <v>4881</v>
      </c>
      <c r="C86" s="4812"/>
      <c r="D86" s="4812"/>
      <c r="E86" s="4813"/>
      <c r="F86" s="3871"/>
      <c r="G86" s="3871"/>
    </row>
    <row r="87" spans="1:7" ht="14.25" customHeight="1">
      <c r="A87" s="3859"/>
      <c r="B87" s="3882"/>
      <c r="C87" s="3839"/>
      <c r="D87" s="3840" t="s">
        <v>4867</v>
      </c>
      <c r="E87" s="3883">
        <f>SUM(E88:E91)</f>
        <v>14659.095000000001</v>
      </c>
      <c r="F87" s="3878"/>
      <c r="G87" s="3878"/>
    </row>
    <row r="88" spans="1:7">
      <c r="A88" s="3837"/>
      <c r="B88" s="3838"/>
      <c r="C88" s="3839" t="s">
        <v>9</v>
      </c>
      <c r="D88" s="3840" t="s">
        <v>4867</v>
      </c>
      <c r="E88" s="3867">
        <v>0</v>
      </c>
      <c r="F88" s="3871"/>
      <c r="G88" s="3871"/>
    </row>
    <row r="89" spans="1:7">
      <c r="A89" s="3837"/>
      <c r="B89" s="3838"/>
      <c r="C89" s="3839" t="s">
        <v>409</v>
      </c>
      <c r="D89" s="3840" t="s">
        <v>4867</v>
      </c>
      <c r="E89" s="3867">
        <v>0</v>
      </c>
      <c r="F89" s="3871"/>
      <c r="G89" s="3871"/>
    </row>
    <row r="90" spans="1:7">
      <c r="A90" s="3837"/>
      <c r="B90" s="3838"/>
      <c r="C90" s="3839" t="s">
        <v>411</v>
      </c>
      <c r="D90" s="3840" t="s">
        <v>4867</v>
      </c>
      <c r="E90" s="3867">
        <f>'Шаблон 46 ГП'!F328-E248</f>
        <v>133.01800000000003</v>
      </c>
      <c r="F90" s="3871"/>
      <c r="G90" s="3871"/>
    </row>
    <row r="91" spans="1:7" ht="13.5" thickBot="1">
      <c r="A91" s="3842"/>
      <c r="B91" s="3843"/>
      <c r="C91" s="3844" t="s">
        <v>12</v>
      </c>
      <c r="D91" s="3845" t="s">
        <v>4867</v>
      </c>
      <c r="E91" s="3886">
        <f>'Шаблон 46 ГП'!F332-E249</f>
        <v>14526.077000000001</v>
      </c>
      <c r="F91" s="3871"/>
      <c r="G91" s="3871"/>
    </row>
    <row r="92" spans="1:7" s="3983" customFormat="1">
      <c r="A92" s="3977"/>
      <c r="B92" s="3978" t="s">
        <v>512</v>
      </c>
      <c r="C92" s="3979"/>
      <c r="D92" s="3980"/>
      <c r="E92" s="3981"/>
      <c r="F92" s="3982"/>
    </row>
    <row r="93" spans="1:7" s="3983" customFormat="1" ht="14.25" customHeight="1">
      <c r="A93" s="3984" t="s">
        <v>2505</v>
      </c>
      <c r="B93" s="3985"/>
      <c r="C93" s="3986" t="s">
        <v>4840</v>
      </c>
      <c r="D93" s="3987" t="s">
        <v>4867</v>
      </c>
      <c r="E93" s="3883">
        <f>SUM(E94:E97)</f>
        <v>14624.468999999999</v>
      </c>
      <c r="F93" s="3982"/>
    </row>
    <row r="94" spans="1:7" s="3983" customFormat="1">
      <c r="A94" s="3977"/>
      <c r="B94" s="3988" t="s">
        <v>4863</v>
      </c>
      <c r="C94" s="3989" t="s">
        <v>9</v>
      </c>
      <c r="D94" s="3987" t="s">
        <v>4867</v>
      </c>
      <c r="E94" s="3867">
        <v>0</v>
      </c>
    </row>
    <row r="95" spans="1:7" s="3983" customFormat="1">
      <c r="A95" s="3977"/>
      <c r="B95" s="3990"/>
      <c r="C95" s="3989" t="s">
        <v>409</v>
      </c>
      <c r="D95" s="3987" t="s">
        <v>4867</v>
      </c>
      <c r="E95" s="3867">
        <v>0</v>
      </c>
    </row>
    <row r="96" spans="1:7" s="3983" customFormat="1">
      <c r="A96" s="3977"/>
      <c r="B96" s="3990"/>
      <c r="C96" s="3989" t="s">
        <v>411</v>
      </c>
      <c r="D96" s="3987" t="s">
        <v>4867</v>
      </c>
      <c r="E96" s="3867">
        <f>'Прил.4 Сводная ведомость'!F65/1000</f>
        <v>133.018</v>
      </c>
    </row>
    <row r="97" spans="1:7" s="3983" customFormat="1">
      <c r="A97" s="3991"/>
      <c r="B97" s="3992"/>
      <c r="C97" s="3993" t="s">
        <v>12</v>
      </c>
      <c r="D97" s="3987" t="s">
        <v>4867</v>
      </c>
      <c r="E97" s="3867">
        <f>'Прил.4 Сводная ведомость'!F66/1000</f>
        <v>14491.450999999999</v>
      </c>
    </row>
    <row r="98" spans="1:7" s="3983" customFormat="1" ht="14.25" customHeight="1">
      <c r="A98" s="3984" t="s">
        <v>2535</v>
      </c>
      <c r="B98" s="3985"/>
      <c r="C98" s="3986" t="s">
        <v>4841</v>
      </c>
      <c r="D98" s="3987" t="s">
        <v>4867</v>
      </c>
      <c r="E98" s="3883">
        <f>SUM(E99:E102)</f>
        <v>40.938000000000002</v>
      </c>
    </row>
    <row r="99" spans="1:7" s="3983" customFormat="1">
      <c r="A99" s="3977"/>
      <c r="B99" s="3988" t="s">
        <v>4863</v>
      </c>
      <c r="C99" s="3989" t="s">
        <v>9</v>
      </c>
      <c r="D99" s="3987" t="s">
        <v>4867</v>
      </c>
      <c r="E99" s="3867">
        <v>0</v>
      </c>
    </row>
    <row r="100" spans="1:7" s="3983" customFormat="1">
      <c r="A100" s="3977"/>
      <c r="B100" s="3990"/>
      <c r="C100" s="3989" t="s">
        <v>409</v>
      </c>
      <c r="D100" s="3987" t="s">
        <v>4867</v>
      </c>
      <c r="E100" s="3867">
        <v>0</v>
      </c>
    </row>
    <row r="101" spans="1:7" s="3983" customFormat="1">
      <c r="A101" s="3977"/>
      <c r="B101" s="3990"/>
      <c r="C101" s="3989" t="s">
        <v>411</v>
      </c>
      <c r="D101" s="3987" t="s">
        <v>4867</v>
      </c>
      <c r="E101" s="3867">
        <f>'Прил.4 Сводная ведомость'!F70/1000</f>
        <v>0</v>
      </c>
    </row>
    <row r="102" spans="1:7" s="3983" customFormat="1">
      <c r="A102" s="3991"/>
      <c r="B102" s="3992"/>
      <c r="C102" s="3993" t="s">
        <v>12</v>
      </c>
      <c r="D102" s="3987" t="s">
        <v>4867</v>
      </c>
      <c r="E102" s="3867">
        <f>'Прил.4 Сводная ведомость'!F71/1000</f>
        <v>40.938000000000002</v>
      </c>
    </row>
    <row r="103" spans="1:7" s="3983" customFormat="1" ht="14.25" customHeight="1">
      <c r="A103" s="3984" t="s">
        <v>2576</v>
      </c>
      <c r="B103" s="3985"/>
      <c r="C103" s="3986" t="s">
        <v>4842</v>
      </c>
      <c r="D103" s="3987" t="s">
        <v>4867</v>
      </c>
      <c r="E103" s="3883">
        <f>SUM(E104:E107)</f>
        <v>-6.3120000000000003</v>
      </c>
    </row>
    <row r="104" spans="1:7" s="3983" customFormat="1">
      <c r="A104" s="3977"/>
      <c r="B104" s="3988" t="s">
        <v>4863</v>
      </c>
      <c r="C104" s="3989" t="s">
        <v>9</v>
      </c>
      <c r="D104" s="3987" t="s">
        <v>4867</v>
      </c>
      <c r="E104" s="3867">
        <v>0</v>
      </c>
    </row>
    <row r="105" spans="1:7" s="3983" customFormat="1">
      <c r="A105" s="3977"/>
      <c r="B105" s="3990"/>
      <c r="C105" s="3989" t="s">
        <v>409</v>
      </c>
      <c r="D105" s="3987" t="s">
        <v>4867</v>
      </c>
      <c r="E105" s="3867">
        <v>0</v>
      </c>
    </row>
    <row r="106" spans="1:7" s="3983" customFormat="1">
      <c r="A106" s="3977"/>
      <c r="B106" s="3990"/>
      <c r="C106" s="3989" t="s">
        <v>411</v>
      </c>
      <c r="D106" s="3987" t="s">
        <v>4867</v>
      </c>
      <c r="E106" s="3867">
        <f>'Прил.4 Сводная ведомость'!F75/1000</f>
        <v>0</v>
      </c>
    </row>
    <row r="107" spans="1:7" s="3983" customFormat="1" ht="13.5" thickBot="1">
      <c r="A107" s="3994"/>
      <c r="B107" s="3995"/>
      <c r="C107" s="3996" t="s">
        <v>12</v>
      </c>
      <c r="D107" s="3997" t="s">
        <v>4867</v>
      </c>
      <c r="E107" s="3867">
        <f>'Прил.4 Сводная ведомость'!F76/1000</f>
        <v>-6.3120000000000003</v>
      </c>
    </row>
    <row r="108" spans="1:7" ht="23.25" customHeight="1">
      <c r="A108" s="3857" t="s">
        <v>429</v>
      </c>
      <c r="B108" s="4811" t="s">
        <v>4882</v>
      </c>
      <c r="C108" s="4812"/>
      <c r="D108" s="4812"/>
      <c r="E108" s="4813"/>
      <c r="F108" s="3871"/>
      <c r="G108" s="3871"/>
    </row>
    <row r="109" spans="1:7" ht="14.25" customHeight="1">
      <c r="A109" s="3859"/>
      <c r="B109" s="3882"/>
      <c r="C109" s="3839"/>
      <c r="D109" s="3840" t="s">
        <v>4867</v>
      </c>
      <c r="E109" s="3883">
        <f>SUM(E110:E113)</f>
        <v>0</v>
      </c>
      <c r="F109" s="3878"/>
      <c r="G109" s="3878"/>
    </row>
    <row r="110" spans="1:7">
      <c r="A110" s="3837"/>
      <c r="B110" s="3838"/>
      <c r="C110" s="3839" t="s">
        <v>9</v>
      </c>
      <c r="D110" s="3840" t="s">
        <v>4867</v>
      </c>
      <c r="E110" s="3867">
        <v>0</v>
      </c>
      <c r="F110" s="3871"/>
      <c r="G110" s="3871"/>
    </row>
    <row r="111" spans="1:7">
      <c r="A111" s="3837"/>
      <c r="B111" s="3838"/>
      <c r="C111" s="3839" t="s">
        <v>409</v>
      </c>
      <c r="D111" s="3840" t="s">
        <v>4867</v>
      </c>
      <c r="E111" s="3867">
        <v>0</v>
      </c>
      <c r="F111" s="3871"/>
      <c r="G111" s="3871"/>
    </row>
    <row r="112" spans="1:7">
      <c r="A112" s="3837"/>
      <c r="B112" s="3838"/>
      <c r="C112" s="3839" t="s">
        <v>411</v>
      </c>
      <c r="D112" s="3840" t="s">
        <v>4867</v>
      </c>
      <c r="E112" s="3867">
        <v>0</v>
      </c>
      <c r="F112" s="3871"/>
      <c r="G112" s="3871"/>
    </row>
    <row r="113" spans="1:7">
      <c r="A113" s="3837"/>
      <c r="B113" s="3838"/>
      <c r="C113" s="3868" t="s">
        <v>12</v>
      </c>
      <c r="D113" s="3869" t="s">
        <v>4867</v>
      </c>
      <c r="E113" s="3885">
        <v>0</v>
      </c>
      <c r="F113" s="3871"/>
      <c r="G113" s="3871"/>
    </row>
    <row r="114" spans="1:7" s="3983" customFormat="1">
      <c r="A114" s="3991"/>
      <c r="B114" s="3978" t="s">
        <v>512</v>
      </c>
      <c r="C114" s="3979"/>
      <c r="D114" s="3980"/>
      <c r="E114" s="3981"/>
      <c r="F114" s="3982"/>
    </row>
    <row r="115" spans="1:7" s="3983" customFormat="1" ht="14.25" customHeight="1">
      <c r="A115" s="3984" t="s">
        <v>2588</v>
      </c>
      <c r="B115" s="3985"/>
      <c r="C115" s="3986" t="s">
        <v>4840</v>
      </c>
      <c r="D115" s="3987" t="s">
        <v>4867</v>
      </c>
      <c r="E115" s="3883">
        <f>SUM(E116:E119)</f>
        <v>0</v>
      </c>
    </row>
    <row r="116" spans="1:7" s="3983" customFormat="1">
      <c r="A116" s="3977"/>
      <c r="B116" s="3988" t="s">
        <v>4863</v>
      </c>
      <c r="C116" s="3989" t="s">
        <v>9</v>
      </c>
      <c r="D116" s="3987" t="s">
        <v>4867</v>
      </c>
      <c r="E116" s="3867">
        <v>0</v>
      </c>
    </row>
    <row r="117" spans="1:7" s="3983" customFormat="1">
      <c r="A117" s="3977"/>
      <c r="B117" s="3990"/>
      <c r="C117" s="3989" t="s">
        <v>409</v>
      </c>
      <c r="D117" s="3987" t="s">
        <v>4867</v>
      </c>
      <c r="E117" s="3867">
        <v>0</v>
      </c>
    </row>
    <row r="118" spans="1:7" s="3983" customFormat="1">
      <c r="A118" s="3977"/>
      <c r="B118" s="3990"/>
      <c r="C118" s="3989" t="s">
        <v>411</v>
      </c>
      <c r="D118" s="3987" t="s">
        <v>4867</v>
      </c>
      <c r="E118" s="3867">
        <v>0</v>
      </c>
    </row>
    <row r="119" spans="1:7" s="3983" customFormat="1">
      <c r="A119" s="3991"/>
      <c r="B119" s="3992"/>
      <c r="C119" s="3993" t="s">
        <v>12</v>
      </c>
      <c r="D119" s="3987" t="s">
        <v>4867</v>
      </c>
      <c r="E119" s="3867">
        <v>0</v>
      </c>
    </row>
    <row r="120" spans="1:7" s="3983" customFormat="1" ht="14.25" customHeight="1">
      <c r="A120" s="3984" t="s">
        <v>2591</v>
      </c>
      <c r="B120" s="3985"/>
      <c r="C120" s="3986" t="s">
        <v>4841</v>
      </c>
      <c r="D120" s="3987" t="s">
        <v>4867</v>
      </c>
      <c r="E120" s="3883">
        <f>SUM(E121:E124)</f>
        <v>0</v>
      </c>
    </row>
    <row r="121" spans="1:7" s="3983" customFormat="1">
      <c r="A121" s="3977"/>
      <c r="B121" s="3988" t="s">
        <v>4863</v>
      </c>
      <c r="C121" s="3989" t="s">
        <v>9</v>
      </c>
      <c r="D121" s="3987" t="s">
        <v>4867</v>
      </c>
      <c r="E121" s="3867">
        <v>0</v>
      </c>
    </row>
    <row r="122" spans="1:7" s="3983" customFormat="1">
      <c r="A122" s="3977"/>
      <c r="B122" s="3990"/>
      <c r="C122" s="3989" t="s">
        <v>409</v>
      </c>
      <c r="D122" s="3987" t="s">
        <v>4867</v>
      </c>
      <c r="E122" s="3867">
        <v>0</v>
      </c>
    </row>
    <row r="123" spans="1:7" s="3983" customFormat="1">
      <c r="A123" s="3977"/>
      <c r="B123" s="3990"/>
      <c r="C123" s="3989" t="s">
        <v>411</v>
      </c>
      <c r="D123" s="3987" t="s">
        <v>4867</v>
      </c>
      <c r="E123" s="3867">
        <v>0</v>
      </c>
    </row>
    <row r="124" spans="1:7" s="3983" customFormat="1">
      <c r="A124" s="3991"/>
      <c r="B124" s="3992"/>
      <c r="C124" s="3993" t="s">
        <v>12</v>
      </c>
      <c r="D124" s="3987" t="s">
        <v>4867</v>
      </c>
      <c r="E124" s="3867">
        <v>0</v>
      </c>
    </row>
    <row r="125" spans="1:7" s="3983" customFormat="1" ht="14.25" customHeight="1">
      <c r="A125" s="3984" t="s">
        <v>2797</v>
      </c>
      <c r="B125" s="3985"/>
      <c r="C125" s="3986" t="s">
        <v>4842</v>
      </c>
      <c r="D125" s="3987" t="s">
        <v>4867</v>
      </c>
      <c r="E125" s="3883">
        <f>SUM(E126:E129)</f>
        <v>0</v>
      </c>
    </row>
    <row r="126" spans="1:7" s="3983" customFormat="1">
      <c r="A126" s="3977"/>
      <c r="B126" s="3988" t="s">
        <v>4863</v>
      </c>
      <c r="C126" s="3989" t="s">
        <v>9</v>
      </c>
      <c r="D126" s="3987" t="s">
        <v>4867</v>
      </c>
      <c r="E126" s="3867">
        <v>0</v>
      </c>
    </row>
    <row r="127" spans="1:7" s="3983" customFormat="1">
      <c r="A127" s="3977"/>
      <c r="B127" s="3990"/>
      <c r="C127" s="3989" t="s">
        <v>409</v>
      </c>
      <c r="D127" s="3987" t="s">
        <v>4867</v>
      </c>
      <c r="E127" s="3867">
        <v>0</v>
      </c>
    </row>
    <row r="128" spans="1:7" s="3983" customFormat="1">
      <c r="A128" s="3977"/>
      <c r="B128" s="3990"/>
      <c r="C128" s="3989" t="s">
        <v>411</v>
      </c>
      <c r="D128" s="3987" t="s">
        <v>4867</v>
      </c>
      <c r="E128" s="3867">
        <v>0</v>
      </c>
    </row>
    <row r="129" spans="1:7" s="3983" customFormat="1" ht="13.5" thickBot="1">
      <c r="A129" s="3994"/>
      <c r="B129" s="3995"/>
      <c r="C129" s="3996" t="s">
        <v>12</v>
      </c>
      <c r="D129" s="3997" t="s">
        <v>4867</v>
      </c>
      <c r="E129" s="3886">
        <v>0</v>
      </c>
    </row>
    <row r="130" spans="1:7" ht="122.25" customHeight="1">
      <c r="A130" s="3857" t="s">
        <v>430</v>
      </c>
      <c r="B130" s="4811" t="s">
        <v>4883</v>
      </c>
      <c r="C130" s="4812"/>
      <c r="D130" s="4812"/>
      <c r="E130" s="4813"/>
      <c r="F130" s="3871"/>
      <c r="G130" s="3871"/>
    </row>
    <row r="131" spans="1:7" ht="14.25" customHeight="1">
      <c r="A131" s="3859"/>
      <c r="B131" s="3882"/>
      <c r="C131" s="3839"/>
      <c r="D131" s="3840" t="s">
        <v>4867</v>
      </c>
      <c r="E131" s="3883">
        <f>SUM(E132:E135)</f>
        <v>0</v>
      </c>
      <c r="F131" s="3878"/>
      <c r="G131" s="3878"/>
    </row>
    <row r="132" spans="1:7" ht="13.5" customHeight="1">
      <c r="A132" s="3837"/>
      <c r="B132" s="3838"/>
      <c r="C132" s="3839" t="s">
        <v>9</v>
      </c>
      <c r="D132" s="3840" t="s">
        <v>4867</v>
      </c>
      <c r="E132" s="3867">
        <v>0</v>
      </c>
      <c r="F132" s="3871"/>
      <c r="G132" s="3871"/>
    </row>
    <row r="133" spans="1:7" ht="14.25" customHeight="1">
      <c r="A133" s="3837"/>
      <c r="B133" s="3838"/>
      <c r="C133" s="3839" t="s">
        <v>409</v>
      </c>
      <c r="D133" s="3840" t="s">
        <v>4867</v>
      </c>
      <c r="E133" s="3867">
        <v>0</v>
      </c>
      <c r="F133" s="3871"/>
      <c r="G133" s="3871"/>
    </row>
    <row r="134" spans="1:7" ht="12.75" customHeight="1">
      <c r="A134" s="3837"/>
      <c r="B134" s="3838"/>
      <c r="C134" s="3839" t="s">
        <v>411</v>
      </c>
      <c r="D134" s="3840" t="s">
        <v>4867</v>
      </c>
      <c r="E134" s="3867">
        <v>0</v>
      </c>
      <c r="F134" s="3871"/>
      <c r="G134" s="3871"/>
    </row>
    <row r="135" spans="1:7" ht="13.5" customHeight="1" thickBot="1">
      <c r="A135" s="3842"/>
      <c r="B135" s="3843"/>
      <c r="C135" s="3844" t="s">
        <v>12</v>
      </c>
      <c r="D135" s="3845" t="s">
        <v>4867</v>
      </c>
      <c r="E135" s="3886">
        <v>0</v>
      </c>
      <c r="F135" s="3871"/>
      <c r="G135" s="3871"/>
    </row>
    <row r="136" spans="1:7" s="3983" customFormat="1">
      <c r="A136" s="3991"/>
      <c r="B136" s="3998" t="s">
        <v>512</v>
      </c>
      <c r="C136" s="3999"/>
      <c r="D136" s="4000"/>
      <c r="E136" s="4001"/>
      <c r="F136" s="3982"/>
    </row>
    <row r="137" spans="1:7" s="3983" customFormat="1" ht="14.25" customHeight="1">
      <c r="A137" s="4002" t="s">
        <v>4846</v>
      </c>
      <c r="B137" s="4003"/>
      <c r="C137" s="4004" t="s">
        <v>4840</v>
      </c>
      <c r="D137" s="4005" t="s">
        <v>4867</v>
      </c>
      <c r="E137" s="4006">
        <f>SUM(E138:E141)</f>
        <v>0</v>
      </c>
    </row>
    <row r="138" spans="1:7" s="3983" customFormat="1">
      <c r="A138" s="3977"/>
      <c r="B138" s="4007" t="s">
        <v>4863</v>
      </c>
      <c r="C138" s="4008" t="s">
        <v>9</v>
      </c>
      <c r="D138" s="4005" t="s">
        <v>4867</v>
      </c>
      <c r="E138" s="4009">
        <v>0</v>
      </c>
    </row>
    <row r="139" spans="1:7" s="3983" customFormat="1">
      <c r="A139" s="3977"/>
      <c r="B139" s="4010"/>
      <c r="C139" s="4008" t="s">
        <v>409</v>
      </c>
      <c r="D139" s="4005" t="s">
        <v>4867</v>
      </c>
      <c r="E139" s="4009">
        <v>0</v>
      </c>
    </row>
    <row r="140" spans="1:7" s="3983" customFormat="1">
      <c r="A140" s="3977"/>
      <c r="B140" s="4010"/>
      <c r="C140" s="4008" t="s">
        <v>411</v>
      </c>
      <c r="D140" s="4005" t="s">
        <v>4867</v>
      </c>
      <c r="E140" s="4009">
        <v>0</v>
      </c>
    </row>
    <row r="141" spans="1:7" s="3983" customFormat="1">
      <c r="A141" s="3991"/>
      <c r="B141" s="4011"/>
      <c r="C141" s="4012" t="s">
        <v>12</v>
      </c>
      <c r="D141" s="4005" t="s">
        <v>4867</v>
      </c>
      <c r="E141" s="4009">
        <v>0</v>
      </c>
    </row>
    <row r="142" spans="1:7" s="3983" customFormat="1" ht="14.25" customHeight="1">
      <c r="A142" s="3984" t="s">
        <v>4847</v>
      </c>
      <c r="B142" s="4003"/>
      <c r="C142" s="4004" t="s">
        <v>4841</v>
      </c>
      <c r="D142" s="4005" t="s">
        <v>4867</v>
      </c>
      <c r="E142" s="4006">
        <f>SUM(E143:E146)</f>
        <v>0</v>
      </c>
    </row>
    <row r="143" spans="1:7" s="3983" customFormat="1">
      <c r="A143" s="3977"/>
      <c r="B143" s="4007" t="s">
        <v>4863</v>
      </c>
      <c r="C143" s="4008" t="s">
        <v>9</v>
      </c>
      <c r="D143" s="4005" t="s">
        <v>4867</v>
      </c>
      <c r="E143" s="4009">
        <v>0</v>
      </c>
    </row>
    <row r="144" spans="1:7" s="3983" customFormat="1">
      <c r="A144" s="3977"/>
      <c r="B144" s="4010"/>
      <c r="C144" s="4008" t="s">
        <v>409</v>
      </c>
      <c r="D144" s="4005" t="s">
        <v>4867</v>
      </c>
      <c r="E144" s="4009">
        <v>0</v>
      </c>
    </row>
    <row r="145" spans="1:7" s="3983" customFormat="1">
      <c r="A145" s="3977"/>
      <c r="B145" s="4010"/>
      <c r="C145" s="4008" t="s">
        <v>411</v>
      </c>
      <c r="D145" s="4005" t="s">
        <v>4867</v>
      </c>
      <c r="E145" s="4009">
        <v>0</v>
      </c>
    </row>
    <row r="146" spans="1:7" s="3983" customFormat="1">
      <c r="A146" s="3991"/>
      <c r="B146" s="4011"/>
      <c r="C146" s="4012" t="s">
        <v>12</v>
      </c>
      <c r="D146" s="4005" t="s">
        <v>4867</v>
      </c>
      <c r="E146" s="4009">
        <v>0</v>
      </c>
    </row>
    <row r="147" spans="1:7" s="3983" customFormat="1" ht="14.25" customHeight="1">
      <c r="A147" s="3984" t="s">
        <v>4848</v>
      </c>
      <c r="B147" s="4003"/>
      <c r="C147" s="4004" t="s">
        <v>4842</v>
      </c>
      <c r="D147" s="4005" t="s">
        <v>4867</v>
      </c>
      <c r="E147" s="4006">
        <f>SUM(E148:E151)</f>
        <v>0</v>
      </c>
    </row>
    <row r="148" spans="1:7" s="3983" customFormat="1">
      <c r="A148" s="3977"/>
      <c r="B148" s="4007" t="s">
        <v>4863</v>
      </c>
      <c r="C148" s="4008" t="s">
        <v>9</v>
      </c>
      <c r="D148" s="4005" t="s">
        <v>4867</v>
      </c>
      <c r="E148" s="4009">
        <v>0</v>
      </c>
    </row>
    <row r="149" spans="1:7" s="3983" customFormat="1">
      <c r="A149" s="3977"/>
      <c r="B149" s="4010"/>
      <c r="C149" s="4008" t="s">
        <v>409</v>
      </c>
      <c r="D149" s="4005" t="s">
        <v>4867</v>
      </c>
      <c r="E149" s="4009">
        <v>0</v>
      </c>
    </row>
    <row r="150" spans="1:7" s="3983" customFormat="1">
      <c r="A150" s="3977"/>
      <c r="B150" s="4010"/>
      <c r="C150" s="4008" t="s">
        <v>411</v>
      </c>
      <c r="D150" s="4005" t="s">
        <v>4867</v>
      </c>
      <c r="E150" s="4009">
        <v>0</v>
      </c>
    </row>
    <row r="151" spans="1:7" s="3983" customFormat="1" ht="13.5" thickBot="1">
      <c r="A151" s="3994"/>
      <c r="B151" s="4013"/>
      <c r="C151" s="4014" t="s">
        <v>12</v>
      </c>
      <c r="D151" s="4015" t="s">
        <v>4867</v>
      </c>
      <c r="E151" s="4016">
        <v>0</v>
      </c>
    </row>
    <row r="152" spans="1:7" s="3856" customFormat="1" ht="53.25" customHeight="1" thickBot="1">
      <c r="A152" s="3888" t="s">
        <v>4884</v>
      </c>
      <c r="B152" s="4831" t="s">
        <v>4885</v>
      </c>
      <c r="C152" s="4832"/>
      <c r="D152" s="3889" t="s">
        <v>4869</v>
      </c>
      <c r="E152" s="3890"/>
      <c r="F152" s="3871"/>
      <c r="G152" s="3871"/>
    </row>
    <row r="153" spans="1:7" s="3983" customFormat="1" ht="14.25" customHeight="1">
      <c r="A153" s="3984" t="s">
        <v>4926</v>
      </c>
      <c r="B153" s="4003"/>
      <c r="C153" s="4004" t="s">
        <v>4840</v>
      </c>
      <c r="D153" s="4005"/>
      <c r="E153" s="4006"/>
    </row>
    <row r="154" spans="1:7" s="3983" customFormat="1">
      <c r="A154" s="3977"/>
      <c r="B154" s="4007" t="s">
        <v>4863</v>
      </c>
      <c r="C154" s="4008" t="s">
        <v>9</v>
      </c>
      <c r="D154" s="4005" t="s">
        <v>4874</v>
      </c>
      <c r="E154" s="4009">
        <v>0</v>
      </c>
    </row>
    <row r="155" spans="1:7" s="3983" customFormat="1">
      <c r="A155" s="3977"/>
      <c r="B155" s="4010"/>
      <c r="C155" s="4008" t="s">
        <v>409</v>
      </c>
      <c r="D155" s="4005" t="s">
        <v>4874</v>
      </c>
      <c r="E155" s="4009">
        <v>0</v>
      </c>
    </row>
    <row r="156" spans="1:7" s="3983" customFormat="1">
      <c r="A156" s="3977"/>
      <c r="B156" s="4010"/>
      <c r="C156" s="4008" t="s">
        <v>411</v>
      </c>
      <c r="D156" s="4005" t="s">
        <v>4874</v>
      </c>
      <c r="E156" s="4009">
        <f>ЕКТ!B20</f>
        <v>1044.56</v>
      </c>
    </row>
    <row r="157" spans="1:7" s="3983" customFormat="1">
      <c r="A157" s="3991"/>
      <c r="B157" s="4011"/>
      <c r="C157" s="4012" t="s">
        <v>12</v>
      </c>
      <c r="D157" s="4005" t="s">
        <v>4874</v>
      </c>
      <c r="E157" s="4009">
        <f>E156</f>
        <v>1044.56</v>
      </c>
    </row>
    <row r="158" spans="1:7" s="3983" customFormat="1" ht="14.25" customHeight="1">
      <c r="A158" s="3984" t="s">
        <v>4927</v>
      </c>
      <c r="B158" s="4003"/>
      <c r="C158" s="4004" t="s">
        <v>4841</v>
      </c>
      <c r="D158" s="4005"/>
      <c r="E158" s="4006"/>
    </row>
    <row r="159" spans="1:7" s="3983" customFormat="1">
      <c r="A159" s="3977"/>
      <c r="B159" s="4007" t="s">
        <v>4863</v>
      </c>
      <c r="C159" s="4008" t="s">
        <v>9</v>
      </c>
      <c r="D159" s="4005" t="s">
        <v>4874</v>
      </c>
      <c r="E159" s="4009">
        <v>0</v>
      </c>
    </row>
    <row r="160" spans="1:7" s="3983" customFormat="1">
      <c r="A160" s="3977"/>
      <c r="B160" s="4010"/>
      <c r="C160" s="4008" t="s">
        <v>409</v>
      </c>
      <c r="D160" s="4005" t="s">
        <v>4874</v>
      </c>
      <c r="E160" s="4009">
        <v>0</v>
      </c>
    </row>
    <row r="161" spans="1:7" s="3983" customFormat="1">
      <c r="A161" s="3977"/>
      <c r="B161" s="4010"/>
      <c r="C161" s="4008" t="s">
        <v>411</v>
      </c>
      <c r="D161" s="4005" t="s">
        <v>4874</v>
      </c>
      <c r="E161" s="4009">
        <f>ЕКТ!B24</f>
        <v>2850</v>
      </c>
    </row>
    <row r="162" spans="1:7" s="3983" customFormat="1">
      <c r="A162" s="3991"/>
      <c r="B162" s="4011"/>
      <c r="C162" s="4012" t="s">
        <v>12</v>
      </c>
      <c r="D162" s="4005" t="s">
        <v>4874</v>
      </c>
      <c r="E162" s="4009">
        <f>E161</f>
        <v>2850</v>
      </c>
    </row>
    <row r="163" spans="1:7" s="3983" customFormat="1" ht="14.25" customHeight="1">
      <c r="A163" s="3984" t="s">
        <v>4928</v>
      </c>
      <c r="B163" s="4003"/>
      <c r="C163" s="4004" t="s">
        <v>4842</v>
      </c>
      <c r="D163" s="4005"/>
      <c r="E163" s="4006"/>
    </row>
    <row r="164" spans="1:7" s="3983" customFormat="1">
      <c r="A164" s="3977"/>
      <c r="B164" s="4007" t="s">
        <v>4863</v>
      </c>
      <c r="C164" s="4008" t="s">
        <v>9</v>
      </c>
      <c r="D164" s="4005" t="s">
        <v>4874</v>
      </c>
      <c r="E164" s="4009">
        <v>0</v>
      </c>
    </row>
    <row r="165" spans="1:7" s="3983" customFormat="1">
      <c r="A165" s="3977"/>
      <c r="B165" s="4010"/>
      <c r="C165" s="4008" t="s">
        <v>409</v>
      </c>
      <c r="D165" s="4005" t="s">
        <v>4874</v>
      </c>
      <c r="E165" s="4009">
        <v>0</v>
      </c>
    </row>
    <row r="166" spans="1:7" s="3983" customFormat="1">
      <c r="A166" s="3977"/>
      <c r="B166" s="4010"/>
      <c r="C166" s="4008" t="s">
        <v>411</v>
      </c>
      <c r="D166" s="4005" t="s">
        <v>4874</v>
      </c>
      <c r="E166" s="4009">
        <f>ЕКТ!B28</f>
        <v>5550</v>
      </c>
    </row>
    <row r="167" spans="1:7" s="3983" customFormat="1" ht="13.5" thickBot="1">
      <c r="A167" s="3994"/>
      <c r="B167" s="4013"/>
      <c r="C167" s="4014" t="s">
        <v>12</v>
      </c>
      <c r="D167" s="4015" t="s">
        <v>4874</v>
      </c>
      <c r="E167" s="4009">
        <f>E166</f>
        <v>5550</v>
      </c>
    </row>
    <row r="168" spans="1:7" s="3856" customFormat="1" ht="39.75" customHeight="1">
      <c r="A168" s="3891" t="s">
        <v>4886</v>
      </c>
      <c r="B168" s="4821" t="s">
        <v>4887</v>
      </c>
      <c r="C168" s="4809"/>
      <c r="D168" s="3892" t="s">
        <v>4869</v>
      </c>
      <c r="E168" s="3893"/>
      <c r="F168" s="3871"/>
      <c r="G168" s="3871"/>
    </row>
    <row r="169" spans="1:7" s="3983" customFormat="1" ht="14.25" customHeight="1">
      <c r="A169" s="3984" t="s">
        <v>4929</v>
      </c>
      <c r="B169" s="4003"/>
      <c r="C169" s="4004" t="s">
        <v>4840</v>
      </c>
      <c r="D169" s="4005"/>
      <c r="E169" s="4006"/>
    </row>
    <row r="170" spans="1:7" s="3983" customFormat="1">
      <c r="A170" s="3977"/>
      <c r="B170" s="4007" t="s">
        <v>4863</v>
      </c>
      <c r="C170" s="4008" t="s">
        <v>9</v>
      </c>
      <c r="D170" s="4005" t="s">
        <v>4874</v>
      </c>
      <c r="E170" s="4009">
        <v>0</v>
      </c>
    </row>
    <row r="171" spans="1:7" s="3983" customFormat="1">
      <c r="A171" s="3977"/>
      <c r="B171" s="4010"/>
      <c r="C171" s="4008" t="s">
        <v>409</v>
      </c>
      <c r="D171" s="4005" t="s">
        <v>4874</v>
      </c>
      <c r="E171" s="4009">
        <v>0</v>
      </c>
      <c r="G171" s="3983">
        <v>1000</v>
      </c>
    </row>
    <row r="172" spans="1:7" s="3983" customFormat="1">
      <c r="A172" s="3977"/>
      <c r="B172" s="4010"/>
      <c r="C172" s="4008" t="s">
        <v>411</v>
      </c>
      <c r="D172" s="4005" t="s">
        <v>4874</v>
      </c>
      <c r="E172" s="4009">
        <f>ЕКТ!B21</f>
        <v>91.34</v>
      </c>
      <c r="G172" s="3983">
        <f>E172/G171</f>
        <v>9.1340000000000005E-2</v>
      </c>
    </row>
    <row r="173" spans="1:7" s="3983" customFormat="1">
      <c r="A173" s="3991"/>
      <c r="B173" s="4011"/>
      <c r="C173" s="4012" t="s">
        <v>12</v>
      </c>
      <c r="D173" s="4005" t="s">
        <v>4874</v>
      </c>
      <c r="E173" s="4009">
        <f>E172</f>
        <v>91.34</v>
      </c>
    </row>
    <row r="174" spans="1:7" s="3983" customFormat="1" ht="14.25" customHeight="1">
      <c r="A174" s="3984" t="s">
        <v>4930</v>
      </c>
      <c r="B174" s="4003"/>
      <c r="C174" s="4004" t="s">
        <v>4841</v>
      </c>
      <c r="D174" s="4005"/>
      <c r="E174" s="4006"/>
    </row>
    <row r="175" spans="1:7" s="3983" customFormat="1">
      <c r="A175" s="3977"/>
      <c r="B175" s="4007" t="s">
        <v>4863</v>
      </c>
      <c r="C175" s="4008" t="s">
        <v>9</v>
      </c>
      <c r="D175" s="4005" t="s">
        <v>4874</v>
      </c>
      <c r="E175" s="4009">
        <v>0</v>
      </c>
    </row>
    <row r="176" spans="1:7" s="3983" customFormat="1">
      <c r="A176" s="3977"/>
      <c r="B176" s="4010"/>
      <c r="C176" s="4008" t="s">
        <v>409</v>
      </c>
      <c r="D176" s="4005" t="s">
        <v>4874</v>
      </c>
      <c r="E176" s="4009">
        <v>0</v>
      </c>
    </row>
    <row r="177" spans="1:7" s="3983" customFormat="1">
      <c r="A177" s="3977"/>
      <c r="B177" s="4010"/>
      <c r="C177" s="4008" t="s">
        <v>411</v>
      </c>
      <c r="D177" s="4005" t="s">
        <v>4874</v>
      </c>
      <c r="E177" s="4009">
        <f>ЕКТ!B25</f>
        <v>2850</v>
      </c>
      <c r="G177" s="3983">
        <f>E177/G171</f>
        <v>2.85</v>
      </c>
    </row>
    <row r="178" spans="1:7" s="3983" customFormat="1">
      <c r="A178" s="3991"/>
      <c r="B178" s="4011"/>
      <c r="C178" s="4012" t="s">
        <v>12</v>
      </c>
      <c r="D178" s="4005" t="s">
        <v>4874</v>
      </c>
      <c r="E178" s="4009">
        <f>E177</f>
        <v>2850</v>
      </c>
    </row>
    <row r="179" spans="1:7" s="3983" customFormat="1" ht="14.25" customHeight="1">
      <c r="A179" s="3984" t="s">
        <v>4931</v>
      </c>
      <c r="B179" s="4003"/>
      <c r="C179" s="4004" t="s">
        <v>4842</v>
      </c>
      <c r="D179" s="4005"/>
      <c r="E179" s="4006"/>
    </row>
    <row r="180" spans="1:7" s="3983" customFormat="1">
      <c r="A180" s="3977"/>
      <c r="B180" s="4007" t="s">
        <v>4863</v>
      </c>
      <c r="C180" s="4008" t="s">
        <v>9</v>
      </c>
      <c r="D180" s="4005" t="s">
        <v>4874</v>
      </c>
      <c r="E180" s="4009">
        <v>0</v>
      </c>
    </row>
    <row r="181" spans="1:7" s="3983" customFormat="1">
      <c r="A181" s="3977"/>
      <c r="B181" s="4010"/>
      <c r="C181" s="4008" t="s">
        <v>409</v>
      </c>
      <c r="D181" s="4005" t="s">
        <v>4874</v>
      </c>
      <c r="E181" s="4009">
        <v>0</v>
      </c>
    </row>
    <row r="182" spans="1:7" s="3983" customFormat="1">
      <c r="A182" s="3977"/>
      <c r="B182" s="4010"/>
      <c r="C182" s="4008" t="s">
        <v>411</v>
      </c>
      <c r="D182" s="4005" t="s">
        <v>4874</v>
      </c>
      <c r="E182" s="4009">
        <f>ЕКТ!B29</f>
        <v>5550</v>
      </c>
      <c r="G182" s="3983">
        <f>E182/G171</f>
        <v>5.55</v>
      </c>
    </row>
    <row r="183" spans="1:7" s="3983" customFormat="1" ht="13.5" thickBot="1">
      <c r="A183" s="3994"/>
      <c r="B183" s="4013"/>
      <c r="C183" s="4014" t="s">
        <v>12</v>
      </c>
      <c r="D183" s="4015" t="s">
        <v>4874</v>
      </c>
      <c r="E183" s="4016">
        <f>E182</f>
        <v>5550</v>
      </c>
    </row>
    <row r="184" spans="1:7" s="3856" customFormat="1" ht="33.75" customHeight="1" thickBot="1">
      <c r="A184" s="3888" t="s">
        <v>4888</v>
      </c>
      <c r="B184" s="4831" t="s">
        <v>4889</v>
      </c>
      <c r="C184" s="4832"/>
      <c r="D184" s="3889" t="s">
        <v>4869</v>
      </c>
      <c r="E184" s="3890"/>
      <c r="F184" s="3871"/>
      <c r="G184" s="3871"/>
    </row>
    <row r="185" spans="1:7" s="3983" customFormat="1" ht="14.25" customHeight="1">
      <c r="A185" s="3984" t="s">
        <v>4932</v>
      </c>
      <c r="B185" s="4003"/>
      <c r="C185" s="4004" t="s">
        <v>4840</v>
      </c>
      <c r="D185" s="4005" t="s">
        <v>4867</v>
      </c>
      <c r="E185" s="4006">
        <f>SUM(E186:E189)</f>
        <v>0</v>
      </c>
    </row>
    <row r="186" spans="1:7" s="3983" customFormat="1">
      <c r="A186" s="3977"/>
      <c r="B186" s="4007" t="s">
        <v>4863</v>
      </c>
      <c r="C186" s="4008" t="s">
        <v>9</v>
      </c>
      <c r="D186" s="4005" t="s">
        <v>4867</v>
      </c>
      <c r="E186" s="4009">
        <v>0</v>
      </c>
    </row>
    <row r="187" spans="1:7" s="3983" customFormat="1">
      <c r="A187" s="3977"/>
      <c r="B187" s="4010"/>
      <c r="C187" s="4008" t="s">
        <v>409</v>
      </c>
      <c r="D187" s="4005" t="s">
        <v>4867</v>
      </c>
      <c r="E187" s="4009">
        <v>0</v>
      </c>
    </row>
    <row r="188" spans="1:7" s="3983" customFormat="1">
      <c r="A188" s="3977"/>
      <c r="B188" s="4010"/>
      <c r="C188" s="4008" t="s">
        <v>411</v>
      </c>
      <c r="D188" s="4005" t="s">
        <v>4867</v>
      </c>
      <c r="E188" s="4009">
        <v>0</v>
      </c>
    </row>
    <row r="189" spans="1:7" s="3983" customFormat="1">
      <c r="A189" s="3991"/>
      <c r="B189" s="4011"/>
      <c r="C189" s="4012" t="s">
        <v>12</v>
      </c>
      <c r="D189" s="4005" t="s">
        <v>4867</v>
      </c>
      <c r="E189" s="4009">
        <v>0</v>
      </c>
    </row>
    <row r="190" spans="1:7" s="3983" customFormat="1" ht="14.25" customHeight="1">
      <c r="A190" s="3984" t="s">
        <v>4933</v>
      </c>
      <c r="B190" s="4003"/>
      <c r="C190" s="4004" t="s">
        <v>4841</v>
      </c>
      <c r="D190" s="4005" t="s">
        <v>4867</v>
      </c>
      <c r="E190" s="4006">
        <f>SUM(E191:E194)</f>
        <v>0</v>
      </c>
    </row>
    <row r="191" spans="1:7" s="3983" customFormat="1">
      <c r="A191" s="3977"/>
      <c r="B191" s="4007" t="s">
        <v>4863</v>
      </c>
      <c r="C191" s="4008" t="s">
        <v>9</v>
      </c>
      <c r="D191" s="4005" t="s">
        <v>4867</v>
      </c>
      <c r="E191" s="4009">
        <v>0</v>
      </c>
    </row>
    <row r="192" spans="1:7" s="3983" customFormat="1">
      <c r="A192" s="3977"/>
      <c r="B192" s="4010"/>
      <c r="C192" s="4008" t="s">
        <v>409</v>
      </c>
      <c r="D192" s="4005" t="s">
        <v>4867</v>
      </c>
      <c r="E192" s="4009">
        <v>0</v>
      </c>
    </row>
    <row r="193" spans="1:7" s="3983" customFormat="1">
      <c r="A193" s="3977"/>
      <c r="B193" s="4010"/>
      <c r="C193" s="4008" t="s">
        <v>411</v>
      </c>
      <c r="D193" s="4005" t="s">
        <v>4867</v>
      </c>
      <c r="E193" s="4009">
        <v>0</v>
      </c>
    </row>
    <row r="194" spans="1:7" s="3983" customFormat="1">
      <c r="A194" s="3991"/>
      <c r="B194" s="4011"/>
      <c r="C194" s="4012" t="s">
        <v>12</v>
      </c>
      <c r="D194" s="4005" t="s">
        <v>4867</v>
      </c>
      <c r="E194" s="4009">
        <v>0</v>
      </c>
    </row>
    <row r="195" spans="1:7" s="3983" customFormat="1" ht="14.25" customHeight="1">
      <c r="A195" s="3984" t="s">
        <v>4934</v>
      </c>
      <c r="B195" s="4003"/>
      <c r="C195" s="4004" t="s">
        <v>4842</v>
      </c>
      <c r="D195" s="4005" t="s">
        <v>4867</v>
      </c>
      <c r="E195" s="4006">
        <f>SUM(E196:E199)</f>
        <v>0</v>
      </c>
    </row>
    <row r="196" spans="1:7" s="3983" customFormat="1">
      <c r="A196" s="3977"/>
      <c r="B196" s="4007" t="s">
        <v>4863</v>
      </c>
      <c r="C196" s="4008" t="s">
        <v>9</v>
      </c>
      <c r="D196" s="4005" t="s">
        <v>4867</v>
      </c>
      <c r="E196" s="4009">
        <v>0</v>
      </c>
    </row>
    <row r="197" spans="1:7" s="3983" customFormat="1">
      <c r="A197" s="3977"/>
      <c r="B197" s="4010"/>
      <c r="C197" s="4008" t="s">
        <v>409</v>
      </c>
      <c r="D197" s="4005" t="s">
        <v>4867</v>
      </c>
      <c r="E197" s="4009">
        <v>0</v>
      </c>
    </row>
    <row r="198" spans="1:7" s="3983" customFormat="1">
      <c r="A198" s="3977"/>
      <c r="B198" s="4010"/>
      <c r="C198" s="4008" t="s">
        <v>411</v>
      </c>
      <c r="D198" s="4005" t="s">
        <v>4867</v>
      </c>
      <c r="E198" s="4009">
        <v>0</v>
      </c>
    </row>
    <row r="199" spans="1:7" s="3983" customFormat="1" ht="13.5" thickBot="1">
      <c r="A199" s="3994"/>
      <c r="B199" s="4013"/>
      <c r="C199" s="4014" t="s">
        <v>12</v>
      </c>
      <c r="D199" s="4015" t="s">
        <v>4867</v>
      </c>
      <c r="E199" s="4016">
        <v>0</v>
      </c>
    </row>
    <row r="200" spans="1:7" s="3856" customFormat="1" ht="173.25" customHeight="1">
      <c r="A200" s="3891" t="s">
        <v>4890</v>
      </c>
      <c r="B200" s="4821" t="s">
        <v>4891</v>
      </c>
      <c r="C200" s="4809"/>
      <c r="D200" s="3892" t="s">
        <v>4869</v>
      </c>
      <c r="E200" s="3893"/>
      <c r="F200" s="3871"/>
      <c r="G200" s="3871"/>
    </row>
    <row r="201" spans="1:7" s="3983" customFormat="1" ht="14.25" customHeight="1">
      <c r="A201" s="3984" t="s">
        <v>4935</v>
      </c>
      <c r="B201" s="3985"/>
      <c r="C201" s="3986" t="s">
        <v>4840</v>
      </c>
      <c r="D201" s="3987" t="s">
        <v>4867</v>
      </c>
      <c r="E201" s="3883">
        <f>SUM(E202:E205)</f>
        <v>0</v>
      </c>
    </row>
    <row r="202" spans="1:7" s="3983" customFormat="1">
      <c r="A202" s="3977"/>
      <c r="B202" s="3988" t="s">
        <v>4863</v>
      </c>
      <c r="C202" s="3989" t="s">
        <v>9</v>
      </c>
      <c r="D202" s="3987" t="s">
        <v>4867</v>
      </c>
      <c r="E202" s="3867">
        <v>0</v>
      </c>
    </row>
    <row r="203" spans="1:7" s="3983" customFormat="1">
      <c r="A203" s="3977"/>
      <c r="B203" s="3990"/>
      <c r="C203" s="3989" t="s">
        <v>409</v>
      </c>
      <c r="D203" s="3987" t="s">
        <v>4867</v>
      </c>
      <c r="E203" s="3867">
        <v>0</v>
      </c>
    </row>
    <row r="204" spans="1:7" s="3983" customFormat="1">
      <c r="A204" s="3977"/>
      <c r="B204" s="3990"/>
      <c r="C204" s="3989" t="s">
        <v>411</v>
      </c>
      <c r="D204" s="3987" t="s">
        <v>4867</v>
      </c>
      <c r="E204" s="3867">
        <v>0</v>
      </c>
    </row>
    <row r="205" spans="1:7" s="3983" customFormat="1">
      <c r="A205" s="3991"/>
      <c r="B205" s="3992"/>
      <c r="C205" s="3993" t="s">
        <v>12</v>
      </c>
      <c r="D205" s="3987" t="s">
        <v>4867</v>
      </c>
      <c r="E205" s="3867">
        <v>0</v>
      </c>
    </row>
    <row r="206" spans="1:7" s="3983" customFormat="1" ht="14.25" customHeight="1">
      <c r="A206" s="3984" t="s">
        <v>4936</v>
      </c>
      <c r="B206" s="3985"/>
      <c r="C206" s="3986" t="s">
        <v>4841</v>
      </c>
      <c r="D206" s="3987" t="s">
        <v>4867</v>
      </c>
      <c r="E206" s="3883">
        <f>SUM(E207:E210)</f>
        <v>0</v>
      </c>
    </row>
    <row r="207" spans="1:7" s="3983" customFormat="1">
      <c r="A207" s="3977"/>
      <c r="B207" s="3988" t="s">
        <v>4863</v>
      </c>
      <c r="C207" s="3989" t="s">
        <v>9</v>
      </c>
      <c r="D207" s="3987" t="s">
        <v>4867</v>
      </c>
      <c r="E207" s="3867">
        <v>0</v>
      </c>
    </row>
    <row r="208" spans="1:7" s="3983" customFormat="1">
      <c r="A208" s="3977"/>
      <c r="B208" s="3990"/>
      <c r="C208" s="3989" t="s">
        <v>409</v>
      </c>
      <c r="D208" s="3987" t="s">
        <v>4867</v>
      </c>
      <c r="E208" s="3867">
        <v>0</v>
      </c>
    </row>
    <row r="209" spans="1:7" s="3983" customFormat="1">
      <c r="A209" s="3977"/>
      <c r="B209" s="3990"/>
      <c r="C209" s="3989" t="s">
        <v>411</v>
      </c>
      <c r="D209" s="3987" t="s">
        <v>4867</v>
      </c>
      <c r="E209" s="3867">
        <v>0</v>
      </c>
    </row>
    <row r="210" spans="1:7" s="3983" customFormat="1">
      <c r="A210" s="3991"/>
      <c r="B210" s="3992"/>
      <c r="C210" s="3993" t="s">
        <v>12</v>
      </c>
      <c r="D210" s="3987" t="s">
        <v>4867</v>
      </c>
      <c r="E210" s="3867">
        <v>0</v>
      </c>
    </row>
    <row r="211" spans="1:7" s="3983" customFormat="1" ht="14.25" customHeight="1">
      <c r="A211" s="3984" t="s">
        <v>4937</v>
      </c>
      <c r="B211" s="3985"/>
      <c r="C211" s="3986" t="s">
        <v>4842</v>
      </c>
      <c r="D211" s="3987" t="s">
        <v>4867</v>
      </c>
      <c r="E211" s="3883">
        <f>SUM(E212:E215)</f>
        <v>0</v>
      </c>
    </row>
    <row r="212" spans="1:7" s="3983" customFormat="1">
      <c r="A212" s="3977"/>
      <c r="B212" s="3988" t="s">
        <v>4863</v>
      </c>
      <c r="C212" s="3989" t="s">
        <v>9</v>
      </c>
      <c r="D212" s="3987" t="s">
        <v>4867</v>
      </c>
      <c r="E212" s="3867">
        <v>0</v>
      </c>
    </row>
    <row r="213" spans="1:7" s="3983" customFormat="1">
      <c r="A213" s="3977"/>
      <c r="B213" s="3990"/>
      <c r="C213" s="3989" t="s">
        <v>409</v>
      </c>
      <c r="D213" s="3987" t="s">
        <v>4867</v>
      </c>
      <c r="E213" s="3867">
        <v>0</v>
      </c>
    </row>
    <row r="214" spans="1:7" s="3983" customFormat="1">
      <c r="A214" s="3977"/>
      <c r="B214" s="3990"/>
      <c r="C214" s="3989" t="s">
        <v>411</v>
      </c>
      <c r="D214" s="3987" t="s">
        <v>4867</v>
      </c>
      <c r="E214" s="3867">
        <v>0</v>
      </c>
    </row>
    <row r="215" spans="1:7" s="3983" customFormat="1" ht="13.5" thickBot="1">
      <c r="A215" s="3994"/>
      <c r="B215" s="3995"/>
      <c r="C215" s="3996" t="s">
        <v>12</v>
      </c>
      <c r="D215" s="3997" t="s">
        <v>4867</v>
      </c>
      <c r="E215" s="3886">
        <v>0</v>
      </c>
    </row>
    <row r="216" spans="1:7" ht="36" customHeight="1" thickBot="1">
      <c r="A216" s="4823" t="s">
        <v>4892</v>
      </c>
      <c r="B216" s="4824"/>
      <c r="C216" s="4824"/>
      <c r="D216" s="4824"/>
      <c r="E216" s="4825"/>
      <c r="F216" s="3894"/>
      <c r="G216" s="3871"/>
    </row>
    <row r="217" spans="1:7" s="3810" customFormat="1" ht="20.25" customHeight="1">
      <c r="A217" s="3875">
        <v>3</v>
      </c>
      <c r="B217" s="4809" t="s">
        <v>4893</v>
      </c>
      <c r="C217" s="4810"/>
      <c r="D217" s="3895" t="s">
        <v>923</v>
      </c>
      <c r="E217" s="3877">
        <f>SUM(E218:E221)</f>
        <v>598734.70474000007</v>
      </c>
      <c r="F217" s="3878"/>
      <c r="G217" s="3878"/>
    </row>
    <row r="218" spans="1:7">
      <c r="A218" s="3879"/>
      <c r="B218" s="3838" t="s">
        <v>4863</v>
      </c>
      <c r="C218" s="3839" t="s">
        <v>9</v>
      </c>
      <c r="D218" s="3840" t="s">
        <v>923</v>
      </c>
      <c r="E218" s="3880">
        <v>0</v>
      </c>
      <c r="F218" s="3871"/>
      <c r="G218" s="3871"/>
    </row>
    <row r="219" spans="1:7">
      <c r="A219" s="3879"/>
      <c r="B219" s="3838"/>
      <c r="C219" s="3839" t="s">
        <v>409</v>
      </c>
      <c r="D219" s="3840" t="s">
        <v>923</v>
      </c>
      <c r="E219" s="3880">
        <v>0</v>
      </c>
      <c r="F219" s="3871"/>
      <c r="G219" s="3871"/>
    </row>
    <row r="220" spans="1:7">
      <c r="A220" s="3879"/>
      <c r="B220" s="3838"/>
      <c r="C220" s="3839" t="s">
        <v>411</v>
      </c>
      <c r="D220" s="3840" t="s">
        <v>923</v>
      </c>
      <c r="E220" s="3880">
        <f>E248*E308</f>
        <v>139668.45070000002</v>
      </c>
      <c r="F220" s="3871"/>
      <c r="G220" s="3871"/>
    </row>
    <row r="221" spans="1:7" ht="13.5" thickBot="1">
      <c r="A221" s="3879"/>
      <c r="B221" s="3838"/>
      <c r="C221" s="3868" t="s">
        <v>12</v>
      </c>
      <c r="D221" s="3869" t="s">
        <v>923</v>
      </c>
      <c r="E221" s="3880">
        <f>E249*E309</f>
        <v>459066.25404000003</v>
      </c>
      <c r="F221" s="3871"/>
      <c r="G221" s="3871"/>
    </row>
    <row r="222" spans="1:7" s="3896" customFormat="1" ht="32.25" customHeight="1">
      <c r="A222" s="3857" t="s">
        <v>2008</v>
      </c>
      <c r="B222" s="4811" t="s">
        <v>4894</v>
      </c>
      <c r="C222" s="4812"/>
      <c r="D222" s="4812"/>
      <c r="E222" s="4813"/>
      <c r="F222" s="3871"/>
      <c r="G222" s="3871"/>
    </row>
    <row r="223" spans="1:7" ht="14.25" customHeight="1">
      <c r="A223" s="3859"/>
      <c r="B223" s="3882"/>
      <c r="C223" s="3839"/>
      <c r="D223" s="3840" t="s">
        <v>4867</v>
      </c>
      <c r="E223" s="3883">
        <f>SUM(E224:E227)</f>
        <v>0</v>
      </c>
      <c r="F223" s="3878"/>
      <c r="G223" s="3878"/>
    </row>
    <row r="224" spans="1:7" s="3896" customFormat="1">
      <c r="A224" s="3837"/>
      <c r="B224" s="3838"/>
      <c r="C224" s="3839" t="s">
        <v>9</v>
      </c>
      <c r="D224" s="3840" t="s">
        <v>4867</v>
      </c>
      <c r="E224" s="3887">
        <v>0</v>
      </c>
      <c r="F224" s="3871"/>
      <c r="G224" s="3871"/>
    </row>
    <row r="225" spans="1:7">
      <c r="A225" s="3837"/>
      <c r="B225" s="3838"/>
      <c r="C225" s="3839" t="s">
        <v>409</v>
      </c>
      <c r="D225" s="3840" t="s">
        <v>4867</v>
      </c>
      <c r="E225" s="3867">
        <v>0</v>
      </c>
      <c r="F225" s="3871"/>
      <c r="G225" s="3871"/>
    </row>
    <row r="226" spans="1:7">
      <c r="A226" s="3837"/>
      <c r="B226" s="3838"/>
      <c r="C226" s="3839" t="s">
        <v>411</v>
      </c>
      <c r="D226" s="3840" t="s">
        <v>4867</v>
      </c>
      <c r="E226" s="3867">
        <v>0</v>
      </c>
      <c r="F226" s="3871"/>
      <c r="G226" s="3871"/>
    </row>
    <row r="227" spans="1:7">
      <c r="A227" s="3837"/>
      <c r="B227" s="3838"/>
      <c r="C227" s="3868" t="s">
        <v>12</v>
      </c>
      <c r="D227" s="3869" t="s">
        <v>4867</v>
      </c>
      <c r="E227" s="3885">
        <v>0</v>
      </c>
      <c r="F227" s="3871"/>
      <c r="G227" s="3871"/>
    </row>
    <row r="228" spans="1:7" s="3983" customFormat="1">
      <c r="A228" s="4017"/>
      <c r="B228" s="4018" t="s">
        <v>512</v>
      </c>
      <c r="C228" s="4019"/>
      <c r="D228" s="4020"/>
      <c r="E228" s="4021"/>
      <c r="F228" s="3982"/>
    </row>
    <row r="229" spans="1:7" s="3983" customFormat="1" ht="14.25" customHeight="1">
      <c r="A229" s="4022" t="s">
        <v>2010</v>
      </c>
      <c r="B229" s="4003"/>
      <c r="C229" s="4004" t="s">
        <v>4840</v>
      </c>
      <c r="D229" s="4005" t="s">
        <v>4867</v>
      </c>
      <c r="E229" s="4006">
        <f>SUM(E230:E233)</f>
        <v>0</v>
      </c>
    </row>
    <row r="230" spans="1:7" s="3983" customFormat="1">
      <c r="A230" s="3977"/>
      <c r="B230" s="3988" t="s">
        <v>4863</v>
      </c>
      <c r="C230" s="3989" t="s">
        <v>9</v>
      </c>
      <c r="D230" s="3987" t="s">
        <v>4867</v>
      </c>
      <c r="E230" s="3867">
        <v>0</v>
      </c>
    </row>
    <row r="231" spans="1:7" s="3983" customFormat="1">
      <c r="A231" s="3977"/>
      <c r="B231" s="3990"/>
      <c r="C231" s="3989" t="s">
        <v>409</v>
      </c>
      <c r="D231" s="3987" t="s">
        <v>4867</v>
      </c>
      <c r="E231" s="3867">
        <v>0</v>
      </c>
    </row>
    <row r="232" spans="1:7" s="3983" customFormat="1">
      <c r="A232" s="3977"/>
      <c r="B232" s="3990"/>
      <c r="C232" s="3989" t="s">
        <v>411</v>
      </c>
      <c r="D232" s="3987" t="s">
        <v>4867</v>
      </c>
      <c r="E232" s="3867">
        <v>0</v>
      </c>
    </row>
    <row r="233" spans="1:7" s="3983" customFormat="1">
      <c r="A233" s="3991"/>
      <c r="B233" s="3992"/>
      <c r="C233" s="3993" t="s">
        <v>12</v>
      </c>
      <c r="D233" s="3987" t="s">
        <v>4867</v>
      </c>
      <c r="E233" s="3867">
        <v>0</v>
      </c>
    </row>
    <row r="234" spans="1:7" s="3983" customFormat="1" ht="14.25" customHeight="1">
      <c r="A234" s="3984" t="s">
        <v>2011</v>
      </c>
      <c r="B234" s="3985"/>
      <c r="C234" s="3986" t="s">
        <v>4841</v>
      </c>
      <c r="D234" s="3987" t="s">
        <v>4867</v>
      </c>
      <c r="E234" s="3883">
        <f>SUM(E235:E238)</f>
        <v>0</v>
      </c>
    </row>
    <row r="235" spans="1:7" s="3983" customFormat="1">
      <c r="A235" s="3977"/>
      <c r="B235" s="3988" t="s">
        <v>4863</v>
      </c>
      <c r="C235" s="3989" t="s">
        <v>9</v>
      </c>
      <c r="D235" s="3987" t="s">
        <v>4867</v>
      </c>
      <c r="E235" s="3867">
        <v>0</v>
      </c>
    </row>
    <row r="236" spans="1:7" s="3983" customFormat="1">
      <c r="A236" s="3977"/>
      <c r="B236" s="3990"/>
      <c r="C236" s="3989" t="s">
        <v>409</v>
      </c>
      <c r="D236" s="3987" t="s">
        <v>4867</v>
      </c>
      <c r="E236" s="3867">
        <v>0</v>
      </c>
    </row>
    <row r="237" spans="1:7" s="3983" customFormat="1">
      <c r="A237" s="3977"/>
      <c r="B237" s="3990"/>
      <c r="C237" s="3989" t="s">
        <v>411</v>
      </c>
      <c r="D237" s="3987" t="s">
        <v>4867</v>
      </c>
      <c r="E237" s="3867">
        <v>0</v>
      </c>
    </row>
    <row r="238" spans="1:7" s="3983" customFormat="1">
      <c r="A238" s="3991"/>
      <c r="B238" s="3992"/>
      <c r="C238" s="3993" t="s">
        <v>12</v>
      </c>
      <c r="D238" s="3987" t="s">
        <v>4867</v>
      </c>
      <c r="E238" s="3867">
        <v>0</v>
      </c>
    </row>
    <row r="239" spans="1:7" s="3983" customFormat="1" ht="14.25" customHeight="1">
      <c r="A239" s="3984" t="s">
        <v>2012</v>
      </c>
      <c r="B239" s="3985"/>
      <c r="C239" s="3986" t="s">
        <v>4842</v>
      </c>
      <c r="D239" s="3987" t="s">
        <v>4867</v>
      </c>
      <c r="E239" s="3883">
        <f>SUM(E240:E243)</f>
        <v>0</v>
      </c>
    </row>
    <row r="240" spans="1:7" s="3983" customFormat="1">
      <c r="A240" s="3977"/>
      <c r="B240" s="3988" t="s">
        <v>4863</v>
      </c>
      <c r="C240" s="3989" t="s">
        <v>9</v>
      </c>
      <c r="D240" s="3987" t="s">
        <v>4867</v>
      </c>
      <c r="E240" s="3867">
        <v>0</v>
      </c>
    </row>
    <row r="241" spans="1:7" s="3983" customFormat="1">
      <c r="A241" s="3977"/>
      <c r="B241" s="3990"/>
      <c r="C241" s="3989" t="s">
        <v>409</v>
      </c>
      <c r="D241" s="3987" t="s">
        <v>4867</v>
      </c>
      <c r="E241" s="3867">
        <v>0</v>
      </c>
    </row>
    <row r="242" spans="1:7" s="3983" customFormat="1">
      <c r="A242" s="3977"/>
      <c r="B242" s="3990"/>
      <c r="C242" s="3989" t="s">
        <v>411</v>
      </c>
      <c r="D242" s="3987" t="s">
        <v>4867</v>
      </c>
      <c r="E242" s="3867">
        <v>0</v>
      </c>
    </row>
    <row r="243" spans="1:7" s="3983" customFormat="1" ht="13.5" thickBot="1">
      <c r="A243" s="3994"/>
      <c r="B243" s="3995"/>
      <c r="C243" s="3996" t="s">
        <v>12</v>
      </c>
      <c r="D243" s="3997" t="s">
        <v>4867</v>
      </c>
      <c r="E243" s="3886">
        <v>0</v>
      </c>
    </row>
    <row r="244" spans="1:7" s="3898" customFormat="1" ht="30" customHeight="1">
      <c r="A244" s="3857" t="s">
        <v>2013</v>
      </c>
      <c r="B244" s="4811" t="s">
        <v>4895</v>
      </c>
      <c r="C244" s="4812"/>
      <c r="D244" s="4812"/>
      <c r="E244" s="4813"/>
      <c r="F244" s="3897"/>
      <c r="G244" s="3897"/>
    </row>
    <row r="245" spans="1:7" ht="14.25" customHeight="1">
      <c r="A245" s="3859"/>
      <c r="B245" s="3882"/>
      <c r="C245" s="3839"/>
      <c r="D245" s="3840" t="s">
        <v>4867</v>
      </c>
      <c r="E245" s="3883">
        <f>SUM(E246:E249)</f>
        <v>6555.0110000000004</v>
      </c>
      <c r="F245" s="3878"/>
      <c r="G245" s="3878"/>
    </row>
    <row r="246" spans="1:7" s="3900" customFormat="1" ht="14.25" customHeight="1">
      <c r="A246" s="3837"/>
      <c r="B246" s="3838"/>
      <c r="C246" s="3839" t="s">
        <v>9</v>
      </c>
      <c r="D246" s="3840" t="s">
        <v>4867</v>
      </c>
      <c r="E246" s="3867">
        <v>0</v>
      </c>
      <c r="F246" s="3899"/>
      <c r="G246" s="3871"/>
    </row>
    <row r="247" spans="1:7" s="3901" customFormat="1">
      <c r="A247" s="3837"/>
      <c r="B247" s="3838"/>
      <c r="C247" s="3839" t="s">
        <v>409</v>
      </c>
      <c r="D247" s="3840" t="s">
        <v>4867</v>
      </c>
      <c r="E247" s="3867">
        <v>0</v>
      </c>
      <c r="F247" s="3899"/>
      <c r="G247" s="3871"/>
    </row>
    <row r="248" spans="1:7" s="3898" customFormat="1">
      <c r="A248" s="3837"/>
      <c r="B248" s="3838"/>
      <c r="C248" s="3839" t="s">
        <v>411</v>
      </c>
      <c r="D248" s="3840" t="s">
        <v>4867</v>
      </c>
      <c r="E248" s="3867">
        <f>'Шаблон 46 ГП'!F302/1000</f>
        <v>1529.105</v>
      </c>
      <c r="F248" s="3899"/>
      <c r="G248" s="3871"/>
    </row>
    <row r="249" spans="1:7" s="3901" customFormat="1" ht="13.5" thickBot="1">
      <c r="A249" s="3842"/>
      <c r="B249" s="3843"/>
      <c r="C249" s="3844" t="s">
        <v>12</v>
      </c>
      <c r="D249" s="3845" t="s">
        <v>4867</v>
      </c>
      <c r="E249" s="3886">
        <f>'Шаблон 46 ГП'!G302/1000</f>
        <v>5025.9059999999999</v>
      </c>
      <c r="F249" s="3899"/>
      <c r="G249" s="3871"/>
    </row>
    <row r="250" spans="1:7" s="3983" customFormat="1">
      <c r="A250" s="4017"/>
      <c r="B250" s="4018" t="s">
        <v>512</v>
      </c>
      <c r="C250" s="4019"/>
      <c r="D250" s="4020"/>
      <c r="E250" s="4021"/>
      <c r="F250" s="3982"/>
    </row>
    <row r="251" spans="1:7" s="3983" customFormat="1" ht="14.25" customHeight="1">
      <c r="A251" s="4022" t="s">
        <v>2015</v>
      </c>
      <c r="B251" s="4003"/>
      <c r="C251" s="4004" t="s">
        <v>4840</v>
      </c>
      <c r="D251" s="4005" t="s">
        <v>4867</v>
      </c>
      <c r="E251" s="4006">
        <f>SUM(E252:E255)</f>
        <v>6555.0110000000004</v>
      </c>
    </row>
    <row r="252" spans="1:7" s="3983" customFormat="1">
      <c r="A252" s="4023"/>
      <c r="B252" s="4007" t="s">
        <v>4863</v>
      </c>
      <c r="C252" s="4008" t="s">
        <v>9</v>
      </c>
      <c r="D252" s="4005" t="s">
        <v>4867</v>
      </c>
      <c r="E252" s="4009">
        <v>0</v>
      </c>
    </row>
    <row r="253" spans="1:7" s="3983" customFormat="1">
      <c r="A253" s="4023"/>
      <c r="B253" s="4010"/>
      <c r="C253" s="4008" t="s">
        <v>409</v>
      </c>
      <c r="D253" s="4005" t="s">
        <v>4867</v>
      </c>
      <c r="E253" s="4009">
        <v>0</v>
      </c>
    </row>
    <row r="254" spans="1:7" s="3983" customFormat="1">
      <c r="A254" s="4023"/>
      <c r="B254" s="4010"/>
      <c r="C254" s="4008" t="s">
        <v>411</v>
      </c>
      <c r="D254" s="4005" t="s">
        <v>4867</v>
      </c>
      <c r="E254" s="4009">
        <f>E248</f>
        <v>1529.105</v>
      </c>
    </row>
    <row r="255" spans="1:7" s="3983" customFormat="1">
      <c r="A255" s="4017"/>
      <c r="B255" s="4011"/>
      <c r="C255" s="4012" t="s">
        <v>12</v>
      </c>
      <c r="D255" s="4005" t="s">
        <v>4867</v>
      </c>
      <c r="E255" s="4009">
        <f>E249</f>
        <v>5025.9059999999999</v>
      </c>
    </row>
    <row r="256" spans="1:7" s="3983" customFormat="1" ht="14.25" customHeight="1">
      <c r="A256" s="4022" t="s">
        <v>2016</v>
      </c>
      <c r="B256" s="4003"/>
      <c r="C256" s="4004" t="s">
        <v>4841</v>
      </c>
      <c r="D256" s="4005" t="s">
        <v>4867</v>
      </c>
      <c r="E256" s="4006">
        <f>SUM(E257:E260)</f>
        <v>0</v>
      </c>
    </row>
    <row r="257" spans="1:7" s="3983" customFormat="1">
      <c r="A257" s="4023"/>
      <c r="B257" s="4007" t="s">
        <v>4863</v>
      </c>
      <c r="C257" s="4008" t="s">
        <v>9</v>
      </c>
      <c r="D257" s="4005" t="s">
        <v>4867</v>
      </c>
      <c r="E257" s="4009">
        <v>0</v>
      </c>
    </row>
    <row r="258" spans="1:7" s="3983" customFormat="1">
      <c r="A258" s="4023"/>
      <c r="B258" s="4010"/>
      <c r="C258" s="4008" t="s">
        <v>409</v>
      </c>
      <c r="D258" s="4005" t="s">
        <v>4867</v>
      </c>
      <c r="E258" s="4009">
        <v>0</v>
      </c>
    </row>
    <row r="259" spans="1:7" s="3983" customFormat="1">
      <c r="A259" s="4023"/>
      <c r="B259" s="4010"/>
      <c r="C259" s="4008" t="s">
        <v>411</v>
      </c>
      <c r="D259" s="4005" t="s">
        <v>4867</v>
      </c>
      <c r="E259" s="4009">
        <v>0</v>
      </c>
    </row>
    <row r="260" spans="1:7" s="3983" customFormat="1">
      <c r="A260" s="4017"/>
      <c r="B260" s="4011"/>
      <c r="C260" s="4012" t="s">
        <v>12</v>
      </c>
      <c r="D260" s="4005" t="s">
        <v>4867</v>
      </c>
      <c r="E260" s="4009">
        <v>0</v>
      </c>
    </row>
    <row r="261" spans="1:7" s="3983" customFormat="1" ht="14.25" customHeight="1">
      <c r="A261" s="4022" t="s">
        <v>2017</v>
      </c>
      <c r="B261" s="4003"/>
      <c r="C261" s="4004" t="s">
        <v>4842</v>
      </c>
      <c r="D261" s="4005" t="s">
        <v>4867</v>
      </c>
      <c r="E261" s="4006">
        <f>SUM(E262:E265)</f>
        <v>0</v>
      </c>
    </row>
    <row r="262" spans="1:7" s="3983" customFormat="1">
      <c r="A262" s="4023"/>
      <c r="B262" s="4007" t="s">
        <v>4863</v>
      </c>
      <c r="C262" s="4008" t="s">
        <v>9</v>
      </c>
      <c r="D262" s="4005" t="s">
        <v>4867</v>
      </c>
      <c r="E262" s="4009">
        <v>0</v>
      </c>
    </row>
    <row r="263" spans="1:7" s="3983" customFormat="1">
      <c r="A263" s="4023"/>
      <c r="B263" s="4010"/>
      <c r="C263" s="4008" t="s">
        <v>409</v>
      </c>
      <c r="D263" s="4005" t="s">
        <v>4867</v>
      </c>
      <c r="E263" s="4009">
        <v>0</v>
      </c>
    </row>
    <row r="264" spans="1:7" s="3983" customFormat="1">
      <c r="A264" s="4023"/>
      <c r="B264" s="4010"/>
      <c r="C264" s="4008" t="s">
        <v>411</v>
      </c>
      <c r="D264" s="4005" t="s">
        <v>4867</v>
      </c>
      <c r="E264" s="4009">
        <v>0</v>
      </c>
    </row>
    <row r="265" spans="1:7" s="3983" customFormat="1" ht="13.5" thickBot="1">
      <c r="A265" s="4024"/>
      <c r="B265" s="4013"/>
      <c r="C265" s="4014" t="s">
        <v>12</v>
      </c>
      <c r="D265" s="4015" t="s">
        <v>4867</v>
      </c>
      <c r="E265" s="4016">
        <v>0</v>
      </c>
    </row>
    <row r="266" spans="1:7" s="3790" customFormat="1" ht="23.25" customHeight="1">
      <c r="A266" s="3857" t="s">
        <v>2018</v>
      </c>
      <c r="B266" s="4811" t="s">
        <v>4896</v>
      </c>
      <c r="C266" s="4812"/>
      <c r="D266" s="4812"/>
      <c r="E266" s="4813"/>
      <c r="F266" s="3899"/>
      <c r="G266" s="3899"/>
    </row>
    <row r="267" spans="1:7" ht="14.25" customHeight="1">
      <c r="A267" s="3859"/>
      <c r="B267" s="3882"/>
      <c r="C267" s="3839"/>
      <c r="D267" s="3840" t="s">
        <v>4867</v>
      </c>
      <c r="E267" s="3883">
        <f>SUM(E268:E271)</f>
        <v>0</v>
      </c>
      <c r="F267" s="3878"/>
      <c r="G267" s="3878"/>
    </row>
    <row r="268" spans="1:7" s="3901" customFormat="1">
      <c r="A268" s="3837"/>
      <c r="B268" s="3838"/>
      <c r="C268" s="3839" t="s">
        <v>9</v>
      </c>
      <c r="D268" s="3840" t="s">
        <v>4867</v>
      </c>
      <c r="E268" s="3867">
        <v>0</v>
      </c>
      <c r="F268" s="3899"/>
      <c r="G268" s="3871"/>
    </row>
    <row r="269" spans="1:7" s="3901" customFormat="1">
      <c r="A269" s="3837"/>
      <c r="B269" s="3838"/>
      <c r="C269" s="3839" t="s">
        <v>409</v>
      </c>
      <c r="D269" s="3840" t="s">
        <v>4867</v>
      </c>
      <c r="E269" s="3867">
        <v>0</v>
      </c>
      <c r="F269" s="3899"/>
      <c r="G269" s="3871"/>
    </row>
    <row r="270" spans="1:7">
      <c r="A270" s="3837"/>
      <c r="B270" s="3838"/>
      <c r="C270" s="3839" t="s">
        <v>411</v>
      </c>
      <c r="D270" s="3840" t="s">
        <v>4867</v>
      </c>
      <c r="E270" s="3867">
        <v>0</v>
      </c>
      <c r="F270" s="3871"/>
      <c r="G270" s="3871"/>
    </row>
    <row r="271" spans="1:7" ht="13.5" thickBot="1">
      <c r="A271" s="3842"/>
      <c r="B271" s="3843"/>
      <c r="C271" s="3844" t="s">
        <v>12</v>
      </c>
      <c r="D271" s="3869" t="s">
        <v>4867</v>
      </c>
      <c r="E271" s="3886">
        <v>0</v>
      </c>
      <c r="F271" s="3871"/>
      <c r="G271" s="3871"/>
    </row>
    <row r="272" spans="1:7" s="3983" customFormat="1">
      <c r="A272" s="4017"/>
      <c r="B272" s="4018" t="s">
        <v>512</v>
      </c>
      <c r="C272" s="4019"/>
      <c r="D272" s="4020"/>
      <c r="E272" s="4021"/>
      <c r="F272" s="3982"/>
    </row>
    <row r="273" spans="1:7" s="3983" customFormat="1" ht="14.25" customHeight="1">
      <c r="A273" s="4022" t="s">
        <v>2020</v>
      </c>
      <c r="B273" s="4003"/>
      <c r="C273" s="4004" t="s">
        <v>4840</v>
      </c>
      <c r="D273" s="4005" t="s">
        <v>4867</v>
      </c>
      <c r="E273" s="4006">
        <f>SUM(E274:E277)</f>
        <v>0</v>
      </c>
    </row>
    <row r="274" spans="1:7" s="3983" customFormat="1">
      <c r="A274" s="4023"/>
      <c r="B274" s="4007" t="s">
        <v>4863</v>
      </c>
      <c r="C274" s="4008" t="s">
        <v>9</v>
      </c>
      <c r="D274" s="4005" t="s">
        <v>4867</v>
      </c>
      <c r="E274" s="4009">
        <v>0</v>
      </c>
    </row>
    <row r="275" spans="1:7" s="3983" customFormat="1">
      <c r="A275" s="4023"/>
      <c r="B275" s="4010"/>
      <c r="C275" s="4008" t="s">
        <v>409</v>
      </c>
      <c r="D275" s="4005" t="s">
        <v>4867</v>
      </c>
      <c r="E275" s="4009">
        <v>0</v>
      </c>
    </row>
    <row r="276" spans="1:7" s="3983" customFormat="1">
      <c r="A276" s="4023"/>
      <c r="B276" s="4010"/>
      <c r="C276" s="4008" t="s">
        <v>411</v>
      </c>
      <c r="D276" s="4005" t="s">
        <v>4867</v>
      </c>
      <c r="E276" s="4009">
        <v>0</v>
      </c>
    </row>
    <row r="277" spans="1:7" s="3983" customFormat="1">
      <c r="A277" s="4017"/>
      <c r="B277" s="4011"/>
      <c r="C277" s="4012" t="s">
        <v>12</v>
      </c>
      <c r="D277" s="4005" t="s">
        <v>4867</v>
      </c>
      <c r="E277" s="4009">
        <v>0</v>
      </c>
    </row>
    <row r="278" spans="1:7" s="3983" customFormat="1" ht="14.25" customHeight="1">
      <c r="A278" s="4022" t="s">
        <v>2021</v>
      </c>
      <c r="B278" s="4003"/>
      <c r="C278" s="4004" t="s">
        <v>4841</v>
      </c>
      <c r="D278" s="4005" t="s">
        <v>4867</v>
      </c>
      <c r="E278" s="4006">
        <f>SUM(E279:E282)</f>
        <v>0</v>
      </c>
    </row>
    <row r="279" spans="1:7" s="3983" customFormat="1">
      <c r="A279" s="4023"/>
      <c r="B279" s="4007" t="s">
        <v>4863</v>
      </c>
      <c r="C279" s="4008" t="s">
        <v>9</v>
      </c>
      <c r="D279" s="4005" t="s">
        <v>4867</v>
      </c>
      <c r="E279" s="4009">
        <v>0</v>
      </c>
    </row>
    <row r="280" spans="1:7" s="3983" customFormat="1">
      <c r="A280" s="4023"/>
      <c r="B280" s="4010"/>
      <c r="C280" s="4008" t="s">
        <v>409</v>
      </c>
      <c r="D280" s="4005" t="s">
        <v>4867</v>
      </c>
      <c r="E280" s="4009">
        <v>0</v>
      </c>
    </row>
    <row r="281" spans="1:7" s="3983" customFormat="1">
      <c r="A281" s="4023"/>
      <c r="B281" s="4010"/>
      <c r="C281" s="4008" t="s">
        <v>411</v>
      </c>
      <c r="D281" s="4005" t="s">
        <v>4867</v>
      </c>
      <c r="E281" s="4009">
        <v>0</v>
      </c>
    </row>
    <row r="282" spans="1:7" s="3983" customFormat="1">
      <c r="A282" s="4017"/>
      <c r="B282" s="4011"/>
      <c r="C282" s="4012" t="s">
        <v>12</v>
      </c>
      <c r="D282" s="4005" t="s">
        <v>4867</v>
      </c>
      <c r="E282" s="4009">
        <v>0</v>
      </c>
    </row>
    <row r="283" spans="1:7" s="3983" customFormat="1" ht="14.25" customHeight="1">
      <c r="A283" s="4022" t="s">
        <v>2022</v>
      </c>
      <c r="B283" s="4003"/>
      <c r="C283" s="4004" t="s">
        <v>4842</v>
      </c>
      <c r="D283" s="4005" t="s">
        <v>4867</v>
      </c>
      <c r="E283" s="4006">
        <f>SUM(E284:E287)</f>
        <v>0</v>
      </c>
    </row>
    <row r="284" spans="1:7" s="3983" customFormat="1">
      <c r="A284" s="4023"/>
      <c r="B284" s="4007" t="s">
        <v>4863</v>
      </c>
      <c r="C284" s="4008" t="s">
        <v>9</v>
      </c>
      <c r="D284" s="4005" t="s">
        <v>4867</v>
      </c>
      <c r="E284" s="4009">
        <v>0</v>
      </c>
    </row>
    <row r="285" spans="1:7" s="3983" customFormat="1">
      <c r="A285" s="4023"/>
      <c r="B285" s="4010"/>
      <c r="C285" s="4008" t="s">
        <v>409</v>
      </c>
      <c r="D285" s="4005" t="s">
        <v>4867</v>
      </c>
      <c r="E285" s="4009">
        <v>0</v>
      </c>
    </row>
    <row r="286" spans="1:7" s="3983" customFormat="1">
      <c r="A286" s="4023"/>
      <c r="B286" s="4010"/>
      <c r="C286" s="4008" t="s">
        <v>411</v>
      </c>
      <c r="D286" s="4005" t="s">
        <v>4867</v>
      </c>
      <c r="E286" s="4009">
        <v>0</v>
      </c>
    </row>
    <row r="287" spans="1:7" s="3983" customFormat="1" ht="13.5" thickBot="1">
      <c r="A287" s="4024"/>
      <c r="B287" s="4013"/>
      <c r="C287" s="4014" t="s">
        <v>12</v>
      </c>
      <c r="D287" s="4015" t="s">
        <v>4867</v>
      </c>
      <c r="E287" s="4016">
        <v>0</v>
      </c>
    </row>
    <row r="288" spans="1:7" ht="45" customHeight="1" thickBot="1">
      <c r="A288" s="3902" t="s">
        <v>3622</v>
      </c>
      <c r="B288" s="4814" t="s">
        <v>4885</v>
      </c>
      <c r="C288" s="4815"/>
      <c r="D288" s="3903" t="s">
        <v>4869</v>
      </c>
      <c r="E288" s="3904"/>
      <c r="F288" s="3871"/>
      <c r="G288" s="3871"/>
    </row>
    <row r="289" spans="1:7" s="3983" customFormat="1" ht="14.25" customHeight="1">
      <c r="A289" s="3984" t="s">
        <v>4938</v>
      </c>
      <c r="B289" s="4003"/>
      <c r="C289" s="4004" t="s">
        <v>4840</v>
      </c>
      <c r="D289" s="4005" t="s">
        <v>4867</v>
      </c>
      <c r="E289" s="4006">
        <f>SUM(E290:E293)</f>
        <v>0</v>
      </c>
    </row>
    <row r="290" spans="1:7" s="3983" customFormat="1">
      <c r="A290" s="3977"/>
      <c r="B290" s="4007" t="s">
        <v>4863</v>
      </c>
      <c r="C290" s="4008" t="s">
        <v>9</v>
      </c>
      <c r="D290" s="4005" t="s">
        <v>4867</v>
      </c>
      <c r="E290" s="4009">
        <v>0</v>
      </c>
    </row>
    <row r="291" spans="1:7" s="3983" customFormat="1">
      <c r="A291" s="3977"/>
      <c r="B291" s="4010"/>
      <c r="C291" s="4008" t="s">
        <v>409</v>
      </c>
      <c r="D291" s="4005" t="s">
        <v>4867</v>
      </c>
      <c r="E291" s="4009">
        <v>0</v>
      </c>
    </row>
    <row r="292" spans="1:7" s="3983" customFormat="1">
      <c r="A292" s="3977"/>
      <c r="B292" s="4010"/>
      <c r="C292" s="4008" t="s">
        <v>411</v>
      </c>
      <c r="D292" s="4005" t="s">
        <v>4867</v>
      </c>
      <c r="E292" s="4009">
        <v>0</v>
      </c>
    </row>
    <row r="293" spans="1:7" s="3983" customFormat="1">
      <c r="A293" s="3991"/>
      <c r="B293" s="4011"/>
      <c r="C293" s="4012" t="s">
        <v>12</v>
      </c>
      <c r="D293" s="4005" t="s">
        <v>4867</v>
      </c>
      <c r="E293" s="4009">
        <v>0</v>
      </c>
    </row>
    <row r="294" spans="1:7" s="3983" customFormat="1" ht="14.25" customHeight="1">
      <c r="A294" s="3984" t="s">
        <v>4939</v>
      </c>
      <c r="B294" s="4003"/>
      <c r="C294" s="4004" t="s">
        <v>4841</v>
      </c>
      <c r="D294" s="4005" t="s">
        <v>4867</v>
      </c>
      <c r="E294" s="4006">
        <f>SUM(E295:E298)</f>
        <v>0</v>
      </c>
    </row>
    <row r="295" spans="1:7" s="3983" customFormat="1">
      <c r="A295" s="3977"/>
      <c r="B295" s="4007" t="s">
        <v>4863</v>
      </c>
      <c r="C295" s="4008" t="s">
        <v>9</v>
      </c>
      <c r="D295" s="4005" t="s">
        <v>4867</v>
      </c>
      <c r="E295" s="4009">
        <v>0</v>
      </c>
    </row>
    <row r="296" spans="1:7" s="3983" customFormat="1">
      <c r="A296" s="3977"/>
      <c r="B296" s="4010"/>
      <c r="C296" s="4008" t="s">
        <v>409</v>
      </c>
      <c r="D296" s="4005" t="s">
        <v>4867</v>
      </c>
      <c r="E296" s="4009">
        <v>0</v>
      </c>
    </row>
    <row r="297" spans="1:7" s="3983" customFormat="1">
      <c r="A297" s="3977"/>
      <c r="B297" s="4010"/>
      <c r="C297" s="4008" t="s">
        <v>411</v>
      </c>
      <c r="D297" s="4005" t="s">
        <v>4867</v>
      </c>
      <c r="E297" s="4009">
        <v>0</v>
      </c>
    </row>
    <row r="298" spans="1:7" s="3983" customFormat="1">
      <c r="A298" s="3991"/>
      <c r="B298" s="4011"/>
      <c r="C298" s="4012" t="s">
        <v>12</v>
      </c>
      <c r="D298" s="4005" t="s">
        <v>4867</v>
      </c>
      <c r="E298" s="4009">
        <v>0</v>
      </c>
    </row>
    <row r="299" spans="1:7" s="3983" customFormat="1" ht="14.25" customHeight="1">
      <c r="A299" s="3984" t="s">
        <v>4940</v>
      </c>
      <c r="B299" s="4003"/>
      <c r="C299" s="4004" t="s">
        <v>4842</v>
      </c>
      <c r="D299" s="4005" t="s">
        <v>4867</v>
      </c>
      <c r="E299" s="4006">
        <f>SUM(E300:E303)</f>
        <v>0</v>
      </c>
    </row>
    <row r="300" spans="1:7" s="3983" customFormat="1">
      <c r="A300" s="3977"/>
      <c r="B300" s="4007" t="s">
        <v>4863</v>
      </c>
      <c r="C300" s="4008" t="s">
        <v>9</v>
      </c>
      <c r="D300" s="4005" t="s">
        <v>4867</v>
      </c>
      <c r="E300" s="4009">
        <v>0</v>
      </c>
    </row>
    <row r="301" spans="1:7" s="3983" customFormat="1">
      <c r="A301" s="3977"/>
      <c r="B301" s="4010"/>
      <c r="C301" s="4008" t="s">
        <v>409</v>
      </c>
      <c r="D301" s="4005" t="s">
        <v>4867</v>
      </c>
      <c r="E301" s="4009">
        <v>0</v>
      </c>
    </row>
    <row r="302" spans="1:7" s="3983" customFormat="1">
      <c r="A302" s="3977"/>
      <c r="B302" s="4010"/>
      <c r="C302" s="4008" t="s">
        <v>411</v>
      </c>
      <c r="D302" s="4005" t="s">
        <v>4867</v>
      </c>
      <c r="E302" s="4009">
        <v>0</v>
      </c>
    </row>
    <row r="303" spans="1:7" s="3983" customFormat="1" ht="13.5" thickBot="1">
      <c r="A303" s="3977"/>
      <c r="B303" s="4010"/>
      <c r="C303" s="4025" t="s">
        <v>12</v>
      </c>
      <c r="D303" s="4026" t="s">
        <v>4867</v>
      </c>
      <c r="E303" s="4027">
        <v>0</v>
      </c>
    </row>
    <row r="304" spans="1:7" ht="46.5" customHeight="1" thickBot="1">
      <c r="A304" s="3905" t="s">
        <v>3623</v>
      </c>
      <c r="B304" s="4816" t="s">
        <v>4887</v>
      </c>
      <c r="C304" s="4817"/>
      <c r="D304" s="3903" t="s">
        <v>4869</v>
      </c>
      <c r="E304" s="3904"/>
      <c r="F304" s="3871"/>
      <c r="G304" s="3871"/>
    </row>
    <row r="305" spans="1:7" s="3983" customFormat="1" ht="14.25" customHeight="1">
      <c r="A305" s="4002" t="s">
        <v>4941</v>
      </c>
      <c r="B305" s="4010"/>
      <c r="C305" s="4028" t="s">
        <v>4840</v>
      </c>
      <c r="D305" s="4029"/>
      <c r="E305" s="4030"/>
    </row>
    <row r="306" spans="1:7" s="3983" customFormat="1">
      <c r="A306" s="3977"/>
      <c r="B306" s="4007" t="s">
        <v>4863</v>
      </c>
      <c r="C306" s="4008" t="s">
        <v>9</v>
      </c>
      <c r="D306" s="4005" t="s">
        <v>4874</v>
      </c>
      <c r="E306" s="4009">
        <v>0</v>
      </c>
    </row>
    <row r="307" spans="1:7" s="3983" customFormat="1">
      <c r="A307" s="3977"/>
      <c r="B307" s="4010"/>
      <c r="C307" s="4008" t="s">
        <v>409</v>
      </c>
      <c r="D307" s="4005" t="s">
        <v>4874</v>
      </c>
      <c r="E307" s="4009">
        <v>0</v>
      </c>
    </row>
    <row r="308" spans="1:7" s="3983" customFormat="1">
      <c r="A308" s="3977"/>
      <c r="B308" s="4010"/>
      <c r="C308" s="4008" t="s">
        <v>411</v>
      </c>
      <c r="D308" s="4005" t="s">
        <v>4874</v>
      </c>
      <c r="E308" s="4009">
        <f>ЕКТ!B21</f>
        <v>91.34</v>
      </c>
    </row>
    <row r="309" spans="1:7" s="3983" customFormat="1">
      <c r="A309" s="3991"/>
      <c r="B309" s="4011"/>
      <c r="C309" s="4012" t="s">
        <v>12</v>
      </c>
      <c r="D309" s="4005" t="s">
        <v>4874</v>
      </c>
      <c r="E309" s="4009">
        <f>E308</f>
        <v>91.34</v>
      </c>
    </row>
    <row r="310" spans="1:7" s="3983" customFormat="1" ht="14.25" customHeight="1">
      <c r="A310" s="3984" t="s">
        <v>4942</v>
      </c>
      <c r="B310" s="4003"/>
      <c r="C310" s="4004" t="s">
        <v>4841</v>
      </c>
      <c r="D310" s="4029"/>
      <c r="E310" s="4030"/>
    </row>
    <row r="311" spans="1:7" s="3983" customFormat="1">
      <c r="A311" s="3977"/>
      <c r="B311" s="4007" t="s">
        <v>4863</v>
      </c>
      <c r="C311" s="4008" t="s">
        <v>9</v>
      </c>
      <c r="D311" s="4005" t="s">
        <v>4874</v>
      </c>
      <c r="E311" s="4009">
        <v>0</v>
      </c>
    </row>
    <row r="312" spans="1:7" s="3983" customFormat="1">
      <c r="A312" s="3977"/>
      <c r="B312" s="4010"/>
      <c r="C312" s="4008" t="s">
        <v>409</v>
      </c>
      <c r="D312" s="4005" t="s">
        <v>4874</v>
      </c>
      <c r="E312" s="4009">
        <v>0</v>
      </c>
    </row>
    <row r="313" spans="1:7" s="3983" customFormat="1">
      <c r="A313" s="3977"/>
      <c r="B313" s="4010"/>
      <c r="C313" s="4008" t="s">
        <v>411</v>
      </c>
      <c r="D313" s="4005" t="s">
        <v>4874</v>
      </c>
      <c r="E313" s="4009">
        <v>0</v>
      </c>
    </row>
    <row r="314" spans="1:7" s="3983" customFormat="1">
      <c r="A314" s="3991"/>
      <c r="B314" s="4011"/>
      <c r="C314" s="4012" t="s">
        <v>12</v>
      </c>
      <c r="D314" s="4005" t="s">
        <v>4874</v>
      </c>
      <c r="E314" s="4009">
        <v>0</v>
      </c>
    </row>
    <row r="315" spans="1:7" s="3983" customFormat="1" ht="14.25" customHeight="1">
      <c r="A315" s="3984" t="s">
        <v>4943</v>
      </c>
      <c r="B315" s="4003"/>
      <c r="C315" s="4004" t="s">
        <v>4842</v>
      </c>
      <c r="D315" s="4029"/>
      <c r="E315" s="4030"/>
    </row>
    <row r="316" spans="1:7" s="3983" customFormat="1">
      <c r="A316" s="3977"/>
      <c r="B316" s="4007" t="s">
        <v>4863</v>
      </c>
      <c r="C316" s="4008" t="s">
        <v>9</v>
      </c>
      <c r="D316" s="4005" t="s">
        <v>4874</v>
      </c>
      <c r="E316" s="4009">
        <v>0</v>
      </c>
    </row>
    <row r="317" spans="1:7" s="3983" customFormat="1">
      <c r="A317" s="3977"/>
      <c r="B317" s="4010"/>
      <c r="C317" s="4008" t="s">
        <v>409</v>
      </c>
      <c r="D317" s="4005" t="s">
        <v>4874</v>
      </c>
      <c r="E317" s="4009">
        <v>0</v>
      </c>
    </row>
    <row r="318" spans="1:7" s="3983" customFormat="1">
      <c r="A318" s="3977"/>
      <c r="B318" s="4010"/>
      <c r="C318" s="4008" t="s">
        <v>411</v>
      </c>
      <c r="D318" s="4005" t="s">
        <v>4874</v>
      </c>
      <c r="E318" s="4009">
        <v>0</v>
      </c>
    </row>
    <row r="319" spans="1:7" s="3983" customFormat="1" ht="13.5" thickBot="1">
      <c r="A319" s="3994"/>
      <c r="B319" s="4013"/>
      <c r="C319" s="4014" t="s">
        <v>12</v>
      </c>
      <c r="D319" s="4005" t="s">
        <v>4874</v>
      </c>
      <c r="E319" s="4009">
        <v>0</v>
      </c>
    </row>
    <row r="320" spans="1:7" ht="35.25" customHeight="1">
      <c r="A320" s="3902" t="s">
        <v>3624</v>
      </c>
      <c r="B320" s="4814" t="s">
        <v>4889</v>
      </c>
      <c r="C320" s="4815"/>
      <c r="D320" s="3906" t="s">
        <v>4869</v>
      </c>
      <c r="E320" s="3907">
        <v>0</v>
      </c>
      <c r="F320" s="3871"/>
      <c r="G320" s="3871"/>
    </row>
    <row r="321" spans="1:7" s="3983" customFormat="1" ht="14.25" customHeight="1">
      <c r="A321" s="3984" t="s">
        <v>4944</v>
      </c>
      <c r="B321" s="4003"/>
      <c r="C321" s="4004" t="s">
        <v>4840</v>
      </c>
      <c r="D321" s="4005" t="s">
        <v>4867</v>
      </c>
      <c r="E321" s="4006">
        <f>SUM(E322:E325)</f>
        <v>0</v>
      </c>
    </row>
    <row r="322" spans="1:7" s="3983" customFormat="1">
      <c r="A322" s="3977"/>
      <c r="B322" s="4007" t="s">
        <v>4863</v>
      </c>
      <c r="C322" s="4008" t="s">
        <v>9</v>
      </c>
      <c r="D322" s="4005" t="s">
        <v>4867</v>
      </c>
      <c r="E322" s="4009">
        <v>0</v>
      </c>
    </row>
    <row r="323" spans="1:7" s="3983" customFormat="1">
      <c r="A323" s="3977"/>
      <c r="B323" s="4010"/>
      <c r="C323" s="4008" t="s">
        <v>409</v>
      </c>
      <c r="D323" s="4005" t="s">
        <v>4867</v>
      </c>
      <c r="E323" s="4009">
        <v>0</v>
      </c>
    </row>
    <row r="324" spans="1:7" s="3983" customFormat="1">
      <c r="A324" s="3977"/>
      <c r="B324" s="4010"/>
      <c r="C324" s="4008" t="s">
        <v>411</v>
      </c>
      <c r="D324" s="4005" t="s">
        <v>4867</v>
      </c>
      <c r="E324" s="4009">
        <v>0</v>
      </c>
    </row>
    <row r="325" spans="1:7" s="3983" customFormat="1">
      <c r="A325" s="3991"/>
      <c r="B325" s="4011"/>
      <c r="C325" s="4012" t="s">
        <v>12</v>
      </c>
      <c r="D325" s="4005" t="s">
        <v>4867</v>
      </c>
      <c r="E325" s="4009">
        <v>0</v>
      </c>
    </row>
    <row r="326" spans="1:7" s="3983" customFormat="1" ht="14.25" customHeight="1">
      <c r="A326" s="3984" t="s">
        <v>4945</v>
      </c>
      <c r="B326" s="4003"/>
      <c r="C326" s="4004" t="s">
        <v>4841</v>
      </c>
      <c r="D326" s="4005" t="s">
        <v>4867</v>
      </c>
      <c r="E326" s="4006">
        <f>SUM(E327:E330)</f>
        <v>0</v>
      </c>
    </row>
    <row r="327" spans="1:7" s="3983" customFormat="1">
      <c r="A327" s="3977"/>
      <c r="B327" s="4007" t="s">
        <v>4863</v>
      </c>
      <c r="C327" s="4008" t="s">
        <v>9</v>
      </c>
      <c r="D327" s="4005" t="s">
        <v>4867</v>
      </c>
      <c r="E327" s="4009">
        <v>0</v>
      </c>
    </row>
    <row r="328" spans="1:7" s="3983" customFormat="1">
      <c r="A328" s="3977"/>
      <c r="B328" s="4010"/>
      <c r="C328" s="4008" t="s">
        <v>409</v>
      </c>
      <c r="D328" s="4005" t="s">
        <v>4867</v>
      </c>
      <c r="E328" s="4009">
        <v>0</v>
      </c>
    </row>
    <row r="329" spans="1:7" s="3983" customFormat="1">
      <c r="A329" s="3977"/>
      <c r="B329" s="4010"/>
      <c r="C329" s="4008" t="s">
        <v>411</v>
      </c>
      <c r="D329" s="4005" t="s">
        <v>4867</v>
      </c>
      <c r="E329" s="4009">
        <v>0</v>
      </c>
    </row>
    <row r="330" spans="1:7" s="3983" customFormat="1">
      <c r="A330" s="3991"/>
      <c r="B330" s="4011"/>
      <c r="C330" s="4012" t="s">
        <v>12</v>
      </c>
      <c r="D330" s="4005" t="s">
        <v>4867</v>
      </c>
      <c r="E330" s="4009">
        <v>0</v>
      </c>
    </row>
    <row r="331" spans="1:7" s="3983" customFormat="1" ht="14.25" customHeight="1">
      <c r="A331" s="3984" t="s">
        <v>4946</v>
      </c>
      <c r="B331" s="4003"/>
      <c r="C331" s="4004" t="s">
        <v>4842</v>
      </c>
      <c r="D331" s="4005" t="s">
        <v>4867</v>
      </c>
      <c r="E331" s="4006">
        <f>SUM(E332:E335)</f>
        <v>0</v>
      </c>
    </row>
    <row r="332" spans="1:7" s="3983" customFormat="1">
      <c r="A332" s="3977"/>
      <c r="B332" s="4007" t="s">
        <v>4863</v>
      </c>
      <c r="C332" s="4008" t="s">
        <v>9</v>
      </c>
      <c r="D332" s="4005" t="s">
        <v>4867</v>
      </c>
      <c r="E332" s="4009">
        <v>0</v>
      </c>
    </row>
    <row r="333" spans="1:7" s="3983" customFormat="1">
      <c r="A333" s="3977"/>
      <c r="B333" s="4010"/>
      <c r="C333" s="4008" t="s">
        <v>409</v>
      </c>
      <c r="D333" s="4005" t="s">
        <v>4867</v>
      </c>
      <c r="E333" s="4009">
        <v>0</v>
      </c>
    </row>
    <row r="334" spans="1:7" s="3983" customFormat="1">
      <c r="A334" s="3977"/>
      <c r="B334" s="4010"/>
      <c r="C334" s="4008" t="s">
        <v>411</v>
      </c>
      <c r="D334" s="4005" t="s">
        <v>4867</v>
      </c>
      <c r="E334" s="4009">
        <v>0</v>
      </c>
    </row>
    <row r="335" spans="1:7" s="3983" customFormat="1" ht="13.5" thickBot="1">
      <c r="A335" s="3994"/>
      <c r="B335" s="4013"/>
      <c r="C335" s="4014" t="s">
        <v>12</v>
      </c>
      <c r="D335" s="4015" t="s">
        <v>4867</v>
      </c>
      <c r="E335" s="4016">
        <v>0</v>
      </c>
    </row>
    <row r="336" spans="1:7" ht="13.5" thickBot="1">
      <c r="A336" s="4818" t="s">
        <v>4897</v>
      </c>
      <c r="B336" s="4819"/>
      <c r="C336" s="4819"/>
      <c r="D336" s="4819"/>
      <c r="E336" s="4820"/>
      <c r="F336" s="3871"/>
      <c r="G336" s="3871"/>
    </row>
    <row r="337" spans="1:7" s="3810" customFormat="1">
      <c r="A337" s="3875">
        <v>4</v>
      </c>
      <c r="B337" s="4821" t="s">
        <v>4898</v>
      </c>
      <c r="C337" s="4810"/>
      <c r="D337" s="3895" t="s">
        <v>923</v>
      </c>
      <c r="E337" s="3877">
        <f>SUM(E338:E342)</f>
        <v>0</v>
      </c>
      <c r="F337" s="3878"/>
      <c r="G337" s="3878"/>
    </row>
    <row r="338" spans="1:7">
      <c r="A338" s="3879"/>
      <c r="B338" s="3838" t="s">
        <v>4863</v>
      </c>
      <c r="C338" s="3839" t="s">
        <v>9</v>
      </c>
      <c r="D338" s="3840" t="s">
        <v>923</v>
      </c>
      <c r="E338" s="3880"/>
      <c r="F338" s="3871"/>
      <c r="G338" s="3871"/>
    </row>
    <row r="339" spans="1:7">
      <c r="A339" s="3879"/>
      <c r="B339" s="3838"/>
      <c r="C339" s="3839" t="s">
        <v>4864</v>
      </c>
      <c r="D339" s="3840" t="s">
        <v>923</v>
      </c>
      <c r="E339" s="3880"/>
      <c r="F339" s="3871"/>
      <c r="G339" s="3871"/>
    </row>
    <row r="340" spans="1:7">
      <c r="A340" s="3879"/>
      <c r="B340" s="3838"/>
      <c r="C340" s="3839" t="s">
        <v>409</v>
      </c>
      <c r="D340" s="3840" t="s">
        <v>923</v>
      </c>
      <c r="E340" s="3880"/>
      <c r="F340" s="3871"/>
      <c r="G340" s="3871"/>
    </row>
    <row r="341" spans="1:7">
      <c r="A341" s="3879"/>
      <c r="B341" s="3838"/>
      <c r="C341" s="3839" t="s">
        <v>411</v>
      </c>
      <c r="D341" s="3840" t="s">
        <v>923</v>
      </c>
      <c r="E341" s="3880"/>
      <c r="F341" s="3871"/>
      <c r="G341" s="3871"/>
    </row>
    <row r="342" spans="1:7" ht="13.5" thickBot="1">
      <c r="A342" s="3879"/>
      <c r="B342" s="3838"/>
      <c r="C342" s="3868" t="s">
        <v>12</v>
      </c>
      <c r="D342" s="3869" t="s">
        <v>923</v>
      </c>
      <c r="E342" s="3881"/>
      <c r="F342" s="3871"/>
      <c r="G342" s="3871"/>
    </row>
    <row r="343" spans="1:7">
      <c r="A343" s="3908" t="s">
        <v>285</v>
      </c>
      <c r="B343" s="4795" t="s">
        <v>4865</v>
      </c>
      <c r="C343" s="4822"/>
      <c r="D343" s="3864" t="s">
        <v>923</v>
      </c>
      <c r="E343" s="3909"/>
      <c r="F343" s="3878"/>
      <c r="G343" s="3878"/>
    </row>
    <row r="344" spans="1:7">
      <c r="A344" s="3837"/>
      <c r="B344" s="3838" t="s">
        <v>4863</v>
      </c>
      <c r="C344" s="3839" t="s">
        <v>9</v>
      </c>
      <c r="D344" s="3840" t="s">
        <v>923</v>
      </c>
      <c r="E344" s="3841"/>
      <c r="F344" s="3871"/>
      <c r="G344" s="3871"/>
    </row>
    <row r="345" spans="1:7">
      <c r="A345" s="3837"/>
      <c r="B345" s="3838"/>
      <c r="C345" s="3839" t="s">
        <v>409</v>
      </c>
      <c r="D345" s="3840" t="s">
        <v>923</v>
      </c>
      <c r="E345" s="3841"/>
      <c r="F345" s="3871"/>
      <c r="G345" s="3871"/>
    </row>
    <row r="346" spans="1:7">
      <c r="A346" s="3837"/>
      <c r="B346" s="3838"/>
      <c r="C346" s="3839" t="s">
        <v>411</v>
      </c>
      <c r="D346" s="3840" t="s">
        <v>923</v>
      </c>
      <c r="E346" s="3841"/>
      <c r="F346" s="3871"/>
      <c r="G346" s="3871"/>
    </row>
    <row r="347" spans="1:7" ht="13.5" thickBot="1">
      <c r="A347" s="3837"/>
      <c r="B347" s="3838"/>
      <c r="C347" s="3868" t="s">
        <v>12</v>
      </c>
      <c r="D347" s="3869" t="s">
        <v>923</v>
      </c>
      <c r="E347" s="3910"/>
      <c r="F347" s="3871"/>
      <c r="G347" s="3871"/>
    </row>
    <row r="348" spans="1:7">
      <c r="A348" s="3836" t="s">
        <v>1835</v>
      </c>
      <c r="B348" s="3911" t="s">
        <v>4866</v>
      </c>
      <c r="C348" s="3912"/>
      <c r="D348" s="3913"/>
      <c r="E348" s="3914"/>
      <c r="F348" s="3871"/>
      <c r="G348" s="3871"/>
    </row>
    <row r="349" spans="1:7">
      <c r="A349" s="3837"/>
      <c r="B349" s="3838" t="s">
        <v>4863</v>
      </c>
      <c r="C349" s="3839" t="s">
        <v>9</v>
      </c>
      <c r="D349" s="3840" t="s">
        <v>4867</v>
      </c>
      <c r="E349" s="3915"/>
      <c r="F349" s="3871"/>
      <c r="G349" s="3871"/>
    </row>
    <row r="350" spans="1:7">
      <c r="A350" s="3837"/>
      <c r="B350" s="3838"/>
      <c r="C350" s="3839" t="s">
        <v>409</v>
      </c>
      <c r="D350" s="3840" t="s">
        <v>4867</v>
      </c>
      <c r="E350" s="3915"/>
      <c r="F350" s="3871"/>
      <c r="G350" s="3871"/>
    </row>
    <row r="351" spans="1:7">
      <c r="A351" s="3837"/>
      <c r="B351" s="3838"/>
      <c r="C351" s="3839" t="s">
        <v>411</v>
      </c>
      <c r="D351" s="3840" t="s">
        <v>4867</v>
      </c>
      <c r="E351" s="3915"/>
      <c r="F351" s="3871"/>
      <c r="G351" s="3871"/>
    </row>
    <row r="352" spans="1:7" ht="13.5" thickBot="1">
      <c r="A352" s="3842"/>
      <c r="B352" s="3843"/>
      <c r="C352" s="3844" t="s">
        <v>12</v>
      </c>
      <c r="D352" s="3840" t="s">
        <v>4867</v>
      </c>
      <c r="E352" s="3916"/>
      <c r="F352" s="3871"/>
      <c r="G352" s="3871"/>
    </row>
    <row r="353" spans="1:7">
      <c r="A353" s="3836" t="s">
        <v>1837</v>
      </c>
      <c r="B353" s="4798" t="s">
        <v>4868</v>
      </c>
      <c r="C353" s="4799"/>
      <c r="D353" s="4799"/>
      <c r="E353" s="4800"/>
      <c r="F353" s="3871"/>
      <c r="G353" s="3871"/>
    </row>
    <row r="354" spans="1:7">
      <c r="A354" s="3837"/>
      <c r="B354" s="3838" t="s">
        <v>4863</v>
      </c>
      <c r="C354" s="3839" t="s">
        <v>9</v>
      </c>
      <c r="D354" s="3840" t="s">
        <v>4869</v>
      </c>
      <c r="E354" s="3841"/>
      <c r="F354" s="3871"/>
      <c r="G354" s="3871"/>
    </row>
    <row r="355" spans="1:7">
      <c r="A355" s="3837"/>
      <c r="B355" s="3838"/>
      <c r="C355" s="3839" t="s">
        <v>409</v>
      </c>
      <c r="D355" s="3840" t="s">
        <v>4869</v>
      </c>
      <c r="E355" s="3841"/>
      <c r="F355" s="3871"/>
      <c r="G355" s="3871"/>
    </row>
    <row r="356" spans="1:7">
      <c r="A356" s="3837"/>
      <c r="B356" s="3838"/>
      <c r="C356" s="3839" t="s">
        <v>411</v>
      </c>
      <c r="D356" s="3840" t="s">
        <v>4869</v>
      </c>
      <c r="E356" s="3841"/>
      <c r="F356" s="3871"/>
      <c r="G356" s="3871"/>
    </row>
    <row r="357" spans="1:7" ht="13.5" thickBot="1">
      <c r="A357" s="3837"/>
      <c r="B357" s="3838"/>
      <c r="C357" s="3868" t="s">
        <v>12</v>
      </c>
      <c r="D357" s="3840" t="s">
        <v>4869</v>
      </c>
      <c r="E357" s="3910"/>
      <c r="F357" s="3871"/>
      <c r="G357" s="3871"/>
    </row>
    <row r="358" spans="1:7">
      <c r="A358" s="3908" t="s">
        <v>286</v>
      </c>
      <c r="B358" s="4795" t="s">
        <v>4899</v>
      </c>
      <c r="C358" s="4808"/>
      <c r="D358" s="3864" t="s">
        <v>923</v>
      </c>
      <c r="E358" s="3909"/>
      <c r="F358" s="3871"/>
      <c r="G358" s="3871"/>
    </row>
    <row r="359" spans="1:7">
      <c r="A359" s="3859"/>
      <c r="B359" s="3838" t="s">
        <v>4863</v>
      </c>
      <c r="C359" s="3839" t="s">
        <v>9</v>
      </c>
      <c r="D359" s="3840" t="s">
        <v>923</v>
      </c>
      <c r="E359" s="3861"/>
      <c r="F359" s="3871"/>
      <c r="G359" s="3871"/>
    </row>
    <row r="360" spans="1:7">
      <c r="A360" s="3859"/>
      <c r="B360" s="3838"/>
      <c r="C360" s="3839" t="s">
        <v>4864</v>
      </c>
      <c r="D360" s="3840" t="s">
        <v>923</v>
      </c>
      <c r="E360" s="3880"/>
      <c r="F360" s="3871"/>
      <c r="G360" s="3871"/>
    </row>
    <row r="361" spans="1:7">
      <c r="A361" s="3837"/>
      <c r="B361" s="3838"/>
      <c r="C361" s="3839" t="s">
        <v>409</v>
      </c>
      <c r="D361" s="3840" t="s">
        <v>923</v>
      </c>
      <c r="E361" s="3861"/>
      <c r="F361" s="3871"/>
      <c r="G361" s="3871"/>
    </row>
    <row r="362" spans="1:7">
      <c r="A362" s="3837"/>
      <c r="B362" s="3838"/>
      <c r="C362" s="3839" t="s">
        <v>411</v>
      </c>
      <c r="D362" s="3840" t="s">
        <v>923</v>
      </c>
      <c r="E362" s="3861"/>
      <c r="F362" s="3871"/>
      <c r="G362" s="3871"/>
    </row>
    <row r="363" spans="1:7" ht="13.5" thickBot="1">
      <c r="A363" s="3842"/>
      <c r="B363" s="3843"/>
      <c r="C363" s="3844" t="s">
        <v>12</v>
      </c>
      <c r="D363" s="3845" t="s">
        <v>923</v>
      </c>
      <c r="E363" s="3863"/>
      <c r="F363" s="3871"/>
      <c r="G363" s="3871"/>
    </row>
    <row r="364" spans="1:7" s="3810" customFormat="1">
      <c r="A364" s="3908" t="s">
        <v>1842</v>
      </c>
      <c r="B364" s="4795" t="s">
        <v>4900</v>
      </c>
      <c r="C364" s="4796"/>
      <c r="D364" s="3917"/>
      <c r="E364" s="3918"/>
      <c r="F364" s="3878"/>
      <c r="G364" s="3878"/>
    </row>
    <row r="365" spans="1:7">
      <c r="A365" s="3859"/>
      <c r="B365" s="3838" t="s">
        <v>4863</v>
      </c>
      <c r="C365" s="3839" t="s">
        <v>9</v>
      </c>
      <c r="D365" s="3840" t="s">
        <v>4867</v>
      </c>
      <c r="E365" s="3866"/>
      <c r="F365" s="3871"/>
      <c r="G365" s="3871"/>
    </row>
    <row r="366" spans="1:7" ht="15.75">
      <c r="A366" s="3859"/>
      <c r="B366" s="3838"/>
      <c r="C366" s="3919" t="s">
        <v>4872</v>
      </c>
      <c r="D366" s="3840" t="s">
        <v>4867</v>
      </c>
      <c r="E366" s="3920"/>
      <c r="F366" s="3871"/>
      <c r="G366" s="3871"/>
    </row>
    <row r="367" spans="1:7">
      <c r="A367" s="3837"/>
      <c r="B367" s="3838"/>
      <c r="C367" s="3839" t="s">
        <v>409</v>
      </c>
      <c r="D367" s="3840" t="s">
        <v>4867</v>
      </c>
      <c r="E367" s="3867"/>
      <c r="F367" s="3871"/>
      <c r="G367" s="3871"/>
    </row>
    <row r="368" spans="1:7">
      <c r="A368" s="3837"/>
      <c r="B368" s="3838"/>
      <c r="C368" s="3839" t="s">
        <v>411</v>
      </c>
      <c r="D368" s="3840" t="s">
        <v>4867</v>
      </c>
      <c r="E368" s="3866"/>
      <c r="F368" s="3871"/>
      <c r="G368" s="3871"/>
    </row>
    <row r="369" spans="1:7" ht="15.75" customHeight="1" thickBot="1">
      <c r="A369" s="3842"/>
      <c r="B369" s="3838"/>
      <c r="C369" s="3868" t="s">
        <v>12</v>
      </c>
      <c r="D369" s="3869" t="s">
        <v>4867</v>
      </c>
      <c r="E369" s="3870"/>
      <c r="F369" s="3871"/>
      <c r="G369" s="3871"/>
    </row>
    <row r="370" spans="1:7" s="3810" customFormat="1">
      <c r="A370" s="3921" t="s">
        <v>1843</v>
      </c>
      <c r="B370" s="4797" t="s">
        <v>4901</v>
      </c>
      <c r="C370" s="4796"/>
      <c r="D370" s="3917"/>
      <c r="E370" s="3918"/>
      <c r="F370" s="3878"/>
      <c r="G370" s="3878"/>
    </row>
    <row r="371" spans="1:7">
      <c r="A371" s="3922"/>
      <c r="B371" s="3923" t="s">
        <v>4863</v>
      </c>
      <c r="C371" s="3839" t="s">
        <v>9</v>
      </c>
      <c r="D371" s="3840" t="s">
        <v>4902</v>
      </c>
      <c r="E371" s="3866"/>
      <c r="F371" s="3871"/>
      <c r="G371" s="3871"/>
    </row>
    <row r="372" spans="1:7">
      <c r="A372" s="3922"/>
      <c r="B372" s="3923"/>
      <c r="C372" s="3839" t="s">
        <v>4864</v>
      </c>
      <c r="D372" s="3840" t="s">
        <v>4902</v>
      </c>
      <c r="E372" s="3866"/>
      <c r="F372" s="3871"/>
      <c r="G372" s="3871"/>
    </row>
    <row r="373" spans="1:7">
      <c r="A373" s="3924"/>
      <c r="B373" s="3923"/>
      <c r="C373" s="3839" t="s">
        <v>409</v>
      </c>
      <c r="D373" s="3840" t="s">
        <v>4902</v>
      </c>
      <c r="E373" s="3867"/>
      <c r="F373" s="3871"/>
      <c r="G373" s="3871"/>
    </row>
    <row r="374" spans="1:7">
      <c r="A374" s="3924"/>
      <c r="B374" s="3923"/>
      <c r="C374" s="3839" t="s">
        <v>411</v>
      </c>
      <c r="D374" s="3840" t="s">
        <v>4902</v>
      </c>
      <c r="E374" s="3866"/>
      <c r="F374" s="3871"/>
      <c r="G374" s="3871"/>
    </row>
    <row r="375" spans="1:7" ht="13.5" thickBot="1">
      <c r="A375" s="3925"/>
      <c r="B375" s="3926"/>
      <c r="C375" s="3844" t="s">
        <v>12</v>
      </c>
      <c r="D375" s="3845" t="s">
        <v>4902</v>
      </c>
      <c r="E375" s="3927"/>
      <c r="F375" s="3871"/>
      <c r="G375" s="3871"/>
    </row>
    <row r="376" spans="1:7">
      <c r="A376" s="3857" t="s">
        <v>1845</v>
      </c>
      <c r="B376" s="4798" t="s">
        <v>4873</v>
      </c>
      <c r="C376" s="4799"/>
      <c r="D376" s="4799"/>
      <c r="E376" s="4800"/>
      <c r="F376" s="3871"/>
      <c r="G376" s="3871"/>
    </row>
    <row r="377" spans="1:7">
      <c r="A377" s="3859"/>
      <c r="B377" s="3838" t="s">
        <v>4863</v>
      </c>
      <c r="C377" s="3839" t="s">
        <v>9</v>
      </c>
      <c r="D377" s="3860" t="s">
        <v>4874</v>
      </c>
      <c r="E377" s="3861"/>
      <c r="F377" s="3871"/>
      <c r="G377" s="3871"/>
    </row>
    <row r="378" spans="1:7">
      <c r="A378" s="3837"/>
      <c r="B378" s="3838"/>
      <c r="C378" s="3839" t="s">
        <v>409</v>
      </c>
      <c r="D378" s="3860" t="s">
        <v>4874</v>
      </c>
      <c r="E378" s="3861"/>
      <c r="F378" s="3871"/>
      <c r="G378" s="3871"/>
    </row>
    <row r="379" spans="1:7">
      <c r="A379" s="3837"/>
      <c r="B379" s="3838"/>
      <c r="C379" s="3839" t="s">
        <v>411</v>
      </c>
      <c r="D379" s="3860" t="s">
        <v>4874</v>
      </c>
      <c r="E379" s="3861"/>
      <c r="F379" s="3871"/>
      <c r="G379" s="3871"/>
    </row>
    <row r="380" spans="1:7" ht="13.5" thickBot="1">
      <c r="A380" s="3842"/>
      <c r="B380" s="3843"/>
      <c r="C380" s="3844" t="s">
        <v>12</v>
      </c>
      <c r="D380" s="3862" t="s">
        <v>4874</v>
      </c>
      <c r="E380" s="3863"/>
      <c r="F380" s="3871"/>
      <c r="G380" s="3871"/>
    </row>
    <row r="381" spans="1:7" ht="12.75" customHeight="1">
      <c r="A381" s="3859" t="s">
        <v>4903</v>
      </c>
      <c r="B381" s="4801" t="s">
        <v>4876</v>
      </c>
      <c r="C381" s="4802"/>
      <c r="D381" s="4802"/>
      <c r="E381" s="4803"/>
      <c r="F381" s="3871"/>
      <c r="G381" s="3871"/>
    </row>
    <row r="382" spans="1:7">
      <c r="A382" s="3859"/>
      <c r="B382" s="3838" t="s">
        <v>4863</v>
      </c>
      <c r="C382" s="3839" t="s">
        <v>9</v>
      </c>
      <c r="D382" s="3860" t="s">
        <v>4877</v>
      </c>
      <c r="E382" s="3841"/>
      <c r="F382" s="3871"/>
      <c r="G382" s="3871"/>
    </row>
    <row r="383" spans="1:7">
      <c r="A383" s="3837"/>
      <c r="B383" s="3838"/>
      <c r="C383" s="3839" t="s">
        <v>409</v>
      </c>
      <c r="D383" s="3860" t="s">
        <v>4877</v>
      </c>
      <c r="E383" s="3861"/>
      <c r="F383" s="3871"/>
      <c r="G383" s="3871"/>
    </row>
    <row r="384" spans="1:7" ht="12.75" customHeight="1">
      <c r="A384" s="3837"/>
      <c r="B384" s="3838"/>
      <c r="C384" s="3839" t="s">
        <v>411</v>
      </c>
      <c r="D384" s="3860" t="s">
        <v>4877</v>
      </c>
      <c r="E384" s="3861"/>
      <c r="F384" s="3871"/>
      <c r="G384" s="3871"/>
    </row>
    <row r="385" spans="1:12" ht="13.5" thickBot="1">
      <c r="A385" s="3837"/>
      <c r="B385" s="3838"/>
      <c r="C385" s="3868" t="s">
        <v>12</v>
      </c>
      <c r="D385" s="3928" t="s">
        <v>4877</v>
      </c>
      <c r="E385" s="3863"/>
      <c r="F385" s="3871"/>
      <c r="G385" s="3871"/>
    </row>
    <row r="386" spans="1:12" ht="13.5" thickBot="1">
      <c r="A386" s="3929" t="s">
        <v>4904</v>
      </c>
      <c r="B386" s="3930"/>
      <c r="C386" s="3931"/>
      <c r="D386" s="3932"/>
      <c r="E386" s="3933"/>
      <c r="F386" s="3871"/>
      <c r="G386" s="3871"/>
    </row>
    <row r="387" spans="1:12">
      <c r="A387" s="3934" t="s">
        <v>285</v>
      </c>
      <c r="B387" s="4804" t="s">
        <v>4905</v>
      </c>
      <c r="C387" s="4805"/>
      <c r="D387" s="3864" t="s">
        <v>923</v>
      </c>
      <c r="E387" s="3935">
        <f>E12+E59+E217+E337-0</f>
        <v>133329507.28640001</v>
      </c>
      <c r="F387" s="3871"/>
      <c r="G387" s="3871"/>
    </row>
    <row r="388" spans="1:12">
      <c r="A388" s="3837" t="s">
        <v>286</v>
      </c>
      <c r="B388" s="4806" t="s">
        <v>4906</v>
      </c>
      <c r="C388" s="4807"/>
      <c r="D388" s="3936" t="s">
        <v>923</v>
      </c>
      <c r="E388" s="3937">
        <f>E387*0.2</f>
        <v>26665901.457280003</v>
      </c>
      <c r="F388" s="3871"/>
      <c r="G388" s="3871"/>
    </row>
    <row r="389" spans="1:12" ht="13.5" thickBot="1">
      <c r="A389" s="3938" t="s">
        <v>3084</v>
      </c>
      <c r="B389" s="3939" t="s">
        <v>4907</v>
      </c>
      <c r="C389" s="3940"/>
      <c r="D389" s="3845" t="s">
        <v>923</v>
      </c>
      <c r="E389" s="3941">
        <f>E387+E388</f>
        <v>159995408.74368</v>
      </c>
      <c r="F389" s="3871"/>
      <c r="G389" s="3871"/>
    </row>
    <row r="391" spans="1:12">
      <c r="A391" s="3942" t="s">
        <v>4908</v>
      </c>
      <c r="B391" s="3943"/>
      <c r="C391" s="3944"/>
      <c r="D391" s="3944"/>
      <c r="E391" s="3944"/>
    </row>
    <row r="392" spans="1:12">
      <c r="A392" s="3945"/>
      <c r="B392" s="3946"/>
      <c r="C392" s="3946"/>
      <c r="D392" s="3947"/>
      <c r="E392" s="3947"/>
    </row>
    <row r="393" spans="1:12">
      <c r="A393" s="3948" t="s">
        <v>4909</v>
      </c>
      <c r="B393" s="3949"/>
      <c r="C393" s="3950"/>
      <c r="D393" s="3950"/>
      <c r="E393" s="3950"/>
    </row>
    <row r="394" spans="1:12" ht="167.25" customHeight="1">
      <c r="A394" s="3951" t="s">
        <v>4910</v>
      </c>
      <c r="B394" s="4794" t="s">
        <v>4911</v>
      </c>
      <c r="C394" s="4794"/>
      <c r="D394" s="4794"/>
      <c r="E394" s="4794"/>
    </row>
    <row r="395" spans="1:12">
      <c r="A395" s="3952" t="s">
        <v>4912</v>
      </c>
      <c r="B395" s="3953" t="s">
        <v>4913</v>
      </c>
      <c r="C395" s="3900"/>
      <c r="D395" s="3954"/>
      <c r="E395" s="3954"/>
    </row>
    <row r="396" spans="1:12" ht="40.5" customHeight="1">
      <c r="A396" s="3955"/>
      <c r="B396" s="3956" t="s">
        <v>4829</v>
      </c>
      <c r="C396" s="3957"/>
      <c r="D396" s="3956" t="s">
        <v>4830</v>
      </c>
      <c r="E396" s="3958"/>
      <c r="G396" s="3958"/>
      <c r="H396" s="3791"/>
      <c r="I396" s="3959"/>
      <c r="J396" s="3791"/>
    </row>
    <row r="397" spans="1:12" s="3791" customFormat="1" ht="47.25" customHeight="1">
      <c r="A397" s="3955"/>
      <c r="B397" s="3960" t="s">
        <v>4914</v>
      </c>
      <c r="C397" s="3901"/>
      <c r="D397" s="3960" t="s">
        <v>4915</v>
      </c>
      <c r="E397" s="3961"/>
      <c r="G397" s="3961"/>
      <c r="I397" s="3959"/>
      <c r="K397" s="3792"/>
      <c r="L397" s="3792"/>
    </row>
    <row r="398" spans="1:12" s="3791" customFormat="1">
      <c r="A398" s="3955"/>
      <c r="B398" s="3901"/>
      <c r="C398" s="3901"/>
      <c r="D398" s="3901"/>
      <c r="E398" s="3961"/>
    </row>
    <row r="399" spans="1:12" s="3791" customFormat="1">
      <c r="A399" s="3955"/>
      <c r="B399" s="3901"/>
      <c r="C399" s="3901"/>
      <c r="D399" s="3901"/>
      <c r="E399" s="3961"/>
    </row>
    <row r="400" spans="1:12" s="3791" customFormat="1">
      <c r="A400" s="3955"/>
      <c r="B400" s="3901"/>
      <c r="C400" s="3901"/>
      <c r="D400" s="3901"/>
      <c r="E400" s="3961"/>
    </row>
    <row r="401" spans="1:5" s="3791" customFormat="1">
      <c r="A401" s="3955"/>
      <c r="B401" s="3901"/>
      <c r="C401" s="3901"/>
      <c r="D401" s="3901"/>
      <c r="E401" s="3961"/>
    </row>
    <row r="402" spans="1:5" s="3791" customFormat="1">
      <c r="A402" s="3955"/>
      <c r="B402" s="3901"/>
      <c r="C402" s="3901"/>
      <c r="D402" s="3901"/>
      <c r="E402" s="3961"/>
    </row>
    <row r="403" spans="1:5" s="3791" customFormat="1">
      <c r="A403" s="3955"/>
      <c r="B403" s="3901"/>
      <c r="C403" s="3901"/>
      <c r="D403" s="3901"/>
      <c r="E403" s="3961"/>
    </row>
    <row r="404" spans="1:5" s="3791" customFormat="1">
      <c r="A404" s="3955"/>
      <c r="B404" s="3901"/>
      <c r="C404" s="3901"/>
      <c r="D404" s="3901"/>
      <c r="E404" s="3961"/>
    </row>
    <row r="405" spans="1:5" s="3791" customFormat="1">
      <c r="A405" s="3955"/>
      <c r="B405" s="3901"/>
      <c r="C405" s="3901"/>
      <c r="D405" s="3901"/>
      <c r="E405" s="3961"/>
    </row>
    <row r="406" spans="1:5" s="3791" customFormat="1">
      <c r="A406" s="3955"/>
      <c r="B406" s="3901"/>
      <c r="C406" s="3901"/>
      <c r="D406" s="3901"/>
      <c r="E406" s="3961"/>
    </row>
    <row r="407" spans="1:5" s="3791" customFormat="1">
      <c r="A407" s="3955"/>
      <c r="B407" s="3901"/>
      <c r="C407" s="3901"/>
      <c r="D407" s="3901"/>
      <c r="E407" s="3961"/>
    </row>
    <row r="408" spans="1:5" s="3791" customFormat="1">
      <c r="A408" s="3955"/>
      <c r="B408" s="3901"/>
      <c r="C408" s="3901"/>
      <c r="D408" s="3901"/>
      <c r="E408" s="3961"/>
    </row>
    <row r="409" spans="1:5" s="3791" customFormat="1">
      <c r="A409" s="3955"/>
      <c r="B409" s="3901"/>
      <c r="C409" s="3901"/>
      <c r="D409" s="3901"/>
      <c r="E409" s="3961"/>
    </row>
    <row r="410" spans="1:5" s="3791" customFormat="1">
      <c r="A410" s="3955"/>
      <c r="B410" s="3901"/>
      <c r="C410" s="3901"/>
      <c r="D410" s="3901"/>
      <c r="E410" s="3961"/>
    </row>
    <row r="411" spans="1:5" s="3791" customFormat="1">
      <c r="A411" s="3955"/>
      <c r="B411" s="3901"/>
      <c r="C411" s="3901"/>
      <c r="D411" s="3901"/>
      <c r="E411" s="3961"/>
    </row>
    <row r="412" spans="1:5" s="3791" customFormat="1">
      <c r="A412" s="3955"/>
      <c r="B412" s="3901"/>
      <c r="C412" s="3901"/>
      <c r="D412" s="3901"/>
      <c r="E412" s="3961"/>
    </row>
    <row r="413" spans="1:5" s="3791" customFormat="1">
      <c r="A413" s="3955"/>
      <c r="B413" s="3901"/>
      <c r="C413" s="3901"/>
      <c r="D413" s="3901"/>
      <c r="E413" s="3961"/>
    </row>
    <row r="414" spans="1:5" s="3791" customFormat="1">
      <c r="A414" s="3955"/>
      <c r="B414" s="3901"/>
      <c r="C414" s="3901"/>
      <c r="D414" s="3901"/>
      <c r="E414" s="3961"/>
    </row>
    <row r="415" spans="1:5" s="3791" customFormat="1">
      <c r="A415" s="3955"/>
      <c r="B415" s="3901"/>
      <c r="C415" s="3901"/>
      <c r="D415" s="3901"/>
      <c r="E415" s="3961"/>
    </row>
    <row r="416" spans="1:5" s="3791" customFormat="1">
      <c r="A416" s="3955"/>
      <c r="B416" s="3901"/>
      <c r="C416" s="3901"/>
      <c r="D416" s="3901"/>
      <c r="E416" s="3961"/>
    </row>
    <row r="417" spans="1:5" s="3791" customFormat="1">
      <c r="A417" s="3955"/>
      <c r="B417" s="3901"/>
      <c r="C417" s="3901"/>
      <c r="D417" s="3901"/>
      <c r="E417" s="3961"/>
    </row>
    <row r="418" spans="1:5" s="3791" customFormat="1">
      <c r="A418" s="3955"/>
      <c r="B418" s="3901"/>
      <c r="C418" s="3901"/>
      <c r="D418" s="3901"/>
      <c r="E418" s="3961"/>
    </row>
    <row r="419" spans="1:5" s="3791" customFormat="1">
      <c r="A419" s="3955"/>
      <c r="B419" s="3901"/>
      <c r="C419" s="3901"/>
      <c r="D419" s="3901"/>
      <c r="E419" s="3961"/>
    </row>
    <row r="420" spans="1:5" s="3791" customFormat="1">
      <c r="A420" s="3955"/>
      <c r="B420" s="3901"/>
      <c r="C420" s="3901"/>
      <c r="D420" s="3901"/>
      <c r="E420" s="3961"/>
    </row>
    <row r="421" spans="1:5" s="3791" customFormat="1">
      <c r="A421" s="3955"/>
      <c r="B421" s="3901"/>
      <c r="C421" s="3901"/>
      <c r="D421" s="3901"/>
      <c r="E421" s="3961"/>
    </row>
    <row r="422" spans="1:5" s="3791" customFormat="1">
      <c r="A422" s="3955"/>
      <c r="B422" s="3901"/>
      <c r="C422" s="3901"/>
      <c r="D422" s="3901"/>
      <c r="E422" s="3961"/>
    </row>
    <row r="423" spans="1:5" s="3791" customFormat="1">
      <c r="A423" s="3955"/>
      <c r="B423" s="3901"/>
      <c r="C423" s="3901"/>
      <c r="D423" s="3901"/>
      <c r="E423" s="3961"/>
    </row>
    <row r="424" spans="1:5" s="3791" customFormat="1">
      <c r="A424" s="3955"/>
      <c r="B424" s="3901"/>
      <c r="C424" s="3901"/>
      <c r="D424" s="3901"/>
      <c r="E424" s="3961"/>
    </row>
    <row r="425" spans="1:5" s="3791" customFormat="1">
      <c r="A425" s="3955"/>
      <c r="B425" s="3901"/>
      <c r="C425" s="3901"/>
      <c r="D425" s="3901"/>
      <c r="E425" s="3961"/>
    </row>
    <row r="426" spans="1:5" s="3791" customFormat="1">
      <c r="A426" s="3955"/>
      <c r="B426" s="3901"/>
      <c r="C426" s="3901"/>
      <c r="D426" s="3901"/>
      <c r="E426" s="3961"/>
    </row>
    <row r="427" spans="1:5" s="3791" customFormat="1">
      <c r="A427" s="3955"/>
      <c r="B427" s="3901"/>
      <c r="C427" s="3901"/>
      <c r="D427" s="3901"/>
      <c r="E427" s="3961"/>
    </row>
    <row r="428" spans="1:5" s="3791" customFormat="1">
      <c r="A428" s="3955"/>
      <c r="B428" s="3901"/>
      <c r="C428" s="3901"/>
      <c r="D428" s="3901"/>
      <c r="E428" s="3961"/>
    </row>
    <row r="430" spans="1:5">
      <c r="E430" s="3962"/>
    </row>
    <row r="431" spans="1:5">
      <c r="E431" s="3962"/>
    </row>
    <row r="432" spans="1:5">
      <c r="E432" s="3962"/>
    </row>
  </sheetData>
  <mergeCells count="46">
    <mergeCell ref="A4:E4"/>
    <mergeCell ref="A2:E2"/>
    <mergeCell ref="A3:E3"/>
    <mergeCell ref="B47:C47"/>
    <mergeCell ref="A6:E6"/>
    <mergeCell ref="A7:E7"/>
    <mergeCell ref="A8:E8"/>
    <mergeCell ref="A9:E9"/>
    <mergeCell ref="A11:E11"/>
    <mergeCell ref="B12:C12"/>
    <mergeCell ref="B17:C17"/>
    <mergeCell ref="B27:E27"/>
    <mergeCell ref="B32:C32"/>
    <mergeCell ref="B37:C37"/>
    <mergeCell ref="B42:E42"/>
    <mergeCell ref="A216:E216"/>
    <mergeCell ref="B52:E52"/>
    <mergeCell ref="A58:E58"/>
    <mergeCell ref="B59:C59"/>
    <mergeCell ref="B64:E64"/>
    <mergeCell ref="B86:E86"/>
    <mergeCell ref="B108:E108"/>
    <mergeCell ref="B130:E130"/>
    <mergeCell ref="B152:C152"/>
    <mergeCell ref="B168:C168"/>
    <mergeCell ref="B184:C184"/>
    <mergeCell ref="B200:C200"/>
    <mergeCell ref="B358:C358"/>
    <mergeCell ref="B217:C217"/>
    <mergeCell ref="B222:E222"/>
    <mergeCell ref="B244:E244"/>
    <mergeCell ref="B266:E266"/>
    <mergeCell ref="B288:C288"/>
    <mergeCell ref="B304:C304"/>
    <mergeCell ref="B320:C320"/>
    <mergeCell ref="A336:E336"/>
    <mergeCell ref="B337:C337"/>
    <mergeCell ref="B343:C343"/>
    <mergeCell ref="B353:E353"/>
    <mergeCell ref="B394:E394"/>
    <mergeCell ref="B364:C364"/>
    <mergeCell ref="B370:C370"/>
    <mergeCell ref="B376:E376"/>
    <mergeCell ref="B381:E381"/>
    <mergeCell ref="B387:C387"/>
    <mergeCell ref="B388:C388"/>
  </mergeCells>
  <pageMargins left="0.51181102362204722" right="0.31496062992125984" top="0.35433070866141736" bottom="0.19685039370078741" header="0.31496062992125984" footer="0.31496062992125984"/>
  <pageSetup paperSize="9" scale="40" fitToHeight="3" orientation="portrait" r:id="rId1"/>
  <rowBreaks count="1" manualBreakCount="1">
    <brk id="129" max="4"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28"/>
  <sheetViews>
    <sheetView topLeftCell="C7" zoomScale="85" zoomScaleNormal="85" workbookViewId="0">
      <selection activeCell="U128" sqref="U128"/>
    </sheetView>
  </sheetViews>
  <sheetFormatPr defaultColWidth="9.140625" defaultRowHeight="12.75"/>
  <cols>
    <col min="1" max="2" width="4.7109375" style="4056" hidden="1" customWidth="1"/>
    <col min="3" max="3" width="2.7109375" style="4056" customWidth="1"/>
    <col min="4" max="4" width="9.7109375" style="4056" customWidth="1"/>
    <col min="5" max="5" width="70.7109375" style="4056" customWidth="1"/>
    <col min="6" max="6" width="8.7109375" style="4056" hidden="1" customWidth="1"/>
    <col min="7" max="10" width="15.7109375" style="4056" customWidth="1"/>
    <col min="11" max="22" width="16.7109375" style="4056" customWidth="1"/>
    <col min="23" max="16384" width="9.140625" style="3454"/>
  </cols>
  <sheetData>
    <row r="1" spans="1:22" ht="10.5" hidden="1" customHeight="1"/>
    <row r="2" spans="1:22" ht="10.5" hidden="1" customHeight="1"/>
    <row r="3" spans="1:22" ht="10.5" hidden="1" customHeight="1">
      <c r="G3" s="4057" t="s">
        <v>4968</v>
      </c>
      <c r="H3" s="4058" t="s">
        <v>4969</v>
      </c>
      <c r="I3" s="4057" t="s">
        <v>4970</v>
      </c>
      <c r="J3" s="4058" t="s">
        <v>4971</v>
      </c>
      <c r="K3" s="4058" t="s">
        <v>4972</v>
      </c>
      <c r="L3" s="4058" t="s">
        <v>4973</v>
      </c>
      <c r="M3" s="4058" t="s">
        <v>4974</v>
      </c>
      <c r="N3" s="4057" t="s">
        <v>4975</v>
      </c>
      <c r="O3" s="4057" t="s">
        <v>4976</v>
      </c>
      <c r="P3" s="4057" t="s">
        <v>4977</v>
      </c>
      <c r="Q3" s="4057" t="s">
        <v>4978</v>
      </c>
      <c r="R3" s="4057" t="s">
        <v>4979</v>
      </c>
      <c r="S3" s="4057" t="s">
        <v>4980</v>
      </c>
      <c r="T3" s="4057" t="s">
        <v>4981</v>
      </c>
      <c r="U3" s="4057" t="s">
        <v>4982</v>
      </c>
      <c r="V3" s="4057" t="s">
        <v>4983</v>
      </c>
    </row>
    <row r="4" spans="1:22" ht="10.5" hidden="1" customHeight="1">
      <c r="F4" s="4059"/>
      <c r="G4" s="4059"/>
      <c r="H4" s="4059"/>
      <c r="I4" s="4059"/>
      <c r="J4" s="4059"/>
      <c r="K4" s="4059"/>
      <c r="L4" s="4059"/>
      <c r="M4" s="4059"/>
      <c r="N4" s="4059"/>
      <c r="O4" s="4059"/>
      <c r="P4" s="4059"/>
      <c r="Q4" s="4059"/>
      <c r="R4" s="4059"/>
      <c r="S4" s="4059"/>
      <c r="T4" s="4059"/>
      <c r="U4" s="4059"/>
      <c r="V4" s="4059"/>
    </row>
    <row r="5" spans="1:22" ht="10.5" hidden="1" customHeight="1">
      <c r="A5" s="4060"/>
      <c r="F5" s="4061"/>
      <c r="G5" s="4061" t="s">
        <v>4984</v>
      </c>
      <c r="H5" s="4061" t="s">
        <v>4985</v>
      </c>
      <c r="I5" s="4061" t="s">
        <v>4986</v>
      </c>
      <c r="J5" s="4061" t="s">
        <v>4987</v>
      </c>
      <c r="K5" s="4061" t="s">
        <v>4988</v>
      </c>
      <c r="L5" s="4061" t="s">
        <v>4989</v>
      </c>
      <c r="M5" s="4061" t="s">
        <v>4990</v>
      </c>
      <c r="N5" s="4061" t="s">
        <v>4991</v>
      </c>
      <c r="O5" s="4061" t="s">
        <v>4992</v>
      </c>
      <c r="P5" s="4061" t="s">
        <v>4993</v>
      </c>
      <c r="Q5" s="4061" t="s">
        <v>4994</v>
      </c>
      <c r="R5" s="4061" t="s">
        <v>4995</v>
      </c>
      <c r="S5" s="4061" t="s">
        <v>4996</v>
      </c>
      <c r="T5" s="4061" t="s">
        <v>4997</v>
      </c>
      <c r="U5" s="4061" t="s">
        <v>4998</v>
      </c>
      <c r="V5" s="4061" t="s">
        <v>4999</v>
      </c>
    </row>
    <row r="6" spans="1:22" ht="10.5" hidden="1" customHeight="1">
      <c r="A6" s="4060"/>
    </row>
    <row r="7" spans="1:22" ht="6" customHeight="1">
      <c r="A7" s="4060"/>
    </row>
    <row r="8" spans="1:22" ht="12" customHeight="1">
      <c r="A8" s="4060"/>
      <c r="D8" s="4062" t="s">
        <v>5000</v>
      </c>
      <c r="E8" s="4062"/>
      <c r="F8" s="4063"/>
      <c r="G8" s="4064"/>
      <c r="H8" s="4064"/>
      <c r="I8" s="4064"/>
      <c r="J8" s="4064"/>
      <c r="K8" s="4064"/>
      <c r="L8" s="4064"/>
      <c r="M8" s="4064"/>
      <c r="N8" s="4064"/>
      <c r="O8" s="4064"/>
      <c r="P8" s="4064"/>
      <c r="Q8" s="4064"/>
      <c r="R8" s="4064"/>
      <c r="S8" s="4064"/>
      <c r="T8" s="4064"/>
      <c r="U8" s="4064"/>
    </row>
    <row r="9" spans="1:22" ht="12" hidden="1" customHeight="1">
      <c r="D9" s="4065"/>
      <c r="E9" s="4065"/>
    </row>
    <row r="10" spans="1:22" ht="12" customHeight="1">
      <c r="D10" s="4066" t="e">
        <f>IF(ORG="","Не определено",ORG)</f>
        <v>#NAME?</v>
      </c>
      <c r="E10" s="4066"/>
      <c r="F10" s="4067"/>
    </row>
    <row r="11" spans="1:22" ht="6" customHeight="1">
      <c r="D11" s="4068"/>
      <c r="E11" s="4068"/>
      <c r="F11" s="4064"/>
      <c r="G11" s="4068"/>
      <c r="H11" s="4068"/>
      <c r="I11" s="4068"/>
      <c r="J11" s="4068"/>
      <c r="K11" s="4069"/>
      <c r="L11" s="4069"/>
      <c r="N11" s="4068"/>
      <c r="O11" s="4068"/>
      <c r="P11" s="4068"/>
    </row>
    <row r="12" spans="1:22" ht="24" customHeight="1">
      <c r="D12" s="4854" t="s">
        <v>400</v>
      </c>
      <c r="E12" s="4854" t="s">
        <v>5001</v>
      </c>
      <c r="F12" s="4856"/>
      <c r="G12" s="4854" t="s">
        <v>5002</v>
      </c>
      <c r="H12" s="4854"/>
      <c r="I12" s="4854"/>
      <c r="J12" s="4854"/>
      <c r="K12" s="4854" t="s">
        <v>5003</v>
      </c>
      <c r="L12" s="4854"/>
      <c r="M12" s="4854"/>
      <c r="N12" s="4854" t="s">
        <v>5004</v>
      </c>
      <c r="O12" s="4854"/>
      <c r="P12" s="4854"/>
      <c r="Q12" s="4854" t="s">
        <v>5005</v>
      </c>
      <c r="R12" s="4854"/>
      <c r="S12" s="4854"/>
      <c r="T12" s="4854" t="s">
        <v>5006</v>
      </c>
      <c r="U12" s="4854"/>
      <c r="V12" s="4854"/>
    </row>
    <row r="13" spans="1:22" ht="12" customHeight="1">
      <c r="D13" s="4854"/>
      <c r="E13" s="4854"/>
      <c r="F13" s="4856"/>
      <c r="G13" s="4070" t="s">
        <v>5007</v>
      </c>
      <c r="H13" s="4855" t="s">
        <v>5008</v>
      </c>
      <c r="I13" s="4855"/>
      <c r="J13" s="4071" t="s">
        <v>5009</v>
      </c>
      <c r="K13" s="4070" t="s">
        <v>5007</v>
      </c>
      <c r="L13" s="4070" t="s">
        <v>5008</v>
      </c>
      <c r="M13" s="4070" t="s">
        <v>5009</v>
      </c>
      <c r="N13" s="4070" t="s">
        <v>5007</v>
      </c>
      <c r="O13" s="4070" t="s">
        <v>5008</v>
      </c>
      <c r="P13" s="4070" t="s">
        <v>5009</v>
      </c>
      <c r="Q13" s="4070" t="s">
        <v>5007</v>
      </c>
      <c r="R13" s="4070" t="s">
        <v>5008</v>
      </c>
      <c r="S13" s="4070" t="s">
        <v>5009</v>
      </c>
      <c r="T13" s="4070" t="s">
        <v>5007</v>
      </c>
      <c r="U13" s="4070" t="s">
        <v>5008</v>
      </c>
      <c r="V13" s="4070" t="s">
        <v>5009</v>
      </c>
    </row>
    <row r="14" spans="1:22" ht="12" hidden="1" customHeight="1">
      <c r="D14" s="4854"/>
      <c r="E14" s="4854"/>
      <c r="F14" s="4856"/>
      <c r="G14" s="4072"/>
      <c r="H14" s="4072"/>
      <c r="I14" s="4072"/>
      <c r="J14" s="4072"/>
      <c r="K14" s="4073"/>
      <c r="L14" s="4073"/>
      <c r="M14" s="4073"/>
      <c r="N14" s="4072"/>
      <c r="O14" s="4072"/>
      <c r="P14" s="4072"/>
      <c r="Q14" s="4072"/>
      <c r="R14" s="4072"/>
      <c r="S14" s="4072"/>
      <c r="T14" s="4072"/>
      <c r="U14" s="4072"/>
      <c r="V14" s="4072"/>
    </row>
    <row r="15" spans="1:22" ht="12" customHeight="1">
      <c r="D15" s="4854"/>
      <c r="E15" s="4854"/>
      <c r="F15" s="4856"/>
      <c r="G15" s="4074" t="s">
        <v>5010</v>
      </c>
      <c r="H15" s="4074" t="s">
        <v>5011</v>
      </c>
      <c r="I15" s="4074" t="s">
        <v>5010</v>
      </c>
      <c r="J15" s="4074" t="s">
        <v>5011</v>
      </c>
      <c r="K15" s="4074" t="s">
        <v>4424</v>
      </c>
      <c r="L15" s="4074" t="s">
        <v>4424</v>
      </c>
      <c r="M15" s="4074" t="s">
        <v>4424</v>
      </c>
      <c r="N15" s="4072"/>
      <c r="O15" s="4072"/>
      <c r="P15" s="4072"/>
      <c r="Q15" s="4072"/>
      <c r="R15" s="4072"/>
      <c r="S15" s="4072"/>
      <c r="T15" s="4074" t="s">
        <v>4424</v>
      </c>
      <c r="U15" s="4074" t="s">
        <v>4424</v>
      </c>
      <c r="V15" s="4074" t="s">
        <v>4424</v>
      </c>
    </row>
    <row r="16" spans="1:22" ht="10.5" customHeight="1">
      <c r="D16" s="4854"/>
      <c r="E16" s="4854"/>
      <c r="F16" s="4856"/>
      <c r="G16" s="4074" t="s">
        <v>1341</v>
      </c>
      <c r="H16" s="4074" t="s">
        <v>1341</v>
      </c>
      <c r="I16" s="4074" t="s">
        <v>1341</v>
      </c>
      <c r="J16" s="4074" t="s">
        <v>1341</v>
      </c>
      <c r="K16" s="4074" t="s">
        <v>1342</v>
      </c>
      <c r="L16" s="4074" t="s">
        <v>1342</v>
      </c>
      <c r="M16" s="4074" t="s">
        <v>1342</v>
      </c>
      <c r="N16" s="4074" t="s">
        <v>5012</v>
      </c>
      <c r="O16" s="4074" t="s">
        <v>5012</v>
      </c>
      <c r="P16" s="4074" t="s">
        <v>5012</v>
      </c>
      <c r="Q16" s="4074" t="s">
        <v>276</v>
      </c>
      <c r="R16" s="4074" t="s">
        <v>276</v>
      </c>
      <c r="S16" s="4074" t="s">
        <v>276</v>
      </c>
      <c r="T16" s="4074" t="s">
        <v>1833</v>
      </c>
      <c r="U16" s="4074" t="s">
        <v>1833</v>
      </c>
      <c r="V16" s="4074" t="s">
        <v>1833</v>
      </c>
    </row>
    <row r="17" spans="4:22" ht="12" customHeight="1">
      <c r="D17" s="4075"/>
      <c r="E17" s="4075"/>
      <c r="F17" s="4075"/>
      <c r="G17" s="4075"/>
      <c r="H17" s="4075"/>
      <c r="I17" s="4075"/>
      <c r="J17" s="4075"/>
      <c r="K17" s="4075"/>
      <c r="L17" s="4075"/>
      <c r="M17" s="4075"/>
      <c r="N17" s="4075"/>
      <c r="O17" s="4075"/>
      <c r="P17" s="4075"/>
      <c r="Q17" s="4075"/>
      <c r="R17" s="4075"/>
      <c r="S17" s="4075"/>
      <c r="T17" s="4075"/>
      <c r="U17" s="4075"/>
      <c r="V17" s="4075"/>
    </row>
    <row r="18" spans="4:22" ht="57" customHeight="1">
      <c r="D18" s="4076">
        <v>1</v>
      </c>
      <c r="E18" s="4077" t="s">
        <v>5013</v>
      </c>
      <c r="F18" s="4077"/>
      <c r="G18" s="4078"/>
      <c r="H18" s="4078"/>
      <c r="I18" s="4078"/>
      <c r="J18" s="4078"/>
      <c r="K18" s="4079">
        <f t="shared" ref="K18:M49" si="0">IF(N18=0,"",T18/N18)</f>
        <v>4.0449033381188064</v>
      </c>
      <c r="L18" s="4079" t="str">
        <f t="shared" si="0"/>
        <v/>
      </c>
      <c r="M18" s="4079" t="str">
        <f t="shared" si="0"/>
        <v/>
      </c>
      <c r="N18" s="4080">
        <f t="shared" ref="N18:V18" si="1">SUM(N19:N25)-N23</f>
        <v>99.606999999999999</v>
      </c>
      <c r="O18" s="4080">
        <f t="shared" si="1"/>
        <v>0</v>
      </c>
      <c r="P18" s="4080">
        <f t="shared" si="1"/>
        <v>0</v>
      </c>
      <c r="Q18" s="4081">
        <f t="shared" si="1"/>
        <v>0</v>
      </c>
      <c r="R18" s="4081">
        <f t="shared" si="1"/>
        <v>0</v>
      </c>
      <c r="S18" s="4081">
        <f t="shared" si="1"/>
        <v>0</v>
      </c>
      <c r="T18" s="4080">
        <f t="shared" si="1"/>
        <v>402.90068679999996</v>
      </c>
      <c r="U18" s="4080">
        <f t="shared" si="1"/>
        <v>0</v>
      </c>
      <c r="V18" s="4080">
        <f t="shared" si="1"/>
        <v>0</v>
      </c>
    </row>
    <row r="19" spans="4:22" ht="15" customHeight="1">
      <c r="D19" s="4082" t="s">
        <v>753</v>
      </c>
      <c r="E19" s="4083" t="s">
        <v>5014</v>
      </c>
      <c r="F19" s="4084" t="str">
        <f>IF(OR(LEN(I19)=0,I19&gt;H19),"OK","ALARM")</f>
        <v>OK</v>
      </c>
      <c r="G19" s="4085"/>
      <c r="H19" s="4081">
        <f>G19+1</f>
        <v>1</v>
      </c>
      <c r="I19" s="4085"/>
      <c r="J19" s="4081">
        <f>I19+1</f>
        <v>1</v>
      </c>
      <c r="K19" s="4079" t="str">
        <f t="shared" si="0"/>
        <v/>
      </c>
      <c r="L19" s="4079" t="str">
        <f t="shared" si="0"/>
        <v/>
      </c>
      <c r="M19" s="4079" t="str">
        <f t="shared" si="0"/>
        <v/>
      </c>
      <c r="N19" s="4086"/>
      <c r="O19" s="4086"/>
      <c r="P19" s="4086"/>
      <c r="Q19" s="4085"/>
      <c r="R19" s="4085"/>
      <c r="S19" s="4085"/>
      <c r="T19" s="4086"/>
      <c r="U19" s="4086"/>
      <c r="V19" s="4086"/>
    </row>
    <row r="20" spans="4:22" ht="45" customHeight="1">
      <c r="D20" s="4082" t="s">
        <v>755</v>
      </c>
      <c r="E20" s="4083" t="s">
        <v>5015</v>
      </c>
      <c r="F20" s="4084" t="str">
        <f>IF(OR(LEN(I20)=0,I20&gt;H20),"OK","ALARM")</f>
        <v>OK</v>
      </c>
      <c r="G20" s="4085">
        <v>3900</v>
      </c>
      <c r="H20" s="4081">
        <f>G20+1</f>
        <v>3901</v>
      </c>
      <c r="I20" s="4085">
        <v>6000</v>
      </c>
      <c r="J20" s="4081">
        <f>I20+1</f>
        <v>6001</v>
      </c>
      <c r="K20" s="4079">
        <f t="shared" si="0"/>
        <v>4.0449033381188064</v>
      </c>
      <c r="L20" s="4079" t="str">
        <f t="shared" si="0"/>
        <v/>
      </c>
      <c r="M20" s="4079" t="str">
        <f t="shared" si="0"/>
        <v/>
      </c>
      <c r="N20" s="4086">
        <f>N114</f>
        <v>99.606999999999999</v>
      </c>
      <c r="O20" s="4086">
        <f t="shared" ref="O20:P20" si="2">O114</f>
        <v>0</v>
      </c>
      <c r="P20" s="4086">
        <f t="shared" si="2"/>
        <v>0</v>
      </c>
      <c r="Q20" s="4085"/>
      <c r="R20" s="4085"/>
      <c r="S20" s="4085"/>
      <c r="T20" s="4086">
        <f t="shared" ref="T20:V20" si="3">T114</f>
        <v>402.90068679999996</v>
      </c>
      <c r="U20" s="4086">
        <f t="shared" si="3"/>
        <v>0</v>
      </c>
      <c r="V20" s="4086">
        <f t="shared" si="3"/>
        <v>0</v>
      </c>
    </row>
    <row r="21" spans="4:22" ht="45" customHeight="1">
      <c r="D21" s="4082" t="s">
        <v>757</v>
      </c>
      <c r="E21" s="4083" t="s">
        <v>5016</v>
      </c>
      <c r="F21" s="4084" t="str">
        <f>IF(OR(LEN(I21)=0,I21&gt;H21),"OK","ALARM")</f>
        <v>OK</v>
      </c>
      <c r="G21" s="4085"/>
      <c r="H21" s="4081">
        <f>G21+1</f>
        <v>1</v>
      </c>
      <c r="I21" s="4085"/>
      <c r="J21" s="4081">
        <f>I21+1</f>
        <v>1</v>
      </c>
      <c r="K21" s="4079" t="str">
        <f t="shared" si="0"/>
        <v/>
      </c>
      <c r="L21" s="4079" t="str">
        <f t="shared" si="0"/>
        <v/>
      </c>
      <c r="M21" s="4079" t="str">
        <f t="shared" si="0"/>
        <v/>
      </c>
      <c r="N21" s="4086"/>
      <c r="O21" s="4086"/>
      <c r="P21" s="4086"/>
      <c r="Q21" s="4085"/>
      <c r="R21" s="4085"/>
      <c r="S21" s="4085"/>
      <c r="T21" s="4086"/>
      <c r="U21" s="4086"/>
      <c r="V21" s="4086"/>
    </row>
    <row r="22" spans="4:22" ht="15" customHeight="1">
      <c r="D22" s="4082" t="s">
        <v>759</v>
      </c>
      <c r="E22" s="4083" t="s">
        <v>5017</v>
      </c>
      <c r="F22" s="4084" t="str">
        <f>IF(OR(LEN(I22)=0,I22&gt;H22),"OK","ALARM")</f>
        <v>OK</v>
      </c>
      <c r="G22" s="4085"/>
      <c r="H22" s="4081">
        <f>G22+1</f>
        <v>1</v>
      </c>
      <c r="I22" s="4085"/>
      <c r="J22" s="4081">
        <f>I22+1</f>
        <v>1</v>
      </c>
      <c r="K22" s="4079" t="str">
        <f t="shared" si="0"/>
        <v/>
      </c>
      <c r="L22" s="4079" t="str">
        <f t="shared" si="0"/>
        <v/>
      </c>
      <c r="M22" s="4079" t="str">
        <f t="shared" si="0"/>
        <v/>
      </c>
      <c r="N22" s="4086"/>
      <c r="O22" s="4086"/>
      <c r="P22" s="4086"/>
      <c r="Q22" s="4085"/>
      <c r="R22" s="4085"/>
      <c r="S22" s="4085"/>
      <c r="T22" s="4086"/>
      <c r="U22" s="4086"/>
      <c r="V22" s="4086"/>
    </row>
    <row r="23" spans="4:22" ht="39" customHeight="1">
      <c r="D23" s="4082" t="s">
        <v>761</v>
      </c>
      <c r="E23" s="4083" t="s">
        <v>5018</v>
      </c>
      <c r="F23" s="4087"/>
      <c r="G23" s="4078"/>
      <c r="H23" s="4078"/>
      <c r="I23" s="4078"/>
      <c r="J23" s="4078"/>
      <c r="K23" s="4079" t="str">
        <f t="shared" si="0"/>
        <v/>
      </c>
      <c r="L23" s="4079" t="str">
        <f t="shared" si="0"/>
        <v/>
      </c>
      <c r="M23" s="4079" t="str">
        <f t="shared" si="0"/>
        <v/>
      </c>
      <c r="N23" s="4086"/>
      <c r="O23" s="4086"/>
      <c r="P23" s="4086"/>
      <c r="Q23" s="4085"/>
      <c r="R23" s="4085"/>
      <c r="S23" s="4085"/>
      <c r="T23" s="4086"/>
      <c r="U23" s="4086"/>
      <c r="V23" s="4086"/>
    </row>
    <row r="24" spans="4:22" ht="36" customHeight="1">
      <c r="D24" s="4082" t="s">
        <v>763</v>
      </c>
      <c r="E24" s="4083" t="s">
        <v>5019</v>
      </c>
      <c r="F24" s="4084" t="str">
        <f>IF(OR(LEN(I24)=0,I24&gt;H24),"OK","ALARM")</f>
        <v>OK</v>
      </c>
      <c r="G24" s="4085"/>
      <c r="H24" s="4081">
        <f>G24+1</f>
        <v>1</v>
      </c>
      <c r="I24" s="4085"/>
      <c r="J24" s="4081">
        <f>I24+1</f>
        <v>1</v>
      </c>
      <c r="K24" s="4079" t="str">
        <f t="shared" si="0"/>
        <v/>
      </c>
      <c r="L24" s="4079" t="str">
        <f t="shared" si="0"/>
        <v/>
      </c>
      <c r="M24" s="4079" t="str">
        <f t="shared" si="0"/>
        <v/>
      </c>
      <c r="N24" s="4086"/>
      <c r="O24" s="4086"/>
      <c r="P24" s="4086"/>
      <c r="Q24" s="4085"/>
      <c r="R24" s="4085"/>
      <c r="S24" s="4085"/>
      <c r="T24" s="4086"/>
      <c r="U24" s="4086"/>
      <c r="V24" s="4086"/>
    </row>
    <row r="25" spans="4:22" ht="15" customHeight="1">
      <c r="D25" s="4082" t="s">
        <v>764</v>
      </c>
      <c r="E25" s="4083" t="s">
        <v>5020</v>
      </c>
      <c r="F25" s="4084" t="str">
        <f>IF(OR(LEN(I25)=0,I25&gt;H25),"OK","ALARM")</f>
        <v>OK</v>
      </c>
      <c r="G25" s="4085"/>
      <c r="H25" s="4081">
        <f>G25+1</f>
        <v>1</v>
      </c>
      <c r="I25" s="4085"/>
      <c r="J25" s="4081">
        <f>I25+1</f>
        <v>1</v>
      </c>
      <c r="K25" s="4079" t="str">
        <f t="shared" si="0"/>
        <v/>
      </c>
      <c r="L25" s="4079" t="str">
        <f t="shared" si="0"/>
        <v/>
      </c>
      <c r="M25" s="4079" t="str">
        <f t="shared" si="0"/>
        <v/>
      </c>
      <c r="N25" s="4086"/>
      <c r="O25" s="4086"/>
      <c r="P25" s="4086"/>
      <c r="Q25" s="4085"/>
      <c r="R25" s="4085"/>
      <c r="S25" s="4085"/>
      <c r="T25" s="4086"/>
      <c r="U25" s="4086"/>
      <c r="V25" s="4086"/>
    </row>
    <row r="26" spans="4:22" ht="36" customHeight="1">
      <c r="D26" s="4076">
        <v>2</v>
      </c>
      <c r="E26" s="4077" t="s">
        <v>5021</v>
      </c>
      <c r="F26" s="4077"/>
      <c r="G26" s="4078"/>
      <c r="H26" s="4078"/>
      <c r="I26" s="4078"/>
      <c r="J26" s="4078"/>
      <c r="K26" s="4079">
        <f t="shared" si="0"/>
        <v>2.590326463866893</v>
      </c>
      <c r="L26" s="4079">
        <f t="shared" si="0"/>
        <v>2.58955223880597</v>
      </c>
      <c r="M26" s="4079" t="str">
        <f t="shared" si="0"/>
        <v/>
      </c>
      <c r="N26" s="4080">
        <f t="shared" ref="N26:V26" si="4">SUM(N27:N34)-N30-N33</f>
        <v>1070.777</v>
      </c>
      <c r="O26" s="4080">
        <f t="shared" si="4"/>
        <v>0.53600000000000003</v>
      </c>
      <c r="P26" s="4080">
        <f t="shared" si="4"/>
        <v>0</v>
      </c>
      <c r="Q26" s="4081">
        <f t="shared" si="4"/>
        <v>0</v>
      </c>
      <c r="R26" s="4081">
        <f t="shared" si="4"/>
        <v>0</v>
      </c>
      <c r="S26" s="4081">
        <f t="shared" si="4"/>
        <v>0</v>
      </c>
      <c r="T26" s="4080">
        <f t="shared" si="4"/>
        <v>2773.6620000000003</v>
      </c>
      <c r="U26" s="4080">
        <f t="shared" si="4"/>
        <v>1.3879999999999999</v>
      </c>
      <c r="V26" s="4080">
        <f t="shared" si="4"/>
        <v>0</v>
      </c>
    </row>
    <row r="27" spans="4:22" ht="24" customHeight="1">
      <c r="D27" s="4082" t="s">
        <v>702</v>
      </c>
      <c r="E27" s="4083" t="s">
        <v>5022</v>
      </c>
      <c r="F27" s="4084" t="str">
        <f>IF(OR(LEN(I27)=0,I27&gt;H27),"OK","ALARM")</f>
        <v>OK</v>
      </c>
      <c r="G27" s="4085"/>
      <c r="H27" s="4081">
        <f>G27+1</f>
        <v>1</v>
      </c>
      <c r="I27" s="4085"/>
      <c r="J27" s="4081">
        <f>I27+1</f>
        <v>1</v>
      </c>
      <c r="K27" s="4079">
        <f t="shared" si="0"/>
        <v>2.590326463866893</v>
      </c>
      <c r="L27" s="4079">
        <f t="shared" si="0"/>
        <v>2.58955223880597</v>
      </c>
      <c r="M27" s="4079" t="str">
        <f t="shared" si="0"/>
        <v/>
      </c>
      <c r="N27" s="4086">
        <f>N120</f>
        <v>1070.777</v>
      </c>
      <c r="O27" s="4086">
        <f t="shared" ref="O27:P27" si="5">O120</f>
        <v>0.53600000000000003</v>
      </c>
      <c r="P27" s="4086">
        <f t="shared" si="5"/>
        <v>0</v>
      </c>
      <c r="Q27" s="4085"/>
      <c r="R27" s="4085"/>
      <c r="S27" s="4085"/>
      <c r="T27" s="4086">
        <f t="shared" ref="T27:V27" si="6">T120</f>
        <v>2773.6620000000003</v>
      </c>
      <c r="U27" s="4086">
        <f t="shared" si="6"/>
        <v>1.3879999999999999</v>
      </c>
      <c r="V27" s="4086">
        <f t="shared" si="6"/>
        <v>0</v>
      </c>
    </row>
    <row r="28" spans="4:22" ht="24" customHeight="1">
      <c r="D28" s="4082" t="s">
        <v>706</v>
      </c>
      <c r="E28" s="4083" t="s">
        <v>5023</v>
      </c>
      <c r="F28" s="4084" t="str">
        <f>IF(OR(LEN(I28)=0,I28&gt;H28),"OK","ALARM")</f>
        <v>OK</v>
      </c>
      <c r="G28" s="4085"/>
      <c r="H28" s="4081">
        <f>G28+1</f>
        <v>1</v>
      </c>
      <c r="I28" s="4085"/>
      <c r="J28" s="4081">
        <f>I28+1</f>
        <v>1</v>
      </c>
      <c r="K28" s="4079" t="str">
        <f t="shared" si="0"/>
        <v/>
      </c>
      <c r="L28" s="4079" t="str">
        <f t="shared" si="0"/>
        <v/>
      </c>
      <c r="M28" s="4079" t="str">
        <f t="shared" si="0"/>
        <v/>
      </c>
      <c r="N28" s="4086"/>
      <c r="O28" s="4086"/>
      <c r="P28" s="4086"/>
      <c r="Q28" s="4085"/>
      <c r="R28" s="4085"/>
      <c r="S28" s="4085"/>
      <c r="T28" s="4086"/>
      <c r="U28" s="4086"/>
      <c r="V28" s="4086"/>
    </row>
    <row r="29" spans="4:22" ht="36" customHeight="1">
      <c r="D29" s="4082" t="s">
        <v>1395</v>
      </c>
      <c r="E29" s="4083" t="s">
        <v>5024</v>
      </c>
      <c r="F29" s="4084" t="str">
        <f>IF(OR(LEN(I29)=0,I29&gt;H29),"OK","ALARM")</f>
        <v>OK</v>
      </c>
      <c r="G29" s="4085"/>
      <c r="H29" s="4081">
        <f>G29+1</f>
        <v>1</v>
      </c>
      <c r="I29" s="4085"/>
      <c r="J29" s="4081">
        <f>I29+1</f>
        <v>1</v>
      </c>
      <c r="K29" s="4079" t="str">
        <f t="shared" si="0"/>
        <v/>
      </c>
      <c r="L29" s="4079" t="str">
        <f t="shared" si="0"/>
        <v/>
      </c>
      <c r="M29" s="4079" t="str">
        <f t="shared" si="0"/>
        <v/>
      </c>
      <c r="N29" s="4086"/>
      <c r="O29" s="4086"/>
      <c r="P29" s="4086"/>
      <c r="Q29" s="4085"/>
      <c r="R29" s="4085"/>
      <c r="S29" s="4085"/>
      <c r="T29" s="4086"/>
      <c r="U29" s="4086"/>
      <c r="V29" s="4086"/>
    </row>
    <row r="30" spans="4:22" ht="48" customHeight="1">
      <c r="D30" s="4082" t="s">
        <v>5025</v>
      </c>
      <c r="E30" s="4083" t="s">
        <v>5026</v>
      </c>
      <c r="F30" s="4087"/>
      <c r="G30" s="4078"/>
      <c r="H30" s="4078"/>
      <c r="I30" s="4078"/>
      <c r="J30" s="4078"/>
      <c r="K30" s="4079" t="str">
        <f t="shared" si="0"/>
        <v/>
      </c>
      <c r="L30" s="4079" t="str">
        <f t="shared" si="0"/>
        <v/>
      </c>
      <c r="M30" s="4079" t="str">
        <f t="shared" si="0"/>
        <v/>
      </c>
      <c r="N30" s="4086"/>
      <c r="O30" s="4086"/>
      <c r="P30" s="4086"/>
      <c r="Q30" s="4085"/>
      <c r="R30" s="4085"/>
      <c r="S30" s="4085"/>
      <c r="T30" s="4086"/>
      <c r="U30" s="4086"/>
      <c r="V30" s="4086"/>
    </row>
    <row r="31" spans="4:22" ht="48.75" customHeight="1">
      <c r="D31" s="4082" t="s">
        <v>5027</v>
      </c>
      <c r="E31" s="4083" t="s">
        <v>5028</v>
      </c>
      <c r="F31" s="4084" t="str">
        <f>IF(OR(LEN(I31)=0,I31&gt;H31),"OK","ALARM")</f>
        <v>OK</v>
      </c>
      <c r="G31" s="4085"/>
      <c r="H31" s="4081">
        <f>G31+1</f>
        <v>1</v>
      </c>
      <c r="I31" s="4085"/>
      <c r="J31" s="4081">
        <f>I31+1</f>
        <v>1</v>
      </c>
      <c r="K31" s="4079" t="str">
        <f t="shared" si="0"/>
        <v/>
      </c>
      <c r="L31" s="4079" t="str">
        <f t="shared" si="0"/>
        <v/>
      </c>
      <c r="M31" s="4079" t="str">
        <f t="shared" si="0"/>
        <v/>
      </c>
      <c r="N31" s="4086"/>
      <c r="O31" s="4086"/>
      <c r="P31" s="4086"/>
      <c r="Q31" s="4085"/>
      <c r="R31" s="4085"/>
      <c r="S31" s="4085"/>
      <c r="T31" s="4086"/>
      <c r="U31" s="4086"/>
      <c r="V31" s="4086"/>
    </row>
    <row r="32" spans="4:22" ht="36" customHeight="1">
      <c r="D32" s="4082" t="s">
        <v>5029</v>
      </c>
      <c r="E32" s="4083" t="s">
        <v>5030</v>
      </c>
      <c r="F32" s="4084" t="str">
        <f>IF(OR(LEN(I32)=0,I32&gt;H32),"OK","ALARM")</f>
        <v>OK</v>
      </c>
      <c r="G32" s="4085"/>
      <c r="H32" s="4081">
        <f>G32+1</f>
        <v>1</v>
      </c>
      <c r="I32" s="4085"/>
      <c r="J32" s="4081">
        <f>I32+1</f>
        <v>1</v>
      </c>
      <c r="K32" s="4079" t="str">
        <f t="shared" si="0"/>
        <v/>
      </c>
      <c r="L32" s="4079" t="str">
        <f t="shared" si="0"/>
        <v/>
      </c>
      <c r="M32" s="4079" t="str">
        <f t="shared" si="0"/>
        <v/>
      </c>
      <c r="N32" s="4086"/>
      <c r="O32" s="4086"/>
      <c r="P32" s="4086"/>
      <c r="Q32" s="4085"/>
      <c r="R32" s="4085"/>
      <c r="S32" s="4085"/>
      <c r="T32" s="4086"/>
      <c r="U32" s="4086"/>
      <c r="V32" s="4086"/>
    </row>
    <row r="33" spans="4:22" ht="48.75" customHeight="1">
      <c r="D33" s="4082" t="s">
        <v>5031</v>
      </c>
      <c r="E33" s="4083" t="s">
        <v>5032</v>
      </c>
      <c r="F33" s="4087"/>
      <c r="G33" s="4078"/>
      <c r="H33" s="4078"/>
      <c r="I33" s="4078"/>
      <c r="J33" s="4078"/>
      <c r="K33" s="4079" t="str">
        <f t="shared" si="0"/>
        <v/>
      </c>
      <c r="L33" s="4079" t="str">
        <f t="shared" si="0"/>
        <v/>
      </c>
      <c r="M33" s="4079" t="str">
        <f t="shared" si="0"/>
        <v/>
      </c>
      <c r="N33" s="4086"/>
      <c r="O33" s="4086"/>
      <c r="P33" s="4086"/>
      <c r="Q33" s="4085"/>
      <c r="R33" s="4085"/>
      <c r="S33" s="4085"/>
      <c r="T33" s="4086"/>
      <c r="U33" s="4086"/>
      <c r="V33" s="4086"/>
    </row>
    <row r="34" spans="4:22" ht="48.75" customHeight="1">
      <c r="D34" s="4082" t="s">
        <v>5033</v>
      </c>
      <c r="E34" s="4083" t="s">
        <v>5034</v>
      </c>
      <c r="F34" s="4084" t="str">
        <f>IF(OR(LEN(I34)=0,I34&gt;H34),"OK","ALARM")</f>
        <v>OK</v>
      </c>
      <c r="G34" s="4085"/>
      <c r="H34" s="4081">
        <f>G34+1</f>
        <v>1</v>
      </c>
      <c r="I34" s="4085"/>
      <c r="J34" s="4081">
        <f>I34+1</f>
        <v>1</v>
      </c>
      <c r="K34" s="4079" t="str">
        <f t="shared" si="0"/>
        <v/>
      </c>
      <c r="L34" s="4079" t="str">
        <f t="shared" si="0"/>
        <v/>
      </c>
      <c r="M34" s="4079" t="str">
        <f t="shared" si="0"/>
        <v/>
      </c>
      <c r="N34" s="4086"/>
      <c r="O34" s="4086"/>
      <c r="P34" s="4086"/>
      <c r="Q34" s="4085"/>
      <c r="R34" s="4085"/>
      <c r="S34" s="4085"/>
      <c r="T34" s="4086"/>
      <c r="U34" s="4086"/>
      <c r="V34" s="4086"/>
    </row>
    <row r="35" spans="4:22" ht="36" customHeight="1">
      <c r="D35" s="4076">
        <v>3</v>
      </c>
      <c r="E35" s="4077" t="s">
        <v>5035</v>
      </c>
      <c r="F35" s="4077"/>
      <c r="G35" s="4078"/>
      <c r="H35" s="4078"/>
      <c r="I35" s="4078"/>
      <c r="J35" s="4078"/>
      <c r="K35" s="4079">
        <f t="shared" si="0"/>
        <v>2.5903271190722887</v>
      </c>
      <c r="L35" s="4079">
        <f t="shared" si="0"/>
        <v>2.5902795015638187</v>
      </c>
      <c r="M35" s="4079" t="str">
        <f t="shared" si="0"/>
        <v/>
      </c>
      <c r="N35" s="4080">
        <f t="shared" ref="N35:V35" si="7">SUM(N36:N39)-N38</f>
        <v>20122.650000000001</v>
      </c>
      <c r="O35" s="4080">
        <f t="shared" si="7"/>
        <v>20.143000000000001</v>
      </c>
      <c r="P35" s="4080">
        <f t="shared" si="7"/>
        <v>0</v>
      </c>
      <c r="Q35" s="4081">
        <f t="shared" si="7"/>
        <v>0</v>
      </c>
      <c r="R35" s="4081">
        <f t="shared" si="7"/>
        <v>0</v>
      </c>
      <c r="S35" s="4081">
        <f t="shared" si="7"/>
        <v>0</v>
      </c>
      <c r="T35" s="4080">
        <f t="shared" si="7"/>
        <v>52124.246002599997</v>
      </c>
      <c r="U35" s="4080">
        <f t="shared" si="7"/>
        <v>52.176000000000002</v>
      </c>
      <c r="V35" s="4080">
        <f t="shared" si="7"/>
        <v>0</v>
      </c>
    </row>
    <row r="36" spans="4:22" ht="15" customHeight="1">
      <c r="D36" s="4082" t="s">
        <v>710</v>
      </c>
      <c r="E36" s="4083" t="s">
        <v>5036</v>
      </c>
      <c r="F36" s="4084" t="str">
        <f>IF(OR(LEN(I36)=0,I36&gt;H36),"OK","ALARM")</f>
        <v>OK</v>
      </c>
      <c r="G36" s="4085">
        <v>3900</v>
      </c>
      <c r="H36" s="4081">
        <f>G36+1</f>
        <v>3901</v>
      </c>
      <c r="I36" s="4085">
        <v>6000</v>
      </c>
      <c r="J36" s="4081">
        <f>I36+1</f>
        <v>6001</v>
      </c>
      <c r="K36" s="4079">
        <f t="shared" si="0"/>
        <v>2.5903271190722887</v>
      </c>
      <c r="L36" s="4079">
        <f t="shared" si="0"/>
        <v>2.5902795015638187</v>
      </c>
      <c r="M36" s="4079" t="str">
        <f t="shared" si="0"/>
        <v/>
      </c>
      <c r="N36" s="4086">
        <f>N118</f>
        <v>20122.650000000001</v>
      </c>
      <c r="O36" s="4086">
        <f t="shared" ref="O36:P36" si="8">O118</f>
        <v>20.143000000000001</v>
      </c>
      <c r="P36" s="4086">
        <f t="shared" si="8"/>
        <v>0</v>
      </c>
      <c r="Q36" s="4085"/>
      <c r="R36" s="4085"/>
      <c r="S36" s="4085"/>
      <c r="T36" s="4086">
        <f t="shared" ref="T36:V36" si="9">T118</f>
        <v>52124.246002599997</v>
      </c>
      <c r="U36" s="4086">
        <f t="shared" si="9"/>
        <v>52.176000000000002</v>
      </c>
      <c r="V36" s="4086">
        <f t="shared" si="9"/>
        <v>0</v>
      </c>
    </row>
    <row r="37" spans="4:22" ht="24" customHeight="1">
      <c r="D37" s="4082" t="s">
        <v>711</v>
      </c>
      <c r="E37" s="4083" t="s">
        <v>5037</v>
      </c>
      <c r="F37" s="4084" t="str">
        <f>IF(OR(LEN(I37)=0,I37&gt;H37),"OK","ALARM")</f>
        <v>OK</v>
      </c>
      <c r="G37" s="4085"/>
      <c r="H37" s="4081">
        <f>G37+1</f>
        <v>1</v>
      </c>
      <c r="I37" s="4085"/>
      <c r="J37" s="4081">
        <f>I37+1</f>
        <v>1</v>
      </c>
      <c r="K37" s="4079" t="str">
        <f t="shared" si="0"/>
        <v/>
      </c>
      <c r="L37" s="4079" t="str">
        <f t="shared" si="0"/>
        <v/>
      </c>
      <c r="M37" s="4079" t="str">
        <f t="shared" si="0"/>
        <v/>
      </c>
      <c r="N37" s="4086"/>
      <c r="O37" s="4086"/>
      <c r="P37" s="4086"/>
      <c r="Q37" s="4085"/>
      <c r="R37" s="4085"/>
      <c r="S37" s="4085"/>
      <c r="T37" s="4086"/>
      <c r="U37" s="4086"/>
      <c r="V37" s="4086"/>
    </row>
    <row r="38" spans="4:22" ht="35.25" customHeight="1">
      <c r="D38" s="4082" t="s">
        <v>721</v>
      </c>
      <c r="E38" s="4083" t="s">
        <v>5038</v>
      </c>
      <c r="F38" s="4087"/>
      <c r="G38" s="4078"/>
      <c r="H38" s="4078"/>
      <c r="I38" s="4078"/>
      <c r="J38" s="4078"/>
      <c r="K38" s="4079" t="str">
        <f t="shared" si="0"/>
        <v/>
      </c>
      <c r="L38" s="4079" t="str">
        <f t="shared" si="0"/>
        <v/>
      </c>
      <c r="M38" s="4079" t="str">
        <f t="shared" si="0"/>
        <v/>
      </c>
      <c r="N38" s="4086"/>
      <c r="O38" s="4086"/>
      <c r="P38" s="4086"/>
      <c r="Q38" s="4085"/>
      <c r="R38" s="4085"/>
      <c r="S38" s="4085"/>
      <c r="T38" s="4086"/>
      <c r="U38" s="4086"/>
      <c r="V38" s="4086"/>
    </row>
    <row r="39" spans="4:22" ht="35.25" customHeight="1">
      <c r="D39" s="4082" t="s">
        <v>3617</v>
      </c>
      <c r="E39" s="4083" t="s">
        <v>5039</v>
      </c>
      <c r="F39" s="4084" t="str">
        <f>IF(OR(LEN(I39)=0,I39&gt;H39),"OK","ALARM")</f>
        <v>OK</v>
      </c>
      <c r="G39" s="4085"/>
      <c r="H39" s="4081">
        <f>G39+1</f>
        <v>1</v>
      </c>
      <c r="I39" s="4085"/>
      <c r="J39" s="4081">
        <f>I39+1</f>
        <v>1</v>
      </c>
      <c r="K39" s="4079" t="str">
        <f t="shared" si="0"/>
        <v/>
      </c>
      <c r="L39" s="4079" t="str">
        <f t="shared" si="0"/>
        <v/>
      </c>
      <c r="M39" s="4079" t="str">
        <f t="shared" si="0"/>
        <v/>
      </c>
      <c r="N39" s="4086"/>
      <c r="O39" s="4086"/>
      <c r="P39" s="4086"/>
      <c r="Q39" s="4085"/>
      <c r="R39" s="4085"/>
      <c r="S39" s="4085"/>
      <c r="T39" s="4086"/>
      <c r="U39" s="4086"/>
      <c r="V39" s="4086"/>
    </row>
    <row r="40" spans="4:22" ht="36" customHeight="1">
      <c r="D40" s="4076">
        <v>4</v>
      </c>
      <c r="E40" s="4077" t="s">
        <v>5040</v>
      </c>
      <c r="F40" s="4077"/>
      <c r="G40" s="4078"/>
      <c r="H40" s="4078"/>
      <c r="I40" s="4078"/>
      <c r="J40" s="4078"/>
      <c r="K40" s="4079" t="str">
        <f t="shared" si="0"/>
        <v/>
      </c>
      <c r="L40" s="4079" t="str">
        <f t="shared" si="0"/>
        <v/>
      </c>
      <c r="M40" s="4079" t="str">
        <f t="shared" si="0"/>
        <v/>
      </c>
      <c r="N40" s="4080">
        <f t="shared" ref="N40:V40" si="10">SUM(N41:N48)-N44-N47</f>
        <v>0</v>
      </c>
      <c r="O40" s="4080">
        <f t="shared" si="10"/>
        <v>0</v>
      </c>
      <c r="P40" s="4080">
        <f t="shared" si="10"/>
        <v>0</v>
      </c>
      <c r="Q40" s="4081">
        <f t="shared" si="10"/>
        <v>0</v>
      </c>
      <c r="R40" s="4081">
        <f t="shared" si="10"/>
        <v>0</v>
      </c>
      <c r="S40" s="4081">
        <f t="shared" si="10"/>
        <v>0</v>
      </c>
      <c r="T40" s="4080">
        <f t="shared" si="10"/>
        <v>0</v>
      </c>
      <c r="U40" s="4080">
        <f t="shared" si="10"/>
        <v>0</v>
      </c>
      <c r="V40" s="4080">
        <f t="shared" si="10"/>
        <v>0</v>
      </c>
    </row>
    <row r="41" spans="4:22" ht="24" customHeight="1">
      <c r="D41" s="4082" t="s">
        <v>792</v>
      </c>
      <c r="E41" s="4083" t="s">
        <v>5022</v>
      </c>
      <c r="F41" s="4084" t="str">
        <f>IF(OR(LEN(I41)=0,I41&gt;H41),"OK","ALARM")</f>
        <v>OK</v>
      </c>
      <c r="G41" s="4085">
        <f>G36</f>
        <v>3900</v>
      </c>
      <c r="H41" s="4081">
        <f>G41+1</f>
        <v>3901</v>
      </c>
      <c r="I41" s="4085">
        <f>I36</f>
        <v>6000</v>
      </c>
      <c r="J41" s="4081">
        <f>I41+1</f>
        <v>6001</v>
      </c>
      <c r="K41" s="4079" t="str">
        <f t="shared" si="0"/>
        <v/>
      </c>
      <c r="L41" s="4079" t="str">
        <f t="shared" si="0"/>
        <v/>
      </c>
      <c r="M41" s="4079" t="str">
        <f t="shared" si="0"/>
        <v/>
      </c>
      <c r="N41" s="4086"/>
      <c r="O41" s="4086"/>
      <c r="P41" s="4086"/>
      <c r="Q41" s="4085"/>
      <c r="R41" s="4085"/>
      <c r="S41" s="4085"/>
      <c r="T41" s="4086"/>
      <c r="U41" s="4086"/>
      <c r="V41" s="4086"/>
    </row>
    <row r="42" spans="4:22" ht="24" customHeight="1">
      <c r="D42" s="4082" t="s">
        <v>800</v>
      </c>
      <c r="E42" s="4083" t="s">
        <v>5023</v>
      </c>
      <c r="F42" s="4084" t="str">
        <f>IF(OR(LEN(I42)=0,I42&gt;H42),"OK","ALARM")</f>
        <v>OK</v>
      </c>
      <c r="G42" s="4085"/>
      <c r="H42" s="4081">
        <f>G42+1</f>
        <v>1</v>
      </c>
      <c r="I42" s="4085"/>
      <c r="J42" s="4081">
        <f>I42+1</f>
        <v>1</v>
      </c>
      <c r="K42" s="4079" t="str">
        <f t="shared" si="0"/>
        <v/>
      </c>
      <c r="L42" s="4079" t="str">
        <f t="shared" si="0"/>
        <v/>
      </c>
      <c r="M42" s="4079" t="str">
        <f t="shared" si="0"/>
        <v/>
      </c>
      <c r="N42" s="4086"/>
      <c r="O42" s="4086"/>
      <c r="P42" s="4086"/>
      <c r="Q42" s="4085"/>
      <c r="R42" s="4085"/>
      <c r="S42" s="4085"/>
      <c r="T42" s="4086"/>
      <c r="U42" s="4086"/>
      <c r="V42" s="4086"/>
    </row>
    <row r="43" spans="4:22" ht="36" customHeight="1">
      <c r="D43" s="4082" t="s">
        <v>5041</v>
      </c>
      <c r="E43" s="4083" t="s">
        <v>5024</v>
      </c>
      <c r="F43" s="4084" t="str">
        <f>IF(OR(LEN(I43)=0,I43&gt;H43),"OK","ALARM")</f>
        <v>OK</v>
      </c>
      <c r="G43" s="4085"/>
      <c r="H43" s="4081">
        <f>G43+1</f>
        <v>1</v>
      </c>
      <c r="I43" s="4085"/>
      <c r="J43" s="4081">
        <f>I43+1</f>
        <v>1</v>
      </c>
      <c r="K43" s="4079" t="str">
        <f t="shared" si="0"/>
        <v/>
      </c>
      <c r="L43" s="4079" t="str">
        <f t="shared" si="0"/>
        <v/>
      </c>
      <c r="M43" s="4079" t="str">
        <f t="shared" si="0"/>
        <v/>
      </c>
      <c r="N43" s="4086"/>
      <c r="O43" s="4086"/>
      <c r="P43" s="4086"/>
      <c r="Q43" s="4085"/>
      <c r="R43" s="4085"/>
      <c r="S43" s="4085"/>
      <c r="T43" s="4086"/>
      <c r="U43" s="4086"/>
      <c r="V43" s="4086"/>
    </row>
    <row r="44" spans="4:22" ht="48.75" customHeight="1">
      <c r="D44" s="4082" t="s">
        <v>5042</v>
      </c>
      <c r="E44" s="4083" t="s">
        <v>5026</v>
      </c>
      <c r="F44" s="4087"/>
      <c r="G44" s="4078"/>
      <c r="H44" s="4078"/>
      <c r="I44" s="4078"/>
      <c r="J44" s="4078"/>
      <c r="K44" s="4079" t="str">
        <f t="shared" si="0"/>
        <v/>
      </c>
      <c r="L44" s="4079" t="str">
        <f t="shared" si="0"/>
        <v/>
      </c>
      <c r="M44" s="4079" t="str">
        <f t="shared" si="0"/>
        <v/>
      </c>
      <c r="N44" s="4086"/>
      <c r="O44" s="4086"/>
      <c r="P44" s="4086"/>
      <c r="Q44" s="4085"/>
      <c r="R44" s="4085"/>
      <c r="S44" s="4085"/>
      <c r="T44" s="4086"/>
      <c r="U44" s="4086"/>
      <c r="V44" s="4086"/>
    </row>
    <row r="45" spans="4:22" ht="48.75" customHeight="1">
      <c r="D45" s="4082" t="s">
        <v>5043</v>
      </c>
      <c r="E45" s="4083" t="s">
        <v>5028</v>
      </c>
      <c r="F45" s="4084" t="str">
        <f>IF(OR(LEN(I45)=0,I45&gt;H45),"OK","ALARM")</f>
        <v>OK</v>
      </c>
      <c r="G45" s="4085"/>
      <c r="H45" s="4081">
        <f>G45+1</f>
        <v>1</v>
      </c>
      <c r="I45" s="4085"/>
      <c r="J45" s="4081">
        <f>I45+1</f>
        <v>1</v>
      </c>
      <c r="K45" s="4079" t="str">
        <f t="shared" si="0"/>
        <v/>
      </c>
      <c r="L45" s="4079" t="str">
        <f t="shared" si="0"/>
        <v/>
      </c>
      <c r="M45" s="4079" t="str">
        <f t="shared" si="0"/>
        <v/>
      </c>
      <c r="N45" s="4086"/>
      <c r="O45" s="4086"/>
      <c r="P45" s="4086"/>
      <c r="Q45" s="4085"/>
      <c r="R45" s="4085"/>
      <c r="S45" s="4085"/>
      <c r="T45" s="4086"/>
      <c r="U45" s="4086"/>
      <c r="V45" s="4086"/>
    </row>
    <row r="46" spans="4:22" ht="36" customHeight="1">
      <c r="D46" s="4082" t="s">
        <v>5044</v>
      </c>
      <c r="E46" s="4083" t="s">
        <v>5030</v>
      </c>
      <c r="F46" s="4084" t="str">
        <f>IF(OR(LEN(I46)=0,I46&gt;H46),"OK","ALARM")</f>
        <v>OK</v>
      </c>
      <c r="G46" s="4085"/>
      <c r="H46" s="4081">
        <f>G46+1</f>
        <v>1</v>
      </c>
      <c r="I46" s="4085"/>
      <c r="J46" s="4081">
        <f>I46+1</f>
        <v>1</v>
      </c>
      <c r="K46" s="4079" t="str">
        <f t="shared" si="0"/>
        <v/>
      </c>
      <c r="L46" s="4079" t="str">
        <f t="shared" si="0"/>
        <v/>
      </c>
      <c r="M46" s="4079" t="str">
        <f t="shared" si="0"/>
        <v/>
      </c>
      <c r="N46" s="4086"/>
      <c r="O46" s="4086"/>
      <c r="P46" s="4086"/>
      <c r="Q46" s="4085"/>
      <c r="R46" s="4085"/>
      <c r="S46" s="4085"/>
      <c r="T46" s="4086"/>
      <c r="U46" s="4086"/>
      <c r="V46" s="4086"/>
    </row>
    <row r="47" spans="4:22" ht="48.75" customHeight="1">
      <c r="D47" s="4082" t="s">
        <v>5045</v>
      </c>
      <c r="E47" s="4083" t="s">
        <v>5032</v>
      </c>
      <c r="F47" s="4087"/>
      <c r="G47" s="4078"/>
      <c r="H47" s="4078"/>
      <c r="I47" s="4078"/>
      <c r="J47" s="4078"/>
      <c r="K47" s="4079" t="str">
        <f t="shared" si="0"/>
        <v/>
      </c>
      <c r="L47" s="4079" t="str">
        <f t="shared" si="0"/>
        <v/>
      </c>
      <c r="M47" s="4079" t="str">
        <f t="shared" si="0"/>
        <v/>
      </c>
      <c r="N47" s="4086"/>
      <c r="O47" s="4086"/>
      <c r="P47" s="4086"/>
      <c r="Q47" s="4085"/>
      <c r="R47" s="4085"/>
      <c r="S47" s="4085"/>
      <c r="T47" s="4086"/>
      <c r="U47" s="4086"/>
      <c r="V47" s="4086"/>
    </row>
    <row r="48" spans="4:22" ht="48.75" customHeight="1">
      <c r="D48" s="4082" t="s">
        <v>5046</v>
      </c>
      <c r="E48" s="4083" t="s">
        <v>5034</v>
      </c>
      <c r="F48" s="4084" t="str">
        <f>IF(OR(LEN(I48)=0,I48&gt;H48),"OK","ALARM")</f>
        <v>OK</v>
      </c>
      <c r="G48" s="4085"/>
      <c r="H48" s="4081">
        <f>G48+1</f>
        <v>1</v>
      </c>
      <c r="I48" s="4085"/>
      <c r="J48" s="4081">
        <f>I48+1</f>
        <v>1</v>
      </c>
      <c r="K48" s="4079" t="str">
        <f t="shared" si="0"/>
        <v/>
      </c>
      <c r="L48" s="4079" t="str">
        <f t="shared" si="0"/>
        <v/>
      </c>
      <c r="M48" s="4079" t="str">
        <f t="shared" si="0"/>
        <v/>
      </c>
      <c r="N48" s="4086"/>
      <c r="O48" s="4086"/>
      <c r="P48" s="4086"/>
      <c r="Q48" s="4085"/>
      <c r="R48" s="4085"/>
      <c r="S48" s="4085"/>
      <c r="T48" s="4086"/>
      <c r="U48" s="4086"/>
      <c r="V48" s="4086"/>
    </row>
    <row r="49" spans="4:22" ht="36" customHeight="1">
      <c r="D49" s="4076">
        <v>5</v>
      </c>
      <c r="E49" s="4077" t="s">
        <v>5047</v>
      </c>
      <c r="F49" s="4077"/>
      <c r="G49" s="4078"/>
      <c r="H49" s="4078"/>
      <c r="I49" s="4078"/>
      <c r="J49" s="4078"/>
      <c r="K49" s="4079" t="str">
        <f t="shared" si="0"/>
        <v/>
      </c>
      <c r="L49" s="4079" t="str">
        <f t="shared" si="0"/>
        <v/>
      </c>
      <c r="M49" s="4079" t="str">
        <f t="shared" si="0"/>
        <v/>
      </c>
      <c r="N49" s="4080">
        <f t="shared" ref="N49:V49" si="11">SUM(N50:N57)-N53-N56</f>
        <v>0</v>
      </c>
      <c r="O49" s="4080">
        <f t="shared" si="11"/>
        <v>0</v>
      </c>
      <c r="P49" s="4080">
        <f t="shared" si="11"/>
        <v>0</v>
      </c>
      <c r="Q49" s="4081">
        <f t="shared" si="11"/>
        <v>0</v>
      </c>
      <c r="R49" s="4081">
        <f t="shared" si="11"/>
        <v>0</v>
      </c>
      <c r="S49" s="4081">
        <f t="shared" si="11"/>
        <v>0</v>
      </c>
      <c r="T49" s="4080">
        <f t="shared" si="11"/>
        <v>0</v>
      </c>
      <c r="U49" s="4080">
        <f t="shared" si="11"/>
        <v>0</v>
      </c>
      <c r="V49" s="4080">
        <f t="shared" si="11"/>
        <v>0</v>
      </c>
    </row>
    <row r="50" spans="4:22" ht="24" customHeight="1">
      <c r="D50" s="4082" t="s">
        <v>728</v>
      </c>
      <c r="E50" s="4083" t="s">
        <v>5048</v>
      </c>
      <c r="F50" s="4084" t="str">
        <f>IF(OR(LEN(I50)=0,I50&gt;H50),"OK","ALARM")</f>
        <v>OK</v>
      </c>
      <c r="G50" s="4085"/>
      <c r="H50" s="4081">
        <f>G50+1</f>
        <v>1</v>
      </c>
      <c r="I50" s="4085"/>
      <c r="J50" s="4081">
        <f>I50+1</f>
        <v>1</v>
      </c>
      <c r="K50" s="4079" t="str">
        <f t="shared" ref="K50:M81" si="12">IF(N50=0,"",T50/N50)</f>
        <v/>
      </c>
      <c r="L50" s="4079" t="str">
        <f t="shared" si="12"/>
        <v/>
      </c>
      <c r="M50" s="4079" t="str">
        <f t="shared" si="12"/>
        <v/>
      </c>
      <c r="N50" s="4086"/>
      <c r="O50" s="4086"/>
      <c r="P50" s="4086"/>
      <c r="Q50" s="4085"/>
      <c r="R50" s="4085"/>
      <c r="S50" s="4085"/>
      <c r="T50" s="4086"/>
      <c r="U50" s="4086"/>
      <c r="V50" s="4086"/>
    </row>
    <row r="51" spans="4:22" ht="24" customHeight="1">
      <c r="D51" s="4082" t="s">
        <v>731</v>
      </c>
      <c r="E51" s="4083" t="s">
        <v>5023</v>
      </c>
      <c r="F51" s="4084" t="str">
        <f>IF(OR(LEN(I51)=0,I51&gt;H51),"OK","ALARM")</f>
        <v>OK</v>
      </c>
      <c r="G51" s="4085"/>
      <c r="H51" s="4081">
        <f>G51+1</f>
        <v>1</v>
      </c>
      <c r="I51" s="4085"/>
      <c r="J51" s="4081">
        <f>I51+1</f>
        <v>1</v>
      </c>
      <c r="K51" s="4079" t="str">
        <f t="shared" si="12"/>
        <v/>
      </c>
      <c r="L51" s="4079" t="str">
        <f t="shared" si="12"/>
        <v/>
      </c>
      <c r="M51" s="4079" t="str">
        <f t="shared" si="12"/>
        <v/>
      </c>
      <c r="N51" s="4086"/>
      <c r="O51" s="4086"/>
      <c r="P51" s="4086"/>
      <c r="Q51" s="4085"/>
      <c r="R51" s="4085"/>
      <c r="S51" s="4085"/>
      <c r="T51" s="4086"/>
      <c r="U51" s="4086"/>
      <c r="V51" s="4086"/>
    </row>
    <row r="52" spans="4:22" ht="36" customHeight="1">
      <c r="D52" s="4082" t="s">
        <v>5049</v>
      </c>
      <c r="E52" s="4083" t="s">
        <v>5050</v>
      </c>
      <c r="F52" s="4084" t="str">
        <f>IF(OR(LEN(I52)=0,I52&gt;H52),"OK","ALARM")</f>
        <v>OK</v>
      </c>
      <c r="G52" s="4085"/>
      <c r="H52" s="4081">
        <f>G52+1</f>
        <v>1</v>
      </c>
      <c r="I52" s="4085"/>
      <c r="J52" s="4081">
        <f>I52+1</f>
        <v>1</v>
      </c>
      <c r="K52" s="4079" t="str">
        <f t="shared" si="12"/>
        <v/>
      </c>
      <c r="L52" s="4079" t="str">
        <f t="shared" si="12"/>
        <v/>
      </c>
      <c r="M52" s="4079" t="str">
        <f t="shared" si="12"/>
        <v/>
      </c>
      <c r="N52" s="4086"/>
      <c r="O52" s="4086"/>
      <c r="P52" s="4086"/>
      <c r="Q52" s="4085"/>
      <c r="R52" s="4085"/>
      <c r="S52" s="4085"/>
      <c r="T52" s="4086"/>
      <c r="U52" s="4086"/>
      <c r="V52" s="4086"/>
    </row>
    <row r="53" spans="4:22" ht="48" customHeight="1">
      <c r="D53" s="4082" t="s">
        <v>5051</v>
      </c>
      <c r="E53" s="4083" t="s">
        <v>5026</v>
      </c>
      <c r="F53" s="4087"/>
      <c r="G53" s="4078"/>
      <c r="H53" s="4078"/>
      <c r="I53" s="4078"/>
      <c r="J53" s="4078"/>
      <c r="K53" s="4079" t="str">
        <f t="shared" si="12"/>
        <v/>
      </c>
      <c r="L53" s="4079" t="str">
        <f t="shared" si="12"/>
        <v/>
      </c>
      <c r="M53" s="4079" t="str">
        <f t="shared" si="12"/>
        <v/>
      </c>
      <c r="N53" s="4086"/>
      <c r="O53" s="4086"/>
      <c r="P53" s="4086"/>
      <c r="Q53" s="4085"/>
      <c r="R53" s="4085"/>
      <c r="S53" s="4085"/>
      <c r="T53" s="4086"/>
      <c r="U53" s="4086"/>
      <c r="V53" s="4086"/>
    </row>
    <row r="54" spans="4:22" ht="48" customHeight="1">
      <c r="D54" s="4082" t="s">
        <v>5052</v>
      </c>
      <c r="E54" s="4083" t="s">
        <v>5028</v>
      </c>
      <c r="F54" s="4084" t="str">
        <f>IF(OR(LEN(I54)=0,I54&gt;H54),"OK","ALARM")</f>
        <v>OK</v>
      </c>
      <c r="G54" s="4085"/>
      <c r="H54" s="4081">
        <f>G54+1</f>
        <v>1</v>
      </c>
      <c r="I54" s="4085"/>
      <c r="J54" s="4081">
        <f>I54+1</f>
        <v>1</v>
      </c>
      <c r="K54" s="4079" t="str">
        <f t="shared" si="12"/>
        <v/>
      </c>
      <c r="L54" s="4079" t="str">
        <f t="shared" si="12"/>
        <v/>
      </c>
      <c r="M54" s="4079" t="str">
        <f t="shared" si="12"/>
        <v/>
      </c>
      <c r="N54" s="4086"/>
      <c r="O54" s="4086"/>
      <c r="P54" s="4086"/>
      <c r="Q54" s="4085"/>
      <c r="R54" s="4085"/>
      <c r="S54" s="4085"/>
      <c r="T54" s="4086"/>
      <c r="U54" s="4086"/>
      <c r="V54" s="4086"/>
    </row>
    <row r="55" spans="4:22" ht="36" customHeight="1">
      <c r="D55" s="4082" t="s">
        <v>5053</v>
      </c>
      <c r="E55" s="4083" t="s">
        <v>5030</v>
      </c>
      <c r="F55" s="4084" t="str">
        <f>IF(OR(LEN(I55)=0,I55&gt;H55),"OK","ALARM")</f>
        <v>OK</v>
      </c>
      <c r="G55" s="4085"/>
      <c r="H55" s="4081">
        <f>G55+1</f>
        <v>1</v>
      </c>
      <c r="I55" s="4085"/>
      <c r="J55" s="4081">
        <f>I55+1</f>
        <v>1</v>
      </c>
      <c r="K55" s="4079" t="str">
        <f t="shared" si="12"/>
        <v/>
      </c>
      <c r="L55" s="4079" t="str">
        <f t="shared" si="12"/>
        <v/>
      </c>
      <c r="M55" s="4079" t="str">
        <f t="shared" si="12"/>
        <v/>
      </c>
      <c r="N55" s="4086"/>
      <c r="O55" s="4086"/>
      <c r="P55" s="4086"/>
      <c r="Q55" s="4085"/>
      <c r="R55" s="4085"/>
      <c r="S55" s="4085"/>
      <c r="T55" s="4086"/>
      <c r="U55" s="4086"/>
      <c r="V55" s="4086"/>
    </row>
    <row r="56" spans="4:22" ht="48" customHeight="1">
      <c r="D56" s="4082" t="s">
        <v>5054</v>
      </c>
      <c r="E56" s="4083" t="s">
        <v>5032</v>
      </c>
      <c r="F56" s="4087"/>
      <c r="G56" s="4078"/>
      <c r="H56" s="4078"/>
      <c r="I56" s="4078"/>
      <c r="J56" s="4078"/>
      <c r="K56" s="4079" t="str">
        <f t="shared" si="12"/>
        <v/>
      </c>
      <c r="L56" s="4079" t="str">
        <f t="shared" si="12"/>
        <v/>
      </c>
      <c r="M56" s="4079" t="str">
        <f t="shared" si="12"/>
        <v/>
      </c>
      <c r="N56" s="4086"/>
      <c r="O56" s="4086"/>
      <c r="P56" s="4086"/>
      <c r="Q56" s="4085"/>
      <c r="R56" s="4085"/>
      <c r="S56" s="4085"/>
      <c r="T56" s="4086"/>
      <c r="U56" s="4086"/>
      <c r="V56" s="4086"/>
    </row>
    <row r="57" spans="4:22" ht="48" customHeight="1">
      <c r="D57" s="4082" t="s">
        <v>5055</v>
      </c>
      <c r="E57" s="4083" t="s">
        <v>5034</v>
      </c>
      <c r="F57" s="4084" t="str">
        <f>IF(OR(LEN(I57)=0,I57&gt;H57),"OK","ALARM")</f>
        <v>OK</v>
      </c>
      <c r="G57" s="4085"/>
      <c r="H57" s="4081">
        <f>G57+1</f>
        <v>1</v>
      </c>
      <c r="I57" s="4085"/>
      <c r="J57" s="4081">
        <f>I57+1</f>
        <v>1</v>
      </c>
      <c r="K57" s="4079" t="str">
        <f t="shared" si="12"/>
        <v/>
      </c>
      <c r="L57" s="4079" t="str">
        <f t="shared" si="12"/>
        <v/>
      </c>
      <c r="M57" s="4079" t="str">
        <f t="shared" si="12"/>
        <v/>
      </c>
      <c r="N57" s="4086"/>
      <c r="O57" s="4086"/>
      <c r="P57" s="4086"/>
      <c r="Q57" s="4085"/>
      <c r="R57" s="4085"/>
      <c r="S57" s="4085"/>
      <c r="T57" s="4086"/>
      <c r="U57" s="4086"/>
      <c r="V57" s="4086"/>
    </row>
    <row r="58" spans="4:22" ht="36" customHeight="1">
      <c r="D58" s="4076">
        <v>6</v>
      </c>
      <c r="E58" s="4077" t="s">
        <v>5056</v>
      </c>
      <c r="F58" s="4077"/>
      <c r="G58" s="4078"/>
      <c r="H58" s="4078"/>
      <c r="I58" s="4078"/>
      <c r="J58" s="4078"/>
      <c r="K58" s="4079" t="str">
        <f t="shared" si="12"/>
        <v/>
      </c>
      <c r="L58" s="4079" t="str">
        <f t="shared" si="12"/>
        <v/>
      </c>
      <c r="M58" s="4079" t="str">
        <f t="shared" si="12"/>
        <v/>
      </c>
      <c r="N58" s="4080">
        <f t="shared" ref="N58:V58" si="13">SUM(N59:N62)-N61</f>
        <v>0</v>
      </c>
      <c r="O58" s="4080">
        <f t="shared" si="13"/>
        <v>0</v>
      </c>
      <c r="P58" s="4080">
        <f t="shared" si="13"/>
        <v>0</v>
      </c>
      <c r="Q58" s="4081">
        <f t="shared" si="13"/>
        <v>0</v>
      </c>
      <c r="R58" s="4081">
        <f t="shared" si="13"/>
        <v>0</v>
      </c>
      <c r="S58" s="4081">
        <f t="shared" si="13"/>
        <v>0</v>
      </c>
      <c r="T58" s="4080">
        <f t="shared" si="13"/>
        <v>0</v>
      </c>
      <c r="U58" s="4080">
        <f t="shared" si="13"/>
        <v>0</v>
      </c>
      <c r="V58" s="4080">
        <f t="shared" si="13"/>
        <v>0</v>
      </c>
    </row>
    <row r="59" spans="4:22" ht="15" customHeight="1">
      <c r="D59" s="4082" t="s">
        <v>735</v>
      </c>
      <c r="E59" s="4083" t="s">
        <v>5036</v>
      </c>
      <c r="F59" s="4084" t="str">
        <f>IF(OR(LEN(I59)=0,I59&gt;H59),"OK","ALARM")</f>
        <v>OK</v>
      </c>
      <c r="G59" s="4085"/>
      <c r="H59" s="4081">
        <f>G59+1</f>
        <v>1</v>
      </c>
      <c r="I59" s="4085"/>
      <c r="J59" s="4081">
        <f>I59+1</f>
        <v>1</v>
      </c>
      <c r="K59" s="4079" t="str">
        <f t="shared" si="12"/>
        <v/>
      </c>
      <c r="L59" s="4079" t="str">
        <f t="shared" si="12"/>
        <v/>
      </c>
      <c r="M59" s="4079" t="str">
        <f t="shared" si="12"/>
        <v/>
      </c>
      <c r="N59" s="4086"/>
      <c r="O59" s="4086"/>
      <c r="P59" s="4086"/>
      <c r="Q59" s="4085"/>
      <c r="R59" s="4085"/>
      <c r="S59" s="4085"/>
      <c r="T59" s="4086"/>
      <c r="U59" s="4086"/>
      <c r="V59" s="4086"/>
    </row>
    <row r="60" spans="4:22" ht="24" customHeight="1">
      <c r="D60" s="4082" t="s">
        <v>5057</v>
      </c>
      <c r="E60" s="4083" t="s">
        <v>5037</v>
      </c>
      <c r="F60" s="4084" t="str">
        <f>IF(OR(LEN(I60)=0,I60&gt;H60),"OK","ALARM")</f>
        <v>OK</v>
      </c>
      <c r="G60" s="4085"/>
      <c r="H60" s="4081">
        <f>G60+1</f>
        <v>1</v>
      </c>
      <c r="I60" s="4085"/>
      <c r="J60" s="4081">
        <f>I60+1</f>
        <v>1</v>
      </c>
      <c r="K60" s="4079" t="str">
        <f t="shared" si="12"/>
        <v/>
      </c>
      <c r="L60" s="4079" t="str">
        <f t="shared" si="12"/>
        <v/>
      </c>
      <c r="M60" s="4079" t="str">
        <f t="shared" si="12"/>
        <v/>
      </c>
      <c r="N60" s="4086"/>
      <c r="O60" s="4086"/>
      <c r="P60" s="4086"/>
      <c r="Q60" s="4085"/>
      <c r="R60" s="4085"/>
      <c r="S60" s="4085"/>
      <c r="T60" s="4086"/>
      <c r="U60" s="4086"/>
      <c r="V60" s="4086"/>
    </row>
    <row r="61" spans="4:22" ht="36" customHeight="1">
      <c r="D61" s="4082" t="s">
        <v>5058</v>
      </c>
      <c r="E61" s="4083" t="s">
        <v>5038</v>
      </c>
      <c r="F61" s="4087"/>
      <c r="G61" s="4078"/>
      <c r="H61" s="4078"/>
      <c r="I61" s="4078"/>
      <c r="J61" s="4078"/>
      <c r="K61" s="4079" t="str">
        <f t="shared" si="12"/>
        <v/>
      </c>
      <c r="L61" s="4079" t="str">
        <f t="shared" si="12"/>
        <v/>
      </c>
      <c r="M61" s="4079" t="str">
        <f t="shared" si="12"/>
        <v/>
      </c>
      <c r="N61" s="4086"/>
      <c r="O61" s="4086"/>
      <c r="P61" s="4086"/>
      <c r="Q61" s="4085"/>
      <c r="R61" s="4085"/>
      <c r="S61" s="4085"/>
      <c r="T61" s="4086"/>
      <c r="U61" s="4086"/>
      <c r="V61" s="4086"/>
    </row>
    <row r="62" spans="4:22" ht="36" customHeight="1">
      <c r="D62" s="4082" t="s">
        <v>5059</v>
      </c>
      <c r="E62" s="4083" t="s">
        <v>5039</v>
      </c>
      <c r="F62" s="4084" t="str">
        <f>IF(OR(LEN(I62)=0,I62&gt;H62),"OK","ALARM")</f>
        <v>OK</v>
      </c>
      <c r="G62" s="4085"/>
      <c r="H62" s="4081">
        <f>G62+1</f>
        <v>1</v>
      </c>
      <c r="I62" s="4085"/>
      <c r="J62" s="4081">
        <f>I62+1</f>
        <v>1</v>
      </c>
      <c r="K62" s="4079" t="str">
        <f t="shared" si="12"/>
        <v/>
      </c>
      <c r="L62" s="4079" t="str">
        <f t="shared" si="12"/>
        <v/>
      </c>
      <c r="M62" s="4079" t="str">
        <f t="shared" si="12"/>
        <v/>
      </c>
      <c r="N62" s="4086"/>
      <c r="O62" s="4086"/>
      <c r="P62" s="4086"/>
      <c r="Q62" s="4085"/>
      <c r="R62" s="4085"/>
      <c r="S62" s="4085"/>
      <c r="T62" s="4086"/>
      <c r="U62" s="4086"/>
      <c r="V62" s="4086"/>
    </row>
    <row r="63" spans="4:22" ht="36" customHeight="1">
      <c r="D63" s="4076">
        <v>7</v>
      </c>
      <c r="E63" s="4077" t="s">
        <v>5060</v>
      </c>
      <c r="F63" s="4077"/>
      <c r="G63" s="4078"/>
      <c r="H63" s="4078"/>
      <c r="I63" s="4078"/>
      <c r="J63" s="4078"/>
      <c r="K63" s="4079" t="str">
        <f t="shared" si="12"/>
        <v/>
      </c>
      <c r="L63" s="4079" t="str">
        <f t="shared" si="12"/>
        <v/>
      </c>
      <c r="M63" s="4079" t="str">
        <f t="shared" si="12"/>
        <v/>
      </c>
      <c r="N63" s="4080">
        <f t="shared" ref="N63:V63" si="14">SUM(N64:N71)-N67-N70</f>
        <v>0</v>
      </c>
      <c r="O63" s="4080">
        <f t="shared" si="14"/>
        <v>0</v>
      </c>
      <c r="P63" s="4080">
        <f t="shared" si="14"/>
        <v>0</v>
      </c>
      <c r="Q63" s="4081">
        <f t="shared" si="14"/>
        <v>0</v>
      </c>
      <c r="R63" s="4081">
        <f t="shared" si="14"/>
        <v>0</v>
      </c>
      <c r="S63" s="4081">
        <f t="shared" si="14"/>
        <v>0</v>
      </c>
      <c r="T63" s="4080">
        <f t="shared" si="14"/>
        <v>0</v>
      </c>
      <c r="U63" s="4080">
        <f t="shared" si="14"/>
        <v>0</v>
      </c>
      <c r="V63" s="4080">
        <f t="shared" si="14"/>
        <v>0</v>
      </c>
    </row>
    <row r="64" spans="4:22" ht="24" customHeight="1">
      <c r="D64" s="4082" t="s">
        <v>5061</v>
      </c>
      <c r="E64" s="4083" t="s">
        <v>5022</v>
      </c>
      <c r="F64" s="4084" t="str">
        <f>IF(OR(LEN(I64)=0,I64&gt;H64),"OK","ALARM")</f>
        <v>OK</v>
      </c>
      <c r="G64" s="4085"/>
      <c r="H64" s="4081">
        <f>G64+1</f>
        <v>1</v>
      </c>
      <c r="I64" s="4085"/>
      <c r="J64" s="4081">
        <f>I64+1</f>
        <v>1</v>
      </c>
      <c r="K64" s="4079" t="str">
        <f t="shared" si="12"/>
        <v/>
      </c>
      <c r="L64" s="4079" t="str">
        <f t="shared" si="12"/>
        <v/>
      </c>
      <c r="M64" s="4079" t="str">
        <f t="shared" si="12"/>
        <v/>
      </c>
      <c r="N64" s="4086"/>
      <c r="O64" s="4086"/>
      <c r="P64" s="4086"/>
      <c r="Q64" s="4085"/>
      <c r="R64" s="4085"/>
      <c r="S64" s="4085"/>
      <c r="T64" s="4086"/>
      <c r="U64" s="4086"/>
      <c r="V64" s="4086"/>
    </row>
    <row r="65" spans="4:22" ht="24" customHeight="1">
      <c r="D65" s="4082" t="s">
        <v>5062</v>
      </c>
      <c r="E65" s="4083" t="s">
        <v>5023</v>
      </c>
      <c r="F65" s="4084" t="str">
        <f>IF(OR(LEN(I65)=0,I65&gt;H65),"OK","ALARM")</f>
        <v>OK</v>
      </c>
      <c r="G65" s="4085"/>
      <c r="H65" s="4081">
        <f>G65+1</f>
        <v>1</v>
      </c>
      <c r="I65" s="4085"/>
      <c r="J65" s="4081">
        <f>I65+1</f>
        <v>1</v>
      </c>
      <c r="K65" s="4079" t="str">
        <f t="shared" si="12"/>
        <v/>
      </c>
      <c r="L65" s="4079" t="str">
        <f t="shared" si="12"/>
        <v/>
      </c>
      <c r="M65" s="4079" t="str">
        <f t="shared" si="12"/>
        <v/>
      </c>
      <c r="N65" s="4086"/>
      <c r="O65" s="4086"/>
      <c r="P65" s="4086"/>
      <c r="Q65" s="4085"/>
      <c r="R65" s="4085"/>
      <c r="S65" s="4085"/>
      <c r="T65" s="4086"/>
      <c r="U65" s="4086"/>
      <c r="V65" s="4086"/>
    </row>
    <row r="66" spans="4:22" ht="36" customHeight="1">
      <c r="D66" s="4082" t="s">
        <v>5063</v>
      </c>
      <c r="E66" s="4083" t="s">
        <v>5024</v>
      </c>
      <c r="F66" s="4084" t="str">
        <f>IF(OR(LEN(I66)=0,I66&gt;H66),"OK","ALARM")</f>
        <v>OK</v>
      </c>
      <c r="G66" s="4085"/>
      <c r="H66" s="4081">
        <f>G66+1</f>
        <v>1</v>
      </c>
      <c r="I66" s="4085"/>
      <c r="J66" s="4081">
        <f>I66+1</f>
        <v>1</v>
      </c>
      <c r="K66" s="4079" t="str">
        <f t="shared" si="12"/>
        <v/>
      </c>
      <c r="L66" s="4079" t="str">
        <f t="shared" si="12"/>
        <v/>
      </c>
      <c r="M66" s="4079" t="str">
        <f t="shared" si="12"/>
        <v/>
      </c>
      <c r="N66" s="4086"/>
      <c r="O66" s="4086"/>
      <c r="P66" s="4086"/>
      <c r="Q66" s="4085"/>
      <c r="R66" s="4085"/>
      <c r="S66" s="4085"/>
      <c r="T66" s="4086"/>
      <c r="U66" s="4086"/>
      <c r="V66" s="4086"/>
    </row>
    <row r="67" spans="4:22" ht="48.75" customHeight="1">
      <c r="D67" s="4082" t="s">
        <v>5064</v>
      </c>
      <c r="E67" s="4083" t="s">
        <v>5026</v>
      </c>
      <c r="F67" s="4087"/>
      <c r="G67" s="4078"/>
      <c r="H67" s="4078"/>
      <c r="I67" s="4078"/>
      <c r="J67" s="4078"/>
      <c r="K67" s="4079" t="str">
        <f t="shared" si="12"/>
        <v/>
      </c>
      <c r="L67" s="4079" t="str">
        <f t="shared" si="12"/>
        <v/>
      </c>
      <c r="M67" s="4079" t="str">
        <f t="shared" si="12"/>
        <v/>
      </c>
      <c r="N67" s="4086"/>
      <c r="O67" s="4086"/>
      <c r="P67" s="4086"/>
      <c r="Q67" s="4085"/>
      <c r="R67" s="4085"/>
      <c r="S67" s="4085"/>
      <c r="T67" s="4086"/>
      <c r="U67" s="4086"/>
      <c r="V67" s="4086"/>
    </row>
    <row r="68" spans="4:22" ht="48.75" customHeight="1">
      <c r="D68" s="4082" t="s">
        <v>5065</v>
      </c>
      <c r="E68" s="4083" t="s">
        <v>5028</v>
      </c>
      <c r="F68" s="4084" t="str">
        <f>IF(OR(LEN(I68)=0,I68&gt;H68),"OK","ALARM")</f>
        <v>OK</v>
      </c>
      <c r="G68" s="4085"/>
      <c r="H68" s="4081">
        <f>G68+1</f>
        <v>1</v>
      </c>
      <c r="I68" s="4085"/>
      <c r="J68" s="4081">
        <f>I68+1</f>
        <v>1</v>
      </c>
      <c r="K68" s="4079" t="str">
        <f t="shared" si="12"/>
        <v/>
      </c>
      <c r="L68" s="4079" t="str">
        <f t="shared" si="12"/>
        <v/>
      </c>
      <c r="M68" s="4079" t="str">
        <f t="shared" si="12"/>
        <v/>
      </c>
      <c r="N68" s="4086"/>
      <c r="O68" s="4086"/>
      <c r="P68" s="4086"/>
      <c r="Q68" s="4085"/>
      <c r="R68" s="4085"/>
      <c r="S68" s="4085"/>
      <c r="T68" s="4086"/>
      <c r="U68" s="4086"/>
      <c r="V68" s="4086"/>
    </row>
    <row r="69" spans="4:22" ht="36" customHeight="1">
      <c r="D69" s="4082" t="s">
        <v>5066</v>
      </c>
      <c r="E69" s="4083" t="s">
        <v>5030</v>
      </c>
      <c r="F69" s="4084" t="str">
        <f>IF(OR(LEN(I69)=0,I69&gt;H69),"OK","ALARM")</f>
        <v>OK</v>
      </c>
      <c r="G69" s="4085"/>
      <c r="H69" s="4081">
        <f>G69+1</f>
        <v>1</v>
      </c>
      <c r="I69" s="4085"/>
      <c r="J69" s="4081">
        <f>I69+1</f>
        <v>1</v>
      </c>
      <c r="K69" s="4079" t="str">
        <f t="shared" si="12"/>
        <v/>
      </c>
      <c r="L69" s="4079" t="str">
        <f t="shared" si="12"/>
        <v/>
      </c>
      <c r="M69" s="4079" t="str">
        <f t="shared" si="12"/>
        <v/>
      </c>
      <c r="N69" s="4086"/>
      <c r="O69" s="4086"/>
      <c r="P69" s="4086"/>
      <c r="Q69" s="4085"/>
      <c r="R69" s="4085"/>
      <c r="S69" s="4085"/>
      <c r="T69" s="4086"/>
      <c r="U69" s="4086"/>
      <c r="V69" s="4086"/>
    </row>
    <row r="70" spans="4:22" ht="48.75" customHeight="1">
      <c r="D70" s="4082" t="s">
        <v>5067</v>
      </c>
      <c r="E70" s="4083" t="s">
        <v>5032</v>
      </c>
      <c r="F70" s="4087"/>
      <c r="G70" s="4078"/>
      <c r="H70" s="4078"/>
      <c r="I70" s="4078"/>
      <c r="J70" s="4078"/>
      <c r="K70" s="4079" t="str">
        <f t="shared" si="12"/>
        <v/>
      </c>
      <c r="L70" s="4079" t="str">
        <f t="shared" si="12"/>
        <v/>
      </c>
      <c r="M70" s="4079" t="str">
        <f t="shared" si="12"/>
        <v/>
      </c>
      <c r="N70" s="4086"/>
      <c r="O70" s="4086"/>
      <c r="P70" s="4086"/>
      <c r="Q70" s="4085"/>
      <c r="R70" s="4085"/>
      <c r="S70" s="4085"/>
      <c r="T70" s="4086"/>
      <c r="U70" s="4086"/>
      <c r="V70" s="4086"/>
    </row>
    <row r="71" spans="4:22" ht="48.75" customHeight="1">
      <c r="D71" s="4082" t="s">
        <v>5068</v>
      </c>
      <c r="E71" s="4083" t="s">
        <v>5034</v>
      </c>
      <c r="F71" s="4084" t="str">
        <f>IF(OR(LEN(I71)=0,I71&gt;H71),"OK","ALARM")</f>
        <v>OK</v>
      </c>
      <c r="G71" s="4085"/>
      <c r="H71" s="4081">
        <f>G71+1</f>
        <v>1</v>
      </c>
      <c r="I71" s="4085"/>
      <c r="J71" s="4081">
        <f>I71+1</f>
        <v>1</v>
      </c>
      <c r="K71" s="4079" t="str">
        <f t="shared" si="12"/>
        <v/>
      </c>
      <c r="L71" s="4079" t="str">
        <f t="shared" si="12"/>
        <v/>
      </c>
      <c r="M71" s="4079" t="str">
        <f t="shared" si="12"/>
        <v/>
      </c>
      <c r="N71" s="4086"/>
      <c r="O71" s="4086"/>
      <c r="P71" s="4086"/>
      <c r="Q71" s="4085"/>
      <c r="R71" s="4085"/>
      <c r="S71" s="4085"/>
      <c r="T71" s="4086"/>
      <c r="U71" s="4086"/>
      <c r="V71" s="4086"/>
    </row>
    <row r="72" spans="4:22" ht="36" customHeight="1">
      <c r="D72" s="4076">
        <v>8</v>
      </c>
      <c r="E72" s="4077" t="s">
        <v>5069</v>
      </c>
      <c r="F72" s="4077"/>
      <c r="G72" s="4078"/>
      <c r="H72" s="4078"/>
      <c r="I72" s="4078"/>
      <c r="J72" s="4078"/>
      <c r="K72" s="4079" t="str">
        <f t="shared" si="12"/>
        <v/>
      </c>
      <c r="L72" s="4079" t="str">
        <f t="shared" si="12"/>
        <v/>
      </c>
      <c r="M72" s="4079" t="str">
        <f t="shared" si="12"/>
        <v/>
      </c>
      <c r="N72" s="4080">
        <f t="shared" ref="N72:V72" si="15">SUM(N73:N76)-N75</f>
        <v>0</v>
      </c>
      <c r="O72" s="4080">
        <f t="shared" si="15"/>
        <v>0</v>
      </c>
      <c r="P72" s="4080">
        <f t="shared" si="15"/>
        <v>0</v>
      </c>
      <c r="Q72" s="4081">
        <f t="shared" si="15"/>
        <v>0</v>
      </c>
      <c r="R72" s="4081">
        <f t="shared" si="15"/>
        <v>0</v>
      </c>
      <c r="S72" s="4081">
        <f t="shared" si="15"/>
        <v>0</v>
      </c>
      <c r="T72" s="4080">
        <f t="shared" si="15"/>
        <v>0</v>
      </c>
      <c r="U72" s="4080">
        <f t="shared" si="15"/>
        <v>0</v>
      </c>
      <c r="V72" s="4080">
        <f t="shared" si="15"/>
        <v>0</v>
      </c>
    </row>
    <row r="73" spans="4:22" ht="15" customHeight="1">
      <c r="D73" s="4082" t="s">
        <v>740</v>
      </c>
      <c r="E73" s="4083" t="s">
        <v>5036</v>
      </c>
      <c r="F73" s="4084" t="str">
        <f>IF(OR(LEN(I73)=0,I73&gt;H73),"OK","ALARM")</f>
        <v>OK</v>
      </c>
      <c r="G73" s="4085"/>
      <c r="H73" s="4081">
        <f>G73+1</f>
        <v>1</v>
      </c>
      <c r="I73" s="4085"/>
      <c r="J73" s="4081">
        <f>I73+1</f>
        <v>1</v>
      </c>
      <c r="K73" s="4079" t="str">
        <f t="shared" si="12"/>
        <v/>
      </c>
      <c r="L73" s="4079" t="str">
        <f t="shared" si="12"/>
        <v/>
      </c>
      <c r="M73" s="4079" t="str">
        <f t="shared" si="12"/>
        <v/>
      </c>
      <c r="N73" s="4086"/>
      <c r="O73" s="4086"/>
      <c r="P73" s="4086"/>
      <c r="Q73" s="4085"/>
      <c r="R73" s="4085"/>
      <c r="S73" s="4085"/>
      <c r="T73" s="4086"/>
      <c r="U73" s="4086"/>
      <c r="V73" s="4086"/>
    </row>
    <row r="74" spans="4:22" ht="24" customHeight="1">
      <c r="D74" s="4082" t="s">
        <v>5070</v>
      </c>
      <c r="E74" s="4083" t="s">
        <v>5037</v>
      </c>
      <c r="F74" s="4084" t="str">
        <f>IF(OR(LEN(I74)=0,I74&gt;H74),"OK","ALARM")</f>
        <v>OK</v>
      </c>
      <c r="G74" s="4085"/>
      <c r="H74" s="4081">
        <f>G74+1</f>
        <v>1</v>
      </c>
      <c r="I74" s="4085"/>
      <c r="J74" s="4081">
        <f>I74+1</f>
        <v>1</v>
      </c>
      <c r="K74" s="4079" t="str">
        <f t="shared" si="12"/>
        <v/>
      </c>
      <c r="L74" s="4079" t="str">
        <f t="shared" si="12"/>
        <v/>
      </c>
      <c r="M74" s="4079" t="str">
        <f t="shared" si="12"/>
        <v/>
      </c>
      <c r="N74" s="4086"/>
      <c r="O74" s="4086"/>
      <c r="P74" s="4086"/>
      <c r="Q74" s="4085"/>
      <c r="R74" s="4085"/>
      <c r="S74" s="4085"/>
      <c r="T74" s="4086"/>
      <c r="U74" s="4086"/>
      <c r="V74" s="4086"/>
    </row>
    <row r="75" spans="4:22" ht="36" customHeight="1">
      <c r="D75" s="4082" t="s">
        <v>5071</v>
      </c>
      <c r="E75" s="4083" t="s">
        <v>5072</v>
      </c>
      <c r="F75" s="4087"/>
      <c r="G75" s="4078"/>
      <c r="H75" s="4078"/>
      <c r="I75" s="4078"/>
      <c r="J75" s="4078"/>
      <c r="K75" s="4079" t="str">
        <f t="shared" si="12"/>
        <v/>
      </c>
      <c r="L75" s="4079" t="str">
        <f t="shared" si="12"/>
        <v/>
      </c>
      <c r="M75" s="4079" t="str">
        <f t="shared" si="12"/>
        <v/>
      </c>
      <c r="N75" s="4086"/>
      <c r="O75" s="4086"/>
      <c r="P75" s="4086"/>
      <c r="Q75" s="4085"/>
      <c r="R75" s="4085"/>
      <c r="S75" s="4085"/>
      <c r="T75" s="4086"/>
      <c r="U75" s="4086"/>
      <c r="V75" s="4086"/>
    </row>
    <row r="76" spans="4:22" ht="36" customHeight="1">
      <c r="D76" s="4082" t="s">
        <v>5073</v>
      </c>
      <c r="E76" s="4083" t="s">
        <v>5074</v>
      </c>
      <c r="F76" s="4084" t="str">
        <f>IF(OR(LEN(I76)=0,I76&gt;H76),"OK","ALARM")</f>
        <v>OK</v>
      </c>
      <c r="G76" s="4085"/>
      <c r="H76" s="4081">
        <f>G76+1</f>
        <v>1</v>
      </c>
      <c r="I76" s="4085"/>
      <c r="J76" s="4081">
        <f>I76+1</f>
        <v>1</v>
      </c>
      <c r="K76" s="4079" t="str">
        <f t="shared" si="12"/>
        <v/>
      </c>
      <c r="L76" s="4079" t="str">
        <f t="shared" si="12"/>
        <v/>
      </c>
      <c r="M76" s="4079" t="str">
        <f t="shared" si="12"/>
        <v/>
      </c>
      <c r="N76" s="4086"/>
      <c r="O76" s="4086"/>
      <c r="P76" s="4086"/>
      <c r="Q76" s="4085"/>
      <c r="R76" s="4085"/>
      <c r="S76" s="4085"/>
      <c r="T76" s="4086"/>
      <c r="U76" s="4086"/>
      <c r="V76" s="4086"/>
    </row>
    <row r="77" spans="4:22" ht="24" customHeight="1">
      <c r="D77" s="4076">
        <v>9</v>
      </c>
      <c r="E77" s="4077" t="s">
        <v>40</v>
      </c>
      <c r="F77" s="4077"/>
      <c r="G77" s="4088"/>
      <c r="H77" s="4088"/>
      <c r="I77" s="4088"/>
      <c r="J77" s="4088"/>
      <c r="K77" s="4079" t="e">
        <f t="shared" si="12"/>
        <v>#DIV/0!</v>
      </c>
      <c r="L77" s="4079" t="str">
        <f t="shared" si="12"/>
        <v/>
      </c>
      <c r="M77" s="4079" t="str">
        <f t="shared" si="12"/>
        <v/>
      </c>
      <c r="N77" s="4080">
        <f t="shared" ref="N77:V77" si="16">SUM(N80,N86,N92,N96,N99)</f>
        <v>2127.3910000000001</v>
      </c>
      <c r="O77" s="4080">
        <f t="shared" si="16"/>
        <v>0</v>
      </c>
      <c r="P77" s="4080">
        <f t="shared" si="16"/>
        <v>0</v>
      </c>
      <c r="Q77" s="4081">
        <f t="shared" si="16"/>
        <v>0</v>
      </c>
      <c r="R77" s="4081">
        <f t="shared" si="16"/>
        <v>0</v>
      </c>
      <c r="S77" s="4081">
        <f t="shared" si="16"/>
        <v>0</v>
      </c>
      <c r="T77" s="4080" t="e">
        <f t="shared" si="16"/>
        <v>#DIV/0!</v>
      </c>
      <c r="U77" s="4080" t="e">
        <f t="shared" si="16"/>
        <v>#DIV/0!</v>
      </c>
      <c r="V77" s="4080" t="e">
        <f t="shared" si="16"/>
        <v>#DIV/0!</v>
      </c>
    </row>
    <row r="78" spans="4:22" ht="56.25" customHeight="1">
      <c r="D78" s="4082" t="s">
        <v>5075</v>
      </c>
      <c r="E78" s="4083" t="s">
        <v>5076</v>
      </c>
      <c r="F78" s="4087"/>
      <c r="G78" s="4078"/>
      <c r="H78" s="4078"/>
      <c r="I78" s="4078"/>
      <c r="J78" s="4078"/>
      <c r="K78" s="4079">
        <f t="shared" si="12"/>
        <v>3.4595486918013663</v>
      </c>
      <c r="L78" s="4079" t="str">
        <f t="shared" si="12"/>
        <v/>
      </c>
      <c r="M78" s="4079" t="str">
        <f t="shared" si="12"/>
        <v/>
      </c>
      <c r="N78" s="4080">
        <f>SUM(N79,N80)</f>
        <v>2127.3910000000001</v>
      </c>
      <c r="O78" s="4080">
        <f>SUM(O79,O80)</f>
        <v>0</v>
      </c>
      <c r="P78" s="4080">
        <f>SUM(P79,P80)</f>
        <v>0</v>
      </c>
      <c r="Q78" s="4088"/>
      <c r="R78" s="4088"/>
      <c r="S78" s="4088"/>
      <c r="T78" s="4080">
        <f>SUM(T79,T80)</f>
        <v>7359.8127510000004</v>
      </c>
      <c r="U78" s="4080">
        <f>SUM(U79,U80)</f>
        <v>0</v>
      </c>
      <c r="V78" s="4080">
        <f>SUM(V79,V80)</f>
        <v>0</v>
      </c>
    </row>
    <row r="79" spans="4:22" ht="72" customHeight="1">
      <c r="D79" s="4082" t="s">
        <v>5077</v>
      </c>
      <c r="E79" s="4089" t="s">
        <v>5078</v>
      </c>
      <c r="F79" s="4087"/>
      <c r="G79" s="4078"/>
      <c r="H79" s="4078"/>
      <c r="I79" s="4078"/>
      <c r="J79" s="4078"/>
      <c r="K79" s="4079" t="str">
        <f t="shared" si="12"/>
        <v/>
      </c>
      <c r="L79" s="4079" t="str">
        <f t="shared" si="12"/>
        <v/>
      </c>
      <c r="M79" s="4079" t="str">
        <f t="shared" si="12"/>
        <v/>
      </c>
      <c r="N79" s="4086"/>
      <c r="O79" s="4086"/>
      <c r="P79" s="4086"/>
      <c r="Q79" s="4085"/>
      <c r="R79" s="4085"/>
      <c r="S79" s="4085"/>
      <c r="T79" s="4086"/>
      <c r="U79" s="4086"/>
      <c r="V79" s="4086"/>
    </row>
    <row r="80" spans="4:22" ht="72" customHeight="1">
      <c r="D80" s="4082" t="s">
        <v>5079</v>
      </c>
      <c r="E80" s="4089" t="s">
        <v>5080</v>
      </c>
      <c r="F80" s="4084" t="str">
        <f>IF(OR(LEN(I80)=0,I80&gt;H80),"OK","ALARM")</f>
        <v>OK</v>
      </c>
      <c r="G80" s="4085">
        <f>G41</f>
        <v>3900</v>
      </c>
      <c r="H80" s="4081">
        <f>G80+1</f>
        <v>3901</v>
      </c>
      <c r="I80" s="4085">
        <f>I41</f>
        <v>6000</v>
      </c>
      <c r="J80" s="4081">
        <f>I80+1</f>
        <v>6001</v>
      </c>
      <c r="K80" s="4079">
        <f t="shared" si="12"/>
        <v>3.4595486918013663</v>
      </c>
      <c r="L80" s="4079" t="str">
        <f t="shared" si="12"/>
        <v/>
      </c>
      <c r="M80" s="4079" t="str">
        <f t="shared" si="12"/>
        <v/>
      </c>
      <c r="N80" s="4086">
        <f>N122</f>
        <v>2127.3910000000001</v>
      </c>
      <c r="O80" s="4086">
        <f t="shared" ref="O80:P80" si="17">O122</f>
        <v>0</v>
      </c>
      <c r="P80" s="4086">
        <f t="shared" si="17"/>
        <v>0</v>
      </c>
      <c r="Q80" s="4085"/>
      <c r="R80" s="4085"/>
      <c r="S80" s="4085"/>
      <c r="T80" s="4086">
        <f t="shared" ref="T80:V80" si="18">T122</f>
        <v>7359.8127510000004</v>
      </c>
      <c r="U80" s="4086">
        <f t="shared" si="18"/>
        <v>0</v>
      </c>
      <c r="V80" s="4086">
        <f t="shared" si="18"/>
        <v>0</v>
      </c>
    </row>
    <row r="81" spans="4:22" ht="24" customHeight="1">
      <c r="D81" s="4082" t="s">
        <v>5081</v>
      </c>
      <c r="E81" s="4083" t="s">
        <v>5082</v>
      </c>
      <c r="F81" s="4087"/>
      <c r="G81" s="4078"/>
      <c r="H81" s="4078"/>
      <c r="I81" s="4078"/>
      <c r="J81" s="4078"/>
      <c r="K81" s="4079" t="str">
        <f t="shared" si="12"/>
        <v/>
      </c>
      <c r="L81" s="4079" t="str">
        <f t="shared" si="12"/>
        <v/>
      </c>
      <c r="M81" s="4079" t="str">
        <f t="shared" si="12"/>
        <v/>
      </c>
      <c r="N81" s="4080">
        <f>SUM(N82,N86)</f>
        <v>0</v>
      </c>
      <c r="O81" s="4080">
        <f>SUM(O82,O86)</f>
        <v>0</v>
      </c>
      <c r="P81" s="4080">
        <f>SUM(P82,P86)</f>
        <v>0</v>
      </c>
      <c r="Q81" s="4088"/>
      <c r="R81" s="4088"/>
      <c r="S81" s="4088"/>
      <c r="T81" s="4080">
        <f>SUM(T82,T86)</f>
        <v>0</v>
      </c>
      <c r="U81" s="4080">
        <f>SUM(U82,U86)</f>
        <v>0</v>
      </c>
      <c r="V81" s="4080">
        <f>SUM(V82,V86)</f>
        <v>0</v>
      </c>
    </row>
    <row r="82" spans="4:22" ht="36" customHeight="1">
      <c r="D82" s="4082" t="s">
        <v>5083</v>
      </c>
      <c r="E82" s="4089" t="s">
        <v>5084</v>
      </c>
      <c r="F82" s="4087"/>
      <c r="G82" s="4078"/>
      <c r="H82" s="4078"/>
      <c r="I82" s="4078"/>
      <c r="J82" s="4078"/>
      <c r="K82" s="4079" t="str">
        <f t="shared" ref="K82:M101" si="19">IF(N82=0,"",T82/N82)</f>
        <v/>
      </c>
      <c r="L82" s="4079" t="str">
        <f t="shared" si="19"/>
        <v/>
      </c>
      <c r="M82" s="4079" t="str">
        <f t="shared" si="19"/>
        <v/>
      </c>
      <c r="N82" s="4080">
        <f t="shared" ref="N82:V82" si="20">SUM(N83:N85)</f>
        <v>0</v>
      </c>
      <c r="O82" s="4080">
        <f t="shared" si="20"/>
        <v>0</v>
      </c>
      <c r="P82" s="4080">
        <f t="shared" si="20"/>
        <v>0</v>
      </c>
      <c r="Q82" s="4081">
        <f t="shared" si="20"/>
        <v>0</v>
      </c>
      <c r="R82" s="4081">
        <f t="shared" si="20"/>
        <v>0</v>
      </c>
      <c r="S82" s="4081">
        <f t="shared" si="20"/>
        <v>0</v>
      </c>
      <c r="T82" s="4080">
        <f t="shared" si="20"/>
        <v>0</v>
      </c>
      <c r="U82" s="4080">
        <f t="shared" si="20"/>
        <v>0</v>
      </c>
      <c r="V82" s="4080">
        <f t="shared" si="20"/>
        <v>0</v>
      </c>
    </row>
    <row r="83" spans="4:22" ht="24" customHeight="1">
      <c r="D83" s="4082" t="s">
        <v>5085</v>
      </c>
      <c r="E83" s="4090" t="s">
        <v>5086</v>
      </c>
      <c r="F83" s="4084" t="str">
        <f>IF(OR(LEN(I83)=0,I83&gt;H83),"OK","ALARM")</f>
        <v>OK</v>
      </c>
      <c r="G83" s="4085"/>
      <c r="H83" s="4081">
        <f>G83+1</f>
        <v>1</v>
      </c>
      <c r="I83" s="4085"/>
      <c r="J83" s="4081">
        <f>I83+1</f>
        <v>1</v>
      </c>
      <c r="K83" s="4079" t="str">
        <f t="shared" si="19"/>
        <v/>
      </c>
      <c r="L83" s="4079" t="str">
        <f t="shared" si="19"/>
        <v/>
      </c>
      <c r="M83" s="4079" t="str">
        <f t="shared" si="19"/>
        <v/>
      </c>
      <c r="N83" s="4086"/>
      <c r="O83" s="4086"/>
      <c r="P83" s="4086"/>
      <c r="Q83" s="4085"/>
      <c r="R83" s="4085"/>
      <c r="S83" s="4085"/>
      <c r="T83" s="4086"/>
      <c r="U83" s="4086"/>
      <c r="V83" s="4086"/>
    </row>
    <row r="84" spans="4:22" ht="45" customHeight="1">
      <c r="D84" s="4082" t="s">
        <v>5087</v>
      </c>
      <c r="E84" s="4090" t="s">
        <v>5015</v>
      </c>
      <c r="F84" s="4084" t="str">
        <f>IF(OR(LEN(I84)=0,I84&gt;H84),"OK","ALARM")</f>
        <v>OK</v>
      </c>
      <c r="G84" s="4085"/>
      <c r="H84" s="4081">
        <f>G84+1</f>
        <v>1</v>
      </c>
      <c r="I84" s="4085"/>
      <c r="J84" s="4081">
        <f>I84+1</f>
        <v>1</v>
      </c>
      <c r="K84" s="4079" t="str">
        <f t="shared" si="19"/>
        <v/>
      </c>
      <c r="L84" s="4079" t="str">
        <f t="shared" si="19"/>
        <v/>
      </c>
      <c r="M84" s="4079" t="str">
        <f t="shared" si="19"/>
        <v/>
      </c>
      <c r="N84" s="4086"/>
      <c r="O84" s="4086"/>
      <c r="P84" s="4086"/>
      <c r="Q84" s="4085"/>
      <c r="R84" s="4085"/>
      <c r="S84" s="4085"/>
      <c r="T84" s="4086"/>
      <c r="U84" s="4086"/>
      <c r="V84" s="4086"/>
    </row>
    <row r="85" spans="4:22" ht="45" customHeight="1">
      <c r="D85" s="4082" t="s">
        <v>5088</v>
      </c>
      <c r="E85" s="4090" t="s">
        <v>5016</v>
      </c>
      <c r="F85" s="4084" t="str">
        <f>IF(OR(LEN(I85)=0,I85&gt;H85),"OK","ALARM")</f>
        <v>OK</v>
      </c>
      <c r="G85" s="4085"/>
      <c r="H85" s="4081">
        <f>G85+1</f>
        <v>1</v>
      </c>
      <c r="I85" s="4085"/>
      <c r="J85" s="4081">
        <f>I85+1</f>
        <v>1</v>
      </c>
      <c r="K85" s="4079" t="str">
        <f t="shared" si="19"/>
        <v/>
      </c>
      <c r="L85" s="4079" t="str">
        <f t="shared" si="19"/>
        <v/>
      </c>
      <c r="M85" s="4079" t="str">
        <f t="shared" si="19"/>
        <v/>
      </c>
      <c r="N85" s="4086"/>
      <c r="O85" s="4086"/>
      <c r="P85" s="4086"/>
      <c r="Q85" s="4085"/>
      <c r="R85" s="4085"/>
      <c r="S85" s="4085"/>
      <c r="T85" s="4086"/>
      <c r="U85" s="4086"/>
      <c r="V85" s="4086"/>
    </row>
    <row r="86" spans="4:22" ht="35.25" customHeight="1">
      <c r="D86" s="4082" t="s">
        <v>5089</v>
      </c>
      <c r="E86" s="4089" t="s">
        <v>5090</v>
      </c>
      <c r="F86" s="4087"/>
      <c r="G86" s="4078"/>
      <c r="H86" s="4078"/>
      <c r="I86" s="4078"/>
      <c r="J86" s="4078"/>
      <c r="K86" s="4079" t="str">
        <f t="shared" si="19"/>
        <v/>
      </c>
      <c r="L86" s="4079" t="str">
        <f t="shared" si="19"/>
        <v/>
      </c>
      <c r="M86" s="4079" t="str">
        <f t="shared" si="19"/>
        <v/>
      </c>
      <c r="N86" s="4080">
        <f t="shared" ref="N86:V86" si="21">SUM(N87:N89)</f>
        <v>0</v>
      </c>
      <c r="O86" s="4080">
        <f t="shared" si="21"/>
        <v>0</v>
      </c>
      <c r="P86" s="4080">
        <f t="shared" si="21"/>
        <v>0</v>
      </c>
      <c r="Q86" s="4081">
        <f t="shared" si="21"/>
        <v>0</v>
      </c>
      <c r="R86" s="4081">
        <f t="shared" si="21"/>
        <v>0</v>
      </c>
      <c r="S86" s="4081">
        <f t="shared" si="21"/>
        <v>0</v>
      </c>
      <c r="T86" s="4080">
        <f t="shared" si="21"/>
        <v>0</v>
      </c>
      <c r="U86" s="4080">
        <f t="shared" si="21"/>
        <v>0</v>
      </c>
      <c r="V86" s="4080">
        <f t="shared" si="21"/>
        <v>0</v>
      </c>
    </row>
    <row r="87" spans="4:22" ht="24" customHeight="1">
      <c r="D87" s="4082" t="s">
        <v>5091</v>
      </c>
      <c r="E87" s="4090" t="s">
        <v>5086</v>
      </c>
      <c r="F87" s="4084" t="str">
        <f>IF(OR(LEN(I87)=0,I87&gt;H87),"OK","ALARM")</f>
        <v>OK</v>
      </c>
      <c r="G87" s="4085"/>
      <c r="H87" s="4081">
        <f>G87+1</f>
        <v>1</v>
      </c>
      <c r="I87" s="4085"/>
      <c r="J87" s="4081">
        <f>I87+1</f>
        <v>1</v>
      </c>
      <c r="K87" s="4079" t="str">
        <f t="shared" si="19"/>
        <v/>
      </c>
      <c r="L87" s="4079" t="str">
        <f t="shared" si="19"/>
        <v/>
      </c>
      <c r="M87" s="4079" t="str">
        <f t="shared" si="19"/>
        <v/>
      </c>
      <c r="N87" s="4086"/>
      <c r="O87" s="4086"/>
      <c r="P87" s="4086"/>
      <c r="Q87" s="4085"/>
      <c r="R87" s="4085"/>
      <c r="S87" s="4085"/>
      <c r="T87" s="4086"/>
      <c r="U87" s="4086"/>
      <c r="V87" s="4086"/>
    </row>
    <row r="88" spans="4:22" ht="48.75" customHeight="1">
      <c r="D88" s="4082" t="s">
        <v>5092</v>
      </c>
      <c r="E88" s="4090" t="s">
        <v>5015</v>
      </c>
      <c r="F88" s="4084" t="str">
        <f>IF(OR(LEN(I88)=0,I88&gt;H88),"OK","ALARM")</f>
        <v>OK</v>
      </c>
      <c r="G88" s="4085"/>
      <c r="H88" s="4081">
        <f>G88+1</f>
        <v>1</v>
      </c>
      <c r="I88" s="4085"/>
      <c r="J88" s="4081">
        <f>I88+1</f>
        <v>1</v>
      </c>
      <c r="K88" s="4079" t="str">
        <f t="shared" si="19"/>
        <v/>
      </c>
      <c r="L88" s="4079" t="str">
        <f t="shared" si="19"/>
        <v/>
      </c>
      <c r="M88" s="4079" t="str">
        <f t="shared" si="19"/>
        <v/>
      </c>
      <c r="N88" s="4086">
        <f>N123</f>
        <v>0</v>
      </c>
      <c r="O88" s="4086">
        <f t="shared" ref="O88:P88" si="22">O123</f>
        <v>0</v>
      </c>
      <c r="P88" s="4086">
        <f t="shared" si="22"/>
        <v>0</v>
      </c>
      <c r="Q88" s="4085"/>
      <c r="R88" s="4085"/>
      <c r="S88" s="4085"/>
      <c r="T88" s="4086">
        <f t="shared" ref="T88:V88" si="23">T123</f>
        <v>0</v>
      </c>
      <c r="U88" s="4086">
        <f t="shared" si="23"/>
        <v>0</v>
      </c>
      <c r="V88" s="4086">
        <f t="shared" si="23"/>
        <v>0</v>
      </c>
    </row>
    <row r="89" spans="4:22" ht="48.75" customHeight="1">
      <c r="D89" s="4082" t="s">
        <v>5093</v>
      </c>
      <c r="E89" s="4090" t="s">
        <v>5016</v>
      </c>
      <c r="F89" s="4084" t="str">
        <f>IF(OR(LEN(I89)=0,I89&gt;H89),"OK","ALARM")</f>
        <v>OK</v>
      </c>
      <c r="G89" s="4085"/>
      <c r="H89" s="4081">
        <f>G89+1</f>
        <v>1</v>
      </c>
      <c r="I89" s="4085"/>
      <c r="J89" s="4081">
        <f>I89+1</f>
        <v>1</v>
      </c>
      <c r="K89" s="4079" t="str">
        <f t="shared" si="19"/>
        <v/>
      </c>
      <c r="L89" s="4079" t="str">
        <f t="shared" si="19"/>
        <v/>
      </c>
      <c r="M89" s="4079" t="str">
        <f t="shared" si="19"/>
        <v/>
      </c>
      <c r="N89" s="4086"/>
      <c r="O89" s="4086"/>
      <c r="P89" s="4086"/>
      <c r="Q89" s="4085"/>
      <c r="R89" s="4085"/>
      <c r="S89" s="4085"/>
      <c r="T89" s="4086"/>
      <c r="U89" s="4086"/>
      <c r="V89" s="4086"/>
    </row>
    <row r="90" spans="4:22" ht="39" customHeight="1">
      <c r="D90" s="4082" t="s">
        <v>5094</v>
      </c>
      <c r="E90" s="4083" t="s">
        <v>5095</v>
      </c>
      <c r="F90" s="4087"/>
      <c r="G90" s="4078"/>
      <c r="H90" s="4078"/>
      <c r="I90" s="4078"/>
      <c r="J90" s="4078"/>
      <c r="K90" s="4079" t="str">
        <f t="shared" si="19"/>
        <v/>
      </c>
      <c r="L90" s="4079" t="str">
        <f t="shared" si="19"/>
        <v/>
      </c>
      <c r="M90" s="4079" t="str">
        <f t="shared" si="19"/>
        <v/>
      </c>
      <c r="N90" s="4080">
        <f>SUM(N91,N92)</f>
        <v>0</v>
      </c>
      <c r="O90" s="4080">
        <f>SUM(O91,O92)</f>
        <v>0</v>
      </c>
      <c r="P90" s="4080">
        <f>SUM(P91,P92)</f>
        <v>0</v>
      </c>
      <c r="Q90" s="4088"/>
      <c r="R90" s="4088"/>
      <c r="S90" s="4088"/>
      <c r="T90" s="4080">
        <f>SUM(T91,T92)</f>
        <v>0</v>
      </c>
      <c r="U90" s="4080">
        <f>SUM(U91,U92)</f>
        <v>0</v>
      </c>
      <c r="V90" s="4080">
        <f>SUM(V91,V92)</f>
        <v>0</v>
      </c>
    </row>
    <row r="91" spans="4:22" ht="48.75" customHeight="1">
      <c r="D91" s="4082" t="s">
        <v>5096</v>
      </c>
      <c r="E91" s="4089" t="s">
        <v>5097</v>
      </c>
      <c r="F91" s="4087"/>
      <c r="G91" s="4078"/>
      <c r="H91" s="4078"/>
      <c r="I91" s="4078"/>
      <c r="J91" s="4078"/>
      <c r="K91" s="4079" t="str">
        <f t="shared" si="19"/>
        <v/>
      </c>
      <c r="L91" s="4079" t="str">
        <f t="shared" si="19"/>
        <v/>
      </c>
      <c r="M91" s="4079" t="str">
        <f t="shared" si="19"/>
        <v/>
      </c>
      <c r="N91" s="4086"/>
      <c r="O91" s="4086"/>
      <c r="P91" s="4086"/>
      <c r="Q91" s="4085"/>
      <c r="R91" s="4085"/>
      <c r="S91" s="4085"/>
      <c r="T91" s="4086"/>
      <c r="U91" s="4086"/>
      <c r="V91" s="4086"/>
    </row>
    <row r="92" spans="4:22" ht="48.75" customHeight="1">
      <c r="D92" s="4082" t="s">
        <v>5098</v>
      </c>
      <c r="E92" s="4089" t="s">
        <v>5099</v>
      </c>
      <c r="F92" s="4084" t="str">
        <f>IF(OR(LEN(I92)=0,I92&gt;H92),"OK","ALARM")</f>
        <v>OK</v>
      </c>
      <c r="G92" s="4085"/>
      <c r="H92" s="4081">
        <f>G92+1</f>
        <v>1</v>
      </c>
      <c r="I92" s="4085"/>
      <c r="J92" s="4081">
        <f>I92+1</f>
        <v>1</v>
      </c>
      <c r="K92" s="4079" t="str">
        <f t="shared" si="19"/>
        <v/>
      </c>
      <c r="L92" s="4079" t="str">
        <f t="shared" si="19"/>
        <v/>
      </c>
      <c r="M92" s="4079" t="str">
        <f t="shared" si="19"/>
        <v/>
      </c>
      <c r="N92" s="4086"/>
      <c r="O92" s="4086"/>
      <c r="P92" s="4086"/>
      <c r="Q92" s="4085"/>
      <c r="R92" s="4085"/>
      <c r="S92" s="4085"/>
      <c r="T92" s="4086"/>
      <c r="U92" s="4086"/>
      <c r="V92" s="4086"/>
    </row>
    <row r="93" spans="4:22" ht="54" customHeight="1">
      <c r="D93" s="4082" t="s">
        <v>5100</v>
      </c>
      <c r="E93" s="4083" t="s">
        <v>5101</v>
      </c>
      <c r="F93" s="4084" t="str">
        <f>IF(OR(LEN(I93)=0,I93&gt;H93),"OK","ALARM")</f>
        <v>OK</v>
      </c>
      <c r="G93" s="4085"/>
      <c r="H93" s="4081">
        <f>G93+1</f>
        <v>1</v>
      </c>
      <c r="I93" s="4085"/>
      <c r="J93" s="4081">
        <f>I93+1</f>
        <v>1</v>
      </c>
      <c r="K93" s="4079" t="str">
        <f t="shared" si="19"/>
        <v/>
      </c>
      <c r="L93" s="4079" t="str">
        <f t="shared" si="19"/>
        <v/>
      </c>
      <c r="M93" s="4079" t="str">
        <f t="shared" si="19"/>
        <v/>
      </c>
      <c r="N93" s="4086"/>
      <c r="O93" s="4086"/>
      <c r="P93" s="4086"/>
      <c r="Q93" s="4085"/>
      <c r="R93" s="4085"/>
      <c r="S93" s="4085"/>
      <c r="T93" s="4086"/>
      <c r="U93" s="4086"/>
      <c r="V93" s="4086"/>
    </row>
    <row r="94" spans="4:22" ht="14.25" customHeight="1">
      <c r="D94" s="4082" t="s">
        <v>5102</v>
      </c>
      <c r="E94" s="4083" t="s">
        <v>5103</v>
      </c>
      <c r="F94" s="4087"/>
      <c r="G94" s="4078"/>
      <c r="H94" s="4078"/>
      <c r="I94" s="4078"/>
      <c r="J94" s="4078"/>
      <c r="K94" s="4079" t="str">
        <f t="shared" si="19"/>
        <v/>
      </c>
      <c r="L94" s="4079" t="str">
        <f t="shared" si="19"/>
        <v/>
      </c>
      <c r="M94" s="4079" t="str">
        <f t="shared" si="19"/>
        <v/>
      </c>
      <c r="N94" s="4080">
        <f>SUM(N95,N96)</f>
        <v>0</v>
      </c>
      <c r="O94" s="4080">
        <f>SUM(O95,O96)</f>
        <v>0</v>
      </c>
      <c r="P94" s="4080">
        <f>SUM(P95,P96)</f>
        <v>0</v>
      </c>
      <c r="Q94" s="4088"/>
      <c r="R94" s="4088"/>
      <c r="S94" s="4088"/>
      <c r="T94" s="4080">
        <f>SUM(T95,T96)</f>
        <v>0</v>
      </c>
      <c r="U94" s="4080">
        <f>SUM(U95,U96)</f>
        <v>0</v>
      </c>
      <c r="V94" s="4080">
        <f>SUM(V95,V96)</f>
        <v>0</v>
      </c>
    </row>
    <row r="95" spans="4:22" ht="24" customHeight="1">
      <c r="D95" s="4082" t="s">
        <v>5104</v>
      </c>
      <c r="E95" s="4089" t="s">
        <v>5105</v>
      </c>
      <c r="F95" s="4087"/>
      <c r="G95" s="4078"/>
      <c r="H95" s="4078"/>
      <c r="I95" s="4078"/>
      <c r="J95" s="4078"/>
      <c r="K95" s="4079" t="str">
        <f t="shared" si="19"/>
        <v/>
      </c>
      <c r="L95" s="4079" t="str">
        <f t="shared" si="19"/>
        <v/>
      </c>
      <c r="M95" s="4079" t="str">
        <f t="shared" si="19"/>
        <v/>
      </c>
      <c r="N95" s="4086"/>
      <c r="O95" s="4086"/>
      <c r="P95" s="4086"/>
      <c r="Q95" s="4085"/>
      <c r="R95" s="4085"/>
      <c r="S95" s="4085"/>
      <c r="T95" s="4086"/>
      <c r="U95" s="4086"/>
      <c r="V95" s="4086"/>
    </row>
    <row r="96" spans="4:22" ht="24" customHeight="1">
      <c r="D96" s="4082" t="s">
        <v>5106</v>
      </c>
      <c r="E96" s="4089" t="s">
        <v>5107</v>
      </c>
      <c r="F96" s="4084" t="str">
        <f>IF(OR(LEN(I96)=0,I96&gt;H96),"OK","ALARM")</f>
        <v>OK</v>
      </c>
      <c r="G96" s="4085"/>
      <c r="H96" s="4081">
        <f>G96+1</f>
        <v>1</v>
      </c>
      <c r="I96" s="4085"/>
      <c r="J96" s="4081">
        <f>I96+1</f>
        <v>1</v>
      </c>
      <c r="K96" s="4079" t="str">
        <f t="shared" si="19"/>
        <v/>
      </c>
      <c r="L96" s="4079" t="str">
        <f t="shared" si="19"/>
        <v/>
      </c>
      <c r="M96" s="4079" t="str">
        <f t="shared" si="19"/>
        <v/>
      </c>
      <c r="N96" s="4086">
        <f>N125</f>
        <v>0</v>
      </c>
      <c r="O96" s="4086">
        <f t="shared" ref="O96:P96" si="24">O125</f>
        <v>0</v>
      </c>
      <c r="P96" s="4086">
        <f t="shared" si="24"/>
        <v>0</v>
      </c>
      <c r="Q96" s="4085"/>
      <c r="R96" s="4085"/>
      <c r="S96" s="4085"/>
      <c r="T96" s="4086">
        <f t="shared" ref="T96:V96" si="25">T125</f>
        <v>0</v>
      </c>
      <c r="U96" s="4086">
        <f t="shared" si="25"/>
        <v>0</v>
      </c>
      <c r="V96" s="4086">
        <f t="shared" si="25"/>
        <v>0</v>
      </c>
    </row>
    <row r="97" spans="4:22" ht="66" customHeight="1">
      <c r="D97" s="4082" t="s">
        <v>5108</v>
      </c>
      <c r="E97" s="4083" t="s">
        <v>5109</v>
      </c>
      <c r="F97" s="4087"/>
      <c r="G97" s="4078"/>
      <c r="H97" s="4078"/>
      <c r="I97" s="4078"/>
      <c r="J97" s="4078"/>
      <c r="K97" s="4079" t="str">
        <f t="shared" si="19"/>
        <v/>
      </c>
      <c r="L97" s="4079" t="str">
        <f t="shared" si="19"/>
        <v/>
      </c>
      <c r="M97" s="4079" t="str">
        <f t="shared" si="19"/>
        <v/>
      </c>
      <c r="N97" s="4080">
        <f>SUM(N98,N99)</f>
        <v>0</v>
      </c>
      <c r="O97" s="4080">
        <f>SUM(O98,O99)</f>
        <v>0</v>
      </c>
      <c r="P97" s="4080">
        <f>SUM(P98,P99)</f>
        <v>0</v>
      </c>
      <c r="Q97" s="4088"/>
      <c r="R97" s="4088"/>
      <c r="S97" s="4088"/>
      <c r="T97" s="4080" t="e">
        <f>SUM(T98,T99)</f>
        <v>#DIV/0!</v>
      </c>
      <c r="U97" s="4080" t="e">
        <f>SUM(U98,U99)</f>
        <v>#DIV/0!</v>
      </c>
      <c r="V97" s="4080" t="e">
        <f>SUM(V98,V99)</f>
        <v>#DIV/0!</v>
      </c>
    </row>
    <row r="98" spans="4:22" ht="78" customHeight="1">
      <c r="D98" s="4082" t="s">
        <v>5110</v>
      </c>
      <c r="E98" s="4089" t="s">
        <v>5111</v>
      </c>
      <c r="F98" s="4087"/>
      <c r="G98" s="4078"/>
      <c r="H98" s="4078"/>
      <c r="I98" s="4078"/>
      <c r="J98" s="4078"/>
      <c r="K98" s="4079" t="str">
        <f t="shared" si="19"/>
        <v/>
      </c>
      <c r="L98" s="4079" t="str">
        <f t="shared" si="19"/>
        <v/>
      </c>
      <c r="M98" s="4079" t="str">
        <f t="shared" si="19"/>
        <v/>
      </c>
      <c r="N98" s="4086"/>
      <c r="O98" s="4086"/>
      <c r="P98" s="4086"/>
      <c r="Q98" s="4085"/>
      <c r="R98" s="4085"/>
      <c r="S98" s="4085"/>
      <c r="T98" s="4086"/>
      <c r="U98" s="4086"/>
      <c r="V98" s="4086"/>
    </row>
    <row r="99" spans="4:22" ht="78" customHeight="1">
      <c r="D99" s="4082" t="s">
        <v>5112</v>
      </c>
      <c r="E99" s="4089" t="s">
        <v>5113</v>
      </c>
      <c r="F99" s="4084" t="str">
        <f>IF(OR(LEN(I99)=0,I99&gt;H99),"OK","ALARM")</f>
        <v>OK</v>
      </c>
      <c r="G99" s="4085"/>
      <c r="H99" s="4081">
        <f>G99+1</f>
        <v>1</v>
      </c>
      <c r="I99" s="4085"/>
      <c r="J99" s="4081">
        <f>I99+1</f>
        <v>1</v>
      </c>
      <c r="K99" s="4079" t="str">
        <f t="shared" si="19"/>
        <v/>
      </c>
      <c r="L99" s="4079" t="str">
        <f t="shared" si="19"/>
        <v/>
      </c>
      <c r="M99" s="4079" t="str">
        <f t="shared" si="19"/>
        <v/>
      </c>
      <c r="N99" s="4086">
        <f>N127</f>
        <v>0</v>
      </c>
      <c r="O99" s="4086">
        <f t="shared" ref="O99:P99" si="26">O127</f>
        <v>0</v>
      </c>
      <c r="P99" s="4086">
        <f t="shared" si="26"/>
        <v>0</v>
      </c>
      <c r="Q99" s="4085"/>
      <c r="R99" s="4085"/>
      <c r="S99" s="4085"/>
      <c r="T99" s="4086" t="e">
        <f t="shared" ref="T99:V99" si="27">T127</f>
        <v>#DIV/0!</v>
      </c>
      <c r="U99" s="4086" t="e">
        <f t="shared" si="27"/>
        <v>#DIV/0!</v>
      </c>
      <c r="V99" s="4086" t="e">
        <f t="shared" si="27"/>
        <v>#DIV/0!</v>
      </c>
    </row>
    <row r="100" spans="4:22" ht="24" customHeight="1">
      <c r="D100" s="4076"/>
      <c r="E100" s="4077" t="s">
        <v>1438</v>
      </c>
      <c r="F100" s="4077"/>
      <c r="G100" s="4088"/>
      <c r="H100" s="4088"/>
      <c r="I100" s="4088"/>
      <c r="J100" s="4088"/>
      <c r="K100" s="4079" t="e">
        <f t="shared" si="19"/>
        <v>#DIV/0!</v>
      </c>
      <c r="L100" s="4079" t="e">
        <f t="shared" si="19"/>
        <v>#DIV/0!</v>
      </c>
      <c r="M100" s="4079" t="str">
        <f t="shared" si="19"/>
        <v/>
      </c>
      <c r="N100" s="4080">
        <f t="shared" ref="N100:V100" si="28">SUM(N18,N26,N35,N40,N49,N58,N63,N72,N77)</f>
        <v>23420.424999999999</v>
      </c>
      <c r="O100" s="4080">
        <f t="shared" si="28"/>
        <v>20.679000000000002</v>
      </c>
      <c r="P100" s="4080">
        <f t="shared" si="28"/>
        <v>0</v>
      </c>
      <c r="Q100" s="4081">
        <f t="shared" si="28"/>
        <v>0</v>
      </c>
      <c r="R100" s="4081">
        <f t="shared" si="28"/>
        <v>0</v>
      </c>
      <c r="S100" s="4081">
        <f t="shared" si="28"/>
        <v>0</v>
      </c>
      <c r="T100" s="4080" t="e">
        <f t="shared" si="28"/>
        <v>#DIV/0!</v>
      </c>
      <c r="U100" s="4080" t="e">
        <f t="shared" si="28"/>
        <v>#DIV/0!</v>
      </c>
      <c r="V100" s="4080" t="e">
        <f t="shared" si="28"/>
        <v>#DIV/0!</v>
      </c>
    </row>
    <row r="101" spans="4:22" ht="24" customHeight="1">
      <c r="D101" s="4076"/>
      <c r="E101" s="4077" t="s">
        <v>5114</v>
      </c>
      <c r="F101" s="4077"/>
      <c r="G101" s="4088"/>
      <c r="H101" s="4088"/>
      <c r="I101" s="4088"/>
      <c r="J101" s="4088"/>
      <c r="K101" s="4079" t="e">
        <f t="shared" si="19"/>
        <v>#DIV/0!</v>
      </c>
      <c r="L101" s="4079" t="e">
        <f t="shared" si="19"/>
        <v>#DIV/0!</v>
      </c>
      <c r="M101" s="4079" t="str">
        <f t="shared" si="19"/>
        <v/>
      </c>
      <c r="N101" s="4080">
        <f>SUM(N19:N25,N27:N34,N36:N39,N41:N48,N50:N57,N59:N62,N64:N71,N73:N76)+SUM(N78,N81,N90,N93,N94,N97)</f>
        <v>23420.424999999999</v>
      </c>
      <c r="O101" s="4080">
        <f>SUM(O19:O25,O27:O34,O36:O39,O41:O48,O50:O57,O59:O62,O64:O71,O73:O76)+SUM(O78,O81,O90,O93,O94,O97)</f>
        <v>20.679000000000002</v>
      </c>
      <c r="P101" s="4080">
        <f>SUM(P19:P25,P27:P34,P36:P39,P41:P48,P50:P57,P59:P62,P64:P71,P73:P76)+SUM(P78,P81,P90,P93,P94,P97)</f>
        <v>0</v>
      </c>
      <c r="Q101" s="4088"/>
      <c r="R101" s="4088"/>
      <c r="S101" s="4088"/>
      <c r="T101" s="4080" t="e">
        <f>SUM(T19:T25,T27:T34,T36:T39,T41:T48,T50:T57,T59:T62,T64:T71,T73:T76)+SUM(T78,T81,T90,T93,T94,T97)</f>
        <v>#DIV/0!</v>
      </c>
      <c r="U101" s="4080" t="e">
        <f>SUM(U19:U25,U27:U34,U36:U39,U41:U48,U50:U57,U59:U62,U64:U71,U73:U76)+SUM(U78,U81,U90,U93,U94,U97)</f>
        <v>#DIV/0!</v>
      </c>
      <c r="V101" s="4080" t="e">
        <f>SUM(V19:V25,V27:V34,V36:V39,V41:V48,V50:V57,V59:V62,V64:V71,V73:V76)+SUM(V78,V81,V90,V93,V94,V97)</f>
        <v>#DIV/0!</v>
      </c>
    </row>
    <row r="106" spans="4:22">
      <c r="N106" s="4056">
        <f>N101+O101+P101</f>
        <v>23441.103999999999</v>
      </c>
      <c r="T106" s="4056" t="e">
        <f>T101+U101+V101</f>
        <v>#DIV/0!</v>
      </c>
    </row>
    <row r="108" spans="4:22">
      <c r="N108" s="4056">
        <f>'Раздел I. В'!F18</f>
        <v>24830.239000000001</v>
      </c>
      <c r="T108" s="4056">
        <f>'Раздел I. В'!G18</f>
        <v>67303.919316799991</v>
      </c>
    </row>
    <row r="111" spans="4:22">
      <c r="N111" s="4056">
        <f>N108-N106</f>
        <v>1389.135000000002</v>
      </c>
      <c r="T111" s="4056" t="e">
        <f>T108-T106</f>
        <v>#DIV/0!</v>
      </c>
    </row>
    <row r="114" spans="13:22">
      <c r="M114" s="4100" t="s">
        <v>1178</v>
      </c>
      <c r="N114" s="4056">
        <f>'Раздел I. В'!I25</f>
        <v>99.606999999999999</v>
      </c>
      <c r="O114" s="4056">
        <v>0</v>
      </c>
      <c r="P114" s="4056">
        <v>0</v>
      </c>
      <c r="T114" s="4056">
        <f>'Раздел I. В'!J25</f>
        <v>402.90068679999996</v>
      </c>
      <c r="U114" s="4056">
        <v>0</v>
      </c>
      <c r="V114" s="4056">
        <v>0</v>
      </c>
    </row>
    <row r="115" spans="13:22">
      <c r="O115" s="4101"/>
    </row>
    <row r="116" spans="13:22">
      <c r="M116" s="4100"/>
    </row>
    <row r="118" spans="13:22">
      <c r="M118" s="4100" t="s">
        <v>5136</v>
      </c>
      <c r="N118" s="4056">
        <f>M119-O118</f>
        <v>20122.650000000001</v>
      </c>
      <c r="O118" s="4056">
        <f>ROUND(M119*0.1%,3)</f>
        <v>20.143000000000001</v>
      </c>
      <c r="P118" s="4056">
        <v>0</v>
      </c>
      <c r="T118" s="4056">
        <f>S119-U118</f>
        <v>52124.246002599997</v>
      </c>
      <c r="U118" s="4056">
        <f>ROUND(S119*0.1%,3)</f>
        <v>52.176000000000002</v>
      </c>
      <c r="V118" s="4056">
        <v>0</v>
      </c>
    </row>
    <row r="119" spans="13:22">
      <c r="M119" s="4100">
        <f>'Раздел I. В'!F30</f>
        <v>20142.793000000001</v>
      </c>
      <c r="S119" s="4056">
        <f>'Раздел I. В'!G30</f>
        <v>52176.422002599997</v>
      </c>
    </row>
    <row r="120" spans="13:22">
      <c r="M120" s="4100" t="s">
        <v>5137</v>
      </c>
      <c r="N120" s="4056">
        <f>M121-O120</f>
        <v>1070.777</v>
      </c>
      <c r="O120" s="4056">
        <f>ROUND(M121*0.05%,3)</f>
        <v>0.53600000000000003</v>
      </c>
      <c r="P120" s="4056">
        <v>0</v>
      </c>
      <c r="T120" s="4056">
        <f>S121-U120</f>
        <v>2773.6620000000003</v>
      </c>
      <c r="U120" s="4056">
        <f>ROUND(S121*0.05%,3)</f>
        <v>1.3879999999999999</v>
      </c>
      <c r="V120" s="4056">
        <v>0</v>
      </c>
    </row>
    <row r="121" spans="13:22">
      <c r="M121" s="4056">
        <f>'Раздел I. В'!F27</f>
        <v>1071.3130000000001</v>
      </c>
      <c r="S121" s="4056">
        <f>'Раздел I. В'!G27</f>
        <v>2775.05</v>
      </c>
    </row>
    <row r="122" spans="13:22">
      <c r="M122" s="4100" t="s">
        <v>4921</v>
      </c>
      <c r="N122" s="4056">
        <f>'Раздел I. В'!I43+'Раздел I. В'!L43+'Раздел I. В'!M43</f>
        <v>2127.3910000000001</v>
      </c>
      <c r="O122" s="4056">
        <v>0</v>
      </c>
      <c r="P122" s="4056">
        <v>0</v>
      </c>
      <c r="T122" s="4056">
        <f>'Раздел I. В'!J43+'Раздел I. В'!N43+'Раздел I. В'!O43</f>
        <v>7359.8127510000004</v>
      </c>
      <c r="U122" s="4056">
        <v>0</v>
      </c>
      <c r="V122" s="4056">
        <v>0</v>
      </c>
    </row>
    <row r="123" spans="13:22">
      <c r="M123" s="4100" t="s">
        <v>5138</v>
      </c>
      <c r="N123" s="4056">
        <f>'Раздел I. В'!I46+'Раздел I. В'!L46+'Раздел I. В'!M46</f>
        <v>0</v>
      </c>
      <c r="O123" s="4056">
        <v>0</v>
      </c>
      <c r="P123" s="4056">
        <v>0</v>
      </c>
      <c r="T123" s="4056">
        <f>'Раздел I. В'!N46+'Раздел I. В'!O46</f>
        <v>0</v>
      </c>
      <c r="U123" s="4056">
        <v>0</v>
      </c>
      <c r="V123" s="4056">
        <v>0</v>
      </c>
    </row>
    <row r="125" spans="13:22">
      <c r="M125" s="4100" t="s">
        <v>5139</v>
      </c>
      <c r="N125" s="4056">
        <f>'Раздел I. В'!I52+'Раздел I. В'!L52+'Раздел I. В'!M52</f>
        <v>0</v>
      </c>
      <c r="O125" s="4056">
        <v>0</v>
      </c>
      <c r="P125" s="4056">
        <v>0</v>
      </c>
      <c r="T125" s="4056">
        <f>'Раздел I. В'!J52+'Раздел I. В'!N52+'Раздел I. В'!O52</f>
        <v>0</v>
      </c>
      <c r="U125" s="4056">
        <v>0</v>
      </c>
      <c r="V125" s="4056">
        <v>0</v>
      </c>
    </row>
    <row r="127" spans="13:22">
      <c r="M127" s="4100" t="s">
        <v>5140</v>
      </c>
      <c r="N127" s="4056">
        <f>M128-O127-P127</f>
        <v>0</v>
      </c>
      <c r="O127" s="4056">
        <f>ROUND(M128*7%,3)</f>
        <v>0</v>
      </c>
      <c r="P127" s="4056">
        <f>ROUND(M128*6%,3)</f>
        <v>0</v>
      </c>
      <c r="T127" s="4056" t="e">
        <f>S128-U127-V127</f>
        <v>#DIV/0!</v>
      </c>
      <c r="U127" s="4056" t="e">
        <f>ROUND(O127/M128*S128,3)</f>
        <v>#DIV/0!</v>
      </c>
      <c r="V127" s="4056" t="e">
        <f>ROUND(P127/M128*S128,3)</f>
        <v>#DIV/0!</v>
      </c>
    </row>
    <row r="128" spans="13:22">
      <c r="M128" s="4056">
        <f>'Раздел I. В'!I58+'Раздел I. В'!L58+'Раздел I. В'!M58</f>
        <v>0</v>
      </c>
      <c r="S128" s="4056">
        <f>'Раздел I. В'!J58+'Раздел I. В'!N58+'Раздел I. В'!O58</f>
        <v>0</v>
      </c>
    </row>
  </sheetData>
  <mergeCells count="9">
    <mergeCell ref="Q12:S12"/>
    <mergeCell ref="T12:V12"/>
    <mergeCell ref="H13:I13"/>
    <mergeCell ref="D12:D16"/>
    <mergeCell ref="E12:E16"/>
    <mergeCell ref="F12:F16"/>
    <mergeCell ref="G12:J12"/>
    <mergeCell ref="K12:M12"/>
    <mergeCell ref="N12:P1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K60"/>
  <sheetViews>
    <sheetView topLeftCell="C40" workbookViewId="0">
      <selection activeCell="J26" sqref="J26"/>
    </sheetView>
  </sheetViews>
  <sheetFormatPr defaultColWidth="8.28515625" defaultRowHeight="11.25"/>
  <cols>
    <col min="1" max="2" width="8.28515625" style="668" hidden="1" customWidth="1"/>
    <col min="3" max="3" width="3.7109375" style="668" customWidth="1"/>
    <col min="4" max="4" width="37" style="668" customWidth="1"/>
    <col min="5" max="5" width="6.28515625" style="668" customWidth="1"/>
    <col min="6" max="63" width="8.7109375" style="668" customWidth="1"/>
    <col min="64" max="89" width="9.7109375" style="668" customWidth="1"/>
    <col min="90" max="16384" width="8.28515625" style="668"/>
  </cols>
  <sheetData>
    <row r="1" spans="1:89" hidden="1"/>
    <row r="2" spans="1:89" hidden="1"/>
    <row r="3" spans="1:89" hidden="1">
      <c r="A3" s="669"/>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c r="AQ3" s="670"/>
      <c r="AR3" s="670"/>
      <c r="AS3" s="670"/>
      <c r="AT3" s="670"/>
      <c r="AU3" s="670"/>
      <c r="AV3" s="670"/>
      <c r="AW3" s="670"/>
      <c r="AX3" s="670"/>
      <c r="AY3" s="670"/>
      <c r="AZ3" s="670"/>
      <c r="BA3" s="670"/>
      <c r="BB3" s="670"/>
      <c r="BC3" s="670"/>
      <c r="BD3" s="670"/>
      <c r="BE3" s="670"/>
      <c r="BF3" s="670"/>
      <c r="BG3" s="670"/>
      <c r="BH3" s="670"/>
      <c r="BI3" s="670"/>
      <c r="BJ3" s="670"/>
      <c r="BK3" s="670"/>
      <c r="BL3" s="670"/>
      <c r="BM3" s="670"/>
      <c r="BN3" s="670"/>
      <c r="BO3" s="670"/>
      <c r="BP3" s="670"/>
      <c r="BQ3" s="670"/>
      <c r="BR3" s="670"/>
      <c r="BS3" s="670"/>
      <c r="BT3" s="670"/>
      <c r="BU3" s="670"/>
      <c r="BV3" s="670"/>
      <c r="BW3" s="670"/>
      <c r="BX3" s="670"/>
      <c r="BY3" s="670"/>
      <c r="BZ3" s="670"/>
      <c r="CA3" s="670"/>
      <c r="CB3" s="670"/>
      <c r="CC3" s="670"/>
      <c r="CD3" s="670"/>
      <c r="CE3" s="670"/>
      <c r="CF3" s="670"/>
      <c r="CG3" s="670"/>
      <c r="CH3" s="670"/>
      <c r="CI3" s="670"/>
      <c r="CJ3" s="670"/>
      <c r="CK3" s="670"/>
    </row>
    <row r="4" spans="1:89" hidden="1">
      <c r="A4" s="671"/>
    </row>
    <row r="5" spans="1:89" hidden="1">
      <c r="A5" s="671"/>
      <c r="H5" s="672"/>
      <c r="I5" s="672"/>
      <c r="J5" s="672"/>
      <c r="K5" s="672"/>
      <c r="L5" s="672"/>
      <c r="O5" s="672"/>
      <c r="P5" s="672"/>
      <c r="Q5" s="672"/>
      <c r="R5" s="672"/>
      <c r="S5" s="672"/>
      <c r="V5" s="672"/>
      <c r="W5" s="672"/>
      <c r="X5" s="672"/>
      <c r="Y5" s="672"/>
      <c r="Z5" s="672"/>
      <c r="AC5" s="672"/>
      <c r="AD5" s="672"/>
      <c r="AE5" s="672"/>
      <c r="AF5" s="672"/>
      <c r="AG5" s="672"/>
      <c r="AJ5" s="672"/>
      <c r="AK5" s="672"/>
      <c r="AL5" s="672"/>
      <c r="AM5" s="672"/>
      <c r="AN5" s="672"/>
      <c r="AQ5" s="672"/>
      <c r="AR5" s="672"/>
      <c r="AS5" s="672"/>
      <c r="AT5" s="672"/>
      <c r="AU5" s="672"/>
      <c r="AX5" s="672"/>
      <c r="AY5" s="672"/>
      <c r="AZ5" s="672"/>
      <c r="BA5" s="672"/>
      <c r="BB5" s="672"/>
      <c r="BE5" s="672"/>
      <c r="BF5" s="672"/>
      <c r="BG5" s="672"/>
      <c r="BH5" s="672"/>
      <c r="BI5" s="672"/>
      <c r="BL5" s="672"/>
      <c r="BM5" s="672"/>
      <c r="BN5" s="672"/>
      <c r="BO5" s="672"/>
      <c r="BP5" s="672"/>
      <c r="BS5" s="672"/>
      <c r="BT5" s="672"/>
      <c r="BU5" s="672"/>
      <c r="BV5" s="672"/>
      <c r="BW5" s="672"/>
      <c r="BZ5" s="672"/>
      <c r="CA5" s="672"/>
      <c r="CB5" s="672"/>
      <c r="CC5" s="672"/>
      <c r="CD5" s="672"/>
      <c r="CG5" s="672"/>
      <c r="CH5" s="672"/>
      <c r="CI5" s="672"/>
      <c r="CJ5" s="672"/>
      <c r="CK5" s="672"/>
    </row>
    <row r="6" spans="1:89" hidden="1">
      <c r="A6" s="671"/>
      <c r="H6" s="672"/>
      <c r="I6" s="672"/>
      <c r="J6" s="672"/>
      <c r="K6" s="672"/>
      <c r="L6" s="672"/>
      <c r="O6" s="672"/>
      <c r="P6" s="672"/>
      <c r="Q6" s="672"/>
      <c r="R6" s="672"/>
      <c r="S6" s="672"/>
      <c r="V6" s="672"/>
      <c r="W6" s="672"/>
      <c r="X6" s="672"/>
      <c r="Y6" s="672"/>
      <c r="Z6" s="672"/>
      <c r="AC6" s="672"/>
      <c r="AD6" s="672"/>
      <c r="AE6" s="672"/>
      <c r="AF6" s="672"/>
      <c r="AG6" s="672"/>
      <c r="AJ6" s="672"/>
      <c r="AK6" s="672"/>
      <c r="AL6" s="672"/>
      <c r="AM6" s="672"/>
      <c r="AN6" s="672"/>
      <c r="AQ6" s="672"/>
      <c r="AR6" s="672"/>
      <c r="AS6" s="672"/>
      <c r="AT6" s="672"/>
      <c r="AU6" s="672"/>
      <c r="AX6" s="672"/>
      <c r="AY6" s="672"/>
      <c r="AZ6" s="672"/>
      <c r="BA6" s="672"/>
      <c r="BB6" s="672"/>
      <c r="BE6" s="672"/>
      <c r="BF6" s="672"/>
      <c r="BG6" s="672"/>
      <c r="BH6" s="672"/>
      <c r="BI6" s="672"/>
      <c r="BL6" s="672"/>
      <c r="BM6" s="672"/>
      <c r="BN6" s="672"/>
      <c r="BO6" s="672"/>
      <c r="BP6" s="672"/>
      <c r="BS6" s="672"/>
      <c r="BT6" s="672"/>
      <c r="BU6" s="672"/>
      <c r="BV6" s="672"/>
      <c r="BW6" s="672"/>
      <c r="BZ6" s="672"/>
      <c r="CA6" s="672"/>
      <c r="CB6" s="672"/>
      <c r="CC6" s="672"/>
      <c r="CD6" s="672"/>
      <c r="CG6" s="672"/>
      <c r="CH6" s="672"/>
      <c r="CI6" s="672"/>
      <c r="CJ6" s="672"/>
      <c r="CK6" s="672"/>
    </row>
    <row r="7" spans="1:89" ht="12" customHeight="1">
      <c r="A7" s="671"/>
      <c r="D7" s="672"/>
      <c r="E7" s="672"/>
      <c r="F7" s="672"/>
      <c r="G7" s="672"/>
      <c r="H7" s="672"/>
      <c r="I7" s="672"/>
      <c r="J7" s="672"/>
      <c r="K7" s="672"/>
      <c r="L7" s="672"/>
      <c r="M7" s="672"/>
      <c r="O7" s="672"/>
      <c r="P7" s="672"/>
      <c r="Q7" s="672"/>
      <c r="R7" s="672"/>
      <c r="S7" s="672"/>
      <c r="V7" s="672"/>
      <c r="W7" s="672"/>
      <c r="X7" s="672"/>
      <c r="Y7" s="672"/>
      <c r="Z7" s="672"/>
      <c r="AC7" s="672"/>
      <c r="AD7" s="672"/>
      <c r="AE7" s="672"/>
      <c r="AF7" s="672"/>
      <c r="AG7" s="672"/>
      <c r="AJ7" s="672"/>
      <c r="AK7" s="672"/>
      <c r="AL7" s="672"/>
      <c r="AM7" s="672"/>
      <c r="AN7" s="672"/>
      <c r="AQ7" s="672"/>
      <c r="AR7" s="672"/>
      <c r="AS7" s="672"/>
      <c r="AT7" s="672"/>
      <c r="AU7" s="672"/>
      <c r="AX7" s="672"/>
      <c r="AY7" s="672"/>
      <c r="AZ7" s="672"/>
      <c r="BA7" s="672"/>
      <c r="BB7" s="672"/>
      <c r="BE7" s="672"/>
      <c r="BF7" s="672"/>
      <c r="BG7" s="672"/>
      <c r="BH7" s="672"/>
      <c r="BI7" s="672"/>
      <c r="BL7" s="672"/>
      <c r="BM7" s="672"/>
      <c r="BN7" s="672"/>
      <c r="BO7" s="672"/>
      <c r="BP7" s="672"/>
      <c r="BS7" s="672"/>
      <c r="BT7" s="672"/>
      <c r="BU7" s="672"/>
      <c r="BV7" s="672"/>
      <c r="BW7" s="672"/>
      <c r="BZ7" s="672"/>
      <c r="CA7" s="672"/>
      <c r="CB7" s="672"/>
      <c r="CC7" s="672"/>
      <c r="CD7" s="672"/>
      <c r="CG7" s="672"/>
      <c r="CH7" s="672"/>
      <c r="CI7" s="672"/>
      <c r="CJ7" s="672"/>
      <c r="CK7" s="672"/>
    </row>
    <row r="8" spans="1:89" ht="12" customHeight="1">
      <c r="A8" s="671"/>
      <c r="D8" s="673" t="s">
        <v>494</v>
      </c>
      <c r="E8" s="674"/>
      <c r="F8" s="674"/>
      <c r="G8" s="674"/>
      <c r="H8" s="674"/>
      <c r="I8" s="674"/>
      <c r="J8" s="674"/>
      <c r="K8" s="675"/>
      <c r="L8" s="675"/>
      <c r="M8" s="675"/>
      <c r="N8" s="676"/>
      <c r="O8" s="676"/>
      <c r="P8" s="676"/>
      <c r="Q8" s="676"/>
      <c r="R8" s="676"/>
      <c r="S8" s="676"/>
    </row>
    <row r="9" spans="1:89" ht="12" customHeight="1">
      <c r="D9" s="677" t="s">
        <v>495</v>
      </c>
      <c r="E9" s="678"/>
      <c r="F9" s="678"/>
      <c r="G9" s="678"/>
      <c r="H9" s="678"/>
      <c r="I9" s="678"/>
      <c r="J9" s="678"/>
      <c r="K9" s="678"/>
      <c r="L9" s="678"/>
      <c r="M9" s="678"/>
      <c r="N9" s="679"/>
      <c r="O9" s="679"/>
    </row>
    <row r="10" spans="1:89" ht="12" customHeight="1">
      <c r="D10" s="680" t="s">
        <v>2</v>
      </c>
      <c r="E10" s="678"/>
      <c r="F10" s="678"/>
      <c r="G10" s="678"/>
      <c r="H10" s="678"/>
      <c r="I10" s="678"/>
      <c r="J10" s="678"/>
      <c r="K10" s="678"/>
      <c r="L10" s="678"/>
      <c r="M10" s="678"/>
      <c r="N10" s="679"/>
      <c r="O10" s="679"/>
    </row>
    <row r="11" spans="1:89" ht="12" customHeight="1">
      <c r="D11" s="4178"/>
      <c r="E11" s="4178"/>
      <c r="F11" s="4178"/>
      <c r="G11" s="4178"/>
      <c r="H11" s="4178"/>
      <c r="I11" s="4178"/>
      <c r="J11" s="4178"/>
      <c r="K11" s="4178"/>
      <c r="L11" s="681"/>
      <c r="M11" s="681"/>
      <c r="N11" s="672"/>
      <c r="O11" s="672"/>
      <c r="P11" s="672"/>
      <c r="Q11" s="672"/>
      <c r="R11" s="672"/>
      <c r="S11" s="672"/>
      <c r="T11" s="672"/>
      <c r="U11" s="672"/>
      <c r="V11" s="672"/>
      <c r="W11" s="672"/>
      <c r="X11" s="672"/>
      <c r="Y11" s="672"/>
      <c r="Z11" s="672"/>
      <c r="AA11" s="672"/>
      <c r="AB11" s="672"/>
      <c r="AC11" s="672"/>
      <c r="AD11" s="672"/>
      <c r="AE11" s="672"/>
      <c r="AF11" s="672"/>
      <c r="AG11" s="672"/>
      <c r="AH11" s="672"/>
      <c r="AI11" s="672"/>
      <c r="AJ11" s="672"/>
      <c r="AK11" s="672"/>
      <c r="AL11" s="672"/>
      <c r="AM11" s="672"/>
      <c r="AN11" s="672"/>
      <c r="AO11" s="672"/>
      <c r="AP11" s="672"/>
      <c r="AQ11" s="672"/>
      <c r="AR11" s="672"/>
      <c r="AS11" s="672"/>
      <c r="AT11" s="672"/>
      <c r="AU11" s="672"/>
      <c r="AV11" s="672"/>
      <c r="AW11" s="672"/>
      <c r="AX11" s="672"/>
      <c r="AY11" s="672"/>
      <c r="AZ11" s="672"/>
      <c r="BA11" s="672"/>
      <c r="BB11" s="672"/>
      <c r="BC11" s="672"/>
      <c r="BD11" s="672"/>
      <c r="BE11" s="672"/>
      <c r="BF11" s="672"/>
      <c r="BG11" s="672"/>
      <c r="BH11" s="672"/>
      <c r="BI11" s="672"/>
      <c r="BJ11" s="672"/>
      <c r="BK11" s="672"/>
      <c r="BL11" s="672"/>
      <c r="BM11" s="672"/>
      <c r="BN11" s="672"/>
      <c r="BO11" s="672"/>
      <c r="BP11" s="672"/>
      <c r="BQ11" s="672"/>
      <c r="BR11" s="672"/>
      <c r="BS11" s="672"/>
      <c r="BT11" s="672"/>
      <c r="BU11" s="672"/>
      <c r="BV11" s="672"/>
      <c r="BW11" s="672"/>
      <c r="BX11" s="672"/>
      <c r="BY11" s="672"/>
      <c r="BZ11" s="672"/>
      <c r="CA11" s="672"/>
      <c r="CB11" s="672"/>
      <c r="CC11" s="672"/>
      <c r="CD11" s="672"/>
      <c r="CE11" s="672"/>
      <c r="CF11" s="672"/>
      <c r="CG11" s="672"/>
      <c r="CH11" s="672"/>
      <c r="CI11" s="672"/>
      <c r="CJ11" s="672"/>
      <c r="CK11" s="682" t="s">
        <v>496</v>
      </c>
    </row>
    <row r="12" spans="1:89" ht="48" customHeight="1">
      <c r="C12" s="672"/>
      <c r="D12" s="4179" t="s">
        <v>497</v>
      </c>
      <c r="E12" s="4179" t="s">
        <v>498</v>
      </c>
      <c r="F12" s="4179" t="s">
        <v>499</v>
      </c>
      <c r="G12" s="4179"/>
      <c r="H12" s="4179"/>
      <c r="I12" s="4179"/>
      <c r="J12" s="4179"/>
      <c r="K12" s="4179"/>
      <c r="L12" s="4180"/>
      <c r="M12" s="4181" t="s">
        <v>500</v>
      </c>
      <c r="N12" s="4179"/>
      <c r="O12" s="4179"/>
      <c r="P12" s="4179"/>
      <c r="Q12" s="4179"/>
      <c r="R12" s="4179"/>
      <c r="S12" s="4180"/>
      <c r="T12" s="4181" t="s">
        <v>501</v>
      </c>
      <c r="U12" s="4179"/>
      <c r="V12" s="4179"/>
      <c r="W12" s="4179"/>
      <c r="X12" s="4179"/>
      <c r="Y12" s="4179"/>
      <c r="Z12" s="4180"/>
      <c r="AA12" s="4181" t="s">
        <v>502</v>
      </c>
      <c r="AB12" s="4179"/>
      <c r="AC12" s="4179"/>
      <c r="AD12" s="4179"/>
      <c r="AE12" s="4179"/>
      <c r="AF12" s="4179"/>
      <c r="AG12" s="4180"/>
      <c r="AH12" s="4181" t="s">
        <v>503</v>
      </c>
      <c r="AI12" s="4179"/>
      <c r="AJ12" s="4179"/>
      <c r="AK12" s="4179"/>
      <c r="AL12" s="4179"/>
      <c r="AM12" s="4179"/>
      <c r="AN12" s="4180"/>
      <c r="AO12" s="4181" t="s">
        <v>504</v>
      </c>
      <c r="AP12" s="4179"/>
      <c r="AQ12" s="4179"/>
      <c r="AR12" s="4179"/>
      <c r="AS12" s="4179"/>
      <c r="AT12" s="4179"/>
      <c r="AU12" s="4180"/>
      <c r="AV12" s="4181" t="s">
        <v>505</v>
      </c>
      <c r="AW12" s="4179"/>
      <c r="AX12" s="4179"/>
      <c r="AY12" s="4179"/>
      <c r="AZ12" s="4179"/>
      <c r="BA12" s="4179"/>
      <c r="BB12" s="4180"/>
      <c r="BC12" s="4181" t="s">
        <v>506</v>
      </c>
      <c r="BD12" s="4179"/>
      <c r="BE12" s="4179"/>
      <c r="BF12" s="4179"/>
      <c r="BG12" s="4179"/>
      <c r="BH12" s="4179"/>
      <c r="BI12" s="4180"/>
      <c r="BJ12" s="4181" t="s">
        <v>507</v>
      </c>
      <c r="BK12" s="4179"/>
      <c r="BL12" s="4179"/>
      <c r="BM12" s="4179"/>
      <c r="BN12" s="4179"/>
      <c r="BO12" s="4179"/>
      <c r="BP12" s="4180"/>
      <c r="BQ12" s="4181" t="s">
        <v>508</v>
      </c>
      <c r="BR12" s="4179"/>
      <c r="BS12" s="4179"/>
      <c r="BT12" s="4179"/>
      <c r="BU12" s="4179"/>
      <c r="BV12" s="4179"/>
      <c r="BW12" s="4180"/>
      <c r="BX12" s="4184" t="s">
        <v>509</v>
      </c>
      <c r="BY12" s="4179"/>
      <c r="BZ12" s="4179"/>
      <c r="CA12" s="4179"/>
      <c r="CB12" s="4179"/>
      <c r="CC12" s="4179"/>
      <c r="CD12" s="4180"/>
      <c r="CE12" s="4184" t="s">
        <v>510</v>
      </c>
      <c r="CF12" s="4179"/>
      <c r="CG12" s="4179"/>
      <c r="CH12" s="4179"/>
      <c r="CI12" s="4179"/>
      <c r="CJ12" s="4179"/>
      <c r="CK12" s="4185"/>
    </row>
    <row r="13" spans="1:89" ht="15" customHeight="1">
      <c r="C13" s="672"/>
      <c r="D13" s="4179"/>
      <c r="E13" s="4179"/>
      <c r="F13" s="4179" t="s">
        <v>511</v>
      </c>
      <c r="G13" s="4179" t="s">
        <v>512</v>
      </c>
      <c r="H13" s="4179"/>
      <c r="I13" s="4179"/>
      <c r="J13" s="4179"/>
      <c r="K13" s="4179"/>
      <c r="L13" s="4180"/>
      <c r="M13" s="4181" t="s">
        <v>511</v>
      </c>
      <c r="N13" s="4179" t="s">
        <v>512</v>
      </c>
      <c r="O13" s="4179"/>
      <c r="P13" s="4179"/>
      <c r="Q13" s="4179"/>
      <c r="R13" s="4179"/>
      <c r="S13" s="4180"/>
      <c r="T13" s="4181" t="s">
        <v>511</v>
      </c>
      <c r="U13" s="4179" t="s">
        <v>512</v>
      </c>
      <c r="V13" s="4179"/>
      <c r="W13" s="4179"/>
      <c r="X13" s="4179"/>
      <c r="Y13" s="4179"/>
      <c r="Z13" s="4180"/>
      <c r="AA13" s="4181" t="s">
        <v>511</v>
      </c>
      <c r="AB13" s="4179" t="s">
        <v>512</v>
      </c>
      <c r="AC13" s="4179"/>
      <c r="AD13" s="4179"/>
      <c r="AE13" s="4179"/>
      <c r="AF13" s="4179"/>
      <c r="AG13" s="4180"/>
      <c r="AH13" s="4181" t="s">
        <v>511</v>
      </c>
      <c r="AI13" s="4179" t="s">
        <v>512</v>
      </c>
      <c r="AJ13" s="4179"/>
      <c r="AK13" s="4179"/>
      <c r="AL13" s="4179"/>
      <c r="AM13" s="4179"/>
      <c r="AN13" s="4180"/>
      <c r="AO13" s="4181" t="s">
        <v>511</v>
      </c>
      <c r="AP13" s="4179" t="s">
        <v>512</v>
      </c>
      <c r="AQ13" s="4179"/>
      <c r="AR13" s="4179"/>
      <c r="AS13" s="4179"/>
      <c r="AT13" s="4179"/>
      <c r="AU13" s="4180"/>
      <c r="AV13" s="4181" t="s">
        <v>511</v>
      </c>
      <c r="AW13" s="4179" t="s">
        <v>512</v>
      </c>
      <c r="AX13" s="4179"/>
      <c r="AY13" s="4179"/>
      <c r="AZ13" s="4179"/>
      <c r="BA13" s="4179"/>
      <c r="BB13" s="4180"/>
      <c r="BC13" s="4181" t="s">
        <v>511</v>
      </c>
      <c r="BD13" s="4179" t="s">
        <v>512</v>
      </c>
      <c r="BE13" s="4179"/>
      <c r="BF13" s="4179"/>
      <c r="BG13" s="4179"/>
      <c r="BH13" s="4179"/>
      <c r="BI13" s="4180"/>
      <c r="BJ13" s="4181" t="s">
        <v>511</v>
      </c>
      <c r="BK13" s="4179" t="s">
        <v>512</v>
      </c>
      <c r="BL13" s="4179"/>
      <c r="BM13" s="4179"/>
      <c r="BN13" s="4179"/>
      <c r="BO13" s="4179"/>
      <c r="BP13" s="4180"/>
      <c r="BQ13" s="4181" t="s">
        <v>511</v>
      </c>
      <c r="BR13" s="4179" t="s">
        <v>512</v>
      </c>
      <c r="BS13" s="4179"/>
      <c r="BT13" s="4179"/>
      <c r="BU13" s="4179"/>
      <c r="BV13" s="4179"/>
      <c r="BW13" s="4180"/>
      <c r="BX13" s="4184" t="s">
        <v>511</v>
      </c>
      <c r="BY13" s="4179" t="s">
        <v>512</v>
      </c>
      <c r="BZ13" s="4179"/>
      <c r="CA13" s="4179"/>
      <c r="CB13" s="4179"/>
      <c r="CC13" s="4179"/>
      <c r="CD13" s="4180"/>
      <c r="CE13" s="4184" t="s">
        <v>511</v>
      </c>
      <c r="CF13" s="4179" t="s">
        <v>512</v>
      </c>
      <c r="CG13" s="4179"/>
      <c r="CH13" s="4179"/>
      <c r="CI13" s="4179"/>
      <c r="CJ13" s="4179"/>
      <c r="CK13" s="4185"/>
    </row>
    <row r="14" spans="1:89" ht="15" customHeight="1">
      <c r="C14" s="672"/>
      <c r="D14" s="4179"/>
      <c r="E14" s="4179"/>
      <c r="F14" s="4182"/>
      <c r="G14" s="685" t="s">
        <v>9</v>
      </c>
      <c r="H14" s="685" t="s">
        <v>513</v>
      </c>
      <c r="I14" s="685" t="s">
        <v>279</v>
      </c>
      <c r="J14" s="685" t="s">
        <v>12</v>
      </c>
      <c r="K14" s="685" t="s">
        <v>439</v>
      </c>
      <c r="L14" s="686" t="s">
        <v>514</v>
      </c>
      <c r="M14" s="4183"/>
      <c r="N14" s="685" t="s">
        <v>9</v>
      </c>
      <c r="O14" s="685" t="s">
        <v>513</v>
      </c>
      <c r="P14" s="685" t="s">
        <v>279</v>
      </c>
      <c r="Q14" s="685" t="s">
        <v>12</v>
      </c>
      <c r="R14" s="685" t="s">
        <v>439</v>
      </c>
      <c r="S14" s="686" t="s">
        <v>514</v>
      </c>
      <c r="T14" s="4183"/>
      <c r="U14" s="685" t="s">
        <v>9</v>
      </c>
      <c r="V14" s="685" t="s">
        <v>513</v>
      </c>
      <c r="W14" s="685" t="s">
        <v>279</v>
      </c>
      <c r="X14" s="685" t="s">
        <v>12</v>
      </c>
      <c r="Y14" s="685" t="s">
        <v>439</v>
      </c>
      <c r="Z14" s="686" t="s">
        <v>514</v>
      </c>
      <c r="AA14" s="4183"/>
      <c r="AB14" s="685" t="s">
        <v>9</v>
      </c>
      <c r="AC14" s="685" t="s">
        <v>513</v>
      </c>
      <c r="AD14" s="685" t="s">
        <v>279</v>
      </c>
      <c r="AE14" s="685" t="s">
        <v>12</v>
      </c>
      <c r="AF14" s="685" t="s">
        <v>439</v>
      </c>
      <c r="AG14" s="686" t="s">
        <v>514</v>
      </c>
      <c r="AH14" s="4183"/>
      <c r="AI14" s="685" t="s">
        <v>9</v>
      </c>
      <c r="AJ14" s="685" t="s">
        <v>513</v>
      </c>
      <c r="AK14" s="685" t="s">
        <v>279</v>
      </c>
      <c r="AL14" s="685" t="s">
        <v>12</v>
      </c>
      <c r="AM14" s="685" t="s">
        <v>439</v>
      </c>
      <c r="AN14" s="686" t="s">
        <v>514</v>
      </c>
      <c r="AO14" s="4183"/>
      <c r="AP14" s="685" t="s">
        <v>9</v>
      </c>
      <c r="AQ14" s="685" t="s">
        <v>513</v>
      </c>
      <c r="AR14" s="685" t="s">
        <v>279</v>
      </c>
      <c r="AS14" s="685" t="s">
        <v>12</v>
      </c>
      <c r="AT14" s="685" t="s">
        <v>439</v>
      </c>
      <c r="AU14" s="686" t="s">
        <v>514</v>
      </c>
      <c r="AV14" s="4183"/>
      <c r="AW14" s="685" t="s">
        <v>9</v>
      </c>
      <c r="AX14" s="685" t="s">
        <v>513</v>
      </c>
      <c r="AY14" s="685" t="s">
        <v>279</v>
      </c>
      <c r="AZ14" s="685" t="s">
        <v>12</v>
      </c>
      <c r="BA14" s="685" t="s">
        <v>439</v>
      </c>
      <c r="BB14" s="686" t="s">
        <v>514</v>
      </c>
      <c r="BC14" s="4183"/>
      <c r="BD14" s="685" t="s">
        <v>9</v>
      </c>
      <c r="BE14" s="685" t="s">
        <v>513</v>
      </c>
      <c r="BF14" s="685" t="s">
        <v>279</v>
      </c>
      <c r="BG14" s="685" t="s">
        <v>12</v>
      </c>
      <c r="BH14" s="685" t="s">
        <v>439</v>
      </c>
      <c r="BI14" s="686" t="s">
        <v>514</v>
      </c>
      <c r="BJ14" s="4183"/>
      <c r="BK14" s="685" t="s">
        <v>9</v>
      </c>
      <c r="BL14" s="685" t="s">
        <v>513</v>
      </c>
      <c r="BM14" s="685" t="s">
        <v>279</v>
      </c>
      <c r="BN14" s="685" t="s">
        <v>12</v>
      </c>
      <c r="BO14" s="685" t="s">
        <v>439</v>
      </c>
      <c r="BP14" s="686" t="s">
        <v>514</v>
      </c>
      <c r="BQ14" s="4183"/>
      <c r="BR14" s="685" t="s">
        <v>9</v>
      </c>
      <c r="BS14" s="685" t="s">
        <v>513</v>
      </c>
      <c r="BT14" s="685" t="s">
        <v>279</v>
      </c>
      <c r="BU14" s="685" t="s">
        <v>12</v>
      </c>
      <c r="BV14" s="685" t="s">
        <v>439</v>
      </c>
      <c r="BW14" s="686" t="s">
        <v>514</v>
      </c>
      <c r="BX14" s="4189"/>
      <c r="BY14" s="685" t="s">
        <v>9</v>
      </c>
      <c r="BZ14" s="685" t="s">
        <v>513</v>
      </c>
      <c r="CA14" s="685" t="s">
        <v>279</v>
      </c>
      <c r="CB14" s="685" t="s">
        <v>12</v>
      </c>
      <c r="CC14" s="685" t="s">
        <v>439</v>
      </c>
      <c r="CD14" s="686" t="s">
        <v>514</v>
      </c>
      <c r="CE14" s="4184"/>
      <c r="CF14" s="683" t="s">
        <v>9</v>
      </c>
      <c r="CG14" s="683" t="s">
        <v>513</v>
      </c>
      <c r="CH14" s="683" t="s">
        <v>279</v>
      </c>
      <c r="CI14" s="683" t="s">
        <v>12</v>
      </c>
      <c r="CJ14" s="683" t="s">
        <v>439</v>
      </c>
      <c r="CK14" s="684" t="s">
        <v>514</v>
      </c>
    </row>
    <row r="15" spans="1:89" ht="12" customHeight="1">
      <c r="D15" s="687">
        <v>1</v>
      </c>
      <c r="E15" s="687">
        <v>2</v>
      </c>
      <c r="F15" s="687">
        <v>3</v>
      </c>
      <c r="G15" s="687">
        <v>4</v>
      </c>
      <c r="H15" s="687">
        <v>5</v>
      </c>
      <c r="I15" s="687">
        <v>6</v>
      </c>
      <c r="J15" s="687">
        <v>7</v>
      </c>
      <c r="K15" s="687">
        <v>8</v>
      </c>
      <c r="L15" s="687">
        <v>9</v>
      </c>
      <c r="M15" s="687">
        <v>10</v>
      </c>
      <c r="N15" s="687">
        <v>11</v>
      </c>
      <c r="O15" s="687">
        <v>12</v>
      </c>
      <c r="P15" s="687">
        <v>13</v>
      </c>
      <c r="Q15" s="687">
        <v>14</v>
      </c>
      <c r="R15" s="687">
        <v>15</v>
      </c>
      <c r="S15" s="687">
        <v>16</v>
      </c>
      <c r="T15" s="687">
        <v>17</v>
      </c>
      <c r="U15" s="687">
        <v>18</v>
      </c>
      <c r="V15" s="687">
        <v>19</v>
      </c>
      <c r="W15" s="687">
        <v>20</v>
      </c>
      <c r="X15" s="687">
        <v>21</v>
      </c>
      <c r="Y15" s="687">
        <v>22</v>
      </c>
      <c r="Z15" s="687">
        <v>23</v>
      </c>
      <c r="AA15" s="687">
        <v>24</v>
      </c>
      <c r="AB15" s="687">
        <v>25</v>
      </c>
      <c r="AC15" s="687">
        <v>26</v>
      </c>
      <c r="AD15" s="687">
        <v>27</v>
      </c>
      <c r="AE15" s="687">
        <v>28</v>
      </c>
      <c r="AF15" s="687">
        <v>29</v>
      </c>
      <c r="AG15" s="687">
        <v>30</v>
      </c>
      <c r="AH15" s="687">
        <v>31</v>
      </c>
      <c r="AI15" s="687">
        <v>32</v>
      </c>
      <c r="AJ15" s="687">
        <v>33</v>
      </c>
      <c r="AK15" s="687">
        <v>34</v>
      </c>
      <c r="AL15" s="687">
        <v>35</v>
      </c>
      <c r="AM15" s="687">
        <v>36</v>
      </c>
      <c r="AN15" s="687">
        <v>37</v>
      </c>
      <c r="AO15" s="687">
        <v>38</v>
      </c>
      <c r="AP15" s="687">
        <v>39</v>
      </c>
      <c r="AQ15" s="687">
        <v>40</v>
      </c>
      <c r="AR15" s="687">
        <v>41</v>
      </c>
      <c r="AS15" s="687">
        <v>42</v>
      </c>
      <c r="AT15" s="687">
        <v>43</v>
      </c>
      <c r="AU15" s="687">
        <v>44</v>
      </c>
      <c r="AV15" s="687">
        <v>45</v>
      </c>
      <c r="AW15" s="687">
        <v>46</v>
      </c>
      <c r="AX15" s="687">
        <v>47</v>
      </c>
      <c r="AY15" s="687">
        <v>48</v>
      </c>
      <c r="AZ15" s="687">
        <v>49</v>
      </c>
      <c r="BA15" s="687">
        <v>50</v>
      </c>
      <c r="BB15" s="687">
        <v>51</v>
      </c>
      <c r="BC15" s="687">
        <v>52</v>
      </c>
      <c r="BD15" s="687">
        <v>53</v>
      </c>
      <c r="BE15" s="687">
        <v>54</v>
      </c>
      <c r="BF15" s="687">
        <v>55</v>
      </c>
      <c r="BG15" s="687">
        <v>56</v>
      </c>
      <c r="BH15" s="687">
        <v>57</v>
      </c>
      <c r="BI15" s="687">
        <v>58</v>
      </c>
      <c r="BJ15" s="687">
        <v>59</v>
      </c>
      <c r="BK15" s="687">
        <v>60</v>
      </c>
      <c r="BL15" s="687">
        <v>61</v>
      </c>
      <c r="BM15" s="687">
        <v>62</v>
      </c>
      <c r="BN15" s="687">
        <v>63</v>
      </c>
      <c r="BO15" s="687">
        <v>64</v>
      </c>
      <c r="BP15" s="687">
        <v>65</v>
      </c>
      <c r="BQ15" s="687">
        <v>66</v>
      </c>
      <c r="BR15" s="687">
        <v>67</v>
      </c>
      <c r="BS15" s="687">
        <v>68</v>
      </c>
      <c r="BT15" s="687">
        <v>69</v>
      </c>
      <c r="BU15" s="687">
        <v>70</v>
      </c>
      <c r="BV15" s="687">
        <v>71</v>
      </c>
      <c r="BW15" s="687">
        <v>72</v>
      </c>
      <c r="BX15" s="687">
        <v>73</v>
      </c>
      <c r="BY15" s="687">
        <v>74</v>
      </c>
      <c r="BZ15" s="687">
        <v>75</v>
      </c>
      <c r="CA15" s="687">
        <v>76</v>
      </c>
      <c r="CB15" s="687">
        <v>77</v>
      </c>
      <c r="CC15" s="687">
        <v>78</v>
      </c>
      <c r="CD15" s="687">
        <v>79</v>
      </c>
      <c r="CE15" s="687">
        <v>80</v>
      </c>
      <c r="CF15" s="687">
        <v>81</v>
      </c>
      <c r="CG15" s="687">
        <v>82</v>
      </c>
      <c r="CH15" s="687">
        <v>83</v>
      </c>
      <c r="CI15" s="687">
        <v>84</v>
      </c>
      <c r="CJ15" s="687">
        <v>85</v>
      </c>
      <c r="CK15" s="687">
        <v>86</v>
      </c>
    </row>
    <row r="16" spans="1:89" ht="33.75">
      <c r="C16" s="672"/>
      <c r="D16" s="688" t="s">
        <v>515</v>
      </c>
      <c r="E16" s="683">
        <v>100</v>
      </c>
      <c r="F16" s="689">
        <f>SUM(F17:F23)</f>
        <v>0</v>
      </c>
      <c r="G16" s="689">
        <f t="shared" ref="G16:BR16" si="0">SUM(G17:G23)</f>
        <v>0</v>
      </c>
      <c r="H16" s="689">
        <f t="shared" si="0"/>
        <v>0</v>
      </c>
      <c r="I16" s="689">
        <f t="shared" si="0"/>
        <v>0</v>
      </c>
      <c r="J16" s="689">
        <f t="shared" si="0"/>
        <v>0</v>
      </c>
      <c r="K16" s="689">
        <f t="shared" si="0"/>
        <v>0</v>
      </c>
      <c r="L16" s="690">
        <f t="shared" si="0"/>
        <v>0</v>
      </c>
      <c r="M16" s="689">
        <f t="shared" si="0"/>
        <v>0</v>
      </c>
      <c r="N16" s="689">
        <f t="shared" si="0"/>
        <v>0</v>
      </c>
      <c r="O16" s="689">
        <f t="shared" si="0"/>
        <v>0</v>
      </c>
      <c r="P16" s="689">
        <f t="shared" si="0"/>
        <v>0</v>
      </c>
      <c r="Q16" s="689">
        <f t="shared" si="0"/>
        <v>0</v>
      </c>
      <c r="R16" s="689">
        <f t="shared" si="0"/>
        <v>0</v>
      </c>
      <c r="S16" s="690">
        <f t="shared" si="0"/>
        <v>0</v>
      </c>
      <c r="T16" s="689">
        <f t="shared" si="0"/>
        <v>0</v>
      </c>
      <c r="U16" s="689">
        <f t="shared" si="0"/>
        <v>0</v>
      </c>
      <c r="V16" s="689">
        <f t="shared" si="0"/>
        <v>0</v>
      </c>
      <c r="W16" s="689">
        <f t="shared" si="0"/>
        <v>0</v>
      </c>
      <c r="X16" s="689">
        <f t="shared" si="0"/>
        <v>0</v>
      </c>
      <c r="Y16" s="689">
        <f t="shared" si="0"/>
        <v>0</v>
      </c>
      <c r="Z16" s="690">
        <f t="shared" si="0"/>
        <v>0</v>
      </c>
      <c r="AA16" s="689">
        <f t="shared" si="0"/>
        <v>0</v>
      </c>
      <c r="AB16" s="689">
        <f t="shared" si="0"/>
        <v>0</v>
      </c>
      <c r="AC16" s="689">
        <f t="shared" si="0"/>
        <v>0</v>
      </c>
      <c r="AD16" s="689">
        <f t="shared" si="0"/>
        <v>0</v>
      </c>
      <c r="AE16" s="689">
        <f t="shared" si="0"/>
        <v>0</v>
      </c>
      <c r="AF16" s="689">
        <f t="shared" si="0"/>
        <v>0</v>
      </c>
      <c r="AG16" s="690">
        <f t="shared" si="0"/>
        <v>0</v>
      </c>
      <c r="AH16" s="689">
        <f t="shared" si="0"/>
        <v>0</v>
      </c>
      <c r="AI16" s="689">
        <f t="shared" si="0"/>
        <v>0</v>
      </c>
      <c r="AJ16" s="689">
        <f t="shared" si="0"/>
        <v>0</v>
      </c>
      <c r="AK16" s="689">
        <f t="shared" si="0"/>
        <v>0</v>
      </c>
      <c r="AL16" s="689">
        <f t="shared" si="0"/>
        <v>0</v>
      </c>
      <c r="AM16" s="689">
        <f t="shared" si="0"/>
        <v>0</v>
      </c>
      <c r="AN16" s="690">
        <f t="shared" si="0"/>
        <v>0</v>
      </c>
      <c r="AO16" s="689">
        <f t="shared" si="0"/>
        <v>0</v>
      </c>
      <c r="AP16" s="689">
        <f t="shared" si="0"/>
        <v>0</v>
      </c>
      <c r="AQ16" s="689">
        <f t="shared" si="0"/>
        <v>0</v>
      </c>
      <c r="AR16" s="689">
        <f t="shared" si="0"/>
        <v>0</v>
      </c>
      <c r="AS16" s="689">
        <f t="shared" si="0"/>
        <v>0</v>
      </c>
      <c r="AT16" s="689">
        <f t="shared" si="0"/>
        <v>0</v>
      </c>
      <c r="AU16" s="690">
        <f t="shared" si="0"/>
        <v>0</v>
      </c>
      <c r="AV16" s="689">
        <f t="shared" si="0"/>
        <v>0</v>
      </c>
      <c r="AW16" s="689">
        <f t="shared" si="0"/>
        <v>0</v>
      </c>
      <c r="AX16" s="689">
        <f t="shared" si="0"/>
        <v>0</v>
      </c>
      <c r="AY16" s="689">
        <f t="shared" si="0"/>
        <v>0</v>
      </c>
      <c r="AZ16" s="689">
        <f t="shared" si="0"/>
        <v>0</v>
      </c>
      <c r="BA16" s="689">
        <f t="shared" si="0"/>
        <v>0</v>
      </c>
      <c r="BB16" s="690">
        <f t="shared" si="0"/>
        <v>0</v>
      </c>
      <c r="BC16" s="689">
        <f t="shared" si="0"/>
        <v>0</v>
      </c>
      <c r="BD16" s="689">
        <f t="shared" si="0"/>
        <v>0</v>
      </c>
      <c r="BE16" s="689">
        <f t="shared" si="0"/>
        <v>0</v>
      </c>
      <c r="BF16" s="689">
        <f t="shared" si="0"/>
        <v>0</v>
      </c>
      <c r="BG16" s="689">
        <f t="shared" si="0"/>
        <v>0</v>
      </c>
      <c r="BH16" s="689">
        <f t="shared" si="0"/>
        <v>0</v>
      </c>
      <c r="BI16" s="690">
        <f t="shared" si="0"/>
        <v>0</v>
      </c>
      <c r="BJ16" s="689">
        <f t="shared" si="0"/>
        <v>0</v>
      </c>
      <c r="BK16" s="689">
        <f t="shared" si="0"/>
        <v>0</v>
      </c>
      <c r="BL16" s="689">
        <f t="shared" si="0"/>
        <v>0</v>
      </c>
      <c r="BM16" s="689">
        <f t="shared" si="0"/>
        <v>0</v>
      </c>
      <c r="BN16" s="689">
        <f t="shared" si="0"/>
        <v>0</v>
      </c>
      <c r="BO16" s="689">
        <f t="shared" si="0"/>
        <v>0</v>
      </c>
      <c r="BP16" s="690">
        <f t="shared" si="0"/>
        <v>0</v>
      </c>
      <c r="BQ16" s="691">
        <f t="shared" si="0"/>
        <v>0</v>
      </c>
      <c r="BR16" s="689">
        <f t="shared" si="0"/>
        <v>0</v>
      </c>
      <c r="BS16" s="689">
        <f t="shared" ref="BS16:CK16" si="1">SUM(BS17:BS23)</f>
        <v>0</v>
      </c>
      <c r="BT16" s="689">
        <f t="shared" si="1"/>
        <v>0</v>
      </c>
      <c r="BU16" s="689">
        <f t="shared" si="1"/>
        <v>0</v>
      </c>
      <c r="BV16" s="689">
        <f t="shared" si="1"/>
        <v>0</v>
      </c>
      <c r="BW16" s="690">
        <f t="shared" si="1"/>
        <v>0</v>
      </c>
      <c r="BX16" s="689">
        <f t="shared" si="1"/>
        <v>0</v>
      </c>
      <c r="BY16" s="689">
        <f t="shared" si="1"/>
        <v>0</v>
      </c>
      <c r="BZ16" s="689">
        <f t="shared" si="1"/>
        <v>0</v>
      </c>
      <c r="CA16" s="689">
        <f t="shared" si="1"/>
        <v>0</v>
      </c>
      <c r="CB16" s="689">
        <f t="shared" si="1"/>
        <v>0</v>
      </c>
      <c r="CC16" s="689">
        <f t="shared" si="1"/>
        <v>0</v>
      </c>
      <c r="CD16" s="690">
        <f t="shared" si="1"/>
        <v>0</v>
      </c>
      <c r="CE16" s="689">
        <f t="shared" si="1"/>
        <v>0</v>
      </c>
      <c r="CF16" s="689">
        <f t="shared" si="1"/>
        <v>0</v>
      </c>
      <c r="CG16" s="689">
        <f t="shared" si="1"/>
        <v>0</v>
      </c>
      <c r="CH16" s="689">
        <f t="shared" si="1"/>
        <v>0</v>
      </c>
      <c r="CI16" s="689">
        <f t="shared" si="1"/>
        <v>0</v>
      </c>
      <c r="CJ16" s="689">
        <f t="shared" si="1"/>
        <v>0</v>
      </c>
      <c r="CK16" s="692">
        <f t="shared" si="1"/>
        <v>0</v>
      </c>
    </row>
    <row r="17" spans="3:89" ht="22.5">
      <c r="C17" s="672"/>
      <c r="D17" s="688" t="s">
        <v>516</v>
      </c>
      <c r="E17" s="683">
        <v>111</v>
      </c>
      <c r="F17" s="693">
        <f>SUM(G17:L17)</f>
        <v>0</v>
      </c>
      <c r="G17" s="694"/>
      <c r="H17" s="694"/>
      <c r="I17" s="694"/>
      <c r="J17" s="694"/>
      <c r="K17" s="694"/>
      <c r="L17" s="695"/>
      <c r="M17" s="693">
        <f>SUM(N17:S17)</f>
        <v>0</v>
      </c>
      <c r="N17" s="694"/>
      <c r="O17" s="694"/>
      <c r="P17" s="694"/>
      <c r="Q17" s="694"/>
      <c r="R17" s="694"/>
      <c r="S17" s="695"/>
      <c r="T17" s="693">
        <f>SUM(U17:Z17)</f>
        <v>0</v>
      </c>
      <c r="U17" s="694"/>
      <c r="V17" s="694"/>
      <c r="W17" s="694"/>
      <c r="X17" s="694"/>
      <c r="Y17" s="694"/>
      <c r="Z17" s="695"/>
      <c r="AA17" s="693">
        <f>SUM(AB17:AG17)</f>
        <v>0</v>
      </c>
      <c r="AB17" s="694"/>
      <c r="AC17" s="694"/>
      <c r="AD17" s="694"/>
      <c r="AE17" s="694"/>
      <c r="AF17" s="694"/>
      <c r="AG17" s="695"/>
      <c r="AH17" s="693">
        <f>SUM(AI17:AN17)</f>
        <v>0</v>
      </c>
      <c r="AI17" s="694"/>
      <c r="AJ17" s="694"/>
      <c r="AK17" s="694"/>
      <c r="AL17" s="694"/>
      <c r="AM17" s="694"/>
      <c r="AN17" s="695"/>
      <c r="AO17" s="693">
        <f>SUM(AP17:AU17)</f>
        <v>0</v>
      </c>
      <c r="AP17" s="694"/>
      <c r="AQ17" s="694"/>
      <c r="AR17" s="694"/>
      <c r="AS17" s="694"/>
      <c r="AT17" s="694"/>
      <c r="AU17" s="695"/>
      <c r="AV17" s="693">
        <f>SUM(AW17:BB17)</f>
        <v>0</v>
      </c>
      <c r="AW17" s="694"/>
      <c r="AX17" s="694"/>
      <c r="AY17" s="694"/>
      <c r="AZ17" s="694"/>
      <c r="BA17" s="694"/>
      <c r="BB17" s="695"/>
      <c r="BC17" s="693">
        <f>SUM(BD17:BI17)</f>
        <v>0</v>
      </c>
      <c r="BD17" s="694"/>
      <c r="BE17" s="694"/>
      <c r="BF17" s="694"/>
      <c r="BG17" s="694"/>
      <c r="BH17" s="694"/>
      <c r="BI17" s="695"/>
      <c r="BJ17" s="693">
        <f>SUM(BK17:BP17)</f>
        <v>0</v>
      </c>
      <c r="BK17" s="693">
        <f>AI17+U17+G17</f>
        <v>0</v>
      </c>
      <c r="BL17" s="693">
        <f t="shared" ref="BL17:BP23" si="2">AJ17+V17+H17</f>
        <v>0</v>
      </c>
      <c r="BM17" s="693">
        <f t="shared" si="2"/>
        <v>0</v>
      </c>
      <c r="BN17" s="693">
        <f t="shared" si="2"/>
        <v>0</v>
      </c>
      <c r="BO17" s="693">
        <f t="shared" si="2"/>
        <v>0</v>
      </c>
      <c r="BP17" s="696">
        <f t="shared" si="2"/>
        <v>0</v>
      </c>
      <c r="BQ17" s="697">
        <f>SUM(BR17:BW17)</f>
        <v>0</v>
      </c>
      <c r="BR17" s="693">
        <f t="shared" ref="BR17:BW23" si="3">AP17+AB17+N17</f>
        <v>0</v>
      </c>
      <c r="BS17" s="693">
        <f t="shared" si="3"/>
        <v>0</v>
      </c>
      <c r="BT17" s="693">
        <f t="shared" si="3"/>
        <v>0</v>
      </c>
      <c r="BU17" s="693">
        <f t="shared" si="3"/>
        <v>0</v>
      </c>
      <c r="BV17" s="693">
        <f t="shared" si="3"/>
        <v>0</v>
      </c>
      <c r="BW17" s="696">
        <f t="shared" si="3"/>
        <v>0</v>
      </c>
      <c r="BX17" s="693">
        <f>SUM(BY17:CD17)</f>
        <v>0</v>
      </c>
      <c r="BY17" s="694"/>
      <c r="BZ17" s="694"/>
      <c r="CA17" s="694"/>
      <c r="CB17" s="694"/>
      <c r="CC17" s="694"/>
      <c r="CD17" s="695"/>
      <c r="CE17" s="693">
        <f>SUM(CF17:CK17)</f>
        <v>0</v>
      </c>
      <c r="CF17" s="694"/>
      <c r="CG17" s="694"/>
      <c r="CH17" s="694"/>
      <c r="CI17" s="694"/>
      <c r="CJ17" s="694"/>
      <c r="CK17" s="698"/>
    </row>
    <row r="18" spans="3:89" ht="22.5">
      <c r="C18" s="672"/>
      <c r="D18" s="688" t="s">
        <v>517</v>
      </c>
      <c r="E18" s="683">
        <v>121</v>
      </c>
      <c r="F18" s="693">
        <f t="shared" ref="F18:F23" si="4">SUM(G18:L18)</f>
        <v>0</v>
      </c>
      <c r="G18" s="694"/>
      <c r="H18" s="694"/>
      <c r="I18" s="694"/>
      <c r="J18" s="694"/>
      <c r="K18" s="694"/>
      <c r="L18" s="695"/>
      <c r="M18" s="693">
        <f t="shared" ref="M18:M23" si="5">SUM(N18:S18)</f>
        <v>0</v>
      </c>
      <c r="N18" s="694"/>
      <c r="O18" s="694"/>
      <c r="P18" s="694"/>
      <c r="Q18" s="694"/>
      <c r="R18" s="694"/>
      <c r="S18" s="695"/>
      <c r="T18" s="693">
        <f t="shared" ref="T18:T23" si="6">SUM(U18:Z18)</f>
        <v>0</v>
      </c>
      <c r="U18" s="694"/>
      <c r="V18" s="694"/>
      <c r="W18" s="694"/>
      <c r="X18" s="694"/>
      <c r="Y18" s="694"/>
      <c r="Z18" s="695"/>
      <c r="AA18" s="693">
        <f t="shared" ref="AA18:AA23" si="7">SUM(AB18:AG18)</f>
        <v>0</v>
      </c>
      <c r="AB18" s="694"/>
      <c r="AC18" s="694"/>
      <c r="AD18" s="694"/>
      <c r="AE18" s="694"/>
      <c r="AF18" s="694"/>
      <c r="AG18" s="695"/>
      <c r="AH18" s="693">
        <f t="shared" ref="AH18:AH23" si="8">SUM(AI18:AN18)</f>
        <v>0</v>
      </c>
      <c r="AI18" s="694"/>
      <c r="AJ18" s="694"/>
      <c r="AK18" s="694"/>
      <c r="AL18" s="694"/>
      <c r="AM18" s="694"/>
      <c r="AN18" s="695"/>
      <c r="AO18" s="693">
        <f t="shared" ref="AO18:AO23" si="9">SUM(AP18:AU18)</f>
        <v>0</v>
      </c>
      <c r="AP18" s="694"/>
      <c r="AQ18" s="694"/>
      <c r="AR18" s="694"/>
      <c r="AS18" s="694"/>
      <c r="AT18" s="694"/>
      <c r="AU18" s="695"/>
      <c r="AV18" s="693">
        <f t="shared" ref="AV18:AV23" si="10">SUM(AW18:BB18)</f>
        <v>0</v>
      </c>
      <c r="AW18" s="694"/>
      <c r="AX18" s="694"/>
      <c r="AY18" s="694"/>
      <c r="AZ18" s="694"/>
      <c r="BA18" s="694"/>
      <c r="BB18" s="695"/>
      <c r="BC18" s="693">
        <f t="shared" ref="BC18:BC23" si="11">SUM(BD18:BI18)</f>
        <v>0</v>
      </c>
      <c r="BD18" s="694"/>
      <c r="BE18" s="694"/>
      <c r="BF18" s="694"/>
      <c r="BG18" s="694"/>
      <c r="BH18" s="694"/>
      <c r="BI18" s="695"/>
      <c r="BJ18" s="693">
        <f t="shared" ref="BJ18:BJ23" si="12">SUM(BK18:BP18)</f>
        <v>0</v>
      </c>
      <c r="BK18" s="693">
        <f t="shared" ref="BK18:BK23" si="13">AI18+U18+G18</f>
        <v>0</v>
      </c>
      <c r="BL18" s="693">
        <f t="shared" si="2"/>
        <v>0</v>
      </c>
      <c r="BM18" s="693">
        <f t="shared" si="2"/>
        <v>0</v>
      </c>
      <c r="BN18" s="693">
        <f t="shared" si="2"/>
        <v>0</v>
      </c>
      <c r="BO18" s="693">
        <f t="shared" si="2"/>
        <v>0</v>
      </c>
      <c r="BP18" s="696">
        <f t="shared" si="2"/>
        <v>0</v>
      </c>
      <c r="BQ18" s="697">
        <f t="shared" ref="BQ18:BQ23" si="14">SUM(BR18:BW18)</f>
        <v>0</v>
      </c>
      <c r="BR18" s="693">
        <f t="shared" si="3"/>
        <v>0</v>
      </c>
      <c r="BS18" s="693">
        <f t="shared" si="3"/>
        <v>0</v>
      </c>
      <c r="BT18" s="693">
        <f t="shared" si="3"/>
        <v>0</v>
      </c>
      <c r="BU18" s="693">
        <f t="shared" si="3"/>
        <v>0</v>
      </c>
      <c r="BV18" s="693">
        <f t="shared" si="3"/>
        <v>0</v>
      </c>
      <c r="BW18" s="696">
        <f t="shared" si="3"/>
        <v>0</v>
      </c>
      <c r="BX18" s="693">
        <f t="shared" ref="BX18:BX23" si="15">SUM(BY18:CD18)</f>
        <v>0</v>
      </c>
      <c r="BY18" s="694"/>
      <c r="BZ18" s="694"/>
      <c r="CA18" s="694"/>
      <c r="CB18" s="694"/>
      <c r="CC18" s="694"/>
      <c r="CD18" s="695"/>
      <c r="CE18" s="693">
        <f t="shared" ref="CE18:CE23" si="16">SUM(CF18:CK18)</f>
        <v>0</v>
      </c>
      <c r="CF18" s="694"/>
      <c r="CG18" s="694"/>
      <c r="CH18" s="694"/>
      <c r="CI18" s="694"/>
      <c r="CJ18" s="694"/>
      <c r="CK18" s="698"/>
    </row>
    <row r="19" spans="3:89" ht="15" customHeight="1">
      <c r="C19" s="672"/>
      <c r="D19" s="688" t="s">
        <v>518</v>
      </c>
      <c r="E19" s="683">
        <v>131</v>
      </c>
      <c r="F19" s="693">
        <f t="shared" si="4"/>
        <v>0</v>
      </c>
      <c r="G19" s="694"/>
      <c r="H19" s="694"/>
      <c r="I19" s="694"/>
      <c r="J19" s="694"/>
      <c r="K19" s="694"/>
      <c r="L19" s="695"/>
      <c r="M19" s="693">
        <f t="shared" si="5"/>
        <v>0</v>
      </c>
      <c r="N19" s="694"/>
      <c r="O19" s="694"/>
      <c r="P19" s="694"/>
      <c r="Q19" s="694"/>
      <c r="R19" s="694"/>
      <c r="S19" s="695"/>
      <c r="T19" s="693">
        <f t="shared" si="6"/>
        <v>0</v>
      </c>
      <c r="U19" s="694"/>
      <c r="V19" s="694"/>
      <c r="W19" s="694"/>
      <c r="X19" s="694"/>
      <c r="Y19" s="694"/>
      <c r="Z19" s="695"/>
      <c r="AA19" s="693">
        <f t="shared" si="7"/>
        <v>0</v>
      </c>
      <c r="AB19" s="694"/>
      <c r="AC19" s="694"/>
      <c r="AD19" s="694"/>
      <c r="AE19" s="694"/>
      <c r="AF19" s="694"/>
      <c r="AG19" s="695"/>
      <c r="AH19" s="693">
        <f t="shared" si="8"/>
        <v>0</v>
      </c>
      <c r="AI19" s="694"/>
      <c r="AJ19" s="694"/>
      <c r="AK19" s="694"/>
      <c r="AL19" s="694"/>
      <c r="AM19" s="694"/>
      <c r="AN19" s="695"/>
      <c r="AO19" s="693">
        <f t="shared" si="9"/>
        <v>0</v>
      </c>
      <c r="AP19" s="694"/>
      <c r="AQ19" s="694"/>
      <c r="AR19" s="694"/>
      <c r="AS19" s="694"/>
      <c r="AT19" s="694"/>
      <c r="AU19" s="695"/>
      <c r="AV19" s="693">
        <f t="shared" si="10"/>
        <v>0</v>
      </c>
      <c r="AW19" s="694"/>
      <c r="AX19" s="694"/>
      <c r="AY19" s="694"/>
      <c r="AZ19" s="694"/>
      <c r="BA19" s="694"/>
      <c r="BB19" s="695"/>
      <c r="BC19" s="693">
        <f t="shared" si="11"/>
        <v>0</v>
      </c>
      <c r="BD19" s="694"/>
      <c r="BE19" s="694"/>
      <c r="BF19" s="694"/>
      <c r="BG19" s="694"/>
      <c r="BH19" s="694"/>
      <c r="BI19" s="695"/>
      <c r="BJ19" s="693">
        <f t="shared" si="12"/>
        <v>0</v>
      </c>
      <c r="BK19" s="693">
        <f t="shared" si="13"/>
        <v>0</v>
      </c>
      <c r="BL19" s="693">
        <f t="shared" si="2"/>
        <v>0</v>
      </c>
      <c r="BM19" s="693">
        <f t="shared" si="2"/>
        <v>0</v>
      </c>
      <c r="BN19" s="693">
        <f t="shared" si="2"/>
        <v>0</v>
      </c>
      <c r="BO19" s="693">
        <f t="shared" si="2"/>
        <v>0</v>
      </c>
      <c r="BP19" s="696">
        <f t="shared" si="2"/>
        <v>0</v>
      </c>
      <c r="BQ19" s="697">
        <f t="shared" si="14"/>
        <v>0</v>
      </c>
      <c r="BR19" s="693">
        <f t="shared" si="3"/>
        <v>0</v>
      </c>
      <c r="BS19" s="693">
        <f t="shared" si="3"/>
        <v>0</v>
      </c>
      <c r="BT19" s="693">
        <f t="shared" si="3"/>
        <v>0</v>
      </c>
      <c r="BU19" s="693">
        <f t="shared" si="3"/>
        <v>0</v>
      </c>
      <c r="BV19" s="693">
        <f t="shared" si="3"/>
        <v>0</v>
      </c>
      <c r="BW19" s="696">
        <f t="shared" si="3"/>
        <v>0</v>
      </c>
      <c r="BX19" s="693">
        <f t="shared" si="15"/>
        <v>0</v>
      </c>
      <c r="BY19" s="694"/>
      <c r="BZ19" s="694"/>
      <c r="CA19" s="694"/>
      <c r="CB19" s="694"/>
      <c r="CC19" s="694"/>
      <c r="CD19" s="695"/>
      <c r="CE19" s="693">
        <f t="shared" si="16"/>
        <v>0</v>
      </c>
      <c r="CF19" s="694"/>
      <c r="CG19" s="694"/>
      <c r="CH19" s="694"/>
      <c r="CI19" s="694"/>
      <c r="CJ19" s="694"/>
      <c r="CK19" s="698"/>
    </row>
    <row r="20" spans="3:89" ht="15" customHeight="1">
      <c r="C20" s="672"/>
      <c r="D20" s="688" t="s">
        <v>519</v>
      </c>
      <c r="E20" s="683">
        <v>141</v>
      </c>
      <c r="F20" s="693">
        <f t="shared" si="4"/>
        <v>0</v>
      </c>
      <c r="G20" s="694"/>
      <c r="H20" s="694"/>
      <c r="I20" s="694"/>
      <c r="J20" s="694"/>
      <c r="K20" s="694"/>
      <c r="L20" s="695"/>
      <c r="M20" s="693">
        <f t="shared" si="5"/>
        <v>0</v>
      </c>
      <c r="N20" s="694"/>
      <c r="O20" s="694"/>
      <c r="P20" s="694"/>
      <c r="Q20" s="694"/>
      <c r="R20" s="694"/>
      <c r="S20" s="695"/>
      <c r="T20" s="693">
        <f t="shared" si="6"/>
        <v>0</v>
      </c>
      <c r="U20" s="694"/>
      <c r="V20" s="694"/>
      <c r="W20" s="694"/>
      <c r="X20" s="694"/>
      <c r="Y20" s="694"/>
      <c r="Z20" s="695"/>
      <c r="AA20" s="693">
        <f t="shared" si="7"/>
        <v>0</v>
      </c>
      <c r="AB20" s="694"/>
      <c r="AC20" s="694"/>
      <c r="AD20" s="694"/>
      <c r="AE20" s="694"/>
      <c r="AF20" s="694"/>
      <c r="AG20" s="695"/>
      <c r="AH20" s="693">
        <f t="shared" si="8"/>
        <v>0</v>
      </c>
      <c r="AI20" s="694"/>
      <c r="AJ20" s="694"/>
      <c r="AK20" s="694"/>
      <c r="AL20" s="694"/>
      <c r="AM20" s="694"/>
      <c r="AN20" s="695"/>
      <c r="AO20" s="693">
        <f t="shared" si="9"/>
        <v>0</v>
      </c>
      <c r="AP20" s="694"/>
      <c r="AQ20" s="694"/>
      <c r="AR20" s="694"/>
      <c r="AS20" s="694"/>
      <c r="AT20" s="694"/>
      <c r="AU20" s="695"/>
      <c r="AV20" s="693">
        <f t="shared" si="10"/>
        <v>0</v>
      </c>
      <c r="AW20" s="694"/>
      <c r="AX20" s="694"/>
      <c r="AY20" s="694"/>
      <c r="AZ20" s="694"/>
      <c r="BA20" s="694"/>
      <c r="BB20" s="695"/>
      <c r="BC20" s="693">
        <f t="shared" si="11"/>
        <v>0</v>
      </c>
      <c r="BD20" s="694"/>
      <c r="BE20" s="694"/>
      <c r="BF20" s="694"/>
      <c r="BG20" s="694"/>
      <c r="BH20" s="694"/>
      <c r="BI20" s="695"/>
      <c r="BJ20" s="693">
        <f t="shared" si="12"/>
        <v>0</v>
      </c>
      <c r="BK20" s="693">
        <f t="shared" si="13"/>
        <v>0</v>
      </c>
      <c r="BL20" s="693">
        <f t="shared" si="2"/>
        <v>0</v>
      </c>
      <c r="BM20" s="693">
        <f t="shared" si="2"/>
        <v>0</v>
      </c>
      <c r="BN20" s="693">
        <f t="shared" si="2"/>
        <v>0</v>
      </c>
      <c r="BO20" s="693">
        <f t="shared" si="2"/>
        <v>0</v>
      </c>
      <c r="BP20" s="696">
        <f t="shared" si="2"/>
        <v>0</v>
      </c>
      <c r="BQ20" s="697">
        <f t="shared" si="14"/>
        <v>0</v>
      </c>
      <c r="BR20" s="693">
        <f t="shared" si="3"/>
        <v>0</v>
      </c>
      <c r="BS20" s="693">
        <f t="shared" si="3"/>
        <v>0</v>
      </c>
      <c r="BT20" s="693">
        <f t="shared" si="3"/>
        <v>0</v>
      </c>
      <c r="BU20" s="693">
        <f t="shared" si="3"/>
        <v>0</v>
      </c>
      <c r="BV20" s="693">
        <f t="shared" si="3"/>
        <v>0</v>
      </c>
      <c r="BW20" s="696">
        <f t="shared" si="3"/>
        <v>0</v>
      </c>
      <c r="BX20" s="693">
        <f t="shared" si="15"/>
        <v>0</v>
      </c>
      <c r="BY20" s="694"/>
      <c r="BZ20" s="694"/>
      <c r="CA20" s="694"/>
      <c r="CB20" s="694"/>
      <c r="CC20" s="694"/>
      <c r="CD20" s="695"/>
      <c r="CE20" s="693">
        <f t="shared" si="16"/>
        <v>0</v>
      </c>
      <c r="CF20" s="694"/>
      <c r="CG20" s="694"/>
      <c r="CH20" s="694"/>
      <c r="CI20" s="694"/>
      <c r="CJ20" s="694"/>
      <c r="CK20" s="698"/>
    </row>
    <row r="21" spans="3:89" ht="15" customHeight="1">
      <c r="C21" s="672"/>
      <c r="D21" s="688" t="s">
        <v>520</v>
      </c>
      <c r="E21" s="683">
        <v>151</v>
      </c>
      <c r="F21" s="693">
        <f t="shared" si="4"/>
        <v>0</v>
      </c>
      <c r="G21" s="694"/>
      <c r="H21" s="694"/>
      <c r="I21" s="694"/>
      <c r="J21" s="694"/>
      <c r="K21" s="694"/>
      <c r="L21" s="695"/>
      <c r="M21" s="693">
        <f t="shared" si="5"/>
        <v>0</v>
      </c>
      <c r="N21" s="694"/>
      <c r="O21" s="694"/>
      <c r="P21" s="694"/>
      <c r="Q21" s="694"/>
      <c r="R21" s="694"/>
      <c r="S21" s="695"/>
      <c r="T21" s="693">
        <f t="shared" si="6"/>
        <v>0</v>
      </c>
      <c r="U21" s="694"/>
      <c r="V21" s="694"/>
      <c r="W21" s="694"/>
      <c r="X21" s="694"/>
      <c r="Y21" s="694"/>
      <c r="Z21" s="695"/>
      <c r="AA21" s="693">
        <f t="shared" si="7"/>
        <v>0</v>
      </c>
      <c r="AB21" s="694"/>
      <c r="AC21" s="694"/>
      <c r="AD21" s="694"/>
      <c r="AE21" s="694"/>
      <c r="AF21" s="694"/>
      <c r="AG21" s="695"/>
      <c r="AH21" s="693">
        <f t="shared" si="8"/>
        <v>0</v>
      </c>
      <c r="AI21" s="694"/>
      <c r="AJ21" s="694"/>
      <c r="AK21" s="694"/>
      <c r="AL21" s="694"/>
      <c r="AM21" s="694"/>
      <c r="AN21" s="695"/>
      <c r="AO21" s="693">
        <f t="shared" si="9"/>
        <v>0</v>
      </c>
      <c r="AP21" s="694"/>
      <c r="AQ21" s="694"/>
      <c r="AR21" s="694"/>
      <c r="AS21" s="694"/>
      <c r="AT21" s="694"/>
      <c r="AU21" s="695"/>
      <c r="AV21" s="693">
        <f t="shared" si="10"/>
        <v>0</v>
      </c>
      <c r="AW21" s="694"/>
      <c r="AX21" s="694"/>
      <c r="AY21" s="694"/>
      <c r="AZ21" s="694"/>
      <c r="BA21" s="694"/>
      <c r="BB21" s="695"/>
      <c r="BC21" s="693">
        <f t="shared" si="11"/>
        <v>0</v>
      </c>
      <c r="BD21" s="694"/>
      <c r="BE21" s="694"/>
      <c r="BF21" s="694"/>
      <c r="BG21" s="694"/>
      <c r="BH21" s="694"/>
      <c r="BI21" s="695"/>
      <c r="BJ21" s="693">
        <f t="shared" si="12"/>
        <v>0</v>
      </c>
      <c r="BK21" s="693">
        <f>AI21+U21+G21</f>
        <v>0</v>
      </c>
      <c r="BL21" s="693">
        <f t="shared" si="2"/>
        <v>0</v>
      </c>
      <c r="BM21" s="693">
        <f t="shared" si="2"/>
        <v>0</v>
      </c>
      <c r="BN21" s="693">
        <f t="shared" si="2"/>
        <v>0</v>
      </c>
      <c r="BO21" s="693">
        <f t="shared" si="2"/>
        <v>0</v>
      </c>
      <c r="BP21" s="696">
        <f t="shared" si="2"/>
        <v>0</v>
      </c>
      <c r="BQ21" s="697">
        <f t="shared" si="14"/>
        <v>0</v>
      </c>
      <c r="BR21" s="693">
        <f t="shared" si="3"/>
        <v>0</v>
      </c>
      <c r="BS21" s="693">
        <f t="shared" si="3"/>
        <v>0</v>
      </c>
      <c r="BT21" s="693">
        <f t="shared" si="3"/>
        <v>0</v>
      </c>
      <c r="BU21" s="693">
        <f t="shared" si="3"/>
        <v>0</v>
      </c>
      <c r="BV21" s="693">
        <f t="shared" si="3"/>
        <v>0</v>
      </c>
      <c r="BW21" s="696">
        <f t="shared" si="3"/>
        <v>0</v>
      </c>
      <c r="BX21" s="693">
        <f t="shared" si="15"/>
        <v>0</v>
      </c>
      <c r="BY21" s="694"/>
      <c r="BZ21" s="694"/>
      <c r="CA21" s="694"/>
      <c r="CB21" s="694"/>
      <c r="CC21" s="694"/>
      <c r="CD21" s="695"/>
      <c r="CE21" s="693">
        <f t="shared" si="16"/>
        <v>0</v>
      </c>
      <c r="CF21" s="694"/>
      <c r="CG21" s="694"/>
      <c r="CH21" s="694"/>
      <c r="CI21" s="694"/>
      <c r="CJ21" s="694"/>
      <c r="CK21" s="698"/>
    </row>
    <row r="22" spans="3:89" ht="15" customHeight="1">
      <c r="C22" s="672"/>
      <c r="D22" s="688" t="s">
        <v>521</v>
      </c>
      <c r="E22" s="683">
        <v>161</v>
      </c>
      <c r="F22" s="693">
        <f t="shared" si="4"/>
        <v>0</v>
      </c>
      <c r="G22" s="694"/>
      <c r="H22" s="694"/>
      <c r="I22" s="694"/>
      <c r="J22" s="694"/>
      <c r="K22" s="694"/>
      <c r="L22" s="695"/>
      <c r="M22" s="693">
        <f t="shared" si="5"/>
        <v>0</v>
      </c>
      <c r="N22" s="694"/>
      <c r="O22" s="694"/>
      <c r="P22" s="694"/>
      <c r="Q22" s="694"/>
      <c r="R22" s="694"/>
      <c r="S22" s="695"/>
      <c r="T22" s="693">
        <f t="shared" si="6"/>
        <v>0</v>
      </c>
      <c r="U22" s="694"/>
      <c r="V22" s="694"/>
      <c r="W22" s="694"/>
      <c r="X22" s="694"/>
      <c r="Y22" s="694"/>
      <c r="Z22" s="695"/>
      <c r="AA22" s="693">
        <f t="shared" si="7"/>
        <v>0</v>
      </c>
      <c r="AB22" s="694"/>
      <c r="AC22" s="694"/>
      <c r="AD22" s="694"/>
      <c r="AE22" s="694"/>
      <c r="AF22" s="694"/>
      <c r="AG22" s="695"/>
      <c r="AH22" s="693">
        <f t="shared" si="8"/>
        <v>0</v>
      </c>
      <c r="AI22" s="694"/>
      <c r="AJ22" s="694"/>
      <c r="AK22" s="694"/>
      <c r="AL22" s="694"/>
      <c r="AM22" s="694"/>
      <c r="AN22" s="695"/>
      <c r="AO22" s="693">
        <f t="shared" si="9"/>
        <v>0</v>
      </c>
      <c r="AP22" s="694"/>
      <c r="AQ22" s="694"/>
      <c r="AR22" s="694"/>
      <c r="AS22" s="694"/>
      <c r="AT22" s="694"/>
      <c r="AU22" s="695"/>
      <c r="AV22" s="693">
        <f t="shared" si="10"/>
        <v>0</v>
      </c>
      <c r="AW22" s="694"/>
      <c r="AX22" s="694"/>
      <c r="AY22" s="694"/>
      <c r="AZ22" s="694"/>
      <c r="BA22" s="694"/>
      <c r="BB22" s="695"/>
      <c r="BC22" s="693">
        <f t="shared" si="11"/>
        <v>0</v>
      </c>
      <c r="BD22" s="694"/>
      <c r="BE22" s="694"/>
      <c r="BF22" s="694"/>
      <c r="BG22" s="694"/>
      <c r="BH22" s="694"/>
      <c r="BI22" s="695"/>
      <c r="BJ22" s="693">
        <f t="shared" si="12"/>
        <v>0</v>
      </c>
      <c r="BK22" s="693">
        <f t="shared" si="13"/>
        <v>0</v>
      </c>
      <c r="BL22" s="693">
        <f t="shared" si="2"/>
        <v>0</v>
      </c>
      <c r="BM22" s="693">
        <f t="shared" si="2"/>
        <v>0</v>
      </c>
      <c r="BN22" s="693">
        <f t="shared" si="2"/>
        <v>0</v>
      </c>
      <c r="BO22" s="693">
        <f t="shared" si="2"/>
        <v>0</v>
      </c>
      <c r="BP22" s="696">
        <f t="shared" si="2"/>
        <v>0</v>
      </c>
      <c r="BQ22" s="697">
        <f t="shared" si="14"/>
        <v>0</v>
      </c>
      <c r="BR22" s="693">
        <f t="shared" si="3"/>
        <v>0</v>
      </c>
      <c r="BS22" s="693">
        <f t="shared" si="3"/>
        <v>0</v>
      </c>
      <c r="BT22" s="693">
        <f t="shared" si="3"/>
        <v>0</v>
      </c>
      <c r="BU22" s="693">
        <f t="shared" si="3"/>
        <v>0</v>
      </c>
      <c r="BV22" s="693">
        <f t="shared" si="3"/>
        <v>0</v>
      </c>
      <c r="BW22" s="696">
        <f t="shared" si="3"/>
        <v>0</v>
      </c>
      <c r="BX22" s="693">
        <f t="shared" si="15"/>
        <v>0</v>
      </c>
      <c r="BY22" s="694"/>
      <c r="BZ22" s="694"/>
      <c r="CA22" s="694"/>
      <c r="CB22" s="694"/>
      <c r="CC22" s="694"/>
      <c r="CD22" s="695"/>
      <c r="CE22" s="693">
        <f t="shared" si="16"/>
        <v>0</v>
      </c>
      <c r="CF22" s="694"/>
      <c r="CG22" s="694"/>
      <c r="CH22" s="694"/>
      <c r="CI22" s="694"/>
      <c r="CJ22" s="694"/>
      <c r="CK22" s="698"/>
    </row>
    <row r="23" spans="3:89" ht="15" customHeight="1">
      <c r="C23" s="672"/>
      <c r="D23" s="688" t="s">
        <v>522</v>
      </c>
      <c r="E23" s="683">
        <v>171</v>
      </c>
      <c r="F23" s="693">
        <f t="shared" si="4"/>
        <v>0</v>
      </c>
      <c r="G23" s="694"/>
      <c r="H23" s="694"/>
      <c r="I23" s="694"/>
      <c r="J23" s="694"/>
      <c r="K23" s="694"/>
      <c r="L23" s="695"/>
      <c r="M23" s="693">
        <f t="shared" si="5"/>
        <v>0</v>
      </c>
      <c r="N23" s="694"/>
      <c r="O23" s="694"/>
      <c r="P23" s="694"/>
      <c r="Q23" s="694"/>
      <c r="R23" s="694"/>
      <c r="S23" s="695"/>
      <c r="T23" s="693">
        <f t="shared" si="6"/>
        <v>0</v>
      </c>
      <c r="U23" s="694"/>
      <c r="V23" s="694"/>
      <c r="W23" s="694"/>
      <c r="X23" s="694"/>
      <c r="Y23" s="694"/>
      <c r="Z23" s="695"/>
      <c r="AA23" s="693">
        <f t="shared" si="7"/>
        <v>0</v>
      </c>
      <c r="AB23" s="694"/>
      <c r="AC23" s="694"/>
      <c r="AD23" s="694"/>
      <c r="AE23" s="694"/>
      <c r="AF23" s="694"/>
      <c r="AG23" s="695"/>
      <c r="AH23" s="693">
        <f t="shared" si="8"/>
        <v>0</v>
      </c>
      <c r="AI23" s="694"/>
      <c r="AJ23" s="694"/>
      <c r="AK23" s="694"/>
      <c r="AL23" s="694"/>
      <c r="AM23" s="694"/>
      <c r="AN23" s="695"/>
      <c r="AO23" s="693">
        <f t="shared" si="9"/>
        <v>0</v>
      </c>
      <c r="AP23" s="694"/>
      <c r="AQ23" s="694"/>
      <c r="AR23" s="694"/>
      <c r="AS23" s="694"/>
      <c r="AT23" s="694"/>
      <c r="AU23" s="695"/>
      <c r="AV23" s="693">
        <f t="shared" si="10"/>
        <v>0</v>
      </c>
      <c r="AW23" s="694"/>
      <c r="AX23" s="694"/>
      <c r="AY23" s="694"/>
      <c r="AZ23" s="694"/>
      <c r="BA23" s="694"/>
      <c r="BB23" s="695"/>
      <c r="BC23" s="693">
        <f t="shared" si="11"/>
        <v>0</v>
      </c>
      <c r="BD23" s="694"/>
      <c r="BE23" s="694"/>
      <c r="BF23" s="694"/>
      <c r="BG23" s="694"/>
      <c r="BH23" s="694"/>
      <c r="BI23" s="695"/>
      <c r="BJ23" s="693">
        <f t="shared" si="12"/>
        <v>0</v>
      </c>
      <c r="BK23" s="693">
        <f t="shared" si="13"/>
        <v>0</v>
      </c>
      <c r="BL23" s="693">
        <f t="shared" si="2"/>
        <v>0</v>
      </c>
      <c r="BM23" s="693">
        <f t="shared" si="2"/>
        <v>0</v>
      </c>
      <c r="BN23" s="693">
        <f t="shared" si="2"/>
        <v>0</v>
      </c>
      <c r="BO23" s="693">
        <f t="shared" si="2"/>
        <v>0</v>
      </c>
      <c r="BP23" s="696">
        <f t="shared" si="2"/>
        <v>0</v>
      </c>
      <c r="BQ23" s="697">
        <f t="shared" si="14"/>
        <v>0</v>
      </c>
      <c r="BR23" s="693">
        <f t="shared" si="3"/>
        <v>0</v>
      </c>
      <c r="BS23" s="693">
        <f t="shared" si="3"/>
        <v>0</v>
      </c>
      <c r="BT23" s="693">
        <f t="shared" si="3"/>
        <v>0</v>
      </c>
      <c r="BU23" s="693">
        <f t="shared" si="3"/>
        <v>0</v>
      </c>
      <c r="BV23" s="693">
        <f t="shared" si="3"/>
        <v>0</v>
      </c>
      <c r="BW23" s="696">
        <f t="shared" si="3"/>
        <v>0</v>
      </c>
      <c r="BX23" s="693">
        <f t="shared" si="15"/>
        <v>0</v>
      </c>
      <c r="BY23" s="694"/>
      <c r="BZ23" s="694"/>
      <c r="CA23" s="694"/>
      <c r="CB23" s="694"/>
      <c r="CC23" s="694"/>
      <c r="CD23" s="695"/>
      <c r="CE23" s="693">
        <f t="shared" si="16"/>
        <v>0</v>
      </c>
      <c r="CF23" s="694"/>
      <c r="CG23" s="694"/>
      <c r="CH23" s="694"/>
      <c r="CI23" s="694"/>
      <c r="CJ23" s="694"/>
      <c r="CK23" s="698"/>
    </row>
    <row r="24" spans="3:89" ht="33.75">
      <c r="C24" s="672"/>
      <c r="D24" s="688" t="s">
        <v>523</v>
      </c>
      <c r="E24" s="683">
        <v>200</v>
      </c>
      <c r="F24" s="689">
        <f t="shared" ref="F24:BQ24" si="17">SUM(F25:F31)</f>
        <v>0</v>
      </c>
      <c r="G24" s="689">
        <f t="shared" si="17"/>
        <v>0</v>
      </c>
      <c r="H24" s="689">
        <f t="shared" si="17"/>
        <v>0</v>
      </c>
      <c r="I24" s="689">
        <f t="shared" si="17"/>
        <v>0</v>
      </c>
      <c r="J24" s="689">
        <f t="shared" si="17"/>
        <v>0</v>
      </c>
      <c r="K24" s="689">
        <f t="shared" si="17"/>
        <v>0</v>
      </c>
      <c r="L24" s="690">
        <f t="shared" si="17"/>
        <v>0</v>
      </c>
      <c r="M24" s="689">
        <f t="shared" si="17"/>
        <v>0</v>
      </c>
      <c r="N24" s="689">
        <f t="shared" si="17"/>
        <v>0</v>
      </c>
      <c r="O24" s="689">
        <f t="shared" si="17"/>
        <v>0</v>
      </c>
      <c r="P24" s="689">
        <f t="shared" si="17"/>
        <v>0</v>
      </c>
      <c r="Q24" s="689">
        <f t="shared" si="17"/>
        <v>0</v>
      </c>
      <c r="R24" s="689">
        <f t="shared" si="17"/>
        <v>0</v>
      </c>
      <c r="S24" s="690">
        <f t="shared" si="17"/>
        <v>0</v>
      </c>
      <c r="T24" s="689">
        <f t="shared" si="17"/>
        <v>0</v>
      </c>
      <c r="U24" s="689">
        <f t="shared" si="17"/>
        <v>0</v>
      </c>
      <c r="V24" s="689">
        <f t="shared" si="17"/>
        <v>0</v>
      </c>
      <c r="W24" s="689">
        <f t="shared" si="17"/>
        <v>0</v>
      </c>
      <c r="X24" s="689">
        <f t="shared" si="17"/>
        <v>0</v>
      </c>
      <c r="Y24" s="689">
        <f t="shared" si="17"/>
        <v>0</v>
      </c>
      <c r="Z24" s="690">
        <f t="shared" si="17"/>
        <v>0</v>
      </c>
      <c r="AA24" s="689">
        <f t="shared" si="17"/>
        <v>0</v>
      </c>
      <c r="AB24" s="689">
        <f t="shared" si="17"/>
        <v>0</v>
      </c>
      <c r="AC24" s="689">
        <f t="shared" si="17"/>
        <v>0</v>
      </c>
      <c r="AD24" s="689">
        <f t="shared" si="17"/>
        <v>0</v>
      </c>
      <c r="AE24" s="689">
        <f t="shared" si="17"/>
        <v>0</v>
      </c>
      <c r="AF24" s="689">
        <f t="shared" si="17"/>
        <v>0</v>
      </c>
      <c r="AG24" s="690">
        <f t="shared" si="17"/>
        <v>0</v>
      </c>
      <c r="AH24" s="689">
        <f t="shared" si="17"/>
        <v>0</v>
      </c>
      <c r="AI24" s="689">
        <f t="shared" si="17"/>
        <v>0</v>
      </c>
      <c r="AJ24" s="689">
        <f t="shared" si="17"/>
        <v>0</v>
      </c>
      <c r="AK24" s="689">
        <f t="shared" si="17"/>
        <v>0</v>
      </c>
      <c r="AL24" s="689">
        <f t="shared" si="17"/>
        <v>0</v>
      </c>
      <c r="AM24" s="689">
        <f t="shared" si="17"/>
        <v>0</v>
      </c>
      <c r="AN24" s="690">
        <f t="shared" si="17"/>
        <v>0</v>
      </c>
      <c r="AO24" s="689">
        <f t="shared" si="17"/>
        <v>0</v>
      </c>
      <c r="AP24" s="689">
        <f t="shared" si="17"/>
        <v>0</v>
      </c>
      <c r="AQ24" s="689">
        <f t="shared" si="17"/>
        <v>0</v>
      </c>
      <c r="AR24" s="689">
        <f t="shared" si="17"/>
        <v>0</v>
      </c>
      <c r="AS24" s="689">
        <f t="shared" si="17"/>
        <v>0</v>
      </c>
      <c r="AT24" s="689">
        <f t="shared" si="17"/>
        <v>0</v>
      </c>
      <c r="AU24" s="690">
        <f t="shared" si="17"/>
        <v>0</v>
      </c>
      <c r="AV24" s="689">
        <f t="shared" si="17"/>
        <v>0</v>
      </c>
      <c r="AW24" s="689">
        <f t="shared" si="17"/>
        <v>0</v>
      </c>
      <c r="AX24" s="689">
        <f t="shared" si="17"/>
        <v>0</v>
      </c>
      <c r="AY24" s="689">
        <f t="shared" si="17"/>
        <v>0</v>
      </c>
      <c r="AZ24" s="689">
        <f t="shared" si="17"/>
        <v>0</v>
      </c>
      <c r="BA24" s="689">
        <f t="shared" si="17"/>
        <v>0</v>
      </c>
      <c r="BB24" s="690">
        <f t="shared" si="17"/>
        <v>0</v>
      </c>
      <c r="BC24" s="689">
        <f t="shared" si="17"/>
        <v>0</v>
      </c>
      <c r="BD24" s="689">
        <f t="shared" si="17"/>
        <v>0</v>
      </c>
      <c r="BE24" s="689">
        <f t="shared" si="17"/>
        <v>0</v>
      </c>
      <c r="BF24" s="689">
        <f t="shared" si="17"/>
        <v>0</v>
      </c>
      <c r="BG24" s="689">
        <f t="shared" si="17"/>
        <v>0</v>
      </c>
      <c r="BH24" s="689">
        <f t="shared" si="17"/>
        <v>0</v>
      </c>
      <c r="BI24" s="690">
        <f t="shared" si="17"/>
        <v>0</v>
      </c>
      <c r="BJ24" s="689">
        <f t="shared" si="17"/>
        <v>0</v>
      </c>
      <c r="BK24" s="689">
        <f t="shared" si="17"/>
        <v>0</v>
      </c>
      <c r="BL24" s="689">
        <f t="shared" si="17"/>
        <v>0</v>
      </c>
      <c r="BM24" s="689">
        <f t="shared" si="17"/>
        <v>0</v>
      </c>
      <c r="BN24" s="689">
        <f t="shared" si="17"/>
        <v>0</v>
      </c>
      <c r="BO24" s="689">
        <f t="shared" si="17"/>
        <v>0</v>
      </c>
      <c r="BP24" s="690">
        <f t="shared" si="17"/>
        <v>0</v>
      </c>
      <c r="BQ24" s="689">
        <f t="shared" si="17"/>
        <v>0</v>
      </c>
      <c r="BR24" s="689">
        <f t="shared" ref="BR24:CK24" si="18">SUM(BR25:BR31)</f>
        <v>0</v>
      </c>
      <c r="BS24" s="689">
        <f t="shared" si="18"/>
        <v>0</v>
      </c>
      <c r="BT24" s="689">
        <f t="shared" si="18"/>
        <v>0</v>
      </c>
      <c r="BU24" s="689">
        <f t="shared" si="18"/>
        <v>0</v>
      </c>
      <c r="BV24" s="689">
        <f t="shared" si="18"/>
        <v>0</v>
      </c>
      <c r="BW24" s="690">
        <f t="shared" si="18"/>
        <v>0</v>
      </c>
      <c r="BX24" s="689">
        <f t="shared" si="18"/>
        <v>0</v>
      </c>
      <c r="BY24" s="689">
        <f t="shared" si="18"/>
        <v>0</v>
      </c>
      <c r="BZ24" s="689">
        <f t="shared" si="18"/>
        <v>0</v>
      </c>
      <c r="CA24" s="689">
        <f t="shared" si="18"/>
        <v>0</v>
      </c>
      <c r="CB24" s="689">
        <f t="shared" si="18"/>
        <v>0</v>
      </c>
      <c r="CC24" s="689">
        <f t="shared" si="18"/>
        <v>0</v>
      </c>
      <c r="CD24" s="690">
        <f t="shared" si="18"/>
        <v>0</v>
      </c>
      <c r="CE24" s="689">
        <f t="shared" si="18"/>
        <v>0</v>
      </c>
      <c r="CF24" s="689">
        <f t="shared" si="18"/>
        <v>0</v>
      </c>
      <c r="CG24" s="689">
        <f t="shared" si="18"/>
        <v>0</v>
      </c>
      <c r="CH24" s="689">
        <f t="shared" si="18"/>
        <v>0</v>
      </c>
      <c r="CI24" s="689">
        <f t="shared" si="18"/>
        <v>0</v>
      </c>
      <c r="CJ24" s="689">
        <f t="shared" si="18"/>
        <v>0</v>
      </c>
      <c r="CK24" s="699">
        <f t="shared" si="18"/>
        <v>0</v>
      </c>
    </row>
    <row r="25" spans="3:89" ht="22.5">
      <c r="C25" s="672"/>
      <c r="D25" s="688" t="s">
        <v>516</v>
      </c>
      <c r="E25" s="683">
        <v>211</v>
      </c>
      <c r="F25" s="693">
        <f>SUM(G25:L25)</f>
        <v>0</v>
      </c>
      <c r="G25" s="694"/>
      <c r="H25" s="694"/>
      <c r="I25" s="694"/>
      <c r="J25" s="694"/>
      <c r="K25" s="694"/>
      <c r="L25" s="695"/>
      <c r="M25" s="693">
        <f>SUM(N25:S25)</f>
        <v>0</v>
      </c>
      <c r="N25" s="694"/>
      <c r="O25" s="694"/>
      <c r="P25" s="694"/>
      <c r="Q25" s="694"/>
      <c r="R25" s="694"/>
      <c r="S25" s="695"/>
      <c r="T25" s="693">
        <f>SUM(U25:Z25)</f>
        <v>0</v>
      </c>
      <c r="U25" s="694"/>
      <c r="V25" s="694"/>
      <c r="W25" s="694"/>
      <c r="X25" s="694"/>
      <c r="Y25" s="694"/>
      <c r="Z25" s="695"/>
      <c r="AA25" s="693">
        <f>SUM(AB25:AG25)</f>
        <v>0</v>
      </c>
      <c r="AB25" s="694"/>
      <c r="AC25" s="694"/>
      <c r="AD25" s="694"/>
      <c r="AE25" s="694"/>
      <c r="AF25" s="694"/>
      <c r="AG25" s="695"/>
      <c r="AH25" s="693">
        <f>SUM(AI25:AN25)</f>
        <v>0</v>
      </c>
      <c r="AI25" s="694"/>
      <c r="AJ25" s="694"/>
      <c r="AK25" s="694"/>
      <c r="AL25" s="694"/>
      <c r="AM25" s="694"/>
      <c r="AN25" s="695"/>
      <c r="AO25" s="693">
        <f>SUM(AP25:AU25)</f>
        <v>0</v>
      </c>
      <c r="AP25" s="694"/>
      <c r="AQ25" s="694"/>
      <c r="AR25" s="694"/>
      <c r="AS25" s="694"/>
      <c r="AT25" s="694"/>
      <c r="AU25" s="695"/>
      <c r="AV25" s="693">
        <f>SUM(AW25:BB25)</f>
        <v>0</v>
      </c>
      <c r="AW25" s="694"/>
      <c r="AX25" s="694"/>
      <c r="AY25" s="694"/>
      <c r="AZ25" s="694"/>
      <c r="BA25" s="694"/>
      <c r="BB25" s="695"/>
      <c r="BC25" s="693">
        <f>SUM(BD25:BI25)</f>
        <v>0</v>
      </c>
      <c r="BD25" s="694"/>
      <c r="BE25" s="694"/>
      <c r="BF25" s="694"/>
      <c r="BG25" s="694"/>
      <c r="BH25" s="694"/>
      <c r="BI25" s="695"/>
      <c r="BJ25" s="693">
        <f>SUM(BK25:BP25)</f>
        <v>0</v>
      </c>
      <c r="BK25" s="693">
        <f t="shared" ref="BK25:BP31" si="19">AI25+U25+G25</f>
        <v>0</v>
      </c>
      <c r="BL25" s="693">
        <f t="shared" si="19"/>
        <v>0</v>
      </c>
      <c r="BM25" s="693">
        <f t="shared" si="19"/>
        <v>0</v>
      </c>
      <c r="BN25" s="693">
        <f t="shared" si="19"/>
        <v>0</v>
      </c>
      <c r="BO25" s="693">
        <f t="shared" si="19"/>
        <v>0</v>
      </c>
      <c r="BP25" s="696">
        <f t="shared" si="19"/>
        <v>0</v>
      </c>
      <c r="BQ25" s="693">
        <f>SUM(BR25:BW25)</f>
        <v>0</v>
      </c>
      <c r="BR25" s="693">
        <f t="shared" ref="BR25:BW31" si="20">AP25+AB25+N25</f>
        <v>0</v>
      </c>
      <c r="BS25" s="693">
        <f t="shared" si="20"/>
        <v>0</v>
      </c>
      <c r="BT25" s="693">
        <f t="shared" si="20"/>
        <v>0</v>
      </c>
      <c r="BU25" s="693">
        <f t="shared" si="20"/>
        <v>0</v>
      </c>
      <c r="BV25" s="693">
        <f t="shared" si="20"/>
        <v>0</v>
      </c>
      <c r="BW25" s="696">
        <f t="shared" si="20"/>
        <v>0</v>
      </c>
      <c r="BX25" s="693">
        <f>SUM(BY25:CD25)</f>
        <v>0</v>
      </c>
      <c r="BY25" s="694"/>
      <c r="BZ25" s="694"/>
      <c r="CA25" s="694"/>
      <c r="CB25" s="694"/>
      <c r="CC25" s="694"/>
      <c r="CD25" s="695"/>
      <c r="CE25" s="693">
        <f>SUM(CF25:CK25)</f>
        <v>0</v>
      </c>
      <c r="CF25" s="694"/>
      <c r="CG25" s="694"/>
      <c r="CH25" s="694"/>
      <c r="CI25" s="694"/>
      <c r="CJ25" s="694"/>
      <c r="CK25" s="698"/>
    </row>
    <row r="26" spans="3:89" ht="22.5">
      <c r="C26" s="672"/>
      <c r="D26" s="688" t="s">
        <v>517</v>
      </c>
      <c r="E26" s="683">
        <v>221</v>
      </c>
      <c r="F26" s="693">
        <f t="shared" ref="F26:F31" si="21">SUM(G26:L26)</f>
        <v>0</v>
      </c>
      <c r="G26" s="694"/>
      <c r="H26" s="694"/>
      <c r="I26" s="694"/>
      <c r="J26" s="694"/>
      <c r="K26" s="694"/>
      <c r="L26" s="695"/>
      <c r="M26" s="693">
        <f t="shared" ref="M26:M31" si="22">SUM(N26:S26)</f>
        <v>0</v>
      </c>
      <c r="N26" s="694"/>
      <c r="O26" s="694"/>
      <c r="P26" s="694"/>
      <c r="Q26" s="694"/>
      <c r="R26" s="694"/>
      <c r="S26" s="695"/>
      <c r="T26" s="693">
        <f t="shared" ref="T26:T31" si="23">SUM(U26:Z26)</f>
        <v>0</v>
      </c>
      <c r="U26" s="694"/>
      <c r="V26" s="694"/>
      <c r="W26" s="694"/>
      <c r="X26" s="694"/>
      <c r="Y26" s="694"/>
      <c r="Z26" s="695"/>
      <c r="AA26" s="693">
        <f t="shared" ref="AA26:AA31" si="24">SUM(AB26:AG26)</f>
        <v>0</v>
      </c>
      <c r="AB26" s="694"/>
      <c r="AC26" s="694"/>
      <c r="AD26" s="694"/>
      <c r="AE26" s="694"/>
      <c r="AF26" s="694"/>
      <c r="AG26" s="695"/>
      <c r="AH26" s="693">
        <f t="shared" ref="AH26:AH31" si="25">SUM(AI26:AN26)</f>
        <v>0</v>
      </c>
      <c r="AI26" s="694"/>
      <c r="AJ26" s="694"/>
      <c r="AK26" s="694"/>
      <c r="AL26" s="694"/>
      <c r="AM26" s="694"/>
      <c r="AN26" s="695"/>
      <c r="AO26" s="693">
        <f t="shared" ref="AO26:AO31" si="26">SUM(AP26:AU26)</f>
        <v>0</v>
      </c>
      <c r="AP26" s="694"/>
      <c r="AQ26" s="694"/>
      <c r="AR26" s="694"/>
      <c r="AS26" s="694"/>
      <c r="AT26" s="694"/>
      <c r="AU26" s="695"/>
      <c r="AV26" s="693">
        <f t="shared" ref="AV26:AV31" si="27">SUM(AW26:BB26)</f>
        <v>0</v>
      </c>
      <c r="AW26" s="694"/>
      <c r="AX26" s="694"/>
      <c r="AY26" s="694"/>
      <c r="AZ26" s="694"/>
      <c r="BA26" s="694"/>
      <c r="BB26" s="695"/>
      <c r="BC26" s="693">
        <f t="shared" ref="BC26:BC31" si="28">SUM(BD26:BI26)</f>
        <v>0</v>
      </c>
      <c r="BD26" s="694"/>
      <c r="BE26" s="694"/>
      <c r="BF26" s="694"/>
      <c r="BG26" s="694"/>
      <c r="BH26" s="694"/>
      <c r="BI26" s="695"/>
      <c r="BJ26" s="693">
        <f t="shared" ref="BJ26:BJ31" si="29">SUM(BK26:BP26)</f>
        <v>0</v>
      </c>
      <c r="BK26" s="693">
        <f t="shared" si="19"/>
        <v>0</v>
      </c>
      <c r="BL26" s="693">
        <f t="shared" si="19"/>
        <v>0</v>
      </c>
      <c r="BM26" s="693">
        <f t="shared" si="19"/>
        <v>0</v>
      </c>
      <c r="BN26" s="693">
        <f t="shared" si="19"/>
        <v>0</v>
      </c>
      <c r="BO26" s="693">
        <f t="shared" si="19"/>
        <v>0</v>
      </c>
      <c r="BP26" s="696">
        <f t="shared" si="19"/>
        <v>0</v>
      </c>
      <c r="BQ26" s="693">
        <f t="shared" ref="BQ26:BQ31" si="30">SUM(BR26:BW26)</f>
        <v>0</v>
      </c>
      <c r="BR26" s="693">
        <f t="shared" si="20"/>
        <v>0</v>
      </c>
      <c r="BS26" s="693">
        <f t="shared" si="20"/>
        <v>0</v>
      </c>
      <c r="BT26" s="693">
        <f t="shared" si="20"/>
        <v>0</v>
      </c>
      <c r="BU26" s="693">
        <f t="shared" si="20"/>
        <v>0</v>
      </c>
      <c r="BV26" s="693">
        <f t="shared" si="20"/>
        <v>0</v>
      </c>
      <c r="BW26" s="696">
        <f t="shared" si="20"/>
        <v>0</v>
      </c>
      <c r="BX26" s="693">
        <f t="shared" ref="BX26:BX31" si="31">SUM(BY26:CD26)</f>
        <v>0</v>
      </c>
      <c r="BY26" s="694"/>
      <c r="BZ26" s="694"/>
      <c r="CA26" s="694"/>
      <c r="CB26" s="694"/>
      <c r="CC26" s="694"/>
      <c r="CD26" s="695"/>
      <c r="CE26" s="693">
        <f t="shared" ref="CE26:CE31" si="32">SUM(CF26:CK26)</f>
        <v>0</v>
      </c>
      <c r="CF26" s="694"/>
      <c r="CG26" s="694"/>
      <c r="CH26" s="694"/>
      <c r="CI26" s="694"/>
      <c r="CJ26" s="694"/>
      <c r="CK26" s="698"/>
    </row>
    <row r="27" spans="3:89" ht="15" customHeight="1">
      <c r="C27" s="672"/>
      <c r="D27" s="688" t="s">
        <v>518</v>
      </c>
      <c r="E27" s="683">
        <v>231</v>
      </c>
      <c r="F27" s="693">
        <f t="shared" si="21"/>
        <v>0</v>
      </c>
      <c r="G27" s="694"/>
      <c r="H27" s="694"/>
      <c r="I27" s="694"/>
      <c r="J27" s="694"/>
      <c r="K27" s="694"/>
      <c r="L27" s="695"/>
      <c r="M27" s="693">
        <f t="shared" si="22"/>
        <v>0</v>
      </c>
      <c r="N27" s="694"/>
      <c r="O27" s="694"/>
      <c r="P27" s="694"/>
      <c r="Q27" s="694"/>
      <c r="R27" s="694"/>
      <c r="S27" s="695"/>
      <c r="T27" s="693">
        <f t="shared" si="23"/>
        <v>0</v>
      </c>
      <c r="U27" s="694"/>
      <c r="V27" s="694"/>
      <c r="W27" s="694"/>
      <c r="X27" s="694"/>
      <c r="Y27" s="694"/>
      <c r="Z27" s="695"/>
      <c r="AA27" s="693">
        <f t="shared" si="24"/>
        <v>0</v>
      </c>
      <c r="AB27" s="694"/>
      <c r="AC27" s="694"/>
      <c r="AD27" s="694"/>
      <c r="AE27" s="694"/>
      <c r="AF27" s="694"/>
      <c r="AG27" s="695"/>
      <c r="AH27" s="693">
        <f t="shared" si="25"/>
        <v>0</v>
      </c>
      <c r="AI27" s="694"/>
      <c r="AJ27" s="694"/>
      <c r="AK27" s="694"/>
      <c r="AL27" s="694"/>
      <c r="AM27" s="694"/>
      <c r="AN27" s="695"/>
      <c r="AO27" s="693">
        <f t="shared" si="26"/>
        <v>0</v>
      </c>
      <c r="AP27" s="694"/>
      <c r="AQ27" s="694"/>
      <c r="AR27" s="694"/>
      <c r="AS27" s="694"/>
      <c r="AT27" s="694"/>
      <c r="AU27" s="695"/>
      <c r="AV27" s="693">
        <f t="shared" si="27"/>
        <v>0</v>
      </c>
      <c r="AW27" s="694"/>
      <c r="AX27" s="694"/>
      <c r="AY27" s="694"/>
      <c r="AZ27" s="694"/>
      <c r="BA27" s="694"/>
      <c r="BB27" s="695"/>
      <c r="BC27" s="693">
        <f t="shared" si="28"/>
        <v>0</v>
      </c>
      <c r="BD27" s="694"/>
      <c r="BE27" s="694"/>
      <c r="BF27" s="694"/>
      <c r="BG27" s="694"/>
      <c r="BH27" s="694"/>
      <c r="BI27" s="695"/>
      <c r="BJ27" s="693">
        <f t="shared" si="29"/>
        <v>0</v>
      </c>
      <c r="BK27" s="693">
        <f t="shared" si="19"/>
        <v>0</v>
      </c>
      <c r="BL27" s="693">
        <f t="shared" si="19"/>
        <v>0</v>
      </c>
      <c r="BM27" s="693">
        <f t="shared" si="19"/>
        <v>0</v>
      </c>
      <c r="BN27" s="693">
        <f t="shared" si="19"/>
        <v>0</v>
      </c>
      <c r="BO27" s="693">
        <f t="shared" si="19"/>
        <v>0</v>
      </c>
      <c r="BP27" s="696">
        <f t="shared" si="19"/>
        <v>0</v>
      </c>
      <c r="BQ27" s="693">
        <f t="shared" si="30"/>
        <v>0</v>
      </c>
      <c r="BR27" s="693">
        <f t="shared" si="20"/>
        <v>0</v>
      </c>
      <c r="BS27" s="693">
        <f t="shared" si="20"/>
        <v>0</v>
      </c>
      <c r="BT27" s="693">
        <f t="shared" si="20"/>
        <v>0</v>
      </c>
      <c r="BU27" s="693">
        <f t="shared" si="20"/>
        <v>0</v>
      </c>
      <c r="BV27" s="693">
        <f t="shared" si="20"/>
        <v>0</v>
      </c>
      <c r="BW27" s="696">
        <f t="shared" si="20"/>
        <v>0</v>
      </c>
      <c r="BX27" s="693">
        <f t="shared" si="31"/>
        <v>0</v>
      </c>
      <c r="BY27" s="694"/>
      <c r="BZ27" s="694"/>
      <c r="CA27" s="694"/>
      <c r="CB27" s="694"/>
      <c r="CC27" s="694"/>
      <c r="CD27" s="695"/>
      <c r="CE27" s="693">
        <f t="shared" si="32"/>
        <v>0</v>
      </c>
      <c r="CF27" s="694"/>
      <c r="CG27" s="694"/>
      <c r="CH27" s="694"/>
      <c r="CI27" s="694"/>
      <c r="CJ27" s="694"/>
      <c r="CK27" s="698"/>
    </row>
    <row r="28" spans="3:89" ht="15" customHeight="1">
      <c r="C28" s="672"/>
      <c r="D28" s="688" t="s">
        <v>519</v>
      </c>
      <c r="E28" s="683">
        <v>241</v>
      </c>
      <c r="F28" s="693">
        <f t="shared" si="21"/>
        <v>0</v>
      </c>
      <c r="G28" s="694"/>
      <c r="H28" s="694"/>
      <c r="I28" s="694"/>
      <c r="J28" s="694"/>
      <c r="K28" s="694"/>
      <c r="L28" s="695"/>
      <c r="M28" s="693">
        <f t="shared" si="22"/>
        <v>0</v>
      </c>
      <c r="N28" s="694"/>
      <c r="O28" s="694"/>
      <c r="P28" s="694"/>
      <c r="Q28" s="694"/>
      <c r="R28" s="694"/>
      <c r="S28" s="695"/>
      <c r="T28" s="693">
        <f t="shared" si="23"/>
        <v>0</v>
      </c>
      <c r="U28" s="694"/>
      <c r="V28" s="694"/>
      <c r="W28" s="694"/>
      <c r="X28" s="694"/>
      <c r="Y28" s="694"/>
      <c r="Z28" s="695"/>
      <c r="AA28" s="693">
        <f t="shared" si="24"/>
        <v>0</v>
      </c>
      <c r="AB28" s="694"/>
      <c r="AC28" s="694"/>
      <c r="AD28" s="694"/>
      <c r="AE28" s="694"/>
      <c r="AF28" s="694"/>
      <c r="AG28" s="695"/>
      <c r="AH28" s="693">
        <f t="shared" si="25"/>
        <v>0</v>
      </c>
      <c r="AI28" s="694"/>
      <c r="AJ28" s="694"/>
      <c r="AK28" s="694"/>
      <c r="AL28" s="694"/>
      <c r="AM28" s="694"/>
      <c r="AN28" s="695"/>
      <c r="AO28" s="693">
        <f t="shared" si="26"/>
        <v>0</v>
      </c>
      <c r="AP28" s="694"/>
      <c r="AQ28" s="694"/>
      <c r="AR28" s="694"/>
      <c r="AS28" s="694"/>
      <c r="AT28" s="694"/>
      <c r="AU28" s="695"/>
      <c r="AV28" s="693">
        <f t="shared" si="27"/>
        <v>0</v>
      </c>
      <c r="AW28" s="694"/>
      <c r="AX28" s="694"/>
      <c r="AY28" s="694"/>
      <c r="AZ28" s="694"/>
      <c r="BA28" s="694"/>
      <c r="BB28" s="695"/>
      <c r="BC28" s="693">
        <f t="shared" si="28"/>
        <v>0</v>
      </c>
      <c r="BD28" s="694"/>
      <c r="BE28" s="694"/>
      <c r="BF28" s="694"/>
      <c r="BG28" s="694"/>
      <c r="BH28" s="694"/>
      <c r="BI28" s="695"/>
      <c r="BJ28" s="693">
        <f t="shared" si="29"/>
        <v>0</v>
      </c>
      <c r="BK28" s="693">
        <f t="shared" si="19"/>
        <v>0</v>
      </c>
      <c r="BL28" s="693">
        <f t="shared" si="19"/>
        <v>0</v>
      </c>
      <c r="BM28" s="693">
        <f t="shared" si="19"/>
        <v>0</v>
      </c>
      <c r="BN28" s="693">
        <f t="shared" si="19"/>
        <v>0</v>
      </c>
      <c r="BO28" s="693">
        <f t="shared" si="19"/>
        <v>0</v>
      </c>
      <c r="BP28" s="696">
        <f t="shared" si="19"/>
        <v>0</v>
      </c>
      <c r="BQ28" s="693">
        <f t="shared" si="30"/>
        <v>0</v>
      </c>
      <c r="BR28" s="693">
        <f t="shared" si="20"/>
        <v>0</v>
      </c>
      <c r="BS28" s="693">
        <f t="shared" si="20"/>
        <v>0</v>
      </c>
      <c r="BT28" s="693">
        <f t="shared" si="20"/>
        <v>0</v>
      </c>
      <c r="BU28" s="693">
        <f t="shared" si="20"/>
        <v>0</v>
      </c>
      <c r="BV28" s="693">
        <f t="shared" si="20"/>
        <v>0</v>
      </c>
      <c r="BW28" s="696">
        <f t="shared" si="20"/>
        <v>0</v>
      </c>
      <c r="BX28" s="693">
        <f t="shared" si="31"/>
        <v>0</v>
      </c>
      <c r="BY28" s="694"/>
      <c r="BZ28" s="694"/>
      <c r="CA28" s="694"/>
      <c r="CB28" s="694"/>
      <c r="CC28" s="694"/>
      <c r="CD28" s="695"/>
      <c r="CE28" s="693">
        <f t="shared" si="32"/>
        <v>0</v>
      </c>
      <c r="CF28" s="694"/>
      <c r="CG28" s="694"/>
      <c r="CH28" s="694"/>
      <c r="CI28" s="694"/>
      <c r="CJ28" s="694"/>
      <c r="CK28" s="698"/>
    </row>
    <row r="29" spans="3:89" ht="15" customHeight="1">
      <c r="C29" s="672"/>
      <c r="D29" s="688" t="s">
        <v>520</v>
      </c>
      <c r="E29" s="683">
        <v>251</v>
      </c>
      <c r="F29" s="693">
        <f t="shared" si="21"/>
        <v>0</v>
      </c>
      <c r="G29" s="694"/>
      <c r="H29" s="694"/>
      <c r="I29" s="694"/>
      <c r="J29" s="694"/>
      <c r="K29" s="694"/>
      <c r="L29" s="695"/>
      <c r="M29" s="693">
        <f t="shared" si="22"/>
        <v>0</v>
      </c>
      <c r="N29" s="694"/>
      <c r="O29" s="694"/>
      <c r="P29" s="694"/>
      <c r="Q29" s="694"/>
      <c r="R29" s="694"/>
      <c r="S29" s="695"/>
      <c r="T29" s="693">
        <f t="shared" si="23"/>
        <v>0</v>
      </c>
      <c r="U29" s="694"/>
      <c r="V29" s="694"/>
      <c r="W29" s="694"/>
      <c r="X29" s="694"/>
      <c r="Y29" s="694"/>
      <c r="Z29" s="695"/>
      <c r="AA29" s="693">
        <f t="shared" si="24"/>
        <v>0</v>
      </c>
      <c r="AB29" s="694"/>
      <c r="AC29" s="694"/>
      <c r="AD29" s="694"/>
      <c r="AE29" s="694"/>
      <c r="AF29" s="694"/>
      <c r="AG29" s="695"/>
      <c r="AH29" s="693">
        <f t="shared" si="25"/>
        <v>0</v>
      </c>
      <c r="AI29" s="694"/>
      <c r="AJ29" s="694"/>
      <c r="AK29" s="694"/>
      <c r="AL29" s="694"/>
      <c r="AM29" s="694"/>
      <c r="AN29" s="695"/>
      <c r="AO29" s="693">
        <f t="shared" si="26"/>
        <v>0</v>
      </c>
      <c r="AP29" s="694"/>
      <c r="AQ29" s="694"/>
      <c r="AR29" s="694"/>
      <c r="AS29" s="694"/>
      <c r="AT29" s="694"/>
      <c r="AU29" s="695"/>
      <c r="AV29" s="693">
        <f t="shared" si="27"/>
        <v>0</v>
      </c>
      <c r="AW29" s="694"/>
      <c r="AX29" s="694"/>
      <c r="AY29" s="694"/>
      <c r="AZ29" s="694"/>
      <c r="BA29" s="694"/>
      <c r="BB29" s="695"/>
      <c r="BC29" s="693">
        <f t="shared" si="28"/>
        <v>0</v>
      </c>
      <c r="BD29" s="694"/>
      <c r="BE29" s="694"/>
      <c r="BF29" s="694"/>
      <c r="BG29" s="694"/>
      <c r="BH29" s="694"/>
      <c r="BI29" s="695"/>
      <c r="BJ29" s="693">
        <f t="shared" si="29"/>
        <v>0</v>
      </c>
      <c r="BK29" s="693">
        <f t="shared" si="19"/>
        <v>0</v>
      </c>
      <c r="BL29" s="693">
        <f t="shared" si="19"/>
        <v>0</v>
      </c>
      <c r="BM29" s="693">
        <f t="shared" si="19"/>
        <v>0</v>
      </c>
      <c r="BN29" s="693">
        <f t="shared" si="19"/>
        <v>0</v>
      </c>
      <c r="BO29" s="693">
        <f t="shared" si="19"/>
        <v>0</v>
      </c>
      <c r="BP29" s="696">
        <f t="shared" si="19"/>
        <v>0</v>
      </c>
      <c r="BQ29" s="693">
        <f t="shared" si="30"/>
        <v>0</v>
      </c>
      <c r="BR29" s="693">
        <f t="shared" si="20"/>
        <v>0</v>
      </c>
      <c r="BS29" s="693">
        <f t="shared" si="20"/>
        <v>0</v>
      </c>
      <c r="BT29" s="693">
        <f t="shared" si="20"/>
        <v>0</v>
      </c>
      <c r="BU29" s="693">
        <f t="shared" si="20"/>
        <v>0</v>
      </c>
      <c r="BV29" s="693">
        <f t="shared" si="20"/>
        <v>0</v>
      </c>
      <c r="BW29" s="696">
        <f t="shared" si="20"/>
        <v>0</v>
      </c>
      <c r="BX29" s="693">
        <f t="shared" si="31"/>
        <v>0</v>
      </c>
      <c r="BY29" s="694"/>
      <c r="BZ29" s="694"/>
      <c r="CA29" s="694"/>
      <c r="CB29" s="694"/>
      <c r="CC29" s="694"/>
      <c r="CD29" s="695"/>
      <c r="CE29" s="693">
        <f t="shared" si="32"/>
        <v>0</v>
      </c>
      <c r="CF29" s="694"/>
      <c r="CG29" s="694"/>
      <c r="CH29" s="694"/>
      <c r="CI29" s="694"/>
      <c r="CJ29" s="694"/>
      <c r="CK29" s="698"/>
    </row>
    <row r="30" spans="3:89" ht="15" customHeight="1">
      <c r="C30" s="672"/>
      <c r="D30" s="688" t="s">
        <v>521</v>
      </c>
      <c r="E30" s="683">
        <v>261</v>
      </c>
      <c r="F30" s="693">
        <f t="shared" si="21"/>
        <v>0</v>
      </c>
      <c r="G30" s="694"/>
      <c r="H30" s="694"/>
      <c r="I30" s="694"/>
      <c r="J30" s="694"/>
      <c r="K30" s="694"/>
      <c r="L30" s="695"/>
      <c r="M30" s="693">
        <f t="shared" si="22"/>
        <v>0</v>
      </c>
      <c r="N30" s="694"/>
      <c r="O30" s="694"/>
      <c r="P30" s="694"/>
      <c r="Q30" s="694"/>
      <c r="R30" s="694"/>
      <c r="S30" s="695"/>
      <c r="T30" s="693">
        <f t="shared" si="23"/>
        <v>0</v>
      </c>
      <c r="U30" s="694"/>
      <c r="V30" s="694"/>
      <c r="W30" s="694"/>
      <c r="X30" s="694"/>
      <c r="Y30" s="694"/>
      <c r="Z30" s="695"/>
      <c r="AA30" s="693">
        <f t="shared" si="24"/>
        <v>0</v>
      </c>
      <c r="AB30" s="694"/>
      <c r="AC30" s="694"/>
      <c r="AD30" s="694"/>
      <c r="AE30" s="694"/>
      <c r="AF30" s="694"/>
      <c r="AG30" s="695"/>
      <c r="AH30" s="693">
        <f t="shared" si="25"/>
        <v>0</v>
      </c>
      <c r="AI30" s="694"/>
      <c r="AJ30" s="694"/>
      <c r="AK30" s="694"/>
      <c r="AL30" s="694"/>
      <c r="AM30" s="694"/>
      <c r="AN30" s="695"/>
      <c r="AO30" s="693">
        <f t="shared" si="26"/>
        <v>0</v>
      </c>
      <c r="AP30" s="694"/>
      <c r="AQ30" s="694"/>
      <c r="AR30" s="694"/>
      <c r="AS30" s="694"/>
      <c r="AT30" s="694"/>
      <c r="AU30" s="695"/>
      <c r="AV30" s="693">
        <f t="shared" si="27"/>
        <v>0</v>
      </c>
      <c r="AW30" s="694"/>
      <c r="AX30" s="694"/>
      <c r="AY30" s="694"/>
      <c r="AZ30" s="694"/>
      <c r="BA30" s="694"/>
      <c r="BB30" s="695"/>
      <c r="BC30" s="693">
        <f t="shared" si="28"/>
        <v>0</v>
      </c>
      <c r="BD30" s="694"/>
      <c r="BE30" s="694"/>
      <c r="BF30" s="694"/>
      <c r="BG30" s="694"/>
      <c r="BH30" s="694"/>
      <c r="BI30" s="695"/>
      <c r="BJ30" s="693">
        <f t="shared" si="29"/>
        <v>0</v>
      </c>
      <c r="BK30" s="693">
        <f t="shared" si="19"/>
        <v>0</v>
      </c>
      <c r="BL30" s="693">
        <f t="shared" si="19"/>
        <v>0</v>
      </c>
      <c r="BM30" s="693">
        <f t="shared" si="19"/>
        <v>0</v>
      </c>
      <c r="BN30" s="693">
        <f t="shared" si="19"/>
        <v>0</v>
      </c>
      <c r="BO30" s="693">
        <f t="shared" si="19"/>
        <v>0</v>
      </c>
      <c r="BP30" s="696">
        <f t="shared" si="19"/>
        <v>0</v>
      </c>
      <c r="BQ30" s="693">
        <f t="shared" si="30"/>
        <v>0</v>
      </c>
      <c r="BR30" s="693">
        <f t="shared" si="20"/>
        <v>0</v>
      </c>
      <c r="BS30" s="693">
        <f t="shared" si="20"/>
        <v>0</v>
      </c>
      <c r="BT30" s="693">
        <f t="shared" si="20"/>
        <v>0</v>
      </c>
      <c r="BU30" s="693">
        <f t="shared" si="20"/>
        <v>0</v>
      </c>
      <c r="BV30" s="693">
        <f t="shared" si="20"/>
        <v>0</v>
      </c>
      <c r="BW30" s="696">
        <f t="shared" si="20"/>
        <v>0</v>
      </c>
      <c r="BX30" s="693">
        <f t="shared" si="31"/>
        <v>0</v>
      </c>
      <c r="BY30" s="694"/>
      <c r="BZ30" s="694"/>
      <c r="CA30" s="694"/>
      <c r="CB30" s="694"/>
      <c r="CC30" s="694"/>
      <c r="CD30" s="695"/>
      <c r="CE30" s="693">
        <f t="shared" si="32"/>
        <v>0</v>
      </c>
      <c r="CF30" s="694"/>
      <c r="CG30" s="694"/>
      <c r="CH30" s="694"/>
      <c r="CI30" s="694"/>
      <c r="CJ30" s="694"/>
      <c r="CK30" s="698"/>
    </row>
    <row r="31" spans="3:89" ht="15" customHeight="1">
      <c r="C31" s="672"/>
      <c r="D31" s="688" t="s">
        <v>522</v>
      </c>
      <c r="E31" s="683">
        <v>271</v>
      </c>
      <c r="F31" s="693">
        <f t="shared" si="21"/>
        <v>0</v>
      </c>
      <c r="G31" s="694"/>
      <c r="H31" s="694"/>
      <c r="I31" s="694"/>
      <c r="J31" s="694"/>
      <c r="K31" s="694"/>
      <c r="L31" s="695"/>
      <c r="M31" s="693">
        <f t="shared" si="22"/>
        <v>0</v>
      </c>
      <c r="N31" s="694"/>
      <c r="O31" s="694"/>
      <c r="P31" s="694"/>
      <c r="Q31" s="694"/>
      <c r="R31" s="694"/>
      <c r="S31" s="695"/>
      <c r="T31" s="693">
        <f t="shared" si="23"/>
        <v>0</v>
      </c>
      <c r="U31" s="694"/>
      <c r="V31" s="694"/>
      <c r="W31" s="694"/>
      <c r="X31" s="694"/>
      <c r="Y31" s="694"/>
      <c r="Z31" s="695"/>
      <c r="AA31" s="693">
        <f t="shared" si="24"/>
        <v>0</v>
      </c>
      <c r="AB31" s="694"/>
      <c r="AC31" s="694"/>
      <c r="AD31" s="694"/>
      <c r="AE31" s="694"/>
      <c r="AF31" s="694"/>
      <c r="AG31" s="695"/>
      <c r="AH31" s="693">
        <f t="shared" si="25"/>
        <v>0</v>
      </c>
      <c r="AI31" s="694"/>
      <c r="AJ31" s="694"/>
      <c r="AK31" s="694"/>
      <c r="AL31" s="694"/>
      <c r="AM31" s="694"/>
      <c r="AN31" s="695"/>
      <c r="AO31" s="693">
        <f t="shared" si="26"/>
        <v>0</v>
      </c>
      <c r="AP31" s="694"/>
      <c r="AQ31" s="694"/>
      <c r="AR31" s="694"/>
      <c r="AS31" s="694"/>
      <c r="AT31" s="694"/>
      <c r="AU31" s="695"/>
      <c r="AV31" s="693">
        <f t="shared" si="27"/>
        <v>0</v>
      </c>
      <c r="AW31" s="694"/>
      <c r="AX31" s="694"/>
      <c r="AY31" s="694"/>
      <c r="AZ31" s="694"/>
      <c r="BA31" s="694"/>
      <c r="BB31" s="695"/>
      <c r="BC31" s="693">
        <f t="shared" si="28"/>
        <v>0</v>
      </c>
      <c r="BD31" s="694"/>
      <c r="BE31" s="694"/>
      <c r="BF31" s="694"/>
      <c r="BG31" s="694"/>
      <c r="BH31" s="694"/>
      <c r="BI31" s="695"/>
      <c r="BJ31" s="693">
        <f t="shared" si="29"/>
        <v>0</v>
      </c>
      <c r="BK31" s="693">
        <f t="shared" si="19"/>
        <v>0</v>
      </c>
      <c r="BL31" s="693">
        <f t="shared" si="19"/>
        <v>0</v>
      </c>
      <c r="BM31" s="693">
        <f t="shared" si="19"/>
        <v>0</v>
      </c>
      <c r="BN31" s="693">
        <f t="shared" si="19"/>
        <v>0</v>
      </c>
      <c r="BO31" s="693">
        <f t="shared" si="19"/>
        <v>0</v>
      </c>
      <c r="BP31" s="696">
        <f t="shared" si="19"/>
        <v>0</v>
      </c>
      <c r="BQ31" s="693">
        <f t="shared" si="30"/>
        <v>0</v>
      </c>
      <c r="BR31" s="693">
        <f t="shared" si="20"/>
        <v>0</v>
      </c>
      <c r="BS31" s="693">
        <f t="shared" si="20"/>
        <v>0</v>
      </c>
      <c r="BT31" s="693">
        <f t="shared" si="20"/>
        <v>0</v>
      </c>
      <c r="BU31" s="693">
        <f t="shared" si="20"/>
        <v>0</v>
      </c>
      <c r="BV31" s="693">
        <f t="shared" si="20"/>
        <v>0</v>
      </c>
      <c r="BW31" s="696">
        <f t="shared" si="20"/>
        <v>0</v>
      </c>
      <c r="BX31" s="693">
        <f t="shared" si="31"/>
        <v>0</v>
      </c>
      <c r="BY31" s="694"/>
      <c r="BZ31" s="694"/>
      <c r="CA31" s="694"/>
      <c r="CB31" s="694"/>
      <c r="CC31" s="694"/>
      <c r="CD31" s="695"/>
      <c r="CE31" s="693">
        <f t="shared" si="32"/>
        <v>0</v>
      </c>
      <c r="CF31" s="694"/>
      <c r="CG31" s="694"/>
      <c r="CH31" s="694"/>
      <c r="CI31" s="694"/>
      <c r="CJ31" s="694"/>
      <c r="CK31" s="698"/>
    </row>
    <row r="32" spans="3:89" ht="33.75">
      <c r="C32" s="672"/>
      <c r="D32" s="688" t="s">
        <v>524</v>
      </c>
      <c r="E32" s="683">
        <v>300</v>
      </c>
      <c r="F32" s="689">
        <f t="shared" ref="F32:BQ32" si="33">SUM(F33:F39)</f>
        <v>0</v>
      </c>
      <c r="G32" s="689">
        <f t="shared" si="33"/>
        <v>0</v>
      </c>
      <c r="H32" s="689">
        <f t="shared" si="33"/>
        <v>0</v>
      </c>
      <c r="I32" s="689">
        <f t="shared" si="33"/>
        <v>0</v>
      </c>
      <c r="J32" s="689">
        <f t="shared" si="33"/>
        <v>0</v>
      </c>
      <c r="K32" s="689">
        <f t="shared" si="33"/>
        <v>0</v>
      </c>
      <c r="L32" s="690">
        <f t="shared" si="33"/>
        <v>0</v>
      </c>
      <c r="M32" s="689">
        <f t="shared" si="33"/>
        <v>0</v>
      </c>
      <c r="N32" s="689">
        <f t="shared" si="33"/>
        <v>0</v>
      </c>
      <c r="O32" s="689">
        <f t="shared" si="33"/>
        <v>0</v>
      </c>
      <c r="P32" s="689">
        <f t="shared" si="33"/>
        <v>0</v>
      </c>
      <c r="Q32" s="689">
        <f t="shared" si="33"/>
        <v>0</v>
      </c>
      <c r="R32" s="689">
        <f t="shared" si="33"/>
        <v>0</v>
      </c>
      <c r="S32" s="690">
        <f t="shared" si="33"/>
        <v>0</v>
      </c>
      <c r="T32" s="689">
        <f t="shared" si="33"/>
        <v>0</v>
      </c>
      <c r="U32" s="689">
        <f t="shared" si="33"/>
        <v>0</v>
      </c>
      <c r="V32" s="689">
        <f t="shared" si="33"/>
        <v>0</v>
      </c>
      <c r="W32" s="689">
        <f t="shared" si="33"/>
        <v>0</v>
      </c>
      <c r="X32" s="689">
        <f t="shared" si="33"/>
        <v>0</v>
      </c>
      <c r="Y32" s="689">
        <f t="shared" si="33"/>
        <v>0</v>
      </c>
      <c r="Z32" s="690">
        <f t="shared" si="33"/>
        <v>0</v>
      </c>
      <c r="AA32" s="689">
        <f t="shared" si="33"/>
        <v>0</v>
      </c>
      <c r="AB32" s="689">
        <f t="shared" si="33"/>
        <v>0</v>
      </c>
      <c r="AC32" s="689">
        <f t="shared" si="33"/>
        <v>0</v>
      </c>
      <c r="AD32" s="689">
        <f t="shared" si="33"/>
        <v>0</v>
      </c>
      <c r="AE32" s="689">
        <f t="shared" si="33"/>
        <v>0</v>
      </c>
      <c r="AF32" s="689">
        <f t="shared" si="33"/>
        <v>0</v>
      </c>
      <c r="AG32" s="690">
        <f t="shared" si="33"/>
        <v>0</v>
      </c>
      <c r="AH32" s="689">
        <f t="shared" si="33"/>
        <v>0</v>
      </c>
      <c r="AI32" s="689">
        <f t="shared" si="33"/>
        <v>0</v>
      </c>
      <c r="AJ32" s="689">
        <f t="shared" si="33"/>
        <v>0</v>
      </c>
      <c r="AK32" s="689">
        <f t="shared" si="33"/>
        <v>0</v>
      </c>
      <c r="AL32" s="689">
        <f t="shared" si="33"/>
        <v>0</v>
      </c>
      <c r="AM32" s="689">
        <f t="shared" si="33"/>
        <v>0</v>
      </c>
      <c r="AN32" s="690">
        <f t="shared" si="33"/>
        <v>0</v>
      </c>
      <c r="AO32" s="689">
        <f t="shared" si="33"/>
        <v>0</v>
      </c>
      <c r="AP32" s="689">
        <f t="shared" si="33"/>
        <v>0</v>
      </c>
      <c r="AQ32" s="689">
        <f t="shared" si="33"/>
        <v>0</v>
      </c>
      <c r="AR32" s="689">
        <f t="shared" si="33"/>
        <v>0</v>
      </c>
      <c r="AS32" s="689">
        <f t="shared" si="33"/>
        <v>0</v>
      </c>
      <c r="AT32" s="689">
        <f t="shared" si="33"/>
        <v>0</v>
      </c>
      <c r="AU32" s="690">
        <f t="shared" si="33"/>
        <v>0</v>
      </c>
      <c r="AV32" s="689">
        <f t="shared" si="33"/>
        <v>0</v>
      </c>
      <c r="AW32" s="689">
        <f t="shared" si="33"/>
        <v>0</v>
      </c>
      <c r="AX32" s="689">
        <f t="shared" si="33"/>
        <v>0</v>
      </c>
      <c r="AY32" s="689">
        <f t="shared" si="33"/>
        <v>0</v>
      </c>
      <c r="AZ32" s="689">
        <f t="shared" si="33"/>
        <v>0</v>
      </c>
      <c r="BA32" s="689">
        <f t="shared" si="33"/>
        <v>0</v>
      </c>
      <c r="BB32" s="690">
        <f t="shared" si="33"/>
        <v>0</v>
      </c>
      <c r="BC32" s="689">
        <f t="shared" si="33"/>
        <v>0</v>
      </c>
      <c r="BD32" s="689">
        <f t="shared" si="33"/>
        <v>0</v>
      </c>
      <c r="BE32" s="689">
        <f t="shared" si="33"/>
        <v>0</v>
      </c>
      <c r="BF32" s="689">
        <f t="shared" si="33"/>
        <v>0</v>
      </c>
      <c r="BG32" s="689">
        <f t="shared" si="33"/>
        <v>0</v>
      </c>
      <c r="BH32" s="689">
        <f t="shared" si="33"/>
        <v>0</v>
      </c>
      <c r="BI32" s="690">
        <f t="shared" si="33"/>
        <v>0</v>
      </c>
      <c r="BJ32" s="689">
        <f t="shared" si="33"/>
        <v>0</v>
      </c>
      <c r="BK32" s="689">
        <f t="shared" si="33"/>
        <v>0</v>
      </c>
      <c r="BL32" s="689">
        <f t="shared" si="33"/>
        <v>0</v>
      </c>
      <c r="BM32" s="689">
        <f t="shared" si="33"/>
        <v>0</v>
      </c>
      <c r="BN32" s="689">
        <f t="shared" si="33"/>
        <v>0</v>
      </c>
      <c r="BO32" s="689">
        <f t="shared" si="33"/>
        <v>0</v>
      </c>
      <c r="BP32" s="690">
        <f t="shared" si="33"/>
        <v>0</v>
      </c>
      <c r="BQ32" s="689">
        <f t="shared" si="33"/>
        <v>0</v>
      </c>
      <c r="BR32" s="689">
        <f t="shared" ref="BR32:CK32" si="34">SUM(BR33:BR39)</f>
        <v>0</v>
      </c>
      <c r="BS32" s="689">
        <f t="shared" si="34"/>
        <v>0</v>
      </c>
      <c r="BT32" s="689">
        <f t="shared" si="34"/>
        <v>0</v>
      </c>
      <c r="BU32" s="689">
        <f t="shared" si="34"/>
        <v>0</v>
      </c>
      <c r="BV32" s="689">
        <f t="shared" si="34"/>
        <v>0</v>
      </c>
      <c r="BW32" s="690">
        <f t="shared" si="34"/>
        <v>0</v>
      </c>
      <c r="BX32" s="689">
        <f t="shared" si="34"/>
        <v>0</v>
      </c>
      <c r="BY32" s="689">
        <f t="shared" si="34"/>
        <v>0</v>
      </c>
      <c r="BZ32" s="689">
        <f t="shared" si="34"/>
        <v>0</v>
      </c>
      <c r="CA32" s="689">
        <f t="shared" si="34"/>
        <v>0</v>
      </c>
      <c r="CB32" s="689">
        <f t="shared" si="34"/>
        <v>0</v>
      </c>
      <c r="CC32" s="689">
        <f t="shared" si="34"/>
        <v>0</v>
      </c>
      <c r="CD32" s="690">
        <f t="shared" si="34"/>
        <v>0</v>
      </c>
      <c r="CE32" s="689">
        <f t="shared" si="34"/>
        <v>0</v>
      </c>
      <c r="CF32" s="689">
        <f t="shared" si="34"/>
        <v>0</v>
      </c>
      <c r="CG32" s="689">
        <f t="shared" si="34"/>
        <v>0</v>
      </c>
      <c r="CH32" s="689">
        <f t="shared" si="34"/>
        <v>0</v>
      </c>
      <c r="CI32" s="689">
        <f t="shared" si="34"/>
        <v>0</v>
      </c>
      <c r="CJ32" s="689">
        <f t="shared" si="34"/>
        <v>0</v>
      </c>
      <c r="CK32" s="699">
        <f t="shared" si="34"/>
        <v>0</v>
      </c>
    </row>
    <row r="33" spans="3:89" ht="22.5">
      <c r="C33" s="672"/>
      <c r="D33" s="688" t="s">
        <v>516</v>
      </c>
      <c r="E33" s="683">
        <v>311</v>
      </c>
      <c r="F33" s="693">
        <f>SUM(G33:L33)</f>
        <v>0</v>
      </c>
      <c r="G33" s="694"/>
      <c r="H33" s="694"/>
      <c r="I33" s="694"/>
      <c r="J33" s="694"/>
      <c r="K33" s="694"/>
      <c r="L33" s="695"/>
      <c r="M33" s="693">
        <f>SUM(N33:S33)</f>
        <v>0</v>
      </c>
      <c r="N33" s="694"/>
      <c r="O33" s="694"/>
      <c r="P33" s="694"/>
      <c r="Q33" s="694"/>
      <c r="R33" s="694"/>
      <c r="S33" s="695"/>
      <c r="T33" s="693">
        <f>SUM(U33:Z33)</f>
        <v>0</v>
      </c>
      <c r="U33" s="694"/>
      <c r="V33" s="694"/>
      <c r="W33" s="694"/>
      <c r="X33" s="694"/>
      <c r="Y33" s="694"/>
      <c r="Z33" s="695"/>
      <c r="AA33" s="693">
        <f>SUM(AB33:AG33)</f>
        <v>0</v>
      </c>
      <c r="AB33" s="694"/>
      <c r="AC33" s="694"/>
      <c r="AD33" s="694"/>
      <c r="AE33" s="694"/>
      <c r="AF33" s="694"/>
      <c r="AG33" s="695"/>
      <c r="AH33" s="693">
        <f>SUM(AI33:AN33)</f>
        <v>0</v>
      </c>
      <c r="AI33" s="694"/>
      <c r="AJ33" s="694"/>
      <c r="AK33" s="694"/>
      <c r="AL33" s="694"/>
      <c r="AM33" s="694"/>
      <c r="AN33" s="695"/>
      <c r="AO33" s="693">
        <f>SUM(AP33:AU33)</f>
        <v>0</v>
      </c>
      <c r="AP33" s="694"/>
      <c r="AQ33" s="694"/>
      <c r="AR33" s="694"/>
      <c r="AS33" s="694"/>
      <c r="AT33" s="694"/>
      <c r="AU33" s="695"/>
      <c r="AV33" s="693">
        <f>SUM(AW33:BB33)</f>
        <v>0</v>
      </c>
      <c r="AW33" s="694"/>
      <c r="AX33" s="694"/>
      <c r="AY33" s="694"/>
      <c r="AZ33" s="694"/>
      <c r="BA33" s="694"/>
      <c r="BB33" s="695"/>
      <c r="BC33" s="693">
        <f>SUM(BD33:BI33)</f>
        <v>0</v>
      </c>
      <c r="BD33" s="694"/>
      <c r="BE33" s="694"/>
      <c r="BF33" s="694"/>
      <c r="BG33" s="694"/>
      <c r="BH33" s="694"/>
      <c r="BI33" s="695"/>
      <c r="BJ33" s="693">
        <f>SUM(BK33:BP33)</f>
        <v>0</v>
      </c>
      <c r="BK33" s="693">
        <f t="shared" ref="BK33:BP39" si="35">AI33+U33+G33</f>
        <v>0</v>
      </c>
      <c r="BL33" s="693">
        <f t="shared" si="35"/>
        <v>0</v>
      </c>
      <c r="BM33" s="693">
        <f t="shared" si="35"/>
        <v>0</v>
      </c>
      <c r="BN33" s="693">
        <f t="shared" si="35"/>
        <v>0</v>
      </c>
      <c r="BO33" s="693">
        <f t="shared" si="35"/>
        <v>0</v>
      </c>
      <c r="BP33" s="696">
        <f t="shared" si="35"/>
        <v>0</v>
      </c>
      <c r="BQ33" s="693">
        <f>SUM(BR33:BW33)</f>
        <v>0</v>
      </c>
      <c r="BR33" s="693">
        <f t="shared" ref="BR33:BW39" si="36">AP33+AB33+N33</f>
        <v>0</v>
      </c>
      <c r="BS33" s="693">
        <f t="shared" si="36"/>
        <v>0</v>
      </c>
      <c r="BT33" s="693">
        <f t="shared" si="36"/>
        <v>0</v>
      </c>
      <c r="BU33" s="693">
        <f t="shared" si="36"/>
        <v>0</v>
      </c>
      <c r="BV33" s="693">
        <f t="shared" si="36"/>
        <v>0</v>
      </c>
      <c r="BW33" s="696">
        <f t="shared" si="36"/>
        <v>0</v>
      </c>
      <c r="BX33" s="693">
        <f>SUM(BY33:CD33)</f>
        <v>0</v>
      </c>
      <c r="BY33" s="694"/>
      <c r="BZ33" s="694"/>
      <c r="CA33" s="694"/>
      <c r="CB33" s="694"/>
      <c r="CC33" s="694"/>
      <c r="CD33" s="695"/>
      <c r="CE33" s="693">
        <f>SUM(CF33:CK33)</f>
        <v>0</v>
      </c>
      <c r="CF33" s="694"/>
      <c r="CG33" s="694"/>
      <c r="CH33" s="694"/>
      <c r="CI33" s="694"/>
      <c r="CJ33" s="694"/>
      <c r="CK33" s="698"/>
    </row>
    <row r="34" spans="3:89" ht="22.5">
      <c r="C34" s="672"/>
      <c r="D34" s="688" t="s">
        <v>517</v>
      </c>
      <c r="E34" s="683">
        <v>321</v>
      </c>
      <c r="F34" s="693">
        <f t="shared" ref="F34:F39" si="37">SUM(G34:L34)</f>
        <v>0</v>
      </c>
      <c r="G34" s="694"/>
      <c r="H34" s="694"/>
      <c r="I34" s="694"/>
      <c r="J34" s="694"/>
      <c r="K34" s="694"/>
      <c r="L34" s="695"/>
      <c r="M34" s="693">
        <f t="shared" ref="M34:M39" si="38">SUM(N34:S34)</f>
        <v>0</v>
      </c>
      <c r="N34" s="694"/>
      <c r="O34" s="694"/>
      <c r="P34" s="694"/>
      <c r="Q34" s="694"/>
      <c r="R34" s="694"/>
      <c r="S34" s="695"/>
      <c r="T34" s="693">
        <f t="shared" ref="T34:T39" si="39">SUM(U34:Z34)</f>
        <v>0</v>
      </c>
      <c r="U34" s="694"/>
      <c r="V34" s="694"/>
      <c r="W34" s="694"/>
      <c r="X34" s="694"/>
      <c r="Y34" s="694"/>
      <c r="Z34" s="695"/>
      <c r="AA34" s="693">
        <f t="shared" ref="AA34:AA39" si="40">SUM(AB34:AG34)</f>
        <v>0</v>
      </c>
      <c r="AB34" s="694"/>
      <c r="AC34" s="694"/>
      <c r="AD34" s="694"/>
      <c r="AE34" s="694"/>
      <c r="AF34" s="694"/>
      <c r="AG34" s="695"/>
      <c r="AH34" s="693">
        <f t="shared" ref="AH34:AH39" si="41">SUM(AI34:AN34)</f>
        <v>0</v>
      </c>
      <c r="AI34" s="694"/>
      <c r="AJ34" s="694"/>
      <c r="AK34" s="694"/>
      <c r="AL34" s="694"/>
      <c r="AM34" s="694"/>
      <c r="AN34" s="695"/>
      <c r="AO34" s="693">
        <f t="shared" ref="AO34:AO39" si="42">SUM(AP34:AU34)</f>
        <v>0</v>
      </c>
      <c r="AP34" s="694"/>
      <c r="AQ34" s="694"/>
      <c r="AR34" s="694"/>
      <c r="AS34" s="694"/>
      <c r="AT34" s="694"/>
      <c r="AU34" s="695"/>
      <c r="AV34" s="693">
        <f t="shared" ref="AV34:AV39" si="43">SUM(AW34:BB34)</f>
        <v>0</v>
      </c>
      <c r="AW34" s="694"/>
      <c r="AX34" s="694"/>
      <c r="AY34" s="694"/>
      <c r="AZ34" s="694"/>
      <c r="BA34" s="694"/>
      <c r="BB34" s="695"/>
      <c r="BC34" s="693">
        <f t="shared" ref="BC34:BC39" si="44">SUM(BD34:BI34)</f>
        <v>0</v>
      </c>
      <c r="BD34" s="694"/>
      <c r="BE34" s="694"/>
      <c r="BF34" s="694"/>
      <c r="BG34" s="694"/>
      <c r="BH34" s="694"/>
      <c r="BI34" s="695"/>
      <c r="BJ34" s="693">
        <f t="shared" ref="BJ34:BJ39" si="45">SUM(BK34:BP34)</f>
        <v>0</v>
      </c>
      <c r="BK34" s="693">
        <f t="shared" si="35"/>
        <v>0</v>
      </c>
      <c r="BL34" s="693">
        <f t="shared" si="35"/>
        <v>0</v>
      </c>
      <c r="BM34" s="693">
        <f t="shared" si="35"/>
        <v>0</v>
      </c>
      <c r="BN34" s="693">
        <f t="shared" si="35"/>
        <v>0</v>
      </c>
      <c r="BO34" s="693">
        <f t="shared" si="35"/>
        <v>0</v>
      </c>
      <c r="BP34" s="696">
        <f t="shared" si="35"/>
        <v>0</v>
      </c>
      <c r="BQ34" s="693">
        <f t="shared" ref="BQ34:BQ39" si="46">SUM(BR34:BW34)</f>
        <v>0</v>
      </c>
      <c r="BR34" s="693">
        <f t="shared" si="36"/>
        <v>0</v>
      </c>
      <c r="BS34" s="693">
        <f t="shared" si="36"/>
        <v>0</v>
      </c>
      <c r="BT34" s="693">
        <f t="shared" si="36"/>
        <v>0</v>
      </c>
      <c r="BU34" s="693">
        <f t="shared" si="36"/>
        <v>0</v>
      </c>
      <c r="BV34" s="693">
        <f t="shared" si="36"/>
        <v>0</v>
      </c>
      <c r="BW34" s="696">
        <f t="shared" si="36"/>
        <v>0</v>
      </c>
      <c r="BX34" s="693">
        <f t="shared" ref="BX34:BX39" si="47">SUM(BY34:CD34)</f>
        <v>0</v>
      </c>
      <c r="BY34" s="694"/>
      <c r="BZ34" s="694"/>
      <c r="CA34" s="694"/>
      <c r="CB34" s="694"/>
      <c r="CC34" s="694"/>
      <c r="CD34" s="695"/>
      <c r="CE34" s="693">
        <f t="shared" ref="CE34:CE39" si="48">SUM(CF34:CK34)</f>
        <v>0</v>
      </c>
      <c r="CF34" s="694"/>
      <c r="CG34" s="694"/>
      <c r="CH34" s="694"/>
      <c r="CI34" s="694"/>
      <c r="CJ34" s="694"/>
      <c r="CK34" s="698"/>
    </row>
    <row r="35" spans="3:89" ht="15" customHeight="1">
      <c r="C35" s="672"/>
      <c r="D35" s="688" t="s">
        <v>518</v>
      </c>
      <c r="E35" s="683">
        <v>331</v>
      </c>
      <c r="F35" s="693">
        <f t="shared" si="37"/>
        <v>0</v>
      </c>
      <c r="G35" s="694"/>
      <c r="H35" s="694"/>
      <c r="I35" s="694"/>
      <c r="J35" s="694"/>
      <c r="K35" s="694"/>
      <c r="L35" s="695"/>
      <c r="M35" s="693">
        <f t="shared" si="38"/>
        <v>0</v>
      </c>
      <c r="N35" s="694"/>
      <c r="O35" s="694"/>
      <c r="P35" s="694"/>
      <c r="Q35" s="694"/>
      <c r="R35" s="694"/>
      <c r="S35" s="695"/>
      <c r="T35" s="693">
        <f t="shared" si="39"/>
        <v>0</v>
      </c>
      <c r="U35" s="694"/>
      <c r="V35" s="694"/>
      <c r="W35" s="694"/>
      <c r="X35" s="694"/>
      <c r="Y35" s="694"/>
      <c r="Z35" s="695"/>
      <c r="AA35" s="693">
        <f t="shared" si="40"/>
        <v>0</v>
      </c>
      <c r="AB35" s="694"/>
      <c r="AC35" s="694"/>
      <c r="AD35" s="694"/>
      <c r="AE35" s="694"/>
      <c r="AF35" s="694"/>
      <c r="AG35" s="695"/>
      <c r="AH35" s="693">
        <f t="shared" si="41"/>
        <v>0</v>
      </c>
      <c r="AI35" s="694"/>
      <c r="AJ35" s="694"/>
      <c r="AK35" s="694"/>
      <c r="AL35" s="694"/>
      <c r="AM35" s="694"/>
      <c r="AN35" s="695"/>
      <c r="AO35" s="693">
        <f t="shared" si="42"/>
        <v>0</v>
      </c>
      <c r="AP35" s="694"/>
      <c r="AQ35" s="694"/>
      <c r="AR35" s="694"/>
      <c r="AS35" s="694"/>
      <c r="AT35" s="694"/>
      <c r="AU35" s="695"/>
      <c r="AV35" s="693">
        <f t="shared" si="43"/>
        <v>0</v>
      </c>
      <c r="AW35" s="694"/>
      <c r="AX35" s="694"/>
      <c r="AY35" s="694"/>
      <c r="AZ35" s="694"/>
      <c r="BA35" s="694"/>
      <c r="BB35" s="695"/>
      <c r="BC35" s="693">
        <f t="shared" si="44"/>
        <v>0</v>
      </c>
      <c r="BD35" s="694"/>
      <c r="BE35" s="694"/>
      <c r="BF35" s="694"/>
      <c r="BG35" s="694"/>
      <c r="BH35" s="694"/>
      <c r="BI35" s="695"/>
      <c r="BJ35" s="693">
        <f t="shared" si="45"/>
        <v>0</v>
      </c>
      <c r="BK35" s="693">
        <f t="shared" si="35"/>
        <v>0</v>
      </c>
      <c r="BL35" s="693">
        <f t="shared" si="35"/>
        <v>0</v>
      </c>
      <c r="BM35" s="693">
        <f t="shared" si="35"/>
        <v>0</v>
      </c>
      <c r="BN35" s="693">
        <f t="shared" si="35"/>
        <v>0</v>
      </c>
      <c r="BO35" s="693">
        <f t="shared" si="35"/>
        <v>0</v>
      </c>
      <c r="BP35" s="696">
        <f t="shared" si="35"/>
        <v>0</v>
      </c>
      <c r="BQ35" s="693">
        <f t="shared" si="46"/>
        <v>0</v>
      </c>
      <c r="BR35" s="693">
        <f t="shared" si="36"/>
        <v>0</v>
      </c>
      <c r="BS35" s="693">
        <f t="shared" si="36"/>
        <v>0</v>
      </c>
      <c r="BT35" s="693">
        <f t="shared" si="36"/>
        <v>0</v>
      </c>
      <c r="BU35" s="693">
        <f t="shared" si="36"/>
        <v>0</v>
      </c>
      <c r="BV35" s="693">
        <f t="shared" si="36"/>
        <v>0</v>
      </c>
      <c r="BW35" s="696">
        <f t="shared" si="36"/>
        <v>0</v>
      </c>
      <c r="BX35" s="693">
        <f t="shared" si="47"/>
        <v>0</v>
      </c>
      <c r="BY35" s="694"/>
      <c r="BZ35" s="694"/>
      <c r="CA35" s="694"/>
      <c r="CB35" s="694"/>
      <c r="CC35" s="694"/>
      <c r="CD35" s="695"/>
      <c r="CE35" s="693">
        <f t="shared" si="48"/>
        <v>0</v>
      </c>
      <c r="CF35" s="694"/>
      <c r="CG35" s="694"/>
      <c r="CH35" s="694"/>
      <c r="CI35" s="694"/>
      <c r="CJ35" s="694"/>
      <c r="CK35" s="698"/>
    </row>
    <row r="36" spans="3:89" ht="15" customHeight="1">
      <c r="C36" s="672"/>
      <c r="D36" s="688" t="s">
        <v>519</v>
      </c>
      <c r="E36" s="683">
        <v>341</v>
      </c>
      <c r="F36" s="693">
        <f t="shared" si="37"/>
        <v>0</v>
      </c>
      <c r="G36" s="694"/>
      <c r="H36" s="694"/>
      <c r="I36" s="694"/>
      <c r="J36" s="694"/>
      <c r="K36" s="694"/>
      <c r="L36" s="695"/>
      <c r="M36" s="693">
        <f t="shared" si="38"/>
        <v>0</v>
      </c>
      <c r="N36" s="694"/>
      <c r="O36" s="694"/>
      <c r="P36" s="694"/>
      <c r="Q36" s="694"/>
      <c r="R36" s="694"/>
      <c r="S36" s="695"/>
      <c r="T36" s="693">
        <f t="shared" si="39"/>
        <v>0</v>
      </c>
      <c r="U36" s="694"/>
      <c r="V36" s="694"/>
      <c r="W36" s="694"/>
      <c r="X36" s="694"/>
      <c r="Y36" s="694"/>
      <c r="Z36" s="695"/>
      <c r="AA36" s="693">
        <f t="shared" si="40"/>
        <v>0</v>
      </c>
      <c r="AB36" s="694"/>
      <c r="AC36" s="694"/>
      <c r="AD36" s="694"/>
      <c r="AE36" s="694"/>
      <c r="AF36" s="694"/>
      <c r="AG36" s="695"/>
      <c r="AH36" s="693">
        <f t="shared" si="41"/>
        <v>0</v>
      </c>
      <c r="AI36" s="694"/>
      <c r="AJ36" s="694"/>
      <c r="AK36" s="694"/>
      <c r="AL36" s="694"/>
      <c r="AM36" s="694"/>
      <c r="AN36" s="695"/>
      <c r="AO36" s="693">
        <f t="shared" si="42"/>
        <v>0</v>
      </c>
      <c r="AP36" s="694"/>
      <c r="AQ36" s="694"/>
      <c r="AR36" s="694"/>
      <c r="AS36" s="694"/>
      <c r="AT36" s="694"/>
      <c r="AU36" s="695"/>
      <c r="AV36" s="693">
        <f t="shared" si="43"/>
        <v>0</v>
      </c>
      <c r="AW36" s="694"/>
      <c r="AX36" s="694"/>
      <c r="AY36" s="694"/>
      <c r="AZ36" s="694"/>
      <c r="BA36" s="694"/>
      <c r="BB36" s="695"/>
      <c r="BC36" s="693">
        <f t="shared" si="44"/>
        <v>0</v>
      </c>
      <c r="BD36" s="694"/>
      <c r="BE36" s="694"/>
      <c r="BF36" s="694"/>
      <c r="BG36" s="694"/>
      <c r="BH36" s="694"/>
      <c r="BI36" s="695"/>
      <c r="BJ36" s="693">
        <f t="shared" si="45"/>
        <v>0</v>
      </c>
      <c r="BK36" s="693">
        <f t="shared" si="35"/>
        <v>0</v>
      </c>
      <c r="BL36" s="693">
        <f t="shared" si="35"/>
        <v>0</v>
      </c>
      <c r="BM36" s="693">
        <f t="shared" si="35"/>
        <v>0</v>
      </c>
      <c r="BN36" s="693">
        <f t="shared" si="35"/>
        <v>0</v>
      </c>
      <c r="BO36" s="693">
        <f t="shared" si="35"/>
        <v>0</v>
      </c>
      <c r="BP36" s="696">
        <f t="shared" si="35"/>
        <v>0</v>
      </c>
      <c r="BQ36" s="693">
        <f t="shared" si="46"/>
        <v>0</v>
      </c>
      <c r="BR36" s="693">
        <f t="shared" si="36"/>
        <v>0</v>
      </c>
      <c r="BS36" s="693">
        <f t="shared" si="36"/>
        <v>0</v>
      </c>
      <c r="BT36" s="693">
        <f t="shared" si="36"/>
        <v>0</v>
      </c>
      <c r="BU36" s="693">
        <f t="shared" si="36"/>
        <v>0</v>
      </c>
      <c r="BV36" s="693">
        <f t="shared" si="36"/>
        <v>0</v>
      </c>
      <c r="BW36" s="696">
        <f t="shared" si="36"/>
        <v>0</v>
      </c>
      <c r="BX36" s="693">
        <f t="shared" si="47"/>
        <v>0</v>
      </c>
      <c r="BY36" s="694"/>
      <c r="BZ36" s="694"/>
      <c r="CA36" s="694"/>
      <c r="CB36" s="694"/>
      <c r="CC36" s="694"/>
      <c r="CD36" s="695"/>
      <c r="CE36" s="693">
        <f t="shared" si="48"/>
        <v>0</v>
      </c>
      <c r="CF36" s="694"/>
      <c r="CG36" s="694"/>
      <c r="CH36" s="694"/>
      <c r="CI36" s="694"/>
      <c r="CJ36" s="694"/>
      <c r="CK36" s="698"/>
    </row>
    <row r="37" spans="3:89" ht="15" customHeight="1">
      <c r="C37" s="672"/>
      <c r="D37" s="688" t="s">
        <v>520</v>
      </c>
      <c r="E37" s="683">
        <v>351</v>
      </c>
      <c r="F37" s="693">
        <f t="shared" si="37"/>
        <v>0</v>
      </c>
      <c r="G37" s="694"/>
      <c r="H37" s="694"/>
      <c r="I37" s="694"/>
      <c r="J37" s="694"/>
      <c r="K37" s="694"/>
      <c r="L37" s="695"/>
      <c r="M37" s="693">
        <f t="shared" si="38"/>
        <v>0</v>
      </c>
      <c r="N37" s="694"/>
      <c r="O37" s="694"/>
      <c r="P37" s="694"/>
      <c r="Q37" s="694"/>
      <c r="R37" s="694"/>
      <c r="S37" s="695"/>
      <c r="T37" s="693">
        <f t="shared" si="39"/>
        <v>0</v>
      </c>
      <c r="U37" s="694"/>
      <c r="V37" s="694"/>
      <c r="W37" s="694"/>
      <c r="X37" s="694"/>
      <c r="Y37" s="694"/>
      <c r="Z37" s="695"/>
      <c r="AA37" s="693">
        <f t="shared" si="40"/>
        <v>0</v>
      </c>
      <c r="AB37" s="694"/>
      <c r="AC37" s="694"/>
      <c r="AD37" s="694"/>
      <c r="AE37" s="694"/>
      <c r="AF37" s="694"/>
      <c r="AG37" s="695"/>
      <c r="AH37" s="693">
        <f t="shared" si="41"/>
        <v>0</v>
      </c>
      <c r="AI37" s="694"/>
      <c r="AJ37" s="694"/>
      <c r="AK37" s="694"/>
      <c r="AL37" s="694"/>
      <c r="AM37" s="694"/>
      <c r="AN37" s="695"/>
      <c r="AO37" s="693">
        <f t="shared" si="42"/>
        <v>0</v>
      </c>
      <c r="AP37" s="694"/>
      <c r="AQ37" s="694"/>
      <c r="AR37" s="694"/>
      <c r="AS37" s="694"/>
      <c r="AT37" s="694"/>
      <c r="AU37" s="695"/>
      <c r="AV37" s="693">
        <f t="shared" si="43"/>
        <v>0</v>
      </c>
      <c r="AW37" s="694"/>
      <c r="AX37" s="694"/>
      <c r="AY37" s="694"/>
      <c r="AZ37" s="694"/>
      <c r="BA37" s="694"/>
      <c r="BB37" s="695"/>
      <c r="BC37" s="693">
        <f t="shared" si="44"/>
        <v>0</v>
      </c>
      <c r="BD37" s="694"/>
      <c r="BE37" s="694"/>
      <c r="BF37" s="694"/>
      <c r="BG37" s="694"/>
      <c r="BH37" s="694"/>
      <c r="BI37" s="695"/>
      <c r="BJ37" s="693">
        <f t="shared" si="45"/>
        <v>0</v>
      </c>
      <c r="BK37" s="693">
        <f t="shared" si="35"/>
        <v>0</v>
      </c>
      <c r="BL37" s="693">
        <f t="shared" si="35"/>
        <v>0</v>
      </c>
      <c r="BM37" s="693">
        <f t="shared" si="35"/>
        <v>0</v>
      </c>
      <c r="BN37" s="693">
        <f t="shared" si="35"/>
        <v>0</v>
      </c>
      <c r="BO37" s="693">
        <f t="shared" si="35"/>
        <v>0</v>
      </c>
      <c r="BP37" s="696">
        <f t="shared" si="35"/>
        <v>0</v>
      </c>
      <c r="BQ37" s="693">
        <f t="shared" si="46"/>
        <v>0</v>
      </c>
      <c r="BR37" s="693">
        <f t="shared" si="36"/>
        <v>0</v>
      </c>
      <c r="BS37" s="693">
        <f t="shared" si="36"/>
        <v>0</v>
      </c>
      <c r="BT37" s="693">
        <f t="shared" si="36"/>
        <v>0</v>
      </c>
      <c r="BU37" s="693">
        <f t="shared" si="36"/>
        <v>0</v>
      </c>
      <c r="BV37" s="693">
        <f t="shared" si="36"/>
        <v>0</v>
      </c>
      <c r="BW37" s="696">
        <f t="shared" si="36"/>
        <v>0</v>
      </c>
      <c r="BX37" s="693">
        <f t="shared" si="47"/>
        <v>0</v>
      </c>
      <c r="BY37" s="694"/>
      <c r="BZ37" s="694"/>
      <c r="CA37" s="694"/>
      <c r="CB37" s="694"/>
      <c r="CC37" s="694"/>
      <c r="CD37" s="695"/>
      <c r="CE37" s="693">
        <f t="shared" si="48"/>
        <v>0</v>
      </c>
      <c r="CF37" s="694"/>
      <c r="CG37" s="694"/>
      <c r="CH37" s="694"/>
      <c r="CI37" s="694"/>
      <c r="CJ37" s="694"/>
      <c r="CK37" s="698"/>
    </row>
    <row r="38" spans="3:89" ht="15" customHeight="1">
      <c r="C38" s="672"/>
      <c r="D38" s="688" t="s">
        <v>521</v>
      </c>
      <c r="E38" s="683">
        <v>361</v>
      </c>
      <c r="F38" s="693">
        <f t="shared" si="37"/>
        <v>0</v>
      </c>
      <c r="G38" s="694"/>
      <c r="H38" s="694"/>
      <c r="I38" s="694"/>
      <c r="J38" s="694"/>
      <c r="K38" s="694"/>
      <c r="L38" s="695"/>
      <c r="M38" s="693">
        <f t="shared" si="38"/>
        <v>0</v>
      </c>
      <c r="N38" s="694"/>
      <c r="O38" s="694"/>
      <c r="P38" s="694"/>
      <c r="Q38" s="694"/>
      <c r="R38" s="694"/>
      <c r="S38" s="695"/>
      <c r="T38" s="693">
        <f t="shared" si="39"/>
        <v>0</v>
      </c>
      <c r="U38" s="694"/>
      <c r="V38" s="694"/>
      <c r="W38" s="694"/>
      <c r="X38" s="694"/>
      <c r="Y38" s="694"/>
      <c r="Z38" s="695"/>
      <c r="AA38" s="693">
        <f t="shared" si="40"/>
        <v>0</v>
      </c>
      <c r="AB38" s="694"/>
      <c r="AC38" s="694"/>
      <c r="AD38" s="694"/>
      <c r="AE38" s="694"/>
      <c r="AF38" s="694"/>
      <c r="AG38" s="695"/>
      <c r="AH38" s="693">
        <f t="shared" si="41"/>
        <v>0</v>
      </c>
      <c r="AI38" s="694"/>
      <c r="AJ38" s="694"/>
      <c r="AK38" s="694"/>
      <c r="AL38" s="694"/>
      <c r="AM38" s="694"/>
      <c r="AN38" s="695"/>
      <c r="AO38" s="693">
        <f t="shared" si="42"/>
        <v>0</v>
      </c>
      <c r="AP38" s="694"/>
      <c r="AQ38" s="694"/>
      <c r="AR38" s="694"/>
      <c r="AS38" s="694"/>
      <c r="AT38" s="694"/>
      <c r="AU38" s="695"/>
      <c r="AV38" s="693">
        <f t="shared" si="43"/>
        <v>0</v>
      </c>
      <c r="AW38" s="694"/>
      <c r="AX38" s="694"/>
      <c r="AY38" s="694"/>
      <c r="AZ38" s="694"/>
      <c r="BA38" s="694"/>
      <c r="BB38" s="695"/>
      <c r="BC38" s="693">
        <f t="shared" si="44"/>
        <v>0</v>
      </c>
      <c r="BD38" s="694"/>
      <c r="BE38" s="694"/>
      <c r="BF38" s="694"/>
      <c r="BG38" s="694"/>
      <c r="BH38" s="694"/>
      <c r="BI38" s="695"/>
      <c r="BJ38" s="693">
        <f t="shared" si="45"/>
        <v>0</v>
      </c>
      <c r="BK38" s="693">
        <f t="shared" si="35"/>
        <v>0</v>
      </c>
      <c r="BL38" s="693">
        <f t="shared" si="35"/>
        <v>0</v>
      </c>
      <c r="BM38" s="693">
        <f t="shared" si="35"/>
        <v>0</v>
      </c>
      <c r="BN38" s="693">
        <f t="shared" si="35"/>
        <v>0</v>
      </c>
      <c r="BO38" s="693">
        <f t="shared" si="35"/>
        <v>0</v>
      </c>
      <c r="BP38" s="696">
        <f t="shared" si="35"/>
        <v>0</v>
      </c>
      <c r="BQ38" s="693">
        <f t="shared" si="46"/>
        <v>0</v>
      </c>
      <c r="BR38" s="693">
        <f t="shared" si="36"/>
        <v>0</v>
      </c>
      <c r="BS38" s="693">
        <f t="shared" si="36"/>
        <v>0</v>
      </c>
      <c r="BT38" s="693">
        <f t="shared" si="36"/>
        <v>0</v>
      </c>
      <c r="BU38" s="693">
        <f t="shared" si="36"/>
        <v>0</v>
      </c>
      <c r="BV38" s="693">
        <f t="shared" si="36"/>
        <v>0</v>
      </c>
      <c r="BW38" s="696">
        <f t="shared" si="36"/>
        <v>0</v>
      </c>
      <c r="BX38" s="693">
        <f t="shared" si="47"/>
        <v>0</v>
      </c>
      <c r="BY38" s="694"/>
      <c r="BZ38" s="694"/>
      <c r="CA38" s="694"/>
      <c r="CB38" s="694"/>
      <c r="CC38" s="694"/>
      <c r="CD38" s="695"/>
      <c r="CE38" s="693">
        <f t="shared" si="48"/>
        <v>0</v>
      </c>
      <c r="CF38" s="694"/>
      <c r="CG38" s="694"/>
      <c r="CH38" s="694"/>
      <c r="CI38" s="694"/>
      <c r="CJ38" s="694"/>
      <c r="CK38" s="698"/>
    </row>
    <row r="39" spans="3:89" ht="15" customHeight="1">
      <c r="C39" s="672"/>
      <c r="D39" s="688" t="s">
        <v>522</v>
      </c>
      <c r="E39" s="683">
        <v>371</v>
      </c>
      <c r="F39" s="693">
        <f t="shared" si="37"/>
        <v>0</v>
      </c>
      <c r="G39" s="694"/>
      <c r="H39" s="694"/>
      <c r="I39" s="694"/>
      <c r="J39" s="694"/>
      <c r="K39" s="694"/>
      <c r="L39" s="695"/>
      <c r="M39" s="693">
        <f t="shared" si="38"/>
        <v>0</v>
      </c>
      <c r="N39" s="694"/>
      <c r="O39" s="694"/>
      <c r="P39" s="694"/>
      <c r="Q39" s="694"/>
      <c r="R39" s="694"/>
      <c r="S39" s="695"/>
      <c r="T39" s="693">
        <f t="shared" si="39"/>
        <v>0</v>
      </c>
      <c r="U39" s="694"/>
      <c r="V39" s="694"/>
      <c r="W39" s="694"/>
      <c r="X39" s="694"/>
      <c r="Y39" s="694"/>
      <c r="Z39" s="695"/>
      <c r="AA39" s="693">
        <f t="shared" si="40"/>
        <v>0</v>
      </c>
      <c r="AB39" s="694"/>
      <c r="AC39" s="694"/>
      <c r="AD39" s="694"/>
      <c r="AE39" s="694"/>
      <c r="AF39" s="694"/>
      <c r="AG39" s="695"/>
      <c r="AH39" s="693">
        <f t="shared" si="41"/>
        <v>0</v>
      </c>
      <c r="AI39" s="694"/>
      <c r="AJ39" s="694"/>
      <c r="AK39" s="694"/>
      <c r="AL39" s="694"/>
      <c r="AM39" s="694"/>
      <c r="AN39" s="695"/>
      <c r="AO39" s="693">
        <f t="shared" si="42"/>
        <v>0</v>
      </c>
      <c r="AP39" s="694"/>
      <c r="AQ39" s="694"/>
      <c r="AR39" s="694"/>
      <c r="AS39" s="694"/>
      <c r="AT39" s="694"/>
      <c r="AU39" s="695"/>
      <c r="AV39" s="693">
        <f t="shared" si="43"/>
        <v>0</v>
      </c>
      <c r="AW39" s="694"/>
      <c r="AX39" s="694"/>
      <c r="AY39" s="694"/>
      <c r="AZ39" s="694"/>
      <c r="BA39" s="694"/>
      <c r="BB39" s="695"/>
      <c r="BC39" s="693">
        <f t="shared" si="44"/>
        <v>0</v>
      </c>
      <c r="BD39" s="694"/>
      <c r="BE39" s="694"/>
      <c r="BF39" s="694"/>
      <c r="BG39" s="694"/>
      <c r="BH39" s="694"/>
      <c r="BI39" s="695"/>
      <c r="BJ39" s="693">
        <f t="shared" si="45"/>
        <v>0</v>
      </c>
      <c r="BK39" s="693">
        <f t="shared" si="35"/>
        <v>0</v>
      </c>
      <c r="BL39" s="693">
        <f t="shared" si="35"/>
        <v>0</v>
      </c>
      <c r="BM39" s="693">
        <f t="shared" si="35"/>
        <v>0</v>
      </c>
      <c r="BN39" s="693">
        <f t="shared" si="35"/>
        <v>0</v>
      </c>
      <c r="BO39" s="693">
        <f t="shared" si="35"/>
        <v>0</v>
      </c>
      <c r="BP39" s="696">
        <f t="shared" si="35"/>
        <v>0</v>
      </c>
      <c r="BQ39" s="693">
        <f t="shared" si="46"/>
        <v>0</v>
      </c>
      <c r="BR39" s="693">
        <f t="shared" si="36"/>
        <v>0</v>
      </c>
      <c r="BS39" s="693">
        <f t="shared" si="36"/>
        <v>0</v>
      </c>
      <c r="BT39" s="693">
        <f t="shared" si="36"/>
        <v>0</v>
      </c>
      <c r="BU39" s="693">
        <f t="shared" si="36"/>
        <v>0</v>
      </c>
      <c r="BV39" s="693">
        <f t="shared" si="36"/>
        <v>0</v>
      </c>
      <c r="BW39" s="696">
        <f t="shared" si="36"/>
        <v>0</v>
      </c>
      <c r="BX39" s="693">
        <f t="shared" si="47"/>
        <v>0</v>
      </c>
      <c r="BY39" s="694"/>
      <c r="BZ39" s="694"/>
      <c r="CA39" s="694"/>
      <c r="CB39" s="694"/>
      <c r="CC39" s="694"/>
      <c r="CD39" s="695"/>
      <c r="CE39" s="693">
        <f t="shared" si="48"/>
        <v>0</v>
      </c>
      <c r="CF39" s="694"/>
      <c r="CG39" s="694"/>
      <c r="CH39" s="694"/>
      <c r="CI39" s="694"/>
      <c r="CJ39" s="694"/>
      <c r="CK39" s="700"/>
    </row>
    <row r="40" spans="3:89" ht="33.75">
      <c r="C40" s="672"/>
      <c r="D40" s="688" t="s">
        <v>525</v>
      </c>
      <c r="E40" s="683">
        <v>400</v>
      </c>
      <c r="F40" s="689">
        <f t="shared" ref="F40:BQ40" si="49">SUM(F41:F47)</f>
        <v>0</v>
      </c>
      <c r="G40" s="689">
        <f t="shared" si="49"/>
        <v>0</v>
      </c>
      <c r="H40" s="689">
        <f t="shared" si="49"/>
        <v>0</v>
      </c>
      <c r="I40" s="689">
        <f t="shared" si="49"/>
        <v>0</v>
      </c>
      <c r="J40" s="689">
        <f t="shared" si="49"/>
        <v>0</v>
      </c>
      <c r="K40" s="689">
        <f t="shared" si="49"/>
        <v>0</v>
      </c>
      <c r="L40" s="690">
        <f t="shared" si="49"/>
        <v>0</v>
      </c>
      <c r="M40" s="689">
        <f t="shared" si="49"/>
        <v>0</v>
      </c>
      <c r="N40" s="689">
        <f t="shared" si="49"/>
        <v>0</v>
      </c>
      <c r="O40" s="689">
        <f t="shared" si="49"/>
        <v>0</v>
      </c>
      <c r="P40" s="689">
        <f t="shared" si="49"/>
        <v>0</v>
      </c>
      <c r="Q40" s="689">
        <f t="shared" si="49"/>
        <v>0</v>
      </c>
      <c r="R40" s="689">
        <f t="shared" si="49"/>
        <v>0</v>
      </c>
      <c r="S40" s="690">
        <f t="shared" si="49"/>
        <v>0</v>
      </c>
      <c r="T40" s="689">
        <f t="shared" si="49"/>
        <v>0</v>
      </c>
      <c r="U40" s="689">
        <f t="shared" si="49"/>
        <v>0</v>
      </c>
      <c r="V40" s="689">
        <f t="shared" si="49"/>
        <v>0</v>
      </c>
      <c r="W40" s="689">
        <f t="shared" si="49"/>
        <v>0</v>
      </c>
      <c r="X40" s="689">
        <f t="shared" si="49"/>
        <v>0</v>
      </c>
      <c r="Y40" s="689">
        <f t="shared" si="49"/>
        <v>0</v>
      </c>
      <c r="Z40" s="690">
        <f t="shared" si="49"/>
        <v>0</v>
      </c>
      <c r="AA40" s="689">
        <f t="shared" si="49"/>
        <v>0</v>
      </c>
      <c r="AB40" s="689">
        <f t="shared" si="49"/>
        <v>0</v>
      </c>
      <c r="AC40" s="689">
        <f t="shared" si="49"/>
        <v>0</v>
      </c>
      <c r="AD40" s="689">
        <f t="shared" si="49"/>
        <v>0</v>
      </c>
      <c r="AE40" s="689">
        <f t="shared" si="49"/>
        <v>0</v>
      </c>
      <c r="AF40" s="689">
        <f t="shared" si="49"/>
        <v>0</v>
      </c>
      <c r="AG40" s="690">
        <f t="shared" si="49"/>
        <v>0</v>
      </c>
      <c r="AH40" s="689">
        <f t="shared" si="49"/>
        <v>0</v>
      </c>
      <c r="AI40" s="689">
        <f t="shared" si="49"/>
        <v>0</v>
      </c>
      <c r="AJ40" s="689">
        <f t="shared" si="49"/>
        <v>0</v>
      </c>
      <c r="AK40" s="689">
        <f t="shared" si="49"/>
        <v>0</v>
      </c>
      <c r="AL40" s="689">
        <f t="shared" si="49"/>
        <v>0</v>
      </c>
      <c r="AM40" s="689">
        <f t="shared" si="49"/>
        <v>0</v>
      </c>
      <c r="AN40" s="690">
        <f t="shared" si="49"/>
        <v>0</v>
      </c>
      <c r="AO40" s="689">
        <f t="shared" si="49"/>
        <v>0</v>
      </c>
      <c r="AP40" s="689">
        <f t="shared" si="49"/>
        <v>0</v>
      </c>
      <c r="AQ40" s="689">
        <f t="shared" si="49"/>
        <v>0</v>
      </c>
      <c r="AR40" s="689">
        <f t="shared" si="49"/>
        <v>0</v>
      </c>
      <c r="AS40" s="689">
        <f t="shared" si="49"/>
        <v>0</v>
      </c>
      <c r="AT40" s="689">
        <f t="shared" si="49"/>
        <v>0</v>
      </c>
      <c r="AU40" s="690">
        <f t="shared" si="49"/>
        <v>0</v>
      </c>
      <c r="AV40" s="689">
        <f t="shared" si="49"/>
        <v>0</v>
      </c>
      <c r="AW40" s="689">
        <f t="shared" si="49"/>
        <v>0</v>
      </c>
      <c r="AX40" s="689">
        <f t="shared" si="49"/>
        <v>0</v>
      </c>
      <c r="AY40" s="689">
        <f t="shared" si="49"/>
        <v>0</v>
      </c>
      <c r="AZ40" s="689">
        <f t="shared" si="49"/>
        <v>0</v>
      </c>
      <c r="BA40" s="689">
        <f t="shared" si="49"/>
        <v>0</v>
      </c>
      <c r="BB40" s="690">
        <f t="shared" si="49"/>
        <v>0</v>
      </c>
      <c r="BC40" s="689">
        <f t="shared" si="49"/>
        <v>0</v>
      </c>
      <c r="BD40" s="689">
        <f t="shared" si="49"/>
        <v>0</v>
      </c>
      <c r="BE40" s="689">
        <f t="shared" si="49"/>
        <v>0</v>
      </c>
      <c r="BF40" s="689">
        <f t="shared" si="49"/>
        <v>0</v>
      </c>
      <c r="BG40" s="689">
        <f t="shared" si="49"/>
        <v>0</v>
      </c>
      <c r="BH40" s="689">
        <f t="shared" si="49"/>
        <v>0</v>
      </c>
      <c r="BI40" s="690">
        <f t="shared" si="49"/>
        <v>0</v>
      </c>
      <c r="BJ40" s="689">
        <f t="shared" si="49"/>
        <v>0</v>
      </c>
      <c r="BK40" s="689">
        <f t="shared" si="49"/>
        <v>0</v>
      </c>
      <c r="BL40" s="689">
        <f t="shared" si="49"/>
        <v>0</v>
      </c>
      <c r="BM40" s="689">
        <f t="shared" si="49"/>
        <v>0</v>
      </c>
      <c r="BN40" s="689">
        <f t="shared" si="49"/>
        <v>0</v>
      </c>
      <c r="BO40" s="689">
        <f t="shared" si="49"/>
        <v>0</v>
      </c>
      <c r="BP40" s="690">
        <f t="shared" si="49"/>
        <v>0</v>
      </c>
      <c r="BQ40" s="689">
        <f t="shared" si="49"/>
        <v>0</v>
      </c>
      <c r="BR40" s="689">
        <f t="shared" ref="BR40:CK40" si="50">SUM(BR41:BR47)</f>
        <v>0</v>
      </c>
      <c r="BS40" s="689">
        <f t="shared" si="50"/>
        <v>0</v>
      </c>
      <c r="BT40" s="689">
        <f t="shared" si="50"/>
        <v>0</v>
      </c>
      <c r="BU40" s="689">
        <f t="shared" si="50"/>
        <v>0</v>
      </c>
      <c r="BV40" s="689">
        <f t="shared" si="50"/>
        <v>0</v>
      </c>
      <c r="BW40" s="690">
        <f t="shared" si="50"/>
        <v>0</v>
      </c>
      <c r="BX40" s="689">
        <f t="shared" si="50"/>
        <v>0</v>
      </c>
      <c r="BY40" s="689">
        <f t="shared" si="50"/>
        <v>0</v>
      </c>
      <c r="BZ40" s="689">
        <f t="shared" si="50"/>
        <v>0</v>
      </c>
      <c r="CA40" s="689">
        <f t="shared" si="50"/>
        <v>0</v>
      </c>
      <c r="CB40" s="689">
        <f t="shared" si="50"/>
        <v>0</v>
      </c>
      <c r="CC40" s="689">
        <f t="shared" si="50"/>
        <v>0</v>
      </c>
      <c r="CD40" s="690">
        <f t="shared" si="50"/>
        <v>0</v>
      </c>
      <c r="CE40" s="689">
        <f t="shared" si="50"/>
        <v>0</v>
      </c>
      <c r="CF40" s="689">
        <f t="shared" si="50"/>
        <v>0</v>
      </c>
      <c r="CG40" s="689">
        <f t="shared" si="50"/>
        <v>0</v>
      </c>
      <c r="CH40" s="689">
        <f t="shared" si="50"/>
        <v>0</v>
      </c>
      <c r="CI40" s="689">
        <f t="shared" si="50"/>
        <v>0</v>
      </c>
      <c r="CJ40" s="689">
        <f t="shared" si="50"/>
        <v>0</v>
      </c>
      <c r="CK40" s="699">
        <f t="shared" si="50"/>
        <v>0</v>
      </c>
    </row>
    <row r="41" spans="3:89" ht="22.5">
      <c r="C41" s="672"/>
      <c r="D41" s="688" t="s">
        <v>516</v>
      </c>
      <c r="E41" s="683">
        <v>411</v>
      </c>
      <c r="F41" s="693">
        <f>SUM(G41:L41)</f>
        <v>0</v>
      </c>
      <c r="G41" s="694"/>
      <c r="H41" s="694"/>
      <c r="I41" s="694"/>
      <c r="J41" s="694"/>
      <c r="K41" s="694"/>
      <c r="L41" s="695"/>
      <c r="M41" s="693">
        <f>SUM(N41:S41)</f>
        <v>0</v>
      </c>
      <c r="N41" s="694"/>
      <c r="O41" s="694"/>
      <c r="P41" s="694"/>
      <c r="Q41" s="694"/>
      <c r="R41" s="694"/>
      <c r="S41" s="695"/>
      <c r="T41" s="693">
        <f>SUM(U41:Z41)</f>
        <v>0</v>
      </c>
      <c r="U41" s="694"/>
      <c r="V41" s="694"/>
      <c r="W41" s="694"/>
      <c r="X41" s="694"/>
      <c r="Y41" s="694"/>
      <c r="Z41" s="695"/>
      <c r="AA41" s="693">
        <f>SUM(AB41:AG41)</f>
        <v>0</v>
      </c>
      <c r="AB41" s="694"/>
      <c r="AC41" s="694"/>
      <c r="AD41" s="694"/>
      <c r="AE41" s="694"/>
      <c r="AF41" s="694"/>
      <c r="AG41" s="695"/>
      <c r="AH41" s="693">
        <f>SUM(AI41:AN41)</f>
        <v>0</v>
      </c>
      <c r="AI41" s="694"/>
      <c r="AJ41" s="694"/>
      <c r="AK41" s="694"/>
      <c r="AL41" s="694"/>
      <c r="AM41" s="694"/>
      <c r="AN41" s="695"/>
      <c r="AO41" s="693">
        <f>SUM(AP41:AU41)</f>
        <v>0</v>
      </c>
      <c r="AP41" s="694"/>
      <c r="AQ41" s="694"/>
      <c r="AR41" s="694"/>
      <c r="AS41" s="694"/>
      <c r="AT41" s="694"/>
      <c r="AU41" s="695"/>
      <c r="AV41" s="693">
        <f>SUM(AW41:BB41)</f>
        <v>0</v>
      </c>
      <c r="AW41" s="694"/>
      <c r="AX41" s="694"/>
      <c r="AY41" s="694"/>
      <c r="AZ41" s="694"/>
      <c r="BA41" s="694"/>
      <c r="BB41" s="695"/>
      <c r="BC41" s="693">
        <f>SUM(BD41:BI41)</f>
        <v>0</v>
      </c>
      <c r="BD41" s="694"/>
      <c r="BE41" s="694"/>
      <c r="BF41" s="694"/>
      <c r="BG41" s="694"/>
      <c r="BH41" s="694"/>
      <c r="BI41" s="695"/>
      <c r="BJ41" s="693">
        <f>SUM(BK41:BP41)</f>
        <v>0</v>
      </c>
      <c r="BK41" s="693">
        <f t="shared" ref="BK41:BP48" si="51">AI41+U41+G41</f>
        <v>0</v>
      </c>
      <c r="BL41" s="693">
        <f t="shared" si="51"/>
        <v>0</v>
      </c>
      <c r="BM41" s="693">
        <f t="shared" si="51"/>
        <v>0</v>
      </c>
      <c r="BN41" s="693">
        <f t="shared" si="51"/>
        <v>0</v>
      </c>
      <c r="BO41" s="693">
        <f t="shared" si="51"/>
        <v>0</v>
      </c>
      <c r="BP41" s="696">
        <f t="shared" si="51"/>
        <v>0</v>
      </c>
      <c r="BQ41" s="693">
        <f>SUM(BR41:BW41)</f>
        <v>0</v>
      </c>
      <c r="BR41" s="693">
        <f t="shared" ref="BR41:BW48" si="52">AP41+AB41+N41</f>
        <v>0</v>
      </c>
      <c r="BS41" s="693">
        <f t="shared" si="52"/>
        <v>0</v>
      </c>
      <c r="BT41" s="693">
        <f t="shared" si="52"/>
        <v>0</v>
      </c>
      <c r="BU41" s="693">
        <f t="shared" si="52"/>
        <v>0</v>
      </c>
      <c r="BV41" s="693">
        <f t="shared" si="52"/>
        <v>0</v>
      </c>
      <c r="BW41" s="696">
        <f t="shared" si="52"/>
        <v>0</v>
      </c>
      <c r="BX41" s="693">
        <f>SUM(BY41:CD41)</f>
        <v>0</v>
      </c>
      <c r="BY41" s="694"/>
      <c r="BZ41" s="694"/>
      <c r="CA41" s="694"/>
      <c r="CB41" s="694"/>
      <c r="CC41" s="694"/>
      <c r="CD41" s="695"/>
      <c r="CE41" s="693">
        <f>SUM(CF41:CK41)</f>
        <v>0</v>
      </c>
      <c r="CF41" s="694"/>
      <c r="CG41" s="694"/>
      <c r="CH41" s="694"/>
      <c r="CI41" s="694"/>
      <c r="CJ41" s="694"/>
      <c r="CK41" s="698"/>
    </row>
    <row r="42" spans="3:89" ht="22.5">
      <c r="C42" s="672"/>
      <c r="D42" s="688" t="s">
        <v>517</v>
      </c>
      <c r="E42" s="683">
        <v>421</v>
      </c>
      <c r="F42" s="693">
        <f t="shared" ref="F42:F48" si="53">SUM(G42:L42)</f>
        <v>0</v>
      </c>
      <c r="G42" s="694"/>
      <c r="H42" s="694"/>
      <c r="I42" s="694"/>
      <c r="J42" s="694"/>
      <c r="K42" s="694"/>
      <c r="L42" s="695"/>
      <c r="M42" s="693">
        <f t="shared" ref="M42:M48" si="54">SUM(N42:S42)</f>
        <v>0</v>
      </c>
      <c r="N42" s="694"/>
      <c r="O42" s="694"/>
      <c r="P42" s="694"/>
      <c r="Q42" s="694"/>
      <c r="R42" s="694"/>
      <c r="S42" s="695"/>
      <c r="T42" s="693">
        <f t="shared" ref="T42:T48" si="55">SUM(U42:Z42)</f>
        <v>0</v>
      </c>
      <c r="U42" s="694"/>
      <c r="V42" s="694"/>
      <c r="W42" s="694"/>
      <c r="X42" s="694"/>
      <c r="Y42" s="694"/>
      <c r="Z42" s="695"/>
      <c r="AA42" s="693">
        <f t="shared" ref="AA42:AA48" si="56">SUM(AB42:AG42)</f>
        <v>0</v>
      </c>
      <c r="AB42" s="694"/>
      <c r="AC42" s="694"/>
      <c r="AD42" s="694"/>
      <c r="AE42" s="694"/>
      <c r="AF42" s="694"/>
      <c r="AG42" s="695"/>
      <c r="AH42" s="693">
        <f t="shared" ref="AH42:AH48" si="57">SUM(AI42:AN42)</f>
        <v>0</v>
      </c>
      <c r="AI42" s="694"/>
      <c r="AJ42" s="694"/>
      <c r="AK42" s="694"/>
      <c r="AL42" s="694"/>
      <c r="AM42" s="694"/>
      <c r="AN42" s="695"/>
      <c r="AO42" s="693">
        <f t="shared" ref="AO42:AO48" si="58">SUM(AP42:AU42)</f>
        <v>0</v>
      </c>
      <c r="AP42" s="694"/>
      <c r="AQ42" s="694"/>
      <c r="AR42" s="694"/>
      <c r="AS42" s="694"/>
      <c r="AT42" s="694"/>
      <c r="AU42" s="695"/>
      <c r="AV42" s="693">
        <f t="shared" ref="AV42:AV48" si="59">SUM(AW42:BB42)</f>
        <v>0</v>
      </c>
      <c r="AW42" s="694"/>
      <c r="AX42" s="694"/>
      <c r="AY42" s="694"/>
      <c r="AZ42" s="694"/>
      <c r="BA42" s="694"/>
      <c r="BB42" s="695"/>
      <c r="BC42" s="693">
        <f t="shared" ref="BC42:BC48" si="60">SUM(BD42:BI42)</f>
        <v>0</v>
      </c>
      <c r="BD42" s="694"/>
      <c r="BE42" s="694"/>
      <c r="BF42" s="694"/>
      <c r="BG42" s="694"/>
      <c r="BH42" s="694"/>
      <c r="BI42" s="695"/>
      <c r="BJ42" s="693">
        <f t="shared" ref="BJ42:BJ48" si="61">SUM(BK42:BP42)</f>
        <v>0</v>
      </c>
      <c r="BK42" s="693">
        <f t="shared" si="51"/>
        <v>0</v>
      </c>
      <c r="BL42" s="693">
        <f t="shared" si="51"/>
        <v>0</v>
      </c>
      <c r="BM42" s="693">
        <f t="shared" si="51"/>
        <v>0</v>
      </c>
      <c r="BN42" s="693">
        <f t="shared" si="51"/>
        <v>0</v>
      </c>
      <c r="BO42" s="693">
        <f t="shared" si="51"/>
        <v>0</v>
      </c>
      <c r="BP42" s="696">
        <f t="shared" si="51"/>
        <v>0</v>
      </c>
      <c r="BQ42" s="693">
        <f t="shared" ref="BQ42:BQ48" si="62">SUM(BR42:BW42)</f>
        <v>0</v>
      </c>
      <c r="BR42" s="693">
        <f t="shared" si="52"/>
        <v>0</v>
      </c>
      <c r="BS42" s="693">
        <f t="shared" si="52"/>
        <v>0</v>
      </c>
      <c r="BT42" s="693">
        <f t="shared" si="52"/>
        <v>0</v>
      </c>
      <c r="BU42" s="693">
        <f t="shared" si="52"/>
        <v>0</v>
      </c>
      <c r="BV42" s="693">
        <f t="shared" si="52"/>
        <v>0</v>
      </c>
      <c r="BW42" s="696">
        <f t="shared" si="52"/>
        <v>0</v>
      </c>
      <c r="BX42" s="693">
        <f t="shared" ref="BX42:BX48" si="63">SUM(BY42:CD42)</f>
        <v>0</v>
      </c>
      <c r="BY42" s="694"/>
      <c r="BZ42" s="694"/>
      <c r="CA42" s="694"/>
      <c r="CB42" s="694"/>
      <c r="CC42" s="694"/>
      <c r="CD42" s="695"/>
      <c r="CE42" s="693">
        <f t="shared" ref="CE42:CE48" si="64">SUM(CF42:CK42)</f>
        <v>0</v>
      </c>
      <c r="CF42" s="694"/>
      <c r="CG42" s="694"/>
      <c r="CH42" s="694"/>
      <c r="CI42" s="694"/>
      <c r="CJ42" s="694"/>
      <c r="CK42" s="698"/>
    </row>
    <row r="43" spans="3:89" ht="15" customHeight="1">
      <c r="C43" s="672"/>
      <c r="D43" s="688" t="s">
        <v>518</v>
      </c>
      <c r="E43" s="683">
        <v>431</v>
      </c>
      <c r="F43" s="693">
        <f t="shared" si="53"/>
        <v>0</v>
      </c>
      <c r="G43" s="694"/>
      <c r="H43" s="694"/>
      <c r="I43" s="694"/>
      <c r="J43" s="694"/>
      <c r="K43" s="694"/>
      <c r="L43" s="695"/>
      <c r="M43" s="693">
        <f t="shared" si="54"/>
        <v>0</v>
      </c>
      <c r="N43" s="694"/>
      <c r="O43" s="694"/>
      <c r="P43" s="694"/>
      <c r="Q43" s="694"/>
      <c r="R43" s="694"/>
      <c r="S43" s="695"/>
      <c r="T43" s="693">
        <f t="shared" si="55"/>
        <v>0</v>
      </c>
      <c r="U43" s="694"/>
      <c r="V43" s="694"/>
      <c r="W43" s="694"/>
      <c r="X43" s="694"/>
      <c r="Y43" s="694"/>
      <c r="Z43" s="695"/>
      <c r="AA43" s="693">
        <f t="shared" si="56"/>
        <v>0</v>
      </c>
      <c r="AB43" s="694"/>
      <c r="AC43" s="694"/>
      <c r="AD43" s="694"/>
      <c r="AE43" s="694"/>
      <c r="AF43" s="694"/>
      <c r="AG43" s="695"/>
      <c r="AH43" s="693">
        <f t="shared" si="57"/>
        <v>0</v>
      </c>
      <c r="AI43" s="694"/>
      <c r="AJ43" s="694"/>
      <c r="AK43" s="694"/>
      <c r="AL43" s="694"/>
      <c r="AM43" s="694"/>
      <c r="AN43" s="695"/>
      <c r="AO43" s="693">
        <f t="shared" si="58"/>
        <v>0</v>
      </c>
      <c r="AP43" s="694"/>
      <c r="AQ43" s="694"/>
      <c r="AR43" s="694"/>
      <c r="AS43" s="694"/>
      <c r="AT43" s="694"/>
      <c r="AU43" s="695"/>
      <c r="AV43" s="693">
        <f t="shared" si="59"/>
        <v>0</v>
      </c>
      <c r="AW43" s="694"/>
      <c r="AX43" s="694"/>
      <c r="AY43" s="694"/>
      <c r="AZ43" s="694"/>
      <c r="BA43" s="694"/>
      <c r="BB43" s="695"/>
      <c r="BC43" s="693">
        <f t="shared" si="60"/>
        <v>0</v>
      </c>
      <c r="BD43" s="694"/>
      <c r="BE43" s="694"/>
      <c r="BF43" s="694"/>
      <c r="BG43" s="694"/>
      <c r="BH43" s="694"/>
      <c r="BI43" s="695"/>
      <c r="BJ43" s="693">
        <f t="shared" si="61"/>
        <v>0</v>
      </c>
      <c r="BK43" s="693">
        <f t="shared" si="51"/>
        <v>0</v>
      </c>
      <c r="BL43" s="693">
        <f t="shared" si="51"/>
        <v>0</v>
      </c>
      <c r="BM43" s="693">
        <f t="shared" si="51"/>
        <v>0</v>
      </c>
      <c r="BN43" s="693">
        <f t="shared" si="51"/>
        <v>0</v>
      </c>
      <c r="BO43" s="693">
        <f t="shared" si="51"/>
        <v>0</v>
      </c>
      <c r="BP43" s="696">
        <f t="shared" si="51"/>
        <v>0</v>
      </c>
      <c r="BQ43" s="693">
        <f t="shared" si="62"/>
        <v>0</v>
      </c>
      <c r="BR43" s="693">
        <f t="shared" si="52"/>
        <v>0</v>
      </c>
      <c r="BS43" s="693">
        <f t="shared" si="52"/>
        <v>0</v>
      </c>
      <c r="BT43" s="693">
        <f t="shared" si="52"/>
        <v>0</v>
      </c>
      <c r="BU43" s="693">
        <f t="shared" si="52"/>
        <v>0</v>
      </c>
      <c r="BV43" s="693">
        <f t="shared" si="52"/>
        <v>0</v>
      </c>
      <c r="BW43" s="696">
        <f t="shared" si="52"/>
        <v>0</v>
      </c>
      <c r="BX43" s="693">
        <f t="shared" si="63"/>
        <v>0</v>
      </c>
      <c r="BY43" s="694"/>
      <c r="BZ43" s="694"/>
      <c r="CA43" s="694"/>
      <c r="CB43" s="694"/>
      <c r="CC43" s="694"/>
      <c r="CD43" s="695"/>
      <c r="CE43" s="693">
        <f t="shared" si="64"/>
        <v>0</v>
      </c>
      <c r="CF43" s="694"/>
      <c r="CG43" s="694"/>
      <c r="CH43" s="694"/>
      <c r="CI43" s="694"/>
      <c r="CJ43" s="694"/>
      <c r="CK43" s="698"/>
    </row>
    <row r="44" spans="3:89" ht="15" customHeight="1">
      <c r="C44" s="672"/>
      <c r="D44" s="688" t="s">
        <v>519</v>
      </c>
      <c r="E44" s="683">
        <v>441</v>
      </c>
      <c r="F44" s="693">
        <f t="shared" si="53"/>
        <v>0</v>
      </c>
      <c r="G44" s="694"/>
      <c r="H44" s="694"/>
      <c r="I44" s="694"/>
      <c r="J44" s="694"/>
      <c r="K44" s="694"/>
      <c r="L44" s="695"/>
      <c r="M44" s="693">
        <f t="shared" si="54"/>
        <v>0</v>
      </c>
      <c r="N44" s="694"/>
      <c r="O44" s="694"/>
      <c r="P44" s="694"/>
      <c r="Q44" s="694"/>
      <c r="R44" s="694"/>
      <c r="S44" s="695"/>
      <c r="T44" s="693">
        <f t="shared" si="55"/>
        <v>0</v>
      </c>
      <c r="U44" s="694"/>
      <c r="V44" s="694"/>
      <c r="W44" s="694"/>
      <c r="X44" s="694"/>
      <c r="Y44" s="694"/>
      <c r="Z44" s="695"/>
      <c r="AA44" s="693">
        <f t="shared" si="56"/>
        <v>0</v>
      </c>
      <c r="AB44" s="694"/>
      <c r="AC44" s="694"/>
      <c r="AD44" s="694"/>
      <c r="AE44" s="694"/>
      <c r="AF44" s="694"/>
      <c r="AG44" s="695"/>
      <c r="AH44" s="693">
        <f t="shared" si="57"/>
        <v>0</v>
      </c>
      <c r="AI44" s="694"/>
      <c r="AJ44" s="694"/>
      <c r="AK44" s="694"/>
      <c r="AL44" s="694"/>
      <c r="AM44" s="694"/>
      <c r="AN44" s="695"/>
      <c r="AO44" s="693">
        <f t="shared" si="58"/>
        <v>0</v>
      </c>
      <c r="AP44" s="694"/>
      <c r="AQ44" s="694"/>
      <c r="AR44" s="694"/>
      <c r="AS44" s="694"/>
      <c r="AT44" s="694"/>
      <c r="AU44" s="695"/>
      <c r="AV44" s="693">
        <f t="shared" si="59"/>
        <v>0</v>
      </c>
      <c r="AW44" s="694"/>
      <c r="AX44" s="694"/>
      <c r="AY44" s="694"/>
      <c r="AZ44" s="694"/>
      <c r="BA44" s="694"/>
      <c r="BB44" s="695"/>
      <c r="BC44" s="693">
        <f t="shared" si="60"/>
        <v>0</v>
      </c>
      <c r="BD44" s="694"/>
      <c r="BE44" s="694"/>
      <c r="BF44" s="694"/>
      <c r="BG44" s="694"/>
      <c r="BH44" s="694"/>
      <c r="BI44" s="695"/>
      <c r="BJ44" s="693">
        <f t="shared" si="61"/>
        <v>0</v>
      </c>
      <c r="BK44" s="693">
        <f t="shared" si="51"/>
        <v>0</v>
      </c>
      <c r="BL44" s="693">
        <f t="shared" si="51"/>
        <v>0</v>
      </c>
      <c r="BM44" s="693">
        <f t="shared" si="51"/>
        <v>0</v>
      </c>
      <c r="BN44" s="693">
        <f t="shared" si="51"/>
        <v>0</v>
      </c>
      <c r="BO44" s="693">
        <f t="shared" si="51"/>
        <v>0</v>
      </c>
      <c r="BP44" s="696">
        <f t="shared" si="51"/>
        <v>0</v>
      </c>
      <c r="BQ44" s="693">
        <f t="shared" si="62"/>
        <v>0</v>
      </c>
      <c r="BR44" s="693">
        <f t="shared" si="52"/>
        <v>0</v>
      </c>
      <c r="BS44" s="693">
        <f t="shared" si="52"/>
        <v>0</v>
      </c>
      <c r="BT44" s="693">
        <f t="shared" si="52"/>
        <v>0</v>
      </c>
      <c r="BU44" s="693">
        <f t="shared" si="52"/>
        <v>0</v>
      </c>
      <c r="BV44" s="693">
        <f t="shared" si="52"/>
        <v>0</v>
      </c>
      <c r="BW44" s="696">
        <f t="shared" si="52"/>
        <v>0</v>
      </c>
      <c r="BX44" s="693">
        <f t="shared" si="63"/>
        <v>0</v>
      </c>
      <c r="BY44" s="694"/>
      <c r="BZ44" s="694"/>
      <c r="CA44" s="694"/>
      <c r="CB44" s="694"/>
      <c r="CC44" s="694"/>
      <c r="CD44" s="695"/>
      <c r="CE44" s="693">
        <f t="shared" si="64"/>
        <v>0</v>
      </c>
      <c r="CF44" s="694"/>
      <c r="CG44" s="694"/>
      <c r="CH44" s="694"/>
      <c r="CI44" s="694"/>
      <c r="CJ44" s="694"/>
      <c r="CK44" s="698"/>
    </row>
    <row r="45" spans="3:89" ht="15" customHeight="1">
      <c r="C45" s="672"/>
      <c r="D45" s="688" t="s">
        <v>520</v>
      </c>
      <c r="E45" s="683">
        <v>451</v>
      </c>
      <c r="F45" s="693">
        <f t="shared" si="53"/>
        <v>0</v>
      </c>
      <c r="G45" s="694"/>
      <c r="H45" s="694"/>
      <c r="I45" s="694"/>
      <c r="J45" s="694"/>
      <c r="K45" s="694"/>
      <c r="L45" s="695"/>
      <c r="M45" s="693">
        <f t="shared" si="54"/>
        <v>0</v>
      </c>
      <c r="N45" s="694"/>
      <c r="O45" s="694"/>
      <c r="P45" s="694"/>
      <c r="Q45" s="694"/>
      <c r="R45" s="694"/>
      <c r="S45" s="695"/>
      <c r="T45" s="693">
        <f t="shared" si="55"/>
        <v>0</v>
      </c>
      <c r="U45" s="694"/>
      <c r="V45" s="694"/>
      <c r="W45" s="694"/>
      <c r="X45" s="694"/>
      <c r="Y45" s="694"/>
      <c r="Z45" s="695"/>
      <c r="AA45" s="693">
        <f t="shared" si="56"/>
        <v>0</v>
      </c>
      <c r="AB45" s="694"/>
      <c r="AC45" s="694"/>
      <c r="AD45" s="694"/>
      <c r="AE45" s="694"/>
      <c r="AF45" s="694"/>
      <c r="AG45" s="695"/>
      <c r="AH45" s="693">
        <f t="shared" si="57"/>
        <v>0</v>
      </c>
      <c r="AI45" s="694"/>
      <c r="AJ45" s="694"/>
      <c r="AK45" s="694"/>
      <c r="AL45" s="694"/>
      <c r="AM45" s="694"/>
      <c r="AN45" s="695"/>
      <c r="AO45" s="693">
        <f t="shared" si="58"/>
        <v>0</v>
      </c>
      <c r="AP45" s="694"/>
      <c r="AQ45" s="694"/>
      <c r="AR45" s="694"/>
      <c r="AS45" s="694"/>
      <c r="AT45" s="694"/>
      <c r="AU45" s="695"/>
      <c r="AV45" s="693">
        <f t="shared" si="59"/>
        <v>0</v>
      </c>
      <c r="AW45" s="694"/>
      <c r="AX45" s="694"/>
      <c r="AY45" s="694"/>
      <c r="AZ45" s="694"/>
      <c r="BA45" s="694"/>
      <c r="BB45" s="695"/>
      <c r="BC45" s="693">
        <f t="shared" si="60"/>
        <v>0</v>
      </c>
      <c r="BD45" s="694"/>
      <c r="BE45" s="694"/>
      <c r="BF45" s="694"/>
      <c r="BG45" s="694"/>
      <c r="BH45" s="694"/>
      <c r="BI45" s="695"/>
      <c r="BJ45" s="693">
        <f t="shared" si="61"/>
        <v>0</v>
      </c>
      <c r="BK45" s="693">
        <f t="shared" si="51"/>
        <v>0</v>
      </c>
      <c r="BL45" s="693">
        <f t="shared" si="51"/>
        <v>0</v>
      </c>
      <c r="BM45" s="693">
        <f t="shared" si="51"/>
        <v>0</v>
      </c>
      <c r="BN45" s="693">
        <f t="shared" si="51"/>
        <v>0</v>
      </c>
      <c r="BO45" s="693">
        <f t="shared" si="51"/>
        <v>0</v>
      </c>
      <c r="BP45" s="696">
        <f t="shared" si="51"/>
        <v>0</v>
      </c>
      <c r="BQ45" s="693">
        <f t="shared" si="62"/>
        <v>0</v>
      </c>
      <c r="BR45" s="693">
        <f t="shared" si="52"/>
        <v>0</v>
      </c>
      <c r="BS45" s="693">
        <f t="shared" si="52"/>
        <v>0</v>
      </c>
      <c r="BT45" s="693">
        <f t="shared" si="52"/>
        <v>0</v>
      </c>
      <c r="BU45" s="693">
        <f t="shared" si="52"/>
        <v>0</v>
      </c>
      <c r="BV45" s="693">
        <f t="shared" si="52"/>
        <v>0</v>
      </c>
      <c r="BW45" s="696">
        <f t="shared" si="52"/>
        <v>0</v>
      </c>
      <c r="BX45" s="693">
        <f t="shared" si="63"/>
        <v>0</v>
      </c>
      <c r="BY45" s="694"/>
      <c r="BZ45" s="694"/>
      <c r="CA45" s="694"/>
      <c r="CB45" s="694"/>
      <c r="CC45" s="694"/>
      <c r="CD45" s="695"/>
      <c r="CE45" s="693">
        <f t="shared" si="64"/>
        <v>0</v>
      </c>
      <c r="CF45" s="694"/>
      <c r="CG45" s="694"/>
      <c r="CH45" s="694"/>
      <c r="CI45" s="694"/>
      <c r="CJ45" s="694"/>
      <c r="CK45" s="698"/>
    </row>
    <row r="46" spans="3:89" ht="15" customHeight="1">
      <c r="C46" s="672"/>
      <c r="D46" s="688" t="s">
        <v>521</v>
      </c>
      <c r="E46" s="683">
        <v>461</v>
      </c>
      <c r="F46" s="693">
        <f t="shared" si="53"/>
        <v>0</v>
      </c>
      <c r="G46" s="694"/>
      <c r="H46" s="694"/>
      <c r="I46" s="694"/>
      <c r="J46" s="694"/>
      <c r="K46" s="694"/>
      <c r="L46" s="695"/>
      <c r="M46" s="693">
        <f t="shared" si="54"/>
        <v>0</v>
      </c>
      <c r="N46" s="694"/>
      <c r="O46" s="694"/>
      <c r="P46" s="694"/>
      <c r="Q46" s="694"/>
      <c r="R46" s="694"/>
      <c r="S46" s="695"/>
      <c r="T46" s="693">
        <f t="shared" si="55"/>
        <v>0</v>
      </c>
      <c r="U46" s="694"/>
      <c r="V46" s="694"/>
      <c r="W46" s="694"/>
      <c r="X46" s="694"/>
      <c r="Y46" s="694"/>
      <c r="Z46" s="695"/>
      <c r="AA46" s="693">
        <f t="shared" si="56"/>
        <v>0</v>
      </c>
      <c r="AB46" s="694"/>
      <c r="AC46" s="694"/>
      <c r="AD46" s="694"/>
      <c r="AE46" s="694"/>
      <c r="AF46" s="694"/>
      <c r="AG46" s="695"/>
      <c r="AH46" s="693">
        <f t="shared" si="57"/>
        <v>0</v>
      </c>
      <c r="AI46" s="694"/>
      <c r="AJ46" s="694"/>
      <c r="AK46" s="694"/>
      <c r="AL46" s="694"/>
      <c r="AM46" s="694"/>
      <c r="AN46" s="695"/>
      <c r="AO46" s="693">
        <f t="shared" si="58"/>
        <v>0</v>
      </c>
      <c r="AP46" s="694"/>
      <c r="AQ46" s="694"/>
      <c r="AR46" s="694"/>
      <c r="AS46" s="694"/>
      <c r="AT46" s="694"/>
      <c r="AU46" s="695"/>
      <c r="AV46" s="693">
        <f t="shared" si="59"/>
        <v>0</v>
      </c>
      <c r="AW46" s="694"/>
      <c r="AX46" s="694"/>
      <c r="AY46" s="694"/>
      <c r="AZ46" s="694"/>
      <c r="BA46" s="694"/>
      <c r="BB46" s="695"/>
      <c r="BC46" s="693">
        <f t="shared" si="60"/>
        <v>0</v>
      </c>
      <c r="BD46" s="694"/>
      <c r="BE46" s="694"/>
      <c r="BF46" s="694"/>
      <c r="BG46" s="694"/>
      <c r="BH46" s="694"/>
      <c r="BI46" s="695"/>
      <c r="BJ46" s="693">
        <f t="shared" si="61"/>
        <v>0</v>
      </c>
      <c r="BK46" s="693">
        <f t="shared" si="51"/>
        <v>0</v>
      </c>
      <c r="BL46" s="693">
        <f t="shared" si="51"/>
        <v>0</v>
      </c>
      <c r="BM46" s="693">
        <f t="shared" si="51"/>
        <v>0</v>
      </c>
      <c r="BN46" s="693">
        <f t="shared" si="51"/>
        <v>0</v>
      </c>
      <c r="BO46" s="693">
        <f t="shared" si="51"/>
        <v>0</v>
      </c>
      <c r="BP46" s="696">
        <f t="shared" si="51"/>
        <v>0</v>
      </c>
      <c r="BQ46" s="693">
        <f t="shared" si="62"/>
        <v>0</v>
      </c>
      <c r="BR46" s="693">
        <f t="shared" si="52"/>
        <v>0</v>
      </c>
      <c r="BS46" s="693">
        <f t="shared" si="52"/>
        <v>0</v>
      </c>
      <c r="BT46" s="693">
        <f t="shared" si="52"/>
        <v>0</v>
      </c>
      <c r="BU46" s="693">
        <f t="shared" si="52"/>
        <v>0</v>
      </c>
      <c r="BV46" s="693">
        <f t="shared" si="52"/>
        <v>0</v>
      </c>
      <c r="BW46" s="696">
        <f t="shared" si="52"/>
        <v>0</v>
      </c>
      <c r="BX46" s="693">
        <f t="shared" si="63"/>
        <v>0</v>
      </c>
      <c r="BY46" s="694"/>
      <c r="BZ46" s="694"/>
      <c r="CA46" s="694"/>
      <c r="CB46" s="694"/>
      <c r="CC46" s="694"/>
      <c r="CD46" s="695"/>
      <c r="CE46" s="693">
        <f t="shared" si="64"/>
        <v>0</v>
      </c>
      <c r="CF46" s="694"/>
      <c r="CG46" s="694"/>
      <c r="CH46" s="694"/>
      <c r="CI46" s="694"/>
      <c r="CJ46" s="694"/>
      <c r="CK46" s="698"/>
    </row>
    <row r="47" spans="3:89" ht="15" customHeight="1">
      <c r="C47" s="672"/>
      <c r="D47" s="688" t="s">
        <v>522</v>
      </c>
      <c r="E47" s="683">
        <v>471</v>
      </c>
      <c r="F47" s="693">
        <f t="shared" si="53"/>
        <v>0</v>
      </c>
      <c r="G47" s="694"/>
      <c r="H47" s="694"/>
      <c r="I47" s="694"/>
      <c r="J47" s="694"/>
      <c r="K47" s="694"/>
      <c r="L47" s="695"/>
      <c r="M47" s="693">
        <f t="shared" si="54"/>
        <v>0</v>
      </c>
      <c r="N47" s="694"/>
      <c r="O47" s="694"/>
      <c r="P47" s="694"/>
      <c r="Q47" s="694"/>
      <c r="R47" s="694"/>
      <c r="S47" s="695"/>
      <c r="T47" s="693">
        <f t="shared" si="55"/>
        <v>0</v>
      </c>
      <c r="U47" s="694"/>
      <c r="V47" s="694"/>
      <c r="W47" s="694"/>
      <c r="X47" s="694"/>
      <c r="Y47" s="694"/>
      <c r="Z47" s="695"/>
      <c r="AA47" s="693">
        <f t="shared" si="56"/>
        <v>0</v>
      </c>
      <c r="AB47" s="694"/>
      <c r="AC47" s="694"/>
      <c r="AD47" s="694"/>
      <c r="AE47" s="694"/>
      <c r="AF47" s="694"/>
      <c r="AG47" s="695"/>
      <c r="AH47" s="693">
        <f t="shared" si="57"/>
        <v>0</v>
      </c>
      <c r="AI47" s="694"/>
      <c r="AJ47" s="694"/>
      <c r="AK47" s="694"/>
      <c r="AL47" s="694"/>
      <c r="AM47" s="694"/>
      <c r="AN47" s="695"/>
      <c r="AO47" s="693">
        <f t="shared" si="58"/>
        <v>0</v>
      </c>
      <c r="AP47" s="694"/>
      <c r="AQ47" s="694"/>
      <c r="AR47" s="694"/>
      <c r="AS47" s="694"/>
      <c r="AT47" s="694"/>
      <c r="AU47" s="695"/>
      <c r="AV47" s="693">
        <f t="shared" si="59"/>
        <v>0</v>
      </c>
      <c r="AW47" s="694"/>
      <c r="AX47" s="694"/>
      <c r="AY47" s="694"/>
      <c r="AZ47" s="694"/>
      <c r="BA47" s="694"/>
      <c r="BB47" s="695"/>
      <c r="BC47" s="693">
        <f t="shared" si="60"/>
        <v>0</v>
      </c>
      <c r="BD47" s="694"/>
      <c r="BE47" s="694"/>
      <c r="BF47" s="694"/>
      <c r="BG47" s="694"/>
      <c r="BH47" s="694"/>
      <c r="BI47" s="695"/>
      <c r="BJ47" s="693">
        <f t="shared" si="61"/>
        <v>0</v>
      </c>
      <c r="BK47" s="693">
        <f t="shared" si="51"/>
        <v>0</v>
      </c>
      <c r="BL47" s="693">
        <f t="shared" si="51"/>
        <v>0</v>
      </c>
      <c r="BM47" s="693">
        <f t="shared" si="51"/>
        <v>0</v>
      </c>
      <c r="BN47" s="693">
        <f t="shared" si="51"/>
        <v>0</v>
      </c>
      <c r="BO47" s="693">
        <f t="shared" si="51"/>
        <v>0</v>
      </c>
      <c r="BP47" s="696">
        <f t="shared" si="51"/>
        <v>0</v>
      </c>
      <c r="BQ47" s="693">
        <f t="shared" si="62"/>
        <v>0</v>
      </c>
      <c r="BR47" s="693">
        <f t="shared" si="52"/>
        <v>0</v>
      </c>
      <c r="BS47" s="693">
        <f t="shared" si="52"/>
        <v>0</v>
      </c>
      <c r="BT47" s="693">
        <f t="shared" si="52"/>
        <v>0</v>
      </c>
      <c r="BU47" s="693">
        <f t="shared" si="52"/>
        <v>0</v>
      </c>
      <c r="BV47" s="693">
        <f t="shared" si="52"/>
        <v>0</v>
      </c>
      <c r="BW47" s="696">
        <f t="shared" si="52"/>
        <v>0</v>
      </c>
      <c r="BX47" s="693">
        <f t="shared" si="63"/>
        <v>0</v>
      </c>
      <c r="BY47" s="694"/>
      <c r="BZ47" s="694"/>
      <c r="CA47" s="694"/>
      <c r="CB47" s="694"/>
      <c r="CC47" s="694"/>
      <c r="CD47" s="695"/>
      <c r="CE47" s="693">
        <f t="shared" si="64"/>
        <v>0</v>
      </c>
      <c r="CF47" s="694"/>
      <c r="CG47" s="694"/>
      <c r="CH47" s="694"/>
      <c r="CI47" s="694"/>
      <c r="CJ47" s="694"/>
      <c r="CK47" s="698"/>
    </row>
    <row r="48" spans="3:89" ht="33.75">
      <c r="C48" s="672"/>
      <c r="D48" s="688" t="s">
        <v>526</v>
      </c>
      <c r="E48" s="683">
        <v>500</v>
      </c>
      <c r="F48" s="693">
        <f t="shared" si="53"/>
        <v>0</v>
      </c>
      <c r="G48" s="701"/>
      <c r="H48" s="701"/>
      <c r="I48" s="701"/>
      <c r="J48" s="701"/>
      <c r="K48" s="701"/>
      <c r="L48" s="702"/>
      <c r="M48" s="693">
        <f t="shared" si="54"/>
        <v>0</v>
      </c>
      <c r="N48" s="701"/>
      <c r="O48" s="701"/>
      <c r="P48" s="701"/>
      <c r="Q48" s="701"/>
      <c r="R48" s="701"/>
      <c r="S48" s="702"/>
      <c r="T48" s="693">
        <f t="shared" si="55"/>
        <v>0</v>
      </c>
      <c r="U48" s="701"/>
      <c r="V48" s="701"/>
      <c r="W48" s="701"/>
      <c r="X48" s="701"/>
      <c r="Y48" s="701"/>
      <c r="Z48" s="702"/>
      <c r="AA48" s="693">
        <f t="shared" si="56"/>
        <v>0</v>
      </c>
      <c r="AB48" s="701"/>
      <c r="AC48" s="701"/>
      <c r="AD48" s="701"/>
      <c r="AE48" s="701"/>
      <c r="AF48" s="701"/>
      <c r="AG48" s="702"/>
      <c r="AH48" s="693">
        <f t="shared" si="57"/>
        <v>0</v>
      </c>
      <c r="AI48" s="701"/>
      <c r="AJ48" s="701"/>
      <c r="AK48" s="701"/>
      <c r="AL48" s="701"/>
      <c r="AM48" s="701"/>
      <c r="AN48" s="702"/>
      <c r="AO48" s="693">
        <f t="shared" si="58"/>
        <v>0</v>
      </c>
      <c r="AP48" s="701"/>
      <c r="AQ48" s="701"/>
      <c r="AR48" s="701"/>
      <c r="AS48" s="701"/>
      <c r="AT48" s="701"/>
      <c r="AU48" s="702"/>
      <c r="AV48" s="693">
        <f t="shared" si="59"/>
        <v>0</v>
      </c>
      <c r="AW48" s="701"/>
      <c r="AX48" s="701"/>
      <c r="AY48" s="701"/>
      <c r="AZ48" s="701"/>
      <c r="BA48" s="701"/>
      <c r="BB48" s="702"/>
      <c r="BC48" s="693">
        <f t="shared" si="60"/>
        <v>0</v>
      </c>
      <c r="BD48" s="701"/>
      <c r="BE48" s="701"/>
      <c r="BF48" s="701"/>
      <c r="BG48" s="701"/>
      <c r="BH48" s="701"/>
      <c r="BI48" s="702"/>
      <c r="BJ48" s="693">
        <f t="shared" si="61"/>
        <v>0</v>
      </c>
      <c r="BK48" s="693">
        <f t="shared" si="51"/>
        <v>0</v>
      </c>
      <c r="BL48" s="693">
        <f>AJ48+V48+H48</f>
        <v>0</v>
      </c>
      <c r="BM48" s="693">
        <f>AK48+W48+I48</f>
        <v>0</v>
      </c>
      <c r="BN48" s="693">
        <f>AL48+X48+J48</f>
        <v>0</v>
      </c>
      <c r="BO48" s="693">
        <f>AM48+Y48+K48</f>
        <v>0</v>
      </c>
      <c r="BP48" s="696">
        <f>AN48+Z48+L48</f>
        <v>0</v>
      </c>
      <c r="BQ48" s="693">
        <f t="shared" si="62"/>
        <v>0</v>
      </c>
      <c r="BR48" s="693">
        <f t="shared" si="52"/>
        <v>0</v>
      </c>
      <c r="BS48" s="693">
        <f t="shared" si="52"/>
        <v>0</v>
      </c>
      <c r="BT48" s="693">
        <f t="shared" si="52"/>
        <v>0</v>
      </c>
      <c r="BU48" s="693">
        <f t="shared" si="52"/>
        <v>0</v>
      </c>
      <c r="BV48" s="693">
        <f t="shared" si="52"/>
        <v>0</v>
      </c>
      <c r="BW48" s="696">
        <f t="shared" si="52"/>
        <v>0</v>
      </c>
      <c r="BX48" s="693">
        <f t="shared" si="63"/>
        <v>0</v>
      </c>
      <c r="BY48" s="701"/>
      <c r="BZ48" s="701"/>
      <c r="CA48" s="701"/>
      <c r="CB48" s="701"/>
      <c r="CC48" s="701"/>
      <c r="CD48" s="702"/>
      <c r="CE48" s="693">
        <f t="shared" si="64"/>
        <v>0</v>
      </c>
      <c r="CF48" s="701"/>
      <c r="CG48" s="701"/>
      <c r="CH48" s="701"/>
      <c r="CI48" s="701"/>
      <c r="CJ48" s="701"/>
      <c r="CK48" s="703"/>
    </row>
    <row r="49" spans="1:89" ht="15" customHeight="1">
      <c r="C49" s="672"/>
      <c r="D49" s="704" t="s">
        <v>527</v>
      </c>
      <c r="E49" s="685">
        <v>600</v>
      </c>
      <c r="F49" s="693">
        <f>SUM(F17:F23)+SUM(F25:F31)+SUM(F33:F39)+SUM(F41:F47)</f>
        <v>0</v>
      </c>
      <c r="G49" s="693">
        <f t="shared" ref="G49:BR49" si="65">SUM(G17:G23)+SUM(G25:G31)+SUM(G33:G39)+SUM(G41:G47)</f>
        <v>0</v>
      </c>
      <c r="H49" s="693">
        <f t="shared" si="65"/>
        <v>0</v>
      </c>
      <c r="I49" s="693">
        <f t="shared" si="65"/>
        <v>0</v>
      </c>
      <c r="J49" s="693">
        <f t="shared" si="65"/>
        <v>0</v>
      </c>
      <c r="K49" s="693">
        <f t="shared" si="65"/>
        <v>0</v>
      </c>
      <c r="L49" s="696">
        <f t="shared" si="65"/>
        <v>0</v>
      </c>
      <c r="M49" s="705">
        <f t="shared" si="65"/>
        <v>0</v>
      </c>
      <c r="N49" s="693">
        <f t="shared" si="65"/>
        <v>0</v>
      </c>
      <c r="O49" s="693">
        <f t="shared" si="65"/>
        <v>0</v>
      </c>
      <c r="P49" s="693">
        <f t="shared" si="65"/>
        <v>0</v>
      </c>
      <c r="Q49" s="693">
        <f t="shared" si="65"/>
        <v>0</v>
      </c>
      <c r="R49" s="693">
        <f t="shared" si="65"/>
        <v>0</v>
      </c>
      <c r="S49" s="696">
        <f t="shared" si="65"/>
        <v>0</v>
      </c>
      <c r="T49" s="705">
        <f t="shared" si="65"/>
        <v>0</v>
      </c>
      <c r="U49" s="693">
        <f t="shared" si="65"/>
        <v>0</v>
      </c>
      <c r="V49" s="693">
        <f t="shared" si="65"/>
        <v>0</v>
      </c>
      <c r="W49" s="693">
        <f t="shared" si="65"/>
        <v>0</v>
      </c>
      <c r="X49" s="693">
        <f t="shared" si="65"/>
        <v>0</v>
      </c>
      <c r="Y49" s="693">
        <f t="shared" si="65"/>
        <v>0</v>
      </c>
      <c r="Z49" s="696">
        <f t="shared" si="65"/>
        <v>0</v>
      </c>
      <c r="AA49" s="705">
        <f t="shared" si="65"/>
        <v>0</v>
      </c>
      <c r="AB49" s="693">
        <f t="shared" si="65"/>
        <v>0</v>
      </c>
      <c r="AC49" s="693">
        <f t="shared" si="65"/>
        <v>0</v>
      </c>
      <c r="AD49" s="693">
        <f t="shared" si="65"/>
        <v>0</v>
      </c>
      <c r="AE49" s="693">
        <f t="shared" si="65"/>
        <v>0</v>
      </c>
      <c r="AF49" s="693">
        <f t="shared" si="65"/>
        <v>0</v>
      </c>
      <c r="AG49" s="696">
        <f t="shared" si="65"/>
        <v>0</v>
      </c>
      <c r="AH49" s="705">
        <f t="shared" si="65"/>
        <v>0</v>
      </c>
      <c r="AI49" s="693">
        <f t="shared" si="65"/>
        <v>0</v>
      </c>
      <c r="AJ49" s="693">
        <f t="shared" si="65"/>
        <v>0</v>
      </c>
      <c r="AK49" s="693">
        <f t="shared" si="65"/>
        <v>0</v>
      </c>
      <c r="AL49" s="693">
        <f t="shared" si="65"/>
        <v>0</v>
      </c>
      <c r="AM49" s="693">
        <f t="shared" si="65"/>
        <v>0</v>
      </c>
      <c r="AN49" s="696">
        <f t="shared" si="65"/>
        <v>0</v>
      </c>
      <c r="AO49" s="705">
        <f t="shared" si="65"/>
        <v>0</v>
      </c>
      <c r="AP49" s="693">
        <f t="shared" si="65"/>
        <v>0</v>
      </c>
      <c r="AQ49" s="693">
        <f t="shared" si="65"/>
        <v>0</v>
      </c>
      <c r="AR49" s="693">
        <f t="shared" si="65"/>
        <v>0</v>
      </c>
      <c r="AS49" s="693">
        <f t="shared" si="65"/>
        <v>0</v>
      </c>
      <c r="AT49" s="693">
        <f t="shared" si="65"/>
        <v>0</v>
      </c>
      <c r="AU49" s="696">
        <f t="shared" si="65"/>
        <v>0</v>
      </c>
      <c r="AV49" s="705">
        <f t="shared" si="65"/>
        <v>0</v>
      </c>
      <c r="AW49" s="693">
        <f t="shared" si="65"/>
        <v>0</v>
      </c>
      <c r="AX49" s="693">
        <f t="shared" si="65"/>
        <v>0</v>
      </c>
      <c r="AY49" s="693">
        <f t="shared" si="65"/>
        <v>0</v>
      </c>
      <c r="AZ49" s="693">
        <f t="shared" si="65"/>
        <v>0</v>
      </c>
      <c r="BA49" s="693">
        <f t="shared" si="65"/>
        <v>0</v>
      </c>
      <c r="BB49" s="696">
        <f t="shared" si="65"/>
        <v>0</v>
      </c>
      <c r="BC49" s="705">
        <f t="shared" si="65"/>
        <v>0</v>
      </c>
      <c r="BD49" s="693">
        <f t="shared" si="65"/>
        <v>0</v>
      </c>
      <c r="BE49" s="693">
        <f t="shared" si="65"/>
        <v>0</v>
      </c>
      <c r="BF49" s="693">
        <f t="shared" si="65"/>
        <v>0</v>
      </c>
      <c r="BG49" s="693">
        <f t="shared" si="65"/>
        <v>0</v>
      </c>
      <c r="BH49" s="693">
        <f t="shared" si="65"/>
        <v>0</v>
      </c>
      <c r="BI49" s="696">
        <f t="shared" si="65"/>
        <v>0</v>
      </c>
      <c r="BJ49" s="705">
        <f t="shared" si="65"/>
        <v>0</v>
      </c>
      <c r="BK49" s="693">
        <f t="shared" si="65"/>
        <v>0</v>
      </c>
      <c r="BL49" s="693">
        <f t="shared" si="65"/>
        <v>0</v>
      </c>
      <c r="BM49" s="693">
        <f t="shared" si="65"/>
        <v>0</v>
      </c>
      <c r="BN49" s="693">
        <f t="shared" si="65"/>
        <v>0</v>
      </c>
      <c r="BO49" s="693">
        <f t="shared" si="65"/>
        <v>0</v>
      </c>
      <c r="BP49" s="696">
        <f t="shared" si="65"/>
        <v>0</v>
      </c>
      <c r="BQ49" s="697">
        <f t="shared" si="65"/>
        <v>0</v>
      </c>
      <c r="BR49" s="693">
        <f t="shared" si="65"/>
        <v>0</v>
      </c>
      <c r="BS49" s="693">
        <f t="shared" ref="BS49:CK49" si="66">SUM(BS17:BS23)+SUM(BS25:BS31)+SUM(BS33:BS39)+SUM(BS41:BS47)</f>
        <v>0</v>
      </c>
      <c r="BT49" s="693">
        <f t="shared" si="66"/>
        <v>0</v>
      </c>
      <c r="BU49" s="693">
        <f t="shared" si="66"/>
        <v>0</v>
      </c>
      <c r="BV49" s="693">
        <f t="shared" si="66"/>
        <v>0</v>
      </c>
      <c r="BW49" s="696">
        <f t="shared" si="66"/>
        <v>0</v>
      </c>
      <c r="BX49" s="705">
        <f t="shared" si="66"/>
        <v>0</v>
      </c>
      <c r="BY49" s="693">
        <f t="shared" si="66"/>
        <v>0</v>
      </c>
      <c r="BZ49" s="693">
        <f t="shared" si="66"/>
        <v>0</v>
      </c>
      <c r="CA49" s="693">
        <f t="shared" si="66"/>
        <v>0</v>
      </c>
      <c r="CB49" s="693">
        <f t="shared" si="66"/>
        <v>0</v>
      </c>
      <c r="CC49" s="693">
        <f t="shared" si="66"/>
        <v>0</v>
      </c>
      <c r="CD49" s="696">
        <f t="shared" si="66"/>
        <v>0</v>
      </c>
      <c r="CE49" s="697">
        <f t="shared" si="66"/>
        <v>0</v>
      </c>
      <c r="CF49" s="693">
        <f t="shared" si="66"/>
        <v>0</v>
      </c>
      <c r="CG49" s="693">
        <f t="shared" si="66"/>
        <v>0</v>
      </c>
      <c r="CH49" s="693">
        <f t="shared" si="66"/>
        <v>0</v>
      </c>
      <c r="CI49" s="693">
        <f t="shared" si="66"/>
        <v>0</v>
      </c>
      <c r="CJ49" s="693">
        <f t="shared" si="66"/>
        <v>0</v>
      </c>
      <c r="CK49" s="706">
        <f t="shared" si="66"/>
        <v>0</v>
      </c>
    </row>
    <row r="52" spans="1:89" s="708" customFormat="1" ht="12.75">
      <c r="A52" s="707"/>
      <c r="D52" s="708" t="s">
        <v>528</v>
      </c>
      <c r="E52" s="4186" t="s">
        <v>477</v>
      </c>
      <c r="F52" s="4186"/>
      <c r="G52" s="4186"/>
      <c r="H52" s="4186"/>
      <c r="J52" s="4187"/>
      <c r="K52" s="4188"/>
    </row>
    <row r="53" spans="1:89" s="708" customFormat="1" ht="12.75">
      <c r="A53" s="707"/>
      <c r="E53" s="4192" t="s">
        <v>529</v>
      </c>
      <c r="F53" s="4192"/>
      <c r="G53" s="4192"/>
      <c r="H53" s="4192"/>
      <c r="J53" s="4193" t="s">
        <v>530</v>
      </c>
      <c r="K53" s="4192"/>
    </row>
    <row r="54" spans="1:89" s="708" customFormat="1" ht="12.75">
      <c r="A54" s="707"/>
      <c r="G54" s="710"/>
      <c r="K54" s="710"/>
    </row>
    <row r="55" spans="1:89" s="708" customFormat="1" ht="12.75">
      <c r="A55" s="707"/>
    </row>
    <row r="56" spans="1:89" s="708" customFormat="1" ht="12.75">
      <c r="A56" s="707"/>
      <c r="D56" s="711" t="s">
        <v>531</v>
      </c>
      <c r="E56" s="4186" t="s">
        <v>486</v>
      </c>
      <c r="F56" s="4186"/>
      <c r="G56" s="709"/>
      <c r="H56" s="4186" t="s">
        <v>484</v>
      </c>
      <c r="I56" s="4186"/>
      <c r="J56" s="4186"/>
      <c r="K56" s="709"/>
      <c r="L56" s="712"/>
      <c r="M56" s="712"/>
    </row>
    <row r="57" spans="1:89" s="708" customFormat="1" ht="12.75">
      <c r="A57" s="707"/>
      <c r="D57" s="711" t="s">
        <v>532</v>
      </c>
      <c r="E57" s="4190" t="s">
        <v>533</v>
      </c>
      <c r="F57" s="4190"/>
      <c r="G57" s="710"/>
      <c r="H57" s="4190" t="s">
        <v>529</v>
      </c>
      <c r="I57" s="4190"/>
      <c r="J57" s="4190"/>
      <c r="K57" s="710"/>
      <c r="L57" s="4190" t="s">
        <v>530</v>
      </c>
      <c r="M57" s="4190"/>
    </row>
    <row r="58" spans="1:89" s="708" customFormat="1" ht="12.75">
      <c r="A58" s="707"/>
      <c r="D58" s="711" t="s">
        <v>534</v>
      </c>
    </row>
    <row r="59" spans="1:89" s="708" customFormat="1" ht="12.75">
      <c r="A59" s="707"/>
      <c r="E59" s="4186" t="s">
        <v>487</v>
      </c>
      <c r="F59" s="4186"/>
      <c r="G59" s="4186"/>
      <c r="I59" s="713" t="s">
        <v>535</v>
      </c>
      <c r="J59" s="711"/>
    </row>
    <row r="60" spans="1:89" s="708" customFormat="1" ht="12.75">
      <c r="A60" s="707"/>
      <c r="E60" s="4191" t="s">
        <v>536</v>
      </c>
      <c r="F60" s="4191"/>
      <c r="G60" s="4191"/>
      <c r="I60" s="714" t="s">
        <v>537</v>
      </c>
      <c r="J60" s="714"/>
    </row>
  </sheetData>
  <mergeCells count="50">
    <mergeCell ref="L57:M57"/>
    <mergeCell ref="E59:G59"/>
    <mergeCell ref="E60:G60"/>
    <mergeCell ref="E53:H53"/>
    <mergeCell ref="J53:K53"/>
    <mergeCell ref="E56:F56"/>
    <mergeCell ref="H56:J56"/>
    <mergeCell ref="E57:F57"/>
    <mergeCell ref="H57:J57"/>
    <mergeCell ref="CF13:CK13"/>
    <mergeCell ref="BQ13:BQ14"/>
    <mergeCell ref="E52:H52"/>
    <mergeCell ref="J52:K52"/>
    <mergeCell ref="AW13:BB13"/>
    <mergeCell ref="BC13:BC14"/>
    <mergeCell ref="BD13:BI13"/>
    <mergeCell ref="T13:T14"/>
    <mergeCell ref="U13:Z13"/>
    <mergeCell ref="AA13:AA14"/>
    <mergeCell ref="AB13:AG13"/>
    <mergeCell ref="AH13:AH14"/>
    <mergeCell ref="BK13:BP13"/>
    <mergeCell ref="BR13:BW13"/>
    <mergeCell ref="BX13:BX14"/>
    <mergeCell ref="BY13:CD13"/>
    <mergeCell ref="CE13:CE14"/>
    <mergeCell ref="AI13:AN13"/>
    <mergeCell ref="AO13:AO14"/>
    <mergeCell ref="AP13:AU13"/>
    <mergeCell ref="AV13:AV14"/>
    <mergeCell ref="BJ13:BJ14"/>
    <mergeCell ref="T12:Z12"/>
    <mergeCell ref="AA12:AG12"/>
    <mergeCell ref="AH12:AN12"/>
    <mergeCell ref="AO12:AU12"/>
    <mergeCell ref="AV12:BB12"/>
    <mergeCell ref="BC12:BI12"/>
    <mergeCell ref="BJ12:BP12"/>
    <mergeCell ref="BQ12:BW12"/>
    <mergeCell ref="BX12:CD12"/>
    <mergeCell ref="CE12:CK12"/>
    <mergeCell ref="D11:K11"/>
    <mergeCell ref="D12:D14"/>
    <mergeCell ref="E12:E14"/>
    <mergeCell ref="F12:L12"/>
    <mergeCell ref="M12:S12"/>
    <mergeCell ref="F13:F14"/>
    <mergeCell ref="G13:L13"/>
    <mergeCell ref="M13:M14"/>
    <mergeCell ref="N13:S13"/>
  </mergeCells>
  <dataValidations count="1">
    <dataValidation type="decimal" allowBlank="1" showErrorMessage="1" errorTitle="Ошибка" error="Допускается ввод только действительных чисел!" sqref="F16:CK49">
      <formula1>-9.99999999999999E+23</formula1>
      <formula2>9.99999999999999E+23</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85</vt:i4>
      </vt:variant>
      <vt:variant>
        <vt:lpstr>Именованные диапазоны</vt:lpstr>
      </vt:variant>
      <vt:variant>
        <vt:i4>1</vt:i4>
      </vt:variant>
    </vt:vector>
  </HeadingPairs>
  <TitlesOfParts>
    <vt:vector size="86" baseType="lpstr">
      <vt:lpstr>Отчет</vt:lpstr>
      <vt:lpstr>Шаблон 46 ГП</vt:lpstr>
      <vt:lpstr>Шаблон 46 ЭСК</vt:lpstr>
      <vt:lpstr>46 сводная</vt:lpstr>
      <vt:lpstr>ККП</vt:lpstr>
      <vt:lpstr>Б-П</vt:lpstr>
      <vt:lpstr>ОРЭМ</vt:lpstr>
      <vt:lpstr>46ЕЕ</vt:lpstr>
      <vt:lpstr>Раздел 1 А</vt:lpstr>
      <vt:lpstr>Раздел 1Б</vt:lpstr>
      <vt:lpstr>Раздел 1 В</vt:lpstr>
      <vt:lpstr>Раздел 2А</vt:lpstr>
      <vt:lpstr>Раздел 2Б</vt:lpstr>
      <vt:lpstr>Раздел 3</vt:lpstr>
      <vt:lpstr>Раздел 4</vt:lpstr>
      <vt:lpstr>46 ЭЭ Тюмень</vt:lpstr>
      <vt:lpstr>Баланс ЭЭ и Мощности</vt:lpstr>
      <vt:lpstr>Покупка</vt:lpstr>
      <vt:lpstr>Продажа</vt:lpstr>
      <vt:lpstr>Продажа РР ХМО</vt:lpstr>
      <vt:lpstr>Прочие платежи</vt:lpstr>
      <vt:lpstr>Потери</vt:lpstr>
      <vt:lpstr>газ-ночь</vt:lpstr>
      <vt:lpstr>1</vt:lpstr>
      <vt:lpstr>2</vt:lpstr>
      <vt:lpstr>3</vt:lpstr>
      <vt:lpstr>4</vt:lpstr>
      <vt:lpstr>5</vt:lpstr>
      <vt:lpstr>6</vt:lpstr>
      <vt:lpstr>Общая до 26</vt:lpstr>
      <vt:lpstr>ГТП до 26</vt:lpstr>
      <vt:lpstr>Субъекты РФ до 26</vt:lpstr>
      <vt:lpstr>Уровень напряжения до 26</vt:lpstr>
      <vt:lpstr>101 до 26</vt:lpstr>
      <vt:lpstr>134 до 26</vt:lpstr>
      <vt:lpstr>135 до 26</vt:lpstr>
      <vt:lpstr>136 до 26</vt:lpstr>
      <vt:lpstr>Распределение услуг</vt:lpstr>
      <vt:lpstr>Отчёт в РСТ НВВ</vt:lpstr>
      <vt:lpstr>РСТ НВВ</vt:lpstr>
      <vt:lpstr>Отчёт в РСТ о НВВ</vt:lpstr>
      <vt:lpstr>Этапы корректировки</vt:lpstr>
      <vt:lpstr>П.52.б</vt:lpstr>
      <vt:lpstr>П.52 п.п. а</vt:lpstr>
      <vt:lpstr>П.45. г и 45. д.</vt:lpstr>
      <vt:lpstr>Отчёт СТС</vt:lpstr>
      <vt:lpstr>Форма 1</vt:lpstr>
      <vt:lpstr>Форма 2</vt:lpstr>
      <vt:lpstr>В отчётность</vt:lpstr>
      <vt:lpstr>Прайм</vt:lpstr>
      <vt:lpstr>Акт показаний ГЭС</vt:lpstr>
      <vt:lpstr>часть 2</vt:lpstr>
      <vt:lpstr>Общая</vt:lpstr>
      <vt:lpstr>ГТП</vt:lpstr>
      <vt:lpstr>субъекты РФ</vt:lpstr>
      <vt:lpstr>уровень напряжения</vt:lpstr>
      <vt:lpstr>101</vt:lpstr>
      <vt:lpstr>134</vt:lpstr>
      <vt:lpstr>135</vt:lpstr>
      <vt:lpstr>136</vt:lpstr>
      <vt:lpstr>Подведение итогов</vt:lpstr>
      <vt:lpstr>01</vt:lpstr>
      <vt:lpstr>для СТС основные и нат.показ</vt:lpstr>
      <vt:lpstr>Отчёт в РДУ</vt:lpstr>
      <vt:lpstr>Лист2</vt:lpstr>
      <vt:lpstr>Структура в РЭК</vt:lpstr>
      <vt:lpstr>ЕКТ</vt:lpstr>
      <vt:lpstr>ЗАКРЫТИЕ111</vt:lpstr>
      <vt:lpstr>Приложение 1111</vt:lpstr>
      <vt:lpstr>Приложение 22222</vt:lpstr>
      <vt:lpstr>Сбор</vt:lpstr>
      <vt:lpstr>Отчёт АПБЭ Макет</vt:lpstr>
      <vt:lpstr>1-Цены производителей НЭСКО</vt:lpstr>
      <vt:lpstr>Инструкция</vt:lpstr>
      <vt:lpstr>Титульный</vt:lpstr>
      <vt:lpstr>Раздел I. А</vt:lpstr>
      <vt:lpstr>Раздел I. Б</vt:lpstr>
      <vt:lpstr>Раздел I. В</vt:lpstr>
      <vt:lpstr>Раздел II. А (ТИС)</vt:lpstr>
      <vt:lpstr>Раздел II. Б (ТИС)</vt:lpstr>
      <vt:lpstr>Раздел III</vt:lpstr>
      <vt:lpstr>Раздел IV</vt:lpstr>
      <vt:lpstr>Прил.4 Сводная ведомость</vt:lpstr>
      <vt:lpstr>Прил.5 Акт об оказ.услуг</vt:lpstr>
      <vt:lpstr>EE.POP.RANGES.VOL.EIAS_export</vt:lpstr>
      <vt:lpstr>'Форма 2'!Print_Area</vt:lpstr>
    </vt:vector>
  </TitlesOfParts>
  <Company>work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Разяпов Руслан Глимханович</dc:creator>
  <cp:lastModifiedBy>Разяпов Руслан Глимханович</cp:lastModifiedBy>
  <cp:lastPrinted>2025-03-14T10:10:57Z</cp:lastPrinted>
  <dcterms:created xsi:type="dcterms:W3CDTF">2011-10-11T04:52:52Z</dcterms:created>
  <dcterms:modified xsi:type="dcterms:W3CDTF">2026-06-21T14:59:12Z</dcterms:modified>
</cp:coreProperties>
</file>